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Αυτό_το_βιβλίο_εργασίας"/>
  <mc:AlternateContent xmlns:mc="http://schemas.openxmlformats.org/markup-compatibility/2006">
    <mc:Choice Requires="x15">
      <x15ac:absPath xmlns:x15ac="http://schemas.microsoft.com/office/spreadsheetml/2010/11/ac" url="https://d.docs.live.net/44e84e523fbff6fb/Υπολογιστής/"/>
    </mc:Choice>
  </mc:AlternateContent>
  <xr:revisionPtr revIDLastSave="0" documentId="8_{361384FD-2AA2-4CC2-8127-FA62354CC249}" xr6:coauthVersionLast="47" xr6:coauthVersionMax="47" xr10:uidLastSave="{00000000-0000-0000-0000-000000000000}"/>
  <bookViews>
    <workbookView xWindow="3276" yWindow="3276" windowWidth="17280" windowHeight="8880" firstSheet="42" activeTab="49" xr2:uid="{00000000-000D-0000-FFFF-FFFF00000000}"/>
  </bookViews>
  <sheets>
    <sheet name="Διορισμοί" sheetId="816" r:id="rId1"/>
    <sheet name="ΔΕ01.ΕΑΕ Επικουρικός" sheetId="817" r:id="rId2"/>
    <sheet name="ΔΕ01.05.ΕΑΕ Επικουρικός" sheetId="818" r:id="rId3"/>
    <sheet name="ΔΕ01.14.ΕΑΕ Κύριος" sheetId="819" r:id="rId4"/>
    <sheet name="ΔΕ01.14.ΕΑΕ Επικουρικός" sheetId="820" r:id="rId5"/>
    <sheet name="ΔΕ01.17.ΕΑΕ Επικουρικός" sheetId="821" r:id="rId6"/>
    <sheet name="ΔΕ02.01.ΕΑΕ Επικουρικός" sheetId="822" r:id="rId7"/>
    <sheet name="ΔΕ02.02.ΕΑΕ Επικουρικός" sheetId="823" r:id="rId8"/>
    <sheet name="ΠΕ21.ΕΑΕ Κύριος" sheetId="824" r:id="rId9"/>
    <sheet name="ΠΕ22.ΕΑΕ Κύριος" sheetId="825" r:id="rId10"/>
    <sheet name="ΠΕ23.ΕΑΕ Κύριος" sheetId="826" r:id="rId11"/>
    <sheet name="ΠΕ25.ΕΑΕ Κύριος" sheetId="827" r:id="rId12"/>
    <sheet name="ΠΕ28.ΕΑΕ Κύριος" sheetId="828" r:id="rId13"/>
    <sheet name="ΠΕ29.ΕΑΕ Κύριος" sheetId="829" r:id="rId14"/>
    <sheet name="ΠΕ30.ΕΑΕ Κύριος" sheetId="830" r:id="rId15"/>
    <sheet name="ΠΕ31.ΕΑΕ Κύριος" sheetId="831" r:id="rId16"/>
    <sheet name="ΤΕ01.19.ΕΑΕ Κύριος" sheetId="832" r:id="rId17"/>
    <sheet name="ΤΕ01.19.ΕΑΕ Επικουρικός" sheetId="833" r:id="rId18"/>
    <sheet name="ΤΕ01.25.ΕΑΕ Κύριος" sheetId="834" r:id="rId19"/>
    <sheet name="ΤΕ01.25.ΕΑΕ Επικουρικός" sheetId="835" r:id="rId20"/>
    <sheet name="ΤΕ01.04.ΕΑΕ Επικουρικός" sheetId="836" r:id="rId21"/>
    <sheet name="ΤΕ01.06.ΕΑΕ Κύριος" sheetId="837" r:id="rId22"/>
    <sheet name="ΤΕ01.06.ΕΑΕ Επικουρικός" sheetId="838" r:id="rId23"/>
    <sheet name="ΤΕ01.07.ΕΑΕ Επικουρικός" sheetId="839" r:id="rId24"/>
    <sheet name="ΤΕ01.13.ΕΑΕ Κύριος" sheetId="840" r:id="rId25"/>
    <sheet name="ΤΕ01.13.ΕΑΕ Επικουρικός" sheetId="841" r:id="rId26"/>
    <sheet name="ΤΕ01.20.ΕΑΕ Κύριος" sheetId="842" r:id="rId27"/>
    <sheet name="ΤΕ01.20.ΕΑΕ Επικουρικός" sheetId="843" r:id="rId28"/>
    <sheet name="ΤΕ01.26.ΕΑΕ Επικουρικός" sheetId="844" r:id="rId29"/>
    <sheet name="ΤΕ01.29.ΕΑΕ Κύριος" sheetId="845" r:id="rId30"/>
    <sheet name="ΤΕ01.29.ΕΑΕ Επικουρικός" sheetId="846" r:id="rId31"/>
    <sheet name="ΤΕ01.30.ΕΑΕ Κύριος" sheetId="847" r:id="rId32"/>
    <sheet name="ΤΕ01.30.ΕΑΕ Επικουρικός" sheetId="848" r:id="rId33"/>
    <sheet name="ΤΕ01.31.ΕΑΕ Επικουρικός" sheetId="849" r:id="rId34"/>
    <sheet name="ΤΕ02.01.ΕΑΕ Κύριος" sheetId="850" r:id="rId35"/>
    <sheet name="ΤΕ02.01.ΕΑΕ Επικουρικός" sheetId="851" r:id="rId36"/>
    <sheet name="ΤΕ02.02.ΕΑΕ Κύριος" sheetId="852" r:id="rId37"/>
    <sheet name="ΤΕ02.02.ΕΑΕ Επικουρικός" sheetId="853" r:id="rId38"/>
    <sheet name="ΤΕ02.03.ΕΑΕ Κύριος" sheetId="854" r:id="rId39"/>
    <sheet name="ΤΕ02.03.ΕΑΕ Επικουρικός" sheetId="855" r:id="rId40"/>
    <sheet name="ΤΕ02.04.ΕΑΕ Κύριος" sheetId="856" r:id="rId41"/>
    <sheet name="ΤΕ02.04.ΕΑΕ Επικουρικός" sheetId="857" r:id="rId42"/>
    <sheet name="ΤΕ02.05.ΕΑΕ Κύριος" sheetId="858" r:id="rId43"/>
    <sheet name="ΤΕ02.05.ΕΑΕ Επικουρικός" sheetId="859" r:id="rId44"/>
    <sheet name="ΤΕ02.06.ΕΑΕ Κύριος" sheetId="860" r:id="rId45"/>
    <sheet name="ΤΕ02.06.ΕΑΕ Επικουρικός" sheetId="861" r:id="rId46"/>
    <sheet name="ΤΕ02.07.ΕΑΕ Κύριος" sheetId="862" r:id="rId47"/>
    <sheet name="ΤΕ02.07.ΕΑΕ Επικουρικός" sheetId="863" r:id="rId48"/>
    <sheet name="ΤΕ16.ΕΑΕ Κύριος" sheetId="864" r:id="rId49"/>
    <sheet name="ΤΕ16.ΕΑΕ Επικουρικός" sheetId="865" r:id="rId50"/>
  </sheets>
  <definedNames>
    <definedName name="_xlnm._FilterDatabase" localSheetId="0" hidden="1">Διορισμοί!$A$1:$E$251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123" i="817" l="1"/>
  <c r="H4122" i="817"/>
  <c r="H4121" i="817"/>
  <c r="H4120" i="817"/>
  <c r="H4119" i="817"/>
  <c r="H4118" i="817"/>
  <c r="H4117" i="817"/>
  <c r="H4116" i="817"/>
  <c r="H4115" i="817"/>
  <c r="H4114" i="817"/>
  <c r="H4113" i="817"/>
  <c r="H4112" i="817"/>
  <c r="H4111" i="817"/>
  <c r="H4110" i="817"/>
  <c r="H4109" i="817"/>
  <c r="H4108" i="817"/>
  <c r="H4107" i="817"/>
  <c r="H4106" i="817"/>
  <c r="H4105" i="817"/>
  <c r="H4104" i="817"/>
  <c r="H4103" i="817"/>
  <c r="H4102" i="817"/>
  <c r="H4101" i="817"/>
  <c r="H4100" i="817"/>
  <c r="H4099" i="817"/>
  <c r="H4098" i="817"/>
  <c r="H4097" i="817"/>
  <c r="H4096" i="817"/>
  <c r="H4095" i="817"/>
  <c r="H4094" i="817"/>
  <c r="H4093" i="817"/>
  <c r="H4092" i="817"/>
  <c r="H4091" i="817"/>
  <c r="H4090" i="817"/>
  <c r="H4089" i="817"/>
  <c r="H4088" i="817"/>
  <c r="H4087" i="817"/>
  <c r="H4086" i="817"/>
  <c r="H4085" i="817"/>
  <c r="H4084" i="817"/>
  <c r="H4083" i="817"/>
  <c r="H4082" i="817"/>
  <c r="H4081" i="817"/>
  <c r="H4080" i="817"/>
  <c r="H4079" i="817"/>
  <c r="H4078" i="817"/>
  <c r="H4077" i="817"/>
  <c r="H4076" i="817"/>
  <c r="H4075" i="817"/>
  <c r="H4074" i="817"/>
  <c r="H4073" i="817"/>
  <c r="H4072" i="817"/>
  <c r="H4071" i="817"/>
  <c r="H4070" i="817"/>
  <c r="H4069" i="817"/>
  <c r="H4068" i="817"/>
  <c r="H4067" i="817"/>
  <c r="H4066" i="817"/>
  <c r="H4065" i="817"/>
  <c r="H4064" i="817"/>
  <c r="H4063" i="817"/>
  <c r="H4062" i="817"/>
  <c r="H4061" i="817"/>
  <c r="H4060" i="817"/>
  <c r="H4059" i="817"/>
  <c r="H4058" i="817"/>
  <c r="H4057" i="817"/>
  <c r="H4056" i="817"/>
  <c r="H4055" i="817"/>
  <c r="H4054" i="817"/>
  <c r="H4053" i="817"/>
  <c r="H4052" i="817"/>
  <c r="H4051" i="817"/>
  <c r="H4050" i="817"/>
  <c r="H4049" i="817"/>
  <c r="H4048" i="817"/>
  <c r="H4047" i="817"/>
  <c r="H4046" i="817"/>
  <c r="H4045" i="817"/>
  <c r="H4044" i="817"/>
  <c r="H4043" i="817"/>
  <c r="H4042" i="817"/>
  <c r="H4041" i="817"/>
  <c r="H4040" i="817"/>
  <c r="H4039" i="817"/>
  <c r="H4038" i="817"/>
  <c r="H4037" i="817"/>
  <c r="H4036" i="817"/>
  <c r="H4035" i="817"/>
  <c r="H4034" i="817"/>
  <c r="H4033" i="817"/>
  <c r="H4032" i="817"/>
  <c r="H4031" i="817"/>
  <c r="H4030" i="817"/>
  <c r="H4029" i="817"/>
  <c r="H4028" i="817"/>
  <c r="H4027" i="817"/>
  <c r="H4026" i="817"/>
  <c r="H4025" i="817"/>
  <c r="H4024" i="817"/>
  <c r="H4023" i="817"/>
  <c r="H4022" i="817"/>
  <c r="H4021" i="817"/>
  <c r="H4020" i="817"/>
  <c r="H4019" i="817"/>
  <c r="H4018" i="817"/>
  <c r="H4017" i="817"/>
  <c r="H4016" i="817"/>
  <c r="H4015" i="817"/>
  <c r="H4014" i="817"/>
  <c r="H4013" i="817"/>
  <c r="H4012" i="817"/>
  <c r="H4011" i="817"/>
  <c r="H4010" i="817"/>
  <c r="H4009" i="817"/>
  <c r="H4008" i="817"/>
  <c r="H4007" i="817"/>
  <c r="H4006" i="817"/>
  <c r="H4005" i="817"/>
  <c r="H4004" i="817"/>
  <c r="H4003" i="817"/>
  <c r="H4002" i="817"/>
  <c r="H4001" i="817"/>
  <c r="H4000" i="817"/>
  <c r="H3999" i="817"/>
  <c r="H3998" i="817"/>
  <c r="H3997" i="817"/>
  <c r="H3996" i="817"/>
  <c r="H3995" i="817"/>
  <c r="H3994" i="817"/>
  <c r="H3993" i="817"/>
  <c r="H3992" i="817"/>
  <c r="H3991" i="817"/>
  <c r="H3990" i="817"/>
  <c r="H3989" i="817"/>
  <c r="H3988" i="817"/>
  <c r="H3987" i="817"/>
  <c r="H3986" i="817"/>
  <c r="H3985" i="817"/>
  <c r="H3984" i="817"/>
  <c r="H3983" i="817"/>
  <c r="H3982" i="817"/>
  <c r="H3981" i="817"/>
  <c r="H3980" i="817"/>
  <c r="H3979" i="817"/>
  <c r="H3978" i="817"/>
  <c r="H3977" i="817"/>
  <c r="H3976" i="817"/>
  <c r="H3975" i="817"/>
  <c r="H3974" i="817"/>
  <c r="H3973" i="817"/>
  <c r="H3972" i="817"/>
  <c r="H3971" i="817"/>
  <c r="H3970" i="817"/>
  <c r="H3969" i="817"/>
  <c r="H3968" i="817"/>
  <c r="H3967" i="817"/>
  <c r="H3966" i="817"/>
  <c r="H3965" i="817"/>
  <c r="H3964" i="817"/>
  <c r="H3963" i="817"/>
  <c r="H3962" i="817"/>
  <c r="H3961" i="817"/>
  <c r="H3960" i="817"/>
  <c r="H3959" i="817"/>
  <c r="H3958" i="817"/>
  <c r="H3957" i="817"/>
  <c r="H3956" i="817"/>
  <c r="H3955" i="817"/>
  <c r="H3954" i="817"/>
  <c r="H3953" i="817"/>
  <c r="H3952" i="817"/>
  <c r="H3951" i="817"/>
  <c r="H3950" i="817"/>
  <c r="H3949" i="817"/>
  <c r="H3948" i="817"/>
  <c r="H3947" i="817"/>
  <c r="H3946" i="817"/>
  <c r="H3945" i="817"/>
  <c r="H3944" i="817"/>
  <c r="H3943" i="817"/>
  <c r="H3942" i="817"/>
  <c r="H3941" i="817"/>
  <c r="H3940" i="817"/>
  <c r="H3939" i="817"/>
  <c r="H3938" i="817"/>
  <c r="H3937" i="817"/>
  <c r="H3936" i="817"/>
  <c r="H3935" i="817"/>
  <c r="H3934" i="817"/>
  <c r="H3933" i="817"/>
  <c r="H3932" i="817"/>
  <c r="H3931" i="817"/>
  <c r="H3930" i="817"/>
  <c r="H3929" i="817"/>
  <c r="H3928" i="817"/>
  <c r="H3927" i="817"/>
  <c r="H3926" i="817"/>
  <c r="H3925" i="817"/>
  <c r="H3924" i="817"/>
  <c r="H3923" i="817"/>
  <c r="H3922" i="817"/>
  <c r="H3921" i="817"/>
  <c r="H3920" i="817"/>
  <c r="H3919" i="817"/>
  <c r="H3918" i="817"/>
  <c r="H3917" i="817"/>
  <c r="H3916" i="817"/>
  <c r="H3915" i="817"/>
  <c r="H3914" i="817"/>
  <c r="H3913" i="817"/>
  <c r="H3912" i="817"/>
  <c r="H3911" i="817"/>
  <c r="H3910" i="817"/>
  <c r="H3909" i="817"/>
  <c r="H3908" i="817"/>
  <c r="H3907" i="817"/>
  <c r="H3906" i="817"/>
  <c r="H3905" i="817"/>
  <c r="H3904" i="817"/>
  <c r="H3903" i="817"/>
  <c r="H3902" i="817"/>
  <c r="H3901" i="817"/>
  <c r="H3900" i="817"/>
  <c r="H3899" i="817"/>
  <c r="H3898" i="817"/>
  <c r="H3897" i="817"/>
  <c r="H3896" i="817"/>
  <c r="H3895" i="817"/>
  <c r="H3894" i="817"/>
  <c r="H3893" i="817"/>
  <c r="H3892" i="817"/>
  <c r="H3891" i="817"/>
  <c r="H3890" i="817"/>
  <c r="H3889" i="817"/>
  <c r="H3888" i="817"/>
  <c r="H3887" i="817"/>
  <c r="H3886" i="817"/>
  <c r="H3885" i="817"/>
  <c r="H3884" i="817"/>
  <c r="H3883" i="817"/>
  <c r="H3882" i="817"/>
  <c r="H3881" i="817"/>
  <c r="H3880" i="817"/>
  <c r="H3879" i="817"/>
  <c r="H3878" i="817"/>
  <c r="H3877" i="817"/>
  <c r="H3876" i="817"/>
  <c r="H3875" i="817"/>
  <c r="H3874" i="817"/>
  <c r="H3873" i="817"/>
  <c r="H3872" i="817"/>
  <c r="H3871" i="817"/>
  <c r="H3870" i="817"/>
  <c r="H3869" i="817"/>
  <c r="H3868" i="817"/>
  <c r="H3867" i="817"/>
  <c r="H3866" i="817"/>
  <c r="H3865" i="817"/>
  <c r="H3864" i="817"/>
  <c r="H3863" i="817"/>
  <c r="H3862" i="817"/>
  <c r="H3861" i="817"/>
  <c r="H3860" i="817"/>
  <c r="H3859" i="817"/>
  <c r="H3858" i="817"/>
  <c r="H3857" i="817"/>
  <c r="H3856" i="817"/>
  <c r="H3855" i="817"/>
  <c r="H3854" i="817"/>
  <c r="H3853" i="817"/>
  <c r="H3852" i="817"/>
  <c r="H3851" i="817"/>
  <c r="H3850" i="817"/>
  <c r="H3849" i="817"/>
  <c r="H3848" i="817"/>
  <c r="H3847" i="817"/>
  <c r="H3846" i="817"/>
  <c r="H3845" i="817"/>
  <c r="H3844" i="817"/>
  <c r="H3843" i="817"/>
  <c r="H3842" i="817"/>
  <c r="H3841" i="817"/>
  <c r="H3840" i="817"/>
  <c r="H3839" i="817"/>
  <c r="H3838" i="817"/>
  <c r="H3837" i="817"/>
  <c r="H3836" i="817"/>
  <c r="H3835" i="817"/>
  <c r="H3834" i="817"/>
  <c r="H3833" i="817"/>
  <c r="H3832" i="817"/>
  <c r="H3831" i="817"/>
  <c r="H3830" i="817"/>
  <c r="H3829" i="817"/>
  <c r="H3828" i="817"/>
  <c r="H3827" i="817"/>
  <c r="H3826" i="817"/>
  <c r="H3825" i="817"/>
  <c r="H3824" i="817"/>
  <c r="H3823" i="817"/>
  <c r="H3822" i="817"/>
  <c r="H3821" i="817"/>
  <c r="H3820" i="817"/>
  <c r="H3819" i="817"/>
  <c r="H3818" i="817"/>
  <c r="H3817" i="817"/>
  <c r="H3816" i="817"/>
  <c r="H3815" i="817"/>
  <c r="H3814" i="817"/>
  <c r="H3813" i="817"/>
  <c r="H3812" i="817"/>
  <c r="H3811" i="817"/>
  <c r="H3810" i="817"/>
  <c r="H3809" i="817"/>
  <c r="H3808" i="817"/>
  <c r="H3807" i="817"/>
  <c r="H3806" i="817"/>
  <c r="H3805" i="817"/>
  <c r="H3804" i="817"/>
  <c r="H3803" i="817"/>
  <c r="H3802" i="817"/>
  <c r="H3801" i="817"/>
  <c r="H3800" i="817"/>
  <c r="H3799" i="817"/>
  <c r="H3798" i="817"/>
  <c r="H3797" i="817"/>
  <c r="H3796" i="817"/>
  <c r="H3795" i="817"/>
  <c r="H3794" i="817"/>
  <c r="H3793" i="817"/>
  <c r="H3792" i="817"/>
  <c r="H3791" i="817"/>
  <c r="H3790" i="817"/>
  <c r="H3789" i="817"/>
  <c r="H3788" i="817"/>
  <c r="H3787" i="817"/>
  <c r="H3786" i="817"/>
  <c r="H3785" i="817"/>
  <c r="H3784" i="817"/>
  <c r="H3783" i="817"/>
  <c r="H3782" i="817"/>
  <c r="H3781" i="817"/>
  <c r="H3780" i="817"/>
  <c r="H3779" i="817"/>
  <c r="H3778" i="817"/>
  <c r="H3777" i="817"/>
  <c r="H3776" i="817"/>
  <c r="H3775" i="817"/>
  <c r="H3774" i="817"/>
  <c r="H3773" i="817"/>
  <c r="H3772" i="817"/>
  <c r="H3771" i="817"/>
  <c r="H3770" i="817"/>
  <c r="H3769" i="817"/>
  <c r="H3768" i="817"/>
  <c r="H3767" i="817"/>
  <c r="H3766" i="817"/>
  <c r="H3765" i="817"/>
  <c r="H3764" i="817"/>
  <c r="H3763" i="817"/>
  <c r="H3762" i="817"/>
  <c r="H3761" i="817"/>
  <c r="H3760" i="817"/>
  <c r="H3759" i="817"/>
  <c r="H3758" i="817"/>
  <c r="H3757" i="817"/>
  <c r="H3756" i="817"/>
  <c r="H3755" i="817"/>
  <c r="H3754" i="817"/>
  <c r="H3753" i="817"/>
  <c r="H3752" i="817"/>
  <c r="H3751" i="817"/>
  <c r="H3750" i="817"/>
  <c r="H3749" i="817"/>
  <c r="H3748" i="817"/>
  <c r="H3747" i="817"/>
  <c r="H3746" i="817"/>
  <c r="H3745" i="817"/>
  <c r="H3744" i="817"/>
  <c r="H3743" i="817"/>
  <c r="H3742" i="817"/>
  <c r="H3741" i="817"/>
  <c r="H3740" i="817"/>
  <c r="H3739" i="817"/>
  <c r="H3738" i="817"/>
  <c r="H3737" i="817"/>
  <c r="H3736" i="817"/>
  <c r="H3735" i="817"/>
  <c r="H3734" i="817"/>
  <c r="H3733" i="817"/>
  <c r="H3732" i="817"/>
  <c r="H3731" i="817"/>
  <c r="H3730" i="817"/>
  <c r="H3729" i="817"/>
  <c r="H3728" i="817"/>
  <c r="H3727" i="817"/>
  <c r="H3726" i="817"/>
  <c r="H3725" i="817"/>
  <c r="H3724" i="817"/>
  <c r="H3723" i="817"/>
  <c r="H3722" i="817"/>
  <c r="H3721" i="817"/>
  <c r="H3720" i="817"/>
  <c r="H3719" i="817"/>
  <c r="H3718" i="817"/>
  <c r="H3717" i="817"/>
  <c r="H3716" i="817"/>
  <c r="H3715" i="817"/>
  <c r="H3714" i="817"/>
  <c r="H3713" i="817"/>
  <c r="H3712" i="817"/>
  <c r="H3711" i="817"/>
  <c r="H3710" i="817"/>
  <c r="H3709" i="817"/>
  <c r="H3708" i="817"/>
  <c r="H3707" i="817"/>
  <c r="H3706" i="817"/>
  <c r="H3705" i="817"/>
  <c r="H3704" i="817"/>
  <c r="H3703" i="817"/>
  <c r="H3702" i="817"/>
  <c r="H3701" i="817"/>
  <c r="H3700" i="817"/>
  <c r="H3699" i="817"/>
  <c r="H3698" i="817"/>
  <c r="H3697" i="817"/>
  <c r="H3696" i="817"/>
  <c r="H3695" i="817"/>
  <c r="H3694" i="817"/>
  <c r="H3693" i="817"/>
  <c r="H3692" i="817"/>
  <c r="H3691" i="817"/>
  <c r="H3690" i="817"/>
  <c r="H3689" i="817"/>
  <c r="H3688" i="817"/>
  <c r="H3687" i="817"/>
  <c r="H3686" i="817"/>
  <c r="H3685" i="817"/>
  <c r="H3684" i="817"/>
  <c r="H3683" i="817"/>
  <c r="H3682" i="817"/>
  <c r="H3681" i="817"/>
  <c r="H3680" i="817"/>
  <c r="H3679" i="817"/>
  <c r="H3678" i="817"/>
  <c r="H3677" i="817"/>
  <c r="H3676" i="817"/>
  <c r="H3675" i="817"/>
  <c r="H3674" i="817"/>
  <c r="H3673" i="817"/>
  <c r="H3672" i="817"/>
  <c r="H3671" i="817"/>
  <c r="H3670" i="817"/>
  <c r="H3669" i="817"/>
  <c r="H3668" i="817"/>
  <c r="H3667" i="817"/>
  <c r="H3666" i="817"/>
  <c r="H3665" i="817"/>
  <c r="H3664" i="817"/>
  <c r="H3663" i="817"/>
  <c r="H3662" i="817"/>
  <c r="H3661" i="817"/>
  <c r="H3660" i="817"/>
  <c r="H3659" i="817"/>
  <c r="H3658" i="817"/>
  <c r="H3657" i="817"/>
  <c r="H3656" i="817"/>
  <c r="H3655" i="817"/>
  <c r="H3654" i="817"/>
  <c r="H3653" i="817"/>
  <c r="H3652" i="817"/>
  <c r="H3651" i="817"/>
  <c r="H3650" i="817"/>
  <c r="H3649" i="817"/>
  <c r="H3648" i="817"/>
  <c r="H3647" i="817"/>
  <c r="H3646" i="817"/>
  <c r="H3645" i="817"/>
  <c r="H3644" i="817"/>
  <c r="H3643" i="817"/>
  <c r="H3642" i="817"/>
  <c r="H3641" i="817"/>
  <c r="H3640" i="817"/>
  <c r="H3639" i="817"/>
  <c r="H3638" i="817"/>
  <c r="H3637" i="817"/>
  <c r="H3636" i="817"/>
  <c r="H3635" i="817"/>
  <c r="H3634" i="817"/>
  <c r="H3633" i="817"/>
  <c r="H3632" i="817"/>
  <c r="H3631" i="817"/>
  <c r="H3630" i="817"/>
  <c r="H3629" i="817"/>
  <c r="H3628" i="817"/>
  <c r="H3627" i="817"/>
  <c r="H3626" i="817"/>
  <c r="H3625" i="817"/>
  <c r="H3624" i="817"/>
  <c r="H3623" i="817"/>
  <c r="H3622" i="817"/>
  <c r="H3621" i="817"/>
  <c r="H3620" i="817"/>
  <c r="H3619" i="817"/>
  <c r="H3618" i="817"/>
  <c r="H3617" i="817"/>
  <c r="H3616" i="817"/>
  <c r="H3615" i="817"/>
  <c r="H3614" i="817"/>
  <c r="H3613" i="817"/>
  <c r="H3612" i="817"/>
  <c r="H3611" i="817"/>
  <c r="H3610" i="817"/>
  <c r="H3609" i="817"/>
  <c r="H3608" i="817"/>
  <c r="H3607" i="817"/>
  <c r="H3606" i="817"/>
  <c r="H3605" i="817"/>
  <c r="H3604" i="817"/>
  <c r="H3603" i="817"/>
  <c r="H3602" i="817"/>
  <c r="H3601" i="817"/>
  <c r="H3600" i="817"/>
  <c r="H3599" i="817"/>
  <c r="H3598" i="817"/>
  <c r="H3597" i="817"/>
  <c r="H3596" i="817"/>
  <c r="H3595" i="817"/>
  <c r="H3594" i="817"/>
  <c r="H3593" i="817"/>
  <c r="H3592" i="817"/>
  <c r="H3591" i="817"/>
  <c r="H3590" i="817"/>
  <c r="H3589" i="817"/>
  <c r="H3588" i="817"/>
  <c r="H3587" i="817"/>
  <c r="H3586" i="817"/>
  <c r="H3585" i="817"/>
  <c r="H3584" i="817"/>
  <c r="H3583" i="817"/>
  <c r="H3582" i="817"/>
  <c r="H3581" i="817"/>
  <c r="H3580" i="817"/>
  <c r="H3579" i="817"/>
  <c r="H3578" i="817"/>
  <c r="H3577" i="817"/>
  <c r="H3576" i="817"/>
  <c r="H3575" i="817"/>
  <c r="H3574" i="817"/>
  <c r="H3573" i="817"/>
  <c r="H3572" i="817"/>
  <c r="H3571" i="817"/>
  <c r="H3570" i="817"/>
  <c r="H3569" i="817"/>
  <c r="H3568" i="817"/>
  <c r="H3567" i="817"/>
  <c r="H3566" i="817"/>
  <c r="H3565" i="817"/>
  <c r="H3564" i="817"/>
  <c r="H3563" i="817"/>
  <c r="H3562" i="817"/>
  <c r="H3561" i="817"/>
  <c r="H3560" i="817"/>
  <c r="H3559" i="817"/>
  <c r="H3558" i="817"/>
  <c r="H3557" i="817"/>
  <c r="H3556" i="817"/>
  <c r="H3555" i="817"/>
  <c r="H3554" i="817"/>
  <c r="H3553" i="817"/>
  <c r="H3552" i="817"/>
  <c r="H3551" i="817"/>
  <c r="H3550" i="817"/>
  <c r="H3549" i="817"/>
  <c r="H3548" i="817"/>
  <c r="H3547" i="817"/>
  <c r="H3546" i="817"/>
  <c r="H3545" i="817"/>
  <c r="H3544" i="817"/>
  <c r="H3543" i="817"/>
  <c r="H3542" i="817"/>
  <c r="H3541" i="817"/>
  <c r="H3540" i="817"/>
  <c r="H3539" i="817"/>
  <c r="H3538" i="817"/>
  <c r="H3537" i="817"/>
  <c r="H3536" i="817"/>
  <c r="H3535" i="817"/>
  <c r="H3534" i="817"/>
  <c r="H3533" i="817"/>
  <c r="H3532" i="817"/>
  <c r="H3531" i="817"/>
  <c r="H3530" i="817"/>
  <c r="H3529" i="817"/>
  <c r="H3528" i="817"/>
  <c r="H3527" i="817"/>
  <c r="H3526" i="817"/>
  <c r="H3525" i="817"/>
  <c r="H3524" i="817"/>
  <c r="H3523" i="817"/>
  <c r="H3522" i="817"/>
  <c r="H3521" i="817"/>
  <c r="H3520" i="817"/>
  <c r="H3519" i="817"/>
  <c r="H3518" i="817"/>
  <c r="H3517" i="817"/>
  <c r="H3516" i="817"/>
  <c r="H3515" i="817"/>
  <c r="H3514" i="817"/>
  <c r="H3513" i="817"/>
  <c r="H3512" i="817"/>
  <c r="H3511" i="817"/>
  <c r="H3510" i="817"/>
  <c r="H3509" i="817"/>
  <c r="H3508" i="817"/>
  <c r="H3507" i="817"/>
  <c r="H3506" i="817"/>
  <c r="H3505" i="817"/>
  <c r="H3504" i="817"/>
  <c r="H3503" i="817"/>
  <c r="H3502" i="817"/>
  <c r="H3501" i="817"/>
  <c r="H3500" i="817"/>
  <c r="H3499" i="817"/>
  <c r="H3498" i="817"/>
  <c r="H3497" i="817"/>
  <c r="H3496" i="817"/>
  <c r="H3495" i="817"/>
  <c r="H3494" i="817"/>
  <c r="H3493" i="817"/>
  <c r="H3492" i="817"/>
  <c r="H3491" i="817"/>
  <c r="H3490" i="817"/>
  <c r="H3489" i="817"/>
  <c r="H3488" i="817"/>
  <c r="H3487" i="817"/>
  <c r="H3486" i="817"/>
  <c r="H3485" i="817"/>
  <c r="H3484" i="817"/>
  <c r="H3483" i="817"/>
  <c r="H3482" i="817"/>
  <c r="H3481" i="817"/>
  <c r="H3480" i="817"/>
  <c r="H3479" i="817"/>
  <c r="H3478" i="817"/>
  <c r="H3477" i="817"/>
  <c r="H3476" i="817"/>
  <c r="H3475" i="817"/>
  <c r="H3474" i="817"/>
  <c r="H3473" i="817"/>
  <c r="H3472" i="817"/>
  <c r="H3471" i="817"/>
  <c r="H3470" i="817"/>
  <c r="H3469" i="817"/>
  <c r="H3468" i="817"/>
  <c r="H3467" i="817"/>
  <c r="H3466" i="817"/>
  <c r="H3465" i="817"/>
  <c r="H3464" i="817"/>
  <c r="H3463" i="817"/>
  <c r="H3462" i="817"/>
  <c r="H3461" i="817"/>
  <c r="H3460" i="817"/>
  <c r="H3459" i="817"/>
  <c r="H3458" i="817"/>
  <c r="H3457" i="817"/>
  <c r="H3456" i="817"/>
  <c r="H3455" i="817"/>
  <c r="H3454" i="817"/>
  <c r="H3453" i="817"/>
  <c r="H3452" i="817"/>
  <c r="H3451" i="817"/>
  <c r="H3450" i="817"/>
  <c r="H3449" i="817"/>
  <c r="H3448" i="817"/>
  <c r="H3447" i="817"/>
  <c r="H3446" i="817"/>
  <c r="H3445" i="817"/>
  <c r="H3444" i="817"/>
  <c r="H3443" i="817"/>
  <c r="H3442" i="817"/>
  <c r="H3441" i="817"/>
  <c r="H3440" i="817"/>
  <c r="H3439" i="817"/>
  <c r="H3438" i="817"/>
  <c r="H3437" i="817"/>
  <c r="H3436" i="817"/>
  <c r="H3435" i="817"/>
  <c r="H3434" i="817"/>
  <c r="H3433" i="817"/>
  <c r="H3432" i="817"/>
  <c r="H3431" i="817"/>
  <c r="H3430" i="817"/>
  <c r="H3429" i="817"/>
  <c r="H3428" i="817"/>
  <c r="H3427" i="817"/>
  <c r="H3426" i="817"/>
  <c r="H3425" i="817"/>
  <c r="H3424" i="817"/>
  <c r="H3423" i="817"/>
  <c r="H3422" i="817"/>
  <c r="H3421" i="817"/>
  <c r="H3420" i="817"/>
  <c r="H3419" i="817"/>
  <c r="H3418" i="817"/>
  <c r="H3417" i="817"/>
  <c r="H3416" i="817"/>
  <c r="H3415" i="817"/>
  <c r="H3414" i="817"/>
  <c r="H3413" i="817"/>
  <c r="H3412" i="817"/>
  <c r="H3411" i="817"/>
  <c r="H3410" i="817"/>
  <c r="H3409" i="817"/>
  <c r="H3408" i="817"/>
  <c r="H3407" i="817"/>
  <c r="H3406" i="817"/>
  <c r="H3405" i="817"/>
  <c r="H3404" i="817"/>
  <c r="H3403" i="817"/>
  <c r="H3402" i="817"/>
  <c r="H3401" i="817"/>
  <c r="H3400" i="817"/>
  <c r="H3399" i="817"/>
  <c r="H3398" i="817"/>
  <c r="H3397" i="817"/>
  <c r="H3396" i="817"/>
  <c r="H3395" i="817"/>
  <c r="H3394" i="817"/>
  <c r="H3393" i="817"/>
  <c r="H3392" i="817"/>
  <c r="H3391" i="817"/>
  <c r="H3390" i="817"/>
  <c r="H3389" i="817"/>
  <c r="H3388" i="817"/>
  <c r="H3387" i="817"/>
  <c r="H3386" i="817"/>
  <c r="H3385" i="817"/>
  <c r="H3384" i="817"/>
  <c r="H3383" i="817"/>
  <c r="H3382" i="817"/>
  <c r="H3381" i="817"/>
  <c r="H3380" i="817"/>
  <c r="H3379" i="817"/>
  <c r="H3378" i="817"/>
  <c r="H3377" i="817"/>
  <c r="H3376" i="817"/>
  <c r="H3375" i="817"/>
  <c r="H3374" i="817"/>
  <c r="H3373" i="817"/>
  <c r="H3372" i="817"/>
  <c r="H3371" i="817"/>
  <c r="H3370" i="817"/>
  <c r="H3369" i="817"/>
  <c r="H3368" i="817"/>
  <c r="H3367" i="817"/>
  <c r="H3366" i="817"/>
  <c r="H3365" i="817"/>
  <c r="H3364" i="817"/>
  <c r="H3363" i="817"/>
  <c r="H3362" i="817"/>
  <c r="H3361" i="817"/>
  <c r="H3360" i="817"/>
  <c r="H3359" i="817"/>
  <c r="H3358" i="817"/>
  <c r="H3357" i="817"/>
  <c r="H3356" i="817"/>
  <c r="H3355" i="817"/>
  <c r="H3354" i="817"/>
  <c r="H3353" i="817"/>
  <c r="H3352" i="817"/>
  <c r="H3351" i="817"/>
  <c r="H3350" i="817"/>
  <c r="H3349" i="817"/>
  <c r="H3348" i="817"/>
  <c r="H3347" i="817"/>
  <c r="H3346" i="817"/>
  <c r="H3345" i="817"/>
  <c r="H3344" i="817"/>
  <c r="H3343" i="817"/>
  <c r="H3342" i="817"/>
  <c r="H3341" i="817"/>
  <c r="H3340" i="817"/>
  <c r="H3339" i="817"/>
  <c r="H3338" i="817"/>
  <c r="H3337" i="817"/>
  <c r="H3336" i="817"/>
  <c r="H3335" i="817"/>
  <c r="H3334" i="817"/>
  <c r="H3333" i="817"/>
  <c r="H3332" i="817"/>
  <c r="H3331" i="817"/>
  <c r="H3330" i="817"/>
  <c r="H3329" i="817"/>
  <c r="H3328" i="817"/>
  <c r="H3327" i="817"/>
  <c r="H3326" i="817"/>
  <c r="H3325" i="817"/>
  <c r="H3324" i="817"/>
  <c r="H3323" i="817"/>
  <c r="H3322" i="817"/>
  <c r="H3321" i="817"/>
  <c r="H3320" i="817"/>
  <c r="H3319" i="817"/>
  <c r="H3318" i="817"/>
  <c r="H3317" i="817"/>
  <c r="H3316" i="817"/>
  <c r="H3315" i="817"/>
  <c r="H3314" i="817"/>
  <c r="H3313" i="817"/>
  <c r="H3312" i="817"/>
  <c r="H3311" i="817"/>
  <c r="H3310" i="817"/>
  <c r="H3309" i="817"/>
  <c r="H3308" i="817"/>
  <c r="H3307" i="817"/>
  <c r="H3306" i="817"/>
  <c r="H3305" i="817"/>
  <c r="H3304" i="817"/>
  <c r="H3303" i="817"/>
  <c r="H3302" i="817"/>
  <c r="H3301" i="817"/>
  <c r="H3300" i="817"/>
  <c r="H3299" i="817"/>
  <c r="H3298" i="817"/>
  <c r="H3297" i="817"/>
  <c r="H3296" i="817"/>
  <c r="H3295" i="817"/>
  <c r="H3294" i="817"/>
  <c r="H3293" i="817"/>
  <c r="H3292" i="817"/>
  <c r="H3291" i="817"/>
  <c r="H3290" i="817"/>
  <c r="H3289" i="817"/>
  <c r="H3288" i="817"/>
  <c r="H3287" i="817"/>
  <c r="H3286" i="817"/>
  <c r="H3285" i="817"/>
  <c r="H3284" i="817"/>
  <c r="H3283" i="817"/>
  <c r="H3282" i="817"/>
  <c r="H3281" i="817"/>
  <c r="H3280" i="817"/>
  <c r="H3279" i="817"/>
  <c r="H3278" i="817"/>
  <c r="H3277" i="817"/>
  <c r="H3276" i="817"/>
  <c r="H3275" i="817"/>
  <c r="H3274" i="817"/>
  <c r="H3273" i="817"/>
  <c r="H3272" i="817"/>
  <c r="H3271" i="817"/>
  <c r="H3270" i="817"/>
  <c r="H3269" i="817"/>
  <c r="H3268" i="817"/>
  <c r="H3267" i="817"/>
  <c r="H3266" i="817"/>
  <c r="H3265" i="817"/>
  <c r="H3264" i="817"/>
  <c r="H3263" i="817"/>
  <c r="H3262" i="817"/>
  <c r="H3261" i="817"/>
  <c r="H3260" i="817"/>
  <c r="H3259" i="817"/>
  <c r="H3258" i="817"/>
  <c r="H3257" i="817"/>
  <c r="H3256" i="817"/>
  <c r="H3255" i="817"/>
  <c r="H3254" i="817"/>
  <c r="H3253" i="817"/>
  <c r="H3252" i="817"/>
  <c r="H3251" i="817"/>
  <c r="H3250" i="817"/>
  <c r="H3249" i="817"/>
  <c r="H3248" i="817"/>
  <c r="H3247" i="817"/>
  <c r="H3246" i="817"/>
  <c r="H3245" i="817"/>
  <c r="H3244" i="817"/>
  <c r="H3243" i="817"/>
  <c r="H3242" i="817"/>
  <c r="H3241" i="817"/>
  <c r="H3240" i="817"/>
  <c r="H3239" i="817"/>
  <c r="H3238" i="817"/>
  <c r="H3237" i="817"/>
  <c r="H3236" i="817"/>
  <c r="H3235" i="817"/>
  <c r="H3234" i="817"/>
  <c r="H3233" i="817"/>
  <c r="H3232" i="817"/>
  <c r="H3231" i="817"/>
  <c r="H3230" i="817"/>
  <c r="H3229" i="817"/>
  <c r="H3228" i="817"/>
  <c r="H3227" i="817"/>
  <c r="H3226" i="817"/>
  <c r="H3225" i="817"/>
  <c r="H3224" i="817"/>
  <c r="H3223" i="817"/>
  <c r="H3222" i="817"/>
  <c r="H3221" i="817"/>
  <c r="H3220" i="817"/>
  <c r="H3219" i="817"/>
  <c r="H3218" i="817"/>
  <c r="H3217" i="817"/>
  <c r="H3216" i="817"/>
  <c r="H3215" i="817"/>
  <c r="H3214" i="817"/>
  <c r="H3213" i="817"/>
  <c r="H3212" i="817"/>
  <c r="H3211" i="817"/>
  <c r="H3210" i="817"/>
  <c r="H3209" i="817"/>
  <c r="H3208" i="817"/>
  <c r="H3207" i="817"/>
  <c r="H3206" i="817"/>
  <c r="H3205" i="817"/>
  <c r="H3204" i="817"/>
  <c r="H3203" i="817"/>
  <c r="H3202" i="817"/>
  <c r="H3201" i="817"/>
  <c r="H3200" i="817"/>
  <c r="H3199" i="817"/>
  <c r="H3198" i="817"/>
  <c r="H3197" i="817"/>
  <c r="H3196" i="817"/>
  <c r="H3195" i="817"/>
  <c r="H3194" i="817"/>
  <c r="H3193" i="817"/>
  <c r="H3192" i="817"/>
  <c r="H3191" i="817"/>
  <c r="H3190" i="817"/>
  <c r="H3189" i="817"/>
  <c r="H3188" i="817"/>
  <c r="H3187" i="817"/>
  <c r="H3186" i="817"/>
  <c r="H3185" i="817"/>
  <c r="H3184" i="817"/>
  <c r="H3183" i="817"/>
  <c r="H3182" i="817"/>
  <c r="H3181" i="817"/>
  <c r="H3180" i="817"/>
  <c r="H3179" i="817"/>
  <c r="H3178" i="817"/>
  <c r="H3177" i="817"/>
  <c r="H3176" i="817"/>
  <c r="H3175" i="817"/>
  <c r="H3174" i="817"/>
  <c r="H3173" i="817"/>
  <c r="H3172" i="817"/>
  <c r="H3171" i="817"/>
  <c r="H3170" i="817"/>
  <c r="H3169" i="817"/>
  <c r="H3168" i="817"/>
  <c r="H3167" i="817"/>
  <c r="H3166" i="817"/>
  <c r="H3165" i="817"/>
  <c r="H3164" i="817"/>
  <c r="H3163" i="817"/>
  <c r="H3162" i="817"/>
  <c r="H3161" i="817"/>
  <c r="H3160" i="817"/>
  <c r="H3159" i="817"/>
  <c r="H3158" i="817"/>
  <c r="H3157" i="817"/>
  <c r="H3156" i="817"/>
  <c r="H3155" i="817"/>
  <c r="H3154" i="817"/>
  <c r="H3153" i="817"/>
  <c r="H3152" i="817"/>
  <c r="H3151" i="817"/>
  <c r="H3150" i="817"/>
  <c r="H3149" i="817"/>
  <c r="H3148" i="817"/>
  <c r="H3147" i="817"/>
  <c r="H3146" i="817"/>
  <c r="H3145" i="817"/>
  <c r="H3144" i="817"/>
  <c r="H3143" i="817"/>
  <c r="H3142" i="817"/>
  <c r="H3141" i="817"/>
  <c r="H3140" i="817"/>
  <c r="H3139" i="817"/>
  <c r="H3138" i="817"/>
  <c r="H3137" i="817"/>
  <c r="H3136" i="817"/>
  <c r="H3135" i="817"/>
  <c r="H3134" i="817"/>
  <c r="H3133" i="817"/>
  <c r="H3132" i="817"/>
  <c r="H3131" i="817"/>
  <c r="H3130" i="817"/>
  <c r="H3129" i="817"/>
  <c r="H3128" i="817"/>
  <c r="H3127" i="817"/>
  <c r="H3126" i="817"/>
  <c r="H3125" i="817"/>
  <c r="H3124" i="817"/>
  <c r="H3123" i="817"/>
  <c r="H3122" i="817"/>
  <c r="H3121" i="817"/>
  <c r="H3120" i="817"/>
  <c r="H3119" i="817"/>
  <c r="H3118" i="817"/>
  <c r="H3117" i="817"/>
  <c r="H3116" i="817"/>
  <c r="H3115" i="817"/>
  <c r="H3114" i="817"/>
  <c r="H3113" i="817"/>
  <c r="H3112" i="817"/>
  <c r="H3111" i="817"/>
  <c r="H3110" i="817"/>
  <c r="H3109" i="817"/>
  <c r="H3108" i="817"/>
  <c r="H3107" i="817"/>
  <c r="H3106" i="817"/>
  <c r="H3105" i="817"/>
  <c r="H3104" i="817"/>
  <c r="H3103" i="817"/>
  <c r="H3102" i="817"/>
  <c r="H3101" i="817"/>
  <c r="H3100" i="817"/>
  <c r="H3099" i="817"/>
  <c r="H3098" i="817"/>
  <c r="H3097" i="817"/>
  <c r="H3096" i="817"/>
  <c r="H3095" i="817"/>
  <c r="H3094" i="817"/>
  <c r="H3093" i="817"/>
  <c r="H3092" i="817"/>
  <c r="H3091" i="817"/>
  <c r="H3090" i="817"/>
  <c r="H3089" i="817"/>
  <c r="H3088" i="817"/>
  <c r="H3087" i="817"/>
  <c r="H3086" i="817"/>
  <c r="H3085" i="817"/>
  <c r="H3084" i="817"/>
  <c r="H3083" i="817"/>
  <c r="H3082" i="817"/>
  <c r="H3081" i="817"/>
  <c r="H3080" i="817"/>
  <c r="H3079" i="817"/>
  <c r="H3078" i="817"/>
  <c r="H3077" i="817"/>
  <c r="H3076" i="817"/>
  <c r="H3075" i="817"/>
  <c r="H3074" i="817"/>
  <c r="H3073" i="817"/>
  <c r="H3072" i="817"/>
  <c r="H3071" i="817"/>
  <c r="H3070" i="817"/>
  <c r="H3069" i="817"/>
  <c r="H3068" i="817"/>
  <c r="H3067" i="817"/>
  <c r="H3066" i="817"/>
  <c r="H3065" i="817"/>
  <c r="H3064" i="817"/>
  <c r="H3063" i="817"/>
  <c r="H3062" i="817"/>
  <c r="H3061" i="817"/>
  <c r="H3060" i="817"/>
  <c r="H3059" i="817"/>
  <c r="H3058" i="817"/>
  <c r="H3057" i="817"/>
  <c r="H3056" i="817"/>
  <c r="H3055" i="817"/>
  <c r="H3054" i="817"/>
  <c r="H3053" i="817"/>
  <c r="H3052" i="817"/>
  <c r="H3051" i="817"/>
  <c r="H3050" i="817"/>
  <c r="H3049" i="817"/>
  <c r="H3048" i="817"/>
  <c r="H3047" i="817"/>
  <c r="H3046" i="817"/>
  <c r="H3045" i="817"/>
  <c r="H3044" i="817"/>
  <c r="H3043" i="817"/>
  <c r="H3042" i="817"/>
  <c r="H3041" i="817"/>
  <c r="H3040" i="817"/>
  <c r="H3039" i="817"/>
  <c r="H3038" i="817"/>
  <c r="H3037" i="817"/>
  <c r="H3036" i="817"/>
  <c r="H3035" i="817"/>
  <c r="H3034" i="817"/>
  <c r="H3033" i="817"/>
  <c r="H3032" i="817"/>
  <c r="H3031" i="817"/>
  <c r="H3030" i="817"/>
  <c r="H3029" i="817"/>
  <c r="H3028" i="817"/>
  <c r="H3027" i="817"/>
  <c r="H3026" i="817"/>
  <c r="H3025" i="817"/>
  <c r="H3024" i="817"/>
  <c r="H3023" i="817"/>
  <c r="H3022" i="817"/>
  <c r="H3021" i="817"/>
  <c r="H3020" i="817"/>
  <c r="H3019" i="817"/>
  <c r="H3018" i="817"/>
  <c r="H3017" i="817"/>
  <c r="H3016" i="817"/>
  <c r="H3015" i="817"/>
  <c r="H3014" i="817"/>
  <c r="H3013" i="817"/>
  <c r="H3012" i="817"/>
  <c r="H3011" i="817"/>
  <c r="H3010" i="817"/>
  <c r="H3009" i="817"/>
  <c r="H3008" i="817"/>
  <c r="H3007" i="817"/>
  <c r="H3006" i="817"/>
  <c r="H3005" i="817"/>
  <c r="H3004" i="817"/>
  <c r="H3003" i="817"/>
  <c r="H3002" i="817"/>
  <c r="H3001" i="817"/>
  <c r="H3000" i="817"/>
  <c r="H2999" i="817"/>
  <c r="H2998" i="817"/>
  <c r="H2997" i="817"/>
  <c r="H2996" i="817"/>
  <c r="H2995" i="817"/>
  <c r="H2994" i="817"/>
  <c r="H2993" i="817"/>
  <c r="H2992" i="817"/>
  <c r="H2991" i="817"/>
  <c r="H2990" i="817"/>
  <c r="H2989" i="817"/>
  <c r="H2988" i="817"/>
  <c r="H2987" i="817"/>
  <c r="H2986" i="817"/>
  <c r="H2985" i="817"/>
  <c r="H2984" i="817"/>
  <c r="H2983" i="817"/>
  <c r="H2982" i="817"/>
  <c r="H2981" i="817"/>
  <c r="H2980" i="817"/>
  <c r="H2979" i="817"/>
  <c r="H2978" i="817"/>
  <c r="H2977" i="817"/>
  <c r="H2976" i="817"/>
  <c r="H2975" i="817"/>
  <c r="H2974" i="817"/>
  <c r="H2973" i="817"/>
  <c r="H2972" i="817"/>
  <c r="H2971" i="817"/>
  <c r="H2970" i="817"/>
  <c r="H2969" i="817"/>
  <c r="H2968" i="817"/>
  <c r="H2967" i="817"/>
  <c r="H2966" i="817"/>
  <c r="H2965" i="817"/>
  <c r="H2964" i="817"/>
  <c r="H2963" i="817"/>
  <c r="H2962" i="817"/>
  <c r="H2961" i="817"/>
  <c r="H2960" i="817"/>
  <c r="H2959" i="817"/>
  <c r="H2958" i="817"/>
  <c r="H2957" i="817"/>
  <c r="H2956" i="817"/>
  <c r="H2955" i="817"/>
  <c r="H2954" i="817"/>
  <c r="H2953" i="817"/>
  <c r="H2952" i="817"/>
  <c r="H2951" i="817"/>
  <c r="H2950" i="817"/>
  <c r="H2949" i="817"/>
  <c r="H2948" i="817"/>
  <c r="H2947" i="817"/>
  <c r="H2946" i="817"/>
  <c r="H2945" i="817"/>
  <c r="H2944" i="817"/>
  <c r="H2943" i="817"/>
  <c r="H2942" i="817"/>
  <c r="H2941" i="817"/>
  <c r="H2940" i="817"/>
  <c r="H2939" i="817"/>
  <c r="H2938" i="817"/>
  <c r="H2937" i="817"/>
  <c r="H2936" i="817"/>
  <c r="H2935" i="817"/>
  <c r="H2934" i="817"/>
  <c r="H2933" i="817"/>
  <c r="H2932" i="817"/>
  <c r="H2931" i="817"/>
  <c r="H2930" i="817"/>
  <c r="H2929" i="817"/>
  <c r="H2928" i="817"/>
  <c r="H2927" i="817"/>
  <c r="H2926" i="817"/>
  <c r="H2925" i="817"/>
  <c r="H2924" i="817"/>
  <c r="H2923" i="817"/>
  <c r="H2922" i="817"/>
  <c r="H2921" i="817"/>
  <c r="H2920" i="817"/>
  <c r="H2919" i="817"/>
  <c r="H2918" i="817"/>
  <c r="H2917" i="817"/>
  <c r="H2916" i="817"/>
  <c r="H2915" i="817"/>
  <c r="H2914" i="817"/>
  <c r="H2913" i="817"/>
  <c r="H2912" i="817"/>
  <c r="H2911" i="817"/>
  <c r="H2910" i="817"/>
  <c r="H2909" i="817"/>
  <c r="H2908" i="817"/>
  <c r="H2907" i="817"/>
  <c r="H2906" i="817"/>
  <c r="H2905" i="817"/>
  <c r="H2904" i="817"/>
  <c r="H2903" i="817"/>
  <c r="H2902" i="817"/>
  <c r="H2901" i="817"/>
  <c r="H2900" i="817"/>
  <c r="H2899" i="817"/>
  <c r="H2898" i="817"/>
  <c r="H2897" i="817"/>
  <c r="H2896" i="817"/>
  <c r="H2895" i="817"/>
  <c r="H2894" i="817"/>
  <c r="H2893" i="817"/>
  <c r="H2892" i="817"/>
  <c r="H2891" i="817"/>
  <c r="H2890" i="817"/>
  <c r="H2889" i="817"/>
  <c r="H2888" i="817"/>
  <c r="H2887" i="817"/>
  <c r="H2886" i="817"/>
  <c r="H2885" i="817"/>
  <c r="H2884" i="817"/>
  <c r="H2883" i="817"/>
  <c r="H2882" i="817"/>
  <c r="H2881" i="817"/>
  <c r="H2880" i="817"/>
  <c r="H2879" i="817"/>
  <c r="H2878" i="817"/>
  <c r="H2877" i="817"/>
  <c r="H2876" i="817"/>
  <c r="H2875" i="817"/>
  <c r="H2874" i="817"/>
  <c r="H2873" i="817"/>
  <c r="H2872" i="817"/>
  <c r="H2871" i="817"/>
  <c r="H2870" i="817"/>
  <c r="H2869" i="817"/>
  <c r="H2868" i="817"/>
  <c r="H2867" i="817"/>
  <c r="H2866" i="817"/>
  <c r="H2865" i="817"/>
  <c r="H2864" i="817"/>
  <c r="H2863" i="817"/>
  <c r="H2862" i="817"/>
  <c r="H2861" i="817"/>
  <c r="H2860" i="817"/>
  <c r="H2859" i="817"/>
  <c r="H2858" i="817"/>
  <c r="H2857" i="817"/>
  <c r="H2856" i="817"/>
  <c r="H2855" i="817"/>
  <c r="H2854" i="817"/>
  <c r="H2853" i="817"/>
  <c r="H2852" i="817"/>
  <c r="H2851" i="817"/>
  <c r="H2850" i="817"/>
  <c r="H2849" i="817"/>
  <c r="H2848" i="817"/>
  <c r="H2847" i="817"/>
  <c r="H2846" i="817"/>
  <c r="H2845" i="817"/>
  <c r="H2844" i="817"/>
  <c r="H2843" i="817"/>
  <c r="H2842" i="817"/>
  <c r="H2841" i="817"/>
  <c r="H2840" i="817"/>
  <c r="H2839" i="817"/>
  <c r="H2838" i="817"/>
  <c r="H2837" i="817"/>
  <c r="H2836" i="817"/>
  <c r="H2835" i="817"/>
  <c r="H2834" i="817"/>
  <c r="H2833" i="817"/>
  <c r="H2832" i="817"/>
  <c r="H2831" i="817"/>
  <c r="H2830" i="817"/>
  <c r="H2829" i="817"/>
  <c r="H2828" i="817"/>
  <c r="H2827" i="817"/>
  <c r="H2826" i="817"/>
  <c r="H2825" i="817"/>
  <c r="H2824" i="817"/>
  <c r="H2823" i="817"/>
  <c r="H2822" i="817"/>
  <c r="H2821" i="817"/>
  <c r="H2820" i="817"/>
  <c r="H2819" i="817"/>
  <c r="H2818" i="817"/>
  <c r="H2817" i="817"/>
  <c r="H2816" i="817"/>
  <c r="H2815" i="817"/>
  <c r="H2814" i="817"/>
  <c r="H2813" i="817"/>
  <c r="H2812" i="817"/>
  <c r="H2811" i="817"/>
  <c r="H2810" i="817"/>
  <c r="H2809" i="817"/>
  <c r="H2808" i="817"/>
  <c r="H2807" i="817"/>
  <c r="H2806" i="817"/>
  <c r="H2805" i="817"/>
  <c r="H2804" i="817"/>
  <c r="H2803" i="817"/>
  <c r="H2802" i="817"/>
  <c r="H2801" i="817"/>
  <c r="H2800" i="817"/>
  <c r="H2799" i="817"/>
  <c r="H2798" i="817"/>
  <c r="H2797" i="817"/>
  <c r="H2796" i="817"/>
  <c r="H2795" i="817"/>
  <c r="H2794" i="817"/>
  <c r="H2793" i="817"/>
  <c r="H2792" i="817"/>
  <c r="H2791" i="817"/>
  <c r="H2790" i="817"/>
  <c r="H2789" i="817"/>
  <c r="H2788" i="817"/>
  <c r="H2787" i="817"/>
  <c r="H2786" i="817"/>
  <c r="H2785" i="817"/>
  <c r="H2784" i="817"/>
  <c r="H2783" i="817"/>
  <c r="H2782" i="817"/>
  <c r="H2781" i="817"/>
  <c r="H2780" i="817"/>
  <c r="H2779" i="817"/>
  <c r="H2778" i="817"/>
  <c r="H2777" i="817"/>
  <c r="H2776" i="817"/>
  <c r="H2775" i="817"/>
  <c r="H2774" i="817"/>
  <c r="H2773" i="817"/>
  <c r="H2772" i="817"/>
  <c r="H2771" i="817"/>
  <c r="H2770" i="817"/>
  <c r="H2769" i="817"/>
  <c r="H2768" i="817"/>
  <c r="H2767" i="817"/>
  <c r="H2766" i="817"/>
  <c r="H2765" i="817"/>
  <c r="H2764" i="817"/>
  <c r="H2763" i="817"/>
  <c r="H2762" i="817"/>
  <c r="H2761" i="817"/>
  <c r="H2760" i="817"/>
  <c r="H2759" i="817"/>
  <c r="H2758" i="817"/>
  <c r="H2757" i="817"/>
  <c r="H2756" i="817"/>
  <c r="H2755" i="817"/>
  <c r="H2754" i="817"/>
  <c r="H2753" i="817"/>
  <c r="H2752" i="817"/>
  <c r="H2751" i="817"/>
  <c r="H2750" i="817"/>
  <c r="H2749" i="817"/>
  <c r="H2748" i="817"/>
  <c r="H2747" i="817"/>
  <c r="H2746" i="817"/>
  <c r="H2745" i="817"/>
  <c r="H2744" i="817"/>
  <c r="H2743" i="817"/>
  <c r="H2742" i="817"/>
  <c r="H2741" i="817"/>
  <c r="H2740" i="817"/>
  <c r="H2739" i="817"/>
  <c r="H2738" i="817"/>
  <c r="H2737" i="817"/>
  <c r="H2736" i="817"/>
  <c r="H2735" i="817"/>
  <c r="H2734" i="817"/>
  <c r="H2733" i="817"/>
  <c r="H2732" i="817"/>
  <c r="H2731" i="817"/>
  <c r="H2730" i="817"/>
  <c r="H2729" i="817"/>
  <c r="H2728" i="817"/>
  <c r="H2727" i="817"/>
  <c r="H2726" i="817"/>
  <c r="H2725" i="817"/>
  <c r="H2724" i="817"/>
  <c r="H2723" i="817"/>
  <c r="H2722" i="817"/>
  <c r="H2721" i="817"/>
  <c r="H2720" i="817"/>
  <c r="H2719" i="817"/>
  <c r="H2718" i="817"/>
  <c r="H2717" i="817"/>
  <c r="H2716" i="817"/>
  <c r="H2715" i="817"/>
  <c r="H2714" i="817"/>
  <c r="H2713" i="817"/>
  <c r="H2712" i="817"/>
  <c r="H2711" i="817"/>
  <c r="H2710" i="817"/>
  <c r="H2709" i="817"/>
  <c r="H2708" i="817"/>
  <c r="H2707" i="817"/>
  <c r="H2706" i="817"/>
  <c r="H2705" i="817"/>
  <c r="H2704" i="817"/>
  <c r="H2703" i="817"/>
  <c r="H2702" i="817"/>
  <c r="H2701" i="817"/>
  <c r="H2700" i="817"/>
  <c r="H2699" i="817"/>
  <c r="H2698" i="817"/>
  <c r="H2697" i="817"/>
  <c r="H2696" i="817"/>
  <c r="H2695" i="817"/>
  <c r="H2694" i="817"/>
  <c r="H2693" i="817"/>
  <c r="H2692" i="817"/>
  <c r="H2691" i="817"/>
  <c r="H2690" i="817"/>
  <c r="H2689" i="817"/>
  <c r="H2688" i="817"/>
  <c r="H2687" i="817"/>
  <c r="H2686" i="817"/>
  <c r="H2685" i="817"/>
  <c r="H2684" i="817"/>
  <c r="H2683" i="817"/>
  <c r="H2682" i="817"/>
  <c r="H2681" i="817"/>
  <c r="H2680" i="817"/>
  <c r="H2679" i="817"/>
  <c r="H2678" i="817"/>
  <c r="H2677" i="817"/>
  <c r="H2676" i="817"/>
  <c r="H2675" i="817"/>
  <c r="H2674" i="817"/>
  <c r="H2673" i="817"/>
  <c r="H2672" i="817"/>
  <c r="H2671" i="817"/>
  <c r="H2670" i="817"/>
  <c r="H2669" i="817"/>
  <c r="H2668" i="817"/>
  <c r="H2667" i="817"/>
  <c r="H2666" i="817"/>
  <c r="H2665" i="817"/>
  <c r="H2664" i="817"/>
  <c r="H2663" i="817"/>
  <c r="H2662" i="817"/>
  <c r="H2661" i="817"/>
  <c r="H2660" i="817"/>
  <c r="H2659" i="817"/>
  <c r="H2658" i="817"/>
  <c r="H2657" i="817"/>
  <c r="H2656" i="817"/>
  <c r="H2655" i="817"/>
  <c r="H2654" i="817"/>
  <c r="H2653" i="817"/>
  <c r="H2652" i="817"/>
  <c r="H2651" i="817"/>
  <c r="H2650" i="817"/>
  <c r="H2649" i="817"/>
  <c r="H2648" i="817"/>
  <c r="H2647" i="817"/>
  <c r="H2646" i="817"/>
  <c r="H2645" i="817"/>
  <c r="H2644" i="817"/>
  <c r="H2643" i="817"/>
  <c r="H2642" i="817"/>
  <c r="H2641" i="817"/>
  <c r="H2640" i="817"/>
  <c r="H2639" i="817"/>
  <c r="H2638" i="817"/>
  <c r="H2637" i="817"/>
  <c r="H2636" i="817"/>
  <c r="H2635" i="817"/>
  <c r="H2634" i="817"/>
  <c r="H2633" i="817"/>
  <c r="H2632" i="817"/>
  <c r="H2631" i="817"/>
  <c r="H2630" i="817"/>
  <c r="H2629" i="817"/>
  <c r="H2628" i="817"/>
  <c r="H2627" i="817"/>
  <c r="H2626" i="817"/>
  <c r="H2625" i="817"/>
  <c r="H2624" i="817"/>
  <c r="H2623" i="817"/>
  <c r="H2622" i="817"/>
  <c r="H2621" i="817"/>
  <c r="H2620" i="817"/>
  <c r="H2619" i="817"/>
  <c r="H2618" i="817"/>
  <c r="H2617" i="817"/>
  <c r="H2616" i="817"/>
  <c r="H2615" i="817"/>
  <c r="H2614" i="817"/>
  <c r="H2613" i="817"/>
  <c r="H2612" i="817"/>
  <c r="H2611" i="817"/>
  <c r="H2610" i="817"/>
  <c r="H2609" i="817"/>
  <c r="H2608" i="817"/>
  <c r="H2607" i="817"/>
  <c r="H2606" i="817"/>
  <c r="H2605" i="817"/>
  <c r="H2604" i="817"/>
  <c r="H2603" i="817"/>
  <c r="H2602" i="817"/>
  <c r="H2601" i="817"/>
  <c r="H2600" i="817"/>
  <c r="H2599" i="817"/>
  <c r="H2598" i="817"/>
  <c r="H2597" i="817"/>
  <c r="H2596" i="817"/>
  <c r="H2595" i="817"/>
  <c r="H2594" i="817"/>
  <c r="H2593" i="817"/>
  <c r="H2592" i="817"/>
  <c r="H2591" i="817"/>
  <c r="H2590" i="817"/>
  <c r="H2589" i="817"/>
  <c r="H2588" i="817"/>
  <c r="H2587" i="817"/>
  <c r="H2586" i="817"/>
  <c r="H2585" i="817"/>
  <c r="H2584" i="817"/>
  <c r="H2583" i="817"/>
  <c r="H2582" i="817"/>
  <c r="H2581" i="817"/>
  <c r="H2580" i="817"/>
  <c r="H2579" i="817"/>
  <c r="H2578" i="817"/>
  <c r="H2577" i="817"/>
  <c r="H2576" i="817"/>
  <c r="H2575" i="817"/>
  <c r="H2574" i="817"/>
  <c r="H2573" i="817"/>
  <c r="H2572" i="817"/>
  <c r="H2571" i="817"/>
  <c r="H2570" i="817"/>
  <c r="H2569" i="817"/>
  <c r="H2568" i="817"/>
  <c r="H2567" i="817"/>
  <c r="H2566" i="817"/>
  <c r="H2565" i="817"/>
  <c r="H2564" i="817"/>
  <c r="H2563" i="817"/>
  <c r="H2562" i="817"/>
  <c r="H2561" i="817"/>
  <c r="H2560" i="817"/>
  <c r="H2559" i="817"/>
  <c r="H2558" i="817"/>
  <c r="H2557" i="817"/>
  <c r="H2556" i="817"/>
  <c r="H2555" i="817"/>
  <c r="H2554" i="817"/>
  <c r="H2553" i="817"/>
  <c r="H2552" i="817"/>
  <c r="H2551" i="817"/>
  <c r="H2550" i="817"/>
  <c r="H2549" i="817"/>
  <c r="H2548" i="817"/>
  <c r="H2547" i="817"/>
  <c r="H2546" i="817"/>
  <c r="H2545" i="817"/>
  <c r="H2544" i="817"/>
  <c r="H2543" i="817"/>
  <c r="H2542" i="817"/>
  <c r="H2541" i="817"/>
  <c r="H2540" i="817"/>
  <c r="H2539" i="817"/>
  <c r="H2538" i="817"/>
  <c r="H2537" i="817"/>
  <c r="H2536" i="817"/>
  <c r="H2535" i="817"/>
  <c r="H2534" i="817"/>
  <c r="H2533" i="817"/>
  <c r="H2532" i="817"/>
  <c r="H2531" i="817"/>
  <c r="H2530" i="817"/>
  <c r="H2529" i="817"/>
  <c r="H2528" i="817"/>
  <c r="H2527" i="817"/>
  <c r="H2526" i="817"/>
  <c r="H2525" i="817"/>
  <c r="H2524" i="817"/>
  <c r="H2523" i="817"/>
  <c r="H2522" i="817"/>
  <c r="H2521" i="817"/>
  <c r="H2520" i="817"/>
  <c r="H2519" i="817"/>
  <c r="H2518" i="817"/>
  <c r="H2517" i="817"/>
  <c r="H2516" i="817"/>
  <c r="H2515" i="817"/>
  <c r="H2514" i="817"/>
  <c r="H2513" i="817"/>
  <c r="H2512" i="817"/>
  <c r="H2511" i="817"/>
  <c r="H2510" i="817"/>
  <c r="H2509" i="817"/>
  <c r="H2508" i="817"/>
  <c r="H2507" i="817"/>
  <c r="H2506" i="817"/>
  <c r="H2505" i="817"/>
  <c r="H2504" i="817"/>
  <c r="H2503" i="817"/>
  <c r="H2502" i="817"/>
  <c r="H2501" i="817"/>
  <c r="H2500" i="817"/>
  <c r="H2499" i="817"/>
  <c r="H2498" i="817"/>
  <c r="H2497" i="817"/>
  <c r="H2496" i="817"/>
  <c r="H2495" i="817"/>
  <c r="H2494" i="817"/>
  <c r="H2493" i="817"/>
  <c r="H2492" i="817"/>
  <c r="H2491" i="817"/>
  <c r="H2490" i="817"/>
  <c r="H2489" i="817"/>
  <c r="H2488" i="817"/>
  <c r="H2487" i="817"/>
  <c r="H2486" i="817"/>
  <c r="H2485" i="817"/>
  <c r="H2484" i="817"/>
  <c r="H2483" i="817"/>
  <c r="H2482" i="817"/>
  <c r="H2481" i="817"/>
  <c r="H2480" i="817"/>
  <c r="H2479" i="817"/>
  <c r="H2478" i="817"/>
  <c r="H2477" i="817"/>
  <c r="H2476" i="817"/>
  <c r="H2475" i="817"/>
  <c r="H2474" i="817"/>
  <c r="H2473" i="817"/>
  <c r="H2472" i="817"/>
  <c r="H2471" i="817"/>
  <c r="H2470" i="817"/>
  <c r="H2469" i="817"/>
  <c r="H2468" i="817"/>
  <c r="H2467" i="817"/>
  <c r="H2466" i="817"/>
  <c r="H2465" i="817"/>
  <c r="H2464" i="817"/>
  <c r="H2463" i="817"/>
  <c r="H2462" i="817"/>
  <c r="H2461" i="817"/>
  <c r="H2460" i="817"/>
  <c r="H2459" i="817"/>
  <c r="H2458" i="817"/>
  <c r="H2457" i="817"/>
  <c r="H2456" i="817"/>
  <c r="H2455" i="817"/>
  <c r="H2454" i="817"/>
  <c r="H2453" i="817"/>
  <c r="H2452" i="817"/>
  <c r="H2451" i="817"/>
  <c r="H2450" i="817"/>
  <c r="H2449" i="817"/>
  <c r="H2448" i="817"/>
  <c r="H2447" i="817"/>
  <c r="H2446" i="817"/>
  <c r="H2445" i="817"/>
  <c r="H2444" i="817"/>
  <c r="H2443" i="817"/>
  <c r="H2442" i="817"/>
  <c r="H2441" i="817"/>
  <c r="H2440" i="817"/>
  <c r="H2439" i="817"/>
  <c r="H2438" i="817"/>
  <c r="H2437" i="817"/>
  <c r="H2436" i="817"/>
  <c r="H2435" i="817"/>
  <c r="H2434" i="817"/>
  <c r="H2433" i="817"/>
  <c r="H2432" i="817"/>
  <c r="H2431" i="817"/>
  <c r="H2430" i="817"/>
  <c r="H2429" i="817"/>
  <c r="H2428" i="817"/>
  <c r="H2427" i="817"/>
  <c r="H2426" i="817"/>
  <c r="H2425" i="817"/>
  <c r="H2424" i="817"/>
  <c r="H2423" i="817"/>
  <c r="H2422" i="817"/>
  <c r="H2421" i="817"/>
  <c r="H2420" i="817"/>
  <c r="H2419" i="817"/>
  <c r="H2418" i="817"/>
  <c r="H2417" i="817"/>
  <c r="H2416" i="817"/>
  <c r="H2415" i="817"/>
  <c r="H2414" i="817"/>
  <c r="H2413" i="817"/>
  <c r="H2412" i="817"/>
  <c r="H2411" i="817"/>
  <c r="H2410" i="817"/>
  <c r="H2409" i="817"/>
  <c r="H2408" i="817"/>
  <c r="H2407" i="817"/>
  <c r="H2406" i="817"/>
  <c r="H2405" i="817"/>
  <c r="H2404" i="817"/>
  <c r="H2403" i="817"/>
  <c r="H2402" i="817"/>
  <c r="H2401" i="817"/>
  <c r="H2400" i="817"/>
  <c r="H2399" i="817"/>
  <c r="H2398" i="817"/>
  <c r="H2397" i="817"/>
  <c r="H2396" i="817"/>
  <c r="H2395" i="817"/>
  <c r="H2394" i="817"/>
  <c r="H2393" i="817"/>
  <c r="H2392" i="817"/>
  <c r="H2391" i="817"/>
  <c r="H2390" i="817"/>
  <c r="H2389" i="817"/>
  <c r="H2388" i="817"/>
  <c r="H2387" i="817"/>
  <c r="H2386" i="817"/>
  <c r="H2385" i="817"/>
  <c r="H2384" i="817"/>
  <c r="H2383" i="817"/>
  <c r="H2382" i="817"/>
  <c r="H2381" i="817"/>
  <c r="H2380" i="817"/>
  <c r="H2379" i="817"/>
  <c r="H2378" i="817"/>
  <c r="H2377" i="817"/>
  <c r="H2376" i="817"/>
  <c r="H2375" i="817"/>
  <c r="H2374" i="817"/>
  <c r="H2373" i="817"/>
  <c r="H2372" i="817"/>
  <c r="H2371" i="817"/>
  <c r="H2370" i="817"/>
  <c r="H2369" i="817"/>
  <c r="H2368" i="817"/>
  <c r="H2367" i="817"/>
  <c r="H2366" i="817"/>
  <c r="H2365" i="817"/>
  <c r="H2364" i="817"/>
  <c r="H2363" i="817"/>
  <c r="H2362" i="817"/>
  <c r="H2361" i="817"/>
  <c r="H2360" i="817"/>
  <c r="H2359" i="817"/>
  <c r="H2358" i="817"/>
  <c r="H2357" i="817"/>
  <c r="H2356" i="817"/>
  <c r="H2355" i="817"/>
  <c r="H2354" i="817"/>
  <c r="H2353" i="817"/>
  <c r="H2352" i="817"/>
  <c r="H2351" i="817"/>
  <c r="H2350" i="817"/>
  <c r="H2349" i="817"/>
  <c r="H2348" i="817"/>
  <c r="H2347" i="817"/>
  <c r="H2346" i="817"/>
  <c r="H2345" i="817"/>
  <c r="H2344" i="817"/>
  <c r="H2343" i="817"/>
  <c r="H2342" i="817"/>
  <c r="H2341" i="817"/>
  <c r="H2340" i="817"/>
  <c r="H2339" i="817"/>
  <c r="H2338" i="817"/>
  <c r="H2337" i="817"/>
  <c r="H2336" i="817"/>
  <c r="H2335" i="817"/>
  <c r="H2334" i="817"/>
  <c r="H2333" i="817"/>
  <c r="H2332" i="817"/>
  <c r="H2331" i="817"/>
  <c r="H2330" i="817"/>
  <c r="H2329" i="817"/>
  <c r="H2328" i="817"/>
  <c r="H2327" i="817"/>
  <c r="H2326" i="817"/>
  <c r="H2325" i="817"/>
  <c r="H2324" i="817"/>
  <c r="H2323" i="817"/>
  <c r="H2322" i="817"/>
  <c r="H2321" i="817"/>
  <c r="H2320" i="817"/>
  <c r="H2319" i="817"/>
  <c r="H2318" i="817"/>
  <c r="H2317" i="817"/>
  <c r="H2316" i="817"/>
  <c r="H2315" i="817"/>
  <c r="H2314" i="817"/>
  <c r="H2313" i="817"/>
  <c r="H2312" i="817"/>
  <c r="H2311" i="817"/>
  <c r="H2310" i="817"/>
  <c r="H2309" i="817"/>
  <c r="H2308" i="817"/>
  <c r="H2307" i="817"/>
  <c r="H2306" i="817"/>
  <c r="H2305" i="817"/>
  <c r="H2304" i="817"/>
  <c r="H2303" i="817"/>
  <c r="H2302" i="817"/>
  <c r="H2301" i="817"/>
  <c r="H2300" i="817"/>
  <c r="H2299" i="817"/>
  <c r="H2298" i="817"/>
  <c r="H2297" i="817"/>
  <c r="H2296" i="817"/>
  <c r="H2295" i="817"/>
  <c r="H2294" i="817"/>
  <c r="H2293" i="817"/>
  <c r="H2292" i="817"/>
  <c r="H2291" i="817"/>
  <c r="H2290" i="817"/>
  <c r="H2289" i="817"/>
  <c r="H2288" i="817"/>
  <c r="H2287" i="817"/>
  <c r="H2286" i="817"/>
  <c r="H2285" i="817"/>
  <c r="H2284" i="817"/>
  <c r="H2283" i="817"/>
  <c r="H2282" i="817"/>
  <c r="H2281" i="817"/>
  <c r="H2280" i="817"/>
  <c r="H2279" i="817"/>
  <c r="H2278" i="817"/>
  <c r="H2277" i="817"/>
  <c r="H2276" i="817"/>
  <c r="H2275" i="817"/>
  <c r="H2274" i="817"/>
  <c r="H2273" i="817"/>
  <c r="H2272" i="817"/>
  <c r="H2271" i="817"/>
  <c r="H2270" i="817"/>
  <c r="H2269" i="817"/>
  <c r="H2268" i="817"/>
  <c r="H2267" i="817"/>
  <c r="H2266" i="817"/>
  <c r="H2265" i="817"/>
  <c r="H2264" i="817"/>
  <c r="H2263" i="817"/>
  <c r="H2262" i="817"/>
  <c r="H2261" i="817"/>
  <c r="H2260" i="817"/>
  <c r="H2259" i="817"/>
  <c r="H2258" i="817"/>
  <c r="H2257" i="817"/>
  <c r="H2256" i="817"/>
  <c r="H2255" i="817"/>
  <c r="H2254" i="817"/>
  <c r="H2253" i="817"/>
  <c r="H2252" i="817"/>
  <c r="H2251" i="817"/>
  <c r="H2250" i="817"/>
  <c r="H2249" i="817"/>
  <c r="H2248" i="817"/>
  <c r="H2247" i="817"/>
  <c r="H2246" i="817"/>
  <c r="H2245" i="817"/>
  <c r="H2244" i="817"/>
  <c r="H2243" i="817"/>
  <c r="H2242" i="817"/>
  <c r="H2241" i="817"/>
  <c r="H2240" i="817"/>
  <c r="H2239" i="817"/>
  <c r="H2238" i="817"/>
  <c r="H2237" i="817"/>
  <c r="H2236" i="817"/>
  <c r="H2235" i="817"/>
  <c r="H2234" i="817"/>
  <c r="H2233" i="817"/>
  <c r="H2232" i="817"/>
  <c r="H2231" i="817"/>
  <c r="H2230" i="817"/>
  <c r="H2229" i="817"/>
  <c r="H2228" i="817"/>
  <c r="H2227" i="817"/>
  <c r="H2226" i="817"/>
  <c r="H2225" i="817"/>
  <c r="H2224" i="817"/>
  <c r="H2223" i="817"/>
  <c r="H2222" i="817"/>
  <c r="H2221" i="817"/>
  <c r="H2220" i="817"/>
  <c r="H2219" i="817"/>
  <c r="H2218" i="817"/>
  <c r="H2217" i="817"/>
  <c r="H2216" i="817"/>
  <c r="H2215" i="817"/>
  <c r="H2214" i="817"/>
  <c r="H2213" i="817"/>
  <c r="H2212" i="817"/>
  <c r="H2211" i="817"/>
  <c r="H2210" i="817"/>
  <c r="H2209" i="817"/>
  <c r="H2208" i="817"/>
  <c r="H2207" i="817"/>
  <c r="H2206" i="817"/>
  <c r="H2205" i="817"/>
  <c r="H2204" i="817"/>
  <c r="H2203" i="817"/>
  <c r="H2202" i="817"/>
  <c r="H2201" i="817"/>
  <c r="H2200" i="817"/>
  <c r="H2199" i="817"/>
  <c r="H2198" i="817"/>
  <c r="H2197" i="817"/>
  <c r="H2196" i="817"/>
  <c r="H2195" i="817"/>
  <c r="H2194" i="817"/>
  <c r="H2193" i="817"/>
  <c r="H2192" i="817"/>
  <c r="H2191" i="817"/>
  <c r="H2190" i="817"/>
  <c r="H2189" i="817"/>
  <c r="H2188" i="817"/>
  <c r="H2187" i="817"/>
  <c r="H2186" i="817"/>
  <c r="H2185" i="817"/>
  <c r="H2184" i="817"/>
  <c r="H2183" i="817"/>
  <c r="H2182" i="817"/>
  <c r="H2181" i="817"/>
  <c r="H2180" i="817"/>
  <c r="H2179" i="817"/>
  <c r="H2178" i="817"/>
  <c r="H2177" i="817"/>
  <c r="H2176" i="817"/>
  <c r="H2175" i="817"/>
  <c r="H2174" i="817"/>
  <c r="H2173" i="817"/>
  <c r="H2172" i="817"/>
  <c r="H2171" i="817"/>
  <c r="H2170" i="817"/>
  <c r="H2169" i="817"/>
  <c r="H2168" i="817"/>
  <c r="H2167" i="817"/>
  <c r="H2166" i="817"/>
  <c r="H2165" i="817"/>
  <c r="H2164" i="817"/>
  <c r="H2163" i="817"/>
  <c r="H2162" i="817"/>
  <c r="H2161" i="817"/>
  <c r="H2160" i="817"/>
  <c r="H2159" i="817"/>
  <c r="H2158" i="817"/>
  <c r="H2157" i="817"/>
  <c r="H2156" i="817"/>
  <c r="H2155" i="817"/>
  <c r="H2154" i="817"/>
  <c r="H2153" i="817"/>
  <c r="H2152" i="817"/>
  <c r="H2151" i="817"/>
  <c r="H2150" i="817"/>
  <c r="H2149" i="817"/>
  <c r="H2148" i="817"/>
  <c r="H2147" i="817"/>
  <c r="H2146" i="817"/>
  <c r="H2145" i="817"/>
  <c r="H2144" i="817"/>
  <c r="H2143" i="817"/>
  <c r="H2142" i="817"/>
  <c r="H2141" i="817"/>
  <c r="H2140" i="817"/>
  <c r="H2139" i="817"/>
  <c r="H2138" i="817"/>
  <c r="H2137" i="817"/>
  <c r="H2136" i="817"/>
  <c r="H2135" i="817"/>
  <c r="H2134" i="817"/>
  <c r="H2133" i="817"/>
  <c r="H2132" i="817"/>
  <c r="H2131" i="817"/>
  <c r="H2130" i="817"/>
  <c r="H2129" i="817"/>
  <c r="H2128" i="817"/>
  <c r="H2127" i="817"/>
  <c r="H2126" i="817"/>
  <c r="H2125" i="817"/>
  <c r="H2124" i="817"/>
  <c r="H2123" i="817"/>
  <c r="H2122" i="817"/>
  <c r="H2121" i="817"/>
  <c r="H2120" i="817"/>
  <c r="H2119" i="817"/>
  <c r="H2118" i="817"/>
  <c r="H2117" i="817"/>
  <c r="H2116" i="817"/>
  <c r="H2115" i="817"/>
  <c r="H2114" i="817"/>
  <c r="H2113" i="817"/>
  <c r="H2112" i="817"/>
  <c r="H2111" i="817"/>
  <c r="H2110" i="817"/>
  <c r="H2109" i="817"/>
  <c r="H2108" i="817"/>
  <c r="H2107" i="817"/>
  <c r="H2106" i="817"/>
  <c r="H2105" i="817"/>
  <c r="H2104" i="817"/>
  <c r="H2103" i="817"/>
  <c r="H2102" i="817"/>
  <c r="H2101" i="817"/>
  <c r="H2100" i="817"/>
  <c r="H2099" i="817"/>
  <c r="H2098" i="817"/>
  <c r="H2097" i="817"/>
  <c r="H2096" i="817"/>
  <c r="H2095" i="817"/>
  <c r="H2094" i="817"/>
  <c r="H2093" i="817"/>
  <c r="H2092" i="817"/>
  <c r="H2091" i="817"/>
  <c r="H2090" i="817"/>
  <c r="H2089" i="817"/>
  <c r="H2088" i="817"/>
  <c r="H2087" i="817"/>
  <c r="H2086" i="817"/>
  <c r="H2085" i="817"/>
  <c r="H2084" i="817"/>
  <c r="H2083" i="817"/>
  <c r="H2082" i="817"/>
  <c r="H2081" i="817"/>
  <c r="H2080" i="817"/>
  <c r="H2079" i="817"/>
  <c r="H2078" i="817"/>
  <c r="H2077" i="817"/>
  <c r="H2076" i="817"/>
  <c r="H2075" i="817"/>
  <c r="H2074" i="817"/>
  <c r="H2073" i="817"/>
  <c r="H2072" i="817"/>
  <c r="H2071" i="817"/>
  <c r="H2070" i="817"/>
  <c r="H2069" i="817"/>
  <c r="H2068" i="817"/>
  <c r="H2067" i="817"/>
  <c r="H2066" i="817"/>
  <c r="H2065" i="817"/>
  <c r="H2064" i="817"/>
  <c r="H2063" i="817"/>
  <c r="H2062" i="817"/>
  <c r="H2061" i="817"/>
  <c r="H2060" i="817"/>
  <c r="H2059" i="817"/>
  <c r="H2058" i="817"/>
  <c r="H2057" i="817"/>
  <c r="H2056" i="817"/>
  <c r="H2055" i="817"/>
  <c r="H2054" i="817"/>
  <c r="H2053" i="817"/>
  <c r="H2052" i="817"/>
  <c r="H2051" i="817"/>
  <c r="H2050" i="817"/>
  <c r="H2049" i="817"/>
  <c r="H2048" i="817"/>
  <c r="H2047" i="817"/>
  <c r="H2046" i="817"/>
  <c r="H2045" i="817"/>
  <c r="H2044" i="817"/>
  <c r="H2043" i="817"/>
  <c r="H2042" i="817"/>
  <c r="H2041" i="817"/>
  <c r="H2040" i="817"/>
  <c r="H2039" i="817"/>
  <c r="H2038" i="817"/>
  <c r="H2037" i="817"/>
  <c r="H2036" i="817"/>
  <c r="H2035" i="817"/>
  <c r="H2034" i="817"/>
  <c r="H2033" i="817"/>
  <c r="H2032" i="817"/>
  <c r="H2031" i="817"/>
  <c r="H2030" i="817"/>
  <c r="H2029" i="817"/>
  <c r="H2028" i="817"/>
  <c r="H2027" i="817"/>
  <c r="H2026" i="817"/>
  <c r="H2025" i="817"/>
  <c r="H2024" i="817"/>
  <c r="H2023" i="817"/>
  <c r="H2022" i="817"/>
  <c r="H2021" i="817"/>
  <c r="H2020" i="817"/>
  <c r="H2019" i="817"/>
  <c r="H2018" i="817"/>
  <c r="H2017" i="817"/>
  <c r="H2016" i="817"/>
  <c r="H2015" i="817"/>
  <c r="H2014" i="817"/>
  <c r="H2013" i="817"/>
  <c r="H2012" i="817"/>
  <c r="H2011" i="817"/>
  <c r="H2010" i="817"/>
  <c r="H2009" i="817"/>
  <c r="H2008" i="817"/>
  <c r="H2007" i="817"/>
  <c r="H2006" i="817"/>
  <c r="H2005" i="817"/>
  <c r="H2004" i="817"/>
  <c r="H2003" i="817"/>
  <c r="H2002" i="817"/>
  <c r="H2001" i="817"/>
  <c r="H2000" i="817"/>
  <c r="H1999" i="817"/>
  <c r="H1998" i="817"/>
  <c r="H1997" i="817"/>
  <c r="H1996" i="817"/>
  <c r="H1995" i="817"/>
  <c r="H1994" i="817"/>
  <c r="H1993" i="817"/>
  <c r="H1992" i="817"/>
  <c r="H1991" i="817"/>
  <c r="H1990" i="817"/>
  <c r="H1989" i="817"/>
  <c r="H1988" i="817"/>
  <c r="H1987" i="817"/>
  <c r="H1986" i="817"/>
  <c r="H1985" i="817"/>
  <c r="H1984" i="817"/>
  <c r="H1983" i="817"/>
  <c r="H1982" i="817"/>
  <c r="H1981" i="817"/>
  <c r="H1980" i="817"/>
  <c r="H1979" i="817"/>
  <c r="H1978" i="817"/>
  <c r="H1977" i="817"/>
  <c r="H1976" i="817"/>
  <c r="H1975" i="817"/>
  <c r="H1974" i="817"/>
  <c r="H1973" i="817"/>
  <c r="H1972" i="817"/>
  <c r="H1971" i="817"/>
  <c r="H1970" i="817"/>
  <c r="H1969" i="817"/>
  <c r="H1968" i="817"/>
  <c r="H1967" i="817"/>
  <c r="H1966" i="817"/>
  <c r="H1965" i="817"/>
  <c r="H1964" i="817"/>
  <c r="H1963" i="817"/>
  <c r="H1962" i="817"/>
  <c r="H1961" i="817"/>
  <c r="H1960" i="817"/>
  <c r="H1959" i="817"/>
  <c r="H1958" i="817"/>
  <c r="H1957" i="817"/>
  <c r="H1956" i="817"/>
  <c r="H1955" i="817"/>
  <c r="H1954" i="817"/>
  <c r="H1953" i="817"/>
  <c r="H1952" i="817"/>
  <c r="H1951" i="817"/>
  <c r="H1950" i="817"/>
  <c r="H1949" i="817"/>
  <c r="H1948" i="817"/>
  <c r="H1947" i="817"/>
  <c r="H1946" i="817"/>
  <c r="H1945" i="817"/>
  <c r="H1944" i="817"/>
  <c r="H1943" i="817"/>
  <c r="H1942" i="817"/>
  <c r="H1941" i="817"/>
  <c r="H1940" i="817"/>
  <c r="H1939" i="817"/>
  <c r="H1938" i="817"/>
  <c r="H1937" i="817"/>
  <c r="H1936" i="817"/>
  <c r="H1935" i="817"/>
  <c r="H1934" i="817"/>
  <c r="H1933" i="817"/>
  <c r="H1932" i="817"/>
  <c r="H1931" i="817"/>
  <c r="H1930" i="817"/>
  <c r="H1929" i="817"/>
  <c r="H1928" i="817"/>
  <c r="H1927" i="817"/>
  <c r="H1926" i="817"/>
  <c r="H1925" i="817"/>
  <c r="H1924" i="817"/>
  <c r="H1923" i="817"/>
  <c r="H1922" i="817"/>
  <c r="H1921" i="817"/>
  <c r="H1920" i="817"/>
  <c r="H1919" i="817"/>
  <c r="H1918" i="817"/>
  <c r="H1917" i="817"/>
  <c r="H1916" i="817"/>
  <c r="H1915" i="817"/>
  <c r="H1914" i="817"/>
  <c r="H1913" i="817"/>
  <c r="H1912" i="817"/>
  <c r="H1911" i="817"/>
  <c r="H1910" i="817"/>
  <c r="H1909" i="817"/>
  <c r="H1908" i="817"/>
  <c r="H1907" i="817"/>
  <c r="H1906" i="817"/>
  <c r="H1905" i="817"/>
  <c r="H1904" i="817"/>
  <c r="H1903" i="817"/>
  <c r="H1902" i="817"/>
  <c r="H1901" i="817"/>
  <c r="H1900" i="817"/>
  <c r="H1899" i="817"/>
  <c r="H1898" i="817"/>
  <c r="H1897" i="817"/>
  <c r="H1896" i="817"/>
  <c r="H1895" i="817"/>
  <c r="H1894" i="817"/>
  <c r="H1893" i="817"/>
  <c r="H1892" i="817"/>
  <c r="H1891" i="817"/>
  <c r="H1890" i="817"/>
  <c r="H1889" i="817"/>
  <c r="H1888" i="817"/>
  <c r="H1887" i="817"/>
  <c r="H1886" i="817"/>
  <c r="H1885" i="817"/>
  <c r="H1884" i="817"/>
  <c r="H1883" i="817"/>
  <c r="H1882" i="817"/>
  <c r="H1881" i="817"/>
  <c r="H1880" i="817"/>
  <c r="H1879" i="817"/>
  <c r="H1878" i="817"/>
  <c r="H1877" i="817"/>
  <c r="H1876" i="817"/>
  <c r="H1875" i="817"/>
  <c r="H1874" i="817"/>
  <c r="H1873" i="817"/>
  <c r="H1872" i="817"/>
  <c r="H1871" i="817"/>
  <c r="H1870" i="817"/>
  <c r="H1869" i="817"/>
  <c r="H1868" i="817"/>
  <c r="H1867" i="817"/>
  <c r="H1866" i="817"/>
  <c r="H1865" i="817"/>
  <c r="H1864" i="817"/>
  <c r="H1863" i="817"/>
  <c r="H1862" i="817"/>
  <c r="H1861" i="817"/>
  <c r="H1860" i="817"/>
  <c r="H1859" i="817"/>
  <c r="H1858" i="817"/>
  <c r="H1857" i="817"/>
  <c r="H1856" i="817"/>
  <c r="H1855" i="817"/>
  <c r="H1854" i="817"/>
  <c r="H1853" i="817"/>
  <c r="H1852" i="817"/>
  <c r="H1851" i="817"/>
  <c r="H1850" i="817"/>
  <c r="H1849" i="817"/>
  <c r="H1848" i="817"/>
  <c r="H1847" i="817"/>
  <c r="H1846" i="817"/>
  <c r="H1845" i="817"/>
  <c r="H1844" i="817"/>
  <c r="H1843" i="817"/>
  <c r="H1842" i="817"/>
  <c r="H1841" i="817"/>
  <c r="H1840" i="817"/>
  <c r="H1839" i="817"/>
  <c r="H1838" i="817"/>
  <c r="H1837" i="817"/>
  <c r="H1836" i="817"/>
  <c r="H1835" i="817"/>
  <c r="H1834" i="817"/>
  <c r="H1833" i="817"/>
  <c r="H1832" i="817"/>
  <c r="H1831" i="817"/>
  <c r="H1830" i="817"/>
  <c r="H1829" i="817"/>
  <c r="H1828" i="817"/>
  <c r="H1827" i="817"/>
  <c r="H1826" i="817"/>
  <c r="H1825" i="817"/>
  <c r="H1824" i="817"/>
  <c r="H1823" i="817"/>
  <c r="H1822" i="817"/>
  <c r="H1821" i="817"/>
  <c r="H1820" i="817"/>
  <c r="H1819" i="817"/>
  <c r="H1818" i="817"/>
  <c r="H1817" i="817"/>
  <c r="H1816" i="817"/>
  <c r="H1815" i="817"/>
  <c r="H1814" i="817"/>
  <c r="H1813" i="817"/>
  <c r="H1812" i="817"/>
  <c r="H1811" i="817"/>
  <c r="H1810" i="817"/>
  <c r="H1809" i="817"/>
  <c r="H1808" i="817"/>
  <c r="H1807" i="817"/>
  <c r="H1806" i="817"/>
  <c r="H1805" i="817"/>
  <c r="H1804" i="817"/>
  <c r="H1803" i="817"/>
  <c r="H1802" i="817"/>
  <c r="H1801" i="817"/>
  <c r="H1800" i="817"/>
  <c r="H1799" i="817"/>
  <c r="H1798" i="817"/>
  <c r="H1797" i="817"/>
  <c r="H1796" i="817"/>
  <c r="H1795" i="817"/>
  <c r="H1794" i="817"/>
  <c r="H1793" i="817"/>
  <c r="H1792" i="817"/>
  <c r="H1791" i="817"/>
  <c r="H1790" i="817"/>
  <c r="H1789" i="817"/>
  <c r="H1788" i="817"/>
  <c r="H1787" i="817"/>
  <c r="H1786" i="817"/>
  <c r="H1785" i="817"/>
  <c r="H1784" i="817"/>
  <c r="H1783" i="817"/>
  <c r="H1782" i="817"/>
  <c r="H1781" i="817"/>
  <c r="H1780" i="817"/>
  <c r="H1779" i="817"/>
  <c r="H1778" i="817"/>
  <c r="H1777" i="817"/>
  <c r="H1776" i="817"/>
  <c r="H1775" i="817"/>
  <c r="H1774" i="817"/>
  <c r="H1773" i="817"/>
  <c r="H1772" i="817"/>
  <c r="H1771" i="817"/>
  <c r="H1770" i="817"/>
  <c r="H1769" i="817"/>
  <c r="H1768" i="817"/>
  <c r="H1767" i="817"/>
  <c r="H1766" i="817"/>
  <c r="H1765" i="817"/>
  <c r="H1764" i="817"/>
  <c r="H1763" i="817"/>
  <c r="H1762" i="817"/>
  <c r="H1761" i="817"/>
  <c r="H1760" i="817"/>
  <c r="H1759" i="817"/>
  <c r="H1758" i="817"/>
  <c r="H1757" i="817"/>
  <c r="H1756" i="817"/>
  <c r="H1755" i="817"/>
  <c r="H1754" i="817"/>
  <c r="H1753" i="817"/>
  <c r="H1752" i="817"/>
  <c r="H1751" i="817"/>
  <c r="H1750" i="817"/>
  <c r="H1749" i="817"/>
  <c r="H1748" i="817"/>
  <c r="H1747" i="817"/>
  <c r="H1746" i="817"/>
  <c r="H1745" i="817"/>
  <c r="H1744" i="817"/>
  <c r="H1743" i="817"/>
  <c r="H1742" i="817"/>
  <c r="H1741" i="817"/>
  <c r="H1740" i="817"/>
  <c r="H1739" i="817"/>
  <c r="H1738" i="817"/>
  <c r="H1737" i="817"/>
  <c r="H1736" i="817"/>
  <c r="H1735" i="817"/>
  <c r="H1734" i="817"/>
  <c r="H1733" i="817"/>
  <c r="H1732" i="817"/>
  <c r="H1731" i="817"/>
  <c r="H1730" i="817"/>
  <c r="H1729" i="817"/>
  <c r="H1728" i="817"/>
  <c r="H1727" i="817"/>
  <c r="H1726" i="817"/>
  <c r="H1725" i="817"/>
  <c r="H1724" i="817"/>
  <c r="H1723" i="817"/>
  <c r="H1722" i="817"/>
  <c r="H1721" i="817"/>
  <c r="H1720" i="817"/>
  <c r="H1719" i="817"/>
  <c r="H1718" i="817"/>
  <c r="H1717" i="817"/>
  <c r="H1716" i="817"/>
  <c r="H1715" i="817"/>
  <c r="H1714" i="817"/>
  <c r="H1713" i="817"/>
  <c r="H1712" i="817"/>
  <c r="H1711" i="817"/>
  <c r="H1710" i="817"/>
  <c r="H1709" i="817"/>
  <c r="H1708" i="817"/>
  <c r="H1707" i="817"/>
  <c r="H1706" i="817"/>
  <c r="H1705" i="817"/>
  <c r="H1704" i="817"/>
  <c r="H1703" i="817"/>
  <c r="H1702" i="817"/>
  <c r="H1701" i="817"/>
  <c r="H1700" i="817"/>
  <c r="H1699" i="817"/>
  <c r="H1698" i="817"/>
  <c r="H1697" i="817"/>
  <c r="H1696" i="817"/>
  <c r="H1695" i="817"/>
  <c r="H1694" i="817"/>
  <c r="H1693" i="817"/>
  <c r="H1692" i="817"/>
  <c r="H1691" i="817"/>
  <c r="H1690" i="817"/>
  <c r="H1689" i="817"/>
  <c r="H1688" i="817"/>
  <c r="H1687" i="817"/>
  <c r="H1686" i="817"/>
  <c r="H1685" i="817"/>
  <c r="H1684" i="817"/>
  <c r="H1683" i="817"/>
  <c r="H1682" i="817"/>
  <c r="H1681" i="817"/>
  <c r="H1680" i="817"/>
  <c r="H1679" i="817"/>
  <c r="H1678" i="817"/>
  <c r="H1677" i="817"/>
  <c r="H1676" i="817"/>
  <c r="H1675" i="817"/>
  <c r="H1674" i="817"/>
  <c r="H1673" i="817"/>
  <c r="H1672" i="817"/>
  <c r="H1671" i="817"/>
  <c r="H1670" i="817"/>
  <c r="H1669" i="817"/>
  <c r="H1668" i="817"/>
  <c r="H1667" i="817"/>
  <c r="H1666" i="817"/>
  <c r="H1665" i="817"/>
  <c r="H1664" i="817"/>
  <c r="H1663" i="817"/>
  <c r="H1662" i="817"/>
  <c r="H1661" i="817"/>
  <c r="H1660" i="817"/>
  <c r="H1659" i="817"/>
  <c r="H1658" i="817"/>
  <c r="H1657" i="817"/>
  <c r="H1656" i="817"/>
  <c r="H1655" i="817"/>
  <c r="H1654" i="817"/>
  <c r="H1653" i="817"/>
  <c r="H1652" i="817"/>
  <c r="H1651" i="817"/>
  <c r="H1650" i="817"/>
  <c r="H1649" i="817"/>
  <c r="H1648" i="817"/>
  <c r="H1647" i="817"/>
  <c r="H1646" i="817"/>
  <c r="H1645" i="817"/>
  <c r="H1644" i="817"/>
  <c r="H1643" i="817"/>
  <c r="H1642" i="817"/>
  <c r="H1641" i="817"/>
  <c r="H1640" i="817"/>
  <c r="H1639" i="817"/>
  <c r="H1638" i="817"/>
  <c r="H1637" i="817"/>
  <c r="H1636" i="817"/>
  <c r="H1635" i="817"/>
  <c r="H1634" i="817"/>
  <c r="H1633" i="817"/>
  <c r="H1632" i="817"/>
  <c r="H1631" i="817"/>
  <c r="H1630" i="817"/>
  <c r="H1629" i="817"/>
  <c r="H1628" i="817"/>
  <c r="H1627" i="817"/>
  <c r="H1626" i="817"/>
  <c r="H1625" i="817"/>
  <c r="H1624" i="817"/>
  <c r="H1623" i="817"/>
  <c r="H1622" i="817"/>
  <c r="H1621" i="817"/>
  <c r="H1620" i="817"/>
  <c r="H1619" i="817"/>
  <c r="H1618" i="817"/>
  <c r="H1617" i="817"/>
  <c r="H1616" i="817"/>
  <c r="H1615" i="817"/>
  <c r="H1614" i="817"/>
  <c r="H1613" i="817"/>
  <c r="H1612" i="817"/>
  <c r="H1611" i="817"/>
  <c r="H1610" i="817"/>
  <c r="H1609" i="817"/>
  <c r="H1608" i="817"/>
  <c r="H1607" i="817"/>
  <c r="H1606" i="817"/>
  <c r="H1605" i="817"/>
  <c r="H1604" i="817"/>
  <c r="H1603" i="817"/>
  <c r="H1602" i="817"/>
  <c r="H1601" i="817"/>
  <c r="H1600" i="817"/>
  <c r="H1599" i="817"/>
  <c r="H1598" i="817"/>
  <c r="H1597" i="817"/>
  <c r="H1596" i="817"/>
  <c r="H1595" i="817"/>
  <c r="H1594" i="817"/>
  <c r="H1593" i="817"/>
  <c r="H1592" i="817"/>
  <c r="H1591" i="817"/>
  <c r="H1590" i="817"/>
  <c r="H1589" i="817"/>
  <c r="H1588" i="817"/>
  <c r="H1587" i="817"/>
  <c r="H1586" i="817"/>
  <c r="H1585" i="817"/>
  <c r="H1584" i="817"/>
  <c r="H1583" i="817"/>
  <c r="H1582" i="817"/>
  <c r="H1581" i="817"/>
  <c r="H1580" i="817"/>
  <c r="H1579" i="817"/>
  <c r="H1578" i="817"/>
  <c r="H1577" i="817"/>
  <c r="H1576" i="817"/>
  <c r="H1575" i="817"/>
  <c r="H1574" i="817"/>
  <c r="H1573" i="817"/>
  <c r="H1572" i="817"/>
  <c r="H1571" i="817"/>
  <c r="H1570" i="817"/>
  <c r="H1569" i="817"/>
  <c r="H1568" i="817"/>
  <c r="H1567" i="817"/>
  <c r="H1566" i="817"/>
  <c r="H1565" i="817"/>
  <c r="H1564" i="817"/>
  <c r="H1563" i="817"/>
  <c r="H1562" i="817"/>
  <c r="H1561" i="817"/>
  <c r="H1560" i="817"/>
  <c r="H1559" i="817"/>
  <c r="H1558" i="817"/>
  <c r="H1557" i="817"/>
  <c r="H1556" i="817"/>
  <c r="H1555" i="817"/>
  <c r="H1554" i="817"/>
  <c r="H1553" i="817"/>
  <c r="H1552" i="817"/>
  <c r="H1551" i="817"/>
  <c r="H1550" i="817"/>
  <c r="H1549" i="817"/>
  <c r="H1548" i="817"/>
  <c r="H1547" i="817"/>
  <c r="H1546" i="817"/>
  <c r="H1545" i="817"/>
  <c r="H1544" i="817"/>
  <c r="H1543" i="817"/>
  <c r="H1542" i="817"/>
  <c r="H1541" i="817"/>
  <c r="H1540" i="817"/>
  <c r="H1539" i="817"/>
  <c r="H1538" i="817"/>
  <c r="H1537" i="817"/>
  <c r="H1536" i="817"/>
  <c r="H1535" i="817"/>
  <c r="H1534" i="817"/>
  <c r="H1533" i="817"/>
  <c r="H1532" i="817"/>
  <c r="H1531" i="817"/>
  <c r="H1530" i="817"/>
  <c r="H1529" i="817"/>
  <c r="H1528" i="817"/>
  <c r="H1527" i="817"/>
  <c r="H1526" i="817"/>
  <c r="H1525" i="817"/>
  <c r="H1524" i="817"/>
  <c r="H1523" i="817"/>
  <c r="H1522" i="817"/>
  <c r="H1521" i="817"/>
  <c r="H1520" i="817"/>
  <c r="H1519" i="817"/>
  <c r="H1518" i="817"/>
  <c r="H1517" i="817"/>
  <c r="H1516" i="817"/>
  <c r="H1515" i="817"/>
  <c r="H1514" i="817"/>
  <c r="H1513" i="817"/>
  <c r="H1512" i="817"/>
  <c r="H1511" i="817"/>
  <c r="H1510" i="817"/>
  <c r="H1509" i="817"/>
  <c r="H1508" i="817"/>
  <c r="H1507" i="817"/>
  <c r="H1506" i="817"/>
  <c r="H1505" i="817"/>
  <c r="H1504" i="817"/>
  <c r="H1503" i="817"/>
  <c r="H1502" i="817"/>
  <c r="H1501" i="817"/>
  <c r="H1500" i="817"/>
  <c r="H1499" i="817"/>
  <c r="H1498" i="817"/>
  <c r="H1497" i="817"/>
  <c r="H1496" i="817"/>
  <c r="H1495" i="817"/>
  <c r="H1494" i="817"/>
  <c r="H1493" i="817"/>
  <c r="H1492" i="817"/>
  <c r="H1491" i="817"/>
  <c r="H1490" i="817"/>
  <c r="H1489" i="817"/>
  <c r="H1488" i="817"/>
  <c r="H1487" i="817"/>
  <c r="H1486" i="817"/>
  <c r="H1485" i="817"/>
  <c r="H1484" i="817"/>
  <c r="H1483" i="817"/>
  <c r="H1482" i="817"/>
  <c r="H1481" i="817"/>
  <c r="H1480" i="817"/>
  <c r="H1479" i="817"/>
  <c r="H1478" i="817"/>
  <c r="H1477" i="817"/>
  <c r="H1476" i="817"/>
  <c r="H1475" i="817"/>
  <c r="H1474" i="817"/>
  <c r="H1473" i="817"/>
  <c r="H1472" i="817"/>
  <c r="H1471" i="817"/>
  <c r="H1470" i="817"/>
  <c r="H1469" i="817"/>
  <c r="H1468" i="817"/>
  <c r="H1467" i="817"/>
  <c r="H1466" i="817"/>
  <c r="H1465" i="817"/>
  <c r="H1464" i="817"/>
  <c r="H1463" i="817"/>
  <c r="H1462" i="817"/>
  <c r="H1461" i="817"/>
  <c r="H1460" i="817"/>
  <c r="H1459" i="817"/>
  <c r="H1458" i="817"/>
  <c r="H1457" i="817"/>
  <c r="H1456" i="817"/>
  <c r="H1455" i="817"/>
  <c r="H1454" i="817"/>
  <c r="H1453" i="817"/>
  <c r="H1452" i="817"/>
  <c r="H1451" i="817"/>
  <c r="H1450" i="817"/>
  <c r="H1449" i="817"/>
  <c r="H1448" i="817"/>
  <c r="H1447" i="817"/>
  <c r="H1446" i="817"/>
  <c r="H1445" i="817"/>
  <c r="H1444" i="817"/>
  <c r="H1443" i="817"/>
  <c r="H1442" i="817"/>
  <c r="H1441" i="817"/>
  <c r="H1440" i="817"/>
  <c r="H1439" i="817"/>
  <c r="H1438" i="817"/>
  <c r="H1437" i="817"/>
  <c r="H1436" i="817"/>
  <c r="H1435" i="817"/>
  <c r="H1434" i="817"/>
  <c r="H1433" i="817"/>
  <c r="H1432" i="817"/>
  <c r="H1431" i="817"/>
  <c r="H1430" i="817"/>
  <c r="H1429" i="817"/>
  <c r="H1428" i="817"/>
  <c r="H1427" i="817"/>
  <c r="H1426" i="817"/>
  <c r="H1425" i="817"/>
  <c r="H1424" i="817"/>
  <c r="H1423" i="817"/>
  <c r="H1422" i="817"/>
  <c r="H1421" i="817"/>
  <c r="H1420" i="817"/>
  <c r="H1419" i="817"/>
  <c r="H1418" i="817"/>
  <c r="H1417" i="817"/>
  <c r="H1416" i="817"/>
  <c r="H1415" i="817"/>
  <c r="H1414" i="817"/>
  <c r="H1413" i="817"/>
  <c r="H1412" i="817"/>
  <c r="H1411" i="817"/>
  <c r="H1410" i="817"/>
  <c r="H1409" i="817"/>
  <c r="H1408" i="817"/>
  <c r="H1407" i="817"/>
  <c r="H1406" i="817"/>
  <c r="H1405" i="817"/>
  <c r="H1404" i="817"/>
  <c r="H1403" i="817"/>
  <c r="H1402" i="817"/>
  <c r="H1401" i="817"/>
  <c r="H1400" i="817"/>
  <c r="H1399" i="817"/>
  <c r="H1398" i="817"/>
  <c r="H1397" i="817"/>
  <c r="H1396" i="817"/>
  <c r="H1395" i="817"/>
  <c r="H1394" i="817"/>
  <c r="H1393" i="817"/>
  <c r="H1392" i="817"/>
  <c r="H1391" i="817"/>
  <c r="H1390" i="817"/>
  <c r="H1389" i="817"/>
  <c r="H1388" i="817"/>
  <c r="H1387" i="817"/>
  <c r="H1386" i="817"/>
  <c r="H1385" i="817"/>
  <c r="H1384" i="817"/>
  <c r="H1383" i="817"/>
  <c r="H1382" i="817"/>
  <c r="H1381" i="817"/>
  <c r="H1380" i="817"/>
  <c r="H1379" i="817"/>
  <c r="H1378" i="817"/>
  <c r="H1377" i="817"/>
  <c r="H1376" i="817"/>
  <c r="H1375" i="817"/>
  <c r="H1374" i="817"/>
  <c r="H1373" i="817"/>
  <c r="H1372" i="817"/>
  <c r="H1371" i="817"/>
  <c r="H1370" i="817"/>
  <c r="H1369" i="817"/>
  <c r="H1368" i="817"/>
  <c r="H1367" i="817"/>
  <c r="H1366" i="817"/>
  <c r="H1365" i="817"/>
  <c r="H1364" i="817"/>
  <c r="H1363" i="817"/>
  <c r="H1362" i="817"/>
  <c r="H1361" i="817"/>
  <c r="H1360" i="817"/>
  <c r="H1359" i="817"/>
  <c r="H1358" i="817"/>
  <c r="H1357" i="817"/>
  <c r="H1356" i="817"/>
  <c r="H1355" i="817"/>
  <c r="H1354" i="817"/>
  <c r="H1353" i="817"/>
  <c r="H1352" i="817"/>
  <c r="H1351" i="817"/>
  <c r="H1350" i="817"/>
  <c r="H1349" i="817"/>
  <c r="H1348" i="817"/>
  <c r="H1347" i="817"/>
  <c r="H1346" i="817"/>
  <c r="H1345" i="817"/>
  <c r="H1344" i="817"/>
  <c r="H1343" i="817"/>
  <c r="H1342" i="817"/>
  <c r="H1341" i="817"/>
  <c r="H1340" i="817"/>
  <c r="H1339" i="817"/>
  <c r="H1338" i="817"/>
  <c r="H1337" i="817"/>
  <c r="H1336" i="817"/>
  <c r="H1335" i="817"/>
  <c r="H1334" i="817"/>
  <c r="H1333" i="817"/>
  <c r="H1332" i="817"/>
  <c r="H1331" i="817"/>
  <c r="H1330" i="817"/>
  <c r="H1329" i="817"/>
  <c r="H1328" i="817"/>
  <c r="H1327" i="817"/>
  <c r="H1326" i="817"/>
  <c r="H1325" i="817"/>
  <c r="H1324" i="817"/>
  <c r="H1323" i="817"/>
  <c r="H1322" i="817"/>
  <c r="H1321" i="817"/>
  <c r="H1320" i="817"/>
  <c r="H1319" i="817"/>
  <c r="H1318" i="817"/>
  <c r="H1317" i="817"/>
  <c r="H1316" i="817"/>
  <c r="H1315" i="817"/>
  <c r="H1314" i="817"/>
  <c r="H1313" i="817"/>
  <c r="H1312" i="817"/>
  <c r="H1311" i="817"/>
  <c r="H1310" i="817"/>
  <c r="H1309" i="817"/>
  <c r="H1308" i="817"/>
  <c r="H1307" i="817"/>
  <c r="H1306" i="817"/>
  <c r="H1305" i="817"/>
  <c r="H1304" i="817"/>
  <c r="H1303" i="817"/>
  <c r="H1302" i="817"/>
  <c r="H1301" i="817"/>
  <c r="H1300" i="817"/>
  <c r="H1299" i="817"/>
  <c r="H1298" i="817"/>
  <c r="H1297" i="817"/>
  <c r="H1296" i="817"/>
  <c r="H1295" i="817"/>
  <c r="H1294" i="817"/>
  <c r="H1293" i="817"/>
  <c r="H1292" i="817"/>
  <c r="H1291" i="817"/>
  <c r="H1290" i="817"/>
  <c r="H1289" i="817"/>
  <c r="H1288" i="817"/>
  <c r="H1287" i="817"/>
  <c r="H1286" i="817"/>
  <c r="H1285" i="817"/>
  <c r="H1284" i="817"/>
  <c r="H1283" i="817"/>
  <c r="H1282" i="817"/>
  <c r="H1281" i="817"/>
  <c r="H1280" i="817"/>
  <c r="H1279" i="817"/>
  <c r="H1278" i="817"/>
  <c r="H1277" i="817"/>
  <c r="H1276" i="817"/>
  <c r="H1275" i="817"/>
  <c r="H1274" i="817"/>
  <c r="H1273" i="817"/>
  <c r="H1272" i="817"/>
  <c r="H1271" i="817"/>
  <c r="H1270" i="817"/>
  <c r="H1269" i="817"/>
  <c r="H1268" i="817"/>
  <c r="H1267" i="817"/>
  <c r="H1266" i="817"/>
  <c r="H1265" i="817"/>
  <c r="H1264" i="817"/>
  <c r="H1263" i="817"/>
  <c r="H1262" i="817"/>
  <c r="H1261" i="817"/>
  <c r="H1260" i="817"/>
  <c r="H1259" i="817"/>
  <c r="H1258" i="817"/>
  <c r="H1257" i="817"/>
  <c r="H1256" i="817"/>
  <c r="H1255" i="817"/>
  <c r="H1254" i="817"/>
  <c r="H1253" i="817"/>
  <c r="H1252" i="817"/>
  <c r="H1251" i="817"/>
  <c r="H1250" i="817"/>
  <c r="H1249" i="817"/>
  <c r="H1248" i="817"/>
  <c r="H1247" i="817"/>
  <c r="H1246" i="817"/>
  <c r="H1245" i="817"/>
  <c r="H1244" i="817"/>
  <c r="H1243" i="817"/>
  <c r="H1242" i="817"/>
  <c r="H1241" i="817"/>
  <c r="H1240" i="817"/>
  <c r="H1239" i="817"/>
  <c r="H1238" i="817"/>
  <c r="H1237" i="817"/>
  <c r="H1236" i="817"/>
  <c r="H1235" i="817"/>
  <c r="H1234" i="817"/>
  <c r="H1233" i="817"/>
  <c r="H1232" i="817"/>
  <c r="H1231" i="817"/>
  <c r="H1230" i="817"/>
  <c r="H1229" i="817"/>
  <c r="H1228" i="817"/>
  <c r="H1227" i="817"/>
  <c r="H1226" i="817"/>
  <c r="H1225" i="817"/>
  <c r="H1224" i="817"/>
  <c r="H1223" i="817"/>
  <c r="H1222" i="817"/>
  <c r="H1221" i="817"/>
  <c r="H1220" i="817"/>
  <c r="H1219" i="817"/>
  <c r="H1218" i="817"/>
  <c r="H1217" i="817"/>
  <c r="H1216" i="817"/>
  <c r="H1215" i="817"/>
  <c r="H1214" i="817"/>
  <c r="H1213" i="817"/>
  <c r="H1212" i="817"/>
  <c r="H1211" i="817"/>
  <c r="H1210" i="817"/>
  <c r="H1209" i="817"/>
  <c r="H1208" i="817"/>
  <c r="H1207" i="817"/>
  <c r="H1206" i="817"/>
  <c r="H1205" i="817"/>
  <c r="H1204" i="817"/>
  <c r="H1203" i="817"/>
  <c r="H1202" i="817"/>
  <c r="H1201" i="817"/>
  <c r="H1200" i="817"/>
  <c r="H1199" i="817"/>
  <c r="H1198" i="817"/>
  <c r="H1197" i="817"/>
  <c r="H1196" i="817"/>
  <c r="H1195" i="817"/>
  <c r="H1194" i="817"/>
  <c r="H1193" i="817"/>
  <c r="H1192" i="817"/>
  <c r="H1191" i="817"/>
  <c r="H1190" i="817"/>
  <c r="H1189" i="817"/>
  <c r="H1188" i="817"/>
  <c r="H1187" i="817"/>
  <c r="H1186" i="817"/>
  <c r="H1185" i="817"/>
  <c r="H1184" i="817"/>
  <c r="H1183" i="817"/>
  <c r="H1182" i="817"/>
  <c r="H1181" i="817"/>
  <c r="H1180" i="817"/>
  <c r="H1179" i="817"/>
  <c r="H1178" i="817"/>
  <c r="H1177" i="817"/>
  <c r="H1176" i="817"/>
  <c r="H1175" i="817"/>
  <c r="H1174" i="817"/>
  <c r="H1173" i="817"/>
  <c r="H1172" i="817"/>
  <c r="H1171" i="817"/>
  <c r="H1170" i="817"/>
  <c r="H1169" i="817"/>
  <c r="H1168" i="817"/>
  <c r="H1167" i="817"/>
  <c r="H1166" i="817"/>
  <c r="H1165" i="817"/>
  <c r="H1164" i="817"/>
  <c r="H1163" i="817"/>
  <c r="H1162" i="817"/>
  <c r="H1161" i="817"/>
  <c r="H1160" i="817"/>
  <c r="H1159" i="817"/>
  <c r="H1158" i="817"/>
  <c r="H1157" i="817"/>
  <c r="H1156" i="817"/>
  <c r="H1155" i="817"/>
  <c r="H1154" i="817"/>
  <c r="H1153" i="817"/>
  <c r="H1152" i="817"/>
  <c r="H1151" i="817"/>
  <c r="H1150" i="817"/>
  <c r="H1149" i="817"/>
  <c r="H1148" i="817"/>
  <c r="H1147" i="817"/>
  <c r="H1146" i="817"/>
  <c r="H1145" i="817"/>
  <c r="H1144" i="817"/>
  <c r="H1143" i="817"/>
  <c r="H1142" i="817"/>
  <c r="H1141" i="817"/>
  <c r="H1140" i="817"/>
  <c r="H1139" i="817"/>
  <c r="H1138" i="817"/>
  <c r="H1137" i="817"/>
  <c r="H1136" i="817"/>
  <c r="H1135" i="817"/>
  <c r="H1134" i="817"/>
  <c r="H1133" i="817"/>
  <c r="H1132" i="817"/>
  <c r="H1131" i="817"/>
  <c r="H1130" i="817"/>
  <c r="H1129" i="817"/>
  <c r="H1128" i="817"/>
  <c r="H1127" i="817"/>
  <c r="H1126" i="817"/>
  <c r="H1125" i="817"/>
  <c r="H1124" i="817"/>
  <c r="H1123" i="817"/>
  <c r="H1122" i="817"/>
  <c r="H1121" i="817"/>
  <c r="H1120" i="817"/>
  <c r="H1119" i="817"/>
  <c r="H1118" i="817"/>
  <c r="H1117" i="817"/>
  <c r="H1116" i="817"/>
  <c r="H1115" i="817"/>
  <c r="H1114" i="817"/>
  <c r="H1113" i="817"/>
  <c r="H1112" i="817"/>
  <c r="H1111" i="817"/>
  <c r="H1110" i="817"/>
  <c r="H1109" i="817"/>
  <c r="H1108" i="817"/>
  <c r="H1107" i="817"/>
  <c r="H1106" i="817"/>
  <c r="H1105" i="817"/>
  <c r="H1104" i="817"/>
  <c r="H1103" i="817"/>
  <c r="H1102" i="817"/>
  <c r="H1101" i="817"/>
  <c r="H1100" i="817"/>
  <c r="H1099" i="817"/>
  <c r="H1098" i="817"/>
  <c r="H1097" i="817"/>
  <c r="H1096" i="817"/>
  <c r="H1095" i="817"/>
  <c r="H1094" i="817"/>
  <c r="H1093" i="817"/>
  <c r="H1092" i="817"/>
  <c r="H1091" i="817"/>
  <c r="H1090" i="817"/>
  <c r="H1089" i="817"/>
  <c r="H1088" i="817"/>
  <c r="H1087" i="817"/>
  <c r="H1086" i="817"/>
  <c r="H1085" i="817"/>
  <c r="H1084" i="817"/>
  <c r="H1083" i="817"/>
  <c r="H1082" i="817"/>
  <c r="H1081" i="817"/>
  <c r="H1080" i="817"/>
  <c r="H1079" i="817"/>
  <c r="H1078" i="817"/>
  <c r="H1077" i="817"/>
  <c r="H1076" i="817"/>
  <c r="H1075" i="817"/>
  <c r="H1074" i="817"/>
  <c r="H1073" i="817"/>
  <c r="H1072" i="817"/>
  <c r="H1071" i="817"/>
  <c r="H1070" i="817"/>
  <c r="H1069" i="817"/>
  <c r="H1068" i="817"/>
  <c r="H1067" i="817"/>
  <c r="H1066" i="817"/>
  <c r="H1065" i="817"/>
  <c r="H1064" i="817"/>
  <c r="H1063" i="817"/>
  <c r="H1062" i="817"/>
  <c r="H1061" i="817"/>
  <c r="H1060" i="817"/>
  <c r="H1059" i="817"/>
  <c r="H1058" i="817"/>
  <c r="H1057" i="817"/>
  <c r="H1056" i="817"/>
  <c r="H1055" i="817"/>
  <c r="H1054" i="817"/>
  <c r="H1053" i="817"/>
  <c r="H1052" i="817"/>
  <c r="H1051" i="817"/>
  <c r="H1050" i="817"/>
  <c r="H1049" i="817"/>
  <c r="H1048" i="817"/>
  <c r="H1047" i="817"/>
  <c r="H1046" i="817"/>
  <c r="H1045" i="817"/>
  <c r="H1044" i="817"/>
  <c r="H1043" i="817"/>
  <c r="H1042" i="817"/>
  <c r="H1041" i="817"/>
  <c r="H1040" i="817"/>
  <c r="H1039" i="817"/>
  <c r="H1038" i="817"/>
  <c r="H1037" i="817"/>
  <c r="H1036" i="817"/>
  <c r="H1035" i="817"/>
  <c r="H1034" i="817"/>
  <c r="H1033" i="817"/>
  <c r="H1032" i="817"/>
  <c r="H1031" i="817"/>
  <c r="H1030" i="817"/>
  <c r="H1029" i="817"/>
  <c r="H1028" i="817"/>
  <c r="H1027" i="817"/>
  <c r="H1026" i="817"/>
  <c r="H1025" i="817"/>
  <c r="H1024" i="817"/>
  <c r="H1023" i="817"/>
  <c r="H1022" i="817"/>
  <c r="H1021" i="817"/>
  <c r="H1020" i="817"/>
  <c r="H1019" i="817"/>
  <c r="H1018" i="817"/>
  <c r="H1017" i="817"/>
  <c r="H1016" i="817"/>
  <c r="H1015" i="817"/>
  <c r="H1014" i="817"/>
  <c r="H1013" i="817"/>
  <c r="H1012" i="817"/>
  <c r="H1011" i="817"/>
  <c r="H1010" i="817"/>
  <c r="H1009" i="817"/>
  <c r="H1008" i="817"/>
  <c r="H1007" i="817"/>
  <c r="H1006" i="817"/>
  <c r="H1005" i="817"/>
  <c r="H1004" i="817"/>
  <c r="H1003" i="817"/>
  <c r="H1002" i="817"/>
  <c r="H1001" i="817"/>
  <c r="H1000" i="817"/>
  <c r="H999" i="817"/>
  <c r="H998" i="817"/>
  <c r="H997" i="817"/>
  <c r="H996" i="817"/>
  <c r="H995" i="817"/>
  <c r="H994" i="817"/>
  <c r="H993" i="817"/>
  <c r="H992" i="817"/>
  <c r="H991" i="817"/>
  <c r="H990" i="817"/>
  <c r="H989" i="817"/>
  <c r="H988" i="817"/>
  <c r="H987" i="817"/>
  <c r="H986" i="817"/>
  <c r="H985" i="817"/>
  <c r="H984" i="817"/>
  <c r="H983" i="817"/>
  <c r="H982" i="817"/>
  <c r="H981" i="817"/>
  <c r="H980" i="817"/>
  <c r="H979" i="817"/>
  <c r="H978" i="817"/>
  <c r="H977" i="817"/>
  <c r="H976" i="817"/>
  <c r="H975" i="817"/>
  <c r="H974" i="817"/>
  <c r="H973" i="817"/>
  <c r="H972" i="817"/>
  <c r="H971" i="817"/>
  <c r="H970" i="817"/>
  <c r="H969" i="817"/>
  <c r="H968" i="817"/>
  <c r="H967" i="817"/>
  <c r="H966" i="817"/>
  <c r="H965" i="817"/>
  <c r="H964" i="817"/>
  <c r="H963" i="817"/>
  <c r="H962" i="817"/>
  <c r="H961" i="817"/>
  <c r="H960" i="817"/>
  <c r="H959" i="817"/>
  <c r="H958" i="817"/>
  <c r="H957" i="817"/>
  <c r="H956" i="817"/>
  <c r="H955" i="817"/>
  <c r="H954" i="817"/>
  <c r="H953" i="817"/>
  <c r="H952" i="817"/>
  <c r="H951" i="817"/>
  <c r="H950" i="817"/>
  <c r="H949" i="817"/>
  <c r="H948" i="817"/>
  <c r="H947" i="817"/>
  <c r="H946" i="817"/>
  <c r="H945" i="817"/>
  <c r="H944" i="817"/>
  <c r="H943" i="817"/>
  <c r="H942" i="817"/>
  <c r="H941" i="817"/>
  <c r="H940" i="817"/>
  <c r="H939" i="817"/>
  <c r="H938" i="817"/>
  <c r="H937" i="817"/>
  <c r="H936" i="817"/>
  <c r="H935" i="817"/>
  <c r="H934" i="817"/>
  <c r="H933" i="817"/>
  <c r="H932" i="817"/>
  <c r="H931" i="817"/>
  <c r="H930" i="817"/>
  <c r="H929" i="817"/>
  <c r="H928" i="817"/>
  <c r="H927" i="817"/>
  <c r="H926" i="817"/>
  <c r="H925" i="817"/>
  <c r="H924" i="817"/>
  <c r="H923" i="817"/>
  <c r="H922" i="817"/>
  <c r="H921" i="817"/>
  <c r="H920" i="817"/>
  <c r="H919" i="817"/>
  <c r="H918" i="817"/>
  <c r="H917" i="817"/>
  <c r="H916" i="817"/>
  <c r="H915" i="817"/>
  <c r="H914" i="817"/>
  <c r="H913" i="817"/>
  <c r="H912" i="817"/>
  <c r="H911" i="817"/>
  <c r="H910" i="817"/>
  <c r="H909" i="817"/>
  <c r="H908" i="817"/>
  <c r="H907" i="817"/>
  <c r="H906" i="817"/>
  <c r="H905" i="817"/>
  <c r="H904" i="817"/>
  <c r="H903" i="817"/>
  <c r="H902" i="817"/>
  <c r="H901" i="817"/>
  <c r="H900" i="817"/>
  <c r="H899" i="817"/>
  <c r="H898" i="817"/>
  <c r="H897" i="817"/>
  <c r="H896" i="817"/>
  <c r="H895" i="817"/>
  <c r="H894" i="817"/>
  <c r="H893" i="817"/>
  <c r="H892" i="817"/>
  <c r="H891" i="817"/>
  <c r="H890" i="817"/>
  <c r="H889" i="817"/>
  <c r="H888" i="817"/>
  <c r="H887" i="817"/>
  <c r="H886" i="817"/>
  <c r="H885" i="817"/>
  <c r="H884" i="817"/>
  <c r="H883" i="817"/>
  <c r="H882" i="817"/>
  <c r="H881" i="817"/>
  <c r="H880" i="817"/>
  <c r="H879" i="817"/>
  <c r="H878" i="817"/>
  <c r="H877" i="817"/>
  <c r="H876" i="817"/>
  <c r="H875" i="817"/>
  <c r="H874" i="817"/>
  <c r="H873" i="817"/>
  <c r="H872" i="817"/>
  <c r="H871" i="817"/>
  <c r="H870" i="817"/>
  <c r="H869" i="817"/>
  <c r="H868" i="817"/>
  <c r="H867" i="817"/>
  <c r="H866" i="817"/>
  <c r="H865" i="817"/>
  <c r="H864" i="817"/>
  <c r="H863" i="817"/>
  <c r="H862" i="817"/>
  <c r="H861" i="817"/>
  <c r="H860" i="817"/>
  <c r="H859" i="817"/>
  <c r="H858" i="817"/>
  <c r="H857" i="817"/>
  <c r="H856" i="817"/>
  <c r="H855" i="817"/>
  <c r="H854" i="817"/>
  <c r="H853" i="817"/>
  <c r="H852" i="817"/>
  <c r="H851" i="817"/>
  <c r="H850" i="817"/>
  <c r="H849" i="817"/>
  <c r="H848" i="817"/>
  <c r="H847" i="817"/>
  <c r="H846" i="817"/>
  <c r="H845" i="817"/>
  <c r="H844" i="817"/>
  <c r="H843" i="817"/>
  <c r="H842" i="817"/>
  <c r="H841" i="817"/>
  <c r="H840" i="817"/>
  <c r="H839" i="817"/>
  <c r="H838" i="817"/>
  <c r="H837" i="817"/>
  <c r="H836" i="817"/>
  <c r="H835" i="817"/>
  <c r="H834" i="817"/>
  <c r="H833" i="817"/>
  <c r="H832" i="817"/>
  <c r="H831" i="817"/>
  <c r="H830" i="817"/>
  <c r="H829" i="817"/>
  <c r="H828" i="817"/>
  <c r="H827" i="817"/>
  <c r="H826" i="817"/>
  <c r="H825" i="817"/>
  <c r="H824" i="817"/>
  <c r="H823" i="817"/>
  <c r="H822" i="817"/>
  <c r="H821" i="817"/>
  <c r="H820" i="817"/>
  <c r="H819" i="817"/>
  <c r="H818" i="817"/>
  <c r="H817" i="817"/>
  <c r="H816" i="817"/>
  <c r="H815" i="817"/>
  <c r="H814" i="817"/>
  <c r="H813" i="817"/>
  <c r="H812" i="817"/>
  <c r="H811" i="817"/>
  <c r="H810" i="817"/>
  <c r="H809" i="817"/>
  <c r="H808" i="817"/>
  <c r="H807" i="817"/>
  <c r="H806" i="817"/>
  <c r="H805" i="817"/>
  <c r="H804" i="817"/>
  <c r="H803" i="817"/>
  <c r="H802" i="817"/>
  <c r="H801" i="817"/>
  <c r="H800" i="817"/>
  <c r="H799" i="817"/>
  <c r="H798" i="817"/>
  <c r="H797" i="817"/>
  <c r="H796" i="817"/>
  <c r="H795" i="817"/>
  <c r="H794" i="817"/>
  <c r="H793" i="817"/>
  <c r="H792" i="817"/>
  <c r="H791" i="817"/>
  <c r="H790" i="817"/>
  <c r="H789" i="817"/>
  <c r="H788" i="817"/>
  <c r="H787" i="817"/>
  <c r="H786" i="817"/>
  <c r="H785" i="817"/>
  <c r="H784" i="817"/>
  <c r="H783" i="817"/>
  <c r="H782" i="817"/>
  <c r="H781" i="817"/>
  <c r="H780" i="817"/>
  <c r="H779" i="817"/>
  <c r="H778" i="817"/>
  <c r="H777" i="817"/>
  <c r="H776" i="817"/>
  <c r="H775" i="817"/>
  <c r="H774" i="817"/>
  <c r="H773" i="817"/>
  <c r="H772" i="817"/>
  <c r="H771" i="817"/>
  <c r="H770" i="817"/>
  <c r="H769" i="817"/>
  <c r="H768" i="817"/>
  <c r="H767" i="817"/>
  <c r="H766" i="817"/>
  <c r="H765" i="817"/>
  <c r="H764" i="817"/>
  <c r="H763" i="817"/>
  <c r="H762" i="817"/>
  <c r="H761" i="817"/>
  <c r="H760" i="817"/>
  <c r="H759" i="817"/>
  <c r="H758" i="817"/>
  <c r="H757" i="817"/>
  <c r="H756" i="817"/>
  <c r="H755" i="817"/>
  <c r="H754" i="817"/>
  <c r="H753" i="817"/>
  <c r="H752" i="817"/>
  <c r="H751" i="817"/>
  <c r="H750" i="817"/>
  <c r="H749" i="817"/>
  <c r="H748" i="817"/>
  <c r="H747" i="817"/>
  <c r="H746" i="817"/>
  <c r="H745" i="817"/>
  <c r="H744" i="817"/>
  <c r="H743" i="817"/>
  <c r="H742" i="817"/>
  <c r="H741" i="817"/>
  <c r="H740" i="817"/>
  <c r="H739" i="817"/>
  <c r="H738" i="817"/>
  <c r="H737" i="817"/>
  <c r="H736" i="817"/>
  <c r="H735" i="817"/>
  <c r="H734" i="817"/>
  <c r="H733" i="817"/>
  <c r="H732" i="817"/>
  <c r="H731" i="817"/>
  <c r="H730" i="817"/>
  <c r="H729" i="817"/>
  <c r="H728" i="817"/>
  <c r="H727" i="817"/>
  <c r="H726" i="817"/>
  <c r="H725" i="817"/>
  <c r="H724" i="817"/>
  <c r="H723" i="817"/>
  <c r="H722" i="817"/>
  <c r="H721" i="817"/>
  <c r="H720" i="817"/>
  <c r="H719" i="817"/>
  <c r="H718" i="817"/>
  <c r="H717" i="817"/>
  <c r="H716" i="817"/>
  <c r="H715" i="817"/>
  <c r="H714" i="817"/>
  <c r="H713" i="817"/>
  <c r="H712" i="817"/>
  <c r="H711" i="817"/>
  <c r="H710" i="817"/>
  <c r="H709" i="817"/>
  <c r="H708" i="817"/>
  <c r="H707" i="817"/>
  <c r="H706" i="817"/>
  <c r="H705" i="817"/>
  <c r="H704" i="817"/>
  <c r="H703" i="817"/>
  <c r="H702" i="817"/>
  <c r="H701" i="817"/>
  <c r="H700" i="817"/>
  <c r="H699" i="817"/>
  <c r="H698" i="817"/>
  <c r="H697" i="817"/>
  <c r="H696" i="817"/>
  <c r="H695" i="817"/>
  <c r="H694" i="817"/>
  <c r="H693" i="817"/>
  <c r="H692" i="817"/>
  <c r="H691" i="817"/>
  <c r="H690" i="817"/>
  <c r="H689" i="817"/>
  <c r="H688" i="817"/>
  <c r="H687" i="817"/>
  <c r="H686" i="817"/>
  <c r="H685" i="817"/>
  <c r="H684" i="817"/>
  <c r="H683" i="817"/>
  <c r="H682" i="817"/>
  <c r="H681" i="817"/>
  <c r="H680" i="817"/>
  <c r="H679" i="817"/>
  <c r="H678" i="817"/>
  <c r="H677" i="817"/>
  <c r="H676" i="817"/>
  <c r="H675" i="817"/>
  <c r="H674" i="817"/>
  <c r="H673" i="817"/>
  <c r="H672" i="817"/>
  <c r="H671" i="817"/>
  <c r="H670" i="817"/>
  <c r="H669" i="817"/>
  <c r="H668" i="817"/>
  <c r="H667" i="817"/>
  <c r="H666" i="817"/>
  <c r="H665" i="817"/>
  <c r="H664" i="817"/>
  <c r="H663" i="817"/>
  <c r="H662" i="817"/>
  <c r="H661" i="817"/>
  <c r="H660" i="817"/>
  <c r="H659" i="817"/>
  <c r="H658" i="817"/>
  <c r="H657" i="817"/>
  <c r="H656" i="817"/>
  <c r="H655" i="817"/>
  <c r="H654" i="817"/>
  <c r="H653" i="817"/>
  <c r="H652" i="817"/>
  <c r="H651" i="817"/>
  <c r="H650" i="817"/>
  <c r="H649" i="817"/>
  <c r="H648" i="817"/>
  <c r="H647" i="817"/>
  <c r="H646" i="817"/>
  <c r="H645" i="817"/>
  <c r="H644" i="817"/>
  <c r="H643" i="817"/>
  <c r="H642" i="817"/>
  <c r="H641" i="817"/>
  <c r="H640" i="817"/>
  <c r="H639" i="817"/>
  <c r="H638" i="817"/>
  <c r="H637" i="817"/>
  <c r="H636" i="817"/>
  <c r="H635" i="817"/>
  <c r="H634" i="817"/>
  <c r="H633" i="817"/>
  <c r="H632" i="817"/>
  <c r="H631" i="817"/>
  <c r="H630" i="817"/>
  <c r="H629" i="817"/>
  <c r="H628" i="817"/>
  <c r="H627" i="817"/>
  <c r="H626" i="817"/>
  <c r="H625" i="817"/>
  <c r="H624" i="817"/>
  <c r="H623" i="817"/>
  <c r="H622" i="817"/>
  <c r="H621" i="817"/>
  <c r="H620" i="817"/>
  <c r="H619" i="817"/>
  <c r="H618" i="817"/>
  <c r="H617" i="817"/>
  <c r="H616" i="817"/>
  <c r="H615" i="817"/>
  <c r="H614" i="817"/>
  <c r="H613" i="817"/>
  <c r="H612" i="817"/>
  <c r="H611" i="817"/>
  <c r="H610" i="817"/>
  <c r="H609" i="817"/>
  <c r="H608" i="817"/>
  <c r="H607" i="817"/>
  <c r="H606" i="817"/>
  <c r="H605" i="817"/>
  <c r="H604" i="817"/>
  <c r="H603" i="817"/>
  <c r="H602" i="817"/>
  <c r="H601" i="817"/>
  <c r="H600" i="817"/>
  <c r="H599" i="817"/>
  <c r="H598" i="817"/>
  <c r="H597" i="817"/>
  <c r="H596" i="817"/>
  <c r="H595" i="817"/>
  <c r="H594" i="817"/>
  <c r="H593" i="817"/>
  <c r="H592" i="817"/>
  <c r="H591" i="817"/>
  <c r="H590" i="817"/>
  <c r="H589" i="817"/>
  <c r="H588" i="817"/>
  <c r="H587" i="817"/>
  <c r="H586" i="817"/>
  <c r="H585" i="817"/>
  <c r="H584" i="817"/>
  <c r="H583" i="817"/>
  <c r="H582" i="817"/>
  <c r="H581" i="817"/>
  <c r="H580" i="817"/>
  <c r="H579" i="817"/>
  <c r="H578" i="817"/>
  <c r="H577" i="817"/>
  <c r="H576" i="817"/>
  <c r="H575" i="817"/>
  <c r="H574" i="817"/>
  <c r="H573" i="817"/>
  <c r="H572" i="817"/>
  <c r="H571" i="817"/>
  <c r="H570" i="817"/>
  <c r="H569" i="817"/>
  <c r="H568" i="817"/>
  <c r="H567" i="817"/>
  <c r="H566" i="817"/>
  <c r="H565" i="817"/>
  <c r="H564" i="817"/>
  <c r="H563" i="817"/>
  <c r="H562" i="817"/>
  <c r="H561" i="817"/>
  <c r="H560" i="817"/>
  <c r="H559" i="817"/>
  <c r="H558" i="817"/>
  <c r="H557" i="817"/>
  <c r="H556" i="817"/>
  <c r="H555" i="817"/>
  <c r="H554" i="817"/>
  <c r="H553" i="817"/>
  <c r="H552" i="817"/>
  <c r="H551" i="817"/>
  <c r="H550" i="817"/>
  <c r="H549" i="817"/>
  <c r="H548" i="817"/>
  <c r="H547" i="817"/>
  <c r="H546" i="817"/>
  <c r="H545" i="817"/>
  <c r="H544" i="817"/>
  <c r="H543" i="817"/>
  <c r="H542" i="817"/>
  <c r="H541" i="817"/>
  <c r="H540" i="817"/>
  <c r="H539" i="817"/>
  <c r="H538" i="817"/>
  <c r="H537" i="817"/>
  <c r="H536" i="817"/>
  <c r="H535" i="817"/>
  <c r="H534" i="817"/>
  <c r="H533" i="817"/>
  <c r="H532" i="817"/>
  <c r="H531" i="817"/>
  <c r="H530" i="817"/>
  <c r="H529" i="817"/>
  <c r="H528" i="817"/>
  <c r="H527" i="817"/>
  <c r="H526" i="817"/>
  <c r="H525" i="817"/>
  <c r="H524" i="817"/>
  <c r="H523" i="817"/>
  <c r="H522" i="817"/>
  <c r="H521" i="817"/>
  <c r="H520" i="817"/>
  <c r="H519" i="817"/>
  <c r="H518" i="817"/>
  <c r="H517" i="817"/>
  <c r="H516" i="817"/>
  <c r="H515" i="817"/>
  <c r="H514" i="817"/>
  <c r="H513" i="817"/>
  <c r="H512" i="817"/>
  <c r="H511" i="817"/>
  <c r="H510" i="817"/>
  <c r="H509" i="817"/>
  <c r="H508" i="817"/>
  <c r="H507" i="817"/>
  <c r="H506" i="817"/>
  <c r="H505" i="817"/>
  <c r="H504" i="817"/>
  <c r="H503" i="817"/>
  <c r="H502" i="817"/>
  <c r="H501" i="817"/>
  <c r="H500" i="817"/>
  <c r="H499" i="817"/>
  <c r="H498" i="817"/>
  <c r="H497" i="817"/>
  <c r="H496" i="817"/>
  <c r="H495" i="817"/>
  <c r="H494" i="817"/>
  <c r="H493" i="817"/>
  <c r="H492" i="817"/>
  <c r="H491" i="817"/>
  <c r="H490" i="817"/>
  <c r="H489" i="817"/>
  <c r="H488" i="817"/>
  <c r="H487" i="817"/>
  <c r="H486" i="817"/>
  <c r="H485" i="817"/>
  <c r="H484" i="817"/>
  <c r="H483" i="817"/>
  <c r="H482" i="817"/>
  <c r="H481" i="817"/>
  <c r="H480" i="817"/>
  <c r="H479" i="817"/>
  <c r="H478" i="817"/>
  <c r="H477" i="817"/>
  <c r="H476" i="817"/>
  <c r="H475" i="817"/>
  <c r="H474" i="817"/>
  <c r="H473" i="817"/>
  <c r="H472" i="817"/>
  <c r="H471" i="817"/>
  <c r="H470" i="817"/>
  <c r="H469" i="817"/>
  <c r="H468" i="817"/>
  <c r="H467" i="817"/>
  <c r="H466" i="817"/>
  <c r="H465" i="817"/>
  <c r="H464" i="817"/>
  <c r="H463" i="817"/>
  <c r="H462" i="817"/>
  <c r="H461" i="817"/>
  <c r="H460" i="817"/>
  <c r="H459" i="817"/>
  <c r="H458" i="817"/>
  <c r="H457" i="817"/>
  <c r="H456" i="817"/>
  <c r="H455" i="817"/>
  <c r="H454" i="817"/>
  <c r="H453" i="817"/>
  <c r="H452" i="817"/>
  <c r="H451" i="817"/>
  <c r="H450" i="817"/>
  <c r="H449" i="817"/>
  <c r="H448" i="817"/>
  <c r="H447" i="817"/>
  <c r="H446" i="817"/>
  <c r="H445" i="817"/>
  <c r="H444" i="817"/>
  <c r="H443" i="817"/>
  <c r="H442" i="817"/>
  <c r="H441" i="817"/>
  <c r="H440" i="817"/>
  <c r="H439" i="817"/>
  <c r="H438" i="817"/>
  <c r="H437" i="817"/>
  <c r="H436" i="817"/>
  <c r="H435" i="817"/>
  <c r="H434" i="817"/>
  <c r="H433" i="817"/>
  <c r="H432" i="817"/>
  <c r="H431" i="817"/>
  <c r="H430" i="817"/>
  <c r="H429" i="817"/>
  <c r="H428" i="817"/>
  <c r="H427" i="817"/>
  <c r="H426" i="817"/>
  <c r="H425" i="817"/>
  <c r="H424" i="817"/>
  <c r="H423" i="817"/>
  <c r="H422" i="817"/>
  <c r="H421" i="817"/>
  <c r="H420" i="817"/>
  <c r="H419" i="817"/>
  <c r="H418" i="817"/>
  <c r="H417" i="817"/>
  <c r="H416" i="817"/>
  <c r="H415" i="817"/>
  <c r="H414" i="817"/>
  <c r="H413" i="817"/>
  <c r="H412" i="817"/>
  <c r="H411" i="817"/>
  <c r="H410" i="817"/>
  <c r="H409" i="817"/>
  <c r="H408" i="817"/>
  <c r="H407" i="817"/>
  <c r="H406" i="817"/>
  <c r="H405" i="817"/>
  <c r="H404" i="817"/>
  <c r="H403" i="817"/>
  <c r="H402" i="817"/>
  <c r="H401" i="817"/>
  <c r="H400" i="817"/>
  <c r="H399" i="817"/>
  <c r="H398" i="817"/>
  <c r="H397" i="817"/>
  <c r="H396" i="817"/>
  <c r="H395" i="817"/>
  <c r="H394" i="817"/>
  <c r="H393" i="817"/>
  <c r="H392" i="817"/>
  <c r="H391" i="817"/>
  <c r="H390" i="817"/>
  <c r="H389" i="817"/>
  <c r="H388" i="817"/>
  <c r="H387" i="817"/>
  <c r="H386" i="817"/>
  <c r="H385" i="817"/>
  <c r="H384" i="817"/>
  <c r="H383" i="817"/>
  <c r="H382" i="817"/>
  <c r="H381" i="817"/>
  <c r="H380" i="817"/>
  <c r="H379" i="817"/>
  <c r="H378" i="817"/>
  <c r="H377" i="817"/>
  <c r="H376" i="817"/>
  <c r="H375" i="817"/>
  <c r="H374" i="817"/>
  <c r="H373" i="817"/>
  <c r="H372" i="817"/>
  <c r="H371" i="817"/>
  <c r="H370" i="817"/>
  <c r="H369" i="817"/>
  <c r="H368" i="817"/>
  <c r="H367" i="817"/>
  <c r="H366" i="817"/>
  <c r="H365" i="817"/>
  <c r="H364" i="817"/>
  <c r="H363" i="817"/>
  <c r="H362" i="817"/>
  <c r="H361" i="817"/>
  <c r="H360" i="817"/>
  <c r="H359" i="817"/>
  <c r="H358" i="817"/>
  <c r="H357" i="817"/>
  <c r="H356" i="817"/>
  <c r="H355" i="817"/>
  <c r="H354" i="817"/>
  <c r="H353" i="817"/>
  <c r="H352" i="817"/>
  <c r="H351" i="817"/>
  <c r="H350" i="817"/>
  <c r="H349" i="817"/>
  <c r="H348" i="817"/>
  <c r="H347" i="817"/>
  <c r="H346" i="817"/>
  <c r="H345" i="817"/>
  <c r="H344" i="817"/>
  <c r="H343" i="817"/>
  <c r="H342" i="817"/>
  <c r="H341" i="817"/>
  <c r="H340" i="817"/>
  <c r="H339" i="817"/>
  <c r="H338" i="817"/>
  <c r="H337" i="817"/>
  <c r="H336" i="817"/>
  <c r="H335" i="817"/>
  <c r="H334" i="817"/>
  <c r="H333" i="817"/>
  <c r="H332" i="817"/>
  <c r="H331" i="817"/>
  <c r="H330" i="817"/>
  <c r="H329" i="817"/>
  <c r="H328" i="817"/>
  <c r="H327" i="817"/>
  <c r="H326" i="817"/>
  <c r="H325" i="817"/>
  <c r="H324" i="817"/>
  <c r="H323" i="817"/>
  <c r="H322" i="817"/>
  <c r="H321" i="817"/>
  <c r="H320" i="817"/>
  <c r="H319" i="817"/>
  <c r="H318" i="817"/>
  <c r="H317" i="817"/>
  <c r="H316" i="817"/>
  <c r="H315" i="817"/>
  <c r="H314" i="817"/>
  <c r="H313" i="817"/>
  <c r="H312" i="817"/>
  <c r="H311" i="817"/>
  <c r="H310" i="817"/>
  <c r="H309" i="817"/>
  <c r="H308" i="817"/>
  <c r="H307" i="817"/>
  <c r="H306" i="817"/>
  <c r="H305" i="817"/>
  <c r="H304" i="817"/>
  <c r="H303" i="817"/>
  <c r="H302" i="817"/>
  <c r="H301" i="817"/>
  <c r="H300" i="817"/>
  <c r="H299" i="817"/>
  <c r="H298" i="817"/>
  <c r="H297" i="817"/>
  <c r="H296" i="817"/>
  <c r="H295" i="817"/>
  <c r="H294" i="817"/>
  <c r="H293" i="817"/>
  <c r="H292" i="817"/>
  <c r="H291" i="817"/>
  <c r="H290" i="817"/>
  <c r="H289" i="817"/>
  <c r="H288" i="817"/>
  <c r="H287" i="817"/>
  <c r="H286" i="817"/>
  <c r="H285" i="817"/>
  <c r="H284" i="817"/>
  <c r="H283" i="817"/>
  <c r="H282" i="817"/>
  <c r="H281" i="817"/>
  <c r="H280" i="817"/>
  <c r="H279" i="817"/>
  <c r="H278" i="817"/>
  <c r="H277" i="817"/>
  <c r="H276" i="817"/>
  <c r="H275" i="817"/>
  <c r="H274" i="817"/>
  <c r="H273" i="817"/>
  <c r="H272" i="817"/>
  <c r="H271" i="817"/>
  <c r="H270" i="817"/>
  <c r="H269" i="817"/>
  <c r="H268" i="817"/>
  <c r="H267" i="817"/>
  <c r="H266" i="817"/>
  <c r="H265" i="817"/>
  <c r="H264" i="817"/>
  <c r="H263" i="817"/>
  <c r="H262" i="817"/>
  <c r="H261" i="817"/>
  <c r="H260" i="817"/>
  <c r="H259" i="817"/>
  <c r="H258" i="817"/>
  <c r="H257" i="817"/>
  <c r="H256" i="817"/>
  <c r="H255" i="817"/>
  <c r="H254" i="817"/>
  <c r="H253" i="817"/>
  <c r="H252" i="817"/>
  <c r="H251" i="817"/>
  <c r="H250" i="817"/>
  <c r="H249" i="817"/>
  <c r="H248" i="817"/>
  <c r="H247" i="817"/>
  <c r="H246" i="817"/>
  <c r="H245" i="817"/>
  <c r="H244" i="817"/>
  <c r="H243" i="817"/>
  <c r="H242" i="817"/>
  <c r="H241" i="817"/>
  <c r="H240" i="817"/>
  <c r="H239" i="817"/>
  <c r="H238" i="817"/>
  <c r="H237" i="817"/>
  <c r="H236" i="817"/>
  <c r="H235" i="817"/>
  <c r="H234" i="817"/>
  <c r="H233" i="817"/>
  <c r="H232" i="817"/>
  <c r="H231" i="817"/>
  <c r="H230" i="817"/>
  <c r="H229" i="817"/>
  <c r="H228" i="817"/>
  <c r="H227" i="817"/>
  <c r="H226" i="817"/>
  <c r="H225" i="817"/>
  <c r="H224" i="817"/>
  <c r="H223" i="817"/>
  <c r="H222" i="817"/>
  <c r="H221" i="817"/>
  <c r="H220" i="817"/>
  <c r="H219" i="817"/>
  <c r="H218" i="817"/>
  <c r="H217" i="817"/>
  <c r="H216" i="817"/>
  <c r="H215" i="817"/>
  <c r="H214" i="817"/>
  <c r="H213" i="817"/>
  <c r="H212" i="817"/>
  <c r="H211" i="817"/>
  <c r="H210" i="817"/>
  <c r="H209" i="817"/>
  <c r="H208" i="817"/>
  <c r="H207" i="817"/>
  <c r="H206" i="817"/>
  <c r="H205" i="817"/>
  <c r="H204" i="817"/>
  <c r="H203" i="817"/>
  <c r="H202" i="817"/>
  <c r="H201" i="817"/>
  <c r="H200" i="817"/>
  <c r="H199" i="817"/>
  <c r="H198" i="817"/>
  <c r="H197" i="817"/>
  <c r="H196" i="817"/>
  <c r="H195" i="817"/>
  <c r="H194" i="817"/>
  <c r="H193" i="817"/>
  <c r="H192" i="817"/>
  <c r="H191" i="817"/>
  <c r="H190" i="817"/>
  <c r="H189" i="817"/>
  <c r="H188" i="817"/>
  <c r="H187" i="817"/>
  <c r="H186" i="817"/>
  <c r="H185" i="817"/>
  <c r="H184" i="817"/>
  <c r="H183" i="817"/>
  <c r="H182" i="817"/>
  <c r="H181" i="817"/>
  <c r="H180" i="817"/>
  <c r="H179" i="817"/>
  <c r="H178" i="817"/>
  <c r="H177" i="817"/>
  <c r="H176" i="817"/>
  <c r="H175" i="817"/>
  <c r="H174" i="817"/>
  <c r="H173" i="817"/>
  <c r="H172" i="817"/>
  <c r="H171" i="817"/>
  <c r="H170" i="817"/>
  <c r="H169" i="817"/>
  <c r="H168" i="817"/>
  <c r="H167" i="817"/>
  <c r="H166" i="817"/>
  <c r="H165" i="817"/>
  <c r="H164" i="817"/>
  <c r="H163" i="817"/>
  <c r="H162" i="817"/>
  <c r="H161" i="817"/>
  <c r="H160" i="817"/>
  <c r="H159" i="817"/>
  <c r="H158" i="817"/>
  <c r="H157" i="817"/>
  <c r="H156" i="817"/>
  <c r="H155" i="817"/>
  <c r="H154" i="817"/>
  <c r="H153" i="817"/>
  <c r="H152" i="817"/>
  <c r="H151" i="817"/>
  <c r="H150" i="817"/>
  <c r="H149" i="817"/>
  <c r="H148" i="817"/>
  <c r="H147" i="817"/>
  <c r="H146" i="817"/>
  <c r="H145" i="817"/>
  <c r="H144" i="817"/>
  <c r="H143" i="817"/>
  <c r="H142" i="817"/>
  <c r="H141" i="817"/>
  <c r="H140" i="817"/>
  <c r="H139" i="817"/>
  <c r="H138" i="817"/>
  <c r="H137" i="817"/>
  <c r="H136" i="817"/>
  <c r="H135" i="817"/>
  <c r="H134" i="817"/>
  <c r="H133" i="817"/>
  <c r="H132" i="817"/>
  <c r="H131" i="817"/>
  <c r="H130" i="817"/>
  <c r="H129" i="817"/>
  <c r="H128" i="817"/>
  <c r="H127" i="817"/>
  <c r="H126" i="817"/>
  <c r="H125" i="817"/>
  <c r="H124" i="817"/>
  <c r="H123" i="817"/>
  <c r="H122" i="817"/>
  <c r="H121" i="817"/>
  <c r="H120" i="817"/>
  <c r="H119" i="817"/>
  <c r="H118" i="817"/>
  <c r="H117" i="817"/>
  <c r="H116" i="817"/>
  <c r="H115" i="817"/>
  <c r="H114" i="817"/>
  <c r="H113" i="817"/>
  <c r="H112" i="817"/>
  <c r="H111" i="817"/>
  <c r="H110" i="817"/>
  <c r="H109" i="817"/>
  <c r="H108" i="817"/>
  <c r="H107" i="817"/>
  <c r="H106" i="817"/>
  <c r="H105" i="817"/>
  <c r="H104" i="817"/>
  <c r="H103" i="817"/>
  <c r="H102" i="817"/>
  <c r="H101" i="817"/>
  <c r="H100" i="817"/>
  <c r="H99" i="817"/>
  <c r="H98" i="817"/>
  <c r="H97" i="817"/>
  <c r="H96" i="817"/>
  <c r="H95" i="817"/>
  <c r="H94" i="817"/>
  <c r="H93" i="817"/>
  <c r="H92" i="817"/>
  <c r="H91" i="817"/>
  <c r="H90" i="817"/>
  <c r="H89" i="817"/>
  <c r="H88" i="817"/>
  <c r="H87" i="817"/>
  <c r="H86" i="817"/>
  <c r="H85" i="817"/>
  <c r="H84" i="817"/>
  <c r="H83" i="817"/>
  <c r="H82" i="817"/>
  <c r="H81" i="817"/>
  <c r="H80" i="817"/>
  <c r="H79" i="817"/>
  <c r="H78" i="817"/>
  <c r="H77" i="817"/>
  <c r="H76" i="817"/>
  <c r="H75" i="817"/>
  <c r="H74" i="817"/>
  <c r="H73" i="817"/>
  <c r="H72" i="817"/>
  <c r="H71" i="817"/>
  <c r="H70" i="817"/>
  <c r="H69" i="817"/>
  <c r="H68" i="817"/>
  <c r="H67" i="817"/>
  <c r="H66" i="817"/>
  <c r="H65" i="817"/>
  <c r="H64" i="817"/>
  <c r="H63" i="817"/>
  <c r="H62" i="817"/>
  <c r="H61" i="817"/>
  <c r="H60" i="817"/>
  <c r="H59" i="817"/>
  <c r="H58" i="817"/>
  <c r="H57" i="817"/>
  <c r="H56" i="817"/>
  <c r="H55" i="817"/>
  <c r="H54" i="817"/>
  <c r="H53" i="817"/>
  <c r="H52" i="817"/>
  <c r="H51" i="817"/>
  <c r="H50" i="817"/>
  <c r="H49" i="817"/>
  <c r="H48" i="817"/>
  <c r="H47" i="817"/>
  <c r="H46" i="817"/>
  <c r="H45" i="817"/>
  <c r="H44" i="817"/>
  <c r="H43" i="817"/>
  <c r="H42" i="817"/>
  <c r="H41" i="817"/>
  <c r="H40" i="817"/>
  <c r="H39" i="817"/>
  <c r="H38" i="817"/>
  <c r="H37" i="817"/>
  <c r="H36" i="817"/>
  <c r="H35" i="817"/>
  <c r="H34" i="817"/>
  <c r="H33" i="817"/>
  <c r="H32" i="817"/>
  <c r="H31" i="817"/>
  <c r="H30" i="817"/>
  <c r="H29" i="817"/>
  <c r="H28" i="817"/>
  <c r="H27" i="817"/>
  <c r="H26" i="817"/>
  <c r="H25" i="817"/>
  <c r="H24" i="817"/>
  <c r="H23" i="817"/>
  <c r="H22" i="817"/>
  <c r="H21" i="817"/>
  <c r="H20" i="817"/>
  <c r="H19" i="817"/>
  <c r="H18" i="817"/>
  <c r="H17" i="817"/>
  <c r="H16" i="817"/>
  <c r="H15" i="817"/>
  <c r="H14" i="817"/>
  <c r="H13" i="817"/>
  <c r="H12" i="817"/>
  <c r="H11" i="817"/>
  <c r="H10" i="817"/>
  <c r="H9" i="817"/>
  <c r="H8" i="817"/>
</calcChain>
</file>

<file path=xl/sharedStrings.xml><?xml version="1.0" encoding="utf-8"?>
<sst xmlns="http://schemas.openxmlformats.org/spreadsheetml/2006/main" count="83889" uniqueCount="32530">
  <si>
    <t>ΠΛΗΡΩΣΗ ΘΕΣΕΩΝ ΜΕ ΣΕΙΡΑ ΠΡΟΤΕΡΑΙΟΤΗΤΑΣ ΜΕΛΩΝ (Ε.Β.Π) ΠΡΟΚΗΡΥΞΗ : 1ΕΑ/2022</t>
  </si>
  <si>
    <t>ΣΕΙΡΑ ΚΑΤΑΤΑΞΗΣ</t>
  </si>
  <si>
    <t>ΔΕΥΤΕΡΟΒΑΘΜΙΑΣ ΕΚΠΑΙΔΕΥΣΗΣ (ΔΕ)</t>
  </si>
  <si>
    <t>ΔΕ01 ΕΙΔΙΚΟΥ ΒΟΗΘΗΤΙΚΟΥ ΠΡΟΣΩΠΙΚΟΥ (ΘΕΣΗ 101)</t>
  </si>
  <si>
    <t>Α/Α</t>
  </si>
  <si>
    <t>Α.Μ.</t>
  </si>
  <si>
    <t>ΕΠΩΝΥΜΟ</t>
  </si>
  <si>
    <t>ΟΝΟΜΑ</t>
  </si>
  <si>
    <t>ΠΑΤΡΩΝΥΜΟ</t>
  </si>
  <si>
    <t>Α.Δ.Τ.</t>
  </si>
  <si>
    <t>ΜΟΝΑΔΙΚΟΣ ΚΩΔΙΚΟΣ</t>
  </si>
  <si>
    <t>ΒΑΘΜΟΛΟΓΙΑ</t>
  </si>
  <si>
    <t>ΣΙΣΜΑΝΙΔΟΥ</t>
  </si>
  <si>
    <t>ΚΑΤΙΝΑ</t>
  </si>
  <si>
    <t>ΓΡΗΓΟΡΙΟΣ</t>
  </si>
  <si>
    <t>Μ555694</t>
  </si>
  <si>
    <t>ΜΠΙΝΙΑΡΗ</t>
  </si>
  <si>
    <t>ΓΕΩΡΓΙΟΣ</t>
  </si>
  <si>
    <t>ΑΒ264736</t>
  </si>
  <si>
    <t>ΕΛΙΣΣΑΒΕΤ</t>
  </si>
  <si>
    <t>ΙΩΑΝΝΗΣ</t>
  </si>
  <si>
    <t>ΔΟΒΑ</t>
  </si>
  <si>
    <t>ΙΩΑΝΝΑ</t>
  </si>
  <si>
    <t>ΧΑΡΙΛΑΟΣ</t>
  </si>
  <si>
    <t>ΑΡ343040</t>
  </si>
  <si>
    <t>ΒΕΤΣΙΚΑ</t>
  </si>
  <si>
    <t>ΕΥΑΓΓΕΛΙΑ</t>
  </si>
  <si>
    <t>Χ638703</t>
  </si>
  <si>
    <t>ΠΑΠΠΑ</t>
  </si>
  <si>
    <t>ΜΑΡΙΑ</t>
  </si>
  <si>
    <t>ΒΑΣΙΛΕΙΟΣ</t>
  </si>
  <si>
    <t>ΑΖ799911</t>
  </si>
  <si>
    <t>ΤΣΑΚΩΝΑ</t>
  </si>
  <si>
    <t>ΕΙΡΗΝΗ</t>
  </si>
  <si>
    <t>ΗΛΙΑΣ</t>
  </si>
  <si>
    <t>ΑΙ794669</t>
  </si>
  <si>
    <t>ΤΣΙΛΙΚΑ</t>
  </si>
  <si>
    <t>ΠΑΡΑΣΚΕΥΗ</t>
  </si>
  <si>
    <t>ΔΗΜΗΤΡΙΟΣ</t>
  </si>
  <si>
    <t>Ρ232651</t>
  </si>
  <si>
    <t>ΤΣΙΛΙΚΟΥ</t>
  </si>
  <si>
    <t>ΑΙΚΑΤΕΡΙΝΗ</t>
  </si>
  <si>
    <t>ΑΜ773252</t>
  </si>
  <si>
    <t>ΒΑΤΖΑΝΟ</t>
  </si>
  <si>
    <t>ΚΑΡΜΕΛΑ</t>
  </si>
  <si>
    <t>ΠΙΕΤΡΟ</t>
  </si>
  <si>
    <t>Χ972153</t>
  </si>
  <si>
    <t>ΠΟΛΥΖΟΥ</t>
  </si>
  <si>
    <t>ΠΟΛΥΞΕΝΗ</t>
  </si>
  <si>
    <t>Χ478331</t>
  </si>
  <si>
    <t>ΣΜΙΛΙΔΟΥ</t>
  </si>
  <si>
    <t>ΝΙΚΟΛΕΤΑ</t>
  </si>
  <si>
    <t>ΠΕΤΡΟΣ</t>
  </si>
  <si>
    <t>ΑΚ921709</t>
  </si>
  <si>
    <t>ΕΛΕΝΗ</t>
  </si>
  <si>
    <t>ΑΠΟΣΤΟΛΟΣ</t>
  </si>
  <si>
    <t>ΚΑΡΑΛΑΝΙΔΟΥ</t>
  </si>
  <si>
    <t>ΜΑΚΡΙΝΑ</t>
  </si>
  <si>
    <t>ΠΑΣΧΑΛΗΣ</t>
  </si>
  <si>
    <t>Χ438829</t>
  </si>
  <si>
    <t>ΑΝΤΩΝΙΟΥ</t>
  </si>
  <si>
    <t>ΜΑΛΑΜΑΤΗ</t>
  </si>
  <si>
    <t>ΜΙΧΑΗΛ</t>
  </si>
  <si>
    <t>ΑΜ674424</t>
  </si>
  <si>
    <t>ΤΣΟΥΚΝΙΔΑ</t>
  </si>
  <si>
    <t>ΝΕΚΤΑΡΙΑ</t>
  </si>
  <si>
    <t>Χ509292</t>
  </si>
  <si>
    <t>ΦΩΤΙΑΔΟΥ</t>
  </si>
  <si>
    <t>ΧΡΗΣΤΟΣ</t>
  </si>
  <si>
    <t>ΑΖ349036</t>
  </si>
  <si>
    <t>ΧΑΝΤΖΑΡΙΔΟΥ</t>
  </si>
  <si>
    <t>ΕΛΙΣΑΒΕΤ</t>
  </si>
  <si>
    <t>ΚΛΗΜΗΣ</t>
  </si>
  <si>
    <t>ΑΚ891915</t>
  </si>
  <si>
    <t>ΜΙΧΑΗΛΙΔΟΥ</t>
  </si>
  <si>
    <t>ΤΡΙΑΝΤΑΦΥΛΛΙΑ ΜΑΡΙΑ</t>
  </si>
  <si>
    <t>ΠΡΟΥΣΕΥΣ</t>
  </si>
  <si>
    <t>Χ579018</t>
  </si>
  <si>
    <t>ΜΑΝΤΑΛΙΔΟΥ</t>
  </si>
  <si>
    <t>ΚΥΡΙΑΚΟΣ</t>
  </si>
  <si>
    <t>ΑΕ863907</t>
  </si>
  <si>
    <t>ΚΩΝΣΤΑΝΤΙΝΟΣ</t>
  </si>
  <si>
    <t>ΚΟΥΡΗ</t>
  </si>
  <si>
    <t>ΕΥΓΕΝΙΟΣ</t>
  </si>
  <si>
    <t>ΑΖ837614</t>
  </si>
  <si>
    <t>ΜΠΑΚΑΤΣΑΚΗ</t>
  </si>
  <si>
    <t>ΑΗ472763</t>
  </si>
  <si>
    <t>ΣΚΙΡΤΑ</t>
  </si>
  <si>
    <t>ΓΕΩΡΓΙΑ</t>
  </si>
  <si>
    <t>ΑΕ409512</t>
  </si>
  <si>
    <t>ΤΑΤΙΓΙΑΝΝΗ</t>
  </si>
  <si>
    <t>ΑΝΑΣΤΑΣΙΟΣ</t>
  </si>
  <si>
    <t>Τ373372</t>
  </si>
  <si>
    <t>ΓΕΩΡΓΙΟΥ</t>
  </si>
  <si>
    <t>ΑΡΣΕΝΙΟΣ</t>
  </si>
  <si>
    <t>ΑΙ260026</t>
  </si>
  <si>
    <t>ΚΕΡΛΟΒΑ</t>
  </si>
  <si>
    <t>ΑΝΝΑ</t>
  </si>
  <si>
    <t>Χ890668</t>
  </si>
  <si>
    <t>ΜΗΛΗ</t>
  </si>
  <si>
    <t>ΔΗΜΗΤΡΑ</t>
  </si>
  <si>
    <t>ΦΙΛΙΠΠΟΣ</t>
  </si>
  <si>
    <t>Ν662723</t>
  </si>
  <si>
    <t>ΘΕΟΧΑΡΟΠΟΥΛΟΥ</t>
  </si>
  <si>
    <t>ΗΛΙΑΝΑ</t>
  </si>
  <si>
    <t>ΟΡΕΣΤΗΣ</t>
  </si>
  <si>
    <t>ΑΟ403761</t>
  </si>
  <si>
    <t>ΔΕΡΔΕΛΑΚΟΥ</t>
  </si>
  <si>
    <t>Χ576853</t>
  </si>
  <si>
    <t>ΓΚΙΟΥΛΟΓΛΟΥ</t>
  </si>
  <si>
    <t>ΠΑΝΑΓΙΩΤΑ</t>
  </si>
  <si>
    <t>ΑΝ094844</t>
  </si>
  <si>
    <t>ΜΠΑΦΑ</t>
  </si>
  <si>
    <t>ΑΚ383495</t>
  </si>
  <si>
    <t>ΣΤΑΥΡΟΥ</t>
  </si>
  <si>
    <t>ΝΙΚΗ</t>
  </si>
  <si>
    <t>ΜΠΑΞΕΒΑΝΗ</t>
  </si>
  <si>
    <t>ΠΑΝΑΓΙΩΤΗΣ</t>
  </si>
  <si>
    <t>Χ317957</t>
  </si>
  <si>
    <t>ΣΟΚΟΡΗ</t>
  </si>
  <si>
    <t>ΜΑΡΙΑ ΕΙΡΗΝΗ</t>
  </si>
  <si>
    <t>ΑΙ897318</t>
  </si>
  <si>
    <t>ΤΣΙΡΙΓΩΤΗ</t>
  </si>
  <si>
    <t>ΜΑΡΙΑ ΑΓΓΕΛΙΚΗ</t>
  </si>
  <si>
    <t>ΕΥΑΓΓΕΛΟΣ</t>
  </si>
  <si>
    <t>ΑΕ984148</t>
  </si>
  <si>
    <t>ΑΝΤΙΓΟΝΗ</t>
  </si>
  <si>
    <t>ΠΑΠΑΟΙΚΟΝΟΜΟΥ</t>
  </si>
  <si>
    <t>ΞΑΝΘΙΠΠΗ</t>
  </si>
  <si>
    <t>Χ700899</t>
  </si>
  <si>
    <t>ΝΑΙ</t>
  </si>
  <si>
    <t>ΓΙΟΥΡΟΥ</t>
  </si>
  <si>
    <t>ΑΝΑΣΤΑΣΙΑ</t>
  </si>
  <si>
    <t>ΑΝ898909</t>
  </si>
  <si>
    <t>ΝΙΤΗ</t>
  </si>
  <si>
    <t>ΚΕΡΑΣΙΑ</t>
  </si>
  <si>
    <t>ΝΙΚΟΛΑΟΣ</t>
  </si>
  <si>
    <t>Χ601592</t>
  </si>
  <si>
    <t>ΜΙΓΚΟΥ</t>
  </si>
  <si>
    <t>ΣΤΑΜΑΤΙΑ</t>
  </si>
  <si>
    <t>ΠΟΛΥΝΙΚΗΣ</t>
  </si>
  <si>
    <t>ΑΡ342431</t>
  </si>
  <si>
    <t>ΤΣΙΚΑ</t>
  </si>
  <si>
    <t>ΑΘΗΝΑ</t>
  </si>
  <si>
    <t>ΑΕ331241</t>
  </si>
  <si>
    <t>ΜΑΖΩΝΑΚΗ</t>
  </si>
  <si>
    <t>Π202361</t>
  </si>
  <si>
    <t>ΘΕΟΔΩΡΑ</t>
  </si>
  <si>
    <t>ΚΑΤΡΑΚΑΖΟΥ</t>
  </si>
  <si>
    <t>ΚΥΡΙΑΚΗ</t>
  </si>
  <si>
    <t>ΠΑΡΙΣ</t>
  </si>
  <si>
    <t>ΑΖ636391</t>
  </si>
  <si>
    <t>ΜΠΡΙΝΙΑ</t>
  </si>
  <si>
    <t>ΑΕ005501</t>
  </si>
  <si>
    <t xml:space="preserve">ΦΡΑΓΚΙΑΔΑΚΗ </t>
  </si>
  <si>
    <t>ΑΜ959762</t>
  </si>
  <si>
    <t>ΚΑΡΑΜΠΙΝΗ</t>
  </si>
  <si>
    <t>ΑΔΑΜΑΝΤΙΑ</t>
  </si>
  <si>
    <t>ΑΘΑΝΑΣΙΟΣ</t>
  </si>
  <si>
    <t>ΑΖ779507</t>
  </si>
  <si>
    <t>ΖΗΛΙΔΟΥ</t>
  </si>
  <si>
    <t>ΣΟΦΙΑ</t>
  </si>
  <si>
    <t>ΑΙ347570</t>
  </si>
  <si>
    <t>ΠΕΛΕΚΑΝΟΥ</t>
  </si>
  <si>
    <t>ΑΙ117059</t>
  </si>
  <si>
    <t>ΒΑΣΙΛΕΙΟΥ</t>
  </si>
  <si>
    <t>ΒΑΣΙΛΙΚΗ</t>
  </si>
  <si>
    <t>ΑΝΔΡΕΑΣ</t>
  </si>
  <si>
    <t>Τ239646</t>
  </si>
  <si>
    <t>ΧΟΥΝΤΑΛΑ</t>
  </si>
  <si>
    <t>ΑΘΑΝΑΣΙΑ</t>
  </si>
  <si>
    <t>ΘΕΟΦΑΝΗΣ</t>
  </si>
  <si>
    <t>ΡΟΚΑ</t>
  </si>
  <si>
    <t>ΖΩΗ</t>
  </si>
  <si>
    <t>ΑΙ988263</t>
  </si>
  <si>
    <t>ΧΑΤΟΥΠΗ</t>
  </si>
  <si>
    <t>ΑΚ487013</t>
  </si>
  <si>
    <t>ΚΟΡΔΕΛΛΙΔΟΥ</t>
  </si>
  <si>
    <t>ΔΕΣΠΟΙΝΑ</t>
  </si>
  <si>
    <t>ΘΕΟΦΙΛΟΣ</t>
  </si>
  <si>
    <t>ΑΜ285682</t>
  </si>
  <si>
    <t>ΠΑΠΑΔΟΠΟΥΛΟΥ</t>
  </si>
  <si>
    <t>ΑΛΕΞΑΝΔΡΑ</t>
  </si>
  <si>
    <t>ΑΛΕΒΙΖΟΥ</t>
  </si>
  <si>
    <t>ΑΙ393642</t>
  </si>
  <si>
    <t>ΣΧΙΣΤΟΧΕΙΛΗ</t>
  </si>
  <si>
    <t>Φ135743</t>
  </si>
  <si>
    <t>ΤΑΜΠΟΥΡΗ</t>
  </si>
  <si>
    <t>ΚΩΝΣΤΑΝΤΙΝΑ</t>
  </si>
  <si>
    <t>ΑΙ243025</t>
  </si>
  <si>
    <t>ΕΜΜΑΝΟΥΗΛ</t>
  </si>
  <si>
    <t>ΑΝ679728</t>
  </si>
  <si>
    <t>ΑΝΔΡΕΑΔΕΛΛΗ</t>
  </si>
  <si>
    <t>ΜΙΛΤΙΑΔΗΣ</t>
  </si>
  <si>
    <t>ΑΚ452375</t>
  </si>
  <si>
    <t>ΧΑΛΚΙΔΟΥ</t>
  </si>
  <si>
    <t>ΑΝΑΣΤΑΣΙΑ ΑΝΑΗΣ</t>
  </si>
  <si>
    <t>ΑΗ318471</t>
  </si>
  <si>
    <t>ΝΙΚΟΛΟΠΟΥΛΟΥ</t>
  </si>
  <si>
    <t>ΣΤΡΑΤΟΥΛΑ</t>
  </si>
  <si>
    <t>ΑΜ345774</t>
  </si>
  <si>
    <t>ΚΟΥΛΙΕΡΗ</t>
  </si>
  <si>
    <t>ΑΚ474037</t>
  </si>
  <si>
    <t>ΧΑΛΙΔΙΑ</t>
  </si>
  <si>
    <t>ΑΒ414844</t>
  </si>
  <si>
    <t>ΚΑΡΑΒΑ</t>
  </si>
  <si>
    <t>ΑΜ387117</t>
  </si>
  <si>
    <t>ΠΕΤΡΑΚΗ</t>
  </si>
  <si>
    <t>ΑΓΓΕΛΙΚΗ</t>
  </si>
  <si>
    <t>ΑΡ297311</t>
  </si>
  <si>
    <t>ΤΣΑΚΑΛΙΔΟΥ</t>
  </si>
  <si>
    <t>Χ818984</t>
  </si>
  <si>
    <t>ΧΑΤΖΗΔΑΚΗ</t>
  </si>
  <si>
    <t>ΕΛΕΥΘΕΡΙΑ</t>
  </si>
  <si>
    <t>ΣΤΑΜΑΤΙΟΣ</t>
  </si>
  <si>
    <t>ΑΕ975491</t>
  </si>
  <si>
    <t>ΤΖΙΑΛΟΠΟΥΛΟΥ</t>
  </si>
  <si>
    <t>Χ182404</t>
  </si>
  <si>
    <t>ΧΑΤΖΗΒΑΣΙΛΕΙΟΥ</t>
  </si>
  <si>
    <t>ΚΑΛΛΙΟΠΗ</t>
  </si>
  <si>
    <t>ΑΙ601689</t>
  </si>
  <si>
    <t>ΜΑΡΓΑΡΙΤΗ</t>
  </si>
  <si>
    <t>ΓΡΑΜΜΕΝΟΣ</t>
  </si>
  <si>
    <t>Π246482</t>
  </si>
  <si>
    <t>ΤΣΙΑΚΟΥΜΑΚΗ</t>
  </si>
  <si>
    <t>ΑΙ246218</t>
  </si>
  <si>
    <t>ΧΡΟΝΗ</t>
  </si>
  <si>
    <t>ΕΥΘΥΜΙΟΣ</t>
  </si>
  <si>
    <t>ΑΑ359933</t>
  </si>
  <si>
    <t>ΣΙΓΑΛΑ</t>
  </si>
  <si>
    <t>ΧΑΡΑΛΑΜΠΟΣ</t>
  </si>
  <si>
    <t>Σ601784</t>
  </si>
  <si>
    <t>ΑΡΑΧΩΒΙΤΗ</t>
  </si>
  <si>
    <t>ΑΜ108659</t>
  </si>
  <si>
    <t>ΔΕΛΗΜΙΧΑΛΗ</t>
  </si>
  <si>
    <t>ΒΑΣΙΑ</t>
  </si>
  <si>
    <t>ΤΕΡΝΕΝΟΠΟΥΛΟΥ</t>
  </si>
  <si>
    <t>ΒΑIA</t>
  </si>
  <si>
    <t>ΕΛΕΥΘΕΡΙΟΣ</t>
  </si>
  <si>
    <t>Ρ875266</t>
  </si>
  <si>
    <t>ΠΟΥΛΙΚΟΣ</t>
  </si>
  <si>
    <t>ΒΟΥΤΣΙΝΑ</t>
  </si>
  <si>
    <t>ΓΕΩΡΓΙΑ ΕΛΕΝΗ</t>
  </si>
  <si>
    <t>ΑΝΤΩΝΙΟΣ</t>
  </si>
  <si>
    <t>Φ150748</t>
  </si>
  <si>
    <t>ΣΤΑΜΠΟΥΛΗ</t>
  </si>
  <si>
    <t>ΚΑΜΠΑΝΗ</t>
  </si>
  <si>
    <t>ΑΗ350192</t>
  </si>
  <si>
    <t>ΓΡΑΒΒΑΝΗ</t>
  </si>
  <si>
    <t>ΔΗΜΗΤΡΟΥΛΑ</t>
  </si>
  <si>
    <t>ΑΜ610972</t>
  </si>
  <si>
    <t>ΚΑΣΣΙΜΗ</t>
  </si>
  <si>
    <t>ΘΡΑΣΥΒΟΥΛΟΣ</t>
  </si>
  <si>
    <t>ΑΚ387777</t>
  </si>
  <si>
    <t>ΖΑΡΑΚΕΛΗ</t>
  </si>
  <si>
    <t>ΧΡΥΣΟΥΛΑ</t>
  </si>
  <si>
    <t>Χ843948</t>
  </si>
  <si>
    <t>ΖΑΡΚΑΔΑ</t>
  </si>
  <si>
    <t>ΧΡΥΣΑΝΘΗ</t>
  </si>
  <si>
    <t>ΠΑΥΛΟΣ</t>
  </si>
  <si>
    <t>ΑΙ475146</t>
  </si>
  <si>
    <t>ΒΑΣΙΛΑΚΗ</t>
  </si>
  <si>
    <t>ΜΑΛΒΙΝΑ</t>
  </si>
  <si>
    <t>ΑΙ954739</t>
  </si>
  <si>
    <t>ΓΟΥΛΑ</t>
  </si>
  <si>
    <t>ΠΕΛΑΓΙΑ</t>
  </si>
  <si>
    <t>Σ887074</t>
  </si>
  <si>
    <t>ΠΑΥΛΙΔΟΥ</t>
  </si>
  <si>
    <t>ΑΝΤΩΝΙΑ</t>
  </si>
  <si>
    <t>ΑΖ807685</t>
  </si>
  <si>
    <t>ΓΚΕΣΟΠΟΥΛΟΥ</t>
  </si>
  <si>
    <t>ΑΗ302664</t>
  </si>
  <si>
    <t>ΤΟΠΤΣΙΚΙΩΤΗ</t>
  </si>
  <si>
    <t>ΜΑΓΔΑΛΗΝΗ</t>
  </si>
  <si>
    <t>ΑΝ775231</t>
  </si>
  <si>
    <t>ΣΙΑΛΔΑ</t>
  </si>
  <si>
    <t>ΓΑΡΥΦΑΛΛΙΑ</t>
  </si>
  <si>
    <t>ΑΚ301486</t>
  </si>
  <si>
    <t>ΑΝ268739</t>
  </si>
  <si>
    <t>ΚΑΡΥΟΦΥΛΛΗ</t>
  </si>
  <si>
    <t>ΚΡΥΣΤΑΛΛΕΝΙΑ</t>
  </si>
  <si>
    <t>ΑΗ348417</t>
  </si>
  <si>
    <t>ΠΟΥΡΝΑΡΚΑ</t>
  </si>
  <si>
    <t>ΣΤΑΥΡΟΥΛΑ</t>
  </si>
  <si>
    <t>Χ315392</t>
  </si>
  <si>
    <t>ΜΕΡΙΑΝΟΥ</t>
  </si>
  <si>
    <t>ΣΠΥΡΙΔΟΥΛΑ</t>
  </si>
  <si>
    <t>Ρ861442</t>
  </si>
  <si>
    <t>ΚΟΥΡΟΥΣΗ</t>
  </si>
  <si>
    <t>ΑΣΠΑΣΙΑ</t>
  </si>
  <si>
    <t>ΑΟ050029</t>
  </si>
  <si>
    <t>ΚΟΥΚΟΥΓΕΩΡΓΟΥ</t>
  </si>
  <si>
    <t>ΓΕΡΑΚΙΝΑ</t>
  </si>
  <si>
    <t>Ρ906164</t>
  </si>
  <si>
    <t>ΣΦΑΚΙΑΝΑΚΗ</t>
  </si>
  <si>
    <t>ΑΟ793758</t>
  </si>
  <si>
    <t>ΠΑΓΚΟΥΡΕΛΙΑ</t>
  </si>
  <si>
    <t>ΖΑΜΠΟΥΡΛΗ</t>
  </si>
  <si>
    <t>ΔΗΜΟΣ</t>
  </si>
  <si>
    <t>Ρ847188</t>
  </si>
  <si>
    <t>ΠΗΛΙΧΟΥ</t>
  </si>
  <si>
    <t>ΠΑΓΩΝΑ</t>
  </si>
  <si>
    <t>ΠΑΝΑΓΙΩΤ</t>
  </si>
  <si>
    <t>Ν574647</t>
  </si>
  <si>
    <t>ΜΑΡΙΝΟΥ ΞΑΝΘΟΥ</t>
  </si>
  <si>
    <t>Σ678845</t>
  </si>
  <si>
    <t>ΕΥΑΓΓΕΛΑΚΗ</t>
  </si>
  <si>
    <t>ΔΑΝΑΗ</t>
  </si>
  <si>
    <t>ΑΗ815043</t>
  </si>
  <si>
    <t>ΝΤΖΙΒΑΝΑΚΗ</t>
  </si>
  <si>
    <t>ΖΑΧΑΡΙΑΣ</t>
  </si>
  <si>
    <t>Φ058329</t>
  </si>
  <si>
    <t>ΜΕΛΙΣΣΑΡΗ</t>
  </si>
  <si>
    <t>ΑΚ549657</t>
  </si>
  <si>
    <t>ΚΑΛΟΣΑΚΑΣ</t>
  </si>
  <si>
    <t>ΓΕΩΡΓ</t>
  </si>
  <si>
    <t>Χ213281</t>
  </si>
  <si>
    <t>ΔΗΜΟΥ</t>
  </si>
  <si>
    <t>Φ213464</t>
  </si>
  <si>
    <t>ΤΖΙΩΝΑ</t>
  </si>
  <si>
    <t>ΕΥΜΟΡΦΙΑ</t>
  </si>
  <si>
    <t>ΑΟ221984</t>
  </si>
  <si>
    <t>ΛΑΜΠΡΟΠΟΥΛΟΥ</t>
  </si>
  <si>
    <t>ΑΝ670191</t>
  </si>
  <si>
    <t>ΚΟΥΤΣΟΥΒΕΛΗ</t>
  </si>
  <si>
    <t>ΒΛΑΣΙΟΣ</t>
  </si>
  <si>
    <t>Ρ906345</t>
  </si>
  <si>
    <t>ΑΖΑΠΗ</t>
  </si>
  <si>
    <t>ΘΕΟΔΩΡΟΣ</t>
  </si>
  <si>
    <t>ΑΖ935105</t>
  </si>
  <si>
    <t>ΤΙΦΙΛΙΔΟΥ</t>
  </si>
  <si>
    <t>Χ318271</t>
  </si>
  <si>
    <t>ΓΙΩΤΗ</t>
  </si>
  <si>
    <t>ΑΕ230910</t>
  </si>
  <si>
    <t>ΤΑΤΣΙΔΟΥ</t>
  </si>
  <si>
    <t>ΠΑΡΘΕΝΑ</t>
  </si>
  <si>
    <t>ΑΝ120432</t>
  </si>
  <si>
    <t>ΒΑΣΤΑΡΟΥΧΑ</t>
  </si>
  <si>
    <t>ΑΡΕΤΗ</t>
  </si>
  <si>
    <t>ΑΧΙΛΛΕΥΣ</t>
  </si>
  <si>
    <t>ΑΖ777120</t>
  </si>
  <si>
    <t>ΧΑΡΜΠΟΥΡΟΥ</t>
  </si>
  <si>
    <t>ΟΛΓΑ</t>
  </si>
  <si>
    <t>ΣΠΥΡΙΔΩΝ</t>
  </si>
  <si>
    <t>ΑΚ543060</t>
  </si>
  <si>
    <t>ΚΑΡΚΑ</t>
  </si>
  <si>
    <t>ΛΕΩΝΙΔΑΣ</t>
  </si>
  <si>
    <t>ΑΡ074944</t>
  </si>
  <si>
    <t>ΑΠΟΣΤΟΛΙΔΟΥ</t>
  </si>
  <si>
    <t>ΘΕΑΝΩ</t>
  </si>
  <si>
    <t>ΑΕ901861</t>
  </si>
  <si>
    <t>ΒΑΡΚΑΔΟΥ</t>
  </si>
  <si>
    <t>ΣΤΥΛΙΑΝΗ ΕΙΡΗΝΗ</t>
  </si>
  <si>
    <t>ΑΚ046611</t>
  </si>
  <si>
    <t>ΠΑΤΣΙΟΥ</t>
  </si>
  <si>
    <t>ΕΛΠΙΔΑ</t>
  </si>
  <si>
    <t>ΑΚ371327</t>
  </si>
  <si>
    <t>ΗΛΙΑΔΟΥ</t>
  </si>
  <si>
    <t>ΑΝΔΡΙΑΝΗ</t>
  </si>
  <si>
    <t>Φ021629</t>
  </si>
  <si>
    <t>ΜΠΑΛΑΝΙΚΑ</t>
  </si>
  <si>
    <t>ΜΑΡΙΟΣ</t>
  </si>
  <si>
    <t>ΑΑ396177</t>
  </si>
  <si>
    <t>ΚΑΛΟΓΕΡΑΚΗ</t>
  </si>
  <si>
    <t>Τ243551</t>
  </si>
  <si>
    <t>ΝΕΟΦΥΤΙΔΟΥ</t>
  </si>
  <si>
    <t>ΡΟΔΑΜΑ</t>
  </si>
  <si>
    <t>ΑΖ293706</t>
  </si>
  <si>
    <t>ΤΣΑΒΔΑΡΗ</t>
  </si>
  <si>
    <t>ΖΑΧΑΡΩ</t>
  </si>
  <si>
    <t>ΑΟ287984</t>
  </si>
  <si>
    <t>ΣΑΡΗΒΑΣΙΛΗ</t>
  </si>
  <si>
    <t>ΧΡΙΣΤΙΑΝΑ</t>
  </si>
  <si>
    <t>ΑΗ851889</t>
  </si>
  <si>
    <t>ΝΤΑΦΟΥ</t>
  </si>
  <si>
    <t>ΘΩΜΑΣ</t>
  </si>
  <si>
    <t>ΑΙ534878</t>
  </si>
  <si>
    <t>ΤΡΕΥΛΑΚΗ</t>
  </si>
  <si>
    <t>ΑΜ460930</t>
  </si>
  <si>
    <t>ΠΟΥΠΑ</t>
  </si>
  <si>
    <t>ΑΡΓΥΡΗ</t>
  </si>
  <si>
    <t>ΘΕΜΙΣΤΟΚΛΗΣ</t>
  </si>
  <si>
    <t>Σ368544</t>
  </si>
  <si>
    <t>ΓΑΛΙΑΝΟΥ</t>
  </si>
  <si>
    <t xml:space="preserve"> ΣΟΦΙΑ</t>
  </si>
  <si>
    <t>ΕΥΣΤΡΑΤΙΟΣ</t>
  </si>
  <si>
    <t>ΑΝ090400</t>
  </si>
  <si>
    <t>ΚΑΛΥΒΑ</t>
  </si>
  <si>
    <t>Σ023454</t>
  </si>
  <si>
    <t>ΑΠΟΣΤΟΛΟΠΟΥΛΟΥ</t>
  </si>
  <si>
    <t>ΝΑΤΑΛΙΑ</t>
  </si>
  <si>
    <t>ΑΖ579584</t>
  </si>
  <si>
    <t>ΜΠΑΟΥ</t>
  </si>
  <si>
    <t>ΕΠΑΜΕΙΝΩΝΔΑΣ</t>
  </si>
  <si>
    <t>ΑΖ482086</t>
  </si>
  <si>
    <t>ΞΥΔΙΑ</t>
  </si>
  <si>
    <t>Τ888479</t>
  </si>
  <si>
    <t>ΜΟΥΓΙΟΥ</t>
  </si>
  <si>
    <t>Ν489955</t>
  </si>
  <si>
    <t>ΤΖΙΕΡΤΖΗ</t>
  </si>
  <si>
    <t>ΜΑΡΓΑΡΙΤΑ</t>
  </si>
  <si>
    <t>ΑΗ915129</t>
  </si>
  <si>
    <t>ΖΑΜΑΝΑΚΟΥ</t>
  </si>
  <si>
    <t>ΣΤΕΡΓΙΑΝΗ</t>
  </si>
  <si>
    <t>ΑΡ235830</t>
  </si>
  <si>
    <t>ΧΡΥΣΙΚΟΥ</t>
  </si>
  <si>
    <t>ΜΑΡΙΝΑ</t>
  </si>
  <si>
    <t>Χ665447</t>
  </si>
  <si>
    <t>ΚΑΣΤΡΙΤΣΗ</t>
  </si>
  <si>
    <t>ΑΙ185776</t>
  </si>
  <si>
    <t>ΚΑΡΑΚΩΣΤΑ</t>
  </si>
  <si>
    <t>ΑΝ796753</t>
  </si>
  <si>
    <t>ΛΕΙΒΑΔΙΩΤΟΥ</t>
  </si>
  <si>
    <t>ΔΑΦΝΗ</t>
  </si>
  <si>
    <t>ΑΚ997918</t>
  </si>
  <si>
    <t>ΕΥΣΤΑΘΙΑΔΟΥ</t>
  </si>
  <si>
    <t>ΕΥΣΤΑΘΙΟΣ</t>
  </si>
  <si>
    <t>ΑΡ271433</t>
  </si>
  <si>
    <t>ΣΑΡΑΝΤΟΠΟΥΛΟΥ</t>
  </si>
  <si>
    <t>ΝΙΚΟΛΙΑ</t>
  </si>
  <si>
    <t>ΑΝ817481</t>
  </si>
  <si>
    <t>ΙΩΑΝΝΙΔΟΥ</t>
  </si>
  <si>
    <t>Χ894357</t>
  </si>
  <si>
    <t>ΔΡΟΣΟΥ</t>
  </si>
  <si>
    <t>ΚΑΤΕΡΙΝΑ</t>
  </si>
  <si>
    <t>ΛΟΥΚΑΣ</t>
  </si>
  <si>
    <t>ΑΟ075866</t>
  </si>
  <si>
    <t>ΒΟΥΛΚΙΔΗ ΚΑΤΣΙΚΑΡΕΛΗ</t>
  </si>
  <si>
    <t>ΑΚ537031</t>
  </si>
  <si>
    <t>ΜΟΣΧΙΔΟΥ</t>
  </si>
  <si>
    <t>ΚΑΡΙΟΦΥΛΛΗΣ</t>
  </si>
  <si>
    <t>ΑΖ204335</t>
  </si>
  <si>
    <t>ΛΙΑΚΟΠΟΥΛΟΥ</t>
  </si>
  <si>
    <t>ΑΒ217435</t>
  </si>
  <si>
    <t>ΖΩΤΟΥ</t>
  </si>
  <si>
    <t>ΑΜ302502</t>
  </si>
  <si>
    <t>ΑΜΠΛΙΑΝΙΤΗ</t>
  </si>
  <si>
    <t>ΑΟ334326</t>
  </si>
  <si>
    <t>ΚΑΤΣΑΡΗ</t>
  </si>
  <si>
    <t>ΑΦΡΟΔΙΤΗ</t>
  </si>
  <si>
    <t>ΑΑ267901</t>
  </si>
  <si>
    <t>ΚΟΝΔΥΛΗ</t>
  </si>
  <si>
    <t>ΣΤΑΥΡΟΣ</t>
  </si>
  <si>
    <t>ΑΝ221118</t>
  </si>
  <si>
    <t>ΚΑΡΑΝΙΚΟΛΑΟΥ</t>
  </si>
  <si>
    <t>ΑΝ336137</t>
  </si>
  <si>
    <t>ΑΚ964255</t>
  </si>
  <si>
    <t>ΓΚΕΝΤΖΟΓΛΑΝΗΣ</t>
  </si>
  <si>
    <t>ΑΒ482992</t>
  </si>
  <si>
    <t>ΚΑΠΕΤΑΝΟΠΟΥΛΟΥ</t>
  </si>
  <si>
    <t>Π453877</t>
  </si>
  <si>
    <t>ΤΣΕΛΙΟΥ</t>
  </si>
  <si>
    <t>Χ891563</t>
  </si>
  <si>
    <t>ΣΑΜΙΟΥ</t>
  </si>
  <si>
    <t>ΟΥΡΑΝΙΑ</t>
  </si>
  <si>
    <t>ΑΕ111439</t>
  </si>
  <si>
    <t>ΓΚΕΖΕΡΗ</t>
  </si>
  <si>
    <t>ΓΕΡΑΣΙΜΟΣ</t>
  </si>
  <si>
    <t>ΑΗ244970</t>
  </si>
  <si>
    <t>ΔΕΔΕ</t>
  </si>
  <si>
    <t>Τ254904</t>
  </si>
  <si>
    <t>ΠΡΕΚΑ</t>
  </si>
  <si>
    <t>ΑΟ812313</t>
  </si>
  <si>
    <t>ΣΚΑΡΒΕΛΗ</t>
  </si>
  <si>
    <t>ΑΙ312133</t>
  </si>
  <si>
    <t>ΔΑΛΑΜΑΓΚΑ</t>
  </si>
  <si>
    <t>ΤΡΙΑΝΤΑΦΥΛΛΟΣ</t>
  </si>
  <si>
    <t>ΑΖ277336</t>
  </si>
  <si>
    <t>ΤΣΕΚΟΥΡΑ</t>
  </si>
  <si>
    <t>Χ274265</t>
  </si>
  <si>
    <t>ΚΑΤΩΓΑ</t>
  </si>
  <si>
    <t>ΦΩΤΕΙΝΗ</t>
  </si>
  <si>
    <t>ΑΒ504711</t>
  </si>
  <si>
    <t>ΚΑΤΣΙΟΥΛΑ</t>
  </si>
  <si>
    <t>ΑΜ364555</t>
  </si>
  <si>
    <t>ΠΕΡΙΒΟΛΑ</t>
  </si>
  <si>
    <t>ΑΒ773549</t>
  </si>
  <si>
    <t>ΕΥΓΕΝΙΚΟΥ</t>
  </si>
  <si>
    <t>ΑΖ180722</t>
  </si>
  <si>
    <t>ΣΩΤΗΡΙΑ</t>
  </si>
  <si>
    <t>ΑΚ851012</t>
  </si>
  <si>
    <t>ΧΡΟΝΟΠΟΥΛΟΥ</t>
  </si>
  <si>
    <t>ΑΚ368061</t>
  </si>
  <si>
    <t>ΚΑΛΑΤΖΙΝΟΥ</t>
  </si>
  <si>
    <t>ΚΡΥΩΝΑΣ</t>
  </si>
  <si>
    <t>ΑΗ818197</t>
  </si>
  <si>
    <t>ΚΡΑΝΑ</t>
  </si>
  <si>
    <t>ΒΑΙΤΣΑ</t>
  </si>
  <si>
    <t>ΔΗΜΟΣΘΕΝΗΣ</t>
  </si>
  <si>
    <t>Ρ841525</t>
  </si>
  <si>
    <t>ΚΟΥΤΑΛΙΔΟΥ</t>
  </si>
  <si>
    <t>ΑΡΧΟΝΤΙΑ</t>
  </si>
  <si>
    <t>ΑΖ341694</t>
  </si>
  <si>
    <t>ΤΣΙΜΙΤΑΚΗ</t>
  </si>
  <si>
    <t>ΕΥΦΗΜΙΑ</t>
  </si>
  <si>
    <t>ΑΗ684870</t>
  </si>
  <si>
    <t>ΚΟΝΤΟΥ</t>
  </si>
  <si>
    <t>ΑΙ353824</t>
  </si>
  <si>
    <t>ΠΑΝΑΓΙΩΤΟΥ</t>
  </si>
  <si>
    <t>ΑΡΓΥΡΩ ΚΥΡΙΑΚΗ</t>
  </si>
  <si>
    <t>ΑΜ579450</t>
  </si>
  <si>
    <t>ΜΟΣΧΟΥΤΑ</t>
  </si>
  <si>
    <t>ΑΝΘΙΑ</t>
  </si>
  <si>
    <t>ΑΗ860054</t>
  </si>
  <si>
    <t>ΓΙΟΥΡΕΛΗ</t>
  </si>
  <si>
    <t>ΑΚ524868</t>
  </si>
  <si>
    <t>ΤΣΙΡΙΚΑ</t>
  </si>
  <si>
    <t>Χ764104</t>
  </si>
  <si>
    <t>ΑΒ102630</t>
  </si>
  <si>
    <t>ΧΟΥΠΗ</t>
  </si>
  <si>
    <t>ΑΜ260549</t>
  </si>
  <si>
    <t>ΚΑΡΑΘΑΝΟΥ</t>
  </si>
  <si>
    <t>ΑΚ297569</t>
  </si>
  <si>
    <t>ΚΟΛΥΜΕΝΟΥ</t>
  </si>
  <si>
    <t>ΑΟ365674</t>
  </si>
  <si>
    <t>ΜΑΚΡΥΔΑΚΗ</t>
  </si>
  <si>
    <t>ΠΗΝΕΛΟΠΗ</t>
  </si>
  <si>
    <t>ΑΗ056588</t>
  </si>
  <si>
    <t>ΑΜ876021</t>
  </si>
  <si>
    <t>ΑΓΙΑΣΜΑΤΗ</t>
  </si>
  <si>
    <t>ΜΑΡΚΕΛΛΑ</t>
  </si>
  <si>
    <t>ΜΗΝΑΣ</t>
  </si>
  <si>
    <t>ΑΖ435161</t>
  </si>
  <si>
    <t>ΣΑΜΠΑΝΙΩΤΗ</t>
  </si>
  <si>
    <t>Π719472</t>
  </si>
  <si>
    <t>ΜΑΛΛΙΝΗ</t>
  </si>
  <si>
    <t>ΑΖ349217</t>
  </si>
  <si>
    <t>ΝΤΙΚΑ</t>
  </si>
  <si>
    <t>ΑΖ495012</t>
  </si>
  <si>
    <t>ΛΥΜΠΕΡΟΠΟΥΛΟΥ</t>
  </si>
  <si>
    <t>Ξ982246</t>
  </si>
  <si>
    <t>ΦΟΥΚΑ</t>
  </si>
  <si>
    <t>ΑΕ044679</t>
  </si>
  <si>
    <t>ΠΑΛΗΚΑΡΑ</t>
  </si>
  <si>
    <t>ΑΙ553121</t>
  </si>
  <si>
    <t>ΓΙΑΛΕΣΑΚΗ</t>
  </si>
  <si>
    <t>ΕΥΣΕΒΙΑ</t>
  </si>
  <si>
    <t>Σ463474</t>
  </si>
  <si>
    <t>ΤΑΝΑΝΑΚΗ</t>
  </si>
  <si>
    <t>ΑΓΓΕΛΟΣ</t>
  </si>
  <si>
    <t>Σ752565</t>
  </si>
  <si>
    <t>ΠΑΤΣΕΑ</t>
  </si>
  <si>
    <t>ΑΕ247094</t>
  </si>
  <si>
    <t>ΓΕΡΟΛΥΜΑΤΟΥ</t>
  </si>
  <si>
    <t>Ρ775317</t>
  </si>
  <si>
    <t>ΚΑΠΕΤΑΝΑΚΗ</t>
  </si>
  <si>
    <t>Φ252824</t>
  </si>
  <si>
    <t>ΠΑΠΑΧΡΙΣΤΟΠΟΥΛΟΥ</t>
  </si>
  <si>
    <t>ΑΕ233994</t>
  </si>
  <si>
    <t>ΚΩΝΣΤΑΝΤΙΝΙΔΟΥ</t>
  </si>
  <si>
    <t>ΣΤΥΛΙΑΝΗ</t>
  </si>
  <si>
    <t>ΑΒ131884</t>
  </si>
  <si>
    <t>ΤΣΕΡΓΟΥΛΑ</t>
  </si>
  <si>
    <t>Χ978078</t>
  </si>
  <si>
    <t>ΤΣΙΩΛΗ</t>
  </si>
  <si>
    <t>ΖΩΙΤΣΑ</t>
  </si>
  <si>
    <t>ΤΑΞΙΑΡΧΗ</t>
  </si>
  <si>
    <t>Ξ752680</t>
  </si>
  <si>
    <t>ΑΕ401062</t>
  </si>
  <si>
    <t>ΔΡΑΓΓΩΓΙΑ</t>
  </si>
  <si>
    <t>ΣΟΥΛΤΑΝΑ</t>
  </si>
  <si>
    <t>ΑΖ291424</t>
  </si>
  <si>
    <t>ΤΣΙΛΙΓΚΙΡΗ</t>
  </si>
  <si>
    <t>ΛΑΜΠΡΙΝΗ</t>
  </si>
  <si>
    <t>ΑΟ009541</t>
  </si>
  <si>
    <t>ΜΠΟΥΚΟΥΒΑΛΑ</t>
  </si>
  <si>
    <t>ΑΜ620335</t>
  </si>
  <si>
    <t>ΚΟΡΟΠΟΥΛΗ</t>
  </si>
  <si>
    <t>ΑΗ416967</t>
  </si>
  <si>
    <t>ΠΕΤΡΙΔΟΥ</t>
  </si>
  <si>
    <t>ΣΤΕΦΑΝΟΣ</t>
  </si>
  <si>
    <t>ΑΕ423715</t>
  </si>
  <si>
    <t>ΝΑΛΜΠΑΝΤΗ</t>
  </si>
  <si>
    <t>ΑΖ190385</t>
  </si>
  <si>
    <t>ΤΕΛΑΚΗ</t>
  </si>
  <si>
    <t>ΦΑΝΗ</t>
  </si>
  <si>
    <t>ΑΕ458717</t>
  </si>
  <si>
    <t>ΒΛΑΧΟΥ</t>
  </si>
  <si>
    <t>ΑΖ236383</t>
  </si>
  <si>
    <t>ΚΑΡΑΝΤΖΙΑ</t>
  </si>
  <si>
    <t>Χ679753</t>
  </si>
  <si>
    <t>ΠΑΓΟΥΛΑΤΟΥ</t>
  </si>
  <si>
    <t>Ρ784301</t>
  </si>
  <si>
    <t>ΑΘΑΝΑΣΑΚΟΠΟΥΛΟΥ</t>
  </si>
  <si>
    <t>ΑΝ359862</t>
  </si>
  <si>
    <t>ΣΦΑΚΙΩΤΑΚΗ</t>
  </si>
  <si>
    <t>ΦΙΛΙΑ</t>
  </si>
  <si>
    <t>ΠΑΝΤΕΛΗΣ</t>
  </si>
  <si>
    <t>Τ487030</t>
  </si>
  <si>
    <t>ΣΑΧΜΠΑΖΙΔΟΥ</t>
  </si>
  <si>
    <t>ΝΤΙΑΝΑ</t>
  </si>
  <si>
    <t>ΒΛΑΔΙΜΗΡΟΣ</t>
  </si>
  <si>
    <t>ΑΚ822216</t>
  </si>
  <si>
    <t>ΛΑΜΠΡΙΝΙΔΟΥ</t>
  </si>
  <si>
    <t>ΣΤΕΛΛΑ</t>
  </si>
  <si>
    <t>Χ082059</t>
  </si>
  <si>
    <t>ΓΛΕΝΤΖΗΣ</t>
  </si>
  <si>
    <t>ΑΝ565035</t>
  </si>
  <si>
    <t>ΔΟΤΣΙΟΥ</t>
  </si>
  <si>
    <t>Χ760086</t>
  </si>
  <si>
    <t>ΠΑΠΑΠΟΣΤΟΛΟΥ</t>
  </si>
  <si>
    <t>ΑΗ179924</t>
  </si>
  <si>
    <t>ΤΣΕΣΜΕΛΗ</t>
  </si>
  <si>
    <t>ΑΚ022784</t>
  </si>
  <si>
    <t>ΤΖΑΝΗ</t>
  </si>
  <si>
    <t>ΑΖ907607</t>
  </si>
  <si>
    <t>ΑΖ377609</t>
  </si>
  <si>
    <t>ΚΑΡΑΜΠΑΤΖΑΚΗ</t>
  </si>
  <si>
    <t>ΑΕ817496</t>
  </si>
  <si>
    <t>ΚΕΚΡΙΔΟΥ</t>
  </si>
  <si>
    <t>ΚΕΛΕΜΕΝΗ</t>
  </si>
  <si>
    <t>Χ316122</t>
  </si>
  <si>
    <t>ΖΑΠΡΟΥΔΗ</t>
  </si>
  <si>
    <t>ΑΠΟΣΤΟΛΙΑ</t>
  </si>
  <si>
    <t>ΑΚ882279</t>
  </si>
  <si>
    <t>ΦΑΡΜΑΚΙΔΟΥ</t>
  </si>
  <si>
    <t>ΝΙΚΟΛΑΟΣ ΑΛΕΞΑΝΔΡΟΣ</t>
  </si>
  <si>
    <t>Π765499</t>
  </si>
  <si>
    <t>ΠΟΖΑΤΖΙΔΟΥ</t>
  </si>
  <si>
    <t>Φ164352</t>
  </si>
  <si>
    <t>ΠΙΠΕΡΑ</t>
  </si>
  <si>
    <t>ΑΜ295080</t>
  </si>
  <si>
    <t>ΜΑΡΤΙΝΗ</t>
  </si>
  <si>
    <t>ΑΝ475767</t>
  </si>
  <si>
    <t>ΣΠΙΝΟΥ</t>
  </si>
  <si>
    <t xml:space="preserve">ΕΥΑΓΓΕΛΙΑ </t>
  </si>
  <si>
    <t>ΔΙΟΝΥΣΙΟΣ</t>
  </si>
  <si>
    <t>ΑΒ007677</t>
  </si>
  <si>
    <t>ΜΠΟΥΡΑΣ</t>
  </si>
  <si>
    <t>ΑΝ418968</t>
  </si>
  <si>
    <t>ΜΑΧΑ</t>
  </si>
  <si>
    <t>ΑΕ726217</t>
  </si>
  <si>
    <t>ΤΣΕΡΙΩΝΗ</t>
  </si>
  <si>
    <t>ΑΓΗΣΙΛΑΟΣ</t>
  </si>
  <si>
    <t>Ρ814801</t>
  </si>
  <si>
    <t>ΤΣΟΥΛΙΑ</t>
  </si>
  <si>
    <t>ΘΑΛΕΙΑ</t>
  </si>
  <si>
    <t>ΑΜ106364</t>
  </si>
  <si>
    <t>ΚΟΛΗΠΕΤΡΗ</t>
  </si>
  <si>
    <t>ΟΝΟΥΦΡΙΟΣ</t>
  </si>
  <si>
    <t>ΑΒ448020</t>
  </si>
  <si>
    <t>ΝΑΝΟΥ</t>
  </si>
  <si>
    <t>Χ087531</t>
  </si>
  <si>
    <t>ΚΑΜΠΙΤΑΚΗ</t>
  </si>
  <si>
    <t>Σ424759</t>
  </si>
  <si>
    <t>ΓΕΩΡΓΟΠΟΥΛΟΥ</t>
  </si>
  <si>
    <t>ΑΚ729268</t>
  </si>
  <si>
    <t>ΧΑΝΑ</t>
  </si>
  <si>
    <t>ΓΛΥΚΕΡΙΑ</t>
  </si>
  <si>
    <t>ΛΑΜΠΡΟΣ</t>
  </si>
  <si>
    <t>ΑΒ042271</t>
  </si>
  <si>
    <t>ΠΑΛΑΜΙΔΑ</t>
  </si>
  <si>
    <t>ΑΛΕΞΑΝΔΡΟΣ</t>
  </si>
  <si>
    <t>ΑΝ203811</t>
  </si>
  <si>
    <t>ΚΟΥΤΙΟΛΑ</t>
  </si>
  <si>
    <t>ΑΖ288290</t>
  </si>
  <si>
    <t>ΔΙΑΛΥΝΑ</t>
  </si>
  <si>
    <t>ΑΖ465990</t>
  </si>
  <si>
    <t xml:space="preserve">ΜΠΟΥΡΟΥ </t>
  </si>
  <si>
    <t>ΑΖ751904</t>
  </si>
  <si>
    <t>ΛΕΟΝΤΑΡΗ</t>
  </si>
  <si>
    <t>ΑΜ263082</t>
  </si>
  <si>
    <t>ΑΕ998145</t>
  </si>
  <si>
    <t>ΑΥΛΩΝΙΤΗ</t>
  </si>
  <si>
    <t>ΑΕ955631</t>
  </si>
  <si>
    <t>ΜΠΑΡΜΠΑΓΙΑΝΝΗ</t>
  </si>
  <si>
    <t>Χ869794</t>
  </si>
  <si>
    <t>ΝΕΦΕΛΗ</t>
  </si>
  <si>
    <t>ΑΜ005645</t>
  </si>
  <si>
    <t>ΤΖΙΤΖΙΟΥ</t>
  </si>
  <si>
    <t>ΑΑ485716</t>
  </si>
  <si>
    <t>ΤΕΖΑ</t>
  </si>
  <si>
    <t>ΑΕ864737</t>
  </si>
  <si>
    <t>ΤΕΡΖΗ</t>
  </si>
  <si>
    <t>Χ438773</t>
  </si>
  <si>
    <t>ΔΟΝΟΥ</t>
  </si>
  <si>
    <t>ΑΝ301842</t>
  </si>
  <si>
    <t>ΑΝΕΣΙΑΔΟΥ</t>
  </si>
  <si>
    <t>ΑΝ907742</t>
  </si>
  <si>
    <t>Χ230540</t>
  </si>
  <si>
    <t>ΑΓΓΕΛΙΔΑΚΗ</t>
  </si>
  <si>
    <t>Χ850559</t>
  </si>
  <si>
    <t>ΤΣΟΥΚΑΛΑ</t>
  </si>
  <si>
    <t>ΑΗ216574</t>
  </si>
  <si>
    <t>ΣΚΟΥΡΑ</t>
  </si>
  <si>
    <t>ΑΒ394009</t>
  </si>
  <si>
    <t>ΔΡΑΚΑΤΟΥ</t>
  </si>
  <si>
    <t>ΓΑΒΡΙΗΛ</t>
  </si>
  <si>
    <t>ΑΚ337412</t>
  </si>
  <si>
    <t>ΚΟΥΡΠΑΔΑΚΗ</t>
  </si>
  <si>
    <t>ΑΕ482350</t>
  </si>
  <si>
    <t>ΒΑΣΙΛΟΠΑΝΑΓΟΥ</t>
  </si>
  <si>
    <t>ΕΥΣΤΑΘΙΑ</t>
  </si>
  <si>
    <t>ΑΝ133357</t>
  </si>
  <si>
    <t>ΜΕΡΜΙΚΛΗ</t>
  </si>
  <si>
    <t>ΑΑ467814</t>
  </si>
  <si>
    <t>ΤΣΙΟΥΤΣΙΟΥΛΑ</t>
  </si>
  <si>
    <t>ΒΑΙΑ</t>
  </si>
  <si>
    <t>ΑΗ158704</t>
  </si>
  <si>
    <t>ΚΑΛΠΑΚΗ</t>
  </si>
  <si>
    <t>ΑΟ912018</t>
  </si>
  <si>
    <t>ΠΟΥΛΟΥ</t>
  </si>
  <si>
    <t>Χ989187</t>
  </si>
  <si>
    <t>ΚΟΤΙΟΥ</t>
  </si>
  <si>
    <t>ΑΖ387067</t>
  </si>
  <si>
    <t>ΛΑΙΟΥ</t>
  </si>
  <si>
    <t>ΑΙ353137</t>
  </si>
  <si>
    <t>Τ030306</t>
  </si>
  <si>
    <t>ΤΑΣΙΟΠΟΥΛΟΥ</t>
  </si>
  <si>
    <t>ΤΡΙΑΝΤΑΦ</t>
  </si>
  <si>
    <t>Ρ892621</t>
  </si>
  <si>
    <t>ΙΓΝΑΤΙΟΥ</t>
  </si>
  <si>
    <t>ΤΖΕΣΙΚΑ ΚΛΑΙΡΗ ΒΙΡΤΖ</t>
  </si>
  <si>
    <t>Α00422247</t>
  </si>
  <si>
    <t>ΚΟΤΣΗ</t>
  </si>
  <si>
    <t>ΠΑΝΤΕΛΗ</t>
  </si>
  <si>
    <t>ΑΜ595413</t>
  </si>
  <si>
    <t>ΒΑΣΙΛΟΠΟΥΛΟΥ</t>
  </si>
  <si>
    <t>ΑΟ041154</t>
  </si>
  <si>
    <t>ΦΩΛΙΑ</t>
  </si>
  <si>
    <t>Σ780373</t>
  </si>
  <si>
    <t>ΑΡΑΠΑΣΗ</t>
  </si>
  <si>
    <t>ΕΝΤΕΛΑ</t>
  </si>
  <si>
    <t>ΣΤΑΥΡΟ</t>
  </si>
  <si>
    <t>ΑΗ133549</t>
  </si>
  <si>
    <t>ΜΠΙΤΖΕΛΕΚΗ</t>
  </si>
  <si>
    <t>ΑΒ814102</t>
  </si>
  <si>
    <t>ΜΑΡΓΑΡΙΤΟΥ</t>
  </si>
  <si>
    <t>Ξ695395</t>
  </si>
  <si>
    <t>ΚΟΥΤΛΑ</t>
  </si>
  <si>
    <t>ΑΗ687290</t>
  </si>
  <si>
    <t>ΚΑΤΣΟΥΛΗ</t>
  </si>
  <si>
    <t>ΑΕ627831</t>
  </si>
  <si>
    <t>ΚΑΚΑΡΑΝΤΖΟΥΛΑ</t>
  </si>
  <si>
    <t>Χ010764</t>
  </si>
  <si>
    <t>ΒΕΡΤΖΕΒΟΥΛΙΑ</t>
  </si>
  <si>
    <t>ΑΗ900842</t>
  </si>
  <si>
    <t>ΨΩΜΑ</t>
  </si>
  <si>
    <t>ΜΑΡΙΑΝΘΗ</t>
  </si>
  <si>
    <t>ΑΚ817756</t>
  </si>
  <si>
    <t>ΚΩΝΣΤΑΝΤΙΑ</t>
  </si>
  <si>
    <t>ΠΟΛΥΚΑΡΠΟΣ</t>
  </si>
  <si>
    <t>ΑΚ949478</t>
  </si>
  <si>
    <t>ΑΣΗΜΑΚΟΠΟΥΛΟΥ</t>
  </si>
  <si>
    <t>ΕΥΓΕΝΙΑ</t>
  </si>
  <si>
    <t>Χ798105</t>
  </si>
  <si>
    <t>ΤΣΙΤΣΑ</t>
  </si>
  <si>
    <t>ΑΒ436669</t>
  </si>
  <si>
    <t>ΖΗΣΑΚΗ</t>
  </si>
  <si>
    <t>ΣΜΑΡΑΓΔΑ</t>
  </si>
  <si>
    <t>ΖΗΣΗΣ</t>
  </si>
  <si>
    <t>ΑΝ084054</t>
  </si>
  <si>
    <t>ΛΑΖΑΡΙΔΟΥ</t>
  </si>
  <si>
    <t>ΑΚ114164</t>
  </si>
  <si>
    <t>ΠΑΡΙΣΣΗ</t>
  </si>
  <si>
    <t>ΑΝ485795</t>
  </si>
  <si>
    <t>ΤΣΙΛΕΠΩΝΗ</t>
  </si>
  <si>
    <t>ΕΥΡΩΠΗ</t>
  </si>
  <si>
    <t>ΑΖ391303</t>
  </si>
  <si>
    <t>ΣΤΑΘΑ</t>
  </si>
  <si>
    <t>ΑΕ526350</t>
  </si>
  <si>
    <t>ΑΝΕΜΙΔΟΥ</t>
  </si>
  <si>
    <t>ΑΗ9Ι8278</t>
  </si>
  <si>
    <t>ΜΠΡΟΥΜΑ</t>
  </si>
  <si>
    <t xml:space="preserve">ΧΑΡΙΚΛΕΙΑ ΣΕΒΑΣΤΗ </t>
  </si>
  <si>
    <t>ΣΠΥΡΙΔΩΝ ΜΠΡΟΥΜΑΣ</t>
  </si>
  <si>
    <t>ΑΚ693817</t>
  </si>
  <si>
    <t>ΣΤΑΥΡΙΔΟΥ</t>
  </si>
  <si>
    <t>ΑΗ924892</t>
  </si>
  <si>
    <t>ΧΑΡΑΛΑΜΠΟΠΟΥΛΟΥ</t>
  </si>
  <si>
    <t>Χ805535</t>
  </si>
  <si>
    <t>ΑΝΕΣΤΗ</t>
  </si>
  <si>
    <t>Χ989708</t>
  </si>
  <si>
    <t>ΑΝΔΡΕΔΑΚΗ</t>
  </si>
  <si>
    <t>ΑΗ150350</t>
  </si>
  <si>
    <t>ΠΕΤΡΟΠΟΥΛΟΥ</t>
  </si>
  <si>
    <t>ΑΕ273566</t>
  </si>
  <si>
    <t>ΑΑ438412</t>
  </si>
  <si>
    <t>ΜΠΑΝΔΕΛΗ</t>
  </si>
  <si>
    <t>ΑΑ379734</t>
  </si>
  <si>
    <t>ΗΛΕΚΤΡΑ</t>
  </si>
  <si>
    <t>ΚΟΝΤΟΘΑΝΑΣΗ</t>
  </si>
  <si>
    <t>ΣΤΥΛΙΑΝΟΣ</t>
  </si>
  <si>
    <t>ΑΜ685581</t>
  </si>
  <si>
    <t>ΟΙΚΟΝΟΜΟΥ</t>
  </si>
  <si>
    <t>ΑΑ362025</t>
  </si>
  <si>
    <t>ΧΟΝΔΡΟΓΙΑΝΝΗΣ</t>
  </si>
  <si>
    <t>ΑΜ290857</t>
  </si>
  <si>
    <t>ΚΑΡΡΑ</t>
  </si>
  <si>
    <t>ΧΡΙΣΤΙΝΑ</t>
  </si>
  <si>
    <t>ΑΖ696070</t>
  </si>
  <si>
    <t>ΖΑΧΑΡΙΟΥΔΑΚΗ</t>
  </si>
  <si>
    <t>ΑΝΝΑ ΜΑΡΙΑ</t>
  </si>
  <si>
    <t>ΑΒ963139</t>
  </si>
  <si>
    <t>ΘΕΟΔΟΥΛΗ</t>
  </si>
  <si>
    <t>ΖΑΧΑΡΟΥΛΑ</t>
  </si>
  <si>
    <t>ΑΑ263835</t>
  </si>
  <si>
    <t>ΤΣΑΡΣΙΤΑΛΙΔΟΥ</t>
  </si>
  <si>
    <t>ΑΖ187030</t>
  </si>
  <si>
    <t>ΛΑΖΑΡΟΥ</t>
  </si>
  <si>
    <t>ΑΗ574819</t>
  </si>
  <si>
    <t>ΛΑΖΑΡΟΣ</t>
  </si>
  <si>
    <t>ΑΖ645705</t>
  </si>
  <si>
    <t>ΜΑΚΡΟΓΙΑΝΝΗ</t>
  </si>
  <si>
    <t>Ρ489810</t>
  </si>
  <si>
    <t>ΚΑΤΣΑΒΡΙΑ</t>
  </si>
  <si>
    <t>Π436187</t>
  </si>
  <si>
    <t>ΜΩΥΣΗ</t>
  </si>
  <si>
    <t>ΖΩΗ ΣΩΤΗΡΙΑ</t>
  </si>
  <si>
    <t>ΒΕΝΙΑΜΙΝ ΕΥΣΤΑΘΙΟΣ</t>
  </si>
  <si>
    <t>Χ249930</t>
  </si>
  <si>
    <t>ΤΣΟΥΜΗΤΑ</t>
  </si>
  <si>
    <t>ΑΡ219956</t>
  </si>
  <si>
    <t>ΧΡΗΜΑΤΟΠΟΥΛΟΥ</t>
  </si>
  <si>
    <t>ΑΚ426747</t>
  </si>
  <si>
    <t>ΛΥΤΙΝΑ ΠΟΛΥΧΡΟΝΑΚΗ</t>
  </si>
  <si>
    <t>ΕΥΑΝΘΙΑ</t>
  </si>
  <si>
    <t>ΑΚ477292</t>
  </si>
  <si>
    <t>ΝΙΚΟΛΤΣΟΥΔΗ</t>
  </si>
  <si>
    <t>ΜΕΝΕΛΑΟΣ</t>
  </si>
  <si>
    <t>ΑΖ414457</t>
  </si>
  <si>
    <t xml:space="preserve">ΤΣΕΡΟΥ </t>
  </si>
  <si>
    <t xml:space="preserve">ΧΡΗΣΤΟΣ </t>
  </si>
  <si>
    <t>Χ416173</t>
  </si>
  <si>
    <t>ΜΠΟΥΤΛΑ</t>
  </si>
  <si>
    <t>ΧΑΡΙΚΛΕΙΑ</t>
  </si>
  <si>
    <t>Χ925442</t>
  </si>
  <si>
    <t>ΒΕΛΛΗ</t>
  </si>
  <si>
    <t>ΑΒ060849</t>
  </si>
  <si>
    <t>ΠΑΤΣΙΚΑ</t>
  </si>
  <si>
    <t>ΑΗ193966</t>
  </si>
  <si>
    <t>ΓΚΟΥΜΑ</t>
  </si>
  <si>
    <t>ΜΑΡΙΝΟΣ</t>
  </si>
  <si>
    <t>ΑΗ504135</t>
  </si>
  <si>
    <t>ΡΙΓΚΑ</t>
  </si>
  <si>
    <t>ΑΑ239790</t>
  </si>
  <si>
    <t>ΓΑΡΟΥΦΑ</t>
  </si>
  <si>
    <t>ΚΩΝΣΤΑΝΤΙΝΙΑ</t>
  </si>
  <si>
    <t>ΑΜ293983</t>
  </si>
  <si>
    <t>ΤΖΩΡΤΖΑΤΟΥ</t>
  </si>
  <si>
    <t>ΠΟΛΥΒΙΟΣ</t>
  </si>
  <si>
    <t>ΑΙ241932</t>
  </si>
  <si>
    <t>ΑΟ347597</t>
  </si>
  <si>
    <t>ΑΡΧΟΝΤΗ</t>
  </si>
  <si>
    <t>ΑΗ412436</t>
  </si>
  <si>
    <t>ΟΥΛΗ</t>
  </si>
  <si>
    <t>Χ581206</t>
  </si>
  <si>
    <t>ΒΟΥΔΟΥΡΗ</t>
  </si>
  <si>
    <t>Φ323810</t>
  </si>
  <si>
    <t>ΠΕΤΡΕΝΤΣΗ</t>
  </si>
  <si>
    <t>ΑΗ160637</t>
  </si>
  <si>
    <t>ΣΤΑΜΑΤΟΥΚΟΥ</t>
  </si>
  <si>
    <t>Χ327072</t>
  </si>
  <si>
    <t>ΤΑΒΛΑΛΗ</t>
  </si>
  <si>
    <t>ΑΗ622845</t>
  </si>
  <si>
    <t>ΖΟΥΜΠΑΝΙΩΤΗ</t>
  </si>
  <si>
    <t>Ξ872777</t>
  </si>
  <si>
    <t>ΔΗΜΗΤΡΙΑΔΗ</t>
  </si>
  <si>
    <t>ΑΣΗΜΙΝΑ</t>
  </si>
  <si>
    <t>ΑΗ707469</t>
  </si>
  <si>
    <t>ΑΘΑΝΑΣΙΑΔΟΥ</t>
  </si>
  <si>
    <t>ΠΑΥΛΙΝΑ</t>
  </si>
  <si>
    <t>ΑΙ725258</t>
  </si>
  <si>
    <t>ΜΑΤΘΑΙΑΚΗ</t>
  </si>
  <si>
    <t>ΦΡΑΓΚΙΣΚΟΣ</t>
  </si>
  <si>
    <t>ΑΝ931059</t>
  </si>
  <si>
    <t>ΤΖΩΡΤΖΙΝΗ</t>
  </si>
  <si>
    <t>Σ355725</t>
  </si>
  <si>
    <t>ΚΑΜΠΟΥΡΑΚΗ</t>
  </si>
  <si>
    <t>ΚΛΕΑΝΘΗ</t>
  </si>
  <si>
    <t>ΑΙ451179</t>
  </si>
  <si>
    <t>ΔΕΛΑΒΕΡΙΔΟΥ</t>
  </si>
  <si>
    <t>ΑΜ850647</t>
  </si>
  <si>
    <t>ΓΚΑΝΤΖΙΟΥ</t>
  </si>
  <si>
    <t>ΑΟ037040</t>
  </si>
  <si>
    <t>ΦΡΑΝΤΖΕΣΚΑ</t>
  </si>
  <si>
    <t>ΑΝ676338</t>
  </si>
  <si>
    <t>ΚΑΡΑΝΙΚΟΛΑ</t>
  </si>
  <si>
    <t>ΑΣΤΕΡΙΟΣ</t>
  </si>
  <si>
    <t>ΑΚ436449</t>
  </si>
  <si>
    <t>ΛΑΖΑΡΙΔΟΥ ΚΟΣΤΟΥΚΑ</t>
  </si>
  <si>
    <t>ΑΚ298704</t>
  </si>
  <si>
    <t>ΔΡΑΜΑΛΗ</t>
  </si>
  <si>
    <t>ΣΠΥΡΙΔΩΝΙΑ</t>
  </si>
  <si>
    <t>ΑΜ865137</t>
  </si>
  <si>
    <t>ΔΗΜΑΚΟΠΟΥΛΟΥ</t>
  </si>
  <si>
    <t>Σ371160</t>
  </si>
  <si>
    <t>ΜΥΤΙΛΗΝΑΙΟΣ</t>
  </si>
  <si>
    <t>ΑΜ681720</t>
  </si>
  <si>
    <t>ΛΙΑΛΗ</t>
  </si>
  <si>
    <t>ΑΜ667436</t>
  </si>
  <si>
    <t>ΑΓΓΕΛΙΔΟΥ</t>
  </si>
  <si>
    <t>ΣΩΤΗΡΙΟΣ</t>
  </si>
  <si>
    <t>ΑΗ810865</t>
  </si>
  <si>
    <t>ΕΛΠΙΝΙΚΗ</t>
  </si>
  <si>
    <t>Χ726684</t>
  </si>
  <si>
    <t>ΡΕΒΕΚΑ</t>
  </si>
  <si>
    <t>ΑΒ199758</t>
  </si>
  <si>
    <t>ΔΑΡΔΑΜΑΝΗΣ</t>
  </si>
  <si>
    <t>ΑΖ749553</t>
  </si>
  <si>
    <t>ΚΑΟΥΡΑ</t>
  </si>
  <si>
    <t>ΑΟ634676</t>
  </si>
  <si>
    <t>ΣΤΕΦΑΝΙΔΟΥ</t>
  </si>
  <si>
    <t xml:space="preserve">ΦΩΤΕΝΗ </t>
  </si>
  <si>
    <t>ΑΑ870617</t>
  </si>
  <si>
    <t>ΜΗΝΑΟΓΛΟΥ</t>
  </si>
  <si>
    <t>Χ370109</t>
  </si>
  <si>
    <t>ΚΑΛΟΥΔΗ</t>
  </si>
  <si>
    <t>ΣΥΜΕΛΑ</t>
  </si>
  <si>
    <t>ΣΩΚΡΑΤΗΣ</t>
  </si>
  <si>
    <t>ΑΟ652464</t>
  </si>
  <si>
    <t>Φ244596</t>
  </si>
  <si>
    <t>ΑΝΑΓΝΩΣΤΗ</t>
  </si>
  <si>
    <t>ΑΖ790099</t>
  </si>
  <si>
    <t>ΧΡΙΣΤΟΔΟΥΛΙΑ</t>
  </si>
  <si>
    <t>ΑΒ192110</t>
  </si>
  <si>
    <t>ΜΕΛΙΔΟΥ</t>
  </si>
  <si>
    <t>Χ892061</t>
  </si>
  <si>
    <t>ΓΚΑΒΟΥΔΗ</t>
  </si>
  <si>
    <t>ΦΩΤΙΟΣ ΑΧΙΛΛΕΑΣ</t>
  </si>
  <si>
    <t>ΑΙ632079</t>
  </si>
  <si>
    <t>ΑΖ391301</t>
  </si>
  <si>
    <t>ΛΑΜΠΡΟΥΣΗ</t>
  </si>
  <si>
    <t>ΑΖ014841</t>
  </si>
  <si>
    <t>ΜΗΛΩΣΗ</t>
  </si>
  <si>
    <t>ΑΒ678262</t>
  </si>
  <si>
    <t>ΜΑΝΑΣΣΗ</t>
  </si>
  <si>
    <t>ΒΑΙΟΣ</t>
  </si>
  <si>
    <t>ΑΖ272197</t>
  </si>
  <si>
    <t>ΚΥΡΙΑΚΙΔΟΥ</t>
  </si>
  <si>
    <t>ΕΛΙΣΣΑΒΕΤ ΜΑΡΙΑ</t>
  </si>
  <si>
    <t>ΑΗ691889</t>
  </si>
  <si>
    <t>ΔΗΜΗΤΡΟΠΟΥΛΟΥ</t>
  </si>
  <si>
    <t>Φ481248</t>
  </si>
  <si>
    <t>ΚΑΛΥΒΙΑΝΑΚΗ</t>
  </si>
  <si>
    <t>ΑΡΓΥΡΩ</t>
  </si>
  <si>
    <t>ΑΑ374497</t>
  </si>
  <si>
    <t>ΒΑΓΙΩΤΑ</t>
  </si>
  <si>
    <t>ΑΙ350040</t>
  </si>
  <si>
    <t>ΣΠΗΛΙΩΤΗ</t>
  </si>
  <si>
    <t>ΜΑΡΙΝΑ ΕΙΡΗΝΗ</t>
  </si>
  <si>
    <t>ΑΕ822987</t>
  </si>
  <si>
    <t>ΜΠΑΤΣΙΛΗ</t>
  </si>
  <si>
    <t>ΑΕ816698</t>
  </si>
  <si>
    <t>ΧΡΙΣΤΟΔΟΥΛΟΥ</t>
  </si>
  <si>
    <t>ΜΑΡΙΑ ΝΙΚΗ</t>
  </si>
  <si>
    <t>ΑΑ318554</t>
  </si>
  <si>
    <t>ΔΕΜΕΡΤΖΗ</t>
  </si>
  <si>
    <t>Φ293627</t>
  </si>
  <si>
    <t>ΑΒ135629</t>
  </si>
  <si>
    <t>ΚΩΣΤΟΠΟΥΛΟΥ</t>
  </si>
  <si>
    <t>ΑΒ313694</t>
  </si>
  <si>
    <t>ΛΑΣΗΘΙΩΤΑΚΗ</t>
  </si>
  <si>
    <t>Χ487290</t>
  </si>
  <si>
    <t>ΔΙΤΣΟΥΔΗ</t>
  </si>
  <si>
    <t>ΑΒ490233</t>
  </si>
  <si>
    <t>ΖΕΡΙΚΙΩΤΟΥ</t>
  </si>
  <si>
    <t>ΕΥΤΥΧΙΑ</t>
  </si>
  <si>
    <t>ΑΖ073436</t>
  </si>
  <si>
    <t>ΠΑΠΟΥΤΣΗ</t>
  </si>
  <si>
    <t>Χ455310</t>
  </si>
  <si>
    <t>ΚΑΤΣΑΦΑΔΟΥ</t>
  </si>
  <si>
    <t>ΑΒ647590</t>
  </si>
  <si>
    <t>ΛΟΥΒΡΟΥ</t>
  </si>
  <si>
    <t>ΑΝΔΡΙΑΝΑ</t>
  </si>
  <si>
    <t>ΑΝ961212</t>
  </si>
  <si>
    <t>ΚΟΥΚΟΥΛΙΔΟΥ</t>
  </si>
  <si>
    <t>ΕΥΔΟΚΙΑ</t>
  </si>
  <si>
    <t>Π302848</t>
  </si>
  <si>
    <t>ΚΟΝΤΟΣ</t>
  </si>
  <si>
    <t>ΑΟ501769</t>
  </si>
  <si>
    <t>ΓΕΩΡΓΑΝΤΑ</t>
  </si>
  <si>
    <t>ΦΩΤΙΟΣ</t>
  </si>
  <si>
    <t>ΑΗ518351</t>
  </si>
  <si>
    <t>ΔΗΜΑΚΗ</t>
  </si>
  <si>
    <t>ΑΧΙΛΛΕΑΣ</t>
  </si>
  <si>
    <t>Σ888367</t>
  </si>
  <si>
    <t>ΔΟΥΛΟΥ</t>
  </si>
  <si>
    <t>Ρ389138</t>
  </si>
  <si>
    <t>ΚΩΤΣΟΥ</t>
  </si>
  <si>
    <t>ΧΑΡΑΛΑΜΠΟΣ ΚΩΤΣΟΣ</t>
  </si>
  <si>
    <t>ΑΑ496878</t>
  </si>
  <si>
    <t>ΣΙΩΖΗ</t>
  </si>
  <si>
    <t>Φ159945</t>
  </si>
  <si>
    <t>ΣΚΛΙΑ</t>
  </si>
  <si>
    <t>ΑΡ074009</t>
  </si>
  <si>
    <t>ΜΑΡΙΝΑ ΝΕΚΤΑΡΙΑ</t>
  </si>
  <si>
    <t>ΑΖ572802</t>
  </si>
  <si>
    <t>ΖΟΓΚΟΥ</t>
  </si>
  <si>
    <t>ΑΖ225561</t>
  </si>
  <si>
    <t>ΑΕ438863</t>
  </si>
  <si>
    <t>ΚΩΝΣΤΑ</t>
  </si>
  <si>
    <t>ΝΙΝΑ</t>
  </si>
  <si>
    <t>ΑΒ563928</t>
  </si>
  <si>
    <t>ΠΑΝΤΕΛΙΔΟΥ</t>
  </si>
  <si>
    <t>ΑΕ820824</t>
  </si>
  <si>
    <t>ΤΣΑΡΟΥΧΑΣ</t>
  </si>
  <si>
    <t>ΚΡΗΤΙΚΑΚΟΥ</t>
  </si>
  <si>
    <t>ΑΝ451021</t>
  </si>
  <si>
    <t>ΘΕΟΧΑΡΙΔΟΥ</t>
  </si>
  <si>
    <t>ΘΕΟΧΑΡΗΣ</t>
  </si>
  <si>
    <t>Χ278102</t>
  </si>
  <si>
    <t>ΚΑΦΑΡΟΒΑ</t>
  </si>
  <si>
    <t>ΑΝ565726</t>
  </si>
  <si>
    <t>ΔΟΥΜΠΗ</t>
  </si>
  <si>
    <t>ΑΗ331715</t>
  </si>
  <si>
    <t>ΚΙΟΥΡΤΣΙΔΗ</t>
  </si>
  <si>
    <t>ΑΗ778667</t>
  </si>
  <si>
    <t>ΤΡΟΥΣΑ</t>
  </si>
  <si>
    <t>ΑΝ879848</t>
  </si>
  <si>
    <t>ΠΟΤΑΜΙΑΝΟΥ</t>
  </si>
  <si>
    <t>ΓΕΡΑΣΙΜΟΣ ΣΩΤΗΡΙΟΣ</t>
  </si>
  <si>
    <t>ΑΒ825054</t>
  </si>
  <si>
    <t>ΜΠΑΛΑΜΠΑΝΙΔΟΥ</t>
  </si>
  <si>
    <t>Ξ302321</t>
  </si>
  <si>
    <t>ΚΟΛΟΒΟΥ</t>
  </si>
  <si>
    <t>ΑΛΙΚΗ</t>
  </si>
  <si>
    <t>Σ788160</t>
  </si>
  <si>
    <t>ΠΕΝΛΟΓΛΟΥ</t>
  </si>
  <si>
    <t>ΒΗΘΛΕΕΜ</t>
  </si>
  <si>
    <t>ΠΑΦΝΟΥΔΙΟΣ</t>
  </si>
  <si>
    <t>ΑΚ326272</t>
  </si>
  <si>
    <t>ΠΟΥΤΟΥΚΗ</t>
  </si>
  <si>
    <t>ΑΡΙΣΤΕΙΔΗΣ</t>
  </si>
  <si>
    <t>ΑΑ411372</t>
  </si>
  <si>
    <t>ΜΑΝΩΛΗΣ</t>
  </si>
  <si>
    <t>ΑΜ091960</t>
  </si>
  <si>
    <t>ΧΑΛΚΟΥ</t>
  </si>
  <si>
    <t>ΑΕ594014</t>
  </si>
  <si>
    <t>ΚΟΥΤΣΙΚΟΥ</t>
  </si>
  <si>
    <t>ΑΗ797646</t>
  </si>
  <si>
    <t>ΚΑΡΑΠΑΝΑΓΟΣ</t>
  </si>
  <si>
    <t>ΑΟ986927</t>
  </si>
  <si>
    <t>ΓΙΑΝΝΟΥΛΗ</t>
  </si>
  <si>
    <t>Χ988268</t>
  </si>
  <si>
    <t>ΠΑΥΛΟΥ</t>
  </si>
  <si>
    <t>ΑΟ042444</t>
  </si>
  <si>
    <t>ΔΟΜΟΥΖΗ</t>
  </si>
  <si>
    <t>Χ419529</t>
  </si>
  <si>
    <t>ΣΑΡΙΔΑΚΗ</t>
  </si>
  <si>
    <t>ΑΒ183609</t>
  </si>
  <si>
    <t>ΑΜ637033</t>
  </si>
  <si>
    <t>ΝΤΑΓΙΑΝΤΑ</t>
  </si>
  <si>
    <t>ΑΝΘΟΥΛΑ</t>
  </si>
  <si>
    <t>ΑΚ289195</t>
  </si>
  <si>
    <t>ΓΙΑΝΝΑΡΑΚΗ</t>
  </si>
  <si>
    <t>ΑΙ461562</t>
  </si>
  <si>
    <t>Ρ240541</t>
  </si>
  <si>
    <t>ΔΡΑΚΑΚΗΣ</t>
  </si>
  <si>
    <t>ΑΜ700658</t>
  </si>
  <si>
    <t>ΠΟΥΤΑΧΙΔΟΥ</t>
  </si>
  <si>
    <t>Ρ983360</t>
  </si>
  <si>
    <t>ΛΟΥΤΑ</t>
  </si>
  <si>
    <t>ΔΙΟΝΥΣΙΑ</t>
  </si>
  <si>
    <t>ΑΙ103145</t>
  </si>
  <si>
    <t>ΜΠΑΛΟΥΧΑ</t>
  </si>
  <si>
    <t xml:space="preserve">ΣΠΥΡΙΔΟΥΛΑ </t>
  </si>
  <si>
    <t>ΑΙ136604</t>
  </si>
  <si>
    <t>ΠΑΣΧΑΛΗ</t>
  </si>
  <si>
    <t>ΑΒ472878</t>
  </si>
  <si>
    <t>ΤΣΙΟΥΡΒΑ</t>
  </si>
  <si>
    <t>Ξ708208</t>
  </si>
  <si>
    <t>ΚΑΡΟΥΤΖΟΥ</t>
  </si>
  <si>
    <t>ΠΑΝΑΓΙΩΤΑ ΒΑΡΒΑΡΑ</t>
  </si>
  <si>
    <t>ΑΚ729211</t>
  </si>
  <si>
    <t>ΜΑΛΤΕΠΙΩΤΗ</t>
  </si>
  <si>
    <t>ΑΒ466880</t>
  </si>
  <si>
    <t>ΝΟΝΑ ΓΕΩΡΓΙΟΥ</t>
  </si>
  <si>
    <t>ΑΖ304195</t>
  </si>
  <si>
    <t>ΧΡΥΣΑΝΘΟΠΟΥΛΟΥ</t>
  </si>
  <si>
    <t>ΑΒ076826</t>
  </si>
  <si>
    <t>ΑΡΒΑΝΙΤΑΚΗ</t>
  </si>
  <si>
    <t>ΦΑΝΟΥΡΙΟΣ</t>
  </si>
  <si>
    <t>Ρ814201</t>
  </si>
  <si>
    <t>ΛΕΥΤΕΡΗ</t>
  </si>
  <si>
    <t>ΕΛΕΑΝΑ</t>
  </si>
  <si>
    <t>ΒΑΣΙΛΗΣ</t>
  </si>
  <si>
    <t>ΑΚ295210</t>
  </si>
  <si>
    <t>ΑΝΑΣΤΑΣΟΠΟΥΛΟΥ</t>
  </si>
  <si>
    <t>Χ641523</t>
  </si>
  <si>
    <t>ΠΟΤΙΡΗ</t>
  </si>
  <si>
    <t>ΖΑΧΑΡΕΝΙΑ</t>
  </si>
  <si>
    <t>ΑΒ873661</t>
  </si>
  <si>
    <t>ΜΑΛΛΙΟΥ</t>
  </si>
  <si>
    <t>ΧΡΥΣΑΥΓΗ</t>
  </si>
  <si>
    <t>ΑΝ768582</t>
  </si>
  <si>
    <t>ΣΙΩΚΑ</t>
  </si>
  <si>
    <t>Σ998299</t>
  </si>
  <si>
    <t>ΠΑΠΑΒΑΣΙΛΕΙΟΥ</t>
  </si>
  <si>
    <t xml:space="preserve">ΑΙΚΑΤΕΡΙΝΗ </t>
  </si>
  <si>
    <t xml:space="preserve">ΝΙΚΟΛΑΟΣ </t>
  </si>
  <si>
    <t>ΑΖ304419</t>
  </si>
  <si>
    <t>ΚΩΝΣΤΑΝΤΑΡΑ</t>
  </si>
  <si>
    <t>ΕΛΕΥΘΕΡΙΑ ΕΙΡΗΝΗ</t>
  </si>
  <si>
    <t>Χ419165</t>
  </si>
  <si>
    <t>ΘΕΟΔΩΡΟΥ</t>
  </si>
  <si>
    <t>ΑΚ283394</t>
  </si>
  <si>
    <t>ΓΕΡΟΓΙΑΝΝΗ</t>
  </si>
  <si>
    <t>ΑΝ288355</t>
  </si>
  <si>
    <t>ΙΟΡΔΑΝΙΔΟΥ</t>
  </si>
  <si>
    <t>ΑΕ395621</t>
  </si>
  <si>
    <t>ΠΙΠΕΡΙΔΟΥ</t>
  </si>
  <si>
    <t>ΑΙ181704</t>
  </si>
  <si>
    <t>ΑΙ852399</t>
  </si>
  <si>
    <t>ΠΑΠΑΚΑΛΑ</t>
  </si>
  <si>
    <t>ΑΙ326082</t>
  </si>
  <si>
    <t>ΚΟΤΟΠΟΥΛΗ</t>
  </si>
  <si>
    <t>ΑΜ246303</t>
  </si>
  <si>
    <t>ΨΩΜΑ ΛΥΜΠΑΡΗ</t>
  </si>
  <si>
    <t>Σ478453</t>
  </si>
  <si>
    <t>ΤΣΙΩΤΡΑ</t>
  </si>
  <si>
    <t>ΕΥΑΓΕΛΙΑ</t>
  </si>
  <si>
    <t>ΑΙ855925</t>
  </si>
  <si>
    <t>ΕΜΦΕΤΖΟΓΛΟΥ</t>
  </si>
  <si>
    <t>ΑΗ387294</t>
  </si>
  <si>
    <t>ΚΟΤΤΑ</t>
  </si>
  <si>
    <t>ΑΝ816299</t>
  </si>
  <si>
    <t>ΤΡΙΑΝΤΑΦΥΛΛΙΑ</t>
  </si>
  <si>
    <t>ΑΙ793723</t>
  </si>
  <si>
    <t>ΒΑΧΑΒΙΩΛΟΥ</t>
  </si>
  <si>
    <t xml:space="preserve">ΓΕΩΡΓΙΑ ΙΩΑΝΝΑ </t>
  </si>
  <si>
    <t>ΚΩΝ/ΝΟΣ</t>
  </si>
  <si>
    <t>ΑΝ158029</t>
  </si>
  <si>
    <t>ΠΑΝΤΑΖΙΔΟΥ</t>
  </si>
  <si>
    <t>ΑΝ405772</t>
  </si>
  <si>
    <t>ΜΙΧΟΣ</t>
  </si>
  <si>
    <t>ΑΖ287671</t>
  </si>
  <si>
    <t>ΜΠΛΑΒΑΚΗ</t>
  </si>
  <si>
    <t>ΑΕ673612</t>
  </si>
  <si>
    <t>ΝΙΚΟΛΑΟΥ</t>
  </si>
  <si>
    <t>Τ152198</t>
  </si>
  <si>
    <t>ΜΑΣΤΡΟΓΙΑΝΝΗ</t>
  </si>
  <si>
    <t>Σ936511</t>
  </si>
  <si>
    <t>ΘΕΟΔΩΡΟΠΟΥΛΟΥ</t>
  </si>
  <si>
    <t>ΑΝ603124</t>
  </si>
  <si>
    <t>ΔΕΝΔΡΙΝΟΥ</t>
  </si>
  <si>
    <t>ΑΕ754059</t>
  </si>
  <si>
    <t>ΤΑΓΚΑΡΕΛΗ</t>
  </si>
  <si>
    <t>ΑΒ410444</t>
  </si>
  <si>
    <t>ΚΟΛΑ</t>
  </si>
  <si>
    <t>ΑΜΑΛΙΑ</t>
  </si>
  <si>
    <t>ΛΑΚΗ</t>
  </si>
  <si>
    <t>ΑΜ590571</t>
  </si>
  <si>
    <t>ΠΑΠΑΖΩΗ</t>
  </si>
  <si>
    <t>ΑΒ794357</t>
  </si>
  <si>
    <t>ΤΣΑΝΑΚΑΛΙΩΤΗ ΠΑΝΤΕΛΑΚΗ</t>
  </si>
  <si>
    <t>ΑΜ056595</t>
  </si>
  <si>
    <t>ΠΟΡΗ</t>
  </si>
  <si>
    <t>Σ650129</t>
  </si>
  <si>
    <t>ΠΑΓΟΥΝΗ</t>
  </si>
  <si>
    <t>Φ351235</t>
  </si>
  <si>
    <t>ΛΑΒΕΝΤΖΑΚΗ</t>
  </si>
  <si>
    <t>ΧΡΥΣΗ</t>
  </si>
  <si>
    <t>ΑΙ944097</t>
  </si>
  <si>
    <t>ΜΠΟΖΙΝΟΥ</t>
  </si>
  <si>
    <t>ΠΑΣΧΑΛΙΝΑ</t>
  </si>
  <si>
    <t>ΑΕ129184</t>
  </si>
  <si>
    <t>ΣΑΓΚΙΝΕΤΟΥ</t>
  </si>
  <si>
    <t>ΛΕΟΝΑΡΔΟΣ</t>
  </si>
  <si>
    <t>ΑΗ192948</t>
  </si>
  <si>
    <t>ΑΛΑΦΟΥΖΟΥ</t>
  </si>
  <si>
    <t>ΙΑΚΩΒΟΣ</t>
  </si>
  <si>
    <t>ΑΝ112573</t>
  </si>
  <si>
    <t>ΚΑΡΑΤΑΣΟΥ</t>
  </si>
  <si>
    <t>Χ790842</t>
  </si>
  <si>
    <t>ΒΟΥΛΑΛΑ</t>
  </si>
  <si>
    <t>ΑΗ932101</t>
  </si>
  <si>
    <t>ΚΥΡΚΩΣΤΑ</t>
  </si>
  <si>
    <t>ΑΙΜΙΛΙΑ</t>
  </si>
  <si>
    <t>Χ250462</t>
  </si>
  <si>
    <t>ΖΑΧΑΡΟΠΟΥΛΟΥ</t>
  </si>
  <si>
    <t>ΒΑΓΙΑ</t>
  </si>
  <si>
    <t>ΑΑ972205</t>
  </si>
  <si>
    <t>ΓΙΑΝΝΑΚΑΚΗ</t>
  </si>
  <si>
    <t>ΜΑΝΟΥΣΟΣ</t>
  </si>
  <si>
    <t>ΑΝ642968</t>
  </si>
  <si>
    <t>ΣΓΙΝΤΖΑ</t>
  </si>
  <si>
    <t>ΜΠΟΖΑΚΗ</t>
  </si>
  <si>
    <t>ΖΑΦΕΙΡΗΣ</t>
  </si>
  <si>
    <t>ΑΖ340932</t>
  </si>
  <si>
    <t>ΤΖΗΓΚΑ</t>
  </si>
  <si>
    <t>ΛΟΥΙΖΑ</t>
  </si>
  <si>
    <t>ΖΗΖΗΣ</t>
  </si>
  <si>
    <t>ΑΒ691595</t>
  </si>
  <si>
    <t>ΛΑΓΟΓΙΑΝΝΗ</t>
  </si>
  <si>
    <t>ΑΒ791919</t>
  </si>
  <si>
    <t>ΝΤΡΟΥΖΟΥ</t>
  </si>
  <si>
    <t>ΑΗ475296</t>
  </si>
  <si>
    <t>ΜΗΤΑΚΟΥ</t>
  </si>
  <si>
    <t>ΕΥΦΡΟΣΥΝΗ</t>
  </si>
  <si>
    <t>ΠΑΡΙΣΗΣ</t>
  </si>
  <si>
    <t>ΑΒ871500</t>
  </si>
  <si>
    <t>ΤΑΣΟΥΛΑ</t>
  </si>
  <si>
    <t>Π251969</t>
  </si>
  <si>
    <t>ΜΑΟΥΝΗ</t>
  </si>
  <si>
    <t>ΑΖ451516</t>
  </si>
  <si>
    <t>ΔΑΡΣΑΚΛΗ</t>
  </si>
  <si>
    <t>ΑΑ767643</t>
  </si>
  <si>
    <t>ΚΑΡΑΠΕΤΡΙΔΟΥ</t>
  </si>
  <si>
    <t>ΑΕ677045</t>
  </si>
  <si>
    <t>ΜΠΑΣΙΟΥ</t>
  </si>
  <si>
    <t>Χ947201</t>
  </si>
  <si>
    <t>ΣΑΡΑΓΙΩΤΗ</t>
  </si>
  <si>
    <t>Χ757369</t>
  </si>
  <si>
    <t>ΚΑΜΖΕΛΑ</t>
  </si>
  <si>
    <t>Χ546397</t>
  </si>
  <si>
    <t>ΦΩΤΕΙΝΕΑ</t>
  </si>
  <si>
    <t>ΚΑΛΛΙΟΠΗ ΔΑΝΑΗ</t>
  </si>
  <si>
    <t>Χ560513</t>
  </si>
  <si>
    <t>ΦΥΣΑΚΗ</t>
  </si>
  <si>
    <t>ΦΙΛΙΩ</t>
  </si>
  <si>
    <t>ΑΗ468803</t>
  </si>
  <si>
    <t>ΜΠΑΤΖΑΚΑ</t>
  </si>
  <si>
    <t>ΚΑΛΛΙΟΠΗ ΧΡΙΣΤΙΝΑ</t>
  </si>
  <si>
    <t>ΑΖ430268</t>
  </si>
  <si>
    <t>ΚΟΒΑΝΗ</t>
  </si>
  <si>
    <t>ΑΙ584544</t>
  </si>
  <si>
    <t>ΚΟΝΤΟΡΟΥΔΑ</t>
  </si>
  <si>
    <t>ΑΕ159380</t>
  </si>
  <si>
    <t>ΚΡΑΝΙΔΙΩΤΗ</t>
  </si>
  <si>
    <t>ΑΚ803233</t>
  </si>
  <si>
    <t>ΝΙΑΤΣΙΟΥ</t>
  </si>
  <si>
    <t>ΜΑΤΙΝΑ</t>
  </si>
  <si>
    <t>Σ903596</t>
  </si>
  <si>
    <t>ΧΑΤΖΗΓΕΩΡΓΙΟΥ</t>
  </si>
  <si>
    <t>ΣΟΦΟΚΛΗΣ</t>
  </si>
  <si>
    <t>Ν923655</t>
  </si>
  <si>
    <t>ΠΑΣΧΟΥ</t>
  </si>
  <si>
    <t>ΑΕ125610</t>
  </si>
  <si>
    <t>ΑΒ679166</t>
  </si>
  <si>
    <t>ΟΙΚΟΝΟΜΟΠΟΥΛΟΥ</t>
  </si>
  <si>
    <t>ΕΙΡΗΝΗ ΜΑΡΙΑ</t>
  </si>
  <si>
    <t>ΑΒ626427</t>
  </si>
  <si>
    <t>ΠΡΟΒΑΤΙΔΟΥ</t>
  </si>
  <si>
    <t>ΑΜ913804</t>
  </si>
  <si>
    <t>ΑΑ321798</t>
  </si>
  <si>
    <t>ΖΑΦΕΙΡΙΟΥ ΠΑΡΟΥΤΟΓΛΟΥ</t>
  </si>
  <si>
    <t>ΜΑΡΙΑ ΑΓΓΕΛΑ</t>
  </si>
  <si>
    <t>ΖΑΦΕΙΡΙΟΣ</t>
  </si>
  <si>
    <t>ΑΜ662309</t>
  </si>
  <si>
    <t>ΜΙΧΟΥ</t>
  </si>
  <si>
    <t>ΑΙ251516</t>
  </si>
  <si>
    <t>ΧΑΡΑΛΑΜΠΙΑ</t>
  </si>
  <si>
    <t>ΑΑ272672</t>
  </si>
  <si>
    <t>ΤΣΟΛΑΚΙΔΟΥ</t>
  </si>
  <si>
    <t>ΑΖ906586</t>
  </si>
  <si>
    <t>ΜΠΟΥΤΣΕΛΗ</t>
  </si>
  <si>
    <t>Χ788612</t>
  </si>
  <si>
    <t>ΚΟΥΤΣΙΜΑΝΗ</t>
  </si>
  <si>
    <t>ΑΒ371978</t>
  </si>
  <si>
    <t>ΝΙΚΟΛΑΚΟΠΟΥΛΟΥ</t>
  </si>
  <si>
    <t>Σ234049</t>
  </si>
  <si>
    <t>ΓΑΤΣΙΟΥ</t>
  </si>
  <si>
    <t>ΑΒ724669</t>
  </si>
  <si>
    <t>ΝΤΟΥΚΛΑΝΙΔΗ</t>
  </si>
  <si>
    <t>ΑΕ806165</t>
  </si>
  <si>
    <t>ΚΑΠΕΟΛΔΑΣΗ</t>
  </si>
  <si>
    <t>ΑΜ385925</t>
  </si>
  <si>
    <t>ΘΩΜΟΠΟΥΛΟΥ</t>
  </si>
  <si>
    <t>ΑΙ776376</t>
  </si>
  <si>
    <t>ΓΚΟΤΣΟΠΟΥΛΟΥ</t>
  </si>
  <si>
    <t>ΑΒ753226</t>
  </si>
  <si>
    <t>ΔΗΜΑΡΧΟΥ</t>
  </si>
  <si>
    <t>ΑΜ005185</t>
  </si>
  <si>
    <t>ΤΣΑΡΑΣ</t>
  </si>
  <si>
    <t>ΣΠΥΡΟΣ</t>
  </si>
  <si>
    <t>ΑΙ797918</t>
  </si>
  <si>
    <t>ΚΑΡΑΔΟΥΚΑ</t>
  </si>
  <si>
    <t>Ξ708909</t>
  </si>
  <si>
    <t>ΠΕΡΡΗ</t>
  </si>
  <si>
    <t>ΧΟΟ7074</t>
  </si>
  <si>
    <t>ΛΥΚΟΥΔΗ</t>
  </si>
  <si>
    <t>ΑΚ573643</t>
  </si>
  <si>
    <t>ΚΑΛΟΓΡΙΑΝΙΤΗ</t>
  </si>
  <si>
    <t>ΚΩΝΣΤΑΝΤ</t>
  </si>
  <si>
    <t>Π906005</t>
  </si>
  <si>
    <t>ΧΑΛΚΙΑ</t>
  </si>
  <si>
    <t>ΑΙΚΑΤΕΡΙΝΑ</t>
  </si>
  <si>
    <t>ΑΟ415298</t>
  </si>
  <si>
    <t>ΓΟΥΡΝΑΡΗ</t>
  </si>
  <si>
    <t>ΕΥΘΥΜΙΑ</t>
  </si>
  <si>
    <t>ΑΖ575475</t>
  </si>
  <si>
    <t>ΚΑΠΕΛΛΑ</t>
  </si>
  <si>
    <t>ΑΑ423252</t>
  </si>
  <si>
    <t>ΡΙΖΟΥ</t>
  </si>
  <si>
    <t>ΑΙ853891</t>
  </si>
  <si>
    <t>ΔΙΑΜΑΝΤΗ</t>
  </si>
  <si>
    <t>ΑΘΑΝΑΣΙΟΥ</t>
  </si>
  <si>
    <t>Χ718489</t>
  </si>
  <si>
    <t>ΑΡΝΑΡΕΛΛΗ</t>
  </si>
  <si>
    <t>Ρ246794</t>
  </si>
  <si>
    <t>Ξ666685</t>
  </si>
  <si>
    <t>ΔΟΥΒΙΚΑ</t>
  </si>
  <si>
    <t>ΑΝ961382</t>
  </si>
  <si>
    <t>ΜΠΙΛΙΑΣ</t>
  </si>
  <si>
    <t>ΑΒ766062</t>
  </si>
  <si>
    <t>ΠΑΠΑΝΙΚΟΛΑΟΥ</t>
  </si>
  <si>
    <t>ΜΑΡΙΜΙΝΑ</t>
  </si>
  <si>
    <t>ΑΗ087000</t>
  </si>
  <si>
    <t>ΣΙΔΗΡΟΠΟΥΛΟΥ</t>
  </si>
  <si>
    <t>ΓΕΣΘΗΜΑΝΗ</t>
  </si>
  <si>
    <t>Σ765884</t>
  </si>
  <si>
    <t>ΚΟΤΑΡΙΔΗ</t>
  </si>
  <si>
    <t>ΑΝ267794</t>
  </si>
  <si>
    <t>ΧΡΙΣΤΟΠΟΥΛΟΥ</t>
  </si>
  <si>
    <t>ΑΚ070779</t>
  </si>
  <si>
    <t>ΜΠΑΛΛΟΥ</t>
  </si>
  <si>
    <t>ΑΚ022834</t>
  </si>
  <si>
    <t>ΣΠΑΡΑΓΓΗ</t>
  </si>
  <si>
    <t>Σ470890</t>
  </si>
  <si>
    <t>ΠΑΛΑΙΟΛΟΓΟΥ</t>
  </si>
  <si>
    <t>ΑΝ664771</t>
  </si>
  <si>
    <t>ΓΙΑΛΟΥ</t>
  </si>
  <si>
    <t>ΑΟ486635</t>
  </si>
  <si>
    <t>ΜΟΥΡΕΛΑΤΟΥ</t>
  </si>
  <si>
    <t>ΓΕΡΑΣΙΜΟΥΛΑ</t>
  </si>
  <si>
    <t>ΑΒ325475</t>
  </si>
  <si>
    <t>ΓΙΑΝΝΑΚΗ</t>
  </si>
  <si>
    <t>ΑΙ229042</t>
  </si>
  <si>
    <t>ΧΑΙΔΩ</t>
  </si>
  <si>
    <t>ΑΙ278070</t>
  </si>
  <si>
    <t>ΚΑΡΑΓΕΩΡΓΟΠΟΥΛΟΥ</t>
  </si>
  <si>
    <t>ΑΗ774604</t>
  </si>
  <si>
    <t>ΓΚΑΜΠΕΤΑ</t>
  </si>
  <si>
    <t>ΑΜ298622</t>
  </si>
  <si>
    <t>ΑΒ402227</t>
  </si>
  <si>
    <t>ΒΙΛΛΙΑ</t>
  </si>
  <si>
    <t>ΣΤΑΜΑΤΙΝΑ</t>
  </si>
  <si>
    <t>ΑΗ532408</t>
  </si>
  <si>
    <t>ΙΑΚΩΒΑΚΗ</t>
  </si>
  <si>
    <t>ΑΟ952553</t>
  </si>
  <si>
    <t>ΑΝΔΡΟΜΑΧΗ</t>
  </si>
  <si>
    <t>ΑΜ901335</t>
  </si>
  <si>
    <t>ΜΠΙΜΠΟΥΔΗ</t>
  </si>
  <si>
    <t>ΑΑ457053</t>
  </si>
  <si>
    <t>ΚΟΛΙΠΕΤΣΑ</t>
  </si>
  <si>
    <t>Χ285198</t>
  </si>
  <si>
    <t>ΡΗΓΑ</t>
  </si>
  <si>
    <t>ΜΑΡΙΑ ΑΝΑΣΤΑ</t>
  </si>
  <si>
    <t>ΑΗ022326</t>
  </si>
  <si>
    <t>ΛΙΑΚΟΥ</t>
  </si>
  <si>
    <t>ΑΒ962153</t>
  </si>
  <si>
    <t>ΘΕΟΧΑΡΗ</t>
  </si>
  <si>
    <t>ΑΖ818786</t>
  </si>
  <si>
    <t>ΓΡΑΜΜΑΤΙΚΟΥ</t>
  </si>
  <si>
    <t>Χ433458</t>
  </si>
  <si>
    <t>ΚΟΝΤΟΠΙΔΗ</t>
  </si>
  <si>
    <t>ΑΟ554380</t>
  </si>
  <si>
    <t>ΒΑΙΟΠΟΥΛΟΥ</t>
  </si>
  <si>
    <t>ΑΕ631296</t>
  </si>
  <si>
    <t>ΧΡΥΣΑΦΟΥΛΑ</t>
  </si>
  <si>
    <t>ΑΖ081862</t>
  </si>
  <si>
    <t>ΨΑΙΛΑ</t>
  </si>
  <si>
    <t>ΑΝ148679</t>
  </si>
  <si>
    <t>ΠΑΛΑΜΙΔΗ ΡΙΓΚΕΡ</t>
  </si>
  <si>
    <t>ΑΙ625413</t>
  </si>
  <si>
    <t>Σ783387</t>
  </si>
  <si>
    <t>ΘΕΟΦΙΛΟΥ</t>
  </si>
  <si>
    <t>Χ833165</t>
  </si>
  <si>
    <t>ΞΥΛΟΥΔΗ</t>
  </si>
  <si>
    <t>ΑΖ845435</t>
  </si>
  <si>
    <t>ΠΡΟΚΟΠΙΟΥ</t>
  </si>
  <si>
    <t>ΕΥΑΓΓΕΛΙΑ ΠΑΡΑΣΚΕΥΗ</t>
  </si>
  <si>
    <t>ΑΑ010040</t>
  </si>
  <si>
    <t>ΚΑΣΙΔΗ</t>
  </si>
  <si>
    <t>ΑΜ278723</t>
  </si>
  <si>
    <t>ΠΙΠΕΡΗ</t>
  </si>
  <si>
    <t>ΘΕΟΛΟΓΟΣ</t>
  </si>
  <si>
    <t>ΑΖ878999</t>
  </si>
  <si>
    <t>ΑΑ378355</t>
  </si>
  <si>
    <t>ΜΑΥΡΟΓΙΑΝΝΑΚΗ</t>
  </si>
  <si>
    <t>ΕΥΘΑΛΙΑ</t>
  </si>
  <si>
    <t>ΑΝ842509</t>
  </si>
  <si>
    <t>ΡΟΔΑΚΗ</t>
  </si>
  <si>
    <t>ΑΚ469003</t>
  </si>
  <si>
    <t>ΑΝΔΡΕΑΚΕΝΑ</t>
  </si>
  <si>
    <t>ΔΕΣΠΟΙΝΑ ΜΑΡΙΑ</t>
  </si>
  <si>
    <t>Χ604200</t>
  </si>
  <si>
    <t>ΓΚΑΡΛΗ</t>
  </si>
  <si>
    <t>ΑΙ846901</t>
  </si>
  <si>
    <t>ΝΤΟΥΡΑΛΗ</t>
  </si>
  <si>
    <t>Χ604480</t>
  </si>
  <si>
    <t>ΜΠΑΛΙΟΥ</t>
  </si>
  <si>
    <t>ΑΗ843078</t>
  </si>
  <si>
    <t>ΜΠΟΤΖΟΛΑΚΗ</t>
  </si>
  <si>
    <t>Σ504306</t>
  </si>
  <si>
    <t>ΜΠΑΛΑΛΗ</t>
  </si>
  <si>
    <t>ΓΡΗΓΟΡΙΑ</t>
  </si>
  <si>
    <t>ΕΛΠΙΔΟΦΟΡΟΣ</t>
  </si>
  <si>
    <t>ΑΒ178160</t>
  </si>
  <si>
    <t>ΜΑΝΤΖΙΩΚΑ</t>
  </si>
  <si>
    <t>ΚΥΠΑΡΙΣΣΙΑ</t>
  </si>
  <si>
    <t>ΑΙ286903</t>
  </si>
  <si>
    <t>ΚΟΝΤΕ</t>
  </si>
  <si>
    <t>ΑΡ432763</t>
  </si>
  <si>
    <t>ΧΑΤΖΗΜΑΝΟΥ</t>
  </si>
  <si>
    <t>ΑΟ723250</t>
  </si>
  <si>
    <t>ΠΗΤΤΑ</t>
  </si>
  <si>
    <t>ΡΟΔΟΠΗ</t>
  </si>
  <si>
    <t>ΣΤΑΜΑΤΗΣ</t>
  </si>
  <si>
    <t>ΑΒ352398</t>
  </si>
  <si>
    <t>ΓΩΓΟΥ</t>
  </si>
  <si>
    <t>ΑΒ373536</t>
  </si>
  <si>
    <t>ΣΚΥΛΛΑ</t>
  </si>
  <si>
    <t>ΜΗΤΣΟΠΟΥΛΟΥ</t>
  </si>
  <si>
    <t>ΑΗ805540</t>
  </si>
  <si>
    <t>ΛΑΖΟΠΟΥΛΟΥ</t>
  </si>
  <si>
    <t>ΑΖ850868</t>
  </si>
  <si>
    <t>ΦΩΚΑ</t>
  </si>
  <si>
    <t>ΑΒ611306</t>
  </si>
  <si>
    <t>ΑΝΤΖΑΚΑ</t>
  </si>
  <si>
    <t>ΑΝ369370</t>
  </si>
  <si>
    <t xml:space="preserve">ΡΟΥΣΙΑΚΗ </t>
  </si>
  <si>
    <t xml:space="preserve">ΠΑΝΑΓΙΩΤΑ </t>
  </si>
  <si>
    <t>ΑΖ003126</t>
  </si>
  <si>
    <t>ΠΡΟΦΥΡΗ</t>
  </si>
  <si>
    <t>ΑΗ529228</t>
  </si>
  <si>
    <t>ΚΟΜΝΙΔΟΥ</t>
  </si>
  <si>
    <t>ΑΕ192055</t>
  </si>
  <si>
    <t>ΔΟΥΚΑ</t>
  </si>
  <si>
    <t>Π900390</t>
  </si>
  <si>
    <t>ΑΙ849075</t>
  </si>
  <si>
    <t>ΖΕΡΒΑ</t>
  </si>
  <si>
    <t>ΑΚ969307</t>
  </si>
  <si>
    <t>ΑΟ350007</t>
  </si>
  <si>
    <t>ΓΑΛΑΝΗ</t>
  </si>
  <si>
    <t>ΜΥΡΤΩ</t>
  </si>
  <si>
    <t>ΑΗ273408</t>
  </si>
  <si>
    <t>ΜΠΛΑΝΤΗ</t>
  </si>
  <si>
    <t>ΑΕ801991</t>
  </si>
  <si>
    <t>ΠΑΡΑΣΚΕΥΟΠΟΥΛΟΥ</t>
  </si>
  <si>
    <t>ΑΕ235266</t>
  </si>
  <si>
    <t>ΠΑΡΜΑΚΗ</t>
  </si>
  <si>
    <t>ΑΖ499613</t>
  </si>
  <si>
    <t>ΜΑΛΟΥΧΟΥ</t>
  </si>
  <si>
    <t>ΑΒ394898</t>
  </si>
  <si>
    <t>ΒΟΥΛΓΑΡΗ</t>
  </si>
  <si>
    <t>Π251706</t>
  </si>
  <si>
    <t>ΛΑΔΟΠΟΥΛΟΥ</t>
  </si>
  <si>
    <t>ΔΕΣΠΟΙΝΑ ΕΥΑΓΓΕΛΙΑ</t>
  </si>
  <si>
    <t>ΑΟ948338</t>
  </si>
  <si>
    <t>ΜΥΤΙΛΗΝΑΙΟΥ</t>
  </si>
  <si>
    <t>ΑΜ264287</t>
  </si>
  <si>
    <t>ΑΡ217385</t>
  </si>
  <si>
    <t>ΑΝΑΣΤΑΣΑΚΗ</t>
  </si>
  <si>
    <t>ΡΟΔΗ ΕΛΕΥΘΕΡΙΑ</t>
  </si>
  <si>
    <t>ΑΝ588014</t>
  </si>
  <si>
    <t>ΖΑΦΕΙΡΟΠΟΥΛΟΥ</t>
  </si>
  <si>
    <t>ΑΕ051839</t>
  </si>
  <si>
    <t>ΝΙΚΟΥ</t>
  </si>
  <si>
    <t>ΣΤΕΡΓΙΟΣ</t>
  </si>
  <si>
    <t>ΑΖ179087</t>
  </si>
  <si>
    <t>ΒΑΝΤΑΡΑΚΗ</t>
  </si>
  <si>
    <t>ΑΙ212040</t>
  </si>
  <si>
    <t>ΑΒ427119</t>
  </si>
  <si>
    <t>ΠΕΤΡΑ</t>
  </si>
  <si>
    <t>Χ760839</t>
  </si>
  <si>
    <t>ΒΑΣΙΛΑΚΟΥ</t>
  </si>
  <si>
    <t xml:space="preserve">ΣΟΦΙΑ </t>
  </si>
  <si>
    <t>Σ507482</t>
  </si>
  <si>
    <t>ΑΡΙΣΤΟΤΕΛΗΣ</t>
  </si>
  <si>
    <t>ΑΗ885968</t>
  </si>
  <si>
    <t>ΚΟΚΚΙΝΑΚΟΥ</t>
  </si>
  <si>
    <t>ΑΗ236727</t>
  </si>
  <si>
    <t>ΜΠΟΥΚΛΑ</t>
  </si>
  <si>
    <t>ΒΕΝΕΤΙΑ</t>
  </si>
  <si>
    <t>ΑΝ040770</t>
  </si>
  <si>
    <t>ΡΙΓΛΗ</t>
  </si>
  <si>
    <t>ΑΜ028705</t>
  </si>
  <si>
    <t>ΖΗΡΔΕΛΗ</t>
  </si>
  <si>
    <t>ΑΜ821635</t>
  </si>
  <si>
    <t>ΠΑΡΑΣΚΕΥΑΙΔΟΥ</t>
  </si>
  <si>
    <t>ΑΒ895689</t>
  </si>
  <si>
    <t>ΣΑΑΜΠΑΝ</t>
  </si>
  <si>
    <t>ΣΤΕΦΑΝΙΑ</t>
  </si>
  <si>
    <t>ΑΗ628654</t>
  </si>
  <si>
    <t>ΑΡΓΥΡΑΚΗ</t>
  </si>
  <si>
    <t>ΦΙΛΟΚΤΗΤΗΣ</t>
  </si>
  <si>
    <t>ΑΡ039522</t>
  </si>
  <si>
    <t>ΑΟ360222</t>
  </si>
  <si>
    <t>ΚΩΣΤΑΚΟΥ</t>
  </si>
  <si>
    <t>ΔΑΒΟΣ</t>
  </si>
  <si>
    <t>ΑΙ200633</t>
  </si>
  <si>
    <t>ΓΙΑΓΚΟΥΛΑ</t>
  </si>
  <si>
    <t>ΑΓΑΘΗ</t>
  </si>
  <si>
    <t>ΑΖ886475</t>
  </si>
  <si>
    <t>ΑΝ780601</t>
  </si>
  <si>
    <t>ΑΗ104355</t>
  </si>
  <si>
    <t>ΚΟΥΤΣΙΟΥΜΠΑ</t>
  </si>
  <si>
    <t>ΑΝ856081</t>
  </si>
  <si>
    <t>ΧΑΛΙΛΗ</t>
  </si>
  <si>
    <t>ΑΟ368479</t>
  </si>
  <si>
    <t>ΑΒ832425</t>
  </si>
  <si>
    <t>ΑΓΓΕΛΑΙΝΑ</t>
  </si>
  <si>
    <t>Π840405</t>
  </si>
  <si>
    <t>ΛΟΥΙΖΟΥ</t>
  </si>
  <si>
    <t>Ρ183000</t>
  </si>
  <si>
    <t>ΑΖ650442</t>
  </si>
  <si>
    <t>ΒΑΛΗΛΗ</t>
  </si>
  <si>
    <t>ΧΡΥΣΣΑ</t>
  </si>
  <si>
    <t>ΑΗ927176</t>
  </si>
  <si>
    <t>ΚΟΝΟΜΗ</t>
  </si>
  <si>
    <t>ΚΡΙΣ</t>
  </si>
  <si>
    <t>ΣΤΕΦΑΝ</t>
  </si>
  <si>
    <t>ΑΝ106081</t>
  </si>
  <si>
    <t>ΛΙΝΤΖΕΡΗ</t>
  </si>
  <si>
    <t>ΑΖ393305</t>
  </si>
  <si>
    <t>ΜΠΑΡΜΠΕΡΗ</t>
  </si>
  <si>
    <t>ΟΛΥΜΠΙΑ</t>
  </si>
  <si>
    <t>ΑΙ846858</t>
  </si>
  <si>
    <t>ΜΠΑΞΕΒΑΝΙΔΟΥ</t>
  </si>
  <si>
    <t>ΘΕΟΔΟΣΙΟΣ</t>
  </si>
  <si>
    <t>ΑΕ424888</t>
  </si>
  <si>
    <t>ΠΑΠΑΔΗΜΟΥ</t>
  </si>
  <si>
    <t>ΑΙ836108</t>
  </si>
  <si>
    <t>ΦΟΥΣΑΡΟΥ ΜΑΛΑΜΗ</t>
  </si>
  <si>
    <t>ΑΗ703663</t>
  </si>
  <si>
    <t>ΞΩΞΑΚΟΥ</t>
  </si>
  <si>
    <t>ΑΗ117708</t>
  </si>
  <si>
    <t>ΚΕΡΜΑΝΙΔΟΥ</t>
  </si>
  <si>
    <t>ΑΖ550211</t>
  </si>
  <si>
    <t>ΤΣΙΚΝΑΚΗ</t>
  </si>
  <si>
    <t>ΑΜ955902</t>
  </si>
  <si>
    <t>ΝΤΑΦΟΥ ΒΑΙΟΥΛΗ</t>
  </si>
  <si>
    <t xml:space="preserve">ΜΑΡΙΑ ΘΩΜΑΗ </t>
  </si>
  <si>
    <t>ΜΩΥΣΙΑΔΗΣ</t>
  </si>
  <si>
    <t>ΣΑΒΒΑΣ</t>
  </si>
  <si>
    <t>ΑΗ391494</t>
  </si>
  <si>
    <t>ΝΙΚΟΛΑΙΔΟΥ</t>
  </si>
  <si>
    <t>ΑΖ031572</t>
  </si>
  <si>
    <t>ΜΑΚΡΗ</t>
  </si>
  <si>
    <t>ΑΘΗΝΑ ΠΑΡΑΣΚΕΥΗ</t>
  </si>
  <si>
    <t>Φ096291</t>
  </si>
  <si>
    <t>ΜΙΧΑΛΙΑΣΛΗ</t>
  </si>
  <si>
    <t>ΑΒ608865</t>
  </si>
  <si>
    <t>ΠΑΡΑΦΕΛΑ</t>
  </si>
  <si>
    <t>ΑΕ862350</t>
  </si>
  <si>
    <t>Τ985644</t>
  </si>
  <si>
    <t>ΤΟΠΑΛΙΔΟΥ</t>
  </si>
  <si>
    <t>ΑΚΡΙΤΑΣ</t>
  </si>
  <si>
    <t>ΑΚ434286</t>
  </si>
  <si>
    <t>ΓΚΟΥΣΑΡΗ</t>
  </si>
  <si>
    <t>ΘΕΟΦΑΝΗ</t>
  </si>
  <si>
    <t>Χ489038</t>
  </si>
  <si>
    <t>ΑΝΔΡΕΟΓΛΟΥ</t>
  </si>
  <si>
    <t>ΑΗ378658</t>
  </si>
  <si>
    <t>ΑΤΜΑΤΖΟΓΛΟΥ</t>
  </si>
  <si>
    <t>ΑΘΗΝΟΥΛΑ</t>
  </si>
  <si>
    <t>Ξ699177</t>
  </si>
  <si>
    <t>ΖΑΡΚΑΔΟΥΛΑ</t>
  </si>
  <si>
    <t>Χ778507</t>
  </si>
  <si>
    <t>ΓΑΛΕΡΑΚΗ</t>
  </si>
  <si>
    <t>ΑΙ458346</t>
  </si>
  <si>
    <t>ΝΕΡΑΝΤΖΗ</t>
  </si>
  <si>
    <t>ΑΕ433354</t>
  </si>
  <si>
    <t>ΜΠΕΚΙΑΡΗ</t>
  </si>
  <si>
    <t>Χ750021</t>
  </si>
  <si>
    <t>ΠΑΛΕΓΚΑ</t>
  </si>
  <si>
    <t>ΑΟ900661</t>
  </si>
  <si>
    <t>ΚΥΠΡΑΙΟΥ</t>
  </si>
  <si>
    <t>ΑΒ297501</t>
  </si>
  <si>
    <t>ΤΕΡΖΙΔΟΥ</t>
  </si>
  <si>
    <t>ΑΚ256226</t>
  </si>
  <si>
    <t>ΝΤΟΥΛΕ</t>
  </si>
  <si>
    <t>ΑΙ254544</t>
  </si>
  <si>
    <t>ΔΗΜΗΤΡΙΟΥ</t>
  </si>
  <si>
    <t>ΤΡΥΦΩΝ</t>
  </si>
  <si>
    <t>ΑΗ290279</t>
  </si>
  <si>
    <t>ΠΕΤΑΛΙΔΟΥ</t>
  </si>
  <si>
    <t>ΑΖ804553</t>
  </si>
  <si>
    <t>ΜΑΤΑΚΟΥ</t>
  </si>
  <si>
    <t>ΑΙ187392</t>
  </si>
  <si>
    <t>Σ351952</t>
  </si>
  <si>
    <t>ΜΠΡΑΝΤΙΤΣΑ</t>
  </si>
  <si>
    <t>ΑΒ270275</t>
  </si>
  <si>
    <t>ΓΡΗΓΟΡΟΠΟΥΛΟΥ</t>
  </si>
  <si>
    <t>ΒΑΡΒΑΡΑ</t>
  </si>
  <si>
    <t>Ξ205978</t>
  </si>
  <si>
    <t>ΤΖΑΝΕΤΟΥ</t>
  </si>
  <si>
    <t>ΑΕ737911</t>
  </si>
  <si>
    <t>ΣΤΕΙΑΚΑΚΗ</t>
  </si>
  <si>
    <t>ΧΑΡΙΔΗΜΟΣ</t>
  </si>
  <si>
    <t>ΑΖ961536</t>
  </si>
  <si>
    <t>ΚΛΑΟΥΡΑΚΗ</t>
  </si>
  <si>
    <t>ΑΒ481198</t>
  </si>
  <si>
    <t>ΝΙΤΣΑ</t>
  </si>
  <si>
    <t>ΧΡΗΣΤΟΣ ΔΡΟΣΟΣ</t>
  </si>
  <si>
    <t>ΑΒ548010</t>
  </si>
  <si>
    <t>ΠΛΟΥΜΙΔΟΥ</t>
  </si>
  <si>
    <t>ΑΡ432811</t>
  </si>
  <si>
    <t>ΠΕΠΠΑ</t>
  </si>
  <si>
    <t>Σ796579</t>
  </si>
  <si>
    <t>ΓΙΑΚΟΥΜΑΤΟΥ</t>
  </si>
  <si>
    <t>ΠΑΝΑΓΗΣ</t>
  </si>
  <si>
    <t>ΑΙ511491</t>
  </si>
  <si>
    <t>ΑΝ826767</t>
  </si>
  <si>
    <t>ΜΠΑΓΙΑΤΛΑΚΗ</t>
  </si>
  <si>
    <t>ΞΑΝΘΗ</t>
  </si>
  <si>
    <t>ΑΕ152149</t>
  </si>
  <si>
    <t>ΜΗΤΣΙΟΥ</t>
  </si>
  <si>
    <t>ΚΑΛΛΙΝΩ</t>
  </si>
  <si>
    <t>ΑΖ297377</t>
  </si>
  <si>
    <t>ΚΟΒΕΡΗ</t>
  </si>
  <si>
    <t>ΑΙ636086</t>
  </si>
  <si>
    <t>ΙΩΑΝΝΟΥ</t>
  </si>
  <si>
    <t>ΑΟ395082</t>
  </si>
  <si>
    <t>ΚΟΡΑΚΑ</t>
  </si>
  <si>
    <t>Χ455352</t>
  </si>
  <si>
    <t>ΦΟΡΤΣΑ</t>
  </si>
  <si>
    <t>ΑΜ101430</t>
  </si>
  <si>
    <t>ΑΒ725670</t>
  </si>
  <si>
    <t>ΚΑΤΣΑΡΑ</t>
  </si>
  <si>
    <t>ΑΖ589371</t>
  </si>
  <si>
    <t>ΣΑΒΒΙΔΟΥ</t>
  </si>
  <si>
    <t>Χ244829</t>
  </si>
  <si>
    <t>ΜΠΡΕΝΤΑ</t>
  </si>
  <si>
    <t>Σ454978</t>
  </si>
  <si>
    <t>ΣΤΙΝΗ</t>
  </si>
  <si>
    <t>ΑΕ946880</t>
  </si>
  <si>
    <t>ΒΛΑΖΑΚΗ</t>
  </si>
  <si>
    <t>ΑΖ018788</t>
  </si>
  <si>
    <t>ΣΦΕΛΗΝΙΩΤΗ</t>
  </si>
  <si>
    <t>ΑΡΙΣΤΑΡΧΟΣ</t>
  </si>
  <si>
    <t>Π866839</t>
  </si>
  <si>
    <t>ΦΡΑΓΚΟΥ</t>
  </si>
  <si>
    <t>ΑΖ146771</t>
  </si>
  <si>
    <t>ΤΣΟΒΙΛΗ</t>
  </si>
  <si>
    <t>ΑΝ652945</t>
  </si>
  <si>
    <t>ΠΑΡΣΑΝΟΥ</t>
  </si>
  <si>
    <t>ΑΚ501989</t>
  </si>
  <si>
    <t>ΓΕΩΡΓΙΑΔΟΥ</t>
  </si>
  <si>
    <t>ΑΚ300869</t>
  </si>
  <si>
    <t>ΒΟΡΝΙΩΤΑΚΗ</t>
  </si>
  <si>
    <t>Χ352496</t>
  </si>
  <si>
    <t>ΠΙΤΣΕΡΗ</t>
  </si>
  <si>
    <t>ΑΗ221371</t>
  </si>
  <si>
    <t>ΚΑΤΣΑΝΟΥ</t>
  </si>
  <si>
    <t>Π851110</t>
  </si>
  <si>
    <t xml:space="preserve">ΦΑΣΟΥΛΑ </t>
  </si>
  <si>
    <t xml:space="preserve">ΕΙΡΗΝΗ </t>
  </si>
  <si>
    <t>ΑΒ961558</t>
  </si>
  <si>
    <t>ΣΤΟΥΜΠΟΥ</t>
  </si>
  <si>
    <t>ΑΜ323857</t>
  </si>
  <si>
    <t>ΚΑΡΑΜΙΧΑ</t>
  </si>
  <si>
    <t>ΑΙ851509</t>
  </si>
  <si>
    <t>ΜΟΔΙΑΝΑΚΗΣ</t>
  </si>
  <si>
    <t>ΑΚ664445</t>
  </si>
  <si>
    <t>ΠΑΠΑΝΤΩΝΑΚΗ</t>
  </si>
  <si>
    <t>ΑΟ976330</t>
  </si>
  <si>
    <t>ΜΠΑΚΑΛΗ</t>
  </si>
  <si>
    <t>Χ891493</t>
  </si>
  <si>
    <t>ΔΡΟΣΟΠΑΝΑΓΙΩΤΗ</t>
  </si>
  <si>
    <t>ΜΑΡΙΑ ΑΝΝΑ</t>
  </si>
  <si>
    <t>ΑΜ273694</t>
  </si>
  <si>
    <t>ΚΟΚΚΙΝΟΥ</t>
  </si>
  <si>
    <t>ΑΒ141198</t>
  </si>
  <si>
    <t>ΠΑΠΑΣΤΡΑΤΑΚΗ</t>
  </si>
  <si>
    <t>ΑΕ399320</t>
  </si>
  <si>
    <t>Σ806449</t>
  </si>
  <si>
    <t>ΜΑΡΙΑΝΝΑ</t>
  </si>
  <si>
    <t>ΑΗ214883</t>
  </si>
  <si>
    <t>ΑΔΑΜΙΔΟΥ</t>
  </si>
  <si>
    <t>ΑΚ320838</t>
  </si>
  <si>
    <t>ΚΟΥΚΟΥ</t>
  </si>
  <si>
    <t>ΑΝ204697</t>
  </si>
  <si>
    <t>ΟΥΡΑΝΟΥ</t>
  </si>
  <si>
    <t>Χ851078</t>
  </si>
  <si>
    <t>ΝΙΚΗΦΟΡΙΔΟΥ</t>
  </si>
  <si>
    <t>ΑΕ689810</t>
  </si>
  <si>
    <t>ΓΙΑΚΟΥΜΑΚΗ</t>
  </si>
  <si>
    <t>Φ345511</t>
  </si>
  <si>
    <t>ΔΑΝΙΚΑ</t>
  </si>
  <si>
    <t>ΑΑ359019</t>
  </si>
  <si>
    <t>ΑΠΟΣΤΟΛΑΚΟΠΟΥΛΟΥ</t>
  </si>
  <si>
    <t>ΑΒ422088</t>
  </si>
  <si>
    <t>ΓΑΛΑΤΣΙΔΑ</t>
  </si>
  <si>
    <t>ΑΗ763723</t>
  </si>
  <si>
    <t>ΑΗ790238</t>
  </si>
  <si>
    <t>ΜΟΤΑΚΗ</t>
  </si>
  <si>
    <t>ΑΛΕΞΑΝΔΡΑ ΑΡΤΕΜΗΣΙΑ</t>
  </si>
  <si>
    <t>Χ494003</t>
  </si>
  <si>
    <t>ΠΑΠΑΓΙΑΝΝΑΚΗ</t>
  </si>
  <si>
    <t>ΑΙ148053</t>
  </si>
  <si>
    <t>ΒΑΡΝΑΒΑ</t>
  </si>
  <si>
    <t>ΑΙΚΑΤ</t>
  </si>
  <si>
    <t>Τ118270</t>
  </si>
  <si>
    <t>ΝΤΕΛΗ</t>
  </si>
  <si>
    <t>ΑΟ355507</t>
  </si>
  <si>
    <t>Ξ582977</t>
  </si>
  <si>
    <t>ΝΑΖΑΙ</t>
  </si>
  <si>
    <t>ΕΝΙΝΤΑ</t>
  </si>
  <si>
    <t>ΖΑΧΟ</t>
  </si>
  <si>
    <t>ΑΝ334111</t>
  </si>
  <si>
    <t>ΚΕΦΑΛΑ</t>
  </si>
  <si>
    <t>ΝΙΚΟΛΕΤΤΑ</t>
  </si>
  <si>
    <t>ΑΡ095936</t>
  </si>
  <si>
    <t>ΒΑΡΣΑΜΗ</t>
  </si>
  <si>
    <t>Χ318512</t>
  </si>
  <si>
    <t>GRECU</t>
  </si>
  <si>
    <t>MIOARA</t>
  </si>
  <si>
    <t>CONSTANTIN</t>
  </si>
  <si>
    <t>ΚΟΝΙΑΡΗ</t>
  </si>
  <si>
    <t>Ρ395883</t>
  </si>
  <si>
    <t>ΚΑΡΑΓΕΩΡΓΙΟΥ</t>
  </si>
  <si>
    <t>ΑΗ875897</t>
  </si>
  <si>
    <t>ΜΑΥΡΑΓΑΝΗ</t>
  </si>
  <si>
    <t>Ξ999390</t>
  </si>
  <si>
    <t>ΠΑΝΑΓΙΩΤΙΔΟΥ</t>
  </si>
  <si>
    <t>ΑΗ579501</t>
  </si>
  <si>
    <t>ΧΡΗΣΤΙΔΟΥ</t>
  </si>
  <si>
    <t>ΑΖ849620</t>
  </si>
  <si>
    <t>ΧΡΗΣΤΟΥ</t>
  </si>
  <si>
    <t>ΑΚ985658</t>
  </si>
  <si>
    <t>ΚΑΤΣΙΑΔΑ</t>
  </si>
  <si>
    <t>ΑΚ357810</t>
  </si>
  <si>
    <t>ΑΜΟΙΡΙΔΟΥ</t>
  </si>
  <si>
    <t>ΣΕΒΑΣΤΗ</t>
  </si>
  <si>
    <t>Χ078238</t>
  </si>
  <si>
    <t>ΡΟΥΣΝΤΙ</t>
  </si>
  <si>
    <t>ΜΑΓΚΝΤΙ</t>
  </si>
  <si>
    <t>ΑΑ004075</t>
  </si>
  <si>
    <t>ΠΑΠΑΜΙΧΑΛΑΚΗ</t>
  </si>
  <si>
    <t>Τ046845</t>
  </si>
  <si>
    <t>ΤΣΑΓΚΑΡΑΚΗ</t>
  </si>
  <si>
    <t>ΝΕΣΤΟΡΑΣ</t>
  </si>
  <si>
    <t>ΑΕ391443</t>
  </si>
  <si>
    <t>ΤΡΑΚΕΛΛΗ</t>
  </si>
  <si>
    <t>ΑΑ439004</t>
  </si>
  <si>
    <t>ΜΑΡΙΑ ΧΡΙΣΤΙΝΑ</t>
  </si>
  <si>
    <t>ΑΕ810897</t>
  </si>
  <si>
    <t>ΔΙΚΑΡΟΥ</t>
  </si>
  <si>
    <t>ΑΖ535560</t>
  </si>
  <si>
    <t>ΓΛΕΖΟΥ</t>
  </si>
  <si>
    <t>ΑΑ013724</t>
  </si>
  <si>
    <t>ΔΡΑΚΟΥΛΑΚΟΥ</t>
  </si>
  <si>
    <t>ΑΙ802309</t>
  </si>
  <si>
    <t>ΣΤΑΘΟΠΟΥΛΟΥ</t>
  </si>
  <si>
    <t>Π323809</t>
  </si>
  <si>
    <t>ΜΗΤΩΝΑ</t>
  </si>
  <si>
    <t>ΑΗ968575</t>
  </si>
  <si>
    <t>ΜΗΛΙΩΝΗ</t>
  </si>
  <si>
    <t>ΑΙ060481</t>
  </si>
  <si>
    <t>ΑΝΑΓΝΩΣΤΟΠΟΥΛΟΥ</t>
  </si>
  <si>
    <t>ΒΙΚΤΩΡΙΑ</t>
  </si>
  <si>
    <t>Χ717133</t>
  </si>
  <si>
    <t>Χ238240</t>
  </si>
  <si>
    <t>ΜΑΚΡΑΚΗ</t>
  </si>
  <si>
    <t>ΜΑΡΙΑ ΣΤΕΛΛΑ</t>
  </si>
  <si>
    <t>ΙΟΡΔΑΝΗΣ</t>
  </si>
  <si>
    <t>ΑΗ850985</t>
  </si>
  <si>
    <t>ΔΑΡΔΟΥΜΠΑ</t>
  </si>
  <si>
    <t>ΑΚ901369</t>
  </si>
  <si>
    <t>ΠΑΠΑΖΟΓΛΟΥ</t>
  </si>
  <si>
    <t>ΑΝ840017</t>
  </si>
  <si>
    <t>ΘΕΟΔΟΣΗΣ</t>
  </si>
  <si>
    <t>ΑΖ704138</t>
  </si>
  <si>
    <t>ΚΟΥΡΠΑΝΙΔΗ</t>
  </si>
  <si>
    <t>ΑΗ594521</t>
  </si>
  <si>
    <t>ΔΟΝΤΑ</t>
  </si>
  <si>
    <t>Σ469172</t>
  </si>
  <si>
    <t>ΜΑΡΙΝΟΠΟΥΛΟΥ</t>
  </si>
  <si>
    <t>Χ283961</t>
  </si>
  <si>
    <t>ΣΤΑΜΠΟΥΛΟΓΛΟΥ</t>
  </si>
  <si>
    <t>ΑΜ387403</t>
  </si>
  <si>
    <t>ΚΥΡΙΑΚΑΚΗ</t>
  </si>
  <si>
    <t>ΑΒ182922</t>
  </si>
  <si>
    <t>ΧΑΡΔΑΒΕΛΑ</t>
  </si>
  <si>
    <t>ΑΚ259377</t>
  </si>
  <si>
    <t>ΤΣΑΚΙΡΗ</t>
  </si>
  <si>
    <t>ΑΖ650394</t>
  </si>
  <si>
    <t>ΖΑΧΑΡΗ</t>
  </si>
  <si>
    <t>ΑΗ770896</t>
  </si>
  <si>
    <t>ΜΠΑΡΙΤΑΚΗ</t>
  </si>
  <si>
    <t>ΑΙ105183</t>
  </si>
  <si>
    <t>ΚΑΠΟΥ</t>
  </si>
  <si>
    <t>ΑΕ072106</t>
  </si>
  <si>
    <t>ΚΟΚΟΛΙΟΥ</t>
  </si>
  <si>
    <t>ΑΚ982811</t>
  </si>
  <si>
    <t>ΚΟΥΚΟΥΛΟΥ</t>
  </si>
  <si>
    <t>ΑΗ325731</t>
  </si>
  <si>
    <t>ΚΑΤΕΜΟΓΛΟΥ</t>
  </si>
  <si>
    <t>ΑΝ389880</t>
  </si>
  <si>
    <t>ΣΠΑΝΟΥΔΑΚΗ</t>
  </si>
  <si>
    <t>ΑΖ734313</t>
  </si>
  <si>
    <t>ΡΟΥΣΣΗ</t>
  </si>
  <si>
    <t>ΣΟΥΣΑΝΑ</t>
  </si>
  <si>
    <t>ΑΖ091138</t>
  </si>
  <si>
    <t>ΚΑΛΤΡΕΜΤΖΗ</t>
  </si>
  <si>
    <t>ΑΕ831041</t>
  </si>
  <si>
    <t>ΣΤΑΥΡΑΚΗ</t>
  </si>
  <si>
    <t>ΑΗ792169</t>
  </si>
  <si>
    <t>ΤΡΙΑΝΤΑΦΥΛΛΙΔΟΥ</t>
  </si>
  <si>
    <t>ΑΖ924615</t>
  </si>
  <si>
    <t xml:space="preserve">ΛΑΠΠΑ </t>
  </si>
  <si>
    <t xml:space="preserve">ΕΡΑΣΜΙΑ </t>
  </si>
  <si>
    <t>ΑΖ537793</t>
  </si>
  <si>
    <t>ΑΜ770000</t>
  </si>
  <si>
    <t>ΓΙΑΝΝΕΝΑ</t>
  </si>
  <si>
    <t>ΑΙ431353</t>
  </si>
  <si>
    <t>ΛΑΝΤΖΟΥ</t>
  </si>
  <si>
    <t>ΑΓΛΑIA</t>
  </si>
  <si>
    <t>ΑΖ782738</t>
  </si>
  <si>
    <t>ΑΚ879926</t>
  </si>
  <si>
    <t>ΦΟΥΡΤΑΚΑ</t>
  </si>
  <si>
    <t>ΑΒ991553</t>
  </si>
  <si>
    <t>ΣΤΑΝΙΤΣΑ</t>
  </si>
  <si>
    <t>ΑΝΕΣΤΗΣ</t>
  </si>
  <si>
    <t>ΑΟ150707</t>
  </si>
  <si>
    <t>ΜΠΟΥΚΟΥΜΑΝΗ</t>
  </si>
  <si>
    <t>ΕΥΔΟΞΙΑ</t>
  </si>
  <si>
    <t>ΑΒ409019</t>
  </si>
  <si>
    <t>ΓΙΟΚΑΡΗ</t>
  </si>
  <si>
    <t>ΞΕΝΟΦΩΝ</t>
  </si>
  <si>
    <t>Χ128654</t>
  </si>
  <si>
    <t>ΚΑΛΛΕΡΓΗ</t>
  </si>
  <si>
    <t>ΑΓΛΑΙΑ</t>
  </si>
  <si>
    <t>ΑΚ482730</t>
  </si>
  <si>
    <t>ΚΟΚΑΚΗ</t>
  </si>
  <si>
    <t>ΑΡ290322</t>
  </si>
  <si>
    <t>ΖΑΝΔΕ</t>
  </si>
  <si>
    <t>ΑΝΝΑ ΦΡΑΤΖΕΣΚΑ</t>
  </si>
  <si>
    <t>ΑΟ430697</t>
  </si>
  <si>
    <t>ΑΓΓΕΛΟΠΟΥΛΟΥ</t>
  </si>
  <si>
    <t>ΑΛΙΚΗ ΜΥΡΤΩ</t>
  </si>
  <si>
    <t>Π004558</t>
  </si>
  <si>
    <t>ΠΡΟΚΟΥ</t>
  </si>
  <si>
    <t>ΑΝ678796</t>
  </si>
  <si>
    <t>ΥΦΑΝΤΗ</t>
  </si>
  <si>
    <t>Χ485474</t>
  </si>
  <si>
    <t>ΣΑΡΑΚΑΤΣΙΑΝΟΥ</t>
  </si>
  <si>
    <t>ΑΜ364843</t>
  </si>
  <si>
    <t>ΧΑΛΑΤΣΗ</t>
  </si>
  <si>
    <t>Χ316118</t>
  </si>
  <si>
    <t>ΜΑΡΟΥΣΗ</t>
  </si>
  <si>
    <t>ΑΖ886793</t>
  </si>
  <si>
    <t>ΚΑΠΝΙΣΤΗ</t>
  </si>
  <si>
    <t>ΑΖ728072</t>
  </si>
  <si>
    <t>ΝΙΚΟΛΑΚΑΚΗ</t>
  </si>
  <si>
    <t>ΑΒ488243</t>
  </si>
  <si>
    <t>ΡΕΒΕΛΟΥ</t>
  </si>
  <si>
    <t>Χ334324</t>
  </si>
  <si>
    <t>ΝΙΓΔΕΛΙΔΟΥ</t>
  </si>
  <si>
    <t>ΑΖ873984</t>
  </si>
  <si>
    <t>ΔΙΑΜΑΝΤΙΔΟΥ</t>
  </si>
  <si>
    <t>ΑΡ235171</t>
  </si>
  <si>
    <t>ΑΛΕΞΙΑΔΟΥ</t>
  </si>
  <si>
    <t>ΑΚ298740</t>
  </si>
  <si>
    <t>ΡΕΚΚΑ</t>
  </si>
  <si>
    <t>ΑΗ691932</t>
  </si>
  <si>
    <t>ΜΑΝΙΚΑ</t>
  </si>
  <si>
    <t>Χ290519</t>
  </si>
  <si>
    <t>ΣΟΥΜΠΑΣΗ</t>
  </si>
  <si>
    <t>ΑΗ220609</t>
  </si>
  <si>
    <t>ΠΑΣΣΙΑ</t>
  </si>
  <si>
    <t>ΗΡΑΚΛΗΣ</t>
  </si>
  <si>
    <t>ΑΒ317980</t>
  </si>
  <si>
    <t>ΑΖ323125</t>
  </si>
  <si>
    <t>ΚΑΡΑΓΙΩΡΓΗ</t>
  </si>
  <si>
    <t>Χ598435</t>
  </si>
  <si>
    <t>ΠΑΝΟΠΟΥΛΟΥ</t>
  </si>
  <si>
    <t>ΑΑ448489</t>
  </si>
  <si>
    <t>ΓΚΟΥΓΚΟΥΛΙΑ</t>
  </si>
  <si>
    <t>Χ913145</t>
  </si>
  <si>
    <t>ΚΙΟΥΡΤΣΗ</t>
  </si>
  <si>
    <t>ΑΒ073140</t>
  </si>
  <si>
    <t>ΛΥΚΟΘΑΝΑΣΗ</t>
  </si>
  <si>
    <t>ΔΗΜΗΤΡΙΟ</t>
  </si>
  <si>
    <t>Τ279195</t>
  </si>
  <si>
    <t>ΤΕΛΙΟΥ</t>
  </si>
  <si>
    <t>ΑΝ345820</t>
  </si>
  <si>
    <t>ΧΕΡΙΣΤΑΝΙΔΟΥ</t>
  </si>
  <si>
    <t>ΑΜ682786</t>
  </si>
  <si>
    <t>ΒΟΣΙΝΑΚΗ</t>
  </si>
  <si>
    <t>Π933142</t>
  </si>
  <si>
    <t>ΓΙΑΝΝΟΥΛΑ</t>
  </si>
  <si>
    <t>Χ866360</t>
  </si>
  <si>
    <t>ΑΛΕΞΑΝΔΡΑΤΟΥ</t>
  </si>
  <si>
    <t>ΑΗ701469</t>
  </si>
  <si>
    <t>ΜΠΟΡΑ</t>
  </si>
  <si>
    <t>ΑΙ065679</t>
  </si>
  <si>
    <t>ΔΗΜΟΤΣΙΟΥ</t>
  </si>
  <si>
    <t>ΑΖ883821</t>
  </si>
  <si>
    <t>ΝΤΑΛΑΓΙΑΝΝΗ</t>
  </si>
  <si>
    <t>Ξ872703</t>
  </si>
  <si>
    <t>ΜΑΝΤΖΙΑΡΗ</t>
  </si>
  <si>
    <t>ΑΜ849311</t>
  </si>
  <si>
    <t>ΙΠΠΙΩΤΗ</t>
  </si>
  <si>
    <t>ΤΑΞΙΑΡΧΟΥΛΑ</t>
  </si>
  <si>
    <t>ΑΙ653423</t>
  </si>
  <si>
    <t>ΦΑΚΑ</t>
  </si>
  <si>
    <t>ΑΑ427954</t>
  </si>
  <si>
    <t>ΚΟΥΚΟΥΡΑΚΗ</t>
  </si>
  <si>
    <t>ΧΑΡΑ</t>
  </si>
  <si>
    <t>ΑΙ111577</t>
  </si>
  <si>
    <t>ΓΙΑΝΝΑΚΟΥ</t>
  </si>
  <si>
    <t>ΑΝ958025</t>
  </si>
  <si>
    <t>ΜΑΝΟΥΣΟΥ</t>
  </si>
  <si>
    <t>Φ033217</t>
  </si>
  <si>
    <t>ROTARU</t>
  </si>
  <si>
    <t>ANDREI</t>
  </si>
  <si>
    <t>ROBERTH</t>
  </si>
  <si>
    <t>ΚΟΥΡΟΥΝΗ</t>
  </si>
  <si>
    <t>ΑΝ710000</t>
  </si>
  <si>
    <t>ΑΕ484418</t>
  </si>
  <si>
    <t>ΚΑΚΟΛΥΡΗ</t>
  </si>
  <si>
    <t>ΕΥΑΓΓΕΛΙΑ ΑΜΑΛΙΑ</t>
  </si>
  <si>
    <t>ΑΗ206172</t>
  </si>
  <si>
    <t>ΜΥΛΩΝΑ</t>
  </si>
  <si>
    <t>ΑΙ896763</t>
  </si>
  <si>
    <t>ΧΟΙΛΟΥ</t>
  </si>
  <si>
    <t>Φ177577</t>
  </si>
  <si>
    <t>ΦΛΩΡΟΥ</t>
  </si>
  <si>
    <t>ΑΑ851086</t>
  </si>
  <si>
    <t>Χ522114</t>
  </si>
  <si>
    <t>ΓΚΑΝΑ</t>
  </si>
  <si>
    <t>ΑΙ231624</t>
  </si>
  <si>
    <t>ΔΗΜΗΤΡΟΥΛΑΚΗ</t>
  </si>
  <si>
    <t>Ρ005245</t>
  </si>
  <si>
    <t>ΤΣΙΜΟΥΡΤΟΥ</t>
  </si>
  <si>
    <t>ΑΟ374028</t>
  </si>
  <si>
    <t>ΤΕΓΟΥ</t>
  </si>
  <si>
    <t>ΑΟ763547</t>
  </si>
  <si>
    <t>ΑΖ681733</t>
  </si>
  <si>
    <t>ΣΤΑΜΟΥ</t>
  </si>
  <si>
    <t>ΟΡΣΑΛΙΑ</t>
  </si>
  <si>
    <t>ΑΕ486045</t>
  </si>
  <si>
    <t>ΑΣΗΜΕΝΙΑ</t>
  </si>
  <si>
    <t>ΑΜ862892</t>
  </si>
  <si>
    <t>ΒΕΝΕΤΣΑΝΗ</t>
  </si>
  <si>
    <t>ΧΡΥΣΑΝΝΑ</t>
  </si>
  <si>
    <t>ΕΣΤΑΘΙΟΣ</t>
  </si>
  <si>
    <t>ΑΖ997079</t>
  </si>
  <si>
    <t>ΒΑΣΣΗ</t>
  </si>
  <si>
    <t>ΑΕ556136</t>
  </si>
  <si>
    <t>ΠΑΡΑΣΧΗ</t>
  </si>
  <si>
    <t>Μ558133</t>
  </si>
  <si>
    <t>ΓΚΟΒΟΠΟΥΛΟΥ</t>
  </si>
  <si>
    <t>ΑΙ534917</t>
  </si>
  <si>
    <t>ΒΑΡΔΑΡΟΥ</t>
  </si>
  <si>
    <t>Χ527910</t>
  </si>
  <si>
    <t>ΝΕΡΑΝΤΖΙΑ</t>
  </si>
  <si>
    <t>ΠΛΟΥΤΑΡΧΟΣ</t>
  </si>
  <si>
    <t>Χ965134</t>
  </si>
  <si>
    <t>ΤΩΜΑΔΑΚΗ</t>
  </si>
  <si>
    <t>ΑΜ481931</t>
  </si>
  <si>
    <t>ΜΠΑΤΑΔΑΚΗ</t>
  </si>
  <si>
    <t>ΤΖΙΑΜΠΑΖΗ</t>
  </si>
  <si>
    <t>ΑΟ909476</t>
  </si>
  <si>
    <t>ΑΦΕΝΤΑΚΗ</t>
  </si>
  <si>
    <t>ΑΗ040479</t>
  </si>
  <si>
    <t>ΣΠΥΡΟΠΟΥΛΟΥ</t>
  </si>
  <si>
    <t>ΑΗ149583</t>
  </si>
  <si>
    <t>ΑΓΙΑΣΣΩΤΕΛΛΗ</t>
  </si>
  <si>
    <t>ΕΥΡΙΔΙΚΗ</t>
  </si>
  <si>
    <t>ΑΝ029475</t>
  </si>
  <si>
    <t>ΑΙ349893</t>
  </si>
  <si>
    <t>ΑΙ839153</t>
  </si>
  <si>
    <t>ΑΜ407856</t>
  </si>
  <si>
    <t>ΔΟΥΡΟΥ</t>
  </si>
  <si>
    <t>ΑΗ763489</t>
  </si>
  <si>
    <t>ΓΚΟΥΝΤΟΥΡΑ</t>
  </si>
  <si>
    <t>ΑΚ966971</t>
  </si>
  <si>
    <t>ΓΑΛΑΝΟΥ</t>
  </si>
  <si>
    <t>ΑΕ440430</t>
  </si>
  <si>
    <t>ΚΑΠΕΡΩΝΗ</t>
  </si>
  <si>
    <t>ΑΗ032838</t>
  </si>
  <si>
    <t>ΑΓΓΕΛΟΓΛΟΥ</t>
  </si>
  <si>
    <t>ΑΑ226230</t>
  </si>
  <si>
    <t>ΓΟΒΑ</t>
  </si>
  <si>
    <t>ΑΗ034586</t>
  </si>
  <si>
    <t>ΑΗ009259</t>
  </si>
  <si>
    <t>ΕΡΜΙΔΟΥ</t>
  </si>
  <si>
    <t>ΑΒ063137</t>
  </si>
  <si>
    <t>ΚΟΛΤΣΙΔΑ</t>
  </si>
  <si>
    <t>ΑΝ324744</t>
  </si>
  <si>
    <t>ΕΡΜΙΟΝΗ</t>
  </si>
  <si>
    <t>Χ087720</t>
  </si>
  <si>
    <t>ΣΚΟΥΤΑΡΙΩΤΗ</t>
  </si>
  <si>
    <t>ΑΖ559138</t>
  </si>
  <si>
    <t>ΠΑΠΟΥΛΙΔΟΥ</t>
  </si>
  <si>
    <t>ΛΑΔΑ</t>
  </si>
  <si>
    <t>Π844370</t>
  </si>
  <si>
    <t>ΤΣΑΠΕΚΟΥ</t>
  </si>
  <si>
    <t>ΔΗΜΟΚΡΑΤΗΣ</t>
  </si>
  <si>
    <t>ΑΗ167039</t>
  </si>
  <si>
    <t>ΣΠΑΘΑΡΑ</t>
  </si>
  <si>
    <t>ΑΖ785452</t>
  </si>
  <si>
    <t>ΓΛΗΓΟΡΗ</t>
  </si>
  <si>
    <t>ΑΚ962732</t>
  </si>
  <si>
    <t>ΜΑΡΙΑΝΑ</t>
  </si>
  <si>
    <t>ΑΚ732678</t>
  </si>
  <si>
    <t>ΚΑΛΟΓΡΑΙΑΚΗ</t>
  </si>
  <si>
    <t>ΑΙ908008</t>
  </si>
  <si>
    <t>ΑΚ956655</t>
  </si>
  <si>
    <t>ΚΑΣΤΑΝΑ</t>
  </si>
  <si>
    <t>ΑΙ113454</t>
  </si>
  <si>
    <t>ΜΕΡΕΝΙΔΟΥ</t>
  </si>
  <si>
    <t>ΜΑΡΘΑ</t>
  </si>
  <si>
    <t>ΚΛΕΑΝΘΗΣ</t>
  </si>
  <si>
    <t>ΑΙ156748</t>
  </si>
  <si>
    <t>ΡΙΤΣΟΥ</t>
  </si>
  <si>
    <t>ΑΗ580999</t>
  </si>
  <si>
    <t>ΧΑΤΖΗΛΑΖΑΡΟΥ</t>
  </si>
  <si>
    <t>ΑΝ954679</t>
  </si>
  <si>
    <t>ΚΑΡΑΦΕΛΙΑΝ</t>
  </si>
  <si>
    <t>ΜΑΡΙΑΜ</t>
  </si>
  <si>
    <t>ΑΡΣΑΚ</t>
  </si>
  <si>
    <t>ΑΡ216777</t>
  </si>
  <si>
    <t>ΣΠΑΝΟΥ</t>
  </si>
  <si>
    <t>ΑΚ115086</t>
  </si>
  <si>
    <t>ΠΑΛΙΟΥΔΑΚΗ</t>
  </si>
  <si>
    <t>ΙΦΙΓΕΝΕΙΑ</t>
  </si>
  <si>
    <t>Φ351692</t>
  </si>
  <si>
    <t>ΜΕΞΑ</t>
  </si>
  <si>
    <t>ΑΓΓΕΛΙΚΗ ΔΗΜΗΤΡΑ</t>
  </si>
  <si>
    <t>ΑΗ755858</t>
  </si>
  <si>
    <t>ΠΑΝΤΕΛΙΑ</t>
  </si>
  <si>
    <t>ΣΑΡΑΝΤΗΣ</t>
  </si>
  <si>
    <t>ΑΒ015998</t>
  </si>
  <si>
    <t>Χ040856</t>
  </si>
  <si>
    <t>ΑΜΠΑΤΖΙΔΗΣ</t>
  </si>
  <si>
    <t>ΑΝ355709</t>
  </si>
  <si>
    <t>ΤΣΑΜΠΟΥΡΗ</t>
  </si>
  <si>
    <t>Χ894246</t>
  </si>
  <si>
    <t>ΔΙΔΑΣΚΑΛΟΥ</t>
  </si>
  <si>
    <t>ΑΜ567885</t>
  </si>
  <si>
    <t>ΧΗΤΟΥ</t>
  </si>
  <si>
    <t>ΑΖ747992</t>
  </si>
  <si>
    <t>ΔΑΓΔΕΛΕΝΙΔΟΥ</t>
  </si>
  <si>
    <t>Π546496</t>
  </si>
  <si>
    <t>ΤΟΣΟΥΝΙΔΟΥ</t>
  </si>
  <si>
    <t>ΑΡ273630</t>
  </si>
  <si>
    <t>ΑΚ210477</t>
  </si>
  <si>
    <t>ΦΟΥΝΤΟΥΛΑΚΗ</t>
  </si>
  <si>
    <t>ΑΝΤΩΝΙΑ ΑΡΓΥΡΩ</t>
  </si>
  <si>
    <t>ΑΙ473131</t>
  </si>
  <si>
    <t>ΚΑΡΑΓΚΟΥΝΗ</t>
  </si>
  <si>
    <t>ΑΑ440677</t>
  </si>
  <si>
    <t>ΠΑΧΑΤΟΥΡΙΔΟΥ</t>
  </si>
  <si>
    <t>ΑΚ007295</t>
  </si>
  <si>
    <t>ΚΑΤΑΠΟΔΗ</t>
  </si>
  <si>
    <t>ΑΛΕΞΑΝΔΡΑ ΒΑΣΙΛΙΚΗ</t>
  </si>
  <si>
    <t>ΑΙ011795</t>
  </si>
  <si>
    <t>ΓΙΑΝΝΟΠΟΥΛΟΥ</t>
  </si>
  <si>
    <t>ΣΟΦΙΑ ΕΙΡΗΝΗ</t>
  </si>
  <si>
    <t>ΑΜ972516</t>
  </si>
  <si>
    <t>ΠΡΕΜΕΤΗ</t>
  </si>
  <si>
    <t>ΤΑΞΕΙΔΗΣ</t>
  </si>
  <si>
    <t>ΑΖ929379</t>
  </si>
  <si>
    <t>ΒΑΡΔΑΚΑ</t>
  </si>
  <si>
    <t>ΒΗΣΣΑΡΙΑ</t>
  </si>
  <si>
    <t>ΑΙ840226</t>
  </si>
  <si>
    <t>ΟΡΦΑΝΟΥ</t>
  </si>
  <si>
    <t>ΑΚ049402</t>
  </si>
  <si>
    <t>ΜΠΡΕΤΑ</t>
  </si>
  <si>
    <t>ΑΟ352645</t>
  </si>
  <si>
    <t>ΔΕΜΕΡΤΖΙΔΟΥ</t>
  </si>
  <si>
    <t>ΑΒ437363</t>
  </si>
  <si>
    <t>ΚΟΡΟΛΗ</t>
  </si>
  <si>
    <t>Π118317</t>
  </si>
  <si>
    <t>ΣΦΥΡΙΔΗ</t>
  </si>
  <si>
    <t>ΑΖ593491</t>
  </si>
  <si>
    <t xml:space="preserve">ΔΡΕΜΙΣΙΩΤΟΥ </t>
  </si>
  <si>
    <t>ΑΖ359546</t>
  </si>
  <si>
    <t>ΤΣΑΜΗ</t>
  </si>
  <si>
    <t>Ρ776466</t>
  </si>
  <si>
    <t>ΜΠΙΤΣΑΝΗ</t>
  </si>
  <si>
    <t>ΔΗΜΗΤΡΑ ΕΙΡΗΝΗ</t>
  </si>
  <si>
    <t>Χ958195</t>
  </si>
  <si>
    <t>ΔΑΡΑΚΗ</t>
  </si>
  <si>
    <t>ΑΖ390647</t>
  </si>
  <si>
    <t>ΤΕΡΗ</t>
  </si>
  <si>
    <t>ΑΖ040250</t>
  </si>
  <si>
    <t>ΧΑΡΑΛΑΜΠΙΔΟΥ</t>
  </si>
  <si>
    <t>ΑΗ689957</t>
  </si>
  <si>
    <t>ΚΑΡΑΤΑΓΛΗ</t>
  </si>
  <si>
    <t>ΑΜ653111</t>
  </si>
  <si>
    <t>ΒΟΥΒΟΠΟΥΛΟΥ</t>
  </si>
  <si>
    <t>Π843062</t>
  </si>
  <si>
    <t>ΠΑΠΟΥΤΣΟΓΛΟΥ</t>
  </si>
  <si>
    <t>ΑΚ122949</t>
  </si>
  <si>
    <t>ΚΑΡΑΜΙΝΤΖΙΟΥ</t>
  </si>
  <si>
    <t>Χ759996</t>
  </si>
  <si>
    <t>ΦΛΩΡΕΝΤΙΑ ΦΛΩΡΑ</t>
  </si>
  <si>
    <t>Χ145881</t>
  </si>
  <si>
    <t>ΒΕΝΕΤΣΑΝΟΥ</t>
  </si>
  <si>
    <t>ΑΑ023570</t>
  </si>
  <si>
    <t>ΜΠΟΥΛΗ</t>
  </si>
  <si>
    <t>ΠΑΝΑΓΟΥΛΑ</t>
  </si>
  <si>
    <t>ΑΚ124797</t>
  </si>
  <si>
    <t>ΒΥΤΙΝΙΩΤΗ</t>
  </si>
  <si>
    <t>ΑΒ009676</t>
  </si>
  <si>
    <t>ΚΑΛΠΑΚΙΔΟΥ</t>
  </si>
  <si>
    <t>ΑΒ456094</t>
  </si>
  <si>
    <t>ΛΑΜΠΑΚΗ</t>
  </si>
  <si>
    <t>ΑΝ931882</t>
  </si>
  <si>
    <t>ΝΤΟΥΡΑΚΗ</t>
  </si>
  <si>
    <t>ΑΕ978659</t>
  </si>
  <si>
    <t>ΖΗΣΙΔΟΥ</t>
  </si>
  <si>
    <t>ΑΚ320135</t>
  </si>
  <si>
    <t>ΚΟΥΡΤΙΔΟΥ</t>
  </si>
  <si>
    <t>ΕΥΡΙΠΙΔΗΣ</t>
  </si>
  <si>
    <t>ΑΗ912569</t>
  </si>
  <si>
    <t>ΣΤΑΥΡΟΠΟΥΛΟΥ</t>
  </si>
  <si>
    <t>ΑΝ213708</t>
  </si>
  <si>
    <t>ΚΑΛΙΩΡΑ</t>
  </si>
  <si>
    <t>ΑΙ999380</t>
  </si>
  <si>
    <t>ΜΑΣΣΑΛΗ</t>
  </si>
  <si>
    <t>ΑΚ042465</t>
  </si>
  <si>
    <t>ΚΑΡΒΕΛΑ</t>
  </si>
  <si>
    <t>Σ397288</t>
  </si>
  <si>
    <t>ΡΟΔΙΑ</t>
  </si>
  <si>
    <t>ΑΕ331354</t>
  </si>
  <si>
    <t>ΕΥΘΥΜΙΟΥ</t>
  </si>
  <si>
    <t>ΑΝ683152</t>
  </si>
  <si>
    <t>ΚΑΝΑΚΗ</t>
  </si>
  <si>
    <t>Α0468312</t>
  </si>
  <si>
    <t>ΒΛΑΧΟΔΗΜΟΥ</t>
  </si>
  <si>
    <t>Ρ250813</t>
  </si>
  <si>
    <t>ΓΙΑΚΟΥΜΕΛΟΥ</t>
  </si>
  <si>
    <t>ΑΕ788631</t>
  </si>
  <si>
    <t>ΚΩΤΟΥΛΑ</t>
  </si>
  <si>
    <t>ΑΡΓΥΡΟΥΛΑ</t>
  </si>
  <si>
    <t>ΑΜ842374</t>
  </si>
  <si>
    <t>ΝΤΩΝΙΑ</t>
  </si>
  <si>
    <t>MAΡΙΑ</t>
  </si>
  <si>
    <t>ΜΟΣΧΟΣ</t>
  </si>
  <si>
    <t>ΔΑΛΑΜΠΕΚΗ</t>
  </si>
  <si>
    <t>Φ094589</t>
  </si>
  <si>
    <t>ΠΑΠΑΘΑΝΑΣΗ</t>
  </si>
  <si>
    <t>EYTYXIA</t>
  </si>
  <si>
    <t>ΑΙ227183</t>
  </si>
  <si>
    <t>ΜΗΤΡΟΠΟΥΛΟΥ</t>
  </si>
  <si>
    <t>ΑΗ295515</t>
  </si>
  <si>
    <t>ΧΑΛΙΛΟΠΟΥΛΟΥ</t>
  </si>
  <si>
    <t>ΑΒ415104</t>
  </si>
  <si>
    <t>ΣΤΥΛΙΑΝΟΥ</t>
  </si>
  <si>
    <t>Χ406297</t>
  </si>
  <si>
    <t>ΚΟΥΤΛΟΓΛΟΥ</t>
  </si>
  <si>
    <t>Π501915</t>
  </si>
  <si>
    <t>ΚΑΝΑΚΗΣ</t>
  </si>
  <si>
    <t>Ρ496907</t>
  </si>
  <si>
    <t>Χ535034</t>
  </si>
  <si>
    <t>ΔΙΑΚΟΥΜΑΚΟΥ</t>
  </si>
  <si>
    <t>Π546864</t>
  </si>
  <si>
    <t>ΝΙΤΤΗ</t>
  </si>
  <si>
    <t>ΑΒ996192</t>
  </si>
  <si>
    <t>ΓΙΩΡΓΑΚΗ</t>
  </si>
  <si>
    <t>ΑΖ953480</t>
  </si>
  <si>
    <t>ΚΑΡΑΜΕΡΗ</t>
  </si>
  <si>
    <t>ΑΡΤΕΜΙΣ</t>
  </si>
  <si>
    <t>ΑΕ722070</t>
  </si>
  <si>
    <t>ΦΙΛΕΛΕ ΠΑΠΑΔΟΠΟΥΛΟΥ</t>
  </si>
  <si>
    <t>Χ716725</t>
  </si>
  <si>
    <t>ΘΕΜΕΛΗ</t>
  </si>
  <si>
    <t>ΑΗ409962</t>
  </si>
  <si>
    <t>ΡΟΥΜΕΛΗ</t>
  </si>
  <si>
    <t>ΒΑΣΙΛΕΙΑ</t>
  </si>
  <si>
    <t>ΕΥΣΤΑΘΙΟ</t>
  </si>
  <si>
    <t>Ρ323592</t>
  </si>
  <si>
    <t>ΧΑΣΙΟΥΡΑ</t>
  </si>
  <si>
    <t>ΑΚ439708</t>
  </si>
  <si>
    <t>ΣΤΑΥΡΟΥΛΑΚΗ</t>
  </si>
  <si>
    <t>ΑΖ470471</t>
  </si>
  <si>
    <t>ΚΟΚΟΛΑ</t>
  </si>
  <si>
    <t>ΑΝ694329</t>
  </si>
  <si>
    <t>ΛΑΜΠΡΑΚΗ</t>
  </si>
  <si>
    <t>ΑΝ634442</t>
  </si>
  <si>
    <t>ΑΝΔΡΙΤΣΟΠΟΥΛΟΥ</t>
  </si>
  <si>
    <t>Π663575</t>
  </si>
  <si>
    <t>ΤΣΙΑΡΑ</t>
  </si>
  <si>
    <t>ΑΖ692807</t>
  </si>
  <si>
    <t>ΠΟΣΙΝΑΚΙΔΟΥ</t>
  </si>
  <si>
    <t>ΑΑ412085</t>
  </si>
  <si>
    <t>ΠΑΝΑΓΙΟΥ</t>
  </si>
  <si>
    <t>ΑΟ356169</t>
  </si>
  <si>
    <t>ΑΣΗΜΑΚΗ</t>
  </si>
  <si>
    <t>ΑΖ222520</t>
  </si>
  <si>
    <t>ΜΙΝΑ</t>
  </si>
  <si>
    <t>ΦΑΜΠΙΟΛΑ</t>
  </si>
  <si>
    <t>ΝΙΚΟ</t>
  </si>
  <si>
    <t>ΑΝ052194</t>
  </si>
  <si>
    <t>ΑΝΔΡΕΑΔΟΥ</t>
  </si>
  <si>
    <t>ΑΗ990912</t>
  </si>
  <si>
    <t>ΑΞΙΩΤΗ</t>
  </si>
  <si>
    <t>Χ498133</t>
  </si>
  <si>
    <t>ΠΑΝΤΑ</t>
  </si>
  <si>
    <t>ΑΝ567564</t>
  </si>
  <si>
    <t>ΣΚΟΥΦΑ</t>
  </si>
  <si>
    <t>ΑΗ177748</t>
  </si>
  <si>
    <t>ΚΑΡΧΑΡΙΔΟΥ</t>
  </si>
  <si>
    <t>ΑΚ302262</t>
  </si>
  <si>
    <t>ΜΠΕΤΤΑ</t>
  </si>
  <si>
    <t>ΓΚΟΛΦΩ</t>
  </si>
  <si>
    <t>ΑΒ191663</t>
  </si>
  <si>
    <t>ΚΟΥΣΤΑ ΒΛΑΧΟΥ</t>
  </si>
  <si>
    <t>Χ657926</t>
  </si>
  <si>
    <t>ΚΙΟΥΛΤΖΙΔΟΥ</t>
  </si>
  <si>
    <t>ΑΕ654401</t>
  </si>
  <si>
    <t>ΝΙΚΑΚΗ</t>
  </si>
  <si>
    <t>ΜΑΡΙΑ ΕΥΘΑΛΙΑ</t>
  </si>
  <si>
    <t>ΑΟ517657</t>
  </si>
  <si>
    <t>ΜΑΡΙΑ ΚΟΡΙΝΑ</t>
  </si>
  <si>
    <t>ΑΑ040843</t>
  </si>
  <si>
    <t>ΒΑΛΙΑΚΑ</t>
  </si>
  <si>
    <t>ΑΖ792040</t>
  </si>
  <si>
    <t>ΒΑΓΓΕΛΗ</t>
  </si>
  <si>
    <t>ΑΒ813037</t>
  </si>
  <si>
    <t>ΚΑΛΤΣΑ</t>
  </si>
  <si>
    <t>ΑΜ754269</t>
  </si>
  <si>
    <t>ΝΤΑΝΗ</t>
  </si>
  <si>
    <t>Χ198239</t>
  </si>
  <si>
    <t>Π335940</t>
  </si>
  <si>
    <t>ΣΑΟΥΛΗ</t>
  </si>
  <si>
    <t>ΦΩΤΑΓΓΕΛΟΣ</t>
  </si>
  <si>
    <t>ΑΒ070826</t>
  </si>
  <si>
    <t>ΜΑΓΚΑΦΑ</t>
  </si>
  <si>
    <t>ΑΕ717099</t>
  </si>
  <si>
    <t>ΜΠΕΚΟΥ</t>
  </si>
  <si>
    <t>ΑΒ319929</t>
  </si>
  <si>
    <t>ΚΟΥΡΟΥΒΑΣΙΛΗ</t>
  </si>
  <si>
    <t>ΑΗ124586</t>
  </si>
  <si>
    <t>ΕΥΚΟΛΙΔΟΥ</t>
  </si>
  <si>
    <t>ΑΗ291382</t>
  </si>
  <si>
    <t xml:space="preserve">ΣΤΥΛΙΑΝΗ </t>
  </si>
  <si>
    <t xml:space="preserve">ΚΩΝΣΤΑΝΤΙΝΟΣ </t>
  </si>
  <si>
    <t>ΑΜ453928</t>
  </si>
  <si>
    <t>ΚΥΡΙΑΚΟΠΟΥΛΟΥ</t>
  </si>
  <si>
    <t>ΑΒ751628</t>
  </si>
  <si>
    <t>ΜΑΤΣΑ</t>
  </si>
  <si>
    <t>Χ752662</t>
  </si>
  <si>
    <t>ΛΙΟΥΔΑΚΗΣ</t>
  </si>
  <si>
    <t>Φ294403</t>
  </si>
  <si>
    <t>ΤΣΑΝΑΚΛΙΔΟΥ</t>
  </si>
  <si>
    <t>ΡΑΦΑΕΛΑ</t>
  </si>
  <si>
    <t>ΑΕ830372</t>
  </si>
  <si>
    <t>ΖΑΧΟΥ</t>
  </si>
  <si>
    <t>ΚΟΣΜΑΣ</t>
  </si>
  <si>
    <t>ΑΖ142533</t>
  </si>
  <si>
    <t>ΡΙΒΑ</t>
  </si>
  <si>
    <t>ΑΖ795813</t>
  </si>
  <si>
    <t>ΑΛΒΑΝΟΥ</t>
  </si>
  <si>
    <t>ΑΝ355621</t>
  </si>
  <si>
    <t>Χ776041</t>
  </si>
  <si>
    <t>ΜΗΛΙΟΥ</t>
  </si>
  <si>
    <t>ΑΕ499482</t>
  </si>
  <si>
    <t>ΘΕΟΥ</t>
  </si>
  <si>
    <t>ΑΚ845779</t>
  </si>
  <si>
    <t>ΑΙ949507</t>
  </si>
  <si>
    <t>ΠΥΡΓΙΩΤΑΚΗ</t>
  </si>
  <si>
    <t>Τ952646</t>
  </si>
  <si>
    <t>ΧΑΡΙΖΑΝΗ</t>
  </si>
  <si>
    <t>ΑΑ337700</t>
  </si>
  <si>
    <t>ΑΚ933160</t>
  </si>
  <si>
    <t>ΚΑΛΑΝΤΖΗ</t>
  </si>
  <si>
    <t>Π851127</t>
  </si>
  <si>
    <t>ΒΑΤΟΥ</t>
  </si>
  <si>
    <t>ΑΟ598274</t>
  </si>
  <si>
    <t>ΑΦΗΣΙΑΔΟΥ</t>
  </si>
  <si>
    <t>ΑΙ394920</t>
  </si>
  <si>
    <t>ΚΟΥΡΓΙΑ</t>
  </si>
  <si>
    <t>ΟΔΥΣΣΕΥΣ</t>
  </si>
  <si>
    <t>ΑΝ592169</t>
  </si>
  <si>
    <t>Χ487254</t>
  </si>
  <si>
    <t>ΣΙΜΑ</t>
  </si>
  <si>
    <t>ΑΖ253714</t>
  </si>
  <si>
    <t>ΔΗΜΑ</t>
  </si>
  <si>
    <t>ΑΕ292032</t>
  </si>
  <si>
    <t>ΓΕΩΡΓΟΥΔΗ</t>
  </si>
  <si>
    <t>Χ717459</t>
  </si>
  <si>
    <t>ΜΟΥΣΙΟΥ</t>
  </si>
  <si>
    <t>ΔΩΡΟΘΕΑ</t>
  </si>
  <si>
    <t>ΑΗ268467</t>
  </si>
  <si>
    <t>Χ274317</t>
  </si>
  <si>
    <t>ΑΕ133434</t>
  </si>
  <si>
    <t>ΜΑΜΟΥΡΑ</t>
  </si>
  <si>
    <t>ΔΙΑΜΑΝΤΟΥΛΑ</t>
  </si>
  <si>
    <t>ΑΙ856460</t>
  </si>
  <si>
    <t>ΚΟΥΚΑ</t>
  </si>
  <si>
    <t>ΑΕ699029</t>
  </si>
  <si>
    <t>ΓΙΑΝΤΑΜΙΔΟΥ</t>
  </si>
  <si>
    <t>ΑΙ128294</t>
  </si>
  <si>
    <t>ΜΕΝΚΣΙ</t>
  </si>
  <si>
    <t>ΒΙΟΛΕΤΤΑ</t>
  </si>
  <si>
    <t>ΓΙΑΝΝΙ</t>
  </si>
  <si>
    <t>ΑΟ912109</t>
  </si>
  <si>
    <t>ΤΣΟΝΟΠΟΥΛΟΥ</t>
  </si>
  <si>
    <t>Ρ523772</t>
  </si>
  <si>
    <t>ΚΡΑΣΟΠΟΥΛΟΥ</t>
  </si>
  <si>
    <t>ΚΑΣΙΑΝΗ</t>
  </si>
  <si>
    <t>ΑΕ929557</t>
  </si>
  <si>
    <t>ΣΚΑΦΙΔΑΣ</t>
  </si>
  <si>
    <t>Φ086958</t>
  </si>
  <si>
    <t>ΜΠΟΝΤΟΛΟΥ</t>
  </si>
  <si>
    <t>ΑΖ285546</t>
  </si>
  <si>
    <t>ΦΙΛΤΖΙΑΝΗ</t>
  </si>
  <si>
    <t>ΑΜ715322</t>
  </si>
  <si>
    <t>ΓΚΕΣΟΥΛΗ</t>
  </si>
  <si>
    <t>ΑΕ279999</t>
  </si>
  <si>
    <t>ΔΡΑΙΝΑ</t>
  </si>
  <si>
    <t>ΑΒ276227</t>
  </si>
  <si>
    <t>ΚΑΡΑΤΑΣΙΟΥ</t>
  </si>
  <si>
    <t>ΓΙΑΝΝΑΚΗΣ</t>
  </si>
  <si>
    <t>ΑΕ543284</t>
  </si>
  <si>
    <t>ΦΑΡΜΑΚΗ</t>
  </si>
  <si>
    <t>ΓΑΡΟΥΦΑΛΙΑ</t>
  </si>
  <si>
    <t>ΑΡ342432</t>
  </si>
  <si>
    <t>ΠΑΠΑΛΑΝΗ</t>
  </si>
  <si>
    <t>ΒΑΣΙΛΙΚΗ ΜΑΡΙΑ</t>
  </si>
  <si>
    <t>Χ418526</t>
  </si>
  <si>
    <t>ΜΠΟΥΓΛΟΥ</t>
  </si>
  <si>
    <t>ΑΖ634393</t>
  </si>
  <si>
    <t>ΠΛΙΑΚΑ</t>
  </si>
  <si>
    <t>ΑΙ290999</t>
  </si>
  <si>
    <t>ΠΥΡΕΤΖΗ</t>
  </si>
  <si>
    <t>ΑΟ408032</t>
  </si>
  <si>
    <t>ΜΑΡΟΥΛΑΚΗ</t>
  </si>
  <si>
    <t>ΑΜ952959</t>
  </si>
  <si>
    <t>ΝΑΟΥΜ</t>
  </si>
  <si>
    <t>ΑΖ368416</t>
  </si>
  <si>
    <t>ΑΝΘΟΠΟΥΛΟΥ</t>
  </si>
  <si>
    <t>ΑΜ665455</t>
  </si>
  <si>
    <t>ΒΕΛΩΝΗ</t>
  </si>
  <si>
    <t>ΑΗ019505</t>
  </si>
  <si>
    <t>ΜΠΑΛΗ</t>
  </si>
  <si>
    <t>ΑΕ979945</t>
  </si>
  <si>
    <t>ΑΝΑΝΙΑ</t>
  </si>
  <si>
    <t>Σ048561</t>
  </si>
  <si>
    <t>ΙΤΣΚΟΥ</t>
  </si>
  <si>
    <t>ΑΕ818248</t>
  </si>
  <si>
    <t>ΒΑΣΚΟΥ</t>
  </si>
  <si>
    <t>Φ174066</t>
  </si>
  <si>
    <t>ΚΑΝΙΑΜΟΥ</t>
  </si>
  <si>
    <t>ΤΑΞΙΑΡΧΗΣ</t>
  </si>
  <si>
    <t>ΑΒ237320</t>
  </si>
  <si>
    <t>ΜΑΝΟΥΣΑΚΗ</t>
  </si>
  <si>
    <t>ΕΜΑΝΟΥΗΛ</t>
  </si>
  <si>
    <t>ΑΒ961773</t>
  </si>
  <si>
    <t>ΕΥΑΓΓΕΛΙΝΑΚΗ</t>
  </si>
  <si>
    <t>Σ420044</t>
  </si>
  <si>
    <t>ΜΑΝΩΛΑΡΟΥ</t>
  </si>
  <si>
    <t>Μ904419</t>
  </si>
  <si>
    <t>ΘΑΝΟΥ</t>
  </si>
  <si>
    <t>ΑΜ375057</t>
  </si>
  <si>
    <t>ΜΠΑΚΑΛΙΔΟΥ</t>
  </si>
  <si>
    <t xml:space="preserve">ΕΙΡΉΝΗ </t>
  </si>
  <si>
    <t>ΑΑ869754</t>
  </si>
  <si>
    <t>ΓΡΟΜΠΑΝΟΠΟΥΛΟΥ</t>
  </si>
  <si>
    <t>ΑΒ439930</t>
  </si>
  <si>
    <t>ΑΝ753354</t>
  </si>
  <si>
    <t>ΓΑΤΗ</t>
  </si>
  <si>
    <t>ΑΜ005804</t>
  </si>
  <si>
    <t>ΤΣΑΛΟΥΡΗ</t>
  </si>
  <si>
    <t>ΑΙ857033</t>
  </si>
  <si>
    <t>ΘΕΟΔΟΣΙΟΥ</t>
  </si>
  <si>
    <t>ΑΖ610060</t>
  </si>
  <si>
    <t>ΚΑΡΑΠΑΝΟΥ</t>
  </si>
  <si>
    <t>ΜΑΡΙΑ ΜΑΝΘΑ</t>
  </si>
  <si>
    <t>ΑΜ790892</t>
  </si>
  <si>
    <t>ΒΟΙΒΟΝΤΑ</t>
  </si>
  <si>
    <t>ΣΟΛΩΝ</t>
  </si>
  <si>
    <t>ΑΠΑΖΙΔΟΥ</t>
  </si>
  <si>
    <t>ΑΗ293914</t>
  </si>
  <si>
    <t>ΚΟΠΤΕΡΟΠΟΥΛΟΥ</t>
  </si>
  <si>
    <t>ΑΕ167769</t>
  </si>
  <si>
    <t>ΜΑΡΚΟΠΟΥΛΟΥ</t>
  </si>
  <si>
    <t>ΑΙ871872</t>
  </si>
  <si>
    <t>ΣΠΑΝΟΠΟΥΛΟΥ</t>
  </si>
  <si>
    <t>ΑΝ590989</t>
  </si>
  <si>
    <t>ΜΠΑΡΟΥΝΗ</t>
  </si>
  <si>
    <t>ΑΡΙΣΤΟΜΕΝΗΣ</t>
  </si>
  <si>
    <t>ΑΟ989745</t>
  </si>
  <si>
    <t>ΕΥΣΤΡΑΤΙΑ</t>
  </si>
  <si>
    <t>ΑΕ438590</t>
  </si>
  <si>
    <t>ΜΠΙΝΗ</t>
  </si>
  <si>
    <t>ΜΑΡΙΑ ΣΤΥΛΙΑΝΗ</t>
  </si>
  <si>
    <t>ΑΜ110394</t>
  </si>
  <si>
    <t>ΚΟΥΤΡΟΥΜΠΗ</t>
  </si>
  <si>
    <t>ΒΑΣΙΛ</t>
  </si>
  <si>
    <t>ΑΕ747908</t>
  </si>
  <si>
    <t>ΜΟΥΤΑΦΙΔΟΥ</t>
  </si>
  <si>
    <t>ΑΥΓΗ</t>
  </si>
  <si>
    <t>Τ448794</t>
  </si>
  <si>
    <t>ΠΑΡΟΥΣΗ</t>
  </si>
  <si>
    <t>Τ465880</t>
  </si>
  <si>
    <t>ΣΤΑΜΑΤΑΚΙ</t>
  </si>
  <si>
    <t>ΔΙΑΜΑΝΤΑ</t>
  </si>
  <si>
    <t>ΑΝΑΣΤΑΣΙΟΣ ΣΩΤΗΡΙΟΣ</t>
  </si>
  <si>
    <t>ΑΕ468809</t>
  </si>
  <si>
    <t>ΜΟΥΡΑΤΗ</t>
  </si>
  <si>
    <t>ΑΜ364701</t>
  </si>
  <si>
    <t>ΚΟΥΒΕΛΗ</t>
  </si>
  <si>
    <t>Χ234542</t>
  </si>
  <si>
    <t>ΚΙΤΣΩΝΗ</t>
  </si>
  <si>
    <t>Σ877534</t>
  </si>
  <si>
    <t>ΑΓΙΑΝΝΙΔΟΥ</t>
  </si>
  <si>
    <t>ΜΑΛΒΙΝΑ ΚΛΗΜΕΝΤΙΝΗ</t>
  </si>
  <si>
    <t>ΑΖ679860</t>
  </si>
  <si>
    <t>ΤΣΙΟΥΜΑΡΑ</t>
  </si>
  <si>
    <t>ΑΙ872776</t>
  </si>
  <si>
    <t>ΚΑΚΑΛΗ</t>
  </si>
  <si>
    <t xml:space="preserve">ΧΡΙΣΤΊΝΑ </t>
  </si>
  <si>
    <t>ΑΙ562091</t>
  </si>
  <si>
    <t>ΜΕΛΙΣΣΟΠΟΥΛΟΥ</t>
  </si>
  <si>
    <t>ΑΝ214025</t>
  </si>
  <si>
    <t>ΞΕΝΟΥ</t>
  </si>
  <si>
    <t>ΑΒ831109</t>
  </si>
  <si>
    <t>ΤΣΙΝΤΑΡΗ ΤΣΑΜΠΑΖΟΓΛΟΥ</t>
  </si>
  <si>
    <t>ΙΩΑΚΕΙΜ</t>
  </si>
  <si>
    <t>ΑΝ656505</t>
  </si>
  <si>
    <t>ΜΑΝΔΑΝΗ</t>
  </si>
  <si>
    <t>ΑΟ339106</t>
  </si>
  <si>
    <t>ΚΑΤΡΙΤΖΙΔΑΚΗ</t>
  </si>
  <si>
    <t>ΑΟ572761</t>
  </si>
  <si>
    <t>ΒΕΛΙΚΗ</t>
  </si>
  <si>
    <t>ΑΙ721404</t>
  </si>
  <si>
    <t>ΠΑΠΑΓΕΩΡΓΙΟΥ</t>
  </si>
  <si>
    <t>ΑΙΚΑΤΕΡΙΝΗ ΡΑΦΑΗΛΙΑ</t>
  </si>
  <si>
    <t>Χ861349</t>
  </si>
  <si>
    <t>ΤΣΑΠΑΝΙΔΗ</t>
  </si>
  <si>
    <t>Χ283023</t>
  </si>
  <si>
    <t>ΚΑΡΑΜΟΥΖΑ</t>
  </si>
  <si>
    <t>ΑΚ424527</t>
  </si>
  <si>
    <t>Χ176803</t>
  </si>
  <si>
    <t>ΣΜΑΡΑΓΔΗ</t>
  </si>
  <si>
    <t>ΑΒ276342</t>
  </si>
  <si>
    <t>ΚΙΑΚΟΥ</t>
  </si>
  <si>
    <t>ΠΟΛΥΧΡΟΝΗΣ</t>
  </si>
  <si>
    <t>ΑΖ396939</t>
  </si>
  <si>
    <t>ΝΤΟΝΤΗ</t>
  </si>
  <si>
    <t>ΑΚ272496</t>
  </si>
  <si>
    <t>ΣΥΡΑΝΙΔΟΥ</t>
  </si>
  <si>
    <t xml:space="preserve">ΕΥΦΡΟΣΥΝΗ </t>
  </si>
  <si>
    <t>ΑΖ812252</t>
  </si>
  <si>
    <t>ΚΑΡΔΑΣΗ</t>
  </si>
  <si>
    <t xml:space="preserve">ΙΩΑΝΝΑ </t>
  </si>
  <si>
    <t>ΑΚ032240</t>
  </si>
  <si>
    <t>ΑΒ071228</t>
  </si>
  <si>
    <t>ΜΠΟΣΤΑ</t>
  </si>
  <si>
    <t>ΔΙΑΛΕΚΤΗ</t>
  </si>
  <si>
    <t>ΑΒ370629</t>
  </si>
  <si>
    <t>ΠΑΠΑΣΠΥΡΟΠΟΥΛΟΥ</t>
  </si>
  <si>
    <t>ΑΓΓΕΛΗΣ</t>
  </si>
  <si>
    <t>Χ301285</t>
  </si>
  <si>
    <t>ΣΠΥΡΑΤΟΥ</t>
  </si>
  <si>
    <t>ΠΕΤΡΟΠΑΥΛΟΣ</t>
  </si>
  <si>
    <t>Ρ043097</t>
  </si>
  <si>
    <t>ΣΚΑΝΔΑΛΗ</t>
  </si>
  <si>
    <t>ΑΜ376267</t>
  </si>
  <si>
    <t>ΜΩΥΣΙΔΟΥ</t>
  </si>
  <si>
    <t>Χ369214</t>
  </si>
  <si>
    <t>ΣΑΡΑΚΑΤΣΑΝΟΥ</t>
  </si>
  <si>
    <t>ΑΜ297906</t>
  </si>
  <si>
    <t>ΣΤΕΡΓΙΟΥ</t>
  </si>
  <si>
    <t>ΑΜ115885</t>
  </si>
  <si>
    <t>ΑΙ292795</t>
  </si>
  <si>
    <t>ΜΟΥΡΟΥΤΗ</t>
  </si>
  <si>
    <t>ΑΑ319369</t>
  </si>
  <si>
    <t>ΛΟΥΛΟΥΔΑΚΗ</t>
  </si>
  <si>
    <t>ΑΑ393282</t>
  </si>
  <si>
    <t>ΠΑΝΑΓΟΠΟΥΛΟΥ</t>
  </si>
  <si>
    <t>Τ083762</t>
  </si>
  <si>
    <t>ΠΑΛΛΑ</t>
  </si>
  <si>
    <t>ΑΜ632538</t>
  </si>
  <si>
    <t>ΝΤΑΚΟΥΛΑ</t>
  </si>
  <si>
    <t>ΑΒ282146</t>
  </si>
  <si>
    <t>ΣΓΟΥΡΑΛΗ</t>
  </si>
  <si>
    <t>ΕΥΑΓΓΕΛΗ</t>
  </si>
  <si>
    <t>ΑΖ589279</t>
  </si>
  <si>
    <t>ΚΑΡΑΒΑΝΑΚΗ</t>
  </si>
  <si>
    <t>ΜΑΡΙΝΑ ΕΛΕΝΗ</t>
  </si>
  <si>
    <t>ΑΟ048901</t>
  </si>
  <si>
    <t>ΠΗΞΑΡΑ</t>
  </si>
  <si>
    <t>ΦΙΛΙΤΣΑ</t>
  </si>
  <si>
    <t>ΝΕΣΤΩΡ</t>
  </si>
  <si>
    <t>ΑΗ377022</t>
  </si>
  <si>
    <t>ΑΜ838738</t>
  </si>
  <si>
    <t>ΠΡΟΣΙΛΗ</t>
  </si>
  <si>
    <t>ΑΒ796950</t>
  </si>
  <si>
    <t>ΛΕΠΙΤΚΑ</t>
  </si>
  <si>
    <t>ΑΜ408916</t>
  </si>
  <si>
    <t>ΝΙΚΟΛΙΤΣΑ</t>
  </si>
  <si>
    <t>ΑΟ304834</t>
  </si>
  <si>
    <t>Χ378161</t>
  </si>
  <si>
    <t>ΠΑΝΤΑΖΟΠΟΥΛΟΥ</t>
  </si>
  <si>
    <t>ΑΙ139065</t>
  </si>
  <si>
    <t>ΜΑΝΤΖΑΝΑ</t>
  </si>
  <si>
    <t>ΑΚ891232</t>
  </si>
  <si>
    <t>ΜΑΓΚΟΥΤΗ</t>
  </si>
  <si>
    <t>ΑΒ566064</t>
  </si>
  <si>
    <t>ΜΠΑΚΟΓΙΑΝΝΗ</t>
  </si>
  <si>
    <t>ΑΟ363261</t>
  </si>
  <si>
    <t>ΜΑΝΟΥ</t>
  </si>
  <si>
    <t>ΑΗ883517</t>
  </si>
  <si>
    <t>ΣΚΑΝΔΑΛΟΥ</t>
  </si>
  <si>
    <t>Χ779854</t>
  </si>
  <si>
    <t>ΤΕΛΛΑΚΗ</t>
  </si>
  <si>
    <t>ΑΗ388239</t>
  </si>
  <si>
    <t>ΘΕΟΔΩΡΑΤΟΥ</t>
  </si>
  <si>
    <t>ΑΑ090708</t>
  </si>
  <si>
    <t>ΔΙΑΓΟΥΠΗ</t>
  </si>
  <si>
    <t>Χ435063</t>
  </si>
  <si>
    <t>ΑΙ768942</t>
  </si>
  <si>
    <t>ΜΑΝΩΛΑΚΗ</t>
  </si>
  <si>
    <t>Ν989338</t>
  </si>
  <si>
    <t>ΔΕΜΕΣΤΙΧΑ</t>
  </si>
  <si>
    <t>ΑΒ344996</t>
  </si>
  <si>
    <t>ΛΥΔΙΑ ΕΥΑΓΓΕΛΙΑ</t>
  </si>
  <si>
    <t>ΑΗ022281</t>
  </si>
  <si>
    <t>ΛΑΓΩΝΙΚΑΚΗ</t>
  </si>
  <si>
    <t>ΒΑΣΙΛΙΚΗ ΤΡΙΑΝΤΑΦΥΛΛΙΑ</t>
  </si>
  <si>
    <t>ΑΜ156722</t>
  </si>
  <si>
    <t>ΓΙΑΒΡΗ</t>
  </si>
  <si>
    <t>ΠΑΝΟΣ</t>
  </si>
  <si>
    <t>ΑΚ047427</t>
  </si>
  <si>
    <t>ΚΑΙΤΑΤΖΗ</t>
  </si>
  <si>
    <t>ΑΕ765140</t>
  </si>
  <si>
    <t>ΣΚΛΑΒΟΛΙΑ</t>
  </si>
  <si>
    <t>ΚΟΥΡΑΜΠΑ</t>
  </si>
  <si>
    <t>ΑΝ085623</t>
  </si>
  <si>
    <t>ΚΟΜΜΑΤΑ</t>
  </si>
  <si>
    <t>Φ136874</t>
  </si>
  <si>
    <t>ΚΑΤΣΑΠΑΡΑ</t>
  </si>
  <si>
    <t>ΑΟ478024</t>
  </si>
  <si>
    <t>ΚΑΛΛΙΝΤΕΡΗ</t>
  </si>
  <si>
    <t>ΑΖ062718</t>
  </si>
  <si>
    <t>ΔΗΜΗΝΑ</t>
  </si>
  <si>
    <t>ΑΕ370511</t>
  </si>
  <si>
    <t>ΚΑΦΑΝΤΑΡΗ</t>
  </si>
  <si>
    <t>ΑΚ463564</t>
  </si>
  <si>
    <t>ΝΑΚΑ</t>
  </si>
  <si>
    <t xml:space="preserve"> ΜΑΡΙΑΝΘΗ</t>
  </si>
  <si>
    <t>ΑΟ138900</t>
  </si>
  <si>
    <t>ΑΕ331127</t>
  </si>
  <si>
    <t>ΣΤΟΥΡΑΙΤΗ</t>
  </si>
  <si>
    <t>Σ416341</t>
  </si>
  <si>
    <t>Ρ220052</t>
  </si>
  <si>
    <t>ΒΕΝΕΤΗ ΠΑΓΩΝΗ</t>
  </si>
  <si>
    <t>ΧΡΥΣΑ</t>
  </si>
  <si>
    <t>ΑΖ055229</t>
  </si>
  <si>
    <t>ΜΟΡΑΛΗ</t>
  </si>
  <si>
    <t>ΑΙ709439</t>
  </si>
  <si>
    <t xml:space="preserve">ΔΗΜΗΤΡΑ </t>
  </si>
  <si>
    <t xml:space="preserve">ΑΝΑΣΤΑΣΙΟΣ </t>
  </si>
  <si>
    <t>ΑΕ345723</t>
  </si>
  <si>
    <t>ΚΑΛΑΜΠΑΛΙΚΗ</t>
  </si>
  <si>
    <t>ΑΗ651770</t>
  </si>
  <si>
    <t>ΚΛΕΙΔΑ</t>
  </si>
  <si>
    <t>ΑΝ017846</t>
  </si>
  <si>
    <t>ΡΕΤΣΙΝΑ</t>
  </si>
  <si>
    <t>ΦΡΙΞΟΥΛΑ ΔΗΜΗΤΡΑ</t>
  </si>
  <si>
    <t>ΑΒ337317</t>
  </si>
  <si>
    <t>ΔΡΑΚΟΠΟΥΛΟΥ</t>
  </si>
  <si>
    <t>Σ378042</t>
  </si>
  <si>
    <t>ΚΥΡΙΤΣΗ</t>
  </si>
  <si>
    <t>ΑΝ084342</t>
  </si>
  <si>
    <t>ΣΑΡΡΙΔΟΥ</t>
  </si>
  <si>
    <t>ΚΥΡΙΛΛΟΣ</t>
  </si>
  <si>
    <t>ΑΕ891873</t>
  </si>
  <si>
    <t>ΚΑΣΩΤΑΚΗ</t>
  </si>
  <si>
    <t>ΣΩΣΣΑΝΑ</t>
  </si>
  <si>
    <t>ΝΙΚΗΤΑΣ</t>
  </si>
  <si>
    <t>ΑΕ617492</t>
  </si>
  <si>
    <t>ΤΟΥΣΗ</t>
  </si>
  <si>
    <t>ΑΗ249259</t>
  </si>
  <si>
    <t>ΚΩΤΣΙΔΟΥ</t>
  </si>
  <si>
    <t>ΑΕ333308</t>
  </si>
  <si>
    <t>ΦΕΚΑ</t>
  </si>
  <si>
    <t>ΑΜ376618</t>
  </si>
  <si>
    <t>ΒΑΝΤΣΙΔΟΥ</t>
  </si>
  <si>
    <t>ΔΟΜΙΝΙΚΗ</t>
  </si>
  <si>
    <t>ΑΚ318137</t>
  </si>
  <si>
    <t>BAMBAKA</t>
  </si>
  <si>
    <t>ANNA</t>
  </si>
  <si>
    <t>ΑΗ113487</t>
  </si>
  <si>
    <t>ΑΖ220170</t>
  </si>
  <si>
    <t>ΦΙΛΚΑ</t>
  </si>
  <si>
    <t>ΑΝ584701</t>
  </si>
  <si>
    <t>ΤΖΙΒΗ</t>
  </si>
  <si>
    <t>ΑΒ355454</t>
  </si>
  <si>
    <t>ΜΑΡΙΑΝΝΑ ΣΩΤΗΡΙΑ</t>
  </si>
  <si>
    <t>ΑΖ243143</t>
  </si>
  <si>
    <t>ΣΥΜΕΩΝ</t>
  </si>
  <si>
    <t>ΑΙ386897</t>
  </si>
  <si>
    <t>ΞΥΠΟΛΥΤΟΥ</t>
  </si>
  <si>
    <t>ΑΖ532406</t>
  </si>
  <si>
    <t>ΣΚΟΤΙΔΑ</t>
  </si>
  <si>
    <t>ΑΜ067151</t>
  </si>
  <si>
    <t>ΜΠΑΓΟΥΡΔΗ</t>
  </si>
  <si>
    <t>Π399460</t>
  </si>
  <si>
    <t>ΔΙΑΜΑΝΤΑΚΕΡΗ</t>
  </si>
  <si>
    <t>Χ298934</t>
  </si>
  <si>
    <t>ΑΜΠΛΑ</t>
  </si>
  <si>
    <t>Χ775674</t>
  </si>
  <si>
    <t>ΣΩΤΗΡΧΟΠΟΥΛΟΥ</t>
  </si>
  <si>
    <t>ΑΛΕΞΙΟΣ</t>
  </si>
  <si>
    <t>Χ028039</t>
  </si>
  <si>
    <t>ΠΛΑΚΑ</t>
  </si>
  <si>
    <t>ΑΡΓΥΡΙΟΣ</t>
  </si>
  <si>
    <t>Τ377267</t>
  </si>
  <si>
    <t>ΑΝΑΓΝΩΣΤΟΥ</t>
  </si>
  <si>
    <t xml:space="preserve">ΑΝΑΣΤΑΣΙΑ </t>
  </si>
  <si>
    <t>ΑΝ169897</t>
  </si>
  <si>
    <t>ΚΙΚΥΡΑ</t>
  </si>
  <si>
    <t>ΑΟ687325</t>
  </si>
  <si>
    <t>ΤΖΙΑΦΕΤΑ</t>
  </si>
  <si>
    <t>ΑΒ408602</t>
  </si>
  <si>
    <t>ΔΟΥΙΤΣΗ</t>
  </si>
  <si>
    <t>ΑΗ800314</t>
  </si>
  <si>
    <t>ΗΛΙΟΠΟΥΛΟΥ</t>
  </si>
  <si>
    <t>ΑΝ541821</t>
  </si>
  <si>
    <t>ΓΕΩΡΓΙΩΤΗ</t>
  </si>
  <si>
    <t>Χ453366</t>
  </si>
  <si>
    <t>ΝΗΡΟΥ</t>
  </si>
  <si>
    <t>ΑΙ144026</t>
  </si>
  <si>
    <t>ΜΠΙΤΣΙΛΗ</t>
  </si>
  <si>
    <t>ΑΖ190828</t>
  </si>
  <si>
    <t>Π147416</t>
  </si>
  <si>
    <t>ΚΕΡΑΣΙΝΗ</t>
  </si>
  <si>
    <t>Χ991579</t>
  </si>
  <si>
    <t>ΤΟΓΙΑ</t>
  </si>
  <si>
    <t>ΑΑ325506</t>
  </si>
  <si>
    <t>ΑΡΓΥΡΙΑΔΟΥ</t>
  </si>
  <si>
    <t>ΑΙ404470</t>
  </si>
  <si>
    <t>ΞΩΜΑΛΗ</t>
  </si>
  <si>
    <t>ΑΙ197770</t>
  </si>
  <si>
    <t>ΚΟΥΤΣΑΚΗ</t>
  </si>
  <si>
    <t>ΑΗ961608</t>
  </si>
  <si>
    <t>ΓΑΛΛΟΥ</t>
  </si>
  <si>
    <t>ΒΕΡΓΕΝΙΑ</t>
  </si>
  <si>
    <t>ΑΖ479717</t>
  </si>
  <si>
    <t>ΤΖΟΥΡΑ</t>
  </si>
  <si>
    <t>ΑΗ713775</t>
  </si>
  <si>
    <t>ΚΑΤΣΙΜΗ</t>
  </si>
  <si>
    <t>ΑΙ108017</t>
  </si>
  <si>
    <t>ΡΟΥΣΣΟΥ</t>
  </si>
  <si>
    <t>ΑΙ777797</t>
  </si>
  <si>
    <t>ΑΟ266919</t>
  </si>
  <si>
    <t>ΑΓΑΠΙΟΣ</t>
  </si>
  <si>
    <t>ΑΟ610176</t>
  </si>
  <si>
    <t>ΦΑΣΟΥΛΗ</t>
  </si>
  <si>
    <t>ΑΒ511631</t>
  </si>
  <si>
    <t>ΠΑΠΟΥΤΣΟΠΟΥΛΟΥ</t>
  </si>
  <si>
    <t>ΒΙΡΓΙΝΙΑ</t>
  </si>
  <si>
    <t>ΑΖ980634</t>
  </si>
  <si>
    <t>ΚΑΡΤΑΛΗ</t>
  </si>
  <si>
    <t>ΑΟ789618</t>
  </si>
  <si>
    <t>ΖΩΓΡΑΦΟΥ</t>
  </si>
  <si>
    <t>ΑΙ850831</t>
  </si>
  <si>
    <t>ΓΑΡΓΑΛΑ</t>
  </si>
  <si>
    <t>ΑΙ855676</t>
  </si>
  <si>
    <t>ΣΤΑΜΑΤΟΠΟΥΛΟΥ</t>
  </si>
  <si>
    <t>ΜΑΡΙΑ ΤΡΙΣΕΥΓΕΝΗ</t>
  </si>
  <si>
    <t>ΑΗ080334</t>
  </si>
  <si>
    <t>ΣΤΑΜΕΝΙΤΟΥ</t>
  </si>
  <si>
    <t>ΑΒ115921</t>
  </si>
  <si>
    <t>ΤΖΑΒΕΛΛΑ ΣΦΗΚΑ</t>
  </si>
  <si>
    <t>ΑΚ005726</t>
  </si>
  <si>
    <t>ΤΣΙΧΛΙΑ</t>
  </si>
  <si>
    <t>Ρ815150</t>
  </si>
  <si>
    <t>ΧΗΡΑ</t>
  </si>
  <si>
    <t>ΑΕ319673</t>
  </si>
  <si>
    <t>ΔΑΜΙΓΟΥ</t>
  </si>
  <si>
    <t>ΑΜ234576</t>
  </si>
  <si>
    <t>ΚΑΜΠΙΛΑΥΚΟΥ</t>
  </si>
  <si>
    <t>ΑΒ766513</t>
  </si>
  <si>
    <t>ΠΑΠΑΔΗΜΗΤΡΙΟΥ</t>
  </si>
  <si>
    <t>Π539905</t>
  </si>
  <si>
    <t>ΜΟΥΤΛΑ</t>
  </si>
  <si>
    <t>ΑΙ375085</t>
  </si>
  <si>
    <t>ΡΙΝΤΟΥ</t>
  </si>
  <si>
    <t>ΑΚ435365</t>
  </si>
  <si>
    <t>ΜΑΝΩΛΑ</t>
  </si>
  <si>
    <t>ΑΝ889990</t>
  </si>
  <si>
    <t>ΛΙΑΝΤΖΗ</t>
  </si>
  <si>
    <t>ΑΕ339483</t>
  </si>
  <si>
    <t>ΑΑ086866</t>
  </si>
  <si>
    <t>ΣΑΧΑ</t>
  </si>
  <si>
    <t>Π488504</t>
  </si>
  <si>
    <t>ΣΙΟΡΦΑΝΕ</t>
  </si>
  <si>
    <t xml:space="preserve">ΒΑΣΙΛΕΙΟΣ </t>
  </si>
  <si>
    <t>ΑΗ728567</t>
  </si>
  <si>
    <t>ΧΑΤΖΗΙΩΑΝΝΙΔΟΥ</t>
  </si>
  <si>
    <t>ΣΕΛΗΝΗ</t>
  </si>
  <si>
    <t>Χ886732</t>
  </si>
  <si>
    <t>ΕΛΕΥΘΕΡΙΟΥ</t>
  </si>
  <si>
    <t>ΑΗ286228</t>
  </si>
  <si>
    <t>ΚΥΡΙΜΛΗ</t>
  </si>
  <si>
    <t>ΑΑ962069</t>
  </si>
  <si>
    <t>ΔΟΥΖΕΝΗ</t>
  </si>
  <si>
    <t>Φ291822</t>
  </si>
  <si>
    <t>ΚΟΝΤΣΕ</t>
  </si>
  <si>
    <t>ΚΥΡΙΑΚ</t>
  </si>
  <si>
    <t>ΕΥΣ</t>
  </si>
  <si>
    <t>ΑΒ303144</t>
  </si>
  <si>
    <t>ΑΔΑΜΟΠΟΥΛΟΥ</t>
  </si>
  <si>
    <t>ΑΚ368775</t>
  </si>
  <si>
    <t>ΤΣΟΥΡΟΥΦΛΗ</t>
  </si>
  <si>
    <t>ΑΗ583193</t>
  </si>
  <si>
    <t>ΜΑΡΓΑΡΑ</t>
  </si>
  <si>
    <t>ΑΙΚΑΤΕΡΙΝΗ ΚΑΤΙΑ</t>
  </si>
  <si>
    <t>ΑΖ568800</t>
  </si>
  <si>
    <t>ΕΛΜΑΛΟΓΛΟΥ</t>
  </si>
  <si>
    <t>ΑΗ142980</t>
  </si>
  <si>
    <t>ΑΝΤΩΝΑΚΟΥ</t>
  </si>
  <si>
    <t>ΑΙ803000</t>
  </si>
  <si>
    <t>ΜΟΥΤΣΙΟΥΝΑ</t>
  </si>
  <si>
    <t xml:space="preserve">ΠΑΡΑΣΚΕΥΗ </t>
  </si>
  <si>
    <t>ΑΖ294799</t>
  </si>
  <si>
    <t xml:space="preserve">ΕΜΜΑΝΟΥΗΛΙΔΟΥ </t>
  </si>
  <si>
    <t xml:space="preserve">ΖΗΣΗΣ </t>
  </si>
  <si>
    <t>ΑΖ401513</t>
  </si>
  <si>
    <t>ΚΑΣΤΑΝΙΔΟΥ</t>
  </si>
  <si>
    <t>ΑΚ934664</t>
  </si>
  <si>
    <t>ΜΟΣΚΟΠΟΥΛΟΥ</t>
  </si>
  <si>
    <t>ΖΗΝΟΒΙΑ ΣΑΜΠΡΙΝΑ</t>
  </si>
  <si>
    <t>ΑΖ254797</t>
  </si>
  <si>
    <t>ΜΠΟΚΑ</t>
  </si>
  <si>
    <t>ΑΜ559116</t>
  </si>
  <si>
    <t>ΑΕ152950</t>
  </si>
  <si>
    <t>ΑΥΓΕΡΙΝΟΠΟΥΛΟΥ</t>
  </si>
  <si>
    <t>ΑΓΓΕΛΑΚΗΣ</t>
  </si>
  <si>
    <t>ΑΚ339489</t>
  </si>
  <si>
    <t>ΜΑΝΙΤΣΑ</t>
  </si>
  <si>
    <t>ΑΙ383529</t>
  </si>
  <si>
    <t>ΜΙΣΧΟΥ</t>
  </si>
  <si>
    <t>ΑΝ720758</t>
  </si>
  <si>
    <t>ΧΡΙΣΤΙΝΑ ΑΝΑΣΤΑΣΙΑ</t>
  </si>
  <si>
    <t>ΑΟ885999</t>
  </si>
  <si>
    <t>ΜΟΥΣΤΟΥΚΗ</t>
  </si>
  <si>
    <t>ΑΖ006366</t>
  </si>
  <si>
    <t>ΚΑΦΕΝΤΖΗ</t>
  </si>
  <si>
    <t>ΑΝ856232</t>
  </si>
  <si>
    <t>ΚΕΜΕΚΕΝΙΔΟΥ</t>
  </si>
  <si>
    <t>ΑΕ760075</t>
  </si>
  <si>
    <t>ΓΕΡΟΝΤΙΔΟΥ</t>
  </si>
  <si>
    <t>ΑΗ158258</t>
  </si>
  <si>
    <t>ΣΑΒΒΟΥΛΙΔΟΥ</t>
  </si>
  <si>
    <t>ΑΝ822939</t>
  </si>
  <si>
    <t>ΣΑΡΑΓΓΙΟΛΗ</t>
  </si>
  <si>
    <t>ΜΑΡΙΑ ΑΡΕΤΗ</t>
  </si>
  <si>
    <t>Τ501785</t>
  </si>
  <si>
    <t>ΚΥΡΙΑΖΟΠΟΥΛΟΥ</t>
  </si>
  <si>
    <t>ΑΓΝΗ</t>
  </si>
  <si>
    <t>Χ880344</t>
  </si>
  <si>
    <t>ΚΙΖΗ</t>
  </si>
  <si>
    <t>ΣΤΕΛΛΙΟΣ</t>
  </si>
  <si>
    <t>ΑΝ887189</t>
  </si>
  <si>
    <t>ΚΟΥΛΙΔΟΥ</t>
  </si>
  <si>
    <t>ΑΚ979623</t>
  </si>
  <si>
    <t>ΤΣΑΚΑΡΑΚΗ</t>
  </si>
  <si>
    <t>ΑΖ596516</t>
  </si>
  <si>
    <t>ΣΑΠΑΝΗ</t>
  </si>
  <si>
    <t>ΑΚ064696</t>
  </si>
  <si>
    <t xml:space="preserve">ΔΕΣΠΟΙΝΑ </t>
  </si>
  <si>
    <t>ΑΗ822087</t>
  </si>
  <si>
    <t>Ν848844</t>
  </si>
  <si>
    <t>ΚΑΡΑΝΙΚΟΛΗ</t>
  </si>
  <si>
    <t>ΜΑΡΙΑ ΕΛΕΝΗ</t>
  </si>
  <si>
    <t>ΑΒ847626</t>
  </si>
  <si>
    <t>ΡΗΓΟΠΟΥΛΟΥ</t>
  </si>
  <si>
    <t>ΑΝ104653</t>
  </si>
  <si>
    <t>ΠΑΠΑΓΙΑΝΝΑΚΟΠΟΥΛΟΥ</t>
  </si>
  <si>
    <t>ΑΖ217484</t>
  </si>
  <si>
    <t>ΣΚΡΕΤΑ</t>
  </si>
  <si>
    <t>ΑΖ541751</t>
  </si>
  <si>
    <t>ΑΙΚΑΤΕΡΙΝΗ ΔΕΣΠΟΙΝΑ</t>
  </si>
  <si>
    <t>ΑΕ725560</t>
  </si>
  <si>
    <t>ΣΕΦΕΡΗ</t>
  </si>
  <si>
    <t>Ρ467239</t>
  </si>
  <si>
    <t>ΣΑΝΤΑΛΟΓΛΟΥ</t>
  </si>
  <si>
    <t>ΑΙ134750</t>
  </si>
  <si>
    <t>ΘΕΟΔΩΡΙΔΟΥ</t>
  </si>
  <si>
    <t>ΑΖ873067</t>
  </si>
  <si>
    <t>ΚΑΣΙΜΗ</t>
  </si>
  <si>
    <t>ΣΑΤΥΑ ΑΝΑΣΤΑΣΙΑ</t>
  </si>
  <si>
    <t>ΑΒ593028</t>
  </si>
  <si>
    <t>ΛΙΑΔΑΚΗ</t>
  </si>
  <si>
    <t>ΟΛΓΑ ΦΑΝΟΥΡΙΑ</t>
  </si>
  <si>
    <t>ΑΡ003633</t>
  </si>
  <si>
    <t>ΙΑΤΡΙΔΟΥ</t>
  </si>
  <si>
    <t>ΑΗ110405</t>
  </si>
  <si>
    <t>ΧΑΒΑΔΑΚΗ</t>
  </si>
  <si>
    <t>ΑΖ962529</t>
  </si>
  <si>
    <t>ΤΑΣΑΚΟΥ</t>
  </si>
  <si>
    <t>ΑΝ384953</t>
  </si>
  <si>
    <t>ΑΛΕΞΙΟΥ</t>
  </si>
  <si>
    <t>Φ341111</t>
  </si>
  <si>
    <t>ΑΒ094872</t>
  </si>
  <si>
    <t>ΚΑΛΦΑΓΙΑΝΝΗ</t>
  </si>
  <si>
    <t>ΑΒ384476</t>
  </si>
  <si>
    <t>ΒΑΛΜΑ</t>
  </si>
  <si>
    <t xml:space="preserve">ΕΛΕΝΗ </t>
  </si>
  <si>
    <t>ΑΗ290710</t>
  </si>
  <si>
    <t>ΚΑΒΟΥΡΑΚΗ</t>
  </si>
  <si>
    <t>ΧΡΥΣΟΒΑΛΑΝΤΟΥ</t>
  </si>
  <si>
    <t>ΑΗ787879</t>
  </si>
  <si>
    <t>ΠΑΝΑΓΟΥ</t>
  </si>
  <si>
    <t>ΑΖ345903</t>
  </si>
  <si>
    <t>ΑΟ764919</t>
  </si>
  <si>
    <t>ΑΣΜΑΝΗ</t>
  </si>
  <si>
    <t>ΠΕΡΣΕΦΟΝΗ ΒΑΣΙΛΙΚΗ</t>
  </si>
  <si>
    <t>ΣΤΕΛΙΟΣ</t>
  </si>
  <si>
    <t>ΑΖ927562</t>
  </si>
  <si>
    <t>ΓΟΥΝΑΡΗ</t>
  </si>
  <si>
    <t>ΑΖ927308</t>
  </si>
  <si>
    <t>ΚΑΡΑΣΤΑΜΑΤΗ</t>
  </si>
  <si>
    <t>ΑΖ268186</t>
  </si>
  <si>
    <t>ΚΑΛΛΙΟΝΑΚΗ</t>
  </si>
  <si>
    <t>ΑΖ468199</t>
  </si>
  <si>
    <t>ΣΚΟΥΦΟΥ</t>
  </si>
  <si>
    <t>ΔΗΜΗΤΡΑ ΘΑΛΕΙΑ</t>
  </si>
  <si>
    <t>ΑΒ404442</t>
  </si>
  <si>
    <t>ΑΙ338044</t>
  </si>
  <si>
    <t>ΑΠΙΔΟΠΟΥΛΟΥ</t>
  </si>
  <si>
    <t>ΑΖ801412</t>
  </si>
  <si>
    <t>ΝΑΥΡΟΖΟΓΛΟΥ</t>
  </si>
  <si>
    <t>ΑΚ384895</t>
  </si>
  <si>
    <t>ΙΩΑΚΕΙΜΙΔΟΥ</t>
  </si>
  <si>
    <t>ΑΙ920780</t>
  </si>
  <si>
    <t>ΠΑΛΑΚΙΔΟΥ</t>
  </si>
  <si>
    <t>ΑΖ393565</t>
  </si>
  <si>
    <t>ΤΑΣΚΑ</t>
  </si>
  <si>
    <t>Φ340726</t>
  </si>
  <si>
    <t>ΝΕΖΗ</t>
  </si>
  <si>
    <t>ΑΒ271252</t>
  </si>
  <si>
    <t>ΚΙΣΣΑΒΟΥ</t>
  </si>
  <si>
    <t xml:space="preserve">ΕΥΔΟΞΙΑ </t>
  </si>
  <si>
    <t xml:space="preserve">ΧΡΙΣΤΟΦΟΡΟΣ </t>
  </si>
  <si>
    <t>ΑΜ366155</t>
  </si>
  <si>
    <t>ΚΩΣΤΑΣ</t>
  </si>
  <si>
    <t>ΑΕ787543</t>
  </si>
  <si>
    <t>ΤΟΥΡΓΟΥΤΟΓΛΟΥ</t>
  </si>
  <si>
    <t>ΚΥΡΙΑΚΟΣ ΙΣΑΑΚ</t>
  </si>
  <si>
    <t>ΑΑ080550</t>
  </si>
  <si>
    <t>ΚΟΥΣΚΟΥΡΙΔΑ</t>
  </si>
  <si>
    <t>ΑΜ358075</t>
  </si>
  <si>
    <t>ΚΑΣΙΟΥΡΑ</t>
  </si>
  <si>
    <t>ΧΑΡΟΥΛΑ</t>
  </si>
  <si>
    <t>ΑΒ852410</t>
  </si>
  <si>
    <t>ΓΑΙΤΑΝΗ</t>
  </si>
  <si>
    <t>ΣΟΦΙΑ ΜΑΡΙΑ</t>
  </si>
  <si>
    <t>ΑΕ050894</t>
  </si>
  <si>
    <t>ΑΝΔΡΟΝΙΚΗ</t>
  </si>
  <si>
    <t>ΑΟ505999</t>
  </si>
  <si>
    <t>ΜΠΑΛΟΥ</t>
  </si>
  <si>
    <t>ΑΑ480382</t>
  </si>
  <si>
    <t>ΑΕ818247</t>
  </si>
  <si>
    <t>ΓΑΛΟΓΑΥΡΟΥ</t>
  </si>
  <si>
    <t>ΑΖ787716</t>
  </si>
  <si>
    <t>ΓΙΟΒΑΝΑΚΗΣ</t>
  </si>
  <si>
    <t>ΑΗ936848</t>
  </si>
  <si>
    <t>ΑΝΑΤΟΛΗ</t>
  </si>
  <si>
    <t>ΑΜ663981</t>
  </si>
  <si>
    <t xml:space="preserve">ΤΣΙΡΟΓΙΑΝΝΗ </t>
  </si>
  <si>
    <t xml:space="preserve">ΓΕΩΡΓΙΟΣ </t>
  </si>
  <si>
    <t>ΑΖ504375</t>
  </si>
  <si>
    <t>ΓΕΩΡΓΟΥΛΑ</t>
  </si>
  <si>
    <t>ΑΚ723446</t>
  </si>
  <si>
    <t>ΜΟΥΚΑ</t>
  </si>
  <si>
    <t>ΑΕ268764</t>
  </si>
  <si>
    <t>ΟΡΟΥΤΖΟΓΛΟΥ</t>
  </si>
  <si>
    <t>ΑΖ907502</t>
  </si>
  <si>
    <t>ΜΑΓΚΑΝΙΑΡΗ</t>
  </si>
  <si>
    <t>ΑΟ900630</t>
  </si>
  <si>
    <t>ΒΕΡΓΗ</t>
  </si>
  <si>
    <t>ΑΒ403794</t>
  </si>
  <si>
    <t>ΓΕΝΟΒΕΦΑ</t>
  </si>
  <si>
    <t>ΑΖ815677</t>
  </si>
  <si>
    <t>ΚΑΤΣΙΜΙΧΑ</t>
  </si>
  <si>
    <t>ΑΕ264613</t>
  </si>
  <si>
    <t>ΜΑΣΤΟΡΟΓΙΑΝΝΗ</t>
  </si>
  <si>
    <t>ΑΟ362804</t>
  </si>
  <si>
    <t>ΜΕΣΤΑΝ</t>
  </si>
  <si>
    <t>ΕΜΕΛ</t>
  </si>
  <si>
    <t>ΑΧΜΕΤ</t>
  </si>
  <si>
    <t>ΑΖ364160</t>
  </si>
  <si>
    <t>ΚΑΚΟΥΛΙΔΟΥ</t>
  </si>
  <si>
    <t>ΑΚ992625</t>
  </si>
  <si>
    <t>ΚΑΡΤΣΙΜΑΔΑΚΗ</t>
  </si>
  <si>
    <t>ΑΖ506391</t>
  </si>
  <si>
    <t>ΟΡΦΑΝΙΔΟΥ</t>
  </si>
  <si>
    <t>ΙΕΡΟΘΕΟΣ</t>
  </si>
  <si>
    <t>ΑΕ206273</t>
  </si>
  <si>
    <t>ΣΤΡΩΜΑΤΙΑ</t>
  </si>
  <si>
    <t>Μ886945</t>
  </si>
  <si>
    <t>ΠΑΚΤΙΤΗ</t>
  </si>
  <si>
    <t>ΑΕ297428</t>
  </si>
  <si>
    <t>ΣΙΚΟΒΕΛΑ</t>
  </si>
  <si>
    <t>ΑΙ299287</t>
  </si>
  <si>
    <t>Χ821138</t>
  </si>
  <si>
    <t>ΑΙ166010</t>
  </si>
  <si>
    <t>ΒΑΣΣΙΟΥ</t>
  </si>
  <si>
    <t>ΑΙ813820</t>
  </si>
  <si>
    <t>ΤΣΑΓΚΑ</t>
  </si>
  <si>
    <t>ΜΑΡΙΑΝΑ ΑΛΕΞΙΑ</t>
  </si>
  <si>
    <t>ΑΝ050554</t>
  </si>
  <si>
    <t>ΣΤΑΜΑΤΑΚΟΥ</t>
  </si>
  <si>
    <t>Ρ383774</t>
  </si>
  <si>
    <t>ΚΑΛΑΙΤΣΙΔΟΥ</t>
  </si>
  <si>
    <t>ΑΟ223110</t>
  </si>
  <si>
    <t>ΜΠΑΣΟΥΚΟΥ</t>
  </si>
  <si>
    <t>Χ829499</t>
  </si>
  <si>
    <t>ΤΖΙΤΖΙΡΑ</t>
  </si>
  <si>
    <t>ΑΝ126362</t>
  </si>
  <si>
    <t>ΚΑΜΝΟΡΟΚΑ</t>
  </si>
  <si>
    <t>ΑΜ721016</t>
  </si>
  <si>
    <t>ΚΟΛΛΗΜΕΝΟΥ</t>
  </si>
  <si>
    <t>Χ219211</t>
  </si>
  <si>
    <t>ΔΑΛΑΝΑ</t>
  </si>
  <si>
    <t>Χ344146</t>
  </si>
  <si>
    <t>ΠΑΠΑΒΑΣΙΛΗ</t>
  </si>
  <si>
    <t>ΑΒ333125</t>
  </si>
  <si>
    <t>ΑΒ488323</t>
  </si>
  <si>
    <t>Μ018460</t>
  </si>
  <si>
    <t>Τ274728</t>
  </si>
  <si>
    <t>ΚΑΡΑΝΙΚΑ</t>
  </si>
  <si>
    <t>ΑΜ066915</t>
  </si>
  <si>
    <t>ΚΑΤΣΙΑΒΑΡΑ</t>
  </si>
  <si>
    <t>Σ892474</t>
  </si>
  <si>
    <t>ΤΣΩΚΟΥ</t>
  </si>
  <si>
    <t>ΑΝ729814</t>
  </si>
  <si>
    <t>ΖΩΡΑ</t>
  </si>
  <si>
    <t>ΑΝ322319</t>
  </si>
  <si>
    <t>ΜΠΟΥΡΛΙΒΑ</t>
  </si>
  <si>
    <t>Ρ204902</t>
  </si>
  <si>
    <t>ΜΑΡΓΙΩΡΗ</t>
  </si>
  <si>
    <t>ΑΜ935475</t>
  </si>
  <si>
    <t>ΜΠΟΥΡΟΝΙΚΟΥ</t>
  </si>
  <si>
    <t>ΑΜ415713</t>
  </si>
  <si>
    <t>ΡΟΜΠΟΤΗ</t>
  </si>
  <si>
    <t>Χ718786</t>
  </si>
  <si>
    <t>ΑΕ325717</t>
  </si>
  <si>
    <t>ΜΠΑΧΛΙΤΖΑΝΑΚΗ</t>
  </si>
  <si>
    <t>ΑΜ460158</t>
  </si>
  <si>
    <t>ΤΣΑΚΕΛΙΔΟΥ</t>
  </si>
  <si>
    <t>Ρ876137</t>
  </si>
  <si>
    <t>ΚΟΥΚΟΥΡΙΚΟΥ</t>
  </si>
  <si>
    <t>ΑΖ179802</t>
  </si>
  <si>
    <t>ΘΕΟΔΟΣΙΑ ΚΥΡΙΑΚΗ</t>
  </si>
  <si>
    <t>Χ235469</t>
  </si>
  <si>
    <t>ΚΟΛΛΑΡΗ</t>
  </si>
  <si>
    <t>ΑΗ803978</t>
  </si>
  <si>
    <t>ΚΙΜΠΟΥΡΗ</t>
  </si>
  <si>
    <t>ΑΔΡΙΑΝΟΣ</t>
  </si>
  <si>
    <t>ΑΚ959154</t>
  </si>
  <si>
    <t>ΜΠΑΖΩΤΗ</t>
  </si>
  <si>
    <t>ΑΖ489947</t>
  </si>
  <si>
    <t>ΓΚΕΝΩΣΗ</t>
  </si>
  <si>
    <t>ΑΗ060087</t>
  </si>
  <si>
    <t>ΑΚ528707</t>
  </si>
  <si>
    <t>ΔΗΜΗΤΡΑΚΟΠΟΥΛΟΥ</t>
  </si>
  <si>
    <t>ΑΒ302300</t>
  </si>
  <si>
    <t>ΤΣΑΧΟΥΡΙΔΟΥ</t>
  </si>
  <si>
    <t>ΑΜ412570</t>
  </si>
  <si>
    <t>ΧΑΝΤΟΠΟΥΛΟΥ</t>
  </si>
  <si>
    <t>ΑΙ687776</t>
  </si>
  <si>
    <t>ΑΚ522310</t>
  </si>
  <si>
    <t>Σ031295</t>
  </si>
  <si>
    <t>ΤΡΙΓΑΖΗ</t>
  </si>
  <si>
    <t>ΑΗ717674</t>
  </si>
  <si>
    <t>ΣΙΔΕΡΗ</t>
  </si>
  <si>
    <t>ΑΑ304753</t>
  </si>
  <si>
    <t>ΑΣΒΕΣΤΑΡΗ</t>
  </si>
  <si>
    <t>ΑΛΚΜΗΝΗ</t>
  </si>
  <si>
    <t>ΑΙ040306</t>
  </si>
  <si>
    <t>ΓΕΩΡΓΑΚΗ</t>
  </si>
  <si>
    <t>ΑΗ537643</t>
  </si>
  <si>
    <t>ΑΗ455184</t>
  </si>
  <si>
    <t>ΑΒ067772</t>
  </si>
  <si>
    <t>ΤΖΟΥΒΑΡΑ</t>
  </si>
  <si>
    <t>ΑΖ178886</t>
  </si>
  <si>
    <t>ΔΕΣΥΛΛΑ</t>
  </si>
  <si>
    <t>Ρ663667</t>
  </si>
  <si>
    <t>ΔΟΛΑΨΑΚΗ</t>
  </si>
  <si>
    <t>ΑΗ967943</t>
  </si>
  <si>
    <t>ΚΩΣΤΙΔΗ</t>
  </si>
  <si>
    <t>ΕΛΕΝΗ ΕΥΤΥΧΙΑ</t>
  </si>
  <si>
    <t>ΦΙΛΙΠΠΙΔΟΥ</t>
  </si>
  <si>
    <t>ΑΚ686161</t>
  </si>
  <si>
    <t>ΝΙΚΑ</t>
  </si>
  <si>
    <t>ΑΙ978317</t>
  </si>
  <si>
    <t>ΦΙΛΙΠΤΣΟΥΚ</t>
  </si>
  <si>
    <t>ΜΙΚΟΛΑ</t>
  </si>
  <si>
    <t>ΑΝ138379</t>
  </si>
  <si>
    <t>ΑΓΟΡΟΠΟΥΛΟΥ</t>
  </si>
  <si>
    <t>ΑΗ305031</t>
  </si>
  <si>
    <t>ΧΟΜΠΗ</t>
  </si>
  <si>
    <t>Λ992578</t>
  </si>
  <si>
    <t>ΞΕΝΑΚΗ</t>
  </si>
  <si>
    <t>ΑΝ561824</t>
  </si>
  <si>
    <t>ΛΑΝΑΡΑ</t>
  </si>
  <si>
    <t>ΑΚ322735</t>
  </si>
  <si>
    <t>ΤΣΙΟΥΚΑΡΑ</t>
  </si>
  <si>
    <t>ΑΚ424193</t>
  </si>
  <si>
    <t>ΙΑ</t>
  </si>
  <si>
    <t>ΑΒΤΑΝΤΙΛ</t>
  </si>
  <si>
    <t>ΑΙ971187</t>
  </si>
  <si>
    <t>ΣΕΡΑΦΕΙΜ</t>
  </si>
  <si>
    <t>ΑΙ509248</t>
  </si>
  <si>
    <t>ΜΙΧΑΗΛΙΔΗ</t>
  </si>
  <si>
    <t>ΑΗ209948</t>
  </si>
  <si>
    <t>ΛΑΜΠΡΙΝΟΥ</t>
  </si>
  <si>
    <t>Χ790103</t>
  </si>
  <si>
    <t>ΑΘΑΝΑΤΟΥ</t>
  </si>
  <si>
    <t>ΑΡΤΕΜΗΣΙΑ</t>
  </si>
  <si>
    <t>Χ410159</t>
  </si>
  <si>
    <t>ΛΥΓΚΟΒΑΝΛΗ</t>
  </si>
  <si>
    <t>ΑΕ864439</t>
  </si>
  <si>
    <t>ΝΤΟΥΓΚΑ</t>
  </si>
  <si>
    <t>ΑΟ446454</t>
  </si>
  <si>
    <t>ΚΕΛΕΠΟΥΡΗ</t>
  </si>
  <si>
    <t>ΑΖ721668</t>
  </si>
  <si>
    <t>ΣΑΚΑΛΗ</t>
  </si>
  <si>
    <t>Ρ720457</t>
  </si>
  <si>
    <t>ΜΠΑΜΠΑΛΙΑΡΗ</t>
  </si>
  <si>
    <t>Σ749296</t>
  </si>
  <si>
    <t>ΔΕΛΛΗ</t>
  </si>
  <si>
    <t>ΑΝ536147</t>
  </si>
  <si>
    <t>ΞΑΦΑΚΟΥ</t>
  </si>
  <si>
    <t>ΧΡΥΣΑΦΗΣ</t>
  </si>
  <si>
    <t>ΑΗ849220</t>
  </si>
  <si>
    <t>ΤΡΑΙΚΟΥ</t>
  </si>
  <si>
    <t>ΑΜ866074</t>
  </si>
  <si>
    <t>ΔΕΛΗΑΝΔΡΕΑΔΟΥ</t>
  </si>
  <si>
    <t>ΠΟΛΥΜΝΙΑ</t>
  </si>
  <si>
    <t>ΑΜ674305</t>
  </si>
  <si>
    <t>ΓΡΙΒΑ</t>
  </si>
  <si>
    <t>ΑΜ618784</t>
  </si>
  <si>
    <t>ΠΑΠΠΟΥ</t>
  </si>
  <si>
    <t>Φ485039</t>
  </si>
  <si>
    <t>ΝΥΦΑΝΤΟΠΟΥΛΟΥ</t>
  </si>
  <si>
    <t>ΑΒ385817</t>
  </si>
  <si>
    <t>ΧΑΤΖΟΠΟΥΛΟΥ</t>
  </si>
  <si>
    <t>Χ125905</t>
  </si>
  <si>
    <t>ΜΑΝΗ</t>
  </si>
  <si>
    <t>Χ161981</t>
  </si>
  <si>
    <t>ΑΧΛΑΔΗ</t>
  </si>
  <si>
    <t>ΑΙ089049</t>
  </si>
  <si>
    <t>ΑΒ490498</t>
  </si>
  <si>
    <t>ΜΠΑΜΠΑ</t>
  </si>
  <si>
    <t>Α0238882</t>
  </si>
  <si>
    <t>ΑΛΜΕΤΙΔΟΥ</t>
  </si>
  <si>
    <t>ΑΕ916369</t>
  </si>
  <si>
    <t>ΑΝ349532</t>
  </si>
  <si>
    <t>ΜΠΑΜΙΑΤΖΗ</t>
  </si>
  <si>
    <t>Σ609154</t>
  </si>
  <si>
    <t>ΛΗΜΝΙΟΥ</t>
  </si>
  <si>
    <t>ΑΚ843319</t>
  </si>
  <si>
    <t>ΠΕΤΚΑΡΗ</t>
  </si>
  <si>
    <t>ΑΜ690152</t>
  </si>
  <si>
    <t>ΧΡΙΣΤΙΝΑ ΦΩΤΕΙΝΗ</t>
  </si>
  <si>
    <t>ΑΚ697420</t>
  </si>
  <si>
    <t>ΑΚ290633</t>
  </si>
  <si>
    <t>ΔΑΜΑΣΙΩΤΟΥ</t>
  </si>
  <si>
    <t>ΑΙ868072</t>
  </si>
  <si>
    <t>ΚΑΡΥΠΙΔΟΥ</t>
  </si>
  <si>
    <t>ΑΚ854831</t>
  </si>
  <si>
    <t>ΑΗ577514</t>
  </si>
  <si>
    <t>ΚΟΖΙΩΡΗ</t>
  </si>
  <si>
    <t>ΑΕ710734</t>
  </si>
  <si>
    <t>ΣΑΟΥΓΚΟΥ</t>
  </si>
  <si>
    <t>ΑΜΑΛΙΑ ΧΡΙΣΤΙΑΝΑ</t>
  </si>
  <si>
    <t>Χ867872</t>
  </si>
  <si>
    <t>ΜΟΣΧΟΛΙΔΟΥ</t>
  </si>
  <si>
    <t>ΑΗ423608</t>
  </si>
  <si>
    <t>ΤΕΛΛΙΟΥ</t>
  </si>
  <si>
    <t>ΑΙ848913</t>
  </si>
  <si>
    <t>ΚΟΚΟΛΗ</t>
  </si>
  <si>
    <t>Σ737232</t>
  </si>
  <si>
    <t>ΧΑΤΖΗΘΕΟΦΑΝΟΥΣ</t>
  </si>
  <si>
    <t>ΑΕ909946</t>
  </si>
  <si>
    <t>ΑΛΕΞΟΠΟΥΛΟΥ</t>
  </si>
  <si>
    <t>ΙΩΑΝΝΑ ΞΑΚΟΥΣΤΗ</t>
  </si>
  <si>
    <t>ΑΜ314261</t>
  </si>
  <si>
    <t>ΚΑΡΑΠΙΠΕΡΗ</t>
  </si>
  <si>
    <t>ΑΝ136296</t>
  </si>
  <si>
    <t>ΛΑΘΟΥΡΑΚΗ</t>
  </si>
  <si>
    <t>Ρ067431</t>
  </si>
  <si>
    <t>ΓΟΥΓΟΥΣΗ</t>
  </si>
  <si>
    <t>ΑΑ272340</t>
  </si>
  <si>
    <t>ΚΟΚΟΚΥΡΗ</t>
  </si>
  <si>
    <t>ΑΝ230357</t>
  </si>
  <si>
    <t>ΚΟΛΛΙΟΥ</t>
  </si>
  <si>
    <t>ΑΒ311004</t>
  </si>
  <si>
    <t>ΤΣΑΡΝΑ</t>
  </si>
  <si>
    <t>Χ122405</t>
  </si>
  <si>
    <t>ΚΙΣΣΑΜΙΤΑΚΗ</t>
  </si>
  <si>
    <t>Σ496441</t>
  </si>
  <si>
    <t>ΜΠΙΝΙΧΑΚΗ</t>
  </si>
  <si>
    <t>ΑΚ470297</t>
  </si>
  <si>
    <t>ΧΑΤΖΗ</t>
  </si>
  <si>
    <t>ΚΟΡΙΝΑ</t>
  </si>
  <si>
    <t>Ρ353646</t>
  </si>
  <si>
    <t>ΠΑΝΤΕΛΕΗΜΩΝ</t>
  </si>
  <si>
    <t>ΑΜ719312</t>
  </si>
  <si>
    <t>Ρ098031</t>
  </si>
  <si>
    <t>ΤΣΕΚΑ</t>
  </si>
  <si>
    <t>ΑΑ039407</t>
  </si>
  <si>
    <t>ΖΑΚΑΙΟΥ</t>
  </si>
  <si>
    <t>ΜΑΡΙΖΗΝΑ</t>
  </si>
  <si>
    <t>ΑΖ443324</t>
  </si>
  <si>
    <t>ΖΑΦΕΙΡΗ</t>
  </si>
  <si>
    <t>ΑΙ836671</t>
  </si>
  <si>
    <t>ΒΑΛΗ</t>
  </si>
  <si>
    <t>ΓΙΑΣΙΜΩ</t>
  </si>
  <si>
    <t>Χ570092</t>
  </si>
  <si>
    <t>ΑΗ247775</t>
  </si>
  <si>
    <t>ΑΙ651518</t>
  </si>
  <si>
    <t>Τ373376</t>
  </si>
  <si>
    <t>ΤΖΑΒΑΡΑ</t>
  </si>
  <si>
    <t>ΑΟ046822</t>
  </si>
  <si>
    <t>ΧΡΥΣΑΓΗ</t>
  </si>
  <si>
    <t>ΑΙ485652</t>
  </si>
  <si>
    <t>ΜΠΑΡΓΙΑΝΝΗ</t>
  </si>
  <si>
    <t>ΜΑΡΙΑ ΑΝΘΗ</t>
  </si>
  <si>
    <t>ΑΖ589561</t>
  </si>
  <si>
    <t>ΤΗΡΑΙΔΗ</t>
  </si>
  <si>
    <t>ΑΚ578445</t>
  </si>
  <si>
    <t>ΠΑΓΩΝΗ</t>
  </si>
  <si>
    <t>ΠΟΛΥΤΙΜΗ</t>
  </si>
  <si>
    <t>ΣΑΡΑΝΤΟΣ</t>
  </si>
  <si>
    <t>ΑΗ735983</t>
  </si>
  <si>
    <t>ΧΑΤΖΗΜΙΧΑΗΛ</t>
  </si>
  <si>
    <t>ΜΗΝΟΔΩΡΑ</t>
  </si>
  <si>
    <t>ΑΑ345040</t>
  </si>
  <si>
    <t>ΑΜ055365</t>
  </si>
  <si>
    <t>ΠΕΛΑΡΓΟΥ</t>
  </si>
  <si>
    <t>ΑΕ875020</t>
  </si>
  <si>
    <t>ΘΕΟΤΟΚΑΤΟΥ</t>
  </si>
  <si>
    <t>ΔΗΜΗΤΡΗΣ</t>
  </si>
  <si>
    <t>Π102169</t>
  </si>
  <si>
    <t>ΜΠΑΝΑΒΑ</t>
  </si>
  <si>
    <t>ΑΙ361682</t>
  </si>
  <si>
    <t>ΣΙΟΥΡΔΗ</t>
  </si>
  <si>
    <t>ΑΙ318388</t>
  </si>
  <si>
    <t>ΤΣΙΤΑΚΗ</t>
  </si>
  <si>
    <t>ΑΗ658158</t>
  </si>
  <si>
    <t>ΡΟΥΣΟΠΟΥΛΟΥ</t>
  </si>
  <si>
    <t>ΑΕ619833</t>
  </si>
  <si>
    <t>ΤΣΙΡΤΣΩΝΗ</t>
  </si>
  <si>
    <t>ΑΙ720645</t>
  </si>
  <si>
    <t>ΠΑΡΟΥΔΗ</t>
  </si>
  <si>
    <t>ΑΚ898610</t>
  </si>
  <si>
    <t>ΑΝ830599</t>
  </si>
  <si>
    <t>ΧΑΤΖΗΧΑΡΑΛΑΜΠΟΥΣ</t>
  </si>
  <si>
    <t>Χ740616</t>
  </si>
  <si>
    <t>ΜΠΑΡΜΠΑΔΗΜΟΥ</t>
  </si>
  <si>
    <t>ΑΙ995952</t>
  </si>
  <si>
    <t>ΤΟΥΡΛΗ</t>
  </si>
  <si>
    <t>ΑΗ049129</t>
  </si>
  <si>
    <t>ΑΜ362331</t>
  </si>
  <si>
    <t>ΜΑΝΤΙΝΙΩΤΗ</t>
  </si>
  <si>
    <t xml:space="preserve">ΟΛΓΑ </t>
  </si>
  <si>
    <t>ΑΗ434454</t>
  </si>
  <si>
    <t>ΚΑΛΦΑ</t>
  </si>
  <si>
    <t>ΑΝ989922</t>
  </si>
  <si>
    <t>ΔΑΡΔΑΝΗ</t>
  </si>
  <si>
    <t>ΑΙ813047</t>
  </si>
  <si>
    <t>ΣΤΑΜΟΥΛΗ</t>
  </si>
  <si>
    <t>ΑΝ144227</t>
  </si>
  <si>
    <t>ΒΟΥΡΟΥ</t>
  </si>
  <si>
    <t>ΑΕ591226</t>
  </si>
  <si>
    <t>ΤΖΑΝΑΚΑΚΗ</t>
  </si>
  <si>
    <t>ΚΑΛΛΙΟΠΗ ΒΑΡBAΡΑ</t>
  </si>
  <si>
    <t>ΑΜ461957</t>
  </si>
  <si>
    <t>ΑΚ068516</t>
  </si>
  <si>
    <t>ΤΣΙΤΣΙΑ</t>
  </si>
  <si>
    <t>ΑΝ252927</t>
  </si>
  <si>
    <t>ΠΟΥΡΣΑΝΙΔΟΥ</t>
  </si>
  <si>
    <t>ΑΗ696196</t>
  </si>
  <si>
    <t>ΜΠΟΥΦΙΔΗ</t>
  </si>
  <si>
    <t>ΑΙ533383</t>
  </si>
  <si>
    <t>ΑΚ423586</t>
  </si>
  <si>
    <t>ΜΠΟΥΖΙΟΥ</t>
  </si>
  <si>
    <t>ΛΥΚΟΥΡΓΟΣ</t>
  </si>
  <si>
    <t>ΑΚ371162</t>
  </si>
  <si>
    <t>ΤΟΥΣΚΙΔΟΥ</t>
  </si>
  <si>
    <t>ΑΗ681151</t>
  </si>
  <si>
    <t>ΓΑΒΑΛΑ</t>
  </si>
  <si>
    <t>ΑΗ040909</t>
  </si>
  <si>
    <t>ΚΑΡΑΓΙΑΝΝΗ</t>
  </si>
  <si>
    <t>ΑΙ721649</t>
  </si>
  <si>
    <t>ΚΙΟΥΡΤΑΚΗ</t>
  </si>
  <si>
    <t>ΠΑΣΧΑΛΙΑ</t>
  </si>
  <si>
    <t>Χ476965</t>
  </si>
  <si>
    <t>ΑΗ539107</t>
  </si>
  <si>
    <t>ΣΤΟΦΟΡΟΥ</t>
  </si>
  <si>
    <t>ΑΖ980975</t>
  </si>
  <si>
    <t>ΑΖ708107</t>
  </si>
  <si>
    <t>ΓΕΡΟΚΟΜΟΥ</t>
  </si>
  <si>
    <t>Ρ240886</t>
  </si>
  <si>
    <t>ΜΕΤΑΞΙΑ</t>
  </si>
  <si>
    <t>ΑΚ681609</t>
  </si>
  <si>
    <t>ΚΕΜΑΛΗ</t>
  </si>
  <si>
    <t>ΑΙ405121</t>
  </si>
  <si>
    <t>ΝΤΑΛΙΑΡΔΑ</t>
  </si>
  <si>
    <t>ΑΖ759031</t>
  </si>
  <si>
    <t>Χ989000</t>
  </si>
  <si>
    <t>ΑΝ682528</t>
  </si>
  <si>
    <t>ΔΗΜΟΠΟΥΛΟΥ</t>
  </si>
  <si>
    <t>ΑΕ234826</t>
  </si>
  <si>
    <t>ΧΡΥΣΑΦΗ</t>
  </si>
  <si>
    <t>ΘΕΟΔΩΡΑ ΜΑΡΙΑ</t>
  </si>
  <si>
    <t>ΑΒ555718</t>
  </si>
  <si>
    <t>ΚΑΛΑΜΙΔΑ</t>
  </si>
  <si>
    <t>ΑΜ522498</t>
  </si>
  <si>
    <t>ΜΠΟΖΗ</t>
  </si>
  <si>
    <t>ΑΖ409873</t>
  </si>
  <si>
    <t>ΣΟΥΦΛΙΑ</t>
  </si>
  <si>
    <t>ΑΖ270871</t>
  </si>
  <si>
    <t>ΛΥΤΣΙΟΥΛΗ</t>
  </si>
  <si>
    <t>ΔΗΜΗΤΡΟΓΙΑΝΝΗ</t>
  </si>
  <si>
    <t>Ρ776484</t>
  </si>
  <si>
    <t>ΠΑΛΑΙΟΓΛΙΔΟΥ</t>
  </si>
  <si>
    <t>ΑΕ334505</t>
  </si>
  <si>
    <t>ΒΑΛΚΑΝΗ</t>
  </si>
  <si>
    <t>ΑΟ668210</t>
  </si>
  <si>
    <t>ΝΤΕΡΟΥ</t>
  </si>
  <si>
    <t>Ρ870956</t>
  </si>
  <si>
    <t>ΤΣΑΓΚΑΡΑΝΤΩΝΑΚΗ</t>
  </si>
  <si>
    <t>ΜΑΡΙΛΕΝΑ</t>
  </si>
  <si>
    <t>ΑΒ959347</t>
  </si>
  <si>
    <t>ΚΑΝΕΛΛΟΠΟΥΛΟΥ</t>
  </si>
  <si>
    <t>ΔΗΜΟΚΡΙΤΟΣ</t>
  </si>
  <si>
    <t>Χ840049</t>
  </si>
  <si>
    <t>ΜΟΡΦΟΠΟΥΛΟΥ</t>
  </si>
  <si>
    <t>ΑΖ382084</t>
  </si>
  <si>
    <t>ΜΑΓΟΥΛΗ</t>
  </si>
  <si>
    <t>ΑΚ103744</t>
  </si>
  <si>
    <t>ΝΑΚΟΥ</t>
  </si>
  <si>
    <t>ΑΒ087890</t>
  </si>
  <si>
    <t>ΦΟΥΝΤΟΥΚΗ</t>
  </si>
  <si>
    <t>Σ225926</t>
  </si>
  <si>
    <t>ΧΑΤΖΗΠΑΡΑΣΚΕΥΑ</t>
  </si>
  <si>
    <t>ΜΑΡΙΑ ΙΩΑΝΝΑ</t>
  </si>
  <si>
    <t>ΠΡΟΔΡΟΜΟΣ</t>
  </si>
  <si>
    <t>Φ143854</t>
  </si>
  <si>
    <t>ΚΟΚΚΙΟΥ</t>
  </si>
  <si>
    <t>ΑΝ261491</t>
  </si>
  <si>
    <t>ΖΕΠΠΟΥ</t>
  </si>
  <si>
    <t>Τ415329</t>
  </si>
  <si>
    <t>ΤΣΙΜΠΟΥΚΑΚΗ</t>
  </si>
  <si>
    <t>ΚΛΕΟΠΑΤΡΑ</t>
  </si>
  <si>
    <t>ΑΑ128018</t>
  </si>
  <si>
    <t>ΚΑΡΑΓΚΑΝΗ</t>
  </si>
  <si>
    <t>ΑΙ295211</t>
  </si>
  <si>
    <t>ΚΟΥΤΣΟΥΜΠΕΛΙΤΗ</t>
  </si>
  <si>
    <t>Σ268652</t>
  </si>
  <si>
    <t>ΚΟΥΡΤΙΚΑΚΗ</t>
  </si>
  <si>
    <t>ΑΗ090129</t>
  </si>
  <si>
    <t>ΜΑΓΟΥΛΑ</t>
  </si>
  <si>
    <t>ΑΙ557002</t>
  </si>
  <si>
    <t>ΣΙΟΝΤΗ</t>
  </si>
  <si>
    <t>ΑΒ806012</t>
  </si>
  <si>
    <t>ΑΚ787003</t>
  </si>
  <si>
    <t>ΑΕ136102</t>
  </si>
  <si>
    <t>ΜΠΟΥΤΣΑΡΑΚΗΣ</t>
  </si>
  <si>
    <t>ΒΟΥΛΓΑΡΙΔΟΥ</t>
  </si>
  <si>
    <t>ΑΗ908299</t>
  </si>
  <si>
    <t>ΚΑΡΑΟΥΛΑΝΗ</t>
  </si>
  <si>
    <t>Σ740190</t>
  </si>
  <si>
    <t>ΚΑΡΔΑΜΥΛΛΑ</t>
  </si>
  <si>
    <t>Χ920537</t>
  </si>
  <si>
    <t>ΚΟΔΕΛΛΑ</t>
  </si>
  <si>
    <t>ΑΜ572550</t>
  </si>
  <si>
    <t>ΘΩΜΑΙΔΟΥ</t>
  </si>
  <si>
    <t>ΑΙ397763</t>
  </si>
  <si>
    <t>ΦΙΛΙΠΠΟΓΛΟΥ</t>
  </si>
  <si>
    <t>Χ971418</t>
  </si>
  <si>
    <t>ΚΑΡΔΑΚΟΥ</t>
  </si>
  <si>
    <t>ΑΙ352961</t>
  </si>
  <si>
    <t>ΕΜΕΡΙΑΝ</t>
  </si>
  <si>
    <t>ΣΑΜΠΡΙΝΑ</t>
  </si>
  <si>
    <t>ΒΑΡΤΕΡΕΣ</t>
  </si>
  <si>
    <t>Χ217129</t>
  </si>
  <si>
    <t>ΚΑΡΑΔΗΜΑ</t>
  </si>
  <si>
    <t>ΑΚ165010</t>
  </si>
  <si>
    <t>ΣΑΜΨΩΝΙΔΟΥ</t>
  </si>
  <si>
    <t>ΑΗ828178</t>
  </si>
  <si>
    <t>Φ352845</t>
  </si>
  <si>
    <t>ΝΑΤΣΙΔΟΥ</t>
  </si>
  <si>
    <t>ΑΖ912028</t>
  </si>
  <si>
    <t>ΜΠΡΟΥΛΙΑ</t>
  </si>
  <si>
    <t>Χ804843</t>
  </si>
  <si>
    <t>ΓΚΟΚΑ</t>
  </si>
  <si>
    <t>Ρ765645</t>
  </si>
  <si>
    <t>Χ599971</t>
  </si>
  <si>
    <t>ΤΣΑΜΑΔΙΑ</t>
  </si>
  <si>
    <t>Ρ232675</t>
  </si>
  <si>
    <t>ΒΑΖΑΚΑ</t>
  </si>
  <si>
    <t>ΕΜΟΡΦΙΑ</t>
  </si>
  <si>
    <t>ΑΕ800260</t>
  </si>
  <si>
    <t>ΤΟΜΠΟΥΛΙΔΟΥ</t>
  </si>
  <si>
    <t>ΑΝ189659</t>
  </si>
  <si>
    <t>ΛΑΠΠΑ</t>
  </si>
  <si>
    <t>Χ374883</t>
  </si>
  <si>
    <t>ΚΩΣΤΑΜΗ</t>
  </si>
  <si>
    <t>ΑΗ285905</t>
  </si>
  <si>
    <t>ΜΠΟΥΚΗ</t>
  </si>
  <si>
    <t>ΑΟ541764</t>
  </si>
  <si>
    <t>ΚΑΨΑΧΑΤΗ</t>
  </si>
  <si>
    <t>ΧΑΡΙΣ</t>
  </si>
  <si>
    <t>Φ095771</t>
  </si>
  <si>
    <t>ΛΑΣΠΑ</t>
  </si>
  <si>
    <t>ΑΗ289922</t>
  </si>
  <si>
    <t>ΑΜ858234</t>
  </si>
  <si>
    <t>ΜΕΡΣΙΝΑ</t>
  </si>
  <si>
    <t>Σ834455</t>
  </si>
  <si>
    <t>ΣΩΤΗΡΟΠΟΥΛΟΥ</t>
  </si>
  <si>
    <t>ΑΖ305187</t>
  </si>
  <si>
    <t>ΑΓΑΠΙΟΥ</t>
  </si>
  <si>
    <t>ΑΝ534274</t>
  </si>
  <si>
    <t>ΘΩΜΑΗ</t>
  </si>
  <si>
    <t>Χ986307</t>
  </si>
  <si>
    <t>ΦΟΥΝΤΟΥΚΟΥ</t>
  </si>
  <si>
    <t>ΑΗ634908</t>
  </si>
  <si>
    <t>ΤΣΟΚΟΛΑ</t>
  </si>
  <si>
    <t>ΑΚ740555</t>
  </si>
  <si>
    <t>ΚΑΜΠΑΚΑΚΗ</t>
  </si>
  <si>
    <t>ΘΕΟΦΑΝΙΑ</t>
  </si>
  <si>
    <t>ΓΚΙΚΑΣ</t>
  </si>
  <si>
    <t>ΑΕ420304</t>
  </si>
  <si>
    <t>ΤΟΥΤΣΗ</t>
  </si>
  <si>
    <t>ΘΕΟΔΩΡ</t>
  </si>
  <si>
    <t>ΑΑ029996</t>
  </si>
  <si>
    <t>ΣΙΟΥΛΗ</t>
  </si>
  <si>
    <t>ΑΗ516957</t>
  </si>
  <si>
    <t>ΜΛΑΔΙΝΟΥ</t>
  </si>
  <si>
    <t>ΑΜΑΡΓΙΑΝΟΥ</t>
  </si>
  <si>
    <t>ΑΗ536120</t>
  </si>
  <si>
    <t>ΑΓΑΘΟΝΙΚΗ</t>
  </si>
  <si>
    <t>ΑΚΟ51642</t>
  </si>
  <si>
    <t>ΚΥΡΙΔΟΥ</t>
  </si>
  <si>
    <t>Χ968395</t>
  </si>
  <si>
    <t>ΠΑΦΛΙΩΤΟΥ</t>
  </si>
  <si>
    <t>ΑΗ364951</t>
  </si>
  <si>
    <t>ΣΕΡΑΦΕΙΜΙΔΟΥ</t>
  </si>
  <si>
    <t>ΜΑΡΙΑ ΡΑΦΑΕΛΑ</t>
  </si>
  <si>
    <t>ΑΚ907273</t>
  </si>
  <si>
    <t>ΠΑΠΑΔΑΚΗ</t>
  </si>
  <si>
    <t>ΑΗ464919</t>
  </si>
  <si>
    <t>ΜΠΡΟΔΗΜΑ</t>
  </si>
  <si>
    <t>ΑΚ370682</t>
  </si>
  <si>
    <t>ΤΣΑΚΑΝΙΚΑ</t>
  </si>
  <si>
    <t>ΑΚ660118</t>
  </si>
  <si>
    <t>ΖΕΡΜΑ</t>
  </si>
  <si>
    <t>Φ291547</t>
  </si>
  <si>
    <t>ΖΑΓΟΡΙΑΝΟΥ</t>
  </si>
  <si>
    <t>ΑΖ947919</t>
  </si>
  <si>
    <t>ΑΛΕΞΑΚΗ</t>
  </si>
  <si>
    <t>Χ153012</t>
  </si>
  <si>
    <t>ΓΙΟΥΡΤΟΥΜΑ</t>
  </si>
  <si>
    <t>ΑΒ083065</t>
  </si>
  <si>
    <t>ΧΑΤΖΗΒΑΣΙΛΕΙΑΔΟΥ</t>
  </si>
  <si>
    <t>ΑΙ900118</t>
  </si>
  <si>
    <t>ΠΕΧΛΙΒΑΝΙΔΟΥ</t>
  </si>
  <si>
    <t>Χ819634</t>
  </si>
  <si>
    <t>ΣΙΔΕΡΑΤΟΥ</t>
  </si>
  <si>
    <t>ΔΙΑΜΑΝΤΗΣ</t>
  </si>
  <si>
    <t>ΑΖ593872</t>
  </si>
  <si>
    <t>ΑΔΕΛΦΙΔΟΥ</t>
  </si>
  <si>
    <t>ΑΕ573364</t>
  </si>
  <si>
    <t>ΙΤΖΜΠΑΡΑ ΒΑΜΒΟΥΚΑΚΗ</t>
  </si>
  <si>
    <t>ΒΑΛΙΑ</t>
  </si>
  <si>
    <t>ΦΕΙΣΑΛ</t>
  </si>
  <si>
    <t>ΑΜ454808</t>
  </si>
  <si>
    <t>ΑΚ885764</t>
  </si>
  <si>
    <t>ΚΑΛΛΙΑΝΟΥ</t>
  </si>
  <si>
    <t>ΑΖ069490</t>
  </si>
  <si>
    <t>ΑΡΙΣΤΟΣ</t>
  </si>
  <si>
    <t>ΑΙ961047</t>
  </si>
  <si>
    <t>ΦΡΑΓΚΙΑ</t>
  </si>
  <si>
    <t>Χ498597</t>
  </si>
  <si>
    <t>Φ029100</t>
  </si>
  <si>
    <t>ΦΟΥΡΚΙΩΤΗ</t>
  </si>
  <si>
    <t>Φ276444</t>
  </si>
  <si>
    <t>ΜΟΥΡΑΤΙΔΟΥ</t>
  </si>
  <si>
    <t>ΑΝ351932</t>
  </si>
  <si>
    <t>ΤΟΣΚΙΔΟΥ</t>
  </si>
  <si>
    <t>ΦΛΩΡΟΣ</t>
  </si>
  <si>
    <t>ΑΗ671745</t>
  </si>
  <si>
    <t>ΔΗΜΗΤΡΑΚΑΚΗ</t>
  </si>
  <si>
    <t>NTINA</t>
  </si>
  <si>
    <t>Ρ231138</t>
  </si>
  <si>
    <t>ΓΙΑΒΗ</t>
  </si>
  <si>
    <t>ΜΑΡΓΑΡΙΤΑ ΜΑΡΙΑ</t>
  </si>
  <si>
    <t>ΑΟ534181</t>
  </si>
  <si>
    <t>ΑΝΔΡΕΟΠΟΥΛΟΥ</t>
  </si>
  <si>
    <t>Ν538769</t>
  </si>
  <si>
    <t>ΚΑΜΠΟΥΡΙΔΟΥ</t>
  </si>
  <si>
    <t>ΑΒ913345</t>
  </si>
  <si>
    <t>ΠΑΝΑΚΟΥΛΙΑ</t>
  </si>
  <si>
    <t>ΑΜ163685</t>
  </si>
  <si>
    <t>ΛΕΓΑΚΗ</t>
  </si>
  <si>
    <t>ΑΗ139310</t>
  </si>
  <si>
    <t>ΦΑΚΟΠΟΥΛΙΔΟΥ</t>
  </si>
  <si>
    <t>ΑΗ470721</t>
  </si>
  <si>
    <t>ΒΕΛΙΣΣΑΡΟΠΟΥΛΟΥ</t>
  </si>
  <si>
    <t>ΒΑΣΊΛΕΙΟΣ</t>
  </si>
  <si>
    <t>ΑΒ234668</t>
  </si>
  <si>
    <t>ΦΡΑΓΚΙΑΔΑΚΗ</t>
  </si>
  <si>
    <t>ΑΟ438767</t>
  </si>
  <si>
    <t>ΑΒ979974</t>
  </si>
  <si>
    <t>ΠΑΠΑΚΩΝΣΤΑΝΤΙΝΟΥ</t>
  </si>
  <si>
    <t>ΑΗ847016</t>
  </si>
  <si>
    <t>ΠΑΣΧΑΛΙΔΟΥ</t>
  </si>
  <si>
    <t>ΑΗ889087</t>
  </si>
  <si>
    <t>ΒΑΒΙΤΣΑ</t>
  </si>
  <si>
    <t>ΑΙ416931</t>
  </si>
  <si>
    <t>ΜΠΑΚΙΡΛΗ</t>
  </si>
  <si>
    <t>ΑΙ199025</t>
  </si>
  <si>
    <t>ΛΙΟΝΑΚΗ</t>
  </si>
  <si>
    <t>ΔΑΓΑΛΑΚΗ</t>
  </si>
  <si>
    <t>ΑΝ931584</t>
  </si>
  <si>
    <t>ΓΟΥΣΙΟΥ</t>
  </si>
  <si>
    <t>ΑΙ297904</t>
  </si>
  <si>
    <t>ΑΗ118488</t>
  </si>
  <si>
    <t>ΣΕΙΝΤΟΠΟΥΛΟΥ</t>
  </si>
  <si>
    <t>Σ397977</t>
  </si>
  <si>
    <t>ΛΕΒΕΝΤΑΚΗ</t>
  </si>
  <si>
    <t>ΑΙ152277</t>
  </si>
  <si>
    <t>ΑΗ289718</t>
  </si>
  <si>
    <t>ΤΣΙΓΑΡΙΔΑ</t>
  </si>
  <si>
    <t>ΑΒ053370</t>
  </si>
  <si>
    <t>ΧΑΤΖΗΑΡΓΥΡΙΟΥ</t>
  </si>
  <si>
    <t>ΑΑ438582</t>
  </si>
  <si>
    <t>ΑΕ405646</t>
  </si>
  <si>
    <t>ΜΑΡΙΝΗ</t>
  </si>
  <si>
    <t>ΑΒ047317</t>
  </si>
  <si>
    <t>ΛΙΑΠΗ</t>
  </si>
  <si>
    <t>ΑΜ548754</t>
  </si>
  <si>
    <t>ΜΑΡΟΥΛΗ</t>
  </si>
  <si>
    <t>Ρ233067</t>
  </si>
  <si>
    <t>ΒΑΣΙΛΕΙΑΔΟΥ</t>
  </si>
  <si>
    <t>ΑΑ284145</t>
  </si>
  <si>
    <t xml:space="preserve">ΠΙΠΕΡΙΔΟΥ </t>
  </si>
  <si>
    <t>ΑΚ940258</t>
  </si>
  <si>
    <t>ΣΤΡΑΤΙΚΗ</t>
  </si>
  <si>
    <t>ΠΕΡΙΚΛΗΣ</t>
  </si>
  <si>
    <t>Ξ724562</t>
  </si>
  <si>
    <t>ΖΕΦΗ</t>
  </si>
  <si>
    <t>ΓΙΟΛΑΝΤΑ</t>
  </si>
  <si>
    <t>ΑΝΤΩΝ</t>
  </si>
  <si>
    <t>ΑΝ160543</t>
  </si>
  <si>
    <t>ΜΠΑΤΖΙΑΚΑ</t>
  </si>
  <si>
    <t>ΑΒ427303</t>
  </si>
  <si>
    <t>ΚΑΡΑΓΙΩΡΓΟΥ</t>
  </si>
  <si>
    <t>ΑΕ358474</t>
  </si>
  <si>
    <t>ΒΑΛΕΝΤΙΝΑ</t>
  </si>
  <si>
    <t>ΑΕ817481</t>
  </si>
  <si>
    <t>Σ345043</t>
  </si>
  <si>
    <t>ΣΚΟΥΝΤΖΟΥ</t>
  </si>
  <si>
    <t>ΑΡ363029</t>
  </si>
  <si>
    <t>ΠΑΝΑΓΙΩΤΟΠΟΥΛΟΥ</t>
  </si>
  <si>
    <t>ΑΜ342620</t>
  </si>
  <si>
    <t>ΓΥΦΤΟΓΙΑΝΝΗ</t>
  </si>
  <si>
    <t>ΑΜ153663</t>
  </si>
  <si>
    <t>ΣΥΚΑ</t>
  </si>
  <si>
    <t>ΑΒ452569</t>
  </si>
  <si>
    <t>ΚΥΡΤΑΣΟΓΛΟΥ</t>
  </si>
  <si>
    <t>ΑΗ353980</t>
  </si>
  <si>
    <t>ΑΒ987323</t>
  </si>
  <si>
    <t>ΧΑΣΟΠΟΥΛΟΥ</t>
  </si>
  <si>
    <t>ΑΙ334001</t>
  </si>
  <si>
    <t>ΚΑΤΡΙΔΟΥ</t>
  </si>
  <si>
    <t>ΑΗ887681</t>
  </si>
  <si>
    <t>ΓΚΑΙΤΑΤΖΗ</t>
  </si>
  <si>
    <t>ΣΕΒΑΣΤΙΑΝΗ</t>
  </si>
  <si>
    <t>ΑΧΙΛΛΕYΣ</t>
  </si>
  <si>
    <t>ΑΖ651864</t>
  </si>
  <si>
    <t>ΓΩΓΟΥΒΙΤΟΥ</t>
  </si>
  <si>
    <t>Ρ898539</t>
  </si>
  <si>
    <t>ΑΖ222865</t>
  </si>
  <si>
    <t>ΚΥΣΣΙΔΟΥ</t>
  </si>
  <si>
    <t>ΑΡΙΣΤΟΚΛΕΙΑ</t>
  </si>
  <si>
    <t>ΑΗ393981</t>
  </si>
  <si>
    <t>ΖΑΡΧΑΝΗ</t>
  </si>
  <si>
    <t>ΑΒ854546</t>
  </si>
  <si>
    <t>ΠΟΥΤΣΗ</t>
  </si>
  <si>
    <t>ΛΑΖΟ</t>
  </si>
  <si>
    <t>ΑΚ828771</t>
  </si>
  <si>
    <t>ΜΙΧΑ</t>
  </si>
  <si>
    <t>ΑΡΤΑ</t>
  </si>
  <si>
    <t>ΑΖ633841</t>
  </si>
  <si>
    <t>ΓΕΩΡΓΙΛΑ</t>
  </si>
  <si>
    <t>ΑΝ209404</t>
  </si>
  <si>
    <t>ΚΑΛΑΙΤΖΗ</t>
  </si>
  <si>
    <t>ΑΖ831014</t>
  </si>
  <si>
    <t>Φ485038</t>
  </si>
  <si>
    <t>ΣΑΧΠΑΤΖΙΔΟΥ</t>
  </si>
  <si>
    <t>ΑΒ433942</t>
  </si>
  <si>
    <t>ΑΒΤΖΙΔΟΥ</t>
  </si>
  <si>
    <t>ΑΙ169488</t>
  </si>
  <si>
    <t>ΑΚ670518</t>
  </si>
  <si>
    <t>ΔΟΜΝΑ ΡΑΦΑΗΛΙΑ</t>
  </si>
  <si>
    <t>ΑΟ689624</t>
  </si>
  <si>
    <t>ΓΑΛΑΤΑ</t>
  </si>
  <si>
    <t>ΑΟ202171</t>
  </si>
  <si>
    <t>ΤΑΡΑΝΤΙΛΗ</t>
  </si>
  <si>
    <t>ΑΟ983812</t>
  </si>
  <si>
    <t>ΓΙΟΒΑΝΟΥ</t>
  </si>
  <si>
    <t>Σ531565</t>
  </si>
  <si>
    <t>Χ800751</t>
  </si>
  <si>
    <t>ΔΡΑΚΩΤΟΥ</t>
  </si>
  <si>
    <t>Φ060613</t>
  </si>
  <si>
    <t>ΚΑΤΣΟΥΛΗΣ</t>
  </si>
  <si>
    <t>ΑΗ557553</t>
  </si>
  <si>
    <t>ΚΟΛΛΙΑ</t>
  </si>
  <si>
    <t>ΑΚ369755</t>
  </si>
  <si>
    <t>ΜΠΙΤΧΑΒΑ</t>
  </si>
  <si>
    <t>ΓΙΑΝΝΗΣ</t>
  </si>
  <si>
    <t>Τ341409</t>
  </si>
  <si>
    <t>ΝΕΡΑΝΤΖΙΝΗ</t>
  </si>
  <si>
    <t>ΑΚ009648</t>
  </si>
  <si>
    <t>ΜΑΝΩΛΑΚΑΚΗ</t>
  </si>
  <si>
    <t>ΟΔΥΣΣΕΑΣ</t>
  </si>
  <si>
    <t>ΑΚ745096</t>
  </si>
  <si>
    <t>ΦΑΛΙΔΑ</t>
  </si>
  <si>
    <t>ΑΙ512839</t>
  </si>
  <si>
    <t>ΒΕΛΩΚΑ</t>
  </si>
  <si>
    <t>ΑΖ122735</t>
  </si>
  <si>
    <t>ΓΟΥΡΓΙΩΤΗ</t>
  </si>
  <si>
    <t>ΚΛΕΟΝΙΚΗ</t>
  </si>
  <si>
    <t>Ρ391544</t>
  </si>
  <si>
    <t>ΓΡΟΠΑΛΗΣ</t>
  </si>
  <si>
    <t>ΑΕ837221</t>
  </si>
  <si>
    <t>ΦΡΑΓΓΙΔΟΥ</t>
  </si>
  <si>
    <t>ΑΝΝΑ ΑΝΤΩΝΙΑ</t>
  </si>
  <si>
    <t>ΑΜ710052</t>
  </si>
  <si>
    <t>ΜΠΑΜΠΛΕΚΗ</t>
  </si>
  <si>
    <t>ΑΗ284650</t>
  </si>
  <si>
    <t>ΚΑΤΣΑΟΥΝΗ</t>
  </si>
  <si>
    <t>ΑΜ323363</t>
  </si>
  <si>
    <t>ΚΩΝΣΤΑΝΤΟΠΟΥΛΟΥ</t>
  </si>
  <si>
    <t>ΑΗ730959</t>
  </si>
  <si>
    <t>ΝΤΩΝΑ</t>
  </si>
  <si>
    <t>ΑΕ821780</t>
  </si>
  <si>
    <t>ΑΒ722589</t>
  </si>
  <si>
    <t>ΤΣΑΜΟΥΡΤΖΗ</t>
  </si>
  <si>
    <t>AΝΑΣΤΑΣΙΑ</t>
  </si>
  <si>
    <t>ΑΒ434978</t>
  </si>
  <si>
    <t>ΠΕΤΤΑ</t>
  </si>
  <si>
    <t>ΑΙ277308</t>
  </si>
  <si>
    <t>ΚΟΣΣΥΒΑΚΗ</t>
  </si>
  <si>
    <t>ΡΟΥΜΠΙΝΗ ΧΡΙΣΤΙΝΑ</t>
  </si>
  <si>
    <t>ΑΖ222606</t>
  </si>
  <si>
    <t>ΚΑΡΑΔΗΜΟΥ</t>
  </si>
  <si>
    <t>ΑΜ696495</t>
  </si>
  <si>
    <t>ΚΑΛΟΓΙΑΝΝΙΔΟΥ</t>
  </si>
  <si>
    <t>ΑΖ389062</t>
  </si>
  <si>
    <t>ΑΕ822913</t>
  </si>
  <si>
    <t>ΚΑΤΙΓΚΑΡΙΔΟΥ</t>
  </si>
  <si>
    <t>ΑΝ847060</t>
  </si>
  <si>
    <t>ΧΑΡΑΚΛΙΑ</t>
  </si>
  <si>
    <t>ΑΝ067099</t>
  </si>
  <si>
    <t>ΑΗ112159</t>
  </si>
  <si>
    <t>ΤΑΙΓΑΝΙΔΟΥ</t>
  </si>
  <si>
    <t>ΑΖ289419</t>
  </si>
  <si>
    <t>ΑΕ409619</t>
  </si>
  <si>
    <t>ΚΑΡΥΔΟΠΟΥΛΟΥ</t>
  </si>
  <si>
    <t>ΑΚ414297</t>
  </si>
  <si>
    <t>ΜΑΘΙΟΥΔΗ</t>
  </si>
  <si>
    <t>ΑΗ936531</t>
  </si>
  <si>
    <t>ΑΜ251652</t>
  </si>
  <si>
    <t>ΚΟΥΤΣΟΥΝΗ</t>
  </si>
  <si>
    <t>ΘΕΚΛΑ</t>
  </si>
  <si>
    <t>Τ845059</t>
  </si>
  <si>
    <t>ΒΟΥΓΚΑ</t>
  </si>
  <si>
    <t>ΑΝ097654</t>
  </si>
  <si>
    <t>ΜΑΡΚΟΥ</t>
  </si>
  <si>
    <t>ΕΡΜΕΛΙΝΤΑ</t>
  </si>
  <si>
    <t>ΤΟΝΙΝ</t>
  </si>
  <si>
    <t>ΑΟ059222</t>
  </si>
  <si>
    <t>ΚΟΥΤΡΟΛΟΥ</t>
  </si>
  <si>
    <t>ΑΙ816271</t>
  </si>
  <si>
    <t>ΑΕ227167</t>
  </si>
  <si>
    <t>ΖΩΓΡΑΦΟΥ ΑΘΑΝΑΣΑΚΗ</t>
  </si>
  <si>
    <t>ΑΖ772255</t>
  </si>
  <si>
    <t>ΖΩΡΖΟΥ</t>
  </si>
  <si>
    <t>Σ112559</t>
  </si>
  <si>
    <t>ΜΙΧΑΛΕΜΠΑΣΗ</t>
  </si>
  <si>
    <t>Π760814</t>
  </si>
  <si>
    <t>ΠΟΛΥΔΩΡΑ</t>
  </si>
  <si>
    <t>ΑΜ026052</t>
  </si>
  <si>
    <t>ΣΧΙΖΑ</t>
  </si>
  <si>
    <t>ΑΝ069481</t>
  </si>
  <si>
    <t>ΔΗΜΗΤΡΙΑΔΟΥ</t>
  </si>
  <si>
    <t>ΑΙ151376</t>
  </si>
  <si>
    <t>ΧΥΣΚΑ</t>
  </si>
  <si>
    <t>ΡΕΒΙΑΝΑ</t>
  </si>
  <si>
    <t>ΣΠΥΡΟ</t>
  </si>
  <si>
    <t>ΑΚ283120</t>
  </si>
  <si>
    <t>ΑΜ620831</t>
  </si>
  <si>
    <t>Μ556461</t>
  </si>
  <si>
    <t>ΠΕΤΣΑ</t>
  </si>
  <si>
    <t>ΑΕ041494</t>
  </si>
  <si>
    <t>ΜΙΣΤΙΛΙΔΟΥ</t>
  </si>
  <si>
    <t>ΑΕ824284</t>
  </si>
  <si>
    <t>ΜΟΣΧΟΠΟΥΛΟΥ</t>
  </si>
  <si>
    <t>ΑΚ921286</t>
  </si>
  <si>
    <t>ΣΑΓΙΑΝΝΗ</t>
  </si>
  <si>
    <t>ΑΚ017848</t>
  </si>
  <si>
    <t>ΒΑΡΣΑΜΙΔΟΥ</t>
  </si>
  <si>
    <t>ΚΟΜΝΗΝΟΣ</t>
  </si>
  <si>
    <t>ΑΖ912195</t>
  </si>
  <si>
    <t>ΑΡΕΘΑ</t>
  </si>
  <si>
    <t>ΣΥΡΑΙΝΑ</t>
  </si>
  <si>
    <t>ΑΙ854415</t>
  </si>
  <si>
    <t>ΑΖ769205</t>
  </si>
  <si>
    <t>ΜΑΚΑΡΙΟΥ</t>
  </si>
  <si>
    <t>ΑΡ331775</t>
  </si>
  <si>
    <t>ΔΕΦΙΓΓΟΥ</t>
  </si>
  <si>
    <t>ΑΜ286525</t>
  </si>
  <si>
    <t>ΜΟΣΧΑ</t>
  </si>
  <si>
    <t>Ξ524783</t>
  </si>
  <si>
    <t>ΒΑΡΔΑΛΑ</t>
  </si>
  <si>
    <t>ΑΒ211674</t>
  </si>
  <si>
    <t>ΤΖΟΥΜΑ</t>
  </si>
  <si>
    <t>ΦΕΙΔΕΡΙΚΗ</t>
  </si>
  <si>
    <t>ΑΒ164867</t>
  </si>
  <si>
    <t>ΜΠΑΡΔΑΚΑ</t>
  </si>
  <si>
    <t>ΑΖ283474</t>
  </si>
  <si>
    <t>ΠΑΛΟΥΚΗ</t>
  </si>
  <si>
    <t>ΑΒ115428</t>
  </si>
  <si>
    <t>ΤΕΑ</t>
  </si>
  <si>
    <t>ΔΙΑΜΑΝΤΩ ΑΛΕΞΑΝΔΡΑ</t>
  </si>
  <si>
    <t>ΑΟ945831</t>
  </si>
  <si>
    <t>ΤΑΡΣΗ</t>
  </si>
  <si>
    <t>ΑΑ468160</t>
  </si>
  <si>
    <t>ΠΑΤΟΥΡΑ</t>
  </si>
  <si>
    <t>ΑΝ543525</t>
  </si>
  <si>
    <t>ΚΑΒΑΣΗ</t>
  </si>
  <si>
    <t>ΑΟ205897</t>
  </si>
  <si>
    <t>ΚΡΙΘΑΡΗ ΧΑΤΖΗΔΑΚΗ</t>
  </si>
  <si>
    <t>ΑΝΝΑ ΙΩΑΝΝΑ</t>
  </si>
  <si>
    <t>ΑΝ582091</t>
  </si>
  <si>
    <t>ΡΟΔΙΤΗ</t>
  </si>
  <si>
    <t>ΑΟ037096</t>
  </si>
  <si>
    <t>ΑΙ777195</t>
  </si>
  <si>
    <t>ΛΟΞΟΠΟΥΛΟΥ</t>
  </si>
  <si>
    <t>ΑΜ227149</t>
  </si>
  <si>
    <t>ΑΔΑΜ</t>
  </si>
  <si>
    <t>ΡΟΥΛΑ</t>
  </si>
  <si>
    <t>ΑΟ806693</t>
  </si>
  <si>
    <t>ΒΟΥΡΔΟΥΝΗ</t>
  </si>
  <si>
    <t>ΑΝ886212</t>
  </si>
  <si>
    <t>ΖΑΧΑΡΑΚΗ</t>
  </si>
  <si>
    <t>ΑΟ296176</t>
  </si>
  <si>
    <t>ΜΑΥΡΟΥΔΗ</t>
  </si>
  <si>
    <t>ΑΟ683641</t>
  </si>
  <si>
    <t>ΣΚΙΑΔΑ</t>
  </si>
  <si>
    <t>ΑΖ709714</t>
  </si>
  <si>
    <t>ΑΟ202274</t>
  </si>
  <si>
    <t>ΠΡΟΔΡΟΜΟΥ</t>
  </si>
  <si>
    <t>ΑΓΓΕΛΙΚΗ ΒΑΣΙΛΙΚΗ</t>
  </si>
  <si>
    <t>ΑΕ595893</t>
  </si>
  <si>
    <t>ΜΠΟΥΡΑ</t>
  </si>
  <si>
    <t>ΑΜ010927</t>
  </si>
  <si>
    <t>ΤΣΟΠΕΛΑ ΤΣΟΥΦΗ</t>
  </si>
  <si>
    <t>ΑΝ338035</t>
  </si>
  <si>
    <t>Φ488394</t>
  </si>
  <si>
    <t>ΕΥΑΓΓΕΛΟΥ</t>
  </si>
  <si>
    <t>ΦΩΤΕΙΝΗ ΜΑΡΙΑ</t>
  </si>
  <si>
    <t>ΑΙ931697</t>
  </si>
  <si>
    <t>ΚΑΡΛΕ</t>
  </si>
  <si>
    <t>ΑΒ013524</t>
  </si>
  <si>
    <t>ΧΑΡΙΟΠΟΛΙΤΟΥ</t>
  </si>
  <si>
    <t>ΑΟ909369</t>
  </si>
  <si>
    <t>ΚΑΣΙΔΕΡΟΠΟΥΛΟΥ</t>
  </si>
  <si>
    <t>ΑΝ742083</t>
  </si>
  <si>
    <t>ΝΙΩΤΗ</t>
  </si>
  <si>
    <t>ΑΝ180624</t>
  </si>
  <si>
    <t>ΠΑΤΕΛΗ</t>
  </si>
  <si>
    <t>ΑΑ120036</t>
  </si>
  <si>
    <t>ΝΑΤΣΙΟΠΟΥΛΟΣ</t>
  </si>
  <si>
    <t>ΑΜ716233</t>
  </si>
  <si>
    <t>ΑΟ406946</t>
  </si>
  <si>
    <t>ΑΑ283248</t>
  </si>
  <si>
    <t>ΤΣΟΥΧΑ</t>
  </si>
  <si>
    <t>ΑΡΙΑΔΝΗ</t>
  </si>
  <si>
    <t>ΑΖ873768</t>
  </si>
  <si>
    <t>ΣΥΜΩΝΗ</t>
  </si>
  <si>
    <t>ΑΕ353424</t>
  </si>
  <si>
    <t>ΜΗΝΑ</t>
  </si>
  <si>
    <t>ΠΙΛΑΤΩΝ</t>
  </si>
  <si>
    <t>ΑΑ277459</t>
  </si>
  <si>
    <t>ΚΑΤΣΙΜΗΤΡΟΥ</t>
  </si>
  <si>
    <t>Χ982813</t>
  </si>
  <si>
    <t>ΤΙΝΑ ΚΩΝΣΤΑΝΤΙΝΑ</t>
  </si>
  <si>
    <t>ΑΑ490555</t>
  </si>
  <si>
    <t>ΓΚΑΓΚΑ</t>
  </si>
  <si>
    <t>ΑΕ312401</t>
  </si>
  <si>
    <t>ΣΟΥΡΡΗ</t>
  </si>
  <si>
    <t>Χ090343</t>
  </si>
  <si>
    <t>ΠΑΛΑΝΤΖΑ</t>
  </si>
  <si>
    <t>ΑΗ273878</t>
  </si>
  <si>
    <t>Χ405388</t>
  </si>
  <si>
    <t>Π982653</t>
  </si>
  <si>
    <t>ΑΒ442739</t>
  </si>
  <si>
    <t>ΜΠΕΛΛΑ</t>
  </si>
  <si>
    <t>ΑΕ332157</t>
  </si>
  <si>
    <t>ΜΠΡΑΕΣΣΑ</t>
  </si>
  <si>
    <t>ΑΚ101702</t>
  </si>
  <si>
    <t>ΜΩΡΑΙΤΗ</t>
  </si>
  <si>
    <t>ΜΑΤΘΑΙΟΣ</t>
  </si>
  <si>
    <t>ΑΗ992171</t>
  </si>
  <si>
    <t>ΑΟ928152</t>
  </si>
  <si>
    <t>ΒΡΑΖΙΩΤΗ</t>
  </si>
  <si>
    <t>ΑΗ270976</t>
  </si>
  <si>
    <t>ΚΟΥΚΟΥΛΑΚΗ</t>
  </si>
  <si>
    <t>ΜΙΧΑΛΗΣ</t>
  </si>
  <si>
    <t>ΑΒ877753</t>
  </si>
  <si>
    <t>ΤΟΚΑΤΛΙΔΟΥ</t>
  </si>
  <si>
    <t>ΑΗ299030</t>
  </si>
  <si>
    <t>ΑΖ711000</t>
  </si>
  <si>
    <t>ΓΙΑΝΝΕΛΟΥ</t>
  </si>
  <si>
    <t>ΑΚ387603</t>
  </si>
  <si>
    <t>ΦΡΑΓΚΟΥΛΗ</t>
  </si>
  <si>
    <t>ΕΛΕΝΑ</t>
  </si>
  <si>
    <t>ΑΖ112711</t>
  </si>
  <si>
    <t>ΜΑΚΡΕΛΗ</t>
  </si>
  <si>
    <t>ΕΡΜΟΛΑΟΣ</t>
  </si>
  <si>
    <t>Χ158173</t>
  </si>
  <si>
    <t>ΚΥΡΙΑΖΗ</t>
  </si>
  <si>
    <t>ΑΕ253685</t>
  </si>
  <si>
    <t>ΤΣΑΛΜΠΟΥΡΗ</t>
  </si>
  <si>
    <t>ΑΖ306367</t>
  </si>
  <si>
    <t>ΠΟΥΝΑΡΤΖΗ</t>
  </si>
  <si>
    <t>ΑΝ419185</t>
  </si>
  <si>
    <t>ΣΕΜΕΛΙΔΟΥ</t>
  </si>
  <si>
    <t>ΑΟ956092</t>
  </si>
  <si>
    <t>ΑΝ377303</t>
  </si>
  <si>
    <t>ΚΥΡΓΙΔΟΥ</t>
  </si>
  <si>
    <t>Χ443501</t>
  </si>
  <si>
    <t>ΔΟΥΣΜΑΝΗ</t>
  </si>
  <si>
    <t>ΡΕΒΕΚΚΑ</t>
  </si>
  <si>
    <t>ΑΖ972876</t>
  </si>
  <si>
    <t>ΧΑΒΙΑΡΑ</t>
  </si>
  <si>
    <t>ΛΕΟΝΤΙΟΣ</t>
  </si>
  <si>
    <t>ΑΕ935514</t>
  </si>
  <si>
    <t>ΣΚΟΥΤΕΛΑ</t>
  </si>
  <si>
    <t>ΑΙ325631</t>
  </si>
  <si>
    <t>ΤΟΥΡΝΙΚΙΩΤΗ</t>
  </si>
  <si>
    <t>Χ794305</t>
  </si>
  <si>
    <t>ΚΑΛΥΜΝΙΟΥ</t>
  </si>
  <si>
    <t>ΑΟ263575</t>
  </si>
  <si>
    <t>ΠΑΠΑΔΕΑ</t>
  </si>
  <si>
    <t>ΑΒ509630</t>
  </si>
  <si>
    <t>ΑΔΡΑΜΗ</t>
  </si>
  <si>
    <t>ΝΙΚΗΣΤΡΑΤΟΣ</t>
  </si>
  <si>
    <t>Α0513094</t>
  </si>
  <si>
    <t>ΚΥΡΟΥ</t>
  </si>
  <si>
    <t>ΑΜ398600</t>
  </si>
  <si>
    <t>ΓΚΟΥΓΚΟΥΔΗ</t>
  </si>
  <si>
    <t>ΑΟ224363</t>
  </si>
  <si>
    <t>ΣΑΜΑΡΙΝΑ</t>
  </si>
  <si>
    <t>Ξ863294</t>
  </si>
  <si>
    <t>ΚΙΚΙΔΗ</t>
  </si>
  <si>
    <t>Χ610289</t>
  </si>
  <si>
    <t>ΣΠΥΡΟΥ</t>
  </si>
  <si>
    <t>ΑΒ098395</t>
  </si>
  <si>
    <t>ΜΟΥΖΑΚΙΤΗ</t>
  </si>
  <si>
    <t>ΑΖ131481</t>
  </si>
  <si>
    <t>ΑΝΤΩΝΙΑΔΟΥ</t>
  </si>
  <si>
    <t>Φ040417</t>
  </si>
  <si>
    <t>ΟΥΖΟΥΝΗ</t>
  </si>
  <si>
    <t>ΑΝ700572</t>
  </si>
  <si>
    <t>ΑΖ673175</t>
  </si>
  <si>
    <t>ΜΕΝΕΞΑΚΗ</t>
  </si>
  <si>
    <t>ΑΑ271859</t>
  </si>
  <si>
    <t>ΠΑΠΑΣΤΑΘΟΠΟΥΛΟΥ</t>
  </si>
  <si>
    <t>ΙΤΙΑ</t>
  </si>
  <si>
    <t>ΑΝ648087</t>
  </si>
  <si>
    <t>ΚΟΥΦΑΚΗ</t>
  </si>
  <si>
    <t>ΜΥΡΣΙΝΗ</t>
  </si>
  <si>
    <t>ΑΕ933887</t>
  </si>
  <si>
    <t>ΑΚ490360</t>
  </si>
  <si>
    <t>ΠΕΡΣΕΦΟΝΗ</t>
  </si>
  <si>
    <t>Χ914100</t>
  </si>
  <si>
    <t>ΑΚ353483</t>
  </si>
  <si>
    <t>ΜΑΡΚΙΔΟΥ</t>
  </si>
  <si>
    <t>ΑΗ696095</t>
  </si>
  <si>
    <t>ΧΡΥΣΑΝΘΙΔΟΥ</t>
  </si>
  <si>
    <t>ΑΑ869287</t>
  </si>
  <si>
    <t>ΜΠΟΥΚΟΥ</t>
  </si>
  <si>
    <t>ΑΗ792517</t>
  </si>
  <si>
    <t>ΚΟΚΚΙΝΟΠΛΙΤΗ</t>
  </si>
  <si>
    <t>ΑΗ320959</t>
  </si>
  <si>
    <t>ΜΙΚΡΟΥ</t>
  </si>
  <si>
    <t>ΑΟ239230</t>
  </si>
  <si>
    <t>ΑΙ581045</t>
  </si>
  <si>
    <t>ΚΑΛΟΓΙΑΝΝΗ</t>
  </si>
  <si>
    <t>ΝΙΟΒΗ</t>
  </si>
  <si>
    <t>ΑΚ291585</t>
  </si>
  <si>
    <t>ΧΑΛΗ</t>
  </si>
  <si>
    <t>ΑΚ107579</t>
  </si>
  <si>
    <t>ΡΟΥΜΟΓΛΟΥ</t>
  </si>
  <si>
    <t>ΑΗ925020</t>
  </si>
  <si>
    <t>ΣΥΡΟΠΟΥΛΟΥ</t>
  </si>
  <si>
    <t>ΑΖ821348</t>
  </si>
  <si>
    <t>ΑΝ123921</t>
  </si>
  <si>
    <t>ΑΝΔΡΕΑΔΑΚΗ</t>
  </si>
  <si>
    <t>ΕΛΛΗ</t>
  </si>
  <si>
    <t>Ρ830160</t>
  </si>
  <si>
    <t>ΑΕ748190</t>
  </si>
  <si>
    <t>ΔΗΜΟΥΛΑ</t>
  </si>
  <si>
    <t>ΑΙ852386</t>
  </si>
  <si>
    <t>ΚΑΠΑΓΕΡΙΔΟΥ</t>
  </si>
  <si>
    <t>ΑΝ757030</t>
  </si>
  <si>
    <t>ΠΑΠΑΜΗΝΑ</t>
  </si>
  <si>
    <t>ΑΜ276877</t>
  </si>
  <si>
    <t>ΑΝ855637</t>
  </si>
  <si>
    <t>ΣΠΑΝΟΛΙΟΥ</t>
  </si>
  <si>
    <t>ΙΣΙΔΩΡΟΣ</t>
  </si>
  <si>
    <t>ΑΗ936334</t>
  </si>
  <si>
    <t>ΑΖ152870</t>
  </si>
  <si>
    <t>ΧΥΔΙΡΟΓΛΟΥ</t>
  </si>
  <si>
    <t>ΑΗ549509</t>
  </si>
  <si>
    <t>ΠΟΥΛΙΟΥ</t>
  </si>
  <si>
    <t>ΑΕ551280</t>
  </si>
  <si>
    <t>ΑΜ300173</t>
  </si>
  <si>
    <t>ΠΑΡΤΣΑΛΑ</t>
  </si>
  <si>
    <t>ΑΚ958623</t>
  </si>
  <si>
    <t>ΦΩΤΟΥ</t>
  </si>
  <si>
    <t>ΗΣΑΙΑ</t>
  </si>
  <si>
    <t>ΑΗ654710</t>
  </si>
  <si>
    <t>ΛΟΥΔΑ</t>
  </si>
  <si>
    <t>ΑΙ872001</t>
  </si>
  <si>
    <t>ΤΣΙΩΡΟΥ</t>
  </si>
  <si>
    <t>Π441095</t>
  </si>
  <si>
    <t>ΚΥΡΙΑΚΟΥ</t>
  </si>
  <si>
    <t>ΑΟ025535</t>
  </si>
  <si>
    <t>ΠΑΣΤΙΔΗ</t>
  </si>
  <si>
    <t>ΚΩΝΣΤΑΝΤΙΝΟΣ ΔΙΑΜΑΝΤ</t>
  </si>
  <si>
    <t>ΑΝ159345</t>
  </si>
  <si>
    <t>ΜΑΣΤΡΟΝΙΚΟΛΑ</t>
  </si>
  <si>
    <t>Χ007441</t>
  </si>
  <si>
    <t>ΛΟΥΝΤΖΗ</t>
  </si>
  <si>
    <t>ΑΒ338149</t>
  </si>
  <si>
    <t>ΓΙΑΤΡΟΥΔΑΚΗ</t>
  </si>
  <si>
    <t>ΑΑ132082</t>
  </si>
  <si>
    <t>ΑΖ624304</t>
  </si>
  <si>
    <t>ΧΑΤΖΗΣΙΔΕΡΗ</t>
  </si>
  <si>
    <t>Φ091045</t>
  </si>
  <si>
    <t>ΝΤΟΛΑΤΖΑ</t>
  </si>
  <si>
    <t>Σ025767</t>
  </si>
  <si>
    <t>ΜΠΕΤΣΟΥ</t>
  </si>
  <si>
    <t>Π452604</t>
  </si>
  <si>
    <t>ΕΛΕΥΘΕΡΙΑΔΟΥ</t>
  </si>
  <si>
    <t>ΟΙΚΟΝΟΜΙΔΟΥ</t>
  </si>
  <si>
    <t>Χ340477</t>
  </si>
  <si>
    <t>ΑΚ450969</t>
  </si>
  <si>
    <t>ΚΑΡΔΑΡΑ</t>
  </si>
  <si>
    <t>ΙΓΝΑΤΙΟΣ</t>
  </si>
  <si>
    <t>ΑΗ214518</t>
  </si>
  <si>
    <t>ΚΡΕΜΜΥΔΑ</t>
  </si>
  <si>
    <t>ΑΜ694739</t>
  </si>
  <si>
    <t>ΜΑΥΡΑΚΗ</t>
  </si>
  <si>
    <t>Ν141638</t>
  </si>
  <si>
    <t>ΤΟΥΤΣΙΔΟΥ</t>
  </si>
  <si>
    <t>ΑΝΝΙΚΑ</t>
  </si>
  <si>
    <t>ΑΒ926835</t>
  </si>
  <si>
    <t>ΚΑΠΟΔΙΣΤΡΙΑ</t>
  </si>
  <si>
    <t>ΑΒ427553</t>
  </si>
  <si>
    <t>ΠΟΥΠΟΥΡΑ</t>
  </si>
  <si>
    <t>ΜΑΡΙΑ ΑΙΚΑΤΕΡΙΝΗ</t>
  </si>
  <si>
    <t>Τ220303</t>
  </si>
  <si>
    <t>ΔΡΟΣΙΤΗ</t>
  </si>
  <si>
    <t>Φ478194</t>
  </si>
  <si>
    <t>ΑΡΟΥΝΗ</t>
  </si>
  <si>
    <t>ΑΖ991076</t>
  </si>
  <si>
    <t>ΚΑΝΑΡΙΔΟΥ</t>
  </si>
  <si>
    <t xml:space="preserve">ΑΘΗΝΑ </t>
  </si>
  <si>
    <t>ΑΗ398161</t>
  </si>
  <si>
    <t>ΠΟΛΥΑΝΘH</t>
  </si>
  <si>
    <t>ΑΚ649472</t>
  </si>
  <si>
    <t>ΜΑΡΟΥΔΗ</t>
  </si>
  <si>
    <t>Σ442886</t>
  </si>
  <si>
    <t>ΜΑΛΕΣΗ</t>
  </si>
  <si>
    <t>ΒΑΣΙΛΙΚΗ ΔΗΜΗΤΡΑ</t>
  </si>
  <si>
    <t>ΑΕ262831</t>
  </si>
  <si>
    <t>ΑΒ755540</t>
  </si>
  <si>
    <t>ΑΟ361359</t>
  </si>
  <si>
    <t>ΓΚΑΤΖΙΟΥΡΑ</t>
  </si>
  <si>
    <t>ΑΒ834037</t>
  </si>
  <si>
    <t>ΣΙΛΙΒΕΡΔΗ</t>
  </si>
  <si>
    <t>ΤΖΟΓΙΑ</t>
  </si>
  <si>
    <t>Τ096794</t>
  </si>
  <si>
    <t>ΓΙΑΝΝΑΚΟΠΟΥΛΟΥ</t>
  </si>
  <si>
    <t>ΑΟ518715</t>
  </si>
  <si>
    <t>ΜΠΕΚΑ</t>
  </si>
  <si>
    <t>ΑΝΑΣΤΑΣΙΑ ΣΠΥΡΙΔΟΥΛΑ</t>
  </si>
  <si>
    <t>ΑΖ522408</t>
  </si>
  <si>
    <t>ΑΖ530963</t>
  </si>
  <si>
    <t>ΚΟΥΤΡΑΣ</t>
  </si>
  <si>
    <t>ΓΕΩΡΓΙΟΣ ΒΛΑΣΙΟΣ</t>
  </si>
  <si>
    <t>ΑΖ692089</t>
  </si>
  <si>
    <t>ΠΑΠΑΡΙΖΟΥ</t>
  </si>
  <si>
    <t>ΑΖ722675</t>
  </si>
  <si>
    <t>ΜΠΙΤΖΙΟΥ</t>
  </si>
  <si>
    <t>ΑΖ656419</t>
  </si>
  <si>
    <t>ΤΟΥΛΙΟΥ</t>
  </si>
  <si>
    <t>ΕΛΕΥΘ</t>
  </si>
  <si>
    <t>ΑΒ677735</t>
  </si>
  <si>
    <t>ΤΑΓΑΡΑΚΗ</t>
  </si>
  <si>
    <t>ΑΗ193466</t>
  </si>
  <si>
    <t>ΑΗ007195</t>
  </si>
  <si>
    <t>ΜΠΑΜΠΙΟΝΙΤΑΚΗ</t>
  </si>
  <si>
    <t>ΑΖ966329</t>
  </si>
  <si>
    <t>ΓΚΙΚΑ</t>
  </si>
  <si>
    <t>ΑΖ036473</t>
  </si>
  <si>
    <t>ΤΣΙΡΜΠΙΝΗ</t>
  </si>
  <si>
    <t>Σ842095</t>
  </si>
  <si>
    <t>ΓΚΟΥΡΙ</t>
  </si>
  <si>
    <t>ΕΡΤΑ</t>
  </si>
  <si>
    <t>ΑΓΚΙΜ</t>
  </si>
  <si>
    <t>ΑΝ364115</t>
  </si>
  <si>
    <t>ΜΠΕΣΣΑ</t>
  </si>
  <si>
    <t>ΑΗ262095</t>
  </si>
  <si>
    <t>ΠΙΖΑΝΙΑ</t>
  </si>
  <si>
    <t>ΑΟ458865</t>
  </si>
  <si>
    <t>ΤΣΩΛΗ</t>
  </si>
  <si>
    <t>ΕΥΣΤΑΘΙΟΥ</t>
  </si>
  <si>
    <t>Χ459466</t>
  </si>
  <si>
    <t>ΔΙΑΡΜΙΣΑΚΗ</t>
  </si>
  <si>
    <t>ΑΖ455408</t>
  </si>
  <si>
    <t>ΚΟΥΡΟΥΚΛΙΔΟΥ</t>
  </si>
  <si>
    <t>Χ259368</t>
  </si>
  <si>
    <t>Τ241745</t>
  </si>
  <si>
    <t>ΑΙ161370</t>
  </si>
  <si>
    <t>ΜΑΤΘΑΙΟΥ</t>
  </si>
  <si>
    <t>ΑΖ840177</t>
  </si>
  <si>
    <t>ΑΖ985541</t>
  </si>
  <si>
    <t>ΝΤΑΡΛΑΓΙΑΝΝΗ</t>
  </si>
  <si>
    <t>ΑΗ262114</t>
  </si>
  <si>
    <t>ΚΑΡΑΣΤΑΤΗΡΑ</t>
  </si>
  <si>
    <t>ΜΙΡΑΝΤΑ</t>
  </si>
  <si>
    <t>ΑΙ094392</t>
  </si>
  <si>
    <t>ΑΟ373783</t>
  </si>
  <si>
    <t>ΑΑ430823</t>
  </si>
  <si>
    <t>ΓΙΟΥΒΑΝΙΔΟΥ ΤΖΕΜΟΥ</t>
  </si>
  <si>
    <t>ΑΝ581087</t>
  </si>
  <si>
    <t>ΖΟΥΡΝΑΤΖΙΔΟΥ</t>
  </si>
  <si>
    <t>Τ794989</t>
  </si>
  <si>
    <t>ΞΥΝΙΑ</t>
  </si>
  <si>
    <t>ΑΟ258295</t>
  </si>
  <si>
    <t>ΑΛΕΥΡΑ</t>
  </si>
  <si>
    <t>ΑΝΘΗ</t>
  </si>
  <si>
    <t>ΑΙ292973</t>
  </si>
  <si>
    <t>ΒΑΧΤΣΕΒΑΝΟΥ</t>
  </si>
  <si>
    <t>Φ275356</t>
  </si>
  <si>
    <t>ΒΑΡΝΙΤΖΙΩΤΟΥ</t>
  </si>
  <si>
    <t>Χ370534</t>
  </si>
  <si>
    <t>ΘΑΛΕΙΑ ΑΓΓΕΛΙΚΗ</t>
  </si>
  <si>
    <t>ΑΝ576307</t>
  </si>
  <si>
    <t>ΜΟΥΣΤΑΚΗ</t>
  </si>
  <si>
    <t>ΑΙ131894</t>
  </si>
  <si>
    <t>ΑΑ773077</t>
  </si>
  <si>
    <t xml:space="preserve">ΠΑΠΑΔΟΠΟΥΛΟΥ </t>
  </si>
  <si>
    <t>ΣΤΑΘΗ</t>
  </si>
  <si>
    <t>ΠΑΝΑΓΙΩ</t>
  </si>
  <si>
    <t>ΑΚ375741</t>
  </si>
  <si>
    <t>ΜΑΡΑΒΕΛΑΚΗ</t>
  </si>
  <si>
    <t>ΜΕΛΠΟΜΕΝΗ</t>
  </si>
  <si>
    <t>ΑΑ412876</t>
  </si>
  <si>
    <t>ΣΑΡΡΗΓΙΑΝΝΙΔΟΥ</t>
  </si>
  <si>
    <t xml:space="preserve">ΕΥΓΕΝΙΑ </t>
  </si>
  <si>
    <t>ΑΒΡΑΑΜ</t>
  </si>
  <si>
    <t>ΑΖ669586</t>
  </si>
  <si>
    <t>ΠΑΠΑΝΤΩΝΙΟΥ</t>
  </si>
  <si>
    <t>ΕΛΙΣΑΒΕΤ ΧΡΥΣΟΒΑΛΑΝΤ</t>
  </si>
  <si>
    <t>ΑΚ311435</t>
  </si>
  <si>
    <t>ΧΑΜΗΛΑΚΗ</t>
  </si>
  <si>
    <t>ΑΗ958260</t>
  </si>
  <si>
    <t>ΑΒ466003</t>
  </si>
  <si>
    <t>ΜΠΙΣΤΑ</t>
  </si>
  <si>
    <t>ΑΒ048464</t>
  </si>
  <si>
    <t>Τ143579</t>
  </si>
  <si>
    <t>ΓΙΟΠΑΝΟΥ</t>
  </si>
  <si>
    <t>ΑΝ265205</t>
  </si>
  <si>
    <t>ΝΙΚΗΤΑΚΗ</t>
  </si>
  <si>
    <t>Π272155</t>
  </si>
  <si>
    <t>ΚΑΛΟΓΗΡΟΥ</t>
  </si>
  <si>
    <t>ΑΟ882849</t>
  </si>
  <si>
    <t>ΜΑΜΩΝΑ</t>
  </si>
  <si>
    <t>Ρ250065</t>
  </si>
  <si>
    <t>ΓΑΛΙΑΤΣΑΤΟΥ</t>
  </si>
  <si>
    <t>Χ709231</t>
  </si>
  <si>
    <t>ΧΑΛΚΙΑΔΑΚΗ</t>
  </si>
  <si>
    <t>Ν972398</t>
  </si>
  <si>
    <t>Ξ147386</t>
  </si>
  <si>
    <t>ΓΟΛΥΚΙΔΟΥ</t>
  </si>
  <si>
    <t>ΑΖ657587</t>
  </si>
  <si>
    <t>ΦΛΑΜΟΥ</t>
  </si>
  <si>
    <t>ΑΕ938042</t>
  </si>
  <si>
    <t>ΑΥΓΕΡΙΝΟΥ</t>
  </si>
  <si>
    <t>Σ369249</t>
  </si>
  <si>
    <t>ΕΥΣΤΡΑΤΟΥΔΑΚΗ</t>
  </si>
  <si>
    <t>ΑΗ586992</t>
  </si>
  <si>
    <t>ΠΟΛΑΤΙΔΟΥ</t>
  </si>
  <si>
    <t>ΑΑ365826</t>
  </si>
  <si>
    <t>ΣΑΧΑΤΙΤ</t>
  </si>
  <si>
    <t>ΚΑΜΕΛ</t>
  </si>
  <si>
    <t>ΑΙ501726</t>
  </si>
  <si>
    <t>ΒΑΣΙΛΙΚΗ ΓΑΒΡΙΕΛΑ</t>
  </si>
  <si>
    <t>ΜΑΡΙΝΟΣ ΤΣΑΜΠΙΚΟΣ</t>
  </si>
  <si>
    <t>ΑΙ529344</t>
  </si>
  <si>
    <t>ΒΛΑΣΤΟΥ ΣΟΥΡΜΠΑ</t>
  </si>
  <si>
    <t>ΑΝ052316</t>
  </si>
  <si>
    <t>ΚΥΡΤΣΟΥ</t>
  </si>
  <si>
    <t>ΚΡΥΣΤΑΛΙΑ</t>
  </si>
  <si>
    <t>ΑΙ713379</t>
  </si>
  <si>
    <t>ΓΚΟΓΚΟΥ</t>
  </si>
  <si>
    <t>ΑΜ854420</t>
  </si>
  <si>
    <t>ΑΡ277970</t>
  </si>
  <si>
    <t>ΤΖΙΑΤΖΙΟΥ</t>
  </si>
  <si>
    <t>ΕΛΕΝΗ ΕΥΦΡΟΣΥΝΗ</t>
  </si>
  <si>
    <t>ΑΝ365999</t>
  </si>
  <si>
    <t>ΓΟΥΠΟΥ</t>
  </si>
  <si>
    <t>ΑΜ823772</t>
  </si>
  <si>
    <t>ΑΜ137391</t>
  </si>
  <si>
    <t>ΛΙΠΑΡΤΕΛΙΑΝΙ</t>
  </si>
  <si>
    <t>ΜΕΓΚΥ</t>
  </si>
  <si>
    <t>ΟΛΕΓΚ</t>
  </si>
  <si>
    <t>ΑΗ187542</t>
  </si>
  <si>
    <t>ΑΛΕΞΑΝΔΡΑ ΕΥΘΥΜΙΑ</t>
  </si>
  <si>
    <t>ΑΙ647151</t>
  </si>
  <si>
    <t>ΜΠΕΤΕΙΝΑΚΗ</t>
  </si>
  <si>
    <t>ΑΜ469467</t>
  </si>
  <si>
    <t>ΑΡΝΗ</t>
  </si>
  <si>
    <t>Χ415016</t>
  </si>
  <si>
    <t>ΣΠΥΡΙΔΟΠΟΥΛΟΥ</t>
  </si>
  <si>
    <t>ΠΕΤΡΟΥΛΑ</t>
  </si>
  <si>
    <t>ΙΟΡΔΑΝΗ</t>
  </si>
  <si>
    <t>ΑΙ192923</t>
  </si>
  <si>
    <t>ΓΑΤΣΟΥ</t>
  </si>
  <si>
    <t>ΑΜ832452</t>
  </si>
  <si>
    <t>ΠΑΠΑΣΤΕΡΓΙΟΥ</t>
  </si>
  <si>
    <t>ΑΖ294358</t>
  </si>
  <si>
    <t>ΤΣΙΡΛΑΚΗ</t>
  </si>
  <si>
    <t>ΤΑΤΙΑΝΗ</t>
  </si>
  <si>
    <t>Φ340155</t>
  </si>
  <si>
    <t>ΓΑΛΟΥΠΗ</t>
  </si>
  <si>
    <t>ΑΖ415118</t>
  </si>
  <si>
    <t>ΒΑΛΤΑΔΩΡΟΥ</t>
  </si>
  <si>
    <t>ΑΚ909603</t>
  </si>
  <si>
    <t>ΠΕΤΣΑΚΟΥ</t>
  </si>
  <si>
    <t>ΑΙ145880</t>
  </si>
  <si>
    <t>ΧΑΛΜΑΝΤΖΗ</t>
  </si>
  <si>
    <t>ΑΖ252435</t>
  </si>
  <si>
    <t>ΜΑΥΡΙΔΟΥ</t>
  </si>
  <si>
    <t>Χ470900</t>
  </si>
  <si>
    <t>ΑΟ492717</t>
  </si>
  <si>
    <t>ΑΜ708669</t>
  </si>
  <si>
    <t>ΚΕΦΑΛΟΠΟΥΛΟΥ</t>
  </si>
  <si>
    <t>ΑΙ318999</t>
  </si>
  <si>
    <t>ΚΟΝΤΙΖΑ</t>
  </si>
  <si>
    <t>Χ676799</t>
  </si>
  <si>
    <t>ΖΗΜΑΝΤΑΚΟΥ</t>
  </si>
  <si>
    <t>ΑΜ418700</t>
  </si>
  <si>
    <t>ΣΕΡΑΣΗ</t>
  </si>
  <si>
    <t>ΑΚ426189</t>
  </si>
  <si>
    <t>ΧΑΤΖΗΠΑΠΑΦΩΤΙΟΥ</t>
  </si>
  <si>
    <t>Τ973512</t>
  </si>
  <si>
    <t>ΣΟΥΛΙΚΙΑ</t>
  </si>
  <si>
    <t>Σ458945</t>
  </si>
  <si>
    <t>ΜΟΥΖΑ</t>
  </si>
  <si>
    <t>ΑΑ477337</t>
  </si>
  <si>
    <t>ΑΙ846904</t>
  </si>
  <si>
    <t>ΣΤΡΑΤΑΚΗ</t>
  </si>
  <si>
    <t>ΑΗ463257</t>
  </si>
  <si>
    <t>ΔΡΙΒΗΛΑ</t>
  </si>
  <si>
    <t>ΑΒ385049</t>
  </si>
  <si>
    <t>ΠΑΝΤΕΛΟΓΛΟΥ</t>
  </si>
  <si>
    <t>Χ861299</t>
  </si>
  <si>
    <t>ΠΟΥΣΙΝΗ</t>
  </si>
  <si>
    <t>ΑΕ860212</t>
  </si>
  <si>
    <t>ΜΑΧΑΙΡΙΔΟΥ</t>
  </si>
  <si>
    <t>ΑΑ232853</t>
  </si>
  <si>
    <t>ΣΙΝΩΛΑ</t>
  </si>
  <si>
    <t>ΦΙΛΟΘΕΗ</t>
  </si>
  <si>
    <t>Μ654006</t>
  </si>
  <si>
    <t>ΚΑΤΕΛΗ</t>
  </si>
  <si>
    <t>ΑΗ700960</t>
  </si>
  <si>
    <t>ΚΟΛΙΟΚΩΤΣΗ</t>
  </si>
  <si>
    <t>ΑΙ261383</t>
  </si>
  <si>
    <t>ΠΕΓΙΑ</t>
  </si>
  <si>
    <t xml:space="preserve">ΜΙΧΑΗΛ </t>
  </si>
  <si>
    <t>ΑΜ423112</t>
  </si>
  <si>
    <t>ΜΟΥΝΤΡΑΚΗ</t>
  </si>
  <si>
    <t>ΑΙ440718</t>
  </si>
  <si>
    <t>ΑΠΕΡΓΗ</t>
  </si>
  <si>
    <t>Σ571263</t>
  </si>
  <si>
    <t>ΤΣΙΤΟΥΡΑ</t>
  </si>
  <si>
    <t>ΑΗ787572</t>
  </si>
  <si>
    <t>Χ341999</t>
  </si>
  <si>
    <t>ΤΣΑΟΥΣΗ</t>
  </si>
  <si>
    <t>ΚΑΝΕΛΛΟΣ</t>
  </si>
  <si>
    <t>Φ211118</t>
  </si>
  <si>
    <t>ΕΛΕΥΘΕΡΙΑ ΦΑΝΟΥΡΙΑ</t>
  </si>
  <si>
    <t>ΑΖ762971</t>
  </si>
  <si>
    <t>ΖΙΑΚΟΥΛΗ</t>
  </si>
  <si>
    <t>ΑΑ433982</t>
  </si>
  <si>
    <t>ΝΟΤΑΡΙΔΟΥ</t>
  </si>
  <si>
    <t>ΑΚ908009</t>
  </si>
  <si>
    <t>ΣΤΙΒΑΚΤΑ</t>
  </si>
  <si>
    <t>ΑΙ977252</t>
  </si>
  <si>
    <t>ΜΟΣΧΟΥ</t>
  </si>
  <si>
    <t>ΑΜ761455</t>
  </si>
  <si>
    <t>ΓΟΥΡΓΙΩΤΟΥ</t>
  </si>
  <si>
    <t>Χ927005</t>
  </si>
  <si>
    <t xml:space="preserve"> ΓΚΙΚΑ</t>
  </si>
  <si>
    <t>ΣΠΥΡΙΔΩΝΑΣ</t>
  </si>
  <si>
    <t>ΑΝ115427</t>
  </si>
  <si>
    <t>ΑΗ196786</t>
  </si>
  <si>
    <t>ΑΗ112127</t>
  </si>
  <si>
    <t>Χ247551</t>
  </si>
  <si>
    <t>ΓΙΑΝΝΟΥΤΣΟΥ</t>
  </si>
  <si>
    <t>ΑΚ491470</t>
  </si>
  <si>
    <t>ΑΟ976367</t>
  </si>
  <si>
    <t>ΤΟΠΑΛΝΑΚΟΥ</t>
  </si>
  <si>
    <t>Χ818495</t>
  </si>
  <si>
    <t>ΑΜ677915</t>
  </si>
  <si>
    <t>ΚΟΛΙΟΥΣΗ</t>
  </si>
  <si>
    <t>ΑΚ836862</t>
  </si>
  <si>
    <t>ΑΛΠΟΧΩΡΙΤΟΥ</t>
  </si>
  <si>
    <t>ΑΗ207099</t>
  </si>
  <si>
    <t>ΚΡΑΤΗΜΕΝΟΥ</t>
  </si>
  <si>
    <t>ΑΖ077763</t>
  </si>
  <si>
    <t>ΑΗ264499</t>
  </si>
  <si>
    <t>ΧΑΤΖΗΣΤΑΜΑΤΙΟΥ</t>
  </si>
  <si>
    <t>ΑΖ434002</t>
  </si>
  <si>
    <t>ΠΙΤΣΑΡΗ</t>
  </si>
  <si>
    <t>ΕΥΑΓΓΕΛΙA</t>
  </si>
  <si>
    <t>ΑΚ407893</t>
  </si>
  <si>
    <t>ΜΠΑΣΔΑΡΑ</t>
  </si>
  <si>
    <t>EΛΕΝΗ</t>
  </si>
  <si>
    <t>ΑΝ196980</t>
  </si>
  <si>
    <t>ΜΠΑΚΙΡΤΖΟΓΛΟΥ</t>
  </si>
  <si>
    <t>ΑΗ289757</t>
  </si>
  <si>
    <t>ΦΟΥΝΤΟΥΚΙΔΟΥ</t>
  </si>
  <si>
    <t>Χ771847</t>
  </si>
  <si>
    <t>ΣΧΟΡΕΤΣΙΑΝΙΤΗ</t>
  </si>
  <si>
    <t>ΑΒ103767</t>
  </si>
  <si>
    <t>ΣΤΟΙΛΗ</t>
  </si>
  <si>
    <t>ΑΚ254666</t>
  </si>
  <si>
    <t>ΠΙΝΑΚΕΛΛΗ</t>
  </si>
  <si>
    <t>Χ673952</t>
  </si>
  <si>
    <t>ΛΙΟΤΣΙΟΥ</t>
  </si>
  <si>
    <t>ΑΝ861238</t>
  </si>
  <si>
    <t>ΣΟΚΟΛΗ</t>
  </si>
  <si>
    <t>ΑΑ380028</t>
  </si>
  <si>
    <t>ΑΕ810316</t>
  </si>
  <si>
    <t>ΚΑΤΣΑΚΗ</t>
  </si>
  <si>
    <t>ΑΗ805035</t>
  </si>
  <si>
    <t>ΑΖ795910</t>
  </si>
  <si>
    <t>ΖΑΜΠΛΑΚΟΥ</t>
  </si>
  <si>
    <t>Σ434155</t>
  </si>
  <si>
    <t>ΚΑΡΑΚΩΤΣΟΥ</t>
  </si>
  <si>
    <t>ΑΖ645322</t>
  </si>
  <si>
    <t>ΚΑΣΤΑΝΑΡΑ</t>
  </si>
  <si>
    <t>ΑΟ404069</t>
  </si>
  <si>
    <t>ΣΤΑΜΠΟΥΛΙΔΟΥ</t>
  </si>
  <si>
    <t>ΑΑ431249</t>
  </si>
  <si>
    <t>ΜΠΙΤΙΛΗ</t>
  </si>
  <si>
    <t>ΑΗ533909</t>
  </si>
  <si>
    <t>ΜΠΕΛΟΓΙΑ</t>
  </si>
  <si>
    <t>Π028197</t>
  </si>
  <si>
    <t>ΤΣΑΜΠΑΖΟΓΛΟΥ</t>
  </si>
  <si>
    <t>ΑΖ371949</t>
  </si>
  <si>
    <t>ΓΚΙΟΚΑ</t>
  </si>
  <si>
    <t>ΑΗ133336</t>
  </si>
  <si>
    <t>ΧΑΤΖΗΓΙΑΝΝΑΚΟΥ</t>
  </si>
  <si>
    <t>ΑΒ702723</t>
  </si>
  <si>
    <t>ΛΙΤΟΥ</t>
  </si>
  <si>
    <t>ΠΑΡΑΣΚΕΥΑΣ</t>
  </si>
  <si>
    <t>ΑΚ197339</t>
  </si>
  <si>
    <t>ΟΡΓΙΑΝΟΠΟΥΛΟΥ</t>
  </si>
  <si>
    <t>ΑΙ897458</t>
  </si>
  <si>
    <t>ΑΕ594724</t>
  </si>
  <si>
    <t>ΜΑΛΗ</t>
  </si>
  <si>
    <t>ΠΕΤΡΟΣ ΜΑΛΗΣ</t>
  </si>
  <si>
    <t>ΑΚ234631</t>
  </si>
  <si>
    <t>ΠΑΝΤΣΙΔΟΥ</t>
  </si>
  <si>
    <t>ΑΚ253398</t>
  </si>
  <si>
    <t>ΚΩΣΤΗ</t>
  </si>
  <si>
    <t>ΑΑ433542</t>
  </si>
  <si>
    <t>ΑΖ764722</t>
  </si>
  <si>
    <t>ΦΟΥΝΤΑ</t>
  </si>
  <si>
    <t>ΑΚ394237</t>
  </si>
  <si>
    <t>ΑΒ280483</t>
  </si>
  <si>
    <t>ΜΠΑΤΖΑΚΗ</t>
  </si>
  <si>
    <t>ΑΜ824469</t>
  </si>
  <si>
    <t>ΑΝ385000</t>
  </si>
  <si>
    <t>Φ100214</t>
  </si>
  <si>
    <t>ΝΑΚΟΥ ΣΦΗΚΑ</t>
  </si>
  <si>
    <t>ΑΚ353990</t>
  </si>
  <si>
    <t>ΠΕΤΡΗ</t>
  </si>
  <si>
    <t>ΑΕ048513</t>
  </si>
  <si>
    <t>Χ301362</t>
  </si>
  <si>
    <t>ΠΟΛΥΚΡΕΤΗ</t>
  </si>
  <si>
    <t>ΑΗ145867</t>
  </si>
  <si>
    <t>ΔΟΥΡΒΑ</t>
  </si>
  <si>
    <t>ΧΑΡΙΣΙΟΣ</t>
  </si>
  <si>
    <t>Π182109</t>
  </si>
  <si>
    <t>ΠΕΝΤΕΖΙΔΟΥ</t>
  </si>
  <si>
    <t>Χ819539</t>
  </si>
  <si>
    <t>ΟΓΝΕΝΗ</t>
  </si>
  <si>
    <t>ΑΕ348749</t>
  </si>
  <si>
    <t>ΣΤΑΜΚΟΥ</t>
  </si>
  <si>
    <t>ΑΒ856654</t>
  </si>
  <si>
    <t>ΦΑΝΟΥΡΑΚΗ</t>
  </si>
  <si>
    <t>ΑΙ940855</t>
  </si>
  <si>
    <t>ΜΠΟΥΛΟΚΩΣΤΑ</t>
  </si>
  <si>
    <t>ΑΟ723678</t>
  </si>
  <si>
    <t>ΓΡΑΦΙΑΔΕΛΗ</t>
  </si>
  <si>
    <t>Χ506439</t>
  </si>
  <si>
    <t>ΜΠΙΤΑ</t>
  </si>
  <si>
    <t>ΑΗ034785</t>
  </si>
  <si>
    <t>ΑΒ560556</t>
  </si>
  <si>
    <t>ΜΑΡΙΑ ΑΝΝΑ ΡΑΦΑΕΛΑ</t>
  </si>
  <si>
    <t>Χ406282</t>
  </si>
  <si>
    <t>ΓΑΡΟΥΦΑΛΙΔΟΥ</t>
  </si>
  <si>
    <t>ΑΖ290416</t>
  </si>
  <si>
    <t>Σ985544</t>
  </si>
  <si>
    <t>ΚΑΒΒΑΛΟΥ ΔΙΠΛΑ</t>
  </si>
  <si>
    <t>ΑΡΙΣΤΕΑ ΟΛΥΜΠΙΑ</t>
  </si>
  <si>
    <t>ΑΜ738119</t>
  </si>
  <si>
    <t>ΚΑΝΛΗ</t>
  </si>
  <si>
    <t>ΑΒ880300</t>
  </si>
  <si>
    <t>ΚΡΙΤΣΩΤΑΚΗ</t>
  </si>
  <si>
    <t>ΑΕ457239</t>
  </si>
  <si>
    <t>ΓΙΑΡΕΝΗ</t>
  </si>
  <si>
    <t>ΑΗ415768</t>
  </si>
  <si>
    <t>ΦΑΦΟΥΤΗ</t>
  </si>
  <si>
    <t>ΛΟΥΚΙΑ</t>
  </si>
  <si>
    <t>ΓΙΑΓΚΙΔΟΥ</t>
  </si>
  <si>
    <t>ΑΕ360551</t>
  </si>
  <si>
    <t>ΚΟΡΝΗΛΙΑ</t>
  </si>
  <si>
    <t>ΑΕ363232</t>
  </si>
  <si>
    <t>ΧΟΡΕΥΑ</t>
  </si>
  <si>
    <t>Ξ583456</t>
  </si>
  <si>
    <t>ΚΑΡΙΠΟΠΟΥΛΟΥ</t>
  </si>
  <si>
    <t>ΑΒ756353</t>
  </si>
  <si>
    <t>ΝΟΥΛΕΛΛΗ</t>
  </si>
  <si>
    <t>ΑΒ837140</t>
  </si>
  <si>
    <t>ΠΟ'Ι'ΡΙΑΖΗ</t>
  </si>
  <si>
    <t>Π803611</t>
  </si>
  <si>
    <t>ΖΑΡΚΟΓΙΑΝΝΗ</t>
  </si>
  <si>
    <t>ΑΙ511989</t>
  </si>
  <si>
    <t>ΚΑΡΑΜΠΕΡΟΥ</t>
  </si>
  <si>
    <t>Χ227645</t>
  </si>
  <si>
    <t>ΑΒ446290</t>
  </si>
  <si>
    <t>ΣΥΜΕΩΝΑΚΗ</t>
  </si>
  <si>
    <t>ΘΕΟΠΗ</t>
  </si>
  <si>
    <t>ΑΖ922104</t>
  </si>
  <si>
    <t>ΤΡΙΑΝΤΟΠΟΥΛΟΥ</t>
  </si>
  <si>
    <t>ΧΡΙΣΤΙΝΑ ΜΑΡΙΑ</t>
  </si>
  <si>
    <t>ΑΟ677704</t>
  </si>
  <si>
    <t>ΓΚΑΝΑΤΣΙΟΥ</t>
  </si>
  <si>
    <t>ΑΑ239403</t>
  </si>
  <si>
    <t>ΑΡΜΕΝΗ</t>
  </si>
  <si>
    <t>ΑΗ661608</t>
  </si>
  <si>
    <t>Χ479058</t>
  </si>
  <si>
    <t>ΧΑΙΡΕΤΗ</t>
  </si>
  <si>
    <t>ΑΚ743433</t>
  </si>
  <si>
    <t>ΚΑΣΙΔΟΠΟΥΛΟΥ</t>
  </si>
  <si>
    <t>ΑΗ197016</t>
  </si>
  <si>
    <t>ΓΚΟΥΣΚΟΥ ΚΑΤΣΑΡΟΥ</t>
  </si>
  <si>
    <t>Ρ014059</t>
  </si>
  <si>
    <t>ΜΠΕΛΩΝΙΑ</t>
  </si>
  <si>
    <t>Τ185538</t>
  </si>
  <si>
    <t>ΚΟΛΕΥΡΗ</t>
  </si>
  <si>
    <t>ΑΑ111506</t>
  </si>
  <si>
    <t>ΧΡΙΣΤΙΝΑ ΣΟΦΙΑ</t>
  </si>
  <si>
    <t>ΑΗ609471</t>
  </si>
  <si>
    <t>ΠΑΠΑΔΑΝΗ</t>
  </si>
  <si>
    <t>ΑΒ351600</t>
  </si>
  <si>
    <t>ΖΗΣΗ</t>
  </si>
  <si>
    <t>ΑΗ007888</t>
  </si>
  <si>
    <t>ΑΒ641750</t>
  </si>
  <si>
    <t>ΑΣΔΡΕ</t>
  </si>
  <si>
    <t>ΑΝ206091</t>
  </si>
  <si>
    <t>ΒΑΛΕΝΤΑΚΗ</t>
  </si>
  <si>
    <t>ΑΙ446434</t>
  </si>
  <si>
    <t>ΤΣΑΒΔΑΡΙΔΟΥ</t>
  </si>
  <si>
    <t>ΑΙ895630</t>
  </si>
  <si>
    <t>ΑΜ877706</t>
  </si>
  <si>
    <t>ΣΕΒΑΣΤΑΚΗ</t>
  </si>
  <si>
    <t>ΑΟ272065</t>
  </si>
  <si>
    <t>ΣΩΚΡΑΤΟΥΣ</t>
  </si>
  <si>
    <t>ΑΝ762816</t>
  </si>
  <si>
    <t>ΑΝ268972</t>
  </si>
  <si>
    <t>ΝΟΤΑ</t>
  </si>
  <si>
    <t>ΛΙΖΕΤΑ</t>
  </si>
  <si>
    <t>ΑΙ159691</t>
  </si>
  <si>
    <t>ΖΗΣΟΠΟΥΛΟΥ</t>
  </si>
  <si>
    <t>ΑΙ332081</t>
  </si>
  <si>
    <t>ΓΑΖΕΤΗ</t>
  </si>
  <si>
    <t>Π943107</t>
  </si>
  <si>
    <t>ΡΙΖΑΚΗ</t>
  </si>
  <si>
    <t>ΑΝ465357</t>
  </si>
  <si>
    <t>ΣΙΑΤΗΡΑ</t>
  </si>
  <si>
    <t>ΑΒ835519</t>
  </si>
  <si>
    <t>ΑΖ281935</t>
  </si>
  <si>
    <t>ΒΟΜΒΑ</t>
  </si>
  <si>
    <t>ΑΑ412827</t>
  </si>
  <si>
    <t>ΑΚΡΙΤΙΔΟΥ</t>
  </si>
  <si>
    <t>ΑΕ333801</t>
  </si>
  <si>
    <t>ΣΤΟΥΠΑ</t>
  </si>
  <si>
    <t>ΑΒ790024</t>
  </si>
  <si>
    <t>ΚΑΡΑΓΩΓΟΥ</t>
  </si>
  <si>
    <t>ΑΝ748755</t>
  </si>
  <si>
    <t>ΜΠΟΓΚΝΤΑΝΗ</t>
  </si>
  <si>
    <t>ΛΙΣΙΜΑΚ</t>
  </si>
  <si>
    <t>ΑΜ404790</t>
  </si>
  <si>
    <t>ΠΕΤΣΑΣ</t>
  </si>
  <si>
    <t>ΑΒ812345</t>
  </si>
  <si>
    <t>ΚΟΥΡΤΕΣΗ</t>
  </si>
  <si>
    <t>ΑΗ151445</t>
  </si>
  <si>
    <t>ΤΡΙΑΝΤΑΦΥΛΛΗ</t>
  </si>
  <si>
    <t>ΑΙ219513</t>
  </si>
  <si>
    <t>ΑΙ094930</t>
  </si>
  <si>
    <t>ΑΒ374231</t>
  </si>
  <si>
    <t>ΡΑΔΟΥ</t>
  </si>
  <si>
    <t>ΑΝ211249</t>
  </si>
  <si>
    <t>ΑΟ774392</t>
  </si>
  <si>
    <t>ΚΑΖΑΝΤΖΗ</t>
  </si>
  <si>
    <t>ΑΒ883516</t>
  </si>
  <si>
    <t>ΡΗΓΟΥ</t>
  </si>
  <si>
    <t>ΑΟ826886</t>
  </si>
  <si>
    <t>ΑΡΓΥΡΟΠΟΥΛΟΥ</t>
  </si>
  <si>
    <t>ΑΚ337586</t>
  </si>
  <si>
    <t>ΑΜ600334</t>
  </si>
  <si>
    <t>ΝΩΤΟΥΔΑ</t>
  </si>
  <si>
    <t>ΑΝ718045</t>
  </si>
  <si>
    <t>KELIDIS</t>
  </si>
  <si>
    <t>ANISOARA</t>
  </si>
  <si>
    <t>ΜΖ605307</t>
  </si>
  <si>
    <t>ΑΝ602643</t>
  </si>
  <si>
    <t>ΖΑΡΑΚΩΤΑ</t>
  </si>
  <si>
    <t>ΑΗ295084</t>
  </si>
  <si>
    <t>ΑΡΑΜΠΑΤΖΗ</t>
  </si>
  <si>
    <t>ΛΑΣΚΑΡΗΣ</t>
  </si>
  <si>
    <t>ΑΑ461820</t>
  </si>
  <si>
    <t>ΧΡΗΣΤΟΠΑΝΟΥ</t>
  </si>
  <si>
    <t>ΑΒ810424</t>
  </si>
  <si>
    <t>ΑΜ728819</t>
  </si>
  <si>
    <t>ΚΟΥΚΟΥΤΣΗ</t>
  </si>
  <si>
    <t>ΑΟ258541</t>
  </si>
  <si>
    <t>ΜΟΥΡΟΥΖΗ</t>
  </si>
  <si>
    <t>ΑΖ293479</t>
  </si>
  <si>
    <t>ΤΑΡΑΜΠΟΥΣΚΑ</t>
  </si>
  <si>
    <t>ΑΜ406378</t>
  </si>
  <si>
    <t>ΚΑΡΑΓΕΩΡΓΟΥ</t>
  </si>
  <si>
    <t>ΑΒ420582</t>
  </si>
  <si>
    <t>ΚΟΥΚΟΥΤΑ</t>
  </si>
  <si>
    <t>ΑΝ311555</t>
  </si>
  <si>
    <t>ΠΕΛΕΤΗ</t>
  </si>
  <si>
    <t>Τ016139</t>
  </si>
  <si>
    <t>ΒΑΛΑΣΣΑΚΙ</t>
  </si>
  <si>
    <t>ΑΓΑΠΗ</t>
  </si>
  <si>
    <t>ΑΙ965630</t>
  </si>
  <si>
    <t>ΚΟΥΚΛΗ</t>
  </si>
  <si>
    <t>ΑΜ724235</t>
  </si>
  <si>
    <t>ΜΑΝΙΑΤΗ</t>
  </si>
  <si>
    <t>ΑΙ624261</t>
  </si>
  <si>
    <t>ΑΖ319452</t>
  </si>
  <si>
    <t>ΒΟΥΚΕΛΑΤΟΥ</t>
  </si>
  <si>
    <t>ΕΥΤΥΧΙΟΣ</t>
  </si>
  <si>
    <t>Τ105907</t>
  </si>
  <si>
    <t>ΑΕ336716</t>
  </si>
  <si>
    <t>ΚΑΣΙΜΑΤΗ</t>
  </si>
  <si>
    <t>ΕΜΜΑΝΟΥΗΛΙΑ</t>
  </si>
  <si>
    <t>Ξ916197</t>
  </si>
  <si>
    <t>Χ261034</t>
  </si>
  <si>
    <t>ΓΙΑΝΝΟΥΛΟΥ</t>
  </si>
  <si>
    <t>Τ183630</t>
  </si>
  <si>
    <t>ΠΟΛΑΤΟΥ</t>
  </si>
  <si>
    <t>ΒΑΙΑΣ</t>
  </si>
  <si>
    <t>ΑΑ316034</t>
  </si>
  <si>
    <t>ΡΑΝΟΥ</t>
  </si>
  <si>
    <t>ΑΜ921686</t>
  </si>
  <si>
    <t>ΑΝ010868</t>
  </si>
  <si>
    <t>ΑΑ304123</t>
  </si>
  <si>
    <t>ΘΕΟΛΟΓΟΥ</t>
  </si>
  <si>
    <t>ΑΚ286221</t>
  </si>
  <si>
    <t>ΔΟΥΚΑΚΗ</t>
  </si>
  <si>
    <t>ΑΗ602371</t>
  </si>
  <si>
    <t>ΧΑΤΖΟΥΔΗ</t>
  </si>
  <si>
    <t>ΜΕΡΟΠΗ</t>
  </si>
  <si>
    <t>ΑΜ681322</t>
  </si>
  <si>
    <t>ΑΕ169350</t>
  </si>
  <si>
    <t>ΑΒ782636</t>
  </si>
  <si>
    <t>ΑΒ409056</t>
  </si>
  <si>
    <t>ΝΑΖΙΡΗ</t>
  </si>
  <si>
    <t>ΑΡ011495</t>
  </si>
  <si>
    <t>ΜΠΟΥΖΑΛΑ</t>
  </si>
  <si>
    <t>ΑΜ128580</t>
  </si>
  <si>
    <t>ΔΙΑΜΑΝΤΑΤΟΥ</t>
  </si>
  <si>
    <t>ΑΝΝΑ ΟΛΥΜΠΙΑ</t>
  </si>
  <si>
    <t>ΑΑ400582</t>
  </si>
  <si>
    <t>ΑΟ773683</t>
  </si>
  <si>
    <t>ΧΡΙΣΤΟΥΛΗ</t>
  </si>
  <si>
    <t>ΠΑΓΚΡΑΤΙΟΣ</t>
  </si>
  <si>
    <t>Χ370242</t>
  </si>
  <si>
    <t>ΝΑΡΗ</t>
  </si>
  <si>
    <t>ΑΟ356093</t>
  </si>
  <si>
    <t>ΜΩΥΣΙΑΔΟΥ</t>
  </si>
  <si>
    <t>ΑΗ807316</t>
  </si>
  <si>
    <t>ΜΑΝΤΕΛΛΟΥ</t>
  </si>
  <si>
    <t>ΑΕ078981</t>
  </si>
  <si>
    <t>ΑΡΓΥΡΟΥ</t>
  </si>
  <si>
    <t>ΑΟ367180</t>
  </si>
  <si>
    <t>ΚΩΣΤΙΔΟΥ</t>
  </si>
  <si>
    <t>Χ974021</t>
  </si>
  <si>
    <t>ΚΑΜΝΟΡΟΚΗ</t>
  </si>
  <si>
    <t>ΑΕ166542</t>
  </si>
  <si>
    <t>ΑΒ852352</t>
  </si>
  <si>
    <t>ΤΣΙΝΤΣΑΡΗ</t>
  </si>
  <si>
    <t>ΠΩΛΙΝΑ</t>
  </si>
  <si>
    <t>Τ464094</t>
  </si>
  <si>
    <t>ΑΗ555644</t>
  </si>
  <si>
    <t>ΑΗ635096</t>
  </si>
  <si>
    <t>ΚΑΛΛΙΑΓΡΑ</t>
  </si>
  <si>
    <t>ΑΟ209278</t>
  </si>
  <si>
    <t>ΑΖ210154</t>
  </si>
  <si>
    <t>ΑΡΣΕΝΙΔΟΥ</t>
  </si>
  <si>
    <t>ΑΟ725331</t>
  </si>
  <si>
    <t>ΜΠΙΛΙΟΥΜΠΑΣΗ</t>
  </si>
  <si>
    <t>ΑΗ845701</t>
  </si>
  <si>
    <t>ΠΑΡΔΑΛΟΥ</t>
  </si>
  <si>
    <t>ΑΝ200149</t>
  </si>
  <si>
    <t>Χ394701</t>
  </si>
  <si>
    <t>ΠΑΓΟΥΡΑ</t>
  </si>
  <si>
    <t>Χ814746</t>
  </si>
  <si>
    <t>ΖΑΝΝΙΚΟΥ</t>
  </si>
  <si>
    <t>ΑΚ000132</t>
  </si>
  <si>
    <t>ΠΑΝΤΑΖΗ</t>
  </si>
  <si>
    <t>ΑΗ989685</t>
  </si>
  <si>
    <t>ΠΙΕΡΡΙΝΑΚΟΥ</t>
  </si>
  <si>
    <t>ΑΙΚΑΤΕΡΙΝΗ ΙΩΑΝΝΑ</t>
  </si>
  <si>
    <t>ΑΜ344867</t>
  </si>
  <si>
    <t>ΚΟΤΖΑΜΑΝΗ</t>
  </si>
  <si>
    <t>ΑΗ061447</t>
  </si>
  <si>
    <t>ΑΒ070182</t>
  </si>
  <si>
    <t>ΦΑΝΑΡΙΩΤΗ</t>
  </si>
  <si>
    <t>ΑΖ756151</t>
  </si>
  <si>
    <t>ΑΤΖΕΜΙΑΝ</t>
  </si>
  <si>
    <t>ΒΑΡΤΕΒΑΡ</t>
  </si>
  <si>
    <t>ΑΒ615575</t>
  </si>
  <si>
    <t>ΤΣΑΛΙΚΗ</t>
  </si>
  <si>
    <t>ΑΡ238200</t>
  </si>
  <si>
    <t>ΜΑΝΤΗ</t>
  </si>
  <si>
    <t>ΑΗ624158</t>
  </si>
  <si>
    <t>ΚΟΥΦΑΛΙΩΤΗ</t>
  </si>
  <si>
    <t>ΑΙ125178</t>
  </si>
  <si>
    <t>ΚΑΡΕΛΗ</t>
  </si>
  <si>
    <t>ΕΙΡΗΝΗ ΧΡΥΣΑΦΟΥΛΑ</t>
  </si>
  <si>
    <t>ΑΒ996112</t>
  </si>
  <si>
    <t>ΤΑΛΑΝΤΗ</t>
  </si>
  <si>
    <t>ΑΗ149065</t>
  </si>
  <si>
    <t>ΛΥΚΟΚΩΣΤΑ</t>
  </si>
  <si>
    <t>ΑΟ352293</t>
  </si>
  <si>
    <t>ΑΕ582759</t>
  </si>
  <si>
    <t>ΓΙΑΒΡΙΜΗ</t>
  </si>
  <si>
    <t>ΑΗ430608</t>
  </si>
  <si>
    <t>ΚΟΚΛΑ</t>
  </si>
  <si>
    <t>Ν520860</t>
  </si>
  <si>
    <t>ΚΑΜΠΕΡΙΔΟΥ</t>
  </si>
  <si>
    <t>ΑΖ396214</t>
  </si>
  <si>
    <t>ΖΗΝΕΛΗ</t>
  </si>
  <si>
    <t>Π171913</t>
  </si>
  <si>
    <t>ΔΑΝΙΗΛΙΔΟΥ</t>
  </si>
  <si>
    <t>ΑΑ236816</t>
  </si>
  <si>
    <t>ΖΟΥΜΠΟΥ</t>
  </si>
  <si>
    <t>ΠΟΛΥΖΩΗ</t>
  </si>
  <si>
    <t>ΑΖ144656</t>
  </si>
  <si>
    <t>ΤΣΑΠΟΥΡΝΑ</t>
  </si>
  <si>
    <t>ΑΕ498999</t>
  </si>
  <si>
    <t>ΒΑΓΙΑΝΑ</t>
  </si>
  <si>
    <t>ΣΩΦΡΟΝΙΟΣ</t>
  </si>
  <si>
    <t>ΑΙ168164</t>
  </si>
  <si>
    <t>ΑΖ721488</t>
  </si>
  <si>
    <t>ΝΤΕΛΙΑΙ</t>
  </si>
  <si>
    <t>ΕΓΚΕΡΤΑ</t>
  </si>
  <si>
    <t>ΝΤΕΛΟ</t>
  </si>
  <si>
    <t>ΑΝ156758</t>
  </si>
  <si>
    <t>ΒΑΡΔΑΒΑ</t>
  </si>
  <si>
    <t>Τ333696</t>
  </si>
  <si>
    <t>ΔΟΥΠΛΗ</t>
  </si>
  <si>
    <t>ΑΕ343350</t>
  </si>
  <si>
    <t>ΩΡΑΙΟΖΗΛΗ</t>
  </si>
  <si>
    <t>ΑΚ857140</t>
  </si>
  <si>
    <t>ΚΑΡΑΠΕΤΣΑ</t>
  </si>
  <si>
    <t>ΑΖ787715</t>
  </si>
  <si>
    <t>ΑΒ110251</t>
  </si>
  <si>
    <t>ΔΕΛΟΓΛΟΥ</t>
  </si>
  <si>
    <t>Φ328817</t>
  </si>
  <si>
    <t>ΑΖ677446</t>
  </si>
  <si>
    <t>ΒΡΥΩΝΗ</t>
  </si>
  <si>
    <t xml:space="preserve">ΚΩΝΣΤΑΝΤΙΝΑ </t>
  </si>
  <si>
    <t>ΑΑ318740</t>
  </si>
  <si>
    <t>ΡΩΜΑ</t>
  </si>
  <si>
    <t>ΑΒ241190</t>
  </si>
  <si>
    <t>ΑΙ732849</t>
  </si>
  <si>
    <t>ΚΑΡΕΠΙΔΗ</t>
  </si>
  <si>
    <t>ΑΟ677583</t>
  </si>
  <si>
    <t>ΠΟΓΑ</t>
  </si>
  <si>
    <t>Χ987019</t>
  </si>
  <si>
    <t>ΣΙΑΦΑΡΙΚΑ</t>
  </si>
  <si>
    <t>ΕΥΔΟΚΙΑ ΤΑΞΙΑΡΧΟΥΛΑ</t>
  </si>
  <si>
    <t>ΑΜ368979</t>
  </si>
  <si>
    <t>ΚΩΣΤΑΚΙΩΤΗ</t>
  </si>
  <si>
    <t>ΑΜ741584</t>
  </si>
  <si>
    <t>ΛΥΡΑΤΖΗ</t>
  </si>
  <si>
    <t>ΣΜΑΡΟΥΛΑ</t>
  </si>
  <si>
    <t>ΑΕ909269</t>
  </si>
  <si>
    <t>ΤΟΛΙΟΠΟΥΛΟΥ</t>
  </si>
  <si>
    <t>Χ391466</t>
  </si>
  <si>
    <t>ΖΕΛΙΟΥ</t>
  </si>
  <si>
    <t>ΑΕ226672</t>
  </si>
  <si>
    <t>Φ346640</t>
  </si>
  <si>
    <t>ΑΕ204924</t>
  </si>
  <si>
    <t>Σ940955</t>
  </si>
  <si>
    <t>ΚΑΜΕΛΙΔΟΥ</t>
  </si>
  <si>
    <t>ΑΗ840467</t>
  </si>
  <si>
    <t>ΣΑΛΟΝΙΚΙΔΟΥ</t>
  </si>
  <si>
    <t>ΠΑΡΕΣΑ</t>
  </si>
  <si>
    <t>Χ231169</t>
  </si>
  <si>
    <t>ΣΚΟΚΛΗ</t>
  </si>
  <si>
    <t>ΓΙΑΓΚΟΣ</t>
  </si>
  <si>
    <t>ΑΝ767257</t>
  </si>
  <si>
    <t>ΚΩΣΤΑΡΕΛΟΥ</t>
  </si>
  <si>
    <t>ΑΜ324680</t>
  </si>
  <si>
    <t>ΤΡΙΑΝΤΑΦΥΛΛΟΥ</t>
  </si>
  <si>
    <t>ΦΛΩΡΑ ΜΑΡΙΑ</t>
  </si>
  <si>
    <t>Π900572</t>
  </si>
  <si>
    <t>ΠΑΠΑΓΕΡΑΣΙΜΟΥ</t>
  </si>
  <si>
    <t>Χ717660</t>
  </si>
  <si>
    <t>ΣΟΝΙΑΔΟΥ</t>
  </si>
  <si>
    <t>Ν733901</t>
  </si>
  <si>
    <t>ΚΛΙΑΜΠΑ</t>
  </si>
  <si>
    <t>ΑΖ850270</t>
  </si>
  <si>
    <t>ΑΟ242480</t>
  </si>
  <si>
    <t>ΧΡΥΣΟΣΤΟΜΟΣ</t>
  </si>
  <si>
    <t>ΑΜ281475</t>
  </si>
  <si>
    <t>ΦΛΥΤΖΙΑΝΗ</t>
  </si>
  <si>
    <t>ΒΙΚΤΩΡΙΑ ΜΑΡΙΑ</t>
  </si>
  <si>
    <t>ΑΙ861001</t>
  </si>
  <si>
    <t>ΑΗ403620</t>
  </si>
  <si>
    <t>ΝΙΚΟΛΑΡΟΥ</t>
  </si>
  <si>
    <t>Χ903709</t>
  </si>
  <si>
    <t>ΠΑΤΟΥΝΑ</t>
  </si>
  <si>
    <t>ΑΗ667184</t>
  </si>
  <si>
    <t>ΓΕΤΙΜΗ</t>
  </si>
  <si>
    <t>ΑΜ992257</t>
  </si>
  <si>
    <t>ΠΛΑΚΙΑ</t>
  </si>
  <si>
    <t>ΑΝ834388</t>
  </si>
  <si>
    <t>ΣΓΟΥΡΕΛΛΗ</t>
  </si>
  <si>
    <t>ΑΗ429666</t>
  </si>
  <si>
    <t>ΜΠΙΤΟΥΝΗ</t>
  </si>
  <si>
    <t>ΑΖ104543</t>
  </si>
  <si>
    <t>ΖΟΥΜΠΟΥΛΑΚΗ</t>
  </si>
  <si>
    <t>ΑΙ964911</t>
  </si>
  <si>
    <t>ΔΗΜΗΤΡΑ ΕΛΕΝΗ</t>
  </si>
  <si>
    <t>ΑΙ297162</t>
  </si>
  <si>
    <t>ΜΟΥΣΧΟΥΔΗ</t>
  </si>
  <si>
    <t>ΑΟ694699</t>
  </si>
  <si>
    <t>ΧΑΤΖΗΠΑΓΩΝΗ</t>
  </si>
  <si>
    <t>ΑΚ304221</t>
  </si>
  <si>
    <t>ΑΙΒΑΖΙΔΟΥ</t>
  </si>
  <si>
    <t>ΑΕ643150</t>
  </si>
  <si>
    <t>ΣΤΕΝΟΥ</t>
  </si>
  <si>
    <t>ΑΙ306787</t>
  </si>
  <si>
    <t>ΚΑΡΟΥΝΗ ΓΚΑΡΟΥ</t>
  </si>
  <si>
    <t>ΑΒ547538</t>
  </si>
  <si>
    <t>ΜΑΡΟΥΔΑ</t>
  </si>
  <si>
    <t>ΑΚ603785</t>
  </si>
  <si>
    <t>ΑΕ971997</t>
  </si>
  <si>
    <t>ΑΡ009638</t>
  </si>
  <si>
    <t>ΑΑ259049</t>
  </si>
  <si>
    <t>ΑΒ957536</t>
  </si>
  <si>
    <t>ΑΙ329167</t>
  </si>
  <si>
    <t>ΑΑ492994</t>
  </si>
  <si>
    <t>ΣΑΞΩΝΗ</t>
  </si>
  <si>
    <t>ΑΙ499055</t>
  </si>
  <si>
    <t>ΤΣΟΜΠΑΝΗ</t>
  </si>
  <si>
    <t>ΑΑ403588</t>
  </si>
  <si>
    <t>ΧΑΣΑΛΕΥΡΗ</t>
  </si>
  <si>
    <t>ΜΑΡΙΝΑ ΕΥΦΡΟΣΥΝΗ</t>
  </si>
  <si>
    <t>ΑΜ264610</t>
  </si>
  <si>
    <t>ΚΑΡΑΝΤΩΝΗ</t>
  </si>
  <si>
    <t>ΑΒ976206</t>
  </si>
  <si>
    <t>ΠΡΙΜΠΑ</t>
  </si>
  <si>
    <t>Π147597</t>
  </si>
  <si>
    <t>ΜΙΧΑΛΟΠΟΥΛΟΥ</t>
  </si>
  <si>
    <t>ΑΝ207247</t>
  </si>
  <si>
    <t>Χ957632</t>
  </si>
  <si>
    <t>ΤΣΟΧΑΝΤΑΡΙΔΟΥ</t>
  </si>
  <si>
    <t>ΝΑΠΟΛΕΩΝ</t>
  </si>
  <si>
    <t>ΑΕ169976</t>
  </si>
  <si>
    <t>ΚΡΗΤΙΚΟΥ</t>
  </si>
  <si>
    <t>ΑΑ498527</t>
  </si>
  <si>
    <t>ΚΑΤΣΙΑΓΓΕΛΟΥ</t>
  </si>
  <si>
    <t>Χ990637</t>
  </si>
  <si>
    <t>ΠΑΠΑΙΩΑΝΝΟΥ</t>
  </si>
  <si>
    <t>ΝΙΚΟΛΙΤΣΑ ΣΩΤΗΡΙΑ</t>
  </si>
  <si>
    <t>ΑΒ978014</t>
  </si>
  <si>
    <t>Τ216196</t>
  </si>
  <si>
    <t>Σ900179</t>
  </si>
  <si>
    <t>ΙΑΚΩΒΙΔΟΥ</t>
  </si>
  <si>
    <t>ΠΕΡΣΑ</t>
  </si>
  <si>
    <t>Χ844317</t>
  </si>
  <si>
    <t>ΓΡΑΜΜΕΝΟΥ</t>
  </si>
  <si>
    <t>ΑΜ356991</t>
  </si>
  <si>
    <t>ΒΑΖΟΥΡΑ</t>
  </si>
  <si>
    <t>ΑΚ027108</t>
  </si>
  <si>
    <t>ΓΙΑΝΝΙΣΟΓΛΟΥ</t>
  </si>
  <si>
    <t>ΠΛΑΤΩΝ</t>
  </si>
  <si>
    <t>ΑΗ865419</t>
  </si>
  <si>
    <t>ΚΡΗΜΝΙΑΝΙΩΤΟΥ</t>
  </si>
  <si>
    <t>ΑΖ647817</t>
  </si>
  <si>
    <t>Χ574845</t>
  </si>
  <si>
    <t>ΚΟΣΣΥΒΑ</t>
  </si>
  <si>
    <t>ΑΗ841468</t>
  </si>
  <si>
    <t>ΓΑΡΥΦΑΛΛΙΔΟΥ</t>
  </si>
  <si>
    <t>ΑΗ674175</t>
  </si>
  <si>
    <t>ΜΠΟΙΤΣΗ</t>
  </si>
  <si>
    <t>Ρ168549</t>
  </si>
  <si>
    <t>ΣΟΥΡΒΙΝΟΥ</t>
  </si>
  <si>
    <t>ΑΖ254799</t>
  </si>
  <si>
    <t>ΦΕΒΡΩΝΙΑ</t>
  </si>
  <si>
    <t>ΑΗ665703</t>
  </si>
  <si>
    <t>ΤΣΙΚΛΗΡΑ</t>
  </si>
  <si>
    <t>ΑΙ217758</t>
  </si>
  <si>
    <t>ΧΡΥΣΟΥ</t>
  </si>
  <si>
    <t>ΜΑΡΟΥΣΑ</t>
  </si>
  <si>
    <t>ΑΚ540084</t>
  </si>
  <si>
    <t>ΑΙ975239</t>
  </si>
  <si>
    <t>ΣΥΝΟΔΙΝΟΥ</t>
  </si>
  <si>
    <t xml:space="preserve"> ΔΙΟΝΥΣΙΟΣ</t>
  </si>
  <si>
    <t>Χ053311</t>
  </si>
  <si>
    <t>ΡΟΥΔΥΝΚΛΗ</t>
  </si>
  <si>
    <t>ΑΙ351255</t>
  </si>
  <si>
    <t>Τ399799</t>
  </si>
  <si>
    <t>ΚΕΤΙΚΙΔΟΥ</t>
  </si>
  <si>
    <t>Χ818675</t>
  </si>
  <si>
    <t>ΑΖ747951</t>
  </si>
  <si>
    <t>ΣΤΑΜΑΤΙΟΥ</t>
  </si>
  <si>
    <t>ΣΤΥΛΑΙΝΟΣ</t>
  </si>
  <si>
    <t>ΑΒ121443</t>
  </si>
  <si>
    <t>ΜΠΑΡΜΠΑΚΗ</t>
  </si>
  <si>
    <t>Σ778188</t>
  </si>
  <si>
    <t>ΔΕΜΕΤΗ</t>
  </si>
  <si>
    <t>ΧΡΥΣΑΦΕΝΙΑ</t>
  </si>
  <si>
    <t>ΑΚ845590</t>
  </si>
  <si>
    <t>ΣΙΑΡΑΜΠΗ</t>
  </si>
  <si>
    <t>Χ865056</t>
  </si>
  <si>
    <t>Φ155168</t>
  </si>
  <si>
    <t>ΠΙΤΙΛΑΚΗ</t>
  </si>
  <si>
    <t>ΑΟ732717</t>
  </si>
  <si>
    <t>ΑΝ826634</t>
  </si>
  <si>
    <t>ΑΡΖΟΓΛΟΥ</t>
  </si>
  <si>
    <t>ΑΟ652014</t>
  </si>
  <si>
    <t>ΣΚΟΡΔΑΛΗ</t>
  </si>
  <si>
    <t>ΕΥΔΟΚΙΑ ΔΗΜΗΤΡΑ</t>
  </si>
  <si>
    <t>ΑΖ060366</t>
  </si>
  <si>
    <t>ΚΥΡΚΙΛΗ</t>
  </si>
  <si>
    <t>Χ716744</t>
  </si>
  <si>
    <t>ΑΒ885861</t>
  </si>
  <si>
    <t>ΜΑΛΕΑ</t>
  </si>
  <si>
    <t>ΑΙ718563</t>
  </si>
  <si>
    <t>ΑΗ894166</t>
  </si>
  <si>
    <t>ΝΤΑΓΚΑ</t>
  </si>
  <si>
    <t>ΑΚ865991</t>
  </si>
  <si>
    <t>ΚΑΠΠΑ</t>
  </si>
  <si>
    <t>Χ037902</t>
  </si>
  <si>
    <t>ΖΟΡΜΠΑ</t>
  </si>
  <si>
    <t xml:space="preserve">ΔΗΜΗΤΡΙΟΣ </t>
  </si>
  <si>
    <t>Σ802178</t>
  </si>
  <si>
    <t>ΜΕΡΚΟΥΡΗ</t>
  </si>
  <si>
    <t>ΑΚ764665</t>
  </si>
  <si>
    <t>ΚΑΤΡΙΝΗ</t>
  </si>
  <si>
    <t>ΑΜ967070</t>
  </si>
  <si>
    <t>ΑΡΒΑΝΙΤΟΠΟΥΛΟΥ</t>
  </si>
  <si>
    <t>ΑΗ418332</t>
  </si>
  <si>
    <t>ΑΟ432953</t>
  </si>
  <si>
    <t>Χ518042</t>
  </si>
  <si>
    <t>ΤΖΙΡΟΥ</t>
  </si>
  <si>
    <t>ΜΑΡΚΕΛΑ ΧΑΡΑ</t>
  </si>
  <si>
    <t>ΑΙ297661</t>
  </si>
  <si>
    <t>ΧΑΡΑΛΑΜΠΑΚΗ</t>
  </si>
  <si>
    <t>ΑΟ557795</t>
  </si>
  <si>
    <t>ΑΛΕΞΙΑ</t>
  </si>
  <si>
    <t>ΑΝ345203</t>
  </si>
  <si>
    <t>Ρ788899</t>
  </si>
  <si>
    <t>ΑΡΕΤΑΚΗ</t>
  </si>
  <si>
    <t>Χ494512</t>
  </si>
  <si>
    <t>ΣΤΑΜΠΟΛΑΚΗ</t>
  </si>
  <si>
    <t>Σ992302</t>
  </si>
  <si>
    <t>ΛΙΟΥΔΑΚΗ</t>
  </si>
  <si>
    <t>ΑΙ442657</t>
  </si>
  <si>
    <t>ΑΗΔΟΝΗ</t>
  </si>
  <si>
    <t>ΑΑ377431</t>
  </si>
  <si>
    <t>ΤΣΕΣΜΕΤΖΙΔΟΥ</t>
  </si>
  <si>
    <t>ΑΙ907833</t>
  </si>
  <si>
    <t>ΕΥΑΓΓΕΛΙΟΥ</t>
  </si>
  <si>
    <t>Ρ771835</t>
  </si>
  <si>
    <t>ΤΣΙΡΚΑ</t>
  </si>
  <si>
    <t>ΑΗ588007</t>
  </si>
  <si>
    <t>ΖΟΥΜΠΑ</t>
  </si>
  <si>
    <t>Τ337608</t>
  </si>
  <si>
    <t>ΚΟΥΤΡΑ</t>
  </si>
  <si>
    <t>ΑΖ297610</t>
  </si>
  <si>
    <t>ΚΑΙΤΕΛΙΔΟΥ</t>
  </si>
  <si>
    <t>ΕΥΑ</t>
  </si>
  <si>
    <t>ΑΑ248510</t>
  </si>
  <si>
    <t>ΜΑΚΡΟΓΛΟΥ</t>
  </si>
  <si>
    <t>Χ317840</t>
  </si>
  <si>
    <t>ΑΗ326518</t>
  </si>
  <si>
    <t>ΑΙ355886</t>
  </si>
  <si>
    <t>ΜΑΥΡΟΓΙΑΝΝΗ</t>
  </si>
  <si>
    <t>ΑΙ243648</t>
  </si>
  <si>
    <t>ΜΑΤΑΝΑ</t>
  </si>
  <si>
    <t>ΑΗ896009</t>
  </si>
  <si>
    <t>ΑΒ541998</t>
  </si>
  <si>
    <t>ΒΡΑΚΑ</t>
  </si>
  <si>
    <t>ΑΝ222527</t>
  </si>
  <si>
    <t>ΠΟΛΥΒΙΑ ΚΑΛΥΨΩ</t>
  </si>
  <si>
    <t>ΑΖ627386</t>
  </si>
  <si>
    <t>ΑΝ828576</t>
  </si>
  <si>
    <t>ΞΥΝΑΔΑ</t>
  </si>
  <si>
    <t>ΕΜΜΑΝΟΥΕΛΑ ΝΕΚΤΑΡΙΑ</t>
  </si>
  <si>
    <t>ΑΚ918753</t>
  </si>
  <si>
    <t>ΜΕΙΜΑΡΟΓΛΟΥ</t>
  </si>
  <si>
    <t>ΑΗ631359</t>
  </si>
  <si>
    <t>ΔΡΑΓΑΝΟΥΔΗ</t>
  </si>
  <si>
    <t>Χ987782</t>
  </si>
  <si>
    <t>ΜΠΙΛΙΟΥ</t>
  </si>
  <si>
    <t>ΝΑΥΣΙΚΑ ΚΩΝΣΤΑΝΤΙΝΑ</t>
  </si>
  <si>
    <t>ΑΗ704186</t>
  </si>
  <si>
    <t>ΑΒΡΑΜΟΠΟΥΛΟΥ</t>
  </si>
  <si>
    <t>Τ273685</t>
  </si>
  <si>
    <t>ΑΝ800808</t>
  </si>
  <si>
    <t>ΑΑ452939</t>
  </si>
  <si>
    <t>Χ878369</t>
  </si>
  <si>
    <t>ΑΝ214654</t>
  </si>
  <si>
    <t>ΠΑΠΑΜΙΧΑΗΛ</t>
  </si>
  <si>
    <t>ΓΕΩΡ</t>
  </si>
  <si>
    <t>Σ800217</t>
  </si>
  <si>
    <t>ΜΑΥΡΟΔΗΜΟΥ</t>
  </si>
  <si>
    <t>ΑΗ767760</t>
  </si>
  <si>
    <t>ΑΝΤΩΝΟΓΛΟΥ</t>
  </si>
  <si>
    <t>ΑΕ603321</t>
  </si>
  <si>
    <t>ΑΒ917343</t>
  </si>
  <si>
    <t>ΚΟΚΚΩΝΗ</t>
  </si>
  <si>
    <t>ΑΗ175758</t>
  </si>
  <si>
    <t>ΣΜΙΛΕΒΣΚΑ</t>
  </si>
  <si>
    <t>ΝΑΝΤΙΤΣΑ ΕΛΠΙΔΑ</t>
  </si>
  <si>
    <t>ΝΤΟΥΣΚΟ</t>
  </si>
  <si>
    <t>ΑΗ289904</t>
  </si>
  <si>
    <t>ΜΠΑΡΔΑΡΗ</t>
  </si>
  <si>
    <t>ΑΙ346157</t>
  </si>
  <si>
    <t>ΣΤΕΦΑΝΟΠΟΥΛΟΥ</t>
  </si>
  <si>
    <t>ΑΙ145304</t>
  </si>
  <si>
    <t>ΜΟΣΧΑΜΠΑΡΗ</t>
  </si>
  <si>
    <t>ΑΒ598639</t>
  </si>
  <si>
    <t>ΘΕΟΠΟΥΛΑ</t>
  </si>
  <si>
    <t>Χ314825</t>
  </si>
  <si>
    <t>ΞΕΝΙΚΑ</t>
  </si>
  <si>
    <t>ΑΙ630250</t>
  </si>
  <si>
    <t>ΓΙΑΝΝΑΚΟΥΔΑΚΗ</t>
  </si>
  <si>
    <t>ΜΕΛΙΝΑ</t>
  </si>
  <si>
    <t>Π412829</t>
  </si>
  <si>
    <t xml:space="preserve">ΓΙΤΣΑ </t>
  </si>
  <si>
    <t xml:space="preserve">ΙΩΆΝΝΗΣ </t>
  </si>
  <si>
    <t>ΑΚ284840</t>
  </si>
  <si>
    <t>ΜΑΡΙΑ ΘΕΟΔΟΣΙΑ</t>
  </si>
  <si>
    <t>ΑΒ129901</t>
  </si>
  <si>
    <t>ΧΡΗΣΤΑΚΗ</t>
  </si>
  <si>
    <t>ΑΖ309565</t>
  </si>
  <si>
    <t>ΣΚΟΥΠΡΑ</t>
  </si>
  <si>
    <t>ΑΙ282525</t>
  </si>
  <si>
    <t>ΠΕΓΙΟΓΛΟΥ</t>
  </si>
  <si>
    <t>ΑΟ271852</t>
  </si>
  <si>
    <t>ΝΤΑΟΥΛΑ</t>
  </si>
  <si>
    <t>ΑΑ969241</t>
  </si>
  <si>
    <t>ΑΗ733981</t>
  </si>
  <si>
    <t>ΘΥΜΑΚΗ</t>
  </si>
  <si>
    <t>ΑΟ803588</t>
  </si>
  <si>
    <t>ΑΒ514397</t>
  </si>
  <si>
    <t>ΠΑΠΑΚΑΛΟΔΟΥΚΑ</t>
  </si>
  <si>
    <t>ΑΜ941498</t>
  </si>
  <si>
    <t>ΜΑΤΖΟΥΝΗ</t>
  </si>
  <si>
    <t>ΒΑΣΙΛΙΚΗ ΕΛΕΝΗ</t>
  </si>
  <si>
    <t>ΑΙ169994</t>
  </si>
  <si>
    <t>ΑΛΤΑΝΗ</t>
  </si>
  <si>
    <t>ΑΙ997602</t>
  </si>
  <si>
    <t>ΑΜ310808</t>
  </si>
  <si>
    <t>ΔΙΑΜΑΝΤΩ</t>
  </si>
  <si>
    <t>ΑΕ638415</t>
  </si>
  <si>
    <t>ΑΒΡΑΜΙΔΟΥ</t>
  </si>
  <si>
    <t>ΑΝ347796</t>
  </si>
  <si>
    <t>ΕΠΙΤΡΟΠΟΥ</t>
  </si>
  <si>
    <t>ΑΖ383373</t>
  </si>
  <si>
    <t>ΠΥΡΑΛΗ</t>
  </si>
  <si>
    <t>ΘΑΝΑΣΗΣ</t>
  </si>
  <si>
    <t>ΚΕΛΛΗ</t>
  </si>
  <si>
    <t>ΑΚ311724</t>
  </si>
  <si>
    <t>ΦΥΤΡΟΥ</t>
  </si>
  <si>
    <t>ΕΙΡΗΝΗ ΑΝΝΑ</t>
  </si>
  <si>
    <t>Σ998005</t>
  </si>
  <si>
    <t>ΜΑΚΡΙΔΟΥ</t>
  </si>
  <si>
    <t>ΑΗ341717</t>
  </si>
  <si>
    <t>ΑΚ981129</t>
  </si>
  <si>
    <t>ΧΑΤΖΗΣΤΑΥΡΙΔΟΥ</t>
  </si>
  <si>
    <t>ΑΗ908252</t>
  </si>
  <si>
    <t>ΑΜ031357</t>
  </si>
  <si>
    <t>ΓΡΑΨΑ</t>
  </si>
  <si>
    <t>ΑΚΡΙΒΟΥΛΑ</t>
  </si>
  <si>
    <t>Ν802530</t>
  </si>
  <si>
    <t>ΣΕΡΙΔΟΥ</t>
  </si>
  <si>
    <t>ΑΗ426892</t>
  </si>
  <si>
    <t>ΜΕΡΣΙΝΙ</t>
  </si>
  <si>
    <t>ΑΡΤΟΥΡ</t>
  </si>
  <si>
    <t>ΑΜ882136</t>
  </si>
  <si>
    <t>ΒΛΑΧΟΚΩΣΤΑ</t>
  </si>
  <si>
    <t>ΑΜ829611</t>
  </si>
  <si>
    <t>ΑΞΙΜΝΙΩΤΟΥ</t>
  </si>
  <si>
    <t>ΑΗ873494</t>
  </si>
  <si>
    <t>Ξ685876</t>
  </si>
  <si>
    <t>ΣΑΚΚΑΡΟΥ</t>
  </si>
  <si>
    <t>Χ950518</t>
  </si>
  <si>
    <t>ΜΑΡΗ</t>
  </si>
  <si>
    <t>Ρ506788</t>
  </si>
  <si>
    <t>ΡΙΖΟΥΛΗ</t>
  </si>
  <si>
    <t>ΑΟ491681</t>
  </si>
  <si>
    <t>ΕΓΓΛΕΖΟΥ</t>
  </si>
  <si>
    <t>ΑΗ174109</t>
  </si>
  <si>
    <t>ΑΝΑΣΤΑΣΙΑΔΟΥ</t>
  </si>
  <si>
    <t>ΑΖ817481</t>
  </si>
  <si>
    <t>ΠΑΡΑΣΚΕΥΟΥΛΑ</t>
  </si>
  <si>
    <t>ΑΙ189595</t>
  </si>
  <si>
    <t>ΔΟΙΤΣΙΝΗ</t>
  </si>
  <si>
    <t>ΑΗ009227</t>
  </si>
  <si>
    <t>ΚΑΝΤΑΡΕΛΗ</t>
  </si>
  <si>
    <t>Χ382714</t>
  </si>
  <si>
    <t>ΠΟΤΣΗ</t>
  </si>
  <si>
    <t>ΑΝ232872</t>
  </si>
  <si>
    <t>ΜΠΑΤΣΑΡΑ</t>
  </si>
  <si>
    <t>ΑΕ841940</t>
  </si>
  <si>
    <t>ΣΙΔΕΡΑ</t>
  </si>
  <si>
    <t>Χ818967</t>
  </si>
  <si>
    <t>ΕΛΕΝΗ ΜΑΡΙΑ</t>
  </si>
  <si>
    <t>ΑΗ298713</t>
  </si>
  <si>
    <t>ΞΑΝΘΟΠΟΥΛΟΥ</t>
  </si>
  <si>
    <t>ΑΖ295471</t>
  </si>
  <si>
    <t>ΑΗ892293</t>
  </si>
  <si>
    <t>ΓΕΛΑΔΑΡΗ</t>
  </si>
  <si>
    <t>ΑΕ668045</t>
  </si>
  <si>
    <t>ΑΟ260579</t>
  </si>
  <si>
    <t>ΧΙΩΝΗ</t>
  </si>
  <si>
    <t>Φ062699</t>
  </si>
  <si>
    <t>ΜΠΙΝΙΚΟΥ</t>
  </si>
  <si>
    <t>ΑΒ173644</t>
  </si>
  <si>
    <t>ΚΟΥΜΕΣΟΥ</t>
  </si>
  <si>
    <t>ΑΒ048290</t>
  </si>
  <si>
    <t>ΤΣΙΝΤΕΑ</t>
  </si>
  <si>
    <t>ΟΥΡΑΝΙΑ ΧΡΙΣΤΙΝΑ</t>
  </si>
  <si>
    <t>ΑΙ589562</t>
  </si>
  <si>
    <t>ΜΑΥΡΟΕΙΔΗ</t>
  </si>
  <si>
    <t xml:space="preserve">ΙΩΑΝΝΗΣ </t>
  </si>
  <si>
    <t>ΑΜ485110</t>
  </si>
  <si>
    <t>ΣΤΡΕΜΠΑ</t>
  </si>
  <si>
    <t>ΑΑ773414</t>
  </si>
  <si>
    <t xml:space="preserve">AΓΓΕΛΙΝΑ </t>
  </si>
  <si>
    <t>ΑΗ729023</t>
  </si>
  <si>
    <t>ΛΥΜΠΕΡΗ</t>
  </si>
  <si>
    <t>ΑΚ719685</t>
  </si>
  <si>
    <t>ΑΝ750251</t>
  </si>
  <si>
    <t>ΑΚ503818</t>
  </si>
  <si>
    <t>ΠΑΠΑΓΕΡΙΔΟΥ</t>
  </si>
  <si>
    <t>ΑΖ792982</t>
  </si>
  <si>
    <t>ΚΑΚΑΛΕ</t>
  </si>
  <si>
    <t>Χ392560</t>
  </si>
  <si>
    <t>ΛΩΛΗ</t>
  </si>
  <si>
    <t>ΑΖ240504</t>
  </si>
  <si>
    <t>ΓΚΟΥΒΑ</t>
  </si>
  <si>
    <t>ΚΩΝΣΤΑΝΤΟΥΛΑ</t>
  </si>
  <si>
    <t>ΑΒ773363</t>
  </si>
  <si>
    <t>ΑΖ197256</t>
  </si>
  <si>
    <t>ΡΑΠΤΗ</t>
  </si>
  <si>
    <t>Χ211526</t>
  </si>
  <si>
    <t>ΚΑΜΜΕΝΗ</t>
  </si>
  <si>
    <t>ΑΕ402511</t>
  </si>
  <si>
    <t>ΑΝ573189</t>
  </si>
  <si>
    <t>ΔΟΥΣΕΜΕΡΤΖΗ</t>
  </si>
  <si>
    <t>Σ353247</t>
  </si>
  <si>
    <t>ΑΕ814904</t>
  </si>
  <si>
    <t>ΚΟΡΚΟΝΤΖΕΛΟΥ</t>
  </si>
  <si>
    <t>Ξ755791</t>
  </si>
  <si>
    <t>ΨΥΛΛΙΔΟΥ</t>
  </si>
  <si>
    <t>Χ371342</t>
  </si>
  <si>
    <t>ΧΑΤΖΗΚΥΡΙΑΚΟΥ</t>
  </si>
  <si>
    <t>ΑΟ234563</t>
  </si>
  <si>
    <t>Χ729567</t>
  </si>
  <si>
    <t>ΤΣΙΑΚΑ</t>
  </si>
  <si>
    <t>ΑΖ262352</t>
  </si>
  <si>
    <t>ΠΡΑΤΑΝΟΥ</t>
  </si>
  <si>
    <t>ΑΙ708325</t>
  </si>
  <si>
    <t>ΜΟΥΓΚΑΣΗ</t>
  </si>
  <si>
    <t>ΑΙ686275</t>
  </si>
  <si>
    <t>ΠΑΡΑΣΚΑΚΗ</t>
  </si>
  <si>
    <t>ΑΙ467426</t>
  </si>
  <si>
    <t>ΧΑΤΣΙΟΥ</t>
  </si>
  <si>
    <t>ΑΗ320061</t>
  </si>
  <si>
    <t>ΑΔΑΜΟΥ</t>
  </si>
  <si>
    <t>ΑΝ329075</t>
  </si>
  <si>
    <t>ΣΟΥΒΛΑ</t>
  </si>
  <si>
    <t>ΑΕ964550</t>
  </si>
  <si>
    <t>ΤΣΕΛΕΠ ΟΣΜΑΝ</t>
  </si>
  <si>
    <t>ΧΑΣΑΝ</t>
  </si>
  <si>
    <t>ΧΟΥΣΕΙΝ</t>
  </si>
  <si>
    <t>ΑΝ398553</t>
  </si>
  <si>
    <t>ΑΙ209557</t>
  </si>
  <si>
    <t>ΠΑΡΑΣΚΕΥΑ</t>
  </si>
  <si>
    <t>ΙΩΑΝΗΗΣ</t>
  </si>
  <si>
    <t>ΑΙ163169</t>
  </si>
  <si>
    <t>ΣΙΜΗΤΑ</t>
  </si>
  <si>
    <t>ΑΙ296542</t>
  </si>
  <si>
    <t>ΠΑΠΑΝΩΤΑ</t>
  </si>
  <si>
    <t>ΑΕ845746</t>
  </si>
  <si>
    <t>ΚΑΤΩΤΟΙΚΙΔΟΥ</t>
  </si>
  <si>
    <t>ΛΕΜΟΝΙΑ</t>
  </si>
  <si>
    <t>Τ374566</t>
  </si>
  <si>
    <t>ΠΑΠΑΓΙΑΝΝΗ</t>
  </si>
  <si>
    <t>ΑΜ610579</t>
  </si>
  <si>
    <t>ΓΚΡΟΣ</t>
  </si>
  <si>
    <t>Χ648594</t>
  </si>
  <si>
    <t>ΜΑΥΡΟΥΔΗΣ</t>
  </si>
  <si>
    <t>ΑΜ680706</t>
  </si>
  <si>
    <t>ΦΡΑΓΚΙΣΚΑΤΟΥ</t>
  </si>
  <si>
    <t>ΣΑΒΒΟΥΛΑ</t>
  </si>
  <si>
    <t>ΑΙ200952</t>
  </si>
  <si>
    <t>ΓΡΑΙΚΟΥ</t>
  </si>
  <si>
    <t>ΑΝΔΡΕΑΣ ΓΕΩΡΓΙΟΣ</t>
  </si>
  <si>
    <t>ΑΖ756724</t>
  </si>
  <si>
    <t>ΚΟΝΤΑΞΑΚΗ</t>
  </si>
  <si>
    <t>ΑΕ092742</t>
  </si>
  <si>
    <t>ΑΜ398659</t>
  </si>
  <si>
    <t>ΡΑΓΙΟΥ</t>
  </si>
  <si>
    <t>Ρ874826</t>
  </si>
  <si>
    <t>ΑΝ349193</t>
  </si>
  <si>
    <t>ΣΑΡΡΗ</t>
  </si>
  <si>
    <t>ΑΝΑΣΤΑΣΙΑ ΜΑΡΙΑ</t>
  </si>
  <si>
    <t>ΑΙ150058</t>
  </si>
  <si>
    <t>ΑΚ025898</t>
  </si>
  <si>
    <t>ΔΡΑΓΑΣΙΑ</t>
  </si>
  <si>
    <t>ΑΟ225818</t>
  </si>
  <si>
    <t>ΑΙ376555</t>
  </si>
  <si>
    <t>ΠΑΡΤΟΥΛΑ</t>
  </si>
  <si>
    <t>ΑΝΝΕΤΑ</t>
  </si>
  <si>
    <t>ΑΜ415022</t>
  </si>
  <si>
    <t>ΑΖ888204</t>
  </si>
  <si>
    <t>ΓΙΟΡΤΑΜΕΛΗ</t>
  </si>
  <si>
    <t>Ρ265303</t>
  </si>
  <si>
    <t>ΛΑΜΠΡΟΥ</t>
  </si>
  <si>
    <t>ΑΝ290321</t>
  </si>
  <si>
    <t>ΚΟΙΝΗ</t>
  </si>
  <si>
    <t>ΑΝ797532</t>
  </si>
  <si>
    <t>ΑΟ253509</t>
  </si>
  <si>
    <t>ΑΖ799116</t>
  </si>
  <si>
    <t>ΤΑΚΚΟΥ</t>
  </si>
  <si>
    <t>ΑΖ814284</t>
  </si>
  <si>
    <t>ΚΟΤΣΩΝΗ</t>
  </si>
  <si>
    <t>Ξ750453</t>
  </si>
  <si>
    <t>ΙΝΤΖΙΡΤΖΗ</t>
  </si>
  <si>
    <t>ΑΖ625366</t>
  </si>
  <si>
    <t>ΓΑΒΡΙΗΛΟΓΛΟΥ</t>
  </si>
  <si>
    <t>ΑΖ887917</t>
  </si>
  <si>
    <t>ΚΑΡΦΕΝΙΑ</t>
  </si>
  <si>
    <t>ΑΕ990249</t>
  </si>
  <si>
    <t>ΤΣΙΟΥΛΑ</t>
  </si>
  <si>
    <t>ΑΗ186395</t>
  </si>
  <si>
    <t>ΡΟΥΣΗ</t>
  </si>
  <si>
    <t>ΑΜ117911</t>
  </si>
  <si>
    <t>ΙΑΤΡΟΠΟΥΛΟΥ</t>
  </si>
  <si>
    <t>ΑΒ075685</t>
  </si>
  <si>
    <t>ΣΟΦΙΕΛΗ</t>
  </si>
  <si>
    <t>Φ160341</t>
  </si>
  <si>
    <t>ΔΡΑΝΙΔΗ</t>
  </si>
  <si>
    <t>ΕΣΘΗΡ</t>
  </si>
  <si>
    <t>Χ091651</t>
  </si>
  <si>
    <t>ΔΑΣΚΑΛΟΥ</t>
  </si>
  <si>
    <t>Χ480763</t>
  </si>
  <si>
    <t>ΜΠΑΤΑΤΕΓΑ</t>
  </si>
  <si>
    <t>ΑΙ848602</t>
  </si>
  <si>
    <t>ΛΑΜΠΑΔΑΡΗ</t>
  </si>
  <si>
    <t>ΑΒ156160</t>
  </si>
  <si>
    <t>ΡΑΖΗ</t>
  </si>
  <si>
    <t>ΑΡΙΑΝΑ</t>
  </si>
  <si>
    <t>ΑΖ505483</t>
  </si>
  <si>
    <t>ΑΙ394261</t>
  </si>
  <si>
    <t>ΑΟ373057</t>
  </si>
  <si>
    <t>ΓΡΗΓΟΡΙΟΥ</t>
  </si>
  <si>
    <t>ΑΝ330974</t>
  </si>
  <si>
    <t>ΓΕΩΡΓΑΚΟΠΟΥΛΟΥ</t>
  </si>
  <si>
    <t>ΠΑΝΩΡΑΙΑ</t>
  </si>
  <si>
    <t>ΑΜ098039</t>
  </si>
  <si>
    <t>ΣΑΜΑΝΤΑ</t>
  </si>
  <si>
    <t>Χ668008</t>
  </si>
  <si>
    <t>ΓΚΑΓΚΑΣΤΑΘΗ</t>
  </si>
  <si>
    <t>ΑΡΧΟΝΤΗΣ</t>
  </si>
  <si>
    <t>ΑΖ771004</t>
  </si>
  <si>
    <t>ΟΡΚΟΠΟΥΛΟΥ</t>
  </si>
  <si>
    <t>ΠΑΝΑΓΙΩΤΑ ΗΛΕΚΤΡΑ</t>
  </si>
  <si>
    <t>ΑΜ241272</t>
  </si>
  <si>
    <t>ΑΚ413743</t>
  </si>
  <si>
    <t>ΝΤΑΒΡΑΖΟΥ</t>
  </si>
  <si>
    <t>ΝΙΚΗ ΝΕΚΤΑΡΙΑ</t>
  </si>
  <si>
    <t>ΑΚ393225</t>
  </si>
  <si>
    <t>ΑΕ365578</t>
  </si>
  <si>
    <t>ΜΥΤΑΦΙΔΟΥ</t>
  </si>
  <si>
    <t>ΑΕ081988</t>
  </si>
  <si>
    <t>ΠΕΛΤΕΚΗ</t>
  </si>
  <si>
    <t>ΥΠΑΤΙΑ</t>
  </si>
  <si>
    <t>ΑΝ696643</t>
  </si>
  <si>
    <t>ΑΗ682036</t>
  </si>
  <si>
    <t>ΜΑΓΛΕΝΙΔΟΥ</t>
  </si>
  <si>
    <t>ΑΖ819169</t>
  </si>
  <si>
    <t>ΑΗ775213</t>
  </si>
  <si>
    <t>ΔΑΜΚΑΟΥΤΗΣ</t>
  </si>
  <si>
    <t>ΑΕ358006</t>
  </si>
  <si>
    <t>ΑΙ793168</t>
  </si>
  <si>
    <t>ΚΡΙΚΑ</t>
  </si>
  <si>
    <t>ΑΖ262434</t>
  </si>
  <si>
    <t>ΚΟΤΣΑΛΗ</t>
  </si>
  <si>
    <t>ΑΖ261076</t>
  </si>
  <si>
    <t>ΤΟΤΣΑ</t>
  </si>
  <si>
    <t>ΑΒ870500</t>
  </si>
  <si>
    <t>ΚΥΡΑΝΟΥ</t>
  </si>
  <si>
    <t>ΑΕ366254</t>
  </si>
  <si>
    <t>ΜΠΟΥΡΕΞΗ</t>
  </si>
  <si>
    <t>ΑΕ253739</t>
  </si>
  <si>
    <t>ΛΑΛΑΟΥΝΗ</t>
  </si>
  <si>
    <t>Χ530176</t>
  </si>
  <si>
    <t>ΑΗ575343</t>
  </si>
  <si>
    <t>ΚΕΜΕΝΤΖΟΠΟΥΛΟΥ</t>
  </si>
  <si>
    <t>ΠΟΛΥΔΩΡΟΣ</t>
  </si>
  <si>
    <t>ΑΙ718585</t>
  </si>
  <si>
    <t>ΚΟΤΤΑΡΙΔΟΥ</t>
  </si>
  <si>
    <t>ΑΗ815890</t>
  </si>
  <si>
    <t>ΚΙΤΣΗ</t>
  </si>
  <si>
    <t>Ν785233</t>
  </si>
  <si>
    <t>ΠΑΠΑΠΑΝΟΥ</t>
  </si>
  <si>
    <t>ΑΙ105201</t>
  </si>
  <si>
    <t>ΑΡ370446</t>
  </si>
  <si>
    <t>ΧΡΙΣΤΟΦΟΡΙΔΟΥ</t>
  </si>
  <si>
    <t>ΧΡΙΣΤΟΦΟΡΟΣ</t>
  </si>
  <si>
    <t>ΑΗ884279</t>
  </si>
  <si>
    <t>ΑΚ918011</t>
  </si>
  <si>
    <t>ΑΤΑΛΑΣΙΔΟΥ ΚΑΡΑΝΤΙΝΗ</t>
  </si>
  <si>
    <t>ΑΗ829465</t>
  </si>
  <si>
    <t>ΑΚΡΙΒΟΥ</t>
  </si>
  <si>
    <t>ΑΟ362065</t>
  </si>
  <si>
    <t>ΤΣΟΤΡΑ</t>
  </si>
  <si>
    <t>ΑΜ224393</t>
  </si>
  <si>
    <t>ΑΝ182723</t>
  </si>
  <si>
    <t>ΑΗ802307</t>
  </si>
  <si>
    <t>ΣΜΙΤΑΚΗ</t>
  </si>
  <si>
    <t>Χ908681</t>
  </si>
  <si>
    <t>ΑΗ915317</t>
  </si>
  <si>
    <t>ΜΠΡΙΜΗ</t>
  </si>
  <si>
    <t>Σ869551</t>
  </si>
  <si>
    <t>ΠΑΡΠΟΥ</t>
  </si>
  <si>
    <t>ΑΕ342754</t>
  </si>
  <si>
    <t>ΑΙ138622</t>
  </si>
  <si>
    <t>ΚΟΥΡΤΕΛΗ</t>
  </si>
  <si>
    <t>ΑΓΓΕΛΑ</t>
  </si>
  <si>
    <t>ΑΝ411661</t>
  </si>
  <si>
    <t>ΜΑΥΡΟΜΑΤΗ</t>
  </si>
  <si>
    <t>ΑΕ203914</t>
  </si>
  <si>
    <t>ΜΠΙΣΙΡΗ</t>
  </si>
  <si>
    <t>Χ889608</t>
  </si>
  <si>
    <t>ΚΡΙΘΑΡΙΔΟΥ</t>
  </si>
  <si>
    <t>Χ987032</t>
  </si>
  <si>
    <t>ΤΖΩΡΤΖΗ</t>
  </si>
  <si>
    <t>ΑΟ571490</t>
  </si>
  <si>
    <t>ΑΖ345346</t>
  </si>
  <si>
    <t>ΚΑΛΤΕΚΗ</t>
  </si>
  <si>
    <t>ΑΙ847879</t>
  </si>
  <si>
    <t>ΑΡ342743</t>
  </si>
  <si>
    <t>ΜΑΣΟΥΡΗ</t>
  </si>
  <si>
    <t>ΑΖ984154</t>
  </si>
  <si>
    <t>ΑΗ005009</t>
  </si>
  <si>
    <t>ΤΖΙΜΑ</t>
  </si>
  <si>
    <t>ΑΜ354570</t>
  </si>
  <si>
    <t>ΠΕΡΩΝΗ</t>
  </si>
  <si>
    <t>ΑΜ286733</t>
  </si>
  <si>
    <t>ΦΡΕΙΔΕΡΙΚΗ</t>
  </si>
  <si>
    <t>ΑΗ800831</t>
  </si>
  <si>
    <t>ΣΩΤΗΡΙΟΥ</t>
  </si>
  <si>
    <t>ΑΖ348206</t>
  </si>
  <si>
    <t>ΑΙ220433</t>
  </si>
  <si>
    <t>ΤΖΑΒΕΛΛΑ</t>
  </si>
  <si>
    <t>ΑΖ341988</t>
  </si>
  <si>
    <t>ΒΑΡΔΙΑΜΠΑΣΗ</t>
  </si>
  <si>
    <t>ΑΒ045883</t>
  </si>
  <si>
    <t>ΔΕΣΠΟΥΔΗ</t>
  </si>
  <si>
    <t>ΑΗ845613</t>
  </si>
  <si>
    <t>ΡΟΥΣΟΓΙΑΝΝΗ</t>
  </si>
  <si>
    <t>ΑΒ769603</t>
  </si>
  <si>
    <t>ΣΤΕΦΟΥ</t>
  </si>
  <si>
    <t>ΑΙ872398</t>
  </si>
  <si>
    <t>ΜΠΑΤΖΟΓΙΑΝΝΗ</t>
  </si>
  <si>
    <t>ΑΙ885283</t>
  </si>
  <si>
    <t>ΑΗ272329</t>
  </si>
  <si>
    <t>ΛΙΑΠΟΠΟΥΛΟΥ</t>
  </si>
  <si>
    <t>ΑΗ707935</t>
  </si>
  <si>
    <t>ΑΗ272944</t>
  </si>
  <si>
    <t>ΑΚ935116</t>
  </si>
  <si>
    <t>Ρ363836</t>
  </si>
  <si>
    <t>ΝΙΤΣΟΥ</t>
  </si>
  <si>
    <t>ΑΟ327575</t>
  </si>
  <si>
    <t>ΜΠΕΝΤΙΛΑ</t>
  </si>
  <si>
    <t>ΑΖ331106</t>
  </si>
  <si>
    <t>ΑΛΕΞΙΔΟΥ</t>
  </si>
  <si>
    <t>ΑΙ908250</t>
  </si>
  <si>
    <t>ΔΕΛΗΓΙΑΝΝΗ</t>
  </si>
  <si>
    <t>ΑΗ605542</t>
  </si>
  <si>
    <t>ΚΟΥΤΣΟΥΚΗ</t>
  </si>
  <si>
    <t>ΑΕ250855</t>
  </si>
  <si>
    <t>ΠΑΠΠΑ ΤΟΥΡΛΑ</t>
  </si>
  <si>
    <t>ΣΑΝΤΑ</t>
  </si>
  <si>
    <t>ΑΚ397373</t>
  </si>
  <si>
    <t>ΜΠΟΥΤΚΟΒΑΛΗΣ</t>
  </si>
  <si>
    <t>ΑΙ728612</t>
  </si>
  <si>
    <t>ΜΑΡΙΑ ΖΩΗ</t>
  </si>
  <si>
    <t>Χ640423</t>
  </si>
  <si>
    <t>ΒΑΣΙΛIKH</t>
  </si>
  <si>
    <t>ΑΒ016900</t>
  </si>
  <si>
    <t>Σ599950</t>
  </si>
  <si>
    <t>ΕΥΑΓΓΕΛΟΠΟΥΛΟΥ</t>
  </si>
  <si>
    <t>ΑΗ791235</t>
  </si>
  <si>
    <t>ΚΟΥΤΣΜΑΝΗ</t>
  </si>
  <si>
    <t xml:space="preserve">ΕΛΕΝΗ ΓΑΡΥΦΑΛΛΙΑ </t>
  </si>
  <si>
    <t>ΑΗ689129</t>
  </si>
  <si>
    <t>ΜΠΑΜΠΑΛΗ</t>
  </si>
  <si>
    <t>ΑΚ785879</t>
  </si>
  <si>
    <t>ΧΑΤΖΗΜΑΝΩΛΗ</t>
  </si>
  <si>
    <t>ΑΝΤΡΙΑΝΑ</t>
  </si>
  <si>
    <t>ΑΝ693290</t>
  </si>
  <si>
    <t>ΑΜ266676</t>
  </si>
  <si>
    <t>ΤΣΑΝΑΚΑ</t>
  </si>
  <si>
    <t>ΠΑΥΛΙΝΑ ΡΑΦΑΗΛΑ</t>
  </si>
  <si>
    <t>ΑΜ364631</t>
  </si>
  <si>
    <t>ΤΣΑΓΓΑΛΑ</t>
  </si>
  <si>
    <t>Χ874797</t>
  </si>
  <si>
    <t>ΧΑΡΙΣΗ</t>
  </si>
  <si>
    <t>ΑΟ942653</t>
  </si>
  <si>
    <t>ΚΟΚΚΙΝΑΚΗ</t>
  </si>
  <si>
    <t>Χ997898</t>
  </si>
  <si>
    <t>ΣΚΟΥΝΑΚΗ</t>
  </si>
  <si>
    <t>ΑΟ800080</t>
  </si>
  <si>
    <t>ΜΑΡΙΟΒΑ</t>
  </si>
  <si>
    <t>ΑΗ800069</t>
  </si>
  <si>
    <t>ΠΟΓΕΛΗ</t>
  </si>
  <si>
    <t>ΑΙ893732</t>
  </si>
  <si>
    <t>ΑΝΑΝΙΑΔΟΥ</t>
  </si>
  <si>
    <t>ΤΙΜΟΘΕΟΣ</t>
  </si>
  <si>
    <t>ΑΙ199137</t>
  </si>
  <si>
    <t>ΑΖ505964</t>
  </si>
  <si>
    <t>ΝΙΣΤΕΛΚΑ</t>
  </si>
  <si>
    <t>ΑΒ441376</t>
  </si>
  <si>
    <t>Σ901207</t>
  </si>
  <si>
    <t>ΘΕΟΔΟΥΛΑ</t>
  </si>
  <si>
    <t>ΑΕ142125</t>
  </si>
  <si>
    <t>ΜΑΤΖΑΡΑΚΗ</t>
  </si>
  <si>
    <t>ΑΜ850411</t>
  </si>
  <si>
    <t>ΔΑΧΗ</t>
  </si>
  <si>
    <t>Χ449761</t>
  </si>
  <si>
    <t>ΚΑΡΛΑΥΤΗ</t>
  </si>
  <si>
    <t>ΑΚ372501</t>
  </si>
  <si>
    <t>ΧΑΒΔΟΥΛΑ</t>
  </si>
  <si>
    <t>ΑΟ733743</t>
  </si>
  <si>
    <t xml:space="preserve">ΝΙΚΟΛΕΤΑ </t>
  </si>
  <si>
    <t>ΑΖ645415</t>
  </si>
  <si>
    <t>ΚΑΡΟΥΣΟΥ</t>
  </si>
  <si>
    <t>ΜΑΡΙΑ ΑΝΑΣΤΑΣΙΑ</t>
  </si>
  <si>
    <t>ΑΕ615639</t>
  </si>
  <si>
    <t>ΚΟΥΡΕΑ</t>
  </si>
  <si>
    <t>ΑΖ143396</t>
  </si>
  <si>
    <t>ΚΑΡΑΣΤΑΜΟΥ</t>
  </si>
  <si>
    <t>ΑΜ485442</t>
  </si>
  <si>
    <t>ΠΑΠΑΝΤΣΙΟΥ</t>
  </si>
  <si>
    <t>ΑΟ413465</t>
  </si>
  <si>
    <t>ΖΑΡΒΑΛΗ</t>
  </si>
  <si>
    <t>ΑΚ254701</t>
  </si>
  <si>
    <t>ΚΑΣΑΠΗ</t>
  </si>
  <si>
    <t>ΑΝΤΙΟΠΗ</t>
  </si>
  <si>
    <t>ΑΟ764879</t>
  </si>
  <si>
    <t>ΑΕ137234</t>
  </si>
  <si>
    <t>ΛΙΟΛΙΟΥ ΑΘΑΝΑΣΟΠΟΥΛΟΥ</t>
  </si>
  <si>
    <t>ΑΖ603251</t>
  </si>
  <si>
    <t>ΓΟΓΟΛΑ</t>
  </si>
  <si>
    <t>ΑΙ233636</t>
  </si>
  <si>
    <t>ΔΟΥΝΙΑ</t>
  </si>
  <si>
    <t>ΑΒ660303</t>
  </si>
  <si>
    <t>ΦΩΛΟΥ</t>
  </si>
  <si>
    <t>Χ273489</t>
  </si>
  <si>
    <t>ΧΑΤΖΑΚΟΥ</t>
  </si>
  <si>
    <t>ΔΗΜΉΤΡΙΟΣ</t>
  </si>
  <si>
    <t>ΑΚ907358</t>
  </si>
  <si>
    <t>ΠΛΕΣΣΑ</t>
  </si>
  <si>
    <t>ΓΕΡΑΣΙΜΙΑ</t>
  </si>
  <si>
    <t>ΑΗ216440</t>
  </si>
  <si>
    <t>ΒΑΜΒΑΚΟΥ</t>
  </si>
  <si>
    <t>ΑΜ841166</t>
  </si>
  <si>
    <t>ΚΟΚΟΛΑΚΗ</t>
  </si>
  <si>
    <t>ΑΙ456970</t>
  </si>
  <si>
    <t>ΑΒ433451</t>
  </si>
  <si>
    <t>ΟΥΣΤΑ</t>
  </si>
  <si>
    <t>ΑΝ374829</t>
  </si>
  <si>
    <t>ΜΑΝΑΡΑ</t>
  </si>
  <si>
    <t>ΑΟ631190</t>
  </si>
  <si>
    <t>ΠΑΠΑΛΑΜΠΡΟΠΟΥΛΟΥ</t>
  </si>
  <si>
    <t>ΑΝ516910</t>
  </si>
  <si>
    <t>ΚΑΛΕΜΗ</t>
  </si>
  <si>
    <t>Π433605</t>
  </si>
  <si>
    <t>ΡΟΥΠΑ</t>
  </si>
  <si>
    <t>ΜΙΧΑΗΛΙΑ</t>
  </si>
  <si>
    <t>ΑΒ708092</t>
  </si>
  <si>
    <t>ΤΣΙΠΗ</t>
  </si>
  <si>
    <t>ΜΑΞΙΜ</t>
  </si>
  <si>
    <t>ΑΝ625759</t>
  </si>
  <si>
    <t>ΕΜΜΑΝΟΥΕΛΑ</t>
  </si>
  <si>
    <t>ΑΙ938026</t>
  </si>
  <si>
    <t>ΣΑΡΡΑ</t>
  </si>
  <si>
    <t>Σ023187</t>
  </si>
  <si>
    <t>ΜΠΑΡΟΥΤΣΟΥ</t>
  </si>
  <si>
    <t>Χ434297</t>
  </si>
  <si>
    <t>ΝΤΟΡΙΖΑ</t>
  </si>
  <si>
    <t>ΑΙ125205</t>
  </si>
  <si>
    <t>ΤΣΙΟΥΠΡΟΥ</t>
  </si>
  <si>
    <t>ΑΒ445758</t>
  </si>
  <si>
    <t>ΒΑΛΑΣΟΠΟΥΛΟΥ</t>
  </si>
  <si>
    <t>ΒΗΣΣΑΡΙΟΣ</t>
  </si>
  <si>
    <t>ΑΑ431176</t>
  </si>
  <si>
    <t>ΑΙ271037</t>
  </si>
  <si>
    <t>ΚΑΨΗ</t>
  </si>
  <si>
    <t>ΑΚ222901</t>
  </si>
  <si>
    <t>ΑΗ352606</t>
  </si>
  <si>
    <t>ΜΠΑΡΚΑ</t>
  </si>
  <si>
    <t>ΓΙΩΡΓΟΣ</t>
  </si>
  <si>
    <t>ΑΗ221906</t>
  </si>
  <si>
    <t>ΓΚΟΥΓΚΟΥΡΔΗ</t>
  </si>
  <si>
    <t>ΑΕ924581</t>
  </si>
  <si>
    <t>ΚΟΥΡΑΓΙΟΥ</t>
  </si>
  <si>
    <t>ΑΖ641772</t>
  </si>
  <si>
    <t>ΑΒΟΚΑΤΟΥ</t>
  </si>
  <si>
    <t>ΑΖ397758</t>
  </si>
  <si>
    <t>ΒΥΤΙΝΙΔΟΥ</t>
  </si>
  <si>
    <t>ΑΖ907692</t>
  </si>
  <si>
    <t>ΛΙΟΒΑ</t>
  </si>
  <si>
    <t>ΑΗ763062</t>
  </si>
  <si>
    <t>KOYNA</t>
  </si>
  <si>
    <t>ΑΚ069308</t>
  </si>
  <si>
    <t>ΠΑΤΕΡΑ</t>
  </si>
  <si>
    <t>ΑΖ813445</t>
  </si>
  <si>
    <t>ΑΙ176215</t>
  </si>
  <si>
    <t>ΚΕΡΑΤΣΗ</t>
  </si>
  <si>
    <t>ΚΥΡΙΑΚΟΥΛΑ</t>
  </si>
  <si>
    <t>Χ686867</t>
  </si>
  <si>
    <t>ΜΠΑΡΛΑ</t>
  </si>
  <si>
    <t>ΑΒ077707</t>
  </si>
  <si>
    <t>ΣΤΡΑΒΟΔΗΜΟΥ</t>
  </si>
  <si>
    <t>Σ788408</t>
  </si>
  <si>
    <t>ΤΡΙΤΣΙΝΙΩΤΟΥ</t>
  </si>
  <si>
    <t>ΑΒ321987</t>
  </si>
  <si>
    <t>ΚΙΤΣΟΥ</t>
  </si>
  <si>
    <t>ΑΒ744199</t>
  </si>
  <si>
    <t>ΑΕ270899</t>
  </si>
  <si>
    <t>ΡΟΥΜΠΟΥ</t>
  </si>
  <si>
    <t>ΠΑΤΡΑ ΕΙΡΗΝΗ</t>
  </si>
  <si>
    <t>ΑΚ958438</t>
  </si>
  <si>
    <t>ΠΑΖΑΡΑ</t>
  </si>
  <si>
    <t>Τ065800</t>
  </si>
  <si>
    <t>Χ448285</t>
  </si>
  <si>
    <t>ΣΠΟΡΙΔΟΥ</t>
  </si>
  <si>
    <t>ΑΖ279149</t>
  </si>
  <si>
    <t>ΜΕΛΛΙΟΥ</t>
  </si>
  <si>
    <t>ΑΚ983045</t>
  </si>
  <si>
    <t>ΚΟΣΜΙΔΗ</t>
  </si>
  <si>
    <t>ΑΜ228007</t>
  </si>
  <si>
    <t>ΜΙΣΚΟΥ</t>
  </si>
  <si>
    <t>ΑΖ309930</t>
  </si>
  <si>
    <t>ΑΟ327598</t>
  </si>
  <si>
    <t>ΓΕΡΑΚΗ</t>
  </si>
  <si>
    <t>ΧΡΙΣΤΟΔΟΥΛΟΣ</t>
  </si>
  <si>
    <t>ΑΒ359140</t>
  </si>
  <si>
    <t>ΠΟΛΙΟΥ</t>
  </si>
  <si>
    <t xml:space="preserve"> ΕΛΛΗ</t>
  </si>
  <si>
    <t>ΝΙΚΗΦΟΡΟΣ</t>
  </si>
  <si>
    <t>ΑΝ986135</t>
  </si>
  <si>
    <t>ΒΛΑΧΟΠΟΥΛΟΥ</t>
  </si>
  <si>
    <t>ΑΕ395560</t>
  </si>
  <si>
    <t>ΑΒ707225</t>
  </si>
  <si>
    <t>ΑΖ467709</t>
  </si>
  <si>
    <t>ΓΚΥΘΩΝΑ</t>
  </si>
  <si>
    <t>ΑΚΡΙΒΗ</t>
  </si>
  <si>
    <t>ΑΕ315282</t>
  </si>
  <si>
    <t>Φ055665</t>
  </si>
  <si>
    <t>ΧΛΙΑΡΑ</t>
  </si>
  <si>
    <t>Τ372160</t>
  </si>
  <si>
    <t>ΜΗΝΟΥ</t>
  </si>
  <si>
    <t>ΑΙ877526</t>
  </si>
  <si>
    <t>ΤΟΧΟΥΜΤΖΗ</t>
  </si>
  <si>
    <t>ΑΖ645133</t>
  </si>
  <si>
    <t>ΛΑΛΟΥ</t>
  </si>
  <si>
    <t>ΑΡΧΟΝΤΟΥΛΑ</t>
  </si>
  <si>
    <t>Ρ280032</t>
  </si>
  <si>
    <t>ΝΕΛΛΑ</t>
  </si>
  <si>
    <t>Τ268320</t>
  </si>
  <si>
    <t>ΑΜ825868</t>
  </si>
  <si>
    <t>ΧΑΡΙΤΟΥ</t>
  </si>
  <si>
    <t>ΑΟ803317</t>
  </si>
  <si>
    <t>ΣΥΡΙΓΟΥ</t>
  </si>
  <si>
    <t>Ρ294827</t>
  </si>
  <si>
    <t>ΜΑΚΑΡΟΝΑ</t>
  </si>
  <si>
    <t>ΜΑΛΑΜΑ</t>
  </si>
  <si>
    <t>ΑΙ481238</t>
  </si>
  <si>
    <t>ΖΑΠΑΤΙΝΑ</t>
  </si>
  <si>
    <t>ΦΙΛΙΠΠΙΑ</t>
  </si>
  <si>
    <t>ΑΖ122551</t>
  </si>
  <si>
    <t>ΑΕ735662</t>
  </si>
  <si>
    <t>ΚΑΜΠΑ</t>
  </si>
  <si>
    <t>ΑΖ559021</t>
  </si>
  <si>
    <t>ΣΜΠΥΡΑΚΗ</t>
  </si>
  <si>
    <t>Χ494737</t>
  </si>
  <si>
    <t>ΑΚ901153</t>
  </si>
  <si>
    <t>ΚΕΧΑΓΙΑ</t>
  </si>
  <si>
    <t>ΣΤΈΡΓΙΟΣ</t>
  </si>
  <si>
    <t>ΑΜ822864</t>
  </si>
  <si>
    <t>ΜΑΣΤΟΡΟΔΗΜΟΥ</t>
  </si>
  <si>
    <t>ΑΚ964261</t>
  </si>
  <si>
    <t>ΑΜ295297</t>
  </si>
  <si>
    <t>ΚΟΣΠΑΝΤΣΙΔΟΥ</t>
  </si>
  <si>
    <t>ΑΖ924658</t>
  </si>
  <si>
    <t>ΤΖΑΓΚΑ</t>
  </si>
  <si>
    <t>ΑΗ356845</t>
  </si>
  <si>
    <t>ΑΕ509286</t>
  </si>
  <si>
    <t>ΣΧΟΙΝΑΡΑΚΗ</t>
  </si>
  <si>
    <t>ΑΖ966334</t>
  </si>
  <si>
    <t>ΑΝ709330</t>
  </si>
  <si>
    <t>ΑΙ455185</t>
  </si>
  <si>
    <t>ΑΠΟΣΤΟΛΑΚΗ</t>
  </si>
  <si>
    <t>ΑΙ257543</t>
  </si>
  <si>
    <t>ΠΑΡΑΣΧΟΥ</t>
  </si>
  <si>
    <t>ΑΚ053824</t>
  </si>
  <si>
    <t>ΑΙ660229</t>
  </si>
  <si>
    <t>ΟΛΕΝΟΓΛΟΥ</t>
  </si>
  <si>
    <t>ΑΜ153394</t>
  </si>
  <si>
    <t>ΓΙΑΝΝΑΤΟΥ</t>
  </si>
  <si>
    <t>ΑΖ090944</t>
  </si>
  <si>
    <t>ΡΑΦΤΗ</t>
  </si>
  <si>
    <t>ΑΙ816098</t>
  </si>
  <si>
    <t>ΔΑΡΔΟΥΜΑ</t>
  </si>
  <si>
    <t>ΑΕ987194</t>
  </si>
  <si>
    <t>ΚΥΠΡΙΑΝΟΥ</t>
  </si>
  <si>
    <t>ΑΒ320328</t>
  </si>
  <si>
    <t>ΚΟΤΣΟΓΛΟΥ</t>
  </si>
  <si>
    <t>ΑΖ907087</t>
  </si>
  <si>
    <t>ΚΥΡΙΑΚΙΔΗΣ</t>
  </si>
  <si>
    <t>ΙΣΑΑΚ</t>
  </si>
  <si>
    <t>ΑΝ762523</t>
  </si>
  <si>
    <t>ΚΑΡΙΜΠΑ</t>
  </si>
  <si>
    <t>ΖΩΗΣ</t>
  </si>
  <si>
    <t>ΑΜ755235</t>
  </si>
  <si>
    <t>ΤΣΑΚΥΡΟΓΛΟΥ</t>
  </si>
  <si>
    <t>ΑΜ274515</t>
  </si>
  <si>
    <t>ΘΕΟΔΩΡΙΔΗ</t>
  </si>
  <si>
    <t>ΑΖ821829</t>
  </si>
  <si>
    <t>ΤΣΙΧΛΑΚΗ</t>
  </si>
  <si>
    <t xml:space="preserve">ΜΑΡΙΑ ΕΛΕΥΘΕΡΙΑ </t>
  </si>
  <si>
    <t>ΑΙ971726</t>
  </si>
  <si>
    <t>ΧΑΤΖΗΑΠΟΣΤΟΛΟΥ</t>
  </si>
  <si>
    <t>Χ887557</t>
  </si>
  <si>
    <t>ΦΩΤΕΙΝΑΚΗ</t>
  </si>
  <si>
    <t>ΑΜ771363</t>
  </si>
  <si>
    <t>ΜΑΓΚΟΥΤΑ</t>
  </si>
  <si>
    <t>ΑΖ477175</t>
  </si>
  <si>
    <t>ΑΚ886412</t>
  </si>
  <si>
    <t>ΓΑΣΠΑΡΙΝΑΤΟΥ</t>
  </si>
  <si>
    <t>ΑΒ756575</t>
  </si>
  <si>
    <t>ΝΟΝΟΓΛΟΥ</t>
  </si>
  <si>
    <t>ΑΗ279033</t>
  </si>
  <si>
    <t>ΠΙΣΚΙΛΟΠΟΥΛΟΥ</t>
  </si>
  <si>
    <t>ΑΟ277685</t>
  </si>
  <si>
    <t>ΑΒ384314</t>
  </si>
  <si>
    <t>Μ746333</t>
  </si>
  <si>
    <t>ΔΕΛΙΟΥ</t>
  </si>
  <si>
    <t>AΠΟΣΤΟΛΟΣ</t>
  </si>
  <si>
    <t>ΑΟ207513</t>
  </si>
  <si>
    <t>ΠΑΠΑΠΑΥΛΟΥ</t>
  </si>
  <si>
    <t>ΠΕΡΣΕΦΩΝΗ</t>
  </si>
  <si>
    <t>ΑΒ177007</t>
  </si>
  <si>
    <t>ΤΑΣΙΚΑ</t>
  </si>
  <si>
    <t>ΑΖ300585</t>
  </si>
  <si>
    <t>ΚΑΛΤΑΣΗ</t>
  </si>
  <si>
    <t>ΑΗ767215</t>
  </si>
  <si>
    <t>ΑΒ585531</t>
  </si>
  <si>
    <t>ΧΑΧΛΙΟΥΤΑΚΗ</t>
  </si>
  <si>
    <t>ΧΡΥΣΗ ΕΙΡΗΝΗ</t>
  </si>
  <si>
    <t>Χ849654</t>
  </si>
  <si>
    <t>ΑΕ696813</t>
  </si>
  <si>
    <t>ΣΚΟΥΠΡΑΣ</t>
  </si>
  <si>
    <t>ΑΗ825670</t>
  </si>
  <si>
    <t>ΓΚΙΟΥΡΟΥ</t>
  </si>
  <si>
    <t>ΑΙ349963</t>
  </si>
  <si>
    <t>ΒΑΖΗ</t>
  </si>
  <si>
    <t>ΑΝ338802</t>
  </si>
  <si>
    <t>ΜΑΛΑΓΚΟΥΡΑ</t>
  </si>
  <si>
    <t>ΑΝΔΡΕΑΝΑ</t>
  </si>
  <si>
    <t>ΑΑ466975</t>
  </si>
  <si>
    <t>ΑΖ887388</t>
  </si>
  <si>
    <t>ΚΥΛΙΑΚΟΥΔΗΣ</t>
  </si>
  <si>
    <t>ΑΜ203280</t>
  </si>
  <si>
    <t>ΝΟΕΑ</t>
  </si>
  <si>
    <t>ΑΕ510758</t>
  </si>
  <si>
    <t>ΑΙ323595</t>
  </si>
  <si>
    <t>ΑΖ322024</t>
  </si>
  <si>
    <t>ΜΠΑΜΗ</t>
  </si>
  <si>
    <t>ΑΛΕΚΟΣ</t>
  </si>
  <si>
    <t>ΑΚ534538</t>
  </si>
  <si>
    <t>ΚΑΡΑΣΜΑΝΑΚΗ</t>
  </si>
  <si>
    <t>ΑΒ925956</t>
  </si>
  <si>
    <t>ΤΣΑΜΠΑ</t>
  </si>
  <si>
    <t>ΑΝ801351</t>
  </si>
  <si>
    <t>ΓΚΟΡΤΣΙΟΥ</t>
  </si>
  <si>
    <t>ΑΖ832395</t>
  </si>
  <si>
    <t>ΝΑΛΠΑΝΤΙΔΟΥ</t>
  </si>
  <si>
    <t>ΑΟ158342</t>
  </si>
  <si>
    <t>ΑΛΜΠΕΡΤΟΥ</t>
  </si>
  <si>
    <t>ΑΑ243641</t>
  </si>
  <si>
    <t>ΚΟΚΚΙΝΕΛΛΗ</t>
  </si>
  <si>
    <t>ΕΥΛΑΜΠΙΑ</t>
  </si>
  <si>
    <t>Λ786373</t>
  </si>
  <si>
    <t>ΣΙΑΛΒΕΡΑ</t>
  </si>
  <si>
    <t>ΛΑΖΑΡΟΣ ΚΛΕΙΤΟΣ</t>
  </si>
  <si>
    <t>ΑΒ434038</t>
  </si>
  <si>
    <t>ΑΙ714157</t>
  </si>
  <si>
    <t>ΚΟΥΓΙΟΥΜΤΖΙΔΟΥ</t>
  </si>
  <si>
    <t>ΑΜ409445</t>
  </si>
  <si>
    <t>ΜΑΥΡΟΓΕΝΝΙΔΟΥ</t>
  </si>
  <si>
    <t>ΑΕ816000</t>
  </si>
  <si>
    <t>ΛΙΑΚΟΣ</t>
  </si>
  <si>
    <t>ΔΗΗΜΗΤΡΙΟΣ</t>
  </si>
  <si>
    <t>Σ089719</t>
  </si>
  <si>
    <t>ΑΙ404590</t>
  </si>
  <si>
    <t>ΠΥΡΛΗ</t>
  </si>
  <si>
    <t>Φ244548</t>
  </si>
  <si>
    <t>ΜΠΕΙΚΟΥ</t>
  </si>
  <si>
    <t>ΑΖ290587</t>
  </si>
  <si>
    <t>ΚΟΡΝΑΡΟΠΟΥΛΟΥ</t>
  </si>
  <si>
    <t>ΑΟ455452</t>
  </si>
  <si>
    <t>ΦΡΟΥΝΤΑ</t>
  </si>
  <si>
    <t>ΑΒ380086</t>
  </si>
  <si>
    <t>ΣΤΑΥΓΙΑΝΟΥΔΑΚΗ</t>
  </si>
  <si>
    <t>ΜΑΛΑΜΑΤΕΝΙΑ</t>
  </si>
  <si>
    <t>Χ461249</t>
  </si>
  <si>
    <t>ΣΟΦΙΑΝΟΥ</t>
  </si>
  <si>
    <t>ΑΚ029616</t>
  </si>
  <si>
    <t>ΚΩΝΣΤΑΝΤΑΤΟΥ ΒΑΣΙΛΑΚΗ</t>
  </si>
  <si>
    <t>ΑΚ026864</t>
  </si>
  <si>
    <t>ΓΚΑΡΕΛΗ</t>
  </si>
  <si>
    <t>ΡΟΙΔΟΥΛΑ</t>
  </si>
  <si>
    <t>ΑΖ820909</t>
  </si>
  <si>
    <t>ΚΟΥΣΤΙΑΝΗ</t>
  </si>
  <si>
    <t>ΑΑ942198</t>
  </si>
  <si>
    <t>ΛΥΝΤΙΑ</t>
  </si>
  <si>
    <t>ΑΕ929179</t>
  </si>
  <si>
    <t>ΣΑΜΑΡΑ</t>
  </si>
  <si>
    <t>ΑΟ351954</t>
  </si>
  <si>
    <t>ΝΗΣΤΙΚΑΚΗ</t>
  </si>
  <si>
    <t>ΑΙ942722</t>
  </si>
  <si>
    <t>ΑΡΒΑΝΙΤΙΔΟΥ</t>
  </si>
  <si>
    <t>ΑΜ104028</t>
  </si>
  <si>
    <t>ΣΟΥΛΑΝΤΩΝΗ</t>
  </si>
  <si>
    <t>ΑΒ283879</t>
  </si>
  <si>
    <t>ΚΑΡΠΑΘΙΩΤΑΚΗ</t>
  </si>
  <si>
    <t>ΑΟ427550</t>
  </si>
  <si>
    <t>ΨΕΙΡΑ</t>
  </si>
  <si>
    <t>ΑΖ405125</t>
  </si>
  <si>
    <t>ΞΕΚΟΥΚΟΥΛΩΤΑΚΗ</t>
  </si>
  <si>
    <t>ΑΜ977668</t>
  </si>
  <si>
    <t>ΝΙΚΟΛΗ</t>
  </si>
  <si>
    <t xml:space="preserve">ΠΕΛΑΓΙΑ </t>
  </si>
  <si>
    <t>ΑΚ197705</t>
  </si>
  <si>
    <t>ΑΓΓΕΛΟΠΟΥΛΟΥ ΠΑΠΑΔΟΠΟΥΛΟΥ</t>
  </si>
  <si>
    <t>ΑΙ984943</t>
  </si>
  <si>
    <t>ΣΙΩΜΟΥ</t>
  </si>
  <si>
    <t>ΑΑ870530</t>
  </si>
  <si>
    <t>ΕΜΕΡΕΤΛΗ</t>
  </si>
  <si>
    <t>ΤΑΤΙΑΝΑ</t>
  </si>
  <si>
    <t>ΑΑ269166</t>
  </si>
  <si>
    <t>ΑΑ397333</t>
  </si>
  <si>
    <t>Σ779873</t>
  </si>
  <si>
    <t>ΜΠΟΥΤΣΗ</t>
  </si>
  <si>
    <t>ΑΑ789674</t>
  </si>
  <si>
    <t>ΑΗ492168</t>
  </si>
  <si>
    <t>ΔΑΜΙΑΝΙΔΟΥ</t>
  </si>
  <si>
    <t>ΑΗ412956</t>
  </si>
  <si>
    <t>Ρ320431</t>
  </si>
  <si>
    <t>ΦΩΤΙΟΥ</t>
  </si>
  <si>
    <t>Χ457642</t>
  </si>
  <si>
    <t>ΤΣΔΟΥΚΛΟΥΚΗ</t>
  </si>
  <si>
    <t>ΑΝ789645</t>
  </si>
  <si>
    <t>ΜΠΛΟΥΝΑ</t>
  </si>
  <si>
    <t>ΑΙ981105</t>
  </si>
  <si>
    <t>Ρ317736</t>
  </si>
  <si>
    <t>ΦΥΤΑ</t>
  </si>
  <si>
    <t>ΑΗ122925</t>
  </si>
  <si>
    <t>ΚΕΤΟΓΛΟΥ</t>
  </si>
  <si>
    <t>ΑΒ723797</t>
  </si>
  <si>
    <t>ΣΗΜΕΛΑ</t>
  </si>
  <si>
    <t>ΑΑ412124</t>
  </si>
  <si>
    <t>ΦΟΥΡΛΗ</t>
  </si>
  <si>
    <t>ΑΑ225844</t>
  </si>
  <si>
    <t>ΖΑΠΟΥΛΙΔΟΥ</t>
  </si>
  <si>
    <t>ΑΝ744651</t>
  </si>
  <si>
    <t>ΑΣΠΡΟΠΟΥΛΟΥ</t>
  </si>
  <si>
    <t>ΑΕ763554</t>
  </si>
  <si>
    <t>ΠΑΤΑΡΙΔΟΥ</t>
  </si>
  <si>
    <t>ΑΜ874148</t>
  </si>
  <si>
    <t>ΑΚ310430</t>
  </si>
  <si>
    <t>ΘΕΟΔΟΣΙΑ</t>
  </si>
  <si>
    <t>ΑΗ886326</t>
  </si>
  <si>
    <t>ΖΑΦΕΙΡΩ</t>
  </si>
  <si>
    <t>ΑΟ269526</t>
  </si>
  <si>
    <t>ΑΟ410189</t>
  </si>
  <si>
    <t>ΚΟΓΙΑ</t>
  </si>
  <si>
    <t>ΑΑ235535</t>
  </si>
  <si>
    <t>ΑΚ104481</t>
  </si>
  <si>
    <t>ΓΑΛΑΝΑΚΟΠΟΥΛΟΥ</t>
  </si>
  <si>
    <t>ΑΚ343166</t>
  </si>
  <si>
    <t>ΚΑΠΟΥΡΓΙΑΝΝΙΔΟΥ</t>
  </si>
  <si>
    <t>ΑΡ280051</t>
  </si>
  <si>
    <t>ΑΓΓΕΛΙΝΑ</t>
  </si>
  <si>
    <t>ΑΚ336805</t>
  </si>
  <si>
    <t>ΧΕΚΙΜΙΔΗ</t>
  </si>
  <si>
    <t>Χ503953</t>
  </si>
  <si>
    <t>ΠΕΡΡΑΚΗ</t>
  </si>
  <si>
    <t>ΑΚ710625</t>
  </si>
  <si>
    <t>ΜΟΥΤΣΟΠΟΥΛΟΥ</t>
  </si>
  <si>
    <t>Χ758369</t>
  </si>
  <si>
    <t>ΜΑΝΔΑΛΑ</t>
  </si>
  <si>
    <t>ΑΗ522637</t>
  </si>
  <si>
    <t>ΚΟΝΤΑΞΗ</t>
  </si>
  <si>
    <t>ΑΖ204138</t>
  </si>
  <si>
    <t>ΚΑΛΠΙΑ</t>
  </si>
  <si>
    <t>ΑΒ102227</t>
  </si>
  <si>
    <t>Χ897671</t>
  </si>
  <si>
    <t>ΓΟΥΛΤΙΔΟΥ</t>
  </si>
  <si>
    <t>ΑΕ847067</t>
  </si>
  <si>
    <t>ΑΜ283339</t>
  </si>
  <si>
    <t>ΦΟΥΛΟΥΛΗ</t>
  </si>
  <si>
    <t>ΑΕ315164</t>
  </si>
  <si>
    <t>ΑΚ020039</t>
  </si>
  <si>
    <t>ΑΗ206273</t>
  </si>
  <si>
    <t>ΖΩΓΟΠΟΥΛΟΥ</t>
  </si>
  <si>
    <t>ΑΚ828597</t>
  </si>
  <si>
    <t>ΧΑΔΙΝΗ</t>
  </si>
  <si>
    <t>ΑΙ314348</t>
  </si>
  <si>
    <t>Π443267</t>
  </si>
  <si>
    <t>ΑΝ345489</t>
  </si>
  <si>
    <t>ΚΟΛΟΚΟΥΡΗ</t>
  </si>
  <si>
    <t>ΑΚ753644</t>
  </si>
  <si>
    <t>ΑΙ784591</t>
  </si>
  <si>
    <t>Π978743</t>
  </si>
  <si>
    <t>ΣΤΑΣΙΝΟΥ</t>
  </si>
  <si>
    <t>ΑΕ282242</t>
  </si>
  <si>
    <t>ΚΟΚΚΙΝΟΘΑΝΟΠΟΥΛΟΥ</t>
  </si>
  <si>
    <t>ΑΙ290901</t>
  </si>
  <si>
    <t>ΧΑΚΗ</t>
  </si>
  <si>
    <t>ΑΖ653760</t>
  </si>
  <si>
    <t>ΜΠΕΛΛΟΥ</t>
  </si>
  <si>
    <t>ΑΘΑΝΑ</t>
  </si>
  <si>
    <t>ΑΟ219572</t>
  </si>
  <si>
    <t>ΚΟΝΤΟΕ</t>
  </si>
  <si>
    <t>ΑΒ018806</t>
  </si>
  <si>
    <t>ΚΥΖΙΡΙΔΟΥ</t>
  </si>
  <si>
    <t>ΑΕ208253</t>
  </si>
  <si>
    <t>ΠΑΝΟΥΛΑ</t>
  </si>
  <si>
    <t>ΛΕΩΝ</t>
  </si>
  <si>
    <t>ΑΕ409657</t>
  </si>
  <si>
    <t>ΣΙΟΥΜΚΑ</t>
  </si>
  <si>
    <t>Π197296</t>
  </si>
  <si>
    <t>ΧΑΤΑΔΑΚΗ</t>
  </si>
  <si>
    <t>ΑΙ948949</t>
  </si>
  <si>
    <t>ΠΙΠΕΡΤΖΗ</t>
  </si>
  <si>
    <t>Ρ186955</t>
  </si>
  <si>
    <t>Χ891403</t>
  </si>
  <si>
    <t>ΑΕ689395</t>
  </si>
  <si>
    <t>ΣΙΑΔΗΜΑ</t>
  </si>
  <si>
    <t>ΑΙ872555</t>
  </si>
  <si>
    <t>ΤΣΙΠΡΑ</t>
  </si>
  <si>
    <t>ΑΜ981636</t>
  </si>
  <si>
    <t>ΕΥΦΡΑΙΜΙΔΟΥ</t>
  </si>
  <si>
    <t>Φ318496</t>
  </si>
  <si>
    <t>ΛΟΥΓΓΟΥ</t>
  </si>
  <si>
    <t>ΑΖ274699</t>
  </si>
  <si>
    <t>ΜΑΡΚΑΚΗ</t>
  </si>
  <si>
    <t>ΙΩΣΗΦ</t>
  </si>
  <si>
    <t>Χ494698</t>
  </si>
  <si>
    <t>ΑΖ722176</t>
  </si>
  <si>
    <t>ΛΟΦΤΣΑΛΗ</t>
  </si>
  <si>
    <t>ΑΑ869184</t>
  </si>
  <si>
    <t>ΑΑ055023</t>
  </si>
  <si>
    <t>ΔΗΜΗΤΡΑ ΒΑΣΙΛΙΚΗ</t>
  </si>
  <si>
    <t>ΑΒ260053</t>
  </si>
  <si>
    <t>ΠΕΓΚΑ</t>
  </si>
  <si>
    <t>Τ550508</t>
  </si>
  <si>
    <t>ΜΑΡΓΑΡΗ</t>
  </si>
  <si>
    <t>ΑΝ044564</t>
  </si>
  <si>
    <t>ΑΒ579240</t>
  </si>
  <si>
    <t>ΘΕΟΔΟΣΙΑΔΟΥ</t>
  </si>
  <si>
    <t>ΑΚ887425</t>
  </si>
  <si>
    <t>ΟΙΚΟΝΟΜΑΚΗ</t>
  </si>
  <si>
    <t>ΜΑΡΙΑ ΠΑΝΑΓΙΩΤΑ</t>
  </si>
  <si>
    <t>ΑΕ070418</t>
  </si>
  <si>
    <t>ΨΑΡΟΛΟΓΟΥ</t>
  </si>
  <si>
    <t>ΑΘΑΝΑΣΙΑ ΕΛΕΝΗ</t>
  </si>
  <si>
    <t>ΑΕ604239</t>
  </si>
  <si>
    <t>ΚΡΑΝΙΩΤΑΚΗ</t>
  </si>
  <si>
    <t>ΑΚ979283</t>
  </si>
  <si>
    <t>ΧΑΜΗΛΟΥ</t>
  </si>
  <si>
    <t>ΑΟ701813</t>
  </si>
  <si>
    <t>Φ193247</t>
  </si>
  <si>
    <t>ΧΑΡΙΤΙΔΟΥ</t>
  </si>
  <si>
    <t>Μ402269</t>
  </si>
  <si>
    <t>ΤΡΑΝΟΥΔΗ</t>
  </si>
  <si>
    <t>Λ564255</t>
  </si>
  <si>
    <t>ΑΙ509126</t>
  </si>
  <si>
    <t>ΑΜ814123</t>
  </si>
  <si>
    <t>ΤΣΙΑΦΟΥΛΗ</t>
  </si>
  <si>
    <t>ΑΝ855229</t>
  </si>
  <si>
    <t>ΑΟ455340</t>
  </si>
  <si>
    <t>ΜΙΧΑΛΑ</t>
  </si>
  <si>
    <t>Φ456345</t>
  </si>
  <si>
    <t>ΠΙΤΟΥΛΙΑ</t>
  </si>
  <si>
    <t>ΑΜ388046</t>
  </si>
  <si>
    <t>ΑΗ263369</t>
  </si>
  <si>
    <t>ΝΤΖΕΛΒΕ</t>
  </si>
  <si>
    <t>ΑΝ244794</t>
  </si>
  <si>
    <t>ΑΗ426116</t>
  </si>
  <si>
    <t>ΑΕ247192</t>
  </si>
  <si>
    <t>ΜΠΑΛΤΑΤΖΗ</t>
  </si>
  <si>
    <t>Σ315966</t>
  </si>
  <si>
    <t>ΚΑΡΑΝΤΩΝΑ</t>
  </si>
  <si>
    <t>ΑΗ658150</t>
  </si>
  <si>
    <t>ΥΦΑΝΤΙΔΟΥ</t>
  </si>
  <si>
    <t>ΑΚ984323</t>
  </si>
  <si>
    <t>ΣΑΛΤΕΡΗ</t>
  </si>
  <si>
    <t>ΑΟ886671</t>
  </si>
  <si>
    <t>ΑΑ267632</t>
  </si>
  <si>
    <t>ΚΑΤΣΙΡΟΥΜΠΑ</t>
  </si>
  <si>
    <t>ΑΚ336117</t>
  </si>
  <si>
    <t>ΜΠΕΡΤΣΙΑ</t>
  </si>
  <si>
    <t>ΑΖ707014</t>
  </si>
  <si>
    <t>ΑΗ817689</t>
  </si>
  <si>
    <t>ΑΜ421251</t>
  </si>
  <si>
    <t>ΑΖ379418</t>
  </si>
  <si>
    <t>ΑΝΔΡΙΟΠΟΥΛΟΥ</t>
  </si>
  <si>
    <t>ΑΟ319505</t>
  </si>
  <si>
    <t>ΠΥΡΚΑΤΗ</t>
  </si>
  <si>
    <t>Χ699668</t>
  </si>
  <si>
    <t>ΚΑΡΑΜΠΕΛΑ</t>
  </si>
  <si>
    <t>ΑΝ083984</t>
  </si>
  <si>
    <t>ΑΚ980918</t>
  </si>
  <si>
    <t>ΠΕΡΑΚΗ</t>
  </si>
  <si>
    <t>ΣΤΑΥΡΩΤΗ</t>
  </si>
  <si>
    <t>Σ426530</t>
  </si>
  <si>
    <t>ΚΑΠΡΑΛΟΥ</t>
  </si>
  <si>
    <t>ΝΙΚΟΛ</t>
  </si>
  <si>
    <t>ΑΒ273541</t>
  </si>
  <si>
    <t>ΤΣΟΥΠΙΔΗ</t>
  </si>
  <si>
    <t>ΑΟ257911</t>
  </si>
  <si>
    <t>ΝΙΓΚΙΑΡΕ</t>
  </si>
  <si>
    <t>ΜΠΑΙΡΑΜΙ</t>
  </si>
  <si>
    <t>ΜΥΦΙΝΤ</t>
  </si>
  <si>
    <t>ΑΜ879017</t>
  </si>
  <si>
    <t xml:space="preserve">ΑΝΤΩΝΙΟΣ </t>
  </si>
  <si>
    <t>ΑΗ843364</t>
  </si>
  <si>
    <t>ΠΟΛΥΧΡΟΝΟΠΟΥΛΟΥ</t>
  </si>
  <si>
    <t>Ρ515053</t>
  </si>
  <si>
    <t>ΠΑΠΑΧΡΗΣΤΟΥ</t>
  </si>
  <si>
    <t>ΠΡΟΚΟΠΙΟΣ</t>
  </si>
  <si>
    <t>ΑΟ347776</t>
  </si>
  <si>
    <t>ΑΟ666322</t>
  </si>
  <si>
    <t>ΑΜ947311</t>
  </si>
  <si>
    <t>ΔΗΜΗΤΡΑ ΠΑΝΑΓΙΩΤΑ</t>
  </si>
  <si>
    <t>ΑΙ598380</t>
  </si>
  <si>
    <t>ΑΒ136906</t>
  </si>
  <si>
    <t>ΓΑΛΙΩΤΑ</t>
  </si>
  <si>
    <t>ΑΙ331876</t>
  </si>
  <si>
    <t>ΜΠΕΚΥΡΗ</t>
  </si>
  <si>
    <t>Φ288429</t>
  </si>
  <si>
    <t>ΑΕ957887</t>
  </si>
  <si>
    <t>ΣΙΣΟΥΡΚΑ</t>
  </si>
  <si>
    <t>ΑΙ341173</t>
  </si>
  <si>
    <t>ΜΠΟΖΙΟΝΕΛΟΥ</t>
  </si>
  <si>
    <t>ΑΜ341873</t>
  </si>
  <si>
    <t>ΦΕΛΛΙΟΥ</t>
  </si>
  <si>
    <t>ΑΕ038633</t>
  </si>
  <si>
    <t>ΛΙΑΛΙΟΥ</t>
  </si>
  <si>
    <t>Χ751848</t>
  </si>
  <si>
    <t>ΚΟΕΜΤΖΗΣ</t>
  </si>
  <si>
    <t>ΑΗ818020</t>
  </si>
  <si>
    <t>ΕΙΚΟΣΙΔΕΚΑ</t>
  </si>
  <si>
    <t>ΑΙ780165</t>
  </si>
  <si>
    <t>Χ846479</t>
  </si>
  <si>
    <t>ΚΕΛΕΚΙΑΝ</t>
  </si>
  <si>
    <t>ΓΕΩΡΓΙΑ ΚΑΣΣΑΝΔΡΑ</t>
  </si>
  <si>
    <t>ΜΕΧΡΑΝ ΓΕΩΡΓΙΟΣ</t>
  </si>
  <si>
    <t>Χ523160</t>
  </si>
  <si>
    <t>ΖΛΑΤΙΝΤΣΗ</t>
  </si>
  <si>
    <t>ΑΖ689553</t>
  </si>
  <si>
    <t>ΚΩΝΣΤΑΝΤΕΛΛΟΥ</t>
  </si>
  <si>
    <t>ΡΟΖΑ</t>
  </si>
  <si>
    <t>ΑΚ119928</t>
  </si>
  <si>
    <t>ΓΚΟΝΤΟΛΙΑ</t>
  </si>
  <si>
    <t>Χ442372</t>
  </si>
  <si>
    <t>ΚΑΛΥΒΙΩΤΗ</t>
  </si>
  <si>
    <t>ΑΝ328420</t>
  </si>
  <si>
    <t>ΑΖ537289</t>
  </si>
  <si>
    <t>ΑΜ460446</t>
  </si>
  <si>
    <t>ΓΚΟΥΡΤΖΗ</t>
  </si>
  <si>
    <t>ΑΚ446949</t>
  </si>
  <si>
    <t>ΖΑΡΟΓΙΑΝΝΗ</t>
  </si>
  <si>
    <t>ΚΙΜΩΝ</t>
  </si>
  <si>
    <t>ΑΝ348016</t>
  </si>
  <si>
    <t>ΠΡΟΚΟΠΟΥ</t>
  </si>
  <si>
    <t>ΑΝ267753</t>
  </si>
  <si>
    <t>Σ080813</t>
  </si>
  <si>
    <t>ΑΙ320214</t>
  </si>
  <si>
    <t>ΑΛΕΞΙΑΔΗ</t>
  </si>
  <si>
    <t>ΑΕ955630</t>
  </si>
  <si>
    <t>ΚΕΡΑΣΙΛΙΔΟΥ</t>
  </si>
  <si>
    <t>Σ402221</t>
  </si>
  <si>
    <t>ΚΟΤΣΙΦΑ</t>
  </si>
  <si>
    <t>ΑΜ300296</t>
  </si>
  <si>
    <t>ΑΕ180125</t>
  </si>
  <si>
    <t>ΧΝΟΥΔΑ</t>
  </si>
  <si>
    <t>ΑΚ990804</t>
  </si>
  <si>
    <t>ΑΒ105169</t>
  </si>
  <si>
    <t>ΑΗ784802</t>
  </si>
  <si>
    <t>ΑΕ494556</t>
  </si>
  <si>
    <t>ΜΑΝΟΥΣΙΔΟΥ</t>
  </si>
  <si>
    <t>ΑΖ911058</t>
  </si>
  <si>
    <t>ΤΑΤΣΗ</t>
  </si>
  <si>
    <t>ΦΙΛΟΜΗΛΑ</t>
  </si>
  <si>
    <t>ΑΚ382333</t>
  </si>
  <si>
    <t>ΑΙ281166</t>
  </si>
  <si>
    <t>ΑΝΑΓΝΩΣΤΑΚΗ</t>
  </si>
  <si>
    <t>ΑΙ950670</t>
  </si>
  <si>
    <t>ΙΟΡΔΑΝΑ</t>
  </si>
  <si>
    <t>ΑΝ414365</t>
  </si>
  <si>
    <t>ΑΕ093599</t>
  </si>
  <si>
    <t>ΒΑΡΕΛΑ</t>
  </si>
  <si>
    <t>ΑΙ144059</t>
  </si>
  <si>
    <t>ΖΑΦΕΙΡΙΑΔΟΥ</t>
  </si>
  <si>
    <t>ΑΙ179226</t>
  </si>
  <si>
    <t>ΑΑ277384</t>
  </si>
  <si>
    <t>ΑΒ425242</t>
  </si>
  <si>
    <t>ΜΑΓΔΑΛΙΝΗ</t>
  </si>
  <si>
    <t>ΑΝ212937</t>
  </si>
  <si>
    <t>ΚΑΠΟΤΑ</t>
  </si>
  <si>
    <t>ΑΖ706849</t>
  </si>
  <si>
    <t>ΚΑΤΣΑΝΗ</t>
  </si>
  <si>
    <t>Σ234635</t>
  </si>
  <si>
    <t>ΑΓΑΠΗΤΟΥ</t>
  </si>
  <si>
    <t>Χ674091</t>
  </si>
  <si>
    <t>ΑΗ467794</t>
  </si>
  <si>
    <t>ΠΕΔΙΑΔΙΤΑΚΗ</t>
  </si>
  <si>
    <t>ΖΑΧΑΡΕΝΙΑ ΝΤΟΡΙΝΑ</t>
  </si>
  <si>
    <t>Σ199992</t>
  </si>
  <si>
    <t>ΑΚΟΥΤΑ</t>
  </si>
  <si>
    <t>Π468215</t>
  </si>
  <si>
    <t>ΠΑΠΑΣΠΥΡΟΥ</t>
  </si>
  <si>
    <t>ΑΕ834507</t>
  </si>
  <si>
    <t>ΒΗΤΑ</t>
  </si>
  <si>
    <t>ΑΗ291597</t>
  </si>
  <si>
    <t>ΑΚ611782</t>
  </si>
  <si>
    <t>ΣΥΜΙΓΔΑΛΗ</t>
  </si>
  <si>
    <t>ΑΖ698080</t>
  </si>
  <si>
    <t>ΚΑΤΣΙΠΟΔΗ</t>
  </si>
  <si>
    <t>ΑΝ620388</t>
  </si>
  <si>
    <t>ΓΙΑΝΝΑΚΙΔΟΥ</t>
  </si>
  <si>
    <t>ΑΗ786117</t>
  </si>
  <si>
    <t>ΜΥΚΙΔΟΥ</t>
  </si>
  <si>
    <t>ΑΗ142522</t>
  </si>
  <si>
    <t>ΚΑΝΔΗΛΑΡΗ</t>
  </si>
  <si>
    <t>ΑΝ352585</t>
  </si>
  <si>
    <t>ΚΟΥΤΣΟΥΚΟΥ</t>
  </si>
  <si>
    <t>Χ985033</t>
  </si>
  <si>
    <t>ΣΩΤΗΡΗΣ</t>
  </si>
  <si>
    <t>ΑΖ668375</t>
  </si>
  <si>
    <t>ΓΑΡΜΠΗ</t>
  </si>
  <si>
    <t>ΑΙ548128</t>
  </si>
  <si>
    <t>ΕΙΡΗΝΗ ΡΑΦΑΗΛΙΑ</t>
  </si>
  <si>
    <t>ΑΜ123224</t>
  </si>
  <si>
    <t>ΓΕΡΟΠΑΝΤΑ</t>
  </si>
  <si>
    <t>ΜΑΝΘΟΣ</t>
  </si>
  <si>
    <t>ΑΒ018391</t>
  </si>
  <si>
    <t>ΑΚ963664</t>
  </si>
  <si>
    <t>Τ271218</t>
  </si>
  <si>
    <t>ΚΟΥΚΟΥΛΑΡΗ</t>
  </si>
  <si>
    <t>Σ562629</t>
  </si>
  <si>
    <t>ΣΑΒΒΟΠΟΥΛΟΥ</t>
  </si>
  <si>
    <t>ΑΝ428648</t>
  </si>
  <si>
    <t>ΚΑΛΛΙΜΑΝΗ</t>
  </si>
  <si>
    <t>ΑΚ286958</t>
  </si>
  <si>
    <t>ΧΑΤΖΑΚΗ</t>
  </si>
  <si>
    <t>ΑΙΚΑΤΕΡΙΝΗ ΠΑΠΑΔΙΑ</t>
  </si>
  <si>
    <t>ΑΙ443381</t>
  </si>
  <si>
    <t>ΚΑΣΣΑΡΑ</t>
  </si>
  <si>
    <t>ΑΒ389861</t>
  </si>
  <si>
    <t>ΑΑ430353</t>
  </si>
  <si>
    <t>ΚΑΡΑΓΙΑΝΝΑΚΗ</t>
  </si>
  <si>
    <t>ΑΙ064093</t>
  </si>
  <si>
    <t>ΑΖ997616</t>
  </si>
  <si>
    <t>ΚΡΙΑΡΑ</t>
  </si>
  <si>
    <t>ΕΛΒΙΡΑ</t>
  </si>
  <si>
    <t>ΑΜ466694</t>
  </si>
  <si>
    <t>ΜΑΝΔΡΑΒΕΛΗ</t>
  </si>
  <si>
    <t>ΑΜ373096</t>
  </si>
  <si>
    <t>ΚΟΒΛΑΚΑ</t>
  </si>
  <si>
    <t>ΑΕ673871</t>
  </si>
  <si>
    <t>ΕΙΡΗΝΗ ΧΡΥΣΟΒΑΛΛΑΝΤΟ</t>
  </si>
  <si>
    <t>ΑΚ920271</t>
  </si>
  <si>
    <t>ΠΟΛΥΔΩΡΟΠΟΥΛΟΥ</t>
  </si>
  <si>
    <t>ΑΗ072561</t>
  </si>
  <si>
    <t>ΑΗ321991</t>
  </si>
  <si>
    <t>ΜΕΡΚΟΥΡΙΟΥ</t>
  </si>
  <si>
    <t>ΑΒ673979</t>
  </si>
  <si>
    <t>ΣΚΙΝΤΖΗ</t>
  </si>
  <si>
    <t>ΑΑ320656</t>
  </si>
  <si>
    <t>ΣΑΡΑΝΤΙΔΟΥ</t>
  </si>
  <si>
    <t>ΔΟΜΝΑ</t>
  </si>
  <si>
    <t>ΚΛΕΑΡΧΟΣ</t>
  </si>
  <si>
    <t>ΑΒ134454</t>
  </si>
  <si>
    <t>ΕΥΘΥΜΙΟΠΟΥΛΟΥ</t>
  </si>
  <si>
    <t>ΑΙ766111</t>
  </si>
  <si>
    <t>ΣΤΕΓΚΕΒΕΡΘ</t>
  </si>
  <si>
    <t>ΜΠΕΡΝΑΡΝΤ</t>
  </si>
  <si>
    <t>ΑΚ949974</t>
  </si>
  <si>
    <t>ΜΠΑΤΗ</t>
  </si>
  <si>
    <t>Φ109072</t>
  </si>
  <si>
    <t>ΑΚ379701</t>
  </si>
  <si>
    <t>ΑΚ949479</t>
  </si>
  <si>
    <t xml:space="preserve">ΤΑΣΚΑ </t>
  </si>
  <si>
    <t xml:space="preserve">ΖΑΧΑΡΟΎΛΑ </t>
  </si>
  <si>
    <t xml:space="preserve">ΠΈΤΡΟΣ </t>
  </si>
  <si>
    <t>Φ340725</t>
  </si>
  <si>
    <t>ΛΩΛΟΥ</t>
  </si>
  <si>
    <t>Χ640354</t>
  </si>
  <si>
    <t>ΖΙΜΗ</t>
  </si>
  <si>
    <t>ΑΑ259983</t>
  </si>
  <si>
    <t>ΣΑΛΤΑΤΖΟΓΛΟΥ</t>
  </si>
  <si>
    <t>ΑΚ264752</t>
  </si>
  <si>
    <t>ΠΟΛΥΓΕΝΗ</t>
  </si>
  <si>
    <t>Χ915028</t>
  </si>
  <si>
    <t>ΚΟΚΚΟΡΗ</t>
  </si>
  <si>
    <t>ΕΙΡΗΝΗ ΜΑΡΙΝΑ</t>
  </si>
  <si>
    <t>ΑΚ420889</t>
  </si>
  <si>
    <t>ΠΑΠΑΛΕΩΝΙΔΑ</t>
  </si>
  <si>
    <t>Χ145216</t>
  </si>
  <si>
    <t>ΦΙΝΤΑΝΙΔΟΥ</t>
  </si>
  <si>
    <t>ΑΙ869724</t>
  </si>
  <si>
    <t>ΤΣΑΚΙΡΟΓΛΟΥ</t>
  </si>
  <si>
    <t>Σ901341</t>
  </si>
  <si>
    <t>ΣΩΤΗΡΟΥΛΑ</t>
  </si>
  <si>
    <t>Χ800913</t>
  </si>
  <si>
    <t>ΑΚ651218</t>
  </si>
  <si>
    <t>ΤΡΙΚΑ</t>
  </si>
  <si>
    <t>ΑΕ577016</t>
  </si>
  <si>
    <t>ΚΑΡΑΜΟΛΕΓΚΟΥ</t>
  </si>
  <si>
    <t>ΑΗ063461</t>
  </si>
  <si>
    <t>ΔΟΛΑΨΗ</t>
  </si>
  <si>
    <t>ΑΟ658098</t>
  </si>
  <si>
    <t>ΜΑΡΑΓΚΟΥ</t>
  </si>
  <si>
    <t>ΠΑΝΤΕΛΙΝΑ</t>
  </si>
  <si>
    <t>ΑΙ626853</t>
  </si>
  <si>
    <t>ΣΤΑΥΡΕ</t>
  </si>
  <si>
    <t>ΠΑΥΛΟ</t>
  </si>
  <si>
    <t>ΑΟ216473</t>
  </si>
  <si>
    <t>ΧΑΤΖΗΣΤΕΦΑΝΟΥ</t>
  </si>
  <si>
    <t>ΙΩΑΝΝΑ ΣΤΑΥΡΟΥΛΑ</t>
  </si>
  <si>
    <t>ΑΗ448694</t>
  </si>
  <si>
    <t>ΒΛΑΧΟΜΗΤΡΟΥ</t>
  </si>
  <si>
    <t>ΑΙ764375</t>
  </si>
  <si>
    <t>ΑΗ704979</t>
  </si>
  <si>
    <t>ΜΑΝΑΦΑ</t>
  </si>
  <si>
    <t>Π984335</t>
  </si>
  <si>
    <t>ΤΑΓΚΙΝΗ</t>
  </si>
  <si>
    <t>Χ386497</t>
  </si>
  <si>
    <t>Χ617164</t>
  </si>
  <si>
    <t>ΜΠΑΙΜΑ</t>
  </si>
  <si>
    <t>Π931696</t>
  </si>
  <si>
    <t>ΣΑΚΚΑ</t>
  </si>
  <si>
    <t>Ρ234092</t>
  </si>
  <si>
    <t>ΠΑΠΑΔΙΑ</t>
  </si>
  <si>
    <t>ΑΜ483064</t>
  </si>
  <si>
    <t>ΛΙΒΑΝΟΥ</t>
  </si>
  <si>
    <t>ΑΕ719720</t>
  </si>
  <si>
    <t>ΚΟΡΙΖΗ</t>
  </si>
  <si>
    <t>ΑΜ098013</t>
  </si>
  <si>
    <t>ΚΑΡΑΒΑΣΙΛΗ</t>
  </si>
  <si>
    <t>ΔΡΟΣΙΑ</t>
  </si>
  <si>
    <t>ΑΖ823330</t>
  </si>
  <si>
    <t>ΛΙΑΡΑΚΟΥ</t>
  </si>
  <si>
    <t>ΑΚ719669</t>
  </si>
  <si>
    <t>ΤΖΕΦΕΡΑΚΟΥ</t>
  </si>
  <si>
    <t>ΑΒ527455</t>
  </si>
  <si>
    <t>ΑΚ689980</t>
  </si>
  <si>
    <t>ΗΛΙΑΔΗΣ</t>
  </si>
  <si>
    <t>ΑΟ331413</t>
  </si>
  <si>
    <t>Ν613618</t>
  </si>
  <si>
    <t>Π489092</t>
  </si>
  <si>
    <t>ΣΑΜΙΩΤΑΚΗ</t>
  </si>
  <si>
    <t>ΑΜ456277</t>
  </si>
  <si>
    <t>ΑΚΡΙΒΟΥΛΗ</t>
  </si>
  <si>
    <t>ΒΑΙΑ ΠΑΡΑΣΚΕΥΗ</t>
  </si>
  <si>
    <t>ΑΙ840959</t>
  </si>
  <si>
    <t>ΚΡΑΙΤΣΗ</t>
  </si>
  <si>
    <t>ΑΟ209744</t>
  </si>
  <si>
    <t>ΝΤΗΜΟΥ</t>
  </si>
  <si>
    <t>ΑΜ398406</t>
  </si>
  <si>
    <t>ΜΗΛΙΑΤΖΙΔΟΥ</t>
  </si>
  <si>
    <t>ΑΗ899583</t>
  </si>
  <si>
    <t>ΔΟΥΒΗ</t>
  </si>
  <si>
    <t>ΑΑ419174</t>
  </si>
  <si>
    <t>ΑΕ574044</t>
  </si>
  <si>
    <t>ΡΟΥΜΠΕΑ</t>
  </si>
  <si>
    <t>ΕΥΘΥΜΙΑ ΔΙΟΝΥΣΙΑ</t>
  </si>
  <si>
    <t>Χ676983</t>
  </si>
  <si>
    <t>Χ094144</t>
  </si>
  <si>
    <t>ΑΙΚΑΤΕΡΙΝΗ ΣΤΥΛΙΑΝΗ</t>
  </si>
  <si>
    <t>ΑΙ083201</t>
  </si>
  <si>
    <t>Χ335353</t>
  </si>
  <si>
    <t>Τ307397</t>
  </si>
  <si>
    <t>Π860680</t>
  </si>
  <si>
    <t>ΠΑΠΑΔΗΜΗΤΡΟΠΟΥΛΟΥ</t>
  </si>
  <si>
    <t>ΑΙ495442</t>
  </si>
  <si>
    <t>ΑΜ698408</t>
  </si>
  <si>
    <t>ΠΡΟΦΗΣ</t>
  </si>
  <si>
    <t>ΑΡ057780</t>
  </si>
  <si>
    <t>ΚΑΛΑΜΒΟΚΗ</t>
  </si>
  <si>
    <t>ΑΙ770915</t>
  </si>
  <si>
    <t>ΣΚΟΥΒΑΚΗ</t>
  </si>
  <si>
    <t>ΖΑΜΠΙΑ</t>
  </si>
  <si>
    <t>Σ499374</t>
  </si>
  <si>
    <t>Χ753669</t>
  </si>
  <si>
    <t>ΣΙΑΣΙΟΥ</t>
  </si>
  <si>
    <t>ΑΗ320878</t>
  </si>
  <si>
    <t>ΠΑΓΚΑΚΟΥ</t>
  </si>
  <si>
    <t>ΑΚ980721</t>
  </si>
  <si>
    <t>ΛΕΜΟΝΙΔΟΥ</t>
  </si>
  <si>
    <t>ΤΣΟΜΠΑΝΙΔΟΥ</t>
  </si>
  <si>
    <t>ΟΜΗΡΟΣ</t>
  </si>
  <si>
    <t>ΑΗ183839</t>
  </si>
  <si>
    <t>ΚΑΚΑΚΗ</t>
  </si>
  <si>
    <t>ΑΗ454889</t>
  </si>
  <si>
    <t>ΚΑΝΔΑΡΑΚΗ</t>
  </si>
  <si>
    <t>ΑΕ472267</t>
  </si>
  <si>
    <t>ΚΑΡΑΒΟΥ</t>
  </si>
  <si>
    <t>ΚΩΝΣΤΑΝΤΙΝΑ ΠΑΝΑΓΙΩΤ</t>
  </si>
  <si>
    <t>ΑΙ117722</t>
  </si>
  <si>
    <t>ΑΒ226684</t>
  </si>
  <si>
    <t>Χ133408</t>
  </si>
  <si>
    <t>ΠΑΡΑΣΙΔΟΥ</t>
  </si>
  <si>
    <t>ΓΚΑΛΙΝΑ</t>
  </si>
  <si>
    <t>Χ316482</t>
  </si>
  <si>
    <t>ΚΑΡΑΛΗ</t>
  </si>
  <si>
    <t>Σ486013</t>
  </si>
  <si>
    <t>ΣΑΛΠΙΓΓΙΔΟΥ</t>
  </si>
  <si>
    <t>ΑΟ667777</t>
  </si>
  <si>
    <t>ΣΤΑΣΙΝΟΠΟΥΛΟΥ</t>
  </si>
  <si>
    <t>ΑΟ880917</t>
  </si>
  <si>
    <t>ΞΕΝΟΠΟΥΛΟΥ</t>
  </si>
  <si>
    <t>ΤΑΣΙΑ</t>
  </si>
  <si>
    <t>ΑΙ675330</t>
  </si>
  <si>
    <t>ΑΙ935808</t>
  </si>
  <si>
    <t>ΓΑΒΡΟΠΟΥΛΟΥ</t>
  </si>
  <si>
    <t>ΔΑΜΙΑΝΟΣ</t>
  </si>
  <si>
    <t>ΑΙ151535</t>
  </si>
  <si>
    <t>ΚΟΜΙΩΤΗ</t>
  </si>
  <si>
    <t>Ρ300869</t>
  </si>
  <si>
    <t>ΜΟΥΤΣΙΟΥ</t>
  </si>
  <si>
    <t>ΑΖ352236</t>
  </si>
  <si>
    <t>ΒΑΡΤΖΑΚΗ</t>
  </si>
  <si>
    <t>ΑΜ633134</t>
  </si>
  <si>
    <t>ΧΑΝΙΩΤΗ</t>
  </si>
  <si>
    <t>ΑΙ025878</t>
  </si>
  <si>
    <t>ΜΑΡΑΘΟΥ</t>
  </si>
  <si>
    <t>ΑΗ121421</t>
  </si>
  <si>
    <t>ΦΑΡΜΑΚΙΩΤΗ</t>
  </si>
  <si>
    <t>Π511191</t>
  </si>
  <si>
    <t>ΝΙΚΟΛΟΥ</t>
  </si>
  <si>
    <t>ΑΗ240230</t>
  </si>
  <si>
    <t>ΠΑΠΑΓΙΑΝΝΟΠΟΥΛΟΥ</t>
  </si>
  <si>
    <t>ΑΙ850850</t>
  </si>
  <si>
    <t>ΚΑΜΑΡΙΤΗ</t>
  </si>
  <si>
    <t>ΑΖ469556</t>
  </si>
  <si>
    <t>ΚΑΒΑΣΟΓΛΟΥ</t>
  </si>
  <si>
    <t>ΑΗ408655</t>
  </si>
  <si>
    <t>ΚΑΦΦΕ</t>
  </si>
  <si>
    <t>ΑΖ059832</t>
  </si>
  <si>
    <t>ΠΑΛΑΙΟΚΩΣΤΑ</t>
  </si>
  <si>
    <t>ΑΙ775128</t>
  </si>
  <si>
    <t>ΠΑΥΛΑΚΑΚΗ</t>
  </si>
  <si>
    <t>ΑΟ224927</t>
  </si>
  <si>
    <t>ΑΠΟΣΤΟΛΑΚΟΥ</t>
  </si>
  <si>
    <t>Τ108828</t>
  </si>
  <si>
    <t>ΤΣΑΦΑΝΤΑΚΗ</t>
  </si>
  <si>
    <t>ΑΟ430093</t>
  </si>
  <si>
    <t>ΣΙΑΛΑΒΑΡΑ</t>
  </si>
  <si>
    <t>ΑΒ461119</t>
  </si>
  <si>
    <t>ΑΝ347714</t>
  </si>
  <si>
    <t>ΣΕΡΓΑΚΗ</t>
  </si>
  <si>
    <t>ΑΒ972163</t>
  </si>
  <si>
    <t>ΚΑΡΥΠΗ</t>
  </si>
  <si>
    <t>ΑΙ881626</t>
  </si>
  <si>
    <t>ΔΕΛΛΙΟΥ</t>
  </si>
  <si>
    <t>ΑΝΔΡΙΑΝΑ ΓΕΩΡΓΙΑ</t>
  </si>
  <si>
    <t>ΑΟ207649</t>
  </si>
  <si>
    <t>ΚΑΡΑΦΕΛΑ</t>
  </si>
  <si>
    <t>ΕΥΣΤΑΘΙΟΙΣ</t>
  </si>
  <si>
    <t>Σ664957</t>
  </si>
  <si>
    <t>ΑΝΘΙΠΠΗ</t>
  </si>
  <si>
    <t>Χ046001</t>
  </si>
  <si>
    <t>ΚΑΛΑΜΠΟΥΚΑ</t>
  </si>
  <si>
    <t>ΑΜ396485</t>
  </si>
  <si>
    <t>Τ828592</t>
  </si>
  <si>
    <t>ΑΚ428924</t>
  </si>
  <si>
    <t>ΡΑΔΙΤΣΗ</t>
  </si>
  <si>
    <t>ΑΗ691957</t>
  </si>
  <si>
    <t>ΚΑΡΜΟΙΡΑΝΤΖΟΥ</t>
  </si>
  <si>
    <t>Χ936948</t>
  </si>
  <si>
    <t>ΒΙΣΚΑΔΟΥΡΟΥ</t>
  </si>
  <si>
    <t>ΑΖ457400</t>
  </si>
  <si>
    <t>Χ391402</t>
  </si>
  <si>
    <t>ΜΠΑΡΜΠΑ</t>
  </si>
  <si>
    <t>Χ455145</t>
  </si>
  <si>
    <t>ΑΜ405599</t>
  </si>
  <si>
    <t>ΓΚΑΛΤΣΕΒΑ</t>
  </si>
  <si>
    <t>ΑΗ408776</t>
  </si>
  <si>
    <t>ΣΚΟΔΡΑ</t>
  </si>
  <si>
    <t>ΑΗ193358</t>
  </si>
  <si>
    <t>ΑΝΑΣΤΑΣΙΟΥ</t>
  </si>
  <si>
    <t>ΑΑ842018</t>
  </si>
  <si>
    <t>ΡΑΦΤΟΠΟΥΛΟΥ</t>
  </si>
  <si>
    <t>ΑΗ401675</t>
  </si>
  <si>
    <t>ΣΕΡΛΕΤΗ</t>
  </si>
  <si>
    <t>Τ393146</t>
  </si>
  <si>
    <t>ΔΑΟΥΛΑ</t>
  </si>
  <si>
    <t>ΑΝ861720</t>
  </si>
  <si>
    <t>ΚΑΝΙΔΟΥ</t>
  </si>
  <si>
    <t>ΕΥΣΕΒΕΙΑ</t>
  </si>
  <si>
    <t>ΧΑΡΙΤΩΝ</t>
  </si>
  <si>
    <t>ΑΕ659843</t>
  </si>
  <si>
    <t>ΧΟΛΙΑΣΜΕΝΟΥ</t>
  </si>
  <si>
    <t>ΑΗ615736</t>
  </si>
  <si>
    <t>ΠΙΚΙΟΥ</t>
  </si>
  <si>
    <t>ΑΚ958612</t>
  </si>
  <si>
    <t>ΝΤΑΛΑΜΑΓΚΑ</t>
  </si>
  <si>
    <t>ΑΗ710668</t>
  </si>
  <si>
    <t>ΑΜ472676</t>
  </si>
  <si>
    <t>ΑΝΔΡΟΝΙΚΟΣ</t>
  </si>
  <si>
    <t>ΑΕ197196</t>
  </si>
  <si>
    <t>ΤΣΙΤΛΑΚΙΔΟΥ</t>
  </si>
  <si>
    <t>ΑΟ217011</t>
  </si>
  <si>
    <t>ΚΑΦΑΣΗ</t>
  </si>
  <si>
    <t>ΑΟ497275</t>
  </si>
  <si>
    <t>ΑΑ372023</t>
  </si>
  <si>
    <t>ΚΡΙΘΑΡΑ</t>
  </si>
  <si>
    <t>Π738361</t>
  </si>
  <si>
    <t>ΛΑΔΙΑ</t>
  </si>
  <si>
    <t>ΑΗ879097</t>
  </si>
  <si>
    <t>ΙΝΔΟΥ</t>
  </si>
  <si>
    <t>ΑΖ801423</t>
  </si>
  <si>
    <t>ΑΟ960276</t>
  </si>
  <si>
    <t>ΠΙΖΙΚΛΗ</t>
  </si>
  <si>
    <t>ΚΥΠΡΙΑΝΟΣ</t>
  </si>
  <si>
    <t>Σ096838</t>
  </si>
  <si>
    <t>ΣΑΡΑΦΙΑΔΗ</t>
  </si>
  <si>
    <t>Χ183220</t>
  </si>
  <si>
    <t>ΜΑΛΤΕΖΟΥ</t>
  </si>
  <si>
    <t>ΜΗΤΣΑΡΑ</t>
  </si>
  <si>
    <t>ΑΖ900637</t>
  </si>
  <si>
    <t>ΜΠΑΛΜΠΑΤΣΗ</t>
  </si>
  <si>
    <t>ΑΟ410107</t>
  </si>
  <si>
    <t>ΑΕ409123</t>
  </si>
  <si>
    <t>ΤΑΓΚΑ</t>
  </si>
  <si>
    <t>ΑΜ584388</t>
  </si>
  <si>
    <t>ΠΟΛΙΤΗ</t>
  </si>
  <si>
    <t>ΤΙΜΟΛΕΩΝ</t>
  </si>
  <si>
    <t>Χ277327</t>
  </si>
  <si>
    <t>ΜΠΟΛΙΝΗ</t>
  </si>
  <si>
    <t>ΑΙ986088</t>
  </si>
  <si>
    <t xml:space="preserve">ΛΕΟΝΤΙΑΔΟΥ </t>
  </si>
  <si>
    <t>ΑΟ277280</t>
  </si>
  <si>
    <t>ΑΑ365903</t>
  </si>
  <si>
    <t>ΚΟΡΡΕ</t>
  </si>
  <si>
    <t>ΑΚ731560</t>
  </si>
  <si>
    <t>ΒΕΛΤΣΗ</t>
  </si>
  <si>
    <t>ΑΙ340383</t>
  </si>
  <si>
    <t>ΑΝΤΩΝΑΡΑΚΗ</t>
  </si>
  <si>
    <t>Τ293620</t>
  </si>
  <si>
    <t>ΘΕΩΝΗ</t>
  </si>
  <si>
    <t>Ρ129873</t>
  </si>
  <si>
    <t>ΜΗΤΣΙΑΔΟΥ</t>
  </si>
  <si>
    <t>ΑΙ876880</t>
  </si>
  <si>
    <t>ΒΙΤΣΙΟΥ</t>
  </si>
  <si>
    <t>Π849919</t>
  </si>
  <si>
    <t>ΒΑΡΩΝΟΥ</t>
  </si>
  <si>
    <t>ΑΑ470556</t>
  </si>
  <si>
    <t>ΠΑΠΑΘΕΟΦΑΝΗ</t>
  </si>
  <si>
    <t>Τ417910</t>
  </si>
  <si>
    <t>ΤΡΙΑΝΤΑΦΥΛΛΙΔΗ</t>
  </si>
  <si>
    <t>ΑΝ265602</t>
  </si>
  <si>
    <t>ΓΑΝΩΤΗ</t>
  </si>
  <si>
    <t>ΑΒ439998</t>
  </si>
  <si>
    <t>ΒΑΚΕΡΛΗ</t>
  </si>
  <si>
    <t>Σ773094</t>
  </si>
  <si>
    <t>ΜΠΕΚΙΡΟΠΟΥΛΟΥ</t>
  </si>
  <si>
    <t>ΑΗ860911</t>
  </si>
  <si>
    <t>ΑΑ909719</t>
  </si>
  <si>
    <t>ΠΙΣΤΙΟΛΑΣ</t>
  </si>
  <si>
    <t>ΑΕ246736</t>
  </si>
  <si>
    <t>ΑΙ250553</t>
  </si>
  <si>
    <t>ΣΚΕΝΤΖΗ</t>
  </si>
  <si>
    <t>ΠΑΝΑΓΙΩΤΑ ΕΥΑΓΓΕΛΙΑ</t>
  </si>
  <si>
    <t>ΑΙ509622</t>
  </si>
  <si>
    <t>ΑΙ291014</t>
  </si>
  <si>
    <t>ΑΙ728424</t>
  </si>
  <si>
    <t>ΡΟΔΑΝΘΗ</t>
  </si>
  <si>
    <t>ΑΑ239218</t>
  </si>
  <si>
    <t>ΑΜ668411</t>
  </si>
  <si>
    <t>ΧΑΤΖΗΦΟΥΝΤΑ</t>
  </si>
  <si>
    <t>ΑΝ955958</t>
  </si>
  <si>
    <t>ΚΟΝΤΟΓΙΩΡΓΗ</t>
  </si>
  <si>
    <t>ΑΗ256631</t>
  </si>
  <si>
    <t>ΑΟ595308</t>
  </si>
  <si>
    <t>ΚΑΛΛΗ</t>
  </si>
  <si>
    <t>ΑΙ492511</t>
  </si>
  <si>
    <t>ΠΕΝΤΕΛΗ</t>
  </si>
  <si>
    <t>ΑΝ408718</t>
  </si>
  <si>
    <t>ΑΙ350389</t>
  </si>
  <si>
    <t>ΤΟΤΤΗ</t>
  </si>
  <si>
    <t>ΑΚ620355</t>
  </si>
  <si>
    <t>ΠΑΣΙΑΛΗ</t>
  </si>
  <si>
    <t>ΜΑΡΙΑΝΟΣ</t>
  </si>
  <si>
    <t>ΑΕ819372</t>
  </si>
  <si>
    <t>ΑΚ989995</t>
  </si>
  <si>
    <t>ΓΚΟΥΤΖΙΟΥΛΗ</t>
  </si>
  <si>
    <t>Χ453630</t>
  </si>
  <si>
    <t>ΚΟΥΓΙΑΝΝΟΥ</t>
  </si>
  <si>
    <t>ΑΗ269733</t>
  </si>
  <si>
    <t>ΜΠΑΡΑΚΗ</t>
  </si>
  <si>
    <t>ΤΖΑΝΝΟΣ</t>
  </si>
  <si>
    <t>Φ917060</t>
  </si>
  <si>
    <t>ΓΚΕΤΣΙΟΥ</t>
  </si>
  <si>
    <t>ΘΕΟΧΑΡΙΣ</t>
  </si>
  <si>
    <t>ΑΜ818987</t>
  </si>
  <si>
    <t>ΣΕΡΜΠΕΖΗ</t>
  </si>
  <si>
    <t>ΑΒ127486</t>
  </si>
  <si>
    <t>ΜΠΕΡΟΥΚΑ</t>
  </si>
  <si>
    <t>ΑΗ031586</t>
  </si>
  <si>
    <t>ΣΤΕΦΑΝΑΚΟΥ</t>
  </si>
  <si>
    <t>ΑΗ802721</t>
  </si>
  <si>
    <t>ΑΑ414428</t>
  </si>
  <si>
    <t>ΑΒ094840</t>
  </si>
  <si>
    <t>ΜΑΛΙΑΡΟΥ</t>
  </si>
  <si>
    <t>ΑΒ357029</t>
  </si>
  <si>
    <t>ΑΖ896167</t>
  </si>
  <si>
    <t>ΚΑΡΑΤΣΩΡΗ</t>
  </si>
  <si>
    <t>Ρ787549</t>
  </si>
  <si>
    <t>ΕΥΑΓΓΕΛΙΔΗ</t>
  </si>
  <si>
    <t>ΚΩΝΣΤΑΝΤΙΝΑ ΧΡΥΣΟΜΑΛ</t>
  </si>
  <si>
    <t>ΑΣΗΜΑΚΗΣ</t>
  </si>
  <si>
    <t>ΑΚ452954</t>
  </si>
  <si>
    <t>ΑΟ110283</t>
  </si>
  <si>
    <t>ΓΙΑΝΝΑΚΙΔΗ</t>
  </si>
  <si>
    <t>ΑΖ491429</t>
  </si>
  <si>
    <t>ΑΝ044130</t>
  </si>
  <si>
    <t>ΧΡΥΣΗ ΔΕΣΠΟΙΝΑ</t>
  </si>
  <si>
    <t>ΑΙ616394</t>
  </si>
  <si>
    <t>Χ360553</t>
  </si>
  <si>
    <t>ΑΑ263717</t>
  </si>
  <si>
    <t>ΑΖ792202</t>
  </si>
  <si>
    <t>ΑΗ637305</t>
  </si>
  <si>
    <t>ΔΟΙΡΑΝΛΗ</t>
  </si>
  <si>
    <t>Ρ205571</t>
  </si>
  <si>
    <t>ΑΡ331067</t>
  </si>
  <si>
    <t>ΚΑΚΟΥ</t>
  </si>
  <si>
    <t>ΜΕΛΕΤΙΟΣ</t>
  </si>
  <si>
    <t>ΑΒ077526</t>
  </si>
  <si>
    <t>ΑΝ427599</t>
  </si>
  <si>
    <t>ΚΟΥΡΑΚΗ</t>
  </si>
  <si>
    <t>ΑΗ460895</t>
  </si>
  <si>
    <t>ΧΕΙΛΑΔΑΚΗ</t>
  </si>
  <si>
    <t>ΑΒ214432</t>
  </si>
  <si>
    <t>ΑΘΑΝΑΣΟΠΟΥΛΟΥ</t>
  </si>
  <si>
    <t>ΜΑΡΚΟΣ</t>
  </si>
  <si>
    <t>ΑΜ811433</t>
  </si>
  <si>
    <t>ΚΛΑΔΗ</t>
  </si>
  <si>
    <t>ΑΜ748526</t>
  </si>
  <si>
    <t>ΓΡΕ</t>
  </si>
  <si>
    <t>ΑΕ649054</t>
  </si>
  <si>
    <t>ΜΠΑΖΩΝΗ</t>
  </si>
  <si>
    <t>ΑΝ670928</t>
  </si>
  <si>
    <t>ΚΛΑΡΟΥΜΕΝΟΥ</t>
  </si>
  <si>
    <t xml:space="preserve">ΜΑΡΙΑ </t>
  </si>
  <si>
    <t>ΑΙ327412</t>
  </si>
  <si>
    <t>ΚΑΤΑΡΑ</t>
  </si>
  <si>
    <t>ΑΚ606445</t>
  </si>
  <si>
    <t>ΑΙ375139</t>
  </si>
  <si>
    <t>ΑΚ706172</t>
  </si>
  <si>
    <t>ΑΑ479664</t>
  </si>
  <si>
    <t>ΚΑΜΜΕΝΟΥ</t>
  </si>
  <si>
    <t>ΑΟ407970</t>
  </si>
  <si>
    <t>Χ778374</t>
  </si>
  <si>
    <t>ΞΕΝΟΔΟΧΙΔΟΥ</t>
  </si>
  <si>
    <t>ΑΡ288923</t>
  </si>
  <si>
    <t>ΠΟΡΤΟΚΑΛΙΔΟΥ</t>
  </si>
  <si>
    <t>ΑΗ370055</t>
  </si>
  <si>
    <t>STEFANOU</t>
  </si>
  <si>
    <t>ARGYRO</t>
  </si>
  <si>
    <t>GEORGIOS</t>
  </si>
  <si>
    <t>Σ265474</t>
  </si>
  <si>
    <t>ΣΕΦΕΡΙΑΔΟΥ</t>
  </si>
  <si>
    <t>ΑΟ886477</t>
  </si>
  <si>
    <t>ΑΒ862396</t>
  </si>
  <si>
    <t>ΑΚ247330</t>
  </si>
  <si>
    <t>ΑΙ619530</t>
  </si>
  <si>
    <t>ΚΑΡΑΡΙΖΟΥ</t>
  </si>
  <si>
    <t>ΑΖ649166</t>
  </si>
  <si>
    <t>ΜΠΟΓΛΟΥ</t>
  </si>
  <si>
    <t>ΑΗ920713</t>
  </si>
  <si>
    <t>ΜΠΑΤΣΙΟΥΔΗ</t>
  </si>
  <si>
    <t>ANΔΡΟΝΙΚΗ</t>
  </si>
  <si>
    <t>ΑΖ662139</t>
  </si>
  <si>
    <t>ΑΒ714316</t>
  </si>
  <si>
    <t>ΚΟΚΑΛΑ</t>
  </si>
  <si>
    <t>Ρ293386</t>
  </si>
  <si>
    <t>ΚΟΚΚΑ</t>
  </si>
  <si>
    <t>ΑΗ273250</t>
  </si>
  <si>
    <t>ΚΑΜΑΡΙΑ</t>
  </si>
  <si>
    <t>ΘΕΟΚΡΙΤΟΣ</t>
  </si>
  <si>
    <t>ΑΝ406694</t>
  </si>
  <si>
    <t>ΑΕ062203</t>
  </si>
  <si>
    <t>ΚΑΛΟΓΕΡΟΠΟΥΛΟΥ</t>
  </si>
  <si>
    <t>ΕΦΗ</t>
  </si>
  <si>
    <t>Τ256616</t>
  </si>
  <si>
    <t>ΑΙ283276</t>
  </si>
  <si>
    <t>ΣΚΑΡΩΝΗ</t>
  </si>
  <si>
    <t>ΑΚ750412</t>
  </si>
  <si>
    <t>ΚΩΤΤΗ</t>
  </si>
  <si>
    <t>ΑΑ276075</t>
  </si>
  <si>
    <t>ΑΖ686926</t>
  </si>
  <si>
    <t>Τ293763</t>
  </si>
  <si>
    <t>ΑΙ181488</t>
  </si>
  <si>
    <t>ΛΑΓΟΥ</t>
  </si>
  <si>
    <t>ΚΩΝΣΤΑΝΤΙΝΑ ΝΕΚΤΑΡΙΑ</t>
  </si>
  <si>
    <t>ΑΗ020737</t>
  </si>
  <si>
    <t>ΠΑΠΑΛΙΑΚΟΥ</t>
  </si>
  <si>
    <t>Χ655340</t>
  </si>
  <si>
    <t>ΠΑΠΑΚΩΣΤΟΠΟΥΛΟΥ</t>
  </si>
  <si>
    <t>Ρ647847</t>
  </si>
  <si>
    <t>ΚΥΛΙΤΣΗ</t>
  </si>
  <si>
    <t>ΑΖ931839</t>
  </si>
  <si>
    <t>ΑΜ309957</t>
  </si>
  <si>
    <t>ΑΑ239114</t>
  </si>
  <si>
    <t>ΜΑΥΡΟΠΟΥΛΟΥ</t>
  </si>
  <si>
    <t>ΑΜ269948</t>
  </si>
  <si>
    <t>ΣΜΠΙΡΑΚΗ</t>
  </si>
  <si>
    <t>ΑΖ028554</t>
  </si>
  <si>
    <t>ΝΑΤΣΗ</t>
  </si>
  <si>
    <t>ΑΚ772692</t>
  </si>
  <si>
    <t>ΚΑΡΑΤΖΗΚΑ</t>
  </si>
  <si>
    <t>ΜΑΡΙΑ ΜΑΡΙΝΑ</t>
  </si>
  <si>
    <t>ΑΕ215849</t>
  </si>
  <si>
    <t>ΑΗ556522</t>
  </si>
  <si>
    <t>ΚΟΥΤΟΥΛΑΚΗ</t>
  </si>
  <si>
    <t>ΕΛΙΑΝΑ</t>
  </si>
  <si>
    <t>ΑΙ456374</t>
  </si>
  <si>
    <t>ΣΤΕΡΓΙΟΥΛΑ</t>
  </si>
  <si>
    <t>Π169882</t>
  </si>
  <si>
    <t>ΑΙ428722</t>
  </si>
  <si>
    <t>ΠΑΠΑ</t>
  </si>
  <si>
    <t>ΑΑ967463</t>
  </si>
  <si>
    <t>ΡΑΓΙΑ</t>
  </si>
  <si>
    <t>ΑΙ832372</t>
  </si>
  <si>
    <t>ΑΙ325184</t>
  </si>
  <si>
    <t>ΑΚ104480</t>
  </si>
  <si>
    <t>ΕΠΙΣΚΟΠΟΥ</t>
  </si>
  <si>
    <t>ΑΖ761702</t>
  </si>
  <si>
    <t>ΚΟΥΦΟΓΙΑΝΝΗ</t>
  </si>
  <si>
    <t>ΑΚ716132</t>
  </si>
  <si>
    <t>ΜΑΧΑΙΡΑ</t>
  </si>
  <si>
    <t>ΑΕ241166</t>
  </si>
  <si>
    <t>ΦΑΣΝΑΚΗΣ</t>
  </si>
  <si>
    <t>ΠΕΡΙΣΤΕΡΑ</t>
  </si>
  <si>
    <t>ΜΕΡΚΟΥΡΙΟΣ</t>
  </si>
  <si>
    <t>ΑΗ787593</t>
  </si>
  <si>
    <t>ΣΤΕΦΑΝΟΥ</t>
  </si>
  <si>
    <t>Χ103931</t>
  </si>
  <si>
    <t>ΓΟΡΓΟΝΙΔΟΥ</t>
  </si>
  <si>
    <t>ΜΑΞΙΜΟΣ</t>
  </si>
  <si>
    <t>ΑΝ423605</t>
  </si>
  <si>
    <t>ΑΖ792947</t>
  </si>
  <si>
    <t>ΤΣΙΑΡΤΣΙΑΝΙΔΟΥ</t>
  </si>
  <si>
    <t>Χ451358</t>
  </si>
  <si>
    <t>ΑΜ929824</t>
  </si>
  <si>
    <t>ΦΑΣΕΓΚΑ</t>
  </si>
  <si>
    <t>Χ410984</t>
  </si>
  <si>
    <t>ΣΑΒΒΑΤΙΑΝΗ</t>
  </si>
  <si>
    <t>ΑΕ218198</t>
  </si>
  <si>
    <t>ΑΗ701716</t>
  </si>
  <si>
    <t>ΧΑΛΙΜΟΥΡΔΑ</t>
  </si>
  <si>
    <t>ΑΜ754660</t>
  </si>
  <si>
    <t>ΑΝ797005</t>
  </si>
  <si>
    <t>ΑΚ570620</t>
  </si>
  <si>
    <t>ΓΡΗΓΟΡΙΑΔΟΥ</t>
  </si>
  <si>
    <t>ΑΝ714790</t>
  </si>
  <si>
    <t>ΑΕ783393</t>
  </si>
  <si>
    <t>ΑΚ911747</t>
  </si>
  <si>
    <t>ΤΖΑΒΑΛΗ</t>
  </si>
  <si>
    <t>Χ489909</t>
  </si>
  <si>
    <t>Τ422923</t>
  </si>
  <si>
    <t>ΣΕΡΓΚΕΝΛΙΔΟΥ</t>
  </si>
  <si>
    <t>ΑΕ881111</t>
  </si>
  <si>
    <t>ΚΑΡΑ ΧΟΤΖΑ</t>
  </si>
  <si>
    <t>ΑΙΣΕ</t>
  </si>
  <si>
    <t>ΡΑΧΜΗ</t>
  </si>
  <si>
    <t>Χ442506</t>
  </si>
  <si>
    <t>ΑΛΕΞΟΥΔΑΚΗ</t>
  </si>
  <si>
    <t>Ν915542</t>
  </si>
  <si>
    <t>ΗΛΙΑ</t>
  </si>
  <si>
    <t>ΑΒ881538</t>
  </si>
  <si>
    <t>ΠΑΠΟΥΤΣΑΚΗ</t>
  </si>
  <si>
    <t>ΑΗ456848</t>
  </si>
  <si>
    <t>ΘΑΝΑΣΗ</t>
  </si>
  <si>
    <t>ΑΗ291483</t>
  </si>
  <si>
    <t>ΚΩΣΤΑ</t>
  </si>
  <si>
    <t>ΑΙ029267</t>
  </si>
  <si>
    <t>ΓΙΑΒΡΟΥΤΑ</t>
  </si>
  <si>
    <t>ΑΙ129701</t>
  </si>
  <si>
    <t>ΑΖ645759</t>
  </si>
  <si>
    <t>ΑΜ384004</t>
  </si>
  <si>
    <t>ΚΑΒΑΚΙΩΤΟΥ</t>
  </si>
  <si>
    <t>ΑΝ401529</t>
  </si>
  <si>
    <t>ΚΟΤΣΙΡΑ</t>
  </si>
  <si>
    <t>ΑΝ276738</t>
  </si>
  <si>
    <t>ΑΚ581595</t>
  </si>
  <si>
    <t>ΑΙ262592</t>
  </si>
  <si>
    <t>ΑΗ392766</t>
  </si>
  <si>
    <t>ΠΑΝΑΓΙΩΤΑ ΜΑΡΙΝΑ</t>
  </si>
  <si>
    <t>ΑΖ341303</t>
  </si>
  <si>
    <t>Χ818760</t>
  </si>
  <si>
    <t>ΑΚ529412</t>
  </si>
  <si>
    <t>ΑΟ101632</t>
  </si>
  <si>
    <t>ΠΑΝΙΔΟΥ</t>
  </si>
  <si>
    <t>Ρ209249</t>
  </si>
  <si>
    <t>ΚΕΡΑΜΙΔΑ</t>
  </si>
  <si>
    <t>Τ837036</t>
  </si>
  <si>
    <t>ΝΤΟΤΣΙΚΑ</t>
  </si>
  <si>
    <t>ΑΑ379188</t>
  </si>
  <si>
    <t>ΣΚΟΥΡΤΗ</t>
  </si>
  <si>
    <t>ΑΚ126865</t>
  </si>
  <si>
    <t>ΜΠΕΓΚΟΥ</t>
  </si>
  <si>
    <t>ΜΠΕΣΑΡΤΑ</t>
  </si>
  <si>
    <t>ΑΡΜΠΕΝ</t>
  </si>
  <si>
    <t>ΑΚ470159</t>
  </si>
  <si>
    <t>ΔΟΞΟΜΠΟΛΗ</t>
  </si>
  <si>
    <t>ΑΟ056397</t>
  </si>
  <si>
    <t>ΑΙ179284</t>
  </si>
  <si>
    <t>ΑΒ400739</t>
  </si>
  <si>
    <t>ΣΚΑΛΙΩΤΟΥ</t>
  </si>
  <si>
    <t>Σ307380</t>
  </si>
  <si>
    <t>ΑΑ380476</t>
  </si>
  <si>
    <t>ΔΑΛΗΚΡΙΑΔΟΥ</t>
  </si>
  <si>
    <t>ΑΖ402385</t>
  </si>
  <si>
    <t>ΣΙΟΥΡΟΥΝΗ</t>
  </si>
  <si>
    <t>ΑΕ734350</t>
  </si>
  <si>
    <t>ΚΡΙΚΟΥ</t>
  </si>
  <si>
    <t>Σ781555</t>
  </si>
  <si>
    <t>ΠΑΛΥΒΟΥ</t>
  </si>
  <si>
    <t>ΑΑ816418</t>
  </si>
  <si>
    <t>ΑΦΕΝΤΟΥΛΙΔΟΥ</t>
  </si>
  <si>
    <t>ΑΙ671050</t>
  </si>
  <si>
    <t>ΑΙ478493</t>
  </si>
  <si>
    <t>ΚΡΙΕΜΠΑΡΔΗ</t>
  </si>
  <si>
    <t>ΑΑ391800</t>
  </si>
  <si>
    <t>ΣΦΥΡΗ</t>
  </si>
  <si>
    <t>Χ257308</t>
  </si>
  <si>
    <t>ΚΟΥΝΑΤΙΔΟΥ</t>
  </si>
  <si>
    <t>ΑΚ892060</t>
  </si>
  <si>
    <t>ΜΠΟΥΣΚΛΑΒΙΤΗ</t>
  </si>
  <si>
    <t>ΑΕ812185</t>
  </si>
  <si>
    <t>ΣΜΑΡΑΙΔΟΥ</t>
  </si>
  <si>
    <t>ΒΗΣΣΑΡΙΩΝ</t>
  </si>
  <si>
    <t>ΑΟ929678</t>
  </si>
  <si>
    <t>ΛΑΜΠΡΗ</t>
  </si>
  <si>
    <t>ΑΖ220603</t>
  </si>
  <si>
    <t>ΒΕΖΥΡΙΔΟΥ</t>
  </si>
  <si>
    <t>ΣΑΜΟΥΗΛ</t>
  </si>
  <si>
    <t>ΑΜ410025</t>
  </si>
  <si>
    <t>ΑΜΠΑΖΗΣ</t>
  </si>
  <si>
    <t>ΑΜ933304</t>
  </si>
  <si>
    <t>ΠΑΠΑΘΑΝΑΣΙΟΥ</t>
  </si>
  <si>
    <t>ΑΙ329450</t>
  </si>
  <si>
    <t>ΓΕΩΡΓΑΡΑΚΗ</t>
  </si>
  <si>
    <t>ΑΜ229996</t>
  </si>
  <si>
    <t>ΑΜ709738</t>
  </si>
  <si>
    <t>ΜΙΑΡΗ</t>
  </si>
  <si>
    <t>ΑΙ272539</t>
  </si>
  <si>
    <t>ΕΜΜΑΝΟΥΗΛΙΔΟΥ</t>
  </si>
  <si>
    <t>ΑΗ351285</t>
  </si>
  <si>
    <t>ΑΓΓΕΛΗ</t>
  </si>
  <si>
    <t>ΑΗ767602</t>
  </si>
  <si>
    <t>ΑΝ799797</t>
  </si>
  <si>
    <t>ΣΑΙΝΑΤΟΥΔΗ</t>
  </si>
  <si>
    <t>ΑΟ413438</t>
  </si>
  <si>
    <t>ΑΖ868119</t>
  </si>
  <si>
    <t>ΚΑΜΑΡΙΝΟΠΟΥΛΟΥ</t>
  </si>
  <si>
    <t>ΑΙ793132</t>
  </si>
  <si>
    <t>Ξ553126</t>
  </si>
  <si>
    <t>ΜΠΑΛΤΖΗ</t>
  </si>
  <si>
    <t>ΑΚ016740</t>
  </si>
  <si>
    <t>ΚΟΥΡΟΥΣΙΑ</t>
  </si>
  <si>
    <t>ΑΒ939639</t>
  </si>
  <si>
    <t>ΛΟΥΚΑΔΑΚΗ</t>
  </si>
  <si>
    <t>ΑΝ466009</t>
  </si>
  <si>
    <t>ΔΕΣΠΟΤΕΛΛΗ</t>
  </si>
  <si>
    <t>ΑΖ583226</t>
  </si>
  <si>
    <t>ΚΟΥΔΟΥΝΗ</t>
  </si>
  <si>
    <t>Χ933777</t>
  </si>
  <si>
    <t>ΠΑΤΣΙΑΝΤΖΗ</t>
  </si>
  <si>
    <t>ΑΝ606680</t>
  </si>
  <si>
    <t>ΑΙ326070</t>
  </si>
  <si>
    <t>ΒΑΣΙΛΕΙΟ</t>
  </si>
  <si>
    <t>Ρ815138</t>
  </si>
  <si>
    <t>Σ981899</t>
  </si>
  <si>
    <t>ΑΟ900978</t>
  </si>
  <si>
    <t>ΚΛΑΚΑΛΑ</t>
  </si>
  <si>
    <t>Φ171178</t>
  </si>
  <si>
    <t>ΖΙΑΜΠΑ</t>
  </si>
  <si>
    <t>ΑΕ816981</t>
  </si>
  <si>
    <t>ΚΟΤΖΑΜΑΝΙΔΟΥ</t>
  </si>
  <si>
    <t>ΑΜ267350</t>
  </si>
  <si>
    <t>ΑΙ313649</t>
  </si>
  <si>
    <t>ΑΜ302310</t>
  </si>
  <si>
    <t>ΤΣΑΓΓΑΡΙΩΛΟΥ</t>
  </si>
  <si>
    <t>ΑΚ123469</t>
  </si>
  <si>
    <t>ΚΟΝΤΕΣΙΔΟΥ</t>
  </si>
  <si>
    <t>ΑΗ359185</t>
  </si>
  <si>
    <t>ΔΟΥΛΙΑΣ</t>
  </si>
  <si>
    <t>Φ318644</t>
  </si>
  <si>
    <t>ΑΙ224573</t>
  </si>
  <si>
    <t>ΣΑΡΧΑΝΗ</t>
  </si>
  <si>
    <t>ΧΡΙΣΤΙΝΑ ΑΝΔΡΙΑΝΗ</t>
  </si>
  <si>
    <t>ΑΝ050122</t>
  </si>
  <si>
    <t>ΑΟ111373</t>
  </si>
  <si>
    <t>ΚΟΥΡΙΔΟΥ</t>
  </si>
  <si>
    <t>ΜΑΡΙΑ ΕΛΕΝΑ</t>
  </si>
  <si>
    <t>Χ587989</t>
  </si>
  <si>
    <t>ΓΑΒΡΙΗΛΙΔΟΥ</t>
  </si>
  <si>
    <t>ΑΙ381755</t>
  </si>
  <si>
    <t>ΚΡΑΣΤΑ</t>
  </si>
  <si>
    <t>ΕΓΓΕΛ</t>
  </si>
  <si>
    <t>ΑΙ358733</t>
  </si>
  <si>
    <t>ΚΥΠΡΙΑΝΙΔΗ</t>
  </si>
  <si>
    <t>ΑΗ703541</t>
  </si>
  <si>
    <t>ΚΑΒΑΛΙΕΡΑΤΟΥ</t>
  </si>
  <si>
    <t>ΑΜ300889</t>
  </si>
  <si>
    <t>ΚΟΥΒΑΡΝΤΑ</t>
  </si>
  <si>
    <t>ΑΟ786416</t>
  </si>
  <si>
    <t>Χ743905</t>
  </si>
  <si>
    <t>ΚΟΣΜΟΠΟΥΛΟΥ</t>
  </si>
  <si>
    <t>ΑΟ991516</t>
  </si>
  <si>
    <t>ΜΠΙΜΠΙΖΑ</t>
  </si>
  <si>
    <t>Χ079200</t>
  </si>
  <si>
    <t>ΑΝ440680</t>
  </si>
  <si>
    <t>ΧΟΡΟΖΗ</t>
  </si>
  <si>
    <t>Φ186427</t>
  </si>
  <si>
    <t>ΣΤΑΜΟΠΟΥΛΟΥ</t>
  </si>
  <si>
    <t>Ρ806426</t>
  </si>
  <si>
    <t>ΑΖ820035</t>
  </si>
  <si>
    <t>ΤΣΕΠΟΥΡΑ</t>
  </si>
  <si>
    <t>Σ442853</t>
  </si>
  <si>
    <t>ΚΑΥΚΑ</t>
  </si>
  <si>
    <t>Χ935995</t>
  </si>
  <si>
    <t>ΒΟΥΛΩΝΗ</t>
  </si>
  <si>
    <t>ΙΟΥΛΙΑ</t>
  </si>
  <si>
    <t>ΑΜ258650</t>
  </si>
  <si>
    <t>ΑΔΑΜΑΚΗ</t>
  </si>
  <si>
    <t>ΑΕ346172</t>
  </si>
  <si>
    <t>ΜΠΟΥΛΟΥΚΟΥ</t>
  </si>
  <si>
    <t>Χ790993</t>
  </si>
  <si>
    <t>ΑΛΟΥΣΗ</t>
  </si>
  <si>
    <t>Χ487736</t>
  </si>
  <si>
    <t>ΑΙ733858</t>
  </si>
  <si>
    <t>ΑΥΓΕΡΗ</t>
  </si>
  <si>
    <t>ΙΩΑΝΝΑ ΠΑΡΑΣΚΕΥΗ</t>
  </si>
  <si>
    <t>ΑΑ433369</t>
  </si>
  <si>
    <t>ΡΟΥΛΙΑ</t>
  </si>
  <si>
    <t>Χ408995</t>
  </si>
  <si>
    <t>ΤΖΕΛΕΠΙΔΟΥ</t>
  </si>
  <si>
    <t>Χ745996</t>
  </si>
  <si>
    <t>ΣΕΦΕΡΙΔΟΥ</t>
  </si>
  <si>
    <t>ΑΕ911479</t>
  </si>
  <si>
    <t>ΑΜ171484</t>
  </si>
  <si>
    <t>ΠΟΛΥΖΩΙΔΟΥ</t>
  </si>
  <si>
    <t>ΑΕ917720</t>
  </si>
  <si>
    <t>ΛΥΤΡΙΑΝΗ</t>
  </si>
  <si>
    <t>Χ407763</t>
  </si>
  <si>
    <t>ΛΕΟΝΤΙΤΣΗ</t>
  </si>
  <si>
    <t>Χ960010</t>
  </si>
  <si>
    <t>Χ304738</t>
  </si>
  <si>
    <t>ΠΕΝΟΥ</t>
  </si>
  <si>
    <t>Τ233694</t>
  </si>
  <si>
    <t>ΑΚ704303</t>
  </si>
  <si>
    <t>ΑΗ738286</t>
  </si>
  <si>
    <t>ΜΠΑΖΙΟΥ</t>
  </si>
  <si>
    <t>Χ367604</t>
  </si>
  <si>
    <t>ΑΝ4071125</t>
  </si>
  <si>
    <t>ΘΥΜΙΑΤΗ</t>
  </si>
  <si>
    <t>ΧΡΥΣΑΦΩ</t>
  </si>
  <si>
    <t>ΑΒ672622</t>
  </si>
  <si>
    <t>ΡΟΓΚΟΤΗ</t>
  </si>
  <si>
    <t>Ρ185205</t>
  </si>
  <si>
    <t>ΜΙΧΑΛΟΥΔΗ</t>
  </si>
  <si>
    <t>Ξ553460</t>
  </si>
  <si>
    <t>ΤΣΙΑΚΑΛΟΥ</t>
  </si>
  <si>
    <t>ΜΑΡΙΑ ΑΝΤΙΓΟΝΗ</t>
  </si>
  <si>
    <t>ΑΝ761140</t>
  </si>
  <si>
    <t>ΛΕΙΒΑΔΙΤΗ</t>
  </si>
  <si>
    <t xml:space="preserve">ΠΕΤΡΟΣ </t>
  </si>
  <si>
    <t>Τ323089</t>
  </si>
  <si>
    <t>ΑΗ488638</t>
  </si>
  <si>
    <t>ΚΑΝΕΤΑΚΗ</t>
  </si>
  <si>
    <t>ΑΒ483626</t>
  </si>
  <si>
    <t>ΛΑΖΟΥ</t>
  </si>
  <si>
    <t>Σ785356</t>
  </si>
  <si>
    <t>ΝΤΕΛΓΚΑΝΤΟ</t>
  </si>
  <si>
    <t>ΝΤΟΜΙΓΚΟΣ</t>
  </si>
  <si>
    <t>ΑΗ068144</t>
  </si>
  <si>
    <t>ΚΑΠΕΝΗ</t>
  </si>
  <si>
    <t>ΑΜ993026</t>
  </si>
  <si>
    <t>ΒΕΡΤΖΟΥ</t>
  </si>
  <si>
    <t>Χ598113</t>
  </si>
  <si>
    <t>ΑΕ097857</t>
  </si>
  <si>
    <t>ΑΗ686653</t>
  </si>
  <si>
    <t>ΚΥΡΙΑΚΟΥΛΗ</t>
  </si>
  <si>
    <t>ΑΜ831663</t>
  </si>
  <si>
    <t>ΜΙΡΑΝΤΑ ΜΑΡΙΑ</t>
  </si>
  <si>
    <t>ΑΝΕΥ</t>
  </si>
  <si>
    <t>ΑΚ794508</t>
  </si>
  <si>
    <t>ΤΣΙΚΑΛΑΚΗ</t>
  </si>
  <si>
    <t>ΑΖ460466</t>
  </si>
  <si>
    <t>ΑΝ209560</t>
  </si>
  <si>
    <t>ΠΟΛΥΖΩΗΣ</t>
  </si>
  <si>
    <t>ΑΗ212705</t>
  </si>
  <si>
    <t>ΤΣΙΚΙΝΤΙΚΟΥ</t>
  </si>
  <si>
    <t>ΆΝΝΑ</t>
  </si>
  <si>
    <t>ΑΙ960445</t>
  </si>
  <si>
    <t>ΣΤΑΘΑΚΗ</t>
  </si>
  <si>
    <t>Χ281356</t>
  </si>
  <si>
    <t>ΑΝ095670</t>
  </si>
  <si>
    <t>ΚΙΟΣΚΕΡΙΔΟΥ</t>
  </si>
  <si>
    <t>ΑΙ894117</t>
  </si>
  <si>
    <t>ΜΛΑΔΕΝΗ</t>
  </si>
  <si>
    <t>ΑΗ159608</t>
  </si>
  <si>
    <t>ΠΑΝΟΥ</t>
  </si>
  <si>
    <t>ΑΖ406766</t>
  </si>
  <si>
    <t>ΚΑΡΠΟΥΖΑΚΗ</t>
  </si>
  <si>
    <t>ΑΖ972080</t>
  </si>
  <si>
    <t>ΣΙΩΖIΟΥ</t>
  </si>
  <si>
    <t>Χ867832</t>
  </si>
  <si>
    <t>ΒΙΝΙΕΡΑΤΟΥ</t>
  </si>
  <si>
    <t>Χ140815</t>
  </si>
  <si>
    <t>ΚΟΥΜΠΟΥΣΙΔΟΥ</t>
  </si>
  <si>
    <t>ΑΒ883796</t>
  </si>
  <si>
    <t>ΑΖ927309</t>
  </si>
  <si>
    <t>ΟΓΚΑΝΙΑΝ</t>
  </si>
  <si>
    <t>ΑΑ472884</t>
  </si>
  <si>
    <t>ΑΝΤΩΝΑΚΟΥΔΗ</t>
  </si>
  <si>
    <t>ΑΙ708571</t>
  </si>
  <si>
    <t>ΑΙ324741</t>
  </si>
  <si>
    <t>ΑΙ325905</t>
  </si>
  <si>
    <t>ΜΠΑΜΙΧΑ</t>
  </si>
  <si>
    <t>ΑΓΑΘΟΥΛΑ</t>
  </si>
  <si>
    <t>ΑΖ516423</t>
  </si>
  <si>
    <t>ΚΕΡΕΣΤΕΤΖΗ</t>
  </si>
  <si>
    <t>ΑΝ185001</t>
  </si>
  <si>
    <t>ΜΠΙΝΑ</t>
  </si>
  <si>
    <t>ΚΑΡΟΛΙΝΑ</t>
  </si>
  <si>
    <t>ΑΑ377893</t>
  </si>
  <si>
    <t>ΓΙΟΓΙΑΚΑ</t>
  </si>
  <si>
    <t>ΑΚ821002</t>
  </si>
  <si>
    <t>ΑΟ209029</t>
  </si>
  <si>
    <t>ΓΑΖΟΥ</t>
  </si>
  <si>
    <t>ΑΙ207424</t>
  </si>
  <si>
    <t>ΕΡΓΑΖΑΚΗ</t>
  </si>
  <si>
    <t>ΕΥΑΓΓΕΛΙΑ ΜΑΡΙΑ</t>
  </si>
  <si>
    <t>ΑΜ465255</t>
  </si>
  <si>
    <t>ΚΑΠΛΑΝΗ</t>
  </si>
  <si>
    <t>ΑΖ803323</t>
  </si>
  <si>
    <t>ΣΙΟΥΤΗ</t>
  </si>
  <si>
    <t>ΑΜ691825</t>
  </si>
  <si>
    <t>ΑΝ243545</t>
  </si>
  <si>
    <t>ΑΟ038757</t>
  </si>
  <si>
    <t>ΑΙ761307</t>
  </si>
  <si>
    <t>ΑΒ245720</t>
  </si>
  <si>
    <t>ΣΚΑΡΛΑΤΟΥ</t>
  </si>
  <si>
    <t>ΑΝ409763</t>
  </si>
  <si>
    <t>ΧΑΣΙΩΤΗ</t>
  </si>
  <si>
    <t>ΑΙ869540</t>
  </si>
  <si>
    <t>ΑΜ631936</t>
  </si>
  <si>
    <t>ΤΣΟΥΡΛΗ</t>
  </si>
  <si>
    <t>ΑΡ213793</t>
  </si>
  <si>
    <t>ΔΑΦΑΡΑΝΟΥ</t>
  </si>
  <si>
    <t>ΑΟ311214</t>
  </si>
  <si>
    <t>ΚΑΠΑΤΣΟΥΛΙΑ</t>
  </si>
  <si>
    <t>ΑΙ772390</t>
  </si>
  <si>
    <t>ΤΣΙΤΟΓΛΟΥ</t>
  </si>
  <si>
    <t>ΡΕΓΓΙΝΑ</t>
  </si>
  <si>
    <t>ΑΗ776100</t>
  </si>
  <si>
    <t>ΚΑΡΑΠΑΤΑΚΗ</t>
  </si>
  <si>
    <t>ΑΚ023870</t>
  </si>
  <si>
    <t>ΠΑΤΣΑΚΗ</t>
  </si>
  <si>
    <t>ΑΚ151006</t>
  </si>
  <si>
    <t>ΣΤΕΡΓΙΩΤΗ</t>
  </si>
  <si>
    <t>Φ017966</t>
  </si>
  <si>
    <t>ΑΚ371100</t>
  </si>
  <si>
    <t>ΚΑΡΤΣΑΚΗ</t>
  </si>
  <si>
    <t>Ρ826147</t>
  </si>
  <si>
    <t>ΠΕΡΓΑΝΤΗ</t>
  </si>
  <si>
    <t>Χ047173</t>
  </si>
  <si>
    <t>ΚΑΡΑΚΑΜΕΝΟΥ</t>
  </si>
  <si>
    <t>ΑΙ031263</t>
  </si>
  <si>
    <t>ΚΑΡΤΣΙΟΥΝΗ</t>
  </si>
  <si>
    <t>ΑΜ853920</t>
  </si>
  <si>
    <t>ΓΡΗΓΟΡΑΚΗ</t>
  </si>
  <si>
    <t>ΑΒ110028</t>
  </si>
  <si>
    <t>ΓΚΡΙΤΖΑΛΗ</t>
  </si>
  <si>
    <t>ΠΑΤΡΑ</t>
  </si>
  <si>
    <t>Χ405588</t>
  </si>
  <si>
    <t>ΑΒ870143</t>
  </si>
  <si>
    <t>ΕΥΤΑΞΙΑΔΟΥ</t>
  </si>
  <si>
    <t>ΑΙ323399</t>
  </si>
  <si>
    <t>ΕΙΡΗΝΗ ΕΥΔΟΞΙΑ</t>
  </si>
  <si>
    <t>ΑΒ908085</t>
  </si>
  <si>
    <t>Σ440051</t>
  </si>
  <si>
    <t>ΑΚ643459</t>
  </si>
  <si>
    <t>ΓΚΕΒΟΡΓΚΙΑΝ</t>
  </si>
  <si>
    <t>ΑΝΙ</t>
  </si>
  <si>
    <t>ΡΑΝΤΙΚ</t>
  </si>
  <si>
    <t>ΑΜ922996</t>
  </si>
  <si>
    <t>ΑΖ011186</t>
  </si>
  <si>
    <t>ΑΗ253627</t>
  </si>
  <si>
    <t>ΑΗ746020</t>
  </si>
  <si>
    <t>ΦΑΣΟΥΛΑ</t>
  </si>
  <si>
    <t>ΑΖ772610</t>
  </si>
  <si>
    <t>ΓΚΟΥΝΤΩΝΗ</t>
  </si>
  <si>
    <t>ΑΗ299343</t>
  </si>
  <si>
    <t>ΑΙ128503</t>
  </si>
  <si>
    <t>ΡΟΥΜΠΕΚΑ</t>
  </si>
  <si>
    <t>Σ002503</t>
  </si>
  <si>
    <t>ΛΙΟΛΙΟΥ</t>
  </si>
  <si>
    <t>ΑΑ087226</t>
  </si>
  <si>
    <t>ΠΑΠΑΣΩΤΗΡΑ</t>
  </si>
  <si>
    <t>ΑΜ263268</t>
  </si>
  <si>
    <t>ΜΙΧΑΣΟΥΡΙΔΗ</t>
  </si>
  <si>
    <t>ΑΚ806481</t>
  </si>
  <si>
    <t>ΑΗ400691</t>
  </si>
  <si>
    <t>ΒΑΜΒΑΚΗ</t>
  </si>
  <si>
    <t>ΑΒ145056</t>
  </si>
  <si>
    <t>ΝΤΟΥΤΣΗ</t>
  </si>
  <si>
    <t>ΑΖ237372</t>
  </si>
  <si>
    <t>VARVIA</t>
  </si>
  <si>
    <t>EYAGGELIA</t>
  </si>
  <si>
    <t>XRHSTOS</t>
  </si>
  <si>
    <t>Σ697415</t>
  </si>
  <si>
    <t>ΣΤΑΜΟΥΛΤΑ</t>
  </si>
  <si>
    <t>Σ788116</t>
  </si>
  <si>
    <t>ΠΑΤΡΑΜΑΝΗ</t>
  </si>
  <si>
    <t>ΑΝ455717</t>
  </si>
  <si>
    <t>Τ807543</t>
  </si>
  <si>
    <t>ΑΔΑΜΑΝΤΙΟΣ</t>
  </si>
  <si>
    <t>ΑΟ709036</t>
  </si>
  <si>
    <t>ΠΕΠΟΝΗ</t>
  </si>
  <si>
    <t>Σ333917</t>
  </si>
  <si>
    <t>ΜΟΥΔΑΤΣΟΥ</t>
  </si>
  <si>
    <t>ΓΕΩΡΓΙΑ ΙΣΜΗΝΗ</t>
  </si>
  <si>
    <t>ΑΕ970624</t>
  </si>
  <si>
    <t>ΜΠΑΚΙΡΤΖΗ</t>
  </si>
  <si>
    <t>ΑΗ188119</t>
  </si>
  <si>
    <t>ΚΑΜΠΑΤΣΚΗ</t>
  </si>
  <si>
    <t>ΜΙΧΑΗΛ ΧΑΡΑΛΑΜΠΟΣ</t>
  </si>
  <si>
    <t>Σ291465</t>
  </si>
  <si>
    <t>ΑΣΤΡΙΝΟΣ</t>
  </si>
  <si>
    <t>ΑΜ463826</t>
  </si>
  <si>
    <t>ΜΕΛΑΧΡΗ</t>
  </si>
  <si>
    <t>ΑΗ718036</t>
  </si>
  <si>
    <t>ΚΩΝΣΤΑΝΤΟΥ</t>
  </si>
  <si>
    <t>ΑΗ435377</t>
  </si>
  <si>
    <t>ΑΖ726183</t>
  </si>
  <si>
    <t>ΜΠΑΜΠΑΝΙΩΤΗ</t>
  </si>
  <si>
    <t>Χ327616</t>
  </si>
  <si>
    <t>ΤΣΙΛΙΜΟΥ</t>
  </si>
  <si>
    <t>ΚΥΡΙΑΚΗ ΜΑΡΙΑ</t>
  </si>
  <si>
    <t>Τ541652</t>
  </si>
  <si>
    <t>ΑΖ508100</t>
  </si>
  <si>
    <t>ΜΠΟΥΓΙΑ</t>
  </si>
  <si>
    <t>ΑΗ550796</t>
  </si>
  <si>
    <t>ΑΙ035715</t>
  </si>
  <si>
    <t>ΚΟΥΡΤΕΝΛΗ</t>
  </si>
  <si>
    <t>Χ252050</t>
  </si>
  <si>
    <t>ΑΗ879645</t>
  </si>
  <si>
    <t>ΛΙΑΠΑΚΗ</t>
  </si>
  <si>
    <t>ΑΑ079447</t>
  </si>
  <si>
    <t>ΜΑΝΟΥΕΛΑ</t>
  </si>
  <si>
    <t>ΑΜ545216</t>
  </si>
  <si>
    <t>ΚΑΡΑΧΑΛΙΟΥ</t>
  </si>
  <si>
    <t>Ρ814309</t>
  </si>
  <si>
    <t>ΤΣΑΧΩΒΙΔΟΥ</t>
  </si>
  <si>
    <t>ΑΖ902299</t>
  </si>
  <si>
    <t>ΦΟΥΛΕΔΑΚΗ</t>
  </si>
  <si>
    <t>ΑΗ860800</t>
  </si>
  <si>
    <t>ΣΤΕΦΑΝΗ</t>
  </si>
  <si>
    <t>ΑΕ615689</t>
  </si>
  <si>
    <t>ΑΡ419920</t>
  </si>
  <si>
    <t>ΓΕΩΡΓΙΑΔΗ</t>
  </si>
  <si>
    <t>ΑΗ143072</t>
  </si>
  <si>
    <t>ΑΝ748363</t>
  </si>
  <si>
    <t>ΜΑΥΡΗ</t>
  </si>
  <si>
    <t>ΗΛΙΑΣ ΝΙΚΟΛΑΟΣ</t>
  </si>
  <si>
    <t>ΑΒ214176</t>
  </si>
  <si>
    <t>ΑΙ203204</t>
  </si>
  <si>
    <t>ΑΙ289704</t>
  </si>
  <si>
    <t>ΣΤΟΙΛΟΥΔΗ</t>
  </si>
  <si>
    <t>ΑΝ422203</t>
  </si>
  <si>
    <t>ΣΤΑΜΑΤΙΑΔΟΥ</t>
  </si>
  <si>
    <t>ΑΖ179343</t>
  </si>
  <si>
    <t>ΚΑΙΜΑΚΑΜΗ</t>
  </si>
  <si>
    <t>ΑΝ060942</t>
  </si>
  <si>
    <t xml:space="preserve">ΑΝΑΣΤΑΣΙΟΥ </t>
  </si>
  <si>
    <t>ΑΓΓΕΛΙΚΗ ΜΑΡΙΑ</t>
  </si>
  <si>
    <t>Χ875867</t>
  </si>
  <si>
    <t>ΑΗ183450</t>
  </si>
  <si>
    <t>ΤΣΙΡΙΜΠΑΣΗ</t>
  </si>
  <si>
    <t>ΑΚ988614</t>
  </si>
  <si>
    <t>ΝΕΡΑΝΤΖΑΚΗ</t>
  </si>
  <si>
    <t>Χ886990</t>
  </si>
  <si>
    <t>ΑΕ401135</t>
  </si>
  <si>
    <t>ΧΕΙΛΑΡΗ</t>
  </si>
  <si>
    <t>ΑΗ723296</t>
  </si>
  <si>
    <t>Χ390576</t>
  </si>
  <si>
    <t>ΝΤΗΒΑΡΤΖΗ</t>
  </si>
  <si>
    <t>ΑΚ469108</t>
  </si>
  <si>
    <t>ΑΗ305937</t>
  </si>
  <si>
    <t>ΜΥΣΤΑΚΙΔΟΥ</t>
  </si>
  <si>
    <t>ΑΗ365860</t>
  </si>
  <si>
    <t>ΦΡΑΓΚΙΔΗ</t>
  </si>
  <si>
    <t>ΧΡΙΣΤΙΝΑ ΙΩΑΝΝΑ</t>
  </si>
  <si>
    <t>ΑΚ340933</t>
  </si>
  <si>
    <t>ΡΑΦΑΕΛΑ ΚΩΝΣΤΑΝΤΙΝΑ</t>
  </si>
  <si>
    <t>ΑΚ919100</t>
  </si>
  <si>
    <t>ΑΗ214187</t>
  </si>
  <si>
    <t>ΤΣΙΟΜΠΑΝΟΥΔΗ</t>
  </si>
  <si>
    <t>ΑΕ922557</t>
  </si>
  <si>
    <t>Ξ669399</t>
  </si>
  <si>
    <t>Π233748</t>
  </si>
  <si>
    <t>ΚΟΥΔΡΟΥ</t>
  </si>
  <si>
    <t>Χ943589</t>
  </si>
  <si>
    <t>ΙΩΑΝΝΑ ΑΓΛΑΙΑ</t>
  </si>
  <si>
    <t>ΑΗ210409</t>
  </si>
  <si>
    <t>ΓΙΑΝΝΟΥ</t>
  </si>
  <si>
    <t>ΑΝ755431</t>
  </si>
  <si>
    <t>ΡΕΤΣΙΔΟΥ</t>
  </si>
  <si>
    <t>ΑΚ450697</t>
  </si>
  <si>
    <t>ΚΑΡΥΔΗ</t>
  </si>
  <si>
    <t>ΑΜ744460</t>
  </si>
  <si>
    <t>ΑΒ885995</t>
  </si>
  <si>
    <t>ΑΖ787895</t>
  </si>
  <si>
    <t>ΤΖΙΦΡΗ</t>
  </si>
  <si>
    <t>ΜΑΝΘΟΥΛΑ</t>
  </si>
  <si>
    <t>ΑΜ699874</t>
  </si>
  <si>
    <t>Σ881690</t>
  </si>
  <si>
    <t>Ρ044854</t>
  </si>
  <si>
    <t>ΑΓΡΙΟΥ</t>
  </si>
  <si>
    <t>ΜΑΡΙΝΑ ΜΑΡΙΑ</t>
  </si>
  <si>
    <t>ΑΟ316598</t>
  </si>
  <si>
    <t>ΣΤΕΡΓΙΑΝΝΗ</t>
  </si>
  <si>
    <t>ΑΝ428431</t>
  </si>
  <si>
    <t>ΖΥΜΠΙΔΟΥ</t>
  </si>
  <si>
    <t>ΑΜ396371</t>
  </si>
  <si>
    <t>ΑΖ787406</t>
  </si>
  <si>
    <t>ΣΟΥΡΜΕΛΗ</t>
  </si>
  <si>
    <t>Σ363464</t>
  </si>
  <si>
    <t>ΑΡΓΥΡΟΚΑΣΤΡΙΤΗ</t>
  </si>
  <si>
    <t>ΑΑ397408</t>
  </si>
  <si>
    <t>ΛΕΟΤΣΙΝΙΔΗ</t>
  </si>
  <si>
    <t>ΜΥΡΣΙΝΑ</t>
  </si>
  <si>
    <t>ΑΙ571913</t>
  </si>
  <si>
    <t>ΑΜ823758</t>
  </si>
  <si>
    <t>ΑΤΤΕΙΑ ΜΟΧΑΜΕΝΤ</t>
  </si>
  <si>
    <t>ΑΧΜΕΝΤ ΣΑΟΥΚΗ</t>
  </si>
  <si>
    <t>Τ271679</t>
  </si>
  <si>
    <t>ΚΙΟΥΤΣΟΥΚΗ</t>
  </si>
  <si>
    <t>ΑΚ753211</t>
  </si>
  <si>
    <t>ΑΖ405192</t>
  </si>
  <si>
    <t>ΟΥΖΟΥΝΣΤΕΦΑΝΗ</t>
  </si>
  <si>
    <t>ΠΑΡΑΣΧΟΣ</t>
  </si>
  <si>
    <t>ΑΙ167417</t>
  </si>
  <si>
    <t>ΤΣΕΓΓΕΝΕ</t>
  </si>
  <si>
    <t>ΑΒ436554</t>
  </si>
  <si>
    <t>ΣΙΑΡΜΑΛΗ</t>
  </si>
  <si>
    <t>ΑΗ125749</t>
  </si>
  <si>
    <t>ΑΙ298329</t>
  </si>
  <si>
    <t>ΚΩΣΤΟΥΛΑ</t>
  </si>
  <si>
    <t>ΑΒ403648</t>
  </si>
  <si>
    <t>ΝΤΑΜΠΟΥ</t>
  </si>
  <si>
    <t>Σ713199</t>
  </si>
  <si>
    <t>ΑΓΓΕΛΑΚΗ</t>
  </si>
  <si>
    <t>ΙΩΑΝ</t>
  </si>
  <si>
    <t>ΑΖ389834</t>
  </si>
  <si>
    <t>ΠΑΠΑΓΓΕΛΗ</t>
  </si>
  <si>
    <t>ΑΙ587367</t>
  </si>
  <si>
    <t>ΜΑΜΜΩΝΑ</t>
  </si>
  <si>
    <t>ΜΑΡΙΑ ΑΘΑΝΑΣΙΑ</t>
  </si>
  <si>
    <t>ΑΑ036502</t>
  </si>
  <si>
    <t>ΝΙΚΟΛΕΤΤΑ ΜΑΡΙΑ</t>
  </si>
  <si>
    <t>ΑΟ479137</t>
  </si>
  <si>
    <t>MITKOVA</t>
  </si>
  <si>
    <t>SILVIYA</t>
  </si>
  <si>
    <t>NENTSO</t>
  </si>
  <si>
    <t>ΛΑΖΑΡΗ</t>
  </si>
  <si>
    <t>ΑΚ587920</t>
  </si>
  <si>
    <t>ΑΛΕΞΑΝΔΡΙΔΟΥ</t>
  </si>
  <si>
    <t>ΑΟ371379</t>
  </si>
  <si>
    <t>ΑΕ672350</t>
  </si>
  <si>
    <t>ΜΑΚΡΟΠΟΥΛΟΥ</t>
  </si>
  <si>
    <t>ΣΤΡΑΤΗΓΟΥΛΑ</t>
  </si>
  <si>
    <t>Χ763746</t>
  </si>
  <si>
    <t>Χ631593</t>
  </si>
  <si>
    <t>ΑΑ232881</t>
  </si>
  <si>
    <t>ΑΒ436023</t>
  </si>
  <si>
    <t>ΜΑΛΑΔΑΚΗ</t>
  </si>
  <si>
    <t>Ρ831138</t>
  </si>
  <si>
    <t>ΖΗΤΗ</t>
  </si>
  <si>
    <t>ΑΙ858567</t>
  </si>
  <si>
    <t>ΑΜ058437</t>
  </si>
  <si>
    <t>ΗΛΙΑΣΚΟΥ</t>
  </si>
  <si>
    <t>ΑΕ661540</t>
  </si>
  <si>
    <t>ΝΙΚΟΛΟΥΔΑΚΗ</t>
  </si>
  <si>
    <t>ΑΙ454627</t>
  </si>
  <si>
    <t>ΤΣΑΒΛΙΔΟΥ</t>
  </si>
  <si>
    <t>ΑΖ678258</t>
  </si>
  <si>
    <t>ΚΑΡΑΜΑΝΛΗ</t>
  </si>
  <si>
    <t>ΑΟ280759</t>
  </si>
  <si>
    <t>ΑΡΣΕΝΗ</t>
  </si>
  <si>
    <t>Τ239656</t>
  </si>
  <si>
    <t>Χ416556</t>
  </si>
  <si>
    <t>ΛΗΜΝΑΙΟΥ</t>
  </si>
  <si>
    <t>Π775367</t>
  </si>
  <si>
    <t>ΕΛΕΝΗ ΕΥΔΟΞΙΑ</t>
  </si>
  <si>
    <t>ΑΗ291980</t>
  </si>
  <si>
    <t>ΑΗ354226</t>
  </si>
  <si>
    <t>ΚΑΡΚΑΝΤΖΙΝΟΥ</t>
  </si>
  <si>
    <t>Π045784</t>
  </si>
  <si>
    <t>ΑΚ450337</t>
  </si>
  <si>
    <t>ΑΗ056300</t>
  </si>
  <si>
    <t>ΣΤΑΓΑΚΗ</t>
  </si>
  <si>
    <t>ΑΖ970518</t>
  </si>
  <si>
    <t>ΣΤΕΦΟΥΔΗ</t>
  </si>
  <si>
    <t>ΑΖ177485</t>
  </si>
  <si>
    <t>ΓΙΑΛΑΜΟΥΔΗ</t>
  </si>
  <si>
    <t>ΑΝ212748</t>
  </si>
  <si>
    <t>ΑΖ273701</t>
  </si>
  <si>
    <t>ΠΥΘΑΡΟΥΛΗ</t>
  </si>
  <si>
    <t>ΑΒ185671</t>
  </si>
  <si>
    <t>ΜΑΡΚΟΥΙΖΟΥ</t>
  </si>
  <si>
    <t>ΑΙ121759</t>
  </si>
  <si>
    <t>ΣΒΟΡΩΝΟΥ</t>
  </si>
  <si>
    <t>ΓΑΡΙΦΑΛΙΑ</t>
  </si>
  <si>
    <t>ΑΟ700078</t>
  </si>
  <si>
    <t>ΑΚ872933</t>
  </si>
  <si>
    <t>ΠΕΡΠΕΤΣΗ</t>
  </si>
  <si>
    <t>ΑΚ443080</t>
  </si>
  <si>
    <t>Χ476742</t>
  </si>
  <si>
    <t>ΜΟΥΣΤΑΚΑ</t>
  </si>
  <si>
    <t>ΑΚ657429</t>
  </si>
  <si>
    <t>ΑΚ472805</t>
  </si>
  <si>
    <t>ΓΙΑΝΤΣΟΥΛΗ</t>
  </si>
  <si>
    <t>Φ274517</t>
  </si>
  <si>
    <t>ΧΑΝΙΩΤΑΚΗ</t>
  </si>
  <si>
    <t>Χ602689</t>
  </si>
  <si>
    <t>ΑΕ233748</t>
  </si>
  <si>
    <t>ΜΑΣΤΟΡΑΚΗ</t>
  </si>
  <si>
    <t>ΑΙ679549</t>
  </si>
  <si>
    <t>ΣΕΙΝΤΗ</t>
  </si>
  <si>
    <t>Χ296245</t>
  </si>
  <si>
    <t>ΣΙΑΚΑΒΑΡΑ</t>
  </si>
  <si>
    <t>ΑΗ267324</t>
  </si>
  <si>
    <t>ΚΑΤΖΑΚΗ</t>
  </si>
  <si>
    <t>Χ496413</t>
  </si>
  <si>
    <t>ΑΛΕΙΦΤΗΡΑ</t>
  </si>
  <si>
    <t>ΑΟ163070</t>
  </si>
  <si>
    <t>ΝΤΑΟΥΤ</t>
  </si>
  <si>
    <t>ΕΜΡΟΥ</t>
  </si>
  <si>
    <t>ΛΟΥΤΦΗ</t>
  </si>
  <si>
    <t>ΑΗ400682</t>
  </si>
  <si>
    <t>ΚΟΥΜΠΟΥΡΑ</t>
  </si>
  <si>
    <t>ΑΗ790274</t>
  </si>
  <si>
    <t>ΑΓΓΕΛΑΚΟΠΟΥΛΟΥ</t>
  </si>
  <si>
    <t>ΑΖ891231</t>
  </si>
  <si>
    <t>ΓΙΟΥΣΙΑ</t>
  </si>
  <si>
    <t>ΑΗ771867</t>
  </si>
  <si>
    <t>ΑΙ524764</t>
  </si>
  <si>
    <t>ΤΑΣΟΠΟΥΛΟΥ</t>
  </si>
  <si>
    <t>ΑΕ343920</t>
  </si>
  <si>
    <t>ΚΟΡΟΣΤΕΛΗ</t>
  </si>
  <si>
    <t>ΑΕ418391</t>
  </si>
  <si>
    <t>ΑΗ377320</t>
  </si>
  <si>
    <t>Φ497490</t>
  </si>
  <si>
    <t>ΜΑΝΟΥΣΑΚΑΚΗ</t>
  </si>
  <si>
    <t>Σ629200</t>
  </si>
  <si>
    <t>ΣΙΓΚΑ</t>
  </si>
  <si>
    <t>ΑΖ343751</t>
  </si>
  <si>
    <t>ΚΑΤΣΟΥΔΑ</t>
  </si>
  <si>
    <t>ΕΥΤΕΡΠΗ</t>
  </si>
  <si>
    <t>Σ466409</t>
  </si>
  <si>
    <t>ΑΗ817401</t>
  </si>
  <si>
    <t>ΤΡΟΥΛΛΙΝΟΥ</t>
  </si>
  <si>
    <t>ΑΟ438018</t>
  </si>
  <si>
    <t>ΞΥΛΟΠΑΡΚΙΩΤΗ</t>
  </si>
  <si>
    <t>ΑΙ837285</t>
  </si>
  <si>
    <t>ΚΩΣΤΑΚΑΚΗ</t>
  </si>
  <si>
    <t>ΑΜ666481</t>
  </si>
  <si>
    <t>ΣΥΛΛΙΓΑΡΔΑΚΗ</t>
  </si>
  <si>
    <t>ΧΡΥΣΟΒΑΛΑΝΤΗ</t>
  </si>
  <si>
    <t>ΑΙ081709</t>
  </si>
  <si>
    <t>Ρ235698</t>
  </si>
  <si>
    <t>ΚΙΚΗ</t>
  </si>
  <si>
    <t>ΑΕ724789</t>
  </si>
  <si>
    <t>ΑΝ191614</t>
  </si>
  <si>
    <t>ΚΑΡΚΑΝΗ</t>
  </si>
  <si>
    <t>ΑΗ944704</t>
  </si>
  <si>
    <t>Σ882257</t>
  </si>
  <si>
    <t>ΜΑΓΓΑΝΑ</t>
  </si>
  <si>
    <t>Χ132487</t>
  </si>
  <si>
    <t>ΜΑΛΑΜΑΤΑ</t>
  </si>
  <si>
    <t>Χ250827</t>
  </si>
  <si>
    <t>ΚΕΜΠΑΠΤΣΗ</t>
  </si>
  <si>
    <t>ΑΖ398414</t>
  </si>
  <si>
    <t>ΜΑΡΓΙΟΡΙΔΟΥ</t>
  </si>
  <si>
    <t>ΑΚ936843</t>
  </si>
  <si>
    <t>ΜΠΟΥΣΜΠΟΥΡΑ</t>
  </si>
  <si>
    <t>ΑΕ732970</t>
  </si>
  <si>
    <t>ΑΗ188746</t>
  </si>
  <si>
    <t>ΔΟΥΛΓΚΕΡΗ</t>
  </si>
  <si>
    <t>ΑΙ365184</t>
  </si>
  <si>
    <t>ΖΕΜΠΙΛΗ</t>
  </si>
  <si>
    <t>ΑΜ009966</t>
  </si>
  <si>
    <t>ΚΑΨΑΛΗ</t>
  </si>
  <si>
    <t>ΑΙ661914</t>
  </si>
  <si>
    <t>ΑΙ601696</t>
  </si>
  <si>
    <t>ΕΛΕΝΗ ΑΙΚΑΤΕΡΙΝΗ</t>
  </si>
  <si>
    <t>ΑΝ998584</t>
  </si>
  <si>
    <t>ΚΑΤΣΙΝΙΚΑ</t>
  </si>
  <si>
    <t>ΑΚ386997</t>
  </si>
  <si>
    <t>ΚΟΥΚΗ</t>
  </si>
  <si>
    <t>ΑΒ598293</t>
  </si>
  <si>
    <t>ΚΟΥΤΛΗ</t>
  </si>
  <si>
    <t>ΑΜ956068</t>
  </si>
  <si>
    <t>ΜΠΙΚΑ</t>
  </si>
  <si>
    <t>ΑΙ691490</t>
  </si>
  <si>
    <t>ΑΙ773974</t>
  </si>
  <si>
    <t>Χ920595</t>
  </si>
  <si>
    <t>ΠΙΣΠΙΝΗ</t>
  </si>
  <si>
    <t>ΡΑΦΑΗΛΙΑ</t>
  </si>
  <si>
    <t>ΑΙ783845</t>
  </si>
  <si>
    <t>ΑΙ229834</t>
  </si>
  <si>
    <t>ΣΑΛΟΥΣΤΡΟΥ</t>
  </si>
  <si>
    <t>ΑΖ469510</t>
  </si>
  <si>
    <t>ΕΛΗΑ</t>
  </si>
  <si>
    <t>ΑΙ434973</t>
  </si>
  <si>
    <t>ΑΕ475103</t>
  </si>
  <si>
    <t>ΔΑΝΕΛΗ</t>
  </si>
  <si>
    <t>Χ331806</t>
  </si>
  <si>
    <t>ΑΜ881095</t>
  </si>
  <si>
    <t>ΚΟΥΤΣΙΑΡΗ</t>
  </si>
  <si>
    <t>Χ252715</t>
  </si>
  <si>
    <t>ΚΑΓΙΟΥΔΗ</t>
  </si>
  <si>
    <t>ΑΒ903877</t>
  </si>
  <si>
    <t>ΠΟΛΥΧΡΟΝΗ</t>
  </si>
  <si>
    <t>ΕΛΕΝΗ ΣΟΦΙΑ</t>
  </si>
  <si>
    <t>Π566068</t>
  </si>
  <si>
    <t>ΓΚΟΥΒΕΡΟΥ</t>
  </si>
  <si>
    <t>ΑΗ721834</t>
  </si>
  <si>
    <t>ΔΑΔΑΡΟΥ</t>
  </si>
  <si>
    <t>ΑΖ883649</t>
  </si>
  <si>
    <t>ΤΣΙΑΜΗ</t>
  </si>
  <si>
    <t>ΑΟ580464</t>
  </si>
  <si>
    <t>ΚΩΝΣΤΑΝΤΙΝΟΥ</t>
  </si>
  <si>
    <t>ΑΖ651767</t>
  </si>
  <si>
    <t>ΕΛΕΝΗ ΑΝΝΑ</t>
  </si>
  <si>
    <t>ΑΜ458039</t>
  </si>
  <si>
    <t>ΤΣΕΡΤΣΙΔΟΥ</t>
  </si>
  <si>
    <t xml:space="preserve"> ΣΕΡΑΦΕΙΜ</t>
  </si>
  <si>
    <t>ΑΒ354580</t>
  </si>
  <si>
    <t>ΤΡΙΑΝΤΑΦΥΛΛΟΠΟΥΛΟΥ</t>
  </si>
  <si>
    <t>ΑΝ806421</t>
  </si>
  <si>
    <t>ΠΑΠΑΔΟΠΟΥΛΟΣ</t>
  </si>
  <si>
    <t>ΑΟ095337</t>
  </si>
  <si>
    <t>ΧΑΛΝΑΡΙΔΟΥ</t>
  </si>
  <si>
    <t>ΑΖ663175</t>
  </si>
  <si>
    <t>Χ974211</t>
  </si>
  <si>
    <t>ΔΑΛΔΑΒΑΝΗ</t>
  </si>
  <si>
    <t>ΧΡΥΣΟΒΑΛΕΝΤΙΝΑ</t>
  </si>
  <si>
    <t>ΑΒ939341</t>
  </si>
  <si>
    <t>ΠΑΠΠΑΣ</t>
  </si>
  <si>
    <t>ΑΗ133152</t>
  </si>
  <si>
    <t>ΑΚ413955</t>
  </si>
  <si>
    <t>Χ107941</t>
  </si>
  <si>
    <t>ΤΖΗΚΑ</t>
  </si>
  <si>
    <t>ΑΚ981539</t>
  </si>
  <si>
    <t>ΣΦΙΚΤΟΥ</t>
  </si>
  <si>
    <t>ΑΕ609722</t>
  </si>
  <si>
    <t>ΑΜ458689</t>
  </si>
  <si>
    <t>ΤΣΟΚΟΥ</t>
  </si>
  <si>
    <t>ΑΟ843835</t>
  </si>
  <si>
    <t>ΑΛΠΟΥ</t>
  </si>
  <si>
    <t>ΑΒ463048</t>
  </si>
  <si>
    <t>ΚΟΣΜΑ</t>
  </si>
  <si>
    <t>ΑΖ298342</t>
  </si>
  <si>
    <t>ΜΗΤΟΥΔΗ</t>
  </si>
  <si>
    <t>ΑΖ350590</t>
  </si>
  <si>
    <t>ΛΟΥΣΗ</t>
  </si>
  <si>
    <t>Τ437671</t>
  </si>
  <si>
    <t>ΜΗΤΣΗ</t>
  </si>
  <si>
    <t>ΑΗ730552</t>
  </si>
  <si>
    <t>ΝΑΝΗ</t>
  </si>
  <si>
    <t>ΑΝ947047</t>
  </si>
  <si>
    <t>ΑΔΑΜΙΚΟΥ</t>
  </si>
  <si>
    <t>ΑΕ817014</t>
  </si>
  <si>
    <t>ΠΕΣΕΡΙΔΟΥ</t>
  </si>
  <si>
    <t>ΑΝ894536</t>
  </si>
  <si>
    <t>ΜΗΤΡΑΚΟΥ</t>
  </si>
  <si>
    <t>ΑΝ829397</t>
  </si>
  <si>
    <t>ΔΟΜΛΕΛΕ</t>
  </si>
  <si>
    <t>ΑΗ037750</t>
  </si>
  <si>
    <t xml:space="preserve">ΜΑΖΑΡΑΚΗ </t>
  </si>
  <si>
    <t xml:space="preserve">ΑΒΡΑΑΜ </t>
  </si>
  <si>
    <t>Τ043463</t>
  </si>
  <si>
    <t>ΛΑΤΣΟΥΔΑ</t>
  </si>
  <si>
    <t>ΑΒ491303</t>
  </si>
  <si>
    <t>ΜΙΧΕΛΗ</t>
  </si>
  <si>
    <t>ΕΜΜΑΝΟΥΗΛΙΑ ΑΘΗΝΑ</t>
  </si>
  <si>
    <t>ΑΙ429717</t>
  </si>
  <si>
    <t>ΑΜΠΑΡΑ</t>
  </si>
  <si>
    <t>ΑΜΠΑΡΑΣ</t>
  </si>
  <si>
    <t>ΑΕ368312</t>
  </si>
  <si>
    <t>ΝΤΕΛΕΔΗΜΟΥ</t>
  </si>
  <si>
    <t>ΑΙ302731</t>
  </si>
  <si>
    <t>ΚΑΤΖΗΛΑΚΗ</t>
  </si>
  <si>
    <t>ΕΥΡΙΚΛΕΙΑ ΚΑΛΛΙΟΠΗ</t>
  </si>
  <si>
    <t>ΑΗ964066</t>
  </si>
  <si>
    <t>ΡΟΥΚΗ</t>
  </si>
  <si>
    <t>ΑΡ069294</t>
  </si>
  <si>
    <t>ΑΕ984525</t>
  </si>
  <si>
    <t>ΑΚ907969</t>
  </si>
  <si>
    <t>ΚΟΡΟΞΕΝΟΥ</t>
  </si>
  <si>
    <t>ΑΒΕΣΑΛΩΜ</t>
  </si>
  <si>
    <t>ΑΚ433760</t>
  </si>
  <si>
    <t>ΠΙΤΣΙΛΑΔΗ</t>
  </si>
  <si>
    <t>Χ112413</t>
  </si>
  <si>
    <t>ΣΗΦΑΚΗ</t>
  </si>
  <si>
    <t>ΑΜ466588</t>
  </si>
  <si>
    <t>ΝΤΑΝΤΙΔΑΚΗ</t>
  </si>
  <si>
    <t>Ρ483552</t>
  </si>
  <si>
    <t>ΑΕ750666</t>
  </si>
  <si>
    <t>ΠΛΑΤΑΚΗ</t>
  </si>
  <si>
    <t>ΑΖ959467</t>
  </si>
  <si>
    <t>ΔΙΟΝΥΣΙΑ ΑΓΓΕΛΙΚΗ</t>
  </si>
  <si>
    <t>ΑΑ918246</t>
  </si>
  <si>
    <t>ΜΥΣΤΡΙΩΤΗ</t>
  </si>
  <si>
    <t>ΑΚ491402</t>
  </si>
  <si>
    <t>ΣΙΝΟΥ</t>
  </si>
  <si>
    <t>Φ219412</t>
  </si>
  <si>
    <t>ΚΑΛΤΣΙΔΟΥ</t>
  </si>
  <si>
    <t>ΑΖ827146</t>
  </si>
  <si>
    <t>ΣΙΣΚΟΥ</t>
  </si>
  <si>
    <t>ΑΖ916429</t>
  </si>
  <si>
    <t>ΑΜ744545</t>
  </si>
  <si>
    <t>ΑΚ917758</t>
  </si>
  <si>
    <t>ΑΗ227763</t>
  </si>
  <si>
    <t>ΚΕΝΤΕΠΟΖΙΔΗ</t>
  </si>
  <si>
    <t>ΛΟΥΚΙΑΝΟΣ</t>
  </si>
  <si>
    <t>ΑΝ118883</t>
  </si>
  <si>
    <t>ΑΗ689420</t>
  </si>
  <si>
    <t>ΑΜ733653</t>
  </si>
  <si>
    <t>ΚΟΚΚΙΝΗ</t>
  </si>
  <si>
    <t>ΑΜ793783</t>
  </si>
  <si>
    <t>ΑΑ303143</t>
  </si>
  <si>
    <t>ΜΙΡΜΙΤΙΔΟΥ</t>
  </si>
  <si>
    <t>ΑΚ983088</t>
  </si>
  <si>
    <t>ΘΩΜΟΓΛΟΥ</t>
  </si>
  <si>
    <t>ΑΖ653375</t>
  </si>
  <si>
    <t>ΦΑΝΙΑΔΟΥ</t>
  </si>
  <si>
    <t>ΑΙ349953</t>
  </si>
  <si>
    <t>ΔΡΟΣΟΠΟΥΛΟΥ</t>
  </si>
  <si>
    <t>Τ270671</t>
  </si>
  <si>
    <t>ΑΚ416392</t>
  </si>
  <si>
    <t>ΑΗ717494</t>
  </si>
  <si>
    <t>ΚΟΝΤΙΔΟΥ</t>
  </si>
  <si>
    <t>Χ230350</t>
  </si>
  <si>
    <t>ΑΙ289260</t>
  </si>
  <si>
    <t>ΑΙ844587</t>
  </si>
  <si>
    <t>ΜΠΟΤΣΗ</t>
  </si>
  <si>
    <t>ΑΣΘΕΡΙΑΝΝΑ</t>
  </si>
  <si>
    <t>ΑΚ558786</t>
  </si>
  <si>
    <t>ΔΑΝΕΙΛΟΠΟΥΛΟΥ</t>
  </si>
  <si>
    <t>Ρ593312</t>
  </si>
  <si>
    <t>ΣΙΜΟΥ</t>
  </si>
  <si>
    <t>ΑΙ696766</t>
  </si>
  <si>
    <t>ΚΑΣΙΜΙΩΤΗ</t>
  </si>
  <si>
    <t>Φ122506</t>
  </si>
  <si>
    <t>ΚΑΦΕΤΖΗ</t>
  </si>
  <si>
    <t>ΑΟ281159</t>
  </si>
  <si>
    <t>ΚΟΣΜΗΝΑ ΑΡΓΥΡΩ</t>
  </si>
  <si>
    <t>ΑΚ365391</t>
  </si>
  <si>
    <t>ΑΖ238810</t>
  </si>
  <si>
    <t>ΜΟΧΑΜΕΤ</t>
  </si>
  <si>
    <t>ΦΑΤΧΕΙΑ ΔΩΡΑ</t>
  </si>
  <si>
    <t>ΓΚΑΜΑΛ ΕΛ ΝΤΙΝ</t>
  </si>
  <si>
    <t>ΑΕ578084</t>
  </si>
  <si>
    <t xml:space="preserve">ΚΡΗΤΙΚΟΠΟΥΛΟΥ </t>
  </si>
  <si>
    <t>ΑΜ262283</t>
  </si>
  <si>
    <t>ΚΟΥΒΑΤΣΟΥ</t>
  </si>
  <si>
    <t>ΑΜ519034</t>
  </si>
  <si>
    <t>ΚΑΡΑΚΕΙΣΟΓΛΟΥ</t>
  </si>
  <si>
    <t>ΑΚ446595</t>
  </si>
  <si>
    <t>ΑΝΔΡΕΑΝΙΔΟΥ</t>
  </si>
  <si>
    <t>Π954400</t>
  </si>
  <si>
    <t>ΑΡΕΤΙΝΗ</t>
  </si>
  <si>
    <t>Χ851902</t>
  </si>
  <si>
    <t>ΜΑΡΜΑΓΚΑΛΟΥ</t>
  </si>
  <si>
    <t>ΑΝ345842</t>
  </si>
  <si>
    <t>ΜΕΛΕΤΙΑΔΟΥ</t>
  </si>
  <si>
    <t>ΑΟ214954</t>
  </si>
  <si>
    <t>ΦΥΛΑΚΤΑΚΗ</t>
  </si>
  <si>
    <t>ΑΜ282911</t>
  </si>
  <si>
    <t>ΚΟΥΤΣΟΠΟΥΛΟΥ</t>
  </si>
  <si>
    <t>ΤΡΙΣΕΥΓΕΝΗ</t>
  </si>
  <si>
    <t>ΑΚ201780</t>
  </si>
  <si>
    <t>ΚΟΥΝΑΔΗ</t>
  </si>
  <si>
    <t>ΑΒ070565</t>
  </si>
  <si>
    <t>ΧΑΣΤΑ</t>
  </si>
  <si>
    <t>ΑΜ586477</t>
  </si>
  <si>
    <t>ΤΈΓΟΥ</t>
  </si>
  <si>
    <t>ΠΑΡΑΣΚΕΥΉ ΖΩΉ</t>
  </si>
  <si>
    <t>ΑΑ335269</t>
  </si>
  <si>
    <t>ΑΗ923064</t>
  </si>
  <si>
    <t>ΑΗ893818</t>
  </si>
  <si>
    <t>ΣΟΥΛΕΙΜΑΝ</t>
  </si>
  <si>
    <t>ΜΠΑΧΑΡ</t>
  </si>
  <si>
    <t>ΣΑΜΠΑΝ</t>
  </si>
  <si>
    <t>ΑΑ453044</t>
  </si>
  <si>
    <t>ΓΑΛΑΡΑ</t>
  </si>
  <si>
    <t>ΑΜ278393</t>
  </si>
  <si>
    <t>ΣΙΩΠΗ</t>
  </si>
  <si>
    <t>ΑΙ330070</t>
  </si>
  <si>
    <t>ΡΟΥΓΚΑΛΑ</t>
  </si>
  <si>
    <t>ΑΒ381605</t>
  </si>
  <si>
    <t>ΚΩΝΣΤΑΝΤΝΑ</t>
  </si>
  <si>
    <t>ΑΕ714999</t>
  </si>
  <si>
    <t>ΒΑΣΙΛΙΣΑ</t>
  </si>
  <si>
    <t>ΑΝ513642</t>
  </si>
  <si>
    <t>ΠΑΠΑΣΤΑΜΟΥΛΟΥ</t>
  </si>
  <si>
    <t>ΑΝ490653</t>
  </si>
  <si>
    <t>ΚΙΟΥΜΟΥΡΤΖΗ</t>
  </si>
  <si>
    <t>ΑΗ392814</t>
  </si>
  <si>
    <t>ΧΑΡΠΑΝΤΙΔΟΥ</t>
  </si>
  <si>
    <t>ΑΚ129071</t>
  </si>
  <si>
    <t>ΚΟΥΤΣΩΝΗ</t>
  </si>
  <si>
    <t>ΡΟΥΣΑΝΝΑ</t>
  </si>
  <si>
    <t>Τ353847</t>
  </si>
  <si>
    <t>ΠΥΡΡΟΣ</t>
  </si>
  <si>
    <t>ΑΜ174343</t>
  </si>
  <si>
    <t>ΠΟΛΥΧΡΟΝΙΑΔΟΥ</t>
  </si>
  <si>
    <t>ΑΚ982472</t>
  </si>
  <si>
    <t>ΑΙ799909</t>
  </si>
  <si>
    <t>ΣΤΕΡΓΙΟΠΟΥΛΟΥ</t>
  </si>
  <si>
    <t>ΑΗ702748</t>
  </si>
  <si>
    <t>ΑΕ815131</t>
  </si>
  <si>
    <t>ΦΕΣΚΟΥ</t>
  </si>
  <si>
    <t>ΑΟ525988</t>
  </si>
  <si>
    <t>ΛΑΜΠΑΔΑ</t>
  </si>
  <si>
    <t>ΑΖ868849</t>
  </si>
  <si>
    <t xml:space="preserve">ΙΑΤΡΟΎ </t>
  </si>
  <si>
    <t>ΘΕΟΔΏΡΑ</t>
  </si>
  <si>
    <t>ΧΑΡΆΛΑΜΠΟΣ</t>
  </si>
  <si>
    <t>ΑΙ002396</t>
  </si>
  <si>
    <t>ΛΕΝΤΖΟΥ</t>
  </si>
  <si>
    <t>ΑΒ092245</t>
  </si>
  <si>
    <t>ΒΑΡΟΤΣΗ</t>
  </si>
  <si>
    <t>ΗΡΩ</t>
  </si>
  <si>
    <t>ΑΝ098162</t>
  </si>
  <si>
    <t>ΜΙΧΑΣΟΥΡΙΔΟΥ</t>
  </si>
  <si>
    <t>Τ111591</t>
  </si>
  <si>
    <t>ΣΟΦΟΥΛΗ</t>
  </si>
  <si>
    <t>ΑΡ296098</t>
  </si>
  <si>
    <t>ΧΑΡΑΤΣΑΡΗ</t>
  </si>
  <si>
    <t>ΛΟΥΜΙΝΙΤΣΑ ΦΩΤΕΙΝΗ</t>
  </si>
  <si>
    <t>ΑΒ388209</t>
  </si>
  <si>
    <t>ΚΑΝΑΤΑ</t>
  </si>
  <si>
    <t>ΙΩΑΝΝΑ ΕΙΡΗΝΗ</t>
  </si>
  <si>
    <t>ΑΑ351381</t>
  </si>
  <si>
    <t>ΑΓΟΡΑΚΗ</t>
  </si>
  <si>
    <t>ΑΜ435520</t>
  </si>
  <si>
    <t>ΓΕΩΡΓΑΝΤΕΛΗ</t>
  </si>
  <si>
    <t>ΑΙ388527</t>
  </si>
  <si>
    <t>ΚΑΡΟΤΣΕΡΗ</t>
  </si>
  <si>
    <t>Σ968557</t>
  </si>
  <si>
    <t>ΓΚΙΒΙΣΗ</t>
  </si>
  <si>
    <t>ΑΟ161853</t>
  </si>
  <si>
    <t>ΜΠΑΣΑΚΟΥ</t>
  </si>
  <si>
    <t>ΑΖ858440</t>
  </si>
  <si>
    <t>Χ704517</t>
  </si>
  <si>
    <t>ΠΟΥΛΟΠΟΥΛΟΥ</t>
  </si>
  <si>
    <t>ΑΕ834605</t>
  </si>
  <si>
    <t>ΚΑΡΑΓΙΑΝΝΙΔΟΥ</t>
  </si>
  <si>
    <t>ΑΖ869210</t>
  </si>
  <si>
    <t>ΚΟΥΓΚΑ</t>
  </si>
  <si>
    <t>ΑΙ891315</t>
  </si>
  <si>
    <t>ΑΗ768848</t>
  </si>
  <si>
    <t>ΧΑΛΔΟΥΠΗ</t>
  </si>
  <si>
    <t>ΑΙ327303</t>
  </si>
  <si>
    <t>Χ489531</t>
  </si>
  <si>
    <t>ΑΒ421907</t>
  </si>
  <si>
    <t>ΤΑΒΛΑΔΑΚΗ</t>
  </si>
  <si>
    <t>ΑΜ967994</t>
  </si>
  <si>
    <t>ΑΝ872878</t>
  </si>
  <si>
    <t>ΑΦΕΝΔΡΑ</t>
  </si>
  <si>
    <t>ΑΙ488491</t>
  </si>
  <si>
    <t>ΑΗ887643</t>
  </si>
  <si>
    <t>ΠΛΙΑΚΟΥ</t>
  </si>
  <si>
    <t>ΑΑ851477</t>
  </si>
  <si>
    <t>Τ322233</t>
  </si>
  <si>
    <t>ΜΠΡΑΟΥΔΑΚΗ</t>
  </si>
  <si>
    <t>ΑΚ508729</t>
  </si>
  <si>
    <t>ΑΝ457744</t>
  </si>
  <si>
    <t>ΑΜ548557</t>
  </si>
  <si>
    <t>ΠΑΠΑΝΔΡΕΟΥ</t>
  </si>
  <si>
    <t>ΑΚ977253</t>
  </si>
  <si>
    <t>ΤΣΑΓΚΑΤΟΥ</t>
  </si>
  <si>
    <t>ΑΖ937078</t>
  </si>
  <si>
    <t>ΠΑΠΑΔΑΤΟΥ</t>
  </si>
  <si>
    <t>Χ565939</t>
  </si>
  <si>
    <t>ΦΑΡΗ</t>
  </si>
  <si>
    <t>ΑΙ309516</t>
  </si>
  <si>
    <t>ΒΟΥΜΒΑ</t>
  </si>
  <si>
    <t>ΑΖ056916</t>
  </si>
  <si>
    <t>ΡΟΥΜΕΛΙΩΤΗ</t>
  </si>
  <si>
    <t>ΑΕ556566</t>
  </si>
  <si>
    <t>Τ057707</t>
  </si>
  <si>
    <t>ΚΑΜΠΕΡΗ</t>
  </si>
  <si>
    <t>ΑΙ833807</t>
  </si>
  <si>
    <t>ΜΩΚΑ</t>
  </si>
  <si>
    <t>ΑΗ475385</t>
  </si>
  <si>
    <t>ΑΕ460094</t>
  </si>
  <si>
    <t>ΑΗ953783</t>
  </si>
  <si>
    <t>ΔΑΓΚΛΗ</t>
  </si>
  <si>
    <t>ΑΜ190896</t>
  </si>
  <si>
    <t>ΚΥΠΡΙΖΟΓΛΟΥ</t>
  </si>
  <si>
    <t>ΑΖ662562</t>
  </si>
  <si>
    <t>ΓΕΩΡΓΟΛΟΠΟΥΛΟΥ</t>
  </si>
  <si>
    <t>ΑΗ769517</t>
  </si>
  <si>
    <t>ΠΙΣΤΟΛΑ</t>
  </si>
  <si>
    <t>ΑΡΚΑΔΙΟΣ</t>
  </si>
  <si>
    <t>ΑΗ416929</t>
  </si>
  <si>
    <t>ΑΑ479327</t>
  </si>
  <si>
    <t>ΔΟΥΜΠΑ</t>
  </si>
  <si>
    <t>ΑΗ342014</t>
  </si>
  <si>
    <t>ΚΑΤΣΟΥΓΙΑΝΝΗ</t>
  </si>
  <si>
    <t>ΔΗΜΗΤ</t>
  </si>
  <si>
    <t>ΑΟ793749</t>
  </si>
  <si>
    <t>Χ970979</t>
  </si>
  <si>
    <t>ΓΚΑΡΑΓΚΑΝΗ</t>
  </si>
  <si>
    <t>ΑΖ269827</t>
  </si>
  <si>
    <t>ΚΟΥΛΙΑΝΟΥ</t>
  </si>
  <si>
    <t>ΑΒ273048</t>
  </si>
  <si>
    <t>ΑΓΛΑΙΑ ΠΑΡΑΣΚΕΥΗ</t>
  </si>
  <si>
    <t>ΑΖ761931</t>
  </si>
  <si>
    <t>ΚΟΥΓΙΩΝΗ</t>
  </si>
  <si>
    <t>ΑΗ803370</t>
  </si>
  <si>
    <t>ΛΙΑΝΙΔΟΥ</t>
  </si>
  <si>
    <t>ΕΥΑΓΓΕΛΙΑ ΜΑΡΙΝΑ</t>
  </si>
  <si>
    <t>ΑΚ939027</t>
  </si>
  <si>
    <t>ΚΑΣΑΠΙΔΟΥ</t>
  </si>
  <si>
    <t>ΑΝ201334</t>
  </si>
  <si>
    <t>ΠΙΣΤΙΩΛΗ</t>
  </si>
  <si>
    <t>ΑΖ220088</t>
  </si>
  <si>
    <t>ΠΙΟΒΗΤΟΥ</t>
  </si>
  <si>
    <t>ΑΖ803914</t>
  </si>
  <si>
    <t>Ν980534</t>
  </si>
  <si>
    <t>ΤΖΕΚΑΚΗ</t>
  </si>
  <si>
    <t>ΑΟ485735</t>
  </si>
  <si>
    <t>ΤΣΑΚΙΡΙΔΟΥ</t>
  </si>
  <si>
    <t>ΑΖ614686</t>
  </si>
  <si>
    <t>ΓΙΑΝΝΟΥΣΗ</t>
  </si>
  <si>
    <t>ΑΗ808793</t>
  </si>
  <si>
    <t>ΧΑΧΟΛΑΚΗ</t>
  </si>
  <si>
    <t>Χ078627</t>
  </si>
  <si>
    <t>ΠΕΤΡΟΥ</t>
  </si>
  <si>
    <t>ΑΖ286227</t>
  </si>
  <si>
    <t>ΡΕΠΑΝΗ</t>
  </si>
  <si>
    <t>ΑΒ423594</t>
  </si>
  <si>
    <t>ΜΕΚΡΑ</t>
  </si>
  <si>
    <t>ΑΙ836771</t>
  </si>
  <si>
    <t>ΔΡΑΚΟΥ</t>
  </si>
  <si>
    <t>ΑΒ541512</t>
  </si>
  <si>
    <t>ΜΠΑΡΔΑΝΗ</t>
  </si>
  <si>
    <t>ΑΟ191445</t>
  </si>
  <si>
    <t>ΓΚΙΖΛΗ</t>
  </si>
  <si>
    <t>ΑΑ970346</t>
  </si>
  <si>
    <t>ΑΑ480344</t>
  </si>
  <si>
    <t>ΑΣΒΕΣΤΑ</t>
  </si>
  <si>
    <t>ΠΟΥΛΧΕΡΙΑ</t>
  </si>
  <si>
    <t>ΑΖ294209</t>
  </si>
  <si>
    <t>Χ923991</t>
  </si>
  <si>
    <t>ΜΠΟΥΛΓΟΥΡΑ</t>
  </si>
  <si>
    <t>ΑΙ727728</t>
  </si>
  <si>
    <t>ΑΖ442084</t>
  </si>
  <si>
    <t>ΑΗ854880</t>
  </si>
  <si>
    <t>ΑΣΗΜΙΝΑΚΗ</t>
  </si>
  <si>
    <t>ΑΙ452133</t>
  </si>
  <si>
    <t>ΜΕΝΤΕΜΕΤΖΟΓΛΟΥ</t>
  </si>
  <si>
    <t>ΑΚ918394</t>
  </si>
  <si>
    <t>ΡΑΛΛΗ</t>
  </si>
  <si>
    <t>ΑΒ536316</t>
  </si>
  <si>
    <t>ΑΖ932829</t>
  </si>
  <si>
    <t>ΠΑΛΙΟΓΙΑΝΝΗ</t>
  </si>
  <si>
    <t>ΛΙΑ</t>
  </si>
  <si>
    <t>ΑΗ085893</t>
  </si>
  <si>
    <t>ΖΩΝΙΟΥ</t>
  </si>
  <si>
    <t>ΑΟ557671</t>
  </si>
  <si>
    <t>ΜΙΧΕΛΑΚΗ</t>
  </si>
  <si>
    <t>ΑΖ456433</t>
  </si>
  <si>
    <t>Σ385019</t>
  </si>
  <si>
    <t>ΑΝ606196</t>
  </si>
  <si>
    <t>Χ356295</t>
  </si>
  <si>
    <t>ΨΑΡΑΔΕΛΛΗ</t>
  </si>
  <si>
    <t>ΑΜ936795</t>
  </si>
  <si>
    <t>ΔΡΑΚΟΥΛΗ</t>
  </si>
  <si>
    <t>ΑΜ159332</t>
  </si>
  <si>
    <t>ΤΣΙΑΚΛΑΓΚΑΝΟΥ</t>
  </si>
  <si>
    <t>ΑΙ837460</t>
  </si>
  <si>
    <t>ΤΟΥΣΚΟΥ</t>
  </si>
  <si>
    <t>ΑΒ123309</t>
  </si>
  <si>
    <t>ΣΩΤΗΡΙΑΔΗΣ</t>
  </si>
  <si>
    <t>ΑΙ897389</t>
  </si>
  <si>
    <t>ΒΕΡΕΣΣΕ</t>
  </si>
  <si>
    <t>ΑΜ337918</t>
  </si>
  <si>
    <t>ΑΗ024044</t>
  </si>
  <si>
    <t>ΣΟΥΜΕΛΙΔΟΥ</t>
  </si>
  <si>
    <t>Χ949121</t>
  </si>
  <si>
    <t>ΠΙΣΧΙΤΖΗ</t>
  </si>
  <si>
    <t>ΑΟ221352</t>
  </si>
  <si>
    <t>ΜΑΝΟΥΣΟΓΙΑΝΝΗ</t>
  </si>
  <si>
    <t>ΑΑ490847</t>
  </si>
  <si>
    <t>ΑΙ195098</t>
  </si>
  <si>
    <t>ΓΕΩΡΓΙΟΠΟΥΛΟΥ</t>
  </si>
  <si>
    <t>Τ266076</t>
  </si>
  <si>
    <t>ΚΑΛΙΑΤΣΑ</t>
  </si>
  <si>
    <t>ΑΖ914601</t>
  </si>
  <si>
    <t>ΑΟ060323</t>
  </si>
  <si>
    <t>ΚΑΡΑΓΑΛΗ</t>
  </si>
  <si>
    <t>ΑΚ886075</t>
  </si>
  <si>
    <t>ΑΕ792377</t>
  </si>
  <si>
    <t>ΠΕΤΣΗ</t>
  </si>
  <si>
    <t>Χ360665</t>
  </si>
  <si>
    <t>ΜΑΤΖΟΥ</t>
  </si>
  <si>
    <t>ΑΗ303196</t>
  </si>
  <si>
    <t>ΑΖ082309</t>
  </si>
  <si>
    <t>ΜΠΛΙΝΤΖΙΟΥ</t>
  </si>
  <si>
    <t>ΓΡΗΓΟΡΗΣ</t>
  </si>
  <si>
    <t>Χ912870</t>
  </si>
  <si>
    <t>ΑΝ751541</t>
  </si>
  <si>
    <t>ΜΑΝΤΣΟΥ</t>
  </si>
  <si>
    <t>Σ900148</t>
  </si>
  <si>
    <t>ΧΡΙΣΤΟΥΛΑΚΗ</t>
  </si>
  <si>
    <t>ΑΖ973134</t>
  </si>
  <si>
    <t>Χ976967</t>
  </si>
  <si>
    <t>ΒΕΗ</t>
  </si>
  <si>
    <t>ΑΜ239844</t>
  </si>
  <si>
    <t xml:space="preserve">ΕΛΕΝΑ </t>
  </si>
  <si>
    <t>ΑΕ963839</t>
  </si>
  <si>
    <t>ΑΚ289424</t>
  </si>
  <si>
    <t>ΝΤΑΛΑΜΑΡΑ</t>
  </si>
  <si>
    <t>ΑΒ762791</t>
  </si>
  <si>
    <t>ΑΟ839704</t>
  </si>
  <si>
    <t>ΚΑΙΑΦΑ</t>
  </si>
  <si>
    <t>ΑΜ042495</t>
  </si>
  <si>
    <t>ΒΟΥΛΓΑΡΑΚΗ</t>
  </si>
  <si>
    <t>ΑΙ291404</t>
  </si>
  <si>
    <t>ΛΕΒΑΣΟΠΟΥΛΟΥ</t>
  </si>
  <si>
    <t>ΑΗ015341</t>
  </si>
  <si>
    <t>ΧΑΡΑΚΟΠΗ</t>
  </si>
  <si>
    <t>ΑΒ932942</t>
  </si>
  <si>
    <t>ΤΣΑΠΑΝΙΔΟΥ</t>
  </si>
  <si>
    <t>ΑΑ405621</t>
  </si>
  <si>
    <t>ΛΕΜΠΕΣΗ</t>
  </si>
  <si>
    <t>ΑΖ231666</t>
  </si>
  <si>
    <t>ΤΑΜΠΑ</t>
  </si>
  <si>
    <t>ΑΟ961646</t>
  </si>
  <si>
    <t>ΑΡΙΣΤΕΙΔΟΥ</t>
  </si>
  <si>
    <t>ΑΑ923340</t>
  </si>
  <si>
    <t>ΞΟΥΛΕΗ</t>
  </si>
  <si>
    <t>ΒΙΚΤΩΡΙΑ ΝΙΚΟΛΕΤΤΑ</t>
  </si>
  <si>
    <t>ΑΖ508378</t>
  </si>
  <si>
    <t>ΒΕΛΛΗΣ</t>
  </si>
  <si>
    <t>ΑΖ795865</t>
  </si>
  <si>
    <t>ΝΤΟΥΜΑΚΗ</t>
  </si>
  <si>
    <t>ΑΚ532138</t>
  </si>
  <si>
    <t>ΣΓΑΝΤΖΟΥ</t>
  </si>
  <si>
    <t>ΑΜ337587</t>
  </si>
  <si>
    <t>ΝΙΣΤΑ</t>
  </si>
  <si>
    <t>ΑΗ739684</t>
  </si>
  <si>
    <t>ΣΕΡΓΕΝΤΑΚΗ</t>
  </si>
  <si>
    <t>Ν961864</t>
  </si>
  <si>
    <t>ΓΡΟΥΣΔΙΔΟΥ</t>
  </si>
  <si>
    <t>Τ206290</t>
  </si>
  <si>
    <t>ΣΤΡΑΤΗΓΟΥ</t>
  </si>
  <si>
    <t>ΑΒ757531</t>
  </si>
  <si>
    <t>ΠΑΠΑΚΩΣΤΑ</t>
  </si>
  <si>
    <t>Φ146353</t>
  </si>
  <si>
    <t>ΚΟΝΕ</t>
  </si>
  <si>
    <t>ΑΖ566919</t>
  </si>
  <si>
    <t>ΝΕΚΤΑΡΙΑ ΒΑΣΙΛΙΚΗ</t>
  </si>
  <si>
    <t>ΑΕ092002</t>
  </si>
  <si>
    <t>ΙΜΒΡΟΓΛΟΥ</t>
  </si>
  <si>
    <t>ΑΙ197428</t>
  </si>
  <si>
    <t>ΔΗΜΙΤΣΑ</t>
  </si>
  <si>
    <t>ΑΝΝΑ ΕΥΣΕΒΕΙΑ</t>
  </si>
  <si>
    <t>ΑΜ824056</t>
  </si>
  <si>
    <t>ΤΑΣΟΥΛΗ</t>
  </si>
  <si>
    <t>Χ172891</t>
  </si>
  <si>
    <t>ΑΥΓΕΡΙΝΟΥΔΗ</t>
  </si>
  <si>
    <t>ΔΗΜΗΤΡΑ ΜΑΡΙΑ</t>
  </si>
  <si>
    <t>Χ593348</t>
  </si>
  <si>
    <t>Σ421686</t>
  </si>
  <si>
    <t>ΓΚΑΤΖΟΥΛΗ</t>
  </si>
  <si>
    <t>Χ911505</t>
  </si>
  <si>
    <t>ΑΡΣΕΝΙΟΥ</t>
  </si>
  <si>
    <t>ΑΗ798276</t>
  </si>
  <si>
    <t>ΜΑΥΡΟΜΜΑΤΗ</t>
  </si>
  <si>
    <t>ΑΙ542728</t>
  </si>
  <si>
    <t>ΣΩΤΗΡΙΑΔΟΥ</t>
  </si>
  <si>
    <t>ΑΜ290344</t>
  </si>
  <si>
    <t>ΑΟ423084</t>
  </si>
  <si>
    <t>ΓΕΡΟΓΙΩΡΓΗ</t>
  </si>
  <si>
    <t>ΑΗ482769</t>
  </si>
  <si>
    <t>ΙΩΣΗΦΙΔΟΥ</t>
  </si>
  <si>
    <t>ΑΖ787900</t>
  </si>
  <si>
    <t>ΝΙΑΝΙΟΥ</t>
  </si>
  <si>
    <t>ΑΟ157724</t>
  </si>
  <si>
    <t>ΚΑΡΑΙ</t>
  </si>
  <si>
    <t>ΒΙΣΟΛΝΤΑ</t>
  </si>
  <si>
    <t>ΚΡΙΣΤΟ</t>
  </si>
  <si>
    <t>ΑΟ206714</t>
  </si>
  <si>
    <t>ΑΓΓΟΥΡΑΚΗ</t>
  </si>
  <si>
    <t>ΑΜ035809</t>
  </si>
  <si>
    <t>ΜΠΛΑΝΤΖΟΥΚΑ</t>
  </si>
  <si>
    <t>ΑΗ200600</t>
  </si>
  <si>
    <t>ΑΝ226484</t>
  </si>
  <si>
    <t>ΜΑΝΔΑΛΟΥ ΤΑΤΣΗ</t>
  </si>
  <si>
    <t>Τ284886</t>
  </si>
  <si>
    <t>ΕΖΑΝΙΔΟΥ ΚΟΣΜΟΓΛΟΥ</t>
  </si>
  <si>
    <t>ΑΖ662764</t>
  </si>
  <si>
    <t>ΑΛΥΣΑΝΔΡΑΤΟΥ</t>
  </si>
  <si>
    <t>Φ272638</t>
  </si>
  <si>
    <t>ΡΑΦΑΗΛΙΑ ΡΑΧΗΛ</t>
  </si>
  <si>
    <t>ΑΗ348298</t>
  </si>
  <si>
    <t>ΠΑΠΑΗΛΙΑ</t>
  </si>
  <si>
    <t>ΑΙ127764</t>
  </si>
  <si>
    <t xml:space="preserve">ΝΤΗΒΑΡΤΖΗ </t>
  </si>
  <si>
    <t xml:space="preserve">ΕΥΑΓΓΕΛΟΣ </t>
  </si>
  <si>
    <t>ΑΒ057528</t>
  </si>
  <si>
    <t>ΤΣΟΥΛΚΑ</t>
  </si>
  <si>
    <t>Χ982571</t>
  </si>
  <si>
    <t>Σ784428</t>
  </si>
  <si>
    <t>ΑΝΤΩΝΙΤΣΑ</t>
  </si>
  <si>
    <t>ΑΠΟΣΤΟΛΟΣ ΘΕΟΔΩΡΟΣ</t>
  </si>
  <si>
    <t>ΑΚ420919</t>
  </si>
  <si>
    <t>ΖΑΓΓΑΝΑ</t>
  </si>
  <si>
    <t>ΑΑ308541</t>
  </si>
  <si>
    <t>Φ382008</t>
  </si>
  <si>
    <t>Χ301931</t>
  </si>
  <si>
    <t xml:space="preserve">ΚΑΠΝΙΑΖΗ </t>
  </si>
  <si>
    <t>ΑΝ174977</t>
  </si>
  <si>
    <t>ΑΕ853775</t>
  </si>
  <si>
    <t>ΚΑΤΡΙΒΕΣΗ</t>
  </si>
  <si>
    <t>ΑΕ225806</t>
  </si>
  <si>
    <t>ΒΟΚΟΛΙΔΟΥ</t>
  </si>
  <si>
    <t>ΑΗ354057</t>
  </si>
  <si>
    <t>ΜΠΛΙΑΤΣΙΔΟΥ</t>
  </si>
  <si>
    <t>ΑΑ450024</t>
  </si>
  <si>
    <t>ΑΟ406550</t>
  </si>
  <si>
    <t>ΑΙ735361</t>
  </si>
  <si>
    <t xml:space="preserve">ΖΑΧΑΡΙΑ </t>
  </si>
  <si>
    <t>ΑΘΗΝΑ ΒΑΣΙΛΙΚΗ</t>
  </si>
  <si>
    <t>ΒΕΝΕΤΗ</t>
  </si>
  <si>
    <t>ΑΕ772176</t>
  </si>
  <si>
    <t>ΑΜ580464</t>
  </si>
  <si>
    <t>ΔΗΜΑΚΟΥ</t>
  </si>
  <si>
    <t>Π929958</t>
  </si>
  <si>
    <t>ΚΑΡΒΕΛΗ</t>
  </si>
  <si>
    <t>ΑΕ457779</t>
  </si>
  <si>
    <t>ΒΑΛΤΣΑΝΗ</t>
  </si>
  <si>
    <t>ΑΖ886852</t>
  </si>
  <si>
    <t>Σ355084</t>
  </si>
  <si>
    <t>ΑΖ649065</t>
  </si>
  <si>
    <t>ΑΗ623938</t>
  </si>
  <si>
    <t>ΛΙΟΚΟΥΡΑ</t>
  </si>
  <si>
    <t>ΑΝ080447</t>
  </si>
  <si>
    <t>ΣΟΥΛΑΙ</t>
  </si>
  <si>
    <t>ΕΓΚΛΙ</t>
  </si>
  <si>
    <t>ΙΛΙΡ</t>
  </si>
  <si>
    <t>ΑΜ967456</t>
  </si>
  <si>
    <t>ΔΑΚΟΛΑ</t>
  </si>
  <si>
    <t>ΑΜ307170</t>
  </si>
  <si>
    <t>ΑΝΔΡΑΛΗ</t>
  </si>
  <si>
    <t xml:space="preserve">ΚΥΡΙΑΚΗ </t>
  </si>
  <si>
    <t>ΑΚ423425</t>
  </si>
  <si>
    <t>ΓΙΑΝΝΟΥΚΑΚΗ</t>
  </si>
  <si>
    <t>ΑΚ789940</t>
  </si>
  <si>
    <t>ΠΟΥΛΑΣΙΚΙΔΟΥ</t>
  </si>
  <si>
    <t>ΑΑ869840</t>
  </si>
  <si>
    <t>ΖΟΦΟΡΙΑΝΑΚΗ</t>
  </si>
  <si>
    <t>ΑΝ457156</t>
  </si>
  <si>
    <t>ΡΟΔΙΤΑΚΗ</t>
  </si>
  <si>
    <t>ΑΝ940771</t>
  </si>
  <si>
    <t>ΚΟΥΜΠΟΥΛΑ</t>
  </si>
  <si>
    <t>ΒΑΣΙΑΝΑ</t>
  </si>
  <si>
    <t>ΓΙΟΡΔΑΝ</t>
  </si>
  <si>
    <t>ΑΚ690990</t>
  </si>
  <si>
    <t>ΑΙ224863</t>
  </si>
  <si>
    <t>ΣΑΡΙΔΟΥ</t>
  </si>
  <si>
    <t>ΕΛΛΑΔΑ</t>
  </si>
  <si>
    <t>ΓΕΝΝΑΔΙΟΣ</t>
  </si>
  <si>
    <t>ΑΕ217193</t>
  </si>
  <si>
    <t>ΧΑΝΤΖΗ</t>
  </si>
  <si>
    <t>ΑΚ394728</t>
  </si>
  <si>
    <t>ΑΜ486718</t>
  </si>
  <si>
    <t>ΜΑΡΚΟΥΔΗ</t>
  </si>
  <si>
    <t>ΑΗ413163</t>
  </si>
  <si>
    <t>ΣΤΑΜΚΟΠΟΥΛΟΥ</t>
  </si>
  <si>
    <t>ΑΙ325233</t>
  </si>
  <si>
    <t>ΑΝΑΡΓΥΡΟΣ</t>
  </si>
  <si>
    <t>ΑΜ485404</t>
  </si>
  <si>
    <t>ΑΙ386963</t>
  </si>
  <si>
    <t>ΣΤΑΜΠΟΥΛΤΖΗ</t>
  </si>
  <si>
    <t>ΦΡΑΝΣΙΣ</t>
  </si>
  <si>
    <t>ΑΕ564265</t>
  </si>
  <si>
    <t>Χ484615</t>
  </si>
  <si>
    <t>ΑΙ977324</t>
  </si>
  <si>
    <t>ΜΑΚΡΑ</t>
  </si>
  <si>
    <t>ΑΑ384363</t>
  </si>
  <si>
    <t>ΒΑΜΒΟΥΚΑΚΗ</t>
  </si>
  <si>
    <t>ΑΕ962732</t>
  </si>
  <si>
    <t>ΤΣΕΡΒΟΥΛΗ</t>
  </si>
  <si>
    <t>ΑΗ196511</t>
  </si>
  <si>
    <t>ΑΖ476888</t>
  </si>
  <si>
    <t>ΑΣΚΙΑΝΑΚΗ</t>
  </si>
  <si>
    <t>ΑΝ927341</t>
  </si>
  <si>
    <t>ΣΕΒΑΣΤΟΥ</t>
  </si>
  <si>
    <t>ΑΓΓΕΛΙΚΗ ΕΙΡΗΝΗ</t>
  </si>
  <si>
    <t>Χ164267</t>
  </si>
  <si>
    <t>ΧΙΩΤΗ</t>
  </si>
  <si>
    <t>ΚΩΝΣΤΑΝΙΝΑ</t>
  </si>
  <si>
    <t>ΑΙ460738</t>
  </si>
  <si>
    <t>ΑΚ696289</t>
  </si>
  <si>
    <t>ΑΟ198834</t>
  </si>
  <si>
    <t>ΤΣΟΥΛΟΥ</t>
  </si>
  <si>
    <t>ΥΠΕΡΜΑΧΩ</t>
  </si>
  <si>
    <t>Χ325081</t>
  </si>
  <si>
    <t>ΓΑΤΣΙΝΟΥ</t>
  </si>
  <si>
    <t>Ρ558967</t>
  </si>
  <si>
    <t>ΑΜ069187</t>
  </si>
  <si>
    <t>ΦΡΑΓΚΑΤΖΗ</t>
  </si>
  <si>
    <t>ΔΕΣΠΟΙΝΑ ΕΥΛΑΜΠΙΑ</t>
  </si>
  <si>
    <t>Χ968215</t>
  </si>
  <si>
    <t>ΑΠΕΝΤΑΡΟΥ</t>
  </si>
  <si>
    <t>ΑΜ853199</t>
  </si>
  <si>
    <t>ΣΚΑΡΚΑΛΑ</t>
  </si>
  <si>
    <t>ΑΙ350784</t>
  </si>
  <si>
    <t>ΚΑΝΤΗΛΑ</t>
  </si>
  <si>
    <t>ΑΗ475594</t>
  </si>
  <si>
    <t>ΚΑΨΟΚΑΒΑΔΗ</t>
  </si>
  <si>
    <t>ΑΜ598304</t>
  </si>
  <si>
    <t>ΑΝΔΡΩΝΗ</t>
  </si>
  <si>
    <t>ΑΜ580277</t>
  </si>
  <si>
    <t>ΣΚΕΤΑ</t>
  </si>
  <si>
    <t>ΑΗ291963</t>
  </si>
  <si>
    <t>ΑΟ156921</t>
  </si>
  <si>
    <t>ΝΤΟΥΜΑΝΗ</t>
  </si>
  <si>
    <t>ΑΙ199740</t>
  </si>
  <si>
    <t>ΚΑΡΟΥΤΣΟΥ</t>
  </si>
  <si>
    <t>ΑΗ638267</t>
  </si>
  <si>
    <t>ΜΑΡΙΑ ΚΩΝΣΤΑΝΤΙΝΑ</t>
  </si>
  <si>
    <t>ΑΙ233963</t>
  </si>
  <si>
    <t>ΑΟ331939</t>
  </si>
  <si>
    <t>ΒΕΡΒΕΡΗ</t>
  </si>
  <si>
    <t>ΑΜ279697</t>
  </si>
  <si>
    <t>ΑΖ667247</t>
  </si>
  <si>
    <t>Ρ595750</t>
  </si>
  <si>
    <t>ΑΗ623331</t>
  </si>
  <si>
    <t>ΧΑΤΖΗΝΑ</t>
  </si>
  <si>
    <t>ΑΖ493579</t>
  </si>
  <si>
    <t>ΓΚΑΖΗ</t>
  </si>
  <si>
    <t>ΑΙ326405</t>
  </si>
  <si>
    <t>ΠΑΠΑΛΕΞΟΠΟΥΛΟΥ</t>
  </si>
  <si>
    <t>ΑΙ848870</t>
  </si>
  <si>
    <t>Σ103622</t>
  </si>
  <si>
    <t>ΚΑΛΛΙΒΡΕΤΑΚΗ</t>
  </si>
  <si>
    <t>ΑΒ974852</t>
  </si>
  <si>
    <t>ΤΣΟΥΜΠΕΡΛΗ</t>
  </si>
  <si>
    <t>Χ964739</t>
  </si>
  <si>
    <t>ΜΠΑΛΑΜΠΑΝΗ</t>
  </si>
  <si>
    <t>ΒΑΣΙΛΙΚΗ ΙΩΑΝΝΑ</t>
  </si>
  <si>
    <t>Χ329296</t>
  </si>
  <si>
    <t>Χ796944</t>
  </si>
  <si>
    <t>ΘΕΟΛΟΓΑΚΗ</t>
  </si>
  <si>
    <t>ΑΜ728221</t>
  </si>
  <si>
    <t>ΑΝ910189</t>
  </si>
  <si>
    <t>ΣΠΑΝΙΔΟΥ</t>
  </si>
  <si>
    <t>ΑΖ805256</t>
  </si>
  <si>
    <t>Σ175691</t>
  </si>
  <si>
    <t>ΜΠΟΛΙΑ</t>
  </si>
  <si>
    <t>Ρ506293</t>
  </si>
  <si>
    <t>ΡΟΜΠΟΛΑ</t>
  </si>
  <si>
    <t>ΑΜ301582</t>
  </si>
  <si>
    <t>ΜΙΧΑΛΕ</t>
  </si>
  <si>
    <t>ΑΚ970427</t>
  </si>
  <si>
    <t>ΑΖ707956</t>
  </si>
  <si>
    <t>ΑΙ292979</t>
  </si>
  <si>
    <t>ΚΑΤΣΑΡΟΥ</t>
  </si>
  <si>
    <t>ΑΕ476752</t>
  </si>
  <si>
    <t>ΚΡΟΜΠΑ</t>
  </si>
  <si>
    <t>ΜΑΡΙΑ ΗΛΙΑΝΑ</t>
  </si>
  <si>
    <t>ΑΚ955149</t>
  </si>
  <si>
    <t>ΑΒ197785</t>
  </si>
  <si>
    <t>ΔΑΓΚΑ</t>
  </si>
  <si>
    <t>ΑΙ898854</t>
  </si>
  <si>
    <t>Χ862212</t>
  </si>
  <si>
    <t>ΚΟΥΤΣΙΚΟΥΛΗ</t>
  </si>
  <si>
    <t>ΑΚ410709</t>
  </si>
  <si>
    <t>ΤΑΠΚΟΥ</t>
  </si>
  <si>
    <t>ΤΡΑΙΑΝΗ</t>
  </si>
  <si>
    <t>Χ448708</t>
  </si>
  <si>
    <t>ΚΛΑΓΚΟΥ</t>
  </si>
  <si>
    <t>ΑΝ295722</t>
  </si>
  <si>
    <t>ΑΗ631971</t>
  </si>
  <si>
    <t>ΑΙ983997</t>
  </si>
  <si>
    <t>ΜΠΟΥΜΠΑ</t>
  </si>
  <si>
    <t>ΑΕ299033</t>
  </si>
  <si>
    <t>ΑΒ635680</t>
  </si>
  <si>
    <t>ΝΙΚΟΠΟΥΛΟΥ</t>
  </si>
  <si>
    <t>ΑΟ227055</t>
  </si>
  <si>
    <t>ΑΙ622536</t>
  </si>
  <si>
    <t>ΤΖΕΚΗ</t>
  </si>
  <si>
    <t>ΛΕΥΚΟΘΕΑ</t>
  </si>
  <si>
    <t>ΑΗ682683</t>
  </si>
  <si>
    <t>ΑΖ330003</t>
  </si>
  <si>
    <t>ΒΙΔΑΛΗ</t>
  </si>
  <si>
    <t>ΑΖ442665</t>
  </si>
  <si>
    <t>ΤΟΥΦΕΞΗ</t>
  </si>
  <si>
    <t>ΒΑΛΣΑΜΩ</t>
  </si>
  <si>
    <t>ΑΗ869861</t>
  </si>
  <si>
    <t>ΑΣΛΑΝΙΔΟΥ</t>
  </si>
  <si>
    <t>ΑΒ729072</t>
  </si>
  <si>
    <t>ΑΙ755358</t>
  </si>
  <si>
    <t>ΑΒ859612</t>
  </si>
  <si>
    <t>ΑΚ370728</t>
  </si>
  <si>
    <t>ΚΑΛΟΓΗΡΟΥ ΛΟΥΜΙΤΗ</t>
  </si>
  <si>
    <t>ΜΕΛΙΣΣΑΝΔΡΑ</t>
  </si>
  <si>
    <t>ΑΙ539415</t>
  </si>
  <si>
    <t>ΚΕΛΑΡΑΚΗ</t>
  </si>
  <si>
    <t>ΑΙ440643</t>
  </si>
  <si>
    <t>ΑΕ764388</t>
  </si>
  <si>
    <t>ΠΑΠΑΡΓΥΡΗΣ</t>
  </si>
  <si>
    <t>ΑΚ825647</t>
  </si>
  <si>
    <t>ΓΚΙΡΙΤΛΗ</t>
  </si>
  <si>
    <t>ΤΖΑΝΑΝ</t>
  </si>
  <si>
    <t>ΙΛΜΗ</t>
  </si>
  <si>
    <t>ΑΖ441567</t>
  </si>
  <si>
    <t>ΣΜΠΟΥΚΗ</t>
  </si>
  <si>
    <t>Χ555131</t>
  </si>
  <si>
    <t>ΣΕΛΗΝΙΩΤΑΚΗ</t>
  </si>
  <si>
    <t>ΑΒ961848</t>
  </si>
  <si>
    <t>ΚΟΥΡΚΟΥΛΟΣ</t>
  </si>
  <si>
    <t>ΑΙ274483</t>
  </si>
  <si>
    <t>ΠΑΝΑΓΙΩΤΟΥΛΗ</t>
  </si>
  <si>
    <t>ΑΜ578553</t>
  </si>
  <si>
    <t>ΠΑΠΑΔΟΠΟΥΛΟΥ ΛΑΤΣΗ</t>
  </si>
  <si>
    <t>ΔΗΜΗΤΡΑ ΦΩΤΕΙΝΗ</t>
  </si>
  <si>
    <t>ΑΜ742759</t>
  </si>
  <si>
    <t>ΑΙ325882</t>
  </si>
  <si>
    <t>ΑΙ637182</t>
  </si>
  <si>
    <t>ΚΩNΣΤΑΝΤΙΑ</t>
  </si>
  <si>
    <t>ΑΖ309473</t>
  </si>
  <si>
    <t>ΠΑΝΤΕΛΙΑΔΟΥ</t>
  </si>
  <si>
    <t>ΑΗ815950</t>
  </si>
  <si>
    <t>ΜΕΡΓΟΥ</t>
  </si>
  <si>
    <t>ΝΙΚΟΛΑΙΑ</t>
  </si>
  <si>
    <t>Ρ810234</t>
  </si>
  <si>
    <t>ΚΑΤΑΝΑ</t>
  </si>
  <si>
    <t>Ρ876900</t>
  </si>
  <si>
    <t xml:space="preserve">ΣΙΑΝΑΒΑ </t>
  </si>
  <si>
    <t xml:space="preserve">ΒΑΣΙΛΙΚΗ </t>
  </si>
  <si>
    <t>ΑΑ063379</t>
  </si>
  <si>
    <t>Τ276848</t>
  </si>
  <si>
    <t>Χ392193</t>
  </si>
  <si>
    <t>ΜΑΧΙΑ</t>
  </si>
  <si>
    <t>ΑΝ322252</t>
  </si>
  <si>
    <t>ΗΛΙΑΝΝΑ</t>
  </si>
  <si>
    <t>ΑΝ856404</t>
  </si>
  <si>
    <t>ΑΕ651779</t>
  </si>
  <si>
    <t>ΚΑΖΑΝΤΖΙΔΟΥ</t>
  </si>
  <si>
    <t>ΑΕ395923</t>
  </si>
  <si>
    <t>ΧΑΛΟΥΛΑ</t>
  </si>
  <si>
    <t>ΑΖ340718</t>
  </si>
  <si>
    <t>ΠΑΤΙΝΙΩΤΗ</t>
  </si>
  <si>
    <t>Σ705803</t>
  </si>
  <si>
    <t>ΑΙ722843</t>
  </si>
  <si>
    <t>ΚΑΡΑΔΑΓΛΗ</t>
  </si>
  <si>
    <t>ΑΝ213023</t>
  </si>
  <si>
    <t>Χ966293</t>
  </si>
  <si>
    <t>ΣΙΑΦΗ</t>
  </si>
  <si>
    <t>ΑΝ988086</t>
  </si>
  <si>
    <t>ΠΕΙΔΟΥ</t>
  </si>
  <si>
    <t>ΑΕ196663</t>
  </si>
  <si>
    <t>Χ484751</t>
  </si>
  <si>
    <t>ΑΗ770693</t>
  </si>
  <si>
    <t>ΤΣΟΜΠΑΝΗΣ</t>
  </si>
  <si>
    <t>ΑΒ917390</t>
  </si>
  <si>
    <t>ΒΛΑΧΑΚΗ</t>
  </si>
  <si>
    <t>ΑΚ235714</t>
  </si>
  <si>
    <t>ΓΡΙΛΛΟΥ</t>
  </si>
  <si>
    <t>ΑΚ018004</t>
  </si>
  <si>
    <t>ΔΙΑΜΑΝΤΟΠΟΥΛΟΥ</t>
  </si>
  <si>
    <t>ΧΡΙΣΤΟΣ</t>
  </si>
  <si>
    <t>ΑΙ753861</t>
  </si>
  <si>
    <t>ΤΡΑΚΟΥ</t>
  </si>
  <si>
    <t>ΑΖ604532</t>
  </si>
  <si>
    <t>ΑΖ548311</t>
  </si>
  <si>
    <t>ΚΟΥΣΤΑ</t>
  </si>
  <si>
    <t>Χ884293</t>
  </si>
  <si>
    <t>ΟΥΣΤΑΜΠΑΣΙΔΟΥ</t>
  </si>
  <si>
    <t>ΑΜ433325</t>
  </si>
  <si>
    <t>ΚΗΠΟΥΡΟΥ</t>
  </si>
  <si>
    <t>ΑΡ270916</t>
  </si>
  <si>
    <t>ΜΗΛΙΩΤΗ</t>
  </si>
  <si>
    <t xml:space="preserve">ΕΥΘΎΜΙΟΣ </t>
  </si>
  <si>
    <t>Τ032733</t>
  </si>
  <si>
    <t>Σ719185</t>
  </si>
  <si>
    <t>ΑΜ298030</t>
  </si>
  <si>
    <t>ΑΕ688083</t>
  </si>
  <si>
    <t>ΑΙ840825</t>
  </si>
  <si>
    <t>ΑΚ593785</t>
  </si>
  <si>
    <t>AΓΓΕΛΙΚΗ</t>
  </si>
  <si>
    <t>Χ800245</t>
  </si>
  <si>
    <t>Χ894589</t>
  </si>
  <si>
    <t>ΣΟΥΡΒΑΝΟΥ</t>
  </si>
  <si>
    <t>ΧΡΥΣΟΥΛΑ ΑΘΗΝΑ</t>
  </si>
  <si>
    <t>Χ879242</t>
  </si>
  <si>
    <t>ΑΖ255158</t>
  </si>
  <si>
    <t>ΚΟΥΚΟΥΜΠΛΙΑΚΟΥ</t>
  </si>
  <si>
    <t>ΑΒ834149</t>
  </si>
  <si>
    <t>ΔΑΥΙΔΟΥ</t>
  </si>
  <si>
    <t>ΑΜ916625</t>
  </si>
  <si>
    <t>ΚΟΤΙΤΣΑ</t>
  </si>
  <si>
    <t>ΑΕ338548</t>
  </si>
  <si>
    <t>ΑΒ882649</t>
  </si>
  <si>
    <t>ΦΥΡΟΓΕΝΗ</t>
  </si>
  <si>
    <t>ΑΙ438423</t>
  </si>
  <si>
    <t>ΑΑ431466</t>
  </si>
  <si>
    <t xml:space="preserve">ΣΤΑΜΑΤΙΑ </t>
  </si>
  <si>
    <t>ΑΙ905494</t>
  </si>
  <si>
    <t>ΑΖ171146</t>
  </si>
  <si>
    <t>ΛΑΛΛΑ</t>
  </si>
  <si>
    <t>ΑΙ649507</t>
  </si>
  <si>
    <t>ΑΟ328689</t>
  </si>
  <si>
    <t>ΜΠΑΚΑΛΗΣ</t>
  </si>
  <si>
    <t>ΑΟ216739</t>
  </si>
  <si>
    <t>ΜΠΕΤΕΝΙΟΥ</t>
  </si>
  <si>
    <t>ΑΒ491087</t>
  </si>
  <si>
    <t>Χ367603</t>
  </si>
  <si>
    <t>ΚΑΚΑΒΑ</t>
  </si>
  <si>
    <t>ΑΙ228907</t>
  </si>
  <si>
    <t>ΜΠΕΛΙΤΣΟΥ</t>
  </si>
  <si>
    <t>ΑΙ487684</t>
  </si>
  <si>
    <t>ΚΕΡΑΜΑΡΗ</t>
  </si>
  <si>
    <t>ΔΑΝΙΗΛ</t>
  </si>
  <si>
    <t>ΑΗ405460</t>
  </si>
  <si>
    <t>ΑΖ203782</t>
  </si>
  <si>
    <t>ΑΚ728367</t>
  </si>
  <si>
    <t>ΚΩΣΤΟΓΛΟΥ</t>
  </si>
  <si>
    <t>Σ419964</t>
  </si>
  <si>
    <t>ΚΑΡΤΑΤΣΟΠΟΥΛΟΥ</t>
  </si>
  <si>
    <t>ΑΕ556340</t>
  </si>
  <si>
    <t>ΑΖ039947</t>
  </si>
  <si>
    <t>ΔΗΜΗΤΡΙΑΔΗΣ</t>
  </si>
  <si>
    <t>Φ308259</t>
  </si>
  <si>
    <t>ΚΟΥΤΟΥΛΑ</t>
  </si>
  <si>
    <t>Χ912882</t>
  </si>
  <si>
    <t>ΠΑΠΑΔΗΜΑ</t>
  </si>
  <si>
    <t>ΑΟ088062</t>
  </si>
  <si>
    <t>Χ742924</t>
  </si>
  <si>
    <t>ΑΑ402290</t>
  </si>
  <si>
    <t>ΠΑΥΛΗ</t>
  </si>
  <si>
    <t>Τ437676</t>
  </si>
  <si>
    <t>ΘΕΟΔΩΡΗ</t>
  </si>
  <si>
    <t>ΑΖ429729</t>
  </si>
  <si>
    <t>ΜΕΣΛΕΧ</t>
  </si>
  <si>
    <t>ΑΛΥΑ</t>
  </si>
  <si>
    <t>ΜΩΧΑΜΕΤ</t>
  </si>
  <si>
    <t>Σ513811</t>
  </si>
  <si>
    <t>ΤΣΟΠΑΝΙΔΟΥ</t>
  </si>
  <si>
    <t>Χ947663</t>
  </si>
  <si>
    <t>ΜΕΤΑΞΑ</t>
  </si>
  <si>
    <t>Χ186063</t>
  </si>
  <si>
    <t>Τ480576</t>
  </si>
  <si>
    <t>Χ488202</t>
  </si>
  <si>
    <t>ΑΝ152522</t>
  </si>
  <si>
    <t>ΚΑΡΑΒΑΡΗ</t>
  </si>
  <si>
    <t>Ρ971918</t>
  </si>
  <si>
    <t>ΠΑΡΑΣΚΕΥΗ ΜΑΡΙΑ</t>
  </si>
  <si>
    <t>ΑΒ086300</t>
  </si>
  <si>
    <t>ΣΤΑΥΡΟΥΛΑ ΑΡΤΕΜΙΣ</t>
  </si>
  <si>
    <t>ΑΑ391742</t>
  </si>
  <si>
    <t>ΑΗ314157</t>
  </si>
  <si>
    <t>ΜΠΑΚΑΓΙΑΝΝΗ</t>
  </si>
  <si>
    <t>ΑΒ620686</t>
  </si>
  <si>
    <t>ΖΑΜΠΕΤΗ</t>
  </si>
  <si>
    <t>ΑΖ213670</t>
  </si>
  <si>
    <t>ΛΥΔΙΑ</t>
  </si>
  <si>
    <t>ΑΖ991551</t>
  </si>
  <si>
    <t>ΜΠΟΥΝΤΟΥΡΟΥΔΗ</t>
  </si>
  <si>
    <t>ΑΖ479728</t>
  </si>
  <si>
    <t>ΜΑΝΩΛΕΣΚΟΥ</t>
  </si>
  <si>
    <t>ΜΑΡΙΑΝΝΑ ΧΡΥΣΟΒΑΛΑΝΤ</t>
  </si>
  <si>
    <t>ΦΙΛΗΜΩΝ</t>
  </si>
  <si>
    <t>ΑΖ454267</t>
  </si>
  <si>
    <t>ΠΑΝΟΥΤΣΟΥ</t>
  </si>
  <si>
    <t>ΓΡΑΜΜΑΤΙΚΗ</t>
  </si>
  <si>
    <t>ΑΗ044802</t>
  </si>
  <si>
    <t>ΛΙΛΟΥ</t>
  </si>
  <si>
    <t>Τ811134</t>
  </si>
  <si>
    <t>ΤΣΟΥΚΑΝΤΑΝΑ</t>
  </si>
  <si>
    <t>Χ406868</t>
  </si>
  <si>
    <t>ΑΛΕΞΑΝΔΡΟΥ</t>
  </si>
  <si>
    <t>ΑΜ224429</t>
  </si>
  <si>
    <t>ΓΚΟΓΚΑ</t>
  </si>
  <si>
    <t>ΑΗ769748</t>
  </si>
  <si>
    <t>ΑΓΡΑΝΙΤΗ</t>
  </si>
  <si>
    <t>ΑΙ042495</t>
  </si>
  <si>
    <t>ΑΝ945591</t>
  </si>
  <si>
    <t>ΑΟ229350</t>
  </si>
  <si>
    <t>ΤΣΟΥΜΑΓΚΑ</t>
  </si>
  <si>
    <t>ΑΕ835146</t>
  </si>
  <si>
    <t>ΛΥΚΟΥ</t>
  </si>
  <si>
    <t>ΧΡΙΣΤΟΥΛΑ</t>
  </si>
  <si>
    <t>ΑΟ074067</t>
  </si>
  <si>
    <t>ΚΟΤΖΙΑΚΩΣΤΟΥΔΗ</t>
  </si>
  <si>
    <t xml:space="preserve">ΦΡΕΙΔΡΙΚΗ </t>
  </si>
  <si>
    <t>ΑΕ868628</t>
  </si>
  <si>
    <t>Τ935134</t>
  </si>
  <si>
    <t>ΣΑΠΑΛΙΔΟΥ</t>
  </si>
  <si>
    <t>ΑΜ850925</t>
  </si>
  <si>
    <t>ΔΑΡΑΜΟΥΣΚΑ</t>
  </si>
  <si>
    <t>ΑΝΤΩΝΗΣ</t>
  </si>
  <si>
    <t>ΑΒ617371</t>
  </si>
  <si>
    <t>Χ611201</t>
  </si>
  <si>
    <t>ΜΑΓΑΛΙΟΥ</t>
  </si>
  <si>
    <t>ΑΟ956781</t>
  </si>
  <si>
    <t>ΧΑΣΙΩΤΟΥ</t>
  </si>
  <si>
    <t>Α0244220</t>
  </si>
  <si>
    <t>ΑΝ008413</t>
  </si>
  <si>
    <t>ΚΑΤΣΑΝΤΑ</t>
  </si>
  <si>
    <t>Χ961848</t>
  </si>
  <si>
    <t>ΑΙ727672</t>
  </si>
  <si>
    <t>ΤΣΑΛΑΧΟΥΡΗ</t>
  </si>
  <si>
    <t>ΑΝ415613</t>
  </si>
  <si>
    <t>ΚΑΠΕΤΑΝΙΔΟΥ</t>
  </si>
  <si>
    <t>Χ783276</t>
  </si>
  <si>
    <t>ΤΕΜΙΡΑΧΙΔΟΥ</t>
  </si>
  <si>
    <t>ΑΕ903720</t>
  </si>
  <si>
    <t>ΑΙ696874</t>
  </si>
  <si>
    <t>ΑΡΙΣΤΟΥΛΑ</t>
  </si>
  <si>
    <t>ΑΙ318974</t>
  </si>
  <si>
    <t>ΑΕ369866</t>
  </si>
  <si>
    <t>ΓΙΑΖΙΤΖΗ</t>
  </si>
  <si>
    <t>ΑΕ160933</t>
  </si>
  <si>
    <t>ΠΛΕΥΡΗ</t>
  </si>
  <si>
    <t>ΑΝ430348</t>
  </si>
  <si>
    <t>ΜΕΝΤΗ</t>
  </si>
  <si>
    <t>Τ501745</t>
  </si>
  <si>
    <t>ΚΑΚΟΔΕΙΠΝΑΚΗ</t>
  </si>
  <si>
    <t>ΑΕ963376</t>
  </si>
  <si>
    <t>ΛΙΑΧΟΠΟΥΛΟΥ</t>
  </si>
  <si>
    <t>ΜΑΡΙΑ ΑΝΤΩΝΙΑ</t>
  </si>
  <si>
    <t>ΑΙ336045</t>
  </si>
  <si>
    <t>ΑΝ817263</t>
  </si>
  <si>
    <t>ΠΑΠΑΡΓΥΡΗ</t>
  </si>
  <si>
    <t>ΑΒ196841</t>
  </si>
  <si>
    <t>ΣΠΥΡΟΠΟΥΛΟΥ ΣΑΚΚΑ</t>
  </si>
  <si>
    <t>Τ131910</t>
  </si>
  <si>
    <t>ΚΛΩΤΣΟΥ</t>
  </si>
  <si>
    <t>ΑΕ483320</t>
  </si>
  <si>
    <t>ΔΕΛΗΖΑΝΟΥ</t>
  </si>
  <si>
    <t>Χ253638</t>
  </si>
  <si>
    <t>Π116767</t>
  </si>
  <si>
    <t>ΑΓΟΡΗ</t>
  </si>
  <si>
    <t>ΑΕ317629</t>
  </si>
  <si>
    <t>ΚΑΤΣΑΒΟΥΛΙΑ</t>
  </si>
  <si>
    <t>ΑΒ551827</t>
  </si>
  <si>
    <t>ΑΜ901997</t>
  </si>
  <si>
    <t>ΚΟΥΣΟΥΝΗ</t>
  </si>
  <si>
    <t>ΘΕΟΔΩΡΑ ΞΑΝΘΙΠΠΗ</t>
  </si>
  <si>
    <t>Χ881388</t>
  </si>
  <si>
    <t>ΚΑΛΑΒΡΟΥΖΙΩΤΗ</t>
  </si>
  <si>
    <t>Χ776067</t>
  </si>
  <si>
    <t>ΚΑΒΡΑΚΟΥ</t>
  </si>
  <si>
    <t>ΜΑΙΡΗ</t>
  </si>
  <si>
    <t>ΑΚ408491</t>
  </si>
  <si>
    <t>ΚΛΕΙΩ</t>
  </si>
  <si>
    <t>ΑΗ357756</t>
  </si>
  <si>
    <t>ΠΙΤΣΟΥΝΗ</t>
  </si>
  <si>
    <t>ΑΓΓΕΛΙΚΗ ΦΩΤΕΙΝΗ</t>
  </si>
  <si>
    <t>Χ096795</t>
  </si>
  <si>
    <t>ΚΟΚΟΜΕΤΣΙ</t>
  </si>
  <si>
    <t>ΜΙΡΣΙΟΝΑ</t>
  </si>
  <si>
    <t>ΑΣΚΕΡΙ</t>
  </si>
  <si>
    <t>ΑΝ488265</t>
  </si>
  <si>
    <t>ΠΡΑΣΣΑ</t>
  </si>
  <si>
    <t>Π987801</t>
  </si>
  <si>
    <t>ΜΠΟΤΑΚΤΣΗ</t>
  </si>
  <si>
    <t>ΑΜ653619</t>
  </si>
  <si>
    <t>ΧΑΙΔΟΥ</t>
  </si>
  <si>
    <t>ΑΚ982629</t>
  </si>
  <si>
    <t>ΑΝ695044</t>
  </si>
  <si>
    <t>ΑΚ229389</t>
  </si>
  <si>
    <t>ΔΑΝΟΥ</t>
  </si>
  <si>
    <t>ΑΗ891109</t>
  </si>
  <si>
    <t>ΠΕΡΙΒΟΛΙΣΙΑΝΟΥ</t>
  </si>
  <si>
    <t>ΑΗ716496</t>
  </si>
  <si>
    <t>ΑΕ156987</t>
  </si>
  <si>
    <t>ΦΩΤΕΙΝΗ ΑΜΑΛΙΑ</t>
  </si>
  <si>
    <t>ΑΖ688678</t>
  </si>
  <si>
    <t>ΒΡΟΥΛΟΥ</t>
  </si>
  <si>
    <t>ΑΖ440464</t>
  </si>
  <si>
    <t>ΣΕΦΕΡΛΗ</t>
  </si>
  <si>
    <t>ΑΜ992057</t>
  </si>
  <si>
    <t>ΣΙΑΜΟΥ</t>
  </si>
  <si>
    <t>ΑΗ704167</t>
  </si>
  <si>
    <t>ΑΗ931189</t>
  </si>
  <si>
    <t>ΚΟΨΙΑ</t>
  </si>
  <si>
    <t>ΑΚ543892</t>
  </si>
  <si>
    <t>ΑΑ238068</t>
  </si>
  <si>
    <t>ΑΛΕΚΤΟΡΙΔΟΥ</t>
  </si>
  <si>
    <t>ΑΕ862004</t>
  </si>
  <si>
    <t>ΜΠΑΒΑ</t>
  </si>
  <si>
    <t>ΑΒ231886</t>
  </si>
  <si>
    <t>ΣΙΩΚΟΥ</t>
  </si>
  <si>
    <t>Ν779854</t>
  </si>
  <si>
    <t>ΠΕΤΣΟΥΛΗ</t>
  </si>
  <si>
    <t>ΑΜ397158</t>
  </si>
  <si>
    <t>ΚΑΜΑΡΙΑΝΑΚΗ</t>
  </si>
  <si>
    <t>ΓΑΡΥΦΑΛΙΑ ΔΕΣΠΟΙΝΑ</t>
  </si>
  <si>
    <t>ΑΖ414309</t>
  </si>
  <si>
    <t>ΣΥΡΙΓΑ</t>
  </si>
  <si>
    <t>ΧΡΗΣΤΙΝΑ</t>
  </si>
  <si>
    <t>ΑΚ369581</t>
  </si>
  <si>
    <t>ΤΡΑΝΤΟΥ</t>
  </si>
  <si>
    <t>ΑΙ281525</t>
  </si>
  <si>
    <t>ΔΗΜΗΤΡΕΝΤΖΗ</t>
  </si>
  <si>
    <t>ΑΖ805741</t>
  </si>
  <si>
    <t>ΜΠΑΡΤΖΟΥ</t>
  </si>
  <si>
    <t>ΑΟ143571</t>
  </si>
  <si>
    <t>ΠΥΡΓΙΛΗ</t>
  </si>
  <si>
    <t>ΑΖ802823</t>
  </si>
  <si>
    <t>ΦΩΤΙΔΟΥ</t>
  </si>
  <si>
    <t>ΑΕ877588</t>
  </si>
  <si>
    <t>ΚΑΛΛΑΗ</t>
  </si>
  <si>
    <t>ΑΜ991283</t>
  </si>
  <si>
    <t>ΑΝ764672</t>
  </si>
  <si>
    <t>ΠΡΑΠΠΑ</t>
  </si>
  <si>
    <t>ΑΓΟΡΙΤΣΑ</t>
  </si>
  <si>
    <t>Χ481702</t>
  </si>
  <si>
    <t>ΚΟΤΣΙΚΑΡΗ</t>
  </si>
  <si>
    <t>MAΡΙΝΑ</t>
  </si>
  <si>
    <t>Χ744777</t>
  </si>
  <si>
    <t>ΔΕΡΤΙΜΑΝΗ</t>
  </si>
  <si>
    <t>ΑΒ773809</t>
  </si>
  <si>
    <t>ΧΑΤΖΟΓΛΟΥ</t>
  </si>
  <si>
    <t>ΑΜ439069</t>
  </si>
  <si>
    <t>ΛΑΗ</t>
  </si>
  <si>
    <t>ΑΙ488837</t>
  </si>
  <si>
    <t>ΑΡΝΑΟΥΤΗ</t>
  </si>
  <si>
    <t>ΑΗ232336</t>
  </si>
  <si>
    <t>ΑΗ149207</t>
  </si>
  <si>
    <t>ΚΥΠΡΙΤΙΔΟΥ</t>
  </si>
  <si>
    <t>ΑΟ389007</t>
  </si>
  <si>
    <t>ΚΑΛΜΑΝΤΗ</t>
  </si>
  <si>
    <t>Π718000</t>
  </si>
  <si>
    <t>ΑΚ605469</t>
  </si>
  <si>
    <t>ΑΙ482961</t>
  </si>
  <si>
    <t>ΝΤΟΥΣΗ</t>
  </si>
  <si>
    <t>ΦΛΩΡΑ</t>
  </si>
  <si>
    <t>ΑΒ537234</t>
  </si>
  <si>
    <t>ΑΙ521889</t>
  </si>
  <si>
    <t>Χ804435</t>
  </si>
  <si>
    <t>ΓΟΥΤΣΑΚΗ</t>
  </si>
  <si>
    <t>ΑΑ279112</t>
  </si>
  <si>
    <t>ΑΒ210280</t>
  </si>
  <si>
    <t>ΚΩΤΣΙΔΗΣ</t>
  </si>
  <si>
    <t>ΑΟ210953</t>
  </si>
  <si>
    <t>ΓΕΩΡΓΑΝΤΆ</t>
  </si>
  <si>
    <t>ΑΟ632600</t>
  </si>
  <si>
    <t>ΑΡΚΑΛΗ</t>
  </si>
  <si>
    <t>ΑΗ231326</t>
  </si>
  <si>
    <t>ΘΕΟΔΟΣΑΚΗ</t>
  </si>
  <si>
    <t>ΑΑ368544</t>
  </si>
  <si>
    <t>ΑΑ967903</t>
  </si>
  <si>
    <t>ΚΙΤΣΙΟΥΛΗ</t>
  </si>
  <si>
    <t>Χ232110</t>
  </si>
  <si>
    <t>ΑΣΠΙΩΤΗ</t>
  </si>
  <si>
    <t>ΓΕΩΡΓΙΑ ΑΓΓΕΛΙΚΗ</t>
  </si>
  <si>
    <t>ΑΙ877703</t>
  </si>
  <si>
    <t>ΑΝ763980</t>
  </si>
  <si>
    <t>ΠΑΝΩΡ</t>
  </si>
  <si>
    <t>Σ535978</t>
  </si>
  <si>
    <t>ΣΑΛΠΙΣΤΗ</t>
  </si>
  <si>
    <t>ΑΕ355107</t>
  </si>
  <si>
    <t>ΓΑΡΔΙΚΙΩΤΗ</t>
  </si>
  <si>
    <t>ΓΕΩΡΓΟΛΕΩΝΙΔΑΣ</t>
  </si>
  <si>
    <t>ΑΜ550326</t>
  </si>
  <si>
    <t>ΚΟΥΛΙΟΥΜΠΑ</t>
  </si>
  <si>
    <t>ΑΖ812085</t>
  </si>
  <si>
    <t>ΠΑΠΑΣΤΑΜΑΤΙΟΥ</t>
  </si>
  <si>
    <t>ΑΒ466151</t>
  </si>
  <si>
    <t>ΝΟΡΑ</t>
  </si>
  <si>
    <t>ΚΟΛΙΑΣ</t>
  </si>
  <si>
    <t>ΑΜ097340</t>
  </si>
  <si>
    <t>ΑΗ930840</t>
  </si>
  <si>
    <t>Ρ441451</t>
  </si>
  <si>
    <t>ΛΙΑΣΚΟΥ</t>
  </si>
  <si>
    <t>ΑΒ844168</t>
  </si>
  <si>
    <t>ΛΕΛΙΟΠΟΥΛΟΥ</t>
  </si>
  <si>
    <t>ΑΖ426363</t>
  </si>
  <si>
    <t xml:space="preserve">ΠΕΤΡΙΔΟΥ </t>
  </si>
  <si>
    <t>ΑΖ163515</t>
  </si>
  <si>
    <t>ΑΒ127736</t>
  </si>
  <si>
    <t>ΑΖ715819</t>
  </si>
  <si>
    <t>ΚΑΤΣΙΚΙΑ</t>
  </si>
  <si>
    <t>Χ279058</t>
  </si>
  <si>
    <t>ΑΕ018842</t>
  </si>
  <si>
    <t>ΒΟΡΒΗ</t>
  </si>
  <si>
    <t>ΑΝΤΩΝΙΑ ΕΥΑΓΓΕΛΙΑ</t>
  </si>
  <si>
    <t>ΑΖ974141</t>
  </si>
  <si>
    <t>ΚΟΚΚΙΝΕΛΗ</t>
  </si>
  <si>
    <t>ΑΖ872351</t>
  </si>
  <si>
    <t>ΑΜ373724</t>
  </si>
  <si>
    <t>ΜΑΝΘΙΔΟΥ</t>
  </si>
  <si>
    <t>ΝΙΚΟΛΕΤΤΑ ΤΡΙΑΝΤΑΦΥΛΛΙΑ</t>
  </si>
  <si>
    <t>Χ710733</t>
  </si>
  <si>
    <t>ΚΑΤΣΑΝΑΚΗ</t>
  </si>
  <si>
    <t>Χ179654</t>
  </si>
  <si>
    <t>ΑΗ488186</t>
  </si>
  <si>
    <t>ΣΟΥΜΑ</t>
  </si>
  <si>
    <t>ΑΙ064441</t>
  </si>
  <si>
    <t>ΜΟΥΖΕΛΗ</t>
  </si>
  <si>
    <t>ΑΜ495962</t>
  </si>
  <si>
    <t>ΒΑΜΙΕΔΑΚΗ</t>
  </si>
  <si>
    <t>ΕΛΕΝΗ ΕΙΡΗΝΗ</t>
  </si>
  <si>
    <t>ΠΑΝΑΓΙΩΤΗΣ ΑΝΤΩΝΙΟΣ</t>
  </si>
  <si>
    <t>ΑΖ503580</t>
  </si>
  <si>
    <t>ΤΡΑΓΟΥΔΑΡΑ</t>
  </si>
  <si>
    <t>ΑΗ741248</t>
  </si>
  <si>
    <t>ΔΡΙΤΣΑ</t>
  </si>
  <si>
    <t>ΑΖ576711</t>
  </si>
  <si>
    <t>ΓΚΑΝΤΖΙΑ</t>
  </si>
  <si>
    <t>ΑΚ489588</t>
  </si>
  <si>
    <t>ΓΕΡΑΣΚΛΗ</t>
  </si>
  <si>
    <t>ΜΑΡΙΑ ΕΥΑΓΓΕΛΙΑ</t>
  </si>
  <si>
    <t>ΑΗ950084</t>
  </si>
  <si>
    <t>ΑΖ231312</t>
  </si>
  <si>
    <t>ΚΟΒΟΥΣΟΓΛΟΥ</t>
  </si>
  <si>
    <t>ΑΑ250103</t>
  </si>
  <si>
    <t>ΑΖ971041</t>
  </si>
  <si>
    <t>ΑΙ957497</t>
  </si>
  <si>
    <t>ΑΑ427001</t>
  </si>
  <si>
    <t>ΣΚΕΝΤΕΡ</t>
  </si>
  <si>
    <t>ΑΜ642419</t>
  </si>
  <si>
    <t>ΧΑΤΖΗΝΙΚΟΥ</t>
  </si>
  <si>
    <t>ΑΟ689364</t>
  </si>
  <si>
    <t>Χ074486</t>
  </si>
  <si>
    <t>ΜΠΙΣΤΙΟΛΑ</t>
  </si>
  <si>
    <t>Τ064847</t>
  </si>
  <si>
    <t>ΠΕΤΡΙΔΗ</t>
  </si>
  <si>
    <t>ΑΚ575995</t>
  </si>
  <si>
    <t>ΠΟΝΤΙΚΑ</t>
  </si>
  <si>
    <t>ΑΙ864980</t>
  </si>
  <si>
    <t>ΚΑΡΑΦΙΛΗ</t>
  </si>
  <si>
    <t>ΑΙ743468</t>
  </si>
  <si>
    <t>ΖΟΜΠΑΝΑΚΗ</t>
  </si>
  <si>
    <t>ΑΒ301547</t>
  </si>
  <si>
    <t>ΚΟΥΤΣΙΟΓΚΟΥΛΟΥ</t>
  </si>
  <si>
    <t>ΑΑ393840</t>
  </si>
  <si>
    <t>ΠΑΠΑΘΕΟΔΩΡΟΥ</t>
  </si>
  <si>
    <t>ΑΙ199537</t>
  </si>
  <si>
    <t>ΠΕΡΡΟΥ</t>
  </si>
  <si>
    <t>ΑΟ544843</t>
  </si>
  <si>
    <t>ΑΝΔΡΕΟΥ</t>
  </si>
  <si>
    <t>ΑΜ843606</t>
  </si>
  <si>
    <t>ΜΑΡΙΑ ΒΑΣΙΛΙΚΗ</t>
  </si>
  <si>
    <t>ΑΒ109611</t>
  </si>
  <si>
    <t>ΑΘΗΝΕΛΛΗ</t>
  </si>
  <si>
    <t>ΚΩΣΤΑΝΤΙΝΟΣ</t>
  </si>
  <si>
    <t>ΑΖ927607</t>
  </si>
  <si>
    <t>ΦΙΛΙΠΠΟΥ</t>
  </si>
  <si>
    <t xml:space="preserve">ΓΕΩΡΓΙΑ </t>
  </si>
  <si>
    <t>ΑΒ108158</t>
  </si>
  <si>
    <t>ΧΑΤΖΗΠΑΣΧΑΛΗ</t>
  </si>
  <si>
    <t>ΑΜ711728</t>
  </si>
  <si>
    <t>ΦΑΡΛΕΚΑ</t>
  </si>
  <si>
    <t>ΑΕ108304</t>
  </si>
  <si>
    <t>ΑΖ877620</t>
  </si>
  <si>
    <t>ΑΗ669862</t>
  </si>
  <si>
    <t>ΛΙΑΣΟΥ</t>
  </si>
  <si>
    <t>ΑΖ800606</t>
  </si>
  <si>
    <t>ΚΑΡΑΝΑΝΟΥ</t>
  </si>
  <si>
    <t xml:space="preserve">ΖΑΧΑΡΙΑΣ </t>
  </si>
  <si>
    <t>Χ650583</t>
  </si>
  <si>
    <t>ΤΣΙΟΥΓΚΡΗ</t>
  </si>
  <si>
    <t>ΑΝ993466</t>
  </si>
  <si>
    <t>ΚΡΥΣΤΑΛΛΗ</t>
  </si>
  <si>
    <t>ΑΖ881212</t>
  </si>
  <si>
    <t>ΛΙΠΙΩΤΗ</t>
  </si>
  <si>
    <t>ΑΚ455213</t>
  </si>
  <si>
    <t xml:space="preserve">ΕΜΕΡΤΖΙΔΟΥ </t>
  </si>
  <si>
    <t>Χ952501</t>
  </si>
  <si>
    <t>ΧΕΛΩΝΗ</t>
  </si>
  <si>
    <t>Ρ500975</t>
  </si>
  <si>
    <t>ΑΙ425770</t>
  </si>
  <si>
    <t>ΚΑΡΟΚΗ</t>
  </si>
  <si>
    <t>ΑΗ718772</t>
  </si>
  <si>
    <t>ΚΑΡΑΘΑΝΑΣΟΠΟΥΛΟΣ</t>
  </si>
  <si>
    <t>ΑΒ754100</t>
  </si>
  <si>
    <t>ΑΑ458603</t>
  </si>
  <si>
    <t>ΧΕΙΝΟΠΩΡΟΥ</t>
  </si>
  <si>
    <t>ΑΙ229829</t>
  </si>
  <si>
    <t>ΛΕΟΝΤΗ</t>
  </si>
  <si>
    <t>ΑΙΚΑΤΕΡΙΝΗ ΜΑΡΙΑ</t>
  </si>
  <si>
    <t>ΑΝ510902</t>
  </si>
  <si>
    <t>ΧΟΥΣΑΝΛΗ</t>
  </si>
  <si>
    <t>ΜΙΧΑΕΛΑ</t>
  </si>
  <si>
    <t>ΑΝΑΓΝΩΣΤΗΣ</t>
  </si>
  <si>
    <t>ΑΒ461538</t>
  </si>
  <si>
    <t>ΑΜ301075</t>
  </si>
  <si>
    <t>ΜΑΝΟΥΡΑ</t>
  </si>
  <si>
    <t>ΧΑΡΑΛΑΜΠΩ</t>
  </si>
  <si>
    <t>ΑΑ070018</t>
  </si>
  <si>
    <t>ΑΝ417825</t>
  </si>
  <si>
    <t>ΑΖ396537</t>
  </si>
  <si>
    <t>ΑΜ096586</t>
  </si>
  <si>
    <t>ΑΝ107351</t>
  </si>
  <si>
    <t>ΑΚ495271</t>
  </si>
  <si>
    <t>ΘΕΟΥΛΗ</t>
  </si>
  <si>
    <t>ΑΟ534862</t>
  </si>
  <si>
    <t>ΚΑΡΑΓΙΑΝΝΗ ΚΑΡΦΗ</t>
  </si>
  <si>
    <t>ΑΚ333403</t>
  </si>
  <si>
    <t>ΜΥΛΩΝΑΚΗ</t>
  </si>
  <si>
    <t>Ρ315213</t>
  </si>
  <si>
    <t>ΠΑΣΙΑΚΟΥ</t>
  </si>
  <si>
    <t>Χ536365</t>
  </si>
  <si>
    <t>ΑΝ106387</t>
  </si>
  <si>
    <t>ΑΕ356912</t>
  </si>
  <si>
    <t>ΓΡΑΜΜΕΝΙΔΟΥ</t>
  </si>
  <si>
    <t>ΑΒ122313</t>
  </si>
  <si>
    <t>ΚΟΥΚΟΥΜΤΖΗ</t>
  </si>
  <si>
    <t>Π906036</t>
  </si>
  <si>
    <t>Σ930299</t>
  </si>
  <si>
    <t>ΛΑΠΟΥΣΗ</t>
  </si>
  <si>
    <t>ΦΩΤΗΣ</t>
  </si>
  <si>
    <t>ΑΑ428147</t>
  </si>
  <si>
    <t>ΚΑΛΑΜΑΡΑ</t>
  </si>
  <si>
    <t>ΙΩΑΝΝΑ ΜΑΡΙΑ</t>
  </si>
  <si>
    <t>ΑΝ847137</t>
  </si>
  <si>
    <t>ΜΠΑΛΙΔΟΥ</t>
  </si>
  <si>
    <t>ΑΖ025222</t>
  </si>
  <si>
    <t>ΓΕΩΡΓΑΚΑ</t>
  </si>
  <si>
    <t>ΑΙ352109</t>
  </si>
  <si>
    <t>ΞΙΟΥΦΗ</t>
  </si>
  <si>
    <t>Σ884343</t>
  </si>
  <si>
    <t>ΙΓΓΛΕΖΟΥ</t>
  </si>
  <si>
    <t>ΑΚ420715</t>
  </si>
  <si>
    <t>ΣΠΥΡΑΚΗ</t>
  </si>
  <si>
    <t>ΑΖ617112</t>
  </si>
  <si>
    <t>ΤΣΙΛΒΙΔΟΥ</t>
  </si>
  <si>
    <t>ΑΑ244232</t>
  </si>
  <si>
    <t>ΑΝ833678</t>
  </si>
  <si>
    <t>ΝΤΟΥΣΚΑ</t>
  </si>
  <si>
    <t>ΑΙ559969</t>
  </si>
  <si>
    <t>ΑΖ861013</t>
  </si>
  <si>
    <t xml:space="preserve">ΘΕΟΔΩΡΑ </t>
  </si>
  <si>
    <t>Χ794001</t>
  </si>
  <si>
    <t>ΣΑΠΑΝΤΖΗ</t>
  </si>
  <si>
    <t>ΔΙΑΜΑΝΤΕΝΙΑ</t>
  </si>
  <si>
    <t>ΑΟ959276</t>
  </si>
  <si>
    <t>ΓΚΑΤΖΟΓΙΑ</t>
  </si>
  <si>
    <t>ΕΙΡΗΝΗ ΑΘΑΝΑΣΙΑ</t>
  </si>
  <si>
    <t>ΑΗ268866</t>
  </si>
  <si>
    <t>ΑΑ310386</t>
  </si>
  <si>
    <t>ΤΙΦΤΙΚΟΓΛΟΥ</t>
  </si>
  <si>
    <t>ΑΗ697174</t>
  </si>
  <si>
    <t>ΑΜ378795</t>
  </si>
  <si>
    <t>ΑΙ056264</t>
  </si>
  <si>
    <t>ΑΟ397970</t>
  </si>
  <si>
    <t>ΧΑΤΖΗΠΑΥΛΙΔΟΥ</t>
  </si>
  <si>
    <t>ΑΜ673545</t>
  </si>
  <si>
    <t>ΒΑΣΙΛΙΚΙΩΤΟΥ</t>
  </si>
  <si>
    <t>ΑΑ438251</t>
  </si>
  <si>
    <t>ΤΕΡΙΑΔΟΥ</t>
  </si>
  <si>
    <t>ΝΑΝΤΙΑ</t>
  </si>
  <si>
    <t>ΑΙ654655</t>
  </si>
  <si>
    <t>ΜΑΝΑΒΗ</t>
  </si>
  <si>
    <t>ΑΚ426584</t>
  </si>
  <si>
    <t>ΤΣΑΚΥΡΑΚΗ</t>
  </si>
  <si>
    <t>ΑΕ813715</t>
  </si>
  <si>
    <t>ΑΤΣΙΚΠΑΣΗ</t>
  </si>
  <si>
    <t>ΑΙ409824</t>
  </si>
  <si>
    <t>ΓΑΝΟΠΟΥΛΟΥ</t>
  </si>
  <si>
    <t>ΑΜ414349</t>
  </si>
  <si>
    <t>ΣΚΟΥΛΟΥΔΗ</t>
  </si>
  <si>
    <t>ΑΙ966016</t>
  </si>
  <si>
    <t>Χ034428</t>
  </si>
  <si>
    <t>ΚΟΛΙΟΥ</t>
  </si>
  <si>
    <t>ΑΗ593326</t>
  </si>
  <si>
    <t>ΚΑΤΟΥΦΑ</t>
  </si>
  <si>
    <t>ΑΑ413260</t>
  </si>
  <si>
    <t>ΦΟΥΝΤΑΡΛΗ</t>
  </si>
  <si>
    <t>ΑΕ367588</t>
  </si>
  <si>
    <t>ΜΠΕΡΕΤΣΟΥ</t>
  </si>
  <si>
    <t>ΑΗ217472</t>
  </si>
  <si>
    <t>ΧΡΥΣΟΒΙΤΣΑΝΟΥ</t>
  </si>
  <si>
    <t>ΑΟ712502</t>
  </si>
  <si>
    <t>Ρ171793</t>
  </si>
  <si>
    <t>ΑΙΝΑΤΣΙΔΟΥ</t>
  </si>
  <si>
    <t>ΑΙ198177</t>
  </si>
  <si>
    <t>ΑΝ495517</t>
  </si>
  <si>
    <t>ΛΙΟΛΙΑ</t>
  </si>
  <si>
    <t>Χ739091</t>
  </si>
  <si>
    <t>ΝΕΣΤΟΡΑ</t>
  </si>
  <si>
    <t>ΑΖ604664</t>
  </si>
  <si>
    <t>ΑΑ378392</t>
  </si>
  <si>
    <t>ΠΑΠΑΔΟΓΙΑΝΝΗ</t>
  </si>
  <si>
    <t>ΑΝ936687</t>
  </si>
  <si>
    <t>ΒΙΖΟΥ</t>
  </si>
  <si>
    <t>ΑΑ760614</t>
  </si>
  <si>
    <t>ΖΕΙΜΠΕΚΗ</t>
  </si>
  <si>
    <t>ΠΑΝAΓΙΩΤΗΣ</t>
  </si>
  <si>
    <t>Ν918639</t>
  </si>
  <si>
    <t>ΜΠΟΥΡΗ</t>
  </si>
  <si>
    <t>Χ739416</t>
  </si>
  <si>
    <t>ΤΟΠΟΥΛΟΥ</t>
  </si>
  <si>
    <t>ΑΜ279375</t>
  </si>
  <si>
    <t>ΒΑΘΡΑΚΟΓΙΑΝΝΗ</t>
  </si>
  <si>
    <t>ΑΕ496405</t>
  </si>
  <si>
    <t>ΔΕΣΠΟΙΝΙΔΟΥ</t>
  </si>
  <si>
    <t>ΦΡΕΙΔΕΡΙΚΗ ΑΘΑΝΑΣΙΑ</t>
  </si>
  <si>
    <t>ΑΜ394360</t>
  </si>
  <si>
    <t>ΑΚ114551</t>
  </si>
  <si>
    <t>ΒΑΓΕΝΑ</t>
  </si>
  <si>
    <t>ΑΒ170009</t>
  </si>
  <si>
    <t>ΑΡΑΒΙΔΟΥ</t>
  </si>
  <si>
    <t>ΑΒ1100180</t>
  </si>
  <si>
    <t>ΔΗΜΑΚΑΚΟΥ</t>
  </si>
  <si>
    <t>ΑΙ667406</t>
  </si>
  <si>
    <t>ΚΟΥΤΡΟΜΑΝΟΥ</t>
  </si>
  <si>
    <t>ΑΙ478705</t>
  </si>
  <si>
    <t>ΔΡΑΒΙΛΛΑ</t>
  </si>
  <si>
    <t>ΠΗΝΕΛΟΠΗ ΜΑΡΙΑ</t>
  </si>
  <si>
    <t>Ρ526316</t>
  </si>
  <si>
    <t>HRISTOVA</t>
  </si>
  <si>
    <t>NIKOLOVA</t>
  </si>
  <si>
    <t>ΑΗ117995</t>
  </si>
  <si>
    <t>ΧΡΙΣΤΙΝΑ ΧΡΥΣΟΒΑΛΑΝΤ</t>
  </si>
  <si>
    <t>ΑΙ350374</t>
  </si>
  <si>
    <t>Φ236795</t>
  </si>
  <si>
    <t>ΑΗ023016</t>
  </si>
  <si>
    <t>ΑΕ837314</t>
  </si>
  <si>
    <t>ΚΑΛΦΟΠΟΥΛΟΥ</t>
  </si>
  <si>
    <t>ΑΖ855318</t>
  </si>
  <si>
    <t xml:space="preserve">ΚΙΟΥΡΚΤΣΉ </t>
  </si>
  <si>
    <t xml:space="preserve">ΞΑΝΘΟΎΛΑ </t>
  </si>
  <si>
    <t>ΑΕ910827</t>
  </si>
  <si>
    <t>ΤΖΕΒΕΛΕΚΟΥ</t>
  </si>
  <si>
    <t>ΑΜ184840</t>
  </si>
  <si>
    <t>ΚΑΡΑΒΟΛΟΥ</t>
  </si>
  <si>
    <t>ΑΖ102026</t>
  </si>
  <si>
    <t>ΑΒ396215</t>
  </si>
  <si>
    <t>ΚΑΡΑΚΟΤΣΙΔΗ</t>
  </si>
  <si>
    <t>ΑΜ078777</t>
  </si>
  <si>
    <t>ΠΕΡΑΜΑΤΖΗ</t>
  </si>
  <si>
    <t>ΑΙ627677</t>
  </si>
  <si>
    <t>ΑΖ457300</t>
  </si>
  <si>
    <t>ΧΑΝΔΡΑΚΗ</t>
  </si>
  <si>
    <t>ΑΗ459016</t>
  </si>
  <si>
    <t>ΑΑ440237</t>
  </si>
  <si>
    <t>ΑΟ883681</t>
  </si>
  <si>
    <t>ΚΑΚΟΥΡΑ</t>
  </si>
  <si>
    <t>ΑΒ327700</t>
  </si>
  <si>
    <t>ΣΑΜΠΡΗ ΟΓΛΟΥ</t>
  </si>
  <si>
    <t>ΑΡΖΟΥ</t>
  </si>
  <si>
    <t>ΓΙΛΤΙΖ</t>
  </si>
  <si>
    <t>ΑΝ775122</t>
  </si>
  <si>
    <t>ΑΖ667949</t>
  </si>
  <si>
    <t>ΝΙΚΗΦΟΡΑΚΗ</t>
  </si>
  <si>
    <t>ΕΥΤΥΧΙΑ ΜΑΡΙΑ</t>
  </si>
  <si>
    <t>ΑΙ942229</t>
  </si>
  <si>
    <t>ΑΒ843794</t>
  </si>
  <si>
    <t>ΤΖΙΚΟΠΟΥΛΟΥ</t>
  </si>
  <si>
    <t>ΑΙ720959</t>
  </si>
  <si>
    <t>ΚΑΡΑΚΑΡΗ</t>
  </si>
  <si>
    <t>Χ246757</t>
  </si>
  <si>
    <t>ΑΒ061825</t>
  </si>
  <si>
    <t>1:Βασικός Τίτλος</t>
  </si>
  <si>
    <t>2:Δεύτερος τίτλος σπουδών δευτεροβάθμιας ή μεταδευτεροβάθμιας εκπαίδευσης</t>
  </si>
  <si>
    <t>3:Άριστη γνώση ξένης γλώσσας</t>
  </si>
  <si>
    <t>4:Πολύ καλή γνώση ξένης γλώσσας</t>
  </si>
  <si>
    <t>5:Καλή γνώση ξένης γλώσσας</t>
  </si>
  <si>
    <t>6:Συνολική βαθμολογία ξένων γλωσσών</t>
  </si>
  <si>
    <t>7:Γνώση χειρισμού Η/Υ</t>
  </si>
  <si>
    <t>8:Επιμόρφωση Διάρκειας 300</t>
  </si>
  <si>
    <t>9:Σύνολο Ακαδημαϊκών Προσόντων</t>
  </si>
  <si>
    <t>10:Αριθμός Μηνών Εκπαιδευτικής Προϋπηρεσίας</t>
  </si>
  <si>
    <t>11:Βαθμολογία Εκπαιδευτικής Προϋπηρεσίας</t>
  </si>
  <si>
    <t>12:Αριθμός Μηνών Εκπ. Προϋπηρ. σε Δυσπρόσιτες Σχ.Μονάδες</t>
  </si>
  <si>
    <t>13:Βαθμολογία Μηνών Εκπ. Προϋπηρ. σε Δυσπρόσιτες Σχ.Μονάδες</t>
  </si>
  <si>
    <t>14:Αριθμός μηνών εκπ. προϋπηρ. 3μηνης διάρκειας</t>
  </si>
  <si>
    <t>15:Βαθμολογία εκπ. προϋπηρ. 3μηνης διάρκειας</t>
  </si>
  <si>
    <t>16:Αριθμός μηνών εκπ. προϋπηρ. 3μηνης διάρκειας σε δυσπρόσιτες σχ.μονάδες</t>
  </si>
  <si>
    <t>17:Αριθμός μηνών εκπ. προϋπηρ. 3μηνης διάρκειας σε δυσπρόσιτες σχ. μονάδες</t>
  </si>
  <si>
    <t>18:Συνολική βαθμολογία προϋπηρεσίας</t>
  </si>
  <si>
    <t>19:Βαθμολογία ανηλίκων τέκνων</t>
  </si>
  <si>
    <t>20:Βαθμολογία ποσοστού αναπηρίας</t>
  </si>
  <si>
    <t>21:Πιστοποιημένη επάρκεια στην ελληνική νοηματική γλώσσα (ΕΝΓ)</t>
  </si>
  <si>
    <t>ΚΑΤΑΤΑΞΗ ΜΕ ΣΕΙΡΑ ΠΡΟΤΕΡΑΙΟΤΗΤΑΣ ΥΠΟΨΗΦΙΩΝ ΕΚΠΑΙΔΕΥΤΙΚΩΝ ΔΕΥΤ/ΘΜΙΑΣ (ΕΑΕ) – ΠΡΟΚΗΡΥΞΗ 5ΕΑ/2022</t>
  </si>
  <si>
    <t>ΣΕΙΡΑ ΚΑΤΑΤΑΞΗΣ (Α ΕΠΙΚΟΥΡΙΚΟΣ)</t>
  </si>
  <si>
    <t>ΔΕ01.05 ΟΙΚΟΔΟΜΟΙ (ΘΕΣΗ 501)</t>
  </si>
  <si>
    <t>ΚΑΓΚΑΣΙΔΟΥ</t>
  </si>
  <si>
    <t>ΑΝ417198</t>
  </si>
  <si>
    <t>2:Εργασιακή Εμπειρία Στην Ειδικότητα</t>
  </si>
  <si>
    <t>12:Αριθμός Μηνών Εκπ. Προϋπηρ. Σε Δυσπρόσιτες Σχ. Μονάδες</t>
  </si>
  <si>
    <t>13:Βαθμολογία Μηνών Εκπ. Προϋπηρ. Σε Δυσπρόσιτες Σχ. Μονάδες</t>
  </si>
  <si>
    <t>14:Αριθμός Μηνών Εκπ. Προϋπηρ. 3μηνης Διάρκειας</t>
  </si>
  <si>
    <t>15:Βαθμολογία Εκπ. Πρποϋπηρ. 3μηνης Διάρκειας</t>
  </si>
  <si>
    <t>16:Αριθμός Μηνών Εκπ. Προϋπ. 3μηνης Διάρκειας Σε Δυσπρ. Σχ. Μονάδες</t>
  </si>
  <si>
    <t>17:Βαθμολογία Μηνών Εκπ. Προϋπ. 3μηνης Διάρκειας Σε Δυσπρ. Σχ. Μονάδες</t>
  </si>
  <si>
    <t>18:Συνολική Βαθμολογία Προϋπηρεσίας</t>
  </si>
  <si>
    <t>19:Βαθμ. Ανήλικων Τέκνων</t>
  </si>
  <si>
    <t>20:Βαθμ. Ποσοστού Αναπηρίας</t>
  </si>
  <si>
    <t>21:Πιστοποιημένη Επάρκεια στην Ελλ. Νοηματική</t>
  </si>
  <si>
    <t>22:Πιστοποιημένη Παιδαγωγική Επάρκεια</t>
  </si>
  <si>
    <t>ΣΕΙΡΑ ΚΑΤΑΤΑΞΗΣ (ΚΥΡΙΟΣ)</t>
  </si>
  <si>
    <t>ΔΕ01.14 ΚΟΠΤΙΚΗΣ ΡΑΠΤΙΚΗΣ (ΘΕΣΗ 503)</t>
  </si>
  <si>
    <t>ΣΑΡΑΦΗ</t>
  </si>
  <si>
    <t>ΔΗΜΟΚΛΕΙΑ</t>
  </si>
  <si>
    <t>ΑΟ239018</t>
  </si>
  <si>
    <t>ΔΕ01.17 ΚΟΜΜΩΤΙΚΗΣ (ΘΕΣΗ 505)</t>
  </si>
  <si>
    <t>ΑΙ497144</t>
  </si>
  <si>
    <t>ΠΟΛΑΚΗ</t>
  </si>
  <si>
    <t>Ρ833611</t>
  </si>
  <si>
    <t>ΜΠΕΚΙΡΗΣ</t>
  </si>
  <si>
    <t>ΑΜ821931</t>
  </si>
  <si>
    <t>ΓΕΩΡΓΑΤΖΟΓΛΟΥ</t>
  </si>
  <si>
    <t>Σ124550</t>
  </si>
  <si>
    <t>ΦΑΡΣΑΡΗΣ</t>
  </si>
  <si>
    <t>ΑΕ464913</t>
  </si>
  <si>
    <t>ΜΑΘΙΟΥΔΑΚΗ</t>
  </si>
  <si>
    <t>ΚΟΥΛΙΣΗ</t>
  </si>
  <si>
    <t>ΑΕ920697</t>
  </si>
  <si>
    <t>ΚΛΕΟΝΤΑ</t>
  </si>
  <si>
    <t>ΑΖ695979</t>
  </si>
  <si>
    <t>ΚΟΥΙΜΤΖΗ</t>
  </si>
  <si>
    <t>ΑΚ323723</t>
  </si>
  <si>
    <t>ΧΑΤΖΗΙΓΝΑΤΙΑΔΟΥ</t>
  </si>
  <si>
    <t>ΑΑ794412</t>
  </si>
  <si>
    <t>ΚΥΠΑΡΙΣΗΣ</t>
  </si>
  <si>
    <t>Χ409686</t>
  </si>
  <si>
    <t>ΝΤΟΒΑ</t>
  </si>
  <si>
    <t>ΑΒ803244</t>
  </si>
  <si>
    <t>ΔΡΑΓΚΑ</t>
  </si>
  <si>
    <t>ΑΙ196291</t>
  </si>
  <si>
    <t>ΠΕΓΙΟΥ</t>
  </si>
  <si>
    <t>ΑΜ256662</t>
  </si>
  <si>
    <t>ΜΑΝΤΖΟΛΑ</t>
  </si>
  <si>
    <t>ΑΕ364698</t>
  </si>
  <si>
    <t>ΜΟΥΜΟΥΛΙΔΟΥ</t>
  </si>
  <si>
    <t>ΑΕ815374</t>
  </si>
  <si>
    <t>ΧΡΙΣΤΑΝΤΩΝΗ</t>
  </si>
  <si>
    <t>ΑΛΚΙΣΤΗ ΑΘΗΝΑ</t>
  </si>
  <si>
    <t>ΑΖ794318</t>
  </si>
  <si>
    <t>ΓΚΟΥΡΛΑ</t>
  </si>
  <si>
    <t>ΑΒ854441</t>
  </si>
  <si>
    <t>ΦΩΤΑΚΗ</t>
  </si>
  <si>
    <t>Χ734545</t>
  </si>
  <si>
    <t>ΛΟΡΑΝΔΟΥ</t>
  </si>
  <si>
    <t>ΑΟ521180</t>
  </si>
  <si>
    <t>ΑΟ135500</t>
  </si>
  <si>
    <t>ΚΩΤΣΗ</t>
  </si>
  <si>
    <t>Τ096130</t>
  </si>
  <si>
    <t>ΚΑΠΑΝΤΑΙΔΑΚΗ</t>
  </si>
  <si>
    <t>Φ295205</t>
  </si>
  <si>
    <t>ΜΠΑΓΙΝΕΤΑ</t>
  </si>
  <si>
    <t>ΑΟ494585</t>
  </si>
  <si>
    <t>ΚΙΖΕΡΙΔΟΥ</t>
  </si>
  <si>
    <t>ΑΕ917320</t>
  </si>
  <si>
    <t>ΒΑΓΓΕΛΑ</t>
  </si>
  <si>
    <t>ΑΖ691666</t>
  </si>
  <si>
    <t>ΜΑΛΦΑ</t>
  </si>
  <si>
    <t>ΑΙ830561</t>
  </si>
  <si>
    <t>ΒΑΚΡΟΣ</t>
  </si>
  <si>
    <t>ΑΝ230522</t>
  </si>
  <si>
    <t>ΤΣΙΤΣΙΟΥΡΗ</t>
  </si>
  <si>
    <t>ΑΙ833944</t>
  </si>
  <si>
    <t>ΖΙΩΓΑ</t>
  </si>
  <si>
    <t>ΑΗ764579</t>
  </si>
  <si>
    <t>ΚΡΑΤΣΗ</t>
  </si>
  <si>
    <t>ΣΤΑΥΡΟΥΛΑ ΕΥΑΓΓΕΛΙΑ</t>
  </si>
  <si>
    <t>ΑΟ811201</t>
  </si>
  <si>
    <t>ΜΕΝΤΖΟΥ</t>
  </si>
  <si>
    <t>Φ336479</t>
  </si>
  <si>
    <t>ΓΚΟΗ</t>
  </si>
  <si>
    <t>ΑΒ803255</t>
  </si>
  <si>
    <t>ΕΜΠΛΙΟΥΚ</t>
  </si>
  <si>
    <t>ΣΕΜΡΑ</t>
  </si>
  <si>
    <t>ΑΑ451083</t>
  </si>
  <si>
    <t>ΑΟ905457</t>
  </si>
  <si>
    <t>ΑΖ377788</t>
  </si>
  <si>
    <t>ΚΟΤΡΩΤΣΙΟΥ</t>
  </si>
  <si>
    <t>ΑΚ683140</t>
  </si>
  <si>
    <t>ΔΕ02.01 ΗΛΕΚΤΡΟΛΟΓΟΙ-ΗΛΕΚΤΡΟΝΙΚΟΙ (ΘΕΣΗ 506)</t>
  </si>
  <si>
    <t>ΠΕΤΡΙΔΗΣ</t>
  </si>
  <si>
    <t>ΧΑΤΖΗΑΥΓΟΥΣΤΙΔΟΥ</t>
  </si>
  <si>
    <t>ΑΑ869595</t>
  </si>
  <si>
    <t>ΣΚΥΒΑΛΙΔΑΣ</t>
  </si>
  <si>
    <t>ΑΜ365121</t>
  </si>
  <si>
    <t>ΔΩΝΟΣ</t>
  </si>
  <si>
    <t>Λ136788</t>
  </si>
  <si>
    <t>ΒΑΣΙΛΑΚΗΣ</t>
  </si>
  <si>
    <t>Φ819097</t>
  </si>
  <si>
    <t>ΜΠΙΝΙΚΟΣ</t>
  </si>
  <si>
    <t>ΑΒ172828</t>
  </si>
  <si>
    <t>ΜΟΣΧΟΒΙΔΗΣ</t>
  </si>
  <si>
    <t>Τ350791</t>
  </si>
  <si>
    <t>ΔΕ02.02 ΜΗΧΑΝΟΛΟΓΟΙ (ΘΕΣΗ 507)</t>
  </si>
  <si>
    <t>ΚΟΚΚΙΝΑΚΗΣ</t>
  </si>
  <si>
    <t>Χ520179</t>
  </si>
  <si>
    <t>ΔΗΜΗΤΡΑΚΟΠΟΥΛΟΣ</t>
  </si>
  <si>
    <t>ΑΚ838687</t>
  </si>
  <si>
    <t>ΚΟΥΤΟΣ</t>
  </si>
  <si>
    <t>Τ882683</t>
  </si>
  <si>
    <t>ΑΖ321166</t>
  </si>
  <si>
    <t>ΚΑΤΑΤΑΞΗ ΜΕ ΣΕΙΡΑ ΠΡΟΤΕΡΑΙΟΤΗΤΑΣ ΥΠΟΨΗΦΙΩΝ ΜΕΛΩΝ ΕΙΔΙΚΟΥ ΕΚΠΑΙΔΕΥΤΙΚΟΥ ΠΡΟΣΩΠΙΚΟΥ(Ε.Ε.Π.) – ΠΡΟΚΗΡΥΞΗ 2ΕΑ/2022</t>
  </si>
  <si>
    <t>ΠΑΝΕΠΙΣΤΗΜΙΑΚΗΣ ΕΚΠΑΙΔΕΥΣΗΣ (ΠΕ)</t>
  </si>
  <si>
    <t>ΠΕ21 ΘΕΡΑΠΕΥΤΩΝ ΛΟΓΟΥ (ΘΕΣΗ 101)</t>
  </si>
  <si>
    <t>ΚΟΚΟΡΑ</t>
  </si>
  <si>
    <t>ΜΑΥΡΟΓΕΝΗ</t>
  </si>
  <si>
    <t>ΑΑ460219</t>
  </si>
  <si>
    <t>ΑΓΡΟΓΙΑΝΝΗ</t>
  </si>
  <si>
    <t>ΣΕΡΑΦΕΙΝΑ</t>
  </si>
  <si>
    <t>ΑΙ318384</t>
  </si>
  <si>
    <t>ΚΟΤΣΙΜΠΕΛΗ</t>
  </si>
  <si>
    <t>ΡΕΝΤΙ</t>
  </si>
  <si>
    <t>ΠΕΤΡΙΤ</t>
  </si>
  <si>
    <t>ΑΙ901422</t>
  </si>
  <si>
    <t>ΓΚΟΤΖΙΑΜΑΝΗ</t>
  </si>
  <si>
    <t>ΑΜ917793</t>
  </si>
  <si>
    <t>ΖΑΡΟΚΑΝΕΛΛΟΥ</t>
  </si>
  <si>
    <t>ΑΜ098683</t>
  </si>
  <si>
    <t>ΑΚ893993</t>
  </si>
  <si>
    <t>ΒΟΛΝΑ</t>
  </si>
  <si>
    <t>ΑΜ273724</t>
  </si>
  <si>
    <t>ΑΜ776886</t>
  </si>
  <si>
    <t>ΚΟΝΟΣΙΔΟΥ</t>
  </si>
  <si>
    <t>ΙΝΝΑ</t>
  </si>
  <si>
    <t>ΑΑ338912</t>
  </si>
  <si>
    <t>ΑΡ082424</t>
  </si>
  <si>
    <t>Φ208540</t>
  </si>
  <si>
    <t>ΑΖ756921</t>
  </si>
  <si>
    <t>Χ305987</t>
  </si>
  <si>
    <t>ΚΑΤΑΚΗ</t>
  </si>
  <si>
    <t>ΑΖ976308</t>
  </si>
  <si>
    <t>ΠΑΠΑΔΑΚΗΣ</t>
  </si>
  <si>
    <t>ΤΖΟΒΑΝΑ</t>
  </si>
  <si>
    <t>ΑΒ757851</t>
  </si>
  <si>
    <t>ΝΙΚΟΛΙΑΣ</t>
  </si>
  <si>
    <t>ΑΟ010956</t>
  </si>
  <si>
    <t>Χ360229</t>
  </si>
  <si>
    <t>ΑΕ427369</t>
  </si>
  <si>
    <t>ΒΕΝΕΤΗΣ</t>
  </si>
  <si>
    <t>ΑΜ431279</t>
  </si>
  <si>
    <t>ΦΕΡΚΟ</t>
  </si>
  <si>
    <t>ΕΝΒΕΡ</t>
  </si>
  <si>
    <t>ΑΙ762211</t>
  </si>
  <si>
    <t>ΑΜ899547</t>
  </si>
  <si>
    <t>ΦΡΑΓΚΟΥΛΟΠΟΥΛΟΥ</t>
  </si>
  <si>
    <t>ΑΙ594213</t>
  </si>
  <si>
    <t>ΤΖΕΛΑΛΗ</t>
  </si>
  <si>
    <t>ΑΜ667174</t>
  </si>
  <si>
    <t>ΤΥΡΙΑΚΙΔΗ</t>
  </si>
  <si>
    <t>ΑΑ440841</t>
  </si>
  <si>
    <t>ΛΙΟΚΟΥ</t>
  </si>
  <si>
    <t>ΑΝ203656</t>
  </si>
  <si>
    <t>ΑΕ274670</t>
  </si>
  <si>
    <t>ΣΤΑΜΑΤΗ</t>
  </si>
  <si>
    <t>Φ202646</t>
  </si>
  <si>
    <t>ΑΕ764937</t>
  </si>
  <si>
    <t>ΛΕΚΚΑ</t>
  </si>
  <si>
    <t>ΜΑΡΙΑ ΜΑΝΤΑΛΕΝΑ</t>
  </si>
  <si>
    <t>ΑΗ441574</t>
  </si>
  <si>
    <t>ΝΑΖΕΡΑΚΗ</t>
  </si>
  <si>
    <t>Χ280983</t>
  </si>
  <si>
    <t>ΓΚΑΡΑΒΕΛΗ</t>
  </si>
  <si>
    <t>Φ293007</t>
  </si>
  <si>
    <t>ΚΟΣΚΙΝΑ</t>
  </si>
  <si>
    <t>ΧΡΙΣΤΙΝΑ ΑΝΔΡΙΑΝΑ</t>
  </si>
  <si>
    <t>ΑΟ653457</t>
  </si>
  <si>
    <t>ΑΒ108080</t>
  </si>
  <si>
    <t>ΑΡ079781</t>
  </si>
  <si>
    <t>ΜΠΑΛΚΑΜΟΥ</t>
  </si>
  <si>
    <t>ΛΟΥΛΑ ΕΛΕΥΘΕΡΙΑ</t>
  </si>
  <si>
    <t>ΑΒ385271</t>
  </si>
  <si>
    <t>ΡΕΝΤΖΙΑ</t>
  </si>
  <si>
    <t>ΑΝΑΣΤΑΣΙΑ ΕΙΡΗΝΗ</t>
  </si>
  <si>
    <t>ΑΒ102672</t>
  </si>
  <si>
    <t>ΣΤΡΕΠΚΟΥ</t>
  </si>
  <si>
    <t>ΑΑ469182</t>
  </si>
  <si>
    <t>ΓΑΡΔΙΚΗ</t>
  </si>
  <si>
    <t>ΕΙΡΗΝΗ ΧΡΥΣΟΒΑΛΑΝΤΟΥ</t>
  </si>
  <si>
    <t>ΑΝ616973</t>
  </si>
  <si>
    <t>ΑΖ033705</t>
  </si>
  <si>
    <t>ΑΝ420709</t>
  </si>
  <si>
    <t>ΔΕΛΗ</t>
  </si>
  <si>
    <t>ΑΖ335113</t>
  </si>
  <si>
    <t>ΑΝ126761</t>
  </si>
  <si>
    <t>ΤΣΑΡΑΓΚΛΗ</t>
  </si>
  <si>
    <t>ΑΖ367864</t>
  </si>
  <si>
    <t>ΑΟ821138</t>
  </si>
  <si>
    <t>ΣΤΟΛΙΔΗ</t>
  </si>
  <si>
    <t>ΑΑ084896</t>
  </si>
  <si>
    <t>ΣΚΟΥΛΑΡΟΠΟΥΛΟΥ</t>
  </si>
  <si>
    <t>ΑΗ306344</t>
  </si>
  <si>
    <t>ΑΙ665180</t>
  </si>
  <si>
    <t>ΑΒ789852</t>
  </si>
  <si>
    <t>ΣΑΚΕΛΛΑΡΙΟΥ</t>
  </si>
  <si>
    <t>ΑΜ389186</t>
  </si>
  <si>
    <t>ΑΙ429432</t>
  </si>
  <si>
    <t>ΥΨΗΛΑΝΤΗ</t>
  </si>
  <si>
    <t>ΑΒ857085</t>
  </si>
  <si>
    <t>ΑΒ682214</t>
  </si>
  <si>
    <t>ΣΤΡΙΚΟΥ</t>
  </si>
  <si>
    <t>ΑΜ255632</t>
  </si>
  <si>
    <t>ΣΤΟΓΙΑΝΝΙΔΟΥ</t>
  </si>
  <si>
    <t>ΑΖ428271</t>
  </si>
  <si>
    <t>ΧΟΥΜΑ</t>
  </si>
  <si>
    <t>Φ250969</t>
  </si>
  <si>
    <t>ΠΑΓΑΝΗ</t>
  </si>
  <si>
    <t>ΑΒ509621</t>
  </si>
  <si>
    <t>ΗΛΙΑΚΗ</t>
  </si>
  <si>
    <t>ΧΡΥΣΗΙΔΑ</t>
  </si>
  <si>
    <t>ΑΝ062285</t>
  </si>
  <si>
    <t>ΝΟΥΣΙΑ</t>
  </si>
  <si>
    <t>Χ364526</t>
  </si>
  <si>
    <t>ΤΣΑΤΣΑ</t>
  </si>
  <si>
    <t>ΑΕ320237</t>
  </si>
  <si>
    <t>ΓΡΑΤΣΑΝΗ</t>
  </si>
  <si>
    <t>ΑΖ014508</t>
  </si>
  <si>
    <t>ΘΕΟΛΙΑ</t>
  </si>
  <si>
    <t>ΑΕ902531</t>
  </si>
  <si>
    <t>ΜΠΑΡΑΜΠΑΤΗ</t>
  </si>
  <si>
    <t>ΑΟ155530</t>
  </si>
  <si>
    <t>ΜΠΙΛΙΤΣΑΚΗ</t>
  </si>
  <si>
    <t>ΑΕ322721</t>
  </si>
  <si>
    <t>ΚΟΣΕΟΓΛΟΥ ΤΣΕΝΤΙΔΟΥ</t>
  </si>
  <si>
    <t>ΑΜ295365</t>
  </si>
  <si>
    <t>ΑΑ317180</t>
  </si>
  <si>
    <t>ΑΙ812454</t>
  </si>
  <si>
    <t>Χ781787</t>
  </si>
  <si>
    <t>ΑΑ335542</t>
  </si>
  <si>
    <t>ΚΟΝΤΡΑΦΟΥΡΗ</t>
  </si>
  <si>
    <t>ΑΡΙΣΤΕΑ</t>
  </si>
  <si>
    <t>ΑΚ367661</t>
  </si>
  <si>
    <t>ΜΑΚΗ</t>
  </si>
  <si>
    <t>Φ461085</t>
  </si>
  <si>
    <t>ΜΠΑΡΙΝΗ</t>
  </si>
  <si>
    <t>Σ307591</t>
  </si>
  <si>
    <t>ΚΛΗΜΕΝΤΙΔΟΥ</t>
  </si>
  <si>
    <t>ΑΗ305665</t>
  </si>
  <si>
    <t>ΤΣΩΝΟΥ</t>
  </si>
  <si>
    <t>ΑΡ005355</t>
  </si>
  <si>
    <t>ΤΕΚΕΔΗ</t>
  </si>
  <si>
    <t>ΑΜ823004</t>
  </si>
  <si>
    <t>ΑΡΤΕΜΙΑΔΟΥ</t>
  </si>
  <si>
    <t>Ρ083444</t>
  </si>
  <si>
    <t>ΚΑΡΑΒΙΔΕ</t>
  </si>
  <si>
    <t>ΑΝ861686</t>
  </si>
  <si>
    <t xml:space="preserve">ΔΗΜΗΤΡΑΚΟΠΟΥΛΟΥ </t>
  </si>
  <si>
    <t>ΑΑ321908</t>
  </si>
  <si>
    <t>ΜΠΑΜΠΑΤΣΟΥ</t>
  </si>
  <si>
    <t>ΑΒ134534</t>
  </si>
  <si>
    <t>ΚΑΛΛΙΟΠΗ ΕΥΑΓΓΕΛΙΑ</t>
  </si>
  <si>
    <t>Χ866764</t>
  </si>
  <si>
    <t>ΜΑΡΤΣΑΚΗ</t>
  </si>
  <si>
    <t>Χ993519</t>
  </si>
  <si>
    <t>ΜΩΡΑΙΤΟΥ</t>
  </si>
  <si>
    <t>ΑΕ542893</t>
  </si>
  <si>
    <t>ΠΛΩΜΑΡΙΤΗΣ</t>
  </si>
  <si>
    <t>ΑΗ788555</t>
  </si>
  <si>
    <t>ΝΤΙΝΑ</t>
  </si>
  <si>
    <t>ΑΖ369420</t>
  </si>
  <si>
    <t>ΧΑΡΙΤΙΝΗ</t>
  </si>
  <si>
    <t>ΑΚ016679</t>
  </si>
  <si>
    <t>ΑΜ105860</t>
  </si>
  <si>
    <t xml:space="preserve">ΑΝΤΩΝΙΟΥ </t>
  </si>
  <si>
    <t>ΑΖ786519</t>
  </si>
  <si>
    <t>ΒΑΡΒΑΡΑ ΒΑΣΙΛΙΚΗ</t>
  </si>
  <si>
    <t>ΑΙ527665</t>
  </si>
  <si>
    <t>ΑΗ899728</t>
  </si>
  <si>
    <t>ΚΟΥΤΣΙΟΥΚΗ</t>
  </si>
  <si>
    <t>ΑΒ435104</t>
  </si>
  <si>
    <t>ΑΗ850147</t>
  </si>
  <si>
    <t>ΚΟΥΤΣΟΓΙΑΝΝΗ</t>
  </si>
  <si>
    <t>ΑΚ097533</t>
  </si>
  <si>
    <t>ΚΟΡΔΕΛΑΣ</t>
  </si>
  <si>
    <t>ΑΝ467543</t>
  </si>
  <si>
    <t>Χ894714</t>
  </si>
  <si>
    <t>ΜΟΥΤΟΥΣΙΔΟΥ</t>
  </si>
  <si>
    <t>ΑΕ814208</t>
  </si>
  <si>
    <t>ΑΖ686037</t>
  </si>
  <si>
    <t>ΣΚΟΥΛΟΥΔΑΚΗ</t>
  </si>
  <si>
    <t>ΑΝ431996</t>
  </si>
  <si>
    <t>ΓΡΑΜΜΕΝΟΥΔΗ</t>
  </si>
  <si>
    <t>ΑΙ163011</t>
  </si>
  <si>
    <t>ΠΙΝΑΛΗΣ</t>
  </si>
  <si>
    <t>ΑΑ934504</t>
  </si>
  <si>
    <t>ΚΩΣΤΑΡΙΔΗ</t>
  </si>
  <si>
    <t>ΑΟ713098</t>
  </si>
  <si>
    <t>ΠΑΓΚΑΚΗ</t>
  </si>
  <si>
    <t>Χ731012</t>
  </si>
  <si>
    <t>ΤΣΙΡΩΝΗ</t>
  </si>
  <si>
    <t>ΑΑ380545</t>
  </si>
  <si>
    <t>ΑΕ977357</t>
  </si>
  <si>
    <t>ΣΥΜΕΩΝΙΔΟΥ</t>
  </si>
  <si>
    <t>ΑΝ757313</t>
  </si>
  <si>
    <t>ΚΩΤΣΙΑ</t>
  </si>
  <si>
    <t>ΑΗ209865</t>
  </si>
  <si>
    <t>ΓΚΟΥΛΓΚΟΥΤΣΙΚΑ</t>
  </si>
  <si>
    <t>Χ240906</t>
  </si>
  <si>
    <t>ΑΝΕΣΤΟΠΟΥΛΟΥ</t>
  </si>
  <si>
    <t>ΑΖ061976</t>
  </si>
  <si>
    <t>ΑΒ018714</t>
  </si>
  <si>
    <t>ΑΜ744752</t>
  </si>
  <si>
    <t>ΓΚΥΖΗ</t>
  </si>
  <si>
    <t>Χ705593</t>
  </si>
  <si>
    <t>ΚΟΛΥΒΑΚΗ</t>
  </si>
  <si>
    <t>ΜΙΡΕΛΑ</t>
  </si>
  <si>
    <t>ΑΜ374863</t>
  </si>
  <si>
    <t>ΚΟΖΑΔΙΝΟΥ</t>
  </si>
  <si>
    <t>ΑΝ089772</t>
  </si>
  <si>
    <t>Χ005082</t>
  </si>
  <si>
    <t>ΕΥΡΥΔΙΚΗ</t>
  </si>
  <si>
    <t>ΑΒ253506</t>
  </si>
  <si>
    <t>ΤΣΙΑΠΑΛΗ</t>
  </si>
  <si>
    <t>ΑΒ548921</t>
  </si>
  <si>
    <t>ΜΕΓΓΙΣΟΓΛΟΥ</t>
  </si>
  <si>
    <t>ΑΙ258005</t>
  </si>
  <si>
    <t>ΚΑΛΑΦΑΤΗ</t>
  </si>
  <si>
    <t>ΑΜ555168</t>
  </si>
  <si>
    <t>ΑΜΠΑΖΗ</t>
  </si>
  <si>
    <t>ΑΟ043078</t>
  </si>
  <si>
    <t>ΑΡΑΜΠΑΤΖΗΣ</t>
  </si>
  <si>
    <t>ΑΕ835938</t>
  </si>
  <si>
    <t>ΦΑΚΙΤΣΑ</t>
  </si>
  <si>
    <t>ΕΙΡΗΝΗ ΖΩΗ</t>
  </si>
  <si>
    <t>ΑΙ287018</t>
  </si>
  <si>
    <t>ΛΙΑΣΚΑ</t>
  </si>
  <si>
    <t>Ρ842827</t>
  </si>
  <si>
    <t>ΛΙΒΕΡΗΣ</t>
  </si>
  <si>
    <t>ΑΚ381700</t>
  </si>
  <si>
    <t>ΚΟΤΖΑΜΠΑΣΟΥΛΗΣ</t>
  </si>
  <si>
    <t>ΑΜ820563</t>
  </si>
  <si>
    <t>ΚΑΚΚΙΔΟΥ ΜΑΝΔΥΛΑ</t>
  </si>
  <si>
    <t>ΑΝ732237</t>
  </si>
  <si>
    <t>ΑΒ620919</t>
  </si>
  <si>
    <t>Χ344709</t>
  </si>
  <si>
    <t>ΓΕΡΑΣΗ</t>
  </si>
  <si>
    <t>ΑΙ326919</t>
  </si>
  <si>
    <t>ΧΟΥΛΕΒΑ</t>
  </si>
  <si>
    <t>ΑΗ764418</t>
  </si>
  <si>
    <t>ΤΣΕΒΟΠΟΥΛΟΥ</t>
  </si>
  <si>
    <t>Σ356186</t>
  </si>
  <si>
    <t>Χ378242</t>
  </si>
  <si>
    <t>ΤΑΜΠΑΚΗ</t>
  </si>
  <si>
    <t>ΑΟ820471</t>
  </si>
  <si>
    <t>ΘΕΟΔΩΡΑΚΟΥ</t>
  </si>
  <si>
    <t>ΑΝ235335</t>
  </si>
  <si>
    <t>ΑΙ207950</t>
  </si>
  <si>
    <t>ΜΠΑΡΛΕΤΗ</t>
  </si>
  <si>
    <t>ΑΗ618566</t>
  </si>
  <si>
    <t>ΠΑΠΑΔΑΝΙΗΛ</t>
  </si>
  <si>
    <t>ΑΖ352248</t>
  </si>
  <si>
    <t>Χ118423</t>
  </si>
  <si>
    <t>ΚΑΤΣΗ</t>
  </si>
  <si>
    <t xml:space="preserve">ΣΩΤΗΡΙΑΝΝΑ ΡΑΦΑΕΛΑ </t>
  </si>
  <si>
    <t>ΑΑ257756</t>
  </si>
  <si>
    <t>ΣΤΡΑΤΙΔΟΥ</t>
  </si>
  <si>
    <t>ΑΑ956264</t>
  </si>
  <si>
    <t>ΜΠΑΡΜΠΟΠΟΥΛΟΥ</t>
  </si>
  <si>
    <t>ΟΥΡΑΝΙΑ ΑΛΕΞΑΝΔΡΑ</t>
  </si>
  <si>
    <t>ΑΖ226929</t>
  </si>
  <si>
    <t>ΑΚ375191</t>
  </si>
  <si>
    <t>ΑΒΑΡΣΑΜΗΣ</t>
  </si>
  <si>
    <t>Ξ585564</t>
  </si>
  <si>
    <t xml:space="preserve">ΜΙΧΑΛΟΠΟΥΛΟΥ </t>
  </si>
  <si>
    <t xml:space="preserve">ΕΙΡΗΝΗ ΛΗΔΑ </t>
  </si>
  <si>
    <t>ΑΒ052106</t>
  </si>
  <si>
    <t>ΦΑΚΙΝΟΥ</t>
  </si>
  <si>
    <t>ΑΟ069264</t>
  </si>
  <si>
    <t>ΔΡΑΚΟΥΛΑΚΗ</t>
  </si>
  <si>
    <t>Χ706063</t>
  </si>
  <si>
    <t>ΚΟΥΚΟΡΕΜΠΑ</t>
  </si>
  <si>
    <t>Χ270023</t>
  </si>
  <si>
    <t>Χ898772</t>
  </si>
  <si>
    <t>ΤΖΑΛΑ</t>
  </si>
  <si>
    <t>ΑΖ274003</t>
  </si>
  <si>
    <t>ΣΚΑΜΑΝΤΖΟΥΡΑ</t>
  </si>
  <si>
    <t>ΑΑ378614</t>
  </si>
  <si>
    <t>ΦΕΡΕΝΤΙΝΟΥ</t>
  </si>
  <si>
    <t>ΑΗ742972</t>
  </si>
  <si>
    <t>ΑΙΜΙΛΙΟΣ</t>
  </si>
  <si>
    <t>ΑΒ441765</t>
  </si>
  <si>
    <t>ΚΑΤΣΑΙΤΗ</t>
  </si>
  <si>
    <t>Φ438984</t>
  </si>
  <si>
    <t>ΣΚΟΥΛΙΚΑΡΗ</t>
  </si>
  <si>
    <t>ΙΩΑΝΝΗΣ ΓΕΩΡΓΙΟΣ</t>
  </si>
  <si>
    <t>Χ350404</t>
  </si>
  <si>
    <t>ΑΕ302728</t>
  </si>
  <si>
    <t>ΑΓΓΕΛΕΤΟΠΟΥΛΟΥ</t>
  </si>
  <si>
    <t>ΑΟ713011</t>
  </si>
  <si>
    <t>ΓΚΙΛΙΑ</t>
  </si>
  <si>
    <t>ΜΑΓΔΑΛΗΝΗ ΓΕΩΡΓΙΑ</t>
  </si>
  <si>
    <t>ΑΙ330732</t>
  </si>
  <si>
    <t>ΚΟΥΛΜΑΝΔΑ</t>
  </si>
  <si>
    <t>ΝΙΚΗ ΜΑΡΙΑ</t>
  </si>
  <si>
    <t>ΑΜ150257</t>
  </si>
  <si>
    <t>ΒΡΑΝΑ</t>
  </si>
  <si>
    <t xml:space="preserve">ΚΥΡΙΑΚΟΣ </t>
  </si>
  <si>
    <t>ΑΙ455179</t>
  </si>
  <si>
    <t>ΧΑΤΖΗΓΙΑΝΝΑΚΗΣ</t>
  </si>
  <si>
    <t>ΑΖ927725</t>
  </si>
  <si>
    <t>ΔΕΛΗΒΟΡΙΑ ΔΗΜΑΡΕΛΟΥ</t>
  </si>
  <si>
    <t>ΧΡΙΣΤΙΝΑ ΑΛΙΚΗ</t>
  </si>
  <si>
    <t>ΑΝ487405</t>
  </si>
  <si>
    <t>Χ351220</t>
  </si>
  <si>
    <t>ΤΣΟΥΤΣΑ</t>
  </si>
  <si>
    <t>ΑΟ161195</t>
  </si>
  <si>
    <t>ΣΠΥΡΙΔΩΝΙΔΟΥ</t>
  </si>
  <si>
    <t>ΑΖ192509</t>
  </si>
  <si>
    <t>ΑΝΤΩΝΟΠΟΥΛΟΥ</t>
  </si>
  <si>
    <t>ΑΟ296980</t>
  </si>
  <si>
    <t>ΚΑΒΑΚΙΔΟΥ</t>
  </si>
  <si>
    <t>ΑΚ290710</t>
  </si>
  <si>
    <t>ΚΡΕΜΑΣΤΙΩΤΗ</t>
  </si>
  <si>
    <t>ΦΩΤΕΙΝΗ ΜΟΝΙΚΑ</t>
  </si>
  <si>
    <t>ΑΕ750160</t>
  </si>
  <si>
    <t>Φ286954</t>
  </si>
  <si>
    <t>ΑΖ722088</t>
  </si>
  <si>
    <t>ΠΑΡΘΕΝΙΑ</t>
  </si>
  <si>
    <t>ΑΙ816560</t>
  </si>
  <si>
    <t>ΤΗΛΑΒΕΡΙΔΟΥ</t>
  </si>
  <si>
    <t>ΑΖ650654</t>
  </si>
  <si>
    <t>ΑΡΓΥΡΟΥΛΗ</t>
  </si>
  <si>
    <t>ΚΩΝΣΤΑΤΙΝΟΣ</t>
  </si>
  <si>
    <t>ΑΒ408756</t>
  </si>
  <si>
    <t>ΑΦΑΝΤΕΝΟΥ</t>
  </si>
  <si>
    <t>ΑΖ955497</t>
  </si>
  <si>
    <t>ΓΑΒΡΙΛΟΥ</t>
  </si>
  <si>
    <t>ΑΗ101416</t>
  </si>
  <si>
    <t>ΑΚ048343</t>
  </si>
  <si>
    <t>ΜΠΑΚΑΣΤΑΘΗ</t>
  </si>
  <si>
    <t>ΑΛΚΗΣΤΙΣ</t>
  </si>
  <si>
    <t>ΑΜ734800</t>
  </si>
  <si>
    <t>ΑΘΑΝΑΣΙΑΔΗ</t>
  </si>
  <si>
    <t>ΑΕ747060</t>
  </si>
  <si>
    <t>ΤΥΡΟΓΑΛΑ</t>
  </si>
  <si>
    <t>ΑΜ580926</t>
  </si>
  <si>
    <t>ΑΙ242033</t>
  </si>
  <si>
    <t>ΑΗ676649</t>
  </si>
  <si>
    <t>ΖΥΓΟΥΡΗ</t>
  </si>
  <si>
    <t>Φ121315</t>
  </si>
  <si>
    <t>ΔΗΜΠΑΛΑ</t>
  </si>
  <si>
    <t>ΑΕ366557</t>
  </si>
  <si>
    <t>ΑΡ419946</t>
  </si>
  <si>
    <t>ΚΡΙΤΣΩΛΗ</t>
  </si>
  <si>
    <t>ΑΗ692010</t>
  </si>
  <si>
    <t>ΣΩΤΗΡΟΠΟΥΛΟΣ</t>
  </si>
  <si>
    <t>ΑΒ627005</t>
  </si>
  <si>
    <t>ΒΑΣΙΛΕΙΑΔΗΣ</t>
  </si>
  <si>
    <t>ΑΒ438085</t>
  </si>
  <si>
    <t>ΜΙΧΑΛΗ</t>
  </si>
  <si>
    <t>ΑΙ838026</t>
  </si>
  <si>
    <t>ΜΠΕΚΡΗ</t>
  </si>
  <si>
    <t>ΑΖ009754</t>
  </si>
  <si>
    <t>Σ572977</t>
  </si>
  <si>
    <t>ΑΚ483263</t>
  </si>
  <si>
    <t>ΚΑΛΑΦΑΤΑ</t>
  </si>
  <si>
    <t>ΑΕ563449</t>
  </si>
  <si>
    <t>ΑΙ940865</t>
  </si>
  <si>
    <t>ΡΩΤΑ</t>
  </si>
  <si>
    <t>Χ585692</t>
  </si>
  <si>
    <t>ΑΟ900170</t>
  </si>
  <si>
    <t>ΜΕΡΑΝΤΖΑ</t>
  </si>
  <si>
    <t>ΑΜ190145</t>
  </si>
  <si>
    <t>ΑΑ438518</t>
  </si>
  <si>
    <t>ΧΑΣΟΥΡΑΚΗ</t>
  </si>
  <si>
    <t>ΑΗ965268</t>
  </si>
  <si>
    <t>ΜΠΟΥΓΙΟΤΟΠΟΥΛΟΥ</t>
  </si>
  <si>
    <t>ΑΜ121252</t>
  </si>
  <si>
    <t>ΚΟΡΦΙΑ</t>
  </si>
  <si>
    <t xml:space="preserve">ΚΑΛΛΙΟΠΗ </t>
  </si>
  <si>
    <t>ΑΒ178930</t>
  </si>
  <si>
    <t>ΤΣΕΡΓΑ</t>
  </si>
  <si>
    <t>ΑΕ800372</t>
  </si>
  <si>
    <t>ΑΝ034141</t>
  </si>
  <si>
    <t>ΚΑΡΟΥΜΠΗ</t>
  </si>
  <si>
    <t>ΑΙ981690</t>
  </si>
  <si>
    <t>ΙΑΣΩΝ</t>
  </si>
  <si>
    <t>ΑΖ293989</t>
  </si>
  <si>
    <t>ΑΡ403517</t>
  </si>
  <si>
    <t>ΓΙΑΝΝΟΥΤΑΚΗ</t>
  </si>
  <si>
    <t>ΑΝ831397</t>
  </si>
  <si>
    <t>ΣΙΓΑΝΟΥ</t>
  </si>
  <si>
    <t>ΖΑΦΕΙΡΙΑ</t>
  </si>
  <si>
    <t>ΑΖ209326</t>
  </si>
  <si>
    <t>ΠΟΥΡΛΙΑΚΑ</t>
  </si>
  <si>
    <t>ΑΙ323409</t>
  </si>
  <si>
    <t>ΤΑΟΥΣΙΑΝΗΣ</t>
  </si>
  <si>
    <t>ΑΝ703551</t>
  </si>
  <si>
    <t>ΟΘΕΙΤΗ</t>
  </si>
  <si>
    <t>ΡΟΔΟΥΛΑ</t>
  </si>
  <si>
    <t>ΑΝ071207</t>
  </si>
  <si>
    <t>ΜΗΤΣΟΥ</t>
  </si>
  <si>
    <t>Χ068560</t>
  </si>
  <si>
    <t>ΧΡΙΣΤΟΔΟΥΛΟΠΟΥΛΟΥ</t>
  </si>
  <si>
    <t>ΑΑ321801</t>
  </si>
  <si>
    <t>ΠΑΒΕΛΗ</t>
  </si>
  <si>
    <t>Χ779898</t>
  </si>
  <si>
    <t>ΒΑΝΙΩΤΗ</t>
  </si>
  <si>
    <t>ΑΝ554871</t>
  </si>
  <si>
    <t>ΤΟΚΜΑΚΗ</t>
  </si>
  <si>
    <t>ΑΒ926141</t>
  </si>
  <si>
    <t>ΣΤΡΑΒΟΛΑΙΜΟΥ</t>
  </si>
  <si>
    <t>Χ798544</t>
  </si>
  <si>
    <t>ΓΙΑΝΝΙΟΥ</t>
  </si>
  <si>
    <t>ΑΗ900426</t>
  </si>
  <si>
    <t>ΚΑΛΙΤΣΑ</t>
  </si>
  <si>
    <t>ΑΒ470805</t>
  </si>
  <si>
    <t>ΑΟ427331</t>
  </si>
  <si>
    <t>ΠΡΙΜΗΚΥΡΗ</t>
  </si>
  <si>
    <t>ΑΙ255235</t>
  </si>
  <si>
    <t>ΑΙ344016</t>
  </si>
  <si>
    <t>ΑΜ302399</t>
  </si>
  <si>
    <t>ΣΕΛΙΝΑ ΜΑΡΓΑΡΙΤΑ</t>
  </si>
  <si>
    <t>ΑΗ254047</t>
  </si>
  <si>
    <t>ΑΕ243467</t>
  </si>
  <si>
    <t>ΑΖ213757</t>
  </si>
  <si>
    <t>ΑΗ262182</t>
  </si>
  <si>
    <t>ΑΒ094502</t>
  </si>
  <si>
    <t>ΤΣΟΥΤΗ</t>
  </si>
  <si>
    <t>ΑΟ337824</t>
  </si>
  <si>
    <t>Χ306248</t>
  </si>
  <si>
    <t>ΤΣΟΥΓΚΡΙΑΝΗ</t>
  </si>
  <si>
    <t>ΑΜ741706</t>
  </si>
  <si>
    <t>ΑΖ816870</t>
  </si>
  <si>
    <t>Χ303640</t>
  </si>
  <si>
    <t>ΜΑΚΡΥΝΑΣΙΟΥ</t>
  </si>
  <si>
    <t>ΓΑΡΥΦΑΛΛΟΣ</t>
  </si>
  <si>
    <t>ΑΗ278521</t>
  </si>
  <si>
    <t>ΤΑΣΟΥΔΗ</t>
  </si>
  <si>
    <t>ΜΑΡΙΑ ΣΟΦΙΑ</t>
  </si>
  <si>
    <t>ΑΖ086315</t>
  </si>
  <si>
    <t>ΤΣΙΓΚΑ</t>
  </si>
  <si>
    <t>ΑΕ382212</t>
  </si>
  <si>
    <t>ΦΙΝΤΙΡΙΚΑΚΗ</t>
  </si>
  <si>
    <t>Χ239559</t>
  </si>
  <si>
    <t>ΚΑΡΟΥΤΑ</t>
  </si>
  <si>
    <t>ΑΑ968104</t>
  </si>
  <si>
    <t>ΣΤΡΑΤΙΝΑΚΗ</t>
  </si>
  <si>
    <t>ΑΡ439461</t>
  </si>
  <si>
    <t>ΜΑΝΤΖΙΑΡΑ</t>
  </si>
  <si>
    <t>ΑΙ808375</t>
  </si>
  <si>
    <t>ΤΑΓΚΑΛΑΚΗ</t>
  </si>
  <si>
    <t>ΜΑΡΙΑ ΦΩΤΕΙΝΗ</t>
  </si>
  <si>
    <t>ΑΝ804762</t>
  </si>
  <si>
    <t>ΑΑ476728</t>
  </si>
  <si>
    <t>ΝΤΟΚΟΥ</t>
  </si>
  <si>
    <t>Χ409374</t>
  </si>
  <si>
    <t>ΚΑΡΑΙΣΚΑ</t>
  </si>
  <si>
    <t>ΑΖ141375</t>
  </si>
  <si>
    <t>ΑΟ399209</t>
  </si>
  <si>
    <t>Χ277707</t>
  </si>
  <si>
    <t>ΚΑΓΙΩΡΓΗ</t>
  </si>
  <si>
    <t>Χ026036</t>
  </si>
  <si>
    <t>ΤΣΟΥΡΜΑ</t>
  </si>
  <si>
    <t>ΝΙΚΟΛΕΤΑ ΑΘΑΝΑΣΙΑ</t>
  </si>
  <si>
    <t>ΑΜ847065</t>
  </si>
  <si>
    <t>ΑΙ764295</t>
  </si>
  <si>
    <t>ΑΚ108750</t>
  </si>
  <si>
    <t>ΑΖ333944</t>
  </si>
  <si>
    <t>ΓΕΡΜΑΝΗ</t>
  </si>
  <si>
    <t>ΑΗ812860</t>
  </si>
  <si>
    <t>ΑΕ255560</t>
  </si>
  <si>
    <t>ΣΑΤΡΑΖΕΜΗ</t>
  </si>
  <si>
    <t>ΑΕ997826</t>
  </si>
  <si>
    <t>ΑΜ351479</t>
  </si>
  <si>
    <t>ΑΥΛΑΚΙΩΤΗ</t>
  </si>
  <si>
    <t>ΑΙ977231</t>
  </si>
  <si>
    <t>ΝΤΟΥΡΑΝΙΔΟΥ</t>
  </si>
  <si>
    <t>ΜΑΡΙΝΑ ΣΟΦΙΑ</t>
  </si>
  <si>
    <t>ΑΖ427872</t>
  </si>
  <si>
    <t>ΝΑΣΟΥΛΗ</t>
  </si>
  <si>
    <t>ΑΑ383164</t>
  </si>
  <si>
    <t>ΛΟΗ</t>
  </si>
  <si>
    <t>ΑΙ023439</t>
  </si>
  <si>
    <t>ΝΤΕΒΕ</t>
  </si>
  <si>
    <t>ΑΟ128864</t>
  </si>
  <si>
    <t>ΑΒ398457</t>
  </si>
  <si>
    <t>ΑΚ519066</t>
  </si>
  <si>
    <t>ΧΡΥΣΟΒΑΛΑΝΤΟΥ ΣΤΕΛΛΑ</t>
  </si>
  <si>
    <t>Χ958642</t>
  </si>
  <si>
    <t xml:space="preserve">ΣΠΥΡΟΣ </t>
  </si>
  <si>
    <t>ΑΗ158754</t>
  </si>
  <si>
    <t>ΑΗ706321</t>
  </si>
  <si>
    <t>ΑΥΤΖΑΛΑΝΙΔΟΥ</t>
  </si>
  <si>
    <t>ΑΑ267728</t>
  </si>
  <si>
    <t>ΠΑΡΑΠΟΔΑ</t>
  </si>
  <si>
    <t>ΑΙ480217</t>
  </si>
  <si>
    <t>Χ296236</t>
  </si>
  <si>
    <t>ΚΩΣΤΑΓΙΑΝΝΗ</t>
  </si>
  <si>
    <t>ΑΕ275626</t>
  </si>
  <si>
    <t>ΛΗΔΑ</t>
  </si>
  <si>
    <t>ΑΙ704946</t>
  </si>
  <si>
    <t>ΑΙ298193</t>
  </si>
  <si>
    <t>ΣΟΥΛΟΥΚΟΥ</t>
  </si>
  <si>
    <t>ΑΙ301290</t>
  </si>
  <si>
    <t>ΑΖ914455</t>
  </si>
  <si>
    <t>ΣΥΜΩΤΑ</t>
  </si>
  <si>
    <t>ΑΕ076367</t>
  </si>
  <si>
    <t>ΚΟΤΣΑΡΙΝΗ</t>
  </si>
  <si>
    <t>ΑΝ837355</t>
  </si>
  <si>
    <t>ΤΡΟΥΛΛΑΚΗ</t>
  </si>
  <si>
    <t>ΦΡΑΝΤΖΗΣ</t>
  </si>
  <si>
    <t>ΧΑΤΖΟΥΛΗ</t>
  </si>
  <si>
    <t>ΑΖ263805</t>
  </si>
  <si>
    <t>ΑΒ172692</t>
  </si>
  <si>
    <t>ΑΒ973515</t>
  </si>
  <si>
    <t>ΚΡΟΚΟΥ</t>
  </si>
  <si>
    <t>ΓΕΩΡΓΙΑ ΑΝΝΑ</t>
  </si>
  <si>
    <t>ΑΖ987670</t>
  </si>
  <si>
    <t>ΑΑ319623</t>
  </si>
  <si>
    <t>ΣΒΟΛΙΑΝΙΤΗ</t>
  </si>
  <si>
    <t>ΑΙ554526</t>
  </si>
  <si>
    <t>ΣΙΑΤΡΑΣ</t>
  </si>
  <si>
    <t>ΑΕ245863</t>
  </si>
  <si>
    <t>ΦΙΔΑΝΑΚΗ</t>
  </si>
  <si>
    <t>ΑΗ415980</t>
  </si>
  <si>
    <t>ΑΙ821323</t>
  </si>
  <si>
    <t>ΜΗΤΣΙΑΚΗ</t>
  </si>
  <si>
    <t>ΚΑΣΣΙΑΝΗ</t>
  </si>
  <si>
    <t>ΑΖ771915</t>
  </si>
  <si>
    <t>ΔΗΛΓΕΡΑΚΗ</t>
  </si>
  <si>
    <t>ΑΒ374604</t>
  </si>
  <si>
    <t>ΧΑΤΖΗΣΑΒΒΑ</t>
  </si>
  <si>
    <t>ΕΡΙΦΥΛΗ</t>
  </si>
  <si>
    <t>ΑΚΙΝΔΥΝΟΣ</t>
  </si>
  <si>
    <t>ΑΖ431536</t>
  </si>
  <si>
    <t>ΔΕΛΗΟΓΛΑΝΗ</t>
  </si>
  <si>
    <t>ΑΖ431723</t>
  </si>
  <si>
    <t>ΠΑΓΑΝΟΠΟΥΛΟΣ</t>
  </si>
  <si>
    <t>ΑΗ261161</t>
  </si>
  <si>
    <t>ΑΜ712313</t>
  </si>
  <si>
    <t>ΑΚ138671</t>
  </si>
  <si>
    <t>ΜΑΝΚΑΡΙΟΥΣ</t>
  </si>
  <si>
    <t>ΜΟΥΡΑΝΤ</t>
  </si>
  <si>
    <t>ΑΝ066880</t>
  </si>
  <si>
    <t>ΑΝ827755</t>
  </si>
  <si>
    <t>ΚΙΣΚΙΝΗ</t>
  </si>
  <si>
    <t>ΑΕ811451</t>
  </si>
  <si>
    <t>ΧΑΙΤΙΔΟΥ</t>
  </si>
  <si>
    <t>ΑΕ849282</t>
  </si>
  <si>
    <t>ΠΑΝΤΕΛΑΙΟΥ</t>
  </si>
  <si>
    <t>ΑΒ175149</t>
  </si>
  <si>
    <t>ΨΑΝΗ</t>
  </si>
  <si>
    <t>ΑΟ010658</t>
  </si>
  <si>
    <t>ΚΑΡΦΑΚΗ</t>
  </si>
  <si>
    <t>Χ798988</t>
  </si>
  <si>
    <t>ΑΚ845003</t>
  </si>
  <si>
    <t>ΣΑΡΡΗΣ</t>
  </si>
  <si>
    <t>ΑΜ249307</t>
  </si>
  <si>
    <t>Χ525418</t>
  </si>
  <si>
    <t>ΚΙΑΦΑ</t>
  </si>
  <si>
    <t>Χ481623</t>
  </si>
  <si>
    <t>ΤΣΑΜΑΣΛΙΔΟΥ</t>
  </si>
  <si>
    <t>ΑΑ823077</t>
  </si>
  <si>
    <t>ΚΑΤΣΙΓΙΑΝΝΗ</t>
  </si>
  <si>
    <t>ΑΕ729960</t>
  </si>
  <si>
    <t>ΜΠΡΑΝΤΗ</t>
  </si>
  <si>
    <t>ΑΑ364726</t>
  </si>
  <si>
    <t>ΑΗ223449</t>
  </si>
  <si>
    <t>Φ054229</t>
  </si>
  <si>
    <t>ΣΙΑΝΤΙΔΟΥ</t>
  </si>
  <si>
    <t>Χ946636</t>
  </si>
  <si>
    <t>ΦΑΡΟΥΠΟΥ</t>
  </si>
  <si>
    <t>ΑΜ598180</t>
  </si>
  <si>
    <t>ΑΝ032914</t>
  </si>
  <si>
    <t>ΝΤΙΜΙΤΡΟΒΑ</t>
  </si>
  <si>
    <t>ΚΡΙΣΤΙΝΑ</t>
  </si>
  <si>
    <t>ΙΒΑΝ</t>
  </si>
  <si>
    <t>ΑΝ812217</t>
  </si>
  <si>
    <t>ΣΑΧΙΝΙΔΟΥ</t>
  </si>
  <si>
    <t>ΑΖ164185</t>
  </si>
  <si>
    <t>ΑΗ768565</t>
  </si>
  <si>
    <t>ΚΟΜΝΗΝΟΥ</t>
  </si>
  <si>
    <t>ΣΙΩΖΟΥ</t>
  </si>
  <si>
    <t>ΑΖ742723</t>
  </si>
  <si>
    <t>ΣΠΑΝΑΚΗ</t>
  </si>
  <si>
    <t>ΑΕ961099</t>
  </si>
  <si>
    <t>ΕΥΦΡΑΙΜΟΓΛΟΥ</t>
  </si>
  <si>
    <t>ΘΕΑΝΩ ΝΙΚΗ</t>
  </si>
  <si>
    <t>ΑΕ324645</t>
  </si>
  <si>
    <t>ΓΕΡΑΝΗ</t>
  </si>
  <si>
    <t>ΑΒ261503</t>
  </si>
  <si>
    <t>ΚΟΜΗ</t>
  </si>
  <si>
    <t>ΣΥΜΜΕΦΟΥΛΑ</t>
  </si>
  <si>
    <t>ΑΖ957703</t>
  </si>
  <si>
    <t>ΑΖ288306</t>
  </si>
  <si>
    <t>ΘΩΜΑΔΗ</t>
  </si>
  <si>
    <t>ΑΕ431485</t>
  </si>
  <si>
    <t>ΑΒ040863</t>
  </si>
  <si>
    <t>ΒΑΚΑΛΟΠΟΥΛΟΥ</t>
  </si>
  <si>
    <t>ΕΥΘΥΜΙΑ ΓΕΩΡΓΙΑ</t>
  </si>
  <si>
    <t>ΑΚ791462</t>
  </si>
  <si>
    <t>ΑΟ975167</t>
  </si>
  <si>
    <t>ΑΗ455983</t>
  </si>
  <si>
    <t>ΚΑΛΑΒΡΕΖΟΥ</t>
  </si>
  <si>
    <t>ΑΗ015944</t>
  </si>
  <si>
    <t>ΣΑΠΟΥΝΑ</t>
  </si>
  <si>
    <t>ΑΒ371876</t>
  </si>
  <si>
    <t>ΜΑΚΡΟΔΟΥΛΗ</t>
  </si>
  <si>
    <t>ΑΙ989533</t>
  </si>
  <si>
    <t>ΠΑΠΑΜΙΧΑΛΟΠΟΥΛΟΥ</t>
  </si>
  <si>
    <t>ΜΑΡΙΑ ΚΛΕΟΠΑΤΡΑ</t>
  </si>
  <si>
    <t>ΑΜ775095</t>
  </si>
  <si>
    <t>ΑΗ325496</t>
  </si>
  <si>
    <t>ΧΡΥΣΟΥΛΗ</t>
  </si>
  <si>
    <t>ΑΒ393022</t>
  </si>
  <si>
    <t>ΚΟΝΤΟΓΙΑΝΝΗ</t>
  </si>
  <si>
    <t>ΑΗ743051</t>
  </si>
  <si>
    <t>ΖΑΡΝΟΜΗΤΡΟΥ</t>
  </si>
  <si>
    <t>ΑΖ718861</t>
  </si>
  <si>
    <t>ΣΤΑΘΟΠΟΥΛΟΣ</t>
  </si>
  <si>
    <t>Φ214883</t>
  </si>
  <si>
    <t>ΚΟΥΦΟΚΩΣΤΑ</t>
  </si>
  <si>
    <t>ΑΜ051415</t>
  </si>
  <si>
    <t>ΑΗ296206</t>
  </si>
  <si>
    <t>ΑΜΠΑΤΖΗ</t>
  </si>
  <si>
    <t>ΑΒ149811</t>
  </si>
  <si>
    <t>ΓΚΙΝΟΣΑΤΗ</t>
  </si>
  <si>
    <t>ΤΣΙΓΚΟΥ</t>
  </si>
  <si>
    <t>ΑΜ112865</t>
  </si>
  <si>
    <t>ΓΚΕΛΗ</t>
  </si>
  <si>
    <t>ΑΜ164674</t>
  </si>
  <si>
    <t>ΦΙΛΟΠΟΙΜΗΝ</t>
  </si>
  <si>
    <t>ΑΒ232995</t>
  </si>
  <si>
    <t>ΝΤΑΝΤΑΜΗΣ</t>
  </si>
  <si>
    <t>ΔΗΜΗΤΡΙΟΣ ΓΕΩΡΓΙΟΣ</t>
  </si>
  <si>
    <t>ΑΖ322004</t>
  </si>
  <si>
    <t>ΨΑΧΟΥΛΙΑ</t>
  </si>
  <si>
    <t>ΑΝ727293</t>
  </si>
  <si>
    <t>ΕΜΕΡΤΖΗ</t>
  </si>
  <si>
    <t>ΑΑ288173</t>
  </si>
  <si>
    <t>Χ879589</t>
  </si>
  <si>
    <t>ΤΣΟΜΟΥ</t>
  </si>
  <si>
    <t>ΘΥΜΙΟΣ</t>
  </si>
  <si>
    <t>ΑΝ802200</t>
  </si>
  <si>
    <t>ΚΑΡΑΓΙΑΝΝΗΣ</t>
  </si>
  <si>
    <t>ΑΒ771928</t>
  </si>
  <si>
    <t>ΚΟΤΣΑΛΙΔΟΥ</t>
  </si>
  <si>
    <t>ΑΗ791049</t>
  </si>
  <si>
    <t>ΜΑΣΤΟΡΟΓΙΑΝΝΗΣ</t>
  </si>
  <si>
    <t>ΑΖ305078</t>
  </si>
  <si>
    <t>ΦΟΥΡΦΟΥΡΗ</t>
  </si>
  <si>
    <t>ΚΡΥΣΤΑΛΕΝΙΑ</t>
  </si>
  <si>
    <t>ΑΖ024268</t>
  </si>
  <si>
    <t>ΒΑΛΑΗ</t>
  </si>
  <si>
    <t>ΑΗ766615</t>
  </si>
  <si>
    <t>ΜΠΟΝΙΑ</t>
  </si>
  <si>
    <t>ΑΧΙΛΛΕΙΑ</t>
  </si>
  <si>
    <t>ΑΒ835189</t>
  </si>
  <si>
    <t>ΑΙ204539</t>
  </si>
  <si>
    <t>ΠΑΓΑΝΟΠΟΥΛΟΥ</t>
  </si>
  <si>
    <t>ΑΗ134486</t>
  </si>
  <si>
    <t>ΧΑΣΙΛΙΔΟΥ</t>
  </si>
  <si>
    <t>Χ953219</t>
  </si>
  <si>
    <t>ΧΑΡΑΛΑΜΠΟΥΣ</t>
  </si>
  <si>
    <t>ΑΗ217749</t>
  </si>
  <si>
    <t>ΣΑΚΑΛΗΣ</t>
  </si>
  <si>
    <t>ΑΗ672987</t>
  </si>
  <si>
    <t>ΔΟΜΝΙΚΗ</t>
  </si>
  <si>
    <t>ΑΖ328974</t>
  </si>
  <si>
    <t>ΔΡΟΥΛΙΑ</t>
  </si>
  <si>
    <t>ΑΝ519971</t>
  </si>
  <si>
    <t>ΤΖΙΜΙΚΟΥ</t>
  </si>
  <si>
    <t>ΑΗ714312</t>
  </si>
  <si>
    <t>ΚΟΥΔΟΥΜΑΚΗ</t>
  </si>
  <si>
    <t>ΑΒ536958</t>
  </si>
  <si>
    <t>ΓΑΡΥΦΑΛΙΑ</t>
  </si>
  <si>
    <t>ΑΜ620211</t>
  </si>
  <si>
    <t>ΟΡΦΑΝΟΥΔΑΚΗ</t>
  </si>
  <si>
    <t>ΑΜ613905</t>
  </si>
  <si>
    <t>ΔΕΛΛΑ</t>
  </si>
  <si>
    <t>Σ174780</t>
  </si>
  <si>
    <t>ΔΑΛΑΚΛΗ</t>
  </si>
  <si>
    <t>ΛΑΓΑΚΗ</t>
  </si>
  <si>
    <t>ΑΝ804948</t>
  </si>
  <si>
    <t>ΨΑΡΟΜΑΛΛΟΥ</t>
  </si>
  <si>
    <t>ΑΝ496918</t>
  </si>
  <si>
    <t>ΜΥΡΟΦΟΡΑ</t>
  </si>
  <si>
    <t>ΘΕΟΦΥΛΑΚΤΟΣ</t>
  </si>
  <si>
    <t>ΑΖ199806</t>
  </si>
  <si>
    <t>ΑΑ395660</t>
  </si>
  <si>
    <t>ΚΑΚΛΑΜΑΝΗ</t>
  </si>
  <si>
    <t>ΑΙ830739</t>
  </si>
  <si>
    <t>ΖΕΡΒΟΥ</t>
  </si>
  <si>
    <t>ΑΜ955916</t>
  </si>
  <si>
    <t>ΓΚΡΙΕΛΑ</t>
  </si>
  <si>
    <t>ΑΝ802415</t>
  </si>
  <si>
    <t>ΜΑΡΑΓΚΑΚΗ</t>
  </si>
  <si>
    <t>ΑΙ019756</t>
  </si>
  <si>
    <t>ΠΑΤΡΙΝΟΥ</t>
  </si>
  <si>
    <t>ΑΒ226301</t>
  </si>
  <si>
    <t>Χ114329</t>
  </si>
  <si>
    <t>ΑΙ778493</t>
  </si>
  <si>
    <t>ΣΚΑΡΠΑ</t>
  </si>
  <si>
    <t>ΑΒ083774</t>
  </si>
  <si>
    <t>ΑΒ106410</t>
  </si>
  <si>
    <t>ΑΝΤΩΝΟΥΔΗ</t>
  </si>
  <si>
    <t>ΑΕ928258</t>
  </si>
  <si>
    <t>ΜΑΥΡΟΠΟΥΛΟΥ ΘΕΟΔΩΡΙΔΟΥ</t>
  </si>
  <si>
    <t>ΑΖ222194</t>
  </si>
  <si>
    <t>ΤΑΛΙΟΥ</t>
  </si>
  <si>
    <t>ΑΑ870575</t>
  </si>
  <si>
    <t>ΑΜ387751</t>
  </si>
  <si>
    <t>ΑΜ774046</t>
  </si>
  <si>
    <t>ΖΑΒΛΑΝΟΥ</t>
  </si>
  <si>
    <t>ΜΥΡΩΝ</t>
  </si>
  <si>
    <t>ΑΙ689831</t>
  </si>
  <si>
    <t>ΖΟΥΡΕΛΛΗ</t>
  </si>
  <si>
    <t>ΑΕ929093</t>
  </si>
  <si>
    <t>ΤΣΕΚΗ</t>
  </si>
  <si>
    <t>ΑΖ900721</t>
  </si>
  <si>
    <t>ΌΛΓΑ</t>
  </si>
  <si>
    <t>ΑΜ784907</t>
  </si>
  <si>
    <t>ΝΙΚΗΦΟΡΟΥ</t>
  </si>
  <si>
    <t>ΑΑ369724</t>
  </si>
  <si>
    <t>ΧΑΤΖΗΠΑΡΑΣΧΟΥ</t>
  </si>
  <si>
    <t>ΚΟΜΝΗΝΗ</t>
  </si>
  <si>
    <t>ΑΗ461684</t>
  </si>
  <si>
    <t>ΤΑΡΑΒΗΡΑ</t>
  </si>
  <si>
    <t>Χ777471</t>
  </si>
  <si>
    <t>ΚΑΡΦΗ</t>
  </si>
  <si>
    <t>ΑΑ393842</t>
  </si>
  <si>
    <t>ΑΝΔΡΕΣΑΚΗ</t>
  </si>
  <si>
    <t>ΑΜ732735</t>
  </si>
  <si>
    <t>ΔΑΧΤΥΛΟΥΔΗ</t>
  </si>
  <si>
    <t>ΕΛΕΝΗ ΣΥΡΜΟΥΛΑ</t>
  </si>
  <si>
    <t>Χ785862</t>
  </si>
  <si>
    <t>ΒΑΡΣΟΥ</t>
  </si>
  <si>
    <t>ΑΜ306835</t>
  </si>
  <si>
    <t>ΚΟΠΑΛΑΣ</t>
  </si>
  <si>
    <t>ΑΜ994317</t>
  </si>
  <si>
    <t>ΚΑΔΑ</t>
  </si>
  <si>
    <t>ΑΕ734038</t>
  </si>
  <si>
    <t>ΚΟΥΜΕΡΤΑ</t>
  </si>
  <si>
    <t>ΑΟ612059</t>
  </si>
  <si>
    <t>ΜΠΑΧΑ</t>
  </si>
  <si>
    <t>ΑΜ109897</t>
  </si>
  <si>
    <t>ΖΕΡΔΕ</t>
  </si>
  <si>
    <t>ΙΟΛΗ</t>
  </si>
  <si>
    <t>ΑΕ151764</t>
  </si>
  <si>
    <t>ΑΝ293057</t>
  </si>
  <si>
    <t>ΜΠΑΚΑΛΟΠΟΥΛΟΥ</t>
  </si>
  <si>
    <t>ΑΖ085484</t>
  </si>
  <si>
    <t>ΓΚΑΒΟΥΝΟΥ</t>
  </si>
  <si>
    <t>ΑΖ924477</t>
  </si>
  <si>
    <t>ΜΥΡΤΩ ΣΤΑΥΡΟΥΛΑ</t>
  </si>
  <si>
    <t>ΑΙ230134</t>
  </si>
  <si>
    <t>ΣΑΡΜΑΝΙΩΤΗ</t>
  </si>
  <si>
    <t>ΑΗ265115</t>
  </si>
  <si>
    <t>ΤΣΙΝΤΖΟΥ</t>
  </si>
  <si>
    <t>Χ932287</t>
  </si>
  <si>
    <t>ΚΟΥΡΟΥΚΛΗ</t>
  </si>
  <si>
    <t>ΑΑ401001</t>
  </si>
  <si>
    <t>ΤΣΟΚΑΝΑ</t>
  </si>
  <si>
    <t>ΑΑ314285</t>
  </si>
  <si>
    <t>ΚΑΣΤΑΜΟΥΛΑ</t>
  </si>
  <si>
    <t>ΜΑΙΡΟΥΛΑ</t>
  </si>
  <si>
    <t>ΑΟ453281</t>
  </si>
  <si>
    <t>ΛΑΣΚΟΥ</t>
  </si>
  <si>
    <t>ΑΙ743887</t>
  </si>
  <si>
    <t>ΑΙ791249</t>
  </si>
  <si>
    <t>ΤΣΙΑΚΟΥ</t>
  </si>
  <si>
    <t>ΑΒ796035</t>
  </si>
  <si>
    <t>ΓΛΑΡΟΥ</t>
  </si>
  <si>
    <t>ΑΒ785972</t>
  </si>
  <si>
    <t>ΤΣΙΛΙΓΓΙΡΗ</t>
  </si>
  <si>
    <t>ΑΙ396167</t>
  </si>
  <si>
    <t>ΑΒ408858</t>
  </si>
  <si>
    <t>ΚΛΕΟΜΕΝΗΣ</t>
  </si>
  <si>
    <t>ΑΖ213844</t>
  </si>
  <si>
    <t>ΓΕΩΡΓΟΠΟΥΛΟΣ</t>
  </si>
  <si>
    <t>Φ304065</t>
  </si>
  <si>
    <t>Χ456307</t>
  </si>
  <si>
    <t>ΒΕΝΙΖΕΛΕΑ</t>
  </si>
  <si>
    <t>ΑΟ635215</t>
  </si>
  <si>
    <t>ΤΖΗΜΑΓΙΩΡΓΗ</t>
  </si>
  <si>
    <t>ΑΕ314692</t>
  </si>
  <si>
    <t>ΑΗ385634</t>
  </si>
  <si>
    <t>ΑΕ828937</t>
  </si>
  <si>
    <t>ΛΙΛΗ</t>
  </si>
  <si>
    <t>ΑΒ781881</t>
  </si>
  <si>
    <t>ΑΝ391267</t>
  </si>
  <si>
    <t>ΚΑΤΟΙΚΟΥ</t>
  </si>
  <si>
    <t>ΑΚ292073</t>
  </si>
  <si>
    <t>ΑΗ203562</t>
  </si>
  <si>
    <t>ΦΛΙΝΟΥ</t>
  </si>
  <si>
    <t>Χ790718</t>
  </si>
  <si>
    <t>ΙΩΑΚΕΙΜΙΔΟΥ ΚΑΤΣΑΝΟΥ</t>
  </si>
  <si>
    <t>ΜΑΡΙΑΛΕΝΗ</t>
  </si>
  <si>
    <t>Φ350155</t>
  </si>
  <si>
    <t>ΜΕΛΑΜΠΙΑΝΑΚΗ</t>
  </si>
  <si>
    <t>ΑΒ480607</t>
  </si>
  <si>
    <t>ΣΟΝΙΑ</t>
  </si>
  <si>
    <t>ΑΜ691930</t>
  </si>
  <si>
    <t>ΚΟΥΤΣΟΝΑΣΙΟΥ</t>
  </si>
  <si>
    <t>ΑΒ317014</t>
  </si>
  <si>
    <t>ΚΤΕΝΙΑΔΑΚΗ</t>
  </si>
  <si>
    <t>ΑΜ585511</t>
  </si>
  <si>
    <t>ΒΙΣΒΙΚΗ</t>
  </si>
  <si>
    <t xml:space="preserve">ΑΘΑΝΑΣΙΟΣ </t>
  </si>
  <si>
    <t>ΜΠΕΗΣ</t>
  </si>
  <si>
    <t>ΑΜ673769</t>
  </si>
  <si>
    <t>ΜΕΛΕΓΚΟΥ</t>
  </si>
  <si>
    <t>ΑΖ862239</t>
  </si>
  <si>
    <t>ΠΑΠΑΛΕΞΗ</t>
  </si>
  <si>
    <t>ΑΚ120594</t>
  </si>
  <si>
    <t>ΒΕΡΡΑ</t>
  </si>
  <si>
    <t xml:space="preserve">ΑΓΓΕΛΙΚΗ </t>
  </si>
  <si>
    <t xml:space="preserve">ΠΑΝΑΓΙΩΤΗΣ </t>
  </si>
  <si>
    <t>ΑΕ720149</t>
  </si>
  <si>
    <t>ΑΒ552607</t>
  </si>
  <si>
    <t>ΚΑΛΠΑΚΙΔΗ</t>
  </si>
  <si>
    <t>ΘΕΟΔΩΡΑ ΑΝΝΑ</t>
  </si>
  <si>
    <t>ΑΗ655175</t>
  </si>
  <si>
    <t>ΑΜ346675</t>
  </si>
  <si>
    <t>ΑΜ730322</t>
  </si>
  <si>
    <t>ΑΗ371935</t>
  </si>
  <si>
    <t>ΑΖ997089</t>
  </si>
  <si>
    <t>ΚΑΡΑΜΙΧΑΛΗ</t>
  </si>
  <si>
    <t>ΑΝ802389</t>
  </si>
  <si>
    <t>ΑΝΔΡΙΚΟΠΟΥΛΟΥ</t>
  </si>
  <si>
    <t>ΑΒ192429</t>
  </si>
  <si>
    <t>ΤΣΙΑΟΥΣΙΔΟΥ</t>
  </si>
  <si>
    <t>ΑΝ208687</t>
  </si>
  <si>
    <t>ΜΑΛΛΙΑΡΟΥ</t>
  </si>
  <si>
    <t>ΘΕΟΠΙΣΤΗ</t>
  </si>
  <si>
    <t>ΑΚ454816</t>
  </si>
  <si>
    <t>ΤΣΩΤΑ</t>
  </si>
  <si>
    <t>Χ777961</t>
  </si>
  <si>
    <t>ΑΚ370458</t>
  </si>
  <si>
    <t>ΠΑΠΑΝΙΚΑ</t>
  </si>
  <si>
    <t>ΑΜ171259</t>
  </si>
  <si>
    <t>ΜΠΑΝΙΑ</t>
  </si>
  <si>
    <t>ΝΕΚΤΑΡΙΟΣ</t>
  </si>
  <si>
    <t>ΠΡΙΦΤΗ</t>
  </si>
  <si>
    <t>ΧΡΥΣΟΠΟΥΛΟΥ</t>
  </si>
  <si>
    <t>ΜΠΕΡΗ</t>
  </si>
  <si>
    <t>ΑΗ617675</t>
  </si>
  <si>
    <t>ΑΚ326099</t>
  </si>
  <si>
    <t>ΚΑΤΣΑΡΑΣ</t>
  </si>
  <si>
    <t>ΑΖ785190</t>
  </si>
  <si>
    <t>ΒΑΚΑΛΟΓΛΟΥ</t>
  </si>
  <si>
    <t>ΑΜ578531</t>
  </si>
  <si>
    <t>ΑΙ882889</t>
  </si>
  <si>
    <t>ΜΠΙΤΣΑΚΑΚΗ</t>
  </si>
  <si>
    <t>Π980823</t>
  </si>
  <si>
    <t>ΣΙΝΓΚ ΤΟΖΑΚΟΥ</t>
  </si>
  <si>
    <t>ΜΑΡΙΑ ΡΑΒΙΝΤΕΡ</t>
  </si>
  <si>
    <t>ΤΖΑΣΠΑΛ</t>
  </si>
  <si>
    <t>ΑΙ272057</t>
  </si>
  <si>
    <t>ΧΕΛΙΔΟΝΗ</t>
  </si>
  <si>
    <t>Χ625489</t>
  </si>
  <si>
    <t>ΚΟΥΤΣΙΑΝΑΣ</t>
  </si>
  <si>
    <t>ΑΜ700185</t>
  </si>
  <si>
    <t>ΘΕΟΔΩΡΑΚΗ</t>
  </si>
  <si>
    <t>ΑΖ459956</t>
  </si>
  <si>
    <t>ΒΡΑΧΟΥΛΑΚΗ</t>
  </si>
  <si>
    <t>Ρ394124</t>
  </si>
  <si>
    <t>ΑΝ004378</t>
  </si>
  <si>
    <t>ΤΑΟΥΣΙΑΝΗ</t>
  </si>
  <si>
    <t>ΑΜ662817</t>
  </si>
  <si>
    <t>ΧΑΤΖΗΑΓΟΡΑΚΗ</t>
  </si>
  <si>
    <t>ΒΙΚΗ</t>
  </si>
  <si>
    <t>Χ224095</t>
  </si>
  <si>
    <t>ΒΙΤΣΑΞΑΚΗΣ</t>
  </si>
  <si>
    <t>ΑΙ954146</t>
  </si>
  <si>
    <t>ΚΥΡΟΥΣΗ</t>
  </si>
  <si>
    <t>ΑΙ010723</t>
  </si>
  <si>
    <t>ΜΥΡΙΔΟΥ</t>
  </si>
  <si>
    <t>ΑΟ904721</t>
  </si>
  <si>
    <t>ΜΙΧΑΛΑΙΝΑ</t>
  </si>
  <si>
    <t>ΑΖ983125</t>
  </si>
  <si>
    <t>ΠΑΠΑΤΖΑΛΑΣ</t>
  </si>
  <si>
    <t>ΑΟ738630</t>
  </si>
  <si>
    <t>ΦΩΤΗ</t>
  </si>
  <si>
    <t>ΑΚ581624</t>
  </si>
  <si>
    <t>ΑΗ504817</t>
  </si>
  <si>
    <t>ΠΡΑΒΙΤΑ</t>
  </si>
  <si>
    <t>ΑΗ383521</t>
  </si>
  <si>
    <t>Ξ659621</t>
  </si>
  <si>
    <t>ΑΤΑΝΑΣΣΟΒΑ</t>
  </si>
  <si>
    <t>ΑΤΑΝΑΣ</t>
  </si>
  <si>
    <t>ΛΟΥΡΟΣ</t>
  </si>
  <si>
    <t>ΑΗ884195</t>
  </si>
  <si>
    <t>ΚΑΒΟΥΡΑ</t>
  </si>
  <si>
    <t>ΑΗ438727</t>
  </si>
  <si>
    <t>ΕΛΕΝΗ ΝΕΦΕΛΗ</t>
  </si>
  <si>
    <t>ΑΒ409227</t>
  </si>
  <si>
    <t>ΚΑΓΚΕΛΙΔΟΥ</t>
  </si>
  <si>
    <t>ΑΝ229489</t>
  </si>
  <si>
    <t>ΧΑΡΟΚΟΠΟΥ</t>
  </si>
  <si>
    <t>ΑΙ472193</t>
  </si>
  <si>
    <t>ΤΣΙΑΡΤΣΙΑΝΙΔΗΣ</t>
  </si>
  <si>
    <t>ΑΕ724173</t>
  </si>
  <si>
    <t>ΤΖΙΩΤΖΟΥ</t>
  </si>
  <si>
    <t>ΒΑΡΒΑΡΑ ΣΟΥΛΤΑΝΑ</t>
  </si>
  <si>
    <t>ΑΚ875391</t>
  </si>
  <si>
    <t>ΦΙΛΙΟΠΟΥΛΟΣ</t>
  </si>
  <si>
    <t>ΑΖ536393</t>
  </si>
  <si>
    <t>ΓΚΟΥΓΚΟΥΣΟΥΔΗΣ</t>
  </si>
  <si>
    <t>Μ702136</t>
  </si>
  <si>
    <t>ΤΕΚΝΗ</t>
  </si>
  <si>
    <t>ΑΕ690149</t>
  </si>
  <si>
    <t>ΑΖ515648</t>
  </si>
  <si>
    <t>ΨΩΡΟΜΥΤΗ</t>
  </si>
  <si>
    <t>ΑΗ207576</t>
  </si>
  <si>
    <t>ΓΚΟΥΝΤΑ</t>
  </si>
  <si>
    <t>ΑΕ510883</t>
  </si>
  <si>
    <t>ΔΑΜΑΣΚΟΣ</t>
  </si>
  <si>
    <t>ΑΡ403128</t>
  </si>
  <si>
    <t>ΑΖ371770</t>
  </si>
  <si>
    <t>ΒΡΕΤΤΑΚΟΣ</t>
  </si>
  <si>
    <t>ΓΕΩΡΓΙΟΣ ΚΛΗΜΗΣ</t>
  </si>
  <si>
    <t>ΑΖ534510</t>
  </si>
  <si>
    <t>ΤΖΗΡΟΥ</t>
  </si>
  <si>
    <t>ΑΗ795054</t>
  </si>
  <si>
    <t>Σ975571</t>
  </si>
  <si>
    <t>ΝΑΣΙΟΥ</t>
  </si>
  <si>
    <t>ΑΒ100632</t>
  </si>
  <si>
    <t>ΚΟΖΥΡΑΚΗΣ</t>
  </si>
  <si>
    <t>ΕΥΜΕΝΙΟΣ</t>
  </si>
  <si>
    <t>ΑΖ689162</t>
  </si>
  <si>
    <t>ΕΛΕΥΘΕΡΙΑΔΗΣ</t>
  </si>
  <si>
    <t>ΑΕ212672</t>
  </si>
  <si>
    <t>ΚΑΛΑΙΤΖΙΔΗΣ</t>
  </si>
  <si>
    <t>ΑΗ313962</t>
  </si>
  <si>
    <t>ΤΣΙΜΠΛΟΥΛΗ</t>
  </si>
  <si>
    <t>Π054869</t>
  </si>
  <si>
    <t>ΑΒ762827</t>
  </si>
  <si>
    <t>ΑΙ438220</t>
  </si>
  <si>
    <t>ΑΗ914293</t>
  </si>
  <si>
    <t>ΤΣΙΤΙΡΩΚΗ</t>
  </si>
  <si>
    <t>ΑΝ186239</t>
  </si>
  <si>
    <t>ΑΗ885056</t>
  </si>
  <si>
    <t>ΑΖ588406</t>
  </si>
  <si>
    <t>ΨΕΜΜΑΣ</t>
  </si>
  <si>
    <t>ΑΘΑΝΑΣΙΟ</t>
  </si>
  <si>
    <t>ΑΕ656636</t>
  </si>
  <si>
    <t>ΟΘΜΑΝΙ</t>
  </si>
  <si>
    <t>ΣΑΜΙΡ ΣΤΕΦΑΝΟΣ</t>
  </si>
  <si>
    <t>ΑΜ675815</t>
  </si>
  <si>
    <t>ΑΜ403441</t>
  </si>
  <si>
    <t>ΤΣΙΡΙΔΟΥ</t>
  </si>
  <si>
    <t>ΑΑ385081</t>
  </si>
  <si>
    <t>ΠΟΥΡΑΙΜΗ</t>
  </si>
  <si>
    <t>ΑΗ010176</t>
  </si>
  <si>
    <t>ΠΑΝΑΓΙΩΤΑΚΟΥ</t>
  </si>
  <si>
    <t>ΑΖ551716</t>
  </si>
  <si>
    <t>ΝΤΟΓΑΡΗ</t>
  </si>
  <si>
    <t>ΑΖ055700</t>
  </si>
  <si>
    <t>ΤΖΙΩΤΗ</t>
  </si>
  <si>
    <t>ΑΖ516327</t>
  </si>
  <si>
    <t>ΑΗ004362</t>
  </si>
  <si>
    <t>ΤΣΟΒΑΡΑ</t>
  </si>
  <si>
    <t>ΑΕ997678</t>
  </si>
  <si>
    <t>ΣΑΡΑΦΗΣ</t>
  </si>
  <si>
    <t>Μ539888</t>
  </si>
  <si>
    <t>ΜΑΝΙΚΑΣ</t>
  </si>
  <si>
    <t>ΑΝ694193</t>
  </si>
  <si>
    <t>ΤΣΑΛΑΦΟΥΤΑ</t>
  </si>
  <si>
    <t>ΘΗΡΕΣΙΑ</t>
  </si>
  <si>
    <t>ΑΖ782410</t>
  </si>
  <si>
    <t>ΑΖ208148</t>
  </si>
  <si>
    <t>ΚΟΥΚΑΡΑ</t>
  </si>
  <si>
    <t>ΦΑΙΔΡΑ</t>
  </si>
  <si>
    <t>ΑΕ934122</t>
  </si>
  <si>
    <t>ΑΚ341461</t>
  </si>
  <si>
    <t>ΜΑΝΙΑΤΟΠΟΥΛΟΥ</t>
  </si>
  <si>
    <t>ΑΟ240689</t>
  </si>
  <si>
    <t>ΑΡΓΥΡΙΟΥ</t>
  </si>
  <si>
    <t>ΑΕ428708</t>
  </si>
  <si>
    <t>ΣΥΓΛΕΤΟΥ</t>
  </si>
  <si>
    <t>ΘΕΟΝΥΜΦΗ</t>
  </si>
  <si>
    <t>ΑΑ366312</t>
  </si>
  <si>
    <t>ΞΥΠΑΚΗ</t>
  </si>
  <si>
    <t>ΑΚ474206</t>
  </si>
  <si>
    <t>ΜΠΟΥΦΚΑΣ</t>
  </si>
  <si>
    <t>ΑΖ810844</t>
  </si>
  <si>
    <t>ΑΖ378381</t>
  </si>
  <si>
    <t>ΑΝ116026</t>
  </si>
  <si>
    <t>ΚΙΟΥΛΑΝΗ</t>
  </si>
  <si>
    <t>ΑΙ254944</t>
  </si>
  <si>
    <t>ΤΖΙΡΟΥΔΑ</t>
  </si>
  <si>
    <t>ΑΑ283814</t>
  </si>
  <si>
    <t>ΑΗ502405</t>
  </si>
  <si>
    <t>ΜΠΑΡΔΗΣ</t>
  </si>
  <si>
    <t>ΑΟ163639</t>
  </si>
  <si>
    <t>ΑΟ037933</t>
  </si>
  <si>
    <t>ΑΙ545203</t>
  </si>
  <si>
    <t>ΜΠΟΥΡΑΖΑΝΗ</t>
  </si>
  <si>
    <t>ΧΑΡΑΛΑΜΠΟΣ ΧΡΗΣΤΟΣ</t>
  </si>
  <si>
    <t>Χ796823</t>
  </si>
  <si>
    <t>ΚΟΥΤΣΟΥΡΙΔΗΣ</t>
  </si>
  <si>
    <t>ΑΝ226913</t>
  </si>
  <si>
    <t>ΑΖ584453</t>
  </si>
  <si>
    <t>ΣΕΛΒΗ</t>
  </si>
  <si>
    <t>Π971776</t>
  </si>
  <si>
    <t>ΑΙ399091</t>
  </si>
  <si>
    <t>ΦΑΤΟΥΡΟΥ</t>
  </si>
  <si>
    <t>ΑΖ016292</t>
  </si>
  <si>
    <t>ΖΑΙΜΑΚΗΣ</t>
  </si>
  <si>
    <t>ΑΒ483311</t>
  </si>
  <si>
    <t>ΜΠΟΥΖΑΝΗ</t>
  </si>
  <si>
    <t>ΑΚ385768</t>
  </si>
  <si>
    <t>ΔΡΙΜΑΛΑ</t>
  </si>
  <si>
    <t>ΑΗ212781</t>
  </si>
  <si>
    <t>ΚΟΙΛΙΑΡΗ</t>
  </si>
  <si>
    <t>ΑΚ514342</t>
  </si>
  <si>
    <t>ΑΖ211292</t>
  </si>
  <si>
    <t>ΑΟ098809</t>
  </si>
  <si>
    <t>ΧΡΥΣΟΣΤΟΜΙΔΗΣ</t>
  </si>
  <si>
    <t>Ν382453</t>
  </si>
  <si>
    <t>ΓΚΟΤΣΗΣ</t>
  </si>
  <si>
    <t>ΑΕ881520</t>
  </si>
  <si>
    <t>ΑΕ052982</t>
  </si>
  <si>
    <t>ΜΑΣΟΥΡΙΔΗΣ</t>
  </si>
  <si>
    <t>ΑΟ864755</t>
  </si>
  <si>
    <t xml:space="preserve">ΣΤΥΛΙΑΝΟΜΑΝΩΛΑΚΗ </t>
  </si>
  <si>
    <t xml:space="preserve">ΆΝΝΑ </t>
  </si>
  <si>
    <t>ΑΗ976131</t>
  </si>
  <si>
    <t>ΜΑΞΙΔΟΥ</t>
  </si>
  <si>
    <t>ΑΕ054125</t>
  </si>
  <si>
    <t>ΚΑΤΣΑΝΤΩΝΗ</t>
  </si>
  <si>
    <t>Χ099366</t>
  </si>
  <si>
    <t>ΑΓΟΡΙΤ</t>
  </si>
  <si>
    <t>ΑΖ476148</t>
  </si>
  <si>
    <t>ΑΒ740184</t>
  </si>
  <si>
    <t>ΑΑ227894</t>
  </si>
  <si>
    <t>ΤΣΙΟΒΑΛΑ</t>
  </si>
  <si>
    <t>ΑΗ190643</t>
  </si>
  <si>
    <t>ΤΣΙΚΟΥ</t>
  </si>
  <si>
    <t>ΑΗ305204</t>
  </si>
  <si>
    <t>ΚΙΛΙΝΤΖΗΣ</t>
  </si>
  <si>
    <t>ΑΖ668766</t>
  </si>
  <si>
    <t>ΟΚΤΑΠΟΤΗ</t>
  </si>
  <si>
    <t>ΑΝ187320</t>
  </si>
  <si>
    <t>ΜΑΧΑΙΡΑΣ</t>
  </si>
  <si>
    <t>ΜΑΡΙΟΣ ΗΛΙΑΣ</t>
  </si>
  <si>
    <t>ΑΜ527027</t>
  </si>
  <si>
    <t>ΑΜ658617</t>
  </si>
  <si>
    <t>ΓΚΑΡΑΒΕΛΑ</t>
  </si>
  <si>
    <t>ΑΑ872601</t>
  </si>
  <si>
    <t>ΓΙΔΙΩΤΗΣ</t>
  </si>
  <si>
    <t>ΑΜ879849</t>
  </si>
  <si>
    <t>ΚΟΥΡΕΜΕΝΟΥ</t>
  </si>
  <si>
    <t>ΑΚ919208</t>
  </si>
  <si>
    <t>ΚΟΣΕΙΔΟΥ</t>
  </si>
  <si>
    <t>ΣΥΝΘΙΑ</t>
  </si>
  <si>
    <t>ΑΗ908992</t>
  </si>
  <si>
    <t>ΠΑΠΑΚΩΣΤΟΠΟΥΛΟΣ</t>
  </si>
  <si>
    <t>ΑΕ728761</t>
  </si>
  <si>
    <t>ΑΖ303286</t>
  </si>
  <si>
    <t>ΣΙΤΣΑΝΗ</t>
  </si>
  <si>
    <t>ΜΑΛΑΜΑ ΔΗΜΗΤΡΑ</t>
  </si>
  <si>
    <t>ΑΒ154386</t>
  </si>
  <si>
    <t>ΣΠΗΛΙΟΣ</t>
  </si>
  <si>
    <t>Χ333591</t>
  </si>
  <si>
    <t>ΑΖ242400</t>
  </si>
  <si>
    <t>ΓΑΙΔΑΡΤΖΗ</t>
  </si>
  <si>
    <t>ΑΕ378061</t>
  </si>
  <si>
    <t>ΚΟΥΤΙΔΟΥ</t>
  </si>
  <si>
    <t>ΑΒ861082</t>
  </si>
  <si>
    <t>ΑΟ325335</t>
  </si>
  <si>
    <t>ΓΚΑΣΙΩΝΗ</t>
  </si>
  <si>
    <t>ΑΒ837055</t>
  </si>
  <si>
    <t>ΑΜ525921</t>
  </si>
  <si>
    <t>ΦΕΡΛΕ</t>
  </si>
  <si>
    <t>ΑΑ074590</t>
  </si>
  <si>
    <t>ΣΟΝΤΗ</t>
  </si>
  <si>
    <t>ΑΝ841406</t>
  </si>
  <si>
    <t>ΠΑΝΔΡΕΜΜΕΝΟΥ</t>
  </si>
  <si>
    <t>ΕΥΡΩΠΙΑ</t>
  </si>
  <si>
    <t>ΑΖ683753</t>
  </si>
  <si>
    <t>ΑΗ961036</t>
  </si>
  <si>
    <t>ΔΡΟΓΚΑΡΗ</t>
  </si>
  <si>
    <t>ΑΖ873801</t>
  </si>
  <si>
    <t>ΑΜ294602</t>
  </si>
  <si>
    <t>ΚΑΡΑΚΟΥΛΑΚΗ</t>
  </si>
  <si>
    <t>ΑΕ615580</t>
  </si>
  <si>
    <t>ΝΑΤΑΛΥ</t>
  </si>
  <si>
    <t>ΑΟ524050</t>
  </si>
  <si>
    <t>ΑΜ897495</t>
  </si>
  <si>
    <t>ΑΕ808882</t>
  </si>
  <si>
    <t>ΠΕΡΣΙΔΟΥ</t>
  </si>
  <si>
    <t>ΑΒ738612</t>
  </si>
  <si>
    <t>ΑΓΑΘΩΝ</t>
  </si>
  <si>
    <t>ΑΕ213254</t>
  </si>
  <si>
    <t>ΑΒ617352</t>
  </si>
  <si>
    <t>ΟΡΓΙΑΝΕΛΗ</t>
  </si>
  <si>
    <t>ΑΕ191276</t>
  </si>
  <si>
    <t>ΛΕΦΑΚΗ</t>
  </si>
  <si>
    <t>ΕΛΕΥΘΕΡΙΑ ΑΛΙΚΗ</t>
  </si>
  <si>
    <t>Χ019377</t>
  </si>
  <si>
    <t>ΚΑΡΑΚΑΣΗ</t>
  </si>
  <si>
    <t>ΑΙ258831</t>
  </si>
  <si>
    <t>ΤΣΙΜΠΑΝΑΚΟΣ</t>
  </si>
  <si>
    <t>ΑΗ774168</t>
  </si>
  <si>
    <t>ΑΒ280621</t>
  </si>
  <si>
    <t>ΑΕ809314</t>
  </si>
  <si>
    <t>ΠΑΣΒΟΥΡΗΣ</t>
  </si>
  <si>
    <t>ΡΑΦΑΗΛ ΔΗΜΗΤΡΙΟΣ</t>
  </si>
  <si>
    <t>ΑΖ432352</t>
  </si>
  <si>
    <t>ΑΖ149532</t>
  </si>
  <si>
    <t>ΑΗ865266</t>
  </si>
  <si>
    <t>ΤΖΩΡΤΖΑΚΗΣ</t>
  </si>
  <si>
    <t>ΑΑ373680</t>
  </si>
  <si>
    <t>ΝΤΟΥΜΑΝΗΣ</t>
  </si>
  <si>
    <t>ΧΡΗΣΤΟΣ ΑΡΣΕΝΙΟΣ</t>
  </si>
  <si>
    <t>ΑΟ659309</t>
  </si>
  <si>
    <t>ΝΤΟΥΡΟΥ</t>
  </si>
  <si>
    <t>ΣΥΛΒΑ</t>
  </si>
  <si>
    <t>ΠΕΤΡΑΚΗΣ</t>
  </si>
  <si>
    <t>ΑΙ232946</t>
  </si>
  <si>
    <t>ΜΟΥΣΜΟΥΛΙΔΟΥ</t>
  </si>
  <si>
    <t>ΑΕ911817</t>
  </si>
  <si>
    <t>ΓΚΕΛΙΡΗ</t>
  </si>
  <si>
    <t>ΑΝ064488</t>
  </si>
  <si>
    <t>ΑΙ356271</t>
  </si>
  <si>
    <t>ΤΖΟΓΑΝΗ</t>
  </si>
  <si>
    <t>ΑΚ750523</t>
  </si>
  <si>
    <t>ΓΙΑΒΑΣΗ</t>
  </si>
  <si>
    <t>ΑΑ359690</t>
  </si>
  <si>
    <t>ΑΙ255266</t>
  </si>
  <si>
    <t>ΤΣΑΤΣΗ</t>
  </si>
  <si>
    <t>ΑΗ331514</t>
  </si>
  <si>
    <t>ΑΟ494738</t>
  </si>
  <si>
    <t>ΚΡΗΤΙΚΟΣ</t>
  </si>
  <si>
    <t>ΑΖ445953</t>
  </si>
  <si>
    <t>ΚΟΝΙΣΤΗ</t>
  </si>
  <si>
    <t>ΤΡΙΑΔΑ</t>
  </si>
  <si>
    <t>Φ200963</t>
  </si>
  <si>
    <t>ΓΚΑΡΟ</t>
  </si>
  <si>
    <t>ΑΝΙΑ</t>
  </si>
  <si>
    <t>ΦΑΝΤΙΛ</t>
  </si>
  <si>
    <t>ΑΝ403702</t>
  </si>
  <si>
    <t>ΜΟΡΦΙΡΗ</t>
  </si>
  <si>
    <t>ΚΡΙΣΤΗΣ</t>
  </si>
  <si>
    <t>ΑΚ644846</t>
  </si>
  <si>
    <t>ΑΝ125904</t>
  </si>
  <si>
    <t>ΑΙ808729</t>
  </si>
  <si>
    <t>Χ413050</t>
  </si>
  <si>
    <t>ΤΣΑΝΑΣΙΔΟΥ</t>
  </si>
  <si>
    <t>ΑΙ890115</t>
  </si>
  <si>
    <t>ΜΠΟΥΡΓΟΥ</t>
  </si>
  <si>
    <t>ΤΗΛΕΜΑΧΟΣ</t>
  </si>
  <si>
    <t>ΑΒ810765</t>
  </si>
  <si>
    <t>ΓΕΡΑΚΙΩΤΗ</t>
  </si>
  <si>
    <t>ΑΗ824062</t>
  </si>
  <si>
    <t>ΚΑΡΑΜΑΛΗ</t>
  </si>
  <si>
    <t>ΑΝ647210</t>
  </si>
  <si>
    <t>ΑΒ692080</t>
  </si>
  <si>
    <t>ΠΑΣΣΑ</t>
  </si>
  <si>
    <t>ΑΗ748600</t>
  </si>
  <si>
    <t>ΑΗ601515</t>
  </si>
  <si>
    <t>ΚΑΡΑΚΟΥΣΗ</t>
  </si>
  <si>
    <t>ΑΗ348610</t>
  </si>
  <si>
    <t>ΚΟΡΩΝΙΑΔΟΥ</t>
  </si>
  <si>
    <t>ΑΗ686997</t>
  </si>
  <si>
    <t>ΝΙΚΟΛΕΡΗ</t>
  </si>
  <si>
    <t>ΑΟ044825</t>
  </si>
  <si>
    <t>Χ821629</t>
  </si>
  <si>
    <t>ΜΕΛΙΓΓΙΩΤΗ</t>
  </si>
  <si>
    <t>ΑΗ737165</t>
  </si>
  <si>
    <t>ΤΣΙΑΤΟΥΡΑ</t>
  </si>
  <si>
    <t>Σ698706</t>
  </si>
  <si>
    <t>Χ518591</t>
  </si>
  <si>
    <t>ΜΥΡΤΩ ΧΡΙΣΤΙΝΑ</t>
  </si>
  <si>
    <t>ΑΙ880551</t>
  </si>
  <si>
    <t>ΑΟ397323</t>
  </si>
  <si>
    <t>ΑΡ284706</t>
  </si>
  <si>
    <t>ΑΖ244630</t>
  </si>
  <si>
    <t>ΑΕ126724</t>
  </si>
  <si>
    <t>ΑΓΓΕΛΙΚΗ ΠΑΡΑΣΚΕΥΗ</t>
  </si>
  <si>
    <t>Φ267421</t>
  </si>
  <si>
    <t>ΧΑΤΖΗΓΙΑΝΝΗ</t>
  </si>
  <si>
    <t>ΧΡΙΣΤΙΝΑ ΠΑΡΑΣΚΕΥΗ</t>
  </si>
  <si>
    <t>ΜΟΝΑΧΟΥ</t>
  </si>
  <si>
    <t>ΧΡΗΣΤΡΟΣ</t>
  </si>
  <si>
    <t>ΑΙ437619</t>
  </si>
  <si>
    <t>ΑΖ395480</t>
  </si>
  <si>
    <t>ΚΑΜΠΥΛΗ</t>
  </si>
  <si>
    <t>ΑΜ769834</t>
  </si>
  <si>
    <t>ΜΠΑΤΖΙΟΥ</t>
  </si>
  <si>
    <t>ΑΖ647419</t>
  </si>
  <si>
    <t>ΓΡΑΜΜΑΤΙΚΑΚΗ</t>
  </si>
  <si>
    <t>ΑΝ500259</t>
  </si>
  <si>
    <t>ΑΙ315600</t>
  </si>
  <si>
    <t>ΟΣΜΑΝΙ</t>
  </si>
  <si>
    <t>ΣΙΝΤΟΡΕΛΑ</t>
  </si>
  <si>
    <t>ΑΟ744546</t>
  </si>
  <si>
    <t>ΑΚ456027</t>
  </si>
  <si>
    <t>ΚΕΝΙΝΗ</t>
  </si>
  <si>
    <t>ΟΔΥΣΣΕΑ</t>
  </si>
  <si>
    <t>ΑΖ465324</t>
  </si>
  <si>
    <t>ΦΡΥΝΗ</t>
  </si>
  <si>
    <t>Χ380030</t>
  </si>
  <si>
    <t>ΑΡ235737</t>
  </si>
  <si>
    <t>ΤΣΙΛΗ</t>
  </si>
  <si>
    <t>ΑΕ756795</t>
  </si>
  <si>
    <t>ΤΣΑΜΠΑΖΗ</t>
  </si>
  <si>
    <t>ΑΗ391317</t>
  </si>
  <si>
    <t>ΠΑΝΑΗΛΙΔΟΥ</t>
  </si>
  <si>
    <t>ΑΗ671874</t>
  </si>
  <si>
    <t>ΜΠΑΝΤΟΛΑ</t>
  </si>
  <si>
    <t>ΑΙ328927</t>
  </si>
  <si>
    <t>ΛΑΜΠΑΔΗ</t>
  </si>
  <si>
    <t>ΒΙΚΥ ΜΑΡΙΑ</t>
  </si>
  <si>
    <t>ΑΕ184725</t>
  </si>
  <si>
    <t>ΓΙΑΝΝΙΑ</t>
  </si>
  <si>
    <t>Α729513</t>
  </si>
  <si>
    <t>ΤΣΕΛΕΚΙΔΟΥ</t>
  </si>
  <si>
    <t>ΑΒ134614</t>
  </si>
  <si>
    <t>ΚΟΥΚΟΥΓΙΑΝΝΗ</t>
  </si>
  <si>
    <t>ΑΟ367840</t>
  </si>
  <si>
    <t>ΑΕ247221</t>
  </si>
  <si>
    <t>ΝΤΑΛΟΠΟΥΛΟΥ</t>
  </si>
  <si>
    <t>Χ613501</t>
  </si>
  <si>
    <t>ΝΤΟΥΜΑ</t>
  </si>
  <si>
    <t>ΑΗ278364</t>
  </si>
  <si>
    <t>ΜΑΓΙΩΝΑ</t>
  </si>
  <si>
    <t>ΑΙ841137</t>
  </si>
  <si>
    <t>ΑΝΑΣΤΑΣΙΑ ΑΘΑΝΑΣΙΑ</t>
  </si>
  <si>
    <t>ΑΙ549576</t>
  </si>
  <si>
    <t>ΑΟ395722</t>
  </si>
  <si>
    <t>ΑΕ376538</t>
  </si>
  <si>
    <t>ΜΑΡΙΝΑ ΔΕΣΠΟΙΝΑ</t>
  </si>
  <si>
    <t>ΑΙ291063</t>
  </si>
  <si>
    <t>ΑΗΔΟΝΗΣ</t>
  </si>
  <si>
    <t>ΑΙ218098</t>
  </si>
  <si>
    <t>ΑΕ149496</t>
  </si>
  <si>
    <t>ΑΕ515139</t>
  </si>
  <si>
    <t>Χ116051</t>
  </si>
  <si>
    <t>ΚΟΥΡΜΟΥΤΑ</t>
  </si>
  <si>
    <t>ΑΗ488578</t>
  </si>
  <si>
    <t xml:space="preserve">ΓΕΏΡΓΙΟΣ </t>
  </si>
  <si>
    <t>ΑΗ820728</t>
  </si>
  <si>
    <t>ΚΟΥΚΟΥΝΙΤΣΑ</t>
  </si>
  <si>
    <t>ΑΚ246552</t>
  </si>
  <si>
    <t>ΤΑΚΟΥΡΙΔΗΣ</t>
  </si>
  <si>
    <t>ΜΩΥΣΗΣ</t>
  </si>
  <si>
    <t>ΑΗ677981</t>
  </si>
  <si>
    <t>ΑΝ133505</t>
  </si>
  <si>
    <t>ΑΑ869655</t>
  </si>
  <si>
    <t>ΜΑΝΤΙΚΑ</t>
  </si>
  <si>
    <t>ΑΜ934233</t>
  </si>
  <si>
    <t>ΑΒ577634</t>
  </si>
  <si>
    <t>ΖΑΦΕΙΡΙΟΥ</t>
  </si>
  <si>
    <t>ΑΗ264514</t>
  </si>
  <si>
    <t>ΚΟΥΡΟΥΠΗ</t>
  </si>
  <si>
    <t>ΑΒ428970</t>
  </si>
  <si>
    <t>ΤΣΙΝΤΖΕΛΗ</t>
  </si>
  <si>
    <t>ΑΑ483235</t>
  </si>
  <si>
    <t>ΠΑΡΔΑΛΑΚΗ</t>
  </si>
  <si>
    <t>ΑΗ971844</t>
  </si>
  <si>
    <t>ΛΕΤΣΙΟΥ</t>
  </si>
  <si>
    <t>ΑΒ218697</t>
  </si>
  <si>
    <t>ΑΖ818141</t>
  </si>
  <si>
    <t>ΜΠΡΑΟΥΣΗ</t>
  </si>
  <si>
    <t>ΓΙΑΚΟΥΠ</t>
  </si>
  <si>
    <t>ΑΟ343551</t>
  </si>
  <si>
    <t>ΑΗ290495</t>
  </si>
  <si>
    <t>ΑΗ298061</t>
  </si>
  <si>
    <t>ΑΖ808317</t>
  </si>
  <si>
    <t>ΑΖ081989</t>
  </si>
  <si>
    <t>ΚΙΑΝΟΥ</t>
  </si>
  <si>
    <t>ΑΗ436270</t>
  </si>
  <si>
    <t>ΜΕΛΙΣΣΟΥΡΓΑΚΗ</t>
  </si>
  <si>
    <t>ΑΙ444974</t>
  </si>
  <si>
    <t>ΤΣΙΝΑ</t>
  </si>
  <si>
    <t>ΑΒ842134</t>
  </si>
  <si>
    <t>ΧΑΤΖΗΠΑΝΤΕΛΗ</t>
  </si>
  <si>
    <t>ΑΖ390222</t>
  </si>
  <si>
    <t>ΜΑΓΡΙΠΗ</t>
  </si>
  <si>
    <t>ΑΡ004799</t>
  </si>
  <si>
    <t>ΑΗ284662</t>
  </si>
  <si>
    <t>ΧΑΡΙΚΛΕΙΑ ΜΑΡΙΑ</t>
  </si>
  <si>
    <t>ΑΙ203401</t>
  </si>
  <si>
    <t>ΜΑΝΤΑΤΗ</t>
  </si>
  <si>
    <t>ΑΜ980778</t>
  </si>
  <si>
    <t>ΔΗΜΟΒΕΛΗ</t>
  </si>
  <si>
    <t>Φ293625</t>
  </si>
  <si>
    <t>ΓΙΑΝΝΑΚΟΥΛΑ</t>
  </si>
  <si>
    <t>ΖΗΣΙΜΟΣ</t>
  </si>
  <si>
    <t>ΑΗ987562</t>
  </si>
  <si>
    <t>ΑΝ797603</t>
  </si>
  <si>
    <t>ΚΟΝΤΟΓΕΩΡΓΟΥ</t>
  </si>
  <si>
    <t>ΑΗ247681</t>
  </si>
  <si>
    <t>ΤΡΑΓΙΑ</t>
  </si>
  <si>
    <t>ΜΠΟΖΙΝ</t>
  </si>
  <si>
    <t>ΑΝ717012</t>
  </si>
  <si>
    <t>ΓΚΙΟΛΕΣ</t>
  </si>
  <si>
    <t>ΑΒ316991</t>
  </si>
  <si>
    <t>ΑΖ208545</t>
  </si>
  <si>
    <t>ΑΝ804066</t>
  </si>
  <si>
    <t>ΑΟ612548</t>
  </si>
  <si>
    <t>ΝΙΚΟΛΕΤΑ ΜΙΧΑΕΛΑ</t>
  </si>
  <si>
    <t>ΑΗ805985</t>
  </si>
  <si>
    <t>ΣΑΡΑΦΑΔΗ</t>
  </si>
  <si>
    <t>ΑΚ548219</t>
  </si>
  <si>
    <t>ΧΡΙΣΤΙΑΝΝΑ</t>
  </si>
  <si>
    <t>ΑΝ000875</t>
  </si>
  <si>
    <t>ΛΑΜΠΡΙΝΑ</t>
  </si>
  <si>
    <t>ΑΕ288152</t>
  </si>
  <si>
    <t>ΛΑΘΥΡΗ</t>
  </si>
  <si>
    <t>Χ483877</t>
  </si>
  <si>
    <t>ΧΡΥΣΟΣΤΟΜΙΔΟΥ</t>
  </si>
  <si>
    <t>ΑΜ281759</t>
  </si>
  <si>
    <t>ΑΡ327232</t>
  </si>
  <si>
    <t>ΓΚΡΕΜΟΥ</t>
  </si>
  <si>
    <t>ΑΕ275743</t>
  </si>
  <si>
    <t>ΔΑΤΣΗ</t>
  </si>
  <si>
    <t>ΑΖ851352</t>
  </si>
  <si>
    <t>ΑΒ144964</t>
  </si>
  <si>
    <t>ΦΑΡΑΖΗ</t>
  </si>
  <si>
    <t>ΑΖ258196</t>
  </si>
  <si>
    <t>ΑΗ312677</t>
  </si>
  <si>
    <t>ΚΙΤΚΑ</t>
  </si>
  <si>
    <t>ΑΒ442708</t>
  </si>
  <si>
    <t>ΤΣΑΚΑΛΙΑΡΗΣ</t>
  </si>
  <si>
    <t>ΑΙ797846</t>
  </si>
  <si>
    <t>ΡΗΓΑΚΗ</t>
  </si>
  <si>
    <t>ΑΗ475565</t>
  </si>
  <si>
    <t>ΑΜ271709</t>
  </si>
  <si>
    <t>ΑΟ585657</t>
  </si>
  <si>
    <t>ΣΑΒΒΑΝΗ</t>
  </si>
  <si>
    <t>ΑΕ777130</t>
  </si>
  <si>
    <t>ΜΑΝΤΖΑΒΙΝΟΥ</t>
  </si>
  <si>
    <t xml:space="preserve">ΑΝΤΩΝΙΑ </t>
  </si>
  <si>
    <t>ΑΟ168361</t>
  </si>
  <si>
    <t>ΠΑΚΑ</t>
  </si>
  <si>
    <t>ΑΔΑΜΟΣ</t>
  </si>
  <si>
    <t>ΑΙ843390</t>
  </si>
  <si>
    <t>ΚΟΥΡΠΕΤΗ</t>
  </si>
  <si>
    <t>ΑΕ959163</t>
  </si>
  <si>
    <t>ΑΝ696469</t>
  </si>
  <si>
    <t>ΤΕΡΕΖΑ</t>
  </si>
  <si>
    <t>ΑΗ237901</t>
  </si>
  <si>
    <t>ΑΒ394355</t>
  </si>
  <si>
    <t>ΑΒ852335</t>
  </si>
  <si>
    <t>ΜΕΝΔΕΡΗ</t>
  </si>
  <si>
    <t>ΑΝΔΡΟΝΙΚΗ ΚΥΡΙΑΚΗ</t>
  </si>
  <si>
    <t>ΑΗ180820</t>
  </si>
  <si>
    <t>ΕΛΕΥΘΕΡΙΑ ΕΥΑΓΓΕΛΙΑ</t>
  </si>
  <si>
    <t>ΑΗ370447</t>
  </si>
  <si>
    <t>ΤΣΙΩΓΚΑ</t>
  </si>
  <si>
    <t>ΑΕ818114</t>
  </si>
  <si>
    <t>Ρ332215</t>
  </si>
  <si>
    <t xml:space="preserve">ΠΑΤΟΝΟΠΟΥΛΟΥ </t>
  </si>
  <si>
    <t>ΑΙ151788</t>
  </si>
  <si>
    <t>ΑΡ095872</t>
  </si>
  <si>
    <t>ΡΟΥΒΑΛΗ</t>
  </si>
  <si>
    <t>Χ799046</t>
  </si>
  <si>
    <t>ΑΑ097857</t>
  </si>
  <si>
    <t>ΜΑΝΤΖΙΩΡΗ</t>
  </si>
  <si>
    <t>Χ559965</t>
  </si>
  <si>
    <t>ΜΑΡΑΓΚΟΠΟΥΛΟΥ</t>
  </si>
  <si>
    <t>ΑΕ856172</t>
  </si>
  <si>
    <t>ΠΝΕΥΜΑΤΙΚΟΥ</t>
  </si>
  <si>
    <t>ΑΖ723647</t>
  </si>
  <si>
    <t>ΑΙ295496</t>
  </si>
  <si>
    <t>ΤΣΟΥΛΦΑ</t>
  </si>
  <si>
    <t>ΕΛΕΟΝΟΡΑ</t>
  </si>
  <si>
    <t>ΑΗ329286</t>
  </si>
  <si>
    <t>ΑΝ839414</t>
  </si>
  <si>
    <t>ΑΗ769173</t>
  </si>
  <si>
    <t>ΚΑΡΓΑΚΟΥ</t>
  </si>
  <si>
    <t>ΑΜ778295</t>
  </si>
  <si>
    <t>ΑΙ652954</t>
  </si>
  <si>
    <t>ΠΑΠΑΚΗ</t>
  </si>
  <si>
    <t>ΜΑΡΙΑ ΔΗΜΗΤΡΑ</t>
  </si>
  <si>
    <t>ΑΟ282319</t>
  </si>
  <si>
    <t>ΓΚΟΛΟΒΑΝΟΒΑ</t>
  </si>
  <si>
    <t>ΑΕ585352</t>
  </si>
  <si>
    <t>ΑΑ011743</t>
  </si>
  <si>
    <t>ΠΛΟΥΜΙΔΗ</t>
  </si>
  <si>
    <t>ΑΜ778742</t>
  </si>
  <si>
    <t>ΚΑΡΑΓΙΑΝΝΟΠΟΥΛΟΥ</t>
  </si>
  <si>
    <t>ΑΚ963337</t>
  </si>
  <si>
    <t>ΚΥΡΙΤΣΗΣ</t>
  </si>
  <si>
    <t>ΑΒ758880</t>
  </si>
  <si>
    <t>ΜΑΝΔΑΛΙΔΟΥ</t>
  </si>
  <si>
    <t>ΑΑ762222</t>
  </si>
  <si>
    <t>ΑΙ031033</t>
  </si>
  <si>
    <t>ΓΙΑΝΝΙΩΤΗ</t>
  </si>
  <si>
    <t>ΙΦΙΓΕΝΕΙΑ ΕΥΘΥΜΙΑ</t>
  </si>
  <si>
    <t>ΑΚ968905</t>
  </si>
  <si>
    <t>ΚΑΝΤΖΙΑΡΗ</t>
  </si>
  <si>
    <t>ΑΗ425807</t>
  </si>
  <si>
    <t>ΤΣΑΚΑΛΟΥ</t>
  </si>
  <si>
    <t>ΑΚ390100</t>
  </si>
  <si>
    <t>ΖΑΡΚΑΔΗ</t>
  </si>
  <si>
    <t>ΑΙ283527</t>
  </si>
  <si>
    <t>ΚΙΟΣΕ</t>
  </si>
  <si>
    <t>ΑΗ370307</t>
  </si>
  <si>
    <t>ΑΕ240536</t>
  </si>
  <si>
    <t>ΣΑΒΒΑΙΔΟΥ</t>
  </si>
  <si>
    <t>ΑΙΚΑΤΕΡΙΝΗ ΠΑΝΑΓΙΩΤΑ</t>
  </si>
  <si>
    <t>ΑΑ472349</t>
  </si>
  <si>
    <t>ΚΡΑΜΠΗ</t>
  </si>
  <si>
    <t>ΑΗ244775</t>
  </si>
  <si>
    <t>ΑΙ343853</t>
  </si>
  <si>
    <t>ΑΙ807403</t>
  </si>
  <si>
    <t>ΤΟΥΛΟΥΜΗ</t>
  </si>
  <si>
    <t>ΑΝ493507</t>
  </si>
  <si>
    <t>ΠΟΥΛΤΙΔΟΥ</t>
  </si>
  <si>
    <t>ΚΩΝΣΤΑΝΤΙΝΑ ΜΕΛΩΔΙΑ</t>
  </si>
  <si>
    <t>ΑΗ741233</t>
  </si>
  <si>
    <t>ΠΑΝΑΓΩΤΗΣ</t>
  </si>
  <si>
    <t>ΑΖ014103</t>
  </si>
  <si>
    <t>ΕΛΕΝΗ ΒΑΣΙΛΙΚΗ</t>
  </si>
  <si>
    <t>ΑΝ177016</t>
  </si>
  <si>
    <t>ΚΑΡΥΩΤΑΚΗΣ</t>
  </si>
  <si>
    <t>ΑΖ819738</t>
  </si>
  <si>
    <t>ΛΙΟΥΜΠΑ ΖΕΡΒΟΠΟΥΛΟΥ</t>
  </si>
  <si>
    <t>ΑΜ544352</t>
  </si>
  <si>
    <t>ΚΑΛΟΓΙΑΝΝΗΣ</t>
  </si>
  <si>
    <t>ΑΙ705769</t>
  </si>
  <si>
    <t>ΑΚ424561</t>
  </si>
  <si>
    <t>ΤΡΟΥΠΟΥ</t>
  </si>
  <si>
    <t>ΑΗ218051</t>
  </si>
  <si>
    <t>ΜΑΚΑΡΟΥΝΑ</t>
  </si>
  <si>
    <t>ΑΑ804566</t>
  </si>
  <si>
    <t>ΔΟΥΦΑ</t>
  </si>
  <si>
    <t>ΠΑΡΑΣΚ</t>
  </si>
  <si>
    <t>ΑΖ769950</t>
  </si>
  <si>
    <t>ΤΡΥΦΙΔΗΣ</t>
  </si>
  <si>
    <t>ΑΕ905931</t>
  </si>
  <si>
    <t>ΚΑΝΕΛΛΟΥ ΚΟΥΡΣΑΡΟΥ</t>
  </si>
  <si>
    <t>ΑΖ097219</t>
  </si>
  <si>
    <t>ΠΑΡΣΟΠΟΥΛΟΥ</t>
  </si>
  <si>
    <t>ΑΗ326204</t>
  </si>
  <si>
    <t>ΑΙ730346</t>
  </si>
  <si>
    <t>ΝΙΚΗ ΙΟΚΑΣΤΗ</t>
  </si>
  <si>
    <t>ΑΕ361113</t>
  </si>
  <si>
    <t>ΚΑΚΟΓΙΑΝΝΗ</t>
  </si>
  <si>
    <t>ΑΝ673201</t>
  </si>
  <si>
    <t>ΑΝ457429</t>
  </si>
  <si>
    <t>ΡΟΥΝΤΑ</t>
  </si>
  <si>
    <t>ΑΗ273072</t>
  </si>
  <si>
    <t>ΝΟΥΣΗ</t>
  </si>
  <si>
    <t>ΑΙ256795</t>
  </si>
  <si>
    <t>ΠΡΑΣΣΑΣ</t>
  </si>
  <si>
    <t>ΑΜ823005</t>
  </si>
  <si>
    <t>ΒΟΥΛΟΔΗΜΟΥ</t>
  </si>
  <si>
    <t>ΑΗ394626</t>
  </si>
  <si>
    <t>ΣΓΟΥΡΟΜΑΛΛΗ</t>
  </si>
  <si>
    <t>ΑΒ488245</t>
  </si>
  <si>
    <t>ΡΑΦΑΕΛΑ ΑΓΓΕΛΙΝΑ</t>
  </si>
  <si>
    <t>ΠΟΣΕΙΔΩΝ</t>
  </si>
  <si>
    <t>ΑΝ134512</t>
  </si>
  <si>
    <t>ΑΛΕΞΑΝΔΡΗ</t>
  </si>
  <si>
    <t>ΚΩΝΣΤΑΝΤΙΝΟΣ ΙΩΑΝΝΗΣ</t>
  </si>
  <si>
    <t>ΑΒ983522</t>
  </si>
  <si>
    <t>Χ899240</t>
  </si>
  <si>
    <t>ΒΑΣΙΛΕΙΑΔΗ</t>
  </si>
  <si>
    <t>Σ906757</t>
  </si>
  <si>
    <t>ΣΠΗΛΙΩΤΟΠΟΥΛΟΥ</t>
  </si>
  <si>
    <t>ΑΓΓΕΛΙΚΗ ΖΩΗ</t>
  </si>
  <si>
    <t>ΑΝ803396</t>
  </si>
  <si>
    <t>ΑΑ350144</t>
  </si>
  <si>
    <t>ΨΥΛΛΑΚΗ</t>
  </si>
  <si>
    <t>ΑΝ125427</t>
  </si>
  <si>
    <t>ΑΙΔΙΝΙΔΟΥ</t>
  </si>
  <si>
    <t>ΑΙ194140</t>
  </si>
  <si>
    <t>ΑΒ413895</t>
  </si>
  <si>
    <t>ΔΙΛΙΝΤΑΣ</t>
  </si>
  <si>
    <t>ΕΚΤΩΡ</t>
  </si>
  <si>
    <t>ΑΜ090200</t>
  </si>
  <si>
    <t>ΤΣΑΡΙΔΗΣ</t>
  </si>
  <si>
    <t>ΑΖ662277</t>
  </si>
  <si>
    <t>ΑΙ819843</t>
  </si>
  <si>
    <t>ΓΚΛΑΒΑΝΗ</t>
  </si>
  <si>
    <t>ΑΑ466810</t>
  </si>
  <si>
    <t>ΑΒ356989</t>
  </si>
  <si>
    <t>ΑΙ354398</t>
  </si>
  <si>
    <t>ΜΕΓΓΟΥΛΗ</t>
  </si>
  <si>
    <t>ΑΗ015833</t>
  </si>
  <si>
    <t>ΚΟΥΤΣΗ</t>
  </si>
  <si>
    <t>ΑΙ761399</t>
  </si>
  <si>
    <t>ΧΑΤΖΗΚΩΝΣΤΑΝΤΙΝΟΥ</t>
  </si>
  <si>
    <t>ΑΜ655412</t>
  </si>
  <si>
    <t>ΑΝ348405</t>
  </si>
  <si>
    <t>ΣΚΟΥΛΑΡΙΔΟΥ</t>
  </si>
  <si>
    <t>ΣΜΑΡΩ</t>
  </si>
  <si>
    <t>ΑΖ371929</t>
  </si>
  <si>
    <t>ΑΒ712967</t>
  </si>
  <si>
    <t>ΔΟΥΛΓΕΡΗ</t>
  </si>
  <si>
    <t>ΑΖ873233</t>
  </si>
  <si>
    <t>ΚΙΤΣΑ</t>
  </si>
  <si>
    <t>ΟΡΘΟΔΟΞΙΑ</t>
  </si>
  <si>
    <t>ΑΑ257837</t>
  </si>
  <si>
    <t>ΠΑΝΑΓΙΩΤΑ ΑΙΚΑΤΕΡΙΝΗ</t>
  </si>
  <si>
    <t>Τ050131</t>
  </si>
  <si>
    <t>ΑΛΕΞΙΟΥ ΓΑΡΔΙΚΙΩΤΗ</t>
  </si>
  <si>
    <t>ΑΟ898009</t>
  </si>
  <si>
    <t>ΚΑΛΕΝΤΖΗ</t>
  </si>
  <si>
    <t>ΑΙ023298</t>
  </si>
  <si>
    <t>ΠΟΥΛΟΡΙΝΑΚΗ</t>
  </si>
  <si>
    <t>ΑΙ940399</t>
  </si>
  <si>
    <t>ΒΟΓΙΑΤΖH</t>
  </si>
  <si>
    <t>ΕΛΕΝH</t>
  </si>
  <si>
    <t>ΑΖ971555</t>
  </si>
  <si>
    <t>ΣΤΕΡΝΑΚΑ</t>
  </si>
  <si>
    <t>ΑΙ864608</t>
  </si>
  <si>
    <t>ΑΙ625191</t>
  </si>
  <si>
    <t>ΣΙΛΑ</t>
  </si>
  <si>
    <t>ΕΛΝΤΑ</t>
  </si>
  <si>
    <t>ΜΙΧΑΛ</t>
  </si>
  <si>
    <t>ΑΚ716962</t>
  </si>
  <si>
    <t>ΠΑΝΑΓΙΩΤΙΔΗΣ</t>
  </si>
  <si>
    <t>ΑΙ351617</t>
  </si>
  <si>
    <t>Φ481533</t>
  </si>
  <si>
    <t>ΣΟΥΣΟΥΡΗ</t>
  </si>
  <si>
    <t>Χ998141</t>
  </si>
  <si>
    <t>ΠΡΙΝΤΕΖΗΣ</t>
  </si>
  <si>
    <t>ΑΒ106037</t>
  </si>
  <si>
    <t>ΜΟΥΛΟΣΙΩΤΗ</t>
  </si>
  <si>
    <t>Χ703509</t>
  </si>
  <si>
    <t>ΘΕΟΔΩΡΙΔΗΣ</t>
  </si>
  <si>
    <t>ΑΚ852163</t>
  </si>
  <si>
    <t>ΧΑΤΖΗΑΝΤΩΝΙΟΥ</t>
  </si>
  <si>
    <t>ΜΑΡΙΕΤΤΑ</t>
  </si>
  <si>
    <t>ΑΗ448323</t>
  </si>
  <si>
    <t>Χ625132</t>
  </si>
  <si>
    <t>ΑΗ262735</t>
  </si>
  <si>
    <t>ΣΤΑΥΡΑΚΑΚΗ</t>
  </si>
  <si>
    <t>ΑΚ744470</t>
  </si>
  <si>
    <t>Χ960391</t>
  </si>
  <si>
    <t>ΚΥΡΜΙΖΑΚΗΣ</t>
  </si>
  <si>
    <t>ΕΥΑΓΓΕΛΟΣ ΝΙΚΗΦΟΡΟΣ</t>
  </si>
  <si>
    <t>ΑΖ609505</t>
  </si>
  <si>
    <t>ΣΑΜΟΙΛΗΣ</t>
  </si>
  <si>
    <t>ΑΖ257862</t>
  </si>
  <si>
    <t>ΑΒ755025</t>
  </si>
  <si>
    <t>ΑΒ412772</t>
  </si>
  <si>
    <t>ΑΗ785482</t>
  </si>
  <si>
    <t>ΡΑΠΕΛΛΑ</t>
  </si>
  <si>
    <t>Φ080832</t>
  </si>
  <si>
    <t>ΜΠΑΡΑΚΟΥ</t>
  </si>
  <si>
    <t>ΑΟ859533</t>
  </si>
  <si>
    <t>ΑΚ972095</t>
  </si>
  <si>
    <t>ΚΡΟΜΜΥΔΑ</t>
  </si>
  <si>
    <t>ΑΗ067016</t>
  </si>
  <si>
    <t>ΔΗΜΟΥΛΙΑ</t>
  </si>
  <si>
    <t>ΑΕ698619</t>
  </si>
  <si>
    <t>ΖΙΓΚΑ</t>
  </si>
  <si>
    <t>ΑΖ141397</t>
  </si>
  <si>
    <t>ΜΠΙΛΗΣ</t>
  </si>
  <si>
    <t>ΘΕΟΔΩΡΟΣ ΜΠΙΛΗΣ</t>
  </si>
  <si>
    <t>ΑΝ794057</t>
  </si>
  <si>
    <t>ΣΙΝΓΚ</t>
  </si>
  <si>
    <t>ΜΑΡΙΟΣ ΜΠΑΛΒΙΝΤΕΡ</t>
  </si>
  <si>
    <t>ΑΗ228319</t>
  </si>
  <si>
    <t>ΣΙΝΤΟΥ</t>
  </si>
  <si>
    <t>ΑΟ267373</t>
  </si>
  <si>
    <t>ΣΤΟΙΔΟΥ</t>
  </si>
  <si>
    <t>ΑΗ332553</t>
  </si>
  <si>
    <t>ΣΙΜΟΣ</t>
  </si>
  <si>
    <t>ΑΟ669173</t>
  </si>
  <si>
    <t>ΛΟΥΚΟΠΟΥΛΟΥ</t>
  </si>
  <si>
    <t>ΑΖ713152</t>
  </si>
  <si>
    <t xml:space="preserve">ΧΑΤΖΗΙΩΑΝΝΟΥ </t>
  </si>
  <si>
    <t xml:space="preserve">ΠΑΡΑΣΧΟΣ </t>
  </si>
  <si>
    <t>ΑΖ382837</t>
  </si>
  <si>
    <t>ΠΕΠΕ</t>
  </si>
  <si>
    <t>ΑΟ715638</t>
  </si>
  <si>
    <t>ΑΒ101478</t>
  </si>
  <si>
    <t>ΠΑΝΑΓΙΩΤΑΚΗ</t>
  </si>
  <si>
    <t>ΑΗ469743</t>
  </si>
  <si>
    <t>ΠΑΝΤΖΑΡΤΖΙΔΟΥ</t>
  </si>
  <si>
    <t>ΑΖ331956</t>
  </si>
  <si>
    <t>ΑΗ592862</t>
  </si>
  <si>
    <t>ΚΑΛΑΠΑΝΙΔΑ</t>
  </si>
  <si>
    <t>ΑΙ299096</t>
  </si>
  <si>
    <t>ΑΝ349961</t>
  </si>
  <si>
    <t>ΙΘΩΜΗ</t>
  </si>
  <si>
    <t>ΑΜ698438</t>
  </si>
  <si>
    <t>ΚΟΝΤΟΔΗΜΟΥ</t>
  </si>
  <si>
    <t>ΑΗ743047</t>
  </si>
  <si>
    <t>ΚΡΟΜΛΙΔΟΥ</t>
  </si>
  <si>
    <t>ΑΖ325261</t>
  </si>
  <si>
    <t>ΑΕ078137</t>
  </si>
  <si>
    <t>ΔΗΜΑΔΗ</t>
  </si>
  <si>
    <t>ΑΖ478700</t>
  </si>
  <si>
    <t>ΑΗ478048</t>
  </si>
  <si>
    <t>ΑΕ582199</t>
  </si>
  <si>
    <t>ΑΡΜΥΡΙΩΤΗ</t>
  </si>
  <si>
    <t>ΑΒ980716</t>
  </si>
  <si>
    <t>ΑΗ268763</t>
  </si>
  <si>
    <t>ΚΡΙΝΑ</t>
  </si>
  <si>
    <t>ΑΙ216603</t>
  </si>
  <si>
    <t>ΑΒ711056</t>
  </si>
  <si>
    <t>ΑΗ913122</t>
  </si>
  <si>
    <t>ΑΖ327863</t>
  </si>
  <si>
    <t>ΛΑΜΠΡΑΚΗΣ</t>
  </si>
  <si>
    <t>ΑΟ636665</t>
  </si>
  <si>
    <t>ΑΕ247248</t>
  </si>
  <si>
    <t>ΠΑΡΟΥΤΙΑΔΟΥ</t>
  </si>
  <si>
    <t>ΙΩΣΗΦΙΝΑ</t>
  </si>
  <si>
    <t>ΑΝ841038</t>
  </si>
  <si>
    <t>ΔΑΡΚΑΔΑΚΗ</t>
  </si>
  <si>
    <t>ΑΖ227744</t>
  </si>
  <si>
    <t>Χ876153</t>
  </si>
  <si>
    <t>ΣΤΡΕΚΛΑ</t>
  </si>
  <si>
    <t>ΑΑ317435</t>
  </si>
  <si>
    <t>ΓΙΑΚΟΥΜΗ</t>
  </si>
  <si>
    <t>ΑΕ265278</t>
  </si>
  <si>
    <t>ΙΣΛΑΜΑΙ</t>
  </si>
  <si>
    <t>ΜΑΡΙΝΕΛΑ</t>
  </si>
  <si>
    <t>ΜΠΕΣΝΙΚ</t>
  </si>
  <si>
    <t>ΑΝ712855</t>
  </si>
  <si>
    <t>ΡΙΚΟΥ</t>
  </si>
  <si>
    <t>ΑΒ819433</t>
  </si>
  <si>
    <t>ΓΟΥΛΙΕΛΜΟΣ</t>
  </si>
  <si>
    <t>ΑΙ246269</t>
  </si>
  <si>
    <t>ΔΡΑΚΑΚΗ</t>
  </si>
  <si>
    <t>ΔΗΜΟΚΡΑΤΙΑ</t>
  </si>
  <si>
    <t>ΑΚ470450</t>
  </si>
  <si>
    <t>ΚΟΥΤΣΙΑΡΓΙΩΤΗ</t>
  </si>
  <si>
    <t>ΑΖ784180</t>
  </si>
  <si>
    <t>ΡΟΥΜΠΙΕ</t>
  </si>
  <si>
    <t>ΜΙΧΑΛΙΝΑ</t>
  </si>
  <si>
    <t>Χ977320</t>
  </si>
  <si>
    <t>ΑΝΘΟΠΟΥΛΟΣ</t>
  </si>
  <si>
    <t>ΑΕ361706</t>
  </si>
  <si>
    <t>ΑΝΤΙΓΟΝΗ ΠΑΡΑΣΚΕΥΗ</t>
  </si>
  <si>
    <t>ΑΗ358858</t>
  </si>
  <si>
    <t>ΧΑΤΖΗΔΗΜΗΤΡΙΟΥ</t>
  </si>
  <si>
    <t>ΑΒ632295</t>
  </si>
  <si>
    <t>ΘΕΟΛΟΓΙΑ</t>
  </si>
  <si>
    <t>ΑΖ7999955</t>
  </si>
  <si>
    <t>ΖΥΓΟΡΟΝΙΚΟΥ</t>
  </si>
  <si>
    <t>ΑΙ822085</t>
  </si>
  <si>
    <t>ΔΑΣΟΠΟΥΛΟΥ</t>
  </si>
  <si>
    <t>Ρ949382</t>
  </si>
  <si>
    <t>ΓΑΛΗΝΟΥ</t>
  </si>
  <si>
    <t>ΓΑΛΗΝΗ ΕΛΕΥΘΕΡΙΑ</t>
  </si>
  <si>
    <t>ΑΝ201578</t>
  </si>
  <si>
    <t>ΔΑΡΔΑ</t>
  </si>
  <si>
    <t>ΑΗ789804</t>
  </si>
  <si>
    <t>ΑΙ316997</t>
  </si>
  <si>
    <t>ΑΒ422236</t>
  </si>
  <si>
    <t>ΛΙΟΥΣΑ</t>
  </si>
  <si>
    <t>ΛΙΝΑ</t>
  </si>
  <si>
    <t>ΘΕΟΛΟΓΗΣ</t>
  </si>
  <si>
    <t>Χ956490</t>
  </si>
  <si>
    <t>ΝΑΣΙΟΠΟΥΛΟΥ</t>
  </si>
  <si>
    <t>Σ891489</t>
  </si>
  <si>
    <t>ΣΟΥΛΟΒΑΡΙ</t>
  </si>
  <si>
    <t>ΜΙΓΚΕΝΑ</t>
  </si>
  <si>
    <t>ΑΚ766834</t>
  </si>
  <si>
    <t>ΑΗ352422</t>
  </si>
  <si>
    <t>ΣΥΔΟΥΚΑ</t>
  </si>
  <si>
    <t>ΑΒ434417</t>
  </si>
  <si>
    <t>ΑΙ358798</t>
  </si>
  <si>
    <t>ΑΖ683752</t>
  </si>
  <si>
    <t>ΣΤΑΜΙΡΗ</t>
  </si>
  <si>
    <t>ΑΙ206659</t>
  </si>
  <si>
    <t>ΑΖ915302</t>
  </si>
  <si>
    <t>ΑΒ200243</t>
  </si>
  <si>
    <t>ΑΝ016805</t>
  </si>
  <si>
    <t>ΣΕΒΑΣΤΗ ΟΛΥΜΠΙΑ</t>
  </si>
  <si>
    <t>ΑΟ684495</t>
  </si>
  <si>
    <t>ΨΥΛΛΟΠΟΥΛΟΥ</t>
  </si>
  <si>
    <t>ΑΙ847522</t>
  </si>
  <si>
    <t>ΖΑΦΕΙΡΙΑΔΗ</t>
  </si>
  <si>
    <t>ΑΒ656906</t>
  </si>
  <si>
    <t>ΤΣΑΠΑΛΗ</t>
  </si>
  <si>
    <t>ΑΗ225076</t>
  </si>
  <si>
    <t>ΚΟΛΟΚΑ</t>
  </si>
  <si>
    <t>ΑΒ807495</t>
  </si>
  <si>
    <t>ΦΟΥΚΗ</t>
  </si>
  <si>
    <t>ΑΡ056734</t>
  </si>
  <si>
    <t>ΛΥΤΡΑ</t>
  </si>
  <si>
    <t>ΑΙ950571</t>
  </si>
  <si>
    <t>ΚΑΤΑΣΙΔΟΥ</t>
  </si>
  <si>
    <t>ΑΚ446502</t>
  </si>
  <si>
    <t>ΜΑΡΤΖΑΚΛΗ</t>
  </si>
  <si>
    <t>ΑΕ230371</t>
  </si>
  <si>
    <t>ΜΑΝΑΡΙΔΟΥ</t>
  </si>
  <si>
    <t>ΑΟ266762</t>
  </si>
  <si>
    <t>ΤΙΡΕΚΙΔΟΥ</t>
  </si>
  <si>
    <t>ΑΚ249863</t>
  </si>
  <si>
    <t>ΑΙ405612</t>
  </si>
  <si>
    <t>ΜΙΧΑΛΟΓΛΟΥ</t>
  </si>
  <si>
    <t>ΑΗ370305</t>
  </si>
  <si>
    <t>ΑΙ256429</t>
  </si>
  <si>
    <t>ΑΙ255526</t>
  </si>
  <si>
    <t>ΑΙ441324</t>
  </si>
  <si>
    <t>ΚΑΠΠΗΣ</t>
  </si>
  <si>
    <t>ΑΟ341127</t>
  </si>
  <si>
    <t>ΜΠΑΚΙΡΗ</t>
  </si>
  <si>
    <t>ΑΟ023265</t>
  </si>
  <si>
    <t>ΓΙΑΝΝΑΛΗ</t>
  </si>
  <si>
    <t>ΑΟ130874</t>
  </si>
  <si>
    <t>ΡΑΦΑΕΛΛΑ</t>
  </si>
  <si>
    <t>ΑΗ792732</t>
  </si>
  <si>
    <t>ΑΛΕΞΑΝΔΡΑ ΑΙΚΑΤΕΡΙΝΗ</t>
  </si>
  <si>
    <t>ΑΜ973882</t>
  </si>
  <si>
    <t>ΑΒ105645</t>
  </si>
  <si>
    <t>ΑΖ124727</t>
  </si>
  <si>
    <t>ΑΙ451679</t>
  </si>
  <si>
    <t>ΑΝ732490</t>
  </si>
  <si>
    <t>ΑΝΔΡΕΑΚΗ</t>
  </si>
  <si>
    <t>ΑΗ388214</t>
  </si>
  <si>
    <t>ΑΜ832132</t>
  </si>
  <si>
    <t>ΚΙΑΚΗ</t>
  </si>
  <si>
    <t>ΑΚ774118</t>
  </si>
  <si>
    <t>ΣΑΧΝΑΖΑΡ</t>
  </si>
  <si>
    <t>ΚΑΡΜΕΝ</t>
  </si>
  <si>
    <t>ΑΡΤΙΝ</t>
  </si>
  <si>
    <t>ΑΕ907119</t>
  </si>
  <si>
    <t>ΚΑΜΟΥΛΑΚΟΣ</t>
  </si>
  <si>
    <t>ΑΕ502846</t>
  </si>
  <si>
    <t>ΑΕ491682</t>
  </si>
  <si>
    <t>ΑΗ220301</t>
  </si>
  <si>
    <t>ΚΟΛΛΙΑΣ</t>
  </si>
  <si>
    <t>ΑΚ242490</t>
  </si>
  <si>
    <t>ΛΕΝΤΖΑ</t>
  </si>
  <si>
    <t>ΑΖ589652</t>
  </si>
  <si>
    <t>ΕΛΕΝΗ ΔΗΜΗΤΡΑ</t>
  </si>
  <si>
    <t>ΑΗ364818</t>
  </si>
  <si>
    <t>ΛΑΠΠΑΣ ΚΩΣΤΟΠΟΥΛΟΣ</t>
  </si>
  <si>
    <t>ΑΗ242688</t>
  </si>
  <si>
    <t>ΑΝ350608</t>
  </si>
  <si>
    <t>ΒΑΛΑΡΗ</t>
  </si>
  <si>
    <t>ΔΑΝΙΕΛΛΑ</t>
  </si>
  <si>
    <t>ΑΙ284213</t>
  </si>
  <si>
    <t>ΑΗ779368</t>
  </si>
  <si>
    <t>ΑΝ127659</t>
  </si>
  <si>
    <t>ΚΑΤΣΙΛΟΥΛΗ</t>
  </si>
  <si>
    <t>ΑΙ836726</t>
  </si>
  <si>
    <t>ΑΝ125811</t>
  </si>
  <si>
    <t>ΜΠΡΟΥΤΣΟΥ</t>
  </si>
  <si>
    <t>ΑΟ957312</t>
  </si>
  <si>
    <t>ΛΙΑΜΠΟΥ</t>
  </si>
  <si>
    <t>ΔΑΝΑΗ ΕΥΑΓΓΕΛΙΑ</t>
  </si>
  <si>
    <t>ΑΕ996198</t>
  </si>
  <si>
    <t>ΜΥΡΣΙΑΔΗ</t>
  </si>
  <si>
    <t>ΑΜ115820</t>
  </si>
  <si>
    <t>ΚΟΛΑΖΑ</t>
  </si>
  <si>
    <t>ΑΗ220436</t>
  </si>
  <si>
    <t>ΑΕ269685</t>
  </si>
  <si>
    <t>ΤΣΟΥΛΕΛΛΗ</t>
  </si>
  <si>
    <t>ΜΑΡΙΑ ΤΑΞΙΑΡΧΟΥΛΑ</t>
  </si>
  <si>
    <t>ΑΕ427450</t>
  </si>
  <si>
    <t>ΑΖ299401</t>
  </si>
  <si>
    <t>ΚΑΧΠΑΝΗ</t>
  </si>
  <si>
    <t>ΑΕ546868</t>
  </si>
  <si>
    <t>ΧΑΙΚΑΛΗ</t>
  </si>
  <si>
    <t>ΑΟ313702</t>
  </si>
  <si>
    <t>ΑΗ243477</t>
  </si>
  <si>
    <t>ΧΟΥΛΗ</t>
  </si>
  <si>
    <t>ΑΕ989726</t>
  </si>
  <si>
    <t>ΑΗ792794</t>
  </si>
  <si>
    <t>ΠΑΠΑΝΑΤΣΙΟΥ</t>
  </si>
  <si>
    <t>ΑΗ763166</t>
  </si>
  <si>
    <t>Σ462377</t>
  </si>
  <si>
    <t>ΒΟΥΓΙΟΥΝΔΡΟΥΚΑ</t>
  </si>
  <si>
    <t>Χ476832</t>
  </si>
  <si>
    <t>EMILOVA</t>
  </si>
  <si>
    <t>SLAVOMIRA</t>
  </si>
  <si>
    <t>MIROSLAV</t>
  </si>
  <si>
    <t>ΛΙΑΝΙΔΗΣ</t>
  </si>
  <si>
    <t>ΧΡΗΣΤΟΣ ΡΑΦΑΗΛ</t>
  </si>
  <si>
    <t>ΑΖ684191</t>
  </si>
  <si>
    <t>ΜΠΑΜΠΗ</t>
  </si>
  <si>
    <t>ΛΕΥΤΕΡΗΣ</t>
  </si>
  <si>
    <t>ΑΗ226141</t>
  </si>
  <si>
    <t>ΑΙ509826</t>
  </si>
  <si>
    <t>ΑΖ797983</t>
  </si>
  <si>
    <t>ΑΖ537919</t>
  </si>
  <si>
    <t>ΑΒ110335</t>
  </si>
  <si>
    <t>ΔΟΜΖΑΡΙΔΟΥ</t>
  </si>
  <si>
    <t>ΓΕΩΡΓΙΑ ΠΑΝΑΓΙΩΤΑ</t>
  </si>
  <si>
    <t>ΑΖ886150</t>
  </si>
  <si>
    <t>ΕΛΕΥΘΕΡΑΚΗ</t>
  </si>
  <si>
    <t>ΑΕ119912</t>
  </si>
  <si>
    <t>ΕΥΘΥΜΙΑΔΟΥ</t>
  </si>
  <si>
    <t>ΑΕ361041</t>
  </si>
  <si>
    <t>ΑΜ669895</t>
  </si>
  <si>
    <t>ΠΕΛΕΚΟΥΔΑ</t>
  </si>
  <si>
    <t>ΑΜ366015</t>
  </si>
  <si>
    <t>ΚΑΡΑΤΖΑ</t>
  </si>
  <si>
    <t>ΑΑ023227</t>
  </si>
  <si>
    <t>ΑΚ898439</t>
  </si>
  <si>
    <t>Χ838023</t>
  </si>
  <si>
    <t>ΤΖΙΑΡΑ</t>
  </si>
  <si>
    <t>ΜΑΡΙΑΛΕΝΑ</t>
  </si>
  <si>
    <t>ΑΖ798081</t>
  </si>
  <si>
    <t>Χ096850</t>
  </si>
  <si>
    <t>ΑΖ798040</t>
  </si>
  <si>
    <t>ΤΡΑΧΙΛΗ</t>
  </si>
  <si>
    <t>ΑΘΑΝΑΣΙΑ ΜΑΡΓΑΡΙΤΑ</t>
  </si>
  <si>
    <t>ΑΚ681645</t>
  </si>
  <si>
    <t>ΓΚΟΥΝΤΕΛΑ</t>
  </si>
  <si>
    <t>ΑΖ298214</t>
  </si>
  <si>
    <t>ΜΠΑΛΕΣΗ</t>
  </si>
  <si>
    <t>ΓΕΩΡΓΙΑ ΚΥΡΙΑΚΗ</t>
  </si>
  <si>
    <t>ΑΝ546768</t>
  </si>
  <si>
    <t>ΑΙ769064</t>
  </si>
  <si>
    <t>ΜΑΝΤΑ</t>
  </si>
  <si>
    <t>ΑΑ318381</t>
  </si>
  <si>
    <t>ΚΟΥΛΟΥΡΗ</t>
  </si>
  <si>
    <t>ΑΒ751320</t>
  </si>
  <si>
    <t>ΑΗ816615</t>
  </si>
  <si>
    <t>ΤΣΟΝΑΚΑΣ</t>
  </si>
  <si>
    <t>ΑΗ090804</t>
  </si>
  <si>
    <t>ΟΥΓΓΡΙΝΗ</t>
  </si>
  <si>
    <t>ΑΖ811061</t>
  </si>
  <si>
    <t>ΑΚ868243</t>
  </si>
  <si>
    <t>ΑΝ513160</t>
  </si>
  <si>
    <t>ΚΑΡΚΑΝΑΚΗ</t>
  </si>
  <si>
    <t>ΑΙ944564</t>
  </si>
  <si>
    <t>ΑΝ261736</t>
  </si>
  <si>
    <t>ΚΑΤΣΑΠΡΑΚΑΚΗΣ</t>
  </si>
  <si>
    <t>ΑΒ961988</t>
  </si>
  <si>
    <t xml:space="preserve">ΖΑΓΚΙΝΑ </t>
  </si>
  <si>
    <t>Φ238586</t>
  </si>
  <si>
    <t>GKOUASTELLA</t>
  </si>
  <si>
    <t>AIKATERINI</t>
  </si>
  <si>
    <t>MICHAIL GEORGIOS</t>
  </si>
  <si>
    <t>ΑΖ603061</t>
  </si>
  <si>
    <t>ΒΑΒΟΥΛΗ</t>
  </si>
  <si>
    <t>ΔΕΣΤΕΜΠΑΣΙΔΟΥ</t>
  </si>
  <si>
    <t xml:space="preserve">ΘΕΟΔΩΡΟΣ </t>
  </si>
  <si>
    <t>ΑΜ708005</t>
  </si>
  <si>
    <t>ΚΟΥΝΙΟΥ</t>
  </si>
  <si>
    <t>ΑΗ364338</t>
  </si>
  <si>
    <t>ΚΩΝΣΤΑΝΤΙΝΑ ΣΤΥΛΙΑΝΗ</t>
  </si>
  <si>
    <t>ΑΒ251727</t>
  </si>
  <si>
    <t>ΑΒ147759</t>
  </si>
  <si>
    <t>ΑΥΓΕΡΙΝΟΣ</t>
  </si>
  <si>
    <t>ΑΖ849440</t>
  </si>
  <si>
    <t>ΒΥΡΩΝ</t>
  </si>
  <si>
    <t>ΑΜ062436</t>
  </si>
  <si>
    <t>ΑΑ490671</t>
  </si>
  <si>
    <t>ΜΟΥΡΔΟΥΚΟΥΤΑ</t>
  </si>
  <si>
    <t>ΑΕ743667</t>
  </si>
  <si>
    <t>ΤΑΠΙΔΟΥ</t>
  </si>
  <si>
    <t>ΑΒ443715</t>
  </si>
  <si>
    <t>ΑΒ216141</t>
  </si>
  <si>
    <t>ΜΑΣΛΑΡΗ</t>
  </si>
  <si>
    <t>ΑΝ753328</t>
  </si>
  <si>
    <t>ΠΑΠΑΡΟΥΝΗΣ</t>
  </si>
  <si>
    <t>ΑΚ388165</t>
  </si>
  <si>
    <t>ΤΟΜΑΡΑ</t>
  </si>
  <si>
    <t>ΑΒ054794</t>
  </si>
  <si>
    <t>ΤΣΑΠΕ</t>
  </si>
  <si>
    <t>ΔΟΝΑΤΟΣ</t>
  </si>
  <si>
    <t>ΑΖ751321</t>
  </si>
  <si>
    <t>ΑΖ797421</t>
  </si>
  <si>
    <t>ΚΑΤΣΑΜΠΑΝΗ</t>
  </si>
  <si>
    <t>ΧΡΥΣΤΑΛΛΑ</t>
  </si>
  <si>
    <t>ΑΒ084054</t>
  </si>
  <si>
    <t>ΣΕΛΙΝΗ</t>
  </si>
  <si>
    <t>ΑΙ181279</t>
  </si>
  <si>
    <t>ΜΑΓΚΑ</t>
  </si>
  <si>
    <t>ΑΗ809831</t>
  </si>
  <si>
    <t>ΓΟΓΑΛΗ</t>
  </si>
  <si>
    <t>ΑΕ290424</t>
  </si>
  <si>
    <t>ΚΟΡΔΕΛΛΑ</t>
  </si>
  <si>
    <t>ΜΑΓΔΑΛΗΝΗ ΝΙΚΟΛ</t>
  </si>
  <si>
    <t>ΑΖ339236</t>
  </si>
  <si>
    <t>ΜΑΛΑΚΤΑΡΗ</t>
  </si>
  <si>
    <t>ΑΒ034224</t>
  </si>
  <si>
    <t>ΚΑΤΕΡΓΑΡΗ</t>
  </si>
  <si>
    <t>ΑΖ912110</t>
  </si>
  <si>
    <t>ΑΑ789633</t>
  </si>
  <si>
    <t>ΛΟΚΟΒΙΤΟΥ</t>
  </si>
  <si>
    <t>ΑΒ166023</t>
  </si>
  <si>
    <t>ΠΑΠΑΖΗΣ</t>
  </si>
  <si>
    <t>ΑΟ202468</t>
  </si>
  <si>
    <t>ΚΥΡΙΤΟΠΟΥΛΟΥ</t>
  </si>
  <si>
    <t>ΑΙ761196</t>
  </si>
  <si>
    <t>ΓΚΑΡΑΝΑΤΣΗ</t>
  </si>
  <si>
    <t>ΑΚ329742</t>
  </si>
  <si>
    <t>ΜΑΝΙΩΤΗ</t>
  </si>
  <si>
    <t>ΑΚ666710</t>
  </si>
  <si>
    <t>ΠΑΠΑΔΑΜΟΥ</t>
  </si>
  <si>
    <t xml:space="preserve">ΠΑΥΛΟΣ </t>
  </si>
  <si>
    <t>ΑΜ400895</t>
  </si>
  <si>
    <t>ΝΤΑΙΚΟΥ</t>
  </si>
  <si>
    <t>ΚΡΥΣΤΑΛΛΙΑ</t>
  </si>
  <si>
    <t>ΑΝ807654</t>
  </si>
  <si>
    <t>ΤΣΑΓΑΝΗ</t>
  </si>
  <si>
    <t>ΑΕ194049</t>
  </si>
  <si>
    <t>ΤΣΙΑΚΥΡΟΥΔΗ</t>
  </si>
  <si>
    <t>ΑΖ916588</t>
  </si>
  <si>
    <t>ΧΡΙΣΤΟΦΙΔΕΛΛΗ</t>
  </si>
  <si>
    <t>ΑΕ070959</t>
  </si>
  <si>
    <t>ΜΕΓΓΟΥΡΑ</t>
  </si>
  <si>
    <t>ΑΙ287982</t>
  </si>
  <si>
    <t>ΧΑΝΗ</t>
  </si>
  <si>
    <t>AΙΚΑΤΕΡΙΝΗ</t>
  </si>
  <si>
    <t>ΑΒ034121</t>
  </si>
  <si>
    <t>ΑΡ274930</t>
  </si>
  <si>
    <t xml:space="preserve">ΚΑΡΑΚΩΣΤΑ </t>
  </si>
  <si>
    <t>ΑΗ990546</t>
  </si>
  <si>
    <t>ΠΕΤΡΙΝΑ</t>
  </si>
  <si>
    <t>ΑΗ939230</t>
  </si>
  <si>
    <t>Φ216248</t>
  </si>
  <si>
    <t>ΑΗ185176</t>
  </si>
  <si>
    <t>ΜΠΑΧΑΡΗ</t>
  </si>
  <si>
    <t>ΑΙ219060</t>
  </si>
  <si>
    <t>ΜΠΛΑΤΣΙΟΥ</t>
  </si>
  <si>
    <t>ΑΙ313736</t>
  </si>
  <si>
    <t>ΑΖ539127</t>
  </si>
  <si>
    <t>ΔΕΜΠΗ</t>
  </si>
  <si>
    <t>ΑΚ614992</t>
  </si>
  <si>
    <t>ΑΖ265644</t>
  </si>
  <si>
    <t>ΚΑΡΠΟΥΖΟΥ</t>
  </si>
  <si>
    <t>ΑΟ139501</t>
  </si>
  <si>
    <t>ΚΟΥΤΣΙΟΥΜΑΡΗ</t>
  </si>
  <si>
    <t>ΑΗ085729</t>
  </si>
  <si>
    <t>ΣΜΥΡΗ</t>
  </si>
  <si>
    <t>ΑΙ652239</t>
  </si>
  <si>
    <t>ΓΑΤΟΥ</t>
  </si>
  <si>
    <t>ΑΗ990570</t>
  </si>
  <si>
    <t>ΣΤΑΜΑΤΟΓΛΟΥ</t>
  </si>
  <si>
    <t>ΑΒ070929</t>
  </si>
  <si>
    <t>Χ156270</t>
  </si>
  <si>
    <t>ΚΑΡΚΟΥΛΙΑΣ</t>
  </si>
  <si>
    <t>ΑΗ210042</t>
  </si>
  <si>
    <t>ΑΗ594298</t>
  </si>
  <si>
    <t>ΑΑ472768</t>
  </si>
  <si>
    <t>ΑΗ622453</t>
  </si>
  <si>
    <t>ΑΕ325353</t>
  </si>
  <si>
    <t>ΜΠΟΓΟΥΔΗ</t>
  </si>
  <si>
    <t>ΑΗ428803</t>
  </si>
  <si>
    <t>ΑΖ022366</t>
  </si>
  <si>
    <t>ΜΠΙΦΣΑΣ</t>
  </si>
  <si>
    <t>ΤΟΥΡΑΛΗ</t>
  </si>
  <si>
    <t>ΑΖ657000</t>
  </si>
  <si>
    <t>ΓΚΑΛΟΝΑΚΗ</t>
  </si>
  <si>
    <t>ΑΝ802362</t>
  </si>
  <si>
    <t>ΜΙΧΑΛΑΚΗ</t>
  </si>
  <si>
    <t>ΑΖ465063</t>
  </si>
  <si>
    <t>ΣΙΩΜΟΣ</t>
  </si>
  <si>
    <t>ΣΙΜΙΤΖΗ</t>
  </si>
  <si>
    <t>ΑΟ606762</t>
  </si>
  <si>
    <t>ΜΑΓΔΑΚΗ</t>
  </si>
  <si>
    <t>ΑΙ728365</t>
  </si>
  <si>
    <t>ΚΟΒΕ</t>
  </si>
  <si>
    <t>ΠΥΡΟ</t>
  </si>
  <si>
    <t>ΑΜ679784</t>
  </si>
  <si>
    <t>ΞΥΔΑΚΗ</t>
  </si>
  <si>
    <t>ΑΡ419540</t>
  </si>
  <si>
    <t>ΘΩΜΑ</t>
  </si>
  <si>
    <t>ΑΝ542822</t>
  </si>
  <si>
    <t>Χ244422</t>
  </si>
  <si>
    <t>ΑΕ162492</t>
  </si>
  <si>
    <t>ΔΗΜΟΥΛΟΥ</t>
  </si>
  <si>
    <t>ΑΗ262052</t>
  </si>
  <si>
    <t>ΑΖ790655</t>
  </si>
  <si>
    <t>ΑΗ119326</t>
  </si>
  <si>
    <t>ΡΗΓΑΤΟΥ</t>
  </si>
  <si>
    <t xml:space="preserve">ΙΩΑΝΝΑ ΜΑΡΙΑ </t>
  </si>
  <si>
    <t>ΑΗ070384</t>
  </si>
  <si>
    <t>ΛΥΣΑΡΗ</t>
  </si>
  <si>
    <t>BINAJ</t>
  </si>
  <si>
    <t>KATERINA</t>
  </si>
  <si>
    <t>ODISE</t>
  </si>
  <si>
    <t>Ρ00276422</t>
  </si>
  <si>
    <t>ΑΚ376988</t>
  </si>
  <si>
    <t>ΚΑΚΟΥΡΗ</t>
  </si>
  <si>
    <t>ΑΟ822474</t>
  </si>
  <si>
    <t>ΤΣΑΚΙΔΟΥ</t>
  </si>
  <si>
    <t>ΑΝ891364</t>
  </si>
  <si>
    <t>ΑΝ664309</t>
  </si>
  <si>
    <t>ΖΟΥΝΗ</t>
  </si>
  <si>
    <t>ΑΖ676500</t>
  </si>
  <si>
    <t>ΨΟΧΙΟΥ</t>
  </si>
  <si>
    <t>Φ321054</t>
  </si>
  <si>
    <t>ΚΑΖΟΥΡΗ</t>
  </si>
  <si>
    <t>ΑΑ029983</t>
  </si>
  <si>
    <t>ΠΑΠΑΔΟΜΑΝΩΛΑΚΗ</t>
  </si>
  <si>
    <t>ΑΙ441386</t>
  </si>
  <si>
    <t>ΑΜ241311</t>
  </si>
  <si>
    <t>ΑΗ812127</t>
  </si>
  <si>
    <t>ΜΠΟΥΓΑ</t>
  </si>
  <si>
    <t>ΑΕ753802</t>
  </si>
  <si>
    <t>ΤΡΑΓΟΜΑΛΑ</t>
  </si>
  <si>
    <t>ΑΗ232782</t>
  </si>
  <si>
    <t>ΓΚΟΡΙΑ</t>
  </si>
  <si>
    <t>ΑΖ214868</t>
  </si>
  <si>
    <t>ΚΙΟΥΡΚΤΣΗ</t>
  </si>
  <si>
    <t>Τ432474</t>
  </si>
  <si>
    <t>ΑΙ035392</t>
  </si>
  <si>
    <t>ΠΟΥΛΗΜΕΝΟΥ</t>
  </si>
  <si>
    <t>Φ269861</t>
  </si>
  <si>
    <t>ΑΟ369998</t>
  </si>
  <si>
    <t>ΚΟΥΚΟΤΙΔΟΥ</t>
  </si>
  <si>
    <t>ΑΗ353711</t>
  </si>
  <si>
    <t>ΣΑΡΑΝΤΗ</t>
  </si>
  <si>
    <t>ΑΗ429012</t>
  </si>
  <si>
    <t>ΑΙ777838</t>
  </si>
  <si>
    <t>ΚΑΠΑΡΟΥΔΑΚΗ</t>
  </si>
  <si>
    <t>ΑΗ976924</t>
  </si>
  <si>
    <t>ΚΟΝΤΟΓΙΩΡΓΟΥ</t>
  </si>
  <si>
    <t>ΑΙ234711</t>
  </si>
  <si>
    <t>ΜΠΟΥΖΙΑΝΗ</t>
  </si>
  <si>
    <t>ΑΕ732997</t>
  </si>
  <si>
    <t>ΝΤΑΗ</t>
  </si>
  <si>
    <t>ΑΕ807361</t>
  </si>
  <si>
    <t>ΦΙΛΟΣ</t>
  </si>
  <si>
    <t>ΑΙ321578</t>
  </si>
  <si>
    <t>ΠΑΠΑΛΕΩΝΙΔΟΠΟΥΛΟΥ</t>
  </si>
  <si>
    <t>ΑΗ714840</t>
  </si>
  <si>
    <t>ΑΒ446071</t>
  </si>
  <si>
    <t>ΘΕΟΔΩΡΑΚΟΠΟΥΛΟΥ</t>
  </si>
  <si>
    <t>Φ481012</t>
  </si>
  <si>
    <t>ΠΑΤΣΙΑ</t>
  </si>
  <si>
    <t>ΑΜ739894</t>
  </si>
  <si>
    <t>ΜΙΚΕ</t>
  </si>
  <si>
    <t>ΑΕ253265</t>
  </si>
  <si>
    <t>ΔΕΛΛΑΣ</t>
  </si>
  <si>
    <t>ΕΛΙΣΑΙΟΣ</t>
  </si>
  <si>
    <t>ΑΖ500341</t>
  </si>
  <si>
    <t>ΑΙ759651</t>
  </si>
  <si>
    <t>ΚΟΝΤΑΡΑΤΟΥ</t>
  </si>
  <si>
    <t>ΑΕ469572</t>
  </si>
  <si>
    <t>ΑΙ020566</t>
  </si>
  <si>
    <t>ΑΝ392787</t>
  </si>
  <si>
    <t>ΒΟΥΡΣΟΥΚΗ</t>
  </si>
  <si>
    <t>ΑΚ876668</t>
  </si>
  <si>
    <t>ΦΙΛΙΠΠΟΠΟΥΛΟΥ</t>
  </si>
  <si>
    <t>ΑΚ317838</t>
  </si>
  <si>
    <t>ΦΡΑΝΤΖΕΣΚΑΚΗ</t>
  </si>
  <si>
    <t>ΜΑΡΙΑ ΠΑΡΑΣΚΕΥΗ</t>
  </si>
  <si>
    <t>ΑΙ783565</t>
  </si>
  <si>
    <t>ΓΚΡΙΤΖΕΠΗ</t>
  </si>
  <si>
    <t>ΑΙ985439</t>
  </si>
  <si>
    <t>ΣΕΜΑ</t>
  </si>
  <si>
    <t>ΑΚ548771</t>
  </si>
  <si>
    <t>ΑΗ230028</t>
  </si>
  <si>
    <t>ΑΟ304184</t>
  </si>
  <si>
    <t>ΧΑΡΩΝΙΤΗ</t>
  </si>
  <si>
    <t>ΑΗ461533</t>
  </si>
  <si>
    <t>ΑΗ011556</t>
  </si>
  <si>
    <t>ΟΚΟΥΜΟΥΣΗ</t>
  </si>
  <si>
    <t>ΑΗ567965</t>
  </si>
  <si>
    <t>ΨΥΧΑ</t>
  </si>
  <si>
    <t>Φ237991</t>
  </si>
  <si>
    <t>ΚΟΥΤΡΗ</t>
  </si>
  <si>
    <t>ΑΖ496508</t>
  </si>
  <si>
    <t>ΜΑΥΡΟΕΙΔΗΣ</t>
  </si>
  <si>
    <t>ΑΟ856905</t>
  </si>
  <si>
    <t>ΜΠΑΜΠΟΥΡΑ</t>
  </si>
  <si>
    <t>ΒΑΓΓΕΛΗΣ</t>
  </si>
  <si>
    <t>ΑΜ800778</t>
  </si>
  <si>
    <t>ΚΑΜΠΑΞΗ</t>
  </si>
  <si>
    <t>ΑΔΑΜΑΝΤΙΑ ΧΡΙΣΤΙΝΑ</t>
  </si>
  <si>
    <t>ΑΒ496528</t>
  </si>
  <si>
    <t>ΑΕ728139</t>
  </si>
  <si>
    <t>ΑΒ092253</t>
  </si>
  <si>
    <t>DOUKIANTZAKI</t>
  </si>
  <si>
    <t>ELENI</t>
  </si>
  <si>
    <t>EMMANOYIL</t>
  </si>
  <si>
    <t>ΑΑ373436</t>
  </si>
  <si>
    <t>ΑΙ988540</t>
  </si>
  <si>
    <t xml:space="preserve">ΠΑΛΑΝΤΖΑ </t>
  </si>
  <si>
    <t>ΑΜ813539</t>
  </si>
  <si>
    <t>ΑΗ487517</t>
  </si>
  <si>
    <t>ΚΑΡΙΧΗΜΑΚΗ</t>
  </si>
  <si>
    <t>ΑΖ464852</t>
  </si>
  <si>
    <t>ΑΟ347696</t>
  </si>
  <si>
    <t>ΓΙΑΠΙΤΖΑΚΗ</t>
  </si>
  <si>
    <t>ΑΖ969982</t>
  </si>
  <si>
    <t>ΑΓΑΠΙΔΟΥ</t>
  </si>
  <si>
    <t>ΑΚ873341</t>
  </si>
  <si>
    <t>ΕΙΡΗΝΗ ΑΛΕΞΑΝΔΡΑ</t>
  </si>
  <si>
    <t>ΑΚ260573</t>
  </si>
  <si>
    <t>Ρ317981</t>
  </si>
  <si>
    <t>ΔΟΥΛΓΕΡΑΚΗ</t>
  </si>
  <si>
    <t>ΑΖ458632</t>
  </si>
  <si>
    <t>ΕΛΕΝΗ ΗΛΙΑΝΑ</t>
  </si>
  <si>
    <t>ΑΖ286436</t>
  </si>
  <si>
    <t>ΚΟΥΤΖΑΟΥΣΤΑ</t>
  </si>
  <si>
    <t>ΑΝ779936</t>
  </si>
  <si>
    <t>ΣΙΜΙΤΣΗ</t>
  </si>
  <si>
    <t>ΑΜ109362</t>
  </si>
  <si>
    <t>ΓΑΒΡΑ</t>
  </si>
  <si>
    <t>ΑΗ618553</t>
  </si>
  <si>
    <t>ΚΑΖΟΓΛΟΥ</t>
  </si>
  <si>
    <t>ΑΒ874532</t>
  </si>
  <si>
    <t>ΜΑΡΓΙΕΤΑ</t>
  </si>
  <si>
    <t>ΣΚΟΝΤΑ</t>
  </si>
  <si>
    <t>ΑΗ786504</t>
  </si>
  <si>
    <t>ΚΟΥΡΑΤΟΡΑ</t>
  </si>
  <si>
    <t>ΑΒ190322</t>
  </si>
  <si>
    <t>ΑΚ680378</t>
  </si>
  <si>
    <t>ΚΑΡΑΜΑΝΟΥ</t>
  </si>
  <si>
    <t>ΑΡΙΣΤΕΙΔΗΣ ΣΤΥΛΙΑΝΟΣ</t>
  </si>
  <si>
    <t>Χ790846</t>
  </si>
  <si>
    <t>ΦΩΣΤΙΝΗ</t>
  </si>
  <si>
    <t>Χ788432</t>
  </si>
  <si>
    <t>ΤΑΣΟΥΛΑΣ</t>
  </si>
  <si>
    <t>ΑΚ619068</t>
  </si>
  <si>
    <t>ΚΥΡΑΝΟΣ</t>
  </si>
  <si>
    <t>ΑΟ763144</t>
  </si>
  <si>
    <t>ΜΟΣΧΟΛΙΟΥ</t>
  </si>
  <si>
    <t>ΑΗ350657</t>
  </si>
  <si>
    <t>ΔΕΡΒΙΣΗΣ</t>
  </si>
  <si>
    <t>ΑΝ358366</t>
  </si>
  <si>
    <t>ΕΛΕΟΥΣΑ</t>
  </si>
  <si>
    <t>ΑΙ230428</t>
  </si>
  <si>
    <t>ΦΟΥΡΑΚΗ</t>
  </si>
  <si>
    <t>ΑΗ472812</t>
  </si>
  <si>
    <t>ΑΗ292891</t>
  </si>
  <si>
    <t>ΑΜ009493</t>
  </si>
  <si>
    <t>ΚΑΛΦΟΠΟΥΟΛΟΥ</t>
  </si>
  <si>
    <t>ΑΟ079889</t>
  </si>
  <si>
    <t>ΒΑΣΣΟΥ</t>
  </si>
  <si>
    <t>Χ792472</t>
  </si>
  <si>
    <t>ΑΖ606891</t>
  </si>
  <si>
    <t>ΡΟΓΔΑΚΗ</t>
  </si>
  <si>
    <t>ΑΝ459820</t>
  </si>
  <si>
    <t>ΚΟΥΗ</t>
  </si>
  <si>
    <t>ΑΙ218522</t>
  </si>
  <si>
    <t>ΛΑΜΠΡΟΠΟΥΛΟΣ</t>
  </si>
  <si>
    <t>ΑΒ395952</t>
  </si>
  <si>
    <t>ΦΩΤΟΠΟΥΛΟΥ</t>
  </si>
  <si>
    <t>ΑΑ086188</t>
  </si>
  <si>
    <t>ΑΚ334203</t>
  </si>
  <si>
    <t>ΑΣΒΕΣΤΑΣ</t>
  </si>
  <si>
    <t>ΑΗ155647</t>
  </si>
  <si>
    <t>ΜΠΟΥΓΑΔΗ</t>
  </si>
  <si>
    <t xml:space="preserve">ΣΤΑΥΡΟΥΛΑ </t>
  </si>
  <si>
    <t>ΑΕ272074</t>
  </si>
  <si>
    <t>ΑΟ500264</t>
  </si>
  <si>
    <t>ΤΣΙΑΝΤΟΥΛΑ</t>
  </si>
  <si>
    <t>ΑΗ274168</t>
  </si>
  <si>
    <t>ΧΑΝΤΑΒΑΡΙΔΟΥ</t>
  </si>
  <si>
    <t>ΑΙ153974</t>
  </si>
  <si>
    <t>ΒΕΤΤΑ</t>
  </si>
  <si>
    <t>ΑΙ328164</t>
  </si>
  <si>
    <t>ΜΑΝΤΖΑΚΛΗ</t>
  </si>
  <si>
    <t>ΑΖ222249</t>
  </si>
  <si>
    <t>ΤΣΟΥΛΟΥΧΑ</t>
  </si>
  <si>
    <t>ΑΖ724821</t>
  </si>
  <si>
    <t>ΑΒ536939</t>
  </si>
  <si>
    <t>ΤΖΑΚΑ</t>
  </si>
  <si>
    <t>ΜΠΕΚΙΜ</t>
  </si>
  <si>
    <t>ΧΑΤΖΙ</t>
  </si>
  <si>
    <t>ΑΝ262997</t>
  </si>
  <si>
    <t>Χ953264</t>
  </si>
  <si>
    <t>ΘΩΜΑΤΟΓΛΟΥ</t>
  </si>
  <si>
    <t>ΑΒ458301</t>
  </si>
  <si>
    <t>ΚΟΥΜΟΥΤΣΙΔΗ</t>
  </si>
  <si>
    <t>ΑΗ736816</t>
  </si>
  <si>
    <t>ΠΟΤΑΜΟΠΟΥΛΟΥ</t>
  </si>
  <si>
    <t>ΑΙ731608</t>
  </si>
  <si>
    <t>ΜΕΓΑΛΑΚΑΚΗΣ</t>
  </si>
  <si>
    <t>ΑΟ004931</t>
  </si>
  <si>
    <t>ΣΑΒΟΙΔΑΚΗ</t>
  </si>
  <si>
    <t>ΑΒ182066</t>
  </si>
  <si>
    <t>ΟΥΖΟΥΝΙΔΟΥ</t>
  </si>
  <si>
    <t>ΑΜ602672</t>
  </si>
  <si>
    <t>ΣΕΡΕΣΛΗΣ</t>
  </si>
  <si>
    <t>ΑΙ244386</t>
  </si>
  <si>
    <t>ΑΒ325332</t>
  </si>
  <si>
    <t>ΚΟΝΤΕ ΧΑΣΑΝ</t>
  </si>
  <si>
    <t>ΜΠΟΥΣΡΑ</t>
  </si>
  <si>
    <t>ΜΑΜΟΥΤ</t>
  </si>
  <si>
    <t>ΑΖ905710</t>
  </si>
  <si>
    <t>ΑΒ374564</t>
  </si>
  <si>
    <t>ΚΑΜΟΥΖΗ</t>
  </si>
  <si>
    <t>ΑΗ731853</t>
  </si>
  <si>
    <t>ΑΗ617925</t>
  </si>
  <si>
    <t>ΖΕΡΒΟΠΟΥΛΟΣ</t>
  </si>
  <si>
    <t>ΑΑ398008</t>
  </si>
  <si>
    <t>ΜΟΥΡΑΤΙΔΗΣ</t>
  </si>
  <si>
    <t>ΣΑΜΨΩΝ</t>
  </si>
  <si>
    <t>ΑΡ289145</t>
  </si>
  <si>
    <t>ΜΑΓΓΑΣΑΡΙΔΟΥ</t>
  </si>
  <si>
    <t>ΜΠΟΡΙΣ</t>
  </si>
  <si>
    <t>ΑΡ289144</t>
  </si>
  <si>
    <t>ΑΙ218760</t>
  </si>
  <si>
    <t>ΜΗΤΟΥΛΑ</t>
  </si>
  <si>
    <t>Χ907247</t>
  </si>
  <si>
    <t>ΑΗ776976</t>
  </si>
  <si>
    <t>ΑΒ783500</t>
  </si>
  <si>
    <t>ΑΟ338814</t>
  </si>
  <si>
    <t>ΖΑΧΑΡΙΑΔΗΣ</t>
  </si>
  <si>
    <t>ΑΟ158992</t>
  </si>
  <si>
    <t>ΠΙΤΕΡΟΥ</t>
  </si>
  <si>
    <t>ΑΕ489290</t>
  </si>
  <si>
    <t>ΑΕ555439</t>
  </si>
  <si>
    <t>ΑΝ004432</t>
  </si>
  <si>
    <t>ΑΙ841122</t>
  </si>
  <si>
    <t>ΠΟΛΥΜΕΝΟΠΟΥΛΟΥ</t>
  </si>
  <si>
    <t>ΑΙ570837</t>
  </si>
  <si>
    <t>ΑΝΔΡΟΥΛΑΚΗ</t>
  </si>
  <si>
    <t>ΑΝ028220</t>
  </si>
  <si>
    <t>ΑΒ079681</t>
  </si>
  <si>
    <t>ΧΑΛΚΙΑΣ</t>
  </si>
  <si>
    <t>ΑΒ780908</t>
  </si>
  <si>
    <t>ΑΙ751416</t>
  </si>
  <si>
    <t>ΑΖ817538</t>
  </si>
  <si>
    <t>ΑΕ215071</t>
  </si>
  <si>
    <t>ΛΟΓΟΘΕΤΗ</t>
  </si>
  <si>
    <t>ΑΝ618610</t>
  </si>
  <si>
    <t>ΚΑΠΡΑΛΟΣ</t>
  </si>
  <si>
    <t>ΑΗ706676</t>
  </si>
  <si>
    <t>ΚΑΠΝΟΓΙΑΝΝΗ</t>
  </si>
  <si>
    <t>ΑΖ287563</t>
  </si>
  <si>
    <t>ΚΟΜΝΗΝΟΓΛΟΥ</t>
  </si>
  <si>
    <t>ΑΝ123510</t>
  </si>
  <si>
    <t>ΑΖ201012</t>
  </si>
  <si>
    <t>ΠΑΛΠΑΝΙΔΟΥ</t>
  </si>
  <si>
    <t>ΑΚ781240</t>
  </si>
  <si>
    <t>ΑΗ718275</t>
  </si>
  <si>
    <t>Σ110025</t>
  </si>
  <si>
    <t>ΑΖ094026</t>
  </si>
  <si>
    <t>ΙΑΚΩΒΙΝΑ</t>
  </si>
  <si>
    <t>ΑΗ442955</t>
  </si>
  <si>
    <t>ΤΣΙΜΠΑ</t>
  </si>
  <si>
    <t>ΑΒ001527</t>
  </si>
  <si>
    <t>ΧΑΣΑΠΛΑΔΑΚΗΣ</t>
  </si>
  <si>
    <t>ΔΗΜΗΤΡΙΟΣ ΛΕΩΝΙΔΑΣ</t>
  </si>
  <si>
    <t>ΑΖ240354</t>
  </si>
  <si>
    <t>ΑΜ024794</t>
  </si>
  <si>
    <t>ΚΕΡΤΣΕΚ</t>
  </si>
  <si>
    <t>ΕΛΗΦ</t>
  </si>
  <si>
    <t>ΑΚ444769</t>
  </si>
  <si>
    <t>ΜΩΡΙΑΤΗ</t>
  </si>
  <si>
    <t>ΑΟ609989</t>
  </si>
  <si>
    <t>ΚΑΓΚΕΛΑΡΗ</t>
  </si>
  <si>
    <t>ΑΚ998952</t>
  </si>
  <si>
    <t>ΝΙΚΙΔΗΣ</t>
  </si>
  <si>
    <t>ΑΚ300930</t>
  </si>
  <si>
    <t>2:Δεύτερο Πτυχίο Α.Ε.Ι</t>
  </si>
  <si>
    <t>3:Διδακτορικό Δίπλωμα</t>
  </si>
  <si>
    <t>4:Μεταπτυχιακός Τίτλος Σπουδών</t>
  </si>
  <si>
    <t>5:Άριστη Γνώση Ξένης Γλώσσας</t>
  </si>
  <si>
    <t>6:Πολύ Καλή Γνώση Ξένης Γλώσσας</t>
  </si>
  <si>
    <t>7:Καλή Γνώση Ξένης Γλώσσας</t>
  </si>
  <si>
    <t>8:Συνολική Βαθμολογία Ξένων Γλωσσών</t>
  </si>
  <si>
    <t>9:Γνώση Χειρισμού Η/Υ</t>
  </si>
  <si>
    <t>10:Επιμόρφωση Διάρκειας 300 Ωρών</t>
  </si>
  <si>
    <t>11:Συνολικός Βαθμός Ακαδημαϊκών Προσόντων</t>
  </si>
  <si>
    <t>12:Αριθμός Μηνών Εκπαιδευτικής Προϋπηρεσίας</t>
  </si>
  <si>
    <t>13:Βαθμολογία Εκπαιδευτικής Προϋπηρεσίας</t>
  </si>
  <si>
    <t>14:Αριθμός Μηνών Εκπ. Προϋπρ. σε Δυσπρόσιτες Σχ.Μονάδες</t>
  </si>
  <si>
    <t>15:Βαθμολογία Μηνών Εκπ. Προϋπρ. σε Δυσπρόσιτες Σχ.Μονάδες</t>
  </si>
  <si>
    <t>16:Αριθμός Μηνών Εκπ. Προϋπηρ. 3μηνης Διάρκειας</t>
  </si>
  <si>
    <t>17:Βαθμολογία Εκπ. Προϋπηρ. 3μηνης Διάρκειας</t>
  </si>
  <si>
    <t>18:Αριθμός Μηνών Εκπ. Προϋπ. 3μηνης Διάρκειας σε Δυσπρ. Σχ.Μονάδες</t>
  </si>
  <si>
    <t>19:Βαθμολογία Μηνών Εκπ. Προϋπ. 3μηνης Διάρκειας σε Δυσπρ. Σχ.Μονάδες</t>
  </si>
  <si>
    <t>20:Συνολική Βαθμολογία Προϋπηρεσίας</t>
  </si>
  <si>
    <t>21:Βαθμολογία Ανήλικων Τέκνων</t>
  </si>
  <si>
    <t>22:Βαθμολογία Ποσοστού Αναπηρίας</t>
  </si>
  <si>
    <t>23:Πιστοποιημένη Επάρκεια στην στην Ελληνική Γραφή Braille (ΕΓΒ)</t>
  </si>
  <si>
    <t>24:Πιστοποιημένη Επάρκεια στην Ελληνική Νοηματική Γλώσσα (ΕΝΓ)</t>
  </si>
  <si>
    <t>25:Παιδαγωγική Επάρκεια</t>
  </si>
  <si>
    <t>26:Πιστοποιημένη Εξειδίκευση στη Σχολική Ψυχολογία</t>
  </si>
  <si>
    <t>ΠΕ22 ΕΠΑΓΓΕΛΜΑΤΙΚΩΝ ΣΥΜΒΟΥΛΩΝ (ΘΕΣΗ 102)</t>
  </si>
  <si>
    <t>ΚΩΣΤΟΠΟΥΛΟΣ</t>
  </si>
  <si>
    <t xml:space="preserve">ΣΠΥΡΙΔΩΝ </t>
  </si>
  <si>
    <t>ΚΑΡΑΛΗΣ</t>
  </si>
  <si>
    <t>ΑΜ827312</t>
  </si>
  <si>
    <t>ΤΣΑΛΛΗ</t>
  </si>
  <si>
    <t>Π633815</t>
  </si>
  <si>
    <t>ΞΗΝΤΑΡΟΠΟΥΛΟΥ</t>
  </si>
  <si>
    <t>Χ218949</t>
  </si>
  <si>
    <t>ΑΕ590789</t>
  </si>
  <si>
    <t>ΓΕΡΑΝΤΖΗ</t>
  </si>
  <si>
    <t>ΑΒ873462</t>
  </si>
  <si>
    <t>ΤΣΑΓΚΑΣ</t>
  </si>
  <si>
    <t>Α1021466</t>
  </si>
  <si>
    <t>ΖΙΟΥΤΟΥ</t>
  </si>
  <si>
    <t>Χ206707</t>
  </si>
  <si>
    <t>ΚΥΡΓΙΟΥ</t>
  </si>
  <si>
    <t>ΚΡΙΚΟΧΩΡΙΤΗ</t>
  </si>
  <si>
    <t>ΠΗΓΗ</t>
  </si>
  <si>
    <t>ΑΙ269580</t>
  </si>
  <si>
    <t>ΠΑΝΑΓΙΩΤΑΡΟΥ</t>
  </si>
  <si>
    <t>ΑΖ715371</t>
  </si>
  <si>
    <t>ΦΡΑΓΚΑΚΗ</t>
  </si>
  <si>
    <t>ΑΙ942485</t>
  </si>
  <si>
    <t>ΜΠΑΛΩΜΕΝΟΥ</t>
  </si>
  <si>
    <t>ΖΗΚΟΥ</t>
  </si>
  <si>
    <t>Σ532776</t>
  </si>
  <si>
    <t>ΤΣΙΛΙΜΙΓΚΡΑ</t>
  </si>
  <si>
    <t>ΑΚ358384</t>
  </si>
  <si>
    <t>ΑΜ894708</t>
  </si>
  <si>
    <t xml:space="preserve">ΠΙΤΣΙΑΚΚΑΣ </t>
  </si>
  <si>
    <t>ΑΟ293977</t>
  </si>
  <si>
    <t>ΑΕ693108</t>
  </si>
  <si>
    <t>ΚΑΝΕΛΛΑ</t>
  </si>
  <si>
    <t>ΑΕ246559</t>
  </si>
  <si>
    <t>MANOYKA</t>
  </si>
  <si>
    <t>ΑΒ296006</t>
  </si>
  <si>
    <t>ΤΖΟΥΜΕΡΚΑ</t>
  </si>
  <si>
    <t>Φ028372</t>
  </si>
  <si>
    <t>ΔΕΣΠΟΤΗ</t>
  </si>
  <si>
    <t>ΚΟΥΜΑΡΑ</t>
  </si>
  <si>
    <t>ΑΙ522296</t>
  </si>
  <si>
    <t>ΑΕ811984</t>
  </si>
  <si>
    <t>ΑΙ215872</t>
  </si>
  <si>
    <t>ΑΝ029529</t>
  </si>
  <si>
    <t>ΚΑΝΤΑΝΗ</t>
  </si>
  <si>
    <t>ΑΟ521586</t>
  </si>
  <si>
    <t>ΠΛΟΥΜΠΗ</t>
  </si>
  <si>
    <t>ΑΜ094794</t>
  </si>
  <si>
    <t>ΣΚΟΥΛΑΚΗ</t>
  </si>
  <si>
    <t>ΑΚ102122</t>
  </si>
  <si>
    <t>ΒΛΑΣΤΟΥ</t>
  </si>
  <si>
    <t>ΜΑΡΙΑ ΕΛΙΖΑ</t>
  </si>
  <si>
    <t>ΧΑΡΙΛΑΟΣ ΜΙΧΑΗΛ</t>
  </si>
  <si>
    <t>ΑΕ779701</t>
  </si>
  <si>
    <t>ΛΑΜΠΕΡΗ</t>
  </si>
  <si>
    <t>ΔΙΟΓΕΝΗΣ</t>
  </si>
  <si>
    <t>ΑΙ415040</t>
  </si>
  <si>
    <t>ΑΚ024138</t>
  </si>
  <si>
    <t>ΗΛΙΑΔΗ</t>
  </si>
  <si>
    <t>Ρ687628</t>
  </si>
  <si>
    <t>ΚΟΝΤΟΤΑΣΙΟΥ</t>
  </si>
  <si>
    <t>ΑΒ057999</t>
  </si>
  <si>
    <t>ΠΑΣΠΑΛΑΣ</t>
  </si>
  <si>
    <t>ΑΗ311103</t>
  </si>
  <si>
    <t>ΜΠΑΛΛΑΣ</t>
  </si>
  <si>
    <t>ΟΡΕΣΤΗΣ ΝΙΚΟΛΑΟΣ</t>
  </si>
  <si>
    <t>ΑΕ082942</t>
  </si>
  <si>
    <t>ΑΖ226782</t>
  </si>
  <si>
    <t>ΑΟ063730</t>
  </si>
  <si>
    <t>ΜΠΕΛΕΣΙΩΤΗΣ</t>
  </si>
  <si>
    <t>Φ048899</t>
  </si>
  <si>
    <t>ΧΑΝΤΖΑΡΑ</t>
  </si>
  <si>
    <t>ΑΕ509289</t>
  </si>
  <si>
    <t>ΠΟΛΥΜΝΙΑ ΑΝΝΑ</t>
  </si>
  <si>
    <t>ΑΗ894577</t>
  </si>
  <si>
    <t>ΜΑΡΙΑ ΣΤΑΥΡΟΥΛΑ</t>
  </si>
  <si>
    <t>ΑΜ052516</t>
  </si>
  <si>
    <t>ΑΖ090970</t>
  </si>
  <si>
    <t>ΚΟΡΟΜΠΙΛΙΑ</t>
  </si>
  <si>
    <t>ΑΝ662360</t>
  </si>
  <si>
    <t>ΑΙ467905</t>
  </si>
  <si>
    <t>ΠΙΤΤΑ</t>
  </si>
  <si>
    <t>ΛΙΛΑ ΘΕΟΛΟΓΙΑ</t>
  </si>
  <si>
    <t>ΑΙ387216</t>
  </si>
  <si>
    <t>ΑΚ537308</t>
  </si>
  <si>
    <t>ΤΑΜΠΑΚΟΠΟΥΛΟΥ</t>
  </si>
  <si>
    <t>Χ139283</t>
  </si>
  <si>
    <t>ΑΧΗ</t>
  </si>
  <si>
    <t>ΑΛΕΞΑΝΔΡΑ ΜΑΡΙΑ</t>
  </si>
  <si>
    <t>ΙΩΑΝΝΗΣ ΣΤΑΥΡΟΣ</t>
  </si>
  <si>
    <t>ΑΑ341412</t>
  </si>
  <si>
    <t>ΠΕ23 ΨΥΧΟΛΟΓΩΝ (ΘΕΣΗ 103)</t>
  </si>
  <si>
    <t>ΑΗ280916</t>
  </si>
  <si>
    <t>ΒΛΑΧΟΛΙΑ</t>
  </si>
  <si>
    <t>ΑΝ285203</t>
  </si>
  <si>
    <t>ΠΕΤΡΑΤΟΥ</t>
  </si>
  <si>
    <t>ΑΜ738386</t>
  </si>
  <si>
    <t>ΤΣΟΥΦΛΙΔΟΥ</t>
  </si>
  <si>
    <t>ΑΙ496178</t>
  </si>
  <si>
    <t>ΑΡΩΝΗ</t>
  </si>
  <si>
    <t>Χ929729</t>
  </si>
  <si>
    <t>ΜΑΝΔΥΛΑ</t>
  </si>
  <si>
    <t>ΑΜ956236</t>
  </si>
  <si>
    <t xml:space="preserve">ΜΕΛΠΟΜΕΝΗ </t>
  </si>
  <si>
    <t>ΑΖ175861</t>
  </si>
  <si>
    <t>ΕΛΕΝΗ ΜΙΧΑΛΙΤΣΑ</t>
  </si>
  <si>
    <t>ΑΗ953772</t>
  </si>
  <si>
    <t>ΑΝ837404</t>
  </si>
  <si>
    <t>ΤΖΑΦΑΛΙΑ</t>
  </si>
  <si>
    <t>ΑΗ443730</t>
  </si>
  <si>
    <t>ΧΡΙΣΤΟΦΟΡΑΚΗ</t>
  </si>
  <si>
    <t>ΑΕ624284</t>
  </si>
  <si>
    <t>ΜΠΑΙΡΑΚΤΑΡΗ</t>
  </si>
  <si>
    <t>ΡΕΡΑ</t>
  </si>
  <si>
    <t>ΑΖ856426</t>
  </si>
  <si>
    <t>ΑΚ352100</t>
  </si>
  <si>
    <t>ΧΕΛΙΟΥΔΑΚΗ</t>
  </si>
  <si>
    <t>ΑΙ157111</t>
  </si>
  <si>
    <t>ΑΝΤΖΕΛΑ</t>
  </si>
  <si>
    <t>ΣΚΛΑΒΟΥ</t>
  </si>
  <si>
    <t>ΚΟΝΤΑΡΑ</t>
  </si>
  <si>
    <t>ΠΡΟΚΟΠΙΑ</t>
  </si>
  <si>
    <t>Φ296134</t>
  </si>
  <si>
    <t>ΒΑΦΙΑ</t>
  </si>
  <si>
    <t>ΑΖ934368</t>
  </si>
  <si>
    <t>ΚΡΟΥΣΤΑΛΛΑΚΗ</t>
  </si>
  <si>
    <t>ΛΟΥΚΑΙΤΗ</t>
  </si>
  <si>
    <t>ΚΑΛΛΙΟΠΗ ΙΩΑΝΝΑ</t>
  </si>
  <si>
    <t>Φ209815</t>
  </si>
  <si>
    <t>ΜΕΡΙΣΙΩΤΗ</t>
  </si>
  <si>
    <t>ΑΖ772683</t>
  </si>
  <si>
    <t>ΒΟΙΚΛΗ</t>
  </si>
  <si>
    <t>ΣΚΟΡΔΑ</t>
  </si>
  <si>
    <t>ΑΟ086650</t>
  </si>
  <si>
    <t>ΑΙ481728</t>
  </si>
  <si>
    <t>ΧΡΙΣΤΟΔΟΥΛΑΚΗ</t>
  </si>
  <si>
    <t>ΑΕ698630</t>
  </si>
  <si>
    <t>ΓΕΡΜΑΝΟΥ</t>
  </si>
  <si>
    <t>ΠΑΝΤΟΥΛΗ</t>
  </si>
  <si>
    <t>ΕΥΘΑΛΙΑ ΜΑΡΙΑ</t>
  </si>
  <si>
    <t>ΚΕΛΕΣΙΔΟΥ</t>
  </si>
  <si>
    <t>ΑΕ875857</t>
  </si>
  <si>
    <t>ΔΟΥΣΕΜΕΤΖΗ</t>
  </si>
  <si>
    <t>ΑΒ796155</t>
  </si>
  <si>
    <t>ΠΟΛΥΔΕΡΑ</t>
  </si>
  <si>
    <t>ΑΚ220926</t>
  </si>
  <si>
    <t>ΨΑΡΡΗ</t>
  </si>
  <si>
    <t>ΑΑ360124</t>
  </si>
  <si>
    <t>Χ295416</t>
  </si>
  <si>
    <t>ΑΤΣΟΓΛΟΥ</t>
  </si>
  <si>
    <t>ΑΕ256556</t>
  </si>
  <si>
    <t>ΑΡΤΕΜΙΣ ΑΝΑΣΤΑΣΙΑ</t>
  </si>
  <si>
    <t>ΑΖ074646</t>
  </si>
  <si>
    <t>ΑΝΑΓΝΩΣΤΙΔΟΥ</t>
  </si>
  <si>
    <t>ΜΠΟΥΜΠΟΥΛΗ</t>
  </si>
  <si>
    <t>ΑΡ215672</t>
  </si>
  <si>
    <t>Χ749721</t>
  </si>
  <si>
    <t>ΖΑΧΑΡΙΑ</t>
  </si>
  <si>
    <t>ΑΖ974391</t>
  </si>
  <si>
    <t>Χ358115</t>
  </si>
  <si>
    <t>ΑΕ286932</t>
  </si>
  <si>
    <t>ΚΑΡΑΧΑΛΙΑ</t>
  </si>
  <si>
    <t>ΑΝ877645</t>
  </si>
  <si>
    <t>ΑΗ456924</t>
  </si>
  <si>
    <t>ΑΜ655909</t>
  </si>
  <si>
    <t>ΤΗΛΕΝΙΚΗ</t>
  </si>
  <si>
    <t>ΑΑ277702</t>
  </si>
  <si>
    <t>ΡΑΜΜΟΥ</t>
  </si>
  <si>
    <t>ΑΗ936648</t>
  </si>
  <si>
    <t>ΝΤΟΤΣΗ</t>
  </si>
  <si>
    <t>ΓΚΟΥΘΑΣ</t>
  </si>
  <si>
    <t>ΑΝ324672</t>
  </si>
  <si>
    <t>ΑΝ997561</t>
  </si>
  <si>
    <t>ΜΠΟΥΝΟΥ</t>
  </si>
  <si>
    <t>ΑΑ767114</t>
  </si>
  <si>
    <t>ΤΙΒΙΚΕΛΗ</t>
  </si>
  <si>
    <t>ΑΟ253917</t>
  </si>
  <si>
    <t>ΑΝ981984</t>
  </si>
  <si>
    <t>ΖΑΡΛΑ</t>
  </si>
  <si>
    <t>ΑΕ228996</t>
  </si>
  <si>
    <t>ΔΕΔΙΚΟΥΣΗ</t>
  </si>
  <si>
    <t>ΑΗ175113</t>
  </si>
  <si>
    <t>ΑΖ764337</t>
  </si>
  <si>
    <t>ΜΠΟΓΙΑΤΖΟΓΛΟΥ</t>
  </si>
  <si>
    <t>ΝΑΤΑΣΑ</t>
  </si>
  <si>
    <t>ΑΝ086303</t>
  </si>
  <si>
    <t>ΑΕ698371</t>
  </si>
  <si>
    <t>ΠΑΡΑΣΚΕΥΑΙΔΗΣ</t>
  </si>
  <si>
    <t>ΑΝ750735</t>
  </si>
  <si>
    <t>ΒΑΛΕΝΤΙΝΗ</t>
  </si>
  <si>
    <t>ΑΜ811147</t>
  </si>
  <si>
    <t>ΝΑΚΟΠΟΥΛΟΥ</t>
  </si>
  <si>
    <t>ΑΚ892371</t>
  </si>
  <si>
    <t>ΑΟ485859</t>
  </si>
  <si>
    <t>ΣΤΑΜΠΛΙΑΚΑΣ</t>
  </si>
  <si>
    <t>ΓΕΩΡΓIΟΣ</t>
  </si>
  <si>
    <t>ΑΡ329040</t>
  </si>
  <si>
    <t>Χ494222</t>
  </si>
  <si>
    <t>ΑΝ208862</t>
  </si>
  <si>
    <t>ΚΑΡΑΤΑΣΗ</t>
  </si>
  <si>
    <t>Ρ970293</t>
  </si>
  <si>
    <t>ΓΡΙΒΑΣ</t>
  </si>
  <si>
    <t>ΑΜ813857</t>
  </si>
  <si>
    <t>ΚΑΡΑΜΦΙΛΛΗ</t>
  </si>
  <si>
    <t>ΑΗ679105</t>
  </si>
  <si>
    <t>ΑΝ751120</t>
  </si>
  <si>
    <t>ΚΥΡΓΕΡΙΔΟΥ</t>
  </si>
  <si>
    <t>ΓΕΡΒΑΣΙΟΣ</t>
  </si>
  <si>
    <t>Χ264507</t>
  </si>
  <si>
    <t>ΑΒ711494</t>
  </si>
  <si>
    <t>ΑΖ819341</t>
  </si>
  <si>
    <t>Χ281504</t>
  </si>
  <si>
    <t>ΤΣΟΥΝΕΛΛΗ</t>
  </si>
  <si>
    <t>ΑΕ441555</t>
  </si>
  <si>
    <t>ΚΟΛΙΟΠΟΥΛΟΥ</t>
  </si>
  <si>
    <t>Σ107911</t>
  </si>
  <si>
    <t>ΑΙ572513</t>
  </si>
  <si>
    <t>ΑΡ009548</t>
  </si>
  <si>
    <t>ΑΖ996739</t>
  </si>
  <si>
    <t>ΝΑΥΣΙΚΑ</t>
  </si>
  <si>
    <t>ΑΝ346422</t>
  </si>
  <si>
    <t>ΑΒ196024</t>
  </si>
  <si>
    <t>ΧΑΤΖΗΓΡΗΓΟΡΙΑΔΟΥ</t>
  </si>
  <si>
    <t>ΑΟ777109</t>
  </si>
  <si>
    <t>ΑΖ104817</t>
  </si>
  <si>
    <t>ΤΣΙΑΜΠΟΥΡΑ</t>
  </si>
  <si>
    <t>ΑΚ930901</t>
  </si>
  <si>
    <t>Χ181570</t>
  </si>
  <si>
    <t>ΑΗ957620</t>
  </si>
  <si>
    <t>ΣΤΑΜΑΤΑΚΗ</t>
  </si>
  <si>
    <t>ΑΙ512323</t>
  </si>
  <si>
    <t>ΒΑΡΡΑΣ</t>
  </si>
  <si>
    <t>ΑΟ347846</t>
  </si>
  <si>
    <t>ΑΒ398179</t>
  </si>
  <si>
    <t>ΕΥΡΥΚΛΕΙΑ</t>
  </si>
  <si>
    <t>ΑΗ229496</t>
  </si>
  <si>
    <t>ΑΕ984421</t>
  </si>
  <si>
    <t>ΑΖ185400</t>
  </si>
  <si>
    <t>ΚΙΚΙΔΟΥ</t>
  </si>
  <si>
    <t>ΑΝ704669</t>
  </si>
  <si>
    <t>ΧΑΤΖΗΣΤΥΛΛΗ</t>
  </si>
  <si>
    <t>ΑΟ263583</t>
  </si>
  <si>
    <t>ΟΦΙΔΟΥ</t>
  </si>
  <si>
    <t>ΑΑ461419</t>
  </si>
  <si>
    <t>ΑΚ266045</t>
  </si>
  <si>
    <t>ΚΑΜΠΟΥΡΗ</t>
  </si>
  <si>
    <t>ΑΕ967438</t>
  </si>
  <si>
    <t>ΜΠΑΡΔΟΥΝΙΩΤΗ</t>
  </si>
  <si>
    <t>ΑΟ646600</t>
  </si>
  <si>
    <t>ΛΕΠΟΥΡΑ</t>
  </si>
  <si>
    <t>Π273903</t>
  </si>
  <si>
    <t>ΚΑΣΤΟΡΗ</t>
  </si>
  <si>
    <t>ΑΥΓΟΥΣΤΗΣ</t>
  </si>
  <si>
    <t>ΑΚ406417</t>
  </si>
  <si>
    <t>ΝΑΤΣΙΚΟΥ</t>
  </si>
  <si>
    <t>ΑΚ380463</t>
  </si>
  <si>
    <t>ΞΗΡΟΜΕΡΙΤΗ</t>
  </si>
  <si>
    <t>ΑΕ311044</t>
  </si>
  <si>
    <t>ΑΡ237029</t>
  </si>
  <si>
    <t>ΒΑΙΡΑΜΑΚΗ</t>
  </si>
  <si>
    <t>ΜΑΝΔΑΛΙΟΥ</t>
  </si>
  <si>
    <t>ΑΟ106277</t>
  </si>
  <si>
    <t>ΠΥΡΓΑ</t>
  </si>
  <si>
    <t>ΑΜ006802</t>
  </si>
  <si>
    <t>ΚΑΛΛΙΝΗ</t>
  </si>
  <si>
    <t>ΑΗ160061</t>
  </si>
  <si>
    <t>ΤΡΙΑΝΤΑΦΥΛΛΑΚΗ</t>
  </si>
  <si>
    <t>Χ069982</t>
  </si>
  <si>
    <t>Χ433966</t>
  </si>
  <si>
    <t>ΖΗΤΟΠΟΥΛΟΥ</t>
  </si>
  <si>
    <t>ΑΟ280882</t>
  </si>
  <si>
    <t>ΜΑΣΟΥΡΑ</t>
  </si>
  <si>
    <t>ΑΚ094508</t>
  </si>
  <si>
    <t>Χ379423</t>
  </si>
  <si>
    <t>ΑΜ255930</t>
  </si>
  <si>
    <t>ΑΕ155221</t>
  </si>
  <si>
    <t>ΑΒ393179</t>
  </si>
  <si>
    <t>ΒΑΧΑΡΗ</t>
  </si>
  <si>
    <t>ΑΗ604715</t>
  </si>
  <si>
    <t>ΧΑΤΖΗΓΙΑΝΝΑΚΙΔΟΥ</t>
  </si>
  <si>
    <t>ΑΟ725768</t>
  </si>
  <si>
    <t>ΜΠΑΡΛΑΓΙΑΝΝΗΣ</t>
  </si>
  <si>
    <t>ΑΙ964855</t>
  </si>
  <si>
    <t>ΑΙ736387</t>
  </si>
  <si>
    <t>ΛΟΥΤΣΙΟΥ</t>
  </si>
  <si>
    <t>ΗΡΑ</t>
  </si>
  <si>
    <t>ΑΙ430432</t>
  </si>
  <si>
    <t>ΤΣΩΝΗ</t>
  </si>
  <si>
    <t>ΑΒ992989</t>
  </si>
  <si>
    <t>ΑΙ686050</t>
  </si>
  <si>
    <t>ΦΙΛΙΟΥ</t>
  </si>
  <si>
    <t>ΑΗ507234</t>
  </si>
  <si>
    <t>ΤΙΜΟΥΣΗ</t>
  </si>
  <si>
    <t>ΑΟ026886</t>
  </si>
  <si>
    <t>ΑΝ828736</t>
  </si>
  <si>
    <t>ΠΑΤΣΙΑΛΟΥ</t>
  </si>
  <si>
    <t>ΑΕ250374</t>
  </si>
  <si>
    <t>ΑΡ060682</t>
  </si>
  <si>
    <t>ΨΥΧΟΓΙΟΥ</t>
  </si>
  <si>
    <t>Χ337245</t>
  </si>
  <si>
    <t>ΑΚ797130</t>
  </si>
  <si>
    <t>ΨΑΡΟΥΔΑΚΗΣ</t>
  </si>
  <si>
    <t>ΑΛΕΞΗΣ</t>
  </si>
  <si>
    <t>ΑΜ964307</t>
  </si>
  <si>
    <t>ΛΙΑΓΚΑ</t>
  </si>
  <si>
    <t>ΑΖ727840</t>
  </si>
  <si>
    <t>ΤΣΙΩΡΑ</t>
  </si>
  <si>
    <t>ΑΒ218173</t>
  </si>
  <si>
    <t>ΛΕΠΙΔΟΥ</t>
  </si>
  <si>
    <t>ΑΚ913553</t>
  </si>
  <si>
    <t>ΒΕΡΒΕΡΙΔΟΥ</t>
  </si>
  <si>
    <t>ΑΝ233961</t>
  </si>
  <si>
    <t>ΣΚΩΤΗ</t>
  </si>
  <si>
    <t>ΠΑΓΩΝΙΤΣΑ</t>
  </si>
  <si>
    <t>ΑΖ127138</t>
  </si>
  <si>
    <t>ΚΑΡΑΧΑΤΖΗ</t>
  </si>
  <si>
    <t>ΑΑ233384</t>
  </si>
  <si>
    <t>ΝΤΡΙΒΙΝΤΙΔΟΥ</t>
  </si>
  <si>
    <t>ΑΕ127379</t>
  </si>
  <si>
    <t>ΤΑΡΑΤΣΙΔΟΥ</t>
  </si>
  <si>
    <t>ΑΜ852350</t>
  </si>
  <si>
    <t>ΑΖ245841</t>
  </si>
  <si>
    <t>ΤΙΓΚΑ</t>
  </si>
  <si>
    <t>ΑΝΝΑ ΔΟΞΑΝΑ</t>
  </si>
  <si>
    <t>ΑΕ245381</t>
  </si>
  <si>
    <t>Χ699799</t>
  </si>
  <si>
    <t>ΒΛΑΣΟΠΟΥΛΟΥ</t>
  </si>
  <si>
    <t>ΑΒ006626</t>
  </si>
  <si>
    <t>ΚΑΝΙΣΟΓΛΟΥ</t>
  </si>
  <si>
    <t>ΑΟ863024</t>
  </si>
  <si>
    <t>ΡΕΜΜΑ</t>
  </si>
  <si>
    <t>ΑΙ665164</t>
  </si>
  <si>
    <t>ΔΙΚΑΙΟΥ</t>
  </si>
  <si>
    <t>ΑΗ154111</t>
  </si>
  <si>
    <t>ΧΡΥΣΑΦΟΥΔΗ</t>
  </si>
  <si>
    <t>ΑΜ728199</t>
  </si>
  <si>
    <t>ΜΠΑΡΑΛΗ</t>
  </si>
  <si>
    <t>ΑΝ745930</t>
  </si>
  <si>
    <t>ΑΓΟΡΑΣΤΟΣ</t>
  </si>
  <si>
    <t>ΑΒ881250</t>
  </si>
  <si>
    <t>ΖΑΛΑΤΑΡΙΩΦ</t>
  </si>
  <si>
    <t>ΑΕ059187</t>
  </si>
  <si>
    <t>ΑΚ222919</t>
  </si>
  <si>
    <t>ΚΑΡΑΜΟΥΖΗΣ</t>
  </si>
  <si>
    <t>ΑΕ485903</t>
  </si>
  <si>
    <t>Ρ129582</t>
  </si>
  <si>
    <t>ΑΑ006356</t>
  </si>
  <si>
    <t>ΜΑΡΙΑ ΑΜΑΛΙΑ</t>
  </si>
  <si>
    <t>Χ355099</t>
  </si>
  <si>
    <t>ΑΕ735598</t>
  </si>
  <si>
    <t>ΑΒ144161</t>
  </si>
  <si>
    <t>ΤΣΙΜΠΟΥΚΗ</t>
  </si>
  <si>
    <t>ΠΑΝΑΓΙΩΤΑ ΔΙΟΝΥΣΙΑ</t>
  </si>
  <si>
    <t>ΑΒ569703</t>
  </si>
  <si>
    <t>ΜΑΡΚΟΥΛΑΚΗ</t>
  </si>
  <si>
    <t>ΑΒ973645</t>
  </si>
  <si>
    <t>ΝΙΑΣΤΗ</t>
  </si>
  <si>
    <t>ΚΑΛΟΜΟΙΡΑ</t>
  </si>
  <si>
    <t>ΑΒ260416</t>
  </si>
  <si>
    <t>ΑΗ183969</t>
  </si>
  <si>
    <t>ΔΕΡΜΙΤΖΑΚΗ</t>
  </si>
  <si>
    <t>Χ721759</t>
  </si>
  <si>
    <t xml:space="preserve">ΜΑΝΤΑΔΑΚΗ </t>
  </si>
  <si>
    <t xml:space="preserve">ΜΑΡΚΟΣ </t>
  </si>
  <si>
    <t>ΑΕ972177</t>
  </si>
  <si>
    <t>ΝΑΝΑ</t>
  </si>
  <si>
    <t>ΑΕ341347</t>
  </si>
  <si>
    <t>ΚΟΥΡΟΥΜΙΧΑΛΗ</t>
  </si>
  <si>
    <t>ΑΟ513455</t>
  </si>
  <si>
    <t>ΤΣΙΡΑΚΗ</t>
  </si>
  <si>
    <t>Χ287927</t>
  </si>
  <si>
    <t>ΜΑΡΙΑ ΠΙΑ</t>
  </si>
  <si>
    <t>ΦΡΑΝΚΟY</t>
  </si>
  <si>
    <t>ΑΙ746700</t>
  </si>
  <si>
    <t>ΑΛΜΠΑΝΙΔΟΥ</t>
  </si>
  <si>
    <t>ΚΥΡΙΑΚΗ ΑΛΕΞΑΝΔΡΑ</t>
  </si>
  <si>
    <t>ΑΚ992458</t>
  </si>
  <si>
    <t>ΑΒ231099</t>
  </si>
  <si>
    <t>ΑΜ910162</t>
  </si>
  <si>
    <t>ΠΑΠΑΝΤΗ</t>
  </si>
  <si>
    <t>ΑΕ201139</t>
  </si>
  <si>
    <t>ΑΜ573958</t>
  </si>
  <si>
    <t>ΔΑΝΑΗ ΜΑΡΙΑ</t>
  </si>
  <si>
    <t>ΑΖ166387</t>
  </si>
  <si>
    <t>Σ581445</t>
  </si>
  <si>
    <t>ΑΗ036542</t>
  </si>
  <si>
    <t>ΑΒ277536</t>
  </si>
  <si>
    <t>ΑΖ479015</t>
  </si>
  <si>
    <t>ΒΥΘΟΥΛΚΑ</t>
  </si>
  <si>
    <t>ΑΟ015668</t>
  </si>
  <si>
    <t>ΑΗ298236</t>
  </si>
  <si>
    <t>ΣΧΟΙΝΑ</t>
  </si>
  <si>
    <t>ΑΙ316591</t>
  </si>
  <si>
    <t>ΑΗ805658</t>
  </si>
  <si>
    <t>ΚΑΡΟΛΙΔΟΥ</t>
  </si>
  <si>
    <t>ΔΗΜΗΤΡΑΚΗΣ</t>
  </si>
  <si>
    <t>ΔΟΥΔΟΥΜΗ</t>
  </si>
  <si>
    <t>ΑΖ569088</t>
  </si>
  <si>
    <t>Σ377593</t>
  </si>
  <si>
    <t>ΜΑΜΑΛΙΚΟΥ</t>
  </si>
  <si>
    <t>ΑΝ788097</t>
  </si>
  <si>
    <t>ΣΙΜΠΕΡΑ</t>
  </si>
  <si>
    <t>ΑΟ629803</t>
  </si>
  <si>
    <t>ΔΟΥΔΑΛΗ</t>
  </si>
  <si>
    <t>ΑΖ003550</t>
  </si>
  <si>
    <t>ΤΖΑΣΤΑ</t>
  </si>
  <si>
    <t>ΑΚ246187</t>
  </si>
  <si>
    <t>ΑΑ038420</t>
  </si>
  <si>
    <t>ΞΗΡΟΓΙΑΝΝΗ</t>
  </si>
  <si>
    <t>ΛΥΣΑΝΔΡΟΣ</t>
  </si>
  <si>
    <t>ΑΜ100621</t>
  </si>
  <si>
    <t>ΜΕΝΕΒΙΤΣ</t>
  </si>
  <si>
    <t>ΑΖ563895</t>
  </si>
  <si>
    <t>ΠΑΠΑΔΑΤΟΥ ΠΑΣΤΟΥ</t>
  </si>
  <si>
    <t>ΑΡ085895</t>
  </si>
  <si>
    <t>ΧΡΟΝΗΣ</t>
  </si>
  <si>
    <t>ΑΕ288734</t>
  </si>
  <si>
    <t>ΑΟ857983</t>
  </si>
  <si>
    <t>ΑΝΤΩΝΙΑ ΛΕΥΚΟΘΕΑ</t>
  </si>
  <si>
    <t>ΑΖ248587</t>
  </si>
  <si>
    <t>ΑΖ223637</t>
  </si>
  <si>
    <t>ΑΓΑΛΙΑΝΟΥ</t>
  </si>
  <si>
    <t>ΦΙΛΙΠΠΟΣ ΣΠΥΡΙΔΩΝ</t>
  </si>
  <si>
    <t>ΑΕ787564</t>
  </si>
  <si>
    <t>ΑΘΑΝΑΣΟΥΛΙΑ</t>
  </si>
  <si>
    <t>ΑΕ748815</t>
  </si>
  <si>
    <t>ΝΕΟΝΕΙΛΑ</t>
  </si>
  <si>
    <t>ΑΝ637802</t>
  </si>
  <si>
    <t>ΜΕΘΕΝΙΤΗ</t>
  </si>
  <si>
    <t>Σ693813</t>
  </si>
  <si>
    <t>ΛΟΙΖΟΥ</t>
  </si>
  <si>
    <t>ΑΒ050936</t>
  </si>
  <si>
    <t>ΚΕΦΑΛΟΠΟΥΛΟΣ</t>
  </si>
  <si>
    <t>ΑΟ016203</t>
  </si>
  <si>
    <t>ΣΗΜΑΝΤΗΡΗ</t>
  </si>
  <si>
    <t>ΑΗ526395</t>
  </si>
  <si>
    <t>ΑΕ224625</t>
  </si>
  <si>
    <t>ΑΜ530080</t>
  </si>
  <si>
    <t>ΑΚ765188</t>
  </si>
  <si>
    <t>ΠΟΥΛΙΑΝΙΤΗ</t>
  </si>
  <si>
    <t>ΑΖ769021</t>
  </si>
  <si>
    <t>ΠΑΝΤΕΛΑΚΗ</t>
  </si>
  <si>
    <t>ΑΑ369654</t>
  </si>
  <si>
    <t>ΣΙΦΝΑΙΟΥ</t>
  </si>
  <si>
    <t>ΑΕ578822</t>
  </si>
  <si>
    <t>ΚΟΚΚΙΝΗΣ</t>
  </si>
  <si>
    <t>ΑΡ217332</t>
  </si>
  <si>
    <t>ΑΗ634921</t>
  </si>
  <si>
    <t>ΑΗ516216</t>
  </si>
  <si>
    <t>ΒΕΝΤΟΥΡΑ</t>
  </si>
  <si>
    <t>ΑΝ551170</t>
  </si>
  <si>
    <t>ΑΖ228150</t>
  </si>
  <si>
    <t>ΑΕ346572</t>
  </si>
  <si>
    <t>ΜΑΛΙΟΥΣΗ</t>
  </si>
  <si>
    <t>ΑΝ690344</t>
  </si>
  <si>
    <t>ΑΝΝΑ ΕΙΡΗΝΗ</t>
  </si>
  <si>
    <t>ΑΚ592551</t>
  </si>
  <si>
    <t>ΧΟΥΧΟΥΛΗ</t>
  </si>
  <si>
    <t>ΑΝ097688</t>
  </si>
  <si>
    <t>ΑΡΤΣΑΝΟΥ</t>
  </si>
  <si>
    <t>ΑΖ441994</t>
  </si>
  <si>
    <t>ΑΝ025945</t>
  </si>
  <si>
    <t xml:space="preserve">ΣΙΕΤΟΥ </t>
  </si>
  <si>
    <t>ΑΖ044773</t>
  </si>
  <si>
    <t>ΧΡΙΣΤΙΝΑ ΓΕΩΡΓΙΑ</t>
  </si>
  <si>
    <t>ΑΒ801619</t>
  </si>
  <si>
    <t>ΑΚ091419</t>
  </si>
  <si>
    <t>ΓΙΟΥΜΙΔΟΥ</t>
  </si>
  <si>
    <t>ΑΒ445728</t>
  </si>
  <si>
    <t>ΑΝΤΩΝΕΛΟΥ</t>
  </si>
  <si>
    <t>ΡΕΓΓΙΝΑ ΑΝΝΑ</t>
  </si>
  <si>
    <t>ΑΖ059816</t>
  </si>
  <si>
    <t>ΑΑ424676</t>
  </si>
  <si>
    <t>ΒΕΛΗΣΑΡΙΟΥ</t>
  </si>
  <si>
    <t>ΑΗ013383</t>
  </si>
  <si>
    <t>ΜΠΑΜΠΟΥΛΑ</t>
  </si>
  <si>
    <t>ΑΝ666149</t>
  </si>
  <si>
    <t>ΑΑ380418</t>
  </si>
  <si>
    <t>ΒΑΜΠΟΥΛΑ</t>
  </si>
  <si>
    <t>ΑΒ040831</t>
  </si>
  <si>
    <t>ΚΑΡΑΧΟΝΤΖΙΤΗ</t>
  </si>
  <si>
    <t>ΑΙ787206</t>
  </si>
  <si>
    <t>ΑΚ752647</t>
  </si>
  <si>
    <t>ΓΑΡΕΦΑΛΑΚΗ</t>
  </si>
  <si>
    <t>ΑΟ151994</t>
  </si>
  <si>
    <t>ΤΣΙΝΤΖΟΓΛΟΥ</t>
  </si>
  <si>
    <t>ΑΗ970845</t>
  </si>
  <si>
    <t>ΓΚΡΙΖΗ</t>
  </si>
  <si>
    <t>ΑΜ304047</t>
  </si>
  <si>
    <t>ΑΕ732306</t>
  </si>
  <si>
    <t>ΜΠΑΝΟΥ</t>
  </si>
  <si>
    <t>ΑΙ293933</t>
  </si>
  <si>
    <t>ΤΣΟΓΚΑ</t>
  </si>
  <si>
    <t>ΑΗ149134</t>
  </si>
  <si>
    <t>ΣΑΠΟΥΝΤΖΗ</t>
  </si>
  <si>
    <t>ΑΗ990200</t>
  </si>
  <si>
    <t>ΚΑΡΑΤΖΙΟΥ</t>
  </si>
  <si>
    <t>ΑΒ724511</t>
  </si>
  <si>
    <t>ΑΝ126978</t>
  </si>
  <si>
    <t>ΑΖ285765</t>
  </si>
  <si>
    <t>ΑΙ244366</t>
  </si>
  <si>
    <t>ΑΝ699661</t>
  </si>
  <si>
    <t>ΚΟΛΟΤΟΥΡΟΥ</t>
  </si>
  <si>
    <t>ΑΖ726036</t>
  </si>
  <si>
    <t>ΑΝ139132</t>
  </si>
  <si>
    <t>ΑΚ087280</t>
  </si>
  <si>
    <t>ΕΛΕΝΗ ΜΑΥΡΑ</t>
  </si>
  <si>
    <t>ΑΟ860855</t>
  </si>
  <si>
    <t>ΑΗ510986</t>
  </si>
  <si>
    <t>ΚΑΣΤΡΟΥΝΗ</t>
  </si>
  <si>
    <t>ΑΗ945774</t>
  </si>
  <si>
    <t>ΑΖ663912</t>
  </si>
  <si>
    <t>ΑΗ143203</t>
  </si>
  <si>
    <t>ΛΙΟΥΡΔΗ</t>
  </si>
  <si>
    <t>ΑΗ704599</t>
  </si>
  <si>
    <t>ΑΚ940157</t>
  </si>
  <si>
    <t>ΑΙ638008</t>
  </si>
  <si>
    <t>Σ955147</t>
  </si>
  <si>
    <t>ΤΖΙΑΛΛΑ</t>
  </si>
  <si>
    <t>ΑΙ090739</t>
  </si>
  <si>
    <t>Χ075309</t>
  </si>
  <si>
    <t>TΣΕΚΟΥΡΑ</t>
  </si>
  <si>
    <t>ΑΟ521802</t>
  </si>
  <si>
    <t>ΚΑΛΟΓΕΡΟΠΟΥΛΟΣ</t>
  </si>
  <si>
    <t>ΑΙ241191</t>
  </si>
  <si>
    <t>ΚΩΣΤΟΥΛΗ</t>
  </si>
  <si>
    <t>ΑΜ681396</t>
  </si>
  <si>
    <t>ΑΙ102831</t>
  </si>
  <si>
    <t>ΑΗ289336</t>
  </si>
  <si>
    <t>ΠΑΡΑΛΙΚΗΣ</t>
  </si>
  <si>
    <t>Φ120233</t>
  </si>
  <si>
    <t>ΓΚΙΝΗ</t>
  </si>
  <si>
    <t>ΓΙΑΝΝΗ</t>
  </si>
  <si>
    <t>ΑΚ660895</t>
  </si>
  <si>
    <t>Τ243460</t>
  </si>
  <si>
    <t>ΧΑΡΑΤΣΙΑΡΗΣ</t>
  </si>
  <si>
    <t>ΦΩΚΙΩΝ</t>
  </si>
  <si>
    <t>ΑΒ171394</t>
  </si>
  <si>
    <t>ΑΟ786949</t>
  </si>
  <si>
    <t>ΑΝ543599</t>
  </si>
  <si>
    <t>ΑΒ993040</t>
  </si>
  <si>
    <t>ΗΣΑΙΑΣ</t>
  </si>
  <si>
    <t>Σ919875</t>
  </si>
  <si>
    <t>ΛΕΙΒΑΔΙΤΑΚΗ</t>
  </si>
  <si>
    <t>ΑΜ976732</t>
  </si>
  <si>
    <t>ΑΕ269305</t>
  </si>
  <si>
    <t>ΛΙΑΡΟΥ</t>
  </si>
  <si>
    <t>ΑΙ337568</t>
  </si>
  <si>
    <t>ΑΕ162077</t>
  </si>
  <si>
    <t>Ξ559379</t>
  </si>
  <si>
    <t xml:space="preserve">ΜΑΚΡΗ </t>
  </si>
  <si>
    <t>ΑΑ233991</t>
  </si>
  <si>
    <t>ΑΕ114734</t>
  </si>
  <si>
    <t>ΠΙΠΗ</t>
  </si>
  <si>
    <t>ΑΟ429248</t>
  </si>
  <si>
    <t>ΑΡ066364</t>
  </si>
  <si>
    <t>ΤΣΑΓΡΗ</t>
  </si>
  <si>
    <t>Π917035</t>
  </si>
  <si>
    <t>ΑΖ252492</t>
  </si>
  <si>
    <t>ΓΡΑΜΜΑΤΙΚΑ</t>
  </si>
  <si>
    <t>ΑΖ478790</t>
  </si>
  <si>
    <t>ΑΟ382040</t>
  </si>
  <si>
    <t>ΑΡΗΣ</t>
  </si>
  <si>
    <t>ΜΠΟΝΗ</t>
  </si>
  <si>
    <t>ΤΣΕΝΤΣΕΡΗΣ</t>
  </si>
  <si>
    <t>ΑΒ622248</t>
  </si>
  <si>
    <t>ΕΙΡΗΝΗ ΑΙΚΑΤΕΡΙΝΗ</t>
  </si>
  <si>
    <t>ΚΥΡΟΥΣΗΣ</t>
  </si>
  <si>
    <t>ΑΖ022057</t>
  </si>
  <si>
    <t>ΑΗ669115</t>
  </si>
  <si>
    <t>ΠΑΝΑΓ</t>
  </si>
  <si>
    <t>ΝΤΕΛΕΖΟΥ</t>
  </si>
  <si>
    <t>ΑΝ811420</t>
  </si>
  <si>
    <t>ΧΡΙΣΤΙΝΑ ΔΗΜΗΤΡΑ</t>
  </si>
  <si>
    <t>ΜΗΤΟΥ</t>
  </si>
  <si>
    <t>ΑΡ330426</t>
  </si>
  <si>
    <t>ΚΑΖΑΛΗ</t>
  </si>
  <si>
    <t>ΑΙ444762</t>
  </si>
  <si>
    <t>ΝΑΝΟΥΣΗ</t>
  </si>
  <si>
    <t>ΝΑΝΟΥΣΗΣ</t>
  </si>
  <si>
    <t>ΑΙ203919</t>
  </si>
  <si>
    <t>ΓΑΛΑΤΟΥΛΑ</t>
  </si>
  <si>
    <t>ΔΗΜΗΤΡΙΟΣ ΑΝΔΡΕΑΣ</t>
  </si>
  <si>
    <t>ΑΕ432215</t>
  </si>
  <si>
    <t>ΑΙ590454</t>
  </si>
  <si>
    <t>ΑΗ157042</t>
  </si>
  <si>
    <t>ΑΝ173196</t>
  </si>
  <si>
    <t>ΤΥΡΟΓΙΑΝΝΗ</t>
  </si>
  <si>
    <t>ΑΗ283429</t>
  </si>
  <si>
    <t>ΣΙΑΤΡΑ</t>
  </si>
  <si>
    <t>ΑΙ322866</t>
  </si>
  <si>
    <t>ΧΑΤΖΗΜΑΡΚΟΥ</t>
  </si>
  <si>
    <t>ΑΖ983623</t>
  </si>
  <si>
    <t>ΣΟΦΟΥ</t>
  </si>
  <si>
    <t>ΑΙ836177</t>
  </si>
  <si>
    <t>ΑΓΑΜΕΜΝΩΝ</t>
  </si>
  <si>
    <t>ΑΒ775640</t>
  </si>
  <si>
    <t>ΜΟΥΝΤΑΚΗ</t>
  </si>
  <si>
    <t>ΑΕ964692</t>
  </si>
  <si>
    <t>ΜΟΙΡΟΥ</t>
  </si>
  <si>
    <t>Χ328987</t>
  </si>
  <si>
    <t>ΜΑΡΤΙΜΙΑΝΑΚΗ</t>
  </si>
  <si>
    <t>ΑΙ207555</t>
  </si>
  <si>
    <t>ΚΑΤΑΚΗΣ</t>
  </si>
  <si>
    <t>ΑΕ973575</t>
  </si>
  <si>
    <t>ΜΠΑΝΤΕΛΗ</t>
  </si>
  <si>
    <t>ΡΑΦΑΕΛΑ ΓΕΩΡΓΙΑ</t>
  </si>
  <si>
    <t>ΑΑ430815</t>
  </si>
  <si>
    <t>ΓΚΙΟΥΛΕΚΑΣ</t>
  </si>
  <si>
    <t>Σ888851</t>
  </si>
  <si>
    <t>ΑΥΓΕΡΙΔΟΥ</t>
  </si>
  <si>
    <t>ΜΕΝΕΞΙΑ</t>
  </si>
  <si>
    <t>ΑΜ729615</t>
  </si>
  <si>
    <t>ΜΟΥΡΤΕΖΑ</t>
  </si>
  <si>
    <t>ΑΣΗΜΙΝΑ ΠΟΛΥΞΕΝΗ</t>
  </si>
  <si>
    <t>Χ841898</t>
  </si>
  <si>
    <t>ΜΙΓΚΙΑΝΗ</t>
  </si>
  <si>
    <t>ΠΕΤΡΟΣ ΔΗΜΗΤΡΙΟΣ</t>
  </si>
  <si>
    <t>Π404150</t>
  </si>
  <si>
    <t>ΑΖ432130</t>
  </si>
  <si>
    <t>ΜΩΡΟΥ</t>
  </si>
  <si>
    <t>ΤΣΙΑΜΟΥΛΟΥ</t>
  </si>
  <si>
    <t>ΑΑ229644</t>
  </si>
  <si>
    <t>ΤΣΙΤΟΥ</t>
  </si>
  <si>
    <t>ΑΕ772944</t>
  </si>
  <si>
    <t>ΓΕΡΟΝΤΑ</t>
  </si>
  <si>
    <t>ΑΗ832541</t>
  </si>
  <si>
    <t>ΣΙΚΛΑΦΙΔΟΥ</t>
  </si>
  <si>
    <t>ΑΟ260788</t>
  </si>
  <si>
    <t>ΡΟΤΖΙΩΚΟΥ</t>
  </si>
  <si>
    <t>Χ283691</t>
  </si>
  <si>
    <t>ΚΟΥΔΑ</t>
  </si>
  <si>
    <t>ΑΖ666683</t>
  </si>
  <si>
    <t>ΔΡΑΜΟΥΝΤΑΝΗ</t>
  </si>
  <si>
    <t>Χ355170</t>
  </si>
  <si>
    <t>ΑΑ316000</t>
  </si>
  <si>
    <t>Φ876214</t>
  </si>
  <si>
    <t>ΜΕΣΣΗΝΗ</t>
  </si>
  <si>
    <t>ΑΑ108445</t>
  </si>
  <si>
    <t>ΑΡΓΥΡΟΥΔΗ</t>
  </si>
  <si>
    <t>ΑΖ660506</t>
  </si>
  <si>
    <t>ΑΝΤΩΝΟΠΟΥΛΟΣ</t>
  </si>
  <si>
    <t>ΑΖ231514</t>
  </si>
  <si>
    <t>ΚΩΝΣΤΑΝΤΙΝΙΔΗ</t>
  </si>
  <si>
    <t>ΚΟΥΦΟΥΛΗ</t>
  </si>
  <si>
    <t>ΑΝ325147</t>
  </si>
  <si>
    <t>ΑΜ281035</t>
  </si>
  <si>
    <t>ΤΣΑΛΙΚΟΓΛΟΥ</t>
  </si>
  <si>
    <t>ΑΙ376494</t>
  </si>
  <si>
    <t>ΜΠΡΙΝΤΑΚΗ</t>
  </si>
  <si>
    <t>Χ173010</t>
  </si>
  <si>
    <t>ΚΟΥΚΟΥΜΗ</t>
  </si>
  <si>
    <t>ΑΝ508587</t>
  </si>
  <si>
    <t>ΜΠΑΚΟΥ</t>
  </si>
  <si>
    <t>ΑΚ407303</t>
  </si>
  <si>
    <t>ΣΤΑΥΡΙΑΝΟΥΔΗ</t>
  </si>
  <si>
    <t>Τ334692</t>
  </si>
  <si>
    <t>Χ309398</t>
  </si>
  <si>
    <t>Χ909171</t>
  </si>
  <si>
    <t>ΠΑΝΤΑΛΟΥ</t>
  </si>
  <si>
    <t>ΑΖ970517</t>
  </si>
  <si>
    <t>ΚΑΣΚΑΜΑΝΙΔΗΣ</t>
  </si>
  <si>
    <t>Σ314490</t>
  </si>
  <si>
    <t>ΓΕΩΡΓΑΚΑΚΟΥ ΚΟΥΤΣΟΝΙΚΟΥ</t>
  </si>
  <si>
    <t>ΑΙ763890</t>
  </si>
  <si>
    <t>ΧΑΤΖΙΚΑ</t>
  </si>
  <si>
    <t>ΑΟ408630</t>
  </si>
  <si>
    <t>ΚΟΥΜΠΟΥΛΗ</t>
  </si>
  <si>
    <t>ΑΙ287969</t>
  </si>
  <si>
    <t>ΜΠΑΚΟΥΡΟΥ</t>
  </si>
  <si>
    <t>Φ444355</t>
  </si>
  <si>
    <t>ΑΕ969916</t>
  </si>
  <si>
    <t>ΣΥΦΑΝΤΟΥ</t>
  </si>
  <si>
    <t>ΑΙ754960</t>
  </si>
  <si>
    <t>Χ325383</t>
  </si>
  <si>
    <t>ΣΩΦΡΟΝΑ</t>
  </si>
  <si>
    <t>ΑΒ787832</t>
  </si>
  <si>
    <t>ΖΟΥΓΡΗ</t>
  </si>
  <si>
    <t>ΑΚ445081</t>
  </si>
  <si>
    <t>ΚΑΠΟΥΛΕΑ</t>
  </si>
  <si>
    <t>ΑΝ539688</t>
  </si>
  <si>
    <t>ΡΑΦΑΗΛ</t>
  </si>
  <si>
    <t>ΑΚ426935</t>
  </si>
  <si>
    <t>ΑΗ154943</t>
  </si>
  <si>
    <t>ΑΝΑΓΝΩΣΤΟΠΟΥΛΟΣ</t>
  </si>
  <si>
    <t>ΡΗΓΑΣ</t>
  </si>
  <si>
    <t>ΑΖ733901</t>
  </si>
  <si>
    <t>ΑΓΙΑΣΟΦΙΤΗ</t>
  </si>
  <si>
    <t>ΑΕ950605</t>
  </si>
  <si>
    <t>ΣΦΥΡΙΟΥ</t>
  </si>
  <si>
    <t>Φ229996</t>
  </si>
  <si>
    <t>ΝΙΩΠΑ</t>
  </si>
  <si>
    <t>ΑΒ119201</t>
  </si>
  <si>
    <t>ΒΑΙΟΥ</t>
  </si>
  <si>
    <t>ΤΣΙΡΕΜΠΟΛΟΥ</t>
  </si>
  <si>
    <t>ΕΡΙΦΥΛΛΗ</t>
  </si>
  <si>
    <t>ΑΟ647122</t>
  </si>
  <si>
    <t>ΒΕΛΟΥΔΟΥ</t>
  </si>
  <si>
    <t>ΑΕ443189</t>
  </si>
  <si>
    <t>ΜΙΧΕΛΑΡΑΚΗ</t>
  </si>
  <si>
    <t>ΑΖ957387</t>
  </si>
  <si>
    <t>ΠΑΛΑΙΟΔΗΜΟΥ</t>
  </si>
  <si>
    <t>ΕΛΕΩΝΟΡΑ</t>
  </si>
  <si>
    <t>ΑΝ797680</t>
  </si>
  <si>
    <t>ΑΗ077939</t>
  </si>
  <si>
    <t>ΣΤΑΝΙΤΣΕΛΗ</t>
  </si>
  <si>
    <t>Π880844</t>
  </si>
  <si>
    <t>ΠΟΜΠΟΔΑΚΗ</t>
  </si>
  <si>
    <t>ΑΡ415152</t>
  </si>
  <si>
    <t>ΠΑΠΑΔΗ</t>
  </si>
  <si>
    <t>ΑΗ608862</t>
  </si>
  <si>
    <t>ΜΥΡΤΩ ΧΡΥΣΟΥΛΑ</t>
  </si>
  <si>
    <t>ΑΟ565292</t>
  </si>
  <si>
    <t>ΑΝ772655</t>
  </si>
  <si>
    <t>ΔΑΝΔΟΥΛΑΚΗ</t>
  </si>
  <si>
    <t>ΑΖ466112</t>
  </si>
  <si>
    <t>ΜΑΡΜΑΡΑ</t>
  </si>
  <si>
    <t>ΖΩΗ ΑΝΝΑ</t>
  </si>
  <si>
    <t>Φ149575</t>
  </si>
  <si>
    <t>ΖΗΖΟΥ</t>
  </si>
  <si>
    <t>ΑΡ327929</t>
  </si>
  <si>
    <t>ΤΟΥΛΙΑΤΟΣ</t>
  </si>
  <si>
    <t>Α0703777</t>
  </si>
  <si>
    <t>ΜΠΑΖΙΓΟΥ</t>
  </si>
  <si>
    <t>ΣΤΑΥΡΟΥΛΑ ΠΑΡΑΣΚΕΥΗ</t>
  </si>
  <si>
    <t>ΑΚ561025</t>
  </si>
  <si>
    <t>ΑΤΣΑΛΑΚΗ</t>
  </si>
  <si>
    <t>ΑΙ825861</t>
  </si>
  <si>
    <t>ΑΙ179052</t>
  </si>
  <si>
    <t>ΓΕΩΡΓΟΥΣΗ</t>
  </si>
  <si>
    <t>ΑΑ789875</t>
  </si>
  <si>
    <t>ΑΙ285175</t>
  </si>
  <si>
    <t>ΑΑ326605</t>
  </si>
  <si>
    <t>ΛΑΚΚΟΒΙΚΙΩΤΗ</t>
  </si>
  <si>
    <t>ΑΝ184246</t>
  </si>
  <si>
    <t>ΣΙΑΝΟΥ</t>
  </si>
  <si>
    <t>ΑΙ032720</t>
  </si>
  <si>
    <t>ΠΑΡΑΚΑΤΗ</t>
  </si>
  <si>
    <t>ΑΕ487030</t>
  </si>
  <si>
    <t>ΜΑΤΣΟΥΚΑΤΙΔΟΥ</t>
  </si>
  <si>
    <t>Χ758559</t>
  </si>
  <si>
    <t>Χ326212</t>
  </si>
  <si>
    <t>ΦΡΑΓΚΙΟΥΔΑΚΗΣ</t>
  </si>
  <si>
    <t>Τ818174</t>
  </si>
  <si>
    <t>ΣΑΡΓΟΛΟΓΟΥ</t>
  </si>
  <si>
    <t>ΑΑ127006</t>
  </si>
  <si>
    <t>ΑΝΔΡΟΥΛΙΔΑΚΗ</t>
  </si>
  <si>
    <t>ΑΕ063824</t>
  </si>
  <si>
    <t>ΚΑΤΣΑΡΑΚΗ</t>
  </si>
  <si>
    <t>ΑΙ634227</t>
  </si>
  <si>
    <t>ΑΕ340935</t>
  </si>
  <si>
    <t>ΑΑ350922</t>
  </si>
  <si>
    <t>ΔΕΜΟΥ</t>
  </si>
  <si>
    <t>ΑΜ116401</t>
  </si>
  <si>
    <t>Χ203217</t>
  </si>
  <si>
    <t>ΑΟ700735</t>
  </si>
  <si>
    <t>ΑΙ170937</t>
  </si>
  <si>
    <t>ΚΑΚΚΟΥ</t>
  </si>
  <si>
    <t>ΠΑΡΑΣΚΕΥΗ ΜΥΡΤΩ</t>
  </si>
  <si>
    <t>ΑΕ039123</t>
  </si>
  <si>
    <t>ΓΚΙΤΣΗ</t>
  </si>
  <si>
    <t>ΑΜ404656</t>
  </si>
  <si>
    <t>ΓΑΚΗ</t>
  </si>
  <si>
    <t>Π248900</t>
  </si>
  <si>
    <t>ΑΜ507559</t>
  </si>
  <si>
    <t>ΑΜ194031</t>
  </si>
  <si>
    <t>ΚΑΡΑΓΚΙΟΖΟΥΔΗ</t>
  </si>
  <si>
    <t>ΑΕ394052</t>
  </si>
  <si>
    <t>ΜΑΓΚΑΝΑ</t>
  </si>
  <si>
    <t>ΑΚ587872</t>
  </si>
  <si>
    <t>ΜΠΙΚΑΚΗ</t>
  </si>
  <si>
    <t>ΔΙΑΜΑΝΤΑ ΚΑΛΛΙΡΟΗ</t>
  </si>
  <si>
    <t>ΑΚ576128</t>
  </si>
  <si>
    <t>ΒΡΑΤΣΙΝΗ</t>
  </si>
  <si>
    <t>ΑΒ834348</t>
  </si>
  <si>
    <t>ΠΑΠΑΔΟΓΙΑΝΝΑΚΗ</t>
  </si>
  <si>
    <t>ΑΝ936637</t>
  </si>
  <si>
    <t>ΣΤΕΡΓΕΛΛΗ</t>
  </si>
  <si>
    <t>ΑΡ235920</t>
  </si>
  <si>
    <t>ΚΟΚΚΑΛΗ</t>
  </si>
  <si>
    <t>ΑΙ155317</t>
  </si>
  <si>
    <t>ΜΠΙΑΜΗ</t>
  </si>
  <si>
    <t>ΑΙ487981</t>
  </si>
  <si>
    <t>ΤΣΟΥΚΑΡΕΛΗ</t>
  </si>
  <si>
    <t>ΑΝ478149</t>
  </si>
  <si>
    <t>ΠΑΣΣΑΛΙΔΗΣ</t>
  </si>
  <si>
    <t>ΑΜ850952</t>
  </si>
  <si>
    <t>ΑΙ632982</t>
  </si>
  <si>
    <t>ΑΕ394981</t>
  </si>
  <si>
    <t>ΑΚ929677</t>
  </si>
  <si>
    <t>Χ779098</t>
  </si>
  <si>
    <t>ΑΟ417149</t>
  </si>
  <si>
    <t>ΤΣΑΜΙΔΟΥ</t>
  </si>
  <si>
    <t>ΛΕΜΟΝΑ ΖΩΗ</t>
  </si>
  <si>
    <t>ΑΟ907627</t>
  </si>
  <si>
    <t>ΜΠΟΖΟΒΙΤΗ</t>
  </si>
  <si>
    <t>ΘΕΣΣΑΛΙΑ</t>
  </si>
  <si>
    <t>ΑΖ273365</t>
  </si>
  <si>
    <t>ΓΑΛΙΚΑ</t>
  </si>
  <si>
    <t>Χ631088</t>
  </si>
  <si>
    <t>ΚΟΥΤΟΥΣΗ ΠΑΣΧΑΛΙΔΟΥ</t>
  </si>
  <si>
    <t>ΑΚ932939</t>
  </si>
  <si>
    <t>ΚΑΡΑΒΑΣΙΛΗΣ</t>
  </si>
  <si>
    <t>ΑΒ888696</t>
  </si>
  <si>
    <t>ΞΑΝΘΟΥ</t>
  </si>
  <si>
    <t>ΑΑ112142</t>
  </si>
  <si>
    <t>ΓΙΑΝΝΑΚΑΡΑ</t>
  </si>
  <si>
    <t>ΑΜ888666</t>
  </si>
  <si>
    <t>ΣΟΝΤΡΑ</t>
  </si>
  <si>
    <t>ΑΝ897207</t>
  </si>
  <si>
    <t>ΜΕΝΕΛΑΗ</t>
  </si>
  <si>
    <t>ΑΗ953236</t>
  </si>
  <si>
    <t>ΜΠΙΣΜΠΙΚΗ</t>
  </si>
  <si>
    <t>ΑΜ144518</t>
  </si>
  <si>
    <t>ΓΙΑNΝΑΡΑΚΗ</t>
  </si>
  <si>
    <t>Χ031058</t>
  </si>
  <si>
    <t>ΜΑΓΙΟΓΛΟΥ</t>
  </si>
  <si>
    <t>ΑΕ807294</t>
  </si>
  <si>
    <t>ΑΒ962156</t>
  </si>
  <si>
    <t>ΑΝΝΑ ΟΛΓΑ</t>
  </si>
  <si>
    <t>ΑΝ230673</t>
  </si>
  <si>
    <t>ΑΝ837592</t>
  </si>
  <si>
    <t>ΑΧΥΡΟΠΟΥΛΟΥ</t>
  </si>
  <si>
    <t>ΑΡ436536</t>
  </si>
  <si>
    <t>ΠΑΠΑΣΤΕΦΑΝΑΤΟΥ</t>
  </si>
  <si>
    <t>ΑΒ047992</t>
  </si>
  <si>
    <t>ΠΕΣΥΡΙΔΗΣ</t>
  </si>
  <si>
    <t>ΑΗ378552</t>
  </si>
  <si>
    <t>ΑΝΑΣΤΑΣΙΑΔΗ</t>
  </si>
  <si>
    <t>ΑΑ753210</t>
  </si>
  <si>
    <t>ΙΩΑΝΝΑ ΣΟΦΙΑ</t>
  </si>
  <si>
    <t>ΑΗ129106</t>
  </si>
  <si>
    <t>ΜΠΑΜΠΑΝΗ</t>
  </si>
  <si>
    <t>ΑΒ776166</t>
  </si>
  <si>
    <t>ΧΡΙΣΤΟΓΙΑΝΝΗ</t>
  </si>
  <si>
    <t>ΑΗ700667</t>
  </si>
  <si>
    <t>ΜΑΛΑΓΡΑΚΗ</t>
  </si>
  <si>
    <t>ΑΖ498323</t>
  </si>
  <si>
    <t>ΜΠΑΝΑΚΗ</t>
  </si>
  <si>
    <t>ΑΕ175464</t>
  </si>
  <si>
    <t>ΤΣΙΛΙΜΠΩΚΟΥ</t>
  </si>
  <si>
    <t>ΑΚ041107</t>
  </si>
  <si>
    <t>ΙΩΑΝΝΙΔΗΣ</t>
  </si>
  <si>
    <t>ΑΝ656396</t>
  </si>
  <si>
    <t>ΣΤΟΓΙΑ</t>
  </si>
  <si>
    <t>ΑΝ063185</t>
  </si>
  <si>
    <t>ΚΟΣΟΓΛΟΥ</t>
  </si>
  <si>
    <t>ΑΙ436589</t>
  </si>
  <si>
    <t>ΤΟΠΤΣΟΓΛΟΥ</t>
  </si>
  <si>
    <t>ΑΕ055904</t>
  </si>
  <si>
    <t>ΚΑΜΙΝΑΡΗ</t>
  </si>
  <si>
    <t>ΕΡΑΣΜΙΑ</t>
  </si>
  <si>
    <t>ΑΕ301641</t>
  </si>
  <si>
    <t>ΚΟΤΣΑΜΠΑΣΟΓΛΟΥ</t>
  </si>
  <si>
    <t>ΑΒ614068</t>
  </si>
  <si>
    <t>ΟΙΚΟΝΟΜΙΔΗ</t>
  </si>
  <si>
    <t>ΑΙ860050</t>
  </si>
  <si>
    <t>ΑΒ011193</t>
  </si>
  <si>
    <t>ΚΥΠΡΙΩΤΟΥ</t>
  </si>
  <si>
    <t>ΑΗ611617</t>
  </si>
  <si>
    <t>ΝΟΥΓΚΖΑΡ</t>
  </si>
  <si>
    <t>ΑΑ234625</t>
  </si>
  <si>
    <t>ΧΟΥΛΙΑΡΑΣ</t>
  </si>
  <si>
    <t>ΑΝ940238</t>
  </si>
  <si>
    <t>ΑΗ119007</t>
  </si>
  <si>
    <t>ΣΤΑΜΕΛΟΥ</t>
  </si>
  <si>
    <t>Χ730373</t>
  </si>
  <si>
    <t>ΜΑΝΤΖΟΥΡΑΝΗ</t>
  </si>
  <si>
    <t>ΑΟ662343</t>
  </si>
  <si>
    <t>ΑΗ672952</t>
  </si>
  <si>
    <t>ΓΚΟΥΓΚΟΥΣΤΑΜΟΥ</t>
  </si>
  <si>
    <t>ΑΒ103696</t>
  </si>
  <si>
    <t>ΧΑΤΖΗΕΥΦΡΑΙΜΙΔΟΥ</t>
  </si>
  <si>
    <t>ΑΙ879421</t>
  </si>
  <si>
    <t>ΤΣΟΥΤΣΟΥ</t>
  </si>
  <si>
    <t>ΒΑΣΙΛΙΚΗ ΡΟΖΙΝΑ</t>
  </si>
  <si>
    <t>ΑΒ297345</t>
  </si>
  <si>
    <t>ΣΒΩΛΗ</t>
  </si>
  <si>
    <t>ΧΙΟΝΙΑ</t>
  </si>
  <si>
    <t>Τ372066</t>
  </si>
  <si>
    <t>ΑΚ059960</t>
  </si>
  <si>
    <t>ΣΙΣΚΟΣ</t>
  </si>
  <si>
    <t>ΑΟ410297</t>
  </si>
  <si>
    <t>ΚΩΣΤΑΚΗ</t>
  </si>
  <si>
    <t>ΑΒ477126</t>
  </si>
  <si>
    <t>ΑΒ541088</t>
  </si>
  <si>
    <t>ΔΡΑΠΕΤΗ ΛΥΣΙΚΑΤΟΥ</t>
  </si>
  <si>
    <t>Χ131011</t>
  </si>
  <si>
    <t>ΑΝ179723</t>
  </si>
  <si>
    <t>ΜΠΟΥΓΙΟΥΚΛΗΣ</t>
  </si>
  <si>
    <t>ΑΝ241984</t>
  </si>
  <si>
    <t>ΑΖ799550</t>
  </si>
  <si>
    <t>ΚΙΜΩΝ ΚΩΝΣΤΑΝΤΙΝΟΣ</t>
  </si>
  <si>
    <t>ΑΙ566559</t>
  </si>
  <si>
    <t>ΑΟ632231</t>
  </si>
  <si>
    <t>ΦΛΟΥΛΗ</t>
  </si>
  <si>
    <t>ΑΝΔΡΟΝΙΚΟΣ ΔΡΟΝΗΣ</t>
  </si>
  <si>
    <t>ΑΜ695775</t>
  </si>
  <si>
    <t>ΑΚ607255</t>
  </si>
  <si>
    <t>ΑΗ712745</t>
  </si>
  <si>
    <t>ΑΡΙΔΑ</t>
  </si>
  <si>
    <t>Ρ334419</t>
  </si>
  <si>
    <t>ΑΕ425123</t>
  </si>
  <si>
    <t>ΑΝ272959</t>
  </si>
  <si>
    <t>ΟΥΡΑΝΙΑ ΜΑΡΙΑ</t>
  </si>
  <si>
    <t>Χ919816</t>
  </si>
  <si>
    <t>ΜΟΥΝΤΖΟΥΡΗ</t>
  </si>
  <si>
    <t>ΑΜ512523</t>
  </si>
  <si>
    <t>ΑΙ474692</t>
  </si>
  <si>
    <t>ΤΟΣΚΙΔΗΣ</t>
  </si>
  <si>
    <t>ΑΕ163026</t>
  </si>
  <si>
    <t>ΔΕΔΕΣ</t>
  </si>
  <si>
    <t>ΑΝ682099</t>
  </si>
  <si>
    <t>ΛΑΝΤΖΟΥΡΑΚΗ</t>
  </si>
  <si>
    <t>Χ074860</t>
  </si>
  <si>
    <t>ΜΟΥΛΑΡΑ</t>
  </si>
  <si>
    <t>Χ730385</t>
  </si>
  <si>
    <t>ΚΟΡΟΜΗΛΑ</t>
  </si>
  <si>
    <t>ΑΗ617291</t>
  </si>
  <si>
    <t>Χ652595</t>
  </si>
  <si>
    <t>ΑΗ463812</t>
  </si>
  <si>
    <t>ΙΒΑΝΙΔΟΥ</t>
  </si>
  <si>
    <t>ΙΛΩΝΑ</t>
  </si>
  <si>
    <t>ΕΔΟΥΑΡΔΟΣ</t>
  </si>
  <si>
    <t>ΑΜ725766</t>
  </si>
  <si>
    <t>ΑΟ474385</t>
  </si>
  <si>
    <t>ΑΒ544410</t>
  </si>
  <si>
    <t>ΑΙ173285</t>
  </si>
  <si>
    <t>ΣΙΝΤΟΡΗ</t>
  </si>
  <si>
    <t>ΑΜ281517</t>
  </si>
  <si>
    <t>ΠΕΧΛΙΒΑΝΗ</t>
  </si>
  <si>
    <t>ΑΝ388286</t>
  </si>
  <si>
    <t>ΓΟΥΛΙΑΜΗ</t>
  </si>
  <si>
    <t>Χ071228</t>
  </si>
  <si>
    <t>ΔΡΑΚΑΚΙΔΟΥ</t>
  </si>
  <si>
    <t>ΑΖ197236</t>
  </si>
  <si>
    <t>ΑΝ967923</t>
  </si>
  <si>
    <t>ΜΟΥΡΝΟΥ</t>
  </si>
  <si>
    <t>Φ245774</t>
  </si>
  <si>
    <t>ΑΗ200089</t>
  </si>
  <si>
    <t>ΒΟΝΙΚΑΚΗ</t>
  </si>
  <si>
    <t>ΑΚ124180</t>
  </si>
  <si>
    <t>ΚΑΡΚΑΝΕΒΑΤΟΣ</t>
  </si>
  <si>
    <t>ΑΕ859477</t>
  </si>
  <si>
    <t>ΑΒ319027</t>
  </si>
  <si>
    <t>ΑΣΤΕΡ</t>
  </si>
  <si>
    <t>ΚΩΣΤΑΚΗΣ</t>
  </si>
  <si>
    <t>ΑΖ056707</t>
  </si>
  <si>
    <t>ΣΑΡΤΖΕΤΑΚΗ</t>
  </si>
  <si>
    <t>ΑΡΧΟΝΤΙΣΣΑ</t>
  </si>
  <si>
    <t>ΑΙ463321</t>
  </si>
  <si>
    <t>ΚΟΥΝΤΖΑΚΗ</t>
  </si>
  <si>
    <t>ΑΝ050369</t>
  </si>
  <si>
    <t>ΑΟ198019</t>
  </si>
  <si>
    <t>ΧΟΛΕΒΑ</t>
  </si>
  <si>
    <t>ΑΗ601674</t>
  </si>
  <si>
    <t>ΑΜ436090</t>
  </si>
  <si>
    <t>ΑΕ299701</t>
  </si>
  <si>
    <t>ΔΑΣΚΑΛΑΚΗ</t>
  </si>
  <si>
    <t>ΑΟ434961</t>
  </si>
  <si>
    <t>ΜΗΛΙΑΔΟΥ</t>
  </si>
  <si>
    <t>ΑΦΡΟΔΙΤΗ ΖΑΧΑΡΟΥΛΑ</t>
  </si>
  <si>
    <t>ΑΚ891464</t>
  </si>
  <si>
    <t>ΤΣΑΚΝΑΚΗΣ</t>
  </si>
  <si>
    <t>ΑΒ106377</t>
  </si>
  <si>
    <t>ΑΙ188542</t>
  </si>
  <si>
    <t>ΒΡΕΤΤΑΚΟΥ</t>
  </si>
  <si>
    <t>ΝΙΚΗ ΕΛΕΝΗ</t>
  </si>
  <si>
    <t>ΑΜ344675</t>
  </si>
  <si>
    <t>ΑΙ421863</t>
  </si>
  <si>
    <t>Α0909032</t>
  </si>
  <si>
    <t>ΕΜΜΑΝΟΥΕΛΑ ΜΑΡΙΑ</t>
  </si>
  <si>
    <t>ΑΝ028206</t>
  </si>
  <si>
    <t>ΠΑΠΑΠΕΤΡΟΥ</t>
  </si>
  <si>
    <t>ΒΟΥΓΙΟΥΚΑ</t>
  </si>
  <si>
    <t>ΣΟΦΙΑ ΑΙΚΑΤΕΡΙΝΗ</t>
  </si>
  <si>
    <t>ΑΒ205058</t>
  </si>
  <si>
    <t>ΒΟΥΤΥΡΑ</t>
  </si>
  <si>
    <t>ΑΚ067714</t>
  </si>
  <si>
    <t>ΣΙΑΦΑΚΑ</t>
  </si>
  <si>
    <t>ΜΑΡΙΑ ΕΛΙΣΣΑΒΕΤ</t>
  </si>
  <si>
    <t>ΑΒ385269</t>
  </si>
  <si>
    <t>ΧΑΡΔΑΛΙΑ</t>
  </si>
  <si>
    <t>ΑΕ102220</t>
  </si>
  <si>
    <t>Φ099246</t>
  </si>
  <si>
    <t>ΠΑΝΤΕΛΕΡΗ</t>
  </si>
  <si>
    <t>ΕΥΑΓΓΕΛΙΑ ΔΕΣΠΟΙΝΑ</t>
  </si>
  <si>
    <t>ΑΙ446936</t>
  </si>
  <si>
    <t>ΣΙΛΒΙΣΤΟΠΟΥΛΟΥ</t>
  </si>
  <si>
    <t>ΑΝ759073</t>
  </si>
  <si>
    <t>ΑΗ443231</t>
  </si>
  <si>
    <t>ΑΜ956480</t>
  </si>
  <si>
    <t>ΑΙ453863</t>
  </si>
  <si>
    <t>ΒΟΡΔΟΥ</t>
  </si>
  <si>
    <t>ΑΚ326668</t>
  </si>
  <si>
    <t>ΔΑΛΛΑΣ</t>
  </si>
  <si>
    <t>ΑΜ878316</t>
  </si>
  <si>
    <t>ΔΑΣΚΑΛΟΠΟΥΛΟΥ</t>
  </si>
  <si>
    <t>Χ913455</t>
  </si>
  <si>
    <t>ΜΗΛΙΑ ΑΡΓΕΙΤΗ</t>
  </si>
  <si>
    <t>Χ807876</t>
  </si>
  <si>
    <t>ΑΖ604913</t>
  </si>
  <si>
    <t>ΚΟΝΤΟΜΑΡΗ</t>
  </si>
  <si>
    <t>ΑΖ144341</t>
  </si>
  <si>
    <t>ΤΣΙΛΙΓΓΙΡΙΔΟΥ</t>
  </si>
  <si>
    <t>ΑΟ393568</t>
  </si>
  <si>
    <t>ΤΖΑΤΖΑ</t>
  </si>
  <si>
    <t>ΑΒ402938</t>
  </si>
  <si>
    <t>ΜΠΟΛΕΤΣΗ</t>
  </si>
  <si>
    <t>ΑΝ216115</t>
  </si>
  <si>
    <t>ΚΩΣΤΑΡΑΚΗ</t>
  </si>
  <si>
    <t>ΑΖ248786</t>
  </si>
  <si>
    <t>ΑΟ748116</t>
  </si>
  <si>
    <t>ΛΙΘΑΔΙΩΤΗ</t>
  </si>
  <si>
    <t>Χ426650</t>
  </si>
  <si>
    <t>ΑΙ259006</t>
  </si>
  <si>
    <t>ΑΒ808483</t>
  </si>
  <si>
    <t>ΜΗΛΙΑΡΑ</t>
  </si>
  <si>
    <t>ΑΕ183894</t>
  </si>
  <si>
    <t>ΠΑΠΑΕΛΕΥΘΕΡΙΟΥ</t>
  </si>
  <si>
    <t>ΑΙ606320</t>
  </si>
  <si>
    <t>ΑΜ526666</t>
  </si>
  <si>
    <t>ΑΒ622861</t>
  </si>
  <si>
    <t>ΠΑΓΚΟΥΤΣΟΥ</t>
  </si>
  <si>
    <t>ΑΝ203558</t>
  </si>
  <si>
    <t>ΚΑΡΡΟΠΟΥΛΟΥ</t>
  </si>
  <si>
    <t>ΑΜ916458</t>
  </si>
  <si>
    <t>ΚΥΡΙΑΚΟΓΛΟΥ</t>
  </si>
  <si>
    <t>ΑΖ341653</t>
  </si>
  <si>
    <t>ΠΙΣΣΑΣ</t>
  </si>
  <si>
    <t>ΑΗ008179</t>
  </si>
  <si>
    <t>ΑΒ579892</t>
  </si>
  <si>
    <t>ΤΖΗΜΑ</t>
  </si>
  <si>
    <t>ΑΙ842592</t>
  </si>
  <si>
    <t>ΧΑΡΟΥΛΗ</t>
  </si>
  <si>
    <t>ΑΒ267277</t>
  </si>
  <si>
    <t>ΚΑΛΥΨΩ</t>
  </si>
  <si>
    <t>ΑΡ216692</t>
  </si>
  <si>
    <t>ΑΜ101600</t>
  </si>
  <si>
    <t xml:space="preserve">ΜΑΡΚΟΖΑΝΝΕΣ </t>
  </si>
  <si>
    <t>ΑΒ273109</t>
  </si>
  <si>
    <t>ΜΠΑΡΤΖΗ</t>
  </si>
  <si>
    <t>ΑΕ710081</t>
  </si>
  <si>
    <t>ΜΠΕΖΙΟΥΛΑ</t>
  </si>
  <si>
    <t>ΑΜ627671</t>
  </si>
  <si>
    <t>ΑΖ065318</t>
  </si>
  <si>
    <t>ΒΕΛΙΔΑΚΗ</t>
  </si>
  <si>
    <t>ΑΚ294997</t>
  </si>
  <si>
    <t>ΑΕ688116</t>
  </si>
  <si>
    <t>ΚΟΚΚΙΝΗ ΝΤΡΕΝΗ</t>
  </si>
  <si>
    <t>ΑΙ653327</t>
  </si>
  <si>
    <t>ΑΒ640659</t>
  </si>
  <si>
    <t>ΔΙΟΝΥΣΟΠΟΥΛΟΥ</t>
  </si>
  <si>
    <t>ΑΝ255718</t>
  </si>
  <si>
    <t>ΣΠΥΡΙΔΟΥ</t>
  </si>
  <si>
    <t>ΑΜ700421</t>
  </si>
  <si>
    <t>ΜΑΡΙΑ ΓΕΩΡΓΙΑ</t>
  </si>
  <si>
    <t>ΑΟ926319</t>
  </si>
  <si>
    <t>ΑΡΜΕΝΗΣ</t>
  </si>
  <si>
    <t>ΑΙ712193</t>
  </si>
  <si>
    <t>ΜΟΣΧΟΒΑΚΗ ΦΙΛΙΠΠΙΔΟΥ</t>
  </si>
  <si>
    <t>ΑΝ787698</t>
  </si>
  <si>
    <t>ΑΝ445604</t>
  </si>
  <si>
    <t>ΑΟ200997</t>
  </si>
  <si>
    <t>ΓΚΟΥΙΝΤΑΛΙΑΣ</t>
  </si>
  <si>
    <t>ΛΑΥΡΕΝΤΙΟΣ</t>
  </si>
  <si>
    <t>ΑΒ947427</t>
  </si>
  <si>
    <t>ΤΖΙΜΑΝΗ</t>
  </si>
  <si>
    <t>ΑΖ047948</t>
  </si>
  <si>
    <t>ΠΕΤΡΕΝΤΖΙΟΥ</t>
  </si>
  <si>
    <t>ΑΒ111433</t>
  </si>
  <si>
    <t>Σ330914</t>
  </si>
  <si>
    <t>ΣΟΡΑΝΙΔΟΥ</t>
  </si>
  <si>
    <t>ΠΑΝΑΓΙΩΤΑ ΚΑΛΛΙΟΠΗ</t>
  </si>
  <si>
    <t>ΑΙ697149</t>
  </si>
  <si>
    <t>ΑΝ641799</t>
  </si>
  <si>
    <t>ΛΕΖΓΗ</t>
  </si>
  <si>
    <t>ΑΗ041987</t>
  </si>
  <si>
    <t>ΑΟ215572</t>
  </si>
  <si>
    <t>ΒΑΡΛΑΓΚΑ</t>
  </si>
  <si>
    <t>ΧΡΙΣΤΙΝΑ ΑΣΠΑΣΙΑ</t>
  </si>
  <si>
    <t>ΑΝ316811</t>
  </si>
  <si>
    <t>ΤΕΡΖΟΓΛΟΥ</t>
  </si>
  <si>
    <t>Τ824991</t>
  </si>
  <si>
    <t>ΚΑΡΑΙΣΑΡΙΔΟΥ</t>
  </si>
  <si>
    <t>ΚΥΡΙΑΚΗ ΠΑΡΑΣΚΕΥΗ</t>
  </si>
  <si>
    <t>ΑΒ463854</t>
  </si>
  <si>
    <t>ΒΟΚΟΡΟΚΟΥ</t>
  </si>
  <si>
    <t>ΑΚ629622</t>
  </si>
  <si>
    <t>ΝΤΟΡΙΝΑ</t>
  </si>
  <si>
    <t>ΣΩΚΡΑΤ</t>
  </si>
  <si>
    <t>ΑΜ651269</t>
  </si>
  <si>
    <t>ΚΕΠΑΠΤΣΟΓΛΟΥ</t>
  </si>
  <si>
    <t>ΑΛΚΗΣΤΗ</t>
  </si>
  <si>
    <t>ΑΟ246429</t>
  </si>
  <si>
    <t xml:space="preserve">ΑΘΑΝΑΣΙΑΔΟΥ </t>
  </si>
  <si>
    <t xml:space="preserve">ΕΛΙΣΣΑΒΕΤ </t>
  </si>
  <si>
    <t>Χ758700</t>
  </si>
  <si>
    <t>ΚΑΡΑΜΑΝΙΔΟΥ</t>
  </si>
  <si>
    <t>Χ198242</t>
  </si>
  <si>
    <t>ΑΜ090419</t>
  </si>
  <si>
    <t>ΑΕ652643</t>
  </si>
  <si>
    <t>ΝΙΦΟΡΟΥ</t>
  </si>
  <si>
    <t>ΑΛΚΙΒΙΑΔΗΣ</t>
  </si>
  <si>
    <t>ΑΗ767896</t>
  </si>
  <si>
    <t>ΦΡΕΙΔΕΡΙΚΟΣ</t>
  </si>
  <si>
    <t>ΑΗ162384</t>
  </si>
  <si>
    <t>Χ908995</t>
  </si>
  <si>
    <t>ΘΩΜΑΙΔΗ</t>
  </si>
  <si>
    <t>ΑΖ761162</t>
  </si>
  <si>
    <t>ΝΤΑΦΛΟΣ</t>
  </si>
  <si>
    <t>Χ366956</t>
  </si>
  <si>
    <t>ΣΙΓΑΛΟΥ</t>
  </si>
  <si>
    <t>ΑΖ118722</t>
  </si>
  <si>
    <t>ΒΗΚΑ</t>
  </si>
  <si>
    <t>ΑΙ446732</t>
  </si>
  <si>
    <t>ΔΡΟΣΑΤΟΥ</t>
  </si>
  <si>
    <t>ΑΟ078669</t>
  </si>
  <si>
    <t>ΑΜ028120</t>
  </si>
  <si>
    <t>ΓΑΡΥΦΑΛΟΣ</t>
  </si>
  <si>
    <t>ΑΙ745282</t>
  </si>
  <si>
    <t>ΛΙΑΒΒΑ</t>
  </si>
  <si>
    <t>ΑΜ294022</t>
  </si>
  <si>
    <t>ΚΟΡΑΗ</t>
  </si>
  <si>
    <t>ΑΚ636199</t>
  </si>
  <si>
    <t>ΡΩΜΑΝΙΔΟΥ</t>
  </si>
  <si>
    <t>ΑΒ125834</t>
  </si>
  <si>
    <t>ΧΡΙΣΤΟΥ</t>
  </si>
  <si>
    <t>ΑΝ703125</t>
  </si>
  <si>
    <t>ΑΝ019315</t>
  </si>
  <si>
    <t>ΒΑΡΕΛΙΔΟΥ</t>
  </si>
  <si>
    <t>ΑΒ679182</t>
  </si>
  <si>
    <t>ΑΙ632596</t>
  </si>
  <si>
    <t>ΤΖΟΥΓΑΝΑΚΗ</t>
  </si>
  <si>
    <t>ΑΒ323397</t>
  </si>
  <si>
    <t>ΑΠΟΣΤΟΛΙΝΑΣ</t>
  </si>
  <si>
    <t>ΑΕ603064</t>
  </si>
  <si>
    <t>ΣΤΑΜΟΣ</t>
  </si>
  <si>
    <t>ΚΑΛΑΜΑΤΙΑΝΟΣ</t>
  </si>
  <si>
    <t>ΑΖ595464</t>
  </si>
  <si>
    <t>ΑΜ442552</t>
  </si>
  <si>
    <t>ΑΚ219108</t>
  </si>
  <si>
    <t>ΑΗ686373</t>
  </si>
  <si>
    <t>ΑΒ702188</t>
  </si>
  <si>
    <t>ΠΑΧΗ</t>
  </si>
  <si>
    <t>ΑΝ586090</t>
  </si>
  <si>
    <t>ΚΑΡΑΟΥΖΑ</t>
  </si>
  <si>
    <t>ΑΝ851092</t>
  </si>
  <si>
    <t>ΑΚ746473</t>
  </si>
  <si>
    <t>ΤΣΑΚΙΡΑΚΗ</t>
  </si>
  <si>
    <t>Π666611</t>
  </si>
  <si>
    <t>ΑΙ762510</t>
  </si>
  <si>
    <t>ΓΕΡΑΚΑΡΗ</t>
  </si>
  <si>
    <t>Χ951194</t>
  </si>
  <si>
    <t>ΤΖΟΥΒΑΛΕΚΑ</t>
  </si>
  <si>
    <t>ΜΠΑΜΝΑΡΑ</t>
  </si>
  <si>
    <t>ΑΙ846564</t>
  </si>
  <si>
    <t>ΚΑΡΤΣΑΦΛΕΚΗ</t>
  </si>
  <si>
    <t>ΑΖ265654</t>
  </si>
  <si>
    <t>ΛΕΓΑΤΟΥ</t>
  </si>
  <si>
    <t>ΑΙ210390</t>
  </si>
  <si>
    <t>ΑΜ364947</t>
  </si>
  <si>
    <t>ΜΟΝΑΣΤΗΡΙΩΤΗ</t>
  </si>
  <si>
    <t>Χ173274</t>
  </si>
  <si>
    <t>ΚΟΒΑΝΙΔΟΥ</t>
  </si>
  <si>
    <t>Χ868399</t>
  </si>
  <si>
    <t>ΚΛΕΦΤΟΓΙΑΝΝΗ</t>
  </si>
  <si>
    <t>ΧΡΥΣΟΥΛΑ ΑΝΝΑ</t>
  </si>
  <si>
    <t>ΑΡ082764</t>
  </si>
  <si>
    <t>ΜΠΕΘΑΝΗ</t>
  </si>
  <si>
    <t>Χ308834</t>
  </si>
  <si>
    <t>ΑΙ132748</t>
  </si>
  <si>
    <t>ΤΣΑΤΤΑΛΙΟΣ</t>
  </si>
  <si>
    <t>ΤΣΑΜΠΙΚΟΣ ΝΙΚΟΛΑΟΣ</t>
  </si>
  <si>
    <t>ΑΗ743932</t>
  </si>
  <si>
    <t>ΚΑΛΑΙΤΖΙΔΟΥ</t>
  </si>
  <si>
    <t>ΑΒ907538</t>
  </si>
  <si>
    <t>ΚΙΤΣΑΚΗ</t>
  </si>
  <si>
    <t>ΑΟ154646</t>
  </si>
  <si>
    <t>ΚΑΓΚΑΡΑ</t>
  </si>
  <si>
    <t>ΑΙ475096</t>
  </si>
  <si>
    <t>Χ604370</t>
  </si>
  <si>
    <t>Χ879791</t>
  </si>
  <si>
    <t>Μ889563</t>
  </si>
  <si>
    <t>ΑΕ805146</t>
  </si>
  <si>
    <t>ΜΑΡΓΑΡΙΤΗΣ</t>
  </si>
  <si>
    <t>ΑΑ255224</t>
  </si>
  <si>
    <t>ΓΑΛΙΖΗ</t>
  </si>
  <si>
    <t>ΑΜ046786</t>
  </si>
  <si>
    <t>ΑΗ711161</t>
  </si>
  <si>
    <t xml:space="preserve">ΚΟΥΦΑΚΗ </t>
  </si>
  <si>
    <t>ΑΖ122415</t>
  </si>
  <si>
    <t>ΤΙΣΕΝΚΟ</t>
  </si>
  <si>
    <t>ΑΝΑΤΟΛΙΙ</t>
  </si>
  <si>
    <t>Χ587697</t>
  </si>
  <si>
    <t>ΑΣΚΗΤΑ</t>
  </si>
  <si>
    <t>Π783978</t>
  </si>
  <si>
    <t>ΑΒ084478</t>
  </si>
  <si>
    <t>ΑΟ956779</t>
  </si>
  <si>
    <t>ΚΑΛΥΒΑ ΡΑΠΤΗ</t>
  </si>
  <si>
    <t>ΑΚ066138</t>
  </si>
  <si>
    <t>ΑΟ367772</t>
  </si>
  <si>
    <t>ΜΑΡΚΑΤΟΥ</t>
  </si>
  <si>
    <t>ΑΜ738767</t>
  </si>
  <si>
    <t>ΠΑΝΙΣΚΑΚΗ</t>
  </si>
  <si>
    <t>ΑΗ336596</t>
  </si>
  <si>
    <t>ΣΙΜΟΠΟΥΛΟΥ</t>
  </si>
  <si>
    <t>ΑΚ421249</t>
  </si>
  <si>
    <t>ΠΕΤΡΟΥΛΑΚΗ</t>
  </si>
  <si>
    <t>Χ204161</t>
  </si>
  <si>
    <t>ΑΙ539480</t>
  </si>
  <si>
    <t>ΑΜ421232</t>
  </si>
  <si>
    <t>ΑΜ744526</t>
  </si>
  <si>
    <t>ΛΟΥΚΑΔΑΚΗΣ</t>
  </si>
  <si>
    <t>ΑΝ932619</t>
  </si>
  <si>
    <t>ΓΚΙΖΟΥ</t>
  </si>
  <si>
    <t>Φ359063</t>
  </si>
  <si>
    <t>ΑΙ643407</t>
  </si>
  <si>
    <t>ΣΟΡΤΣΗ</t>
  </si>
  <si>
    <t>ΑΕ347646</t>
  </si>
  <si>
    <t>ΑΙ012655</t>
  </si>
  <si>
    <t>ΑΖ611865</t>
  </si>
  <si>
    <t>ΑΚ495542</t>
  </si>
  <si>
    <t>ΑΜ588624</t>
  </si>
  <si>
    <t>ΚΑΡΑΣΤΕΡΓΙΟΥ</t>
  </si>
  <si>
    <t>ΑΖ785940</t>
  </si>
  <si>
    <t>ΑΕ013269</t>
  </si>
  <si>
    <t>ΑΝ034836</t>
  </si>
  <si>
    <t>ΑΗ686983</t>
  </si>
  <si>
    <t>ΜΠΑΤΖΟΥ</t>
  </si>
  <si>
    <t>ΑΖ740418</t>
  </si>
  <si>
    <t>ΚΙΡΑΤΖΗ</t>
  </si>
  <si>
    <t>ΓΚΙΟΥΝΕΡ</t>
  </si>
  <si>
    <t>ΑΕ412075</t>
  </si>
  <si>
    <t>ΑΠΟΣΤΟΛΟΥ</t>
  </si>
  <si>
    <t>ΑΕ285911</t>
  </si>
  <si>
    <t>ΑΜ878959</t>
  </si>
  <si>
    <t>Τ502793</t>
  </si>
  <si>
    <t>ΧΕΛΜΗ</t>
  </si>
  <si>
    <t>ΑΑ400397</t>
  </si>
  <si>
    <t>ΑΒ762859</t>
  </si>
  <si>
    <t>ΑΖ196268</t>
  </si>
  <si>
    <t>ΑΕ333187</t>
  </si>
  <si>
    <t>Φ003860</t>
  </si>
  <si>
    <t>ΑΖ809060</t>
  </si>
  <si>
    <t>ΜΠΑΛΤΑ ΚΟΚΚΑΛΙΑΡΗ</t>
  </si>
  <si>
    <t>ΑΟ781834</t>
  </si>
  <si>
    <t>ΑΕ960354</t>
  </si>
  <si>
    <t>ΖΗΣΙΜΟΥ</t>
  </si>
  <si>
    <t>ΑΙ664259</t>
  </si>
  <si>
    <t>ΓΟΥΡΓΟΥΛΗ</t>
  </si>
  <si>
    <t>Σ228801</t>
  </si>
  <si>
    <t>ΑΝ191361</t>
  </si>
  <si>
    <t>ΑΕ725103</t>
  </si>
  <si>
    <t>ΠΟΡΤΟΚΑΛΛΑ</t>
  </si>
  <si>
    <t>ΑΒ066424</t>
  </si>
  <si>
    <t>ΣΟΦΙΑΝΟΣ</t>
  </si>
  <si>
    <t>ΑΗ869268</t>
  </si>
  <si>
    <t>ΑΙΚΑΤΕΡΙΝΗ ΔΙΟΝΥΣΙΑ</t>
  </si>
  <si>
    <t>Φ246462</t>
  </si>
  <si>
    <t>Χ084026</t>
  </si>
  <si>
    <t>ΑΙ434831</t>
  </si>
  <si>
    <t>ΑΑ231627</t>
  </si>
  <si>
    <t>ΚΟΜΠΑΤΣΙΑΡΗΣ</t>
  </si>
  <si>
    <t>EΛΕΥΘΕΡΙΟΣ</t>
  </si>
  <si>
    <t>ΑΚ903278</t>
  </si>
  <si>
    <t>ΜΑΡΙΝΑ ΠΑΡΑΣΚΕΥΗ</t>
  </si>
  <si>
    <t>ΑΝ280152</t>
  </si>
  <si>
    <t>ΝΟΤΙΟΥ</t>
  </si>
  <si>
    <t>Χ945806</t>
  </si>
  <si>
    <t>ΠΕΣΛΗ</t>
  </si>
  <si>
    <t>Χ414129</t>
  </si>
  <si>
    <t>Τ850240</t>
  </si>
  <si>
    <t>ΠΑΠΑΘΕΟΧΑΡΗ</t>
  </si>
  <si>
    <t>ΑΚ301201</t>
  </si>
  <si>
    <t>ΚΟΥΒΑΚΗ</t>
  </si>
  <si>
    <t>ΑΜ002552</t>
  </si>
  <si>
    <t>ΑΚ306499</t>
  </si>
  <si>
    <t>ΙΩΝΝΗΣ</t>
  </si>
  <si>
    <t>ΑΖ521635</t>
  </si>
  <si>
    <t>ΛΟΥΚΑ</t>
  </si>
  <si>
    <t>ΑΗ470201</t>
  </si>
  <si>
    <t>ΑΝ384015</t>
  </si>
  <si>
    <t>ΚΑΠΡΟΥΣΙΟΥΤΗΣ</t>
  </si>
  <si>
    <t>Χ914838</t>
  </si>
  <si>
    <t>ΑΗ531318</t>
  </si>
  <si>
    <t>ΑΗ803853</t>
  </si>
  <si>
    <t>ΑΒ514364</t>
  </si>
  <si>
    <t>ΒΑΖΑΝΑΣ</t>
  </si>
  <si>
    <t>ΑΙ589478</t>
  </si>
  <si>
    <t>ΜΠΑΛΑΤΣΟΥΚΑ</t>
  </si>
  <si>
    <t>ΑΟ370462</t>
  </si>
  <si>
    <t>ΑΒ779722</t>
  </si>
  <si>
    <t>ΑΡΜΕΝΙΑΚΟΥ</t>
  </si>
  <si>
    <t>Χ881052</t>
  </si>
  <si>
    <t>ΛΕΔΑΚΗ</t>
  </si>
  <si>
    <t>ΑΕ794645</t>
  </si>
  <si>
    <t>ΜΕΛΙΣΣΟΠΟΥΛΟΣ</t>
  </si>
  <si>
    <t>ΑΑ388145</t>
  </si>
  <si>
    <t>ΠΑΝΤΕΛΙΔΗ</t>
  </si>
  <si>
    <t>ΑΝ060575</t>
  </si>
  <si>
    <t>ΚΕΡΑΜΕΥΣ</t>
  </si>
  <si>
    <t>ΑΗ241981</t>
  </si>
  <si>
    <t>ΑΖ620045</t>
  </si>
  <si>
    <t>ΚΥΡΜΑΝΙΔΟΥ</t>
  </si>
  <si>
    <t>ΑΕ697688</t>
  </si>
  <si>
    <t>ΑΒ165450</t>
  </si>
  <si>
    <t>ΑΝ124899</t>
  </si>
  <si>
    <t>ΤΡΟΥΛΗ</t>
  </si>
  <si>
    <t>ΑΚ906669</t>
  </si>
  <si>
    <t>ΝΙΚΗΤΙΑΔΟΥ</t>
  </si>
  <si>
    <t>Χ020833</t>
  </si>
  <si>
    <t>ΜΑΝΘΟΥ</t>
  </si>
  <si>
    <t>ΓΕΩΡΓΙΑ ΕΙΡΗΝΗ</t>
  </si>
  <si>
    <t>ΑΕ061162</t>
  </si>
  <si>
    <t>ΑΚ198460</t>
  </si>
  <si>
    <t>ΡΗΓΑΛΟΥ</t>
  </si>
  <si>
    <t>ΑΖ708798</t>
  </si>
  <si>
    <t>Χ149938</t>
  </si>
  <si>
    <t>ΑΝ779635</t>
  </si>
  <si>
    <t>ΑΙ011153</t>
  </si>
  <si>
    <t>ΦΟΥΔΟΥΛΗ</t>
  </si>
  <si>
    <t>ΑΖ344559</t>
  </si>
  <si>
    <t>ΝΙΑΚΑΚΗ</t>
  </si>
  <si>
    <t>ΑΗ455153</t>
  </si>
  <si>
    <t>ΜΑΡΙΚΑ</t>
  </si>
  <si>
    <t>ΑΒ952886</t>
  </si>
  <si>
    <t>ΑΒ971413</t>
  </si>
  <si>
    <t>ΤΖΙΓΚΟΥ</t>
  </si>
  <si>
    <t>ΑΟ567195</t>
  </si>
  <si>
    <t>ΒΙΟΛΙΝΤΖΗ</t>
  </si>
  <si>
    <t>ΑΜ986250</t>
  </si>
  <si>
    <t>ΑΙ835362</t>
  </si>
  <si>
    <t>ΨΩΜΙΑΔΟΥ</t>
  </si>
  <si>
    <t>Χ801551</t>
  </si>
  <si>
    <t>ΜΠΛΑΖΑΚΗ</t>
  </si>
  <si>
    <t>ΑΒ489989</t>
  </si>
  <si>
    <t>ΣΚΟΚΟΥ</t>
  </si>
  <si>
    <t>ΑΚ234801</t>
  </si>
  <si>
    <t>ΑΝ550359</t>
  </si>
  <si>
    <t>ΜΠΑΚΑ</t>
  </si>
  <si>
    <t>ΑΕ744465</t>
  </si>
  <si>
    <t>ΑΘΑΝΑΣΙΟΣ ΑΛΕΞΑΝΔΡΟΣ</t>
  </si>
  <si>
    <t>ΑΒ285863</t>
  </si>
  <si>
    <t>ΚΟΝΤΑΚΙΔΟΥ</t>
  </si>
  <si>
    <t>ΕΡΜΙΝΑ</t>
  </si>
  <si>
    <t>ΑΝ424641</t>
  </si>
  <si>
    <t>ΨΩΜΑ ΜΑΚΡΗ</t>
  </si>
  <si>
    <t>ΑΚ029956</t>
  </si>
  <si>
    <t>ΣΑΡΙΓΚΟΥΛΕ</t>
  </si>
  <si>
    <t>Τ125369</t>
  </si>
  <si>
    <t>ΑΝ124884</t>
  </si>
  <si>
    <t>ΝΕΣΤΟΡΑΚΗ</t>
  </si>
  <si>
    <t>ΑΜ710095</t>
  </si>
  <si>
    <t>ΓΕΡΟΥΛΙΔΟΥ</t>
  </si>
  <si>
    <t>ΣΠΥΡΙΔΟΥΛΑ ΜΟΝΙΚΑ</t>
  </si>
  <si>
    <t>ΑΙ595629</t>
  </si>
  <si>
    <t>ΠΑΡΑΛΗ</t>
  </si>
  <si>
    <t>ΑΜ682757</t>
  </si>
  <si>
    <t>ΑΝ462660</t>
  </si>
  <si>
    <t>Χ370555</t>
  </si>
  <si>
    <t>ΑΖ812483</t>
  </si>
  <si>
    <t>ΑΙ854413</t>
  </si>
  <si>
    <t>ΚΑΡΕΤΣΑ</t>
  </si>
  <si>
    <t>ΠΕΡΙΚΛΗΣ ΓΕΩΡΓΙΟΣ</t>
  </si>
  <si>
    <t>ΑΑ110668</t>
  </si>
  <si>
    <t>ΤΣΙΜΠΙΝΟΥ</t>
  </si>
  <si>
    <t>ΑΕ936231</t>
  </si>
  <si>
    <t>ΤΟΥΜΑΖΑΝΗ</t>
  </si>
  <si>
    <t>ΑΕ037898</t>
  </si>
  <si>
    <t>ΑΗ701351</t>
  </si>
  <si>
    <t>ΓΑΛΕΟΥ</t>
  </si>
  <si>
    <t>Χ604062</t>
  </si>
  <si>
    <t>ΑΙ180579</t>
  </si>
  <si>
    <t>ΑΕ504235</t>
  </si>
  <si>
    <t>ΚΑΠΕΤΑΝΟΥ</t>
  </si>
  <si>
    <t>ΑΒ798118</t>
  </si>
  <si>
    <t>ΣΤΑΓΚΟΥ</t>
  </si>
  <si>
    <t>MΥΡΤΩ</t>
  </si>
  <si>
    <t>ΑΖ666851</t>
  </si>
  <si>
    <t>Χ144165</t>
  </si>
  <si>
    <t>ΨΑΘΑΚΗ</t>
  </si>
  <si>
    <t>ΑΒ187590</t>
  </si>
  <si>
    <t>ΑΗ172106</t>
  </si>
  <si>
    <t>ΑΖ648560</t>
  </si>
  <si>
    <t>ΡΕΠΑΝΤΗ</t>
  </si>
  <si>
    <t>ΑΜ022316</t>
  </si>
  <si>
    <t>ΑΗ101070</t>
  </si>
  <si>
    <t>ΠΡΩΤΟΠΑΠΑΔΑΚΗ</t>
  </si>
  <si>
    <t>ΑΝ643029</t>
  </si>
  <si>
    <t>ΠΑΛΑΙΟΥ</t>
  </si>
  <si>
    <t>ΑΟ454903</t>
  </si>
  <si>
    <t>Χ953717</t>
  </si>
  <si>
    <t>ΑΕ037245</t>
  </si>
  <si>
    <t>ΤΑΒΑΝΛΗ</t>
  </si>
  <si>
    <t>ΧΡΥΣΑ ΜΑΡΙΑ</t>
  </si>
  <si>
    <t>ΚΩΝ</t>
  </si>
  <si>
    <t>ΑΝ738848</t>
  </si>
  <si>
    <t>ΑΜ712466</t>
  </si>
  <si>
    <t>Χ215248</t>
  </si>
  <si>
    <t>ΑΕ076956</t>
  </si>
  <si>
    <t>ΑΕ430806</t>
  </si>
  <si>
    <t>Φ143542</t>
  </si>
  <si>
    <t>ΑΑ381310</t>
  </si>
  <si>
    <t>ΑΜ645559</t>
  </si>
  <si>
    <t>ΑΖ704544</t>
  </si>
  <si>
    <t>ΑΜ527052</t>
  </si>
  <si>
    <t>ΛΥΜΠΕΡΑΚΗ</t>
  </si>
  <si>
    <t>ΑΝ230962</t>
  </si>
  <si>
    <t>ΤΣΙΝΤΖΗΡΑ</t>
  </si>
  <si>
    <t>ΕΛΕΝΗ ΑΙΜΙΛΙΑ</t>
  </si>
  <si>
    <t>ΑΙ860550</t>
  </si>
  <si>
    <t>ΜΠΑΜΠΟΥΛΗ</t>
  </si>
  <si>
    <t>ΑΡΤΟΡΙΞΗΣ</t>
  </si>
  <si>
    <t>ΑΗ589452</t>
  </si>
  <si>
    <t>ΑΒ651498</t>
  </si>
  <si>
    <t>ΑΒ477649</t>
  </si>
  <si>
    <t>ΚΑΡΑΜΑΝΗ</t>
  </si>
  <si>
    <t>ΑΗ095841</t>
  </si>
  <si>
    <t>ΑΡ087993</t>
  </si>
  <si>
    <t>ΑΙ796535</t>
  </si>
  <si>
    <t>ΧΑΤΖΗΠΡΟΚΟΠΙΟΥ</t>
  </si>
  <si>
    <t>ΕΥΤΥΧΙΑ ΣΑΠΦΩ</t>
  </si>
  <si>
    <t>ΑΒ935309</t>
  </si>
  <si>
    <t>ΠΑΠΑΕΥΣΤΑΘΙΟΥ</t>
  </si>
  <si>
    <t>ΕΛΠΙΣ</t>
  </si>
  <si>
    <t>Χ240214</t>
  </si>
  <si>
    <t>ΧΟΥΣΤΟΥΛΑΚΗΣ</t>
  </si>
  <si>
    <t>ΑΚ419789</t>
  </si>
  <si>
    <t>ΠΑΝΟΥΣΑΚΗ</t>
  </si>
  <si>
    <t>ΑΖ491217</t>
  </si>
  <si>
    <t>ΝΙΚΗΤΟΠΟΥΛΟΥ</t>
  </si>
  <si>
    <t>ΑΕ512841</t>
  </si>
  <si>
    <t>ΒΙΤΖΗΛΑΙΟΣ</t>
  </si>
  <si>
    <t>ΑΕ442547</t>
  </si>
  <si>
    <t>ΑΗ892896</t>
  </si>
  <si>
    <t>ΚΑΦΦΕΣΑΚΗΣ</t>
  </si>
  <si>
    <t>ΑΚ469925</t>
  </si>
  <si>
    <t>ΑΚ833572</t>
  </si>
  <si>
    <t>ΤΣΑΓΚΑΡΑΚΗΣ</t>
  </si>
  <si>
    <t>Χ850122</t>
  </si>
  <si>
    <t>ΜΠΕΡΚΟΥΤΗ</t>
  </si>
  <si>
    <t>Χ854261</t>
  </si>
  <si>
    <t>ΑΖ859255</t>
  </si>
  <si>
    <t>ΣΑΜΛΙΔΟΥ</t>
  </si>
  <si>
    <t>ΑΗ172844</t>
  </si>
  <si>
    <t>ΑΙΚΑΤΕΡΙΝΗ ΜΑΡΙΝΑ</t>
  </si>
  <si>
    <t>ΑΗ198163</t>
  </si>
  <si>
    <t>ΚΟΥΣΗ</t>
  </si>
  <si>
    <t>ΑΒ351460</t>
  </si>
  <si>
    <t>ΑΟ007010</t>
  </si>
  <si>
    <t>ΠΡΑΠΑ</t>
  </si>
  <si>
    <t>ΑΟ388774</t>
  </si>
  <si>
    <t>ΑΑ262808</t>
  </si>
  <si>
    <t>ΑΜ879822</t>
  </si>
  <si>
    <t>Φ116366</t>
  </si>
  <si>
    <t>ΑΜ762744</t>
  </si>
  <si>
    <t>ΦΑΚΙΔΑΡΑΚΗ</t>
  </si>
  <si>
    <t>ΝΙΚΟΛΑΟΣ ΦΑΚΙΔΑΡΑΚΗΣ</t>
  </si>
  <si>
    <t>ΑΕ953931</t>
  </si>
  <si>
    <t>ΘΩΜΟΥ</t>
  </si>
  <si>
    <t>ΑΖ589840</t>
  </si>
  <si>
    <t>Χ794672</t>
  </si>
  <si>
    <t>ΤΑΓΑΡΗΣ</t>
  </si>
  <si>
    <t>ΔΙΓΚΑ</t>
  </si>
  <si>
    <t>ΕΛΕΟΝΩΡΑ ΜΑΡΙΑ</t>
  </si>
  <si>
    <t>ΑΜ714109</t>
  </si>
  <si>
    <t>Π065968</t>
  </si>
  <si>
    <t>ΑΗ384123</t>
  </si>
  <si>
    <t>ΧΑΤΖΗΓΙΑΝΝΑΚΗ</t>
  </si>
  <si>
    <t>ΑΝ510004</t>
  </si>
  <si>
    <t>ΚΟΥΖΕΛΗ</t>
  </si>
  <si>
    <t>ΑΜ630418</t>
  </si>
  <si>
    <t>Χ771664</t>
  </si>
  <si>
    <t>ΚΟΥΚΟΥΤΖΕΛΗ</t>
  </si>
  <si>
    <t>Τ224122</t>
  </si>
  <si>
    <t>ΓΡΗΜΑΝΗ</t>
  </si>
  <si>
    <t>ΑΑ440836</t>
  </si>
  <si>
    <t>ΒΑΘΗΣ</t>
  </si>
  <si>
    <t>ΑΟ485367</t>
  </si>
  <si>
    <t>ΑΜ444734</t>
  </si>
  <si>
    <t>ΑΙ214920</t>
  </si>
  <si>
    <t>ΑΟ192655</t>
  </si>
  <si>
    <t>ΜΠΑΚΕΛΛΑ</t>
  </si>
  <si>
    <t>ΑΖ522353</t>
  </si>
  <si>
    <t>Χ470058</t>
  </si>
  <si>
    <t>ΚΥΡΙΑΖΗΣ</t>
  </si>
  <si>
    <t>ΑΜ743541</t>
  </si>
  <si>
    <t>ΚΑΣΑΡΤΖΗ</t>
  </si>
  <si>
    <t>ΑΒ599597</t>
  </si>
  <si>
    <t>ΑΟ553726</t>
  </si>
  <si>
    <t>ΑΚ558646</t>
  </si>
  <si>
    <t>ΚΑΤΣΙΟΥ</t>
  </si>
  <si>
    <t>Χ866562</t>
  </si>
  <si>
    <t>ΒΟΖΙΚΗ</t>
  </si>
  <si>
    <t>Χ729701</t>
  </si>
  <si>
    <t>ΑΟ586525</t>
  </si>
  <si>
    <t>ΚΕΠΕΝΟΥ</t>
  </si>
  <si>
    <t>ΑΟ550699</t>
  </si>
  <si>
    <t>ΑΜ060109</t>
  </si>
  <si>
    <t>ΤΡΑΠΑΛΗ</t>
  </si>
  <si>
    <t>ΑΝ115099</t>
  </si>
  <si>
    <t>ΓΑΣΤΕΡΑΤΟΥ</t>
  </si>
  <si>
    <t>ΑΒ238540</t>
  </si>
  <si>
    <t>ΑΕ830731</t>
  </si>
  <si>
    <t>ΧΑΝΤΖΗΧΡΗΣΤΟΥ</t>
  </si>
  <si>
    <t>ΑΕ523191</t>
  </si>
  <si>
    <t>ΑΖ312666</t>
  </si>
  <si>
    <t>ΑΗ698868</t>
  </si>
  <si>
    <t>ΑΗ358882</t>
  </si>
  <si>
    <t>ΝΙΑΟΥΝΑΚΗ</t>
  </si>
  <si>
    <t>ΑΜ527320</t>
  </si>
  <si>
    <t>ΚΙΟΥΣΗ</t>
  </si>
  <si>
    <t>ΑΜ310556</t>
  </si>
  <si>
    <t>ΠΟΛΥΖΩΤΗ</t>
  </si>
  <si>
    <t>Χ026756</t>
  </si>
  <si>
    <t>ΜΠΡΕΛΛΑ</t>
  </si>
  <si>
    <t>ΑΟ374518</t>
  </si>
  <si>
    <t>ΚΑΡΑΝΙΚΟΣ</t>
  </si>
  <si>
    <t>ΑΟ235357</t>
  </si>
  <si>
    <t>ΑΕ111068</t>
  </si>
  <si>
    <t>ΜΠΡΑΒΑΚΟΥ</t>
  </si>
  <si>
    <t>ΑΚ771624</t>
  </si>
  <si>
    <t>ΦΡΕΜΕΝΤΙΤΗ</t>
  </si>
  <si>
    <t>ΡΟΖΙΝΑ</t>
  </si>
  <si>
    <t>ΑΕ093422</t>
  </si>
  <si>
    <t>Φ316251</t>
  </si>
  <si>
    <t>ΣΑΡΒΑΝΗ</t>
  </si>
  <si>
    <t>ΑΒ703296</t>
  </si>
  <si>
    <t>ΗΛΙΟΠΟΥΛΟΣ</t>
  </si>
  <si>
    <t>ΑΑ388568</t>
  </si>
  <si>
    <t>ΧΑΤΖΗΛΙΑ</t>
  </si>
  <si>
    <t>ΑΕ344360</t>
  </si>
  <si>
    <t>ΙΑΤΡΟΥ</t>
  </si>
  <si>
    <t>ΑΜ994932</t>
  </si>
  <si>
    <t>ΑΜ252281</t>
  </si>
  <si>
    <t>ΚΑΡΖΑ</t>
  </si>
  <si>
    <t>ΑΚ930944</t>
  </si>
  <si>
    <t>ΒΑΡΕΛΤΖΑΚΗ</t>
  </si>
  <si>
    <t>ΑΕ463895</t>
  </si>
  <si>
    <t>ΒΑΡΣΑΚΗ</t>
  </si>
  <si>
    <t>ΑΝ691804</t>
  </si>
  <si>
    <t>ΚΟΥΛΗ</t>
  </si>
  <si>
    <t>Χ838607</t>
  </si>
  <si>
    <t>ΤΣΟΥΡΑΠΑ</t>
  </si>
  <si>
    <t>ΑΟ369119</t>
  </si>
  <si>
    <t>ΑΜ252035</t>
  </si>
  <si>
    <t>ΓΑΚΙΑ</t>
  </si>
  <si>
    <t>Χ201000</t>
  </si>
  <si>
    <t>ΖΑΡΚΟΥ</t>
  </si>
  <si>
    <t>ΑΖ727312</t>
  </si>
  <si>
    <t>ΟΔΥΣΕΥΣ</t>
  </si>
  <si>
    <t>ΑΕ261374</t>
  </si>
  <si>
    <t>ΑΙ699570</t>
  </si>
  <si>
    <t>ΡΟΙΔΟΥ</t>
  </si>
  <si>
    <t>Χ408173</t>
  </si>
  <si>
    <t>ΜΠΙΛΙΟΣ</t>
  </si>
  <si>
    <t>ΑΗ345938</t>
  </si>
  <si>
    <t>ΑΖ239244</t>
  </si>
  <si>
    <t>ΑΡΑΜΠΟΥ</t>
  </si>
  <si>
    <t>Χ282050</t>
  </si>
  <si>
    <t>ΑΙ589225</t>
  </si>
  <si>
    <t xml:space="preserve">ΜΑΤΣΙΓΚΟΥ </t>
  </si>
  <si>
    <t xml:space="preserve">ΠΑΡΑΣΚΕΥΗ ΚΑΛΛΙΟΠΗ </t>
  </si>
  <si>
    <t>ΑΜ448234</t>
  </si>
  <si>
    <t>ΞΥΠΟΛΙΤΑΚΗ</t>
  </si>
  <si>
    <t>ΑΟ976584</t>
  </si>
  <si>
    <t>ΑΑ367648</t>
  </si>
  <si>
    <t>ΝΤΑΛΑΓΙΩΡΓΟΥ</t>
  </si>
  <si>
    <t>AΙΚΑΤΕΡΙΝΑ</t>
  </si>
  <si>
    <t>ΑΙ951309</t>
  </si>
  <si>
    <t>ΚΙΟΤΕΟΓΛΟΥ</t>
  </si>
  <si>
    <t>ΑΙ740681</t>
  </si>
  <si>
    <t>ΓΕΛΑΣΑΚΗ</t>
  </si>
  <si>
    <t>ΑΙ664941</t>
  </si>
  <si>
    <t>ΦΟΥΡΝΙΩΤΗ</t>
  </si>
  <si>
    <t>ΑΝ052072</t>
  </si>
  <si>
    <t>ΤΟΥΛΗΣ</t>
  </si>
  <si>
    <t>ΑΗ239684</t>
  </si>
  <si>
    <t>ΚΟΥΤΟΥΣΗ</t>
  </si>
  <si>
    <t>ΑΕ683956</t>
  </si>
  <si>
    <t>ΜΑΡΝΕΛΑΚΗ</t>
  </si>
  <si>
    <t>ΑΗ095346</t>
  </si>
  <si>
    <t>ΑΜ472113</t>
  </si>
  <si>
    <t>ΑΜ953096</t>
  </si>
  <si>
    <t>ΑΗ153301</t>
  </si>
  <si>
    <t>ΡΟΥΛΙΑΣ</t>
  </si>
  <si>
    <t>ΑΗ284552</t>
  </si>
  <si>
    <t>ΝΑΘΕΝΑ</t>
  </si>
  <si>
    <t>ΑΟ663948</t>
  </si>
  <si>
    <t>ΠΑΤΣΙΑΤΖΗ</t>
  </si>
  <si>
    <t>ΑΗ266927</t>
  </si>
  <si>
    <t>ΚΑΡΑΘΑΝΑΣΗ</t>
  </si>
  <si>
    <t>ΑΑ967820</t>
  </si>
  <si>
    <t>ΜΠΑΤΣΗ</t>
  </si>
  <si>
    <t>Χ365861</t>
  </si>
  <si>
    <t>ΤΖΕΛΛΑ</t>
  </si>
  <si>
    <t>ΒΑΓΙΑ ΔΑΦΝΗ</t>
  </si>
  <si>
    <t>ΑΗ285103</t>
  </si>
  <si>
    <t>ΜΟΥΤΖΟΥΡΗ</t>
  </si>
  <si>
    <t>ΑΗ470513</t>
  </si>
  <si>
    <t>ΤΖΙΒΕΝΗ</t>
  </si>
  <si>
    <t>ΑΖ284267</t>
  </si>
  <si>
    <t>ΑΙ481909</t>
  </si>
  <si>
    <t>ΑΖ871702</t>
  </si>
  <si>
    <t>ΚΑΛΠΟΥΡΤΖΗ</t>
  </si>
  <si>
    <t>ΑΝ718126</t>
  </si>
  <si>
    <t>ΑΝ560671</t>
  </si>
  <si>
    <t>ΑΖ216875</t>
  </si>
  <si>
    <t>Φ055541</t>
  </si>
  <si>
    <t>ΣΚΟΡΔΗ</t>
  </si>
  <si>
    <t>ΑΝ186607</t>
  </si>
  <si>
    <t>ΔΙΓΑΛΑΚΗ</t>
  </si>
  <si>
    <t>ΑΙ461610</t>
  </si>
  <si>
    <t>Χ991705</t>
  </si>
  <si>
    <t>ΟΡΦΑΝΑΚΗ</t>
  </si>
  <si>
    <t>ΑΗ597279</t>
  </si>
  <si>
    <t>ΚΑΤΣΙΚΑ</t>
  </si>
  <si>
    <t>ΑΟ092718</t>
  </si>
  <si>
    <t>Τ942821</t>
  </si>
  <si>
    <t>ΝΙΚΟΛΑΙΔΗ</t>
  </si>
  <si>
    <t>ΑΜ500650</t>
  </si>
  <si>
    <t>ΘΕΡΙΑΝΟΥ</t>
  </si>
  <si>
    <t>ΑΕ783006</t>
  </si>
  <si>
    <t>ΒΛΑΣΣΗ</t>
  </si>
  <si>
    <t>ΑΝ969078</t>
  </si>
  <si>
    <t>ΓΑΛΑΝΤΑΡΗ</t>
  </si>
  <si>
    <t>ΑΙ255250</t>
  </si>
  <si>
    <t>ΘΕΟΔΩΡΑ ΕΙΡΗΝΗ</t>
  </si>
  <si>
    <t>Χ951789</t>
  </si>
  <si>
    <t>ΧΑΜΠΕΣΗΣ</t>
  </si>
  <si>
    <t>ΑΚ688434</t>
  </si>
  <si>
    <t>ΑΑ367787</t>
  </si>
  <si>
    <t>ΤΣΙΓΙΑΝΝΗ</t>
  </si>
  <si>
    <t>ΑΜ996030</t>
  </si>
  <si>
    <t>ΑΝ082436</t>
  </si>
  <si>
    <t>ΑΒ342529</t>
  </si>
  <si>
    <t>ΓΑΙΤΑΝΟΥ</t>
  </si>
  <si>
    <t>ΑΜ421106</t>
  </si>
  <si>
    <t>ΣΟΥΚΛΕ</t>
  </si>
  <si>
    <t>ΦΙΟΡΙ</t>
  </si>
  <si>
    <t>ΒΛΑΝΤΙΜΙΡ</t>
  </si>
  <si>
    <t>ΑΜ967189</t>
  </si>
  <si>
    <t>ΑΒ283833</t>
  </si>
  <si>
    <t>ΜΠΟΤΟΣΟΓΛΟΥ</t>
  </si>
  <si>
    <t>Χ261951</t>
  </si>
  <si>
    <t>ΣΕΛΙΜΑ</t>
  </si>
  <si>
    <t>ΑΖ220480</t>
  </si>
  <si>
    <t>ΒΡΥΝΙΑ</t>
  </si>
  <si>
    <t>ΑΙ504749</t>
  </si>
  <si>
    <t>ΓΙΑΛΛΕΛΗ</t>
  </si>
  <si>
    <t>ΑΝ665900</t>
  </si>
  <si>
    <t>ΤΑΡΑΤΣΑ</t>
  </si>
  <si>
    <t>ΑΟ588586</t>
  </si>
  <si>
    <t>ΠΑΧΑΚΗ</t>
  </si>
  <si>
    <t>ΑΕ961933</t>
  </si>
  <si>
    <t>Χ182777</t>
  </si>
  <si>
    <t>ΣΤΕΦΗ</t>
  </si>
  <si>
    <t>Φ279255</t>
  </si>
  <si>
    <t>ΘΕΟΔ</t>
  </si>
  <si>
    <t>ΑΚ528368</t>
  </si>
  <si>
    <t>Χ172134</t>
  </si>
  <si>
    <t>ΤΣΙΓΚΡΗΛΑ</t>
  </si>
  <si>
    <t>Ρ301775</t>
  </si>
  <si>
    <t>ΑΜ967897</t>
  </si>
  <si>
    <t>ΓΚΟΒΑ</t>
  </si>
  <si>
    <t>ΑΚ052679</t>
  </si>
  <si>
    <t>ΒΛΑΣΣΟΠΟΥΛΟΥ</t>
  </si>
  <si>
    <t>Χ663076</t>
  </si>
  <si>
    <t>ΧΡΙΣΤΑΚΗΣ</t>
  </si>
  <si>
    <t>ΑΖ117916</t>
  </si>
  <si>
    <t>ΜΟΥΧΤΑΡΗ</t>
  </si>
  <si>
    <t>ΑΗ806752</t>
  </si>
  <si>
    <t>ΑΑ823215</t>
  </si>
  <si>
    <t>ΝΑΧΟΠΟΥΛΟΥ</t>
  </si>
  <si>
    <t>ΚΟΡΑΛΙΑ</t>
  </si>
  <si>
    <t>ΑΕ843946</t>
  </si>
  <si>
    <t>ΧΑΤΖΗΑΘΑΝΑΣΙΟΥ</t>
  </si>
  <si>
    <t>ΑΙ308512</t>
  </si>
  <si>
    <t>ΓΟΤΟΥΧΙΔΟΥ</t>
  </si>
  <si>
    <t>ΑΕ833085</t>
  </si>
  <si>
    <t>ΜΗΤΣΙΚΟΥΔΗ</t>
  </si>
  <si>
    <t>ΨΥΧΑΡΗ</t>
  </si>
  <si>
    <t>ΑΖ505394</t>
  </si>
  <si>
    <t>ΑΝΔΡΑΒΙΖΟΥ</t>
  </si>
  <si>
    <t>ΑΜ257382</t>
  </si>
  <si>
    <t>ΑΙΒΑΛΙΩΤΗ</t>
  </si>
  <si>
    <t>ΑΗ675598</t>
  </si>
  <si>
    <t>ΣΠΥΡΙΛΙΩΤΗΣ</t>
  </si>
  <si>
    <t>ΑΗ981856</t>
  </si>
  <si>
    <t>ΜΑΥΡΟΜΑΤΑΚΗΣ</t>
  </si>
  <si>
    <t>ΑΗ186221</t>
  </si>
  <si>
    <t>ΑΜ349491</t>
  </si>
  <si>
    <t>ΖΩΤΑ</t>
  </si>
  <si>
    <t>Χ311732</t>
  </si>
  <si>
    <t>ΑΖ977715</t>
  </si>
  <si>
    <t>ΦΡΑΓΚΟΥΛΑΚΗ</t>
  </si>
  <si>
    <t>ΣΤΥΛ</t>
  </si>
  <si>
    <t>ΑΗ959579</t>
  </si>
  <si>
    <t>ΑΖ296451</t>
  </si>
  <si>
    <t>ΑΙ256008</t>
  </si>
  <si>
    <t>ΜΠΙΜΠΑ</t>
  </si>
  <si>
    <t>ΑΟ137807</t>
  </si>
  <si>
    <t>ΑΙ188785</t>
  </si>
  <si>
    <t>ΔΟΥΜΑΝΗ</t>
  </si>
  <si>
    <t>ΑΒ707820</t>
  </si>
  <si>
    <t>ΑΖ329429</t>
  </si>
  <si>
    <t>ΤΣΑΜΙΛΗ</t>
  </si>
  <si>
    <t>ΑΖ878922</t>
  </si>
  <si>
    <t>ΚΟΝΤΟΓΕΩΡΓΟΠΟΥΛΟΥ</t>
  </si>
  <si>
    <t>ΑΗ705664</t>
  </si>
  <si>
    <t>ΤΣΑΦΗ</t>
  </si>
  <si>
    <t>ΑΟ679263</t>
  </si>
  <si>
    <t>ΣΤΡΟΥΜΠΑ</t>
  </si>
  <si>
    <t>ΑΜ050891</t>
  </si>
  <si>
    <t>ΜΠΑΡΤΖΕΛΗ</t>
  </si>
  <si>
    <t>ΑΟ099037</t>
  </si>
  <si>
    <t>ΜΕΣΙΓΚΟΣ ΓΑΒΡΙΗΛΙΔΗΣ</t>
  </si>
  <si>
    <t>ΑΖ396912</t>
  </si>
  <si>
    <t>ΚΑΡΑΚΙΤΣΟΥ</t>
  </si>
  <si>
    <t>ΕΜΙΛΥ</t>
  </si>
  <si>
    <t>ΑΚ751655</t>
  </si>
  <si>
    <t>ΑΙΚΑΤΕΡΙΝΗ ΛΟΥΙΖΑ</t>
  </si>
  <si>
    <t>Χ764262</t>
  </si>
  <si>
    <t>ΠΟΤΟΛΙΑ</t>
  </si>
  <si>
    <t>ΑΖ903826</t>
  </si>
  <si>
    <t>ΚΟΥΤΣΟΥΡΗ</t>
  </si>
  <si>
    <t>ΑΗ537108</t>
  </si>
  <si>
    <t>ΑΙ537542</t>
  </si>
  <si>
    <t>Χ669061</t>
  </si>
  <si>
    <t>ΑΙ016575</t>
  </si>
  <si>
    <t>ΠΑΡΑΔΕΙΣΗ</t>
  </si>
  <si>
    <t>ΑΑ242795</t>
  </si>
  <si>
    <t>ΦΙΛΙΠΠΑΚΟΥ</t>
  </si>
  <si>
    <t>ΚΛΕΟΜΒΡΟΤΟΣ</t>
  </si>
  <si>
    <t>ΑΝ580156</t>
  </si>
  <si>
    <t>ΚΑΡΑΝΑΚΗΣ</t>
  </si>
  <si>
    <t>ΑΖ290201</t>
  </si>
  <si>
    <t>ΠΑΤΤΑΚΟΥ</t>
  </si>
  <si>
    <t>ΑΟ421930</t>
  </si>
  <si>
    <t>ΑΚ424992</t>
  </si>
  <si>
    <t>ΜΑΡΣΕΛΗ</t>
  </si>
  <si>
    <t>ΑΜ607847</t>
  </si>
  <si>
    <t>ΧΑΤΖΗΡΟΥΜΠΗ</t>
  </si>
  <si>
    <t>ΑΜ658821</t>
  </si>
  <si>
    <t>ΦΥΣΣΑ</t>
  </si>
  <si>
    <t>ΑΜ026384</t>
  </si>
  <si>
    <t>ΣΑΣΣΑΝΗ</t>
  </si>
  <si>
    <t>ΜΑΡΙΑ ΧΑΡΑΛΑΜΠΙΑ</t>
  </si>
  <si>
    <t>Χ215785</t>
  </si>
  <si>
    <t>ΑΗ418933</t>
  </si>
  <si>
    <t>ΚΑΝΕΛΛΑΚΟΠΟΥΛΟΥ</t>
  </si>
  <si>
    <t>ΑΖ712671</t>
  </si>
  <si>
    <t>ΓΕΡΟΒΑΣΙΛΗ</t>
  </si>
  <si>
    <t>ΔΡΟΣΟΣ</t>
  </si>
  <si>
    <t>ΑΕ350287</t>
  </si>
  <si>
    <t>ΠΡΟΒΙΔΑΚΗ</t>
  </si>
  <si>
    <t>ΠΟΛΕΝΤΑ</t>
  </si>
  <si>
    <t>ΑΝ119160</t>
  </si>
  <si>
    <t>ΛΕΜΗ</t>
  </si>
  <si>
    <t>ΕΛΕΝΗ ΑΦΡΟΔΙΤΗ</t>
  </si>
  <si>
    <t>ΑΟ583808</t>
  </si>
  <si>
    <t>ΓΕΩΡΓΙΑ ΔΑΦΝΗ</t>
  </si>
  <si>
    <t>ΑΖ615199</t>
  </si>
  <si>
    <t>ΣΕΝΙΚΙΔΟΥ</t>
  </si>
  <si>
    <t>ΑΝ895610</t>
  </si>
  <si>
    <t>VALKOVA</t>
  </si>
  <si>
    <t>TSVETOSLAVA</t>
  </si>
  <si>
    <t>IVAN</t>
  </si>
  <si>
    <t>ΚΑΡΑΤΖΑΝΟΥ</t>
  </si>
  <si>
    <t>ΑΕ105702</t>
  </si>
  <si>
    <t>ΑΕ199374</t>
  </si>
  <si>
    <t>ΚΑΤΣΑΡΟΣ</t>
  </si>
  <si>
    <t>ΑΟ553320</t>
  </si>
  <si>
    <t>ΤΣΑΠΑΡΙΚΟΥ</t>
  </si>
  <si>
    <t>ΙΣΜΗΝΗ</t>
  </si>
  <si>
    <t>ΑΑ986411</t>
  </si>
  <si>
    <t>ΑΖ832213</t>
  </si>
  <si>
    <t>ΤΣΙΟΥΛΟΣ</t>
  </si>
  <si>
    <t>ΑΝ266576</t>
  </si>
  <si>
    <t>ΚΟΚΟΤΟΥ</t>
  </si>
  <si>
    <t>ΑΒ771357</t>
  </si>
  <si>
    <t>ΜΑΡΓΙΟΥΛΑ</t>
  </si>
  <si>
    <t>ΑΚ618050</t>
  </si>
  <si>
    <t>ΑΟ102318</t>
  </si>
  <si>
    <t>ΤΣΟΥΛΑ</t>
  </si>
  <si>
    <t>ΕΛΕΝΗ ΚΥΡΙΑΚΗ</t>
  </si>
  <si>
    <t>ΠΑΥΣΑΝΙΑΣ</t>
  </si>
  <si>
    <t>ΑΒ308801</t>
  </si>
  <si>
    <t>ΑΕ529579</t>
  </si>
  <si>
    <t>ΔΟΥΦΛΙΑΣ</t>
  </si>
  <si>
    <t>ΑΒ112600</t>
  </si>
  <si>
    <t>ΤΖΑΜΠΑΖΙΔΟΥ</t>
  </si>
  <si>
    <t>ΑΗ366306</t>
  </si>
  <si>
    <t>ΑΚ117290</t>
  </si>
  <si>
    <t>ΑΡ280514</t>
  </si>
  <si>
    <t>ΝΤΟΥΝΙΑΣ</t>
  </si>
  <si>
    <t>ΔΙΟΝΥΣΙΟΣ ΔΗΜΗΤΡΙΟΣ</t>
  </si>
  <si>
    <t>ΑΚ817601</t>
  </si>
  <si>
    <t>Ξ209804</t>
  </si>
  <si>
    <t>ΚΑΡΑΤΖΟΥΝΗ</t>
  </si>
  <si>
    <t xml:space="preserve">ΜΑΡΙΑ ΑΝΝΑ </t>
  </si>
  <si>
    <t>ΑΖ775023</t>
  </si>
  <si>
    <t>ΤΣΟΥΤΣΑΝΗ</t>
  </si>
  <si>
    <t>ΑΙ084222</t>
  </si>
  <si>
    <t>ΑΟ075369</t>
  </si>
  <si>
    <t>ΝΟΙΚΟΣ</t>
  </si>
  <si>
    <t>ΑΡ235855</t>
  </si>
  <si>
    <t>ΡΟΚΚΑ</t>
  </si>
  <si>
    <t>ΑΟ348742</t>
  </si>
  <si>
    <t>ΠΑΡΑΣΚΕΥΑΚΗΣ</t>
  </si>
  <si>
    <t>ΑΖ241576</t>
  </si>
  <si>
    <t>ΠΗΛΙΟΥ</t>
  </si>
  <si>
    <t>ΑΖ749989</t>
  </si>
  <si>
    <t>ΠΑΠΑΝΤΩΝΟΠΟΥΛΟΥ</t>
  </si>
  <si>
    <t>ΑΙ649278</t>
  </si>
  <si>
    <t>ΑΜ610034</t>
  </si>
  <si>
    <t>ΤΖΗΜΚΑΣ</t>
  </si>
  <si>
    <t>ΑΚ327213</t>
  </si>
  <si>
    <t>ΑΚ357454</t>
  </si>
  <si>
    <t>ΑΗ460473</t>
  </si>
  <si>
    <t>ΜΠΑΣΔΕΚΗ</t>
  </si>
  <si>
    <t>Σ402389</t>
  </si>
  <si>
    <t>ΑΗ977491</t>
  </si>
  <si>
    <t>ΠΑΝΤΕΛΟΠΟΥΛΟΥ</t>
  </si>
  <si>
    <t>ΑΑ445124</t>
  </si>
  <si>
    <t>ΑΚ357998</t>
  </si>
  <si>
    <t>ΑΔΑΜΗΣ</t>
  </si>
  <si>
    <t>ΑΜ321082</t>
  </si>
  <si>
    <t>ΑΒ421654</t>
  </si>
  <si>
    <t>ΑΙ663041</t>
  </si>
  <si>
    <t>ΠΑΙΚΑ</t>
  </si>
  <si>
    <t>ΑΖ737800</t>
  </si>
  <si>
    <t>ΑΗ277498</t>
  </si>
  <si>
    <t>ΜΙΧΟΥΛΑΣ</t>
  </si>
  <si>
    <t>Χ879672</t>
  </si>
  <si>
    <t>ΜΑΡΙΝΑΚΗ</t>
  </si>
  <si>
    <t>ΑΕ539757</t>
  </si>
  <si>
    <t>ΜΕΡΤΙΚΑ</t>
  </si>
  <si>
    <t>ΑΚ001820</t>
  </si>
  <si>
    <t>ΚΟΝΤΟΧΡΗΣΤΟΥ</t>
  </si>
  <si>
    <t>ΑΝ336613</t>
  </si>
  <si>
    <t>Ξ995075</t>
  </si>
  <si>
    <t>ΜΠΑΓΑΝΑ</t>
  </si>
  <si>
    <t>ΑΒ720293</t>
  </si>
  <si>
    <t>ΑΜ178625</t>
  </si>
  <si>
    <t>ΡΟΙΚΟΥ</t>
  </si>
  <si>
    <t>ΑΟ676115</t>
  </si>
  <si>
    <t>ΑΝ006209</t>
  </si>
  <si>
    <t>ΚΟΝΤΑΚΤΣΗ</t>
  </si>
  <si>
    <t>ΑΙ515960</t>
  </si>
  <si>
    <t>TSENTIDOU</t>
  </si>
  <si>
    <t>GLYKERIA</t>
  </si>
  <si>
    <t>VASILEIOS</t>
  </si>
  <si>
    <t>Χ453654</t>
  </si>
  <si>
    <t>ΑΕ427298</t>
  </si>
  <si>
    <t>Π410156</t>
  </si>
  <si>
    <t>Π446916</t>
  </si>
  <si>
    <t>ΒΑΛΣΑΜΗ</t>
  </si>
  <si>
    <t>ΑΚ875247</t>
  </si>
  <si>
    <t>ΚΛΕΙΔΩΝΑ</t>
  </si>
  <si>
    <t>ΠΙΕΡΡΟΣ</t>
  </si>
  <si>
    <t>Φ056444</t>
  </si>
  <si>
    <t>ΣΥΝΤΑΚΗ</t>
  </si>
  <si>
    <t>ΑΖ191649</t>
  </si>
  <si>
    <t>Φ217734</t>
  </si>
  <si>
    <t>ΑΖ523988</t>
  </si>
  <si>
    <t>ΑΖ169531</t>
  </si>
  <si>
    <t>ΝΗΜΑ</t>
  </si>
  <si>
    <t>ΑΝ858723</t>
  </si>
  <si>
    <t>ΑΖ268493</t>
  </si>
  <si>
    <t>ΑΣΛΑΝΟΓΛΟΥ</t>
  </si>
  <si>
    <t>ΑΖ237191</t>
  </si>
  <si>
    <t xml:space="preserve">ΟΛΓΑ ΠΑΝΑΓΙΩΤΑ </t>
  </si>
  <si>
    <t>ΑΜ327294</t>
  </si>
  <si>
    <t>ΠΑΛΑΓΚΑ</t>
  </si>
  <si>
    <t>ΑΜ507665</t>
  </si>
  <si>
    <t>ΑΚ941200</t>
  </si>
  <si>
    <t>ΦΛΟΥΡΗ</t>
  </si>
  <si>
    <t>ΑΗ462016</t>
  </si>
  <si>
    <t>ΣΟΥΓΛΕΡΗΣ</t>
  </si>
  <si>
    <t>Χ806362</t>
  </si>
  <si>
    <t>ΣΤΕΦΑ</t>
  </si>
  <si>
    <t>ΑΗ568202</t>
  </si>
  <si>
    <t>ΑΡ2606082</t>
  </si>
  <si>
    <t>ΣΦΛΑΚΙΔΟΥ</t>
  </si>
  <si>
    <t>ΑΗ383844</t>
  </si>
  <si>
    <t>ΜΑΖΑΡΑΚΗ</t>
  </si>
  <si>
    <t>ΑΗ938519</t>
  </si>
  <si>
    <t>ΕΥΑΓΓΕΛΑΤΟΥ</t>
  </si>
  <si>
    <t>ΑΜ526486</t>
  </si>
  <si>
    <t>ΜΠΕΛΤΣΗ</t>
  </si>
  <si>
    <t>ΑΚ892444</t>
  </si>
  <si>
    <t>ΓΕΩΡΓΙΑ ΜΑΡΙΑ</t>
  </si>
  <si>
    <t>ΑΗ045889</t>
  </si>
  <si>
    <t>ΜΕΡΣΙΝΙΑΔΗ</t>
  </si>
  <si>
    <t>ΜΑΡΙΛΙΑ</t>
  </si>
  <si>
    <t>ΑΖ734164</t>
  </si>
  <si>
    <t>ΝΕΤΣΙΚΑ</t>
  </si>
  <si>
    <t>ΑΝ184848</t>
  </si>
  <si>
    <t>ΑΕ701558</t>
  </si>
  <si>
    <t>ΣΧΟΙΝΟΧΩΡΙΤΗΣ</t>
  </si>
  <si>
    <t>ΑΑ767931</t>
  </si>
  <si>
    <t>ΦΛΕΒΑ</t>
  </si>
  <si>
    <t>ΑΜ667661</t>
  </si>
  <si>
    <t>ΑΙ076242</t>
  </si>
  <si>
    <t>ΚΟΥΤΛΟΥΜΠΑΣΗ</t>
  </si>
  <si>
    <t>ΑΑ459486</t>
  </si>
  <si>
    <t>ΔΟΥΡΓΟΥΝΑΚΗ</t>
  </si>
  <si>
    <t>ΑΖ918293</t>
  </si>
  <si>
    <t>ΡΕΡΑΚΗ</t>
  </si>
  <si>
    <t>ΑΕ970404</t>
  </si>
  <si>
    <t>ΑΙ813220</t>
  </si>
  <si>
    <t>ΣΟΛΔΑΤΟΥ</t>
  </si>
  <si>
    <t>ΘΕΟΓΝΩΣΙΑ</t>
  </si>
  <si>
    <t>Χ379502</t>
  </si>
  <si>
    <t>ΜΠΑΡΜΠΟΥΤΑ</t>
  </si>
  <si>
    <t>ΑΗ765988</t>
  </si>
  <si>
    <t>ΜΑΡΙΑ ΑΝΔΡΙΑΝΗ</t>
  </si>
  <si>
    <t>ΑΝ473682</t>
  </si>
  <si>
    <t>ΚΩΝΣΤΑΝΤΙΝΟΠΟΥΛΟΥ</t>
  </si>
  <si>
    <t>Χ666464</t>
  </si>
  <si>
    <t>ΑΣΜΑΝΙΔΟΥ</t>
  </si>
  <si>
    <t>Ν667142</t>
  </si>
  <si>
    <t>ΚΑΛΑΙΤΖΑΚΗ</t>
  </si>
  <si>
    <t>Σ707394</t>
  </si>
  <si>
    <t>ΛΕΝΤΖΗ</t>
  </si>
  <si>
    <t>Τ346643</t>
  </si>
  <si>
    <t>ΑΔΑΜΑΝΤΙΑ ΕΛΕΥΘΕΡΙΑ</t>
  </si>
  <si>
    <t>ΑΗ529416</t>
  </si>
  <si>
    <t>ΓΙΩΡΓΑΛΗ</t>
  </si>
  <si>
    <t>ΑΙ698012</t>
  </si>
  <si>
    <t>ΧΟΝΔΡΟΥ</t>
  </si>
  <si>
    <t>ΑΖ492375</t>
  </si>
  <si>
    <t>ΠΕΝΕΣΗ</t>
  </si>
  <si>
    <t>ΑΚ010140</t>
  </si>
  <si>
    <t>ΚΑΡΑΚΟΥΛΑ</t>
  </si>
  <si>
    <t>ΑΝ113984</t>
  </si>
  <si>
    <t>ΦΙΛΙΠΠΑ</t>
  </si>
  <si>
    <t>ΑΒ098010</t>
  </si>
  <si>
    <t>ΥΑΚΙΝΘΗ</t>
  </si>
  <si>
    <t>ΑΝ617339</t>
  </si>
  <si>
    <t>ΔΗΜΗΤΡΙΟΣ ΗΛΙΑΣ</t>
  </si>
  <si>
    <t>Σ089129</t>
  </si>
  <si>
    <t>ΓΕΡΑΣΟΠΟΥΛΟΥ</t>
  </si>
  <si>
    <t>ΑΜ588846</t>
  </si>
  <si>
    <t>ΕΞΑΡΧΟΥ</t>
  </si>
  <si>
    <t>Σ521188</t>
  </si>
  <si>
    <t>ΧΟΝΔΡΟΚΟΥΚΗ</t>
  </si>
  <si>
    <t>ΜΙΧΑΗΛΑ</t>
  </si>
  <si>
    <t>ΑΙ591929</t>
  </si>
  <si>
    <t>ΓΙΑΜΑΛΙΔΟΥ</t>
  </si>
  <si>
    <t>ΑΗ881258</t>
  </si>
  <si>
    <t>ΚΥΡΚΟΥ</t>
  </si>
  <si>
    <t>ΑΝ355444</t>
  </si>
  <si>
    <t>ΦΑΣΙΛΗ</t>
  </si>
  <si>
    <t>ΑΙ244728</t>
  </si>
  <si>
    <t>ΑΙ249735</t>
  </si>
  <si>
    <t>ΓΑΡΔΟΥΝΗΣ</t>
  </si>
  <si>
    <t>ΑΝ143228</t>
  </si>
  <si>
    <t>ΤΣΙΑΚΟΠΟΥΛΟΥ</t>
  </si>
  <si>
    <t>ΑΚ103740</t>
  </si>
  <si>
    <t>ΣΠΥΡΟΥΛΑ</t>
  </si>
  <si>
    <t>ΑΑ358092</t>
  </si>
  <si>
    <t>ΑΟ895831</t>
  </si>
  <si>
    <t>ΜΠΟΥΖΙΑΝΗΣ</t>
  </si>
  <si>
    <t>ΓΕΏΡΓΙΟΣ</t>
  </si>
  <si>
    <t>ΑΗ340798</t>
  </si>
  <si>
    <t>ΑΙ227327</t>
  </si>
  <si>
    <t>ΚΟΝΙΔΙΤΣΙΩΤΗ</t>
  </si>
  <si>
    <t>ΑΝΑΣΤΑΣΙΑ ΜΑΡΙΝΑ</t>
  </si>
  <si>
    <t>ΑΑ425303</t>
  </si>
  <si>
    <t>ΧΙΝΤΖΙΟΣ</t>
  </si>
  <si>
    <t>Χ970447</t>
  </si>
  <si>
    <t>ΑΗ323882</t>
  </si>
  <si>
    <t>ΒΟΓΙΑΤΖΗ</t>
  </si>
  <si>
    <t>ΑΚ098545</t>
  </si>
  <si>
    <t>ΡΟΥΣΟΥΔΗ</t>
  </si>
  <si>
    <t>ΑΚ911632</t>
  </si>
  <si>
    <t>ΑΝ489874</t>
  </si>
  <si>
    <t>ΖΥΓΟΡΟΔΗΜΟΥ</t>
  </si>
  <si>
    <t>ΑΝ852750</t>
  </si>
  <si>
    <t>ΠΑΠΑΚΙΤΣΟΥ</t>
  </si>
  <si>
    <t>ΑΖ561979</t>
  </si>
  <si>
    <t>ΜΑΛΑΚΩΝΑΚΗ</t>
  </si>
  <si>
    <t>ΑΗ974831</t>
  </si>
  <si>
    <t>ΠΑΝΑΓΙΩΤΑ ΑΛΚΙΣΤΙΣ</t>
  </si>
  <si>
    <t>ΑΚ050082</t>
  </si>
  <si>
    <t>ΠΑΡΑΣΚΕΥΗ ΒΑΛΕΝΤΙΝΗ</t>
  </si>
  <si>
    <t>ΑΟ497556</t>
  </si>
  <si>
    <t>ΖΕΛΕΝΗ</t>
  </si>
  <si>
    <t>ΑΖ914706</t>
  </si>
  <si>
    <t>ΑΖ174088</t>
  </si>
  <si>
    <t>ΤΡΑΓΟΥΔΑ</t>
  </si>
  <si>
    <t>ΑΜ260749</t>
  </si>
  <si>
    <t>ΚΑΡΥΩΤΗ</t>
  </si>
  <si>
    <t>ΑΒ375106</t>
  </si>
  <si>
    <t>ΑΒ436204</t>
  </si>
  <si>
    <t>ΣΙΔΕΡΗΣ</t>
  </si>
  <si>
    <t>ΑΚ006646</t>
  </si>
  <si>
    <t>ΜΠΕΚΙΑΡΙΔΗΣ ΜΟΣΧΟΥ</t>
  </si>
  <si>
    <t>ΑΟ251966</t>
  </si>
  <si>
    <t>ΤΡΥΦΩΝΟΠΟΥΛΟΥ</t>
  </si>
  <si>
    <t>ΑΙ772701</t>
  </si>
  <si>
    <t>ΤΣΟΥΚΑΝΑ</t>
  </si>
  <si>
    <t>ΑΕ471302</t>
  </si>
  <si>
    <t>ΑΕ227817</t>
  </si>
  <si>
    <t>ΠΡΟΒΗ</t>
  </si>
  <si>
    <t>Χ045736</t>
  </si>
  <si>
    <t>ΑΕ398035</t>
  </si>
  <si>
    <t>Ρ899703</t>
  </si>
  <si>
    <t>Χ131374</t>
  </si>
  <si>
    <t>ΠΑΠΑΤΡΙΑΝΤΑΦΥΛΛΟΥ</t>
  </si>
  <si>
    <t>ΑΖ303439</t>
  </si>
  <si>
    <t>Χ910348</t>
  </si>
  <si>
    <t>ΜΠΟΥΛΙΓΑΡΑΚΗ</t>
  </si>
  <si>
    <t>ΗΛΙΑΣ ΘΩΜΑΣ</t>
  </si>
  <si>
    <t>ΑΗ689525</t>
  </si>
  <si>
    <t>ΑΜ168035</t>
  </si>
  <si>
    <t>ΑΝ186777</t>
  </si>
  <si>
    <t>ΤΖΑΓΑΔΟΥΡΗ</t>
  </si>
  <si>
    <t>ΑΗ298631</t>
  </si>
  <si>
    <t>ΑΝ230683</t>
  </si>
  <si>
    <t>ΨΑΡΕΛΗ</t>
  </si>
  <si>
    <t>ΑΡ083977</t>
  </si>
  <si>
    <t>ΔΟΥΛΙΑΝΑΚΗ</t>
  </si>
  <si>
    <t>ΒΑΣΙΛΟΠΟΥΛΟΣ</t>
  </si>
  <si>
    <t>ΓΡΗΓΟΡΙΟΣ ΡΑΦΑΗΛ</t>
  </si>
  <si>
    <t>ΑΒ754771</t>
  </si>
  <si>
    <t>ΤΟΥΤΖΙΑΡΗ</t>
  </si>
  <si>
    <t>ΑΙ369764</t>
  </si>
  <si>
    <t>ΜΕΔΙΤΣΚΟΥ</t>
  </si>
  <si>
    <t>ΑΗ822124</t>
  </si>
  <si>
    <t>ΜΠΑΡΜΠΟΥΔΗ</t>
  </si>
  <si>
    <t>ΑΒ149341</t>
  </si>
  <si>
    <t>ΜΠΑΓΙΩΤΑ</t>
  </si>
  <si>
    <t>Χ747352</t>
  </si>
  <si>
    <t>ΨΑΡΡΑ</t>
  </si>
  <si>
    <t>ΑΜ733793</t>
  </si>
  <si>
    <t xml:space="preserve">ΤΣΟΥΚΑΛΑ </t>
  </si>
  <si>
    <t>Χ838980</t>
  </si>
  <si>
    <t>ΣΠΟΡΟΥ</t>
  </si>
  <si>
    <t>ΑΙ411949</t>
  </si>
  <si>
    <t>ΠΥΡΓΙΩΤΗ</t>
  </si>
  <si>
    <t>ΑΗ000327</t>
  </si>
  <si>
    <t>ΖΑΧΑΡΟΠΟΥΛΟΥ ΣΑΠΑΛΙΔΟΥ</t>
  </si>
  <si>
    <t>ΑΜ932264</t>
  </si>
  <si>
    <t>ΚΑΤΣΙΔΩΝΗ</t>
  </si>
  <si>
    <t>ΒΑΣΙΛΕΙΑ ΧΡΥΣΟΒΑΛΑΝΤΗ</t>
  </si>
  <si>
    <t>ΑΜ472116</t>
  </si>
  <si>
    <t>ΧΡΙΣΤΙΑ</t>
  </si>
  <si>
    <t>ΑΜ320442</t>
  </si>
  <si>
    <t>ΦΛΕΓΓΑ</t>
  </si>
  <si>
    <t>Χ982695</t>
  </si>
  <si>
    <t>ΚΑΡΚΟΥΛΙΑ</t>
  </si>
  <si>
    <t>ΑΑ049037</t>
  </si>
  <si>
    <t>ΤΟΥΠΑΛΗ</t>
  </si>
  <si>
    <t>Ρ677856</t>
  </si>
  <si>
    <t>ΑΝ382602</t>
  </si>
  <si>
    <t>ΚΑΖΑΝΤΖΑΚΗ</t>
  </si>
  <si>
    <t>ΑΜ957676</t>
  </si>
  <si>
    <t>ΜΙΚΕΛΑ</t>
  </si>
  <si>
    <t>ΑΑ421860</t>
  </si>
  <si>
    <t>ΓΚΟΛΕΜΗ</t>
  </si>
  <si>
    <t>ΠΑΝΑΓΙΩΤΑ ΕΥΓΕΝΙΑ</t>
  </si>
  <si>
    <t>ΑΙ244777</t>
  </si>
  <si>
    <t>ΤΣΙΑΚΜΑΚΗ</t>
  </si>
  <si>
    <t>ΑΖ173278</t>
  </si>
  <si>
    <t>ΑΕ810578</t>
  </si>
  <si>
    <t>ΣΤΡΟΓΓΥΛΟΥ</t>
  </si>
  <si>
    <t>ΔΗΜΗΤΡΑ ΕΛΕΥΘΕΡΙΑ</t>
  </si>
  <si>
    <t>ΑΜ826917</t>
  </si>
  <si>
    <t>ΤΑΣΣΙΟΠΟΥΛΟΥ</t>
  </si>
  <si>
    <t>ΑΒ662516</t>
  </si>
  <si>
    <t>ΚΑΡΑΚΙΤΣΙΟΥ</t>
  </si>
  <si>
    <t>ΑΝ735598</t>
  </si>
  <si>
    <t>ΚΟΝΤΟΝΗ</t>
  </si>
  <si>
    <t>ΑΙ137720</t>
  </si>
  <si>
    <t>ΑΝΤΩΝΟΓΕΩΡΓΟΥ</t>
  </si>
  <si>
    <t>ΓΡΑΜΜΑΤΟΥΛΑ</t>
  </si>
  <si>
    <t>ΑΕ863290</t>
  </si>
  <si>
    <t>ΜΕΤΣΙΝΗ</t>
  </si>
  <si>
    <t>ΜΥΡΤΩ ΛΑΜΠΡΙΝΗ</t>
  </si>
  <si>
    <t>ΑΖ721002</t>
  </si>
  <si>
    <t>ΠΑΝΤΣΙΟΥ</t>
  </si>
  <si>
    <t>ΑΚ934236</t>
  </si>
  <si>
    <t>ΚΑΡΑΣΟΓΙΑΝΝΙΔΟΥ</t>
  </si>
  <si>
    <t>ΑΝ775866</t>
  </si>
  <si>
    <t>ΚΑΛΟΚΑΙΡΗ</t>
  </si>
  <si>
    <t>Τ239906</t>
  </si>
  <si>
    <t>ΑΜ263411</t>
  </si>
  <si>
    <t>ΜΠΑΡΓΙΩΤΑ</t>
  </si>
  <si>
    <t>ΚΥΡΑΤΣΩ</t>
  </si>
  <si>
    <t>ΑΚ286135</t>
  </si>
  <si>
    <t>ΒΛΑΧΑΒΑ</t>
  </si>
  <si>
    <t>ΑΚ963734</t>
  </si>
  <si>
    <t>ΑΡ451193</t>
  </si>
  <si>
    <t>ΧΑΤΖΗΝΙΚΟΛΑΣ</t>
  </si>
  <si>
    <t>ΑΙ581383</t>
  </si>
  <si>
    <t>ΔΑΡΤΖΑΛΟΠΟΥΛΟΥ</t>
  </si>
  <si>
    <t>ΑΗ406078</t>
  </si>
  <si>
    <t>ΞΑΝΘΟΠΟΥΛΙΔΟΥ</t>
  </si>
  <si>
    <t>ΑΜ023967</t>
  </si>
  <si>
    <t>ΤΣΑΤΣΑΛΙΔΗ</t>
  </si>
  <si>
    <t>ΑΒ472506</t>
  </si>
  <si>
    <t>ΑΖ200777</t>
  </si>
  <si>
    <t>ΑΒ527548</t>
  </si>
  <si>
    <t>ΤΣΑΚΑ</t>
  </si>
  <si>
    <t>ΝΤΡΙΛΟΝΑ</t>
  </si>
  <si>
    <t>ΑΝΓΚΕΛΙΝ</t>
  </si>
  <si>
    <t>ΑΝ135466</t>
  </si>
  <si>
    <t>ΜΑΖΟΠΟΥΛΟΥ</t>
  </si>
  <si>
    <t>ΙΟΚΑΣΤΗ</t>
  </si>
  <si>
    <t>ΑΒ507980</t>
  </si>
  <si>
    <t>ΣΙΟΥΛΑ</t>
  </si>
  <si>
    <t>ΑΜ197647</t>
  </si>
  <si>
    <t>ΠΟΛΥΤΑΡΧΟΥ</t>
  </si>
  <si>
    <t>ΑΚ608230</t>
  </si>
  <si>
    <t>ΚΑΛΟΜΟΙΡΗ</t>
  </si>
  <si>
    <t>ΑΑ371985</t>
  </si>
  <si>
    <t>ΜΑΡΙΑ ΕΛΠΙΔΑ</t>
  </si>
  <si>
    <t>ΑΒ945216</t>
  </si>
  <si>
    <t>ΔΕΛΗΜΑΡΟΥ</t>
  </si>
  <si>
    <t>ΑΝΘΟΥΛΑ ΣΤΥΛΙΑΝΗ</t>
  </si>
  <si>
    <t>ΑΜ490837</t>
  </si>
  <si>
    <t>ΑΙ517127</t>
  </si>
  <si>
    <t>ΓΙΑΝΤΣΙΟΥ</t>
  </si>
  <si>
    <t>ΑΝ219517</t>
  </si>
  <si>
    <t>ΠΑΝΑΓΙΩΤΑ ΒΑΣΙΛΙΚΗ</t>
  </si>
  <si>
    <t>ΑΑ430934</t>
  </si>
  <si>
    <t>ΑΗ792656</t>
  </si>
  <si>
    <t>ΜΗΤΛΙΑΓΚΑ</t>
  </si>
  <si>
    <t>ΑΚ427624</t>
  </si>
  <si>
    <t>ΠΑΤΣΗ</t>
  </si>
  <si>
    <t>ΑΑ099682</t>
  </si>
  <si>
    <t>ΓΚΙΝΙΑΣ</t>
  </si>
  <si>
    <t>ΑΑ427509</t>
  </si>
  <si>
    <t>ΑΝΥΦΑΝΤΑΚΗ</t>
  </si>
  <si>
    <t>ΑΗ516621</t>
  </si>
  <si>
    <t>ΣΑΚΚΕΤΟΥ</t>
  </si>
  <si>
    <t>ΒΙΚΤΩΡ</t>
  </si>
  <si>
    <t>ΑΝ574462</t>
  </si>
  <si>
    <t>ΛΑΟΥΡΑ</t>
  </si>
  <si>
    <t>ΑΙ647120</t>
  </si>
  <si>
    <t>ΑΜ366999</t>
  </si>
  <si>
    <t>ΑΑ228041</t>
  </si>
  <si>
    <t>ΒΑΣΙΛΙΚΗ ΒΙΚΥ</t>
  </si>
  <si>
    <t>ΑΑ391645</t>
  </si>
  <si>
    <t>ΑΙ157660</t>
  </si>
  <si>
    <t>ΚΑΠΕΤΑΝΑΚΟΥ</t>
  </si>
  <si>
    <t>ΑΜ245030</t>
  </si>
  <si>
    <t>ΝΤΕΡΜΠΕΝΤΕΡΗ</t>
  </si>
  <si>
    <t>ΑΚ783104</t>
  </si>
  <si>
    <t>Ρ385689</t>
  </si>
  <si>
    <t>ΣΟΥΛΙΩΤΗ</t>
  </si>
  <si>
    <t>ΑΖ546847</t>
  </si>
  <si>
    <t>ΜΥΡΓΙΩΤΗ</t>
  </si>
  <si>
    <t>ΑΕ053889</t>
  </si>
  <si>
    <t>ΔΟΥΡΙΔΑ</t>
  </si>
  <si>
    <t>ΑΒ782748</t>
  </si>
  <si>
    <t>ΖΟΥΜΠΟΥΛΗ</t>
  </si>
  <si>
    <t>ΑΑ444119</t>
  </si>
  <si>
    <t>ΠΑΝΤΙΝΑΚΗ</t>
  </si>
  <si>
    <t>Φ362098</t>
  </si>
  <si>
    <t>ΚΛΑΔΟΥΡΗ</t>
  </si>
  <si>
    <t>ΑΗ223333</t>
  </si>
  <si>
    <t>ΝΤΕΛΙΟΥ</t>
  </si>
  <si>
    <t>Τ310692</t>
  </si>
  <si>
    <t>ΑΣΑΛΕΑ</t>
  </si>
  <si>
    <t>ΑΖ313370</t>
  </si>
  <si>
    <t>ΜΕΛΕΣΣΙΔΟΥ</t>
  </si>
  <si>
    <t>ΕΛΕΟΝΩΡΑ</t>
  </si>
  <si>
    <t>ΑΒ590347</t>
  </si>
  <si>
    <t>ΑΖ745761</t>
  </si>
  <si>
    <t>ΜΠΟΥΜΑΚΗ</t>
  </si>
  <si>
    <t>ΑΗ969253</t>
  </si>
  <si>
    <t>ΔΟΓΑΝΗ</t>
  </si>
  <si>
    <t>ΑΝ790057</t>
  </si>
  <si>
    <t>ΝΤΕΛΙΚΟΥ</t>
  </si>
  <si>
    <t>ΑΑ790878</t>
  </si>
  <si>
    <t>ΑΚ480629</t>
  </si>
  <si>
    <t>ΡΑΠΤΗΣ</t>
  </si>
  <si>
    <t>ΑΕ050536</t>
  </si>
  <si>
    <t>ΑΚ279797</t>
  </si>
  <si>
    <t>ΝΤΟΓΚΑΣ</t>
  </si>
  <si>
    <t>ΑΚ897375</t>
  </si>
  <si>
    <t>ΦΑΚΟΥΔΗ</t>
  </si>
  <si>
    <t>ΑΜ559641</t>
  </si>
  <si>
    <t>ΠΑΠΑΜΑΡΓΑΡΙΤΗ</t>
  </si>
  <si>
    <t>ΑΟ563116</t>
  </si>
  <si>
    <t>ΝΤΟΝΤΟΥ</t>
  </si>
  <si>
    <t>ΑΕ329214</t>
  </si>
  <si>
    <t>ΑΚ620823</t>
  </si>
  <si>
    <t>ΑΝ137341</t>
  </si>
  <si>
    <t>ΠΙΚΡΑΚΗ</t>
  </si>
  <si>
    <t>Τ155678</t>
  </si>
  <si>
    <t>ΑΖ128028</t>
  </si>
  <si>
    <t>ΤΣΕΛΛΟΣ</t>
  </si>
  <si>
    <t>ΑΝ627345</t>
  </si>
  <si>
    <t>ΑΗ369479</t>
  </si>
  <si>
    <t>ΑΜ704503</t>
  </si>
  <si>
    <t>ΠΑΣΑΛΑΡΗ</t>
  </si>
  <si>
    <t>ΑΖ007122</t>
  </si>
  <si>
    <t>ΑΖ704129</t>
  </si>
  <si>
    <t>ΣΥΜΕΩΝΙΔΗ</t>
  </si>
  <si>
    <t>ΑΡΤΕΜΙΣ ΕΛΕΝΗ</t>
  </si>
  <si>
    <t>ΑΝ150813</t>
  </si>
  <si>
    <t>ΑΝ374913</t>
  </si>
  <si>
    <t>ΑΕ053884</t>
  </si>
  <si>
    <t>ΑΝΑΓΝΟΠΟΥΛΟΥ</t>
  </si>
  <si>
    <t>ΑΚ150326</t>
  </si>
  <si>
    <t>ΑΕ619361</t>
  </si>
  <si>
    <t>ΔΗΜΟΣΘΕΝΗ</t>
  </si>
  <si>
    <t>ΑΡ350468</t>
  </si>
  <si>
    <t>ΣΑΜΑΡΤΖΗ</t>
  </si>
  <si>
    <t>ΑΝ251966</t>
  </si>
  <si>
    <t>ΠΙΠΠΟΣ</t>
  </si>
  <si>
    <t>ΑΝ633664</t>
  </si>
  <si>
    <t>ΤΣΙΡΟΓΙΑΝΝΙΔΟΥ</t>
  </si>
  <si>
    <t>ΑΝ207762</t>
  </si>
  <si>
    <t>ΚΟΥΡΤΗ</t>
  </si>
  <si>
    <t>Χ608782</t>
  </si>
  <si>
    <t>ΝΟΥΛΑ</t>
  </si>
  <si>
    <t>ΑΖ769202</t>
  </si>
  <si>
    <t>ΑΟ308150</t>
  </si>
  <si>
    <t>Χ666371</t>
  </si>
  <si>
    <t>ΠΑΤΡΙΝΟΠΟΥΛΟΣ ΜΠΟΥΓΙΟΥΚΑΣ</t>
  </si>
  <si>
    <t>ΑΒ786538</t>
  </si>
  <si>
    <t>ΠΛΑΚΙΔΑ</t>
  </si>
  <si>
    <t>ΑΙ055069</t>
  </si>
  <si>
    <t>ΕΥΡΥΣΘΕΥΣ</t>
  </si>
  <si>
    <t>ΑΖ776106</t>
  </si>
  <si>
    <t>ΠΑΠΑΔΑΚΟΣ</t>
  </si>
  <si>
    <t>Χ163631</t>
  </si>
  <si>
    <t>Χ963754</t>
  </si>
  <si>
    <t>ΒΡΑΙΛΑ</t>
  </si>
  <si>
    <t>Π343439</t>
  </si>
  <si>
    <t>ΑΖ406422</t>
  </si>
  <si>
    <t>ΒΟΝΓΚΛΗ</t>
  </si>
  <si>
    <t>ΕΠΑΜΕΙΝΩΝΤΑ</t>
  </si>
  <si>
    <t>ΑΚ748289</t>
  </si>
  <si>
    <t>ΑΚ291799</t>
  </si>
  <si>
    <t>ΖΕΙΤΙΔΟΥ</t>
  </si>
  <si>
    <t>Χ871580</t>
  </si>
  <si>
    <t>ΜΠΑΝΤΡΑ</t>
  </si>
  <si>
    <t>Π340941</t>
  </si>
  <si>
    <t>ΖΑΧΑΡΙΑ ΨΥΧΟΓΙΟΥ</t>
  </si>
  <si>
    <t>ΑΚ372548</t>
  </si>
  <si>
    <t>ΑΝ365341</t>
  </si>
  <si>
    <t>ΠΡΙΝΟΥ</t>
  </si>
  <si>
    <t>ΑΜ642834</t>
  </si>
  <si>
    <t>ΑΘΑΝΑΣΙΑ ΕΥΓΕΝΙΑ</t>
  </si>
  <si>
    <t>ΑΗ767002</t>
  </si>
  <si>
    <t>ΜΕΡΜΗΓΚΑ</t>
  </si>
  <si>
    <t>ΑΕ357277</t>
  </si>
  <si>
    <t>ΑΑ034002</t>
  </si>
  <si>
    <t>ΚΕΛΕΣΙΔΗ</t>
  </si>
  <si>
    <t>ΑΖ470435</t>
  </si>
  <si>
    <t>ΑΡ095408</t>
  </si>
  <si>
    <t>ΣΠΗΛΙΟΠΟΥΛΟΥ</t>
  </si>
  <si>
    <t>ΑΒ345135</t>
  </si>
  <si>
    <t>ΑΝ480090</t>
  </si>
  <si>
    <t>ΖΕΡΒΟΥΛΗ</t>
  </si>
  <si>
    <t>ΑΙ559437</t>
  </si>
  <si>
    <t>ΑΖ241437</t>
  </si>
  <si>
    <t>ΑΟ528471</t>
  </si>
  <si>
    <t>ΑΗ191413</t>
  </si>
  <si>
    <t>ΠΡΩΤΟΠΑΠΑ</t>
  </si>
  <si>
    <t>Χ676516</t>
  </si>
  <si>
    <t>ΑΟ061526</t>
  </si>
  <si>
    <t>ΚΑΡΑΧΡΗΣΤΟΥ</t>
  </si>
  <si>
    <t>ΙΩΑΝΝΑ ΔΗΜΗΤΡΑ</t>
  </si>
  <si>
    <t>ΑΚ673882</t>
  </si>
  <si>
    <t>Χ483590</t>
  </si>
  <si>
    <t>ΧΛΙΑΟΥΤΑΚΗ</t>
  </si>
  <si>
    <t>ΑΕ675686</t>
  </si>
  <si>
    <t>ΤΣΑΜΠΑΝΑΚΗ</t>
  </si>
  <si>
    <t>Φ294560</t>
  </si>
  <si>
    <t>ΠΟΠΠΗ</t>
  </si>
  <si>
    <t>ΑΣΗΜΙΝΑ ΣΩΤΗΡΙΑ</t>
  </si>
  <si>
    <t>ΑΜ236528</t>
  </si>
  <si>
    <t>ΜΩΥΣΙΑΔΗ</t>
  </si>
  <si>
    <t>Τ339401</t>
  </si>
  <si>
    <t>ΣΑΤΛΑ</t>
  </si>
  <si>
    <t>ΑΒ683592</t>
  </si>
  <si>
    <t>ΜΑΝΤΖΑΡΙΔΟΥ</t>
  </si>
  <si>
    <t>ΑΙ724113</t>
  </si>
  <si>
    <t>ΑΖ382235</t>
  </si>
  <si>
    <t>ΣΒΕΝΤΖΟΥΡΗ</t>
  </si>
  <si>
    <t>Χ379846</t>
  </si>
  <si>
    <t>Φ004321</t>
  </si>
  <si>
    <t>ΑΒ069076</t>
  </si>
  <si>
    <t>ΑΚ740975</t>
  </si>
  <si>
    <t>Φ181438</t>
  </si>
  <si>
    <t>ΝΑΣΙΡΙΔΟΥ</t>
  </si>
  <si>
    <t>ΑΗ151851</t>
  </si>
  <si>
    <t>ΜΠΑΛΑΣΟΙΟΥ</t>
  </si>
  <si>
    <t>ΚΡΙΣΤΙΝΑ ΑΛΕΞΑΝΔΡΑ</t>
  </si>
  <si>
    <t>ΑΚ490229</t>
  </si>
  <si>
    <t>ΑΗ209877</t>
  </si>
  <si>
    <t>ΙΟΛΗ ΜΑΡΙΑ</t>
  </si>
  <si>
    <t>ΑΜ696093</t>
  </si>
  <si>
    <t>ΑΟ635080</t>
  </si>
  <si>
    <t>ΑΕ265996</t>
  </si>
  <si>
    <t>ΠΑΛΕΝΤΖΑ</t>
  </si>
  <si>
    <t>ΘΕΟΔΩΡΟΣ ΠΑΛΕΝΤΖΑΣ</t>
  </si>
  <si>
    <t>ΑΗ262720</t>
  </si>
  <si>
    <t>ΜΠΙΛΙΑΛΗ</t>
  </si>
  <si>
    <t>ΑΕ888917</t>
  </si>
  <si>
    <t>ΤΣΑΠΑΡΟΠΟΥΛΟΥ</t>
  </si>
  <si>
    <t>ΑΑ363459</t>
  </si>
  <si>
    <t>ΑΕ423031</t>
  </si>
  <si>
    <t>ΑΕ467338</t>
  </si>
  <si>
    <t>ΓΚΟΥΤΖΟΥΡΕΛΑ</t>
  </si>
  <si>
    <t>ΑΙ846964</t>
  </si>
  <si>
    <t>ΓΟΥΤΣΙΚΑ</t>
  </si>
  <si>
    <t>ΑΒ945911</t>
  </si>
  <si>
    <t>ΑΙ077602</t>
  </si>
  <si>
    <t>ΚΟΥΤΟΥΜΠΑ</t>
  </si>
  <si>
    <t>ΑΜ971711</t>
  </si>
  <si>
    <t>ΑΚ301724</t>
  </si>
  <si>
    <t>ΧΟΥΖΟΥΡΗ</t>
  </si>
  <si>
    <t>ΑΕ555802</t>
  </si>
  <si>
    <t>ΑΜ291109</t>
  </si>
  <si>
    <t>ΚΕΡΑΜΙΔΑΣ</t>
  </si>
  <si>
    <t>ΑΜ774859</t>
  </si>
  <si>
    <t>ΜΠΑΛΗΣ</t>
  </si>
  <si>
    <t>ΑΜ049905</t>
  </si>
  <si>
    <t>ΒΑΛΑΜΟΥΤΟΠΟΥΛΟΥ</t>
  </si>
  <si>
    <t>ΑΜ241284</t>
  </si>
  <si>
    <t>ΒΕΡΤΟΥΔΑΚΗΣ</t>
  </si>
  <si>
    <t>ΑΜ676531</t>
  </si>
  <si>
    <t>ΑΙ450641</t>
  </si>
  <si>
    <t>ΒΡΥΝΙΩΤΗ</t>
  </si>
  <si>
    <t>ΑΕ240408</t>
  </si>
  <si>
    <t>ΔΟΥΜΟΥ</t>
  </si>
  <si>
    <t>ΑΕ830230</t>
  </si>
  <si>
    <t>ΦΩΤΑ</t>
  </si>
  <si>
    <t>Τ353782</t>
  </si>
  <si>
    <t>ΜΠΟΖΙΝΗ</t>
  </si>
  <si>
    <t>ΑΜ263827</t>
  </si>
  <si>
    <t>ΒΛΑΧΟΓΙΑΝΝΗ</t>
  </si>
  <si>
    <t>Χ837372</t>
  </si>
  <si>
    <t xml:space="preserve">ΠΛΑΙΤΑΚΗ </t>
  </si>
  <si>
    <t>ΑΝ432798</t>
  </si>
  <si>
    <t>ΒΑΡΔΑ</t>
  </si>
  <si>
    <t>Ν586149</t>
  </si>
  <si>
    <t>ΒΑΣΙΛΟΓΙΑΝΝΑΚΗ</t>
  </si>
  <si>
    <t>ΑΖ957254</t>
  </si>
  <si>
    <t>ΠΑΤΕΡΑΚΗ</t>
  </si>
  <si>
    <t>Ρ481318</t>
  </si>
  <si>
    <t>ΜΠΑΚΟΠΟΥΛΟΥ</t>
  </si>
  <si>
    <t>ΑΝ085956</t>
  </si>
  <si>
    <t>ΑΡΚΟΥΛΗ</t>
  </si>
  <si>
    <t>Τ026526</t>
  </si>
  <si>
    <t>ΑΖ846657</t>
  </si>
  <si>
    <t>ΝΤΙΚΟΥΛΗ</t>
  </si>
  <si>
    <t>ΑΗ767963</t>
  </si>
  <si>
    <t>ΛΑΖΑΝΑ</t>
  </si>
  <si>
    <t>ΟΛΥΜΠΙΑ ΙΩΑΝΝΑ</t>
  </si>
  <si>
    <t>ΑΝ272466</t>
  </si>
  <si>
    <t>ΑΗ054494</t>
  </si>
  <si>
    <t>ΤΣΟΥΚΗ</t>
  </si>
  <si>
    <t>ΑΒ539413</t>
  </si>
  <si>
    <t>ΚΟΥΝΑΛΗ</t>
  </si>
  <si>
    <t>ΑΟ420795</t>
  </si>
  <si>
    <t>ΔΙΑΚΟΥ</t>
  </si>
  <si>
    <t>ΑΡ350227</t>
  </si>
  <si>
    <t>ΜΠΟΥΡΔΑΝΟΥ</t>
  </si>
  <si>
    <t>ΑΗ674500</t>
  </si>
  <si>
    <t>VACHAVIOLOU</t>
  </si>
  <si>
    <t>FLORENTIA</t>
  </si>
  <si>
    <t>APOSTOLOS</t>
  </si>
  <si>
    <t>ΑΝ857092</t>
  </si>
  <si>
    <t>ΚΑΣΤΕΛΙΩΤΗ</t>
  </si>
  <si>
    <t>Φ089469</t>
  </si>
  <si>
    <t>ΠΑΠΑΙΩΣΗΦ</t>
  </si>
  <si>
    <t>ΑΗ464114</t>
  </si>
  <si>
    <t>ΒΑΙΔΟΥ</t>
  </si>
  <si>
    <t>ΑΕ862126</t>
  </si>
  <si>
    <t>ΑΖ078208</t>
  </si>
  <si>
    <t>ΑΓΑΘΗ ΔΗΜΗΤΡΑ</t>
  </si>
  <si>
    <t>ΑΚ260026</t>
  </si>
  <si>
    <t>ΑΒ442771</t>
  </si>
  <si>
    <t>ΠΑΡΝΑΣΣΑ</t>
  </si>
  <si>
    <t>ΑΚ367473</t>
  </si>
  <si>
    <t>ΛΟΓΔΑΝΙΔΟΥ</t>
  </si>
  <si>
    <t>ΑΚ995569</t>
  </si>
  <si>
    <t>ΜΟΥΛΑΤΖΙΚΟΥ</t>
  </si>
  <si>
    <t>ΑΗ077968</t>
  </si>
  <si>
    <t>ΑΙ318502</t>
  </si>
  <si>
    <t>ΑΚ930286</t>
  </si>
  <si>
    <t>ΑΚ111655</t>
  </si>
  <si>
    <t>ΚΩΝΣΤΑΝΤΙΝΑ ΕΙΡΗΝΗ</t>
  </si>
  <si>
    <t>ΑΝ334701</t>
  </si>
  <si>
    <t>ΚΟΥΤΣΟΥΜΑΡΗ</t>
  </si>
  <si>
    <t>ΑΜ123069</t>
  </si>
  <si>
    <t>ΚΑΨΙΩΤΗ</t>
  </si>
  <si>
    <t>ΑΗ118428</t>
  </si>
  <si>
    <t>ΓΕΡΟΣΙΔΕΡΗ</t>
  </si>
  <si>
    <t>ΜΑΝΘΑ</t>
  </si>
  <si>
    <t>Χ721131</t>
  </si>
  <si>
    <t>ΧΑΤΖΟΠΟΥΛΟΣ</t>
  </si>
  <si>
    <t>ΑΚ866911</t>
  </si>
  <si>
    <t>ΟΛΓΑ ΜΑΡΙΑ</t>
  </si>
  <si>
    <t>ΑΝΔΡΕΑ</t>
  </si>
  <si>
    <t>ΑΗ135228</t>
  </si>
  <si>
    <t>ΖΑΙΡΑ ΒΑΣΙΛΙΚΗ</t>
  </si>
  <si>
    <t>ΑΚ397708</t>
  </si>
  <si>
    <t>ΙΩΑΝΝΑ ΠΑΝΑΓΙΩΤΑ</t>
  </si>
  <si>
    <t>Χ895829</t>
  </si>
  <si>
    <t>ΑΗ657812</t>
  </si>
  <si>
    <t>ΔΑΒΡΑΖΟΥ</t>
  </si>
  <si>
    <t>ΑΒ394079</t>
  </si>
  <si>
    <t>ΚΑΡΑΚΑΤΣΑΝΗ</t>
  </si>
  <si>
    <t>Ξ208168</t>
  </si>
  <si>
    <t>ΕΛΕΝΑ ΑΦΡΟΔΙΤΗ</t>
  </si>
  <si>
    <t>ΑΕ236418</t>
  </si>
  <si>
    <t>ΚΑΣΣΩΤΑΚΗ</t>
  </si>
  <si>
    <t>ΑΚ475325</t>
  </si>
  <si>
    <t>ΚΑΝΔΥΛΑΡΗ</t>
  </si>
  <si>
    <t>ΑΠ</t>
  </si>
  <si>
    <t>ΑΒ102768</t>
  </si>
  <si>
    <t>ΑΕ332491</t>
  </si>
  <si>
    <t>ΣΚΛΗΒΑΝΙΩΤΗ</t>
  </si>
  <si>
    <t>ΑΣΠΑΣΙΑ ΘΕΟΔΩΡΑ</t>
  </si>
  <si>
    <t>ΑΑ082631</t>
  </si>
  <si>
    <t>ΑΝ013152</t>
  </si>
  <si>
    <t>ΞΗΡΟΚΩΣΤΑ</t>
  </si>
  <si>
    <t>ΑΜ671220</t>
  </si>
  <si>
    <t>ΑΜ713389</t>
  </si>
  <si>
    <t>ΑΡΒΑΝΙΤΗ</t>
  </si>
  <si>
    <t>ΑΕ479748</t>
  </si>
  <si>
    <t>ΑΕ353471</t>
  </si>
  <si>
    <t>ΜΑΛΙΚΕΝΤΖΟΥ</t>
  </si>
  <si>
    <t>ΑΚ869350</t>
  </si>
  <si>
    <t>ΑΙ109882</t>
  </si>
  <si>
    <t xml:space="preserve">ΜΑΚΡΟΓΙΑΝΝΑΚΗ </t>
  </si>
  <si>
    <t>Φ179933</t>
  </si>
  <si>
    <t>ΚΟΥΚΛΟΥΜΠΕΡΗ</t>
  </si>
  <si>
    <t>ΑΝ048120</t>
  </si>
  <si>
    <t>ΑΜ364360</t>
  </si>
  <si>
    <t>ΣΟΥΡΓΚΟΥΝΗ</t>
  </si>
  <si>
    <t>ΑΕ896515</t>
  </si>
  <si>
    <t>ΑΟ129724</t>
  </si>
  <si>
    <t>ΚΥΡΙΚΛΙΔΟΥ</t>
  </si>
  <si>
    <t>ΑΜ396665</t>
  </si>
  <si>
    <t>ΠΕΡΑΚΑΚΗ</t>
  </si>
  <si>
    <t>Ρ904987</t>
  </si>
  <si>
    <t>ΚΑΚΟΥΡΟΥ</t>
  </si>
  <si>
    <t>ΜΥΡΤΩ ΠΑΝΑΓΙΩΤΑ</t>
  </si>
  <si>
    <t>ΑΖ632269</t>
  </si>
  <si>
    <t>ΚΑΚΟΛΥΡΗ ΚΛΙΤΣΗ</t>
  </si>
  <si>
    <t>ΑΟ390475</t>
  </si>
  <si>
    <t>ΔΑΡΑΗ</t>
  </si>
  <si>
    <t>ΑΕ359812</t>
  </si>
  <si>
    <t>ΚΑΡΑΠΕΔΗ</t>
  </si>
  <si>
    <t>ΑΗ797637</t>
  </si>
  <si>
    <t>ΑΙ763708</t>
  </si>
  <si>
    <t>ΑΒ229250</t>
  </si>
  <si>
    <t>ΧΑΡΙΣΟΠΟΥΛΟΣ</t>
  </si>
  <si>
    <t>ΑΚ890461</t>
  </si>
  <si>
    <t>ΑΜ061386</t>
  </si>
  <si>
    <t>Ρ164901</t>
  </si>
  <si>
    <t>ΤΣΙΝΟΥΛΗ</t>
  </si>
  <si>
    <t>ΑΗ764437</t>
  </si>
  <si>
    <t>ΚΑΣΤΡΙΝΗ</t>
  </si>
  <si>
    <t>ΑΚ091918</t>
  </si>
  <si>
    <t>ΑΙ342230</t>
  </si>
  <si>
    <t>ΑΙ772603</t>
  </si>
  <si>
    <t>ΑΗ292892</t>
  </si>
  <si>
    <t>ΚΡΕΜΕΤΗ</t>
  </si>
  <si>
    <t>ΑΝ367829</t>
  </si>
  <si>
    <t>ΔΗΜΟΓΙΑΝΝΗ</t>
  </si>
  <si>
    <t>ΑΗ282831</t>
  </si>
  <si>
    <t>ΒΕΚΡΗ</t>
  </si>
  <si>
    <t>ΑΝ514480</t>
  </si>
  <si>
    <t>ΜΑΡΙΑ ΑΠΟΛΛΩΝΙΑ</t>
  </si>
  <si>
    <t>ΑΚΥΛΑΣ</t>
  </si>
  <si>
    <t>ΑΝ365257</t>
  </si>
  <si>
    <t>ΚΑΡΑΒΕΛΑ</t>
  </si>
  <si>
    <t>ΑΜ633203</t>
  </si>
  <si>
    <t>ΑΟ107776</t>
  </si>
  <si>
    <t>ΤΣΑΠΑΡΙΔΗ</t>
  </si>
  <si>
    <t>Φ249691</t>
  </si>
  <si>
    <t>ΑΜ521755</t>
  </si>
  <si>
    <t>ΑΜ425322</t>
  </si>
  <si>
    <t>ΑΜ192761</t>
  </si>
  <si>
    <t>ΜΑΝΙΔΟΥ</t>
  </si>
  <si>
    <t>ΑΝ422542</t>
  </si>
  <si>
    <t>ΣΩΤΗΡΟΓΛΟΥ</t>
  </si>
  <si>
    <t>ΑΕ219705</t>
  </si>
  <si>
    <t>ΑΜ680699</t>
  </si>
  <si>
    <t>ΕΥΜΟΡΦΙΑ ΦΑΙΔΡΑ</t>
  </si>
  <si>
    <t>ΑΕ564504</t>
  </si>
  <si>
    <t>ΛΙΟΛΙΟΣΙΔΟΥ</t>
  </si>
  <si>
    <t>ΚΑΡΥΟΦΥΛΛΗΣ</t>
  </si>
  <si>
    <t>ΑΜ277884</t>
  </si>
  <si>
    <t>ΑΚ644101</t>
  </si>
  <si>
    <t>ΚΟΡΔΑ</t>
  </si>
  <si>
    <t>ΑΜ189923</t>
  </si>
  <si>
    <t>ΜΠΙΜΠΙΚΑ</t>
  </si>
  <si>
    <t>ΔΕΣΠΟΙΝΑ ΒΑΣΙΛΙΚΗ</t>
  </si>
  <si>
    <t>ΑΝ180492</t>
  </si>
  <si>
    <t>ΧΡΥΣΑΝΘΗ ΜΑΡΙΑ</t>
  </si>
  <si>
    <t>ΠΑΧΑΚΗΣ ΕΜΜΑΝΟΥΗΛ</t>
  </si>
  <si>
    <t>ΑΙ941589</t>
  </si>
  <si>
    <t>ΤΗΛΕΜΑΧΟΥ</t>
  </si>
  <si>
    <t>ΑΒ586657</t>
  </si>
  <si>
    <t>ΒΑΡΛΑΜΗ</t>
  </si>
  <si>
    <t>ΑΝ727816</t>
  </si>
  <si>
    <t>ΑΗ835418</t>
  </si>
  <si>
    <t>ΠΑΠΑΖΑΝΗ</t>
  </si>
  <si>
    <t>ΑΚ500544</t>
  </si>
  <si>
    <t>ΜΑΡΙΑ ΧΑΡΑ</t>
  </si>
  <si>
    <t>ΑΝ758807</t>
  </si>
  <si>
    <t>ΤΣΙΧΛΑΣ</t>
  </si>
  <si>
    <t>Χ219831</t>
  </si>
  <si>
    <t>ΜΟΥΤΣΟΥ</t>
  </si>
  <si>
    <t>ΑΒ355421</t>
  </si>
  <si>
    <t>ΓΕΩΡΓΙΟΣ ΕΥΑΓΓΕΛΟΣ</t>
  </si>
  <si>
    <t>ΑΝ562586</t>
  </si>
  <si>
    <t>ΚΛΕΟΦΙΛΗ</t>
  </si>
  <si>
    <t>Χ880591</t>
  </si>
  <si>
    <t>ΡΕ</t>
  </si>
  <si>
    <t>ΧΡΥΣΟΒΑΛΑΝΤΩ</t>
  </si>
  <si>
    <t>ΑΖ933382</t>
  </si>
  <si>
    <t>ΜΠΑΠΚΑ</t>
  </si>
  <si>
    <t>ΑΗ309317</t>
  </si>
  <si>
    <t>ΑΛΕΞΟΥΛΗ</t>
  </si>
  <si>
    <t>ΑΝ062312</t>
  </si>
  <si>
    <t>Χ637274</t>
  </si>
  <si>
    <t>ΜΑΚΑΤΣΩΡΗ</t>
  </si>
  <si>
    <t>ΜΥΡΤΩ ΠΑΡΑΣΚΕΥΗ</t>
  </si>
  <si>
    <t>Χ021761</t>
  </si>
  <si>
    <t>ΑΗ479353</t>
  </si>
  <si>
    <t>ΜΗΤΡΟΥ</t>
  </si>
  <si>
    <t>ΑΕ112820</t>
  </si>
  <si>
    <t>ΑΙ594562</t>
  </si>
  <si>
    <t>ΣΙΓΑΝΑΚΗ</t>
  </si>
  <si>
    <t>Σ546928</t>
  </si>
  <si>
    <t>ΚΑΛΤΣΟΥΝΗ</t>
  </si>
  <si>
    <t>ΑΙΚΑΤΕΡΙΝΗ ΛΟΥΚΙΑ</t>
  </si>
  <si>
    <t>ΑΟ132910</t>
  </si>
  <si>
    <t xml:space="preserve">ΑΛΕΞΑΝΔΡΟΣ </t>
  </si>
  <si>
    <t>Φ017847</t>
  </si>
  <si>
    <t>ΤΣΙΛΛΗ</t>
  </si>
  <si>
    <t>ΑΟ446662</t>
  </si>
  <si>
    <t>ΠΙΠΕΡΟΠΟΥΛΟΥ</t>
  </si>
  <si>
    <t>ΑΗ685400</t>
  </si>
  <si>
    <t>ΤΣΟΥΒΑΛΑ</t>
  </si>
  <si>
    <t>ΑΕ657160</t>
  </si>
  <si>
    <t xml:space="preserve">ΚΥΡΙΑΚΙΔΟΥ </t>
  </si>
  <si>
    <t>ΑΒ372313</t>
  </si>
  <si>
    <t>ΛΑΜΔΑ</t>
  </si>
  <si>
    <t>ΑΜ296225</t>
  </si>
  <si>
    <t>ΔΟΥΛΗ</t>
  </si>
  <si>
    <t>ΑΗ413754</t>
  </si>
  <si>
    <t>ΑΛΙΓΙΖΑΚΗ</t>
  </si>
  <si>
    <t>ΑΚ061028</t>
  </si>
  <si>
    <t>ΘΕΟΔΩΡΟΠΟΥΛΟΣ</t>
  </si>
  <si>
    <t>ΑΖ547144</t>
  </si>
  <si>
    <t>Χ196200</t>
  </si>
  <si>
    <t>ΓΚΩΤΣΗΣ</t>
  </si>
  <si>
    <t>ΑΡ070502</t>
  </si>
  <si>
    <t>ΠΟΥΛΗ</t>
  </si>
  <si>
    <t>ΙΩΑΝΝΑ ΑΥΓΗ</t>
  </si>
  <si>
    <t>ΑΑ342345</t>
  </si>
  <si>
    <t>ΑΖ069919</t>
  </si>
  <si>
    <t>ΜΟΥΡΛΟΥΚΟΥ</t>
  </si>
  <si>
    <t>ΑΡ005984</t>
  </si>
  <si>
    <t>ΠΑΣΤΡΑ</t>
  </si>
  <si>
    <t>ΑΒ998043</t>
  </si>
  <si>
    <t>ΧΑΡΤΑΛΟΥ</t>
  </si>
  <si>
    <t>Ρ994800</t>
  </si>
  <si>
    <t>ΑΖ256214</t>
  </si>
  <si>
    <t>ΧΡΑΝΤΑ</t>
  </si>
  <si>
    <t>ΑΖ153385</t>
  </si>
  <si>
    <t>ΤΑΠΑ</t>
  </si>
  <si>
    <t>ΑΑ478644</t>
  </si>
  <si>
    <t>ΑΕ083848</t>
  </si>
  <si>
    <t>ΑΔΑΜΟΥΛΑ ΜΠΙΜΠΙΛΑ</t>
  </si>
  <si>
    <t>ΑΚ595068</t>
  </si>
  <si>
    <t>ΚΑΛΑΦΑΤΑΚΗ</t>
  </si>
  <si>
    <t>ΑΚ634614</t>
  </si>
  <si>
    <t>ΧΑΤΖΗΦΩΤΙΑΔΟΥ</t>
  </si>
  <si>
    <t>ΕΙΡΗΝΗ ΑΣΠΑΣΙΑ</t>
  </si>
  <si>
    <t>ΑΖ902328</t>
  </si>
  <si>
    <t>ΑΗ053878</t>
  </si>
  <si>
    <t>ΚΟΥΤΟΥΜΑΤΣΙΩΤΗ</t>
  </si>
  <si>
    <t>ΑΒ040197</t>
  </si>
  <si>
    <t>ΑΜ672579</t>
  </si>
  <si>
    <t>ΑΛΕΞΙΑ ΕΙΡΗΝΗ</t>
  </si>
  <si>
    <t>ΑΕ569011</t>
  </si>
  <si>
    <t>ΜΠΕΡΔΟΥΣΗ</t>
  </si>
  <si>
    <t>ΑΕ732187</t>
  </si>
  <si>
    <t>ΚΕΛΜΑΛΗ</t>
  </si>
  <si>
    <t>ΜΕΛΑΧΡΟΙΝΗ</t>
  </si>
  <si>
    <t>ΑΑ439725</t>
  </si>
  <si>
    <t>ΜΠΙΡΜΠΙΛΗ ΚΑΡΑΛΕΚΑ</t>
  </si>
  <si>
    <t>ΑΙ346840</t>
  </si>
  <si>
    <t>ΟΜΗΡΟΥ</t>
  </si>
  <si>
    <t>ΑΛΗ</t>
  </si>
  <si>
    <t>ΑΧΜΑΝΤ</t>
  </si>
  <si>
    <t>ΜΟΧΑΜΑΝΤ</t>
  </si>
  <si>
    <t>ΑΚ619794</t>
  </si>
  <si>
    <t>ΑΕ513763</t>
  </si>
  <si>
    <t>ΤΡΑΧΑΝΑ</t>
  </si>
  <si>
    <t>Φ258630</t>
  </si>
  <si>
    <t>ΤΣΑΚΡΗ</t>
  </si>
  <si>
    <t>ΑΝ506621</t>
  </si>
  <si>
    <t>ΚΑΛΛΙΓΑ</t>
  </si>
  <si>
    <t>ΑΜ720188</t>
  </si>
  <si>
    <t>ΧΟΝΔΡΟΔΗΜΟΥ</t>
  </si>
  <si>
    <t>ΚΑΡΜΕΛΙΤΑ</t>
  </si>
  <si>
    <t>ΓΚΕΟΡΓΚΙ</t>
  </si>
  <si>
    <t>Χ414940</t>
  </si>
  <si>
    <t>ΜΙΚΕΛΑΤΟΥ</t>
  </si>
  <si>
    <t>ΑΜ192636</t>
  </si>
  <si>
    <t>ΛΙΤΣΑΡΔΟΠΟΥΛΟΥ</t>
  </si>
  <si>
    <t>ΑΒ967436</t>
  </si>
  <si>
    <t>ΑΖ503584</t>
  </si>
  <si>
    <t>ΑΕ314844</t>
  </si>
  <si>
    <t>ΑΝ170359</t>
  </si>
  <si>
    <t>ΓΚΙΑΤΗ</t>
  </si>
  <si>
    <t>ΑΝ027740</t>
  </si>
  <si>
    <t>ΤΑΡΑΡΑ</t>
  </si>
  <si>
    <t>ΑΝ187309</t>
  </si>
  <si>
    <t>ΣΕΜΙΤΕΚΟΛΟΥ</t>
  </si>
  <si>
    <t>ΝΤΑΙΑΝΑ</t>
  </si>
  <si>
    <t>ΑΒ592190</t>
  </si>
  <si>
    <t>ΣΙΣΜΑΝΙΔΗ</t>
  </si>
  <si>
    <t>ΑΙ496175</t>
  </si>
  <si>
    <t>ΚΙΤΣΑΡΑ</t>
  </si>
  <si>
    <t>ΑΗ238219</t>
  </si>
  <si>
    <t>ΑΚ469857</t>
  </si>
  <si>
    <t>ΧΑΡΙΤΩΝΙΔΟΥ</t>
  </si>
  <si>
    <t>ΑΜ529834</t>
  </si>
  <si>
    <t>Σ733902</t>
  </si>
  <si>
    <t>ΑΜ765601</t>
  </si>
  <si>
    <t>ΣΑΒΒΙΔΗΣ</t>
  </si>
  <si>
    <t>ΑΒ970096</t>
  </si>
  <si>
    <t>Φ438157</t>
  </si>
  <si>
    <t>ΑΟ489020</t>
  </si>
  <si>
    <t>ΠΑΠΑΔΗΜΑΤΟΥ</t>
  </si>
  <si>
    <t>ΑΖ596541</t>
  </si>
  <si>
    <t>ΑΝΔΡΕΟΥΛΑΚΗ</t>
  </si>
  <si>
    <t>ΑΗ617217</t>
  </si>
  <si>
    <t>ΣΚΕΛΛΑ</t>
  </si>
  <si>
    <t>ΑΕ035875</t>
  </si>
  <si>
    <t>Ρ542187</t>
  </si>
  <si>
    <t>ΔΗΜΗΤΡΙΑΔΟΥ ΜΑΝΙΝΙΑ</t>
  </si>
  <si>
    <t>ΑΒ353919</t>
  </si>
  <si>
    <t>ΑΗ919928</t>
  </si>
  <si>
    <t>ΑΖ732140</t>
  </si>
  <si>
    <t>ΑΖ213751</t>
  </si>
  <si>
    <t>ΚΟΝΤΑΚΟΥ</t>
  </si>
  <si>
    <t>ΑΑ426173</t>
  </si>
  <si>
    <t>ΔΑΜΒΟΠΟΥΛΟΥ</t>
  </si>
  <si>
    <t>ΑΕ339131</t>
  </si>
  <si>
    <t>ΔΗΜΟΥΛΗ</t>
  </si>
  <si>
    <t>ΑΖ233438</t>
  </si>
  <si>
    <t>ΑΚ063982</t>
  </si>
  <si>
    <t>ΠΛΑΤΙΑ</t>
  </si>
  <si>
    <t>ΠΑΡΑΣΚΕΥΗ ΧΡΙΣΤΙΝΑ</t>
  </si>
  <si>
    <t>ΑΒ854720</t>
  </si>
  <si>
    <t>ΚΡΙΝΙΩ ΚΩΝΣΤΑΝΤΙΝΑ</t>
  </si>
  <si>
    <t>ΑΖ209574</t>
  </si>
  <si>
    <t>ΛΑΥΡΕΝΤΙΑ</t>
  </si>
  <si>
    <t>Ρ914864</t>
  </si>
  <si>
    <t>ΑΝ711041</t>
  </si>
  <si>
    <t>ΓΟΥΝΗ</t>
  </si>
  <si>
    <t>Χ947814</t>
  </si>
  <si>
    <t>ΑΝ574264</t>
  </si>
  <si>
    <t>ΟΛΓΑ ΣΟΦΙΑ</t>
  </si>
  <si>
    <t>ΑΗ937923</t>
  </si>
  <si>
    <t>ΚΡΑΣΑΝΑΚΗ</t>
  </si>
  <si>
    <t>ΑΚ523079</t>
  </si>
  <si>
    <t>ΑΒ326557</t>
  </si>
  <si>
    <t>ΛΙΩΝΗ</t>
  </si>
  <si>
    <t>ΑΖ251612</t>
  </si>
  <si>
    <t>ΑΒ341051</t>
  </si>
  <si>
    <t>ΜΑΡΚΟΛΕΦΑ</t>
  </si>
  <si>
    <t>ΑΑ119264</t>
  </si>
  <si>
    <t>ΑΟ296901</t>
  </si>
  <si>
    <t>ΑΗ825073</t>
  </si>
  <si>
    <t>Ρ729223</t>
  </si>
  <si>
    <t>ΧΑΤΖΗΑΝΤΩΝΙΑΔΟΥ</t>
  </si>
  <si>
    <t>ΑΝ711095</t>
  </si>
  <si>
    <t>ΓΚΟΥΖΗ</t>
  </si>
  <si>
    <t>ΑΖ647756</t>
  </si>
  <si>
    <t>ΑΧΙΛΛΕΟΠΟΥΛΟΥ</t>
  </si>
  <si>
    <t>ΑΗ634408</t>
  </si>
  <si>
    <t>ΠΕΡΙΧΑΝ</t>
  </si>
  <si>
    <t>ΙΛΧΑΝ</t>
  </si>
  <si>
    <t>ΑΟ917253</t>
  </si>
  <si>
    <t>ΠΙΣΙΝΙΔΗ</t>
  </si>
  <si>
    <t>Χ605327</t>
  </si>
  <si>
    <t>ΑΗ749594</t>
  </si>
  <si>
    <t>Φ203179</t>
  </si>
  <si>
    <t>ΚΑΡΥΩΤΑΚΗ</t>
  </si>
  <si>
    <t>ΆΝΝΑ ΕΛΕΝΗ</t>
  </si>
  <si>
    <t>ΑΖ320850</t>
  </si>
  <si>
    <t>ΑΗ616033</t>
  </si>
  <si>
    <t>ΑΚ062717</t>
  </si>
  <si>
    <t>ΣΚΑΡΤΣΙΛΑ</t>
  </si>
  <si>
    <t>Χ784265</t>
  </si>
  <si>
    <t>ΑΡΕΤΗ ΕΙΡΗΝΗ</t>
  </si>
  <si>
    <t>ΑΝ291228</t>
  </si>
  <si>
    <t>ΖΩΙΤΑΚΗ</t>
  </si>
  <si>
    <t>ΣΟΦΙΑ ΓΕΩΡΓΙΑ</t>
  </si>
  <si>
    <t>ΑΖ612301</t>
  </si>
  <si>
    <t>ΑΥΔΙΚΟΥ</t>
  </si>
  <si>
    <t>ΚΩΝ/ΝΑ</t>
  </si>
  <si>
    <t>ΑΖ249714</t>
  </si>
  <si>
    <t>ΚΑΡΥΤΟΠΟΥΛΟΥ</t>
  </si>
  <si>
    <t>ΑΟ388783</t>
  </si>
  <si>
    <t>ΑΕ827990</t>
  </si>
  <si>
    <t>ΑΗ123997</t>
  </si>
  <si>
    <t>ΛΑΔΑΣ</t>
  </si>
  <si>
    <t>ΑΙ786380</t>
  </si>
  <si>
    <t>ΑΛΗΜΠΑΜΠΟΓΛΟΥ</t>
  </si>
  <si>
    <t>ΜΠΙΛΓΕ</t>
  </si>
  <si>
    <t>ΣΑΝΤΗ</t>
  </si>
  <si>
    <t>ΑΗ904123</t>
  </si>
  <si>
    <t>ΜΑΚΡΥΝΟΡΗ</t>
  </si>
  <si>
    <t>Σ580218</t>
  </si>
  <si>
    <t>ΑΗ513334</t>
  </si>
  <si>
    <t>ΚΟΥΣΤΟΥΜΠΑΡΔΗΣ</t>
  </si>
  <si>
    <t>Χ810818</t>
  </si>
  <si>
    <t>ΚΟΡΔΙΤΣ</t>
  </si>
  <si>
    <t>Χ061908</t>
  </si>
  <si>
    <t>ΑΚ534794</t>
  </si>
  <si>
    <t>ΒΕΛΑΩΡΑ</t>
  </si>
  <si>
    <t>ΑΜ504045</t>
  </si>
  <si>
    <t>ΣΤΑΦΥΛΑΚΗ</t>
  </si>
  <si>
    <t>ΑΙ958130</t>
  </si>
  <si>
    <t>ΠΥΡΟΥΝΑΚΗ</t>
  </si>
  <si>
    <t>ΑΗ957229</t>
  </si>
  <si>
    <t>ΑΕ403039</t>
  </si>
  <si>
    <t>ΧΑΤΖΗΚΥΡΚΟΥ</t>
  </si>
  <si>
    <t>Χ472207</t>
  </si>
  <si>
    <t>ΑΝ029699</t>
  </si>
  <si>
    <t>Χ864466</t>
  </si>
  <si>
    <t>Χ535211</t>
  </si>
  <si>
    <t>ΑΗ681276</t>
  </si>
  <si>
    <t>ΚΕΛΕΜΕΝΔΡΗΣ</t>
  </si>
  <si>
    <t>ΑΚ205632</t>
  </si>
  <si>
    <t>ΚΟΥΤΕΛΟΥ</t>
  </si>
  <si>
    <t>ΑΑ432258</t>
  </si>
  <si>
    <t>Σ870152</t>
  </si>
  <si>
    <t>ΑΗ241421</t>
  </si>
  <si>
    <t>ΣΕΜΙΔΑΛΑ ΑΒΡΑΜΟΠΟΥΛΟΥ</t>
  </si>
  <si>
    <t>ΑΜ515917</t>
  </si>
  <si>
    <t>Τ148721</t>
  </si>
  <si>
    <t>ΑΚ532284</t>
  </si>
  <si>
    <t>ΑΖ189381</t>
  </si>
  <si>
    <t>ΒΑΡΓΕΜΕΖΗ</t>
  </si>
  <si>
    <t>ΑΙ463796</t>
  </si>
  <si>
    <t>ΑΕ190230</t>
  </si>
  <si>
    <t>ΑΑ069071</t>
  </si>
  <si>
    <t>ΑΒ466612</t>
  </si>
  <si>
    <t>Χ817431</t>
  </si>
  <si>
    <t>ΠΑΙΖΗ</t>
  </si>
  <si>
    <t>ΦΑΝΟΥΡΙΟΣ ΑΛΕΞΑΝΔΡΟΣ</t>
  </si>
  <si>
    <t>ΑΜ586846</t>
  </si>
  <si>
    <t>ΛΟΥΠΟΥ</t>
  </si>
  <si>
    <t>ΑΗ563614</t>
  </si>
  <si>
    <t>ΕΛΕΝΗ ΦΙΛΑΡΕΤΗ</t>
  </si>
  <si>
    <t>ΑΝ737930</t>
  </si>
  <si>
    <t>ΜΕΣΙΡΗΣ</t>
  </si>
  <si>
    <t>Χ482711</t>
  </si>
  <si>
    <t>ΑΝ718986</t>
  </si>
  <si>
    <t>ΧΟΛΗΣ</t>
  </si>
  <si>
    <t>ΑΗ204372</t>
  </si>
  <si>
    <t>ΤΡΑΝΑΚΑ</t>
  </si>
  <si>
    <t>ΜΑΡΙΑ ΜΑΡΚΙΑ</t>
  </si>
  <si>
    <t>Χ160570</t>
  </si>
  <si>
    <t>ΜΠΑΜΠΛΕΚΟΥ</t>
  </si>
  <si>
    <t>ΑΚ565566</t>
  </si>
  <si>
    <t>ΧΑΡΙΣΟΠΟΥΛΟΥ</t>
  </si>
  <si>
    <t>ΑΖ791795</t>
  </si>
  <si>
    <t>ΓΑΡΑΝΤΖΙΩΤΗ</t>
  </si>
  <si>
    <t>ΑΗ230265</t>
  </si>
  <si>
    <t>ΛΕΩΝΟΡΑ</t>
  </si>
  <si>
    <t>ΑΙ679381</t>
  </si>
  <si>
    <t>ΑΒ834949</t>
  </si>
  <si>
    <t>ΚΑΝΕΛΛΗ</t>
  </si>
  <si>
    <t>Τ399892</t>
  </si>
  <si>
    <t>ΑΕ651354</t>
  </si>
  <si>
    <t>ΑΝ247779</t>
  </si>
  <si>
    <t>ΡΕΒΙΘΗ</t>
  </si>
  <si>
    <t>ΑΡΣΕΝΙΑ ΙΩΑΝΝΑ</t>
  </si>
  <si>
    <t>ΑΚ546532</t>
  </si>
  <si>
    <t>ΒΑΣΜΑΤΖΙΔΗΣ</t>
  </si>
  <si>
    <t>ΑΚ309446</t>
  </si>
  <si>
    <t>ΕΥΣΤΡΑΤΙΟΥ</t>
  </si>
  <si>
    <t>ΑΜ262459</t>
  </si>
  <si>
    <t>ΑΚ302729</t>
  </si>
  <si>
    <t>ΤΟΡΤΟΠΙΔΟΥ</t>
  </si>
  <si>
    <t>ΑΙ188979</t>
  </si>
  <si>
    <t>ΕΛΕΥΘΕΡΙΑΔΗ</t>
  </si>
  <si>
    <t>ΑΑ108888</t>
  </si>
  <si>
    <t>ΣΤΟΙΜΕΝΟΥ</t>
  </si>
  <si>
    <t>ΑΖ653170</t>
  </si>
  <si>
    <t>ΤΕΜΕΚΕΝΙΔΟΥ</t>
  </si>
  <si>
    <t>ΑΗ379792</t>
  </si>
  <si>
    <t>ΜΕΝΕΞΕ</t>
  </si>
  <si>
    <t>ΑΟ898919</t>
  </si>
  <si>
    <t>ΝΤΡΕΤΣΑ</t>
  </si>
  <si>
    <t>ΝΙΦΡΙΛΝΤΑ</t>
  </si>
  <si>
    <t>ΑΙ452994</t>
  </si>
  <si>
    <t>ΑΙ600172</t>
  </si>
  <si>
    <t>ΑΖ044336</t>
  </si>
  <si>
    <t>ΜΠΕΛΛΙΟΥ</t>
  </si>
  <si>
    <t>ΑΕ254601</t>
  </si>
  <si>
    <t>ΤΣΙΜΠΕΡΗ</t>
  </si>
  <si>
    <t>ΑΖ244093</t>
  </si>
  <si>
    <t>ΤΣΙΛΙΑΚΟΥ</t>
  </si>
  <si>
    <t>Φ289092</t>
  </si>
  <si>
    <t>Χ773646</t>
  </si>
  <si>
    <t>ΕΡΜΗΛΙΟΥ</t>
  </si>
  <si>
    <t>ΑΒ272695</t>
  </si>
  <si>
    <t>Τ049127</t>
  </si>
  <si>
    <t>ΝΙΦΟΡΑ</t>
  </si>
  <si>
    <t>ΑΖ133215</t>
  </si>
  <si>
    <t>ΑΖ595363</t>
  </si>
  <si>
    <t>ΔΡΟΥΓΚΑΣ</t>
  </si>
  <si>
    <t>ΑΒ620839</t>
  </si>
  <si>
    <t>ΚΑΡΑΞΑΝΗΣ</t>
  </si>
  <si>
    <t>ΑΖ861905</t>
  </si>
  <si>
    <t>ΘΕΟΔΩΡΑΚΑΚΟΥ</t>
  </si>
  <si>
    <t>ΡΟΥΜΠΙΝΗ</t>
  </si>
  <si>
    <t>Ν078118</t>
  </si>
  <si>
    <t>ΑΝ208258</t>
  </si>
  <si>
    <t>ΠΛΑΣΤΟΥΡΓΟΥ</t>
  </si>
  <si>
    <t>ΑΕ235916</t>
  </si>
  <si>
    <t>ΤΖΑΡΙΜΑ</t>
  </si>
  <si>
    <t>ΑΚ650113</t>
  </si>
  <si>
    <t>ΤΟΥΖΟΥ</t>
  </si>
  <si>
    <t>ΑΒ086468</t>
  </si>
  <si>
    <t>ΑΑ354903</t>
  </si>
  <si>
    <t>ΑΚ675445</t>
  </si>
  <si>
    <t>ΜΠΑΜΠΑΣΙΔΟΥ</t>
  </si>
  <si>
    <t>ΑΗ683637</t>
  </si>
  <si>
    <t>ΡΑΧΗΛ</t>
  </si>
  <si>
    <t>Ν731901</t>
  </si>
  <si>
    <t>ΦΙΛΙΠΠΑΚΗ</t>
  </si>
  <si>
    <t>ΕΥΣΤΑΘΙΑ ΤΣΑΜΠΙΚΑ</t>
  </si>
  <si>
    <t>ΑΒ907904</t>
  </si>
  <si>
    <t>ΨΕΥΤΗ</t>
  </si>
  <si>
    <t>ΕΥΘΥΜΙΑ ΑΝΑΣΤΑΣΙΑ</t>
  </si>
  <si>
    <t>ΑΙ978241</t>
  </si>
  <si>
    <t>ΚΑΜΠΑΝΤΑΗ</t>
  </si>
  <si>
    <t>ΑΜ659732</t>
  </si>
  <si>
    <t>ΓΚΡΕΤΣΙΚΟΥ</t>
  </si>
  <si>
    <t>ΑΜ688177</t>
  </si>
  <si>
    <t>ΓΙΑΠΟΥΤΖΙΔΟΥ</t>
  </si>
  <si>
    <t>Φ328096</t>
  </si>
  <si>
    <t>ΑΙ643410</t>
  </si>
  <si>
    <t>Φ208519</t>
  </si>
  <si>
    <t>ΚΟΥΚΟΤΣΙΚΑ</t>
  </si>
  <si>
    <t>Χ929478</t>
  </si>
  <si>
    <t>ΚΑΝΟΝΙΔΟΥ</t>
  </si>
  <si>
    <t>ΦΩΚΑΣ</t>
  </si>
  <si>
    <t>ΑΙ488234</t>
  </si>
  <si>
    <t>ΑΜ224838</t>
  </si>
  <si>
    <t>ΑΒ354342</t>
  </si>
  <si>
    <t>ΣΤΑΘΗΣ</t>
  </si>
  <si>
    <t>ΑΑ379422</t>
  </si>
  <si>
    <t>ΑΙ127114</t>
  </si>
  <si>
    <t>ΑΖ488945</t>
  </si>
  <si>
    <t>ΜΑΡΚΟΥΛΗ</t>
  </si>
  <si>
    <t>ΑΕ178713</t>
  </si>
  <si>
    <t>ΣΠΥΡΙΔΗ</t>
  </si>
  <si>
    <t>ΑΑ037581</t>
  </si>
  <si>
    <t>ΚΙΟΥΡΚΤΖΙΑΝ</t>
  </si>
  <si>
    <t>ΜΑΡΑΛ</t>
  </si>
  <si>
    <t>ΧΡΑΙΡ</t>
  </si>
  <si>
    <t>ΑΚ725419</t>
  </si>
  <si>
    <t>ΣΚΑΡΒΕΛΑΚΗ</t>
  </si>
  <si>
    <t>ΑΖ612960</t>
  </si>
  <si>
    <t>ΑΛΕΞΑΚΗΣ</t>
  </si>
  <si>
    <t>ΑΙ773380</t>
  </si>
  <si>
    <t>ΜΑΡΙΑ ΑΡΓΥΡΗ</t>
  </si>
  <si>
    <t>ΑΡ210283</t>
  </si>
  <si>
    <t>Χ756507</t>
  </si>
  <si>
    <t>ΣΠΗΛΙΩΤΑΚΗ ΦΡΑΓΚΟΥΛΑΚΗ</t>
  </si>
  <si>
    <t>ΑΜ963468</t>
  </si>
  <si>
    <t>ΝΑΝΤΣΗ</t>
  </si>
  <si>
    <t>Χ848473</t>
  </si>
  <si>
    <t>ΑΑ234518</t>
  </si>
  <si>
    <t>ΑΖ543171</t>
  </si>
  <si>
    <t>ΜΠΟΧΤΣΟΥ</t>
  </si>
  <si>
    <t>ΑΗ415281</t>
  </si>
  <si>
    <t>ΑΙ034632</t>
  </si>
  <si>
    <t>ΑΒ141666</t>
  </si>
  <si>
    <t>ΒΑΛΚΑΝΙΔΟΥ</t>
  </si>
  <si>
    <t>ΑΖ158891</t>
  </si>
  <si>
    <t>ΑΖ779455</t>
  </si>
  <si>
    <t>ΚΟΤΟΡΛΗ</t>
  </si>
  <si>
    <t>ΑΙ713203</t>
  </si>
  <si>
    <t>ΦΥΛΑΧΤΟΥ</t>
  </si>
  <si>
    <t>ΑΟ255889</t>
  </si>
  <si>
    <t>ΤΣΙΑΦΟΥΤΗ</t>
  </si>
  <si>
    <t>ΑΗ037636</t>
  </si>
  <si>
    <t>ΑΝ456840</t>
  </si>
  <si>
    <t>ΠΑΠΑΚΥΡΙΑΚΟΥ</t>
  </si>
  <si>
    <t>ΑΕ675336</t>
  </si>
  <si>
    <t>ΑΛΗ ΔΑΗ</t>
  </si>
  <si>
    <t>ΠΥΝΑΡ</t>
  </si>
  <si>
    <t>ΙΣΜΕΤ</t>
  </si>
  <si>
    <t>ΑΕ913705</t>
  </si>
  <si>
    <t>ΑΜ238484</t>
  </si>
  <si>
    <t>ΑΖ663495</t>
  </si>
  <si>
    <t>Π270137</t>
  </si>
  <si>
    <t>ΚΛΟΥΚΙΝΑ</t>
  </si>
  <si>
    <t>ΑΕ253066</t>
  </si>
  <si>
    <t>ΤΖΑΛΙΑ</t>
  </si>
  <si>
    <t>ΑΗ685467</t>
  </si>
  <si>
    <t>ΔΟΥΣΗ</t>
  </si>
  <si>
    <t>ΑΜ102201</t>
  </si>
  <si>
    <t>ΝΤΟΝΤΣΗ</t>
  </si>
  <si>
    <t>ΔΗΜΗΤΡ</t>
  </si>
  <si>
    <t>ΑΖ647766</t>
  </si>
  <si>
    <t>Τ309792</t>
  </si>
  <si>
    <t>ΑΒ642251</t>
  </si>
  <si>
    <t>ΧΑΤΖΗΘΑΝΑΣΗ</t>
  </si>
  <si>
    <t>ΑΝ649755</t>
  </si>
  <si>
    <t>Χ511551</t>
  </si>
  <si>
    <t>ΓΕΩΡΓΙΑ ΧΑΡΟΥΛΑ</t>
  </si>
  <si>
    <t>ΑΜ502736</t>
  </si>
  <si>
    <t>ΚΑΤΡΑΤΖΗ</t>
  </si>
  <si>
    <t>ΑΚ964967</t>
  </si>
  <si>
    <t>ΚΑΡΤΕΡΟΛΙΩΤΗ</t>
  </si>
  <si>
    <t>Χ935138</t>
  </si>
  <si>
    <t>ΑΟ522860</t>
  </si>
  <si>
    <t>ΑΝΔΡΙΑΝΟΠΟΥΛΟΥ</t>
  </si>
  <si>
    <t>ΑΜ340530</t>
  </si>
  <si>
    <t>ΜΠΟΖΙΚΗΣ</t>
  </si>
  <si>
    <t>ΑΟ120905</t>
  </si>
  <si>
    <t>ΣΤΕΦΑΝΟΓΛΟΥ</t>
  </si>
  <si>
    <t>ΑΗ423825</t>
  </si>
  <si>
    <t>Ρ348452</t>
  </si>
  <si>
    <t>ΑΖ690017</t>
  </si>
  <si>
    <t>ΚΑΡΥΑΜΗ</t>
  </si>
  <si>
    <t>ΔΗΜΗΤΡΑ ΕΥΡΥΔΙΚΗ</t>
  </si>
  <si>
    <t>ΑΙ504512</t>
  </si>
  <si>
    <t>ΤΑΡΣΑΝΗ</t>
  </si>
  <si>
    <t>ΤΡΙΑΝΤΑΦΥΛΛΙΩ ΜΙΧΑΕΛΑ</t>
  </si>
  <si>
    <t>ΑΕ932736</t>
  </si>
  <si>
    <t>ΣΠΕΝΤΖΑ</t>
  </si>
  <si>
    <t>ΑΒ184639</t>
  </si>
  <si>
    <t>ΓΙΑΚΟΒΙΔΟΥ</t>
  </si>
  <si>
    <t>ΑΓΑΘΑΓΓΕΛΟΣ</t>
  </si>
  <si>
    <t>ΑΖ665021</t>
  </si>
  <si>
    <t>ΠΑΠΑΜΗΤΡΟΥ</t>
  </si>
  <si>
    <t>ΑΖ726786</t>
  </si>
  <si>
    <t>ΚΑΦΦΑ</t>
  </si>
  <si>
    <t>ΑΚ905785</t>
  </si>
  <si>
    <t>ΚΟΖΙΑΚΗΣ</t>
  </si>
  <si>
    <t>ΑΗ698842</t>
  </si>
  <si>
    <t>ΝΙΚΟΠΟΥΛΟΣ</t>
  </si>
  <si>
    <t>ΑΚ639113</t>
  </si>
  <si>
    <t>Τ278631</t>
  </si>
  <si>
    <t>ΖΗΣΟΥ</t>
  </si>
  <si>
    <t>ΑΚ970193</t>
  </si>
  <si>
    <t>ΑΗ413650</t>
  </si>
  <si>
    <t>ΧΑΡΜΑΝΑ</t>
  </si>
  <si>
    <t>ΑΟ244071</t>
  </si>
  <si>
    <t>ΑΕ199776</t>
  </si>
  <si>
    <t>ΒΟΥΖΑ</t>
  </si>
  <si>
    <t>ΑΕ002200</t>
  </si>
  <si>
    <t>ΚΑΡΑΒΑΛΤΣΙΟΥ</t>
  </si>
  <si>
    <t>ΑΒ433085</t>
  </si>
  <si>
    <t>ΑΖ647042</t>
  </si>
  <si>
    <t>ΚΑΡΑΝΤΖΑΛΗ</t>
  </si>
  <si>
    <t>Σ815179</t>
  </si>
  <si>
    <t>ΠΑΠΑΔΟΥΛΗ</t>
  </si>
  <si>
    <t>ΑΙ303722</t>
  </si>
  <si>
    <t>ΚΩΤΙΔΟΥ</t>
  </si>
  <si>
    <t>ΑΜ151872</t>
  </si>
  <si>
    <t>ΑΜ385780</t>
  </si>
  <si>
    <t>Ρ779962</t>
  </si>
  <si>
    <t>ΑΝΑΣΤΑΣΙΑ ΒΑΣΙΛΙΚΗ</t>
  </si>
  <si>
    <t>ΑΕ130678</t>
  </si>
  <si>
    <t>ΒΑΜΒΑΚΑ</t>
  </si>
  <si>
    <t>ΑΙ349730</t>
  </si>
  <si>
    <t>ΑΝ212445</t>
  </si>
  <si>
    <t>ΠΟΝΤΙΚΗ</t>
  </si>
  <si>
    <t>ΑΕ064563</t>
  </si>
  <si>
    <t>ΤΖΟΥΡΑΚΗΣ</t>
  </si>
  <si>
    <t>ΑΝ384181</t>
  </si>
  <si>
    <t>ΆΓΓΕΛΟΣ</t>
  </si>
  <si>
    <t>ΑΗ654270</t>
  </si>
  <si>
    <t>ΑΜΠΑΤΖΙΑΔΟΥ</t>
  </si>
  <si>
    <t>ΠΑΡΕΣΣΑ</t>
  </si>
  <si>
    <t>ΑΗ804168</t>
  </si>
  <si>
    <t>ΣΤΑΜΟΚΩΣΤΑ</t>
  </si>
  <si>
    <t>ΑΖ035748</t>
  </si>
  <si>
    <t>ΖΟΥΖΟΥΛΑ</t>
  </si>
  <si>
    <t>ΑΜ551598</t>
  </si>
  <si>
    <t>ΜΕΝΔΡΙΝΟΥ</t>
  </si>
  <si>
    <t>ΑΖ100753</t>
  </si>
  <si>
    <t>ΑΝΔΡΙΟΣΟΠΟΥΛΟΥ</t>
  </si>
  <si>
    <t>ΑΗ042642</t>
  </si>
  <si>
    <t>ΜΑΙΣΤΡΕΛΛΗ</t>
  </si>
  <si>
    <t>ΧΡΙΣΤΟΦΑΣ</t>
  </si>
  <si>
    <t>ΑΚ072830</t>
  </si>
  <si>
    <t>ΕΥΤΡΑΤΙΟΣ</t>
  </si>
  <si>
    <t>ΑΖ715687</t>
  </si>
  <si>
    <t>ΚΑΙΣΑΡΙΔΟΥ</t>
  </si>
  <si>
    <t>ΑΖ831219</t>
  </si>
  <si>
    <t>ΑΡΓΥΡΩ ΣΤΑΥΡΟΥΛΑ</t>
  </si>
  <si>
    <t>ΑΝ157885</t>
  </si>
  <si>
    <t>ΠΑΤΟΥΝΑΣ</t>
  </si>
  <si>
    <t>ΑΝΤΩΝΑΚΟΠΟΥΛΟΥ</t>
  </si>
  <si>
    <t>ΑΝ271292</t>
  </si>
  <si>
    <t>ΠΑΠΑΓΓΕΛΟΠΟΥΛΟΥ</t>
  </si>
  <si>
    <t>Χ191397</t>
  </si>
  <si>
    <t>ΑΒ789975</t>
  </si>
  <si>
    <t>ΠΑΝΤΟΥΛΑ</t>
  </si>
  <si>
    <t>ΑΖ738498</t>
  </si>
  <si>
    <t>ΑΕ801617</t>
  </si>
  <si>
    <t>ΛΙΤΗ</t>
  </si>
  <si>
    <t>ΑΚ825178</t>
  </si>
  <si>
    <t>ΜΠΕΡΛΕΜΗ</t>
  </si>
  <si>
    <t>ΑΖ202055</t>
  </si>
  <si>
    <t>ΤΣΙΟΥΡΗ</t>
  </si>
  <si>
    <t>ΑΗ741515</t>
  </si>
  <si>
    <t>ΑΖ558305</t>
  </si>
  <si>
    <t>ΣΤΟΥΓΙΑΝΝΟΥ</t>
  </si>
  <si>
    <t>Φ086164</t>
  </si>
  <si>
    <t>ΚΑΒΟΥΡΑΣ</t>
  </si>
  <si>
    <t>ΑΝ806609</t>
  </si>
  <si>
    <t xml:space="preserve">ΝΤΆΚΟΥΛΑ </t>
  </si>
  <si>
    <t xml:space="preserve">ΓΕΩΡΓΊΑ ΕΥΤΥΧΊΑ </t>
  </si>
  <si>
    <t xml:space="preserve">ΘΕΌΔΩΡΟΣ </t>
  </si>
  <si>
    <t>ΑΙ256672</t>
  </si>
  <si>
    <t>ΤΣΕΤΣΟΥ</t>
  </si>
  <si>
    <t>ΑΕ120715</t>
  </si>
  <si>
    <t>ΑΚ165366</t>
  </si>
  <si>
    <t>ΑΚ967335</t>
  </si>
  <si>
    <t>ΓΚΑΡΕΛΙΑΣ ΟΙΚΟΝΟΜΟΥ</t>
  </si>
  <si>
    <t>ΑΝ226838</t>
  </si>
  <si>
    <t>ΚΡΕΜΠΕΝΙΟΥ</t>
  </si>
  <si>
    <t>ΑΜ236614</t>
  </si>
  <si>
    <t>ΜΑΡΤΗ</t>
  </si>
  <si>
    <t>ΑΝ407494</t>
  </si>
  <si>
    <t>ΖΟΥΡΝΑΤΖΙΔΗΣ</t>
  </si>
  <si>
    <t>ΑΙ879586</t>
  </si>
  <si>
    <t>ΝΤΑΓΙΑ</t>
  </si>
  <si>
    <t>ΑΡΙΑΝ</t>
  </si>
  <si>
    <t>ΑΚ722966</t>
  </si>
  <si>
    <t>ΑΝΔΡΟΒΙΤΣΑΝΕΑ</t>
  </si>
  <si>
    <t>ΑΖ442527</t>
  </si>
  <si>
    <t>ΖΗΣΑΚΟΥ</t>
  </si>
  <si>
    <t>ΑΗ197445</t>
  </si>
  <si>
    <t>ΞΕΡΝΟΣ</t>
  </si>
  <si>
    <t>ΑΚ618342</t>
  </si>
  <si>
    <t>ΧΡΥΣΙΔΟΥ</t>
  </si>
  <si>
    <t>ΑΚ426282</t>
  </si>
  <si>
    <t>ΒΑΣΑΚΟΥ</t>
  </si>
  <si>
    <t>ΑΑ019989</t>
  </si>
  <si>
    <t>ΚΑΜΙΝΙΩΤΗ</t>
  </si>
  <si>
    <t>ΑΖ285614</t>
  </si>
  <si>
    <t>ΜΠΟΥΖΟΠΟΥΛΟΣ</t>
  </si>
  <si>
    <t>ΑΝ239139</t>
  </si>
  <si>
    <t>ΤΡΙΑΔΑ ΣΟΥΛΤΑΝΑ</t>
  </si>
  <si>
    <t>ΑΚ492240</t>
  </si>
  <si>
    <t>ΤΖΙΝΤΖΗΡΟΠΟΥΛΟΥ</t>
  </si>
  <si>
    <t>Ρ363042</t>
  </si>
  <si>
    <t>ΑΗ354467</t>
  </si>
  <si>
    <t>ΑΕ407204</t>
  </si>
  <si>
    <t>ΜΑΝΤΖΙΟΥΡΑ</t>
  </si>
  <si>
    <t>ΑΒ981436</t>
  </si>
  <si>
    <t xml:space="preserve">ΤΣΟΜΠΟ </t>
  </si>
  <si>
    <t>ΝΙΑΖΙ</t>
  </si>
  <si>
    <t>ΑΚ221239</t>
  </si>
  <si>
    <t>ΑΒ459035</t>
  </si>
  <si>
    <t>ΑΑ047225</t>
  </si>
  <si>
    <t>ΓΚΑΡΑΒΕΛΛΑ</t>
  </si>
  <si>
    <t>ΑΚ710706</t>
  </si>
  <si>
    <t>ΑΧΜΕΤΣΗΚ</t>
  </si>
  <si>
    <t>ΠΕΛΗΝ</t>
  </si>
  <si>
    <t>ΧΑΜΔΗ</t>
  </si>
  <si>
    <t>ΑΜ293408</t>
  </si>
  <si>
    <t>ΑΙ508250</t>
  </si>
  <si>
    <t>ΚΙΟΣΗ</t>
  </si>
  <si>
    <t>ΑΖ657272</t>
  </si>
  <si>
    <t>ΣΥΚΚΑ</t>
  </si>
  <si>
    <t>ΑΜ094462</t>
  </si>
  <si>
    <t>ΠΑΠΑΙΑΚΩΒΟΥ</t>
  </si>
  <si>
    <t>Φ353171</t>
  </si>
  <si>
    <t>ΑΗ402388</t>
  </si>
  <si>
    <t>ΚΑΤΗΦΟΡΗ</t>
  </si>
  <si>
    <t>ΑΚ687064</t>
  </si>
  <si>
    <t>ΑΕ105938</t>
  </si>
  <si>
    <t>ΓΚΕΝΟΥΔΗ</t>
  </si>
  <si>
    <t>ΑΙ839628</t>
  </si>
  <si>
    <t>ΑΚ410855</t>
  </si>
  <si>
    <t>Φ224083</t>
  </si>
  <si>
    <t>ΤΣΙΟΥΛΟΥ</t>
  </si>
  <si>
    <t>ΑΒ782600</t>
  </si>
  <si>
    <t>ΒΑΣΣΑΛΟΥ</t>
  </si>
  <si>
    <t>ΑΝ006724</t>
  </si>
  <si>
    <t>ΜΑΝΤΖΑΡΗ</t>
  </si>
  <si>
    <t>ΑΝ327068</t>
  </si>
  <si>
    <t>ΖΕΚΟΥ</t>
  </si>
  <si>
    <t>ΑΗ971492</t>
  </si>
  <si>
    <t>ΘΥΜΙΟΠΟΥΛΟΥ</t>
  </si>
  <si>
    <t>ΑΜ028970</t>
  </si>
  <si>
    <t>ΣΙΝΗ</t>
  </si>
  <si>
    <t>ΑΙ623397</t>
  </si>
  <si>
    <t>ΑΝ088447</t>
  </si>
  <si>
    <t>ΡΟΓΓΑ</t>
  </si>
  <si>
    <t>ΑΙΚΑΤΕΡΙΝΗ ΤΣΑΜΠΙΚΑ</t>
  </si>
  <si>
    <t>ΑΕ993708</t>
  </si>
  <si>
    <t>ΚΑΛΠΑΚΙΩΡΗΣ</t>
  </si>
  <si>
    <t>ΑΝ952371</t>
  </si>
  <si>
    <t>ΜΑΤΑΚΙΑ</t>
  </si>
  <si>
    <t>ΑΜ834205</t>
  </si>
  <si>
    <t>ΤΣΙΛΙΜΕΚΗ</t>
  </si>
  <si>
    <t>ΑΝ261869</t>
  </si>
  <si>
    <t>ΒΑΤΑΛΗ</t>
  </si>
  <si>
    <t>ΑΚ978568</t>
  </si>
  <si>
    <t>ΦΙΤΣΑΚΗ</t>
  </si>
  <si>
    <t>ΑΙ451216</t>
  </si>
  <si>
    <t>ΒΑΦΕΙΑΔΗ</t>
  </si>
  <si>
    <t>ΧΡΗΣΤΟΣ ΜΙΛΤΙΑΔΗΣ</t>
  </si>
  <si>
    <t>ΑΙ606425</t>
  </si>
  <si>
    <t>ΧΡΥΣΟΣΠΑΘΗ</t>
  </si>
  <si>
    <t>ΞΕΝΗ</t>
  </si>
  <si>
    <t>ΑΙ163344</t>
  </si>
  <si>
    <t>ΜΠΟΥΡΕΛΑΚΗ</t>
  </si>
  <si>
    <t>ΑΒ560150</t>
  </si>
  <si>
    <t>ΚΑΤΣΑΔΟΥΡΗ</t>
  </si>
  <si>
    <t>ΑΗ522510</t>
  </si>
  <si>
    <t>ΑΚ573015</t>
  </si>
  <si>
    <t>ΑΝΑΤΟΛΗΣ</t>
  </si>
  <si>
    <t>ΑΒ850475</t>
  </si>
  <si>
    <t>ΑΕ528030</t>
  </si>
  <si>
    <t>ΑΙ301820</t>
  </si>
  <si>
    <t>ΙΛΙΑ</t>
  </si>
  <si>
    <t>ΑΖ597590</t>
  </si>
  <si>
    <t>ΚΟΥΦΟΥΔΗ</t>
  </si>
  <si>
    <t>ΤΙΜΟΚΛΙΕΑ</t>
  </si>
  <si>
    <t>ΚΑΤΣΟΓΙΑΝΝΟΥ</t>
  </si>
  <si>
    <t>Χ136258</t>
  </si>
  <si>
    <t>ΜΗΤΣΙΟΠΟΥΛΟΣ</t>
  </si>
  <si>
    <t>ΑΗ005910</t>
  </si>
  <si>
    <t>ΦΕΡΜΑΝΙΔΟΥ</t>
  </si>
  <si>
    <t>Χ144176</t>
  </si>
  <si>
    <t>ΤΖΙΝΤΖΑΛΗ</t>
  </si>
  <si>
    <t>ΑΚ848384</t>
  </si>
  <si>
    <t>Α0553864</t>
  </si>
  <si>
    <t>ΚΥΡΚΑ</t>
  </si>
  <si>
    <t>ΑΖ826009</t>
  </si>
  <si>
    <t>ΝΑΤΑΛΙΑ ΑΔΑΜΑΝΤΙΑ</t>
  </si>
  <si>
    <t>ΑΖ029453</t>
  </si>
  <si>
    <t>ΜΕΤΑΞΙΩΤΗ</t>
  </si>
  <si>
    <t>ΑΚ006033</t>
  </si>
  <si>
    <t>ΤΣΙΜΟΥΔΗ</t>
  </si>
  <si>
    <t>XΡΙΣΤΙΝΑ</t>
  </si>
  <si>
    <t>ΑΕ133602</t>
  </si>
  <si>
    <t>ΑΑ307605</t>
  </si>
  <si>
    <t>ΚΥΡΙΚΛΑΚΗ</t>
  </si>
  <si>
    <t>Φ252696</t>
  </si>
  <si>
    <t>ΣΤΕΦΑΝΑΤΟΣ</t>
  </si>
  <si>
    <t>ΑΕ404698</t>
  </si>
  <si>
    <t>ΚΑΦΑΛΗ</t>
  </si>
  <si>
    <t>ΑΗ476211</t>
  </si>
  <si>
    <t>ΑΙ410770</t>
  </si>
  <si>
    <t>ΝΗΣΙΩΤΗ</t>
  </si>
  <si>
    <t>ΑΟ016460</t>
  </si>
  <si>
    <t>ΧΙΔΙΡΙΑΝ</t>
  </si>
  <si>
    <t>ΑΝΑΙΣ</t>
  </si>
  <si>
    <t>ΜΠΑΓΝΤΙΚ</t>
  </si>
  <si>
    <t>ΑΖ512385</t>
  </si>
  <si>
    <t>ΚΩΝΣΤΑΝΤΑΚΟΠΟΥΛΟΥ</t>
  </si>
  <si>
    <t>ΑΙ796107</t>
  </si>
  <si>
    <t>ΓΚΟΤΣΟΥΛΙΑ</t>
  </si>
  <si>
    <t>ΑΕ026689</t>
  </si>
  <si>
    <t>ΑΗ640347</t>
  </si>
  <si>
    <t>ΑΗ540125</t>
  </si>
  <si>
    <t>ΠΑΤΕΡΟΠΟΥΛΟΥ</t>
  </si>
  <si>
    <t>ΑΕ508455</t>
  </si>
  <si>
    <t>ΑΑ099721</t>
  </si>
  <si>
    <t>ΔΑΝΑΗ ΧΡΙΣΤΙΝΑ</t>
  </si>
  <si>
    <t>ΑΙ821412</t>
  </si>
  <si>
    <t>ΔΑΜΟΥΛΑΚΗ</t>
  </si>
  <si>
    <t>ΜΑΡΙΑ ΣΩΤΗΡΙΑ</t>
  </si>
  <si>
    <t>ΑΝ946221</t>
  </si>
  <si>
    <t>ΣΚΡΑΠΑ</t>
  </si>
  <si>
    <t>ΑΙ109549</t>
  </si>
  <si>
    <t>ΑΝ200676</t>
  </si>
  <si>
    <t>ΑΖ664515</t>
  </si>
  <si>
    <t>ΓΑΖΗ</t>
  </si>
  <si>
    <t>ΑΕ044399</t>
  </si>
  <si>
    <t>ΑΗ953755</t>
  </si>
  <si>
    <t>ΘΕΟΔΟΤΗ</t>
  </si>
  <si>
    <t>ΑΖ040954</t>
  </si>
  <si>
    <t>ΑΕ268258</t>
  </si>
  <si>
    <t>ΜΑΛΛΙΓΚΟΥ</t>
  </si>
  <si>
    <t>ΑΕ180931</t>
  </si>
  <si>
    <t>ΑΖ305971</t>
  </si>
  <si>
    <t>ΑΑ317512</t>
  </si>
  <si>
    <t>ΤΖΩΡΜΠΑΤΖΗ</t>
  </si>
  <si>
    <t>Σ678401</t>
  </si>
  <si>
    <t>ΣΙΑΤΗΣ</t>
  </si>
  <si>
    <t>ΑΑ306562</t>
  </si>
  <si>
    <t>ΑΙ394162</t>
  </si>
  <si>
    <t>ΜΠΥΡΟΥ</t>
  </si>
  <si>
    <t>ΑΗ903176</t>
  </si>
  <si>
    <t>ΤΡΑΜΠΑΔΟΥΡΟΥ</t>
  </si>
  <si>
    <t>ΑΚ149563</t>
  </si>
  <si>
    <t>ΑΜ088015</t>
  </si>
  <si>
    <t>ΑΖ371508</t>
  </si>
  <si>
    <t>ΜΑΡΚΑΤΗ</t>
  </si>
  <si>
    <t>ΑΕ046833</t>
  </si>
  <si>
    <t>ΜΟΥΛΑ</t>
  </si>
  <si>
    <t>ΑΖ316781</t>
  </si>
  <si>
    <t>ΑΜΠΑΤΖΟΓΛΟΥ</t>
  </si>
  <si>
    <t>ΑΖ394651</t>
  </si>
  <si>
    <t>Ξ504043</t>
  </si>
  <si>
    <t>ΑΜΑΝΑΤΙΔΗ</t>
  </si>
  <si>
    <t>ΑΗ565731</t>
  </si>
  <si>
    <t>ΦΡΑΓΚΟΥΛΗΣ</t>
  </si>
  <si>
    <t>ΦΟΙΒΟΣ</t>
  </si>
  <si>
    <t>Τ255229</t>
  </si>
  <si>
    <t>ΓΕΩΡΓΙΟΣ ΣΤΑΥΡΟΣ</t>
  </si>
  <si>
    <t>ΑΖ182477</t>
  </si>
  <si>
    <t>ΑΜ553063</t>
  </si>
  <si>
    <t>Χ161864</t>
  </si>
  <si>
    <t>ΜΠΡΑΤΗ</t>
  </si>
  <si>
    <t>ΑΟ738575</t>
  </si>
  <si>
    <t>ΑΟ092707</t>
  </si>
  <si>
    <t>ΤΟΜΚΟΥ</t>
  </si>
  <si>
    <t>ΑΑ449803</t>
  </si>
  <si>
    <t>Φ256217</t>
  </si>
  <si>
    <t>ΚΑΦΑΛΗΣ</t>
  </si>
  <si>
    <t>ΑΚ927542</t>
  </si>
  <si>
    <t>ΑΝΕΜΟΓΙΑΝΝΗ</t>
  </si>
  <si>
    <t>ΙΩΑΝΝΗΣ ΘΕΟΛΟΓΟΣ</t>
  </si>
  <si>
    <t>ΑΚ811511</t>
  </si>
  <si>
    <t>ΤΡΙΒΙΖΑ</t>
  </si>
  <si>
    <t>ΑΖ120690</t>
  </si>
  <si>
    <t>ΠΟΙΜΕΝΙΔΟΥ</t>
  </si>
  <si>
    <t>ΑΖ902531</t>
  </si>
  <si>
    <t>ΑΖ573071</t>
  </si>
  <si>
    <t>ΤΣΑΜΚΟΣΟΓΛΟΥ</t>
  </si>
  <si>
    <t>ΑΕ055156</t>
  </si>
  <si>
    <t>ΔΗΜΤΣΑ</t>
  </si>
  <si>
    <t>ΑΖ763872</t>
  </si>
  <si>
    <t>ΑΜ494787</t>
  </si>
  <si>
    <t>ΜΟΥΛΑΔΑΚΗ</t>
  </si>
  <si>
    <t>ΑΒ717047</t>
  </si>
  <si>
    <t>ΔΙΟΝΥΣΑΚΟΠΟΥΛΟΥ</t>
  </si>
  <si>
    <t>ΑΚ227221</t>
  </si>
  <si>
    <t>ΑΗ738347</t>
  </si>
  <si>
    <t>ΜΑΥΡΑΝΔΡΕΑ</t>
  </si>
  <si>
    <t>ΑΗ013176</t>
  </si>
  <si>
    <t>ΑΕ215349</t>
  </si>
  <si>
    <t>ΑΒ068703</t>
  </si>
  <si>
    <t>ΑΝ515254</t>
  </si>
  <si>
    <t>ΜΠΑΛΑΔΗΜΑ</t>
  </si>
  <si>
    <t>ΧΑΡΙΚΛΕΙΑ ΕΙΡΗΝΗ</t>
  </si>
  <si>
    <t>ΑΝ597104</t>
  </si>
  <si>
    <t>ΑΝ044753</t>
  </si>
  <si>
    <t>ΜΠΟΥΤΣΑΚΗ</t>
  </si>
  <si>
    <t>Χ632391</t>
  </si>
  <si>
    <t>ΚΟΥΛΟΥΜΕΝΤΑ</t>
  </si>
  <si>
    <t>ΑΗ061303</t>
  </si>
  <si>
    <t>ΑΚ047547</t>
  </si>
  <si>
    <t>ΚΕΚΑ</t>
  </si>
  <si>
    <t>ΑΒ676889</t>
  </si>
  <si>
    <t>ΜΗΤΡΟΠΟΥΛΟΣ</t>
  </si>
  <si>
    <t>ΑΙ080289</t>
  </si>
  <si>
    <t>ΕΛΕΥΘΕΡΙΑ ΗΛΕΚΤΡΑ</t>
  </si>
  <si>
    <t>ΑΒ531792</t>
  </si>
  <si>
    <t>ΑΙ373754</t>
  </si>
  <si>
    <t>ΚΟΡΛΟΥ</t>
  </si>
  <si>
    <t>ΑΜ641362</t>
  </si>
  <si>
    <t>ΚΑΠΟΥΚΑΚΗ</t>
  </si>
  <si>
    <t>ΑΙ693242</t>
  </si>
  <si>
    <t>ΜΑΣΚΛΑΒΑΝΟΥ</t>
  </si>
  <si>
    <t>ΑΖ749036</t>
  </si>
  <si>
    <t>ΚΑΡΠΟΥΖΗ</t>
  </si>
  <si>
    <t>ΑΝ550910</t>
  </si>
  <si>
    <t>ΑΟ925681</t>
  </si>
  <si>
    <t>ΑΒ217645</t>
  </si>
  <si>
    <t>ΤΡΑΙΑΝΟΥ</t>
  </si>
  <si>
    <t>ΑΕ655969</t>
  </si>
  <si>
    <t>ΑΒ394920</t>
  </si>
  <si>
    <t>ΠΑΛΟΥΣΗ</t>
  </si>
  <si>
    <t>ΑΙΚΑΤΕΡΙΝH</t>
  </si>
  <si>
    <t>ΑΙ368093</t>
  </si>
  <si>
    <t>ΣΑΒΒΑΚΗ</t>
  </si>
  <si>
    <t>ΑΜ660728</t>
  </si>
  <si>
    <t>ΑΗ615289</t>
  </si>
  <si>
    <t>ΑΝ712962</t>
  </si>
  <si>
    <t>ΛΟΥΛΟΥΜΑΡΗ</t>
  </si>
  <si>
    <t>ΑΚ667931</t>
  </si>
  <si>
    <t>ΚΑΡΑΚΑΣΙΔΟΥ</t>
  </si>
  <si>
    <t>ΑΖ389613</t>
  </si>
  <si>
    <t>ΑΒ090814</t>
  </si>
  <si>
    <t>ΛΟΥΚΟΥ</t>
  </si>
  <si>
    <t>Ρ278066</t>
  </si>
  <si>
    <t>ΠΑΥΛΟΠΟΥΛΟΥ</t>
  </si>
  <si>
    <t>ΑΟ126684</t>
  </si>
  <si>
    <t>ΑΜ120894</t>
  </si>
  <si>
    <t>Ξ947313</t>
  </si>
  <si>
    <t>ΑΟ192853</t>
  </si>
  <si>
    <t>ΑΙ903512</t>
  </si>
  <si>
    <t>ΚΑΡΕΛΑ</t>
  </si>
  <si>
    <t>ΑΖ536252</t>
  </si>
  <si>
    <t>ΑΗ504378</t>
  </si>
  <si>
    <t>ΑΗ913026</t>
  </si>
  <si>
    <t>ΑΜ243538</t>
  </si>
  <si>
    <t>ΜΑΝΤΖΙΑΒΑ</t>
  </si>
  <si>
    <t>ΑΒ782994</t>
  </si>
  <si>
    <t>ΚΑΨΟΚΑΛΗ</t>
  </si>
  <si>
    <t>ΑΟ624700</t>
  </si>
  <si>
    <t>ΚΑΖΛΑΡΗ</t>
  </si>
  <si>
    <t>ΑΗ837502</t>
  </si>
  <si>
    <t>ΑΝΝΑ ΠΟΛΥΞΕΝΗ</t>
  </si>
  <si>
    <t>ΑΗ160373</t>
  </si>
  <si>
    <t>ΝΕΦΕΛΗ ΜΑΡΓΑΡΙΤΑ</t>
  </si>
  <si>
    <t>ΑΗ631241</t>
  </si>
  <si>
    <t>ΚΑΝΙΟΥΡΑ</t>
  </si>
  <si>
    <t>ΑΖ283945</t>
  </si>
  <si>
    <t>ΛΑΝΑΡΑΣ</t>
  </si>
  <si>
    <t>ΑΝ472660</t>
  </si>
  <si>
    <t>ΑΝ055847</t>
  </si>
  <si>
    <t>ΜΠΛΑΝΤΕΜΗ</t>
  </si>
  <si>
    <t>ΑΙ846476</t>
  </si>
  <si>
    <t>ΑΖ869753</t>
  </si>
  <si>
    <t>ΑΙ134677</t>
  </si>
  <si>
    <t>Χ952275</t>
  </si>
  <si>
    <t>ΤΣΟΥΚΑ</t>
  </si>
  <si>
    <t>ΑΗ239502</t>
  </si>
  <si>
    <t>ΚΑΡΑΜΠΑ</t>
  </si>
  <si>
    <t>ΑΚ225081</t>
  </si>
  <si>
    <t>ΚΥΡΙΛΛΙΔΟΥ</t>
  </si>
  <si>
    <t>ΑΙ728746</t>
  </si>
  <si>
    <t>ΖΑΡΕΝΤΗ</t>
  </si>
  <si>
    <t>ΑΝ046142</t>
  </si>
  <si>
    <t>ΑΕ425291</t>
  </si>
  <si>
    <t>ΔΟΛΚΙΡΑ</t>
  </si>
  <si>
    <t>ΑΙ334155</t>
  </si>
  <si>
    <t>ΣΥΜΙΑΚΑΚΗ</t>
  </si>
  <si>
    <t>ΑΚ211228</t>
  </si>
  <si>
    <t>ΑΡ277727</t>
  </si>
  <si>
    <t>ΚΑΓΚΑΔΗ</t>
  </si>
  <si>
    <t>ΑΝ532521</t>
  </si>
  <si>
    <t>ΑΖ015711</t>
  </si>
  <si>
    <t>ΤΡΙΚΑΛΙΤΗ</t>
  </si>
  <si>
    <t>ΑΕ991775</t>
  </si>
  <si>
    <t>ΑΝ050981</t>
  </si>
  <si>
    <t>ΤΟΥΣΙΜΤΣΗ</t>
  </si>
  <si>
    <t>ΑΒ871460</t>
  </si>
  <si>
    <t>ΜΑΥΡΑΝΤΩΝΗ</t>
  </si>
  <si>
    <t>ΑΜ640282</t>
  </si>
  <si>
    <t>ΤΥΜΠΑΝΙΔΟΥ</t>
  </si>
  <si>
    <t>ΒΑΣΙΛΙΚΗ ΣΩΤΗΡΙΑ</t>
  </si>
  <si>
    <t>ΑΟ209647</t>
  </si>
  <si>
    <t>ΓΥΠΑΡΑΚΗ</t>
  </si>
  <si>
    <t>ΑΟ972122</t>
  </si>
  <si>
    <t>ΜΠΛΕΚΑ</t>
  </si>
  <si>
    <t>ΑΝ218661</t>
  </si>
  <si>
    <t>ΝΟΥΛΗ</t>
  </si>
  <si>
    <t>ΧΡΥΣΑΝΘΗ ΔΕΣΠΟΙΝΑ</t>
  </si>
  <si>
    <t>ΑΖ673104</t>
  </si>
  <si>
    <t>ΡΩΣΣΙΔΟΥ</t>
  </si>
  <si>
    <t>ΑΖ967567</t>
  </si>
  <si>
    <t>ΑΒ237145</t>
  </si>
  <si>
    <t>ΜΠΟΥΡΣΙΝΟΥ</t>
  </si>
  <si>
    <t>ΑΒ829324</t>
  </si>
  <si>
    <t>ΑΙ534034</t>
  </si>
  <si>
    <t>ΠΑΠΑΙΩΑΝΝΙΔΟΥ</t>
  </si>
  <si>
    <t>ΑΙ503878</t>
  </si>
  <si>
    <t>ΚΟΡΟΒΗΛΟΥ</t>
  </si>
  <si>
    <t>ΑΚ208786</t>
  </si>
  <si>
    <t>ΑΙ882764</t>
  </si>
  <si>
    <t>ΛΕΛΕΚΑ</t>
  </si>
  <si>
    <t>ΑΙ185472</t>
  </si>
  <si>
    <t>ΑΕ532248</t>
  </si>
  <si>
    <t>ΣΠΟΥΡΔΑΛΑΚΗ</t>
  </si>
  <si>
    <t>ΑΟ054532</t>
  </si>
  <si>
    <t>ΑΚ410188</t>
  </si>
  <si>
    <t>ΚΑΡΓΙΩΤΑΚΗ</t>
  </si>
  <si>
    <t>ΑΝ513196</t>
  </si>
  <si>
    <t>ΜΑΟΥΣΙΔΗ ΖΗΡΓΑΝΟΥ</t>
  </si>
  <si>
    <t>ΑΚ965548</t>
  </si>
  <si>
    <t>ΑΙ353093</t>
  </si>
  <si>
    <t>ΑΒ402137</t>
  </si>
  <si>
    <t>ΑΖ305603</t>
  </si>
  <si>
    <t>ΑΝ693060</t>
  </si>
  <si>
    <t>ΑΙ309421</t>
  </si>
  <si>
    <t>ΑΖ287391</t>
  </si>
  <si>
    <t>ΜΥΛΩΝΑ ΦΟΥΝΤΖΟΥΛΑ</t>
  </si>
  <si>
    <t>ΜΑΡΓΑΡΙΤΑ ΘΕΩΝΗ</t>
  </si>
  <si>
    <t>ΑΜ740246</t>
  </si>
  <si>
    <t>ΜΠΟΖΑΣ</t>
  </si>
  <si>
    <t>ΑΖ496306</t>
  </si>
  <si>
    <t>Χ376760</t>
  </si>
  <si>
    <t>ΑΖ764063</t>
  </si>
  <si>
    <t>ΜΑΡΙΝΟΣ ΡΟΔΟΛΦΟΣ</t>
  </si>
  <si>
    <t>ΡΟΔΟΣ</t>
  </si>
  <si>
    <t>ΑΙ072960</t>
  </si>
  <si>
    <t>ΑΑ271403</t>
  </si>
  <si>
    <t>ΑΟ662860</t>
  </si>
  <si>
    <t>ΛΑΜΠΑΔΑΚΗ</t>
  </si>
  <si>
    <t>ΑΑ076269</t>
  </si>
  <si>
    <t>ΤΑΚΑΝΤΖΙΑ</t>
  </si>
  <si>
    <t>ΑΝ352388</t>
  </si>
  <si>
    <t>ΑΖ649913</t>
  </si>
  <si>
    <t>ΜΠΕΛΕΒΕΓΚΑ</t>
  </si>
  <si>
    <t xml:space="preserve">ΑΝΝΑ </t>
  </si>
  <si>
    <t>ΑΗ382082</t>
  </si>
  <si>
    <t>ΒΑΡΔΟΥΛΑΚΗ</t>
  </si>
  <si>
    <t>ΑΡ417253</t>
  </si>
  <si>
    <t>ΠΑΛΙΟΥΡΑ</t>
  </si>
  <si>
    <t>ΑΗ126638</t>
  </si>
  <si>
    <t>ΠΡΑΣΣΟΠΟΥΛΟΥ</t>
  </si>
  <si>
    <t>ΑΖ088690</t>
  </si>
  <si>
    <t>ΑΜ043868</t>
  </si>
  <si>
    <t>ΠΙΤΕΝΗ</t>
  </si>
  <si>
    <t xml:space="preserve"> ΝΙΚΟΛΑΟΣ</t>
  </si>
  <si>
    <t>Χ409007</t>
  </si>
  <si>
    <t>ΤΖΑΒΕΛΑ</t>
  </si>
  <si>
    <t>ΑΗ132681</t>
  </si>
  <si>
    <t>ΑΗ683838</t>
  </si>
  <si>
    <t>ΠΑΛΙΔΗ</t>
  </si>
  <si>
    <t>ΑΕ505490</t>
  </si>
  <si>
    <t>ΑΚΥΛΛΙΝΑ ΑΝΝΑ</t>
  </si>
  <si>
    <t>ΑΖ002990</t>
  </si>
  <si>
    <t>ΑΗ149414</t>
  </si>
  <si>
    <t>ΜΟΝΑ</t>
  </si>
  <si>
    <t>ΑΝ229350</t>
  </si>
  <si>
    <t>ΑΟ138243</t>
  </si>
  <si>
    <t>ΣΦΕΝΔΥΛΑΚΗ</t>
  </si>
  <si>
    <t>ΑΝ154800</t>
  </si>
  <si>
    <t>ΝΤΑΦΟΥΛΗ ΚΩΝΣΤΑΝΤΙΝΟΥ</t>
  </si>
  <si>
    <t>ΑΝ127308</t>
  </si>
  <si>
    <t>ΑΝ619624</t>
  </si>
  <si>
    <t>ΚΟΥΤΡΟΥΜΑΝΗ</t>
  </si>
  <si>
    <t>ΑΖ538114</t>
  </si>
  <si>
    <t>ΚΡΕΣΣΟΥ</t>
  </si>
  <si>
    <t>ΑΖ772467</t>
  </si>
  <si>
    <t>ΓΚΙΡΛΕΜΗ</t>
  </si>
  <si>
    <t>ΑΒ310073</t>
  </si>
  <si>
    <t>ΑΖ668934</t>
  </si>
  <si>
    <t>ΔΑΡΗ</t>
  </si>
  <si>
    <t>ΕΛΕΝΗ ΕΛΛΗ</t>
  </si>
  <si>
    <t>ΑΒ265673</t>
  </si>
  <si>
    <t>ΑΝ667269</t>
  </si>
  <si>
    <t>ΤΣΙΟΥΠΡΑΣ</t>
  </si>
  <si>
    <t>ΜΑΡΚΕΛΛΟΣ</t>
  </si>
  <si>
    <t>ΕΥΡΥΠΙΔΗΣ</t>
  </si>
  <si>
    <t>ΑΙ188132</t>
  </si>
  <si>
    <t>ΓΚΑΡΑΒΕΛΑ ΜΠΕΡΤΟΚΚΟ</t>
  </si>
  <si>
    <t>ΑΝ849977</t>
  </si>
  <si>
    <t>ΑΚ509384</t>
  </si>
  <si>
    <t>ΣΥΜΕΩΝΙΔΗΣ</t>
  </si>
  <si>
    <t>ΑΕ396026</t>
  </si>
  <si>
    <t>ΒΙΤΖΗΛΑΙΟΥ</t>
  </si>
  <si>
    <t>ΑΙ419788</t>
  </si>
  <si>
    <t>ΜΑΡΟΥΚΗ</t>
  </si>
  <si>
    <t>ΑΗ232842</t>
  </si>
  <si>
    <t>ΑΖ813900</t>
  </si>
  <si>
    <t>ΡΑΥΤΟΠΟΥΛΟΥ</t>
  </si>
  <si>
    <t>ΑΙ136529</t>
  </si>
  <si>
    <t>ΚΑΣΣΕΡΟΠΟΥΛΟΥ</t>
  </si>
  <si>
    <t>ΑΗ189297</t>
  </si>
  <si>
    <t>ΑΖ084014</t>
  </si>
  <si>
    <t>Φ074891</t>
  </si>
  <si>
    <t>ΠΑΝΟΥΣΗΣ</t>
  </si>
  <si>
    <t>ΑΡ270721</t>
  </si>
  <si>
    <t>ΑΑ082795</t>
  </si>
  <si>
    <t>ΒΛΑΡΑ</t>
  </si>
  <si>
    <t>ΑΗ244251</t>
  </si>
  <si>
    <t>ΑΒ830591</t>
  </si>
  <si>
    <t>ΚΟΥΡΤΑΛΙΔΗ</t>
  </si>
  <si>
    <t>ΣΤΑΥΡΟΥΛΑ ΑΝΑΤΟΛΗ</t>
  </si>
  <si>
    <t>ΑΚ112922</t>
  </si>
  <si>
    <t>ΓΚΟΓΚΟΛΑΚΗ</t>
  </si>
  <si>
    <t>ΑΚ763964</t>
  </si>
  <si>
    <t>ΚΑΒΑΚΟΥ</t>
  </si>
  <si>
    <t>ΑΙΚΑΤΕΡΙΝΗ ΤΑΞΙΑΡΧΟΥ</t>
  </si>
  <si>
    <t>ΑΝ434704</t>
  </si>
  <si>
    <t>ΑΖ059314</t>
  </si>
  <si>
    <t>ΤΣΑΜΟΥΡΑΣ</t>
  </si>
  <si>
    <t>ΑΝ107944</t>
  </si>
  <si>
    <t>ΒΥΖΙΚΙΔΟΥ</t>
  </si>
  <si>
    <t>ΒΕΡΓΙΝΑ ΚΩΝΣΤΑΝΤΙΝΑ</t>
  </si>
  <si>
    <t>ΑΡ080451</t>
  </si>
  <si>
    <t>ΤΑΚΤΙΚΟΥ</t>
  </si>
  <si>
    <t>ΑΗ780636</t>
  </si>
  <si>
    <t>ΝΤΑΛΙΟΥ</t>
  </si>
  <si>
    <t>ΚΟΜΝΑΣ</t>
  </si>
  <si>
    <t>ΑΖ111698</t>
  </si>
  <si>
    <t>ΑΙ832695</t>
  </si>
  <si>
    <t>ΜΠΕΛΙΣΑΚΟΥ</t>
  </si>
  <si>
    <t>ΚΩΝΣΤΑΝΤΊΝΑ</t>
  </si>
  <si>
    <t>ΑΛΟΥΣ</t>
  </si>
  <si>
    <t>ΑΟ840765</t>
  </si>
  <si>
    <t>ΚΙΣΚΙΛΑ</t>
  </si>
  <si>
    <t>Σ640368</t>
  </si>
  <si>
    <t>ΑΗ243346</t>
  </si>
  <si>
    <t>ΤΣΑΠΑΛΟΥ</t>
  </si>
  <si>
    <t>ΑΕ253151</t>
  </si>
  <si>
    <t>ΜΑΡΚΑΝΤΩΝΑΤΟΥ</t>
  </si>
  <si>
    <t>ΑΑ039419</t>
  </si>
  <si>
    <t>ΑΒ748241</t>
  </si>
  <si>
    <t>ΑΝ874242</t>
  </si>
  <si>
    <t>ΙΩΑΝΝΙΔΗ</t>
  </si>
  <si>
    <t>ΑΒ940959</t>
  </si>
  <si>
    <t>ΦΡΑΓΚΙΟΥΔΑΚΗ</t>
  </si>
  <si>
    <t>Χ204148</t>
  </si>
  <si>
    <t>ΜΠΟΥΡΝΟΥΣΟΥΖΗΣ</t>
  </si>
  <si>
    <t>ΑΝ021296</t>
  </si>
  <si>
    <t>ΑΚΡΙΒΗ ΙΟΥΛΙΤΤΑ</t>
  </si>
  <si>
    <t>ΑΒ408662</t>
  </si>
  <si>
    <t>ΚΟΥΦΟΥ</t>
  </si>
  <si>
    <t>ΑΜ686563</t>
  </si>
  <si>
    <t>ΕΥΣΤΑΘΙΑ ΜΑΡΙΑ</t>
  </si>
  <si>
    <t>ΑΑ090158</t>
  </si>
  <si>
    <t>ΜΑΡΚΟΠΟΥΛΟΣ</t>
  </si>
  <si>
    <t>ΑΛΕΞΑΝΔΡΟΣ ΑΓΓΕΛΟΣ</t>
  </si>
  <si>
    <t>ΑΝ370704</t>
  </si>
  <si>
    <t>ΘΕΟΦΑΝΙΔΟΥ</t>
  </si>
  <si>
    <t>ΑΝ727886</t>
  </si>
  <si>
    <t>ΆΡΤΕΜΙΣ ΙΩΑΝΝΑ</t>
  </si>
  <si>
    <t>ΑΕ984091</t>
  </si>
  <si>
    <t>ΑΝ669197</t>
  </si>
  <si>
    <t>ΒΕΔΟΥΡΑ</t>
  </si>
  <si>
    <t>ΑΖ396397</t>
  </si>
  <si>
    <t>ΑΖ604857</t>
  </si>
  <si>
    <t>ΑΗ292972</t>
  </si>
  <si>
    <t>ΚΟΡΙΝΝΑ ΟΥΡΑΝΙΑ</t>
  </si>
  <si>
    <t>ΑΚ026787</t>
  </si>
  <si>
    <t>ΜΟΥΣΤΟΥ</t>
  </si>
  <si>
    <t>ΑΑ237049</t>
  </si>
  <si>
    <t>ΠΕΤΡΑΚΟΓΙΑΝΝΗ</t>
  </si>
  <si>
    <t>ΑΜ193227</t>
  </si>
  <si>
    <t>Α0140651</t>
  </si>
  <si>
    <t>ΚΑΡΑΜΠΙΝΑΣ</t>
  </si>
  <si>
    <t>ΑΗ291564</t>
  </si>
  <si>
    <t>ΚΙΟΥΡΤΙΔΗΣ</t>
  </si>
  <si>
    <t>ΑΗ652257</t>
  </si>
  <si>
    <t>ΚΟΣΜΑΔΑΚΗ</t>
  </si>
  <si>
    <t>ΑΖ518196</t>
  </si>
  <si>
    <t>ΑΟ221460</t>
  </si>
  <si>
    <t>ΡΟΥΣΑΛΗ</t>
  </si>
  <si>
    <t>ΘΩΜΑΙΣ</t>
  </si>
  <si>
    <t>ΑΙ525408</t>
  </si>
  <si>
    <t>ΜΠΑΡΟΥΞΗ</t>
  </si>
  <si>
    <t>ΑΒ785894</t>
  </si>
  <si>
    <t>ΓΚΑΝΙΑΤΣΟΥ</t>
  </si>
  <si>
    <t>ΑΝ553145</t>
  </si>
  <si>
    <t>ΣΤΥΛΙΑΝΗ ΜΑΡΙΑ</t>
  </si>
  <si>
    <t>Χ665314</t>
  </si>
  <si>
    <t>ΑΖ447109</t>
  </si>
  <si>
    <t>ΜΑΣΟΥΡΙΔΟΥ</t>
  </si>
  <si>
    <t>ΑΗ192721</t>
  </si>
  <si>
    <t>ΑΗ813106</t>
  </si>
  <si>
    <t>ΑΚ939075</t>
  </si>
  <si>
    <t>ΓΙΑΡΜΑ</t>
  </si>
  <si>
    <t>Χ758365</t>
  </si>
  <si>
    <t>ΠΛΟΥΜΙΔΗΣ</t>
  </si>
  <si>
    <t>ΠΑΝΑΓΙΩΤΗΣ ΖΑΧΑΡΙΑΣ</t>
  </si>
  <si>
    <t>ΑΗ167384</t>
  </si>
  <si>
    <t>ΜΠΑΛΟΓΙΑΝΝΗ</t>
  </si>
  <si>
    <t>ΑΖ296074</t>
  </si>
  <si>
    <t>ΚΟΥΤΖΜΠΗ</t>
  </si>
  <si>
    <t>ΑΟ965191</t>
  </si>
  <si>
    <t>ΑΝΤΡΕΑΣ</t>
  </si>
  <si>
    <t>ΑΟ322835</t>
  </si>
  <si>
    <t>ΑΝ312216</t>
  </si>
  <si>
    <t>ΤΖΙΝΑΚΟΥ</t>
  </si>
  <si>
    <t>ΓΑΒΡΙΕΛΑ ΓΕΩΡΓΙΑ</t>
  </si>
  <si>
    <t>ΑΑ061301</t>
  </si>
  <si>
    <t>ΠΑΙΛΑ</t>
  </si>
  <si>
    <t>ΑΙ840383</t>
  </si>
  <si>
    <t>ΜΠΕΝΤΟΥΛΗ</t>
  </si>
  <si>
    <t>ΑΝ908040</t>
  </si>
  <si>
    <t>ΑΖ322317</t>
  </si>
  <si>
    <t>ΑΖ004972</t>
  </si>
  <si>
    <t>ΤΣΟΥΡΟΥ</t>
  </si>
  <si>
    <t>ΑΝ792490</t>
  </si>
  <si>
    <t>ΣΤΕΛΛΑ ΑΝΝΑ</t>
  </si>
  <si>
    <t>ΑΒ590484</t>
  </si>
  <si>
    <t>ΒΛΑΧΟΣ</t>
  </si>
  <si>
    <t>ΑΙ506343</t>
  </si>
  <si>
    <t>ΑΜ659221</t>
  </si>
  <si>
    <t>ΒΑΡΔΑΚΩΣΤΑ</t>
  </si>
  <si>
    <t>ΑΙ607626</t>
  </si>
  <si>
    <t>ΡΑΝΤΖΟΥ</t>
  </si>
  <si>
    <t>ΕΛΕΝΗ ΠΑΡΑΣΚΕΥΗ</t>
  </si>
  <si>
    <t>ΑΝ791075</t>
  </si>
  <si>
    <t>ΝΤΙΝΑΣ</t>
  </si>
  <si>
    <t>ΜΙΝΩΣ</t>
  </si>
  <si>
    <t>ΑΙ836139</t>
  </si>
  <si>
    <t>ΚΑΡΑΜΠΕΤΣΟΥ</t>
  </si>
  <si>
    <t>ΦΙΛΩΝ</t>
  </si>
  <si>
    <t>ΑΖ495725</t>
  </si>
  <si>
    <t>ΛΑΣΚΑΡΙΔΗΣ</t>
  </si>
  <si>
    <t>ΑΗ566682</t>
  </si>
  <si>
    <t>ΚΙΑΝΟΥΡΑ</t>
  </si>
  <si>
    <t>ΑΒ553684</t>
  </si>
  <si>
    <t>ΡΟΥΜΕΛΙΩΤΟΥ</t>
  </si>
  <si>
    <t>ΑΒ042511</t>
  </si>
  <si>
    <t>ΧΑΡΑΤΣΙΔΗΣ</t>
  </si>
  <si>
    <t>ΑΖ813304</t>
  </si>
  <si>
    <t>ΛΑΖΗ</t>
  </si>
  <si>
    <t>ΑΗ789570</t>
  </si>
  <si>
    <t>ΚΥΒΑΡΑΚΗ</t>
  </si>
  <si>
    <t>MΑΡΙΑ</t>
  </si>
  <si>
    <t>ΑΙ536820</t>
  </si>
  <si>
    <t>ΑΚ297067</t>
  </si>
  <si>
    <t>ΤΡΙΚΟΥΠΗ ΜΠΑΓΙΑ</t>
  </si>
  <si>
    <t>ΑΖ665074</t>
  </si>
  <si>
    <t>ΓΙΑΝΝΑ</t>
  </si>
  <si>
    <t>Χ409826</t>
  </si>
  <si>
    <t>AΝΔΡΙΑΝΑ</t>
  </si>
  <si>
    <t>ΑΑ318267</t>
  </si>
  <si>
    <t>ΤΣΙΝΙΔΟΥ</t>
  </si>
  <si>
    <t>ΑΚ939330</t>
  </si>
  <si>
    <t xml:space="preserve">ΣΑΡΑΤΣΗ </t>
  </si>
  <si>
    <t>ΑΝΑΣΤΑΣΙΑ ΡΑΦΑΗΛΙΑ</t>
  </si>
  <si>
    <t>ΑΡ363664</t>
  </si>
  <si>
    <t>Φ013681</t>
  </si>
  <si>
    <t>ΤΖΙΟΥΦΑ</t>
  </si>
  <si>
    <t>ΑΖ143385</t>
  </si>
  <si>
    <t>ΑΕ657334</t>
  </si>
  <si>
    <t>ΠΕΛΕΚΑ</t>
  </si>
  <si>
    <t>ΝΑΤΑΛΙΑ ΣΤΑΥΡΟΥΛΑ</t>
  </si>
  <si>
    <t>ΑΒ353416</t>
  </si>
  <si>
    <t>ΚΑΡΟΠΛΕΣΙΤΗ</t>
  </si>
  <si>
    <t>ΑΕ551249</t>
  </si>
  <si>
    <t>ΡΑΦΑΕΛΙΝΑ ΜΕΛΙΝΑ</t>
  </si>
  <si>
    <t>ΑΝ383129</t>
  </si>
  <si>
    <t>ΣΑΛΙΓΚΑΡΑ</t>
  </si>
  <si>
    <t>ΑΖ993651</t>
  </si>
  <si>
    <t>ΝΑΖΛΙΔΟΥ</t>
  </si>
  <si>
    <t>ΕΛΕΝΑ ΙΩΑΝΝΑ</t>
  </si>
  <si>
    <t>ΑΑ942123</t>
  </si>
  <si>
    <t>ΓΕΡΑΚΙΤΗΣ</t>
  </si>
  <si>
    <t>Χ179581</t>
  </si>
  <si>
    <t>ΑΝ972289</t>
  </si>
  <si>
    <t>ΚΟΥΤΣΟΝΙΔΑ</t>
  </si>
  <si>
    <t>ΑΟ239943</t>
  </si>
  <si>
    <t>Χ557012</t>
  </si>
  <si>
    <t>Φ350778</t>
  </si>
  <si>
    <t>ΛΕΡΟΥ</t>
  </si>
  <si>
    <t>ΑΒ245718</t>
  </si>
  <si>
    <t>ΜΟΡΦΙΑΔΟΥ</t>
  </si>
  <si>
    <t>ΑΙ667667</t>
  </si>
  <si>
    <t>Φ041174</t>
  </si>
  <si>
    <t>ΤΣΑΚΑΛΗ</t>
  </si>
  <si>
    <t>ΑΖ495482</t>
  </si>
  <si>
    <t>ΓΚΑΝΙΑ</t>
  </si>
  <si>
    <t>ΑΜ382991</t>
  </si>
  <si>
    <t>ΑΗ425097</t>
  </si>
  <si>
    <t>ΑΕ155202</t>
  </si>
  <si>
    <t>ΑΡΝΑΟΥΤΑΚΗ</t>
  </si>
  <si>
    <t>ΕΡΙΕΤΤΑ ΧΡΙΣΤΙΝΑ</t>
  </si>
  <si>
    <t>ΑΗ109179</t>
  </si>
  <si>
    <t>ΧΡΥΣΟΒΕΡΓΗ</t>
  </si>
  <si>
    <t>ΦΛΩΡΕΝΤΙΑ</t>
  </si>
  <si>
    <t>ΑΒ055446</t>
  </si>
  <si>
    <t>ΠΑΠΟΥΤΣΗΣ</t>
  </si>
  <si>
    <t>ΑΒ776076</t>
  </si>
  <si>
    <t>ΑΚ794418</t>
  </si>
  <si>
    <t>ΠΑΡΑΣΤΑΤΙΔΟΥ</t>
  </si>
  <si>
    <t>ΑΑ469323</t>
  </si>
  <si>
    <t>ΞΗΡΑΚΗ</t>
  </si>
  <si>
    <t>ΑΚ096381</t>
  </si>
  <si>
    <t>ΑΙ291915</t>
  </si>
  <si>
    <t>ΣΩΤΗΡΙΑ ΕΦΡΑΙΜΙΑ</t>
  </si>
  <si>
    <t>ΑΚ105169</t>
  </si>
  <si>
    <t>ΑΙ398447</t>
  </si>
  <si>
    <t>ΟΡΚΑΣ</t>
  </si>
  <si>
    <t>ΑΕ527462</t>
  </si>
  <si>
    <t>ΚΑΛΛΙΩΡΑ</t>
  </si>
  <si>
    <t>ΑΝ029789</t>
  </si>
  <si>
    <t>ΓΙΑΠΑΝΤΖΗ</t>
  </si>
  <si>
    <t>ΑΒ730329</t>
  </si>
  <si>
    <t>ΑΖ467293</t>
  </si>
  <si>
    <t>ΚΥΡΚΟΠΟΥΛΟΥ</t>
  </si>
  <si>
    <t>ΑΒ863629</t>
  </si>
  <si>
    <t>ΙΩΑΝΝΙΔΟΥ ΑΘΑΝΑΣΙΟΥ</t>
  </si>
  <si>
    <t>ΑΚ760491</t>
  </si>
  <si>
    <t>ΜΠΙΚΟΥ</t>
  </si>
  <si>
    <t>ΑΗ362189</t>
  </si>
  <si>
    <t>ΑΖ508905</t>
  </si>
  <si>
    <t>ΜΠΑΡΜΠΑΚΟΥ</t>
  </si>
  <si>
    <t>Χ023799</t>
  </si>
  <si>
    <t>ΔΕΛΗΘΑΝΑΣΗ</t>
  </si>
  <si>
    <t>ΑΕ826360</t>
  </si>
  <si>
    <t>ΖΑΜΑΡΙΑ</t>
  </si>
  <si>
    <t>ΒΕΡΑ</t>
  </si>
  <si>
    <t>ΑΝ143697</t>
  </si>
  <si>
    <t>ΑΚ110627</t>
  </si>
  <si>
    <t>ΣΥΡΜΗ</t>
  </si>
  <si>
    <t>ΑΟ247333</t>
  </si>
  <si>
    <t>ΠΑΡΑΒΑΛΟΥ</t>
  </si>
  <si>
    <t>ΑΙ973804</t>
  </si>
  <si>
    <t>ΑΙ966472</t>
  </si>
  <si>
    <t>ΑΟ209570</t>
  </si>
  <si>
    <t>ΤΟΤΟΚΟΤΣΗ</t>
  </si>
  <si>
    <t>ΕΝΤΟΝ</t>
  </si>
  <si>
    <t>ΚΡΙΣΤΑΚΗ</t>
  </si>
  <si>
    <t>ΑΗ282693</t>
  </si>
  <si>
    <t>ΤΑΤΙΑΝΑ ΕΛΕΟΝΩΡΑ</t>
  </si>
  <si>
    <t>ΑΑ474142</t>
  </si>
  <si>
    <t>ΑΝ309210</t>
  </si>
  <si>
    <t>ΤΟΝΙΚΙΔΟΥ</t>
  </si>
  <si>
    <t>ΑΖ848774</t>
  </si>
  <si>
    <t>ΘΕΟΔΟΥΛΙΔΟΥ</t>
  </si>
  <si>
    <t>ΑΙ192987</t>
  </si>
  <si>
    <t>ΑΜ210972</t>
  </si>
  <si>
    <t>ΚΑΤΣΑΚΙΩΡΗ</t>
  </si>
  <si>
    <t>ΒΑΝΑ</t>
  </si>
  <si>
    <t>Χ617231</t>
  </si>
  <si>
    <t>ΤΣΑΛΊΜΑ</t>
  </si>
  <si>
    <t>ΔΉΜΗΤΡΑ</t>
  </si>
  <si>
    <t>ΑΖ683887</t>
  </si>
  <si>
    <t>ΑΙ095375</t>
  </si>
  <si>
    <t>ΜΑΝΛΗ</t>
  </si>
  <si>
    <t>ΑΝ767388</t>
  </si>
  <si>
    <t>ΧΑΜΟΣ</t>
  </si>
  <si>
    <t>ΑΗ767965</t>
  </si>
  <si>
    <t>CHRISTODOULOU</t>
  </si>
  <si>
    <t>STEPHANIE</t>
  </si>
  <si>
    <t>EVRIPIDIS</t>
  </si>
  <si>
    <t>1309ΑΤΗ00020</t>
  </si>
  <si>
    <t>ΚΟΥΚΟΥΤΣΑΚΗ</t>
  </si>
  <si>
    <t>Χ497270</t>
  </si>
  <si>
    <t>ΦΙΛΙΠΠΟΝΗ</t>
  </si>
  <si>
    <t>ΑΗ107630</t>
  </si>
  <si>
    <t>ΔΙΑΚΟΠΟΥΛΟΥ</t>
  </si>
  <si>
    <t>ΑΖ993950</t>
  </si>
  <si>
    <t>ΚΟΣΜΙΔΟΥ</t>
  </si>
  <si>
    <t>ΑΜ438171</t>
  </si>
  <si>
    <t>ΜΑΛΛΙΩΤΑΚΗ</t>
  </si>
  <si>
    <t>ΑΙ630844</t>
  </si>
  <si>
    <t>ΜΑΥΡΟΒΙΤΟΥ</t>
  </si>
  <si>
    <t>ΑΜ401992</t>
  </si>
  <si>
    <t>Χ956348</t>
  </si>
  <si>
    <t>ΚΑΛΛΙΑΝΙΩΤΗ</t>
  </si>
  <si>
    <t>ΑΚ235247</t>
  </si>
  <si>
    <t>ΛΑΝΑΙ</t>
  </si>
  <si>
    <t>ΛΟΡΕΛΑ</t>
  </si>
  <si>
    <t>ΕΝΓΚΕΛΟΥΣ</t>
  </si>
  <si>
    <t>ΑΟ068850</t>
  </si>
  <si>
    <t>ΚΡΙΤΣΙΝΙΩΤΗ</t>
  </si>
  <si>
    <t>ΑΕ277829</t>
  </si>
  <si>
    <t>ΑΙ964324</t>
  </si>
  <si>
    <t>ΚΑΡΥΔΑΣ</t>
  </si>
  <si>
    <t>ΑΗ630331</t>
  </si>
  <si>
    <t>ΜΑΥΡΟΜΟΥΣΤΑΚΗ</t>
  </si>
  <si>
    <t>ΑΝ720672</t>
  </si>
  <si>
    <t>ΓΕΩΡΓΙΟΣ ΗΛΙΑΣ</t>
  </si>
  <si>
    <t>ΑΜ030149</t>
  </si>
  <si>
    <t>ΚΟΥΤΣΟΥΜΑΝΗ</t>
  </si>
  <si>
    <t>ΑΖ866853</t>
  </si>
  <si>
    <t>ΔΗΜΙΖΑ</t>
  </si>
  <si>
    <t>ΑΚ607140</t>
  </si>
  <si>
    <t>ΑΡΙΣΤΟΒΟΥΛΟΣ</t>
  </si>
  <si>
    <t>ΑΚ837156</t>
  </si>
  <si>
    <t>ΑΗ185891</t>
  </si>
  <si>
    <t>ΓΙΑΝΝΟΠΟΥΛΟΣ</t>
  </si>
  <si>
    <t>ΑΕ102965</t>
  </si>
  <si>
    <t>ΜΠΟΥΤΣΑΛΗ</t>
  </si>
  <si>
    <t>ΑΖ235505</t>
  </si>
  <si>
    <t>ΓΛΕΝΗ</t>
  </si>
  <si>
    <t>ΑΕ596601</t>
  </si>
  <si>
    <t>ΑΗ528326</t>
  </si>
  <si>
    <t>ΤΣΟΝΑΚΗ</t>
  </si>
  <si>
    <t>ΧΡΗΣΤΟΣ ΒΥΡΩΝ</t>
  </si>
  <si>
    <t>ΑΑ397386</t>
  </si>
  <si>
    <t>ΛΑΤΑ</t>
  </si>
  <si>
    <t>ΑΙ201247</t>
  </si>
  <si>
    <t>ΣΚΑΜΝΑΚΗ</t>
  </si>
  <si>
    <t>ΕΙΡΗΝΗ ΕΛΕΝΗ</t>
  </si>
  <si>
    <t>ΑΗ553159</t>
  </si>
  <si>
    <t>ΝΙΑΡΟΥ</t>
  </si>
  <si>
    <t>ΑΝ288727</t>
  </si>
  <si>
    <t>ΑΗ284324</t>
  </si>
  <si>
    <t>ΠΑΛΕΤΣΟΥ</t>
  </si>
  <si>
    <t>ΑΕ977189</t>
  </si>
  <si>
    <t>ΦΡΑΝΤΖΕΛΟΠΟΥΛΟΥ</t>
  </si>
  <si>
    <t>ΑΙ072892</t>
  </si>
  <si>
    <t>ΑΖ588529</t>
  </si>
  <si>
    <t>ΚΙΣΙΩΤΗ</t>
  </si>
  <si>
    <t>ΑΜ689394</t>
  </si>
  <si>
    <t>ΑΚ942093</t>
  </si>
  <si>
    <t>ΑΖ697081</t>
  </si>
  <si>
    <t>ΑΟ147727</t>
  </si>
  <si>
    <t>ΑΖ697470</t>
  </si>
  <si>
    <t>ΑΖ055705</t>
  </si>
  <si>
    <t>ΑΜ332460</t>
  </si>
  <si>
    <t>ΠΟΡΤΑΡΙΝΟΥ</t>
  </si>
  <si>
    <t>Α0898989</t>
  </si>
  <si>
    <t>ΣΤΡΑΤΟΝΙΚΗ</t>
  </si>
  <si>
    <t>ΑΒ231250</t>
  </si>
  <si>
    <t>ΒΛΑΧΟΣΩΤΗΡΟΥ</t>
  </si>
  <si>
    <t>ΑΕ026458</t>
  </si>
  <si>
    <t>ΑΕ137530</t>
  </si>
  <si>
    <t>ΑΟ321092</t>
  </si>
  <si>
    <t>ΑΗ192825</t>
  </si>
  <si>
    <t>ΚΟΡΝΙΛΑΚΗ</t>
  </si>
  <si>
    <t>ΑΚ297720</t>
  </si>
  <si>
    <t>Χ167869</t>
  </si>
  <si>
    <t>ΚΟΛΙΟΣ</t>
  </si>
  <si>
    <t>ΑΒ805641</t>
  </si>
  <si>
    <t>ΔΕΝΔΡΗ</t>
  </si>
  <si>
    <t>ΑΚ980469</t>
  </si>
  <si>
    <t>ΑΝ176032</t>
  </si>
  <si>
    <t>ΠΟΠΟΝΤΟΠΟΥΛΟΥ</t>
  </si>
  <si>
    <t>ΑΗ383654</t>
  </si>
  <si>
    <t>ΞΥΣΤΡΟΥ</t>
  </si>
  <si>
    <t>ΑΕ368679</t>
  </si>
  <si>
    <t>ΑΚ929863</t>
  </si>
  <si>
    <t>ΜΟΚΙΑΣ</t>
  </si>
  <si>
    <t>ΑΖ587362</t>
  </si>
  <si>
    <t>ΠΑΠΑΕΥΑΓΓΕΛΟΥ</t>
  </si>
  <si>
    <t>ΕΥΑΓΓΕΛΙΑ ΑΝΝΑ</t>
  </si>
  <si>
    <t>ΑΕ040240</t>
  </si>
  <si>
    <t>ΑΖ766153</t>
  </si>
  <si>
    <t>ΝΟΜΙΚΟΥ</t>
  </si>
  <si>
    <t>ΑΟ860982</t>
  </si>
  <si>
    <t>ΑΙ345690</t>
  </si>
  <si>
    <t xml:space="preserve">ΚΑΤΣΑΡΟΥ </t>
  </si>
  <si>
    <t xml:space="preserve">ΕΜΜΑΝΟΥΕΛΑ </t>
  </si>
  <si>
    <t>ΑΜ046518</t>
  </si>
  <si>
    <t>ΑΚ419235</t>
  </si>
  <si>
    <t>ΜΠΟΥΜΠΑΛΗ</t>
  </si>
  <si>
    <t>ΑΙ208626</t>
  </si>
  <si>
    <t>ΚΩΒΑΙΟΣ</t>
  </si>
  <si>
    <t>Σ621959</t>
  </si>
  <si>
    <t>ΚΥΡΙΑΖΙΔΟΥ</t>
  </si>
  <si>
    <t>ΑΜ916814</t>
  </si>
  <si>
    <t>ΦΙΛΩΤΑΣ</t>
  </si>
  <si>
    <t>ΑΚ900961</t>
  </si>
  <si>
    <t>ΠΟΝΤΙΚΑΚΗΣ</t>
  </si>
  <si>
    <t>ΑΚ903426</t>
  </si>
  <si>
    <t>Σ788932</t>
  </si>
  <si>
    <t>ΛΙΒΑ</t>
  </si>
  <si>
    <t>ΑΗ993901</t>
  </si>
  <si>
    <t>ΤΗΛΕΜΗ</t>
  </si>
  <si>
    <t>ΑΝΑΚΡΕΩΝ</t>
  </si>
  <si>
    <t>ΑΒ423716</t>
  </si>
  <si>
    <t>ΛΟΥΠΕΙΔΟΥ</t>
  </si>
  <si>
    <t>ΑΒ900357</t>
  </si>
  <si>
    <t>ΚΕΤΙΚΟΓΛΟΥ</t>
  </si>
  <si>
    <t>ΠΙΣΤΗ</t>
  </si>
  <si>
    <t>ΑΖ823500</t>
  </si>
  <si>
    <t>Χ404348</t>
  </si>
  <si>
    <t>ΠΕΡΗΦΑΝΟΥ</t>
  </si>
  <si>
    <t>ΑΒ834932</t>
  </si>
  <si>
    <t>ΑΖ273768</t>
  </si>
  <si>
    <t>ΓΙΑΝΤΣΟΥΔΗ</t>
  </si>
  <si>
    <t>ΑΚ862731</t>
  </si>
  <si>
    <t>ΣΟΥΡΛΑΣ</t>
  </si>
  <si>
    <t>ΑΑ428030</t>
  </si>
  <si>
    <t>ΑΒ472086</t>
  </si>
  <si>
    <t>ΑΒ524832</t>
  </si>
  <si>
    <t>ΚΟΜΗΝΟΥ</t>
  </si>
  <si>
    <t>ΑΜ587026</t>
  </si>
  <si>
    <t>ΚΩΝΣΤΑΝΤΑΡΑΚΟΣ</t>
  </si>
  <si>
    <t>ΑΟ598438</t>
  </si>
  <si>
    <t>ΑΖ361854</t>
  </si>
  <si>
    <t>ΑΙ280801</t>
  </si>
  <si>
    <t>ΑΙ815618</t>
  </si>
  <si>
    <t>ΚΟΥΒΑΤΑ</t>
  </si>
  <si>
    <t>ΑΒ103188</t>
  </si>
  <si>
    <t>ΜΑΝΑΤΟΥ</t>
  </si>
  <si>
    <t>ΑΚ024493</t>
  </si>
  <si>
    <t>ΠΑΧΟΥ</t>
  </si>
  <si>
    <t>ΑΚ877760</t>
  </si>
  <si>
    <t>ΤΑΡΙΦΑ</t>
  </si>
  <si>
    <t>ΜΠΟΥΜΠΟΥΛΙΝΑ</t>
  </si>
  <si>
    <t>ΑΚ863995</t>
  </si>
  <si>
    <t>ΑΕ261548</t>
  </si>
  <si>
    <t>ΑΖ732240</t>
  </si>
  <si>
    <t>ΠΟΛΙΤΑΚΗ</t>
  </si>
  <si>
    <t>ΑΕ760743</t>
  </si>
  <si>
    <t>ΤΑΡΣΙΤΣΑ</t>
  </si>
  <si>
    <t>ΑΝ421018</t>
  </si>
  <si>
    <t>ΜΠΕΜΠΛΙΔΑΚΗ</t>
  </si>
  <si>
    <t>ΑΑ054291</t>
  </si>
  <si>
    <t>ΚΛΕΙΔΑΡΙΑ</t>
  </si>
  <si>
    <t>ΑΕ608092</t>
  </si>
  <si>
    <t>ΠΙΤΣΙΛΗΣ</t>
  </si>
  <si>
    <t>ΑΗ230932</t>
  </si>
  <si>
    <t>ΠΑΣΧΑΛΙΔΗΣ</t>
  </si>
  <si>
    <t>ΑΗ560155</t>
  </si>
  <si>
    <t>ΚΥΡΙΟΠΟΥΛΟΣ</t>
  </si>
  <si>
    <t>ΑΒ279360</t>
  </si>
  <si>
    <t>ΡΕΛΛΙΑ</t>
  </si>
  <si>
    <t>ΑΒ308986</t>
  </si>
  <si>
    <t>ΑΒ992283</t>
  </si>
  <si>
    <t>ΑΣΗΜΑΚΟΠΟΥΛΟΣ</t>
  </si>
  <si>
    <t>ΑΙ571325</t>
  </si>
  <si>
    <t>ΑΗ176346</t>
  </si>
  <si>
    <t>ΑΕ085177</t>
  </si>
  <si>
    <t>ΑΜ424327</t>
  </si>
  <si>
    <t>ΟΡΟΙΛΙΔΟΥ</t>
  </si>
  <si>
    <t>ΑΒ120515</t>
  </si>
  <si>
    <t>ΜΑΡΙΓΙΑΝΝΑ</t>
  </si>
  <si>
    <t>ΑΑ375393</t>
  </si>
  <si>
    <t>ΤΣΟΥΣΚΙΔΟΥ</t>
  </si>
  <si>
    <t xml:space="preserve">ΖΑΦΕΙΡΟΥΛΑ </t>
  </si>
  <si>
    <t>ΑΖ365691</t>
  </si>
  <si>
    <t>ΜΑΡΚΕΤΟΥ</t>
  </si>
  <si>
    <t>ΑΒ540009</t>
  </si>
  <si>
    <t>ΑΚ837562</t>
  </si>
  <si>
    <t>ΔΡΟΥΛΟΥ</t>
  </si>
  <si>
    <t>ΑΗ962867</t>
  </si>
  <si>
    <t>ΑΗ603620</t>
  </si>
  <si>
    <t>ΒΑΓΔΑΤΟΓΛΟΥ ΓΕΩΡΓΙΟΥ</t>
  </si>
  <si>
    <t>ΑΙ502632</t>
  </si>
  <si>
    <t>ΜΙΣΧΟΠΟΥΛΟΥ</t>
  </si>
  <si>
    <t>ΑΙ807705</t>
  </si>
  <si>
    <t>ΔΟΥΡΗ</t>
  </si>
  <si>
    <t xml:space="preserve">ΑΔΑΜΑΝΤΙΑ </t>
  </si>
  <si>
    <t>ΑΗ498460</t>
  </si>
  <si>
    <t>ΒΟΥΤΥΡΑΚΟΥ</t>
  </si>
  <si>
    <t>ΑΟ286739</t>
  </si>
  <si>
    <t>ΑΚ932165</t>
  </si>
  <si>
    <t>ΑΒ992986</t>
  </si>
  <si>
    <t>ΓΑΖΕΠΗ</t>
  </si>
  <si>
    <t>ΑΗ761518</t>
  </si>
  <si>
    <t>ΜΠΑΝΤΟΥΝΑ</t>
  </si>
  <si>
    <t>ΓΡΗΓΟΡΙΑ ΙΣΜΗΝΗ</t>
  </si>
  <si>
    <t>ΑΒ758418</t>
  </si>
  <si>
    <t>ΑΗ777289</t>
  </si>
  <si>
    <t>ΒΑΡΟΥΧΟΥ</t>
  </si>
  <si>
    <t>ΑΝ541629</t>
  </si>
  <si>
    <t>ΠΑΠΑΣΤΑΙΚΟΥΔΗ</t>
  </si>
  <si>
    <t>Χ913603</t>
  </si>
  <si>
    <t>ΑΛΙΚΗ ΦΩΤΕΙΝΗ</t>
  </si>
  <si>
    <t>ΧΟΥΡΜΟΥΖΗΣ</t>
  </si>
  <si>
    <t>ΑΙ185513</t>
  </si>
  <si>
    <t>ΚΑΔΙΤΗ</t>
  </si>
  <si>
    <t>ΑΝ721835</t>
  </si>
  <si>
    <t>ΑΙ728554</t>
  </si>
  <si>
    <t>ΤΣΙΓΓΑΝΟΥ</t>
  </si>
  <si>
    <t>ΑΜ883365</t>
  </si>
  <si>
    <t>ΑΕ746912</t>
  </si>
  <si>
    <t>ΓΑΛΑΝΟΠΟΥΛΟΣ</t>
  </si>
  <si>
    <t>ΑΖ914031</t>
  </si>
  <si>
    <t>ΤΣΟΜΑΚΑ</t>
  </si>
  <si>
    <t>ΑΖ984577</t>
  </si>
  <si>
    <t>ΚΩΝΣΤΑΝΤΑ</t>
  </si>
  <si>
    <t>ΑΡ1459527</t>
  </si>
  <si>
    <t>ΓΙΩΤΑ</t>
  </si>
  <si>
    <t>ΑΒ844552</t>
  </si>
  <si>
    <t>ΑΜ120132</t>
  </si>
  <si>
    <t>ΑΜ254874</t>
  </si>
  <si>
    <t>ΚΑΦΕΝΖΑΚΗ</t>
  </si>
  <si>
    <t>ΔΙΚΑΙΑ</t>
  </si>
  <si>
    <t>ΑΟ809091</t>
  </si>
  <si>
    <t>ΑΕ726668</t>
  </si>
  <si>
    <t>ΑΚ297377</t>
  </si>
  <si>
    <t>ΑΙ816247</t>
  </si>
  <si>
    <t>ΜΗΤΣΑ</t>
  </si>
  <si>
    <t>ΑΕ165118</t>
  </si>
  <si>
    <t>ΝΤΖΙΜΑΝΗ</t>
  </si>
  <si>
    <t>ΑΜ325735</t>
  </si>
  <si>
    <t>Σ493094</t>
  </si>
  <si>
    <t>ΑΡ342541</t>
  </si>
  <si>
    <t>ΜΕΓΑΛΟΜΥΣΤΑΚΑ</t>
  </si>
  <si>
    <t>ΣΟΦΙΑ ΝΑΤΑΛΙΑ</t>
  </si>
  <si>
    <t>ΑΝ726506</t>
  </si>
  <si>
    <t>ΠΑΜΠΟΥΚΙΔΟΥ</t>
  </si>
  <si>
    <t>ΑΑ263458</t>
  </si>
  <si>
    <t>ΑΣΑΝΑΚΗ</t>
  </si>
  <si>
    <t>ΑΗ290978</t>
  </si>
  <si>
    <t>ΑΟ844280</t>
  </si>
  <si>
    <t>ΠΕΛΕΚΗ</t>
  </si>
  <si>
    <t>IΩΑΝΝΑ</t>
  </si>
  <si>
    <t>ΑΕ575236</t>
  </si>
  <si>
    <t>ΑΖ734227</t>
  </si>
  <si>
    <t>ΑΖ647586</t>
  </si>
  <si>
    <t>ΒΑΖΙΡΓΙΑΝΤΖΙΚΗ</t>
  </si>
  <si>
    <t>ΑΚ712798</t>
  </si>
  <si>
    <t>ΑΚ323847</t>
  </si>
  <si>
    <t>ΓΚΙΚΟΠΟΥΛΟΥ</t>
  </si>
  <si>
    <t>ΑΟ036059</t>
  </si>
  <si>
    <t>ΤΖΑΛΑΒΑΡΑ</t>
  </si>
  <si>
    <t>ΑΖ762948</t>
  </si>
  <si>
    <t>ΑΚΑΛΕΣΤΟΥ</t>
  </si>
  <si>
    <t>ΛΑΜΠΡΙΝΗ ΘΕΟΔΩΡΑ</t>
  </si>
  <si>
    <t>ΑΒ535103</t>
  </si>
  <si>
    <t>ΜΠΑΛΔΩΚΑ</t>
  </si>
  <si>
    <t>ΑΝ851121</t>
  </si>
  <si>
    <t>ΔΟΥΝΑ</t>
  </si>
  <si>
    <t>ΑΝ474504</t>
  </si>
  <si>
    <t>ΡΟΠΟΚΗ</t>
  </si>
  <si>
    <t>Χ215092</t>
  </si>
  <si>
    <t>ΑΕ031190</t>
  </si>
  <si>
    <t>ΑΚ290892</t>
  </si>
  <si>
    <t>ΒΙΔΑΚΗ</t>
  </si>
  <si>
    <t>ΑΚ006724</t>
  </si>
  <si>
    <t>ΝΤΙΡΟΓΙΑΝΝΗΣ</t>
  </si>
  <si>
    <t>ΑΒ426902</t>
  </si>
  <si>
    <t>ΜΠΟΥΡΙΚΑΣ</t>
  </si>
  <si>
    <t>ΑΝ492158</t>
  </si>
  <si>
    <t>ΚΑΜΠΟΥΡΗΣ</t>
  </si>
  <si>
    <t>ΑΝ582948</t>
  </si>
  <si>
    <t>ΠΕΧΛΕΒΑΝΗ</t>
  </si>
  <si>
    <t>ΠΑΡΑΣΚΕΥΗ ΡΑΦΑΗΛΙΑ</t>
  </si>
  <si>
    <t>ΑΝ750301</t>
  </si>
  <si>
    <t>ΚΑΛΟΓΕΡΟΥ</t>
  </si>
  <si>
    <t>ΒΑΣΙΛΕΙΟΣ ΠΕΡΙΚΛΗΣ</t>
  </si>
  <si>
    <t>ΑΕ777030</t>
  </si>
  <si>
    <t>ΜΟΥΣΤΑΚΑΚΗ</t>
  </si>
  <si>
    <t>ΑΟ013850</t>
  </si>
  <si>
    <t>ΑΑ065150</t>
  </si>
  <si>
    <t>ΣΠΑΘΗ</t>
  </si>
  <si>
    <t>ΑΕ092743</t>
  </si>
  <si>
    <t>ΑΒ247574</t>
  </si>
  <si>
    <t>ΑΒ644353</t>
  </si>
  <si>
    <t>ΣΙΜΟΝΗ</t>
  </si>
  <si>
    <t>ΑΚ147726</t>
  </si>
  <si>
    <t>ΛΟΥΒΗ</t>
  </si>
  <si>
    <t>ΑΚ811999</t>
  </si>
  <si>
    <t>ΑΓΓΕΛΟΥ</t>
  </si>
  <si>
    <t>ΑΕ005816</t>
  </si>
  <si>
    <t>ΑΒ046845</t>
  </si>
  <si>
    <t>ΚΟΥΡΟΓΛΟΥ</t>
  </si>
  <si>
    <t>ΑΒ461543</t>
  </si>
  <si>
    <t>Χ453248</t>
  </si>
  <si>
    <t>ΑΝ912230</t>
  </si>
  <si>
    <t>ΑΡ237558</t>
  </si>
  <si>
    <t>ΦΥΡΓΑΔΙΩΤΗ</t>
  </si>
  <si>
    <t>ΑΚ325128</t>
  </si>
  <si>
    <t>ΑΖ787434</t>
  </si>
  <si>
    <t>ΠΙΝΑΚΟΥΛΑ</t>
  </si>
  <si>
    <t>ΑΗ121498</t>
  </si>
  <si>
    <t>ΤΩΝΙΑ</t>
  </si>
  <si>
    <t>ΑΟ957174</t>
  </si>
  <si>
    <t>ΚΑΤΕΡΙΝΑΚΗ</t>
  </si>
  <si>
    <t>ΑΖ872898</t>
  </si>
  <si>
    <t>ΑΜ523547</t>
  </si>
  <si>
    <t>ΚΟΡΩΝΗ</t>
  </si>
  <si>
    <t>ΑΙ839228</t>
  </si>
  <si>
    <t>ΝΑΣΤΑ</t>
  </si>
  <si>
    <t>ΑΕ566427</t>
  </si>
  <si>
    <t>ΣΚΟΥΡΟΥ</t>
  </si>
  <si>
    <t>ΑΕ846646</t>
  </si>
  <si>
    <t>ΒΑΘΗ</t>
  </si>
  <si>
    <t>ΑΒ580826</t>
  </si>
  <si>
    <t>ΜΑΣΤΡΑΝΤΩΝΑΚΗ</t>
  </si>
  <si>
    <t>ΑΚ337795</t>
  </si>
  <si>
    <t>ΝΤΑΣΙΑΚΛΗ ΓΙΑΝΝΟΥ</t>
  </si>
  <si>
    <t>ΑΗ609008</t>
  </si>
  <si>
    <t>ΑΗ391946</t>
  </si>
  <si>
    <t>ΠΑΣΧΟΥ ΚΟΚΚΙΝΗ</t>
  </si>
  <si>
    <t>ΑΡ210319</t>
  </si>
  <si>
    <t>ΚΛΑΔΟΥ</t>
  </si>
  <si>
    <t>ΤΣΙΜΑΚΟΥ</t>
  </si>
  <si>
    <t>ΜΑΡΚΟΣ ΚΩΝΣΤΑΝΤΙΝΟΣ</t>
  </si>
  <si>
    <t>ΑΕ995497</t>
  </si>
  <si>
    <t>ΑΚ069070</t>
  </si>
  <si>
    <t>ΑΚ063001</t>
  </si>
  <si>
    <t>ΡΟΥΓΓΟΥ</t>
  </si>
  <si>
    <t>ΑΕ469705</t>
  </si>
  <si>
    <t>ΠΑΛΑΤΟΣ</t>
  </si>
  <si>
    <t>ΑΟ666407</t>
  </si>
  <si>
    <t>ΡΕΣΙΤΗ</t>
  </si>
  <si>
    <t>ΑΝ620752</t>
  </si>
  <si>
    <t>ΜΑΡΙΑ ΝΕΦΕΛΗ</t>
  </si>
  <si>
    <t>ΑΝ422157</t>
  </si>
  <si>
    <t>ΑΗ331921</t>
  </si>
  <si>
    <t>ΑΣΜΑΝΟΓΛΟΥ</t>
  </si>
  <si>
    <t>ΑΜ021564</t>
  </si>
  <si>
    <t>ΜΠΑΡΚΑΣ</t>
  </si>
  <si>
    <t>ΑΗ487168</t>
  </si>
  <si>
    <t>ΜΑΡΙΑ ΝΙΚΟΛΕΤΑ</t>
  </si>
  <si>
    <t>ΑΙ382515</t>
  </si>
  <si>
    <t>ΑΕ299802</t>
  </si>
  <si>
    <t>ΑΗ736094</t>
  </si>
  <si>
    <t>ΛΙΟΝΤΟΥ</t>
  </si>
  <si>
    <t>ΑΙ953550</t>
  </si>
  <si>
    <t>ΤΣΙΤΣΑΝΟΥΔΗΣ</t>
  </si>
  <si>
    <t>ΑΗ762813</t>
  </si>
  <si>
    <t>ΨΥΡΡΑ</t>
  </si>
  <si>
    <t>ΑΗ761801</t>
  </si>
  <si>
    <t>ΑΝ715271</t>
  </si>
  <si>
    <t>ΑΗ742714</t>
  </si>
  <si>
    <t>ΙΣΣΑΡΗ</t>
  </si>
  <si>
    <t>ΑΚ153642</t>
  </si>
  <si>
    <t>ΑΙ443324</t>
  </si>
  <si>
    <t>ΜΙΧΑΛΑΚΗΣ</t>
  </si>
  <si>
    <t>Χ523142</t>
  </si>
  <si>
    <t>ΑΕ244295</t>
  </si>
  <si>
    <t>ΣΚΑΛΤΣΩΝΗ</t>
  </si>
  <si>
    <t>Χ486072</t>
  </si>
  <si>
    <t>ΑΗ263204</t>
  </si>
  <si>
    <t>Φ079521</t>
  </si>
  <si>
    <t>ΠΙΣΤΕΥΟΣ</t>
  </si>
  <si>
    <t>ΑΙ764087</t>
  </si>
  <si>
    <t>ΒΗΛΟΥ</t>
  </si>
  <si>
    <t>ΑΟ901955</t>
  </si>
  <si>
    <t>ΦΙΛΙΠΠΟΥΣΗ</t>
  </si>
  <si>
    <t>ΑΔΕΛΑΙΔΑ ΜΑΡΙΑ</t>
  </si>
  <si>
    <t>ΑΗ602186</t>
  </si>
  <si>
    <t>ΑΚ331490</t>
  </si>
  <si>
    <t>ΔΡΟΓΓΙΤΗ</t>
  </si>
  <si>
    <t>ΑΑ089163</t>
  </si>
  <si>
    <t>ΔΑΜΙΑΝΑΚΗΣ</t>
  </si>
  <si>
    <t xml:space="preserve">ΝΙΚΟΛΑΟΣ ΜΑΡΙΟΣ </t>
  </si>
  <si>
    <t>ΑΙ178256</t>
  </si>
  <si>
    <t>ΕΛΕΝΗ ΕΥΣΤΡΑΤΙΑ</t>
  </si>
  <si>
    <t>ΑΙ473592</t>
  </si>
  <si>
    <t>ΘΕΟΔΩΡΟΥΔΗ</t>
  </si>
  <si>
    <t>ΑΝ910886</t>
  </si>
  <si>
    <t>ΝΙΚΟΠΑΝΑΓΙΩΤΗΣ</t>
  </si>
  <si>
    <t>ΑΟ516066</t>
  </si>
  <si>
    <t>ΧΑΛΕΠΛΗ</t>
  </si>
  <si>
    <t>ΑΗ477376</t>
  </si>
  <si>
    <t xml:space="preserve">ΤΣΑΛΑΠΑΤΑΝΗ </t>
  </si>
  <si>
    <t>ΑΖ439790</t>
  </si>
  <si>
    <t>ΜΑΚΡΥΔΑΚΗΣ</t>
  </si>
  <si>
    <t>ΑΒ071925</t>
  </si>
  <si>
    <t>ΜΟΥΧΑΡΕΜΗ</t>
  </si>
  <si>
    <t>ΑΟ286638</t>
  </si>
  <si>
    <t>ΣΟΥΛΤΑΝΗ</t>
  </si>
  <si>
    <t>ΑΖ655460</t>
  </si>
  <si>
    <t>ΑΕ828054</t>
  </si>
  <si>
    <t>ΑΝΤΡΕΑ</t>
  </si>
  <si>
    <t>ΑΚ649138</t>
  </si>
  <si>
    <t>ΑΙ796810</t>
  </si>
  <si>
    <t>ΚΑΛΑΦΑΤΗΣ ΜΑΡΑΓΚΑΚΗΣ</t>
  </si>
  <si>
    <t>ΑΜ605078</t>
  </si>
  <si>
    <t>ΓΚΙΟΥΡΤΖΗ</t>
  </si>
  <si>
    <t>ΝΙΚΟΛΙΝΑ</t>
  </si>
  <si>
    <t>ΑΒ722962</t>
  </si>
  <si>
    <t>ΑΙ890373</t>
  </si>
  <si>
    <t>ΚΛΑΓΚΟΣ</t>
  </si>
  <si>
    <t>ΑΟ075436</t>
  </si>
  <si>
    <t>ΑΥΓΟΥΣΤΑΚΗ</t>
  </si>
  <si>
    <t>ΑΜ608233</t>
  </si>
  <si>
    <t>ΚΑΡΑΒΙΤΗ</t>
  </si>
  <si>
    <t>ΑΕ060342</t>
  </si>
  <si>
    <t>ΤΑΧΜΑΤΖΙΔΟΥ</t>
  </si>
  <si>
    <t>ΑΕ214673</t>
  </si>
  <si>
    <t>ΑΛΙΚΑΤΟΡΑ</t>
  </si>
  <si>
    <t>ΑΒ001231</t>
  </si>
  <si>
    <t>ΒΙΤΖΙΛΑΙΟΥ</t>
  </si>
  <si>
    <t>ΒΑΓΙΑΝΗ</t>
  </si>
  <si>
    <t>ΑΙ561111</t>
  </si>
  <si>
    <t>ΠΟΛΥΔΩΡΟΥ</t>
  </si>
  <si>
    <t>ΑΚ697119</t>
  </si>
  <si>
    <t>ΑΚ523325</t>
  </si>
  <si>
    <t>ΜΟΡΦΩΝΙΟΥ</t>
  </si>
  <si>
    <t>Χ287276</t>
  </si>
  <si>
    <t>ΑΟ169697</t>
  </si>
  <si>
    <t>Τ307303</t>
  </si>
  <si>
    <t>ΠΡΙΣΚΑ</t>
  </si>
  <si>
    <t>ΑΝ287481</t>
  </si>
  <si>
    <t>ΑΙ965545</t>
  </si>
  <si>
    <t>ΜΩΡΑΙΤΗ ΜΠΑΙΡΑΚΤΑΡΗ</t>
  </si>
  <si>
    <t>ΑΙ961332</t>
  </si>
  <si>
    <t>ΣΟΙΛΕΜΕ</t>
  </si>
  <si>
    <t>Χ109591</t>
  </si>
  <si>
    <t>ΧΟΥΒΑΤΗ</t>
  </si>
  <si>
    <t>ΡΑΙΑ</t>
  </si>
  <si>
    <t>ΑΝ481551</t>
  </si>
  <si>
    <t>ΑΙ848968</t>
  </si>
  <si>
    <t>ΑΖ113875</t>
  </si>
  <si>
    <t>ΑΟ571172</t>
  </si>
  <si>
    <t>ΨΑΡΑ</t>
  </si>
  <si>
    <t>ΑΜ466657</t>
  </si>
  <si>
    <t>ΑΚ926379</t>
  </si>
  <si>
    <t>Χ537803</t>
  </si>
  <si>
    <t>ΚΟΚΟΡΙΚΟΥ</t>
  </si>
  <si>
    <t>ΑΕ405127</t>
  </si>
  <si>
    <t>ΣΚΑΡΠΕΛΟΥ</t>
  </si>
  <si>
    <t>ΜΑΡΙΓΟΥΛΑ</t>
  </si>
  <si>
    <t>Χ794981</t>
  </si>
  <si>
    <t>ΜΑΣΑΟΥΤΗ</t>
  </si>
  <si>
    <t>ΑΝ938968</t>
  </si>
  <si>
    <t>ΣΕΛΛΑΣ</t>
  </si>
  <si>
    <t>ΑΖ268370</t>
  </si>
  <si>
    <t>ΧΑΚΑ</t>
  </si>
  <si>
    <t>ΑΙ549273</t>
  </si>
  <si>
    <t>ΜΗΤΣΑΚΟΥ</t>
  </si>
  <si>
    <t>ΑΕ750202</t>
  </si>
  <si>
    <t>ΔΟΚΟΥΣΛΗΣ</t>
  </si>
  <si>
    <t>ΑΙ372725</t>
  </si>
  <si>
    <t>ΑΑ465059</t>
  </si>
  <si>
    <t>ΧΟΥΛΙΑΡΗ</t>
  </si>
  <si>
    <t>ΑΙ813502</t>
  </si>
  <si>
    <t>ΣΤΕΡΓΙΑΔΟΥ</t>
  </si>
  <si>
    <t>ΑΙ323513</t>
  </si>
  <si>
    <t>Τ806014</t>
  </si>
  <si>
    <t>ΣΙΔΕΡΑΣ</t>
  </si>
  <si>
    <t>ΑΟ247178</t>
  </si>
  <si>
    <t>ΠΑΠΑΔΙΩΤΗ</t>
  </si>
  <si>
    <t>Α0875318</t>
  </si>
  <si>
    <t>ΜΠΑΝΙΩΤΗ</t>
  </si>
  <si>
    <t>ΑΖ741357</t>
  </si>
  <si>
    <t>Χ838776</t>
  </si>
  <si>
    <t>ΚΟΥΜΠΑΝΗ</t>
  </si>
  <si>
    <t>ΑΕ340447</t>
  </si>
  <si>
    <t>ΑΖ842765</t>
  </si>
  <si>
    <t>ΑΑ262637</t>
  </si>
  <si>
    <t>ΠΑΠΑΥΓΕΡΗ</t>
  </si>
  <si>
    <t>ΑΒ980259</t>
  </si>
  <si>
    <t>Χ561937</t>
  </si>
  <si>
    <t>Χ624667</t>
  </si>
  <si>
    <t>ΤΣΙΜΗΡΙΚΑΣ</t>
  </si>
  <si>
    <t>ΑΗ883039</t>
  </si>
  <si>
    <t>ΓΑΡΜΠΙΔΑΚΗ</t>
  </si>
  <si>
    <t>ΜΑΝΩΛΙΑ</t>
  </si>
  <si>
    <t>ΑΕ973014</t>
  </si>
  <si>
    <t>ΝΤΙΣΚΟΥ</t>
  </si>
  <si>
    <t xml:space="preserve">ΘΩΜΑΣ </t>
  </si>
  <si>
    <t>ΑΚ945274</t>
  </si>
  <si>
    <t>ΧΑΤΖΗΕΛΕΥΘΕΡΙΟΥ</t>
  </si>
  <si>
    <t>ΑΣΗΜΑΚΟΥ</t>
  </si>
  <si>
    <t>ΑΕ745103</t>
  </si>
  <si>
    <t>ΠΟΙΡΙΑΤΖΙΔΟΥ</t>
  </si>
  <si>
    <t>ΙΩΑΚΕΙΜΙΝΑ</t>
  </si>
  <si>
    <t>ΑΙ192146</t>
  </si>
  <si>
    <t>ΚΟΥΤΣΟΥ</t>
  </si>
  <si>
    <t>Τ207585</t>
  </si>
  <si>
    <t>ΑΒ113431</t>
  </si>
  <si>
    <t>Σ980193</t>
  </si>
  <si>
    <t>ΑΖ433233</t>
  </si>
  <si>
    <t>ΑΒ216322</t>
  </si>
  <si>
    <t>ΑΖ881341</t>
  </si>
  <si>
    <t>ΑΗ775870</t>
  </si>
  <si>
    <t>ΜΙΓΚΟΥΛΗ</t>
  </si>
  <si>
    <t>ΑΑ378395</t>
  </si>
  <si>
    <t>ΑΓΓΕΛΗ ΒΑΓΓΕΛΗ</t>
  </si>
  <si>
    <t>ΑΖ217685</t>
  </si>
  <si>
    <t>ΤΣΙΟΛΚΑ</t>
  </si>
  <si>
    <t>ΑΖ530586</t>
  </si>
  <si>
    <t>ΑΗ161077</t>
  </si>
  <si>
    <t>ΦΟΥΝΔΟΥΛΑΚΗΣ</t>
  </si>
  <si>
    <t>ΑΙ105458</t>
  </si>
  <si>
    <t>ΓΡΥΠΑΡΗ</t>
  </si>
  <si>
    <t>ΑΙ063656</t>
  </si>
  <si>
    <t>ΠΟΡΦΥΡΗΣ</t>
  </si>
  <si>
    <t>Χ225789</t>
  </si>
  <si>
    <t>ΜΠΡΟΙΚΟΥ</t>
  </si>
  <si>
    <t>Τ161043</t>
  </si>
  <si>
    <t>ΚΟΥΤΣΟΣΠΥΡΟΥ</t>
  </si>
  <si>
    <t>ΑΚ691136</t>
  </si>
  <si>
    <t>ΜΑΤΖΙΡΗ</t>
  </si>
  <si>
    <t>ΑΕ842213</t>
  </si>
  <si>
    <t>ΑΖ231031</t>
  </si>
  <si>
    <t>ΧΑΤΖΗΣΥΜΕΩΝ</t>
  </si>
  <si>
    <t>ΑΙ839299</t>
  </si>
  <si>
    <t>ΑΑ259158</t>
  </si>
  <si>
    <t>ΜΠΑΓΑΤΕΛΑ</t>
  </si>
  <si>
    <t>ΑΒ046807</t>
  </si>
  <si>
    <t>ΑΕ517195</t>
  </si>
  <si>
    <t>ΜΑΝΤΗΣ</t>
  </si>
  <si>
    <t>ΑΗ720328</t>
  </si>
  <si>
    <t>ΓΙΟΣΜΑ</t>
  </si>
  <si>
    <t>ΑΙ991767</t>
  </si>
  <si>
    <t>ΠΑΠΑΣΤΕΦΑΝΟΥ</t>
  </si>
  <si>
    <t>ΥΒΟΝΝΗ</t>
  </si>
  <si>
    <t>ΑΖ593251</t>
  </si>
  <si>
    <t>ΑΚ939360</t>
  </si>
  <si>
    <t>ΚΟΡΕΤΣΙΔΟΥ</t>
  </si>
  <si>
    <t>ΑΙ908422</t>
  </si>
  <si>
    <t>ΧΟΥΤΟΥ</t>
  </si>
  <si>
    <t>ΑΒ112261</t>
  </si>
  <si>
    <t>ΆΡΤΕΜΙΣ</t>
  </si>
  <si>
    <t>Χ890173</t>
  </si>
  <si>
    <t>ΑΝΑΓΝΩΣΤΕΛΟΥ</t>
  </si>
  <si>
    <t>ΘΕΟΔΩΡΑ ΗΡΑ</t>
  </si>
  <si>
    <t>ΑΝ139706</t>
  </si>
  <si>
    <t>ΜΠΙΖΙΑΓΚΟΥ</t>
  </si>
  <si>
    <t>ΔΑΝΑΗ ΒΑΣΙΛΙΚΗ</t>
  </si>
  <si>
    <t>ΑΝ465767</t>
  </si>
  <si>
    <t>ΣΥΡΟΠΟΥΛΟΣ</t>
  </si>
  <si>
    <t>ΑΝ183421</t>
  </si>
  <si>
    <t>Χ140941</t>
  </si>
  <si>
    <t>ΑΚ978113</t>
  </si>
  <si>
    <t>ΠΡΟΥΜΑ</t>
  </si>
  <si>
    <t>ΑΑ280234</t>
  </si>
  <si>
    <t>ΜΑΡΚΕΖΗ</t>
  </si>
  <si>
    <t>ΑΗ484274</t>
  </si>
  <si>
    <t>Σ451293</t>
  </si>
  <si>
    <t>ΑΖ229861</t>
  </si>
  <si>
    <t>ΑΗ799698</t>
  </si>
  <si>
    <t>ΕΥΣΤΑΘΙΑ ΠΑΡΑΣΚΕΥΗ</t>
  </si>
  <si>
    <t>Σ259675</t>
  </si>
  <si>
    <t>ΑΗ599169</t>
  </si>
  <si>
    <t>ΑΖ486387</t>
  </si>
  <si>
    <t>Φ333214</t>
  </si>
  <si>
    <t>ΑΜ879368</t>
  </si>
  <si>
    <t>ΑΕ222859</t>
  </si>
  <si>
    <t>ΑΙ747920</t>
  </si>
  <si>
    <t>ΓΩΓΟΥΛΟΥ</t>
  </si>
  <si>
    <t>ΑΚ496079</t>
  </si>
  <si>
    <t>ΚΑΚΑΖΑΝΗ</t>
  </si>
  <si>
    <t>ΑΜ282988</t>
  </si>
  <si>
    <t>ΠΑΠΑΤΣΑΚΩΝΑΣ</t>
  </si>
  <si>
    <t>Φ067641</t>
  </si>
  <si>
    <t>ΜΑΜΑΛΟΥΔΗ</t>
  </si>
  <si>
    <t>ΑΒ034349</t>
  </si>
  <si>
    <t>ΑΖ705070</t>
  </si>
  <si>
    <t>ΔΟΛΛΑ</t>
  </si>
  <si>
    <t>ΑΖ799573</t>
  </si>
  <si>
    <t>ΜΟΤΣΙΟΠΟΥΛΟΥ</t>
  </si>
  <si>
    <t>ΑΟ956573</t>
  </si>
  <si>
    <t>ΓΕΡΟΥ</t>
  </si>
  <si>
    <t>Χ814834</t>
  </si>
  <si>
    <t>ΜΕΛΝΙΚΟΒΑ ΤΣΙΦΛΙΚΙΩΤΗ</t>
  </si>
  <si>
    <t>Χ951410</t>
  </si>
  <si>
    <t>ΑΚ388755</t>
  </si>
  <si>
    <t>ΒΡΟΝΤΑΚΗΣ</t>
  </si>
  <si>
    <t>AΝΔΡΕΑΣ</t>
  </si>
  <si>
    <t>Χ532899</t>
  </si>
  <si>
    <t>ΚΩΤΙΤΣΑ</t>
  </si>
  <si>
    <t>ΑΙ329164</t>
  </si>
  <si>
    <t>ΤΖΑΓΚΑΡΑΚΗ</t>
  </si>
  <si>
    <t>ΜΑΡΙΑ ΔΕΣΠΟΙΝΑ</t>
  </si>
  <si>
    <t>ΑΚ834032</t>
  </si>
  <si>
    <t>ΑΕ474487</t>
  </si>
  <si>
    <t>ΓΙΑΠΡΑΚΗ</t>
  </si>
  <si>
    <t>ΑΗ806206</t>
  </si>
  <si>
    <t>ΚΑΡΑΜΠΑΣΗ</t>
  </si>
  <si>
    <t>ΑΒ609502</t>
  </si>
  <si>
    <t>ΚΟΥΦΟΠΟΥΛΟΥ</t>
  </si>
  <si>
    <t>ΑΙ561581</t>
  </si>
  <si>
    <t>ΣΑΛΛΙΑΡΗ</t>
  </si>
  <si>
    <t>ΑΚ394060</t>
  </si>
  <si>
    <t>ΛΟΚΑΝΤΙΔΟΥ ΑΡΓΥΡΑΚΗ</t>
  </si>
  <si>
    <t>ΑΕ650315</t>
  </si>
  <si>
    <t>ΣΚΟΡΔΙΑΛΟΥ</t>
  </si>
  <si>
    <t>ΑΚ683890</t>
  </si>
  <si>
    <t>ΠΟΠΟΒΑ</t>
  </si>
  <si>
    <t>ΓΚΕΡΓΚΑΝΑ</t>
  </si>
  <si>
    <t>ΑΙ401827</t>
  </si>
  <si>
    <t>ΑΔΑΜΤΖΙΛΟΓΛΟΥ</t>
  </si>
  <si>
    <t>ΜΑΧΗ</t>
  </si>
  <si>
    <t>XΑΡΑΛΑΜΠΟΣ</t>
  </si>
  <si>
    <t>ΑΚ880214</t>
  </si>
  <si>
    <t>ΤΟΛΙΑ</t>
  </si>
  <si>
    <t>ΑΜ502954</t>
  </si>
  <si>
    <t>Χ455394</t>
  </si>
  <si>
    <t>ΚΑΡΑΓΓΕΛΗ</t>
  </si>
  <si>
    <t>ΚΩΝΣΤΑΝΤΙΑ ΜΑΡΙΑ</t>
  </si>
  <si>
    <t>ΑΚ933285</t>
  </si>
  <si>
    <t>ΑΜ841964</t>
  </si>
  <si>
    <t>ΑΣΛΑΝΗ</t>
  </si>
  <si>
    <t>ΕΡΩΤΟΚΡΙΤΟΣ</t>
  </si>
  <si>
    <t>ΑΚ635027</t>
  </si>
  <si>
    <t>ΑΙΚΑΤΕΡΙΝΗ ΚΩΝΣΤΑΝΤΙΝΑ</t>
  </si>
  <si>
    <t>ΑΚ943413</t>
  </si>
  <si>
    <t>ΜΑΝΟΥΣΑΡΙΔΟΥ</t>
  </si>
  <si>
    <t>ΑΚ934894</t>
  </si>
  <si>
    <t>ΜΗΤΣΙΑΝΗ</t>
  </si>
  <si>
    <t>ΑΗ325565</t>
  </si>
  <si>
    <t>ΠΑΠΑΖΩΤΟΥ</t>
  </si>
  <si>
    <t>ΠΑΝΔΩΡΑ</t>
  </si>
  <si>
    <t>ΖΗΚΟΣ</t>
  </si>
  <si>
    <t>ΑΖ238965</t>
  </si>
  <si>
    <t>ΙΩΑΝΝΑ ΖΩΗ</t>
  </si>
  <si>
    <t>ΑΜ128484</t>
  </si>
  <si>
    <t>ΜΟΥΡΤΟΥ</t>
  </si>
  <si>
    <t>ΑΚ022725</t>
  </si>
  <si>
    <t>ΑΕ025418</t>
  </si>
  <si>
    <t>ΑΝΑΤΟΛΙΤΗ</t>
  </si>
  <si>
    <t>ΑΕ463833</t>
  </si>
  <si>
    <t>ΜΑΝΟΥΣΑΚΗΣ</t>
  </si>
  <si>
    <t>ΑΑ041541</t>
  </si>
  <si>
    <t>ΝΙΚΟΛΙΔΑΚΗ</t>
  </si>
  <si>
    <t>ΑΖ557010</t>
  </si>
  <si>
    <t>ΦΩΚΟΣ</t>
  </si>
  <si>
    <t>ΑΙ941212</t>
  </si>
  <si>
    <t>ΜΠΙΡΜΠΑ</t>
  </si>
  <si>
    <t>ΑΒ561357</t>
  </si>
  <si>
    <t>ΧΑΙΤΑΣ</t>
  </si>
  <si>
    <t>ΑΖ293040</t>
  </si>
  <si>
    <t>ΕΛΕΥΘΕΡΑΚΟΥ</t>
  </si>
  <si>
    <t xml:space="preserve">ΒΑΣΙΛΙΚΗ ΕΙΡΗΝΗ </t>
  </si>
  <si>
    <t>ΑΖ340191</t>
  </si>
  <si>
    <t>ΓΚΖΙΜΠΕΚ</t>
  </si>
  <si>
    <t>ΚΑΤΑΡΖΙΝΑ ΕΛΕΝΑ</t>
  </si>
  <si>
    <t>ΜΑΡΕΚ</t>
  </si>
  <si>
    <t>ΑΝ147130</t>
  </si>
  <si>
    <t>ΑΚ320775</t>
  </si>
  <si>
    <t>ΠΟΖΟΥΚΙΔΟΥ</t>
  </si>
  <si>
    <t>ΑΝ352934</t>
  </si>
  <si>
    <t>ΑΝΩΓΕΙΑΝΑΚΗ</t>
  </si>
  <si>
    <t>ΚΙΡΜΠΑ</t>
  </si>
  <si>
    <t>ΑΖ066884</t>
  </si>
  <si>
    <t>ΛΙΑΡΙΓΚΟΒΙΝΟΥ</t>
  </si>
  <si>
    <t>ΑΖ334941</t>
  </si>
  <si>
    <t>ΤΣΑΓΚΑΡΗΣ</t>
  </si>
  <si>
    <t>ΑΕ743119</t>
  </si>
  <si>
    <t>ΠΑΠΙΣΤΑ</t>
  </si>
  <si>
    <t>ΑΗ651591</t>
  </si>
  <si>
    <t>ΤΟΡΚΟΥ</t>
  </si>
  <si>
    <t>ΑΙ337567</t>
  </si>
  <si>
    <t>ΑΕ247084</t>
  </si>
  <si>
    <t>ΜΠΟΥΓΟΝΙΚΟΛΟΥ</t>
  </si>
  <si>
    <t>ΑΝ070736</t>
  </si>
  <si>
    <t>ΚΑΦΤΑΚΗ</t>
  </si>
  <si>
    <t>ΑΝ177230</t>
  </si>
  <si>
    <t>ΣΙΟΣΙΟΥ</t>
  </si>
  <si>
    <t>ΑΜ114195</t>
  </si>
  <si>
    <t>ΑΙ563489</t>
  </si>
  <si>
    <t>ΑΚ606044</t>
  </si>
  <si>
    <t>ΑΠΙΔΟΠΟΥΛΟΣ</t>
  </si>
  <si>
    <t>ΑΝ831222</t>
  </si>
  <si>
    <t>ΑΝ198678</t>
  </si>
  <si>
    <t>ΠΥΡΑΛΕΜΙΔΟΥ</t>
  </si>
  <si>
    <t>ΑΒ732532</t>
  </si>
  <si>
    <t>ΚΟΥΤΣΟΥΡΙΔΗ</t>
  </si>
  <si>
    <t>ΑΗ434364</t>
  </si>
  <si>
    <t>ΜΥΡΤΩ ΜΑΡΙΑ</t>
  </si>
  <si>
    <t>ΑΙ079519</t>
  </si>
  <si>
    <t>ΝΟΜΠΙΛΑΚΗΣ</t>
  </si>
  <si>
    <t>ΗΛΙΑΣ ΧΡΥΣΟΣΤΟΜΟΣ</t>
  </si>
  <si>
    <t>ΑΗ523216</t>
  </si>
  <si>
    <t>ΣΟΥΚΟΥΡΟΓΛΟΥ</t>
  </si>
  <si>
    <t>ΑΕ570113</t>
  </si>
  <si>
    <t>ΑΗ700161</t>
  </si>
  <si>
    <t>ΔΑΜΠΑ</t>
  </si>
  <si>
    <t>ΑΜ285702</t>
  </si>
  <si>
    <t>ΑΡ212045</t>
  </si>
  <si>
    <t>ΖΥΓΑ</t>
  </si>
  <si>
    <t>ΓΕΩΡΓΙΑ ΖΩΗ</t>
  </si>
  <si>
    <t>ΑΚ149946</t>
  </si>
  <si>
    <t>ΤΣΟΜΑΚΟΥ</t>
  </si>
  <si>
    <t>ΑΗ003297</t>
  </si>
  <si>
    <t>ΡΟΥΝΤΟΥ</t>
  </si>
  <si>
    <t>ΑΖ981247</t>
  </si>
  <si>
    <t>ΑΖ300705</t>
  </si>
  <si>
    <t>ΤΕΠΕΡΙΚΙΔΟΥ</t>
  </si>
  <si>
    <t>ΑΑ795825</t>
  </si>
  <si>
    <t xml:space="preserve">ΑΛΒΑΝΟΥ </t>
  </si>
  <si>
    <t>ΑΒ394980</t>
  </si>
  <si>
    <t>ΤΖΟΥΤΖΑ</t>
  </si>
  <si>
    <t>Χ889997</t>
  </si>
  <si>
    <t>ΤΡΑΓΑΡΑΚΗ</t>
  </si>
  <si>
    <t>ΑΗ687311</t>
  </si>
  <si>
    <t>ΜΠΟΤΟΠΟΥΛΟΥ</t>
  </si>
  <si>
    <t>Α0860342</t>
  </si>
  <si>
    <t>ΑΜ053356</t>
  </si>
  <si>
    <t>Χ910103</t>
  </si>
  <si>
    <t>ΒΙΡΓΙΝΙΑ ΕΙΡΗΝΗ</t>
  </si>
  <si>
    <t>ΑΜ612600</t>
  </si>
  <si>
    <t>ΒΕΝΤΟΥΡΗ</t>
  </si>
  <si>
    <t>ΕΥΑΓΓΕΛΙΑ ΑΓΓΕΛΙΚΗ</t>
  </si>
  <si>
    <t>ΑΖ638700</t>
  </si>
  <si>
    <t>ΠΑΚΙΑ</t>
  </si>
  <si>
    <t>ΑΒ044555</t>
  </si>
  <si>
    <t>ΑΚ134703</t>
  </si>
  <si>
    <t>ΑΜ877991</t>
  </si>
  <si>
    <t>ΣΠΟΥΡΓΙΤΗ</t>
  </si>
  <si>
    <t>Χ245669</t>
  </si>
  <si>
    <t>ΛΥΡΙΤΖΗ ΑΝΤΩΝΙΑΔΗ</t>
  </si>
  <si>
    <t>ΑΝ590305</t>
  </si>
  <si>
    <t>ΖΩΓΡΑΦΙΑ</t>
  </si>
  <si>
    <t>ΑΗ306550</t>
  </si>
  <si>
    <t>ΠΕΤΟΥΣΗ</t>
  </si>
  <si>
    <t>Φ082486</t>
  </si>
  <si>
    <t>ΑΕ310741</t>
  </si>
  <si>
    <t>ΚΑΓΙΟΥΛΗ</t>
  </si>
  <si>
    <t>ΑΒ782242</t>
  </si>
  <si>
    <t>ΔΕΜΙΡΗΣ</t>
  </si>
  <si>
    <t>ΑΑ485568</t>
  </si>
  <si>
    <t>ΑΝ395998</t>
  </si>
  <si>
    <t>ΑΗ777062</t>
  </si>
  <si>
    <t>ΠΑΠΑΕΜΜΑΝΟΥΗΛ</t>
  </si>
  <si>
    <t>ΑΜ652687</t>
  </si>
  <si>
    <t>ΙΟΥΛΙΑ ΜΑΡΙΑ</t>
  </si>
  <si>
    <t>Χ626598</t>
  </si>
  <si>
    <t>SZABO</t>
  </si>
  <si>
    <t>ANDREA TIMEA</t>
  </si>
  <si>
    <t>ZOLTAN</t>
  </si>
  <si>
    <t>ΑΒ776138</t>
  </si>
  <si>
    <t>ΤΣΕΡΠΕΛΗ</t>
  </si>
  <si>
    <t>ΑΜ536911</t>
  </si>
  <si>
    <t>ΚΟΥΤΣΟΥΔΗ</t>
  </si>
  <si>
    <t>ΑΟ399336</t>
  </si>
  <si>
    <t>ΣΟΦΙΑΝΟΠΟΥΛΟΥ</t>
  </si>
  <si>
    <t>ΑΕ502223</t>
  </si>
  <si>
    <t>ΑΝ392416</t>
  </si>
  <si>
    <t>ΑΖ062135</t>
  </si>
  <si>
    <t>ΓΚΟΥΛΕΜΑΝΗ</t>
  </si>
  <si>
    <t>ΝΙΚΟΛΕΤΤΑ ΜΑΡΙΝΑ</t>
  </si>
  <si>
    <t>ΑΝ570560</t>
  </si>
  <si>
    <t>ΝΑΒΡΟΖΙΔΟΥ</t>
  </si>
  <si>
    <t>Χ736115</t>
  </si>
  <si>
    <t>ΜΠΟΓΙΑΤΖΗ</t>
  </si>
  <si>
    <t>ΑΗ854672</t>
  </si>
  <si>
    <t>ΜΙΜΜΗ</t>
  </si>
  <si>
    <t>ΑΗ220111</t>
  </si>
  <si>
    <t>ΚΑΖΑΚΟΥ</t>
  </si>
  <si>
    <t>ΑΕ016334</t>
  </si>
  <si>
    <t>ΓΙΑΖΙΤΖΟΓΛΟΥ</t>
  </si>
  <si>
    <t>ΑΝΤΙΓΟΝΗ ΕΛΕΝΗ</t>
  </si>
  <si>
    <t>ΑΕ565083</t>
  </si>
  <si>
    <t>ΑΒ295777</t>
  </si>
  <si>
    <t>ΧΑΤΖΑΝΤΩΝΑΚΗ</t>
  </si>
  <si>
    <t>ΑΝ136120</t>
  </si>
  <si>
    <t>ΕΣΚΙΤΖΗ</t>
  </si>
  <si>
    <t>ΘΕΡΑΠΩΝ</t>
  </si>
  <si>
    <t>ΑΜ051676</t>
  </si>
  <si>
    <t>ΘΕΟΦΥΛΑΚΤΙΔΟΥ</t>
  </si>
  <si>
    <t>ΑΑ384426</t>
  </si>
  <si>
    <t>ΔΑΙΚΟΥ</t>
  </si>
  <si>
    <t>ΧΡΗΣΤΟΣ ΒΑΣΙΛΕΙΟΣ</t>
  </si>
  <si>
    <t>ΑΙ362042</t>
  </si>
  <si>
    <t>ΤΟΥΡΒΑΤΣΙΟΥ</t>
  </si>
  <si>
    <t>ΣΤΕΛΑ</t>
  </si>
  <si>
    <t>Χ911154</t>
  </si>
  <si>
    <t>ΑΗ298145</t>
  </si>
  <si>
    <t>ΚΑΦΙΡΑ</t>
  </si>
  <si>
    <t>Ρ526909</t>
  </si>
  <si>
    <t>ΚΑΜΑΡΙΩΤΗ</t>
  </si>
  <si>
    <t>ΑΖ369843</t>
  </si>
  <si>
    <t>ΑΓΓΕΛΙΚΗ ΑΡΓΥΡΟΥΛΑ</t>
  </si>
  <si>
    <t>ΑΕ255301</t>
  </si>
  <si>
    <t>ΜΑΚΟΓΛΟΥ</t>
  </si>
  <si>
    <t>ΑΕ173837</t>
  </si>
  <si>
    <t>ΒΑΝΕΛΛΑ</t>
  </si>
  <si>
    <t>ΤΖΕΣΟΥΑΛΝΤΟ</t>
  </si>
  <si>
    <t>ΑΙ300877</t>
  </si>
  <si>
    <t>ΑΜ251523</t>
  </si>
  <si>
    <t>ΜΠΑΜΠΙΛΑ</t>
  </si>
  <si>
    <t>ΑΗ788275</t>
  </si>
  <si>
    <t>ΛΙΤΣΟΥ</t>
  </si>
  <si>
    <t>Χ309709</t>
  </si>
  <si>
    <t>ΧΟΝΔΡΟΜΠΥΛΑ</t>
  </si>
  <si>
    <t>ΑΙ110130</t>
  </si>
  <si>
    <t>ΤΣΙΛΙΜΠΑΡΗ ΜΟΥΖΑΚΙΤΗ</t>
  </si>
  <si>
    <t>ΑΙ026990</t>
  </si>
  <si>
    <t>ΠΑΤΣΙΛΗ</t>
  </si>
  <si>
    <t>ΑΟ034893</t>
  </si>
  <si>
    <t>ΜΑΥΡΟΚΩΣΤΑ</t>
  </si>
  <si>
    <t>ΑΟ432524</t>
  </si>
  <si>
    <t>ΚΑΤΣΑΜΑΣ ΤΑΦΛΑΜΠΑΣ</t>
  </si>
  <si>
    <t>ΑΒ827750</t>
  </si>
  <si>
    <t>ΑΒ659856</t>
  </si>
  <si>
    <t>ΜΥΣΤΙΔΗΣ</t>
  </si>
  <si>
    <t>Χ610065</t>
  </si>
  <si>
    <t>ΤΣΟΠΟΖΙΔΟΥ</t>
  </si>
  <si>
    <t>ΑΜΠΕΣΑΛΟΝ</t>
  </si>
  <si>
    <t>ΑΜ884674</t>
  </si>
  <si>
    <t>ΚΑΛΑΜΑΡΑΣ</t>
  </si>
  <si>
    <t>ΑΖ584893</t>
  </si>
  <si>
    <t>ΚΑΝΕΛΛΑΚΗΣ</t>
  </si>
  <si>
    <t>ΑΝΑΣΤΑΣΙΟΣ ΜΑΡΙΝΟΣ</t>
  </si>
  <si>
    <t>ΑΕ920391</t>
  </si>
  <si>
    <t>ΑΝ182391</t>
  </si>
  <si>
    <t>ΑΗ816381</t>
  </si>
  <si>
    <t>ΜΕΛΑΝΗ</t>
  </si>
  <si>
    <t>ΑΗ547235</t>
  </si>
  <si>
    <t>ΠΑΝΥΤΣΙΔΟΥ</t>
  </si>
  <si>
    <t>ΑΝ223345</t>
  </si>
  <si>
    <t>Χ009054</t>
  </si>
  <si>
    <t>ΜΠΟΥΡΟΥΤΖΑΚΗ</t>
  </si>
  <si>
    <t>ΑΗ359234</t>
  </si>
  <si>
    <t>ΕΜΜΑΝΟΥΕΛΑ ΕΥΑΓΓΕΛΙΑ</t>
  </si>
  <si>
    <t>ΑΚ901493</t>
  </si>
  <si>
    <t>ΜΑΝΤΖΩΡΟΥ</t>
  </si>
  <si>
    <t>ΑΕ155569</t>
  </si>
  <si>
    <t>ΑΗ272107</t>
  </si>
  <si>
    <t>ΚΑΤΩΠΟΔΗ</t>
  </si>
  <si>
    <t>Χ922077</t>
  </si>
  <si>
    <t>ΑΝ044211</t>
  </si>
  <si>
    <t>ΔΕΡΜΕΝΤΖΟΓΛΟΥ</t>
  </si>
  <si>
    <t>ΑΕ388591</t>
  </si>
  <si>
    <t>ΠΑΝΑΓΑΚΟΣ</t>
  </si>
  <si>
    <t>ΑΝ038145</t>
  </si>
  <si>
    <t>ΣΙΑΜΕΤΗ</t>
  </si>
  <si>
    <t>ΑΕ803620</t>
  </si>
  <si>
    <t>ΖΟΥΠΑΣ</t>
  </si>
  <si>
    <t>ΑΝ230803</t>
  </si>
  <si>
    <t>ΜΟΥΤΟΓΕΩΡΓΟΥ</t>
  </si>
  <si>
    <t>Σ955929</t>
  </si>
  <si>
    <t>ΧΑΡΛΑΥΤΗ</t>
  </si>
  <si>
    <t>ΑΖ564408</t>
  </si>
  <si>
    <t>ΛΟΜΒΑΡΔΕΑΣ</t>
  </si>
  <si>
    <t>ΑΖ615359</t>
  </si>
  <si>
    <t>ΙΩΣΗΦΙΔΗ</t>
  </si>
  <si>
    <t>ΑΕ936123</t>
  </si>
  <si>
    <t>ΓΡΑΒΑΝΗ</t>
  </si>
  <si>
    <t>Α0536277</t>
  </si>
  <si>
    <t>ΣΠΑΝΟΥΛΗΣ</t>
  </si>
  <si>
    <t>ΑΚ432847</t>
  </si>
  <si>
    <t>ΡΟΥΣΣΙΝΟΥ</t>
  </si>
  <si>
    <t>ΣΤΥΛΙΑΝΗ ΣΤΕΛΑ ΑΡΗΤΗ</t>
  </si>
  <si>
    <t>ΑΜ625609</t>
  </si>
  <si>
    <t>ΜΑΜΑΣ</t>
  </si>
  <si>
    <t>ΑΟ169900</t>
  </si>
  <si>
    <t>ΑΚ673254</t>
  </si>
  <si>
    <t>ΚΛΕΣΙΟΡΑ</t>
  </si>
  <si>
    <t>Ρ299313</t>
  </si>
  <si>
    <t>ΑΜ898130</t>
  </si>
  <si>
    <t>ΑΖ845968</t>
  </si>
  <si>
    <t>ΜΠΑΙΡΑΜΗ</t>
  </si>
  <si>
    <t>ΑΚ268395</t>
  </si>
  <si>
    <t>ΙΒΑΝΙΔΗΣ</t>
  </si>
  <si>
    <t>ΑΝ784691</t>
  </si>
  <si>
    <t>ΣΒΑΡΝΑ</t>
  </si>
  <si>
    <t>ΔΑΡΕΙΑ</t>
  </si>
  <si>
    <t>Χ221331</t>
  </si>
  <si>
    <t>ΣΠΑΛΑ</t>
  </si>
  <si>
    <t>ΑΖ230940</t>
  </si>
  <si>
    <t>ΡΑΦΑΝΟΠΟΥΛΟΥ</t>
  </si>
  <si>
    <t>ΘΕΜΙΣ</t>
  </si>
  <si>
    <t>ΑΙ589125</t>
  </si>
  <si>
    <t>ΔΑΛΛΑ</t>
  </si>
  <si>
    <t>ΑΟ117374</t>
  </si>
  <si>
    <t>ΧΡΙΣΤΟΦΙΔΟΥ</t>
  </si>
  <si>
    <t>ΑΑ443853</t>
  </si>
  <si>
    <t>Χ457390</t>
  </si>
  <si>
    <t>ΑΟ379948</t>
  </si>
  <si>
    <t>ΚΑΤΕΡΙΝΟΠΟΥΛΟΥ</t>
  </si>
  <si>
    <t>ΑΙ227735</t>
  </si>
  <si>
    <t>ΑΒ480426</t>
  </si>
  <si>
    <t>ΔΕΜΙΡΤΖΟΓΛΟΥ</t>
  </si>
  <si>
    <t>ΑΟ337185</t>
  </si>
  <si>
    <t>ΣΑΓΓΑ</t>
  </si>
  <si>
    <t>ΑΕ130295</t>
  </si>
  <si>
    <t>ΑΗ333308</t>
  </si>
  <si>
    <t>ΚΑΡΑΛΑΓΑ</t>
  </si>
  <si>
    <t>ΑΟ132848</t>
  </si>
  <si>
    <t>ΡΕΓΑ</t>
  </si>
  <si>
    <t>ΑΙ487989</t>
  </si>
  <si>
    <t>ΣΩΖΟΠΟΥΛΟΣ</t>
  </si>
  <si>
    <t>ΛΙΟΚΑΥΤΟΥ</t>
  </si>
  <si>
    <t>ΑΑ303788</t>
  </si>
  <si>
    <t>ΜΠΟΥΜΗ</t>
  </si>
  <si>
    <t>ΑΟ572605</t>
  </si>
  <si>
    <t>ΑΗ765465</t>
  </si>
  <si>
    <t>ΧΑΨΑΛΗ</t>
  </si>
  <si>
    <t>ΑΖ924073</t>
  </si>
  <si>
    <t>ΑΗ592710</t>
  </si>
  <si>
    <t>ΜΕΓΑΓΙΑΝΝΗ</t>
  </si>
  <si>
    <t>ΑΚ716633</t>
  </si>
  <si>
    <t>ΑΚ965338</t>
  </si>
  <si>
    <t>ΣΤΕΦΑΤΟΥ</t>
  </si>
  <si>
    <t>Ρ507633</t>
  </si>
  <si>
    <t>ΑΗ114200</t>
  </si>
  <si>
    <t>ΚΑΖΑ</t>
  </si>
  <si>
    <t>ΑΝ280421</t>
  </si>
  <si>
    <t>ΚΟΥΦΙΔΟΥ</t>
  </si>
  <si>
    <t>ΑΕ856459</t>
  </si>
  <si>
    <t>ΜΠΟΥΡΝΑ</t>
  </si>
  <si>
    <t xml:space="preserve">ΕΥΣΤΑΘΙΑ </t>
  </si>
  <si>
    <t>ΑΒ778186</t>
  </si>
  <si>
    <t>ΑΗ484008</t>
  </si>
  <si>
    <t>ΠΑΣΠΑΛΗ</t>
  </si>
  <si>
    <t>ΑΗ173801</t>
  </si>
  <si>
    <t>ΤΣΙΡΙΚΟΥ</t>
  </si>
  <si>
    <t>ΑΗ775635</t>
  </si>
  <si>
    <t>ΤΡΙΚΚΑ</t>
  </si>
  <si>
    <t>ΑΙ648661</t>
  </si>
  <si>
    <t>ΣΑΛΗΜ</t>
  </si>
  <si>
    <t>ΙΜΑΝ</t>
  </si>
  <si>
    <t>ΑΜΠΝΤΕΛ ΚΑΝΤΕΡ</t>
  </si>
  <si>
    <t>ΑΟ894237</t>
  </si>
  <si>
    <t>ΚΑΡΝΟΥΣΚΟΥ</t>
  </si>
  <si>
    <t>ΠΑΝΑΓΙΏΤΑ</t>
  </si>
  <si>
    <t>ΑΒ277849</t>
  </si>
  <si>
    <t>ΣΟΥΒΑΤΖΗ</t>
  </si>
  <si>
    <t>ΑΖ689903</t>
  </si>
  <si>
    <t>ΑΒ320287</t>
  </si>
  <si>
    <t>ΠΟΤΟΥΡΙΔΟΥ</t>
  </si>
  <si>
    <t>ΑΝ219943</t>
  </si>
  <si>
    <t>ΓΑΙΤΑΝΙΔΟΥ</t>
  </si>
  <si>
    <t>ΑΕ644265</t>
  </si>
  <si>
    <t>ΑΚ338400</t>
  </si>
  <si>
    <t>ΑΡ465198</t>
  </si>
  <si>
    <t>ΝΤΕΜΟΥ</t>
  </si>
  <si>
    <t>ΑΙ122534</t>
  </si>
  <si>
    <t>ΛΥΣΙΚΑΤΟΥ</t>
  </si>
  <si>
    <t>ΑΕ671341</t>
  </si>
  <si>
    <t>ΑΜ474276</t>
  </si>
  <si>
    <t>ΒΑΚΛΑΤΖΗ</t>
  </si>
  <si>
    <t>ΑΡΕΤΗ ΜΑΡΙΑ</t>
  </si>
  <si>
    <t>ΑΙ403946</t>
  </si>
  <si>
    <t>ΑΗ122634</t>
  </si>
  <si>
    <t>ΜΑΡΘΑ ΑΡΤΕΜΙΣ</t>
  </si>
  <si>
    <t>ΑΚ797539</t>
  </si>
  <si>
    <t>ΜΑΚΚΑ</t>
  </si>
  <si>
    <t>ΑΕ220942</t>
  </si>
  <si>
    <t>ΧΡΙΣΤΑΚΗ</t>
  </si>
  <si>
    <t>ΑΜ286108</t>
  </si>
  <si>
    <t>ΑΚ062722</t>
  </si>
  <si>
    <t>ΑΙ269223</t>
  </si>
  <si>
    <t>ΠΑΥΛΙΔΗ</t>
  </si>
  <si>
    <t>Σ798306</t>
  </si>
  <si>
    <t>ΖΕΤΣΙΔΟΥ</t>
  </si>
  <si>
    <t>ΑΙ715429</t>
  </si>
  <si>
    <t>ΒΟΥΛΤΣΙΔΟΥ</t>
  </si>
  <si>
    <t>ΑΖ870719</t>
  </si>
  <si>
    <t>ΓΙΑΚΑ</t>
  </si>
  <si>
    <t>ΑΜ508574</t>
  </si>
  <si>
    <t>ΑΗ555430</t>
  </si>
  <si>
    <t>ΑΖ872189</t>
  </si>
  <si>
    <t>ΑΗ389341</t>
  </si>
  <si>
    <t>ΑΚ131291</t>
  </si>
  <si>
    <t>ΓΚΟΥΖΙΏΚΑ</t>
  </si>
  <si>
    <t>ΑΝ345017</t>
  </si>
  <si>
    <t>ΚΟΚΟΡΑΣ</t>
  </si>
  <si>
    <t>ΑΚ131513</t>
  </si>
  <si>
    <t>ΙΩΑΝΝΑ ΚΑΛΛΙΟΠΗ</t>
  </si>
  <si>
    <t>ΑΒ689024</t>
  </si>
  <si>
    <t>ΒΕΡΟΝΙΚΗ</t>
  </si>
  <si>
    <t>ΑΜ678641</t>
  </si>
  <si>
    <t>ΚΑΡΠΕΤΑΚΗ</t>
  </si>
  <si>
    <t>ΝΙΚ</t>
  </si>
  <si>
    <t>ΑΚ469154</t>
  </si>
  <si>
    <t>ΑΕ134743</t>
  </si>
  <si>
    <t>ΑΙ577689</t>
  </si>
  <si>
    <t>ΑΝΤΩΝΟΠΟΥΛΟY</t>
  </si>
  <si>
    <t>ΑΗ232963</t>
  </si>
  <si>
    <t>ΑΚ981453</t>
  </si>
  <si>
    <t>ΑΗ284494</t>
  </si>
  <si>
    <t>ΟΥΡΟΥΜΙΔΟΥ</t>
  </si>
  <si>
    <t>ΑΗ185981</t>
  </si>
  <si>
    <t>ΑΕ134247</t>
  </si>
  <si>
    <t>ΣΕΡΚΙΖΗ</t>
  </si>
  <si>
    <t>ΑΗ805245</t>
  </si>
  <si>
    <t>ΑΖ060992</t>
  </si>
  <si>
    <t>ΑΝ624648</t>
  </si>
  <si>
    <t>ΑΚ459140</t>
  </si>
  <si>
    <t>ΦΑΛΤΣΕΤΑ</t>
  </si>
  <si>
    <t>ΜΑΡΙΑ ΑΓΓΕΛΙΝΑ</t>
  </si>
  <si>
    <t>ΑΜ740294</t>
  </si>
  <si>
    <t>ΜΠΑΛΑΤΣΟΥ</t>
  </si>
  <si>
    <t>ΝΙΚΟΛΙΤΣΑ ΕΛΕΝΗ</t>
  </si>
  <si>
    <t>ΑΟ500707</t>
  </si>
  <si>
    <t>ΑΒ589741</t>
  </si>
  <si>
    <t>ΑΖ230431</t>
  </si>
  <si>
    <t>ΤΙΓΚΙΡΗ</t>
  </si>
  <si>
    <t>ΑΙ537179</t>
  </si>
  <si>
    <t>ΜΑΛΙΣΙΟΒΑ</t>
  </si>
  <si>
    <t>ΑΑ310725</t>
  </si>
  <si>
    <t>ΑΕ031898</t>
  </si>
  <si>
    <t>ΑΓΓΕΛΙΚΗ ΒΙΚΤΩΡΙΑ</t>
  </si>
  <si>
    <t>ΑΜ171282</t>
  </si>
  <si>
    <t>ΣΤΑΤΗΡΗ</t>
  </si>
  <si>
    <t>ΑΕ639985</t>
  </si>
  <si>
    <t>ΓΕΡΑΣΙΜΟΥ</t>
  </si>
  <si>
    <t>ΑΙ311782</t>
  </si>
  <si>
    <t>ΑΟ208449</t>
  </si>
  <si>
    <t>Χ446366</t>
  </si>
  <si>
    <t>ΑΙ839370</t>
  </si>
  <si>
    <t>ΚΑΛΛΙΡΗ</t>
  </si>
  <si>
    <t>ΑΙ789756</t>
  </si>
  <si>
    <t>ΑΖ557824</t>
  </si>
  <si>
    <t>ΑΟ057495</t>
  </si>
  <si>
    <t>ΑΜ480630</t>
  </si>
  <si>
    <t>ΡΩΜΑΙΟΥ</t>
  </si>
  <si>
    <t>ΑΙ512737</t>
  </si>
  <si>
    <t>ΜΠΟΥΚΑ</t>
  </si>
  <si>
    <t>ΑΗ724760</t>
  </si>
  <si>
    <t>ΧΑΙΡΟΠΟΥΛΟΥ</t>
  </si>
  <si>
    <t>ΦΡΕΙΔΕΡΙΚΗ ΜΑΡΙΑ</t>
  </si>
  <si>
    <t>ΑΖ832969</t>
  </si>
  <si>
    <t>ΑΖ821696</t>
  </si>
  <si>
    <t>ΜΗΤΑΚΟΥΔΗ</t>
  </si>
  <si>
    <t>ΑΗ911535</t>
  </si>
  <si>
    <t>ΣΟΥΛΕΛΕ</t>
  </si>
  <si>
    <t>ΞΑΝΘΗ ΜΑΛΒΙΝΑ</t>
  </si>
  <si>
    <t>ΑΝ510265</t>
  </si>
  <si>
    <t>ΑΜ406026</t>
  </si>
  <si>
    <t>ΟΡΛΑΝΔΟΥ</t>
  </si>
  <si>
    <t>ΑΙ242485</t>
  </si>
  <si>
    <t>ΑΖ808071</t>
  </si>
  <si>
    <t>ΑΗ484443</t>
  </si>
  <si>
    <t>ΣΧΙΣΜΕΝΟΥ</t>
  </si>
  <si>
    <t>ΑΙ867185</t>
  </si>
  <si>
    <t>ΑΒ055791</t>
  </si>
  <si>
    <t>ΑΗ546242</t>
  </si>
  <si>
    <t>ΕΓΚΙΑΖΑΡΟΒΑ</t>
  </si>
  <si>
    <t>ΣΕΡΓΚΕΙ</t>
  </si>
  <si>
    <t>ΑΚ903923</t>
  </si>
  <si>
    <t>ΠΑΝΤΖΙΟΥ</t>
  </si>
  <si>
    <t>ΣΤΑΥΡΟΥΛΑ ΛΥΔΙΑ</t>
  </si>
  <si>
    <t>ΑΙ291722</t>
  </si>
  <si>
    <t>ΑΟ425961</t>
  </si>
  <si>
    <t>ΑΙ046631</t>
  </si>
  <si>
    <t>ΚΑΓΙΟΥ</t>
  </si>
  <si>
    <t>ΑΗ687134</t>
  </si>
  <si>
    <t>ΠΑΡΑΓΥΙΟΥ</t>
  </si>
  <si>
    <t>ΑΙ631480</t>
  </si>
  <si>
    <t>ΚΑΡΑΒΑΛΑΣΗ</t>
  </si>
  <si>
    <t>ΑΜ708834</t>
  </si>
  <si>
    <t>ΧΑΤΖΗΜΑΡΚΑΚΗ</t>
  </si>
  <si>
    <t>ΑΜ468752</t>
  </si>
  <si>
    <t>ΚΩΦΟΥ</t>
  </si>
  <si>
    <t>Χ772653</t>
  </si>
  <si>
    <t>ΔΑΜΒΑΚΕΡΑΚΗ</t>
  </si>
  <si>
    <t>ΑΝ936347</t>
  </si>
  <si>
    <t>ΦΡΟΥΣΚΛΙΑ</t>
  </si>
  <si>
    <t>ΑΛΕΞΑΝΔΡΑ ΠΟΛΥΞΕΝΗ</t>
  </si>
  <si>
    <t>ΑΒ430058</t>
  </si>
  <si>
    <t>ΣΤΑΗ</t>
  </si>
  <si>
    <t>ΑΖ897176</t>
  </si>
  <si>
    <t>ΓΚΙΝΟΥ</t>
  </si>
  <si>
    <t>ΑΟ106817</t>
  </si>
  <si>
    <t>ΨΥΛΛΟΥ</t>
  </si>
  <si>
    <t>ΑΖ571868</t>
  </si>
  <si>
    <t>ΚΑΡΠΑΘΑΚΗ</t>
  </si>
  <si>
    <t>ΑΜΑΝΤΑ</t>
  </si>
  <si>
    <t>ΑΙ944800</t>
  </si>
  <si>
    <t>ΔΑΓΙΑΝΤΗ</t>
  </si>
  <si>
    <t>ΑΚ103533</t>
  </si>
  <si>
    <t>ΚΟΥΤΟΥΠΗ</t>
  </si>
  <si>
    <t>ΑΗ251872</t>
  </si>
  <si>
    <t>ΚΟΥΡΜΠΕΤΗ</t>
  </si>
  <si>
    <t>ΑΙ557557</t>
  </si>
  <si>
    <t>ΚΑΦΕΤΖΟΠΟΥΛΟΥ</t>
  </si>
  <si>
    <t>ΑΙ165220</t>
  </si>
  <si>
    <t>ΑΚ321606</t>
  </si>
  <si>
    <t>ΡΟΥΚΑ</t>
  </si>
  <si>
    <t>ΑΗ645111</t>
  </si>
  <si>
    <t>ΣΦΗΚΑ</t>
  </si>
  <si>
    <t>ΑΙ283483</t>
  </si>
  <si>
    <t>ΞΥΔΕΑ</t>
  </si>
  <si>
    <t>ΑΚ370135</t>
  </si>
  <si>
    <t>ΦΡΑΡΟΣ</t>
  </si>
  <si>
    <t>ΑΙ946112</t>
  </si>
  <si>
    <t>ΑΗ175772</t>
  </si>
  <si>
    <t>ΑΒ013104</t>
  </si>
  <si>
    <t>ΣΤΡΟΥΜΠΟΥΛΗ</t>
  </si>
  <si>
    <t>ΑΖ127515</t>
  </si>
  <si>
    <t>ΚΑΤΣΙΚΗ</t>
  </si>
  <si>
    <t>ΑΛΙΝΑ ΚΩΝΣΤΑΝΤΙΝΑ</t>
  </si>
  <si>
    <t>ΑΚ329451</t>
  </si>
  <si>
    <t>ΑΠΟΚΟΤΟΥ</t>
  </si>
  <si>
    <t>ΑΔΑΜΑΝΤΙΝΗ</t>
  </si>
  <si>
    <t>ΑΚ550224</t>
  </si>
  <si>
    <t>ΝΑΖΟΥ</t>
  </si>
  <si>
    <t>ΑΙ143695</t>
  </si>
  <si>
    <t>ΑΒ279527</t>
  </si>
  <si>
    <t>ΚΩΤΣΟΠΟΥΛΟΥ</t>
  </si>
  <si>
    <t>ΑΟ402672</t>
  </si>
  <si>
    <t>ΣΜΑΡΑΓΔΑΚΗ</t>
  </si>
  <si>
    <t>ΑΗ953380</t>
  </si>
  <si>
    <t>ΒΕΡΓΟΥ</t>
  </si>
  <si>
    <t>ΑΙ300062</t>
  </si>
  <si>
    <t>ΑΚ307191</t>
  </si>
  <si>
    <t>ΠΑΠΑΛΕΞΑΝΔΡΟΥ</t>
  </si>
  <si>
    <t>ΑΚ149720</t>
  </si>
  <si>
    <t>ΓΙΟΦΤΣΙΔΟΥ</t>
  </si>
  <si>
    <t>ΑΝ208829</t>
  </si>
  <si>
    <t>ΑΙ144592</t>
  </si>
  <si>
    <t>ΜΠΟΥΝΔΡΗ</t>
  </si>
  <si>
    <t>ΜΑΡΙΑ ΓΡΑΜΜΑΤΙΚΗ</t>
  </si>
  <si>
    <t>ΑΚ733294</t>
  </si>
  <si>
    <t>ΑΚ370933</t>
  </si>
  <si>
    <t>ΤΣΑΡΟΥΧΑ</t>
  </si>
  <si>
    <t>ΑΝ675664</t>
  </si>
  <si>
    <t>ΤΣΑΚΟΥ</t>
  </si>
  <si>
    <t>Χ560057</t>
  </si>
  <si>
    <t>ΑΙ675868</t>
  </si>
  <si>
    <t>ΑΕ518778</t>
  </si>
  <si>
    <t>ΑΡΜΠΟΥΝΙΩΤΗ</t>
  </si>
  <si>
    <t>ΑΗ552576</t>
  </si>
  <si>
    <t>ΑΝΔΡΕΑΔΗ</t>
  </si>
  <si>
    <t>ΑΝ749397</t>
  </si>
  <si>
    <t>ΤΕΜΠΕΛΙΔΟΥ</t>
  </si>
  <si>
    <t>ΑΕ676486</t>
  </si>
  <si>
    <t>ΖΟΥΡΕΛΙΔΟΥ</t>
  </si>
  <si>
    <t>ΑΙ075028</t>
  </si>
  <si>
    <t>ΝΙΚΟΛΑΟΣ ΚΩΝΣΤΑΝΤΙΝΟ</t>
  </si>
  <si>
    <t>Φ093094</t>
  </si>
  <si>
    <t>ΣΟΦΙΑ ΑΝΝΑ</t>
  </si>
  <si>
    <t>ΑΚ521375</t>
  </si>
  <si>
    <t>ΣΑΙΤ</t>
  </si>
  <si>
    <t>ΣΕΛΕΝ</t>
  </si>
  <si>
    <t>ΧΑΙΡΕΝΤΙΝ</t>
  </si>
  <si>
    <t>ΑΗ904671</t>
  </si>
  <si>
    <t>ΛΕΙΜΟΝΗ</t>
  </si>
  <si>
    <t>ΑΗ280553</t>
  </si>
  <si>
    <t xml:space="preserve">ΚΑΒΟΥΡΑ </t>
  </si>
  <si>
    <t>ΑΙ697489</t>
  </si>
  <si>
    <t>ΤΣΙΚΛΗΣ</t>
  </si>
  <si>
    <t>ΑΟ098011</t>
  </si>
  <si>
    <t>ΣΤΡΑΝΤΖΑΛΗ</t>
  </si>
  <si>
    <t>ΑΗ370363</t>
  </si>
  <si>
    <t>ΜΙΝΤΖΙΒΙΡΗ</t>
  </si>
  <si>
    <t>ΑΟ258488</t>
  </si>
  <si>
    <t>Χ477378</t>
  </si>
  <si>
    <t>ΑΕ342542</t>
  </si>
  <si>
    <t>ΤΑΣΤΣΟΓΛΟΥ</t>
  </si>
  <si>
    <t>Χ263228</t>
  </si>
  <si>
    <t>ΚΑΛΑΜΠΟΥΚΗ</t>
  </si>
  <si>
    <t>ΑΚ391553</t>
  </si>
  <si>
    <t>ΜΗΤΣΙΑΝΗΣ</t>
  </si>
  <si>
    <t>ΣΤΥΛΙΑΝΟΣ ΠΑΝΑΓΙΩΤΗΣ</t>
  </si>
  <si>
    <t>ΦΙΛΑΡΕΤΟΣ</t>
  </si>
  <si>
    <t>ΑΗ794657</t>
  </si>
  <si>
    <t>ΛΑΦΑΖΑΝΗ</t>
  </si>
  <si>
    <t>ΑΗ695763</t>
  </si>
  <si>
    <t>ΑΚ693111</t>
  </si>
  <si>
    <t>ΚΑΘΑΡΙΟΥ</t>
  </si>
  <si>
    <t>Χ206423</t>
  </si>
  <si>
    <t>ΤΣΙΛΟΧΡΗΣΤΟΥ</t>
  </si>
  <si>
    <t>ΑΙ314046</t>
  </si>
  <si>
    <t>ΓΙΑΓΚΑ</t>
  </si>
  <si>
    <t>ΑΗ945489</t>
  </si>
  <si>
    <t>ΑΗ130564</t>
  </si>
  <si>
    <t>ΚΟΝΤΟΡΙΖΟΥ</t>
  </si>
  <si>
    <t>ΑΝ324391</t>
  </si>
  <si>
    <t>ΨΑΘΑ</t>
  </si>
  <si>
    <t>ΑΙ361833</t>
  </si>
  <si>
    <t>ΑΚ500534</t>
  </si>
  <si>
    <t>ΑΖ480319</t>
  </si>
  <si>
    <t>ΑΗ225086</t>
  </si>
  <si>
    <t>ΚΥΡΟΓΛΟΥ</t>
  </si>
  <si>
    <t>ΑΖ370474</t>
  </si>
  <si>
    <t>ΓΑΛΑΝΟΠΟΥΛΟΥ</t>
  </si>
  <si>
    <t>ΑΝ765889</t>
  </si>
  <si>
    <t>ΚΡΙΚΖΩΝΗ</t>
  </si>
  <si>
    <t>ΑΙ979611</t>
  </si>
  <si>
    <t>ΤΣΙΚΡΙΤΣΑΚΗ</t>
  </si>
  <si>
    <t>ΑΜ559319</t>
  </si>
  <si>
    <t>ΜΟΝΑΣΤΙΡΛΗ</t>
  </si>
  <si>
    <t>Φ051267</t>
  </si>
  <si>
    <t>ΠΡΙΝΤΖΗ</t>
  </si>
  <si>
    <t>ΑΚ904398</t>
  </si>
  <si>
    <t>ΛΙΒΕΡΗ</t>
  </si>
  <si>
    <t>ΤΕΡΕΖΑ ΕΛΕΝΗ</t>
  </si>
  <si>
    <t>ΑΜ361472</t>
  </si>
  <si>
    <t>ΣΩΠΙΔΟΥ</t>
  </si>
  <si>
    <t>ΑΚ303270</t>
  </si>
  <si>
    <t>ΜΠΟΥΤΟΥΡΕΛΗ ΓΡΑΜΜΑΤΙΚΟΠΟΥΛΟΥ</t>
  </si>
  <si>
    <t>ΑΜ822474</t>
  </si>
  <si>
    <t>ΑΚ595642</t>
  </si>
  <si>
    <t>ΓΚΑΤΣΟΥ</t>
  </si>
  <si>
    <t>ΑΕ633275</t>
  </si>
  <si>
    <t>ΠΛΑΣΚΑΣΟΒΙΤΗΣ</t>
  </si>
  <si>
    <t>ΑΜ922925</t>
  </si>
  <si>
    <t>ΑΕ326677</t>
  </si>
  <si>
    <t>ΜΑΛΑΤΕΣΤΑ</t>
  </si>
  <si>
    <t>ΑΚ681576</t>
  </si>
  <si>
    <t>ΤΣΑΓΚΑΛΙΔΟΥ</t>
  </si>
  <si>
    <t>ΑΜ399013</t>
  </si>
  <si>
    <t>ΣΟΥΛΙΟΥ</t>
  </si>
  <si>
    <t>ΑΗ576151</t>
  </si>
  <si>
    <t>ΑΙ481258</t>
  </si>
  <si>
    <t>ΠΟΘΗΤΟΥ</t>
  </si>
  <si>
    <t>ΑΖ553040</t>
  </si>
  <si>
    <t>ΔΑΡΜΗ</t>
  </si>
  <si>
    <t>ΑΖ506778</t>
  </si>
  <si>
    <t>ΑΝΔΡΟΥΤΣΟΠΟΥΛΟΥ</t>
  </si>
  <si>
    <t>ΑΝ048806</t>
  </si>
  <si>
    <t>ΑΙ090681</t>
  </si>
  <si>
    <t>ΚΟΛΛΥΡΟΥ</t>
  </si>
  <si>
    <t>ΑΟ305810</t>
  </si>
  <si>
    <t>ΠΙΣΤΙΚΟΥΔΗ</t>
  </si>
  <si>
    <t>ΑΒ589891</t>
  </si>
  <si>
    <t>Χ577206</t>
  </si>
  <si>
    <t>ΒΛΟΣΤΟΥ</t>
  </si>
  <si>
    <t>ΣΤΥΛΙΑΝΗ ΡΑΦΑΗΛΙΑ</t>
  </si>
  <si>
    <t>ΑΙ736839</t>
  </si>
  <si>
    <t>ΜΑΡΙΑ ΕΛΙΣΑΒΕΤ</t>
  </si>
  <si>
    <t>Χ334843</t>
  </si>
  <si>
    <t>ΚΑΡΑΙΣΚΟΥ</t>
  </si>
  <si>
    <t>ΑΜ242386</t>
  </si>
  <si>
    <t>ΑΚ100821</t>
  </si>
  <si>
    <t>ΚΑΚΑΛΙΑ</t>
  </si>
  <si>
    <t>ΑΕ434836</t>
  </si>
  <si>
    <t>ΑΙ476430</t>
  </si>
  <si>
    <t>ΑΝ651508</t>
  </si>
  <si>
    <t>ΔΩΔΟΥ</t>
  </si>
  <si>
    <t>ΑΙ816601</t>
  </si>
  <si>
    <t>ΠΑΓΩΝΑ ΠΑΡΑΣΚΕΥΗ</t>
  </si>
  <si>
    <t>ΑΗ472560</t>
  </si>
  <si>
    <t>ΑΗ884672</t>
  </si>
  <si>
    <t>ΝΙΚΟΛΑΙ?ΔΟΥ</t>
  </si>
  <si>
    <t>ΑΖ892207</t>
  </si>
  <si>
    <t>ΜΠΛΙΩΝΑ</t>
  </si>
  <si>
    <t>ΑΜ578588</t>
  </si>
  <si>
    <t>ΑΜ770773</t>
  </si>
  <si>
    <t>ΤΣΑΚΙΡΗΣ</t>
  </si>
  <si>
    <t>ΑΘΑΝΑΣΙΟΣ ΗΡΑΚΛΗΣ</t>
  </si>
  <si>
    <t>ΑΕ652823</t>
  </si>
  <si>
    <t>ΑΙ086891</t>
  </si>
  <si>
    <t>ΝΕΔΙΟΥ</t>
  </si>
  <si>
    <t>ΑΟ912275</t>
  </si>
  <si>
    <t>ΑΣΠΡΑΓΚΑΘΟΥ</t>
  </si>
  <si>
    <t>ΑΝ824299</t>
  </si>
  <si>
    <t xml:space="preserve">ΛΙΝΑΚΗ </t>
  </si>
  <si>
    <t>ΑΗ883225</t>
  </si>
  <si>
    <t>ΒΙΣΒΑΡΔΗ</t>
  </si>
  <si>
    <t>ΑΒ270557</t>
  </si>
  <si>
    <t>ΠΙΣΧΙΝΑ</t>
  </si>
  <si>
    <t>ΑΜ233354</t>
  </si>
  <si>
    <t>ΠΙΠΕΡΙΔΗ</t>
  </si>
  <si>
    <t>ΑΛΕΞΑΝΔΡΙΑΝΗ</t>
  </si>
  <si>
    <t>ΑΙ564951</t>
  </si>
  <si>
    <t>ΠΑΝΑΓΙΩΤΑ ΛΥΔΙΑ</t>
  </si>
  <si>
    <t>ΑΒ331203</t>
  </si>
  <si>
    <t>ΤΣΑΝΑΚΤΣΙΔΗ</t>
  </si>
  <si>
    <t>ΑΒ241826</t>
  </si>
  <si>
    <t>ΑΑ464985</t>
  </si>
  <si>
    <t>ΑΗ233941</t>
  </si>
  <si>
    <t>ΑΜ708618</t>
  </si>
  <si>
    <t>ΑΗ214142</t>
  </si>
  <si>
    <t>ΑΙ124707</t>
  </si>
  <si>
    <t>ΜΑΡΙΑΔΟΥ</t>
  </si>
  <si>
    <t>ΑΕ998582</t>
  </si>
  <si>
    <t>ΚΩΝΣΤ</t>
  </si>
  <si>
    <t>ΑΕ061863</t>
  </si>
  <si>
    <t>ΑΗ549394</t>
  </si>
  <si>
    <t>ΝΑΤΣΚΟΥ</t>
  </si>
  <si>
    <t>ΑΗ707855</t>
  </si>
  <si>
    <t>ΑΙ809068</t>
  </si>
  <si>
    <t>ΝΤΡΙΒΑ</t>
  </si>
  <si>
    <t>ΑΛΙΚΗ ΒΑΣΙΛΙΚΗ</t>
  </si>
  <si>
    <t>ΑΗ506873</t>
  </si>
  <si>
    <t>ΤΖΑΡΟΥΑ</t>
  </si>
  <si>
    <t>ΑΣΑΑΝΤ ΙΩΑΝΝΗΣ</t>
  </si>
  <si>
    <t>ΑΖ526973</t>
  </si>
  <si>
    <t>ΓΚΙΟΛΙΑ</t>
  </si>
  <si>
    <t>ΑΗ146452</t>
  </si>
  <si>
    <t xml:space="preserve">ΠΑΣΧΑΛΙΔΟΥ </t>
  </si>
  <si>
    <t>ΑΖ893841</t>
  </si>
  <si>
    <t>ΑΙ582459</t>
  </si>
  <si>
    <t>ΑΙΚΑΤΕΡΙΝΗ ΕΛΕΝΗ</t>
  </si>
  <si>
    <t>ΑΙ455052</t>
  </si>
  <si>
    <t>ΣΜΑΛΙΑΡΑ</t>
  </si>
  <si>
    <t>ΑΕ969917</t>
  </si>
  <si>
    <t>ΞΥΛΟΥΡΗ</t>
  </si>
  <si>
    <t>Ξ923992</t>
  </si>
  <si>
    <t>ΑΚ320808</t>
  </si>
  <si>
    <t>ΑΜ995055</t>
  </si>
  <si>
    <t>ΓΕΡΟΔΗΜΟΥ</t>
  </si>
  <si>
    <t>ΑΖ701457</t>
  </si>
  <si>
    <t>ΑΖ209736</t>
  </si>
  <si>
    <t>Χ972022</t>
  </si>
  <si>
    <t>ΜΑΥΡΟΓΙΩΡΓΗ</t>
  </si>
  <si>
    <t>ΑΖ559990</t>
  </si>
  <si>
    <t>ΖΟΥΠΑ</t>
  </si>
  <si>
    <t>ΑΟ873225</t>
  </si>
  <si>
    <t>ΚΑΠΕΛΛΕ</t>
  </si>
  <si>
    <t>ΑΗ722906</t>
  </si>
  <si>
    <t>ΒΑΜΒΑΚΕΡΟΥ</t>
  </si>
  <si>
    <t>ΑΡ271511</t>
  </si>
  <si>
    <t>ΑΕ020758</t>
  </si>
  <si>
    <t>ΑΙ841130</t>
  </si>
  <si>
    <t>ΦΑΝΑΡΑΚΗ</t>
  </si>
  <si>
    <t>ΑΒ474525</t>
  </si>
  <si>
    <t>ΑΗ994885</t>
  </si>
  <si>
    <t>ΧΡΑ</t>
  </si>
  <si>
    <t>ΑΙ492192</t>
  </si>
  <si>
    <t>ΘΕΟΔΩΡΑ ΣΤΑΥΡΟΥΛΑ</t>
  </si>
  <si>
    <t>ΑΟ003240</t>
  </si>
  <si>
    <t>ΑΗ329856</t>
  </si>
  <si>
    <t xml:space="preserve">ΚΑΡΑΒΑΤΑ </t>
  </si>
  <si>
    <t>ΤΣΟΛΑΚΟΓΛΟΥ</t>
  </si>
  <si>
    <t>ΙΜΡΑΝ</t>
  </si>
  <si>
    <t>ΑΜ904042</t>
  </si>
  <si>
    <t>ΣΚΛΗΡΗ</t>
  </si>
  <si>
    <t>Φ209312</t>
  </si>
  <si>
    <t>ΑΙ315029</t>
  </si>
  <si>
    <t>ΑΚ066057</t>
  </si>
  <si>
    <t>ΑΜ765211</t>
  </si>
  <si>
    <t>ΜΠΑΚΑΚΟΥ</t>
  </si>
  <si>
    <t>ΑΖ479203</t>
  </si>
  <si>
    <t>ΑΙ948530</t>
  </si>
  <si>
    <t>ΑΗ703540</t>
  </si>
  <si>
    <t>ΤΖΕΛΕΠΗ</t>
  </si>
  <si>
    <t>ΑΙ707051</t>
  </si>
  <si>
    <t>ΚΑΡΑΤΣΩΛΗ</t>
  </si>
  <si>
    <t>ΑΕ490051</t>
  </si>
  <si>
    <t>ΑΚ117144</t>
  </si>
  <si>
    <t>ΜΗΤΡΑΚΑ ΠΑΠΑΓΕΩΡΓΙΟΥ</t>
  </si>
  <si>
    <t>ΑΙ034863</t>
  </si>
  <si>
    <t>ΑΟ055664</t>
  </si>
  <si>
    <t>ΑΜ223407</t>
  </si>
  <si>
    <t>ΠΑΣΚΑΛΗ</t>
  </si>
  <si>
    <t>ΑΗ020773</t>
  </si>
  <si>
    <t>ΑΙ338520</t>
  </si>
  <si>
    <t>ΛΙΟΝΤΗΡΗ</t>
  </si>
  <si>
    <t>ΑΦΡΟΔΙΤΗ ΦΩΤΕΙΝΗ</t>
  </si>
  <si>
    <t>ΑΙ088691</t>
  </si>
  <si>
    <t>ΑΖ825873</t>
  </si>
  <si>
    <t>ΛΙΟΥΛΙΑΚΗ</t>
  </si>
  <si>
    <t>ΑΚ255050</t>
  </si>
  <si>
    <t>ΑΗ825671</t>
  </si>
  <si>
    <t>ΑΛΚΗΣ ΚΑΛΛΙΝΙΚΟΣ</t>
  </si>
  <si>
    <t>Χ076417</t>
  </si>
  <si>
    <t>ΑΙ002254</t>
  </si>
  <si>
    <t>ΑΜ817380</t>
  </si>
  <si>
    <t>ΒΑΛΒΗ</t>
  </si>
  <si>
    <t>ΑΜ587408</t>
  </si>
  <si>
    <t>ΚΑΡΑΒΙΔΑ</t>
  </si>
  <si>
    <t>ΑΝΤΙΓΟΝΗ ΔΗΜΗΤΡΑ</t>
  </si>
  <si>
    <t>ΑΖ241299</t>
  </si>
  <si>
    <t>ΝΤΑΜΑΓΚΑ</t>
  </si>
  <si>
    <t>ΑΚ627014</t>
  </si>
  <si>
    <t>ΑΙ750649</t>
  </si>
  <si>
    <t>ΣΤΡΑΓΑΛΗ</t>
  </si>
  <si>
    <t>ΑΙ295949</t>
  </si>
  <si>
    <t>ΜΑΚΡΥΝΙΩΤΗ</t>
  </si>
  <si>
    <t>ΑΜ323203</t>
  </si>
  <si>
    <t>ΑΙ181829</t>
  </si>
  <si>
    <t>ΑΙ795150</t>
  </si>
  <si>
    <t>ΑΝ391317</t>
  </si>
  <si>
    <t>ΝΤΑΦΛΟΥ</t>
  </si>
  <si>
    <t>ΑΝ010805</t>
  </si>
  <si>
    <t>ΠΑΠΟΥΤΣΙΑΝ</t>
  </si>
  <si>
    <t>ΑΒ058332</t>
  </si>
  <si>
    <t>ΤΣΙΑΠΟΥ</t>
  </si>
  <si>
    <t>ΑΜ658410</t>
  </si>
  <si>
    <t>ΑΖ998924</t>
  </si>
  <si>
    <t>ΣΤΕΡΓΙΑΚΗ</t>
  </si>
  <si>
    <t>ΑΜ116218</t>
  </si>
  <si>
    <t>ΑΜ401452</t>
  </si>
  <si>
    <t>ΤΟΥΜΠΑΝΟΥ</t>
  </si>
  <si>
    <t>ΒΑΣΙΛΙΚΗ ΛΥΔΙΑ</t>
  </si>
  <si>
    <t>ΑΙ174921</t>
  </si>
  <si>
    <t>ΑΜ058754</t>
  </si>
  <si>
    <t>ΑΓΙΑΝΟΓΛΟΥ</t>
  </si>
  <si>
    <t>ΑΗ563066</t>
  </si>
  <si>
    <t>ΑΖ439312</t>
  </si>
  <si>
    <t>ΤΣΙΑΛΑΦΟΥΤΑ</t>
  </si>
  <si>
    <t>ΑΖ047371</t>
  </si>
  <si>
    <t>ΑΝ281986</t>
  </si>
  <si>
    <t>ΑΖ702223</t>
  </si>
  <si>
    <t>ΠΑΝΑΓΙΩΤΑΚΟΠΟΥΛΟΥ</t>
  </si>
  <si>
    <t>ΑΚ079565</t>
  </si>
  <si>
    <t>ΞΕΝΑΚΗΣ</t>
  </si>
  <si>
    <t>Χ949919</t>
  </si>
  <si>
    <t>ΜΠΑΡΜΠΟΥΝΗ</t>
  </si>
  <si>
    <t>ΑΝ712770</t>
  </si>
  <si>
    <t>ΡΑΧΙΩΤΗ</t>
  </si>
  <si>
    <t>ΑΙ622277</t>
  </si>
  <si>
    <t>ΔΕΛΗΒΟΡΙΑΣ</t>
  </si>
  <si>
    <t>ΑΟ312427</t>
  </si>
  <si>
    <t>ΣΚΑΡΔΗ</t>
  </si>
  <si>
    <t>ΑΑ067935</t>
  </si>
  <si>
    <t>ΔΡΟΥΓΚΑ</t>
  </si>
  <si>
    <t>ΑΝ065627</t>
  </si>
  <si>
    <t>ΚΟΥΛΟΥΡΙΩΤΗ</t>
  </si>
  <si>
    <t>ΑΚ532243</t>
  </si>
  <si>
    <t>ΚΙΑΓΙΑ</t>
  </si>
  <si>
    <t>ΑΙ434021</t>
  </si>
  <si>
    <t>ΤΣΟΥΚΑΡΕΛΛΗ</t>
  </si>
  <si>
    <t>ΑΝ433974</t>
  </si>
  <si>
    <t>ΛΟΥΚΑΝΙΚΑΣ</t>
  </si>
  <si>
    <t>ΑΖ268292</t>
  </si>
  <si>
    <t>ΑΗ004621</t>
  </si>
  <si>
    <t>Π537465</t>
  </si>
  <si>
    <t>ΑΙ350884</t>
  </si>
  <si>
    <t>ΠΡΟΥΝΤΖΟΥ</t>
  </si>
  <si>
    <t>ΑΚ526286</t>
  </si>
  <si>
    <t>ΑΗ759251</t>
  </si>
  <si>
    <t>ΠΑΛΑΙΟΠΑΝΗ</t>
  </si>
  <si>
    <t>ΑΗ931984</t>
  </si>
  <si>
    <t>ΑΣΗΜΟΜΥΤΗ</t>
  </si>
  <si>
    <t>ΑΚ035032</t>
  </si>
  <si>
    <t>ΙΡΙΝΑ</t>
  </si>
  <si>
    <t>ΡΑΣΙΝΤ</t>
  </si>
  <si>
    <t>ΑΟ054409</t>
  </si>
  <si>
    <t>ΜΠΑΚΑΤΣΕΛΟΥ</t>
  </si>
  <si>
    <t>ΑΜ326804</t>
  </si>
  <si>
    <t>ΤΣΙΑΚΑΛΑΚΗ</t>
  </si>
  <si>
    <t>ΑΗ530339</t>
  </si>
  <si>
    <t>ΑΝ008531</t>
  </si>
  <si>
    <t>ΑΙ641196</t>
  </si>
  <si>
    <t>ΑΙ615196</t>
  </si>
  <si>
    <t>ΑΗ296917</t>
  </si>
  <si>
    <t>ΒΑΜΒΑΚΟΠΟΥΛΟΥ</t>
  </si>
  <si>
    <t>ΑΗ190802</t>
  </si>
  <si>
    <t>ΑΜ239549</t>
  </si>
  <si>
    <t>ΑΚ300867</t>
  </si>
  <si>
    <t>ΑΜ497907</t>
  </si>
  <si>
    <t xml:space="preserve">ΛΙΑΚΟΥ </t>
  </si>
  <si>
    <t xml:space="preserve">ΆΡΤΕΜΙΣ </t>
  </si>
  <si>
    <t>ΑΙ237674</t>
  </si>
  <si>
    <t>ΑΙ351160</t>
  </si>
  <si>
    <t>ΑΗ297239</t>
  </si>
  <si>
    <t>ΠΑΡΘΕΝΑ ΜΕΛΙΝΑ</t>
  </si>
  <si>
    <t>ΑΖ397210</t>
  </si>
  <si>
    <t>ΛΑΜΠΑΡΑ</t>
  </si>
  <si>
    <t>Σ568165</t>
  </si>
  <si>
    <t>ΑΙ251769</t>
  </si>
  <si>
    <t>ΚΟΓΙΟΥ</t>
  </si>
  <si>
    <t>ΑΖ877849</t>
  </si>
  <si>
    <t>ΚΟΥΚΟΥΛΗΣ</t>
  </si>
  <si>
    <t>Χ729409</t>
  </si>
  <si>
    <t>ΚΑΛΑΜΠΟΓΙΑ</t>
  </si>
  <si>
    <t xml:space="preserve">ΠΕΡΣΕΦΟΝΗ </t>
  </si>
  <si>
    <t>ΑΒ526192</t>
  </si>
  <si>
    <t>ΤΣΟΥΛΙΟΥ</t>
  </si>
  <si>
    <t>ΑΖ334403</t>
  </si>
  <si>
    <t>ΑΜ607617</t>
  </si>
  <si>
    <t>ΛΑΖΑΚΗ</t>
  </si>
  <si>
    <t>ΑΙ311516</t>
  </si>
  <si>
    <t>ΜΥΤΑΚΗ</t>
  </si>
  <si>
    <t>ΑΖ847902</t>
  </si>
  <si>
    <t>ΣΙΔΕΡΟΠΟΥΛΟΥ</t>
  </si>
  <si>
    <t>ΑΙ869032</t>
  </si>
  <si>
    <t>ΛΕΒΕΝΤΟΥΡΗ</t>
  </si>
  <si>
    <t>ΑΗ933968</t>
  </si>
  <si>
    <t>ΚΑΒΟΥΡΤΖΙΚΗ</t>
  </si>
  <si>
    <t>ΑΝ195144</t>
  </si>
  <si>
    <t>ΔΙΑΜΑΝΤΙΑ</t>
  </si>
  <si>
    <t>ΑΖ664674</t>
  </si>
  <si>
    <t>ΑΜ109347</t>
  </si>
  <si>
    <t>ΜΑΛΙΣΟΒΑ</t>
  </si>
  <si>
    <t>ΑΝ994096</t>
  </si>
  <si>
    <t>ΑΟ390629</t>
  </si>
  <si>
    <t>ΑΝ199334</t>
  </si>
  <si>
    <t>ΣΟΥΦΛΗ</t>
  </si>
  <si>
    <t>ΑΙ860349</t>
  </si>
  <si>
    <t>ALBU</t>
  </si>
  <si>
    <t>DELIA</t>
  </si>
  <si>
    <t>FLOREA</t>
  </si>
  <si>
    <t>ΜΑΡΙΑ ΜΥΡΤΩ</t>
  </si>
  <si>
    <t>ΑΗ621501</t>
  </si>
  <si>
    <t>ΑΝ552565</t>
  </si>
  <si>
    <t>ΑΒ280505</t>
  </si>
  <si>
    <t>ΤΑΣΙΝΟΣ</t>
  </si>
  <si>
    <t>ΠΑΝΤΕΛΗΣ ΓΕΩΡΓΙΟΣ</t>
  </si>
  <si>
    <t>ΑΜ735603</t>
  </si>
  <si>
    <t>ΜΠΕΚΟΥΛΗΣ</t>
  </si>
  <si>
    <t>ΑΙ269850</t>
  </si>
  <si>
    <t>ΑΗ649616</t>
  </si>
  <si>
    <t>ΑΙ693470</t>
  </si>
  <si>
    <t>ΕΦΤΕΧΑΡ ΤΑΜΠΡΙΖΙ</t>
  </si>
  <si>
    <t>ΒΑΣΙΛΙΚΗ ΣΑΜΙΡΑ</t>
  </si>
  <si>
    <t>ΣΑΜΑΝΤ</t>
  </si>
  <si>
    <t>ΑΚ685251</t>
  </si>
  <si>
    <t>ΜΑΓΔΑΛΗΝΗ ΠΑΓΩΝΑ</t>
  </si>
  <si>
    <t>ΑΝ430624</t>
  </si>
  <si>
    <t>ΑΗ176444</t>
  </si>
  <si>
    <t>ΑΗ681667</t>
  </si>
  <si>
    <t>ΓΑΒΑΛΑΚΗ</t>
  </si>
  <si>
    <t>ΑΖ237709</t>
  </si>
  <si>
    <t>ΑΜ980625</t>
  </si>
  <si>
    <t>ΜΠΕΛΤΣΙΟΣ</t>
  </si>
  <si>
    <t>ΑΟ354190</t>
  </si>
  <si>
    <t>ΑΙ854425</t>
  </si>
  <si>
    <t>ΑΚ120584</t>
  </si>
  <si>
    <t>ΣΠΥΡΙΔΟΥΛΑ ΠΑΝΑΓΙΩΤΑ</t>
  </si>
  <si>
    <t>ΑΒ083839</t>
  </si>
  <si>
    <t>ΑΕ691571</t>
  </si>
  <si>
    <t>ΚΟΥΦΟΠΕΤΡΟΥ</t>
  </si>
  <si>
    <t>ΑΗ380317</t>
  </si>
  <si>
    <t>ΣΤΑΥΡΟΥΛΑΚΗΣ</t>
  </si>
  <si>
    <t>ΑΕ972733</t>
  </si>
  <si>
    <t>ΠΕΛΙΤΟΓΛΟΥ</t>
  </si>
  <si>
    <t>ΑΙ154276</t>
  </si>
  <si>
    <t>ΛΑΓΟΣ</t>
  </si>
  <si>
    <t>ΕΜΜΑΝΟΥΗΛ ΔΗΜΗΤΡΙΟΣ</t>
  </si>
  <si>
    <t>ΑΕ551877</t>
  </si>
  <si>
    <t>ΑΙ448927</t>
  </si>
  <si>
    <t>ΣΚΑΜΠΑΡΔΩΝΗ</t>
  </si>
  <si>
    <t>ΑΗ208061</t>
  </si>
  <si>
    <t>ΤΡΙΑΔΑ ΚΩΝΣΤΑΝΤΙΝΑ</t>
  </si>
  <si>
    <t>ΑΙ478352</t>
  </si>
  <si>
    <t>ΜΟΥΡΤΖΟΥΚΟΥ</t>
  </si>
  <si>
    <t>Χ488704</t>
  </si>
  <si>
    <t>ΤΖΙΚΙΔΟΥ</t>
  </si>
  <si>
    <t>ΑΗ181994</t>
  </si>
  <si>
    <t>ΣΟΦΙΑ ΑΓΓΕΛΙΚΗ</t>
  </si>
  <si>
    <t>ΑΝ726663</t>
  </si>
  <si>
    <t>ΚΩΝΣΤΑΝΤΙΝΑ ΕΛΕΝΗ</t>
  </si>
  <si>
    <t>ΑΙ050764</t>
  </si>
  <si>
    <t>ΝΤΑΝΟΥ</t>
  </si>
  <si>
    <t>ΑΖ719742</t>
  </si>
  <si>
    <t>ΑΙ660407</t>
  </si>
  <si>
    <t>ΛΑΜΠΟΥΚΑ</t>
  </si>
  <si>
    <t>ΑΗ932751</t>
  </si>
  <si>
    <t>ΚΟΥΤΣΙΜΠΙΡΗ</t>
  </si>
  <si>
    <t>ΑΝ396603</t>
  </si>
  <si>
    <t>ΑΚ437626</t>
  </si>
  <si>
    <t>ΚΑΡΥΔΙΑΝΑΚΗ</t>
  </si>
  <si>
    <t>ΑΟ433716</t>
  </si>
  <si>
    <t>ΨΥΧΟΓΥΙΟΥ</t>
  </si>
  <si>
    <t>ΑΙ977684</t>
  </si>
  <si>
    <t>ΑΙ479070</t>
  </si>
  <si>
    <t>ΑΕ795406</t>
  </si>
  <si>
    <t>ΓΚΑΖΑ</t>
  </si>
  <si>
    <t>ΑΚ414978</t>
  </si>
  <si>
    <t>ΑΜ378376</t>
  </si>
  <si>
    <t>ΑΙ249317</t>
  </si>
  <si>
    <t>ΑΙ753349</t>
  </si>
  <si>
    <t>ΜΑΥΡΩΔΗ</t>
  </si>
  <si>
    <t>ΑΗ892250</t>
  </si>
  <si>
    <t>ΑΖ085832</t>
  </si>
  <si>
    <t>ΑΗ368004</t>
  </si>
  <si>
    <t>ΑΗ294517</t>
  </si>
  <si>
    <t>ΣΚΟΡΔΟΠΟΥΛΟΥ</t>
  </si>
  <si>
    <t>ΜΑΡΙΑ ΗΛΕΚΤΡΑ</t>
  </si>
  <si>
    <t>ΑΝ916266</t>
  </si>
  <si>
    <t>ΑΝ092537</t>
  </si>
  <si>
    <t>ΑΙ816919</t>
  </si>
  <si>
    <t>ΣΥΡΜΟΥ</t>
  </si>
  <si>
    <t>ΑΗ126582</t>
  </si>
  <si>
    <t>ΜΑΥΡΙΔΗ</t>
  </si>
  <si>
    <t>ΑΖ114676</t>
  </si>
  <si>
    <t>ΤΖΑΚΟΥ</t>
  </si>
  <si>
    <t>ΑΖ080970</t>
  </si>
  <si>
    <t>ΑΙ445908</t>
  </si>
  <si>
    <t>ΑΜ270732</t>
  </si>
  <si>
    <t>ΑΒ265314</t>
  </si>
  <si>
    <t>ΑΜ382792</t>
  </si>
  <si>
    <t>Χ315583</t>
  </si>
  <si>
    <t>ΠΟΝΤΙΚΟΥ</t>
  </si>
  <si>
    <t>ΑΖ731159</t>
  </si>
  <si>
    <t>ΜΑΡΓΕΤΗ</t>
  </si>
  <si>
    <t>ΑΚ839493</t>
  </si>
  <si>
    <t>ΑΙ779378</t>
  </si>
  <si>
    <t>ΠΑΠΑΣΤΑΦΙΔΑΣ</t>
  </si>
  <si>
    <t>ΑΙ858648</t>
  </si>
  <si>
    <t>ΑΙ767635</t>
  </si>
  <si>
    <t>ΑΗ146523</t>
  </si>
  <si>
    <t>ΑΡΚΟΥΔΗ</t>
  </si>
  <si>
    <t>ΑΖ736908</t>
  </si>
  <si>
    <t>ΑΖ713348</t>
  </si>
  <si>
    <t>ΑΛΙΚΗ ΝΙΚΗ</t>
  </si>
  <si>
    <t>ΑΚ390723</t>
  </si>
  <si>
    <t>ΑΕ824516</t>
  </si>
  <si>
    <t>ΑΒ394603</t>
  </si>
  <si>
    <t>ΑΜ530831</t>
  </si>
  <si>
    <t>ΑΗ488889</t>
  </si>
  <si>
    <t>ΛΑΤΣΑΙ</t>
  </si>
  <si>
    <t>ΜΑΡΙΑ ΕΓΚΛΑΝΤΙΝΑ</t>
  </si>
  <si>
    <t>ΠΙΛΟ</t>
  </si>
  <si>
    <t>ΑΝ245529</t>
  </si>
  <si>
    <t>ΓΚΕΣΙΔΟΥ</t>
  </si>
  <si>
    <t>ΑΚ296252</t>
  </si>
  <si>
    <t>ΑΚΡΙΒΟΥΣΗ</t>
  </si>
  <si>
    <t>ΑΜ286789</t>
  </si>
  <si>
    <t>ΒΕΝΗ</t>
  </si>
  <si>
    <t>ΛΥΓΕΡΗ</t>
  </si>
  <si>
    <t>ΑΙ076194</t>
  </si>
  <si>
    <t>ΑΙ349678</t>
  </si>
  <si>
    <t>ΑΚ129321</t>
  </si>
  <si>
    <t>ΠΑΛΟΓΟΥ</t>
  </si>
  <si>
    <t>ΑΟ020402</t>
  </si>
  <si>
    <t>Χ775729</t>
  </si>
  <si>
    <t>ΓΟΥΛΗ</t>
  </si>
  <si>
    <t>ΑΚ023241</t>
  </si>
  <si>
    <t>ΑΖ740246</t>
  </si>
  <si>
    <t>ΚΑΛΛΙΑ</t>
  </si>
  <si>
    <t>ΑΝ354663</t>
  </si>
  <si>
    <t>ΓΙΑΡΙΚΑ</t>
  </si>
  <si>
    <t>ΑΙ690619</t>
  </si>
  <si>
    <t>ΚΩΤΣΙΑΝΟΥΛΗ</t>
  </si>
  <si>
    <t>ΧΑΡΙΚΛΕΙΑ ΡΑΦΑΗΛΙΑ</t>
  </si>
  <si>
    <t>ΑΡ235579</t>
  </si>
  <si>
    <t>ΡΕΛΛΟΥ</t>
  </si>
  <si>
    <t>ΑΚ649329</t>
  </si>
  <si>
    <t>ΑΝ994088</t>
  </si>
  <si>
    <t>ΣΙΔΗΡΟΚΑΣΤΡΙΤΗ</t>
  </si>
  <si>
    <t>ΑΙ147057</t>
  </si>
  <si>
    <t>ΠΡΩΙΜΑΚΗ</t>
  </si>
  <si>
    <t>ΑΗ626692</t>
  </si>
  <si>
    <t>ΑΗ476866</t>
  </si>
  <si>
    <t>ΚΑΤΑΚΑΛΟΥ</t>
  </si>
  <si>
    <t>ΑΒ674988</t>
  </si>
  <si>
    <t>ΓΕΩΡΓΙΑ ΒΑΛΕΝΤΙΝΑ</t>
  </si>
  <si>
    <t>ΑΙ887055</t>
  </si>
  <si>
    <t>ΚΡΟΥΣΤΑΛΑΚΗ</t>
  </si>
  <si>
    <t>ΑΗ402857</t>
  </si>
  <si>
    <t>ΡΙΜΠΑ</t>
  </si>
  <si>
    <t>ΑΙ738908</t>
  </si>
  <si>
    <t>ΦΑΝΟΥΡΙΑ</t>
  </si>
  <si>
    <t>ΑΗ456689</t>
  </si>
  <si>
    <t>ΑΙ177230</t>
  </si>
  <si>
    <t>ΠΑΛΑΣΙΔΟΥ</t>
  </si>
  <si>
    <t>ΑΖ399310</t>
  </si>
  <si>
    <t>ΤΣΑΡΤΖΙΔΟΥ</t>
  </si>
  <si>
    <t>ΑΕ340875</t>
  </si>
  <si>
    <t>ΑΗ614182</t>
  </si>
  <si>
    <t>ΔΑΓΚΩΝΑΚΗ</t>
  </si>
  <si>
    <t>ΑΗ958623</t>
  </si>
  <si>
    <t>ΑΖ510461</t>
  </si>
  <si>
    <t>ΠΑΧΟΥΝΤΑΚΗ</t>
  </si>
  <si>
    <t>ΑΖ305639</t>
  </si>
  <si>
    <t>Τ865916</t>
  </si>
  <si>
    <t>ΤΕΝΑΝΑΚΗ</t>
  </si>
  <si>
    <t>ΘΕΟΦΑΝΩ</t>
  </si>
  <si>
    <t>ΑΖ906666</t>
  </si>
  <si>
    <t>ΜΑΝΤΟΠΟΥΛΟΥ</t>
  </si>
  <si>
    <t>ΑΙ726670</t>
  </si>
  <si>
    <t>ΣΤΥΛΙΑΡΑ</t>
  </si>
  <si>
    <t>ΑΚ681126</t>
  </si>
  <si>
    <t>ΒΕΙΟΓΛΑΝΗ</t>
  </si>
  <si>
    <t>ΑΙ638727</t>
  </si>
  <si>
    <t>ΓΟΥΔΗ</t>
  </si>
  <si>
    <t xml:space="preserve">ΚΩΝΣΤΑΝΤΙΝΟΣ ΘΩΜΑΣ </t>
  </si>
  <si>
    <t>ΑΖ846258</t>
  </si>
  <si>
    <t>ΛΟΓΚΑΚΗ ΚΑΜΠΑΝΑΚΗ</t>
  </si>
  <si>
    <t>ΑΝ035283</t>
  </si>
  <si>
    <t>ΑΙ376091</t>
  </si>
  <si>
    <t>ΚΟΛΤΣΙΚΟΓΛΟΥ</t>
  </si>
  <si>
    <t>ΑΟ329435</t>
  </si>
  <si>
    <t>ΚΟΝΔΥΛΙΑ</t>
  </si>
  <si>
    <t>ΑΝ415145</t>
  </si>
  <si>
    <t>ΙΚΑΡΟΣ</t>
  </si>
  <si>
    <t>ΑΝ130673</t>
  </si>
  <si>
    <t>ΑΒ480022</t>
  </si>
  <si>
    <t>ΚΟΥΤΣΟΥΜΠΟΥ</t>
  </si>
  <si>
    <t>ΑΒ782690</t>
  </si>
  <si>
    <t>ΑΚ289811</t>
  </si>
  <si>
    <t>ΑΗ724920</t>
  </si>
  <si>
    <t>ΑΚ350763</t>
  </si>
  <si>
    <t>ΑΖ243217</t>
  </si>
  <si>
    <t>ΑΜ571630</t>
  </si>
  <si>
    <t>ΤΣΟΥΤΣΗ</t>
  </si>
  <si>
    <t>ΑΗ636118</t>
  </si>
  <si>
    <t>ΑΖ799534</t>
  </si>
  <si>
    <t>ΒΑΣΙΛΟΥ</t>
  </si>
  <si>
    <t>ΑΜ150994</t>
  </si>
  <si>
    <t>ΠΑΠΙΓΚΙΩΤΗ</t>
  </si>
  <si>
    <t>ΑΜ787125</t>
  </si>
  <si>
    <t>ΠΡΑΣΣΟΥ</t>
  </si>
  <si>
    <t>ΑΙ332691</t>
  </si>
  <si>
    <t>ΓΙΑΝΝΑΔΑΚΗ</t>
  </si>
  <si>
    <t>ΑΙ434741</t>
  </si>
  <si>
    <t>ΝΙΚΟΛΑΟΣ ΕΜΜΑΝΟΥΗΛ</t>
  </si>
  <si>
    <t>ΑΝ244460</t>
  </si>
  <si>
    <t>ΑΟ233656</t>
  </si>
  <si>
    <t>ΜΠΑΛΤΑ</t>
  </si>
  <si>
    <t>ΑΚ496199</t>
  </si>
  <si>
    <t>ΒΑΣΣΑΚΗ</t>
  </si>
  <si>
    <t>ΡΑΛΛΗΣ</t>
  </si>
  <si>
    <t>ΑΜ399867</t>
  </si>
  <si>
    <t>ΓΚΟΥΝΤΙΛΟΥΔΗ</t>
  </si>
  <si>
    <t>ΑΗ925487</t>
  </si>
  <si>
    <t>ΑΙ477083</t>
  </si>
  <si>
    <t>ΜΟΥΡΤΣΕΚΑ</t>
  </si>
  <si>
    <t>ΑΘΑΝΑΣΙΑ ΣΟΥΛΤANA</t>
  </si>
  <si>
    <t>ΑΚ978507</t>
  </si>
  <si>
    <t>ΠΕΧΛΙΒΑΝΗΣ</t>
  </si>
  <si>
    <t>ΑΗ879880</t>
  </si>
  <si>
    <t>ΧΡΙΣΤΙΝΑ ΦΑΝΗ</t>
  </si>
  <si>
    <t>ΑΟ037174</t>
  </si>
  <si>
    <t>ΑΖ755101</t>
  </si>
  <si>
    <t>ΨΩΜΑΘΙΑΝΟΥ</t>
  </si>
  <si>
    <t>ΑΟ627021</t>
  </si>
  <si>
    <t>ΚΑΛΑΦΑΤΗΣ</t>
  </si>
  <si>
    <t>ΑΝ143610</t>
  </si>
  <si>
    <t xml:space="preserve">ΚΟΣΜΑΣ </t>
  </si>
  <si>
    <t>ΑΒ480624</t>
  </si>
  <si>
    <t>ΚΩΝΣΤΑΝΤΙΝΑ ΜΑΡΓΑΡΙΤΑ</t>
  </si>
  <si>
    <t>ΑΙ660485</t>
  </si>
  <si>
    <t>ΤΡΑΓΙΑΝΑ</t>
  </si>
  <si>
    <t>ΑΙ879120</t>
  </si>
  <si>
    <t>ΤΣΙΠΡΟΠΟΥΛΟΥ</t>
  </si>
  <si>
    <t>ΑΜ882972</t>
  </si>
  <si>
    <t>ΜΑΝΔΑΛΟΠΟΥΛΟΥ</t>
  </si>
  <si>
    <t>ΑΙ409707</t>
  </si>
  <si>
    <t>ΑΗ828831</t>
  </si>
  <si>
    <t>HΛΙΑΝΑ</t>
  </si>
  <si>
    <t>ΑΒ403106</t>
  </si>
  <si>
    <t>ΡΟΥΦΟΓΑΛΗ</t>
  </si>
  <si>
    <t>ΑΗ202349</t>
  </si>
  <si>
    <t>ΠΡΙΤΣΚΑ</t>
  </si>
  <si>
    <t>ΑΗ313227</t>
  </si>
  <si>
    <t>ΑΝΑΣΤΑΣΙΑΔΗ ΔΙΑΜΑΝΤΗ</t>
  </si>
  <si>
    <t>ΑΑ727108</t>
  </si>
  <si>
    <t>ΠΑΝΤΟΥ</t>
  </si>
  <si>
    <t>ΑΜ368057</t>
  </si>
  <si>
    <t>ΧΑΡΕΜΗ</t>
  </si>
  <si>
    <t>ΑΙ491402</t>
  </si>
  <si>
    <t>ΣΙΑΡΚΑ</t>
  </si>
  <si>
    <t>ΑΙ510661</t>
  </si>
  <si>
    <t>Χ094122</t>
  </si>
  <si>
    <t>ΠΡΕΣΒΕΛΟΥ</t>
  </si>
  <si>
    <t>ΑΖ637392</t>
  </si>
  <si>
    <t>ΑΝ473559</t>
  </si>
  <si>
    <t>ΑΖ715727</t>
  </si>
  <si>
    <t>ΣΑΓΙΟΓΛΟΥ</t>
  </si>
  <si>
    <t>ΑΚ033685</t>
  </si>
  <si>
    <t>ΑΙ492426</t>
  </si>
  <si>
    <t>ΑΙ479557</t>
  </si>
  <si>
    <t>ΛΙΓΝΟΥ</t>
  </si>
  <si>
    <t>ΑΖ033834</t>
  </si>
  <si>
    <t>ΒΑΣΙΛΑΚΑΚΗ</t>
  </si>
  <si>
    <t>ΑΕ468811</t>
  </si>
  <si>
    <t>ΖΥΓΟΓΙΑΝΝΗ</t>
  </si>
  <si>
    <t>ΑΝ670899</t>
  </si>
  <si>
    <t>ΑΓΑΘΟΥ</t>
  </si>
  <si>
    <t>ΑΙ272474</t>
  </si>
  <si>
    <t>ΚΟΥΣΚΟΥΡΑ</t>
  </si>
  <si>
    <t>ΑΚ310216</t>
  </si>
  <si>
    <t>ΑΚ648416</t>
  </si>
  <si>
    <t>ΑΖ594072</t>
  </si>
  <si>
    <t>ΑΖ241433</t>
  </si>
  <si>
    <t>ΖΟΡΔΟΜΠΑ</t>
  </si>
  <si>
    <t>ΑΖ776470</t>
  </si>
  <si>
    <t>ΑΟ074413</t>
  </si>
  <si>
    <t>ΤΣΑΤΣΑΝΗ</t>
  </si>
  <si>
    <t>ΑΜ108871</t>
  </si>
  <si>
    <t>ΜΑΛΛΙΩΡΑ</t>
  </si>
  <si>
    <t>ΑΙ165965</t>
  </si>
  <si>
    <t>ΓΕΩΡΓΑΚΟΠΟΥΛΟΣ</t>
  </si>
  <si>
    <t>Χ658273</t>
  </si>
  <si>
    <t>ΜΗΛΑΚΗ</t>
  </si>
  <si>
    <t>ΚΟΡΝΕΛΑΤΟΥ</t>
  </si>
  <si>
    <t>ΑΡ042171</t>
  </si>
  <si>
    <t>ΦΟΥΛΟΥ</t>
  </si>
  <si>
    <t>ΦΩΤΕΙΝΗ ΔΙΟΝΥΣΙΑ</t>
  </si>
  <si>
    <t>ΑΙ674960</t>
  </si>
  <si>
    <t>ΤΣΟΥΜΑΛΗ</t>
  </si>
  <si>
    <t>ΑΝΤΩΝΙΑ ΕΙΡΗΝΗ</t>
  </si>
  <si>
    <t>ΑΖ623459</t>
  </si>
  <si>
    <t>ΑΕ243703</t>
  </si>
  <si>
    <t>ΑΝ673366</t>
  </si>
  <si>
    <t>ΓΕΩΡΓΙΝΑ</t>
  </si>
  <si>
    <t>Χ512505</t>
  </si>
  <si>
    <t>ΑΖ551445</t>
  </si>
  <si>
    <t>Χ146290</t>
  </si>
  <si>
    <t>ΑΖ220478</t>
  </si>
  <si>
    <t>Χ678425</t>
  </si>
  <si>
    <t>ΑΗ714287</t>
  </si>
  <si>
    <t>ΚΑΚΑΙΔΗ</t>
  </si>
  <si>
    <t>ΑΜΕΡΙΚΑΝΟΥ</t>
  </si>
  <si>
    <t>ΑΕ524746</t>
  </si>
  <si>
    <t>ΓΑΝΤΖΟΥΔΗ</t>
  </si>
  <si>
    <t>ΑΙ821693</t>
  </si>
  <si>
    <t>Σ886688</t>
  </si>
  <si>
    <t>ΑΑ020489</t>
  </si>
  <si>
    <t>Χ124751</t>
  </si>
  <si>
    <t>ΣΑΡΓΙΑΝΟΥ</t>
  </si>
  <si>
    <t>ΑΙ051852</t>
  </si>
  <si>
    <t>ΚΑΦΑΝΤΑΡΙΔΟΥ</t>
  </si>
  <si>
    <t>Φ453581</t>
  </si>
  <si>
    <t>ΑΟ369980</t>
  </si>
  <si>
    <t>ΚΑΡΑΜΕΤΑ</t>
  </si>
  <si>
    <t>Φ076719</t>
  </si>
  <si>
    <t>ΝΤΑΚΟΥ</t>
  </si>
  <si>
    <t>ΑΗ283864</t>
  </si>
  <si>
    <t>ΜΗΚΑ</t>
  </si>
  <si>
    <t>ΑΗ880799</t>
  </si>
  <si>
    <t>ΣΙΛΤΖΟΒΑΛΗ</t>
  </si>
  <si>
    <t>ΑΗ539914</t>
  </si>
  <si>
    <t>ΜΑΥΡΙΔΗΣ</t>
  </si>
  <si>
    <t>ΑΜ474229</t>
  </si>
  <si>
    <t>ΑΗ953666</t>
  </si>
  <si>
    <t>ΑΖ794157</t>
  </si>
  <si>
    <t>ΝΕΡΑΤΖΗ</t>
  </si>
  <si>
    <t>ΑΙ558502</t>
  </si>
  <si>
    <t>ΛΑΜΠΡΟΣ ΤΣΙΓΑΡΙΔΑΣ</t>
  </si>
  <si>
    <t>ΑΒ802406</t>
  </si>
  <si>
    <t>ΧΑΤΖΗΡΑΛΛΗ</t>
  </si>
  <si>
    <t>ΑΝ435928</t>
  </si>
  <si>
    <t>ΚΡΥΣΤΑΛΛΑΚΗ</t>
  </si>
  <si>
    <t>ΑΒ967608</t>
  </si>
  <si>
    <t>ΚΟΥΡΟΥΚΕΡΕΖΗ</t>
  </si>
  <si>
    <t>ΑΗ176939</t>
  </si>
  <si>
    <t>ΑΝ408919</t>
  </si>
  <si>
    <t>ΣΓΟΥΡΟΥ</t>
  </si>
  <si>
    <t>ΑΙ297171</t>
  </si>
  <si>
    <t>ΣΑΠΑΝΙΔΟΥ</t>
  </si>
  <si>
    <t>ΑΙ749104</t>
  </si>
  <si>
    <t>ΩΡΟΛΟΓΑ</t>
  </si>
  <si>
    <t>ΑΚ314063</t>
  </si>
  <si>
    <t>ΚΟΥΤΣΟΥΡΑΚΗ</t>
  </si>
  <si>
    <t>ΜΑΡΙΑ ΑΝΘΟΥΛΑ</t>
  </si>
  <si>
    <t>ΑΜ657018</t>
  </si>
  <si>
    <t>ΧΑΡΙΤΟΣ</t>
  </si>
  <si>
    <t>ΔΗΜΗΤΡΙΟΣ ΠΑΝΑΓΙΩΤΗΣ</t>
  </si>
  <si>
    <t>ΑΗ003095</t>
  </si>
  <si>
    <t>ΤΣΙΤΣΟΥ</t>
  </si>
  <si>
    <t>ΑΖ215393</t>
  </si>
  <si>
    <t>ΠΑΔΟΥΒΑ ΜΑΡΚΟΥΛΑΚΗ</t>
  </si>
  <si>
    <t>ΑΙ944335</t>
  </si>
  <si>
    <t>ΚΑΤΕΒΑΙΝΗ ΜΠΙΤΖΟΥ</t>
  </si>
  <si>
    <t>ΑΙ954377</t>
  </si>
  <si>
    <t>ΜΑΝΤΑ ΑΡΓΥΡΟΠΟΥΛΟΥ</t>
  </si>
  <si>
    <t>ΑΚ375056</t>
  </si>
  <si>
    <t>ΑΗ494759</t>
  </si>
  <si>
    <t>ΜΠΟΥΡΟΥ</t>
  </si>
  <si>
    <t>ΣΤΑΜΑΤΟΥΛΑ</t>
  </si>
  <si>
    <t>ΑΙ987433</t>
  </si>
  <si>
    <t>ΑΗ768345</t>
  </si>
  <si>
    <t>ΣΕΦΕΡΟΓΛΟΥ</t>
  </si>
  <si>
    <t>ΑΑ106303</t>
  </si>
  <si>
    <t>ΠΟΛΙΤΟΥ</t>
  </si>
  <si>
    <t>ΖΩΗ ΕΥΑΓΓΕΛΙΑ</t>
  </si>
  <si>
    <t>ΑΟ062567</t>
  </si>
  <si>
    <t>ΣΑΚΚΑ ΜΠΟΖΑ</t>
  </si>
  <si>
    <t>ΑΚ860441</t>
  </si>
  <si>
    <t>ΚΑΤΣΑΝΙΩΤΗ</t>
  </si>
  <si>
    <t>ΑΙ765415</t>
  </si>
  <si>
    <t>ΨΕΥΤΟΓΙΑΝΝΗ</t>
  </si>
  <si>
    <t>ΑΟ081683</t>
  </si>
  <si>
    <t>ΤΑΜΠΡΑΤΖΗ</t>
  </si>
  <si>
    <t>ΑΚ414959</t>
  </si>
  <si>
    <t>ΣΑΡΑΝΤΑΡΗ ΧΑΤΖΗΚΩΝΣΤΑΝΤΙΝΟΥ</t>
  </si>
  <si>
    <t>ΑΙ733795</t>
  </si>
  <si>
    <t>ΑΝΑΜΑΤΕΡΟΥ</t>
  </si>
  <si>
    <t>ΙΣΙΔΩΡΑ ΣΤΑΥΡΟΥΛΑ</t>
  </si>
  <si>
    <t>ΑΙ548609</t>
  </si>
  <si>
    <t>ΠΛΙΑΜΠΑ</t>
  </si>
  <si>
    <t>ΑΝ218907</t>
  </si>
  <si>
    <t>ΚΑΝΕΛΛΑ ΑΝΝΑ</t>
  </si>
  <si>
    <t>ΠΑΝΑΓΙΩΤΗ</t>
  </si>
  <si>
    <t>ΑΑ426055</t>
  </si>
  <si>
    <t>ΑΜ760854</t>
  </si>
  <si>
    <t>ΑΙ701633</t>
  </si>
  <si>
    <t>ΛΙΟΝΤΗ</t>
  </si>
  <si>
    <t>ΑΒ779522</t>
  </si>
  <si>
    <t>ΑΕ550511</t>
  </si>
  <si>
    <t>Τ121252</t>
  </si>
  <si>
    <t>ΒΑΣΙΟΥ</t>
  </si>
  <si>
    <t>ΑΗ622245</t>
  </si>
  <si>
    <t>ΒΑΜΒΑΣΑΚΗ</t>
  </si>
  <si>
    <t>ΑΙ593922</t>
  </si>
  <si>
    <t>ΑΜ124010</t>
  </si>
  <si>
    <t>ΑΕ123842</t>
  </si>
  <si>
    <t>ΧΑΤΖΑΡΑ</t>
  </si>
  <si>
    <t>ΑΗ831252</t>
  </si>
  <si>
    <t>ΤΖΙΚΟΥ</t>
  </si>
  <si>
    <t>ΑΚ783202</t>
  </si>
  <si>
    <t xml:space="preserve">ΜΑΚΡΙΔΟΥ </t>
  </si>
  <si>
    <t>ΑΕ336701</t>
  </si>
  <si>
    <t>ΛΙΑΡΑΤΣΙΚΑ</t>
  </si>
  <si>
    <t>ΑΝ851817</t>
  </si>
  <si>
    <t>ΤΡΙΤΑΡΗ</t>
  </si>
  <si>
    <t>ΑΚ201980</t>
  </si>
  <si>
    <t>ΑΙ256727</t>
  </si>
  <si>
    <t>ΑΖ803631</t>
  </si>
  <si>
    <t>ΑΙ750695</t>
  </si>
  <si>
    <t>ΑΣΤΕΡΙΟΣ ΕΥΣΤΑΘΙΟΣ</t>
  </si>
  <si>
    <t>ΑΚ287640</t>
  </si>
  <si>
    <t>ΚΑΡΒΟΥΝΙΑΡΗ</t>
  </si>
  <si>
    <t>ΜΑΛΑΜΑΤΕΝΙΑ ΡΑΦΑΗΛΙΑ</t>
  </si>
  <si>
    <t>ΑΗ215582</t>
  </si>
  <si>
    <t>ΓΚΟΤΣΗ</t>
  </si>
  <si>
    <t>ΑΝ290673</t>
  </si>
  <si>
    <t>ΠΑΝΙΔΗ</t>
  </si>
  <si>
    <t>ΑΕ015634</t>
  </si>
  <si>
    <t>ΑΙ662866</t>
  </si>
  <si>
    <t>ΑΛΕΠΙΔΟΥ</t>
  </si>
  <si>
    <t>ΑΗ669399</t>
  </si>
  <si>
    <t>ΛΕΙΣΟΥ</t>
  </si>
  <si>
    <t>ΑΝ720543</t>
  </si>
  <si>
    <t>ΚΑΝΑΚΑΡΗ</t>
  </si>
  <si>
    <t>ΑΗ851470</t>
  </si>
  <si>
    <t>ΘΕΟΦΙΛΗ</t>
  </si>
  <si>
    <t>ΑΟ077134</t>
  </si>
  <si>
    <t>ΣΑΛΛΗ</t>
  </si>
  <si>
    <t>ΑΗ595887</t>
  </si>
  <si>
    <t>ΧΑΡΑΒΕΛΟΥΛΗ</t>
  </si>
  <si>
    <t>ΑΜ367014</t>
  </si>
  <si>
    <t>ΑΚ091424</t>
  </si>
  <si>
    <t>ΑΖ581076</t>
  </si>
  <si>
    <t>ΑΕ039739</t>
  </si>
  <si>
    <t>ΑΜ677457</t>
  </si>
  <si>
    <t>ΑΝ240436</t>
  </si>
  <si>
    <t>ΑΝ953802</t>
  </si>
  <si>
    <t>ΛΟΥΠΑΣΑΚΗ</t>
  </si>
  <si>
    <t>ΙΩΑΝΝΑ ΑΝΝΑ</t>
  </si>
  <si>
    <t>ΑΙ466046</t>
  </si>
  <si>
    <t>ΤΣΕΝΤΖΟΥ</t>
  </si>
  <si>
    <t>Χ411085</t>
  </si>
  <si>
    <t>ΜΠΟΥΡΣΙΝΟΣ</t>
  </si>
  <si>
    <t>ΑΟ859844</t>
  </si>
  <si>
    <t>ΚΛΕΙΔΩΝΑΡΗ</t>
  </si>
  <si>
    <t>ΑΜ683491</t>
  </si>
  <si>
    <t>ΒΑΡΕΛΗ</t>
  </si>
  <si>
    <t>ΑΙ207359</t>
  </si>
  <si>
    <t>ΣΙΜΟΡΕΛΗ</t>
  </si>
  <si>
    <t>Φ332356</t>
  </si>
  <si>
    <t>ΑΕ728023</t>
  </si>
  <si>
    <t>ΑΗ429278</t>
  </si>
  <si>
    <t>ΣΤΡΟΥΜΠΑΚΟΥ</t>
  </si>
  <si>
    <t>ΑΟ316348</t>
  </si>
  <si>
    <t>Ρ782966</t>
  </si>
  <si>
    <t>ΖΑΡΚΑΔΑΚΗ</t>
  </si>
  <si>
    <t>ΑΝ321652</t>
  </si>
  <si>
    <t>ΜΠΟΝΤΣΑ</t>
  </si>
  <si>
    <t>ΑΙ179904</t>
  </si>
  <si>
    <t>ΑΙ699967</t>
  </si>
  <si>
    <t>ΑΝ797471</t>
  </si>
  <si>
    <t>ΚΟΜΠΟΤΗ</t>
  </si>
  <si>
    <t>ΑΕ993840</t>
  </si>
  <si>
    <t>ΒΑΓΚΑ</t>
  </si>
  <si>
    <t>ΑΚ052440</t>
  </si>
  <si>
    <t>ΑΙ139680</t>
  </si>
  <si>
    <t>ΣΟΥΚΟΒΕΛΟΥ</t>
  </si>
  <si>
    <t>ΑΝ290641</t>
  </si>
  <si>
    <t>ΑΙΚΑΤΕΡΙΝΙΔΗΣ</t>
  </si>
  <si>
    <t>ΑΖ466288</t>
  </si>
  <si>
    <t>ΣΑΛΟΝΙΚΙΔΗΣ</t>
  </si>
  <si>
    <t>ΑΚ310127</t>
  </si>
  <si>
    <t>ΚΟΥΡΙΚΑ</t>
  </si>
  <si>
    <t>ΑΙ793364</t>
  </si>
  <si>
    <t>ΠΑΠΑΔΟΠΟΥΛΟΥ ΛΙΑΣΗ</t>
  </si>
  <si>
    <t>ΑΜ181346</t>
  </si>
  <si>
    <t>ΚΑΣΜΕΡΙΔΟΥ</t>
  </si>
  <si>
    <t>ΑΝ411788</t>
  </si>
  <si>
    <t>ΑΟ761905</t>
  </si>
  <si>
    <t>ΚΟΥΣΑ</t>
  </si>
  <si>
    <t>ΑΚ873730</t>
  </si>
  <si>
    <t>Σ972986</t>
  </si>
  <si>
    <t>ΖΩΓΑ</t>
  </si>
  <si>
    <t>ΑΗ776956</t>
  </si>
  <si>
    <t>ΜΠΑΙΚΑ</t>
  </si>
  <si>
    <t>ΑΒ007793</t>
  </si>
  <si>
    <t>ΑΙ802543</t>
  </si>
  <si>
    <t>ΑΕ819968</t>
  </si>
  <si>
    <t>ΑΗ707352</t>
  </si>
  <si>
    <t>ΖΕΡΒΑΚΗ</t>
  </si>
  <si>
    <t>ΣΤΥΛΙΑΝΗ ΑΝΑΣΤΑΣΙΑ</t>
  </si>
  <si>
    <t>ΤΙΤΟΣ</t>
  </si>
  <si>
    <t>ΑΗ963913</t>
  </si>
  <si>
    <t>ΜΩΡΟΥΛΗ</t>
  </si>
  <si>
    <t>ΚΛΕΟΔΗΜΟΣ</t>
  </si>
  <si>
    <t>ΑΖ233552</t>
  </si>
  <si>
    <t>ΑΖ755085</t>
  </si>
  <si>
    <t>ΕΞΑΡΧΟΣ</t>
  </si>
  <si>
    <t>ΑΕ201211</t>
  </si>
  <si>
    <t>ΦΑΛΕΓΚΑ</t>
  </si>
  <si>
    <t>ΑΙ172964</t>
  </si>
  <si>
    <t>ΔΗΜΟΥΣΗ</t>
  </si>
  <si>
    <t>ΑΚ517052</t>
  </si>
  <si>
    <t>ΑΗ332273</t>
  </si>
  <si>
    <t>ΑΓΓΕΛΙΚΗ ΚΑΛΛΙΟΠΗ</t>
  </si>
  <si>
    <t>ΑΖ606292</t>
  </si>
  <si>
    <t>ΑΝ412897</t>
  </si>
  <si>
    <t>ΑΕ102227</t>
  </si>
  <si>
    <t>ΑΗ181700</t>
  </si>
  <si>
    <t>ΑΙ822774</t>
  </si>
  <si>
    <t>ΑΝ578903</t>
  </si>
  <si>
    <t xml:space="preserve">ΑΝΔΡΙΚΟΠΟΥΛΟΣ </t>
  </si>
  <si>
    <t xml:space="preserve">ΦΙΛΙΠΠΟΣ </t>
  </si>
  <si>
    <t>ΑΟ042887</t>
  </si>
  <si>
    <t>ΚΑΡΑΜΟΥΣΟΥΛΗΣ</t>
  </si>
  <si>
    <t>ΑΚ966377</t>
  </si>
  <si>
    <t>ΔΕΝΗ</t>
  </si>
  <si>
    <t>ΧΡΙΣΤΙΝΑ ΧΡΥΣΟΥΛΑ</t>
  </si>
  <si>
    <t>ΑΖ815477</t>
  </si>
  <si>
    <t>ΤΣΙΡΟΥ</t>
  </si>
  <si>
    <t>ΑΗ793971</t>
  </si>
  <si>
    <t>ΜΑΣΤΡΟΜΑΝΩΛΗ</t>
  </si>
  <si>
    <t>ΑΙ706568</t>
  </si>
  <si>
    <t>ΑΝΤΟΥΛΙΝΑΚΗ</t>
  </si>
  <si>
    <t>ΑΗ101998</t>
  </si>
  <si>
    <t>ΧΝΑΡΗ</t>
  </si>
  <si>
    <t>ΑΟ542003</t>
  </si>
  <si>
    <t>ΚΑΠΑΡΑΚΗ</t>
  </si>
  <si>
    <t>ΑΙ468898</t>
  </si>
  <si>
    <t>ΦΥΡΙΝΙΔΟΥ</t>
  </si>
  <si>
    <t>ΑΗ885166</t>
  </si>
  <si>
    <t>ΚΑΡΑΓΙΑΝΝΙΔΗΣ</t>
  </si>
  <si>
    <t>ΑΕ662687</t>
  </si>
  <si>
    <t>ΣΠΥΡΑ</t>
  </si>
  <si>
    <t>ΑΚ417752</t>
  </si>
  <si>
    <t>ΧΑΤΖΗΣ</t>
  </si>
  <si>
    <t>ΑΕ185707</t>
  </si>
  <si>
    <t>ΑΡΚΟΥΔΟΓΙΑΝΝΗΣ</t>
  </si>
  <si>
    <t>ΑΜ178307</t>
  </si>
  <si>
    <t>ΒΟΥΚΟΥΤΗ</t>
  </si>
  <si>
    <t>ΑΕ644496</t>
  </si>
  <si>
    <t>ΜΠΟΥΛΟΓΕΩΡΓΟΥ</t>
  </si>
  <si>
    <t>ΑΑ968981</t>
  </si>
  <si>
    <t>ΑΗ783015</t>
  </si>
  <si>
    <t>ΒΟΛΙΚΑΚΗ</t>
  </si>
  <si>
    <t>ΑΚ239743</t>
  </si>
  <si>
    <t>ΑΕ781627</t>
  </si>
  <si>
    <t>ΖΑΓΚΑ</t>
  </si>
  <si>
    <t>ΑΚ237188</t>
  </si>
  <si>
    <t>ΕΛΙΣΑΒΕΤ ΝΙΚΟΛΕΤΑ</t>
  </si>
  <si>
    <t>ΑΙ358564</t>
  </si>
  <si>
    <t>ΓΑΛΟΓΑΥΡΑ</t>
  </si>
  <si>
    <t>ΑΚ605374</t>
  </si>
  <si>
    <t>ΚΥΡΛΑΓΚΙΤΣΗ</t>
  </si>
  <si>
    <t>ΑΗ857842</t>
  </si>
  <si>
    <t>ΡΑΠΤΟΠΟΥΛΟΥ</t>
  </si>
  <si>
    <t>ΑΙ886824</t>
  </si>
  <si>
    <t>ΣΠΥ</t>
  </si>
  <si>
    <t>ΑΜ994266</t>
  </si>
  <si>
    <t>ΤΣΟΥΝΗ</t>
  </si>
  <si>
    <t>Σ379965</t>
  </si>
  <si>
    <t>ΠΑΠΠΑ ΖΟΥΝΤΟΥΡΙΔΟΥ</t>
  </si>
  <si>
    <t>ΑΜ176878</t>
  </si>
  <si>
    <t>ΑΜΟΥΡΓΗ</t>
  </si>
  <si>
    <t>ΑΙ246137</t>
  </si>
  <si>
    <t>ΣΤΑΥΡΟΥΛΑ ΡΟΙΔΩ</t>
  </si>
  <si>
    <t>ΑΖ343626</t>
  </si>
  <si>
    <t>ΠΑΠΑΕΥΘΥΜΙΟΥ</t>
  </si>
  <si>
    <t xml:space="preserve">ΑΝΘΟΥΣΑ </t>
  </si>
  <si>
    <t>ΑΜ513066</t>
  </si>
  <si>
    <t>ΑΘΑΝΑΣΟΓΛΟΥ</t>
  </si>
  <si>
    <t>ΑΜ299370</t>
  </si>
  <si>
    <t>ΑΙ111062</t>
  </si>
  <si>
    <t>ΑΡΚΟΥΛΑΚΗ</t>
  </si>
  <si>
    <t>ΑΒ064349</t>
  </si>
  <si>
    <t>ΜΑΛΟΥΤΑ</t>
  </si>
  <si>
    <t>ΑΖ648192</t>
  </si>
  <si>
    <t>ΜΟΥΤΑΦΙΔΗΣ</t>
  </si>
  <si>
    <t>ΑΝ916624</t>
  </si>
  <si>
    <t>ΑΝ716366</t>
  </si>
  <si>
    <t>ΣΑΛΤΣΙΔΟΥ</t>
  </si>
  <si>
    <t>ΑΙ326622</t>
  </si>
  <si>
    <t>ΓΚΑΡΤΖΟΝΙΚΑ</t>
  </si>
  <si>
    <t>ΑΙ812403</t>
  </si>
  <si>
    <t>ΑΙ364937</t>
  </si>
  <si>
    <t>ΠΕΝΤΑΡΒΑΝΗ</t>
  </si>
  <si>
    <t>ΑΜ104289</t>
  </si>
  <si>
    <t>ΚΑΒΒΑΛΟΥ</t>
  </si>
  <si>
    <t>Χ434481</t>
  </si>
  <si>
    <t>ΦΩΤΟΓΙΑΝΝΟΠΟΥΛΟΣ</t>
  </si>
  <si>
    <t>Ξ209505</t>
  </si>
  <si>
    <t>ΚΟΤΡΩΤΣΙΟΣ</t>
  </si>
  <si>
    <t>ΑΙ814900</t>
  </si>
  <si>
    <t>ΔΙΑΚΑΤΟΥ</t>
  </si>
  <si>
    <t>ΑΝΑΡΓΥΡΟΣ ΗΡΑΚΛΗΣ</t>
  </si>
  <si>
    <t>ΑΖ022719</t>
  </si>
  <si>
    <t>ΠΑΤΡΙΚΑ</t>
  </si>
  <si>
    <t>ΑΖ987466</t>
  </si>
  <si>
    <t>ΣΙΑΜΗΤΡΑ</t>
  </si>
  <si>
    <t>ΑΗ820831</t>
  </si>
  <si>
    <t>ΑΜ516628</t>
  </si>
  <si>
    <t>ΛΥΤΡΟΚΑΠΗ</t>
  </si>
  <si>
    <t>ΑΙ278771</t>
  </si>
  <si>
    <t xml:space="preserve">ΚΑΝΕΛΛΑ </t>
  </si>
  <si>
    <t>Χ29966</t>
  </si>
  <si>
    <t>ΚΑΡΑΜΗΝΑ</t>
  </si>
  <si>
    <t>ΑΟ031347</t>
  </si>
  <si>
    <t>ΒΕΡΓΟΠΟΥΛΟΥ</t>
  </si>
  <si>
    <t>ΑΑ245235</t>
  </si>
  <si>
    <t>ΑΒ351840</t>
  </si>
  <si>
    <t>ΑΚ483902</t>
  </si>
  <si>
    <t>ΒΡΑΤΣΙΣΤΑ</t>
  </si>
  <si>
    <t>ΑΝ186369</t>
  </si>
  <si>
    <t>ΜΑΛΛΙΑ</t>
  </si>
  <si>
    <t>ΑΗ350221</t>
  </si>
  <si>
    <t>ΑΗ658576</t>
  </si>
  <si>
    <t>ΖΟΥΡΜΠΑΝΟΥ</t>
  </si>
  <si>
    <t>ΔΡΟΣΟΥΛΑ ΑΝΝΑ</t>
  </si>
  <si>
    <t>ΑΜ513804</t>
  </si>
  <si>
    <t>ΑΠΟΣΤΟΛΙΑ ΣΤΕΦΑΝΗ</t>
  </si>
  <si>
    <t>ΑΟ413291</t>
  </si>
  <si>
    <t>ΓΙΟΒΑΝΟΠΟΥΛΟΥ</t>
  </si>
  <si>
    <t>ΡΑΦΑΗΛΑ</t>
  </si>
  <si>
    <t>ΑΗ829220</t>
  </si>
  <si>
    <t>ΝΤΑΡΑΚΗ</t>
  </si>
  <si>
    <t>Φ066409</t>
  </si>
  <si>
    <t>ΑΚ203928</t>
  </si>
  <si>
    <t>ΑΝ920092</t>
  </si>
  <si>
    <t>ΝΕΣΤΟΡΙΔΟΥ</t>
  </si>
  <si>
    <t>ΦΩΤΕΙΝΗ ΕΛΠΙΔΑ</t>
  </si>
  <si>
    <t>ΑΚ852912</t>
  </si>
  <si>
    <t>ΑΚ279588</t>
  </si>
  <si>
    <t>ΑΡΑΠ ΜΕΜΕΤ</t>
  </si>
  <si>
    <t>ΕΙΛΕΜ</t>
  </si>
  <si>
    <t>ΦΕΤΑΗ</t>
  </si>
  <si>
    <t>ΑΜ556517</t>
  </si>
  <si>
    <t>ΡΑΠΑΝΑΚΗ</t>
  </si>
  <si>
    <t>ΑΗ532888</t>
  </si>
  <si>
    <t>ΚΑΛΤΙΚΟΠΟΥΛΟΥ</t>
  </si>
  <si>
    <t>ΑΙ523598</t>
  </si>
  <si>
    <t>ΑΚ281011</t>
  </si>
  <si>
    <t>ΑΙ017622</t>
  </si>
  <si>
    <t>ΑΗ614821</t>
  </si>
  <si>
    <t xml:space="preserve">ΙΩΑΝΝΙΔΗ </t>
  </si>
  <si>
    <t>ΑΜ522027</t>
  </si>
  <si>
    <t>ΔΕΣΠΟΙΝΑ ΚΩΝΣΤΑΝΤΙΝΑ</t>
  </si>
  <si>
    <t>ΑΗ265396</t>
  </si>
  <si>
    <t>ΚΑΔΟΓΛΟΥ</t>
  </si>
  <si>
    <t>ΑΝ678439</t>
  </si>
  <si>
    <t>ΦΙΩΤΟΔΗΜΗΤΡΑΚΗ</t>
  </si>
  <si>
    <t>ΑΗ976442</t>
  </si>
  <si>
    <t>ΚΩΝΣΤΑΝΤΝΟΣ</t>
  </si>
  <si>
    <t>ΑΗ488888</t>
  </si>
  <si>
    <t>ΕΛΕΝΗ ΘΕΟΔΟΣΙΑ</t>
  </si>
  <si>
    <t>ΑΙ755306</t>
  </si>
  <si>
    <t>Ρ679971</t>
  </si>
  <si>
    <t>ΝΤΡΕΝΤΣΙΟΥ</t>
  </si>
  <si>
    <t>ΑΚ442421</t>
  </si>
  <si>
    <t>ΣΤΑΜΠΟΥΛΟΠΟΥΛΟΥ</t>
  </si>
  <si>
    <t>ΑΚ352934</t>
  </si>
  <si>
    <t>ΑΖ757031</t>
  </si>
  <si>
    <t>ΑΗ936681</t>
  </si>
  <si>
    <t>ΛΥΜΤΣΙΟΥΛΗ</t>
  </si>
  <si>
    <t>ΑΙ278773</t>
  </si>
  <si>
    <t>ΓΑΛΑΤΕΙΑ ΓΕΩΡΓΙΑ</t>
  </si>
  <si>
    <t>ΑΝ744327</t>
  </si>
  <si>
    <t>ΝΤΑΙΦΩΤΗ</t>
  </si>
  <si>
    <t>ΑΜ695664</t>
  </si>
  <si>
    <t>ΑΗ320941</t>
  </si>
  <si>
    <t>ΚΩΣΤΟΥΛΑ ΝΑΤΑΛΙΑ</t>
  </si>
  <si>
    <t>ΑΜ789308</t>
  </si>
  <si>
    <t>ΠΟΛΥΧΡΟΝΙΔΗΣ</t>
  </si>
  <si>
    <t>ΑΝ231459</t>
  </si>
  <si>
    <t>ΑΗ802107</t>
  </si>
  <si>
    <t>ΑΚ986190</t>
  </si>
  <si>
    <t>ΣΤΕΦΑΝΙΑ ΜΑΡΙΑ</t>
  </si>
  <si>
    <t>ΑΝ307823</t>
  </si>
  <si>
    <t>ΚΑΤΗΜΕΡΤΖΟΓΛΟΥ</t>
  </si>
  <si>
    <t>ΑΙ686390</t>
  </si>
  <si>
    <t>ΑΓΓΕΛΟΥΣΗ</t>
  </si>
  <si>
    <t>ΑΗ820534</t>
  </si>
  <si>
    <t>ΔΑΓΓΑ</t>
  </si>
  <si>
    <t>ΑΗ330865</t>
  </si>
  <si>
    <t>ΕΙΡΗΝΗ ΧΡΥΣΟΒΑΛΑΝΤΗ ΑΓΑΠΗ</t>
  </si>
  <si>
    <t>ΑΟ136739</t>
  </si>
  <si>
    <t>ΑΝ628567</t>
  </si>
  <si>
    <t>ΑΗ480906</t>
  </si>
  <si>
    <t>ΤΑΡΤΑΜΠΟΥΚΑ</t>
  </si>
  <si>
    <t>ΑΚ411299</t>
  </si>
  <si>
    <t>ΣΔΟΥΚΟΥ</t>
  </si>
  <si>
    <t>ΑΗ657976</t>
  </si>
  <si>
    <t>ΒΡΕΤΤΟΥ</t>
  </si>
  <si>
    <t>ΑΗ722410</t>
  </si>
  <si>
    <t>ΤΑΝΑΤΖΗ</t>
  </si>
  <si>
    <t>ΑΗ196080</t>
  </si>
  <si>
    <t>ΑΓΚΡΙΘΑΡΑΚΗ</t>
  </si>
  <si>
    <t>ΕΙΡΗΝΗ ΦΑΝΟΥΡΙΑ</t>
  </si>
  <si>
    <t>ΑΙ096823</t>
  </si>
  <si>
    <t>ΔΡΑΚΙΔΗ</t>
  </si>
  <si>
    <t>ΑΗ990248</t>
  </si>
  <si>
    <t>ΖΟΥΡΙΔΗ</t>
  </si>
  <si>
    <t>ΓΕΩΡΓΙΑ ΣΕΜΕΛΗ</t>
  </si>
  <si>
    <t>ΑΚ670767</t>
  </si>
  <si>
    <t>ΜΑΤΟΥΛΑ</t>
  </si>
  <si>
    <t>ΑΕ309239</t>
  </si>
  <si>
    <t xml:space="preserve">ΚΥΡΙΤΣΗ </t>
  </si>
  <si>
    <t>ΑΚ970092</t>
  </si>
  <si>
    <t>ΑΜ992477</t>
  </si>
  <si>
    <t>ΚΕΣΟΓΛΟΥ</t>
  </si>
  <si>
    <t>ΑΗ150600</t>
  </si>
  <si>
    <t>ΑΖ950224</t>
  </si>
  <si>
    <t>ΓΚΙΟΝΑ</t>
  </si>
  <si>
    <t>ΜΑΡΙΑ ΕΜΙ</t>
  </si>
  <si>
    <t>ΑΝ854404</t>
  </si>
  <si>
    <t>ΑΙ692594</t>
  </si>
  <si>
    <t>ΓΡΙΒΟΚΩΣΤΟΠΟΥΛΟΥ</t>
  </si>
  <si>
    <t>ΑΚ345247</t>
  </si>
  <si>
    <t>ΑΚ351932</t>
  </si>
  <si>
    <t>ΑΜ916780</t>
  </si>
  <si>
    <t>ΔΡΟΥΒΙΩΤΗ</t>
  </si>
  <si>
    <t>ΑΗ722127</t>
  </si>
  <si>
    <t>ΣΕΙΡΑ</t>
  </si>
  <si>
    <t>ΑΖ335082</t>
  </si>
  <si>
    <t>ΑΗ397436</t>
  </si>
  <si>
    <t>ΑΝ216052</t>
  </si>
  <si>
    <t>ΑΚ680132</t>
  </si>
  <si>
    <t>ΑΙ390058</t>
  </si>
  <si>
    <t xml:space="preserve"> ΑΓΑΘΗ</t>
  </si>
  <si>
    <t>ΑΝ701170</t>
  </si>
  <si>
    <t>ΑΑ464261</t>
  </si>
  <si>
    <t>ΚΟΡΑΣΙΔΗ</t>
  </si>
  <si>
    <t>ΑΙ527920</t>
  </si>
  <si>
    <t>ΑΜ349718</t>
  </si>
  <si>
    <t>ΓΑΤΣΑΡΟΥΛΗ</t>
  </si>
  <si>
    <t>ΑΚ405811</t>
  </si>
  <si>
    <t>ΑΙ356420</t>
  </si>
  <si>
    <t>ΑΖ802748</t>
  </si>
  <si>
    <t>ΜΠΙΤΕΡΝΑ</t>
  </si>
  <si>
    <t>ΑΚ439827</t>
  </si>
  <si>
    <t>ΚΟΝΤΟΚΩΣΤΑ</t>
  </si>
  <si>
    <t>ΑΜ812253</t>
  </si>
  <si>
    <t>ΜΑΥΡΟΓΕΩΡΓΗ</t>
  </si>
  <si>
    <t>ΒΑΣΙΛΕΙΑ ΜΑΡΙΑ</t>
  </si>
  <si>
    <t>ΑΜ053813</t>
  </si>
  <si>
    <t>ΤΖΕΠΚΙΝΛΗ</t>
  </si>
  <si>
    <t>ΑΚ115183</t>
  </si>
  <si>
    <t>ΣΕΡΕΤΗ</t>
  </si>
  <si>
    <t>ΑΙ278038</t>
  </si>
  <si>
    <t>ΦΑΝΔΡΙΔΑΚΗ</t>
  </si>
  <si>
    <t>ΑΗ976308</t>
  </si>
  <si>
    <t>ΚΩΝΣΤΑΝΤΙΝΑ ΠΑΡΘΕΝΑ</t>
  </si>
  <si>
    <t>ΑΗ370301</t>
  </si>
  <si>
    <t>ΤΣΙΡΑΚΙΔΟΥ</t>
  </si>
  <si>
    <t>ΑΚ944728</t>
  </si>
  <si>
    <t>ΑΟ795437</t>
  </si>
  <si>
    <t>ΚΟΛΑΓΚΗ</t>
  </si>
  <si>
    <t>ΛΕΚΟ</t>
  </si>
  <si>
    <t>ΑΚ731536</t>
  </si>
  <si>
    <t>ΝΤΟΥΝΗ</t>
  </si>
  <si>
    <t>ΑΖ117894</t>
  </si>
  <si>
    <t>ΚΩΝΣΤΑΝΤΙΝΑ ΓΑΡΥΦΑΛΙ</t>
  </si>
  <si>
    <t>ΑΙ448449</t>
  </si>
  <si>
    <t>ΑΖ855321</t>
  </si>
  <si>
    <t>ΕΛΕΝΗ ΓΕΩΡΓΙΑ</t>
  </si>
  <si>
    <t>ΑΟ054585</t>
  </si>
  <si>
    <t>ΑΟ295286</t>
  </si>
  <si>
    <t>ΑΝΑΤΟΛΙΑ</t>
  </si>
  <si>
    <t>ΑΚ317101</t>
  </si>
  <si>
    <t xml:space="preserve">ΔΗΜΗΤΡΗΣ </t>
  </si>
  <si>
    <t>ΜΥΖΑΛΗ</t>
  </si>
  <si>
    <t>Χ147146</t>
  </si>
  <si>
    <t>ΑΗ812791</t>
  </si>
  <si>
    <t>ΔΕΣΤΟΥΝΗ</t>
  </si>
  <si>
    <t>ΑΟ288500</t>
  </si>
  <si>
    <t>ΑΘΑΝΑΣΙΟΥ ΔΙΑΜΑΝΤΟΠΟΥΛΟΥ</t>
  </si>
  <si>
    <t>ΙΠΠΟΚΡΑΤΗΣ</t>
  </si>
  <si>
    <t>ΑΒ352426</t>
  </si>
  <si>
    <t>ΑΗ351633</t>
  </si>
  <si>
    <t>ΛΟΥΛΟΥΔΑ</t>
  </si>
  <si>
    <t>ΑΖ343514</t>
  </si>
  <si>
    <t>ΝΩΤΗ</t>
  </si>
  <si>
    <t>ΑΚ874370</t>
  </si>
  <si>
    <t>ΧΩΡΙΑΝΟΠΟΥΛΟΥ</t>
  </si>
  <si>
    <t>ΑΜ155131</t>
  </si>
  <si>
    <t>ΝΙΚΟΛΟΥΛΙΑ</t>
  </si>
  <si>
    <t>ΑΒ787601</t>
  </si>
  <si>
    <t>ΚΑΡΑΤΖΟΓΙΑΝΝΗ</t>
  </si>
  <si>
    <t>Φ201046</t>
  </si>
  <si>
    <t>ΚΑΛΑΜΑΤΙΑΝΟΥ</t>
  </si>
  <si>
    <t>ΣΟΦΙΑ ΧΡΙΣΤΙΝΑ</t>
  </si>
  <si>
    <t>ΑΙ674201</t>
  </si>
  <si>
    <t>ΣΠΙΘΟΥΡΑΚΗ</t>
  </si>
  <si>
    <t>ΑΖ972318</t>
  </si>
  <si>
    <t>ΣΤΑΥΡΟΜΗΤΡΟΥ</t>
  </si>
  <si>
    <t>ΑΝ712307</t>
  </si>
  <si>
    <t>ΓΕΩΡΓΑΝΤΟΠΟΥΛΟΥ</t>
  </si>
  <si>
    <t>ΑΙ212489</t>
  </si>
  <si>
    <t>ΚΟΤΣΥΦΑ</t>
  </si>
  <si>
    <t>ΑΚ986598</t>
  </si>
  <si>
    <t>ΖΑΡΚΑΝΕΛΑ</t>
  </si>
  <si>
    <t>ΑΖ321368</t>
  </si>
  <si>
    <t>ΑΚ899346</t>
  </si>
  <si>
    <t>ΜΗΤΣΑΣ</t>
  </si>
  <si>
    <t>Χ236719</t>
  </si>
  <si>
    <t>ΑΚ635898</t>
  </si>
  <si>
    <t>ΚΑΡΑΜΒΑΛΑΣΗ</t>
  </si>
  <si>
    <t>ΑΙ745183</t>
  </si>
  <si>
    <t>ΜΟΥΚΟΥ</t>
  </si>
  <si>
    <t>ΑΚ309796</t>
  </si>
  <si>
    <t>ΛΥΓΟΥΡΗ</t>
  </si>
  <si>
    <t>ΑΙ790814</t>
  </si>
  <si>
    <t>ΜΑΝΤΣΙΟΥ</t>
  </si>
  <si>
    <t>ΑΗ332759</t>
  </si>
  <si>
    <t>ΚΑΝΙΣΤΡΑ</t>
  </si>
  <si>
    <t>ΕΙΡΗΝΗ ΔΙΟΝΥΣΙΑ</t>
  </si>
  <si>
    <t>ΑΙ871396</t>
  </si>
  <si>
    <t>ΑΖ765655</t>
  </si>
  <si>
    <t>ΣΑΜΕΛΗ</t>
  </si>
  <si>
    <t>ΑΙ812152</t>
  </si>
  <si>
    <t>ΓΙΑΚΟΥ</t>
  </si>
  <si>
    <t>ΚΙΤΤΗ</t>
  </si>
  <si>
    <t>ΑΗ987054</t>
  </si>
  <si>
    <t>ΑΜ269516</t>
  </si>
  <si>
    <t>ΑΖ136213</t>
  </si>
  <si>
    <t>ΑΚ690541</t>
  </si>
  <si>
    <t>ΕΥΘΥΜΙΑΔΗ</t>
  </si>
  <si>
    <t>ΑΗ610912</t>
  </si>
  <si>
    <t>ΑΒ300096</t>
  </si>
  <si>
    <t>ΚΟΛΥΒΑ</t>
  </si>
  <si>
    <t>ΑΖ528019</t>
  </si>
  <si>
    <t>ΤΖΑΝΑΤΟΥ</t>
  </si>
  <si>
    <t>ΑΟ591708</t>
  </si>
  <si>
    <t>ΠΙΤΣΙΡΕΛΟΥ</t>
  </si>
  <si>
    <t>ΑΝ535769</t>
  </si>
  <si>
    <t>ΑΒ225422</t>
  </si>
  <si>
    <t>ΚΛΕΙΑΣΙΟΥ</t>
  </si>
  <si>
    <t>ΑΗ577086</t>
  </si>
  <si>
    <t>ΝΤΑΙΡΗ</t>
  </si>
  <si>
    <t>ΑΙ495676</t>
  </si>
  <si>
    <t>ΑΒ587051</t>
  </si>
  <si>
    <t>ΑΙ694296</t>
  </si>
  <si>
    <t>ΑΝ029697</t>
  </si>
  <si>
    <t>ΒΑΡΘΑΛΙΤΟΥ</t>
  </si>
  <si>
    <t>ΑΚ061823</t>
  </si>
  <si>
    <t>ΙΩΑΝΝΑ ΑΔΑΜΑΝΤΙΑ</t>
  </si>
  <si>
    <t>ΑΚ518415</t>
  </si>
  <si>
    <t>ΠΑΠΑΠΑΝΑΓΙΩΤΟΥ</t>
  </si>
  <si>
    <t>ΒΑΡΒΑΡΑ ΕΛΕΝΗ</t>
  </si>
  <si>
    <t>ΑΚ362808</t>
  </si>
  <si>
    <t>ΚΑΨΟΠΟΥΛΟΥ</t>
  </si>
  <si>
    <t>ΑΚ962308</t>
  </si>
  <si>
    <t>ΚΑΡΑΠΑΓΚΟΥ</t>
  </si>
  <si>
    <t>ΑΡ003583</t>
  </si>
  <si>
    <t>ΑΟ027008</t>
  </si>
  <si>
    <t>ΤΡΟΜΠΟΥΚΗ</t>
  </si>
  <si>
    <t>ΑΗ595711</t>
  </si>
  <si>
    <t>ΒΕΝΙΑΜΑΚΗ</t>
  </si>
  <si>
    <t>ΑΒ484654</t>
  </si>
  <si>
    <t>ΑΖ334880</t>
  </si>
  <si>
    <t>ΜΑΡΙΑ ΑΡΙΣΤΕΑ</t>
  </si>
  <si>
    <t>ΑΙ866609</t>
  </si>
  <si>
    <t>ΠΑΠΑΒΑΡΣΑΜΗ</t>
  </si>
  <si>
    <t>ΑΖ086881</t>
  </si>
  <si>
    <t>ΒΕΧΤΣΑΛΗ</t>
  </si>
  <si>
    <t>ΑΙ895854</t>
  </si>
  <si>
    <t>ΠΕΡΟΝΤΣΗΣ</t>
  </si>
  <si>
    <t>ΑΙ172420</t>
  </si>
  <si>
    <t>ΚΑΡΑΤΣΟΜΠΑΝΗ</t>
  </si>
  <si>
    <t>ΑΜ441807</t>
  </si>
  <si>
    <t>ΤΣΟΧΑΤΖΙΔΟΥ</t>
  </si>
  <si>
    <t>ΑΙ508245</t>
  </si>
  <si>
    <t>ΚΑΝΕΛΛΑΚΗ</t>
  </si>
  <si>
    <t>ΑΖ970743</t>
  </si>
  <si>
    <t>ΑΙ596750</t>
  </si>
  <si>
    <t>ΚΟΝΤΟΝΑΣΙΟΥ</t>
  </si>
  <si>
    <t>ΑΚ353534</t>
  </si>
  <si>
    <t>ΣΑΝΙΔΑ</t>
  </si>
  <si>
    <t>ΑΒ508495</t>
  </si>
  <si>
    <t xml:space="preserve"> ΣΙΜΠΕΡΙΝΑ</t>
  </si>
  <si>
    <t>ΣΠΑΡΤΑΚ</t>
  </si>
  <si>
    <t>ΑΜ586062</t>
  </si>
  <si>
    <t>ΑΙ358750</t>
  </si>
  <si>
    <t>ΠΙΤΡΟΠΑΚΗ</t>
  </si>
  <si>
    <t>ΑΙ579863</t>
  </si>
  <si>
    <t>ΑΝ873518</t>
  </si>
  <si>
    <t>ΑΗ521954</t>
  </si>
  <si>
    <t>ΑΡ212520</t>
  </si>
  <si>
    <t>ΕΡΧΟΥ</t>
  </si>
  <si>
    <t>ΑΗ720739</t>
  </si>
  <si>
    <t>ΜΑΡΙΝΗΣ</t>
  </si>
  <si>
    <t>ΑΟ191093</t>
  </si>
  <si>
    <t>ΜΑΤΣΑΡΙΔΟΥ</t>
  </si>
  <si>
    <t>Χ962779</t>
  </si>
  <si>
    <t>ΜΠΙΤΣΑ</t>
  </si>
  <si>
    <t>ΑΖ740080</t>
  </si>
  <si>
    <t>ΡΟΛΙΝΑ</t>
  </si>
  <si>
    <t>ΤΑΜΜΕΡΛΑΝΟΣ</t>
  </si>
  <si>
    <t>ΑΚ019305</t>
  </si>
  <si>
    <t>ΜΟΥΤΑ</t>
  </si>
  <si>
    <t>ΑΗ195827</t>
  </si>
  <si>
    <t>ΣΜΙΞΙΩΤΗΣ</t>
  </si>
  <si>
    <t>ΑΒ264892</t>
  </si>
  <si>
    <t>ΚΑΛΑΜΠΡΕΖΟΥ</t>
  </si>
  <si>
    <t>ΑΜ972206</t>
  </si>
  <si>
    <t>ΧΕΙΜΑΡΙΟΥ</t>
  </si>
  <si>
    <t>ΜΑΡΙΑ ΦΡΕΙΔΕΡΙΚΗ</t>
  </si>
  <si>
    <t>ΑΚ791872</t>
  </si>
  <si>
    <t>ΓΕΡΑΝΙΟΣ</t>
  </si>
  <si>
    <t>ΑΒ796377</t>
  </si>
  <si>
    <t>ΚΟΥΛΙΝΙΔΟΥ</t>
  </si>
  <si>
    <t>ΑΖ610793</t>
  </si>
  <si>
    <t>ΑΜ259844</t>
  </si>
  <si>
    <t>ΜΠΟΤΗ</t>
  </si>
  <si>
    <t>ΑΙ594036</t>
  </si>
  <si>
    <t>ΦΥΤΙΖΑ</t>
  </si>
  <si>
    <t>ΑΗ609310</t>
  </si>
  <si>
    <t>ΝΤΑΓΚΑΣ</t>
  </si>
  <si>
    <t>ΑΝ938312</t>
  </si>
  <si>
    <t>ΑΝ305544</t>
  </si>
  <si>
    <t>ΑΛΕΞΑΝΔΡΙΔΗ</t>
  </si>
  <si>
    <t>ΑΗ977357</t>
  </si>
  <si>
    <t>ΣΑΡΑΚΙΝΗ</t>
  </si>
  <si>
    <t>ΙΩΑΝΝΗΣ ΔΗΜΗΤΡΙΟΣ</t>
  </si>
  <si>
    <t>ΑΕ788079</t>
  </si>
  <si>
    <t>ΠΟΥΛΙΑΡΗ</t>
  </si>
  <si>
    <t>ΑΕ811983</t>
  </si>
  <si>
    <t>Φ246492</t>
  </si>
  <si>
    <t>ΦΑΣΙΑΝΟΥ</t>
  </si>
  <si>
    <t>ΑΙ321394</t>
  </si>
  <si>
    <t>ΚΑΡΑΗΛΙΑ</t>
  </si>
  <si>
    <t>ΑΚ682991</t>
  </si>
  <si>
    <t>ΚΟΝΣΟΥΛΑΚΗ</t>
  </si>
  <si>
    <t>ΑΝ522409</t>
  </si>
  <si>
    <t>ΧΑΤΖΗΛΙΑΔΟΥ</t>
  </si>
  <si>
    <t>ΑΜ410163</t>
  </si>
  <si>
    <t>ΑΚ423492</t>
  </si>
  <si>
    <t>ΑΚ006397</t>
  </si>
  <si>
    <t>Τ219422</t>
  </si>
  <si>
    <t>ΓΑΛΑΖΟΥΛΑ</t>
  </si>
  <si>
    <t>ΑΝ539363</t>
  </si>
  <si>
    <t>ΤΣΑΚΑΛΗ ΓΑΡΔΙΑΝΟΥ</t>
  </si>
  <si>
    <t>ΑΜ661540</t>
  </si>
  <si>
    <t>ΓΚΟΥΝΤΟΠΟΥΛΟΥ</t>
  </si>
  <si>
    <t>ΑΙ505330</t>
  </si>
  <si>
    <t>ΜΗΝΑΡΙΤΖΗ</t>
  </si>
  <si>
    <t>ΑΚ866942</t>
  </si>
  <si>
    <t>ΠΑΤΣΙΑΛΑ</t>
  </si>
  <si>
    <t>ΑΙ722087</t>
  </si>
  <si>
    <t>ΓΚΑΝΤΗ</t>
  </si>
  <si>
    <t>ΙΩΑΝΝΑ ΕΥΑΓΓΕΛΙΑ</t>
  </si>
  <si>
    <t>ΑΜ847626</t>
  </si>
  <si>
    <t>ΜΑΝΤΣΙΩΚΑ</t>
  </si>
  <si>
    <t>Ρ896057</t>
  </si>
  <si>
    <t>ΑΗ724387</t>
  </si>
  <si>
    <t>ΑΙ526098</t>
  </si>
  <si>
    <t>ΑΗ798815</t>
  </si>
  <si>
    <t xml:space="preserve">ΧΑΛΗΛΟΓΛΟΥ </t>
  </si>
  <si>
    <t xml:space="preserve">ΝΤΙΛΕΚ </t>
  </si>
  <si>
    <t>ΧΑΛΗΛ</t>
  </si>
  <si>
    <t>ΑΕ388907</t>
  </si>
  <si>
    <t>ΛΑΔΟΓΙΑΝΝΗ</t>
  </si>
  <si>
    <t>ΑΟ169848</t>
  </si>
  <si>
    <t xml:space="preserve">ΧΑΛΟΥΛΟΥ </t>
  </si>
  <si>
    <t>ΑΙ770916</t>
  </si>
  <si>
    <t>ΧΟΥΣΕΙΝ ΠΑΠΑΔΟΠΟΥΛΟΥ</t>
  </si>
  <si>
    <t>ΑΧΜΕΝΤ</t>
  </si>
  <si>
    <t>ΑΝ228311</t>
  </si>
  <si>
    <t>ΑΗ516919</t>
  </si>
  <si>
    <t>ΚΩΝΣΤΑΝΤΙΝΙΔΗΣ</t>
  </si>
  <si>
    <t>ΑΖ418542</t>
  </si>
  <si>
    <t>ΑΣΩΝΙΤΗ</t>
  </si>
  <si>
    <t>ΑΚ395478</t>
  </si>
  <si>
    <t>ΧΟΝΔΡΟΓΙΑΝΝΗ</t>
  </si>
  <si>
    <t>ΕΛΕΥΘΕΡΙΑ ΕΡΥΦΙΛΗ</t>
  </si>
  <si>
    <t>ΑΚ049005</t>
  </si>
  <si>
    <t>ΔΕΛΗΓΙΑΝΝΙΔΟΥ</t>
  </si>
  <si>
    <t>ΑΖ894353</t>
  </si>
  <si>
    <t>ΚΑΝΑΡΗ</t>
  </si>
  <si>
    <t>ΑΚ403834</t>
  </si>
  <si>
    <t>Φ132252</t>
  </si>
  <si>
    <t>ΖΙΟΥ</t>
  </si>
  <si>
    <t>ΑΜ072001</t>
  </si>
  <si>
    <t>ΑΝ707445</t>
  </si>
  <si>
    <t>ΝΟΤΣΙΚΑ</t>
  </si>
  <si>
    <t>ΑΙ251208</t>
  </si>
  <si>
    <t>ΡΟΖΗ</t>
  </si>
  <si>
    <t>ΑΙ207876</t>
  </si>
  <si>
    <t>ΠΑΠΑΘΩΜΑ</t>
  </si>
  <si>
    <t>ΑΡ070569</t>
  </si>
  <si>
    <t>ΨΑΡΡΕΑ</t>
  </si>
  <si>
    <t>ΑΚ016859</t>
  </si>
  <si>
    <t>ΚΟΝΤΟΡΙΝΑΚΗΣ</t>
  </si>
  <si>
    <t>ΑΝ474104</t>
  </si>
  <si>
    <t>ΜΠΑΝΗ</t>
  </si>
  <si>
    <t>Χ835150</t>
  </si>
  <si>
    <t>Χ340791</t>
  </si>
  <si>
    <t>ΑΙ255159</t>
  </si>
  <si>
    <t>Φ333869</t>
  </si>
  <si>
    <t>ΓΚΟΛΦΟΥ</t>
  </si>
  <si>
    <t>ΑΜ268726</t>
  </si>
  <si>
    <t>ΑΙ337365</t>
  </si>
  <si>
    <t>ΒΙΝΗΣ</t>
  </si>
  <si>
    <t>ΑΙ251995</t>
  </si>
  <si>
    <t>ΑΗ816351</t>
  </si>
  <si>
    <t>ΣΤΑΥΡΑΚΟΠΟΥΛΟΥ</t>
  </si>
  <si>
    <t>ΑΚ504232</t>
  </si>
  <si>
    <t>ΑΗ389638</t>
  </si>
  <si>
    <t>ΤΑΚΟΥ</t>
  </si>
  <si>
    <t>Ρ945386</t>
  </si>
  <si>
    <t>ΖΑΧΑΡΙΑΣ ΤΣΟΥΡΟΥΣ</t>
  </si>
  <si>
    <t>ΑΗ878238</t>
  </si>
  <si>
    <t>ΑΣΤΕΡΗ</t>
  </si>
  <si>
    <t>ΑΝ557214</t>
  </si>
  <si>
    <t>ΤΟΥΝΤΑ</t>
  </si>
  <si>
    <t>ΑΜ022323</t>
  </si>
  <si>
    <t>ΑΙ946718</t>
  </si>
  <si>
    <t>ΑΝ087342</t>
  </si>
  <si>
    <t>ΑΡΓΥΡΑΚΟΠΟΥΛΟΥ</t>
  </si>
  <si>
    <t>ΑΗ613455</t>
  </si>
  <si>
    <t>ΚΥΠΡΑΙΟΣ</t>
  </si>
  <si>
    <t>ΑΙ505664</t>
  </si>
  <si>
    <t>ΠΑΠΑΤΖΕΛΟΥ</t>
  </si>
  <si>
    <t>ΖΑΧΑΡΕΝΙΑ ΜΑΡΙΑ</t>
  </si>
  <si>
    <t>ΑΗ264164</t>
  </si>
  <si>
    <t>ΒΑΣΙΛΟΓΛΟΥ</t>
  </si>
  <si>
    <t>ΑΝ955902</t>
  </si>
  <si>
    <t>ΧΑΤΖΗ ΧΑΛΗΛ</t>
  </si>
  <si>
    <t>ΕΜΙΝΕ</t>
  </si>
  <si>
    <t>ΜΟΥΧΙΝΤΙΝ</t>
  </si>
  <si>
    <t>ΑΗ900791</t>
  </si>
  <si>
    <t>ΓΚΕΡΠΙΝΗ</t>
  </si>
  <si>
    <t>ΑΙ690886</t>
  </si>
  <si>
    <t>ΜΠΟΣΙ</t>
  </si>
  <si>
    <t>ΣΙΛΒΑΝΑ</t>
  </si>
  <si>
    <t>ΣΑΜΙ</t>
  </si>
  <si>
    <t>ΑΚ916099</t>
  </si>
  <si>
    <t>ΑΒ533885</t>
  </si>
  <si>
    <t>ΜΠΕΝΟΥ</t>
  </si>
  <si>
    <t>ΑΙ757903</t>
  </si>
  <si>
    <t>ΚΑΡΛΑΤΗΡΑ</t>
  </si>
  <si>
    <t>ΑΙ982291</t>
  </si>
  <si>
    <t>ΠΑΠΑΔΟΓΙΑΝΝΟΠΟΥΛΟΥ</t>
  </si>
  <si>
    <t>ΑΗ213340</t>
  </si>
  <si>
    <t>ΚΟΥΒΑΤΗΣ</t>
  </si>
  <si>
    <t>ΑΜ240701</t>
  </si>
  <si>
    <t>ΑΙ502489</t>
  </si>
  <si>
    <t>ΑΖ303522</t>
  </si>
  <si>
    <t>ΑΕ804149</t>
  </si>
  <si>
    <t>ΚΑΡΑΜΑΡΚΟΥ</t>
  </si>
  <si>
    <t>ΜΙΜΗΣ</t>
  </si>
  <si>
    <t>Χ388375</t>
  </si>
  <si>
    <t>ΑΓΓΕΛΕΤΟΥ</t>
  </si>
  <si>
    <t>ΑΚ668882</t>
  </si>
  <si>
    <t>ΛΙΑΝΟΥ</t>
  </si>
  <si>
    <t>ΑΚ394313</t>
  </si>
  <si>
    <t>ΑΝ295607</t>
  </si>
  <si>
    <t>ΑΝ186910</t>
  </si>
  <si>
    <t>ΝΥΚΤΑΡΗ</t>
  </si>
  <si>
    <t>ΑΙ457380</t>
  </si>
  <si>
    <t>ΦΙΛΑΝΘΗ</t>
  </si>
  <si>
    <t>ΑΟ477294</t>
  </si>
  <si>
    <t>ΚΙΣΣΑ</t>
  </si>
  <si>
    <t>ΑΚ241702</t>
  </si>
  <si>
    <t>ΑΕ494408</t>
  </si>
  <si>
    <t>ΧΑΜΑΛΙΔΗΣ</t>
  </si>
  <si>
    <t>ΑΗ660800</t>
  </si>
  <si>
    <t>ΜΙΧΑΕΛΛΑ</t>
  </si>
  <si>
    <t>ΑΙ844576</t>
  </si>
  <si>
    <t>ΚΑΤΕΦΙΔΟΥ</t>
  </si>
  <si>
    <t>ΑΒ772285</t>
  </si>
  <si>
    <t>ΚΑΟΥΤΣΟΥ</t>
  </si>
  <si>
    <t>ΑΙ069139</t>
  </si>
  <si>
    <t>Χ982346</t>
  </si>
  <si>
    <t>ΚΟΤΖΑΜΑΝΙΔΗΣ</t>
  </si>
  <si>
    <t>ΑΒ107788</t>
  </si>
  <si>
    <t>ΚΑΖΑΚΗ</t>
  </si>
  <si>
    <t>ΑΝ700431</t>
  </si>
  <si>
    <t>ΑΙ405977</t>
  </si>
  <si>
    <t>ΑΧΝΟΥΛΑ</t>
  </si>
  <si>
    <t>ΓΕΩΡΓΙΑ ΔΗΜΗΤΡΑ</t>
  </si>
  <si>
    <t>ΑΚ376049</t>
  </si>
  <si>
    <t>ΣΕΒΑΣΤΗ ΙΣΙΔΩΡΑ</t>
  </si>
  <si>
    <t>ΑΙ924502</t>
  </si>
  <si>
    <t>ΑΗ274100</t>
  </si>
  <si>
    <t>ΒΕΡΓΙΔΟΥ</t>
  </si>
  <si>
    <t>ΑΗ163777</t>
  </si>
  <si>
    <t>ΑΖ844641</t>
  </si>
  <si>
    <t>ΠΑΝΑΓΙΑ</t>
  </si>
  <si>
    <t>ΑΗ952518</t>
  </si>
  <si>
    <t>ΝΤΑΝΤΣΕΝΚΟ</t>
  </si>
  <si>
    <t>ΛΕΩΝΙΝΤ</t>
  </si>
  <si>
    <t>ΑΗ507922</t>
  </si>
  <si>
    <t>ΜΠΟΥΤΗ</t>
  </si>
  <si>
    <t>ΑΚ352492</t>
  </si>
  <si>
    <t>ΛΥΚΙΑΡΔΟΠΟΥΛΟΥ</t>
  </si>
  <si>
    <t>ΝΕΚΤΑΡΙΑ ΙΩΑΝΝΑ</t>
  </si>
  <si>
    <t>ΑΝ439250</t>
  </si>
  <si>
    <t>ΑΝ171972</t>
  </si>
  <si>
    <t>ΤΣΙΜΠΙΔΗ</t>
  </si>
  <si>
    <t>ΑΚ372034</t>
  </si>
  <si>
    <t>ΧΑΤΖΗΘΕΟΔΩΡΟΥ</t>
  </si>
  <si>
    <t>ΑΝ100135</t>
  </si>
  <si>
    <t>ΑΙ177648</t>
  </si>
  <si>
    <t>ΜΕΤΑΞΩΤΟΥ</t>
  </si>
  <si>
    <t>ΑΖ006324</t>
  </si>
  <si>
    <t>ΓΙΑΓΚΟΥ</t>
  </si>
  <si>
    <t>ΑΚ999333</t>
  </si>
  <si>
    <t>ΑΚ315069</t>
  </si>
  <si>
    <t>ΑΝ408700</t>
  </si>
  <si>
    <t>ΖΕΡΚΟΥΛΗ</t>
  </si>
  <si>
    <t>ΑΜ153306</t>
  </si>
  <si>
    <t>ΚΟΤΡΟΓΙΑΝΝΗ</t>
  </si>
  <si>
    <t>ΑΖ989761</t>
  </si>
  <si>
    <t>ΑΕ319391</t>
  </si>
  <si>
    <t>ΜΠΑΚΑΣΗ</t>
  </si>
  <si>
    <t>ΔΗΜΗΤΡΑ ΣΟΦΙΑ</t>
  </si>
  <si>
    <t>ΑΙ850186</t>
  </si>
  <si>
    <t>ΝΤΟΥΡΝΤΟΥΡΕΚΑ</t>
  </si>
  <si>
    <t>ΑΖ496085</t>
  </si>
  <si>
    <t>ΤΣΑΟΥΣΟΓΛΟΥ</t>
  </si>
  <si>
    <t>ΑΝ106958</t>
  </si>
  <si>
    <t>ΝΟΙΚΟΥ</t>
  </si>
  <si>
    <t>ΑΙ164988</t>
  </si>
  <si>
    <t>ΜΑΡΤΖΟΥΚΟΥ</t>
  </si>
  <si>
    <t>ΑΚ039064</t>
  </si>
  <si>
    <t>ΤΟΥΛΓΑΡΙΔΟΥ</t>
  </si>
  <si>
    <t>ΑΙ029582</t>
  </si>
  <si>
    <t>ΔΗΜΟΥ ΔΗΜΑΚΗ</t>
  </si>
  <si>
    <t>ΑΜ432457</t>
  </si>
  <si>
    <t>ΑΛΗΦΡΑΓΚΗ</t>
  </si>
  <si>
    <t>ΑΕ067645</t>
  </si>
  <si>
    <t>ΖΑΒΡΑ</t>
  </si>
  <si>
    <t>ΠΕΡΣΕΦΩΝΗ ΛΥΔΙΑ</t>
  </si>
  <si>
    <t>ΑΙ498119</t>
  </si>
  <si>
    <t>ΧΑΤΖΗΟΡΦΑΝΟΣ</t>
  </si>
  <si>
    <t>ΑΒ480992</t>
  </si>
  <si>
    <t>ΑΡΑΒΑΝΗ</t>
  </si>
  <si>
    <t>ΑΙ932670</t>
  </si>
  <si>
    <t>ΑΒ285001</t>
  </si>
  <si>
    <t>ΔΟΚΑ</t>
  </si>
  <si>
    <t>ΑΖ320818</t>
  </si>
  <si>
    <t>ΜΕΦΣΟΥΤ</t>
  </si>
  <si>
    <t>ΑΙ308208</t>
  </si>
  <si>
    <t>ΠΕΝΕΚΕΛΗΣ</t>
  </si>
  <si>
    <t>ΑΗ792710</t>
  </si>
  <si>
    <t>ΑΙ120463</t>
  </si>
  <si>
    <t>ΒΕΤΣΟΥ</t>
  </si>
  <si>
    <t>ΑΜ431267</t>
  </si>
  <si>
    <t>ΚΛΙΑΝΗ</t>
  </si>
  <si>
    <t>ΑΡ215287</t>
  </si>
  <si>
    <t>ΧΑΤΖΗΑΝΑΣΤΑΣΙΟΥ</t>
  </si>
  <si>
    <t>ΑΝ515888</t>
  </si>
  <si>
    <t>ΝΑΤΑΛΙΑ ΑΣΠΑΣΙΑ</t>
  </si>
  <si>
    <t>ΑΜ028609</t>
  </si>
  <si>
    <t>ΒΑΣΙΛΑΔΙΩΤΗ</t>
  </si>
  <si>
    <t>Τ415879</t>
  </si>
  <si>
    <t>ΑΑ459255</t>
  </si>
  <si>
    <t xml:space="preserve">ΣΤΕΦΑΝΑΚΗ </t>
  </si>
  <si>
    <t>ΤΣΑΜΠΙΚΑ ΧΡΥΣΟΒΑΛΑΝΤΑ</t>
  </si>
  <si>
    <t>ΑΗ946180</t>
  </si>
  <si>
    <t>ΑΗ744112</t>
  </si>
  <si>
    <t>ΚΟΥΤΣΟΥΚΑΝΙΔΟΥ</t>
  </si>
  <si>
    <t>Ρ079020</t>
  </si>
  <si>
    <t>ΑΒ751216</t>
  </si>
  <si>
    <t>ΚΑΤΣΙΧΤΗ</t>
  </si>
  <si>
    <t>Χ093960</t>
  </si>
  <si>
    <t>ΒΕΝΙΕΡΑΚΗ</t>
  </si>
  <si>
    <t>ΤΑΝΟΥΣΑ</t>
  </si>
  <si>
    <t>ΚΩΤΣΟ</t>
  </si>
  <si>
    <t>ΑΗ655335</t>
  </si>
  <si>
    <t>ΚΑΡΑΝΗ</t>
  </si>
  <si>
    <t>ΑΖ589805</t>
  </si>
  <si>
    <t>ΑΝ223269</t>
  </si>
  <si>
    <t>ΑΕ812171</t>
  </si>
  <si>
    <t>ΤΣΙΤΣΕΛΗ</t>
  </si>
  <si>
    <t>ΑΚ363136</t>
  </si>
  <si>
    <t>ΕΛΙΖΑ ΞΑΝΘΙΠΗ</t>
  </si>
  <si>
    <t>ΑΕ505393</t>
  </si>
  <si>
    <t>ΓΚΑΡΑΤΣΑ</t>
  </si>
  <si>
    <t>ΑΜ366318</t>
  </si>
  <si>
    <t>ΔΙΓΕΝΑΚΗ</t>
  </si>
  <si>
    <t>ΑΖ974245</t>
  </si>
  <si>
    <t>ΑΕ631120</t>
  </si>
  <si>
    <t>ΧΑΛΑΝΟΥΛΗ</t>
  </si>
  <si>
    <t>ΑΗ784121</t>
  </si>
  <si>
    <t>ΑΖ220668</t>
  </si>
  <si>
    <t>ΖΟΥΛΗ</t>
  </si>
  <si>
    <t>ΓΕΩΡΓΙΟΣ ΖΟΥΛΗΣ</t>
  </si>
  <si>
    <t>ΑΙ471781</t>
  </si>
  <si>
    <t>ΚΟΥΝΤΟΥΡΟΥ</t>
  </si>
  <si>
    <t>ΜΑΛΛΙΟΠΟΥΛΟΥ</t>
  </si>
  <si>
    <t>ΑΗ786436</t>
  </si>
  <si>
    <t>ΑΗ724736</t>
  </si>
  <si>
    <t>ΜΠΕΡΤΟΥ</t>
  </si>
  <si>
    <t>ΑΟ890147</t>
  </si>
  <si>
    <t>ΑΖ494415</t>
  </si>
  <si>
    <t>ΣΑΒΒΙΔΗ</t>
  </si>
  <si>
    <t>ΑΒ053953</t>
  </si>
  <si>
    <t>ΔΙΑΒΑΤΗ</t>
  </si>
  <si>
    <t>ΑΖ522807</t>
  </si>
  <si>
    <t>ΑΝΑΤΖΟΥΤΖΟΥΛΑ</t>
  </si>
  <si>
    <t>ΑΚ330512</t>
  </si>
  <si>
    <t>ΑΖ996466</t>
  </si>
  <si>
    <t>ΑΚ290577</t>
  </si>
  <si>
    <t>ΠΕΤΡΟΜΕΛΙΔΟΥ</t>
  </si>
  <si>
    <t>ΑΕ159921</t>
  </si>
  <si>
    <t>ΑΟ725383</t>
  </si>
  <si>
    <t>ΑΗ469081</t>
  </si>
  <si>
    <t>ΑΡΝΑΟΥΤΟΓΛΟΥ</t>
  </si>
  <si>
    <t>ΑΟ875295</t>
  </si>
  <si>
    <t xml:space="preserve">ΤΣΙΑΜΗ </t>
  </si>
  <si>
    <t>Χ362890</t>
  </si>
  <si>
    <t>ΓΙΤΣΟΥ</t>
  </si>
  <si>
    <t>ΑΚ276088</t>
  </si>
  <si>
    <t>Χ899198</t>
  </si>
  <si>
    <t>ΚΑΠΛΑΝΙΔΗ</t>
  </si>
  <si>
    <t>ΑΚ747669</t>
  </si>
  <si>
    <t>ΑΕ425309</t>
  </si>
  <si>
    <t>ΑΜ226054</t>
  </si>
  <si>
    <t>ΓΚΑΡΛΕΜΟΥ</t>
  </si>
  <si>
    <t>ΑΗ768348</t>
  </si>
  <si>
    <t>ΣΑΛΤΑ</t>
  </si>
  <si>
    <t>ΑΙ668294</t>
  </si>
  <si>
    <t>ΜΑΙΝΑ</t>
  </si>
  <si>
    <t>ΑΒ475473</t>
  </si>
  <si>
    <t>ΜΕΡΓΙΑΝΝΗ</t>
  </si>
  <si>
    <t>ΑΙ493804</t>
  </si>
  <si>
    <t>ΝΙΚΟΛΑΣ</t>
  </si>
  <si>
    <t>ΑΗ521843</t>
  </si>
  <si>
    <t>ΜΠΑΝΤΟΥΒΑ</t>
  </si>
  <si>
    <t>ΑΗ963893</t>
  </si>
  <si>
    <t>ΔΙΒΑΡΗ</t>
  </si>
  <si>
    <t>Σ778565</t>
  </si>
  <si>
    <t>ΙΟΥΣΤΙΝΗ</t>
  </si>
  <si>
    <t>ΑΚ963604</t>
  </si>
  <si>
    <t>ΤΑΚΑΣ</t>
  </si>
  <si>
    <t>ΑΗ270096</t>
  </si>
  <si>
    <t>ΒΕΙΣΕΛ</t>
  </si>
  <si>
    <t>ΑΟ689304</t>
  </si>
  <si>
    <t xml:space="preserve">AMINE </t>
  </si>
  <si>
    <t>ΛΑΤΗΦ</t>
  </si>
  <si>
    <t>ΑΝ784332</t>
  </si>
  <si>
    <t>ΑΙ393143</t>
  </si>
  <si>
    <t>ΑΜ633470</t>
  </si>
  <si>
    <t>ΑΟ252832</t>
  </si>
  <si>
    <t>ΣΕΜΟΥ</t>
  </si>
  <si>
    <t>ΑΜ847255</t>
  </si>
  <si>
    <t>ΑΑ350595</t>
  </si>
  <si>
    <t>ΤΣΙΜΠΙΔΑ</t>
  </si>
  <si>
    <t>ΑΙ834229</t>
  </si>
  <si>
    <t>ΑΜ388211</t>
  </si>
  <si>
    <t>ΑΙ711382</t>
  </si>
  <si>
    <t>ΛΑΓΓΑ</t>
  </si>
  <si>
    <t>ΑΖ982396</t>
  </si>
  <si>
    <t>ΟΡΔΟΥΛΙΔΗΣ</t>
  </si>
  <si>
    <t>ΑΗ325327</t>
  </si>
  <si>
    <t>ΑΗ684847</t>
  </si>
  <si>
    <t xml:space="preserve">ΜΑΡΙΑ ΣΟΦΙΑ </t>
  </si>
  <si>
    <t>ΑΚ050327</t>
  </si>
  <si>
    <t>ΜΑΡΙΝΕΤΑ</t>
  </si>
  <si>
    <t>ΑΙ816077</t>
  </si>
  <si>
    <t>ΑΜ276869</t>
  </si>
  <si>
    <t>ΜΑΓΚΑΒΙΛΑ</t>
  </si>
  <si>
    <t>ΑΙ809360</t>
  </si>
  <si>
    <t>ΡΩΜΠΑΠΑ</t>
  </si>
  <si>
    <t>ΕΛΕΝΗ ΙΩΑΝΝΑ</t>
  </si>
  <si>
    <t>ΑΖ803195</t>
  </si>
  <si>
    <t>ΑΖ659314</t>
  </si>
  <si>
    <t>ΞΑΝΘΟΥΛΑ</t>
  </si>
  <si>
    <t>ΑΝ690713</t>
  </si>
  <si>
    <t>ΓΑΙΤΑΝΙΔΗ ΣΑΚΕΛΛΑΡΑΚΗ</t>
  </si>
  <si>
    <t>ΑΜ447315</t>
  </si>
  <si>
    <t>ΜΑΣΣΑΡΑ</t>
  </si>
  <si>
    <t>Φ214790</t>
  </si>
  <si>
    <t>ΑΖ598445</t>
  </si>
  <si>
    <t>ΚΡΙΤΖΑΚΗ</t>
  </si>
  <si>
    <t>ΚΑΡΙΟΦΥΛΛΗΣ ΚΩΝΣΤΑΝΤ</t>
  </si>
  <si>
    <t>ΑΚ892451</t>
  </si>
  <si>
    <t>ΑΟ889216</t>
  </si>
  <si>
    <t>ΑΕ9754422</t>
  </si>
  <si>
    <t>ΑΒ216294</t>
  </si>
  <si>
    <t>ΑΙ624404</t>
  </si>
  <si>
    <t>ΑΙ142436</t>
  </si>
  <si>
    <t>ΑΕ810947</t>
  </si>
  <si>
    <t>ΠΑΠΑΝΑΓΙΩΤΟΥ</t>
  </si>
  <si>
    <t>ΑΑ975697</t>
  </si>
  <si>
    <t>ΜΑΝΤΑΣΙΑΝ</t>
  </si>
  <si>
    <t>ΧΕΓΚΙΝΕ</t>
  </si>
  <si>
    <t>ΑΡΤΑΚ</t>
  </si>
  <si>
    <t>ΑΝ698334</t>
  </si>
  <si>
    <t>ΚΩΣΤΗΣ</t>
  </si>
  <si>
    <t>ΑΗ785222</t>
  </si>
  <si>
    <t>ΑΖ892370</t>
  </si>
  <si>
    <t>ΑΙ229688</t>
  </si>
  <si>
    <t>ΑΗ865558</t>
  </si>
  <si>
    <t>ΑΝΔΡΟΝΙΚΙΔΟΥ</t>
  </si>
  <si>
    <t>ΑΝ186257</t>
  </si>
  <si>
    <t>ΣΑΡΑΝΤΟΥ</t>
  </si>
  <si>
    <t>ΑΜ473479</t>
  </si>
  <si>
    <t>ΑΚ329906</t>
  </si>
  <si>
    <t>ΚΟΤΣΙΔΗ</t>
  </si>
  <si>
    <t>ΑΙ053646</t>
  </si>
  <si>
    <t>ΑΚ236622</t>
  </si>
  <si>
    <t>ΠΕΡΠΙΝΙΩΤΗ</t>
  </si>
  <si>
    <t>ΑΜ971568</t>
  </si>
  <si>
    <t>ΜΠΟΥΡΤΖΟΣ</t>
  </si>
  <si>
    <t>ΑΗ288932</t>
  </si>
  <si>
    <t>ΚΑΡΑΒΟΚΥΡΗ</t>
  </si>
  <si>
    <t>ΑΗ400981</t>
  </si>
  <si>
    <t>ΜΑΝΤΖΑΝΗ</t>
  </si>
  <si>
    <t>ΑΜ823522</t>
  </si>
  <si>
    <t>ΑΕ277376</t>
  </si>
  <si>
    <t>ΑΙ203845</t>
  </si>
  <si>
    <t>ΑΙ175249</t>
  </si>
  <si>
    <t>ΣΤΑΘΟΥΛΟΠΟΥΛΟΣ</t>
  </si>
  <si>
    <t>ΑΑ773804</t>
  </si>
  <si>
    <t>ΑΗ030203</t>
  </si>
  <si>
    <t>ΑΝ843487</t>
  </si>
  <si>
    <t>ΑΝ737383</t>
  </si>
  <si>
    <t>ΦΑΤΙΛΟΠΟΥΛΟΥ</t>
  </si>
  <si>
    <t>ΑΚ852967</t>
  </si>
  <si>
    <t>ΖΙΑΚΑ</t>
  </si>
  <si>
    <t>ΑΑ099324</t>
  </si>
  <si>
    <t>ΑΙ356019</t>
  </si>
  <si>
    <t>ΚΑΡΑΝΤΑΝΑ</t>
  </si>
  <si>
    <t>ΑΙ438250</t>
  </si>
  <si>
    <t>ΑΗ612552</t>
  </si>
  <si>
    <t>ΑΟ890514</t>
  </si>
  <si>
    <t>ΑΖ704319</t>
  </si>
  <si>
    <t>ΠΟΛΥΞΕΝΗ ΚΡΥΣΤΑΛΙΑ</t>
  </si>
  <si>
    <t>ΑΜ457664</t>
  </si>
  <si>
    <t>ΕΙΡΗΝΗ ΧΡΥΣΟΒΑΛΑΝΤΩ</t>
  </si>
  <si>
    <t>ΑΙ094947</t>
  </si>
  <si>
    <t>ΑΖ507891</t>
  </si>
  <si>
    <t>ΦΑΒΒΑΣ</t>
  </si>
  <si>
    <t>ΑΗ236273</t>
  </si>
  <si>
    <t>ΠΟΛΕΝΗ</t>
  </si>
  <si>
    <t>ΑΜ708112</t>
  </si>
  <si>
    <t>ΤΣΟΜΠΑΝΙΚΟΛΙΔΗΣ</t>
  </si>
  <si>
    <t>ΑΒ740551</t>
  </si>
  <si>
    <t>ΓΑΒΡΙΗΛΟΠΟΥΛΟΥ</t>
  </si>
  <si>
    <t>ΑΕ863027</t>
  </si>
  <si>
    <t>ΚΟΥΤΣΟΥΜΠΕΛΙΤΗΣ</t>
  </si>
  <si>
    <t>ΑΟ308748</t>
  </si>
  <si>
    <t>ΙΑΤΡΟΥΔΗ</t>
  </si>
  <si>
    <t>ΑΙ956571</t>
  </si>
  <si>
    <t>ΑΚ878005</t>
  </si>
  <si>
    <t>ΒΑΛΑΧΑ</t>
  </si>
  <si>
    <t>ΑΖ711933</t>
  </si>
  <si>
    <t>ΒΡΟΧΙΔΟΥ</t>
  </si>
  <si>
    <t>ΑΗ769051</t>
  </si>
  <si>
    <t>ΑΝ453297</t>
  </si>
  <si>
    <t>ΑΖ854836</t>
  </si>
  <si>
    <t>ΤΣΙΑΤΣΙΟΥ</t>
  </si>
  <si>
    <t>ΖΗΣΙΑ</t>
  </si>
  <si>
    <t>ΑΗ795970</t>
  </si>
  <si>
    <t>ΜΑΝΙΑΣ</t>
  </si>
  <si>
    <t>ΑΝΤΩΝΙΟΣ ΧΡΗΣΤΟΣ</t>
  </si>
  <si>
    <t>ΑΙ492305</t>
  </si>
  <si>
    <t>Χ692189</t>
  </si>
  <si>
    <t>ΣΠΑΝΟΣ</t>
  </si>
  <si>
    <t>ΑΗ817890</t>
  </si>
  <si>
    <t>ΠΕΡΔΙΚΗ</t>
  </si>
  <si>
    <t>ΑΙ428935</t>
  </si>
  <si>
    <t>ΑΚ582642</t>
  </si>
  <si>
    <t>ΜΑΚΡΑΝΔΡΕΟΥ</t>
  </si>
  <si>
    <t>ΑΕ522437</t>
  </si>
  <si>
    <t>ΝΙΑΚΑ</t>
  </si>
  <si>
    <t>ΣΠΥΡΙΔΟΥΛΑ ΝΑΤΑΛΙΑ</t>
  </si>
  <si>
    <t>ΑΙ827831</t>
  </si>
  <si>
    <t>ΑΙ544002</t>
  </si>
  <si>
    <t>ΠΑΤΣΙΑΟΥΡΑ</t>
  </si>
  <si>
    <t>ΑΕ052928</t>
  </si>
  <si>
    <t>ΓΕΩΡΓΙΤΣΟΠΟΥΛΟΣ</t>
  </si>
  <si>
    <t xml:space="preserve">ΓΡΗΓΟΡΙΟΣ </t>
  </si>
  <si>
    <t>ΑΟ236098</t>
  </si>
  <si>
    <t>ΔΑΝΙΗΛΑΚΗ</t>
  </si>
  <si>
    <t>ΑΝ076455</t>
  </si>
  <si>
    <t>ΑΚ353897</t>
  </si>
  <si>
    <t>ΑΕ718051</t>
  </si>
  <si>
    <t>ΤΡΙΜΙΝΤΖΙΟΥ</t>
  </si>
  <si>
    <t>ΑΚ919953</t>
  </si>
  <si>
    <t>ΠΑΠΑΝΙΚΟΥ</t>
  </si>
  <si>
    <t>ΑΚ666781</t>
  </si>
  <si>
    <t>ΑΖ776339</t>
  </si>
  <si>
    <t>ΡΟΥΚΟΥΛΗ</t>
  </si>
  <si>
    <t>ΑΝ904440</t>
  </si>
  <si>
    <t>ΦΥΚΙΑ</t>
  </si>
  <si>
    <t xml:space="preserve">ΜΑΡΙΝΟΣ </t>
  </si>
  <si>
    <t>ΑΖ933662</t>
  </si>
  <si>
    <t>ΑΙ810165</t>
  </si>
  <si>
    <t>ΔΙΑΚΑ</t>
  </si>
  <si>
    <t>ΑΙ403953</t>
  </si>
  <si>
    <t>ΧΑΝΤΖΟΓΛΟΥ</t>
  </si>
  <si>
    <t>ΑΙ856760</t>
  </si>
  <si>
    <t>ΚΥΤΙΠΗ</t>
  </si>
  <si>
    <t>ΑΜ429004</t>
  </si>
  <si>
    <t>ΚΕΦΑΛΙΔΟΥ</t>
  </si>
  <si>
    <t>ΑΖ895611</t>
  </si>
  <si>
    <t>ΚΛΗΡΗΣ</t>
  </si>
  <si>
    <t>ΑΟ175314</t>
  </si>
  <si>
    <t>ΑΝ205604</t>
  </si>
  <si>
    <t>ΑΝ857754</t>
  </si>
  <si>
    <t>ΑΖ223514</t>
  </si>
  <si>
    <t>ΑΚ692672</t>
  </si>
  <si>
    <t>ΑΟ381040</t>
  </si>
  <si>
    <t>ΤΣΙΟΓΚΑ</t>
  </si>
  <si>
    <t>ΑΝ966498</t>
  </si>
  <si>
    <t>ΜΑΥΡΟΧΗ</t>
  </si>
  <si>
    <t>ΑΗ597040</t>
  </si>
  <si>
    <t>ΠΕΤΕΒΗ</t>
  </si>
  <si>
    <t>ΑΚ148219</t>
  </si>
  <si>
    <t>ΑΕ853939</t>
  </si>
  <si>
    <t>ΤΣΙΟΥΡΑΜΑΝΗ</t>
  </si>
  <si>
    <t>ΑΗ615145</t>
  </si>
  <si>
    <t>ΚΗΡΥΚΟΥ</t>
  </si>
  <si>
    <t>ΑΗ487319</t>
  </si>
  <si>
    <t>ΑΑ433588</t>
  </si>
  <si>
    <t>ΜΠΑΜΠΟΥΣΗ</t>
  </si>
  <si>
    <t>ΑΙ197338</t>
  </si>
  <si>
    <t>ΠΕΔΟΥΛΑΚΗ</t>
  </si>
  <si>
    <t>ΔΑΝΑΙ ΑΚΡΙΒΗ</t>
  </si>
  <si>
    <t>ΑΟ044858</t>
  </si>
  <si>
    <t>ΣΙΟΥΝΤΡΗ</t>
  </si>
  <si>
    <t>ΑΗ224550</t>
  </si>
  <si>
    <t>ΑΖ907125</t>
  </si>
  <si>
    <t>ΤΥΡΟΠΟΥΛΟΥ</t>
  </si>
  <si>
    <t>ΑΗ595916</t>
  </si>
  <si>
    <t>ΑΖ208412</t>
  </si>
  <si>
    <t>ΚΑΛΛΙΒΟΥΛΟΣ</t>
  </si>
  <si>
    <t>ΑΝ197522</t>
  </si>
  <si>
    <t>ΑΛΚΗΣΤΙΣ ΘΕΟΦΑΝΙΑ</t>
  </si>
  <si>
    <t>ΑΚ332362</t>
  </si>
  <si>
    <t>ΜΩΥΣΙΔΗΣ</t>
  </si>
  <si>
    <t>ΑΙ900957</t>
  </si>
  <si>
    <t>ΖΑΡΔΑΒΑ</t>
  </si>
  <si>
    <t>ΑΕ130053</t>
  </si>
  <si>
    <t>ΓΑΤΣΙΑΝΗ</t>
  </si>
  <si>
    <t>ΑΙ812235</t>
  </si>
  <si>
    <t>ΑΙ709460</t>
  </si>
  <si>
    <t>ΑΖ973719</t>
  </si>
  <si>
    <t>ΑΟ729047</t>
  </si>
  <si>
    <t>ΑΙ742030</t>
  </si>
  <si>
    <t>ΔΙΑΚΟΡΩΝΑ</t>
  </si>
  <si>
    <t>ΑΖ433033</t>
  </si>
  <si>
    <t>ΑΟ678001</t>
  </si>
  <si>
    <t>ΒΑΛΑΒΟΣΙΚΗ</t>
  </si>
  <si>
    <t>ΛΥΔΙΑ ΧΡΙΣΤΙΝΑ</t>
  </si>
  <si>
    <t>ΑΚ463036</t>
  </si>
  <si>
    <t>ΜΑΚΕΔΟΥ</t>
  </si>
  <si>
    <t>ΑΙ900731</t>
  </si>
  <si>
    <t>ΑΒ190947</t>
  </si>
  <si>
    <t>ΛΙΑΝΕΡΗ</t>
  </si>
  <si>
    <t>ΚΥΡΙΑΚΗ ΔΕΣΠΟΙΝΑ</t>
  </si>
  <si>
    <t>ΑΖ063047</t>
  </si>
  <si>
    <t>ΑΚ083387</t>
  </si>
  <si>
    <t>ΣΙΑΧΡΑ</t>
  </si>
  <si>
    <t>ΑΙ233726</t>
  </si>
  <si>
    <t>ΒΕΝΙΤΙΚΙΔΗ</t>
  </si>
  <si>
    <t>Χ725632</t>
  </si>
  <si>
    <t>ΑΕ494514</t>
  </si>
  <si>
    <t>ΑΕ905006</t>
  </si>
  <si>
    <t>ΑΝ474681</t>
  </si>
  <si>
    <t>ΖΕΜΠΕΚΑΚΗ</t>
  </si>
  <si>
    <t>ΑΟ679598</t>
  </si>
  <si>
    <t>ΛΕΑΚΟΥ</t>
  </si>
  <si>
    <t>ΑΚ111701</t>
  </si>
  <si>
    <t>ΜΠΡΙΤΣΑ</t>
  </si>
  <si>
    <t>Φ025768</t>
  </si>
  <si>
    <t>ΑΚ455956</t>
  </si>
  <si>
    <t>ΜΑΡΟΚΟΥ</t>
  </si>
  <si>
    <t>ΑΘΝΑΣΙΟΣ</t>
  </si>
  <si>
    <t>ΑΟ008770</t>
  </si>
  <si>
    <t>ΑΜ171809</t>
  </si>
  <si>
    <t>ΑΒ129309</t>
  </si>
  <si>
    <t>ΚΟΝΤΟΓΟΥΡΗ</t>
  </si>
  <si>
    <t>ΛΟΥΙΖΟΣ</t>
  </si>
  <si>
    <t>ΑΚ718843</t>
  </si>
  <si>
    <t xml:space="preserve">ΝΑΝΟΣ </t>
  </si>
  <si>
    <t xml:space="preserve">ΣΤΑΥΡΟΣ </t>
  </si>
  <si>
    <t>ΑΗ280160</t>
  </si>
  <si>
    <t>ΑΗ298517</t>
  </si>
  <si>
    <t>ΑΜ433748</t>
  </si>
  <si>
    <t>ΛΑΙΝΑΚΗ</t>
  </si>
  <si>
    <t>ΑΒ717405</t>
  </si>
  <si>
    <t>ΚΑΡΑ ΚΕΧΑΓΙΑ</t>
  </si>
  <si>
    <t>ΦΑΤΜΑ</t>
  </si>
  <si>
    <t xml:space="preserve">ΑΧΜΕΤ </t>
  </si>
  <si>
    <t>ΑΗ409356</t>
  </si>
  <si>
    <t>ΑΙ371839</t>
  </si>
  <si>
    <t>ΑΚ311093</t>
  </si>
  <si>
    <t>ΑΙ220519</t>
  </si>
  <si>
    <t>ΑΖ361747</t>
  </si>
  <si>
    <t>ΛΟΥΜΟΥΣΙΩΤΗ</t>
  </si>
  <si>
    <t>ΑΙ681176</t>
  </si>
  <si>
    <t>ΒΑΣΣΑΛΟΣ</t>
  </si>
  <si>
    <t>ΑΚ683072</t>
  </si>
  <si>
    <t>ΡΕΑ</t>
  </si>
  <si>
    <t>ΑΚ369357</t>
  </si>
  <si>
    <t>ΑΖ447712</t>
  </si>
  <si>
    <t>ΑΗ245785</t>
  </si>
  <si>
    <t>ΚΑΛΛΙΑΚΜΑΝΗ</t>
  </si>
  <si>
    <t>ΑΚ616752</t>
  </si>
  <si>
    <t>ΤΑΞΙΑΡΧΙΑ ΔΙΟΝΥΣΙΑ</t>
  </si>
  <si>
    <t>ΑΚ958358</t>
  </si>
  <si>
    <t>ΑΖ090900</t>
  </si>
  <si>
    <t>ΤΟΜΑΖΟΥ</t>
  </si>
  <si>
    <t>ΑΕ141617</t>
  </si>
  <si>
    <t>ΚΑΖΕΠΗ</t>
  </si>
  <si>
    <t>ΕΡΜΙΟΝΗ ΜΙΚΑΕΛΑ</t>
  </si>
  <si>
    <t xml:space="preserve">ΜΑΞΙΜΟΣ </t>
  </si>
  <si>
    <t>ΑΙ056742</t>
  </si>
  <si>
    <t>ΑΝΔΡΙΑΝΟΥ</t>
  </si>
  <si>
    <t>ΑΚ066502</t>
  </si>
  <si>
    <t>ΝΤΑΛΚΙΤΣΗ</t>
  </si>
  <si>
    <t>ΑΖ391447</t>
  </si>
  <si>
    <t>ΕΥΦΡΟΣΥΝΗ ΚΥΒΕΛΗ</t>
  </si>
  <si>
    <t>ΑΜ715808</t>
  </si>
  <si>
    <t>ΑΙ444064</t>
  </si>
  <si>
    <t>ΜΠΟΓΔΟΥ</t>
  </si>
  <si>
    <t>ΑΙ616892</t>
  </si>
  <si>
    <t>ΓΕΡΑΜΟΥΤΣΟΣ</t>
  </si>
  <si>
    <t>ΑΖ118798</t>
  </si>
  <si>
    <t>ΑΗ742334</t>
  </si>
  <si>
    <t>ΖΑΒΒΑ</t>
  </si>
  <si>
    <t>ΑΚ971494</t>
  </si>
  <si>
    <t>ΣΑΛΑΠΑΤΑΣ</t>
  </si>
  <si>
    <t>ΑΝ687624</t>
  </si>
  <si>
    <t>ΒΑΛΑΣΙΑ</t>
  </si>
  <si>
    <t>ΑΙ926047</t>
  </si>
  <si>
    <t>ΧΑΨΗ</t>
  </si>
  <si>
    <t>ΑΚ833068</t>
  </si>
  <si>
    <t>ΑΜ485082</t>
  </si>
  <si>
    <t>ΜΑΥΡΙΑ</t>
  </si>
  <si>
    <t>ΑΝΑΣΤΑΣΙΑ ΝΙΚΟΛΕΤΤΑ</t>
  </si>
  <si>
    <t>ΑΑ356966</t>
  </si>
  <si>
    <t>ΠΑΝΑΓΙΩΤΑ ΜΥΡΤΩ</t>
  </si>
  <si>
    <t>ΑΚ781257</t>
  </si>
  <si>
    <t>ΣΟΥΛΑ</t>
  </si>
  <si>
    <t>ΓΙΟΝΙΝΤΑ</t>
  </si>
  <si>
    <t>ΦΩΤΑΚ</t>
  </si>
  <si>
    <t>ΑΚ631576</t>
  </si>
  <si>
    <t>ΜΗΛΙΑΤΖΟΠΟΥΛΟΥ</t>
  </si>
  <si>
    <t>ΑΖ870135</t>
  </si>
  <si>
    <t>ΑΙ698600</t>
  </si>
  <si>
    <t>ΠΑΤΣΑΟΥΡΑ</t>
  </si>
  <si>
    <t>ΑΖ601132</t>
  </si>
  <si>
    <t>ΚΟΥΡΤΕΣΗΣ</t>
  </si>
  <si>
    <t>Χ699887</t>
  </si>
  <si>
    <t>ΑΗ416574</t>
  </si>
  <si>
    <t>ΑΙ288234</t>
  </si>
  <si>
    <t>ΦΑΤΟΛΑ</t>
  </si>
  <si>
    <t>ΑΝ510419</t>
  </si>
  <si>
    <t>ΤΣΑΓΚΟΓΕΩΡΓΑ</t>
  </si>
  <si>
    <t>ΑΚ358849</t>
  </si>
  <si>
    <t>ΜΑΣΤΡΟΓΙΑΝΝΑΚΟΥ</t>
  </si>
  <si>
    <t>ΑΝ584760</t>
  </si>
  <si>
    <t>ΑΜ914277</t>
  </si>
  <si>
    <t>ΑΖ745823</t>
  </si>
  <si>
    <t>ΑΜ605095</t>
  </si>
  <si>
    <t>ΑΝ938389</t>
  </si>
  <si>
    <t>ΤΡΙΚΟΙΛΗ</t>
  </si>
  <si>
    <t>ΑΜ451849</t>
  </si>
  <si>
    <t>ΚΑΒΟΥΡΙΔΗ</t>
  </si>
  <si>
    <t>ΑΟ168130</t>
  </si>
  <si>
    <t>ΑΚ030717</t>
  </si>
  <si>
    <t>ΑΚ535089</t>
  </si>
  <si>
    <t>ΜΑΡΚΙΑΝΟΥ</t>
  </si>
  <si>
    <t>ΑΟ048035</t>
  </si>
  <si>
    <t>ΔΗΜΑΔΗΣ</t>
  </si>
  <si>
    <t>Χ972505</t>
  </si>
  <si>
    <t>ΜΑΡΑΣΛΗ</t>
  </si>
  <si>
    <t>ΑΙ406145</t>
  </si>
  <si>
    <t>ΑΜ745155</t>
  </si>
  <si>
    <t>ΤΣΙΑΟΥΣΗ</t>
  </si>
  <si>
    <t>ΑΙ328543</t>
  </si>
  <si>
    <t>ΚΑΛΛΟΠΗ</t>
  </si>
  <si>
    <t>ΑΜ928575</t>
  </si>
  <si>
    <t>ΑΚ473320</t>
  </si>
  <si>
    <t>ΑΚ383113</t>
  </si>
  <si>
    <t>ΠΕΝΤΕΡΙΔΟΥ</t>
  </si>
  <si>
    <t>ΕΛΙΣΣΑΙΟΣ</t>
  </si>
  <si>
    <t>ΑΖ312000</t>
  </si>
  <si>
    <t>ΑΜ183716</t>
  </si>
  <si>
    <t>ΔΕΝΑΞΑ</t>
  </si>
  <si>
    <t>ΑΗ578079</t>
  </si>
  <si>
    <t>ΜΑΛΙΓΚΑΝΗ</t>
  </si>
  <si>
    <t>ΑΟ202397</t>
  </si>
  <si>
    <t>ΚΟΥΤΣΟΜΗΤΡΟΥ</t>
  </si>
  <si>
    <t>ΑΚ327420</t>
  </si>
  <si>
    <t>ΜΗΝΔΡΙΝΟΥ</t>
  </si>
  <si>
    <t>ΑΝ547812</t>
  </si>
  <si>
    <t>ΑΙ552331</t>
  </si>
  <si>
    <t>ΑΜ740263</t>
  </si>
  <si>
    <t>Χ227520</t>
  </si>
  <si>
    <t>ΜΑΛΛΑ</t>
  </si>
  <si>
    <t>ΜΠΟΥΤΙΟΥ</t>
  </si>
  <si>
    <t>ΑΗ126496</t>
  </si>
  <si>
    <t>ΤΖΕΛΕΠΑΚΗ</t>
  </si>
  <si>
    <t>ΑΚ311586</t>
  </si>
  <si>
    <t>ΑΚ784189</t>
  </si>
  <si>
    <t>ΑΚ889577</t>
  </si>
  <si>
    <t>ΑΖ995937</t>
  </si>
  <si>
    <t>ΑΜ949819</t>
  </si>
  <si>
    <t>ΑΗ396617</t>
  </si>
  <si>
    <t>ΑΒ189774</t>
  </si>
  <si>
    <t>ΑΚ568390</t>
  </si>
  <si>
    <t>ΚΟΥΚΙΑ</t>
  </si>
  <si>
    <t>ΑΚ446127</t>
  </si>
  <si>
    <t>ΠΙΛΑΦΑ</t>
  </si>
  <si>
    <t>ΑΚ717404</t>
  </si>
  <si>
    <t>ΧΟΥΛΙΑΡΑ</t>
  </si>
  <si>
    <t>ΑΟ273503</t>
  </si>
  <si>
    <t>ΤΡΙΓΛΙΑΝΟΥ</t>
  </si>
  <si>
    <t>ΜΑΤΘΙΛΔΗ</t>
  </si>
  <si>
    <t>ΑΝ238541</t>
  </si>
  <si>
    <t>ΑΚ681603</t>
  </si>
  <si>
    <t>ΚΟΤΡΩΝΗ</t>
  </si>
  <si>
    <t>ΑΙ858784</t>
  </si>
  <si>
    <t>ΤΟΖΙΟΥ</t>
  </si>
  <si>
    <t>ΑΙ702818</t>
  </si>
  <si>
    <t>ΚΑΤΣΙΜΠΙΝΗ</t>
  </si>
  <si>
    <t>ΑΝ539600</t>
  </si>
  <si>
    <t>ΑΑ411119</t>
  </si>
  <si>
    <t>ΑΕ762017</t>
  </si>
  <si>
    <t>ΚΑΤΣΙΓΑΡΗ</t>
  </si>
  <si>
    <t>ΑΡΙΣΤΟΔΗΜΟΣ</t>
  </si>
  <si>
    <t>ΑΖ063088</t>
  </si>
  <si>
    <t>ΑΜ602313</t>
  </si>
  <si>
    <t>ΑΗ221805</t>
  </si>
  <si>
    <t>ΛΟΙΖΟΣ</t>
  </si>
  <si>
    <t>ΑΖ524651</t>
  </si>
  <si>
    <t>ΑΙ341956</t>
  </si>
  <si>
    <t>Φ227440</t>
  </si>
  <si>
    <t>ΤΣΑΧΤΣΙΡΛΗΣ</t>
  </si>
  <si>
    <t>ΑΙ198954</t>
  </si>
  <si>
    <t>ΜΑΡΙΑ ΑΝΤΟΥΑΝΕΤΤΑ</t>
  </si>
  <si>
    <t>ΑΟ160369</t>
  </si>
  <si>
    <t>ΑΙ534458</t>
  </si>
  <si>
    <t>ΑΕ748648</t>
  </si>
  <si>
    <t>ΜΠΟΛΑΡΑΚΗΣ</t>
  </si>
  <si>
    <t>ΑΒ488532</t>
  </si>
  <si>
    <t>ΑΕ972736</t>
  </si>
  <si>
    <t>ΜΑΣΛΑΡΛΗ</t>
  </si>
  <si>
    <t>ΑΗ680537</t>
  </si>
  <si>
    <t>ΔΙΩΤΗ</t>
  </si>
  <si>
    <t>ΑΚ088282</t>
  </si>
  <si>
    <t>ΑΗ455756</t>
  </si>
  <si>
    <t>ΑΙ757751</t>
  </si>
  <si>
    <t>ΑΗ427503</t>
  </si>
  <si>
    <t>ΓΚΙΜΟΥΣΗ</t>
  </si>
  <si>
    <t xml:space="preserve">ΦΛΩΡΑ </t>
  </si>
  <si>
    <t>ΑΖ977176</t>
  </si>
  <si>
    <t>ΑΝ404218</t>
  </si>
  <si>
    <t>ΠΟΥΡΝΑΡΑ</t>
  </si>
  <si>
    <t>ΑΙ287241</t>
  </si>
  <si>
    <t>ΦΕΣΤΑ</t>
  </si>
  <si>
    <t>ΑΟ819150</t>
  </si>
  <si>
    <t>ΑΙ864775</t>
  </si>
  <si>
    <t>ΤΟΥΡΝΟΓΛΟΥ</t>
  </si>
  <si>
    <t>ΕΛΕΝΗ ΜΑΡΙΝΑ</t>
  </si>
  <si>
    <t>ΑΙ583559</t>
  </si>
  <si>
    <t>ΜΑΛΛΙΑΡΑΚΗ</t>
  </si>
  <si>
    <t>ΑΙ451937</t>
  </si>
  <si>
    <t>ΣΙΜΩΝΙΔΟΥ</t>
  </si>
  <si>
    <t>ΑΙ550564</t>
  </si>
  <si>
    <t>ΦΙΛΟΚΤΗΜΩΝ</t>
  </si>
  <si>
    <t>Χ315060</t>
  </si>
  <si>
    <t>ΝΕΟΦΥΤΟΥ</t>
  </si>
  <si>
    <t>ΦΑΙΔΡΟΣ</t>
  </si>
  <si>
    <t>ΑΖ535670</t>
  </si>
  <si>
    <t>ΜΑΜΑΛΗ</t>
  </si>
  <si>
    <t>ΑΗ189658</t>
  </si>
  <si>
    <t>ΤΣΟΥΠΙΝΑΚΗ</t>
  </si>
  <si>
    <t>ΑΙ260368</t>
  </si>
  <si>
    <t>ΜΠΡΑΤΑΝΗ</t>
  </si>
  <si>
    <t>ΑΙ741361</t>
  </si>
  <si>
    <t>ΑΖ913442</t>
  </si>
  <si>
    <t>ΝΤΙΝΑΚΗ</t>
  </si>
  <si>
    <t>ΑΘΑΝΑΣΙΑ ΜΑΡΙΑ</t>
  </si>
  <si>
    <t>ΑΕ904909</t>
  </si>
  <si>
    <t>ΣΑΙΤΟΓΛΟΥ</t>
  </si>
  <si>
    <t>ΑΙΣΕΛ</t>
  </si>
  <si>
    <t>ΣΑΜΗ</t>
  </si>
  <si>
    <t>ΑΝ418911</t>
  </si>
  <si>
    <t>ΚΑΦΡΑΜΑΝΗ</t>
  </si>
  <si>
    <t>ΑΙ963980</t>
  </si>
  <si>
    <t>ΚΡΟΚΙΔΑ</t>
  </si>
  <si>
    <t>ΑΕ979301</t>
  </si>
  <si>
    <t>ΠΑΠΑΔΟΠΟΥΛΟΥ ΚΡΑΒΑΡΙΤΟΥ</t>
  </si>
  <si>
    <t>ΑΚ002796</t>
  </si>
  <si>
    <t>ΜΑΚΡΥΓΕΝΗ</t>
  </si>
  <si>
    <t>ΑΗ558016</t>
  </si>
  <si>
    <t>Χ087114</t>
  </si>
  <si>
    <t>ΜΑΝΑΦΗ</t>
  </si>
  <si>
    <t>ΑΗ842788</t>
  </si>
  <si>
    <t>ΑΟ847517</t>
  </si>
  <si>
    <t>ΚΑΙΣΑΡΗ</t>
  </si>
  <si>
    <t>ΑΒ018922</t>
  </si>
  <si>
    <t>ΓΙΑΚΑΛΗ</t>
  </si>
  <si>
    <t>ΑΚ871035</t>
  </si>
  <si>
    <t>ΑΡΥΡΩ</t>
  </si>
  <si>
    <t>ΑΙ763787</t>
  </si>
  <si>
    <t>ΑΜΑΝΑΤΙΔΟΥ</t>
  </si>
  <si>
    <t>ΑΝ751415</t>
  </si>
  <si>
    <t>ΑΙ475091</t>
  </si>
  <si>
    <t>ΑΛΔΑΚΟΥ</t>
  </si>
  <si>
    <t>ΑΟ500735</t>
  </si>
  <si>
    <t>ΔΗΜΗΤΡΑ ΜΥΡΤΩ</t>
  </si>
  <si>
    <t>ΑΜ787566</t>
  </si>
  <si>
    <t>ΑΗ714800</t>
  </si>
  <si>
    <t>ΤΖΙΜΟΥΡΤΟΥ</t>
  </si>
  <si>
    <t>ΑΖ626221</t>
  </si>
  <si>
    <t>ΑΟ894510</t>
  </si>
  <si>
    <t>ΑΙ253523</t>
  </si>
  <si>
    <t>ΚΑΡΚΟΥ</t>
  </si>
  <si>
    <t>ΑΖ753800</t>
  </si>
  <si>
    <t>ΛΙΩΝΑΣ</t>
  </si>
  <si>
    <t>ΑΜ810055</t>
  </si>
  <si>
    <t>ΣΑΒΒΙΔΑΚΗ</t>
  </si>
  <si>
    <t>Χ705063</t>
  </si>
  <si>
    <t>Τ016260</t>
  </si>
  <si>
    <t>ΔΑΜΑΛΗ</t>
  </si>
  <si>
    <t>ΜΑΡΙΑ ΕΛΕΟΝΩΡΑ</t>
  </si>
  <si>
    <t>ΑΖ263220</t>
  </si>
  <si>
    <t>ΚΑΡΤΕΡΗ</t>
  </si>
  <si>
    <t>ΑΚ334914</t>
  </si>
  <si>
    <t>ΕΥΑΓΓΕΛΙΑ ΜΑΡΓΑΡΙΤΑ</t>
  </si>
  <si>
    <t>ΑΕ478226</t>
  </si>
  <si>
    <t>ΑΙ728399</t>
  </si>
  <si>
    <t>ΦΑΛΙΑΓΚΑΣ</t>
  </si>
  <si>
    <t>ΑΜ200377</t>
  </si>
  <si>
    <t>ΑΕ526532</t>
  </si>
  <si>
    <t>ΓΕΩΡΓΟΚΙΤΣΟΥ</t>
  </si>
  <si>
    <t>ΜΑΡΙΑ ΔΑΝΑΗ</t>
  </si>
  <si>
    <t>ΑΙ264584</t>
  </si>
  <si>
    <t>ΔΙΝΚΑ</t>
  </si>
  <si>
    <t>ΠΑΣΧΑΛΙΝΑ ΜΑΡΙΑ</t>
  </si>
  <si>
    <t>ΑΝ036764</t>
  </si>
  <si>
    <t>ΑΠΑΤΖΙΔΟΥ</t>
  </si>
  <si>
    <t>ΑΖ140642</t>
  </si>
  <si>
    <t>ΒΑΛΗΛΑ</t>
  </si>
  <si>
    <t>ΑΜ282752</t>
  </si>
  <si>
    <t>ΚΑΠΑΤΑΗ</t>
  </si>
  <si>
    <t>ΑΡ091871</t>
  </si>
  <si>
    <t>ΑΟ300707</t>
  </si>
  <si>
    <t>ΚΟΥΤΟΥΔΑΚΗ</t>
  </si>
  <si>
    <t>ΑΜ577509</t>
  </si>
  <si>
    <t>ΣΙΩΗ</t>
  </si>
  <si>
    <t>ΑΕ762638</t>
  </si>
  <si>
    <t>ΚΟΥΛΟΥΚΤΣΗ</t>
  </si>
  <si>
    <t>ΑΝ181943</t>
  </si>
  <si>
    <t>ΜΑΛΕΓΚΑΝΟΥ</t>
  </si>
  <si>
    <t>ΑΝ352871</t>
  </si>
  <si>
    <t>ΘΕΟΔΩΡΑ ΔΙΩΝΗ</t>
  </si>
  <si>
    <t>ΑΡ002518</t>
  </si>
  <si>
    <t>ΠΕΤΣΕΝΙΚ</t>
  </si>
  <si>
    <t>ΣΙΜΠΕΛ</t>
  </si>
  <si>
    <t>ΤΖΕΜΗΛ</t>
  </si>
  <si>
    <t>ΑΗ906718</t>
  </si>
  <si>
    <t>ΑΚ696292</t>
  </si>
  <si>
    <t xml:space="preserve">ΤΣΟΥΓΚΟΥ </t>
  </si>
  <si>
    <t>ΑΗ689052</t>
  </si>
  <si>
    <t>ΤΣΗΡΙΔΟΥ</t>
  </si>
  <si>
    <t>ΑΜ418164</t>
  </si>
  <si>
    <t>ΤΣΙΑΜΑΝΤΑ</t>
  </si>
  <si>
    <t>ΑΗ782812</t>
  </si>
  <si>
    <t>ΚΑΡΑΜΠΗ</t>
  </si>
  <si>
    <t>Χ787762</t>
  </si>
  <si>
    <t>ΑΗ817569</t>
  </si>
  <si>
    <t>ΑΙ970851</t>
  </si>
  <si>
    <t>ΑΜ722405</t>
  </si>
  <si>
    <t>ΑΕ166605</t>
  </si>
  <si>
    <t>ΑΗ943683</t>
  </si>
  <si>
    <t>ΑΚ101640</t>
  </si>
  <si>
    <t>ΚΑΤΟΧΙΑΝΟΥ</t>
  </si>
  <si>
    <t>ΑΗ719189</t>
  </si>
  <si>
    <t>ΠΕΤΡΑΚΟΥ</t>
  </si>
  <si>
    <t>ΧΡΙΣΤΙΝΑ ΠΑΝΑΓΙΩΤΑ</t>
  </si>
  <si>
    <t>ΑΚ595005</t>
  </si>
  <si>
    <t>ΤΟΥΡΤΟΥΡΙΔΟΥ</t>
  </si>
  <si>
    <t>Χ393543</t>
  </si>
  <si>
    <t>ΑΝΤΩΝΟΓΙΑΝΝΑΚΗ</t>
  </si>
  <si>
    <t xml:space="preserve">ΜΙΡΑΝΤΑ ΑΘΗΝΑ </t>
  </si>
  <si>
    <t>ΑΑ368252</t>
  </si>
  <si>
    <t>ΝΑΣΙΑΚΟΥ</t>
  </si>
  <si>
    <t>ΑΖ287111</t>
  </si>
  <si>
    <t>ΤΣΑΠΑΡΑ</t>
  </si>
  <si>
    <t>ΑΗ707340</t>
  </si>
  <si>
    <t>ΑΓΟΡΟΥ</t>
  </si>
  <si>
    <t>ΑΚ409415</t>
  </si>
  <si>
    <t>ΑΖ816583</t>
  </si>
  <si>
    <t>ΑΗ966104</t>
  </si>
  <si>
    <t>ΕΥΑΓΓΕΛΕΛΗ</t>
  </si>
  <si>
    <t>ΑΙ882502</t>
  </si>
  <si>
    <t>ΓΚΟΥΣΙΟΥ</t>
  </si>
  <si>
    <t>ΑΛΕΞΑΝΔΡΟΣ ΓΕΩΡΓΙΟΣ</t>
  </si>
  <si>
    <t>ΑΗ601164</t>
  </si>
  <si>
    <t>ΑΟ192273</t>
  </si>
  <si>
    <t>ΑΕ849289</t>
  </si>
  <si>
    <t>ΖΟΥΚΑ</t>
  </si>
  <si>
    <t>ΑΜ130303</t>
  </si>
  <si>
    <t>ΑΝ171464</t>
  </si>
  <si>
    <t>ΒΑΔΑΣΗ ΓΚΟΥΡΛΙΑ</t>
  </si>
  <si>
    <t>ΑΜ509875</t>
  </si>
  <si>
    <t>ΓΙΑΝΝΟΥΡΗ</t>
  </si>
  <si>
    <t xml:space="preserve">ΜΑΡΙΝΑ </t>
  </si>
  <si>
    <t>ΑΝ507370</t>
  </si>
  <si>
    <t>ΓΑΛΑΤΗ</t>
  </si>
  <si>
    <t>ΑΕ443894</t>
  </si>
  <si>
    <t>ΨΑΛΛΙΔΑΣ</t>
  </si>
  <si>
    <t>ΑΗ293389</t>
  </si>
  <si>
    <t>ΑΚ532477</t>
  </si>
  <si>
    <t>ΣΤΡΑΤΗ</t>
  </si>
  <si>
    <t>ΚΥΡΚΟΣ</t>
  </si>
  <si>
    <t>ΑΙ634730</t>
  </si>
  <si>
    <t>ΕΛΕΝΗ ΠΑΝΑΓΙΩΤΑ</t>
  </si>
  <si>
    <t>ΑΜ282585</t>
  </si>
  <si>
    <t>ΑΖ146587</t>
  </si>
  <si>
    <t>ΝΙΚΟΛΟΠΟΥΛΟΣ</t>
  </si>
  <si>
    <t>ΑΒ794651</t>
  </si>
  <si>
    <t>ΑΜ285914</t>
  </si>
  <si>
    <t>ΑΚ426119</t>
  </si>
  <si>
    <t>ΑΖ245997</t>
  </si>
  <si>
    <t>ΚΑΝΤΟΛΛΑΡΗ</t>
  </si>
  <si>
    <t>ΠΕΤΡΟ</t>
  </si>
  <si>
    <t>ΑΝ982718</t>
  </si>
  <si>
    <t>ΚΑΠΕΡΔΑ</t>
  </si>
  <si>
    <t>ΑΕ511739</t>
  </si>
  <si>
    <t>ΑΚ357949</t>
  </si>
  <si>
    <t>ΓΟΥΜΕΝΑΚΗ</t>
  </si>
  <si>
    <t>ΑΙ459407</t>
  </si>
  <si>
    <t>ΣΑΒΒΑΤΩ</t>
  </si>
  <si>
    <t>Χ821933</t>
  </si>
  <si>
    <t>Χ006163</t>
  </si>
  <si>
    <t>ΤΣΑΡΤΣΑΡΑΚΗ</t>
  </si>
  <si>
    <t>ΑΚ443332</t>
  </si>
  <si>
    <t>ΑΚ330978</t>
  </si>
  <si>
    <t>ΜΠΑΡΑΚΟΣ</t>
  </si>
  <si>
    <t>ΑΑ031333</t>
  </si>
  <si>
    <t>ΑΚ144475</t>
  </si>
  <si>
    <t>ΑΕ650312</t>
  </si>
  <si>
    <t>ΠΑΣΧΟΥΛΑ</t>
  </si>
  <si>
    <t>ΑΗ332198</t>
  </si>
  <si>
    <t>ΜΑΖΙΩΤΗ</t>
  </si>
  <si>
    <t>ΑΙ783038</t>
  </si>
  <si>
    <t>ΤΣΕΛΕΠΗ</t>
  </si>
  <si>
    <t>ΑΙ590027</t>
  </si>
  <si>
    <t>ΣΦΑΚΙΑΝΑΚΗΣ</t>
  </si>
  <si>
    <t>ΑΙ436651</t>
  </si>
  <si>
    <t>ΑΚ488528</t>
  </si>
  <si>
    <t>ΣΗΜΑΝΤΗΡΑΚΗ</t>
  </si>
  <si>
    <t>ΑΚ364724</t>
  </si>
  <si>
    <t>ΑΕ185836</t>
  </si>
  <si>
    <t>ΑΔΑΜΑΝΤΙΑ ΜΑΡΚΕΛΛΑ</t>
  </si>
  <si>
    <t>ΑΙ297373</t>
  </si>
  <si>
    <t>ΤΙΑΚΟΥΔΑ</t>
  </si>
  <si>
    <t>ΑΙ371962</t>
  </si>
  <si>
    <t>ΑΚΥΛΙΝΑ</t>
  </si>
  <si>
    <t>ΑΙ365394</t>
  </si>
  <si>
    <t>ΧΑΛΑΤΣΟΓΛΟΥ</t>
  </si>
  <si>
    <t>ΑΚ885593</t>
  </si>
  <si>
    <t>ΧΡΙΣΤΟΦΙΛΟΥ</t>
  </si>
  <si>
    <t>ΑΙ082615</t>
  </si>
  <si>
    <t>ΑΑ316691</t>
  </si>
  <si>
    <t>ΑΙ780715</t>
  </si>
  <si>
    <t>ΑΜ970224</t>
  </si>
  <si>
    <t>Φ900006</t>
  </si>
  <si>
    <t>ΜΑΘΙΟΥΔΑΚΗΣ</t>
  </si>
  <si>
    <t>ΑΟ062104</t>
  </si>
  <si>
    <t>Χ209496</t>
  </si>
  <si>
    <t>ΑΝ055065</t>
  </si>
  <si>
    <t>ΣΦΟΝΔΥΛΗ</t>
  </si>
  <si>
    <t>ΑΗ730069</t>
  </si>
  <si>
    <t>ΠΑΠΑΔΑΝΤΩΝΑΚΗ</t>
  </si>
  <si>
    <t>ΑΝΔΡΕΑΣ ΧΡΗΣΤΟΣ</t>
  </si>
  <si>
    <t>ΑΖ090547</t>
  </si>
  <si>
    <t xml:space="preserve">ΤΖΙΛΙΑ </t>
  </si>
  <si>
    <t>ΝΑΟΥΜΑ ΜΑΡΙΑ</t>
  </si>
  <si>
    <t xml:space="preserve">ΑΡΙΣΤΟΤΕΛΗΣ </t>
  </si>
  <si>
    <t>ΑΙ328931</t>
  </si>
  <si>
    <t>ΜΑΡΚΑΝΤΩΝΗ</t>
  </si>
  <si>
    <t>ΣΤΑΜΑΤΙΝΑ ΠΑΝΑΓΙΩΤΑ</t>
  </si>
  <si>
    <t>ΑΒ533834</t>
  </si>
  <si>
    <t>ΦΙΔΑΝΗ</t>
  </si>
  <si>
    <t>ΑΣΑΝΩ</t>
  </si>
  <si>
    <t>ΑΙ361699</t>
  </si>
  <si>
    <t>ΑΑ486710</t>
  </si>
  <si>
    <t>ΒΟΥΛΓΑΡΙΔΗ</t>
  </si>
  <si>
    <t>ΑΜ382009</t>
  </si>
  <si>
    <t>ΔΗΜΗΤΡΑΚΗ</t>
  </si>
  <si>
    <t>ΑΚ716243</t>
  </si>
  <si>
    <t>ΚΑΓΙΑΦΑ</t>
  </si>
  <si>
    <t>ΑΝ009217</t>
  </si>
  <si>
    <t>ΑΖ317388</t>
  </si>
  <si>
    <t>ΑΓΓΕΛΙΔΗ</t>
  </si>
  <si>
    <t>ΑΗ953994</t>
  </si>
  <si>
    <t>ΜΟΥΡΟΥΖΗΣ</t>
  </si>
  <si>
    <t>Χ890534</t>
  </si>
  <si>
    <t>ΑΜ353440</t>
  </si>
  <si>
    <t>ΑΝ296550</t>
  </si>
  <si>
    <t>ΧΑΤΖΗΕΦΡΑΙΜΙΔΟΥ</t>
  </si>
  <si>
    <t>ΑΖ895402</t>
  </si>
  <si>
    <t>ΜΠΟΥΛΟΥΚΗΣ</t>
  </si>
  <si>
    <t>ΑΜ689395</t>
  </si>
  <si>
    <t>ΓΕΩΡΓΑΚΛΗΣ</t>
  </si>
  <si>
    <t>ΑΗ996143</t>
  </si>
  <si>
    <t>ΑΙ816010</t>
  </si>
  <si>
    <t>ΚΑΝΑΒΑΡΟΥ</t>
  </si>
  <si>
    <t>ΑΗ040255</t>
  </si>
  <si>
    <t>ΜΕΧΜΕΤΙ</t>
  </si>
  <si>
    <t>ΑΤΙΓΚΕΡΣΑ</t>
  </si>
  <si>
    <t>ΒΕΤΖΙ</t>
  </si>
  <si>
    <t>ΑΙ429425</t>
  </si>
  <si>
    <t>ΝΤΟΥΜΑΝΙΔΗ</t>
  </si>
  <si>
    <t>ΑΗ990181</t>
  </si>
  <si>
    <t>ΧΑΤΖΙΡΗΣ</t>
  </si>
  <si>
    <t>ΑΖ441484</t>
  </si>
  <si>
    <t>ΒΑΙΤΣΗ</t>
  </si>
  <si>
    <t>ΑΒ662605</t>
  </si>
  <si>
    <t>Τ415537</t>
  </si>
  <si>
    <t>ΔΑΓΚΟΓΛΟΥ</t>
  </si>
  <si>
    <t>ΑΗ709567</t>
  </si>
  <si>
    <t>ΣΙΒΟΥΔΗ</t>
  </si>
  <si>
    <t>ΒΑΓΙΑ ΜΑΡΙΝΑ</t>
  </si>
  <si>
    <t>ΑΗ925853</t>
  </si>
  <si>
    <t>Φ133137</t>
  </si>
  <si>
    <t>ΝΤΕΛ ΡΟΣΣΩ</t>
  </si>
  <si>
    <t>ΑΙ013585</t>
  </si>
  <si>
    <t>ΑΙ807733</t>
  </si>
  <si>
    <t>ΑΗ680778</t>
  </si>
  <si>
    <t xml:space="preserve">ΧΑΤΖΗΑΝΤΩΝΙΟΥ </t>
  </si>
  <si>
    <t>ΑΕ452572</t>
  </si>
  <si>
    <t>ΑΙ167669</t>
  </si>
  <si>
    <t>ΑΙ736224</t>
  </si>
  <si>
    <t>ΚΟΥΡΟΓΙΩΡΓΑΣ</t>
  </si>
  <si>
    <t>ΑΒ395992</t>
  </si>
  <si>
    <t>ΦΑΚΩΤΑΚΗ</t>
  </si>
  <si>
    <t>Χ045659</t>
  </si>
  <si>
    <t>ΖΑΡΖΟΥ</t>
  </si>
  <si>
    <t>ΑΗ288560</t>
  </si>
  <si>
    <t>ΤΣΑΡΤΣΑΡΗ</t>
  </si>
  <si>
    <t>ΑΟ762170</t>
  </si>
  <si>
    <t>ΑΖ986513</t>
  </si>
  <si>
    <t>ΠΙΤΤΑΡΑΣ</t>
  </si>
  <si>
    <t>ΑΗ019517</t>
  </si>
  <si>
    <t>ΠΑΡΑΣΚΕΥΟΠΟΥΛΟΥ ΒΟΥΤΣΙΝΑ</t>
  </si>
  <si>
    <t>ΑΙ512410</t>
  </si>
  <si>
    <t>ΑΡΑΠΗ</t>
  </si>
  <si>
    <t>ΑΚ667738</t>
  </si>
  <si>
    <t xml:space="preserve">ΜΙΧΑΗΛΙΔΟΥ </t>
  </si>
  <si>
    <t>ΜΑΡΙΑ ΕΜΜΑΝΟΥΕΛΑ</t>
  </si>
  <si>
    <t>ΑΑ303780</t>
  </si>
  <si>
    <t>ΧΗΡΑΚΗΣ</t>
  </si>
  <si>
    <t>ΑΖ502858</t>
  </si>
  <si>
    <t>ΑΙ963488</t>
  </si>
  <si>
    <t>ΑΝΘΡΩΠΑΚΗ</t>
  </si>
  <si>
    <t>ΑΗ850934</t>
  </si>
  <si>
    <t>ΜΠΟΓΙΟΠΟΥΛΟΣ</t>
  </si>
  <si>
    <t>ΑΟ116012</t>
  </si>
  <si>
    <t>ΤΣΑΜΠΟΥ</t>
  </si>
  <si>
    <t>ΑΕ433281</t>
  </si>
  <si>
    <t>ΜΠΑΛΑΜΠΟΥΓΙΚΗ</t>
  </si>
  <si>
    <t>ΑΕ389716</t>
  </si>
  <si>
    <t>ΑΛΤΗΠΑΡΜΑΚΗ</t>
  </si>
  <si>
    <t>ΑΙ369081</t>
  </si>
  <si>
    <t>ΛΟΥΦΑΡΔΑΚΗ</t>
  </si>
  <si>
    <t>ΑΜ465488</t>
  </si>
  <si>
    <t>ΧΡΙΣΤΙΝΑ ΦΛΩΡΑ</t>
  </si>
  <si>
    <t>ΑΙ977501</t>
  </si>
  <si>
    <t>ΑΒ108089</t>
  </si>
  <si>
    <t>ΜΕΡΓΙΑΝΟΥ</t>
  </si>
  <si>
    <t>ΕΛΕΝΗ ΔΙΟΝΥΣΙΑ</t>
  </si>
  <si>
    <t>ΑΗ259445</t>
  </si>
  <si>
    <t>ΚΡΕΣΤΕΝΙΤΗ</t>
  </si>
  <si>
    <t>ΑΜ224665</t>
  </si>
  <si>
    <t>ΙΩΑΝΝΑ ΕΛΕΥΘΕΡΙΑ</t>
  </si>
  <si>
    <t>ΑΗ666475</t>
  </si>
  <si>
    <t xml:space="preserve">ΤΣΟΠΑΝΕΛΗ </t>
  </si>
  <si>
    <t xml:space="preserve">ΝΕΚΤΑΡΙΑ </t>
  </si>
  <si>
    <t>ΑΖ854641</t>
  </si>
  <si>
    <t>ΚΟΡΑΤΖΑΝΗ</t>
  </si>
  <si>
    <t>ΑΙ987581</t>
  </si>
  <si>
    <t>ΛΑΛΙΩΤΗ</t>
  </si>
  <si>
    <t>ΑΝ755882</t>
  </si>
  <si>
    <t>ΧΟΙΜΠΟΥ</t>
  </si>
  <si>
    <t>ΑΙ578376</t>
  </si>
  <si>
    <t>ΚΑΡΑΒΑΓΓΕΛΗ</t>
  </si>
  <si>
    <t>ΑΜ994758</t>
  </si>
  <si>
    <t>ΑΗ323297</t>
  </si>
  <si>
    <t>ΑΝ492055</t>
  </si>
  <si>
    <t>ΑΜ695680</t>
  </si>
  <si>
    <t>ΔΡΑΚΟΥΛΙΔΟΥ</t>
  </si>
  <si>
    <t>ΑΚ317767</t>
  </si>
  <si>
    <t>ΑΙ807695</t>
  </si>
  <si>
    <t>ΟΥΖΟΥΝΟΓΛΟΥ</t>
  </si>
  <si>
    <t>ΜΕΛΙΝΑ ΕΙΡΗΝΗ</t>
  </si>
  <si>
    <t>ΑΟ552205</t>
  </si>
  <si>
    <t>ΑΒ295409</t>
  </si>
  <si>
    <t>ΠΑΛΚΟΥΣΟΥΡΓΙΑ</t>
  </si>
  <si>
    <t>ΑΚ330975</t>
  </si>
  <si>
    <t>ΖΟΥΜΠΑΝΙΩΤΗΣ</t>
  </si>
  <si>
    <t>ΑΖ820489</t>
  </si>
  <si>
    <t>ΑΛΑΦΟΓΙΑΝΝΗ</t>
  </si>
  <si>
    <t>ΑΒ448290</t>
  </si>
  <si>
    <t>ΕΛΕΥΘΕΡΙΑ ΖΩΗ</t>
  </si>
  <si>
    <t>ΑΗ251538</t>
  </si>
  <si>
    <t>ΑΝ222087</t>
  </si>
  <si>
    <t>ΑΣΑΡΙΔΟΥ</t>
  </si>
  <si>
    <t>ΑΗ320011</t>
  </si>
  <si>
    <t>ΑΝ731199</t>
  </si>
  <si>
    <t>ΑΚ332361</t>
  </si>
  <si>
    <t>ΠΑΠΑΓΙΑΝΝΙΔΟΥ</t>
  </si>
  <si>
    <t>ΑΖ790421</t>
  </si>
  <si>
    <t>ΓΑΥΡΟΥ</t>
  </si>
  <si>
    <t>ΑΕ814921</t>
  </si>
  <si>
    <t>Ν577136</t>
  </si>
  <si>
    <t>ΑΝ082040</t>
  </si>
  <si>
    <t>ΜΠΟΥΛΙΟΥ</t>
  </si>
  <si>
    <t>ΑΜ489037</t>
  </si>
  <si>
    <t>ΜΑΡΜΑΛΙΔΟΥ</t>
  </si>
  <si>
    <t>ΑΗ884416</t>
  </si>
  <si>
    <t>ΣΟΥΛΗ ΣΩΤΗΡΟΠΟΥΛΟΥ</t>
  </si>
  <si>
    <t>ΑΝ403679</t>
  </si>
  <si>
    <t>ΑΙ995531</t>
  </si>
  <si>
    <t>Φ078068</t>
  </si>
  <si>
    <t>ΝΕΡΟΥΤΣΟΥ</t>
  </si>
  <si>
    <t>ΑΝ090358</t>
  </si>
  <si>
    <t>ΜΑΚΡΙΔΗΣ</t>
  </si>
  <si>
    <t>ΑΗ850149</t>
  </si>
  <si>
    <t>ΑΙ186863</t>
  </si>
  <si>
    <t>ΑΝΤΩΝΑΚΗ</t>
  </si>
  <si>
    <t>ΑΙΚΑΤΕΡΙΝΗ ΒΑΡΒΑΡΑ</t>
  </si>
  <si>
    <t>ΑΟ499542</t>
  </si>
  <si>
    <t>ΚΑΡΥΩΤΟΥ</t>
  </si>
  <si>
    <t>ΑΑ257266</t>
  </si>
  <si>
    <t>ΚΑΚΚΑΝΑ</t>
  </si>
  <si>
    <t>ΑΕ227430</t>
  </si>
  <si>
    <t>ΣΚΟΥΦΗ</t>
  </si>
  <si>
    <t>ΑΙΚΑΤΕΡΙΝΗ ΚΥΡΙΑΚΗ</t>
  </si>
  <si>
    <t>ΑΗ498980</t>
  </si>
  <si>
    <t>ΤΖΟΥΒΕΛΕΚΗΣ</t>
  </si>
  <si>
    <t>ΑΖ175970</t>
  </si>
  <si>
    <t>ΒΑΡΒΕΡΗΣ</t>
  </si>
  <si>
    <t>ΑΟ240774</t>
  </si>
  <si>
    <t>ΜΑΚΑΒΟΥ</t>
  </si>
  <si>
    <t>ΑΚ886291</t>
  </si>
  <si>
    <t>ΑΜ971359</t>
  </si>
  <si>
    <t>ΑΟ002027</t>
  </si>
  <si>
    <t>ΑΑ047894</t>
  </si>
  <si>
    <t>ΑΖ622523</t>
  </si>
  <si>
    <t>ΑΝ529105</t>
  </si>
  <si>
    <t>ΑΛΑΤΖΑΚΗ</t>
  </si>
  <si>
    <t>ΑΗ726437</t>
  </si>
  <si>
    <t>ΜΕΛΙΤΑ</t>
  </si>
  <si>
    <t>ΑΚ901333</t>
  </si>
  <si>
    <t>ΑΚ943263</t>
  </si>
  <si>
    <t>ΔΗΜΗΤΡΑ ΕΥΓΕΝΙΑ</t>
  </si>
  <si>
    <t>ΑΚ742404</t>
  </si>
  <si>
    <t>ΠΑΠΑΖΗΣΗ</t>
  </si>
  <si>
    <t>ΑΝ227495</t>
  </si>
  <si>
    <t>ΤΑΣΙΟΣ</t>
  </si>
  <si>
    <t>ΑΒ812492</t>
  </si>
  <si>
    <t>ΑΙ031654</t>
  </si>
  <si>
    <t>ΑΕ985722</t>
  </si>
  <si>
    <t>ΘΕΚΛΗ</t>
  </si>
  <si>
    <t>ΑΗ758351</t>
  </si>
  <si>
    <t>ΑΡΜΟΔΩΡΟΥ</t>
  </si>
  <si>
    <t>ΠΕΤΡΟΣ ΠΑΥΛΟΣ</t>
  </si>
  <si>
    <t>Χ032016</t>
  </si>
  <si>
    <t>ΓΟΥΣΕΤΗΣ</t>
  </si>
  <si>
    <t>ΑΙ629951</t>
  </si>
  <si>
    <t>ΣΕΤΤΑ</t>
  </si>
  <si>
    <t>ΑΙ771013</t>
  </si>
  <si>
    <t>ΑΗ209338</t>
  </si>
  <si>
    <t>ΒΕΡΙΓΟΥ</t>
  </si>
  <si>
    <t>ΑΙ456373</t>
  </si>
  <si>
    <t>ΠΟΛΥΚΑΡΠΟΥ</t>
  </si>
  <si>
    <t>ΑΜ697016</t>
  </si>
  <si>
    <t>ΓΟΥΝΑΡΙΔΗΣ</t>
  </si>
  <si>
    <t>ΑΖ406533</t>
  </si>
  <si>
    <t>ΑΚ747124</t>
  </si>
  <si>
    <t>ΤΟΤΤΑ</t>
  </si>
  <si>
    <t>ΑΚ260379</t>
  </si>
  <si>
    <t>ΑΙΚΑΤΕΡΙΝΗ ΦΙΛΙΠΠΙΝΑ</t>
  </si>
  <si>
    <t>ΑΚ488426</t>
  </si>
  <si>
    <t>ΣΑΡΚΙΣΣΙΑΝ</t>
  </si>
  <si>
    <t>ΝΤΑΝΙΕΛ</t>
  </si>
  <si>
    <t>ΑΒ157510</t>
  </si>
  <si>
    <t>ΔΟΥΡΤΜΕ</t>
  </si>
  <si>
    <t>ΑΙ963376</t>
  </si>
  <si>
    <t>ΓΙΑΝΝΟΥΛΟΠΟΥΛΟΥ</t>
  </si>
  <si>
    <t>ΑΗ356184</t>
  </si>
  <si>
    <t>ΑΗ318602</t>
  </si>
  <si>
    <t>Χ224966</t>
  </si>
  <si>
    <t>ΓΚΟΥΝΤΑΡΑ</t>
  </si>
  <si>
    <t>ΣΤΥΛΙΑΝΗ ΕΛΕΥΘΕΡΙΑ</t>
  </si>
  <si>
    <t>ΑΗ323501</t>
  </si>
  <si>
    <t>ΑΙ777745</t>
  </si>
  <si>
    <t>ΜΟΙΡΕΑ</t>
  </si>
  <si>
    <t>ΑΚ517644</t>
  </si>
  <si>
    <t>ΑΥΦΑΝΤΗ</t>
  </si>
  <si>
    <t>ΑΒ106534</t>
  </si>
  <si>
    <t>ΑΙ948526</t>
  </si>
  <si>
    <t>ΧΑΡΜΠΗΣ</t>
  </si>
  <si>
    <t>ΑΜ707124</t>
  </si>
  <si>
    <t>ΚΑΡΥΓΙΑΝΝΗ</t>
  </si>
  <si>
    <t>ΑΒ405486</t>
  </si>
  <si>
    <t>ΚΑΛΑΒΡΙΖΙΩΤΗ</t>
  </si>
  <si>
    <t>ΦΩΤΕΙΝ</t>
  </si>
  <si>
    <t>ΑΖ251341</t>
  </si>
  <si>
    <t>ΑΜ016448</t>
  </si>
  <si>
    <t>ΑΝ076827</t>
  </si>
  <si>
    <t>ΑΚ532244</t>
  </si>
  <si>
    <t>ΓΙΟΥΜΠΑΣΗ</t>
  </si>
  <si>
    <t>ΑΖ420771</t>
  </si>
  <si>
    <t>ΚΑΡΚΑΛΟΥΤΣΟΥ</t>
  </si>
  <si>
    <t>ΑΖ230583</t>
  </si>
  <si>
    <t>ΑΖ230974</t>
  </si>
  <si>
    <t>ΔΕΛΕΝΙΚΑ</t>
  </si>
  <si>
    <t>ΑΚ019074</t>
  </si>
  <si>
    <t>ΤΑΜΑΖΙΑΝ</t>
  </si>
  <si>
    <t>ΣΑΜΒΕΛ</t>
  </si>
  <si>
    <t>ΑΕ215130</t>
  </si>
  <si>
    <t>ΙΣΠΥΡΟΠΟΥΛΟΥ</t>
  </si>
  <si>
    <t>ΑΙ233080</t>
  </si>
  <si>
    <t>ΑΝ515836</t>
  </si>
  <si>
    <t>ΑΟ581047</t>
  </si>
  <si>
    <t>ΑΚ097528</t>
  </si>
  <si>
    <t>ΜΟΥΛΟΠΟΥΛΟΥ</t>
  </si>
  <si>
    <t>ΑΙ781541</t>
  </si>
  <si>
    <t>ΑΚ669142</t>
  </si>
  <si>
    <t>ΓΙΑΓΚΙΝΗ</t>
  </si>
  <si>
    <t>ΑΜ625923</t>
  </si>
  <si>
    <t>ΖΗΝΩΝ</t>
  </si>
  <si>
    <t>ΑΡ330848</t>
  </si>
  <si>
    <t>ΑΙ984903</t>
  </si>
  <si>
    <t>ΤΟΥΜΠΑΚΑΡΗ</t>
  </si>
  <si>
    <t xml:space="preserve">ΙΑΚΩΒΟΣ </t>
  </si>
  <si>
    <t>ΑΙ302306</t>
  </si>
  <si>
    <t>ΧΑΝΤΖΙΔΟΥ</t>
  </si>
  <si>
    <t>ΑΖ660059</t>
  </si>
  <si>
    <t>ΑΒ162561</t>
  </si>
  <si>
    <t>ΑΚΡΙΒΟΠΟΥΛΟΥ</t>
  </si>
  <si>
    <t>ΑΚ964237</t>
  </si>
  <si>
    <t>ΛΑΛΛΟΥ</t>
  </si>
  <si>
    <t>ΑΒ111872</t>
  </si>
  <si>
    <t>ΓΟΡΓΟΛΙΤΣΑ</t>
  </si>
  <si>
    <t>Χ272537</t>
  </si>
  <si>
    <t>ΤΑΒΟΥΛΑΡΗΣ</t>
  </si>
  <si>
    <t>ΑΣΗΜΗΣ</t>
  </si>
  <si>
    <t>ΑΝ383419</t>
  </si>
  <si>
    <t>ΤΣΟΥΚΑΛΗΣ</t>
  </si>
  <si>
    <t>Σ929462</t>
  </si>
  <si>
    <t>ΚΟΣΣΕΝΑΚΗ</t>
  </si>
  <si>
    <t>ΑΝΝΑ ΝΑΝΤΙΑ</t>
  </si>
  <si>
    <t>ΑΟ584180</t>
  </si>
  <si>
    <t>ΣΤΕΡΙΩΤΗ</t>
  </si>
  <si>
    <t>ΑΝ589617</t>
  </si>
  <si>
    <t>ΦΙΝΔΑΝΗ</t>
  </si>
  <si>
    <t>ΑΚ598516</t>
  </si>
  <si>
    <t>ΓΕΩΡΓΙΟΣ ΑΛΕΞΑΝΔΡΟΣ</t>
  </si>
  <si>
    <t>ΜΠΑΝΤΟΥΝΑΣ</t>
  </si>
  <si>
    <t>ΛΟΥΗΣ</t>
  </si>
  <si>
    <t>ΑΜ105745</t>
  </si>
  <si>
    <t>ΔΕΔΗΛΑ</t>
  </si>
  <si>
    <t>ΑΟ946176</t>
  </si>
  <si>
    <t>ΜΠΑΙΡΑΧΤΑΡΗ</t>
  </si>
  <si>
    <t>ΑΙ870646</t>
  </si>
  <si>
    <t>ΜΠΟΛΑΡΑΚΗ</t>
  </si>
  <si>
    <t>ΑΗ977496</t>
  </si>
  <si>
    <t>ΞΕΝΟΦΩΝΤΑΣ</t>
  </si>
  <si>
    <t>ΑΙ102647</t>
  </si>
  <si>
    <t>ΑΗ155958</t>
  </si>
  <si>
    <t>ΑΗ081192</t>
  </si>
  <si>
    <t>ΠΙΤΣΙΑΚΟΥ</t>
  </si>
  <si>
    <t>ΑΟ379611</t>
  </si>
  <si>
    <t>ΠΑΠΑΛΑΜΠΡΟΥ ΝΤΟΒΡΟΥ</t>
  </si>
  <si>
    <t>ΑΙ486569</t>
  </si>
  <si>
    <t>ΒΥΝΙΧΑΚΗ</t>
  </si>
  <si>
    <t>ΑΜ460402</t>
  </si>
  <si>
    <t>ΑΙ297414</t>
  </si>
  <si>
    <t>ΜΠΟΦΟΥ</t>
  </si>
  <si>
    <t>ΑΙ501929</t>
  </si>
  <si>
    <t>ΑΗ502478</t>
  </si>
  <si>
    <t>ΑΝ627372</t>
  </si>
  <si>
    <t>ΣΩΡΡΑ</t>
  </si>
  <si>
    <t>ΑΓΑΛΙΩΤΗ</t>
  </si>
  <si>
    <t>ΑΚ041383</t>
  </si>
  <si>
    <t>ΜΠΑΡΟΥΣΗ</t>
  </si>
  <si>
    <t>ΑΗ210269</t>
  </si>
  <si>
    <t>ΑΙ522005</t>
  </si>
  <si>
    <t xml:space="preserve">ΣΤΑΘΟΥΡΟΥ </t>
  </si>
  <si>
    <t>Σ573565</t>
  </si>
  <si>
    <t>ΜΕΡΤΣΙΩΤΑΚΗ</t>
  </si>
  <si>
    <t>ΑΖ282403</t>
  </si>
  <si>
    <t>ΑΒ225249</t>
  </si>
  <si>
    <t>ΔΟΝΤΣΙΔΟΥ ΔΗΜΗΤΡΙΑΔΟΥ</t>
  </si>
  <si>
    <t>ΑΖ674578</t>
  </si>
  <si>
    <t>ΒΑΣΙΛΙΚΟΠΟΥΛΟΥ</t>
  </si>
  <si>
    <t>ΑΗ721534</t>
  </si>
  <si>
    <t xml:space="preserve">ΣΤΑΜΟΥ </t>
  </si>
  <si>
    <t xml:space="preserve">ΕΛΙΣΑΒΕΤ </t>
  </si>
  <si>
    <t>ΑΗ484437</t>
  </si>
  <si>
    <t>ΑΖ672270</t>
  </si>
  <si>
    <t>ΚΑΡΑΔΗΜΗΤΡΗ</t>
  </si>
  <si>
    <t>ΑΗ821204</t>
  </si>
  <si>
    <t>ΠΑΙΝΕΣΗ</t>
  </si>
  <si>
    <t>ΑΟ826848</t>
  </si>
  <si>
    <t>ΜΙΧΟΠΟΥΛΟΥ</t>
  </si>
  <si>
    <t>ΑΗ724717</t>
  </si>
  <si>
    <t>ΑΙ629847</t>
  </si>
  <si>
    <t>ΑΙ434323</t>
  </si>
  <si>
    <t>ΑΡ364637</t>
  </si>
  <si>
    <t>ΚΑΒΑΛΛΑΡΗ</t>
  </si>
  <si>
    <t>ΑΗ587233</t>
  </si>
  <si>
    <t>ΑΡΑΠΟΓΛΟΥ</t>
  </si>
  <si>
    <t>ΑΟ420427</t>
  </si>
  <si>
    <t>ΣΑΡΛΟΥ</t>
  </si>
  <si>
    <t>ΚΟΜΝΗΝΑΚΙΔΗΣ</t>
  </si>
  <si>
    <t>ΑΟ694433</t>
  </si>
  <si>
    <t>ΒΩΣΣΟΣ</t>
  </si>
  <si>
    <t>Ν031700</t>
  </si>
  <si>
    <t>ΑΗ058807</t>
  </si>
  <si>
    <t>ΚΑΚΑΡΗ</t>
  </si>
  <si>
    <t>ΑΝ919983</t>
  </si>
  <si>
    <t>ΠΑΡΙΔΗ</t>
  </si>
  <si>
    <t>ΑΖ704647</t>
  </si>
  <si>
    <t>ΑΝ814760</t>
  </si>
  <si>
    <t>ΕΛΕΝΗ ΧΡΙΣΤΙΝΑ</t>
  </si>
  <si>
    <t>ΑΙ815595</t>
  </si>
  <si>
    <t>ΑΙ391896</t>
  </si>
  <si>
    <t>ΓΙΩΤΑΣ</t>
  </si>
  <si>
    <t xml:space="preserve">ΑΠΟΣΤΟΛΟΣ ΠΑΝΑΓΙΩΤΗΣ </t>
  </si>
  <si>
    <t>ΑΗ771423</t>
  </si>
  <si>
    <t>ΠΑΝΑΓΙΩΤΗΣ ΗΛΙΑΣ</t>
  </si>
  <si>
    <t>ΑΕ159688</t>
  </si>
  <si>
    <t>ΑΙ231479</t>
  </si>
  <si>
    <t>ΦΩΤΙΑΔΗΣ</t>
  </si>
  <si>
    <t>ΑΕ413003</t>
  </si>
  <si>
    <t>ΓΑΡΟΥΦΗ</t>
  </si>
  <si>
    <t>ΑΒ786756</t>
  </si>
  <si>
    <t>ΠΑΣΑΛΗ</t>
  </si>
  <si>
    <t>ΑΖ526793</t>
  </si>
  <si>
    <t>ΚΑΡΑΜΠΑΛΗ</t>
  </si>
  <si>
    <t>ΑΟ535004</t>
  </si>
  <si>
    <t>ΚΑΡΑΠΑΝΑΓΙΩΤΟΥ</t>
  </si>
  <si>
    <t>ΑΚ310278</t>
  </si>
  <si>
    <t>ΠΑΓΚΑΛΟΣ</t>
  </si>
  <si>
    <t>ΑΝ929064</t>
  </si>
  <si>
    <t>ΠΑΥΛΟΝΙΚΟΛΑΟΥ</t>
  </si>
  <si>
    <t>Χ776060</t>
  </si>
  <si>
    <t>ΓΟΥΡΖΟΥΛΙΔΟΥ</t>
  </si>
  <si>
    <t>ΜΑΡΙΑ ΕΥΤΕΡΠΗ</t>
  </si>
  <si>
    <t>ΑΗ889585</t>
  </si>
  <si>
    <t>ΧΑΡΙΣΤΟΥ</t>
  </si>
  <si>
    <t>ΝΙΚΟΛΕΤΑ ΚΩΝΣΤΑΝΤΙΑ</t>
  </si>
  <si>
    <t>ΑΖ192295</t>
  </si>
  <si>
    <t>ΣΚΕΡΛΕΤΙΔΟΥ</t>
  </si>
  <si>
    <t>ΖΗΝΟΒΙΑ</t>
  </si>
  <si>
    <t>ΑΙ407667</t>
  </si>
  <si>
    <t>ΚΟΥΣΤΕΝΗΣ</t>
  </si>
  <si>
    <t>ΑΟ015473</t>
  </si>
  <si>
    <t>ΓΚΟΥΡΟΓΙΑΝΝΗΣ</t>
  </si>
  <si>
    <t>ΑΗ964837</t>
  </si>
  <si>
    <t>ΑΜ860257</t>
  </si>
  <si>
    <t>ΣΤΑΜΑΤΟΠΟΥΛΟΣ</t>
  </si>
  <si>
    <t>ΑΚ342196</t>
  </si>
  <si>
    <t>ΓΚΟΥΤΗ</t>
  </si>
  <si>
    <t>ΑΝ150030</t>
  </si>
  <si>
    <t>ΒΑΚΙΡΤΖΗ</t>
  </si>
  <si>
    <t>ΑΚ986012</t>
  </si>
  <si>
    <t>ΜΑΡΙΑ ΑΝΔΡΟΜΑΧΗ</t>
  </si>
  <si>
    <t>Χ601629</t>
  </si>
  <si>
    <t>ΜΠΡΑΝΙΔΟΥ</t>
  </si>
  <si>
    <t>Π220791</t>
  </si>
  <si>
    <t>ΓΚΟΥΝΤΕΛΙΑ</t>
  </si>
  <si>
    <t>ΑΝ296675</t>
  </si>
  <si>
    <t>ΚΑΛΑΜΑ</t>
  </si>
  <si>
    <t>ΚΙΤΟ</t>
  </si>
  <si>
    <t>ΑΜ352692</t>
  </si>
  <si>
    <t>ΑΗ988020</t>
  </si>
  <si>
    <t>ΑΙ061451</t>
  </si>
  <si>
    <t>Χ367263</t>
  </si>
  <si>
    <t>ΣΑΜΠΑΛΗ</t>
  </si>
  <si>
    <t>ΑΜ406426</t>
  </si>
  <si>
    <t>ΔΑΡΔΑΜΑΝΗ</t>
  </si>
  <si>
    <t>ΑΙ265591</t>
  </si>
  <si>
    <t>ΧΑΤΖΗΠΕΤΡΟΣ</t>
  </si>
  <si>
    <t>ΑΖ942555</t>
  </si>
  <si>
    <t>ΑΙ370289</t>
  </si>
  <si>
    <t>ΑΚ056147</t>
  </si>
  <si>
    <t>ΑΕ653904</t>
  </si>
  <si>
    <t>ΑΕ212316</t>
  </si>
  <si>
    <t>ΤΕΡΤΙΠΗ</t>
  </si>
  <si>
    <t>ΑΚ362371</t>
  </si>
  <si>
    <t>ΖΕΥΓΑΡΙΔΟΥ</t>
  </si>
  <si>
    <t>ΑΜ282603</t>
  </si>
  <si>
    <t>ΣΠΥΡΟΓΛΟΥ</t>
  </si>
  <si>
    <t>ΑΕ641845</t>
  </si>
  <si>
    <t>ΚΟΡΝΑΡΑΚΗ</t>
  </si>
  <si>
    <t>ΑΕ967248</t>
  </si>
  <si>
    <t>ΜΗΛΙΟΥ ΝΙΚΟΛΑΟΥ</t>
  </si>
  <si>
    <t>ΑΙ876550</t>
  </si>
  <si>
    <t>ΝΙΚΟΛΑΚΗ</t>
  </si>
  <si>
    <t>ΑΜ423007</t>
  </si>
  <si>
    <t>ΑΙ283273</t>
  </si>
  <si>
    <t>ΑΙ258060</t>
  </si>
  <si>
    <t>ΠΑΡΑΣΧΟΥΔΗ</t>
  </si>
  <si>
    <t>ΑΗ926207</t>
  </si>
  <si>
    <t>ΑΚ990380</t>
  </si>
  <si>
    <t>ΚΟΦΙΝΑ</t>
  </si>
  <si>
    <t>ΑΜ494810</t>
  </si>
  <si>
    <t>ΜΗΤΡΟΥΣΙΑΣ</t>
  </si>
  <si>
    <t>ΑΗ263364</t>
  </si>
  <si>
    <t>ΧΑΒΕΛΕ</t>
  </si>
  <si>
    <t>ΕΥΡΙΚΛΕΙΑ</t>
  </si>
  <si>
    <t>ΑΙ627690</t>
  </si>
  <si>
    <t>ΑΚ842974</t>
  </si>
  <si>
    <t>Χ627287</t>
  </si>
  <si>
    <t>ΑΖ506719</t>
  </si>
  <si>
    <t>ΧΑΡΙΤΑΚΗ</t>
  </si>
  <si>
    <t>ΑΕ468480</t>
  </si>
  <si>
    <t>ΑΝΤΩΝΑΤΟΣ</t>
  </si>
  <si>
    <t>ΑΚ784860</t>
  </si>
  <si>
    <t>ΚΑΠΝΙΔΟΥ</t>
  </si>
  <si>
    <t>ΑΗ381763</t>
  </si>
  <si>
    <t>ΑΚ199164</t>
  </si>
  <si>
    <t>ΑΙ441319</t>
  </si>
  <si>
    <t>ΑΜ270895</t>
  </si>
  <si>
    <t>ΠΟΥΡΣΑΝΙΔΗΣ</t>
  </si>
  <si>
    <t>ΑΑ496961</t>
  </si>
  <si>
    <t>ΕΛΙΣΑΒΕΤ ΔΗΜΗΤΡΑ</t>
  </si>
  <si>
    <t>ΑΙ988312</t>
  </si>
  <si>
    <t>ΣΙΑΦΑΚΑΣ</t>
  </si>
  <si>
    <t>ΑΜ311544</t>
  </si>
  <si>
    <t>ΦΤΙΑΚΑΣ</t>
  </si>
  <si>
    <t>ΑΝ745044</t>
  </si>
  <si>
    <t>ΑΗ621467</t>
  </si>
  <si>
    <t>ΑΜΠΑΤΖΙΔH</t>
  </si>
  <si>
    <t>ΑΝ094902</t>
  </si>
  <si>
    <t>ΛΑΘΙΩΤΑΚΗ</t>
  </si>
  <si>
    <t>ΑΕ464212</t>
  </si>
  <si>
    <t>ΑΟ787019</t>
  </si>
  <si>
    <t>ΧΑΡΩΝΗ</t>
  </si>
  <si>
    <t>ΑΖ709091</t>
  </si>
  <si>
    <t>ΡΑΦΑΗΛΑ ΕΥΑΓΓΕΛΙΑ</t>
  </si>
  <si>
    <t>ΑΙ864453</t>
  </si>
  <si>
    <t>ΑΜ875055</t>
  </si>
  <si>
    <t>ΑΖ873787</t>
  </si>
  <si>
    <t>ΓΟΥΔΑΚΗ</t>
  </si>
  <si>
    <t>ΑΗ583270</t>
  </si>
  <si>
    <t>ΓΕΡΑΣΙΜΟΠΟΥΛΟΥ</t>
  </si>
  <si>
    <t>Χ509759</t>
  </si>
  <si>
    <t>ΚΑΡΑΚΑΣΙΔΗ</t>
  </si>
  <si>
    <t>ΑΟ011602</t>
  </si>
  <si>
    <t>ΤΡΑΝΤΑ</t>
  </si>
  <si>
    <t>ΑΖ982700</t>
  </si>
  <si>
    <t>ΚΑΤΣΟΥΛΑΚΗΣ</t>
  </si>
  <si>
    <t>ΕΜΜΑΝΟΥΗΛ ΑΓΓΕΛΟΣ</t>
  </si>
  <si>
    <t>ΑΚ242607</t>
  </si>
  <si>
    <t>ΑΗ404810</t>
  </si>
  <si>
    <t>ΤΣΑΝΤΑ</t>
  </si>
  <si>
    <t>ΑΙ809988</t>
  </si>
  <si>
    <t>LIEBERT</t>
  </si>
  <si>
    <t>WOLFGANG</t>
  </si>
  <si>
    <t>ΒΕΖΥΡΕΑ</t>
  </si>
  <si>
    <t>ΑΝ980035</t>
  </si>
  <si>
    <t>ΑΝΤΟΝΙΟΥΚ</t>
  </si>
  <si>
    <t>ΠΙΟΤΡ</t>
  </si>
  <si>
    <t>ΑΟ630773</t>
  </si>
  <si>
    <t>ΒΙΤΣΕΝΤΟΥ</t>
  </si>
  <si>
    <t>ΑΙ227640</t>
  </si>
  <si>
    <t>ΑΖ283831</t>
  </si>
  <si>
    <t>ΑΙ679204</t>
  </si>
  <si>
    <t>ΔΕΣΠΟΙΝΑ ΕΛΙΣΑΒΕΤ</t>
  </si>
  <si>
    <t>ΑΟ021140</t>
  </si>
  <si>
    <t>ΑΟ844497</t>
  </si>
  <si>
    <t>ΑΗ734842</t>
  </si>
  <si>
    <t>ΓΚΑΥΡΟΣ</t>
  </si>
  <si>
    <t>ΑΖ223315</t>
  </si>
  <si>
    <t>ΓΑΛΑΚΟΥΤΗ</t>
  </si>
  <si>
    <t>ΑΜ771010</t>
  </si>
  <si>
    <t>ΠΑΡΑΣΥΡΗ</t>
  </si>
  <si>
    <t>ΝΙΚΟΣ</t>
  </si>
  <si>
    <t>ΠΑΤΡΙΔΟΥ</t>
  </si>
  <si>
    <t>ΑΝ699340</t>
  </si>
  <si>
    <t>ΜΑΡΑΝΤΟΣ</t>
  </si>
  <si>
    <t>ΑΜ767731</t>
  </si>
  <si>
    <t>ΚΑΠΑΡΗΣ</t>
  </si>
  <si>
    <t>ΑΖ135346</t>
  </si>
  <si>
    <t>ΑΗ291234</t>
  </si>
  <si>
    <t>ΜΑΡΝΕΡΗ</t>
  </si>
  <si>
    <t>ΑΖ436912</t>
  </si>
  <si>
    <t>ΣΠΑΝΟΓΙΑΝΝΗ</t>
  </si>
  <si>
    <t>ΑΖ230293</t>
  </si>
  <si>
    <t>ΑΙ274972</t>
  </si>
  <si>
    <t>ΤΑΞΟΥ</t>
  </si>
  <si>
    <t>ΑΖ263709</t>
  </si>
  <si>
    <t>ΑΜ413783</t>
  </si>
  <si>
    <t>ΑΗ724770</t>
  </si>
  <si>
    <t>ΖΕΑΣ</t>
  </si>
  <si>
    <t>ΑΒ424244</t>
  </si>
  <si>
    <t>ΚΟΝΟΦΑΟΥ</t>
  </si>
  <si>
    <t>ΑΖ506548</t>
  </si>
  <si>
    <t>ΚΑΝΤΑΡΑ</t>
  </si>
  <si>
    <t>ΑΝ691916</t>
  </si>
  <si>
    <t>ΜΟΥΣΙΩΝΗ</t>
  </si>
  <si>
    <t>ΑΟ010922</t>
  </si>
  <si>
    <t>ΙΡΙΣ</t>
  </si>
  <si>
    <t>ΑΗ123395</t>
  </si>
  <si>
    <t xml:space="preserve">ΦΑΤΟΥΡΟΥ </t>
  </si>
  <si>
    <t>ΑΝ252464</t>
  </si>
  <si>
    <t>ΠΟΡΦΥΡΗ</t>
  </si>
  <si>
    <t>ΕΡΡΙΚΟΣ</t>
  </si>
  <si>
    <t>ΑΗ583978</t>
  </si>
  <si>
    <t>ΠΑΛΑΙΟΚΑΣΤΡΙΤΗ</t>
  </si>
  <si>
    <t>ΑΚ226402</t>
  </si>
  <si>
    <t>ΑΜ241176</t>
  </si>
  <si>
    <t>ΑΟ289033</t>
  </si>
  <si>
    <t>ΤΣΑΚΗΡ</t>
  </si>
  <si>
    <t>ΑΙΝΟΥΡ</t>
  </si>
  <si>
    <t>ΜΕΧΜΕΤ</t>
  </si>
  <si>
    <t>ΑΗ371127</t>
  </si>
  <si>
    <t>ΔΑΜΙΑΝΟΥ</t>
  </si>
  <si>
    <t>ΕΥΑΓΓΕΛΙΑ ΚΩΝΣΤΑΝΤΙΝ</t>
  </si>
  <si>
    <t>ΑΙ315241</t>
  </si>
  <si>
    <t>ΑΙ755309</t>
  </si>
  <si>
    <t>ΚΙΤΡΑΚΗ</t>
  </si>
  <si>
    <t>ΑΚ742308</t>
  </si>
  <si>
    <t>ΑΦΟΥΞΕΝΙΔΟΥ</t>
  </si>
  <si>
    <t>ΑΖ870512</t>
  </si>
  <si>
    <t>ΓΚΙΟΝΤΣΑΡΙ</t>
  </si>
  <si>
    <t>ΜΠΛΕΡΤΑ</t>
  </si>
  <si>
    <t>ΚΡΙΣΤΑΚ</t>
  </si>
  <si>
    <t>ΑΝ632594</t>
  </si>
  <si>
    <t>ΡΟΥΠΓΙΔΗΣ</t>
  </si>
  <si>
    <t>ΑΖ872117</t>
  </si>
  <si>
    <t>ΒΕΡΥΚΙΟΥ</t>
  </si>
  <si>
    <t>ΑΖ704542</t>
  </si>
  <si>
    <t>ΖΑΡΟΓΚΑ</t>
  </si>
  <si>
    <t>ΑΟ248938</t>
  </si>
  <si>
    <t>ΜΟΥΛΑΚΑΚΗΣ</t>
  </si>
  <si>
    <t>ΚΑΚΟΣΙΜΟΣ</t>
  </si>
  <si>
    <t>ΑΜ295313</t>
  </si>
  <si>
    <t>ΛΙΓΓΑ</t>
  </si>
  <si>
    <t>ΑΙ223687</t>
  </si>
  <si>
    <t>ΤΣΑΛΠΑΤΟΥΡΟΥ</t>
  </si>
  <si>
    <t>ΑΜ740280</t>
  </si>
  <si>
    <t>ΣΠΗΛΙΟΠΟΥΛΟΣ</t>
  </si>
  <si>
    <t>ΑΜ304911</t>
  </si>
  <si>
    <t>ΑΒ314630</t>
  </si>
  <si>
    <t>ΚΟΥΣΟΥΛΑ</t>
  </si>
  <si>
    <t>ΑΜ341512</t>
  </si>
  <si>
    <t>ΓΟΥΡΓΟΥΛΙΟΥ</t>
  </si>
  <si>
    <t>ΓΕΩΡΓΙΑ ΑΦΡΟΔΙΤΗ</t>
  </si>
  <si>
    <t>ΑΚ370593</t>
  </si>
  <si>
    <t>ΚΕΒΡΕΚΙΔΗΣ</t>
  </si>
  <si>
    <t>ΑΟ723374</t>
  </si>
  <si>
    <t>ΠΕΤΡΟΥΤΣΟΥ</t>
  </si>
  <si>
    <t>ΑΚ638967</t>
  </si>
  <si>
    <t>ΜΕΝΤΖΕΛΙΔΗ</t>
  </si>
  <si>
    <t>ΑΙ233097</t>
  </si>
  <si>
    <t>ΜΕΙΝΤΑΝΗ</t>
  </si>
  <si>
    <t>Ρ676894</t>
  </si>
  <si>
    <t>ΜΠΛΑΝΤΑ</t>
  </si>
  <si>
    <t>ΑΝ392084</t>
  </si>
  <si>
    <t>ΑΜ146673</t>
  </si>
  <si>
    <t>ΠΑΝΤΕΚΗ</t>
  </si>
  <si>
    <t>ΝΙΚΟΛΑ</t>
  </si>
  <si>
    <t>ΑΝ013076</t>
  </si>
  <si>
    <t>ΠΑΙΚΟΠΟΥΛΟΥ</t>
  </si>
  <si>
    <t>ΑΚ589796</t>
  </si>
  <si>
    <t>Ρ536605</t>
  </si>
  <si>
    <t>ΠΕ25 ΣΧΟΛΙΚΩΝ ΝΟΣΗΛΕΥΤΩΝ (ΘΕΣΗ 104)</t>
  </si>
  <si>
    <t>ΓΟΥΛΑΣ</t>
  </si>
  <si>
    <t>ΑΜ725781</t>
  </si>
  <si>
    <t>ΑΚ843114</t>
  </si>
  <si>
    <t>ΑΗ165792</t>
  </si>
  <si>
    <t>ΦΩΤΕΙΝΗ ΒΑΡΒΑΡΑ</t>
  </si>
  <si>
    <t>ΑΝ638116</t>
  </si>
  <si>
    <t>ΝΑΜΠΙΛ</t>
  </si>
  <si>
    <t>ΣΙΑΧΠΑΖΙΔΟΥ</t>
  </si>
  <si>
    <t>Χ819989</t>
  </si>
  <si>
    <t>ΤΣΙΜΟΥΡΗΣ</t>
  </si>
  <si>
    <t>ΑΝ564039</t>
  </si>
  <si>
    <t>ΒΑΡΣΑΜΑΚΗ</t>
  </si>
  <si>
    <t>ΑΜ826284</t>
  </si>
  <si>
    <t>ΑΘΑΝΑΣΑΤΟΥ</t>
  </si>
  <si>
    <t>ΑΝ251032</t>
  </si>
  <si>
    <t>Τ417656</t>
  </si>
  <si>
    <t>ΑΕ460834</t>
  </si>
  <si>
    <t>ΑΝ505484</t>
  </si>
  <si>
    <t>ΜΠΟΥΤΑΚΗ</t>
  </si>
  <si>
    <t>ΑΑ479559</t>
  </si>
  <si>
    <t>ΒΟΡΕΑΚΟΥ</t>
  </si>
  <si>
    <t>ΑΒ326121</t>
  </si>
  <si>
    <t>ΚΑΡΔΟΣΟ</t>
  </si>
  <si>
    <t>ΙΩΑΝΝΗΣ ΛΟΥΚΑΣ</t>
  </si>
  <si>
    <t>Χ653895</t>
  </si>
  <si>
    <t>ΚΙΚΑΤΟΥ</t>
  </si>
  <si>
    <t>Χ293793</t>
  </si>
  <si>
    <t>ΑΒ925894</t>
  </si>
  <si>
    <t>ΑΕ097319</t>
  </si>
  <si>
    <t>ΛΙΘΟΞΟΠΟΥΛΟΥ</t>
  </si>
  <si>
    <t>ΑΑ339780</t>
  </si>
  <si>
    <t>ΚΥΡΓΙΑ</t>
  </si>
  <si>
    <t>ΣΤΕΡΓΙΑ</t>
  </si>
  <si>
    <t>ΑΚ993414</t>
  </si>
  <si>
    <t>ΜΠΟΥΡΔΟΥ</t>
  </si>
  <si>
    <t>ΑΚ561249</t>
  </si>
  <si>
    <t>Χ900831</t>
  </si>
  <si>
    <t>ΛΑΓΟΥΔΑΚΗ</t>
  </si>
  <si>
    <t>Χ108891</t>
  </si>
  <si>
    <t>ΤΣΙΛΙΒΑΡΑΚΟΥ</t>
  </si>
  <si>
    <t>ΑΟ205329</t>
  </si>
  <si>
    <t>ΜΠΟΥΤΣΩΛΗ</t>
  </si>
  <si>
    <t>Φ014394</t>
  </si>
  <si>
    <t>ΜΑΤΣΟΥΚΑ</t>
  </si>
  <si>
    <t>Χ807571</t>
  </si>
  <si>
    <t>ΔΗΜΗΤΡΟΠΟΥΛΟΣ</t>
  </si>
  <si>
    <t>ΑΙ184881</t>
  </si>
  <si>
    <t>ΚΑΛΑΤΖΗ</t>
  </si>
  <si>
    <t>ΑΡ474384</t>
  </si>
  <si>
    <t>ΣΩΤΗΡΩ</t>
  </si>
  <si>
    <t>Τ890486</t>
  </si>
  <si>
    <t>ΘΕΟΦΑΝΙΔΗΣ</t>
  </si>
  <si>
    <t>ΑΕ828882</t>
  </si>
  <si>
    <t>ΤΕΛΗΣ</t>
  </si>
  <si>
    <t>ΑΖ742652</t>
  </si>
  <si>
    <t>ΑΜ425555</t>
  </si>
  <si>
    <t>ΜΕΛΙΣΣΟΥΡΓΟΥ</t>
  </si>
  <si>
    <t>ΕΥΔΟΚΙΑ ΔΑΝΑΗ</t>
  </si>
  <si>
    <t>ΑΚ694652</t>
  </si>
  <si>
    <t>ΛΙΑΤΣΟΥ</t>
  </si>
  <si>
    <t>ΑΖ076046</t>
  </si>
  <si>
    <t>ΑΗ143695</t>
  </si>
  <si>
    <t>ΓΛΥΝΑΤΣΗ</t>
  </si>
  <si>
    <t>ΑΖ123997</t>
  </si>
  <si>
    <t>ΑΜ232747</t>
  </si>
  <si>
    <t>ΧΑΜΑΛΑΚΗ</t>
  </si>
  <si>
    <t>ΑΜ952829</t>
  </si>
  <si>
    <t>ΑΝΔΡΙΚΟΠΟΥΛΟΣ</t>
  </si>
  <si>
    <t>ΑΕ226229</t>
  </si>
  <si>
    <t>ΜΗΤΣΕΛΟΥ</t>
  </si>
  <si>
    <t>Χ105197</t>
  </si>
  <si>
    <t>ΤΣΟΛΑΚΗΣ</t>
  </si>
  <si>
    <t>ΑΝ375666</t>
  </si>
  <si>
    <t>ΚΟΝΤΟΠΟΥΛΟΣ</t>
  </si>
  <si>
    <t>ΑΖ736676</t>
  </si>
  <si>
    <t>ΑΟ934131</t>
  </si>
  <si>
    <t>ΔΑΝΙΗΛΟΠΟΥΛΟΥ</t>
  </si>
  <si>
    <t>ΑΝ827403</t>
  </si>
  <si>
    <t>ΑΗ612686</t>
  </si>
  <si>
    <t>ΚΟΚΚΙΝΕΛΗΣ</t>
  </si>
  <si>
    <t>Χ864155</t>
  </si>
  <si>
    <t>ΕΥΣΤΡΑΤΙΑΔΟΥ</t>
  </si>
  <si>
    <t>ΑΟ923662</t>
  </si>
  <si>
    <t>ΤΑΣΣΗ</t>
  </si>
  <si>
    <t>ΑΒ994273</t>
  </si>
  <si>
    <t>ΑΒ382067</t>
  </si>
  <si>
    <t>ΤΖΙΚΑΣ</t>
  </si>
  <si>
    <t>ΑΖ265459</t>
  </si>
  <si>
    <t>ΜΑΚΡΥΓΙΑΝΝΗ</t>
  </si>
  <si>
    <t>ΑΗ784599</t>
  </si>
  <si>
    <t>ΕΦΡΑΙΜΙΔΟΥ</t>
  </si>
  <si>
    <t>ΑΙ022081</t>
  </si>
  <si>
    <t>ΛΙΟΔΑΚΗ</t>
  </si>
  <si>
    <t>ΑΚ469509</t>
  </si>
  <si>
    <t>ΣΑΚΑΡΕΤΣΑΝΟΥ</t>
  </si>
  <si>
    <t>ΑΝΝΑ ΚΟΡΑΛΙΑ</t>
  </si>
  <si>
    <t>ΚΩΣΤΙΚΑΣ</t>
  </si>
  <si>
    <t>ΑΒ284792</t>
  </si>
  <si>
    <t>ΚΑΡΑΚΥΡΙΑΚΟΥ</t>
  </si>
  <si>
    <t>ΕΛΕΝΗ ΒΑΡΒΑΡΑ</t>
  </si>
  <si>
    <t>Χ648177</t>
  </si>
  <si>
    <t>ΝΑΚΟΣ</t>
  </si>
  <si>
    <t>ΑΚ935184</t>
  </si>
  <si>
    <t>ΤΖΑΤΖΟΥΛΗ</t>
  </si>
  <si>
    <t>ΑΙ845167</t>
  </si>
  <si>
    <t>ΤΣΑΓΚΛΗ</t>
  </si>
  <si>
    <t>ΑΚ132505</t>
  </si>
  <si>
    <t>ΑΟ234131</t>
  </si>
  <si>
    <t>Φ453569</t>
  </si>
  <si>
    <t>ΓΕΩΡΓΟΥΛΗ</t>
  </si>
  <si>
    <t>ΑΖ230010</t>
  </si>
  <si>
    <t>ΓΕΜΕΛΙΑΡΗ</t>
  </si>
  <si>
    <t>ΑΗ441468</t>
  </si>
  <si>
    <t>ΨΑΡΟΥΛΗ</t>
  </si>
  <si>
    <t>ΑΚ959241</t>
  </si>
  <si>
    <t>ΑΝΤΙΟΧΟΥ ΜΑΥΡΑΝΤΩΝΗ</t>
  </si>
  <si>
    <t>ΑΗ742036</t>
  </si>
  <si>
    <t>ΠΑΝΟΒΑ</t>
  </si>
  <si>
    <t>ΣΤΑΝΙΣΛΑΒΑ</t>
  </si>
  <si>
    <t>ΒΕΛΙΝ</t>
  </si>
  <si>
    <t>Χ285639</t>
  </si>
  <si>
    <t>ΜΑΡΙΑ ΝΙΚΟΛΕΤΤΑ</t>
  </si>
  <si>
    <t>Χ626807</t>
  </si>
  <si>
    <t>ΜΠΟΥΡΜΠΟΥ</t>
  </si>
  <si>
    <t>ΑΚ017474</t>
  </si>
  <si>
    <t>ΥΦΑΝΤΗΣ</t>
  </si>
  <si>
    <t>ΑΖ477367</t>
  </si>
  <si>
    <t>ΚΟΥΤΣΟΥΠΗΣ</t>
  </si>
  <si>
    <t>ΑΜ716982</t>
  </si>
  <si>
    <t>ΣΚΑΦΙΔΑ</t>
  </si>
  <si>
    <t>Χ740836</t>
  </si>
  <si>
    <t>ΡΟΥΤΑ</t>
  </si>
  <si>
    <t>ΑΙ853786</t>
  </si>
  <si>
    <t>ΑΝ262865</t>
  </si>
  <si>
    <t>ΑΜ985149</t>
  </si>
  <si>
    <t>ΓΚΟΤΖΑΜΑΝΗ</t>
  </si>
  <si>
    <t>ΑΕ192245</t>
  </si>
  <si>
    <t>ΑΝ757998</t>
  </si>
  <si>
    <t>ΚΑΛΛΙΑΝΕΖΟΣ</t>
  </si>
  <si>
    <t>ΑΕ243200</t>
  </si>
  <si>
    <t>ΚΡΑΝΙΩΤΗ</t>
  </si>
  <si>
    <t>ΑΟ362548</t>
  </si>
  <si>
    <t>ΤΣΑΤΑΛΜΠΑΣΙΔΟΥ</t>
  </si>
  <si>
    <t>ΑΙ327165</t>
  </si>
  <si>
    <t>Φ267537</t>
  </si>
  <si>
    <t>ΓΚΙΩΝΗ</t>
  </si>
  <si>
    <t>ΖΑΦΕΙΡΟΥΛΑ</t>
  </si>
  <si>
    <t>ΑΒ626796</t>
  </si>
  <si>
    <t>ΓΡΑΨΑΣ</t>
  </si>
  <si>
    <t>ΑΝ439963</t>
  </si>
  <si>
    <t>ΑΙ159937</t>
  </si>
  <si>
    <t>Χ629394</t>
  </si>
  <si>
    <t>ΤΣΕΡΜΕΚΙΔΟΥ</t>
  </si>
  <si>
    <t>ΑΕ815056</t>
  </si>
  <si>
    <t>ΣΤΕΛΛΑ ΟΛΓΑ</t>
  </si>
  <si>
    <t>ΑΡ003023</t>
  </si>
  <si>
    <t>ΑΝ559905</t>
  </si>
  <si>
    <t>ΘΕΟΔΩΡΟΥ ΝΤΕΛΙΜΙΧΑΛΗΣ</t>
  </si>
  <si>
    <t>Ρ632477</t>
  </si>
  <si>
    <t>ΑΜ824733</t>
  </si>
  <si>
    <t>ΑΕ664448</t>
  </si>
  <si>
    <t>ΠΟΡΦΥΡΙΑΔΗΣ</t>
  </si>
  <si>
    <t>ΑΜ667656</t>
  </si>
  <si>
    <t>ΤΣΙΟΤΣΙΟΥ</t>
  </si>
  <si>
    <t>ΑΙ352500</t>
  </si>
  <si>
    <t>Ρ441569</t>
  </si>
  <si>
    <t>ΑΙ743499</t>
  </si>
  <si>
    <t>ΜΙΝΤΖΑ</t>
  </si>
  <si>
    <t>ΑΜ739317</t>
  </si>
  <si>
    <t>ΓΚΟΛΦΙΝΟΠΟΥΛΟΣ</t>
  </si>
  <si>
    <t>ΑΚ728467</t>
  </si>
  <si>
    <t>ΑΙ323760</t>
  </si>
  <si>
    <t>Χ443358</t>
  </si>
  <si>
    <t>ΑΑ449757</t>
  </si>
  <si>
    <t>ΔΟΥΒΟΣ</t>
  </si>
  <si>
    <t>ΑΗ714272</t>
  </si>
  <si>
    <t>ΑΒ076232</t>
  </si>
  <si>
    <t>ΑΕ235767</t>
  </si>
  <si>
    <t>ΜΑΝΕΣΗ</t>
  </si>
  <si>
    <t>ΑΜ302916</t>
  </si>
  <si>
    <t>ΚΛΙΤΣΙΝΑΡΗ</t>
  </si>
  <si>
    <t>Χ866281</t>
  </si>
  <si>
    <t>ΚΑΡΑΝΑΣΙΟΥ</t>
  </si>
  <si>
    <t>ΑΟ194242</t>
  </si>
  <si>
    <t>ΑΛΕΞΑΝΔΡΑ ΧΡΙΣΤΙΝΑ</t>
  </si>
  <si>
    <t>Χ883988</t>
  </si>
  <si>
    <t>ΑΟ342108</t>
  </si>
  <si>
    <t>ΣΚΡΙΑΠΑ</t>
  </si>
  <si>
    <t>ΑΒ546264</t>
  </si>
  <si>
    <t>ΖΑΡΑΓΚΑ</t>
  </si>
  <si>
    <t>ΑΚ262814</t>
  </si>
  <si>
    <t>ΒΕΛΙΣΣΑΡΙΟΥ</t>
  </si>
  <si>
    <t>ΣΤΑΣΙΝΗ ΔΕΣΠΟΙΝΑ</t>
  </si>
  <si>
    <t>ΑΒ577088</t>
  </si>
  <si>
    <t>ΑΒΑΓΙΑΝΟΥ</t>
  </si>
  <si>
    <t>ΑΒ171432</t>
  </si>
  <si>
    <t>ΜΠΑΛΑΣΚΑΣ</t>
  </si>
  <si>
    <t>Χ296518</t>
  </si>
  <si>
    <t>ΓΑΜΠΑ</t>
  </si>
  <si>
    <t>ΑΚ301692</t>
  </si>
  <si>
    <t>ΔΑΚΟΥΚΗ</t>
  </si>
  <si>
    <t>ΑΟ742412</t>
  </si>
  <si>
    <t>ΜΠΙΣΤΙΝΤΖΑΝΟΥ</t>
  </si>
  <si>
    <t>Χ780293</t>
  </si>
  <si>
    <t>ΓΙΑΝΝΑΚΟΥΛΟΠΟΥΛΟΥ</t>
  </si>
  <si>
    <t>ΑΑ360273</t>
  </si>
  <si>
    <t>ΑΑ078427</t>
  </si>
  <si>
    <t>ΑΕ171630</t>
  </si>
  <si>
    <t>ΜΠΑΚΟΛΑ</t>
  </si>
  <si>
    <t>Χ379215</t>
  </si>
  <si>
    <t>ΑΚ042842</t>
  </si>
  <si>
    <t>ΜΠΕΦΑ</t>
  </si>
  <si>
    <t>ΑΑ274095</t>
  </si>
  <si>
    <t>ΦΥΛΑΚΗ</t>
  </si>
  <si>
    <t>ΑΝ353873</t>
  </si>
  <si>
    <t>ΖΗΖΟΣ</t>
  </si>
  <si>
    <t>ΑΝ352513</t>
  </si>
  <si>
    <t>ΑΤΑΛΑΝΤΗ</t>
  </si>
  <si>
    <t>ΑΜ524557</t>
  </si>
  <si>
    <t>ΑΖ309897</t>
  </si>
  <si>
    <t>ΑΖ897257</t>
  </si>
  <si>
    <t>ΑΟ173051</t>
  </si>
  <si>
    <t>ΑΒ768273</t>
  </si>
  <si>
    <t>ΑΒ783361</t>
  </si>
  <si>
    <t>ΠΗΛΟΥ</t>
  </si>
  <si>
    <t>Τ820062</t>
  </si>
  <si>
    <t>ΑΒ408744</t>
  </si>
  <si>
    <t>ΧΑΡΤΟΦΥΛΑΚΑ</t>
  </si>
  <si>
    <t>ΑΚ002981</t>
  </si>
  <si>
    <t>ΛΙΟΥΜΠΑ</t>
  </si>
  <si>
    <t>ΑΗ192893</t>
  </si>
  <si>
    <t>Φ321258</t>
  </si>
  <si>
    <t>ΑΒ394940</t>
  </si>
  <si>
    <t>ΓΚΟΡΟΓΙΑ</t>
  </si>
  <si>
    <t>ΝΑΣΤΟΥ</t>
  </si>
  <si>
    <t>ΚΑΛΠΑΚΤΣΙΔΟΥ</t>
  </si>
  <si>
    <t>ΑΝ713205</t>
  </si>
  <si>
    <t>Χ978754</t>
  </si>
  <si>
    <t>ΣΤΥΛΙΑΝΗ ΑΙΚΑΤΕΡΙΝΗ</t>
  </si>
  <si>
    <t>ΑΕ618703</t>
  </si>
  <si>
    <t>ΤΣΙΤΣΙΡΙΔΑΚΗ</t>
  </si>
  <si>
    <t>ΑΒ488358</t>
  </si>
  <si>
    <t>ΑΝ299921</t>
  </si>
  <si>
    <t>ΑΙ625703</t>
  </si>
  <si>
    <t>ΤΣΙΟΤΣΙΚΑ</t>
  </si>
  <si>
    <t>ΑΚ290097</t>
  </si>
  <si>
    <t>ΠΑΤΣΙΟΥΡΑ</t>
  </si>
  <si>
    <t>ΑΕ313131</t>
  </si>
  <si>
    <t>ΑΙ752312</t>
  </si>
  <si>
    <t>ΚΟΚΟΡΙΓΚΟΥ</t>
  </si>
  <si>
    <t>ΑΟ115107</t>
  </si>
  <si>
    <t>ΓΙΑΝΝΟΥΚΟΥ</t>
  </si>
  <si>
    <t>Χ937185</t>
  </si>
  <si>
    <t>ΝΑΝΤΣΕΒΑ</t>
  </si>
  <si>
    <t>ΝΤΟΜΠΡΙΝΑ</t>
  </si>
  <si>
    <t>ΑΓΓΕΛ</t>
  </si>
  <si>
    <t>ΑΝ935295</t>
  </si>
  <si>
    <t>ΚΑΡΑΒΕΝΤΖΑ</t>
  </si>
  <si>
    <t>ΑΙ278138</t>
  </si>
  <si>
    <t>ΚΟΓΙΟΥΜΤΖΙΔΟΥ</t>
  </si>
  <si>
    <t>ΑΕ351001</t>
  </si>
  <si>
    <t>ΡΟΥΣΣΑ</t>
  </si>
  <si>
    <t>Τ260222</t>
  </si>
  <si>
    <t>ΑΚ473374</t>
  </si>
  <si>
    <t>ΠΑΧΟΥΜΗ</t>
  </si>
  <si>
    <t>ΑΒ129056</t>
  </si>
  <si>
    <t>ΜΠΑΤΣΙΚΑ</t>
  </si>
  <si>
    <t>ΑΒ380956</t>
  </si>
  <si>
    <t>ΑΖ710859</t>
  </si>
  <si>
    <t>ΑΚ486875</t>
  </si>
  <si>
    <t>ΔΩΡΗ</t>
  </si>
  <si>
    <t>ΓΕΩΡΓΙΑ ΣΤΥΛΙΑΝΗ</t>
  </si>
  <si>
    <t>ΑΜ341209</t>
  </si>
  <si>
    <t>ΜΙΧΑΛΟΥΡΟΥ</t>
  </si>
  <si>
    <t>ΑΗ726425</t>
  </si>
  <si>
    <t>ΚΑΨΙΜΑΛΗ</t>
  </si>
  <si>
    <t>Χ935641</t>
  </si>
  <si>
    <t>ΤΑΣΙΟΥΛΑ</t>
  </si>
  <si>
    <t>ΑΝΑΣΤΑΣ</t>
  </si>
  <si>
    <t>ΑΚ382465</t>
  </si>
  <si>
    <t>ΠΑΝΤΕΛΕ ΡΟΥΝΗ</t>
  </si>
  <si>
    <t>ΓΑΡΥΦΑΛΙΑ ΑΓΓΕΛΙΚΗ</t>
  </si>
  <si>
    <t>ΑΕ269104</t>
  </si>
  <si>
    <t>ΧΑΤΖΙΔΑΚΗ</t>
  </si>
  <si>
    <t>Χ347906</t>
  </si>
  <si>
    <t>ΑΒ571825</t>
  </si>
  <si>
    <t>ΜΑΥΡΙΑΝΟΥ</t>
  </si>
  <si>
    <t>ΑΒ938825</t>
  </si>
  <si>
    <t xml:space="preserve">ΓΚΙΝΟΛΑΡΙ </t>
  </si>
  <si>
    <t>ΡΙΤΒΑΝ</t>
  </si>
  <si>
    <t>ΑΚ346328</t>
  </si>
  <si>
    <t>ΖΟΥΛΙΑ</t>
  </si>
  <si>
    <t>Ν919593</t>
  </si>
  <si>
    <t>ΑΖ178987</t>
  </si>
  <si>
    <t>ΑΖ703937</t>
  </si>
  <si>
    <t>ΑΖ924434</t>
  </si>
  <si>
    <t>ΑΠΟΣΤΟΛΙΔΗΣ</t>
  </si>
  <si>
    <t>ΑΕ823644</t>
  </si>
  <si>
    <t>ΑΟ852759</t>
  </si>
  <si>
    <t>ΑΖ554693</t>
  </si>
  <si>
    <t>ΑΙ826845</t>
  </si>
  <si>
    <t>Χ834451</t>
  </si>
  <si>
    <t>ΚΟΛΤΣΙΑΚΗ</t>
  </si>
  <si>
    <t>Χ237989</t>
  </si>
  <si>
    <t>Χ857262</t>
  </si>
  <si>
    <t>ΑΗ126073</t>
  </si>
  <si>
    <t>ΜΠΑΡΑΣ</t>
  </si>
  <si>
    <t>ΑΒ423778</t>
  </si>
  <si>
    <t>ΑΙ819149</t>
  </si>
  <si>
    <t>ΑΙ806274</t>
  </si>
  <si>
    <t>ΑΒ355794</t>
  </si>
  <si>
    <t>ΤΣΟΛΑΚΗ</t>
  </si>
  <si>
    <t>ΑΗ894230</t>
  </si>
  <si>
    <t>ΨΑΘΑΚΗΣ</t>
  </si>
  <si>
    <t>ΑΝ946319</t>
  </si>
  <si>
    <t>ΤΟΠ</t>
  </si>
  <si>
    <t>ΛΕΙΛΑ</t>
  </si>
  <si>
    <t>ΑΒ135226</t>
  </si>
  <si>
    <t>Χ355376</t>
  </si>
  <si>
    <t>ΞΕΝΙΤΟΠΟΥΛΟΥ</t>
  </si>
  <si>
    <t>ΑΕ660352</t>
  </si>
  <si>
    <t>ΑΕ354182</t>
  </si>
  <si>
    <t>ΚΑΛΛΙΝH</t>
  </si>
  <si>
    <t>ΑΖ673988</t>
  </si>
  <si>
    <t>ΤΡΙΑΝΤΗ</t>
  </si>
  <si>
    <t>ΑΒ312515</t>
  </si>
  <si>
    <t>ΛΟΥΒΑΡΗ</t>
  </si>
  <si>
    <t>ΑΖ599623</t>
  </si>
  <si>
    <t>Χ007539</t>
  </si>
  <si>
    <t>ΤΣΙΟΓΓΑΣ</t>
  </si>
  <si>
    <t>ΑΖ763583</t>
  </si>
  <si>
    <t>ΑΕ823116</t>
  </si>
  <si>
    <t>ΑΑ447523</t>
  </si>
  <si>
    <t>ΣΟΦΙΑΝΙΔΟΥ</t>
  </si>
  <si>
    <t>ΑΖ841762</t>
  </si>
  <si>
    <t>ΣΜΟΥΛΙΩΤΗΣ</t>
  </si>
  <si>
    <t>ΑΑ443405</t>
  </si>
  <si>
    <t>ΑΙ006513</t>
  </si>
  <si>
    <t>ΖΟΛΟΤΑΡΙΩΦ</t>
  </si>
  <si>
    <t>ΑΟ138312</t>
  </si>
  <si>
    <t>ΒΑΡΔΑΚΗ</t>
  </si>
  <si>
    <t>ΙΩΑΝΝΑ ΑΙΚΑΤΕΡΙΝΗ</t>
  </si>
  <si>
    <t>ΒΑΡΔΗΣ</t>
  </si>
  <si>
    <t>ΑΙ969852</t>
  </si>
  <si>
    <t>ΡΕΠΠΑ</t>
  </si>
  <si>
    <t>ΑΡ311492</t>
  </si>
  <si>
    <t>ΑΗ429875</t>
  </si>
  <si>
    <t>ΒΟΛΥΡΑΚΗ</t>
  </si>
  <si>
    <t>ΑΗ960582</t>
  </si>
  <si>
    <t>ΑΗ263376</t>
  </si>
  <si>
    <t>ΑΜ206531</t>
  </si>
  <si>
    <t>ΚΑΝΔΡΗ</t>
  </si>
  <si>
    <t>ΑΖ009892</t>
  </si>
  <si>
    <t>Σ865294</t>
  </si>
  <si>
    <t>ΣΑΝΤΙΚΤΣΗ</t>
  </si>
  <si>
    <t>ΑΒ039480</t>
  </si>
  <si>
    <t>ΑΟ106920</t>
  </si>
  <si>
    <t>ΣΥΒΡΙΔΟΥ</t>
  </si>
  <si>
    <t>ΑΖ862529</t>
  </si>
  <si>
    <t>Φ252025</t>
  </si>
  <si>
    <t>ΧΥΤΟΥΛΑ</t>
  </si>
  <si>
    <t>Χ785370</t>
  </si>
  <si>
    <t>ΞΥΝΟΥ</t>
  </si>
  <si>
    <t>Χ424583</t>
  </si>
  <si>
    <t>ΜΥΤΙΛΗ</t>
  </si>
  <si>
    <t>ΑΙ213790</t>
  </si>
  <si>
    <t>ΤΟΛΗ</t>
  </si>
  <si>
    <t>ΑΚ377370</t>
  </si>
  <si>
    <t>ΤΣΑΤΑ</t>
  </si>
  <si>
    <t>ΑΑ976671</t>
  </si>
  <si>
    <t>ΜΑΜΟΥΔΗ</t>
  </si>
  <si>
    <t>ΒΑΣΙΛΙΚΗ ΕΙΡΗΝΗ</t>
  </si>
  <si>
    <t>ΑΟ353059</t>
  </si>
  <si>
    <t>Τ288775</t>
  </si>
  <si>
    <t>ΚΑΣΔΟΒΑΣΙΛΗ</t>
  </si>
  <si>
    <t>ΑΗ145446</t>
  </si>
  <si>
    <t>ΝΟΥΡΗ</t>
  </si>
  <si>
    <t>ΤΣΕΠΙΔΟΥ</t>
  </si>
  <si>
    <t>Χ314201</t>
  </si>
  <si>
    <t>ΣΚΑΡΛΑΤΟΣ</t>
  </si>
  <si>
    <t>Φ336311</t>
  </si>
  <si>
    <t>Χ922205</t>
  </si>
  <si>
    <t>ΜΠΑΡΗ</t>
  </si>
  <si>
    <t>ΦΩΤΟΣ</t>
  </si>
  <si>
    <t>ΑΗ251723</t>
  </si>
  <si>
    <t>ΑΑ408373</t>
  </si>
  <si>
    <t>ΣΙΟΡΙΚΗ</t>
  </si>
  <si>
    <t>ΑΑ304655</t>
  </si>
  <si>
    <t>ΤΖΙΒΑ</t>
  </si>
  <si>
    <t>Φ127631</t>
  </si>
  <si>
    <t>ΑΕ338485</t>
  </si>
  <si>
    <t>ΑΖ321760</t>
  </si>
  <si>
    <t>ΑΒ277852</t>
  </si>
  <si>
    <t>ΑΗ156062</t>
  </si>
  <si>
    <t>ΠΑΠΑΚΩΝΣΤΑΝΤΙΝΟΠΟΥΛΟΥ</t>
  </si>
  <si>
    <t>ΑΟ823790</t>
  </si>
  <si>
    <t>ΤΣΑΦΑΡΑΚΗ</t>
  </si>
  <si>
    <t>ΑΙ472974</t>
  </si>
  <si>
    <t>ΚΑΡΑΓΙΩΡΑ</t>
  </si>
  <si>
    <t>ΑΚ921318</t>
  </si>
  <si>
    <t>ΓΙΑΝΝΟΥΛΗΣ</t>
  </si>
  <si>
    <t>ΑΒ625561</t>
  </si>
  <si>
    <t>ΑΜ226438</t>
  </si>
  <si>
    <t>ΧΑΤΖΗΜΙΧΑΛΗ</t>
  </si>
  <si>
    <t>ΑΖ537932</t>
  </si>
  <si>
    <t>ΑΙ733216</t>
  </si>
  <si>
    <t>ΣΩΠΑΣΗ</t>
  </si>
  <si>
    <t>ΑΜ961555</t>
  </si>
  <si>
    <t>ΝΑΤΣΙΚΑ</t>
  </si>
  <si>
    <t>ΑΟ235354</t>
  </si>
  <si>
    <t>ΑΜ507295</t>
  </si>
  <si>
    <t>ΓΙΑΝΝΙΚΑΚΗΣ</t>
  </si>
  <si>
    <t>ΑΝ324642</t>
  </si>
  <si>
    <t>Χ977574</t>
  </si>
  <si>
    <t>ΣΟΥΡΛΑ</t>
  </si>
  <si>
    <t>ΑΑ430443</t>
  </si>
  <si>
    <t>ΚΙΟΥΠΗ</t>
  </si>
  <si>
    <t>ΑΖ557153</t>
  </si>
  <si>
    <t>ΑΖ720990</t>
  </si>
  <si>
    <t>Χ515541</t>
  </si>
  <si>
    <t>ΚΟΤΡΩΝΑ</t>
  </si>
  <si>
    <t>ΑΕ310325</t>
  </si>
  <si>
    <t>ΑΙ476584</t>
  </si>
  <si>
    <t>Χ284673</t>
  </si>
  <si>
    <t>ΔΕΛΗΓΙΑΝΝΑΚΗ</t>
  </si>
  <si>
    <t>ΑΕ346747</t>
  </si>
  <si>
    <t>ΤΣΙΚΜΗΣ</t>
  </si>
  <si>
    <t>ΑΜ822963</t>
  </si>
  <si>
    <t>ΑΝ758426</t>
  </si>
  <si>
    <t>ΚΟΤΣΟΓΙΑΝΝΙΔΟΥ</t>
  </si>
  <si>
    <t>ΑΑ411104</t>
  </si>
  <si>
    <t>ΚΙΤΟΥ</t>
  </si>
  <si>
    <t>ΑΚ012273</t>
  </si>
  <si>
    <t>ΤΣΙΑΜΠΑΛΗ</t>
  </si>
  <si>
    <t>ΑΟ615631</t>
  </si>
  <si>
    <t>ΚΑΡΟΠΛΕΣΗ</t>
  </si>
  <si>
    <t>ΑΕ723886</t>
  </si>
  <si>
    <t>ΑΜ593485</t>
  </si>
  <si>
    <t>ΨΥΛΛΑ</t>
  </si>
  <si>
    <t>ΓΕΡΑΣΙΜΟΣ ΙΩΑΝΝΗΣ</t>
  </si>
  <si>
    <t>ΑΜ124373</t>
  </si>
  <si>
    <t>ΠΑΛΑΙΟΓΙΑΝΝΗ</t>
  </si>
  <si>
    <t>ΜΑΓΙΟΥΛΑ</t>
  </si>
  <si>
    <t>ΑΟ529356</t>
  </si>
  <si>
    <t xml:space="preserve">ΓΙΩΡΓΟΣ </t>
  </si>
  <si>
    <t>ΑΚ134657</t>
  </si>
  <si>
    <t>ΤΑΤΕΛΟΥ</t>
  </si>
  <si>
    <t>ΑΖ901959</t>
  </si>
  <si>
    <t>ΚΟΥΓΙΑ</t>
  </si>
  <si>
    <t>ΑΙ243006</t>
  </si>
  <si>
    <t>ΑΗ528127</t>
  </si>
  <si>
    <t>ΝΤΥΜΕΝΟΥ</t>
  </si>
  <si>
    <t>ΑΚ775084</t>
  </si>
  <si>
    <t>ΑΟ851191</t>
  </si>
  <si>
    <t>ΠΑΖΑΡΑΚΙΩΤΗ ΓΚΑΡΑΒΕΛΟΥ</t>
  </si>
  <si>
    <t>ΑΖ531684</t>
  </si>
  <si>
    <t>ΑΚ968534</t>
  </si>
  <si>
    <t>ΓΑΛΑΝΑΚΗ</t>
  </si>
  <si>
    <t>ΑΒ402002</t>
  </si>
  <si>
    <t>ΑΡΤΟΠΟΥΛΟΥ</t>
  </si>
  <si>
    <t>ΑΒ875663</t>
  </si>
  <si>
    <t>Χ908836</t>
  </si>
  <si>
    <t>ΑΜ998048</t>
  </si>
  <si>
    <t>ΑΙ253285</t>
  </si>
  <si>
    <t>MOKIA</t>
  </si>
  <si>
    <t>AGORITSA</t>
  </si>
  <si>
    <t>ATHANASIOS</t>
  </si>
  <si>
    <t>Χ892794</t>
  </si>
  <si>
    <t xml:space="preserve">ΤΟΥΛΟΥΠΗ </t>
  </si>
  <si>
    <t>Χ361159</t>
  </si>
  <si>
    <t>ΟΡΦΑΝΙΩΤΗ</t>
  </si>
  <si>
    <t>Ρ855407</t>
  </si>
  <si>
    <t>ΑΕ791637</t>
  </si>
  <si>
    <t>ΑΙ934529</t>
  </si>
  <si>
    <t>ΤΑΧΛΙΑΜΠΟΥΡΗΣ</t>
  </si>
  <si>
    <t>ΣΩΤΗΡΙΟΣ ΝΙΚΗΤΑΣ</t>
  </si>
  <si>
    <t>ΑΑ347285</t>
  </si>
  <si>
    <t>ΠΕΤΣΙΟΥ</t>
  </si>
  <si>
    <t>ΑΟ192645</t>
  </si>
  <si>
    <t>Χ677045</t>
  </si>
  <si>
    <t>ΦΟΥΣΚΑ</t>
  </si>
  <si>
    <t xml:space="preserve">ΔΑΝΑΗ </t>
  </si>
  <si>
    <t>ΑΒ522699</t>
  </si>
  <si>
    <t>ΑΜ113205</t>
  </si>
  <si>
    <t>ΜΑΡΙΔΑΚΗ</t>
  </si>
  <si>
    <t>ΑΚ081697</t>
  </si>
  <si>
    <t>ΔΕΛΗΜΠΑΣΗ</t>
  </si>
  <si>
    <t>ΑΟ440209</t>
  </si>
  <si>
    <t>ΜΕΛΕΤΗ</t>
  </si>
  <si>
    <t>ΑΜ551787</t>
  </si>
  <si>
    <t>ΑΕ097060</t>
  </si>
  <si>
    <t>ΚΑΡΚΑΛΕΤΣΗ</t>
  </si>
  <si>
    <t>ΑΗ985315</t>
  </si>
  <si>
    <t>ΜΕΜΗ</t>
  </si>
  <si>
    <t>ΑΜ110139</t>
  </si>
  <si>
    <t>ΤΥΡΙΛΙΩΜΗ</t>
  </si>
  <si>
    <t>Χ976817</t>
  </si>
  <si>
    <t>ΖΩΓΡΑΦΑΚΗΣ</t>
  </si>
  <si>
    <t>ΑΙ403436</t>
  </si>
  <si>
    <t>Χ920910</t>
  </si>
  <si>
    <t>ΓΕΩΡΓΙΑΝΑ</t>
  </si>
  <si>
    <t>ΑΕ228350</t>
  </si>
  <si>
    <t>ΚΩΝΣΤΑΝΤΗ</t>
  </si>
  <si>
    <t>ΑΒ307042</t>
  </si>
  <si>
    <t>ΑΝ530166</t>
  </si>
  <si>
    <t>ΧΡΙΣΤΙΔΟΥ</t>
  </si>
  <si>
    <t>ΑΕ705879</t>
  </si>
  <si>
    <t>ΜΠΟΛΩΣΗΣ</t>
  </si>
  <si>
    <t>ΑΟ982234</t>
  </si>
  <si>
    <t>ΑΚ458971</t>
  </si>
  <si>
    <t>ΒΟΥΝΟΤΡΥΠΙΔΟΥ</t>
  </si>
  <si>
    <t>ΑΕ336719</t>
  </si>
  <si>
    <t>ΝΕΔΕΛΚΟΥ</t>
  </si>
  <si>
    <t>Χ157198</t>
  </si>
  <si>
    <t>ΑΝΑΝΙΑΣ</t>
  </si>
  <si>
    <t xml:space="preserve">ΦΟΥΝΤΟΥΛΑΚΗ </t>
  </si>
  <si>
    <t xml:space="preserve">ΣΤΥΛΙΑΝΗ ΘΕΟΔΩΡΑ </t>
  </si>
  <si>
    <t>ΑΖ512603</t>
  </si>
  <si>
    <t>ΑΖ340375</t>
  </si>
  <si>
    <t>ΚΟΛΚΑ</t>
  </si>
  <si>
    <t>Χ987666</t>
  </si>
  <si>
    <t>ΚΑΙΣΙΔΟΥ</t>
  </si>
  <si>
    <t>ΑΟ453814</t>
  </si>
  <si>
    <t>ΑΑ077064</t>
  </si>
  <si>
    <t xml:space="preserve">AΙΚΑΤΕΡΙΝΗ </t>
  </si>
  <si>
    <t>ΑΖ220292</t>
  </si>
  <si>
    <t>ΑΗ739850</t>
  </si>
  <si>
    <t>ΚΟΥΚΟΥΒΙΝΟΥ</t>
  </si>
  <si>
    <t>ΑΝ985647</t>
  </si>
  <si>
    <t>Χ478386</t>
  </si>
  <si>
    <t>ΝΕΟΥ</t>
  </si>
  <si>
    <t>ΑΕ757268</t>
  </si>
  <si>
    <t>ΑΒ762674</t>
  </si>
  <si>
    <t>ΚΑΠΝΟΠΟΥΛΟΥ</t>
  </si>
  <si>
    <t>ΑΖ595844</t>
  </si>
  <si>
    <t>ΑΑ084831</t>
  </si>
  <si>
    <t>ΚΑΤΣΙΑΟΥΝΗ</t>
  </si>
  <si>
    <t>ΣΥΡΑΓΩ</t>
  </si>
  <si>
    <t>Π523490</t>
  </si>
  <si>
    <t>ΜΑΝΔΕΛΗ</t>
  </si>
  <si>
    <t>ΑΖ649872</t>
  </si>
  <si>
    <t>ΚΑΖΑΣΗΣ</t>
  </si>
  <si>
    <t>Χ301124</t>
  </si>
  <si>
    <t>ΦΩΤΑΚΟΠΟΥΛΟΥ</t>
  </si>
  <si>
    <t>ΑΗ710082</t>
  </si>
  <si>
    <t>Χ353263</t>
  </si>
  <si>
    <t>ΑΙ526281</t>
  </si>
  <si>
    <t>ΑΗ970600</t>
  </si>
  <si>
    <t>ΤΣΕΓΓΕΛΙΔΗΣ</t>
  </si>
  <si>
    <t>ΑΝ702067</t>
  </si>
  <si>
    <t>Χ097676</t>
  </si>
  <si>
    <t>ΤΕΚΩΝΑΚΗ</t>
  </si>
  <si>
    <t>ΑΙ950200</t>
  </si>
  <si>
    <t>Χ304708</t>
  </si>
  <si>
    <t>ΚΟΣΚΙΝΙΩΤΗ</t>
  </si>
  <si>
    <t>ΑΜ367270</t>
  </si>
  <si>
    <t>Χ289429</t>
  </si>
  <si>
    <t>ΑΜ372046</t>
  </si>
  <si>
    <t>Φ209991</t>
  </si>
  <si>
    <t>ΑΝ264587</t>
  </si>
  <si>
    <t>ΑΕ696801</t>
  </si>
  <si>
    <t>ΑΡ275204</t>
  </si>
  <si>
    <t>ΣΤΑΜΟΥΛΗΣ</t>
  </si>
  <si>
    <t>ΑΗ244860</t>
  </si>
  <si>
    <t>ΑΝΤΟΥΑΝΕΤΤΑ ΣΙΣΥ</t>
  </si>
  <si>
    <t>ΑΟ665581</t>
  </si>
  <si>
    <t>ΑΖ182396</t>
  </si>
  <si>
    <t>ΓΛΟΥΦΤΣΗ</t>
  </si>
  <si>
    <t>Χ988529</t>
  </si>
  <si>
    <t>ΑΚ415999</t>
  </si>
  <si>
    <t>ΑΒ079385</t>
  </si>
  <si>
    <t>ΑΕ863756</t>
  </si>
  <si>
    <t>ΝΙΚΑΣ</t>
  </si>
  <si>
    <t>ΑΙ679222</t>
  </si>
  <si>
    <t>ΑΜ925688</t>
  </si>
  <si>
    <t>ΑΡ327762</t>
  </si>
  <si>
    <t>ΑΟ631630</t>
  </si>
  <si>
    <t>ΑΒ708447</t>
  </si>
  <si>
    <t>ΑΕ234921</t>
  </si>
  <si>
    <t>Χ891116</t>
  </si>
  <si>
    <t>ΓΙΑΜΤΖΙΔΟΥ</t>
  </si>
  <si>
    <t>ΑΖ822724</t>
  </si>
  <si>
    <t>ΓΚΟΝΑ</t>
  </si>
  <si>
    <t>ΑΙ898937</t>
  </si>
  <si>
    <t>ΑΙ180064</t>
  </si>
  <si>
    <t>ΑΙ165433</t>
  </si>
  <si>
    <t>ΑΖ095053</t>
  </si>
  <si>
    <t>ΜΠΟΥΡΑΖΑΝΑ</t>
  </si>
  <si>
    <t>ΕΡΗ</t>
  </si>
  <si>
    <t>ΑΕ309934</t>
  </si>
  <si>
    <t>ΣΑΧΠΑΖΙΔΟΥ</t>
  </si>
  <si>
    <t>ΑΗ395935</t>
  </si>
  <si>
    <t>ΚΑΨΙΩΧΑ</t>
  </si>
  <si>
    <t>ΑΑ431492</t>
  </si>
  <si>
    <t>ΝΟΤΑΡΑ</t>
  </si>
  <si>
    <t>ΑΑ360910</t>
  </si>
  <si>
    <t>ΚΟΤΣΙΦΤΟΠΟΥΛΟΣ</t>
  </si>
  <si>
    <t>ΑΕ362785</t>
  </si>
  <si>
    <t>ΑΑ317714</t>
  </si>
  <si>
    <t>Χ164276</t>
  </si>
  <si>
    <t>ΑΝ382562</t>
  </si>
  <si>
    <t>ΔΑΥΙΔ</t>
  </si>
  <si>
    <t>ΝΤΕΡΤΙΜΑΝΗ</t>
  </si>
  <si>
    <t>ΑΖ119935</t>
  </si>
  <si>
    <t>ΑΜ299822</t>
  </si>
  <si>
    <t>ΓΙΑΚΟΥΜΗΣ</t>
  </si>
  <si>
    <t>Φ069228</t>
  </si>
  <si>
    <t>ΑΕ266996</t>
  </si>
  <si>
    <t>ΑΝ199462</t>
  </si>
  <si>
    <t>ΑΑ308897</t>
  </si>
  <si>
    <t>ΑΚΡΙΤΟΠΟΥΛΟΥ</t>
  </si>
  <si>
    <t>ΜΗΤΡΟΦΑΝΗΣ</t>
  </si>
  <si>
    <t>Ρ972258</t>
  </si>
  <si>
    <t>ΠΑΝΟΥΣΗ</t>
  </si>
  <si>
    <t>ΑΙ816327</t>
  </si>
  <si>
    <t>ΜΠΟΖΑΤΖΙΔΗ</t>
  </si>
  <si>
    <t>ΑΟ785482</t>
  </si>
  <si>
    <t>ΚΑΡΑΣΑΒΒΑΙΔΗΣ</t>
  </si>
  <si>
    <t>Χ947750</t>
  </si>
  <si>
    <t>ΑΙ233554</t>
  </si>
  <si>
    <t>ΑΑ368974</t>
  </si>
  <si>
    <t>ΣΤΑΥΡΙΝΟΥ</t>
  </si>
  <si>
    <t>ΑΖ581717</t>
  </si>
  <si>
    <t>ΑΝ386763</t>
  </si>
  <si>
    <t>ΑΡ422051</t>
  </si>
  <si>
    <t>ΚΛΑΔΑ</t>
  </si>
  <si>
    <t>ΑΑ368861</t>
  </si>
  <si>
    <t>ΚΩΝΣΤΑΝΤΙΝΑ ΠΑΓΩΝΑ</t>
  </si>
  <si>
    <t>Φ481620</t>
  </si>
  <si>
    <t>ΜΙΑΟΥΛΗ</t>
  </si>
  <si>
    <t>ΑΜ742540</t>
  </si>
  <si>
    <t>ΑΜ858465</t>
  </si>
  <si>
    <t>ΤΖΑΜΑΛΗΣ</t>
  </si>
  <si>
    <t>ΑΑ303673</t>
  </si>
  <si>
    <t>ΑΚ664032</t>
  </si>
  <si>
    <t>ΑΟ353652</t>
  </si>
  <si>
    <t>ΠΕΡΠΕΡΙΔΟΥ</t>
  </si>
  <si>
    <t xml:space="preserve">ΠΑΡΘΕΝΑ </t>
  </si>
  <si>
    <t>ΑΚ271378</t>
  </si>
  <si>
    <t>ΑΗ203228</t>
  </si>
  <si>
    <t>ΑΖΑΡΙΑΔΗΣ</t>
  </si>
  <si>
    <t>Φ352071</t>
  </si>
  <si>
    <t>Χ692341</t>
  </si>
  <si>
    <t>ΑΡ073215</t>
  </si>
  <si>
    <t>ΚΑΛΑΜΑΡΗΣ</t>
  </si>
  <si>
    <t>ΑΟ225109</t>
  </si>
  <si>
    <t>ΔΕΤΣΗΣ</t>
  </si>
  <si>
    <t>ΑΜ124632</t>
  </si>
  <si>
    <t>ΒΛΑΜΗ</t>
  </si>
  <si>
    <t>ΑΜ813314</t>
  </si>
  <si>
    <t>ΓΙΑΜΒΡΙΑ</t>
  </si>
  <si>
    <t>ΑΕ485389</t>
  </si>
  <si>
    <t>ΜΑΤΘΑΙΟΥΔΑΚΗΣ</t>
  </si>
  <si>
    <t>ΑΝ425002</t>
  </si>
  <si>
    <t>ΚΛΑΔΟΒΑΣΙΛΑΚΗ</t>
  </si>
  <si>
    <t>ΑΚ663363</t>
  </si>
  <si>
    <t>ΦΑΣΣΑ</t>
  </si>
  <si>
    <t>ΑΙ475768</t>
  </si>
  <si>
    <t>ΠΟΥΛΙΣΗ</t>
  </si>
  <si>
    <t>ΑΑ311486</t>
  </si>
  <si>
    <t>ΑΒ111427</t>
  </si>
  <si>
    <t>Χ410654</t>
  </si>
  <si>
    <t>ΜΠΙΝΙΩΡΗΣ</t>
  </si>
  <si>
    <t>ΑΑ444390</t>
  </si>
  <si>
    <t>ΚΑΤΣΙΚΟΝΟΥΡΗ</t>
  </si>
  <si>
    <t>ΑΚ834759</t>
  </si>
  <si>
    <t>ΚΑΣΤΡΙΣΙΟΥ</t>
  </si>
  <si>
    <t>ΑΑ367194</t>
  </si>
  <si>
    <t>ΜΠΑΟΣ</t>
  </si>
  <si>
    <t>ΑΒ409162</t>
  </si>
  <si>
    <t>ΚΑΡΑΘΑΝΑΣΗ ΔΑΒΙΔΟΠΟΥΛΟΥ</t>
  </si>
  <si>
    <t>ΑΙ350215</t>
  </si>
  <si>
    <t>ΑΑ444653</t>
  </si>
  <si>
    <t>Ν239498</t>
  </si>
  <si>
    <t>ΜΕΝΕΓΑΚΗΣ</t>
  </si>
  <si>
    <t>ΑΝ935182</t>
  </si>
  <si>
    <t>Χ540148</t>
  </si>
  <si>
    <t>ΓΙΑΤΣΕ</t>
  </si>
  <si>
    <t>ΒΑΛΝΤΕΤΕ</t>
  </si>
  <si>
    <t>ΣΑΜΠΡΙ</t>
  </si>
  <si>
    <t>ΑΜ583755</t>
  </si>
  <si>
    <t>ΞΥΓΙΝΤΖΗ</t>
  </si>
  <si>
    <t>ΑΗ888306</t>
  </si>
  <si>
    <t>ΚΑΛΤΣΟΓΙΑΝΝΗ</t>
  </si>
  <si>
    <t>ΑΝ322708</t>
  </si>
  <si>
    <t>ΑΗ242552</t>
  </si>
  <si>
    <t>ΠΑΙΚΟΣ</t>
  </si>
  <si>
    <t>ΑΟ642848</t>
  </si>
  <si>
    <t>ΑΡ353406</t>
  </si>
  <si>
    <t>ΜΠΑΤΣΟΥ</t>
  </si>
  <si>
    <t>ΑΒ441833</t>
  </si>
  <si>
    <t>ΜΠΙΤΣΗ</t>
  </si>
  <si>
    <t>ΑΝ338213</t>
  </si>
  <si>
    <t>ΚΑΤΡΑΚΑΖΑ</t>
  </si>
  <si>
    <t>Φ914505</t>
  </si>
  <si>
    <t>ΜΑΛΤΑΣΟΓΛΟΥ</t>
  </si>
  <si>
    <t>ΑΟ020934</t>
  </si>
  <si>
    <t>ΜΠΙΜΠΙΣΙΔΟΥ</t>
  </si>
  <si>
    <t>ΑΗ426107</t>
  </si>
  <si>
    <t>ΟΡΝΙΘΑ</t>
  </si>
  <si>
    <t>ΜΑΓΔΑΛIΝΗ</t>
  </si>
  <si>
    <t>ΑΝ388175</t>
  </si>
  <si>
    <t>ΝΤΑΒΟΥ</t>
  </si>
  <si>
    <t>ΑΕ252911</t>
  </si>
  <si>
    <t>Τ449599</t>
  </si>
  <si>
    <t>ΠΡΩΤΟΠΑΠΠΑ</t>
  </si>
  <si>
    <t>ΑΒ325345</t>
  </si>
  <si>
    <t>ΚΑΡΑΦΕΡΗ</t>
  </si>
  <si>
    <t>ΑΖ817345</t>
  </si>
  <si>
    <t>ΑΒ300771</t>
  </si>
  <si>
    <t>ΜΑΥΡΟΜΑΝΩΛΑΚΗ</t>
  </si>
  <si>
    <t>Χ423843</t>
  </si>
  <si>
    <t>ΧΑΤΖΗΕΥΑΓΓΕΛΟΥ</t>
  </si>
  <si>
    <t>ΑΖ916925</t>
  </si>
  <si>
    <t>ΑΚ288084</t>
  </si>
  <si>
    <t>ΤΣΟΥΚΑΛΑ ΜΗΤΣΙΝΙΩΤΟΥ</t>
  </si>
  <si>
    <t>ΧΡΥΣΟΥΛΑ ΕΙΡΗΝΗ</t>
  </si>
  <si>
    <t>ΑΖ374783</t>
  </si>
  <si>
    <t>ΑΗ344515</t>
  </si>
  <si>
    <t>ΑΙ486391</t>
  </si>
  <si>
    <t>Χ750436</t>
  </si>
  <si>
    <t>Τ812187</t>
  </si>
  <si>
    <t>ΜΠΕΛΑΝΤΑΚΗ</t>
  </si>
  <si>
    <t>ΑΗ961295</t>
  </si>
  <si>
    <t>ΜΑΝΟΥΣΑΚΙΔΟΥ</t>
  </si>
  <si>
    <t>ΑΝ707284</t>
  </si>
  <si>
    <t>ΑΑ975952</t>
  </si>
  <si>
    <t>ΣΑΚΑΠΕΤΗ</t>
  </si>
  <si>
    <t>ΑΟ641045</t>
  </si>
  <si>
    <t>ΑΟ886263</t>
  </si>
  <si>
    <t>Χ858309</t>
  </si>
  <si>
    <t>ΤΖΙΓΕΡΗ</t>
  </si>
  <si>
    <t>ΑΑ251337</t>
  </si>
  <si>
    <t>ΛΗΞΟΥΡΓΙΩΤΗ</t>
  </si>
  <si>
    <t>ΑΒ198264</t>
  </si>
  <si>
    <t>ΜΠΑΦΕΤΗ</t>
  </si>
  <si>
    <t>ΑΒ271124</t>
  </si>
  <si>
    <t>ΒΑΣΤΑΚΗ</t>
  </si>
  <si>
    <t>Τ162488</t>
  </si>
  <si>
    <t>ΑΚ470597</t>
  </si>
  <si>
    <t>ΑΜ192729</t>
  </si>
  <si>
    <t>ΣΚΟΝΔΡΑ</t>
  </si>
  <si>
    <t>ΑΕ233858</t>
  </si>
  <si>
    <t>ΑΡ330468</t>
  </si>
  <si>
    <t>ΧΑΛΙΑΠΑ</t>
  </si>
  <si>
    <t>ΑΒ704757</t>
  </si>
  <si>
    <t>ΖΕΝΕΛΙ</t>
  </si>
  <si>
    <t>ΒΕΝΕΤΙΚ</t>
  </si>
  <si>
    <t>ΑΙ339159</t>
  </si>
  <si>
    <t>ΡΕΜΠΕΛΟΥ</t>
  </si>
  <si>
    <t>ΑΙΚΑΤΕΡΙΝΗ ΝΙΚΟΛΕΤΑ</t>
  </si>
  <si>
    <t>ΑΡ069440</t>
  </si>
  <si>
    <t>ΑΝ203343</t>
  </si>
  <si>
    <t>ΑΑ285309</t>
  </si>
  <si>
    <t>ΚΟΥΡΠΟΥΑΝΙΔΟΥ</t>
  </si>
  <si>
    <t>ΑΖ786235</t>
  </si>
  <si>
    <t>ΑΝ806255</t>
  </si>
  <si>
    <t>ΑΝ495382</t>
  </si>
  <si>
    <t>ΑΝΤΩΝΑΚΗΣ</t>
  </si>
  <si>
    <t xml:space="preserve">ΒΛΑΣΙΟΣ </t>
  </si>
  <si>
    <t>ΑΜ464684</t>
  </si>
  <si>
    <t>ΑΑ353771</t>
  </si>
  <si>
    <t>ΠΑΠΑΔΟΓΙΑΝΝΑΚΗΣ</t>
  </si>
  <si>
    <t>Χ359761</t>
  </si>
  <si>
    <t>ΕΜΠΟΡΟΥ</t>
  </si>
  <si>
    <t>ΑΝ566916</t>
  </si>
  <si>
    <t>Χ305772</t>
  </si>
  <si>
    <t>ΑΟ560975</t>
  </si>
  <si>
    <t>ΤΑΨΑ</t>
  </si>
  <si>
    <t>ΑΗ766293</t>
  </si>
  <si>
    <t>ΑΝ344459</t>
  </si>
  <si>
    <t>ΑΗ113846</t>
  </si>
  <si>
    <t>ΠΑΡΠΟΥΤΖΙΔΟΥ</t>
  </si>
  <si>
    <t>ΑΖ305899</t>
  </si>
  <si>
    <t>ΑΝ551960</t>
  </si>
  <si>
    <t>ΓΚΕΡΓΚΙ</t>
  </si>
  <si>
    <t>ΑΙ981579</t>
  </si>
  <si>
    <t>ΜΕΡΚΟΥ</t>
  </si>
  <si>
    <t>ΑΖ678956</t>
  </si>
  <si>
    <t>Χ833920</t>
  </si>
  <si>
    <t>ΑΕ445503</t>
  </si>
  <si>
    <t>ΑΟ799576</t>
  </si>
  <si>
    <t>ΚΕΡΟΥΛΗ</t>
  </si>
  <si>
    <t>ΑΟ785434</t>
  </si>
  <si>
    <t>Σ863809</t>
  </si>
  <si>
    <t>ΠΡΑΣΙΝΟΥ</t>
  </si>
  <si>
    <t>ΑΝ162583</t>
  </si>
  <si>
    <t>ΒΙΚΤΩΡΑΤΟΣ</t>
  </si>
  <si>
    <t>ΑΜ196790</t>
  </si>
  <si>
    <t>ΜΑΝΙΦΑΒΑ</t>
  </si>
  <si>
    <t>Χ608370</t>
  </si>
  <si>
    <t>ΑΚ851641</t>
  </si>
  <si>
    <t>ΘΕΟΦΙΛΗΣ</t>
  </si>
  <si>
    <t>ΑΚ217055</t>
  </si>
  <si>
    <t>ΧΑΙΤΟΓΛΟΥ</t>
  </si>
  <si>
    <t>ΜΑΓΑΛΙΟΣ</t>
  </si>
  <si>
    <t>ΑΗ285057</t>
  </si>
  <si>
    <t>ΑΕ973564</t>
  </si>
  <si>
    <t>ΑΡ004881</t>
  </si>
  <si>
    <t>ΣΥΡΟΥ</t>
  </si>
  <si>
    <t>ΑΕ491878</t>
  </si>
  <si>
    <t>ΑΚ499648</t>
  </si>
  <si>
    <t>ΔΙΠΛΑ</t>
  </si>
  <si>
    <t>ΔΙΟΜΗΔΗΣ</t>
  </si>
  <si>
    <t>ΑΒ222654</t>
  </si>
  <si>
    <t>ΑΑ266052</t>
  </si>
  <si>
    <t>Φ469107</t>
  </si>
  <si>
    <t>ΜΑΝΟΥΡΑΣ</t>
  </si>
  <si>
    <t>ΑΒ057875</t>
  </si>
  <si>
    <t>ΑΑ366867</t>
  </si>
  <si>
    <t>ΑΒ130585</t>
  </si>
  <si>
    <t>ΠΗΓΗ ΠΕΤΡΟΥΛΑ</t>
  </si>
  <si>
    <t>ΑΖ937129</t>
  </si>
  <si>
    <t>ΚΑΡΑΤΖΙΑ</t>
  </si>
  <si>
    <t>ΑΚ885702</t>
  </si>
  <si>
    <t>ΤΣΕΝΕΚΛΙΔΗΣ</t>
  </si>
  <si>
    <t>ΑΗ296671</t>
  </si>
  <si>
    <t>ΑΖ793833</t>
  </si>
  <si>
    <t>Χ846474</t>
  </si>
  <si>
    <t>ΘΕΟΛΟΓΟΥΔΗ</t>
  </si>
  <si>
    <t>ΑΖ386657</t>
  </si>
  <si>
    <t>Χ685082</t>
  </si>
  <si>
    <t>ΑΖ913554</t>
  </si>
  <si>
    <t>ΑΕ438866</t>
  </si>
  <si>
    <t>ΑΟ233880</t>
  </si>
  <si>
    <t>ΚΟΛΛΙΟΠΟΥΛΟΥ</t>
  </si>
  <si>
    <t>ΑΒ749517</t>
  </si>
  <si>
    <t>ΑΗ382122</t>
  </si>
  <si>
    <t>ΑΙ805718</t>
  </si>
  <si>
    <t>ΖΕΓΓΙΝΗ</t>
  </si>
  <si>
    <t>ΑΗ807971</t>
  </si>
  <si>
    <t>ΤΣΕΝΤΕΚΙΔΟΥ</t>
  </si>
  <si>
    <t>ΑΝ828076</t>
  </si>
  <si>
    <t>ΑΜ502887</t>
  </si>
  <si>
    <t>ΤΣΟΜΠΑΝΟΥ</t>
  </si>
  <si>
    <t>ΑΝ185390</t>
  </si>
  <si>
    <t>ΠΟΛΥΧΡΟΣ</t>
  </si>
  <si>
    <t>ΙΩΑΝΝΗΣ ΠΑΝΑΓΙΩΤΗΣ</t>
  </si>
  <si>
    <t>ΑΝ727796</t>
  </si>
  <si>
    <t>ΑΟ914034</t>
  </si>
  <si>
    <t>ΒΑΣΙΛΕΡΗ</t>
  </si>
  <si>
    <t>ΑΒ247815</t>
  </si>
  <si>
    <t>ΠΛΙΟΥ</t>
  </si>
  <si>
    <t>ΑΚ336328</t>
  </si>
  <si>
    <t>ΤΑΧΛΙΑΜΠΟΥΡΗ</t>
  </si>
  <si>
    <t>ΑΒ476821</t>
  </si>
  <si>
    <t>ΝΤΑΣΙΑΚΛΗ</t>
  </si>
  <si>
    <t>ΑΚ126639</t>
  </si>
  <si>
    <t>Χ495526</t>
  </si>
  <si>
    <t>ΣΑΚΚΑΣ</t>
  </si>
  <si>
    <t>ΑΕ622440</t>
  </si>
  <si>
    <t>ΣΟΙΛΕΜΕΖΗ</t>
  </si>
  <si>
    <t>ΑΚ097973</t>
  </si>
  <si>
    <t>Σ833949</t>
  </si>
  <si>
    <t>ΠΡΑΝΤΖΟΥ</t>
  </si>
  <si>
    <t>ΑΟ676972</t>
  </si>
  <si>
    <t>ΜΠΑΡΟΥΤΑΣ</t>
  </si>
  <si>
    <t>Χ874195</t>
  </si>
  <si>
    <t>ΑΚ382270</t>
  </si>
  <si>
    <t>ΧΑΤΖΗΝΙΚΟΛΑΟΥ</t>
  </si>
  <si>
    <t>Χ771285</t>
  </si>
  <si>
    <t>ΝΙΝΗ</t>
  </si>
  <si>
    <t xml:space="preserve"> ΖΩΗ</t>
  </si>
  <si>
    <t>ΑΙ207305</t>
  </si>
  <si>
    <t>ΚΟΡΜΠΕΤΗΣ</t>
  </si>
  <si>
    <t>ΑΝ392247</t>
  </si>
  <si>
    <t>ΝΤΕΝΤΟΥ</t>
  </si>
  <si>
    <t>ΣΤΑΥΡΟΥΛΑ ΜΑΡΙΑ</t>
  </si>
  <si>
    <t>ΑΕ081393</t>
  </si>
  <si>
    <t>ΚΕΣΟΥΔΗ</t>
  </si>
  <si>
    <t>ΑΜ298699</t>
  </si>
  <si>
    <t>ΑΑ318882</t>
  </si>
  <si>
    <t>ΑΒ646557</t>
  </si>
  <si>
    <t>ΑΒ983742</t>
  </si>
  <si>
    <t>ΚΟΣΚΟΥΡΑ</t>
  </si>
  <si>
    <t>Χ392595</t>
  </si>
  <si>
    <t>ΑΗ204989</t>
  </si>
  <si>
    <t>ΑΗ908860</t>
  </si>
  <si>
    <t>ΤΣΙΟΓΚΑΣ</t>
  </si>
  <si>
    <t>ΑΖ829319</t>
  </si>
  <si>
    <t>ΚΟΤΕΛΙΔΗΣ</t>
  </si>
  <si>
    <t>ΑΜ077294</t>
  </si>
  <si>
    <t>ΑΙ853885</t>
  </si>
  <si>
    <t>ΓΑΡΟΥ</t>
  </si>
  <si>
    <t>ΑΝ315161</t>
  </si>
  <si>
    <t>ΑΗ739914</t>
  </si>
  <si>
    <t>ΤΣΙΟΥΤΣΙΑΣ</t>
  </si>
  <si>
    <t>Χ045236</t>
  </si>
  <si>
    <t>ΑΚ917871</t>
  </si>
  <si>
    <t>ΤΡΑΙΤΟΡΑΚΗ</t>
  </si>
  <si>
    <t>ΑΗ871502</t>
  </si>
  <si>
    <t>ΛΕΡΗ</t>
  </si>
  <si>
    <t>ΑΕ246248</t>
  </si>
  <si>
    <t>ΧΑΣΜΑΝΙΑΝ</t>
  </si>
  <si>
    <t>ΑΗ163576</t>
  </si>
  <si>
    <t>Σ178018</t>
  </si>
  <si>
    <t>ΑΗ495064</t>
  </si>
  <si>
    <t>ΚΟΥΡΛΙΟΣ</t>
  </si>
  <si>
    <t>ΑΒ720598</t>
  </si>
  <si>
    <t>ΡΟΔΟΠΟΥΛΟΥ</t>
  </si>
  <si>
    <t>ΑΚ116999</t>
  </si>
  <si>
    <t>ΜΑΚΡΥΑΝΙΔΟΥ</t>
  </si>
  <si>
    <t>ΑΑ410906</t>
  </si>
  <si>
    <t>ΤΣΙΜΟΠΟΥΛΟΥ</t>
  </si>
  <si>
    <t>ΑΕ428754</t>
  </si>
  <si>
    <t>ΜΑΜΖΕΡΗ</t>
  </si>
  <si>
    <t>Χ590365</t>
  </si>
  <si>
    <t>ΚΑΤΣΙΝΕΛΗ</t>
  </si>
  <si>
    <t>ΑΒ092183</t>
  </si>
  <si>
    <t>ΚΑΡΑΤΟΛΙΟΥ</t>
  </si>
  <si>
    <t>Χ911714</t>
  </si>
  <si>
    <t>ΑΜ477184</t>
  </si>
  <si>
    <t>ΤΡΑΝΟΥΛΙΔΗ</t>
  </si>
  <si>
    <t>Χ863109</t>
  </si>
  <si>
    <t>ΑΕ278691</t>
  </si>
  <si>
    <t>ΒΕΡΝΑΡΛΗ</t>
  </si>
  <si>
    <t>ΑΒ689238</t>
  </si>
  <si>
    <t>ΣΟΥΓΙΟΛΤΖΗ</t>
  </si>
  <si>
    <t>ΑΗ415836</t>
  </si>
  <si>
    <t>ΑΕ309664</t>
  </si>
  <si>
    <t>ΦΡΑΓΚΟΜΙΧΕΛΑΚΗ</t>
  </si>
  <si>
    <t>ΣΤΑΥΡΙΑΝΙΔΗΣ</t>
  </si>
  <si>
    <t>ΑΙ671529</t>
  </si>
  <si>
    <t>ΣΩΚΡΑΤΗ</t>
  </si>
  <si>
    <t>ΑΜ561999</t>
  </si>
  <si>
    <t>ΜΟΥΞΙΟΥ</t>
  </si>
  <si>
    <t>ΑΗ405230</t>
  </si>
  <si>
    <t>ΑΒ712156</t>
  </si>
  <si>
    <t>ΝΤΑΡΙΒΙΑΝΑΚΗ</t>
  </si>
  <si>
    <t>ΑΝΝΑ ΚΛΑΟΥΝΤΙΑ</t>
  </si>
  <si>
    <t>ΑΜ486800</t>
  </si>
  <si>
    <t>ΚΑΛΛΙΝΙΚΟΥ</t>
  </si>
  <si>
    <t>Φ118469</t>
  </si>
  <si>
    <t>ΒΟΥΛΒΟΥΤΖΗ</t>
  </si>
  <si>
    <t>ΑΖ391524</t>
  </si>
  <si>
    <t>ΜΠΑΛΙΑ</t>
  </si>
  <si>
    <t>ΑΗ488407</t>
  </si>
  <si>
    <t>ΑΖ436327</t>
  </si>
  <si>
    <t>ΠΑΝΑΝΑΚΗ</t>
  </si>
  <si>
    <t>ΑΖ686111</t>
  </si>
  <si>
    <t>ΤΣΙΑΜΟΥΡΑ</t>
  </si>
  <si>
    <t>ΕΛΕΝΗ ΑΠΟΣΤΟΛΙΑ</t>
  </si>
  <si>
    <t>ΑΝ856009</t>
  </si>
  <si>
    <t>ΑΝ688982</t>
  </si>
  <si>
    <t>ΚΟΥΤΤΙΚΑ</t>
  </si>
  <si>
    <t>ΑΑ310811</t>
  </si>
  <si>
    <t>ΑΑ496015</t>
  </si>
  <si>
    <t>ΜΠΙΖΟΠΟΥΛΟΥ</t>
  </si>
  <si>
    <t>ΑΑ477174</t>
  </si>
  <si>
    <t>ΑΙ979649</t>
  </si>
  <si>
    <t>ΜΕΡΔΑ</t>
  </si>
  <si>
    <t>ΑΟ949444</t>
  </si>
  <si>
    <t>ΚΟΥΡΕΛΙΑ</t>
  </si>
  <si>
    <t>Χ899924</t>
  </si>
  <si>
    <t>ΤΣΙΑΠΡΑ</t>
  </si>
  <si>
    <t>ΑΗ291881</t>
  </si>
  <si>
    <t>ΑΒ112706</t>
  </si>
  <si>
    <t>ΠΟΛΥΜΕΡΟΣ</t>
  </si>
  <si>
    <t>ΑΝ780792</t>
  </si>
  <si>
    <t>ΤΣΑΜΑΣΦΥΡΑ</t>
  </si>
  <si>
    <t>ΜΕΝΙΑ</t>
  </si>
  <si>
    <t>ΑΒ988689</t>
  </si>
  <si>
    <t>ΑΒ074672</t>
  </si>
  <si>
    <t>ΝΤΑΦΑ</t>
  </si>
  <si>
    <t>ΑΚ668994</t>
  </si>
  <si>
    <t>ΑΒ391375</t>
  </si>
  <si>
    <t>ΑΝ579507</t>
  </si>
  <si>
    <t>Χ494593</t>
  </si>
  <si>
    <t>ΑΒ789180</t>
  </si>
  <si>
    <t>ΑΝ330143</t>
  </si>
  <si>
    <t>ΑΗ476716</t>
  </si>
  <si>
    <t>ΑΝ699488</t>
  </si>
  <si>
    <t>ΟΡΦΑΝΟΣ</t>
  </si>
  <si>
    <t>Τ323532</t>
  </si>
  <si>
    <t>ΑΙ801191</t>
  </si>
  <si>
    <t>ΑΑ326282</t>
  </si>
  <si>
    <t>ΠΕΡΓΑΜΑΛΗ</t>
  </si>
  <si>
    <t>ΑΚ746329</t>
  </si>
  <si>
    <t>ΑΜ403257</t>
  </si>
  <si>
    <t>ΑΜΟΥΤΖΑΣ</t>
  </si>
  <si>
    <t>ΑΖ364202</t>
  </si>
  <si>
    <t>ΑΖ503313</t>
  </si>
  <si>
    <t>ΑΕ377757</t>
  </si>
  <si>
    <t>ΑΜΠΑΤΖΙΑΝΗ</t>
  </si>
  <si>
    <t>ΑΕ886510</t>
  </si>
  <si>
    <t>ΚΑΓΙΑΣΑ</t>
  </si>
  <si>
    <t>ΑΟ694631</t>
  </si>
  <si>
    <t>ΤΣΟΛΑΚΟΥ</t>
  </si>
  <si>
    <t>Τ308459</t>
  </si>
  <si>
    <t>ΑΒ391927</t>
  </si>
  <si>
    <t>ΛΕΡΑ</t>
  </si>
  <si>
    <t>ΑΚ322688</t>
  </si>
  <si>
    <t>ΑΚ866207</t>
  </si>
  <si>
    <t>ΚΙΤΣΙΟΥ</t>
  </si>
  <si>
    <t>ΑΒ805512</t>
  </si>
  <si>
    <t>ΑΟ442417</t>
  </si>
  <si>
    <t>ΒΑΛΑΒΑΝΗ</t>
  </si>
  <si>
    <t>Ρ385881</t>
  </si>
  <si>
    <t>Χ144144</t>
  </si>
  <si>
    <t>ΚΙΟΥΣΕΤΣΑ</t>
  </si>
  <si>
    <t>ΑΟ054689</t>
  </si>
  <si>
    <t>ΓΕΩΡΓΟΜΑΝΟΥ</t>
  </si>
  <si>
    <t>ΑΙ850594</t>
  </si>
  <si>
    <t>ΑΖ284945</t>
  </si>
  <si>
    <t>ΑΗ296818</t>
  </si>
  <si>
    <t>ΛΙΤΟΣΕΛΙΤΗΣ</t>
  </si>
  <si>
    <t>ΑΑ975251</t>
  </si>
  <si>
    <t>ΑΒ180634</t>
  </si>
  <si>
    <t>ΧΡΥΣΑΝΘΟΣ</t>
  </si>
  <si>
    <t>ΑΙ206965</t>
  </si>
  <si>
    <t>ΜΑΡΙΑ ΗΛΙΑ</t>
  </si>
  <si>
    <t>ΑΕ328911</t>
  </si>
  <si>
    <t>ΜΑΛΑΜΟΥ</t>
  </si>
  <si>
    <t>ΑΝ291180</t>
  </si>
  <si>
    <t>ΤΡΙΨΑ</t>
  </si>
  <si>
    <t>ΑΒ313028</t>
  </si>
  <si>
    <t>ΔΟΥΝΑΒΗ</t>
  </si>
  <si>
    <t>ΞΑΝΘΙΠΗ</t>
  </si>
  <si>
    <t>Σ759606</t>
  </si>
  <si>
    <t>Χ909234</t>
  </si>
  <si>
    <t>ΠΑΝΩΡΙΑ</t>
  </si>
  <si>
    <t>ΚΕΡΑΣΑ</t>
  </si>
  <si>
    <t>Χ869686</t>
  </si>
  <si>
    <t>ΜΑΥΡΟΔΟΝΤΗ</t>
  </si>
  <si>
    <t>ΑΖ690531</t>
  </si>
  <si>
    <t>ΑΟ786597</t>
  </si>
  <si>
    <t>ΑΒ844515</t>
  </si>
  <si>
    <t xml:space="preserve">ΧΡΟΝΗ </t>
  </si>
  <si>
    <t>ΑΙ923392</t>
  </si>
  <si>
    <t>ΑΒ400916</t>
  </si>
  <si>
    <t xml:space="preserve">ΜΠΑΡΜΠΑ </t>
  </si>
  <si>
    <t>Χ365371</t>
  </si>
  <si>
    <t>ΓΡΑΤΣΙΑΝΟΥ</t>
  </si>
  <si>
    <t>ΑΙ408400</t>
  </si>
  <si>
    <t>ΚΑΤΕΛΟΥΖΟΥ</t>
  </si>
  <si>
    <t>Χ223205</t>
  </si>
  <si>
    <t>ΜΠΟΥΡΒΑΝΗ</t>
  </si>
  <si>
    <t>ΜΑΙΛΙΝΤΑ</t>
  </si>
  <si>
    <t>ΑΟ315683</t>
  </si>
  <si>
    <t>ΚΙΟΦΤΕΤΖΗ</t>
  </si>
  <si>
    <t>ΑΝ104109</t>
  </si>
  <si>
    <t>ΦΕΛΛΙΑ</t>
  </si>
  <si>
    <t>ΜΑΛΑΜΑΣ</t>
  </si>
  <si>
    <t>ΑΖ163379</t>
  </si>
  <si>
    <t>ΑΡ415224</t>
  </si>
  <si>
    <t>ΑΕ962592</t>
  </si>
  <si>
    <t>ΚΤΕΝΑΒΟΥ</t>
  </si>
  <si>
    <t>ΑΑ303069</t>
  </si>
  <si>
    <t>ΚΟΝΤΟΠΟΥΛΟΥ</t>
  </si>
  <si>
    <t>ΑΑ443616</t>
  </si>
  <si>
    <t>ΧΑΤΖΗΚΛΩΝΙΔΟΥ</t>
  </si>
  <si>
    <t>Χ968610</t>
  </si>
  <si>
    <t>ΜΠΟΛΩΣΗ</t>
  </si>
  <si>
    <t>ΦΕΒΡΩΝΙΑ ΜΑΡΙΑ</t>
  </si>
  <si>
    <t>ΑΚ959598</t>
  </si>
  <si>
    <t>ΜΟΥΓΚΟΓΙΑΝΝΗ</t>
  </si>
  <si>
    <t>ΑΝ809932</t>
  </si>
  <si>
    <t>ΠΑΠΑΡΡΙΖΟΥ</t>
  </si>
  <si>
    <t>ΑΗ553296</t>
  </si>
  <si>
    <t>ΚΟΛΕΤΣΗ</t>
  </si>
  <si>
    <t>ΛΑΟΥΡΕΤΑ</t>
  </si>
  <si>
    <t>ΑΗ282854</t>
  </si>
  <si>
    <t>ΑΜ907286</t>
  </si>
  <si>
    <t>ΑΑ427259</t>
  </si>
  <si>
    <t>ΝΤΑΤΣΙ</t>
  </si>
  <si>
    <t>ΕΣΜΙΡΑΛΝΤΑ</t>
  </si>
  <si>
    <t>ΠΑΣΚ</t>
  </si>
  <si>
    <t>ΑΝ284459</t>
  </si>
  <si>
    <t>ΒΑΒΛΗ ΒΑΒΛΙΔΑ</t>
  </si>
  <si>
    <t>ΑΜ005198</t>
  </si>
  <si>
    <t>ΜΑΡΙΑ ΑΦΡΟΔΙΤΗ</t>
  </si>
  <si>
    <t>ΑΒ189990</t>
  </si>
  <si>
    <t>ΠΕΖΟΥΒΑΝΑΚΗ</t>
  </si>
  <si>
    <t>ΑΝ448586</t>
  </si>
  <si>
    <t>ΑΜ614094</t>
  </si>
  <si>
    <t>ΑΙ349756</t>
  </si>
  <si>
    <t>ΧΡΗΣΤΟ</t>
  </si>
  <si>
    <t>ΟΡΝΕΛΑ</t>
  </si>
  <si>
    <t>ΛΙΛΟ</t>
  </si>
  <si>
    <t>ΑΚ402459</t>
  </si>
  <si>
    <t>ΚΑΡΑΜΦΥΛΛΙΔΟΥ</t>
  </si>
  <si>
    <t>ΑΙ845565</t>
  </si>
  <si>
    <t>ΡΑΡΡΑ</t>
  </si>
  <si>
    <t>ΑΖ271499</t>
  </si>
  <si>
    <t>Χ853373</t>
  </si>
  <si>
    <t>ΑΜ741878</t>
  </si>
  <si>
    <t>ΑΑ317646</t>
  </si>
  <si>
    <t>ΠΑΠΙΓΓΙΩΤΗ</t>
  </si>
  <si>
    <t>ΑΙ258436</t>
  </si>
  <si>
    <t>ΜΠΟΥΓΙΟΥΚΛΗ</t>
  </si>
  <si>
    <t>ΑΚ847544</t>
  </si>
  <si>
    <t>ΓΙΑΝΝΑΚΑ</t>
  </si>
  <si>
    <t>ΑΑ441307</t>
  </si>
  <si>
    <t>ΓΡΑΙΚΟΣ</t>
  </si>
  <si>
    <t>ΑΑ934641</t>
  </si>
  <si>
    <t>ΑΗ457093</t>
  </si>
  <si>
    <t>ΠΟΠΤΣΗ</t>
  </si>
  <si>
    <t>ΑΒ440343</t>
  </si>
  <si>
    <t>ΠΑΠΑΛΑΜΠΡΟΥ</t>
  </si>
  <si>
    <t>ΑΗ089935</t>
  </si>
  <si>
    <t>ΖΗΚΑ</t>
  </si>
  <si>
    <t>ΑΙ848883</t>
  </si>
  <si>
    <t>ΜΗΤΡΟΓΙΩΡΓΟΥ</t>
  </si>
  <si>
    <t>ΑΚ614418</t>
  </si>
  <si>
    <t>ΑΜ835986</t>
  </si>
  <si>
    <t>ΑΑ374368</t>
  </si>
  <si>
    <t>ΣΤΑΥΡΟΥΛΙΑ</t>
  </si>
  <si>
    <t>ΑΚ693014</t>
  </si>
  <si>
    <t>ΠΙΛΕΤΣΚΑ</t>
  </si>
  <si>
    <t>ΒΙΚΥ ΧΡΥΣΟΥΛΑ</t>
  </si>
  <si>
    <t>ΤΣΕΣΛΑΒ</t>
  </si>
  <si>
    <t>ΑΚ893218</t>
  </si>
  <si>
    <t>ΚΑΤΣΑ</t>
  </si>
  <si>
    <t>ΜΑΡΙΑ ΕΥΘΥΜΙΑ</t>
  </si>
  <si>
    <t>ΑΚ778743</t>
  </si>
  <si>
    <t>ΤΖΑΜΑΛΗ</t>
  </si>
  <si>
    <t>ΑΙ777556</t>
  </si>
  <si>
    <t>ΤΣΙΜΠΑΝΑΚΟΥ</t>
  </si>
  <si>
    <t>Χ431240</t>
  </si>
  <si>
    <t>ΒΟΥΛΓΑΡΗΣ</t>
  </si>
  <si>
    <t>Χ138068</t>
  </si>
  <si>
    <t>ΑΒΝΤΟΥΛΛΑ</t>
  </si>
  <si>
    <t>ΣΙΓΙΑΤ</t>
  </si>
  <si>
    <t>ΑΙ267106</t>
  </si>
  <si>
    <t>ΧΑΣΚΗ</t>
  </si>
  <si>
    <t>ΑΗ242741</t>
  </si>
  <si>
    <t>ΚΑΦΑΝΤΑΡΗΣ</t>
  </si>
  <si>
    <t>Φ475983</t>
  </si>
  <si>
    <t>ΜΠΑΡΕΚΑ</t>
  </si>
  <si>
    <t>Φ318258</t>
  </si>
  <si>
    <t>ΣΟΥΛΤΗ</t>
  </si>
  <si>
    <t>Χ559062</t>
  </si>
  <si>
    <t>ΑΑ790897</t>
  </si>
  <si>
    <t>Χ362384</t>
  </si>
  <si>
    <t>ΑΝ620635</t>
  </si>
  <si>
    <t>ΑΙ242193</t>
  </si>
  <si>
    <t>ΝΕΔΟΓΛΟΥ</t>
  </si>
  <si>
    <t>ΑΖ903995</t>
  </si>
  <si>
    <t>ΦΕΡΡΑ</t>
  </si>
  <si>
    <t>ΑΑ003503</t>
  </si>
  <si>
    <t>ΑΙ866644</t>
  </si>
  <si>
    <t>ΑΙ708370</t>
  </si>
  <si>
    <t>ΤΣΙΚΜΗ</t>
  </si>
  <si>
    <t>ΑΗ768120</t>
  </si>
  <si>
    <t>ΑΟ753971</t>
  </si>
  <si>
    <t>ΑΒ244860</t>
  </si>
  <si>
    <t>ΑΙ600925</t>
  </si>
  <si>
    <t>ΡΟΠΟΤΟΣ</t>
  </si>
  <si>
    <t>ΑΜ269095</t>
  </si>
  <si>
    <t>ΝΤΑΡΗΣ</t>
  </si>
  <si>
    <t>ΑΙ283565</t>
  </si>
  <si>
    <t>ΚΑΤΡΑΛΗ</t>
  </si>
  <si>
    <t>ΑΙ562615</t>
  </si>
  <si>
    <t>ΑΟ042352</t>
  </si>
  <si>
    <t>ΚΟΥΣΤΗ</t>
  </si>
  <si>
    <t>ΑΗ049781</t>
  </si>
  <si>
    <t>Χ206515</t>
  </si>
  <si>
    <t>ΑΝ239765</t>
  </si>
  <si>
    <t>ΚΟΥΤΣΟΚΩΣΤΑ</t>
  </si>
  <si>
    <t>ΑΝ876020</t>
  </si>
  <si>
    <t>ΜΥΛΩΝΑΣ</t>
  </si>
  <si>
    <t>Ν224756</t>
  </si>
  <si>
    <t>ΦΙΛΟΚΩΣΤΑ</t>
  </si>
  <si>
    <t>Χ414880</t>
  </si>
  <si>
    <t>ΜΕΛΙΚΙΔΟΥ</t>
  </si>
  <si>
    <t>ΑΗ056573</t>
  </si>
  <si>
    <t>ΚΕΡΑΣΙΝΑ</t>
  </si>
  <si>
    <t>ΑΕ790255</t>
  </si>
  <si>
    <t>ΑΝΔΡΟΥΤΣΟΥ</t>
  </si>
  <si>
    <t>Χ657355</t>
  </si>
  <si>
    <t>ΑΕ454259</t>
  </si>
  <si>
    <t>ΑΡΓΥΡΗΣ</t>
  </si>
  <si>
    <t>ΑΒ554398</t>
  </si>
  <si>
    <t>ΞΥΘΑΛΗΣ</t>
  </si>
  <si>
    <t>ΑΜ074577</t>
  </si>
  <si>
    <t>ΑΗ894921</t>
  </si>
  <si>
    <t>ΑΡ6726615</t>
  </si>
  <si>
    <t>ΑΜ467260</t>
  </si>
  <si>
    <t>ΓΙΑΝΝΕΤΟΠΟΥΛΟΥ</t>
  </si>
  <si>
    <t>ΒΕΝΙΖΕΛΟΣ</t>
  </si>
  <si>
    <t>ΑΕ043965</t>
  </si>
  <si>
    <t>ΒΕΡΑΡΟΥ</t>
  </si>
  <si>
    <t>Φ076492</t>
  </si>
  <si>
    <t>ΜΠΑΛΑΣΚΑ</t>
  </si>
  <si>
    <t>ΑΕ701495</t>
  </si>
  <si>
    <t>ΛΙΟΣΑΤΟΥ</t>
  </si>
  <si>
    <t>ΑΕ300511</t>
  </si>
  <si>
    <t>ΑΕ295142</t>
  </si>
  <si>
    <t>ΚΟΥΡΛΕΤΑΚΗ</t>
  </si>
  <si>
    <t>ΑΙ440259</t>
  </si>
  <si>
    <t>ΤΖΙΡΑΚΗ</t>
  </si>
  <si>
    <t>ΑΟ791393</t>
  </si>
  <si>
    <t>ΖΗΛΛΗ</t>
  </si>
  <si>
    <t>Χ447300</t>
  </si>
  <si>
    <t>ΤΖΟΥΡΤΖΟΥΚΛΗ</t>
  </si>
  <si>
    <t>ΑΝ315024</t>
  </si>
  <si>
    <t>ΘΕΟΔΩΡΑΚΟΠΟΥΛΟΣ</t>
  </si>
  <si>
    <t>ΑΚ733426</t>
  </si>
  <si>
    <t>ΠΕΡΙΣΤΕΡΗ</t>
  </si>
  <si>
    <t>ΒΟΒΛΙΑΝΟΥ</t>
  </si>
  <si>
    <t>ΚΟΡΟΛΟΓΟΥ</t>
  </si>
  <si>
    <t>Χ791511</t>
  </si>
  <si>
    <t>ΤΕΝΕΚΕΤΖΗ</t>
  </si>
  <si>
    <t>ΑΜ676327</t>
  </si>
  <si>
    <t>ΓΙΑΣΥΡΑΝΗ</t>
  </si>
  <si>
    <t>ΑΚ560759</t>
  </si>
  <si>
    <t>ΑΑ767377</t>
  </si>
  <si>
    <t>ΛΑΓΟΥΤΑΡΗ</t>
  </si>
  <si>
    <t>ΑΒ934082</t>
  </si>
  <si>
    <t>ΑΑ261380</t>
  </si>
  <si>
    <t>ΧΑΤΖΟΒΟΥΛΟΥ</t>
  </si>
  <si>
    <t>ΑΚ696664</t>
  </si>
  <si>
    <t>ΤΟΥΣΙΑ</t>
  </si>
  <si>
    <t>ΑΝ139133</t>
  </si>
  <si>
    <t>ΤΣΙΜΗΤΡΕΑ</t>
  </si>
  <si>
    <t>ΑΕ322198</t>
  </si>
  <si>
    <t>ΤΡΙΓΩΝΙΔΟΥ</t>
  </si>
  <si>
    <t>ΑΕ344018</t>
  </si>
  <si>
    <t>ΑΗ313123</t>
  </si>
  <si>
    <t>ΜΥΡΩΤΗ</t>
  </si>
  <si>
    <t>ΚΟΥΤΣΙΑΥΤΗ</t>
  </si>
  <si>
    <t>ΑΜ366154</t>
  </si>
  <si>
    <t>ΑΝΔΡΙΩΤΟΥ</t>
  </si>
  <si>
    <t>ΑΕ933548</t>
  </si>
  <si>
    <t>ΑΝ892125</t>
  </si>
  <si>
    <t>ΑΕ779631</t>
  </si>
  <si>
    <t>ΑΖ832116</t>
  </si>
  <si>
    <t>ΘΩΜΑΙ</t>
  </si>
  <si>
    <t>ΟΡΚΙΝΤΑ</t>
  </si>
  <si>
    <t>ΠΑΛΙ</t>
  </si>
  <si>
    <t>ΑΜ765858</t>
  </si>
  <si>
    <t>ΑΗ962767</t>
  </si>
  <si>
    <t>ΤΕΜΕΡΤΖΙΔΟΥ</t>
  </si>
  <si>
    <t>ΑΕ161475</t>
  </si>
  <si>
    <t>ΑΗ700218</t>
  </si>
  <si>
    <t>ΠΙΦΤΙΤΣΗ</t>
  </si>
  <si>
    <t>ΑΖ341686</t>
  </si>
  <si>
    <t>ΒΑΣΚΑ</t>
  </si>
  <si>
    <t>ΑΑ358340</t>
  </si>
  <si>
    <t>ΑΜ470032</t>
  </si>
  <si>
    <t>ΑΙ735193</t>
  </si>
  <si>
    <t>ΜΠΟΥΤΣΚΑ</t>
  </si>
  <si>
    <t>ΑΖ295131</t>
  </si>
  <si>
    <t>ΑΜ776370</t>
  </si>
  <si>
    <t>ΦΛΕΣΣΑ</t>
  </si>
  <si>
    <t>ΜΑΡΓΑΡΙΤΑ ΑΦΡΟΔΙΤΗ</t>
  </si>
  <si>
    <t>Ρ727376</t>
  </si>
  <si>
    <t>ΑΙ724813</t>
  </si>
  <si>
    <t>ΚΑΠΩΝΗ</t>
  </si>
  <si>
    <t>ΑΒ075139</t>
  </si>
  <si>
    <t>ΑΟ706850</t>
  </si>
  <si>
    <t>ΓΕΩΡΓΙΟΣ ΣΑΒΒΑΣ</t>
  </si>
  <si>
    <t>ΑΖ137951</t>
  </si>
  <si>
    <t>ΛΑΣΚΑΡΗ</t>
  </si>
  <si>
    <t>ΑΖ824046</t>
  </si>
  <si>
    <t>ΜΙΧΟΓΛΟΥ</t>
  </si>
  <si>
    <t>ΑΟ400128</t>
  </si>
  <si>
    <t>ΖΕΓΛΗ</t>
  </si>
  <si>
    <t>ΑΑ407562</t>
  </si>
  <si>
    <t>ΤΑΤΣΩΝΑΣ</t>
  </si>
  <si>
    <t>ΑΒ466808</t>
  </si>
  <si>
    <t>ΑΗ220042</t>
  </si>
  <si>
    <t>ΡΩΣΣΙΟΥ</t>
  </si>
  <si>
    <t>ΑΜ348571</t>
  </si>
  <si>
    <t>ΜΠΟΡΜΠΑΝΤΩΝΑΚΗ</t>
  </si>
  <si>
    <t>Ρ320128</t>
  </si>
  <si>
    <t>ΑΜ956170</t>
  </si>
  <si>
    <t>Φ125269</t>
  </si>
  <si>
    <t>ΣΤΟΙΔΗΣ</t>
  </si>
  <si>
    <t>Χ972601</t>
  </si>
  <si>
    <t>ΧΡΑΜΠΑΝΗ</t>
  </si>
  <si>
    <t>ΑΙ993244</t>
  </si>
  <si>
    <t>ΑΖ609539</t>
  </si>
  <si>
    <t>ΔΙΑΚΟΓΕΩΡΓΙΟΥ</t>
  </si>
  <si>
    <t>ΑΚ836088</t>
  </si>
  <si>
    <t>ΜΑΝΕΤΑ</t>
  </si>
  <si>
    <t>Τ237078</t>
  </si>
  <si>
    <t>ΑΗ761802</t>
  </si>
  <si>
    <t>ΑΝ637776</t>
  </si>
  <si>
    <t>ΡΙΖΑΒΑΣ</t>
  </si>
  <si>
    <t>ΑΟ520976</t>
  </si>
  <si>
    <t>ΠΟΛΥΚΑΝΔΡΙΩΤΗΣ</t>
  </si>
  <si>
    <t>ΤΖΑΝΝΗΣ</t>
  </si>
  <si>
    <t>ΑΟ141793</t>
  </si>
  <si>
    <t>ΣΙΡΚΟΓΛΟΥ</t>
  </si>
  <si>
    <t>ΑΕ054487</t>
  </si>
  <si>
    <t>ΤΙΟΥΤΟΥΦΑ</t>
  </si>
  <si>
    <t>ΑΗ812123</t>
  </si>
  <si>
    <t>Χ406673</t>
  </si>
  <si>
    <t>ΚΕΝΔΡΙΣΤΑΚΗ</t>
  </si>
  <si>
    <t>ΑΙ440255</t>
  </si>
  <si>
    <t>ΓΑΛΑΤΙΔΗΣ</t>
  </si>
  <si>
    <t>ΑΜ651751</t>
  </si>
  <si>
    <t>ΑΕ215211</t>
  </si>
  <si>
    <t>ΚΟΥΤΣΟΔΟΝΤΗ</t>
  </si>
  <si>
    <t>ΑΒ938265</t>
  </si>
  <si>
    <t>ΑΙ214482</t>
  </si>
  <si>
    <t>Σ369067</t>
  </si>
  <si>
    <t>ΑΚ293238</t>
  </si>
  <si>
    <t>ΔΕΛΑΠΟΡΤΑ</t>
  </si>
  <si>
    <t>ΑΗ061853</t>
  </si>
  <si>
    <t>ΑΚ764384</t>
  </si>
  <si>
    <t>ΑΖ149169</t>
  </si>
  <si>
    <t>ΒΑΣΙΛΙΚΗ ΑΙΚΑΤΕΡΙΝΗ</t>
  </si>
  <si>
    <t>Φ350812</t>
  </si>
  <si>
    <t>ΝΤΕΝΤΙΑ</t>
  </si>
  <si>
    <t>ΑΙΝΑ</t>
  </si>
  <si>
    <t>ΙΝΓΚΡΙΤ</t>
  </si>
  <si>
    <t>ΑΜ637629</t>
  </si>
  <si>
    <t>ΑΒ397191</t>
  </si>
  <si>
    <t>ΑΜ798781</t>
  </si>
  <si>
    <t>ΑΜ536354</t>
  </si>
  <si>
    <t>ΡΑΜΜΟΓΙΑΝΝΗ</t>
  </si>
  <si>
    <t>ΑΖ296329</t>
  </si>
  <si>
    <t>ΑΙ519798</t>
  </si>
  <si>
    <t>ΧΡΗΣΤΟΣ / ΟΡΦΕΥΣ</t>
  </si>
  <si>
    <t>ΑΟ425438</t>
  </si>
  <si>
    <t>ΜΠΟΥΖΑΛΑΚΟΥ</t>
  </si>
  <si>
    <t>ΑΒ175661</t>
  </si>
  <si>
    <t>ΜΠΑΝΑ</t>
  </si>
  <si>
    <t>Χ906181</t>
  </si>
  <si>
    <t>ΑΒ290508</t>
  </si>
  <si>
    <t>ΑΚ238810</t>
  </si>
  <si>
    <t>Φ016532</t>
  </si>
  <si>
    <t>Σ234645</t>
  </si>
  <si>
    <t>ΦΙΛΑΡΕΤΗ</t>
  </si>
  <si>
    <t>ΑΕ339707</t>
  </si>
  <si>
    <t>ΓΕΩΡΓΟΥ</t>
  </si>
  <si>
    <t>ΑΕ247340</t>
  </si>
  <si>
    <t>ΑΟ337462</t>
  </si>
  <si>
    <t>ΑΖ973723</t>
  </si>
  <si>
    <t>ΕΥΑΓΓΕΛΙΑ ΚΑΛΟΜΟΙΡΑ</t>
  </si>
  <si>
    <t>ΑΕ573529</t>
  </si>
  <si>
    <t>ΜΠΑΛΑΦΑ</t>
  </si>
  <si>
    <t>ΑΗ475508</t>
  </si>
  <si>
    <t>ΑΖ852689</t>
  </si>
  <si>
    <t>ΜΑΙΠΑ</t>
  </si>
  <si>
    <t>ΑΝ224095</t>
  </si>
  <si>
    <t>ΚΛΕΙΣΙΑΡΗ</t>
  </si>
  <si>
    <t>ΑΒ437467</t>
  </si>
  <si>
    <t>ΒΑΝΙΟΣΟΒΑ</t>
  </si>
  <si>
    <t>ΑΒ106574</t>
  </si>
  <si>
    <t>ΓΕΡΓΕΡΙΤΑΚΗ</t>
  </si>
  <si>
    <t>Φ456428</t>
  </si>
  <si>
    <t>ΜΙΛΕΤΗ</t>
  </si>
  <si>
    <t>ΑΜ230532</t>
  </si>
  <si>
    <t>ΑΚ348431</t>
  </si>
  <si>
    <t>Χ134618</t>
  </si>
  <si>
    <t>ΑΙ842670</t>
  </si>
  <si>
    <t>ΧΥΤΑ</t>
  </si>
  <si>
    <t>ΑΟ365198</t>
  </si>
  <si>
    <t>Χ676813</t>
  </si>
  <si>
    <t>ΤΣΙΟΥΜΑΝΗΣ</t>
  </si>
  <si>
    <t>ΑΛΚΗΣ</t>
  </si>
  <si>
    <t>ΑΗ722647</t>
  </si>
  <si>
    <t>ΑΝ222128</t>
  </si>
  <si>
    <t>ΠΑΥΛΑΚΗ</t>
  </si>
  <si>
    <t>ΑΒ294760</t>
  </si>
  <si>
    <t>ΑΟ398584</t>
  </si>
  <si>
    <t>ΑΚ967576</t>
  </si>
  <si>
    <t>ΠΑΚΟΥ</t>
  </si>
  <si>
    <t>Φ461284</t>
  </si>
  <si>
    <t>ΚΟΥΣΙΔΟΥ</t>
  </si>
  <si>
    <t>ΑΗ353361</t>
  </si>
  <si>
    <t>ΣΑΒΟΓΛΙΔΟΥ</t>
  </si>
  <si>
    <t>ΗΛΕΚΤΡΑ ΠΑΝΑΓΙΩΤΑ</t>
  </si>
  <si>
    <t>ΑΕ014594</t>
  </si>
  <si>
    <t>ΑΑ344947</t>
  </si>
  <si>
    <t>ΜΠΕΖΑ</t>
  </si>
  <si>
    <t>ΑΒ404244</t>
  </si>
  <si>
    <t>ΚΩΣΤΑΡΕΛΛΟΥ</t>
  </si>
  <si>
    <t>ΑΒ701649</t>
  </si>
  <si>
    <t>ΑΜ466290</t>
  </si>
  <si>
    <t>ΑΖ913205</t>
  </si>
  <si>
    <t>ΣΤΡΑΓΚΑ</t>
  </si>
  <si>
    <t>ΑΜ722429</t>
  </si>
  <si>
    <t>ΜΟΡΙΔΟΥ</t>
  </si>
  <si>
    <t>ΑΝ932718</t>
  </si>
  <si>
    <t>ΑΙ961521</t>
  </si>
  <si>
    <t>ΚΑΣΑΜΠΑ</t>
  </si>
  <si>
    <t>ΑΡΓΥΡΩ ΜΑΡΙΑ</t>
  </si>
  <si>
    <t>ΑΖ435917</t>
  </si>
  <si>
    <t>ΡΑΙΚΟΥ</t>
  </si>
  <si>
    <t>ΑΚ986593</t>
  </si>
  <si>
    <t>ΑΙ280470</t>
  </si>
  <si>
    <t>Χ838812</t>
  </si>
  <si>
    <t>ΡΟΔΗ</t>
  </si>
  <si>
    <t>ΑΖ495937</t>
  </si>
  <si>
    <t>ΧΑΡΟΥ</t>
  </si>
  <si>
    <t>ΑΕ747084</t>
  </si>
  <si>
    <t>ΧΡΙΣΤΟΔΟΥΛΑΚΗΣ</t>
  </si>
  <si>
    <t>ΑΝ435047</t>
  </si>
  <si>
    <t>ΑΒ101862</t>
  </si>
  <si>
    <t>Χ273121</t>
  </si>
  <si>
    <t>ΑΝ058687</t>
  </si>
  <si>
    <t>ΜΑΤΕΝΟΓΛΟΥ</t>
  </si>
  <si>
    <t>ΑΡ403815</t>
  </si>
  <si>
    <t>ΣΑΛΟΥΡΗ</t>
  </si>
  <si>
    <t>ΑΗ548033</t>
  </si>
  <si>
    <t>ΧΑΡΒΑΛΑ</t>
  </si>
  <si>
    <t>ΑΖ280461</t>
  </si>
  <si>
    <t>ΤΣΙΠΟΛΙΤΗ</t>
  </si>
  <si>
    <t>ΓΕΩΡΓΙΑ ΕΛΠΙΔΑ</t>
  </si>
  <si>
    <t>ΠΑΝΟΥΤΣΑΚΟΠΟΥΛΟΥ</t>
  </si>
  <si>
    <t>ΑΟ423188</t>
  </si>
  <si>
    <t>ΑΖ322460</t>
  </si>
  <si>
    <t>ΑΗ118471</t>
  </si>
  <si>
    <t>ΑΝ894601</t>
  </si>
  <si>
    <t>ΜΠΑΛΛΑ</t>
  </si>
  <si>
    <t>ΜΑΡΙΑ ΙΟΥΛΙΑ</t>
  </si>
  <si>
    <t>ΑΒ579928</t>
  </si>
  <si>
    <t>ΑΕ820698</t>
  </si>
  <si>
    <t>ΝΤΟΥΣΙΑ</t>
  </si>
  <si>
    <t>ΑΚ832106</t>
  </si>
  <si>
    <t>ΣΟΦΙΤΗΣ</t>
  </si>
  <si>
    <t>Φ293221</t>
  </si>
  <si>
    <t>ΑΕ967943</t>
  </si>
  <si>
    <t>ΑΓΡΑΦΙΩΤΗ</t>
  </si>
  <si>
    <t>ΑΟ487701</t>
  </si>
  <si>
    <t>ΚΑΙΜΕΝΟΠΟΥΛΟΣ</t>
  </si>
  <si>
    <t>ΜΠΟΥΝΤΟΥΡΗ</t>
  </si>
  <si>
    <t>ΑΜ757926</t>
  </si>
  <si>
    <t>ΑΑ468970</t>
  </si>
  <si>
    <t>ΑΙ207364</t>
  </si>
  <si>
    <t>ΑΡ342456</t>
  </si>
  <si>
    <t>ΜΟΙΡΑ</t>
  </si>
  <si>
    <t>ΑΒ406051</t>
  </si>
  <si>
    <t>ΜΥΡΙΟΥΝΗ</t>
  </si>
  <si>
    <t>Χ366957</t>
  </si>
  <si>
    <t>Φ477009</t>
  </si>
  <si>
    <t>ΓΚΙΤΣΙΟΣ</t>
  </si>
  <si>
    <t>ΑΖ796448</t>
  </si>
  <si>
    <t>ΑΗ997857</t>
  </si>
  <si>
    <t>ΑΝ815949</t>
  </si>
  <si>
    <t>ΣΟΜΟΝΟΥΔΗΣ</t>
  </si>
  <si>
    <t>ΔΟΞΑΚΗΣ</t>
  </si>
  <si>
    <t>ΑΖ804333</t>
  </si>
  <si>
    <t>ΚΟΥΤΑΛΙΑΔΗΣ</t>
  </si>
  <si>
    <t>ΑΑ247777</t>
  </si>
  <si>
    <t>ΑΜ178611</t>
  </si>
  <si>
    <t>ΑΟ751892</t>
  </si>
  <si>
    <t>ΑΝΑΝΙΑΔΗΣ</t>
  </si>
  <si>
    <t>ΑΒ463564</t>
  </si>
  <si>
    <t>ΑΗ543780</t>
  </si>
  <si>
    <t>ΑΑ281649</t>
  </si>
  <si>
    <t>ΑΜ649218</t>
  </si>
  <si>
    <t>ΝΑΤΑΛΙΑ ΡΕΑ</t>
  </si>
  <si>
    <t>ΑΝ775583</t>
  </si>
  <si>
    <t>Χ033547</t>
  </si>
  <si>
    <t>ΤΣΟΥΜΑ</t>
  </si>
  <si>
    <t>ΑΝ296526</t>
  </si>
  <si>
    <t>ΠΟΡΤΟΚΑΛΛΙΔΟΥ</t>
  </si>
  <si>
    <t>ΑΒ466431</t>
  </si>
  <si>
    <t>ΣΑΓΑΝΗ</t>
  </si>
  <si>
    <t>ΑΙ227790</t>
  </si>
  <si>
    <t>ΑΒ854097</t>
  </si>
  <si>
    <t>ΖΙΓΚΕΡΙΔΟΥ</t>
  </si>
  <si>
    <t>ΑΖ344873</t>
  </si>
  <si>
    <t>ΜΑΡΑΚΗ</t>
  </si>
  <si>
    <t>ΚΑΛΛΙΡΟΗ</t>
  </si>
  <si>
    <t>ΑΜ467947</t>
  </si>
  <si>
    <t>ΜΑΥΡΙΚΗ</t>
  </si>
  <si>
    <t>ΑΙ661062</t>
  </si>
  <si>
    <t>ΑΟ462864</t>
  </si>
  <si>
    <t>ΚΑΓΚΙΟΥΖΗ</t>
  </si>
  <si>
    <t>ΑΟ332801</t>
  </si>
  <si>
    <t>ΜΠΡΟΥΖΙΩΤΗ</t>
  </si>
  <si>
    <t>ΑΝ343464</t>
  </si>
  <si>
    <t>Φ288258</t>
  </si>
  <si>
    <t>ΚΑΛΛΙΡΡΟΗ</t>
  </si>
  <si>
    <t>ΑΚ353376</t>
  </si>
  <si>
    <t>ΑΖ917375</t>
  </si>
  <si>
    <t>ΚΟΥΝΑΛΑΚΗ</t>
  </si>
  <si>
    <t>ΑΗ473486</t>
  </si>
  <si>
    <t>ΑΑ371239</t>
  </si>
  <si>
    <t>ΚΑΣΤΡΙΤΗ</t>
  </si>
  <si>
    <t>ΑΣΗΜΙΝΑ ΕΥΓΕΝΙΑ</t>
  </si>
  <si>
    <t>ΑΟ023549</t>
  </si>
  <si>
    <t>ΑΑ433668</t>
  </si>
  <si>
    <t>ΜΑΛΑΤΟΣ</t>
  </si>
  <si>
    <t>ΑΙ255068</t>
  </si>
  <si>
    <t>ΤΟΜΠΡΑ</t>
  </si>
  <si>
    <t>ΑΖ233595</t>
  </si>
  <si>
    <t>ΧΛΟΥΠΗ</t>
  </si>
  <si>
    <t>ΑΖ571899</t>
  </si>
  <si>
    <t>ΡΑΠΤΟΥ</t>
  </si>
  <si>
    <t>Χ431806</t>
  </si>
  <si>
    <t>Ξ779314</t>
  </si>
  <si>
    <t>ΑΒ876150</t>
  </si>
  <si>
    <t>ΑΕ275579</t>
  </si>
  <si>
    <t>ΚΑΤΣΑΛΙΦΗ</t>
  </si>
  <si>
    <t>ΑΕ981870</t>
  </si>
  <si>
    <t>ΣΤΑΜΑΤΕΛΑΤΟΥ</t>
  </si>
  <si>
    <t>ΑΜΕΡΣΟΥΛΑ</t>
  </si>
  <si>
    <t>ΑΖ259073</t>
  </si>
  <si>
    <t>ΤΣΙΜΠΟΥΚΑ</t>
  </si>
  <si>
    <t>Τ333733</t>
  </si>
  <si>
    <t>ΚΑΡΑΟΓΛΑΝΙΔΟΥ</t>
  </si>
  <si>
    <t>ΑΝ731512</t>
  </si>
  <si>
    <t>ΛΙΑΝΟΥΔΑΚΗ</t>
  </si>
  <si>
    <t>ΑΝ982955</t>
  </si>
  <si>
    <t>ΚΟΝΤΟΒΑ</t>
  </si>
  <si>
    <t>ΑΖ515441</t>
  </si>
  <si>
    <t>Φ359180</t>
  </si>
  <si>
    <t>ΠΑΡΘΕΝΙΟΥ</t>
  </si>
  <si>
    <t>ΑΕ233463</t>
  </si>
  <si>
    <t>ΜΕΛΙΓΟΝΕΡΗ</t>
  </si>
  <si>
    <t>ΚΑΛΟΥΔΑ</t>
  </si>
  <si>
    <t>ΑΟ402006</t>
  </si>
  <si>
    <t>ΠΕΤΣΑΝΙΔΟΥ</t>
  </si>
  <si>
    <t>Χ987995</t>
  </si>
  <si>
    <t>ΚΡΕΤΣΟΥ</t>
  </si>
  <si>
    <t>ΚΑΡΜΕΝ ΜΑΡΙΑΝΑ</t>
  </si>
  <si>
    <t>ΝΙΚΟΥΛΑΕ</t>
  </si>
  <si>
    <t>ΑΝ337356</t>
  </si>
  <si>
    <t>ΓΙΑΝΝΟΥΛΕΑ</t>
  </si>
  <si>
    <t>ΑΚ963576</t>
  </si>
  <si>
    <t>ΡΑΔΟΒΑΛΗΣ</t>
  </si>
  <si>
    <t>ΑΟ566506</t>
  </si>
  <si>
    <t>ΑΝ462162</t>
  </si>
  <si>
    <t>ΑΣΤΕΡΙΝΟΥ</t>
  </si>
  <si>
    <t>ΑΙ285985</t>
  </si>
  <si>
    <t>ΣΤΡΑΤΗΓΗ</t>
  </si>
  <si>
    <t>ΑΜ161157</t>
  </si>
  <si>
    <t>ΑΝΑΣΤΑΣΙΛΑΚΗΣ</t>
  </si>
  <si>
    <t>ΑΗ376789</t>
  </si>
  <si>
    <t>ΟΛΑΝΗ</t>
  </si>
  <si>
    <t>ΝΕΦΕΛΗ ΣΩΤΗΡΙΑ</t>
  </si>
  <si>
    <t>ΑΗ210932</t>
  </si>
  <si>
    <t>Χ409332</t>
  </si>
  <si>
    <t>ΚΑΛΛΙΘΕΑ</t>
  </si>
  <si>
    <t>ΑΝ709370</t>
  </si>
  <si>
    <t>ΑΕ972155</t>
  </si>
  <si>
    <t>ΔΟΥΔΟΥΜΟΠΟΥΛΟΥ</t>
  </si>
  <si>
    <t>ΚΛΑΟΥΝΤΙΑ ΙΩΑΝΝΑ</t>
  </si>
  <si>
    <t>ΑΡ071531</t>
  </si>
  <si>
    <t>ΚΑΛΙΝΗ</t>
  </si>
  <si>
    <t>ΑΝ686552</t>
  </si>
  <si>
    <t>ΜΠΑΚΟΥΝΤΟΥΖΗ</t>
  </si>
  <si>
    <t>Χ498554</t>
  </si>
  <si>
    <t>ΑΒ196197</t>
  </si>
  <si>
    <t>Χ941320</t>
  </si>
  <si>
    <t>ΑΚ815076</t>
  </si>
  <si>
    <t>ΣΚΟΥΛΑ</t>
  </si>
  <si>
    <t>ΑΖ965958</t>
  </si>
  <si>
    <t>ΑΕ853901</t>
  </si>
  <si>
    <t>ΑΝ841288</t>
  </si>
  <si>
    <t>ΑΖ229062</t>
  </si>
  <si>
    <t>ΑΒ628372</t>
  </si>
  <si>
    <t>ΑΠΟΣΤΟΛΑΚΙΔΗ</t>
  </si>
  <si>
    <t>ΑΜ133898</t>
  </si>
  <si>
    <t>Χ559129</t>
  </si>
  <si>
    <t>ΦΑΣΣΟΥ</t>
  </si>
  <si>
    <t>ΑΜ777418</t>
  </si>
  <si>
    <t>ΒΑΛΑΣΚΑ</t>
  </si>
  <si>
    <t>Φ341432</t>
  </si>
  <si>
    <t>ΤΖΙΒΙΕΡΗ</t>
  </si>
  <si>
    <t>ΑΒ073241</t>
  </si>
  <si>
    <t>ΜΠΑΜΠΑΓΙΝΕ</t>
  </si>
  <si>
    <t>ΑΜ484648</t>
  </si>
  <si>
    <t>ΜΟΥΛΙΚΑ</t>
  </si>
  <si>
    <t>ΑΙ178332</t>
  </si>
  <si>
    <t>ΚΑΔΗ</t>
  </si>
  <si>
    <t>ΑΙ077570</t>
  </si>
  <si>
    <t>ΑΖ768305</t>
  </si>
  <si>
    <t>ΑΙ204035</t>
  </si>
  <si>
    <t>ΓΚΟΥΝΤΕΤΣΙΟΥ</t>
  </si>
  <si>
    <t>ΑΕ093534</t>
  </si>
  <si>
    <t>ΑΛΕΒΙΖΑΤΟΥ</t>
  </si>
  <si>
    <t>ΑΝ840196</t>
  </si>
  <si>
    <t>ΑΕ278326</t>
  </si>
  <si>
    <t>ΓΡΑΜΜΑΤΟΓΛΟΥ</t>
  </si>
  <si>
    <t>ΑΝ211195</t>
  </si>
  <si>
    <t>ΑΟ931507</t>
  </si>
  <si>
    <t>ΚΟΖΑΚΑ</t>
  </si>
  <si>
    <t>ΖΑΚΟΥΛΙΝΕ ΑΝΑΧΙΝΤ</t>
  </si>
  <si>
    <t>ΑΕ668365</t>
  </si>
  <si>
    <t>ΒΟΓΔΟΠΟΥΛΟΥ</t>
  </si>
  <si>
    <t>ΑΖ013846</t>
  </si>
  <si>
    <t>ΜΠΑΛΛΗ</t>
  </si>
  <si>
    <t>ΑΒ871485</t>
  </si>
  <si>
    <t>ΑΚ378816</t>
  </si>
  <si>
    <t>ΠΕΡΤΕΣΗ</t>
  </si>
  <si>
    <t>ΑΗ020845</t>
  </si>
  <si>
    <t>ΕΥΓΕΝΕΙΑ</t>
  </si>
  <si>
    <t>ΑΖ943239</t>
  </si>
  <si>
    <t>ΡΟΥΣΟΣ</t>
  </si>
  <si>
    <t>ΔΗΜΗΤΡΙΟΣ ΑΛΕΞΑΝΔΡΟΣ</t>
  </si>
  <si>
    <t>ΑΒ092266</t>
  </si>
  <si>
    <t>ΛΙΑΡΟΣ</t>
  </si>
  <si>
    <t>ΣΩΤΗΡΙΟΣ ΘΕΟΔΩΡΟΣ</t>
  </si>
  <si>
    <t>Χ273557</t>
  </si>
  <si>
    <t>ΑΗ737121</t>
  </si>
  <si>
    <t>ΤΟΦΑ</t>
  </si>
  <si>
    <t>ΑΑ956051</t>
  </si>
  <si>
    <t>ΑΟ432919</t>
  </si>
  <si>
    <t>ΚΟΨΑΧΕΙΛΗ</t>
  </si>
  <si>
    <t>ΑΝ784909</t>
  </si>
  <si>
    <t>ΚΑΡΑΗΛΙΔΗΣ</t>
  </si>
  <si>
    <t>ΑΗ360159</t>
  </si>
  <si>
    <t>ΤΣΙΚΙΤΙΚΟΣ</t>
  </si>
  <si>
    <t>ΑΝ891278</t>
  </si>
  <si>
    <t>ΣΤΑΥΡΙΑΝΟΥΔΑΚΗ</t>
  </si>
  <si>
    <t>ΑΙ960324</t>
  </si>
  <si>
    <t>DIMITROVA</t>
  </si>
  <si>
    <t>VERONIKA</t>
  </si>
  <si>
    <t>DIMCHEVA</t>
  </si>
  <si>
    <t>ΑΟ270802</t>
  </si>
  <si>
    <t>ΜΑΝΑΝΑ</t>
  </si>
  <si>
    <t>ΑΗ978526</t>
  </si>
  <si>
    <t>ΑΗ608475</t>
  </si>
  <si>
    <t>ΚΙΑΟΥΡΤΖΗ</t>
  </si>
  <si>
    <t>ΑΒ475948</t>
  </si>
  <si>
    <t>ΑΑ474708</t>
  </si>
  <si>
    <t>ΑΗ116549</t>
  </si>
  <si>
    <t>ΧΑΣΑΠΗ</t>
  </si>
  <si>
    <t>Α0208275</t>
  </si>
  <si>
    <t>ΠΑΠΑΝΤΩΝΗ</t>
  </si>
  <si>
    <t>ΑΒ491443</t>
  </si>
  <si>
    <t>ΑΡΡΕ</t>
  </si>
  <si>
    <t>ΑΙ400437</t>
  </si>
  <si>
    <t>ΑΙ740153</t>
  </si>
  <si>
    <t>ΓΚΑΜΑ</t>
  </si>
  <si>
    <t>ΑΚ382589</t>
  </si>
  <si>
    <t>ΑΒ698610</t>
  </si>
  <si>
    <t>ΓΚΟΥΝΤΕΛΑΚΗ</t>
  </si>
  <si>
    <t>ΑΚ965884</t>
  </si>
  <si>
    <t>ΑΚ402804</t>
  </si>
  <si>
    <t>ΚΟΝΙΔΑ</t>
  </si>
  <si>
    <t>ΑΟ460436</t>
  </si>
  <si>
    <t>ΜΠΕΑΖΙΔΟΥ</t>
  </si>
  <si>
    <t>ΑΕ334112</t>
  </si>
  <si>
    <t>ΑΟ793693</t>
  </si>
  <si>
    <t>ΑΖ329752</t>
  </si>
  <si>
    <t>ΑΕ014343</t>
  </si>
  <si>
    <t>ΧΡΙΣΤΟΦΟΡΑΚΗΣ</t>
  </si>
  <si>
    <t>ΑΟ970021</t>
  </si>
  <si>
    <t>ΑΚ982352</t>
  </si>
  <si>
    <t>ΣΧΟΥΛΙΔΟΥ</t>
  </si>
  <si>
    <t>ΑΗ473663</t>
  </si>
  <si>
    <t>Χ199204</t>
  </si>
  <si>
    <t>ΑΜ062782</t>
  </si>
  <si>
    <t>ΜΠΑΞΑ</t>
  </si>
  <si>
    <t>ΑΜ014752</t>
  </si>
  <si>
    <t>ΙΣΙΔΩΡΑ ΑΝΝΑ</t>
  </si>
  <si>
    <t>Χ658265</t>
  </si>
  <si>
    <t>ΑΒ112864</t>
  </si>
  <si>
    <t>ΑΗ464262</t>
  </si>
  <si>
    <t>ΑΜ302350</t>
  </si>
  <si>
    <t>ΑΕ905054</t>
  </si>
  <si>
    <t>ΤΟΥΜΠΟΥΛΙΔΗΣ</t>
  </si>
  <si>
    <t>ΑΗ825580</t>
  </si>
  <si>
    <t>Τ010268</t>
  </si>
  <si>
    <t>ΑΟ225272</t>
  </si>
  <si>
    <t>ΔΟΥΛΑΠΤΣΗ</t>
  </si>
  <si>
    <t>ΑΖ589001</t>
  </si>
  <si>
    <t>ΚΟΥΤΣΑΡΗ</t>
  </si>
  <si>
    <t>ΑΗ512351</t>
  </si>
  <si>
    <t>Χ485238</t>
  </si>
  <si>
    <t>ΜΠΑΝΤΗ</t>
  </si>
  <si>
    <t>ΑΗ303544</t>
  </si>
  <si>
    <t>ΧΟΤΖΑ</t>
  </si>
  <si>
    <t>ΑΡΙΛΝΤΑ</t>
  </si>
  <si>
    <t>ΦΕΡΝΤΙ</t>
  </si>
  <si>
    <t>ΑΝ952681</t>
  </si>
  <si>
    <t>ΑΙ784644</t>
  </si>
  <si>
    <t>ΑΖ924315</t>
  </si>
  <si>
    <t>ΑΜ802357</t>
  </si>
  <si>
    <t>ΟΥΤΟΥ</t>
  </si>
  <si>
    <t>ΑΙ297079</t>
  </si>
  <si>
    <t>ΚΥΡΙΑΚΑΚΟΥ</t>
  </si>
  <si>
    <t>ΑΟ057352</t>
  </si>
  <si>
    <t>ΠΑΝΕΡΑ</t>
  </si>
  <si>
    <t>ΕΦΡΑΙΜΙΑ</t>
  </si>
  <si>
    <t>ΑΒ086190</t>
  </si>
  <si>
    <t>ΤΣΙΜΠΟΛΗ</t>
  </si>
  <si>
    <t>ΑΒ424016</t>
  </si>
  <si>
    <t>ΑΖ224744</t>
  </si>
  <si>
    <t>ΜΕΝΗ</t>
  </si>
  <si>
    <t>ΑΥΓΟΥΣΤΙΝΟΣ</t>
  </si>
  <si>
    <t>ΑΖ437343</t>
  </si>
  <si>
    <t>ΚΑΡΑΤΖΙΩΤΟΥ</t>
  </si>
  <si>
    <t>ΑΑ385426</t>
  </si>
  <si>
    <t>ΦΡΑΓΚΙΑΔΟΥΛΑΚΗΣ</t>
  </si>
  <si>
    <t>ΑΝ458635</t>
  </si>
  <si>
    <t>ΚΑΠΕΛΗ</t>
  </si>
  <si>
    <t>ΑΖ245249</t>
  </si>
  <si>
    <t>ΑΑ374167</t>
  </si>
  <si>
    <t>ΑΜΑΣΙΑΔΗ</t>
  </si>
  <si>
    <t>ΑΗ708683</t>
  </si>
  <si>
    <t>Φ201792</t>
  </si>
  <si>
    <t>ΖΟΥΜΗ</t>
  </si>
  <si>
    <t>ΑΗ435444</t>
  </si>
  <si>
    <t>Χ791363</t>
  </si>
  <si>
    <t>ΓΙΓΗ</t>
  </si>
  <si>
    <t>Σ134819</t>
  </si>
  <si>
    <t>ΦΟΥΣΤΕΡΗ</t>
  </si>
  <si>
    <t>ΑΟ456447</t>
  </si>
  <si>
    <t>ΑΚ133544</t>
  </si>
  <si>
    <t>ΜΟΥΚΑΣ</t>
  </si>
  <si>
    <t>ΑΗ801160</t>
  </si>
  <si>
    <t>ΑΒ834754</t>
  </si>
  <si>
    <t>ΖΑΦΕΙΡΟΥΛΗΣ</t>
  </si>
  <si>
    <t>ΑΜ814916</t>
  </si>
  <si>
    <t>ΑΝ781045</t>
  </si>
  <si>
    <t>ΚΑΛΑΜΠΑΚΑ</t>
  </si>
  <si>
    <t>ΜΑΥΡΟΚΕΦΑΛΟΥ</t>
  </si>
  <si>
    <t>ΑΝ950194</t>
  </si>
  <si>
    <t>ΤΕΡΖΑΚΗ</t>
  </si>
  <si>
    <t>ΑΜ513652</t>
  </si>
  <si>
    <t>Χ379910</t>
  </si>
  <si>
    <t>ΚΑΡΔΑΜΑΤΗΣ</t>
  </si>
  <si>
    <t>ΑΖ699322</t>
  </si>
  <si>
    <t>ΑΒ884601</t>
  </si>
  <si>
    <t>ΚΟΛΙΝΤΖΙΚΗ</t>
  </si>
  <si>
    <t>ΑΟ408330</t>
  </si>
  <si>
    <t>ΠΑΝΑΓΙΩΤΑ ΙΩΑΝΝΑ</t>
  </si>
  <si>
    <t>Χ276794</t>
  </si>
  <si>
    <t>ΠΕΓΓΛΙΔΟΥ</t>
  </si>
  <si>
    <t>ΑΜ401149</t>
  </si>
  <si>
    <t>ΑΕ930512</t>
  </si>
  <si>
    <t>ΣΤΑΥΡΑΚΟΥ</t>
  </si>
  <si>
    <t>ΑΗ993740</t>
  </si>
  <si>
    <t>ΓΚΙΑΤΑΣ</t>
  </si>
  <si>
    <t>ΑΚ431789</t>
  </si>
  <si>
    <t>ΑΖ193935</t>
  </si>
  <si>
    <t>ΑΛΕΒΙΖΟΠΟΥΛΟΥ</t>
  </si>
  <si>
    <t>ΑΑ084855</t>
  </si>
  <si>
    <t>ΜΑΝΑΦΑΣ</t>
  </si>
  <si>
    <t>ΑΜ401963</t>
  </si>
  <si>
    <t>ΜΑΥΡΟΜΑΤΑΚΗ</t>
  </si>
  <si>
    <t>ΜΙΚΑΕΛΑ</t>
  </si>
  <si>
    <t>ΑΗ970091</t>
  </si>
  <si>
    <t>ΑΖ786711</t>
  </si>
  <si>
    <t>Ρ179538</t>
  </si>
  <si>
    <t>ΧΟΡΤΑΡΙΑ</t>
  </si>
  <si>
    <t>Χ424628</t>
  </si>
  <si>
    <t>ΚΟΥΤΣΙΟΥ</t>
  </si>
  <si>
    <t>Χ842961</t>
  </si>
  <si>
    <t>ΒΕΝΕΚΑ</t>
  </si>
  <si>
    <t>ΑΡ289187</t>
  </si>
  <si>
    <t>ΔΗΜΟΦΙΛΟΣ</t>
  </si>
  <si>
    <t>ΑΖ052996</t>
  </si>
  <si>
    <t>Χ470785</t>
  </si>
  <si>
    <t>ΑΕ269205</t>
  </si>
  <si>
    <t>ΑΗ248792</t>
  </si>
  <si>
    <t>ΑΙ815018</t>
  </si>
  <si>
    <t>ΚΟΥΝΤΟΥΡΗ</t>
  </si>
  <si>
    <t>ΑΙ940464</t>
  </si>
  <si>
    <t>Σ840113</t>
  </si>
  <si>
    <t>Χ960118</t>
  </si>
  <si>
    <t>ΓΚΑΓΚΟΥΤΣΑ</t>
  </si>
  <si>
    <t>Χ992459</t>
  </si>
  <si>
    <t>ΓΚΟΥΡΟΜΠΙΝΟΥ</t>
  </si>
  <si>
    <t>Σ920466</t>
  </si>
  <si>
    <t>ΑΖ785789</t>
  </si>
  <si>
    <t>ΑΙ811794</t>
  </si>
  <si>
    <t>ΓΚΕΚΑ</t>
  </si>
  <si>
    <t>ΑΙ285642</t>
  </si>
  <si>
    <t>ΑΖ249842</t>
  </si>
  <si>
    <t>Χ835065</t>
  </si>
  <si>
    <t>ΜΑΝΔΕΛΕΝΑΚΗ</t>
  </si>
  <si>
    <t>Χ850667</t>
  </si>
  <si>
    <t>ΜΙΧΑΣ</t>
  </si>
  <si>
    <t>ΑΗ532653</t>
  </si>
  <si>
    <t>ΑΚ375226</t>
  </si>
  <si>
    <t>Χ811513</t>
  </si>
  <si>
    <t>ΑΙ896810</t>
  </si>
  <si>
    <t xml:space="preserve">ΤΗΛΕΜΑΧΟΥ </t>
  </si>
  <si>
    <t>Χ506277</t>
  </si>
  <si>
    <t>ΑΟ118814</t>
  </si>
  <si>
    <t>ΠΛΕΣΙΤΗ</t>
  </si>
  <si>
    <t>ΑΕ755485</t>
  </si>
  <si>
    <t>ΣΑΙΤΑΝΗ</t>
  </si>
  <si>
    <t>ΑΖ121107</t>
  </si>
  <si>
    <t>ΑΝ290133</t>
  </si>
  <si>
    <t>ΚΟΥΚΟΥΒΕΛΗ</t>
  </si>
  <si>
    <t>ΑΗ605702</t>
  </si>
  <si>
    <t>ΑΖ964393</t>
  </si>
  <si>
    <t>Χ377763</t>
  </si>
  <si>
    <t>Χ919823</t>
  </si>
  <si>
    <t>ΚΛΕΛΛΗ</t>
  </si>
  <si>
    <t>ΑΖ432063</t>
  </si>
  <si>
    <t>ΡΕΣΗΤ</t>
  </si>
  <si>
    <t>ΙΣΜΑΗΛ</t>
  </si>
  <si>
    <t>ΜΕΜΕΤ</t>
  </si>
  <si>
    <t>ΑΙ383716</t>
  </si>
  <si>
    <t>ΡΑΝΙΟΥ</t>
  </si>
  <si>
    <t>Χ173373</t>
  </si>
  <si>
    <t>ΔΗΜΗΤΡΑΚΕ</t>
  </si>
  <si>
    <t>ΑΖ881336</t>
  </si>
  <si>
    <t>ΜΠΙΣΤΟΛΑ</t>
  </si>
  <si>
    <t>ΠΗΝΙΩ</t>
  </si>
  <si>
    <t>Χ842180</t>
  </si>
  <si>
    <t>Χ301131</t>
  </si>
  <si>
    <t>ΧΩΜΑΤΑ</t>
  </si>
  <si>
    <t>ΑΜ453654</t>
  </si>
  <si>
    <t>ΑΝ867295</t>
  </si>
  <si>
    <t>ΑΝ833679</t>
  </si>
  <si>
    <t>ΤΣΙΑΝΤΑ</t>
  </si>
  <si>
    <t>ΑΕ281700</t>
  </si>
  <si>
    <t>ΑΖ142455</t>
  </si>
  <si>
    <t>ΜΕΛΛΙΔΟΥ</t>
  </si>
  <si>
    <t>ΑΙ873347</t>
  </si>
  <si>
    <t>ΛΕΛΕΚΗΣ</t>
  </si>
  <si>
    <t>Σ829471</t>
  </si>
  <si>
    <t>ΣΚΕΥΟΦΥΛΑΞ</t>
  </si>
  <si>
    <t>ΑΑ344796</t>
  </si>
  <si>
    <t>ΑΖ899385</t>
  </si>
  <si>
    <t>ΓΕΡΟΝΤΙΤΟΥ</t>
  </si>
  <si>
    <t>ΑΕ482213</t>
  </si>
  <si>
    <t>ΑΝ664399</t>
  </si>
  <si>
    <t>ΤΕΓΟΣ</t>
  </si>
  <si>
    <t>ΑΗ101912</t>
  </si>
  <si>
    <t>ΤΣΙΡΙΓΩΤΗΣ ΤΖΙΑΡΑΣ</t>
  </si>
  <si>
    <t>ΑΗ198650</t>
  </si>
  <si>
    <t>ΒΙΓΛΗ</t>
  </si>
  <si>
    <t>Χ984590</t>
  </si>
  <si>
    <t>ΝΤΑΝΤΟΥ</t>
  </si>
  <si>
    <t>ΒΑΙΑ ΑΝΑΣΤΑΣΙΑ</t>
  </si>
  <si>
    <t>Χ815448</t>
  </si>
  <si>
    <t>Χ911162</t>
  </si>
  <si>
    <t>ΑΖ972695</t>
  </si>
  <si>
    <t>ΚΤΙΣΤΑΚΗΣ</t>
  </si>
  <si>
    <t>ΑΟ786621</t>
  </si>
  <si>
    <t>ΑΒ664439</t>
  </si>
  <si>
    <t>ΜΑΥΡΟΥ</t>
  </si>
  <si>
    <t>Σ903492</t>
  </si>
  <si>
    <t>ΔΑΛΑΓΚΟΖΗ</t>
  </si>
  <si>
    <t>ΑΟ778858</t>
  </si>
  <si>
    <t>ΑΙ241044</t>
  </si>
  <si>
    <t>ΤΣΑΜΠΡΙΝΟΥ</t>
  </si>
  <si>
    <t>Φ241472</t>
  </si>
  <si>
    <t>ΚΟΝΤΟΥΔΗ</t>
  </si>
  <si>
    <t>ΑΙ260054</t>
  </si>
  <si>
    <t>ΝΑΝΝΟΥ</t>
  </si>
  <si>
    <t>Χ119755</t>
  </si>
  <si>
    <t>ΚΟΥΡΛΟΥ</t>
  </si>
  <si>
    <t>ΑΙ215772</t>
  </si>
  <si>
    <t>ΟΣΜΑΝ</t>
  </si>
  <si>
    <t>ΣΕΔΕΦ</t>
  </si>
  <si>
    <t>ΝΕΤΖΗΠ</t>
  </si>
  <si>
    <t>ΑΗ410639</t>
  </si>
  <si>
    <t>ΤΣΙΟΥΚΗ</t>
  </si>
  <si>
    <t>ΧΡΥΣΟΒΑΛΑΝΤΟΥ ΤΑΤΑΝΙ</t>
  </si>
  <si>
    <t>ΑΝ429349</t>
  </si>
  <si>
    <t>ΑΒ767331</t>
  </si>
  <si>
    <t>ΑΙ844479</t>
  </si>
  <si>
    <t>ΑΖ960484</t>
  </si>
  <si>
    <t>ΜΠΙΑΛΑ</t>
  </si>
  <si>
    <t>ΑΚ425631</t>
  </si>
  <si>
    <t>ΚΟΡΤΙΚΗ</t>
  </si>
  <si>
    <t>ΑΟ578237</t>
  </si>
  <si>
    <t>ΤΣΕΒΡΕΜΗ</t>
  </si>
  <si>
    <t>ΑΡ283524</t>
  </si>
  <si>
    <t>ΔΟΥΒΑΛΕΤΑ</t>
  </si>
  <si>
    <t>ΑΕ934134</t>
  </si>
  <si>
    <t>ΑΗ291657</t>
  </si>
  <si>
    <t>ΑΜ391399</t>
  </si>
  <si>
    <t>ΑΖ761599</t>
  </si>
  <si>
    <t>ΑΗ957504</t>
  </si>
  <si>
    <t>ΑΟ743798</t>
  </si>
  <si>
    <t>ΑΕ115488</t>
  </si>
  <si>
    <t>ΑΛΕΒΙΖΑΚΟΣ</t>
  </si>
  <si>
    <t>ΑΝ548531</t>
  </si>
  <si>
    <t>ΑΡΧΟΝΤΟΥΛΑ ΔΕΣΠΟΙΝΑ</t>
  </si>
  <si>
    <t>ΑΚ483014</t>
  </si>
  <si>
    <t>ΤΖΙΝΗ</t>
  </si>
  <si>
    <t>Χ919348</t>
  </si>
  <si>
    <t>ΧΑΛΑΜΠΑΛΑΚΗ</t>
  </si>
  <si>
    <t>ΑΙ444580</t>
  </si>
  <si>
    <t>ΑΒ073100</t>
  </si>
  <si>
    <t>ΧΩΡΑΦΑ</t>
  </si>
  <si>
    <t>Ξ387888</t>
  </si>
  <si>
    <t>ΤΑΒΕΡΝΑΡΑΚΗ</t>
  </si>
  <si>
    <t>ΑΗ457033</t>
  </si>
  <si>
    <t>ΦΛΩΡΑΚΗ</t>
  </si>
  <si>
    <t>ΑΗ073491</t>
  </si>
  <si>
    <t>ΑΙ766014</t>
  </si>
  <si>
    <t>ΚΑΛΑΜΠΟΚΑ</t>
  </si>
  <si>
    <t>ΒΕΡΟΝΙΚΑ</t>
  </si>
  <si>
    <t>ΑΙ250759</t>
  </si>
  <si>
    <t>ΚΙΟΡΟΓΛΑΝΙΔΟΥ</t>
  </si>
  <si>
    <t>ΑΖ416535</t>
  </si>
  <si>
    <t>ΑΙ350314</t>
  </si>
  <si>
    <t>ΠΑΠΑΗΛΙΟΥ</t>
  </si>
  <si>
    <t>ΑΖ579200</t>
  </si>
  <si>
    <t>ΜΠΑΜΠΟΥ</t>
  </si>
  <si>
    <t>ΑΜ882586</t>
  </si>
  <si>
    <t>Τ966804</t>
  </si>
  <si>
    <t>ΑΟ984782</t>
  </si>
  <si>
    <t>ΑΙ384158</t>
  </si>
  <si>
    <t>ΧΡΑΠΑ</t>
  </si>
  <si>
    <t>ΑΙ738653</t>
  </si>
  <si>
    <t>ΜΑΛΛΙΩΤΑΚΗΣ</t>
  </si>
  <si>
    <t>ΑΙ456446</t>
  </si>
  <si>
    <t>Χ338080</t>
  </si>
  <si>
    <t>ΑΙ776551</t>
  </si>
  <si>
    <t>ΤΣΕΡΦΩΛΙΑ</t>
  </si>
  <si>
    <t>Χ334439</t>
  </si>
  <si>
    <t>ΚΙΟΣΣΕ</t>
  </si>
  <si>
    <t>ΑΕ919495</t>
  </si>
  <si>
    <t>ΑΡ271502</t>
  </si>
  <si>
    <t>ΓΟΥΡΝΙΕΖΑΚΗ</t>
  </si>
  <si>
    <t>Φ249977</t>
  </si>
  <si>
    <t>ΑΟ932749</t>
  </si>
  <si>
    <t>ΒΟΥΖΙΟΥ</t>
  </si>
  <si>
    <t>ΑΗ680298</t>
  </si>
  <si>
    <t>ΑΒ028203</t>
  </si>
  <si>
    <t>ΑΖ149098</t>
  </si>
  <si>
    <t>ΣΠΗΛΙΟΥ</t>
  </si>
  <si>
    <t>Τ259119</t>
  </si>
  <si>
    <t>ΑΑ412440</t>
  </si>
  <si>
    <t>ΨΑΡΟΥΔΑΚΗ</t>
  </si>
  <si>
    <t>Τ334666</t>
  </si>
  <si>
    <t>ΑΖ729812</t>
  </si>
  <si>
    <t>ΑΒ626218</t>
  </si>
  <si>
    <t>ΑΑ458697</t>
  </si>
  <si>
    <t>ΑΙ665166</t>
  </si>
  <si>
    <t>ΒΟΝΤΙΤΣΑ</t>
  </si>
  <si>
    <t>ΑΖ748942</t>
  </si>
  <si>
    <t>ΚΑΝΟΥΤΑ</t>
  </si>
  <si>
    <t>ΑΙ292083</t>
  </si>
  <si>
    <t>ΔΟΙΔΟΥ</t>
  </si>
  <si>
    <t>ΑΡ403254</t>
  </si>
  <si>
    <t>ΧΟΝΤΟΥ</t>
  </si>
  <si>
    <t>ΑΒ554976</t>
  </si>
  <si>
    <t>ΚΟΚΚΙΝΙΔΟΥ</t>
  </si>
  <si>
    <t>ΑΜ430450</t>
  </si>
  <si>
    <t>ΜΩΡΑΚΗ</t>
  </si>
  <si>
    <t>ΑΜ108446</t>
  </si>
  <si>
    <t>ΑΕ345854</t>
  </si>
  <si>
    <t>ΑΟ344004</t>
  </si>
  <si>
    <t>ΑΜ221315</t>
  </si>
  <si>
    <t>ΚΑΤΟΠΗ</t>
  </si>
  <si>
    <t>Χ982627</t>
  </si>
  <si>
    <t>ΑΜ774941</t>
  </si>
  <si>
    <t>ΣΟΛΩΜΟΥ</t>
  </si>
  <si>
    <t>ΑΗ705098</t>
  </si>
  <si>
    <t>ΤΑΧΙΡΑΙ</t>
  </si>
  <si>
    <t>ΝΤΑΝΙΕΛΑ</t>
  </si>
  <si>
    <t>ΚΑΣΤΡΙΟΤ</t>
  </si>
  <si>
    <t>ΑΜ333267</t>
  </si>
  <si>
    <t>ΠΕΤΡΟΥΛΗ</t>
  </si>
  <si>
    <t>Χ412069</t>
  </si>
  <si>
    <t>ΜΠΕΡΕΔΗΜΑ</t>
  </si>
  <si>
    <t>ΔΑΦΝΗ ΑΘΗΝΑ</t>
  </si>
  <si>
    <t>ΑΜ565818</t>
  </si>
  <si>
    <t>ΑΜ603740</t>
  </si>
  <si>
    <t>ΤΣΙΑΒΟΥ</t>
  </si>
  <si>
    <t>ΑΚ490828</t>
  </si>
  <si>
    <t>ΑΙ048695</t>
  </si>
  <si>
    <t>ΑΖ406441</t>
  </si>
  <si>
    <t>ΑΟ312742</t>
  </si>
  <si>
    <t>ΣΦΕΤΣΙΑ</t>
  </si>
  <si>
    <t>ΚΩΝΣΤΑΝΤΙΝΙΑ ΕΙΡΗΝΗ</t>
  </si>
  <si>
    <t>ΑΜ836829</t>
  </si>
  <si>
    <t>ΚΟΥΤΡΟΜΠΗ</t>
  </si>
  <si>
    <t>ΑΕ789580</t>
  </si>
  <si>
    <t>ΜΙΧΩΛΟΥ</t>
  </si>
  <si>
    <t>ΑΙ885070</t>
  </si>
  <si>
    <t>ΑΒ244057</t>
  </si>
  <si>
    <t>ΑΗ145921</t>
  </si>
  <si>
    <t>ΤΡΥΦΑΙΝΑ</t>
  </si>
  <si>
    <t>ΑΖ719824</t>
  </si>
  <si>
    <t>ΑΖ825631</t>
  </si>
  <si>
    <t>ΑΑ311076</t>
  </si>
  <si>
    <t>ΑΝ706865</t>
  </si>
  <si>
    <t>ΚΟΥΛΟΥΡΑ</t>
  </si>
  <si>
    <t>ΑΙ213636</t>
  </si>
  <si>
    <t>ΑΗ350412</t>
  </si>
  <si>
    <t>ΑΕ282696</t>
  </si>
  <si>
    <t>ΒΟΓΚΛΗ</t>
  </si>
  <si>
    <t>ΑΕ270704</t>
  </si>
  <si>
    <t>ΤΖΑΝΕΤΕΑ</t>
  </si>
  <si>
    <t>ΠΑΝΑΓΙΩΤΑ ΠΑΝΑΓΟΥΛΑ</t>
  </si>
  <si>
    <t>ΑΝ978278</t>
  </si>
  <si>
    <t xml:space="preserve">ΕΥΘΥΜΙΑ </t>
  </si>
  <si>
    <t>ΑΙ725462</t>
  </si>
  <si>
    <t>ΑΒ338942</t>
  </si>
  <si>
    <t>ΠΑΝΑΡΑ</t>
  </si>
  <si>
    <t>ΑΖ273310</t>
  </si>
  <si>
    <t>ΣΚΟΥΛΙΚΑ</t>
  </si>
  <si>
    <t>ΑΑ379575</t>
  </si>
  <si>
    <t>ΕΥΑΓΓΕΛΙΑ ΜΑΓΔΑΛΗΝΗ</t>
  </si>
  <si>
    <t>ΑΙ432440</t>
  </si>
  <si>
    <t>ΚΑΡΑΜΟΥΣΛΗΣ</t>
  </si>
  <si>
    <t>ΑΟ390889</t>
  </si>
  <si>
    <t>ΑΗ429197</t>
  </si>
  <si>
    <t>ΑΙ333786</t>
  </si>
  <si>
    <t>ΜΙΚΡΟΠΟΥΛΟΥ</t>
  </si>
  <si>
    <t>ΑΝ218103</t>
  </si>
  <si>
    <t>ΖΑΧΑΡΑΚΟΠΟΥΛΟΥ</t>
  </si>
  <si>
    <t>ΑΗ682196</t>
  </si>
  <si>
    <t>ΑΗ426857</t>
  </si>
  <si>
    <t>ΑΕ293301</t>
  </si>
  <si>
    <t>ΓΙΑΝΝΙΔΟΥ</t>
  </si>
  <si>
    <t>ΑΜ724342</t>
  </si>
  <si>
    <t>ΤΡΑΚΑ</t>
  </si>
  <si>
    <t>ΑΟ984731</t>
  </si>
  <si>
    <t>ΑΕ866431</t>
  </si>
  <si>
    <t>ΑΙ188282</t>
  </si>
  <si>
    <t>ΤΣΑΚΝΑΚΗ</t>
  </si>
  <si>
    <t>ΑΗ817831</t>
  </si>
  <si>
    <t>ΚΑΡΝΑΧΩΡΙΤΗ</t>
  </si>
  <si>
    <t>ΑΗ237446</t>
  </si>
  <si>
    <t>ΜΟΥΛΟΠΟΥΛΟΣ</t>
  </si>
  <si>
    <t>Χ898737</t>
  </si>
  <si>
    <t>ΦΑΝΤΑΟΥΤΣΑΚΗ</t>
  </si>
  <si>
    <t>ΑΙ637936</t>
  </si>
  <si>
    <t>Ρ284899</t>
  </si>
  <si>
    <t>ΖΑΡΑΡΗ</t>
  </si>
  <si>
    <t>ΑΗ445499</t>
  </si>
  <si>
    <t>ΑΙ253286</t>
  </si>
  <si>
    <t>ΑΗ811297</t>
  </si>
  <si>
    <t>ΠΙΤΙΛΑΚΟΣ</t>
  </si>
  <si>
    <t>ΑΕ822159</t>
  </si>
  <si>
    <t>ΚΑΤΡΗΣ</t>
  </si>
  <si>
    <t>ΑΕ771578</t>
  </si>
  <si>
    <t>ΚΑΡΑΠΑ</t>
  </si>
  <si>
    <t>ΑΗ378246</t>
  </si>
  <si>
    <t>ΚΑΡΑΠΑΝΑΓΙΩΤΗ</t>
  </si>
  <si>
    <t>ΑΗ589619</t>
  </si>
  <si>
    <t>ΑΒ488085</t>
  </si>
  <si>
    <t>ΑΙ261098</t>
  </si>
  <si>
    <t>ΚΑΡΠΟΥΖΑ</t>
  </si>
  <si>
    <t>ΑΜ822680</t>
  </si>
  <si>
    <t>ΑΙ730924</t>
  </si>
  <si>
    <t>ΑΚ981221</t>
  </si>
  <si>
    <t>ΑΕ719725</t>
  </si>
  <si>
    <t>ΑΚ493743</t>
  </si>
  <si>
    <t>ΘΑΣΙΤΗ</t>
  </si>
  <si>
    <t>ΑΝ251386</t>
  </si>
  <si>
    <t>ΚΟΥΖΙΟΥ</t>
  </si>
  <si>
    <t>ΑΜ303674</t>
  </si>
  <si>
    <t>ΑΖ519620</t>
  </si>
  <si>
    <t>ΚΟΥΜΑΡΟΠΟΥΛΟΥ</t>
  </si>
  <si>
    <t>ΑΒ331144</t>
  </si>
  <si>
    <t>ΚΟΥΤΣΟΥΡΟΥΜΠΑ</t>
  </si>
  <si>
    <t>ΑΖ772798</t>
  </si>
  <si>
    <t>ΑΜ774010</t>
  </si>
  <si>
    <t>ΒΕΛΙΑΝΗ</t>
  </si>
  <si>
    <t>ΑΚ326828</t>
  </si>
  <si>
    <t>ΑΟ933933</t>
  </si>
  <si>
    <t>ΑΕ051721</t>
  </si>
  <si>
    <t>ΑΟ786997</t>
  </si>
  <si>
    <t>ΑΗ800942</t>
  </si>
  <si>
    <t>ΤΣΙΟΥΜΠΡΗ</t>
  </si>
  <si>
    <t>ΑΗ035579</t>
  </si>
  <si>
    <t>ΑΕ237041</t>
  </si>
  <si>
    <t>ΤΡΙΓΩΝΗ</t>
  </si>
  <si>
    <t>ΧΡΥΣΟΥΛΑ ΜΑΡΙΑ</t>
  </si>
  <si>
    <t>ΑΗ461748</t>
  </si>
  <si>
    <t>ΑΙ210708</t>
  </si>
  <si>
    <t>ΕΥΔΟΞΙ</t>
  </si>
  <si>
    <t>ΑΚ574167</t>
  </si>
  <si>
    <t>ΠΙΤΣΙΟΥ</t>
  </si>
  <si>
    <t>ΑΒ829407</t>
  </si>
  <si>
    <t>ΜΠΑΤΟΥ</t>
  </si>
  <si>
    <t>ΑΖ638474</t>
  </si>
  <si>
    <t>ΑΕ345508</t>
  </si>
  <si>
    <t>ΚΑΣΙΔΙΑΡΗ</t>
  </si>
  <si>
    <t>ΑΒ391608</t>
  </si>
  <si>
    <t>ΚΟΜΙΝΗΣ</t>
  </si>
  <si>
    <t>ΑΝ497808</t>
  </si>
  <si>
    <t>ΑΗ212546</t>
  </si>
  <si>
    <t>ΚΟΤΖΑΙΤΣΗΣ</t>
  </si>
  <si>
    <t>ΑΗ290327</t>
  </si>
  <si>
    <t>ΚΥΒΕΤΟΥ</t>
  </si>
  <si>
    <t>ΑΗ261889</t>
  </si>
  <si>
    <t>ΚΩΝΣΤΑΝΤΙΝΑ ΕΥΓΕΝΙΑ</t>
  </si>
  <si>
    <t>ΑΕ719594</t>
  </si>
  <si>
    <t>ΜΗΤΚΑ</t>
  </si>
  <si>
    <t>ΑΜ395223</t>
  </si>
  <si>
    <t>ΑΙ948786</t>
  </si>
  <si>
    <t>ΠΛΑΤΩΝΗ</t>
  </si>
  <si>
    <t>Χ877291</t>
  </si>
  <si>
    <t>ΑΙ227867</t>
  </si>
  <si>
    <t>ΚΟΥΤΣΟΥΠΙΑ</t>
  </si>
  <si>
    <t>Χ776941</t>
  </si>
  <si>
    <t>ΑΖ299816</t>
  </si>
  <si>
    <t>Τ106094</t>
  </si>
  <si>
    <t>ΚΥΡΙΑΖΟΣ</t>
  </si>
  <si>
    <t>ΑΙ280110</t>
  </si>
  <si>
    <t>ΜΑΣΤΟΡΑΚΗΣ</t>
  </si>
  <si>
    <t>ΑΜ466779</t>
  </si>
  <si>
    <t>Χ118526</t>
  </si>
  <si>
    <t>ΑΕ220996</t>
  </si>
  <si>
    <t>ΑΗ765038</t>
  </si>
  <si>
    <t>ΚΑΝΑΡΑ</t>
  </si>
  <si>
    <t>ΑΙ482056</t>
  </si>
  <si>
    <t>Χ911694</t>
  </si>
  <si>
    <t>ΜΠΟΤΑΙΤΗ</t>
  </si>
  <si>
    <t>ΑΙ243840</t>
  </si>
  <si>
    <t>ΤΣΟΛΕΡΙΔΗ</t>
  </si>
  <si>
    <t>ΑΗ740575</t>
  </si>
  <si>
    <t>Σ491096</t>
  </si>
  <si>
    <t>ΜΟΛΟΧΑΣ</t>
  </si>
  <si>
    <t>ΑΖ009402</t>
  </si>
  <si>
    <t>Χ474950</t>
  </si>
  <si>
    <t>ΜΑΣΑΝΟΒΙΤΣ</t>
  </si>
  <si>
    <t>ΒΙΡΓΙΝΙΑ ΑΝΝΑ</t>
  </si>
  <si>
    <t>ΑΟ550285</t>
  </si>
  <si>
    <t>ΜΠΙΡΜΠΙΛΗ</t>
  </si>
  <si>
    <t>ΕΥΑΓΓΕΛΙΑ ΜΑ</t>
  </si>
  <si>
    <t>ΑΗ350113</t>
  </si>
  <si>
    <t>ΜΕΡΤΟΓΛΟΥ</t>
  </si>
  <si>
    <t>ΗΡΑΚΛΗΣ ΑΝΑΣΤΑΣΙΟΣ</t>
  </si>
  <si>
    <t>ΑΜ527808</t>
  </si>
  <si>
    <t>Χ735357</t>
  </si>
  <si>
    <t>ΧΑΛΑΡΗ</t>
  </si>
  <si>
    <t>ΑΙ515889</t>
  </si>
  <si>
    <t>ΑΗ256365</t>
  </si>
  <si>
    <t>Τ396634</t>
  </si>
  <si>
    <t>ΑΜ037764</t>
  </si>
  <si>
    <t>ΑΗ049546</t>
  </si>
  <si>
    <t>ΚΑΛΟΥΔΗΣ</t>
  </si>
  <si>
    <t>ΖΕΡΑΡ</t>
  </si>
  <si>
    <t>Φ488011</t>
  </si>
  <si>
    <t>ΣΙΑΧΑΜΗΣ</t>
  </si>
  <si>
    <t>ΑΜ572060</t>
  </si>
  <si>
    <t>ΝΤΕΝΤΟΠΟΥΛΟΥ</t>
  </si>
  <si>
    <t>ΑΡ220632</t>
  </si>
  <si>
    <t>ΠΑΝΤΑΖΗΣ</t>
  </si>
  <si>
    <t>ΑΒ133709</t>
  </si>
  <si>
    <t>ΑΑ313146</t>
  </si>
  <si>
    <t>ΑΗ263939</t>
  </si>
  <si>
    <t>ΚΙΚΑ</t>
  </si>
  <si>
    <t>ΑΕ855422</t>
  </si>
  <si>
    <t>Χ686118</t>
  </si>
  <si>
    <t>ΑΜ110013</t>
  </si>
  <si>
    <t>ΚΟΝΔΥΛΟΠΟΥΛΟΥ</t>
  </si>
  <si>
    <t>ΑΝ645254</t>
  </si>
  <si>
    <t>ΜΑΛΛΗ</t>
  </si>
  <si>
    <t>ΑΗ546448</t>
  </si>
  <si>
    <t>ΠΥΛΙΟΥ</t>
  </si>
  <si>
    <t>ΑΝΑΣΤΑΣΗΣ</t>
  </si>
  <si>
    <t>ΑΖ566447</t>
  </si>
  <si>
    <t>ΑΓΑΘΟΚΛΕΟΥΣ</t>
  </si>
  <si>
    <t>ΑΒ662839</t>
  </si>
  <si>
    <t>ΑΝ690961</t>
  </si>
  <si>
    <t>ΜΠΕΤΣΙΟΥ</t>
  </si>
  <si>
    <t>ΠΟΛΥΧΡΟΝΙΟΣ</t>
  </si>
  <si>
    <t>ΑΖ198588</t>
  </si>
  <si>
    <t>ΚΑΖΝΕΣΗ</t>
  </si>
  <si>
    <t>ΣΩΤΗΡΙΑ ΣΤΥΛΙΑΝΗ</t>
  </si>
  <si>
    <t>ΑΗ781455</t>
  </si>
  <si>
    <t>ΚΑΣΙΑΡΑ</t>
  </si>
  <si>
    <t>ΑΗ381635</t>
  </si>
  <si>
    <t>ΑΝ073734</t>
  </si>
  <si>
    <t>ΔΗΜΗΤΡΑ ΑΜΑΛΙΑ</t>
  </si>
  <si>
    <t>ΑΙ081086</t>
  </si>
  <si>
    <t>ΑΜ414666</t>
  </si>
  <si>
    <t>ΘΑΝΟΣ</t>
  </si>
  <si>
    <t>ΑΜ282609</t>
  </si>
  <si>
    <t>ΑΑ305091</t>
  </si>
  <si>
    <t>ΑΙ382676</t>
  </si>
  <si>
    <t>ΧΡΙΣΤΑΚΟΓΛΟΥ</t>
  </si>
  <si>
    <t>ΑΕ178911</t>
  </si>
  <si>
    <t>ΒΑΛΕΡΓΑΚΗΣ</t>
  </si>
  <si>
    <t>ΑΜ915477</t>
  </si>
  <si>
    <t>ΣΕΛΕΜΙΔΗΣ</t>
  </si>
  <si>
    <t>ΑΝ900654</t>
  </si>
  <si>
    <t>ΑΕ312990</t>
  </si>
  <si>
    <t>ΑΧΥΡΑΚΗ</t>
  </si>
  <si>
    <t>ΑΟ160502</t>
  </si>
  <si>
    <t>Χ993300</t>
  </si>
  <si>
    <t>ΑΟ764391</t>
  </si>
  <si>
    <t>ΑΜ158293</t>
  </si>
  <si>
    <t>ΕΥΑΓΓΕΛΙΑ ΟΛΓΑ</t>
  </si>
  <si>
    <t>ΑΜ476848</t>
  </si>
  <si>
    <t>ΑΚ892831</t>
  </si>
  <si>
    <t>ΠΕΤΚΟΓΛΟΥ</t>
  </si>
  <si>
    <t>ΑΒ747207</t>
  </si>
  <si>
    <t>ΦΟΥΓΙΑ</t>
  </si>
  <si>
    <t>ΑΝ507500</t>
  </si>
  <si>
    <t>ΚΩΣΤΑΛΑ</t>
  </si>
  <si>
    <t>ΑΙ412915</t>
  </si>
  <si>
    <t>ΑΡΜΕΝΟΠΟΥΛΟΣ</t>
  </si>
  <si>
    <t>ΝΙΚΟΛΑΟΣ ΒΟΝΙΦΑΤΙΟΣ</t>
  </si>
  <si>
    <t>ΑΒ089855</t>
  </si>
  <si>
    <t>ΝΤΕΛΗΓΙΩΡΓΗ</t>
  </si>
  <si>
    <t>ΓΕΩΡΓΙΑ ΑΙΜΙΛΙΑ</t>
  </si>
  <si>
    <t>Τ547388</t>
  </si>
  <si>
    <t>ΓΚΛΑΒΑ</t>
  </si>
  <si>
    <t>ΑΙ755928</t>
  </si>
  <si>
    <t>ΜΕΛΙΣΣΑ</t>
  </si>
  <si>
    <t>Χ476443</t>
  </si>
  <si>
    <t>ΦΩΣΤΕΡΗ</t>
  </si>
  <si>
    <t>ΜΥΡΤΩ ΑΝΝΑ</t>
  </si>
  <si>
    <t>ΑΗ572029</t>
  </si>
  <si>
    <t>ΚΟΤΣΙΑΛΟΥ</t>
  </si>
  <si>
    <t>ΑΗ005308</t>
  </si>
  <si>
    <t>ΑΗ653834</t>
  </si>
  <si>
    <t>ΦΛΕΒΑΡΗ</t>
  </si>
  <si>
    <t>ΑΟ394369</t>
  </si>
  <si>
    <t>ΑΟ449263</t>
  </si>
  <si>
    <t>ΨΙΛΙΔΑΚΗ</t>
  </si>
  <si>
    <t>ΑΜ277628</t>
  </si>
  <si>
    <t>ΚΑΡΥΔΗΣ</t>
  </si>
  <si>
    <t>Φ437912</t>
  </si>
  <si>
    <t>ΚΑΤΙΝΑΚΗ</t>
  </si>
  <si>
    <t>ΠΑΓΩΝΑ ΑΡΤΕΜΙΣ</t>
  </si>
  <si>
    <t>ΑΚ657475</t>
  </si>
  <si>
    <t>ΚΟΥΔΑΣ</t>
  </si>
  <si>
    <t>Χ745932</t>
  </si>
  <si>
    <t>ΡΑΠΗ</t>
  </si>
  <si>
    <t>ΑΙ747319</t>
  </si>
  <si>
    <t>ΑΑ029827</t>
  </si>
  <si>
    <t>ΑΓΑΠΙΑΔΟΥ</t>
  </si>
  <si>
    <t>ΑΒ012243</t>
  </si>
  <si>
    <t>ΑΒ372787</t>
  </si>
  <si>
    <t>ΧΡΥΣΟΚΩΝΑ</t>
  </si>
  <si>
    <t>Φ232543</t>
  </si>
  <si>
    <t>ΑΘΑΝΑΣΟΠΟΥΛΟΣ</t>
  </si>
  <si>
    <t>Χ230269</t>
  </si>
  <si>
    <t>ΤΣΟΥΚΑΤΟΥ</t>
  </si>
  <si>
    <t>ΑΜ234526</t>
  </si>
  <si>
    <t>ΑΖ517357</t>
  </si>
  <si>
    <t>ΝΤΑΟΥΤΗ</t>
  </si>
  <si>
    <t>Χ418011</t>
  </si>
  <si>
    <t>ΑΙ370760</t>
  </si>
  <si>
    <t>ΑΒ103874</t>
  </si>
  <si>
    <t>ΑΕ862357</t>
  </si>
  <si>
    <t>ΑΖ669529</t>
  </si>
  <si>
    <t>ΑΚ283530</t>
  </si>
  <si>
    <t>ΑΗ309563</t>
  </si>
  <si>
    <t>ΠΥΒΟΥΛΟΥ</t>
  </si>
  <si>
    <t>Χ408113</t>
  </si>
  <si>
    <t>ΜΑΔΕΝΤΖΙΔΟΥ</t>
  </si>
  <si>
    <t>ΣΙΛΒΙΑ ΜΑΡΙΑ</t>
  </si>
  <si>
    <t>ΑΗ123473</t>
  </si>
  <si>
    <t>ΚΑΝΙΝΑ</t>
  </si>
  <si>
    <t>ΑΙ382942</t>
  </si>
  <si>
    <t>ΑΒ429119</t>
  </si>
  <si>
    <t>ΑΝΤΖΕΛΛΑ</t>
  </si>
  <si>
    <t>ΑΟ872425</t>
  </si>
  <si>
    <t>ΑΙ206555</t>
  </si>
  <si>
    <t>ΘΕΟΦΙΛΑΤΟΥ</t>
  </si>
  <si>
    <t>ΑΒ253292</t>
  </si>
  <si>
    <t>ΑΗ846087</t>
  </si>
  <si>
    <t>ΑΝ302258</t>
  </si>
  <si>
    <t>ΑΗ605411</t>
  </si>
  <si>
    <t>ΤΕΡΠΟ</t>
  </si>
  <si>
    <t>ΛΑΜΠΗ</t>
  </si>
  <si>
    <t>ΑΚ315582</t>
  </si>
  <si>
    <t>ΑΚ634795</t>
  </si>
  <si>
    <t>ΔΑΡΙΣΑΠΛΗ</t>
  </si>
  <si>
    <t>ΑΒ137718</t>
  </si>
  <si>
    <t>ΜΟΡΦΗ ΜΠΟΝΙΚΟΥ</t>
  </si>
  <si>
    <t>ΑΗ261124</t>
  </si>
  <si>
    <t>ΒΟΥΡΝΙΤΗ</t>
  </si>
  <si>
    <t>ΑΗ815246</t>
  </si>
  <si>
    <t>ΑΑ443644</t>
  </si>
  <si>
    <t>Φ218179</t>
  </si>
  <si>
    <t>ΑΝΤΡΕΙΝΑ</t>
  </si>
  <si>
    <t>ΓΚΡΕΚΟΥ</t>
  </si>
  <si>
    <t>ΓΚΡΑΝΙΤ</t>
  </si>
  <si>
    <t>ΑΜ593162</t>
  </si>
  <si>
    <t>ΑΣΠΡΟΥΔΗ</t>
  </si>
  <si>
    <t>ΑΒ092780</t>
  </si>
  <si>
    <t>Χ577741</t>
  </si>
  <si>
    <t>Χ131846</t>
  </si>
  <si>
    <t>ΑΒ021000</t>
  </si>
  <si>
    <t>Χ845464</t>
  </si>
  <si>
    <t>ΚΑΡΑΝΤΣΙΡΗ</t>
  </si>
  <si>
    <t>ΑΖ678012</t>
  </si>
  <si>
    <t>ΠΕΡΙΣΤΕΡΑΚΗΣ</t>
  </si>
  <si>
    <t>ΑΟ224789</t>
  </si>
  <si>
    <t>ΚΑΡΑΔΗΜΗΤΡΟΠΟΥΛΟΥ</t>
  </si>
  <si>
    <t>ΑΖ713617</t>
  </si>
  <si>
    <t>ΑΕ763598</t>
  </si>
  <si>
    <t>ΑΗ270617</t>
  </si>
  <si>
    <t>ΜΠΙΟΥ</t>
  </si>
  <si>
    <t>ΑΖ766224</t>
  </si>
  <si>
    <t>ΦΑΓΟΓΕΝΗ</t>
  </si>
  <si>
    <t>ΑΗ001133</t>
  </si>
  <si>
    <t>ΑΙΓΛΗ ΜΥΡΤΩ</t>
  </si>
  <si>
    <t>ΑΙ029655</t>
  </si>
  <si>
    <t>ΞΑΙΔΟΥ</t>
  </si>
  <si>
    <t>ΑΚ313937</t>
  </si>
  <si>
    <t>ΤΟΥΛΟΥΜΤΖΟΓΛΟΥ</t>
  </si>
  <si>
    <t>ΑΜ861511</t>
  </si>
  <si>
    <t>ΑΝΑΣΤΑΣΙΑΔΗΣ</t>
  </si>
  <si>
    <t>ΑΗ670086</t>
  </si>
  <si>
    <t>ΑΖ553439</t>
  </si>
  <si>
    <t>ΚΑΚΑΛΕΤΡΗ</t>
  </si>
  <si>
    <t>Χ938040</t>
  </si>
  <si>
    <t>ΑΗ880472</t>
  </si>
  <si>
    <t>ΣΟΜΤΣΗ</t>
  </si>
  <si>
    <t>ΑΗ805531</t>
  </si>
  <si>
    <t>ΣΤΥΛΟΣ</t>
  </si>
  <si>
    <t>ΑΗ812235</t>
  </si>
  <si>
    <t>ΦΥΚΑΡΗ</t>
  </si>
  <si>
    <t>ΑΚ943653</t>
  </si>
  <si>
    <t>ΧΑΝΙΑΛΑΚΗ</t>
  </si>
  <si>
    <t>ΔΕΣΠΟΙΝΑ ΜΑΛΕΒΗ</t>
  </si>
  <si>
    <t>ΑΟ859944</t>
  </si>
  <si>
    <t>ΑΝ837526</t>
  </si>
  <si>
    <t>ΚΑΙΝΟΥΡΓΙΟΥ</t>
  </si>
  <si>
    <t>ΑΙ777340</t>
  </si>
  <si>
    <t>ΑΜ270587</t>
  </si>
  <si>
    <t>ΑΟ373642</t>
  </si>
  <si>
    <t>ΧΑΤΖΗΝΙΚΟΛΑΚΗ</t>
  </si>
  <si>
    <t>ΑΝ123613</t>
  </si>
  <si>
    <t>ΚΑΠΕΛΕΡΗ</t>
  </si>
  <si>
    <t>Χ692595</t>
  </si>
  <si>
    <t>Χ563970</t>
  </si>
  <si>
    <t>ΚΟΥΤΣΟΥΛΙΝΗ</t>
  </si>
  <si>
    <t>Χ517292</t>
  </si>
  <si>
    <t>ΚΑΡΟΥΤΗ</t>
  </si>
  <si>
    <t>ΑΖ123747</t>
  </si>
  <si>
    <t>ΑΙ570332</t>
  </si>
  <si>
    <t>Χ951166</t>
  </si>
  <si>
    <t>ΛΑΓΟΥΔΑΚΗΣ</t>
  </si>
  <si>
    <t>Χ346311</t>
  </si>
  <si>
    <t>ΚΡΕΣΤΑΙΝΙΤΗ</t>
  </si>
  <si>
    <t>ΑΕ233389</t>
  </si>
  <si>
    <t>ΚΑΡΑΜΗΤΡΟΥ</t>
  </si>
  <si>
    <t>ΑΜ558074</t>
  </si>
  <si>
    <t>Χ925062</t>
  </si>
  <si>
    <t>ΠΕΤΡΟΓΛΟΥ</t>
  </si>
  <si>
    <t>ΑΙ577909</t>
  </si>
  <si>
    <t>ΑΜΠΕΛΑ</t>
  </si>
  <si>
    <t>ΑΜ036901</t>
  </si>
  <si>
    <t>ΜΠΕΛΛΟΣ</t>
  </si>
  <si>
    <t>ΑΕ154008</t>
  </si>
  <si>
    <t>ΠΕΛΩΝΗ</t>
  </si>
  <si>
    <t>Τ509763</t>
  </si>
  <si>
    <t>ΡΟΚΟΥ</t>
  </si>
  <si>
    <t>ΑΙ310831</t>
  </si>
  <si>
    <t>ΑΙ770389</t>
  </si>
  <si>
    <t>ΑΒ364556</t>
  </si>
  <si>
    <t>ΑΖ092003</t>
  </si>
  <si>
    <t>ΦΕΒΡΑΝΟΓΛΟΥ</t>
  </si>
  <si>
    <t>Χ628492</t>
  </si>
  <si>
    <t>ΧΙΟΝΙΔΗ</t>
  </si>
  <si>
    <t>ΑΚ807992</t>
  </si>
  <si>
    <t>Φ474087</t>
  </si>
  <si>
    <t>ΚΑΤΣΙΒΕΛΟΥ</t>
  </si>
  <si>
    <t>ΑΙ842215</t>
  </si>
  <si>
    <t>ΚΑΛΟΥΔΕΛΗ</t>
  </si>
  <si>
    <t>ΑΝ206964</t>
  </si>
  <si>
    <t>ΑΙ663430</t>
  </si>
  <si>
    <t>ΚΑΡΑΜΗΤΡΟΣ</t>
  </si>
  <si>
    <t>ΑΟ745552</t>
  </si>
  <si>
    <t>ΧΑΡΙΣΤΕΑ</t>
  </si>
  <si>
    <t>ΑΙ199541</t>
  </si>
  <si>
    <t>ΑΝ717398</t>
  </si>
  <si>
    <t>ΓΕΩΡΓΟΤΑ</t>
  </si>
  <si>
    <t>ΑΟ377191</t>
  </si>
  <si>
    <t>ΤΣΑΡΙΔΟΥ</t>
  </si>
  <si>
    <t>ΑΖ661820</t>
  </si>
  <si>
    <t>ΤΑΣΟΥΔΗΣ</t>
  </si>
  <si>
    <t>ΑΜ680176</t>
  </si>
  <si>
    <t>ΖΑΝΙΑ</t>
  </si>
  <si>
    <t>Φ038192</t>
  </si>
  <si>
    <t>ΤΣΙΠΗΡΑ</t>
  </si>
  <si>
    <t>ΑΗ216304</t>
  </si>
  <si>
    <t>Χ906014</t>
  </si>
  <si>
    <t>ΙΟΡΔΑΝΟΠΟΥΛΟΥ</t>
  </si>
  <si>
    <t>ΑΖ188048</t>
  </si>
  <si>
    <t>ΖΑΡΤΣΕ</t>
  </si>
  <si>
    <t>ΛΑΖΑΡΙΑ</t>
  </si>
  <si>
    <t>ΑΗ337106</t>
  </si>
  <si>
    <t>ΡΕΝΤΟΣ</t>
  </si>
  <si>
    <t>ΑΖ879629</t>
  </si>
  <si>
    <t>ΑΖ696464</t>
  </si>
  <si>
    <t>ΛΑΜΠΡΟ</t>
  </si>
  <si>
    <t>ΡΟΖΑΛΙΝΑ</t>
  </si>
  <si>
    <t>ΓΙΩΡΓΟ</t>
  </si>
  <si>
    <t>ΑΝ142455</t>
  </si>
  <si>
    <t>ΧΑΝΔΟΛΙΑ</t>
  </si>
  <si>
    <t>ΑΗ320634</t>
  </si>
  <si>
    <t>ΔΕΡΔΕΛΗ</t>
  </si>
  <si>
    <t>ΑΚ890823</t>
  </si>
  <si>
    <t>ΚΑΠΑΡΟΥΝΑΚΗΣ</t>
  </si>
  <si>
    <t>ΑΙ943637</t>
  </si>
  <si>
    <t>ΑΜΠΕΡΙΑΔΟΥ</t>
  </si>
  <si>
    <t>ΑΖ690429</t>
  </si>
  <si>
    <t>ΜΙΣΑΗΛΙΔΟΥ</t>
  </si>
  <si>
    <t>ΑΕ860700</t>
  </si>
  <si>
    <t>ΑΗ694434</t>
  </si>
  <si>
    <t>ΑΗ843172</t>
  </si>
  <si>
    <t>Χ579339</t>
  </si>
  <si>
    <t>ΑΝΥΦΑΝΤΗ</t>
  </si>
  <si>
    <t>ΑΝ042889</t>
  </si>
  <si>
    <t>ΜΗΤΡΟΥΣΗΣ</t>
  </si>
  <si>
    <t>ΑΙ394655</t>
  </si>
  <si>
    <t>ΕΥΑΓΓΕΛΑΤΟΣ</t>
  </si>
  <si>
    <t>ΑΝ622665</t>
  </si>
  <si>
    <t>ΚΑΣΤΡΙΝΑΚΗ</t>
  </si>
  <si>
    <t>ΑΑ496552</t>
  </si>
  <si>
    <t>ΣΚΟΥΡΑΔΑΚΗ</t>
  </si>
  <si>
    <t>ΑΕ964004</t>
  </si>
  <si>
    <t>Χ769385</t>
  </si>
  <si>
    <t>Χ987302</t>
  </si>
  <si>
    <t>ΠΟΔΗΜΑΤΑ</t>
  </si>
  <si>
    <t>ΦΩΤΕΙΝΗ ΘΕΟΦΑΝΩ</t>
  </si>
  <si>
    <t>ΑΙ049549</t>
  </si>
  <si>
    <t>ΜΑΝΤΟΝΑ</t>
  </si>
  <si>
    <t>ΑΚ259373</t>
  </si>
  <si>
    <t>ΑΗ220402</t>
  </si>
  <si>
    <t>ΑΕ357288</t>
  </si>
  <si>
    <t>ΚΟΥΡΤΑ</t>
  </si>
  <si>
    <t>ΑΙ812605</t>
  </si>
  <si>
    <t>ΣΓΟΥΡΑ</t>
  </si>
  <si>
    <t>ΑΖ202966</t>
  </si>
  <si>
    <t>ΑΖ638772</t>
  </si>
  <si>
    <t>ΜΠΕΛΕΦΑ</t>
  </si>
  <si>
    <t>Φ332202</t>
  </si>
  <si>
    <t>ΑΛΒΕΡΤΟΥ</t>
  </si>
  <si>
    <t>Χ577860</t>
  </si>
  <si>
    <t>ΚΑΤΣΟΥΛΑ</t>
  </si>
  <si>
    <t>ΑΗ245400</t>
  </si>
  <si>
    <t>ΑΚ903366</t>
  </si>
  <si>
    <t>Χ944670</t>
  </si>
  <si>
    <t>Χ924566</t>
  </si>
  <si>
    <t>ΑΚ467839</t>
  </si>
  <si>
    <t>ΑΒ918275</t>
  </si>
  <si>
    <t>ΑΚ376362</t>
  </si>
  <si>
    <t>ΔΕΔΟΣ</t>
  </si>
  <si>
    <t>Τ803755</t>
  </si>
  <si>
    <t>ΓΙΑΝΝΟΥΧΟΣ</t>
  </si>
  <si>
    <t>ΑΟ370364</t>
  </si>
  <si>
    <t>ΣΟΥΛΙΚΤΣΗ</t>
  </si>
  <si>
    <t>ΑΗ844107</t>
  </si>
  <si>
    <t>ΦΙΣΚΙΛΗΣ</t>
  </si>
  <si>
    <t>ΑΕ582351</t>
  </si>
  <si>
    <t>ΑΟ409507</t>
  </si>
  <si>
    <t>ΣΠΑΘΙΑ</t>
  </si>
  <si>
    <t>Χ110350</t>
  </si>
  <si>
    <t>ΜΠΙΡΑΚΟΥ</t>
  </si>
  <si>
    <t>ΟΡΙΑΝΑ</t>
  </si>
  <si>
    <t>ΣΑΝΤΙΚ</t>
  </si>
  <si>
    <t>ΑΚ729004</t>
  </si>
  <si>
    <t>ΒΟΡΟΚΛΙΝΙΩΤΗ</t>
  </si>
  <si>
    <t>ΑΚ127781</t>
  </si>
  <si>
    <t>ΑΕ527764</t>
  </si>
  <si>
    <t>ΦΩΣΤΗΡΟΠΟΥΛΟΥ</t>
  </si>
  <si>
    <t>ΑΒ876082</t>
  </si>
  <si>
    <t>ΚΟΡΕΤΣΗ</t>
  </si>
  <si>
    <t>Σ048482</t>
  </si>
  <si>
    <t>ΑΒ423079</t>
  </si>
  <si>
    <t>ΑΙ853424</t>
  </si>
  <si>
    <t>ΝΤΑΛΛΑ</t>
  </si>
  <si>
    <t>Φ321862</t>
  </si>
  <si>
    <t>ΜΙΛΚΟΠΟΥΛΟΣ</t>
  </si>
  <si>
    <t>AΓΓΕΛΟΣ</t>
  </si>
  <si>
    <t>ΑΟ763088</t>
  </si>
  <si>
    <t>ΣΕΚΟΥΛΗ</t>
  </si>
  <si>
    <t>ΑΖ850186</t>
  </si>
  <si>
    <t>ΚΑΝΕΤΙΔΟΥ</t>
  </si>
  <si>
    <t>ΑΗ174896</t>
  </si>
  <si>
    <t>ΣΕΦΕΡΙΑΔΗ</t>
  </si>
  <si>
    <t>ΑΟ933625</t>
  </si>
  <si>
    <t>ΑΠΑΤΣΙΔΟΥ</t>
  </si>
  <si>
    <t>ΑΝ899429</t>
  </si>
  <si>
    <t>ΛΟΥΚΙΔΟΥ</t>
  </si>
  <si>
    <t>ΑΑ390173</t>
  </si>
  <si>
    <t>ΠΑΡΑΣΚΕΥΟΠΟΥΛΟΣ</t>
  </si>
  <si>
    <t>ΑΗ699205</t>
  </si>
  <si>
    <t>ΜΙΖΑΚΗ</t>
  </si>
  <si>
    <t>ΑΚ054818</t>
  </si>
  <si>
    <t>ΧΕΛΒΑΤΖΙΑΝ</t>
  </si>
  <si>
    <t>ΑΖΑΝΤΟΥΗ</t>
  </si>
  <si>
    <t>ΑΡΜΕΝΑΚ</t>
  </si>
  <si>
    <t>ΑΕ535920</t>
  </si>
  <si>
    <t>ΚΑΤΑΧΑΝΑΚΗΣ</t>
  </si>
  <si>
    <t>Χ211365</t>
  </si>
  <si>
    <t>ΑΗ724453</t>
  </si>
  <si>
    <t>ΑΑ267654</t>
  </si>
  <si>
    <t>ΠΑΣΧΩΝΗ</t>
  </si>
  <si>
    <t>ΑΗ767827</t>
  </si>
  <si>
    <t>ΣΑΡΙΝΑΚΗ</t>
  </si>
  <si>
    <t>Χ917471</t>
  </si>
  <si>
    <t>ΛΑΨΑΝΑ</t>
  </si>
  <si>
    <t>ΑΖ820695</t>
  </si>
  <si>
    <t>ΑΙ282468</t>
  </si>
  <si>
    <t>ΑΗ728869</t>
  </si>
  <si>
    <t>ΑΕ108145</t>
  </si>
  <si>
    <t>ΑΚ392241</t>
  </si>
  <si>
    <t>ΔΗΜΟΠΟΥΛΟΣ</t>
  </si>
  <si>
    <t>ΑΑ458139</t>
  </si>
  <si>
    <t>ΑΟ550596</t>
  </si>
  <si>
    <t>ΤΣΙΜΠΙΔΟΥ</t>
  </si>
  <si>
    <t>ΑΒ354322</t>
  </si>
  <si>
    <t>ΑΙ239212</t>
  </si>
  <si>
    <t>Φ176216</t>
  </si>
  <si>
    <t>ΠΟΝΤΙΣΙΔΗΣ</t>
  </si>
  <si>
    <t>ΑΗ912728</t>
  </si>
  <si>
    <t>ΑΕ960186</t>
  </si>
  <si>
    <t>ΑΚ474774</t>
  </si>
  <si>
    <t>ΑΒ665932</t>
  </si>
  <si>
    <t>ΒΑΝΤΑΝΑ</t>
  </si>
  <si>
    <t>Χ193765</t>
  </si>
  <si>
    <t>ΡΟΜΑΝ ΔΟΥΚΑΡΑ</t>
  </si>
  <si>
    <t>ΒΕΝΣΕΣΛΑΟ</t>
  </si>
  <si>
    <t>ΑΝ208581</t>
  </si>
  <si>
    <t>ΜΑΓΟΠΟΥΛΟΥ</t>
  </si>
  <si>
    <t>ΑΕ897791</t>
  </si>
  <si>
    <t>ΑΖ383711</t>
  </si>
  <si>
    <t>ΑΜ298608</t>
  </si>
  <si>
    <t>ΑΝΤΩΝΙΑΔΗ</t>
  </si>
  <si>
    <t>Χ034541</t>
  </si>
  <si>
    <t>ΜΠΙΖΙΩΤΑ</t>
  </si>
  <si>
    <t>ΜΙΧΑΕΛΑ ΔΗΜΗΤΡΑ</t>
  </si>
  <si>
    <t>ΑΖ587195</t>
  </si>
  <si>
    <t>ΣΕΡΕΜΕΤΑΚΗΣ</t>
  </si>
  <si>
    <t>ΑΑ426287</t>
  </si>
  <si>
    <t>ΣΤΑΜΑΤΙΚΗ</t>
  </si>
  <si>
    <t>ΑΒ037232</t>
  </si>
  <si>
    <t>ΜΠΑΡΠΑΚΗ</t>
  </si>
  <si>
    <t>ΑΙΚΑΤΕΡΙΝΗ ΕΥΣΤΑΘΙΑ</t>
  </si>
  <si>
    <t>ΑΒ209477</t>
  </si>
  <si>
    <t>Χ613445</t>
  </si>
  <si>
    <t>ΣΑΝΔΑΛΗ</t>
  </si>
  <si>
    <t>ΑΒ161525</t>
  </si>
  <si>
    <t>ΛΥΔΙΑ ΑΝΤΩΝΙΑ</t>
  </si>
  <si>
    <t>ΑΜ667904</t>
  </si>
  <si>
    <t>ΑΝ079613</t>
  </si>
  <si>
    <t>ΔΕΛΗΣΑΒΒΙΔΟΥ</t>
  </si>
  <si>
    <t>ΑΜ295567</t>
  </si>
  <si>
    <t>ΑΝ228175</t>
  </si>
  <si>
    <t>ΜΥΓΔΑΛΙΑ</t>
  </si>
  <si>
    <t>ΑΕ192988</t>
  </si>
  <si>
    <t>ΑΚ976609</t>
  </si>
  <si>
    <t>ΑΜ368835</t>
  </si>
  <si>
    <t>ΚΡΥΠΑΡΟΥ</t>
  </si>
  <si>
    <t>ΑΝ029632</t>
  </si>
  <si>
    <t>ΚΟΣΚΙΝΑΣ</t>
  </si>
  <si>
    <t>ΑΗ224477</t>
  </si>
  <si>
    <t>ΑΜ831045</t>
  </si>
  <si>
    <t>ΣΤΑΥΡΟΠΟΥΛΟΣ</t>
  </si>
  <si>
    <t>ΑΟ163437</t>
  </si>
  <si>
    <t>ΑΒ600478</t>
  </si>
  <si>
    <t>ΜΠΙΣΟΥΚΗ</t>
  </si>
  <si>
    <t>ΑΖ786961</t>
  </si>
  <si>
    <t>ΚΑΠΛΑΝΗΣ</t>
  </si>
  <si>
    <t>Τ241921</t>
  </si>
  <si>
    <t>ΑΗ196194</t>
  </si>
  <si>
    <t>ΑΛΕΞΟΠΟΥΛΟΣ</t>
  </si>
  <si>
    <t>ΑΖ185379</t>
  </si>
  <si>
    <t>ΣΑΡΓΙΩΤΗ</t>
  </si>
  <si>
    <t>ΑΟ003655</t>
  </si>
  <si>
    <t>ΑΑ260400</t>
  </si>
  <si>
    <t>ΓΟΓΟΠΟΥΛΟΥ</t>
  </si>
  <si>
    <t>ΑΜ440003</t>
  </si>
  <si>
    <t>ΑΡ078302</t>
  </si>
  <si>
    <t>ΣΟΥΛΤΑΝΑ ΦΩΤΕΙΝΗ</t>
  </si>
  <si>
    <t>ΑΖ396986</t>
  </si>
  <si>
    <t>ΑΙ475078</t>
  </si>
  <si>
    <t>ΑΒ559181</t>
  </si>
  <si>
    <t>ΚΟΥΜΑΡΙΑΝΟΥ</t>
  </si>
  <si>
    <t>ΑΗ017528</t>
  </si>
  <si>
    <t>ΑΙ476342</t>
  </si>
  <si>
    <t>ΔΑΓΡΕ</t>
  </si>
  <si>
    <t>ΑΒ042427</t>
  </si>
  <si>
    <t>ΒΟΡΡΗ</t>
  </si>
  <si>
    <t>ΑΝ945627</t>
  </si>
  <si>
    <t>ΑΕ215067</t>
  </si>
  <si>
    <t>ΕΙΡΗΝΗ ΧΡΥΣΟΒΑΛΑΝΤΗ</t>
  </si>
  <si>
    <t>ΑΗ204999</t>
  </si>
  <si>
    <t>ΑΗ696135</t>
  </si>
  <si>
    <t>ΚΑΤΣΟΥΔΗ</t>
  </si>
  <si>
    <t>ΑΜ652861</t>
  </si>
  <si>
    <t>ΔΕΛΗΘΕΟΔΩΡΟΥ</t>
  </si>
  <si>
    <t>ΑΟ075355</t>
  </si>
  <si>
    <t>ΑΒ979360</t>
  </si>
  <si>
    <t>ΣΥΝΟΔΙΝΟΥ ΚΑΜΗΛΟΥ</t>
  </si>
  <si>
    <t>ΕΥΤΥΧΙΑ ΕΥΑΓΓΕΛΙΑ</t>
  </si>
  <si>
    <t>ΑΙ917217</t>
  </si>
  <si>
    <t>ΝΤΑΛΑΚΑΣ</t>
  </si>
  <si>
    <t>ΑΙ330534</t>
  </si>
  <si>
    <t>Χ178117</t>
  </si>
  <si>
    <t>ΑΜ773098</t>
  </si>
  <si>
    <t>ΓΚΑΝΑΚΑ</t>
  </si>
  <si>
    <t>ΑΕ793873</t>
  </si>
  <si>
    <t>ΣΤΡΑΥΡΟΣ</t>
  </si>
  <si>
    <t>Χ515946</t>
  </si>
  <si>
    <t>ΠΥΡΣΟΥ</t>
  </si>
  <si>
    <t>ΑΒ712993</t>
  </si>
  <si>
    <t>Χ934692</t>
  </si>
  <si>
    <t>ΚΟΒΑΤΣΗ</t>
  </si>
  <si>
    <t>ΑΙ353635</t>
  </si>
  <si>
    <t>ΚΟΥΤΣΟΥΡΑΔΗ</t>
  </si>
  <si>
    <t>ΑΚ608385</t>
  </si>
  <si>
    <t>ΓΚΕΝΑ</t>
  </si>
  <si>
    <t>ΑΒ108878</t>
  </si>
  <si>
    <t>ΞΥΓΚΑΚΗ</t>
  </si>
  <si>
    <t>ΑΙ114358</t>
  </si>
  <si>
    <t>ΠΛΙΑΤΣΙΚΑ</t>
  </si>
  <si>
    <t>ΚΥΡΙΑΚΗ ΑΡΙΝΑ</t>
  </si>
  <si>
    <t>ΑΝ326452</t>
  </si>
  <si>
    <t>ΑΝ768488</t>
  </si>
  <si>
    <t>ΑΕ670925</t>
  </si>
  <si>
    <t>ΑΡΑΒΟΓΛΟΥ</t>
  </si>
  <si>
    <t>ΕΛΕΝΗ ΑΝΘΗ</t>
  </si>
  <si>
    <t>ΑΖ553964</t>
  </si>
  <si>
    <t>ΑΙ399237</t>
  </si>
  <si>
    <t>ΑΙ258122</t>
  </si>
  <si>
    <t>ΠΟΛΙΤΗΣ</t>
  </si>
  <si>
    <t>ΑΗ369346</t>
  </si>
  <si>
    <t>ΑΝ492659</t>
  </si>
  <si>
    <t>ΜΑΥΡΙΚΑΚΗ</t>
  </si>
  <si>
    <t>ΑΗ042169</t>
  </si>
  <si>
    <t>ΣΠΑΝΟΜΗΤΣΙΟΣ</t>
  </si>
  <si>
    <t>ΠΑΥΛΟΣ ΜΑΡΙΟΣ</t>
  </si>
  <si>
    <t>Φ187678</t>
  </si>
  <si>
    <t>Τ899744</t>
  </si>
  <si>
    <t>ΑΑ412617</t>
  </si>
  <si>
    <t>ΒΟΡΓΙΑ</t>
  </si>
  <si>
    <t>ΑΕ982296</t>
  </si>
  <si>
    <t>ΑΒ579652</t>
  </si>
  <si>
    <t>ΧΩΛΛ</t>
  </si>
  <si>
    <t>ΦΙΟΡΟΥΛΑ</t>
  </si>
  <si>
    <t>ΕΔΟΥΑΡΔΟΣ ΑΛΒΕΡΤΟΣ</t>
  </si>
  <si>
    <t>ΑΝ612010</t>
  </si>
  <si>
    <t>ΦΙΛΕΑ</t>
  </si>
  <si>
    <t>ΑΖ049810</t>
  </si>
  <si>
    <t>ΑΜ345302</t>
  </si>
  <si>
    <t>ΖΑΙΦΙΔΟΥ</t>
  </si>
  <si>
    <t>ΑΖ866698</t>
  </si>
  <si>
    <t>ΤΟΥΡΤΙΔΟΥ</t>
  </si>
  <si>
    <t>ΑΙ716171</t>
  </si>
  <si>
    <t>ΜΠΟΥΡΜΠΟΥΛΑΣ</t>
  </si>
  <si>
    <t>ΕΛΕΝΟΣ</t>
  </si>
  <si>
    <t>ΑΒ452670</t>
  </si>
  <si>
    <t>Χ277169</t>
  </si>
  <si>
    <t>ΚΩΝΣΤΑΝΤΑΚΗ</t>
  </si>
  <si>
    <t>ΑΑ371869</t>
  </si>
  <si>
    <t>ΠΑΝΟΥΣΟΠΟΥΛΟΥ</t>
  </si>
  <si>
    <t>ΑΒ402905</t>
  </si>
  <si>
    <t>ΚΑΣΟΜΟΥΛΗ</t>
  </si>
  <si>
    <t>ΑΚ042253</t>
  </si>
  <si>
    <t>ΓΚΑΤΖΩΝΗ</t>
  </si>
  <si>
    <t>ΑΜ703921</t>
  </si>
  <si>
    <t>Χ902565</t>
  </si>
  <si>
    <t>ΑΖ509857</t>
  </si>
  <si>
    <t>ΜΟΥΣΕΛΕΜΙΔΟΥ</t>
  </si>
  <si>
    <t>ΑΗ351729</t>
  </si>
  <si>
    <t>ΚΕΡΑΜΥΔΑ</t>
  </si>
  <si>
    <t>ΑΒ122279</t>
  </si>
  <si>
    <t>ΑΗ798517</t>
  </si>
  <si>
    <t>ΜΟΣΚΟΦΗ</t>
  </si>
  <si>
    <t>Χ141199</t>
  </si>
  <si>
    <t>ΚΑΡΥΚΑ</t>
  </si>
  <si>
    <t>ΑΚ100388</t>
  </si>
  <si>
    <t>ΚΑΝΑΒΟΥΡΑ</t>
  </si>
  <si>
    <t>ΑΗ264383</t>
  </si>
  <si>
    <t>ΒΕΡΕΜΗ</t>
  </si>
  <si>
    <t>Σ574685</t>
  </si>
  <si>
    <t>ΜΥΡΙΔΑΚΗ</t>
  </si>
  <si>
    <t>Χ614486</t>
  </si>
  <si>
    <t>ΑΝ273163</t>
  </si>
  <si>
    <t>ΑΚ855586</t>
  </si>
  <si>
    <t>ΣΤΑΥΡΟΥΛΑ ΓΑΛΙΝΗ</t>
  </si>
  <si>
    <t>ΑΜ687662</t>
  </si>
  <si>
    <t>ΧΕΛΙΩΤΗ</t>
  </si>
  <si>
    <t>ΜΑΡΙΟΡΑ</t>
  </si>
  <si>
    <t>ΑΝ620480</t>
  </si>
  <si>
    <t>ΑΙ654961</t>
  </si>
  <si>
    <t>ΑΜ404900</t>
  </si>
  <si>
    <t>ΑΜ692157</t>
  </si>
  <si>
    <t>ΑΡ279358</t>
  </si>
  <si>
    <t>ΜΟΥΤΑΦΤΣΗΣ</t>
  </si>
  <si>
    <t>ΑΗ348276</t>
  </si>
  <si>
    <t>ΑΖ847999</t>
  </si>
  <si>
    <t>ΡΟΠΚΑ</t>
  </si>
  <si>
    <t>ΑΚ945915</t>
  </si>
  <si>
    <t>ΑΧΕΙΜΑΣΤΟΥ</t>
  </si>
  <si>
    <t>ΣΤΑΣΙΝΟΣ</t>
  </si>
  <si>
    <t>Σ531606</t>
  </si>
  <si>
    <t>ΑΙ264466</t>
  </si>
  <si>
    <t>ΑΕ895077</t>
  </si>
  <si>
    <t>ΑΕ072305</t>
  </si>
  <si>
    <t>Π439322</t>
  </si>
  <si>
    <t>ΚΟΚΟΤΣΗ</t>
  </si>
  <si>
    <t>Τ268824</t>
  </si>
  <si>
    <t>Χ761112</t>
  </si>
  <si>
    <t>ΓΚΡΕΤΑ</t>
  </si>
  <si>
    <t>ΚΟΣΤΑ</t>
  </si>
  <si>
    <t>ΑΜ882886</t>
  </si>
  <si>
    <t>ΓΑΣΤΟΥΝΙΩΤΗ</t>
  </si>
  <si>
    <t>ΑΖ119562</t>
  </si>
  <si>
    <t>ΑΙ784916</t>
  </si>
  <si>
    <t>ΜΠΕΓΝΗ</t>
  </si>
  <si>
    <t>Ξ038038</t>
  </si>
  <si>
    <t>ΑΗ673833</t>
  </si>
  <si>
    <t>ΜΑΛΑΚΑΣΙΩΤΗ</t>
  </si>
  <si>
    <t>ΑΕ319231</t>
  </si>
  <si>
    <t>ΡΟΥΖΕ</t>
  </si>
  <si>
    <t>ΑΙ846392</t>
  </si>
  <si>
    <t>ΒΕΚΙΛΟΓΛΟΥ</t>
  </si>
  <si>
    <t>ΕΥΦΗΜΙΑ ΡΑΦΑΕΛΛΑ</t>
  </si>
  <si>
    <t>ΑΒ353222</t>
  </si>
  <si>
    <t>ΜΑΚΑΒΑΙΟΥ</t>
  </si>
  <si>
    <t>ΑΖ143598</t>
  </si>
  <si>
    <t>ΧΙΝΤΖΟΥ</t>
  </si>
  <si>
    <t>ΑΕ218244</t>
  </si>
  <si>
    <t>ΚΑΡΑΒΑΛΑΚΗ</t>
  </si>
  <si>
    <t>Σ299560</t>
  </si>
  <si>
    <t>ΑΕ270309</t>
  </si>
  <si>
    <t>ΙΟΥΛΙΕΤΤΑ</t>
  </si>
  <si>
    <t>ΑΕ647084</t>
  </si>
  <si>
    <t>ΤΟΥΠΛΙΚΙΩΤΗ</t>
  </si>
  <si>
    <t>ΘΕΟΣΤΩΡΑ</t>
  </si>
  <si>
    <t>Φ498571</t>
  </si>
  <si>
    <t>ΝΤΖΙΓΑΝΗ</t>
  </si>
  <si>
    <t>ΑΟ155450</t>
  </si>
  <si>
    <t>ΑΜ974712</t>
  </si>
  <si>
    <t>ΣΧΕΤΑΚΗ</t>
  </si>
  <si>
    <t>ΑΙ969345</t>
  </si>
  <si>
    <t>ΑΙ977577</t>
  </si>
  <si>
    <t>ΣΤΑΜΑΤΕΛΟΠΟΥΛΟΥ</t>
  </si>
  <si>
    <t>ΑΜ575070</t>
  </si>
  <si>
    <t>ΠΑΠΑΧΡΙΣΤΟΔΟΥΛΟΥ</t>
  </si>
  <si>
    <t>ΑΜ112733</t>
  </si>
  <si>
    <t>ΑΙ168108</t>
  </si>
  <si>
    <t>ΛΑΤΣΟΥ</t>
  </si>
  <si>
    <t>ΑΕ688281</t>
  </si>
  <si>
    <t>ΣΥΡΟΓΙΑΝΝΗ</t>
  </si>
  <si>
    <t>ΑΒ034417</t>
  </si>
  <si>
    <t>ΑΑ430328</t>
  </si>
  <si>
    <t>Χ975482</t>
  </si>
  <si>
    <t>Χ568687</t>
  </si>
  <si>
    <t>Χ001364</t>
  </si>
  <si>
    <t>ΑΝ657179</t>
  </si>
  <si>
    <t>ΑΣΤΕΡΙΟΥ</t>
  </si>
  <si>
    <t>ΑΑ068616</t>
  </si>
  <si>
    <t>Σ720365</t>
  </si>
  <si>
    <t>ΤΣΕΤΣΕΛΗ</t>
  </si>
  <si>
    <t>ΑΕ953710</t>
  </si>
  <si>
    <t>ΚΕΡΜΕΝΙΔΟΥ</t>
  </si>
  <si>
    <t>ΑΝ704275</t>
  </si>
  <si>
    <t>ΚΑΜΑΡΗ</t>
  </si>
  <si>
    <t>Χ971651</t>
  </si>
  <si>
    <t>ΕΥΤΥΤΧΙΑ</t>
  </si>
  <si>
    <t>ΑΚ522236</t>
  </si>
  <si>
    <t>ΣΑΡΡΟΥ</t>
  </si>
  <si>
    <t>ΑΙ285883</t>
  </si>
  <si>
    <t>ΛΙΑΠΙΚΟΥ</t>
  </si>
  <si>
    <t>ΑΖ471201</t>
  </si>
  <si>
    <t>ΑΕ272709</t>
  </si>
  <si>
    <t>ΚΑΝΕΛΛΙΑ</t>
  </si>
  <si>
    <t>ΑΗ821172</t>
  </si>
  <si>
    <t>Χ268905</t>
  </si>
  <si>
    <t>ΑΗ959604</t>
  </si>
  <si>
    <t>ΑΙ733665</t>
  </si>
  <si>
    <t>ΚΑΤΣΩΛΗ</t>
  </si>
  <si>
    <t xml:space="preserve">ΑΝΔΡΕΑΣ </t>
  </si>
  <si>
    <t>ΑΟ870757</t>
  </si>
  <si>
    <t>ΛΑΠΑΙ</t>
  </si>
  <si>
    <t>ΑΜ535837</t>
  </si>
  <si>
    <t>ΚΟΥΛΟΥΜΑΡΓΕΤΟΥ</t>
  </si>
  <si>
    <t>ΑΙ291164</t>
  </si>
  <si>
    <t>ΑΖ741671</t>
  </si>
  <si>
    <t>ΠΕΤΡΟΓΙΑΝΝΗ</t>
  </si>
  <si>
    <t>ΑΗ968675</t>
  </si>
  <si>
    <t>ΑΒ022931</t>
  </si>
  <si>
    <t>ΓΡΑΝΑ</t>
  </si>
  <si>
    <t>Φ081036</t>
  </si>
  <si>
    <t>ΚΟΝΤΟΓΙΑΝΝΑΤΟΥ</t>
  </si>
  <si>
    <t>ΑΕ703012</t>
  </si>
  <si>
    <t>ΜΑΡΤΙΝΗΣ</t>
  </si>
  <si>
    <t>ΑΒ019971</t>
  </si>
  <si>
    <t>Φ241584</t>
  </si>
  <si>
    <t>ΣΟΥΜΟΥΝΤΖΙΟΓΛΟΥ</t>
  </si>
  <si>
    <t>ΑΙ805477</t>
  </si>
  <si>
    <t>ΑΝ255457</t>
  </si>
  <si>
    <t>ΧΑΤΖΗΜΗΤΡΟΣ</t>
  </si>
  <si>
    <t>ΑΕ794761</t>
  </si>
  <si>
    <t xml:space="preserve">ΜΑΡΒΑΤΑΗ </t>
  </si>
  <si>
    <t xml:space="preserve">ΒΑΛΜΙΡΑ </t>
  </si>
  <si>
    <t>ΑΝ192104</t>
  </si>
  <si>
    <t>ΛΥΚΟΥΡΑ</t>
  </si>
  <si>
    <t>ΑΙ413408</t>
  </si>
  <si>
    <t>ΤΖΙΡΑ</t>
  </si>
  <si>
    <t>ΑΗ582295</t>
  </si>
  <si>
    <t>Χ710693</t>
  </si>
  <si>
    <t>ΦΟΥΛΙΔΟΥ</t>
  </si>
  <si>
    <t>ΑΖ205322</t>
  </si>
  <si>
    <t>ΠΑΡΔΑΛΗ</t>
  </si>
  <si>
    <t>ΑΖ300248</t>
  </si>
  <si>
    <t>ΧΑΛΚΙΔΗ</t>
  </si>
  <si>
    <t>ΑΖ199239</t>
  </si>
  <si>
    <t>ΑΖ024742</t>
  </si>
  <si>
    <t>ΓΑΙΤΑΝΙΔΗ</t>
  </si>
  <si>
    <t>ΑΕ702823</t>
  </si>
  <si>
    <t>ΓΚΡΟΥΝΗ</t>
  </si>
  <si>
    <t>ΑΑ106615</t>
  </si>
  <si>
    <t>ΑΙΚΑΤΕΡΙΝΗ ΚΛΕΟΠΑΤΡΑ</t>
  </si>
  <si>
    <t>ΑΙΑΣ</t>
  </si>
  <si>
    <t>ΑΗ758634</t>
  </si>
  <si>
    <t>ΣΑΡΑΚΙΝΟΥ</t>
  </si>
  <si>
    <t>ΑΝ211405</t>
  </si>
  <si>
    <t>ΑΝ802327</t>
  </si>
  <si>
    <t xml:space="preserve">ΓΑΛΛΙΚΑΣ </t>
  </si>
  <si>
    <t>ΑΒ119831</t>
  </si>
  <si>
    <t>ΑΙ739052</t>
  </si>
  <si>
    <t>ΠΑΠΑΜΑΝΩΛΗ</t>
  </si>
  <si>
    <t>ΑΗ360602</t>
  </si>
  <si>
    <t>ΜΕΛΛΟΥ</t>
  </si>
  <si>
    <t>ΑΝ535976</t>
  </si>
  <si>
    <t>Χ672835</t>
  </si>
  <si>
    <t>ΜΠΑΚΑΛΑΚΟΥ</t>
  </si>
  <si>
    <t>ΑΚ306647</t>
  </si>
  <si>
    <t>ΑΙΚΑΤΕΡΙΝΗ ΕΥΑΓΓΕΛΙΑ</t>
  </si>
  <si>
    <t>ΑΟ612574</t>
  </si>
  <si>
    <t>ΣΤΡΑΤΙΚΟΠΟΥΛΟΥ</t>
  </si>
  <si>
    <t>Χ434627</t>
  </si>
  <si>
    <t>ΜΠΡΑΖΙΤΙΚΟΥ</t>
  </si>
  <si>
    <t>Χ165894</t>
  </si>
  <si>
    <t>Μ676634</t>
  </si>
  <si>
    <t>ΚΡΙΚΕΛΛΗ</t>
  </si>
  <si>
    <t>ΠΑΝΤΕΛΙΑ ΑΜΑΛΙΑ</t>
  </si>
  <si>
    <t>Φ267519</t>
  </si>
  <si>
    <t>ΑΝΑΣΤΑΣΙΑ ΧΡΙΣΤΙΝΑ</t>
  </si>
  <si>
    <t>ΑΚ883702</t>
  </si>
  <si>
    <t>ΑΗ844906</t>
  </si>
  <si>
    <t>ΑΡ215431</t>
  </si>
  <si>
    <t>ΑΙ285430</t>
  </si>
  <si>
    <t>Χ071605</t>
  </si>
  <si>
    <t>ΣΒΙΣΤΟΥΝΟΒΑ</t>
  </si>
  <si>
    <t>ΒΑΛΕΡΙ</t>
  </si>
  <si>
    <t>ΑΝ166893</t>
  </si>
  <si>
    <t>ΑΗ669504</t>
  </si>
  <si>
    <t>ΑΝ042264</t>
  </si>
  <si>
    <t>ΑΑ255950</t>
  </si>
  <si>
    <t>ΑΝ697445</t>
  </si>
  <si>
    <t>ΜΑΡΙΝΟΓΛΟΥ</t>
  </si>
  <si>
    <t>ΑΜ298323</t>
  </si>
  <si>
    <t>ΔΡΑΚΟΥΔΗ</t>
  </si>
  <si>
    <t>ΑΜ598394</t>
  </si>
  <si>
    <t>ΧΡΥΣΑΝΘΟΠΟΥΛΟΣ</t>
  </si>
  <si>
    <t>ΑΖ170140</t>
  </si>
  <si>
    <t>ΑΡ223348</t>
  </si>
  <si>
    <t>ΝΑΝΤΖΙΟΥ</t>
  </si>
  <si>
    <t>ΑΝ863278</t>
  </si>
  <si>
    <t>ΑΕ621830</t>
  </si>
  <si>
    <t>ΑΜ508159</t>
  </si>
  <si>
    <t>ΚΟΥΡΛΗ</t>
  </si>
  <si>
    <t>ΑΕ512858</t>
  </si>
  <si>
    <t>ΔΑΝΟΥΣΗ</t>
  </si>
  <si>
    <t>ΑΟ086097</t>
  </si>
  <si>
    <t>ΛΑΣΠΟΠΟΥΛΟΥ</t>
  </si>
  <si>
    <t>ΣΤΕΡΙΑΝΗ</t>
  </si>
  <si>
    <t>ΑΖ817779</t>
  </si>
  <si>
    <t>ΑΝΔΡΕΑΚΟΥ</t>
  </si>
  <si>
    <t>ΑΜ160421</t>
  </si>
  <si>
    <t>ΚΑΝΕΛΛΟΥ</t>
  </si>
  <si>
    <t>ΑΖ529999</t>
  </si>
  <si>
    <t>Χ410177</t>
  </si>
  <si>
    <t>ΑΓΑΛΟΥ</t>
  </si>
  <si>
    <t>ΑΚ527725</t>
  </si>
  <si>
    <t>Φ014747</t>
  </si>
  <si>
    <t>ΑΒ088609</t>
  </si>
  <si>
    <t>ΣΑΡΗΓΙΑΝΝΙΔΗΣ</t>
  </si>
  <si>
    <t>ΑΗ822041</t>
  </si>
  <si>
    <t>ΑΕ408632</t>
  </si>
  <si>
    <t>ΚΟΥΡΟΥΠΑΚΗ</t>
  </si>
  <si>
    <t>ΑΑ373760</t>
  </si>
  <si>
    <t>ΑΖ133676</t>
  </si>
  <si>
    <t>ΠΛΑΓΙΣΟΥ</t>
  </si>
  <si>
    <t>ΑΕ587696</t>
  </si>
  <si>
    <t>ΜΑΡΤΑΚΗ</t>
  </si>
  <si>
    <t>Χ498713</t>
  </si>
  <si>
    <t>ΚΑΙΣΙΔΗΣ</t>
  </si>
  <si>
    <t>ΑΟ388698</t>
  </si>
  <si>
    <t>ΜΑΓΓΟΥ</t>
  </si>
  <si>
    <t>ΑΖ278021</t>
  </si>
  <si>
    <t>ΑΕ896303</t>
  </si>
  <si>
    <t>ΑΟ825729</t>
  </si>
  <si>
    <t>ΒΕΝΕΤΙΚΙΔΟΥ</t>
  </si>
  <si>
    <t>ΑΟ213107</t>
  </si>
  <si>
    <t>ΜΟΥΜΟΥΡΗ</t>
  </si>
  <si>
    <t>ΑΗ089896</t>
  </si>
  <si>
    <t>ΓΙΑΛΑΜΑ</t>
  </si>
  <si>
    <t>ΑΙ306420</t>
  </si>
  <si>
    <t>ΤΖΩΛΛΟΥ</t>
  </si>
  <si>
    <t>ΑΙ794718</t>
  </si>
  <si>
    <t>ΒΑΚΟΥΦΑΡΗ</t>
  </si>
  <si>
    <t>Χ236378</t>
  </si>
  <si>
    <t>ΑΗ034716</t>
  </si>
  <si>
    <t>ΑΙ684176</t>
  </si>
  <si>
    <t>ΑΒ317079</t>
  </si>
  <si>
    <t>ΧΑΛΙΑΣΟΣ</t>
  </si>
  <si>
    <t>ΑΖ739187</t>
  </si>
  <si>
    <t>ΓΑΒΡΙΛΗ</t>
  </si>
  <si>
    <t>ΑΟ588212</t>
  </si>
  <si>
    <t>ΤΡΙΜΠΟΥ</t>
  </si>
  <si>
    <t>ΒΑΙΑ ΜΑΡΙΑ</t>
  </si>
  <si>
    <t>ΑΝ171438</t>
  </si>
  <si>
    <t>Χ814476</t>
  </si>
  <si>
    <t>ΔΑΛΑΒΟΥΡΑΣ</t>
  </si>
  <si>
    <t>ΑΑ086626</t>
  </si>
  <si>
    <t>ΚΑΤΑΡΑΧΙΑ</t>
  </si>
  <si>
    <t>ΑΚ092855</t>
  </si>
  <si>
    <t>Χ222328</t>
  </si>
  <si>
    <t>ΧΙΤΟΛΑΡΗ</t>
  </si>
  <si>
    <t>ΑΙ209144</t>
  </si>
  <si>
    <t>ΞΑΚΟΥΣΤΗ</t>
  </si>
  <si>
    <t>Φ364544</t>
  </si>
  <si>
    <t>ΑΒ782819</t>
  </si>
  <si>
    <t>ΔΟΚΟΥΣΛΗ</t>
  </si>
  <si>
    <t>ΑΝ208688</t>
  </si>
  <si>
    <t>ΚΟΥΤΣΟΥΛΕΑ</t>
  </si>
  <si>
    <t>ΑΕ174698</t>
  </si>
  <si>
    <t>ΜΑΚΑΡΙΔΟΥ</t>
  </si>
  <si>
    <t xml:space="preserve">ΒΑΛΑΣΙΑ </t>
  </si>
  <si>
    <t>ΑΟ280666</t>
  </si>
  <si>
    <t>Χ842926</t>
  </si>
  <si>
    <t>ΤΣΑΝΑΣΙΔΗΣ</t>
  </si>
  <si>
    <t>ΦΑΙΔΩΝ</t>
  </si>
  <si>
    <t>ΑΒ447728</t>
  </si>
  <si>
    <t>ΣΤΟΛΗ</t>
  </si>
  <si>
    <t>ΑΡΤΕΜΗ</t>
  </si>
  <si>
    <t>ΑΚ225999</t>
  </si>
  <si>
    <t>ΡΟΖΟΥ</t>
  </si>
  <si>
    <t>ΑΜ516583</t>
  </si>
  <si>
    <t>ΑΗ385473</t>
  </si>
  <si>
    <t>ΚΟΥΤΗ ΕΦΡΑΙΜΙΔΟΥ</t>
  </si>
  <si>
    <t xml:space="preserve">ΙΩΑΝΝΑ ΕΛΙΣΑΒΕΤ </t>
  </si>
  <si>
    <t>ΑΕ050728</t>
  </si>
  <si>
    <t>ΚΟΥΤΡΟΥΛΑ</t>
  </si>
  <si>
    <t>ΑΜ110472</t>
  </si>
  <si>
    <t>ΣΧΟΙΝΟΠΛΟΚΑΚΗ</t>
  </si>
  <si>
    <t>ΑΙ968032</t>
  </si>
  <si>
    <t>ΣΙΑΜΟΡΕΛΗ</t>
  </si>
  <si>
    <t>ΑΝΝΑ ΝΑΥΣΙΚΑ</t>
  </si>
  <si>
    <t>ΑΟ348695</t>
  </si>
  <si>
    <t>ΡΟΥΣΑΚΗ</t>
  </si>
  <si>
    <t>ΑΕ960638</t>
  </si>
  <si>
    <t>ΚΟΥΤΣΑΡΙΝΗ</t>
  </si>
  <si>
    <t>Χ427041</t>
  </si>
  <si>
    <t>ΑΗ290872</t>
  </si>
  <si>
    <t>ΠΑΝΑΟΥΣΗ</t>
  </si>
  <si>
    <t>ΜΕΛΙΤΙΝΗ</t>
  </si>
  <si>
    <t>ΑΝ459330</t>
  </si>
  <si>
    <t>ΑΝ723631</t>
  </si>
  <si>
    <t>ΑΖ229821</t>
  </si>
  <si>
    <t>ΒΛΑΜΑΚΗΣ</t>
  </si>
  <si>
    <t>Φ035072</t>
  </si>
  <si>
    <t>ΑΖ768763</t>
  </si>
  <si>
    <t>ΛΕΦΑ</t>
  </si>
  <si>
    <t>ΑΕ800595</t>
  </si>
  <si>
    <t>ΕΜΒΕΡ ΟΓΛΟΥ</t>
  </si>
  <si>
    <t>ΕΡΔΕΜ</t>
  </si>
  <si>
    <t>ΜΟΥΣΤΑΦΑ</t>
  </si>
  <si>
    <t>ΑΖ900536</t>
  </si>
  <si>
    <t>ΑΒ591658</t>
  </si>
  <si>
    <t>ΠΑΓΚΑΛΟΥ</t>
  </si>
  <si>
    <t>ΑΙ365059</t>
  </si>
  <si>
    <t>ΑΒ267513</t>
  </si>
  <si>
    <t xml:space="preserve">ΟΙΚΟΝΌΜΟΥ </t>
  </si>
  <si>
    <t xml:space="preserve">ΠΕΤΡΟΎΛΑ </t>
  </si>
  <si>
    <t xml:space="preserve">ΗΛΊΑΣ </t>
  </si>
  <si>
    <t>ΑΚ415788</t>
  </si>
  <si>
    <t>Χ803497</t>
  </si>
  <si>
    <t>ΧΑΡΤΣΕΝΚΟ</t>
  </si>
  <si>
    <t>ΙΓΚΟΡ</t>
  </si>
  <si>
    <t>ΑΚ803030</t>
  </si>
  <si>
    <t>ΚΟΥΡΟΜΠΙΝΑ</t>
  </si>
  <si>
    <t>ΑΑ429364</t>
  </si>
  <si>
    <t>ΑΗ987029</t>
  </si>
  <si>
    <t>ΠΟΥΣΚΟΥΛΑ</t>
  </si>
  <si>
    <t>ΕΥΔΟΚ</t>
  </si>
  <si>
    <t>ΑΝ181900</t>
  </si>
  <si>
    <t>ΑΒ350984</t>
  </si>
  <si>
    <t>ΑΗ269914</t>
  </si>
  <si>
    <t>ΒΕΛΕΝΤΖΑ</t>
  </si>
  <si>
    <t>ΑΓΓΕΛΙΚΗ ΠΑΝΑΓΙΩΤΑ</t>
  </si>
  <si>
    <t>ΑΙ572319</t>
  </si>
  <si>
    <t>ΦΟΥΝΤΑΣ</t>
  </si>
  <si>
    <t>ΑΒ191107</t>
  </si>
  <si>
    <t>ΑΝΑΣΤΑΣΙΑ ΑΝΝΑ</t>
  </si>
  <si>
    <t>Χ830809</t>
  </si>
  <si>
    <t>ΑΖ588104</t>
  </si>
  <si>
    <t>ΑΗ439539</t>
  </si>
  <si>
    <t>ΖΑΡΙΜΠΑ</t>
  </si>
  <si>
    <t>ΑΖ977712</t>
  </si>
  <si>
    <t>ΑΚ249946</t>
  </si>
  <si>
    <t>ΕΛΕΝΗ ΦΑΙΔΡΑ</t>
  </si>
  <si>
    <t>ΑΚ407867</t>
  </si>
  <si>
    <t>ΝΑΤΣΟΥΔΗ</t>
  </si>
  <si>
    <t>ΕΠΙΣΤΗΜΗ</t>
  </si>
  <si>
    <t>ΑΝ737117</t>
  </si>
  <si>
    <t>ΑΙ061562</t>
  </si>
  <si>
    <t>ΓΚΑΜΠΗΣ</t>
  </si>
  <si>
    <t>ΑΗ226276</t>
  </si>
  <si>
    <t>ΜΑΣΙΚΟΥ</t>
  </si>
  <si>
    <t>ΑΖ242534</t>
  </si>
  <si>
    <t>ΑΒ869906</t>
  </si>
  <si>
    <t>ΑΚ930452</t>
  </si>
  <si>
    <t>ΧΑΤΖΗΡΙΖΟΥ</t>
  </si>
  <si>
    <t>ΑΖ783666</t>
  </si>
  <si>
    <t>ΑΕ406860</t>
  </si>
  <si>
    <t>ΑΝ490785</t>
  </si>
  <si>
    <t>ΑΙ851143</t>
  </si>
  <si>
    <t>ΜΠΟΥΡΣΑΝΙΔΟΥ</t>
  </si>
  <si>
    <t>ΑΙ406937</t>
  </si>
  <si>
    <t>Τ439449</t>
  </si>
  <si>
    <t>ΤΣΟΥΡΟΥΝΑΚΗ</t>
  </si>
  <si>
    <t>Φ087808</t>
  </si>
  <si>
    <t>ΑΟ241684</t>
  </si>
  <si>
    <t>ΑΗ512002</t>
  </si>
  <si>
    <t>ΑΗ271021</t>
  </si>
  <si>
    <t>ΑΜ642885</t>
  </si>
  <si>
    <t>ΑΝ759369</t>
  </si>
  <si>
    <t>ΛΑΜΠΡΙΔΟΥ</t>
  </si>
  <si>
    <t>ΑΟ213064</t>
  </si>
  <si>
    <t>ΑΒ542883</t>
  </si>
  <si>
    <t>ΒΛΑΝΤΙΚ</t>
  </si>
  <si>
    <t>ΑΙ167952</t>
  </si>
  <si>
    <t>ΓΙΑΝΝΗ ΒΑΡΔΙΝΟΓΙΑΝΝΗ</t>
  </si>
  <si>
    <t>ΑΝ618787</t>
  </si>
  <si>
    <t>Χ934141</t>
  </si>
  <si>
    <t>ΑΟ991046</t>
  </si>
  <si>
    <t>ΤΟΥΛΟΥΠΗΣ</t>
  </si>
  <si>
    <t>Χ361158</t>
  </si>
  <si>
    <t>ΑΗ501125</t>
  </si>
  <si>
    <t>ΑΟ551376</t>
  </si>
  <si>
    <t>ΦΡΑΓΓΟΥ</t>
  </si>
  <si>
    <t>MAΡΙΑΛΕΝΑ</t>
  </si>
  <si>
    <t>ΑΜ069817</t>
  </si>
  <si>
    <t>ΜΟΣΧΟΥΤΑΣ</t>
  </si>
  <si>
    <t>ΑΖ077750</t>
  </si>
  <si>
    <t>ΑΗ589745</t>
  </si>
  <si>
    <t>ΠΡΟΒΙΑΣ</t>
  </si>
  <si>
    <t>ΑΚ949658</t>
  </si>
  <si>
    <t>ΚΑΡΔΟΥΛΑΚΗ</t>
  </si>
  <si>
    <t>ΑΖ617847</t>
  </si>
  <si>
    <t>ΒΑΛΕΤΣΑ</t>
  </si>
  <si>
    <t>ΑΒ154419</t>
  </si>
  <si>
    <t>ΑΟ017609</t>
  </si>
  <si>
    <t>ΝΤΟΥΜΠΑΚΗ</t>
  </si>
  <si>
    <t>ΑΝ523152</t>
  </si>
  <si>
    <t>ΑΝ592943</t>
  </si>
  <si>
    <t>ΑΖ128368</t>
  </si>
  <si>
    <t>ΔΕΚΑΡΑ</t>
  </si>
  <si>
    <t>ΑΝ702388</t>
  </si>
  <si>
    <t>ΓΟΥΛΟΥ</t>
  </si>
  <si>
    <t>ΑΕ787769</t>
  </si>
  <si>
    <t>ΚΟΥΜΑΝΤΑΚΗ</t>
  </si>
  <si>
    <t>ΕΡΩΦΙΛΗ ΕΛΕΝΗ</t>
  </si>
  <si>
    <t>ΑΙ036255</t>
  </si>
  <si>
    <t>ΑΗ522014</t>
  </si>
  <si>
    <t>ΓΚΑΡΕΛΗΣ</t>
  </si>
  <si>
    <t>ΑΖ980848</t>
  </si>
  <si>
    <t>ΜΑΓΔΑΛΙΝΟΥ</t>
  </si>
  <si>
    <t>ΑΙ135244</t>
  </si>
  <si>
    <t>ΚΟΤΣΙΔΟΥ</t>
  </si>
  <si>
    <t>ΑΛΕΞΑΝΔΡΑ ΔΕΣΠΟΙΝΑ</t>
  </si>
  <si>
    <t>ΑΝ370701</t>
  </si>
  <si>
    <t>ΚΑΡΑΜΠΟΥΛΑ</t>
  </si>
  <si>
    <t>ΑΜ364406</t>
  </si>
  <si>
    <t>ΜΑΛΑΜΑΤΙΝΗ</t>
  </si>
  <si>
    <t>ΑΜ231322</t>
  </si>
  <si>
    <t>ΚΟΥΤΣΙΑΡΑ</t>
  </si>
  <si>
    <t>ΑΙ575290</t>
  </si>
  <si>
    <t>ΠΑΡΝΑΒΕΛΑ</t>
  </si>
  <si>
    <t>ΑΝ352530</t>
  </si>
  <si>
    <t>ΖΕΥΓΟΛΑ</t>
  </si>
  <si>
    <t>ΑΗ681435</t>
  </si>
  <si>
    <t>Φ097472</t>
  </si>
  <si>
    <t>ΜΠΕΛΜΠΑ</t>
  </si>
  <si>
    <t>Ξ662346</t>
  </si>
  <si>
    <t>ΘΩΜΑΚΟΥ</t>
  </si>
  <si>
    <t>ΑΖ527005</t>
  </si>
  <si>
    <t>ΚΑΛΟΥΤΖΗ</t>
  </si>
  <si>
    <t>ΑΗ432867</t>
  </si>
  <si>
    <t>ΑΖ491860</t>
  </si>
  <si>
    <t>ΜΟΥΣΤΑΚΗΣ</t>
  </si>
  <si>
    <t>ΑΕ442422</t>
  </si>
  <si>
    <t>ΑΜ089040</t>
  </si>
  <si>
    <t>ΚΑΛΑIΤΖΙΔΟΥ</t>
  </si>
  <si>
    <t>ΑΒ652978</t>
  </si>
  <si>
    <t>ΑΙ028482</t>
  </si>
  <si>
    <t>ΚΡΕΟΥΖΗ</t>
  </si>
  <si>
    <t>ΑΖ572171</t>
  </si>
  <si>
    <t>ΙΩΝΑ</t>
  </si>
  <si>
    <t>ΑΖ075271</t>
  </si>
  <si>
    <t>ΣΚΑΜΠΑΡΔΩΝΗΣ</t>
  </si>
  <si>
    <t>ΑΗ813816</t>
  </si>
  <si>
    <t>ΑΕ278166</t>
  </si>
  <si>
    <t>ΑΖ939339</t>
  </si>
  <si>
    <t>ΕΛΕΟΥΣΑ ΑΛΕΞΑΝΔΡΑ</t>
  </si>
  <si>
    <t>ΑΒ771962</t>
  </si>
  <si>
    <t>ΑΖ846637</t>
  </si>
  <si>
    <t>Φ267362</t>
  </si>
  <si>
    <t>ΑΖ062087</t>
  </si>
  <si>
    <t>ΑΕ519380</t>
  </si>
  <si>
    <t>ΑΝ667666</t>
  </si>
  <si>
    <t>ΤΖΑΝΕΤΗ</t>
  </si>
  <si>
    <t>ΕΥΑΓΓΕΛΙΑ ΠΑΝΑΓΙΩΤΑ</t>
  </si>
  <si>
    <t>ΑΖ941986</t>
  </si>
  <si>
    <t>Α0076397</t>
  </si>
  <si>
    <t>ΛΕΒΕΝΤΗΣ</t>
  </si>
  <si>
    <t>ΑΖ205327</t>
  </si>
  <si>
    <t>ΣΤΥΛΙΑΝΟΣ ΑΝΑΣΤΑΣΙΟΣ</t>
  </si>
  <si>
    <t>ΑΗ085969</t>
  </si>
  <si>
    <t>ΚΑΡΑΓΚΙΟΖΟΓΛΟΥ</t>
  </si>
  <si>
    <t>ΑΗ236554</t>
  </si>
  <si>
    <t>ΚΑΤΣΙΟΥΛΗ</t>
  </si>
  <si>
    <t>KAΛΛΙΡΡΟΗ</t>
  </si>
  <si>
    <t>ΑΖ698000</t>
  </si>
  <si>
    <t>ΑΟ492678</t>
  </si>
  <si>
    <t>ΛΟΥΚΗ</t>
  </si>
  <si>
    <t>ΑΙ162135</t>
  </si>
  <si>
    <t>ΑΝ262198</t>
  </si>
  <si>
    <t>ΑΝΔΡΙΤΣΟΥ</t>
  </si>
  <si>
    <t>Χ908029</t>
  </si>
  <si>
    <t>ΜΑΡΑΓΚΟΣ</t>
  </si>
  <si>
    <t>ΑΟ023348</t>
  </si>
  <si>
    <t>ΤΣΑΙΤΑ</t>
  </si>
  <si>
    <t>ΓΕΣΘΗΜΑΝΗ ΡΑΦΑΕΛΑ</t>
  </si>
  <si>
    <t>ΑΗ174507</t>
  </si>
  <si>
    <t>ΑΗ491998</t>
  </si>
  <si>
    <t>ΔΕΜΟΥΡΤΖΙΔΟΥ</t>
  </si>
  <si>
    <t>ΑΒ125908</t>
  </si>
  <si>
    <t>ΝΙΟΚΑΣΤΡΙΤΗ</t>
  </si>
  <si>
    <t>ΑΜ778125</t>
  </si>
  <si>
    <t>ΜΠΑΣΙΟΣ</t>
  </si>
  <si>
    <t>ΑΖ740350</t>
  </si>
  <si>
    <t>ΛΙΟΚΑ</t>
  </si>
  <si>
    <t>ΑΒ239378</t>
  </si>
  <si>
    <t>ΑΕ733986</t>
  </si>
  <si>
    <t>ΑΜ649399</t>
  </si>
  <si>
    <t>ΑΗ763557</t>
  </si>
  <si>
    <t>ΝΙΚΟΛΑΤΟΥ</t>
  </si>
  <si>
    <t>ΑΒ076326</t>
  </si>
  <si>
    <t>ΑΙ493799</t>
  </si>
  <si>
    <t>ΚΟΝΤΟΝΙΚΟΛΑΟΥ</t>
  </si>
  <si>
    <t>ΑΖ869132</t>
  </si>
  <si>
    <t>ΑΕ399799</t>
  </si>
  <si>
    <t>ΑΙ088073</t>
  </si>
  <si>
    <t>ΡΙΖΟΠΟΥΛΟΣ</t>
  </si>
  <si>
    <t>ΑΚ680330</t>
  </si>
  <si>
    <t>ΦΑΒΒΑΤΑ</t>
  </si>
  <si>
    <t>ΑΕ266775</t>
  </si>
  <si>
    <t>ΖΑΧΑΡΟΓΙΑΝΝΗ</t>
  </si>
  <si>
    <t>ΑΓΓΕΛΙΚΗ ΒΙΟΛΕΤΤΑ</t>
  </si>
  <si>
    <t>ΑΕ137766</t>
  </si>
  <si>
    <t>ΑΗ281806</t>
  </si>
  <si>
    <t>ΑΟ001121</t>
  </si>
  <si>
    <t>ΤΣΑΝΤΣΟΥΚΑΚΗ</t>
  </si>
  <si>
    <t>ΑΒ026006</t>
  </si>
  <si>
    <t>ΑΑ444237</t>
  </si>
  <si>
    <t>ΑΓΟΡΑΤΣΙΟΥ</t>
  </si>
  <si>
    <t>ΑΟ777611</t>
  </si>
  <si>
    <t>ΑΟ022695</t>
  </si>
  <si>
    <t>ΚΙΟΥΡΚΑΣ</t>
  </si>
  <si>
    <t>ΑΕ822855</t>
  </si>
  <si>
    <t>ΠΑΛΑΣΚΑΣ</t>
  </si>
  <si>
    <t>Τ128491</t>
  </si>
  <si>
    <t>ΙΩΑΝΝΑ ΔΕΣΠΟΙΝΑ</t>
  </si>
  <si>
    <t>ΑΗ618096</t>
  </si>
  <si>
    <t>ΔΙΑΜΑΝΤΑΚΗ</t>
  </si>
  <si>
    <t>ΝΕΦΕΛΗ ΜΑΡΙΑ</t>
  </si>
  <si>
    <t>ΑΖ549062</t>
  </si>
  <si>
    <t>ΑΝ704578</t>
  </si>
  <si>
    <t>ΤΣΕΤΣΟ</t>
  </si>
  <si>
    <t>ΦΕΡΝΤΙΝΑΝΤ</t>
  </si>
  <si>
    <t>ΑΗ799827</t>
  </si>
  <si>
    <t>ΑΕ078061</t>
  </si>
  <si>
    <t>ΣΜΑΙΛΗ</t>
  </si>
  <si>
    <t>ΑΟ192380</t>
  </si>
  <si>
    <t>ΣΑΜΑΝΙΔΟΥ</t>
  </si>
  <si>
    <t>ΕΥΓΝΩΣΙΑ</t>
  </si>
  <si>
    <t>ΑΚ272500</t>
  </si>
  <si>
    <t>ΜΠΟΜΠΟΤΑ</t>
  </si>
  <si>
    <t>ΑΖ581432</t>
  </si>
  <si>
    <t>ΑΘΗΝΑ ΜΑΡΙΑ</t>
  </si>
  <si>
    <t>ΑΜ562122</t>
  </si>
  <si>
    <t>ΣΙΝΑΠΗ</t>
  </si>
  <si>
    <t>ΑΒ681253</t>
  </si>
  <si>
    <t>ΤΡΟΧΙΔΟΥ</t>
  </si>
  <si>
    <t>ΑΖ685732</t>
  </si>
  <si>
    <t>ΣΑΓΩΝΑ</t>
  </si>
  <si>
    <t>ΑΚ407650</t>
  </si>
  <si>
    <t>ΑΕ790042</t>
  </si>
  <si>
    <t>ΔΟΥΛΟΥΔΗ</t>
  </si>
  <si>
    <t>ΜΑΝΟΥΣΗΣ</t>
  </si>
  <si>
    <t>ΓΚΟΥΤΖΕΛΑ</t>
  </si>
  <si>
    <t>ΑΚ947597</t>
  </si>
  <si>
    <t>ΑΒ761065</t>
  </si>
  <si>
    <t>ΑΖ266309</t>
  </si>
  <si>
    <t>ΚΕΡΑΜΙΤΖΗ</t>
  </si>
  <si>
    <t>ΣΚΕΛΚΙΜ</t>
  </si>
  <si>
    <t>ΑΝ195476</t>
  </si>
  <si>
    <t>ΔΙΓΩΝΗΣ</t>
  </si>
  <si>
    <t>ΑΕ284372</t>
  </si>
  <si>
    <t>ΑΗ715209</t>
  </si>
  <si>
    <t>ΑΕ903126</t>
  </si>
  <si>
    <t>ΑΗ766846</t>
  </si>
  <si>
    <t>ΑΖ299520</t>
  </si>
  <si>
    <t>ΑΗ527416</t>
  </si>
  <si>
    <t>ΜΥΡΤΑ</t>
  </si>
  <si>
    <t>Χ614106</t>
  </si>
  <si>
    <t>ΑΒ355974</t>
  </si>
  <si>
    <t>ΑΕ734578</t>
  </si>
  <si>
    <t>ΒΟΖΑΝΗ</t>
  </si>
  <si>
    <t>Σ166379</t>
  </si>
  <si>
    <t>Χ735061</t>
  </si>
  <si>
    <t>ΑΖ170436</t>
  </si>
  <si>
    <t>ΣΙΛΑIΔΗ</t>
  </si>
  <si>
    <t>ΑΕ220129</t>
  </si>
  <si>
    <t>ΑΙ397574</t>
  </si>
  <si>
    <t>ΚΟΧΙΛΑ</t>
  </si>
  <si>
    <t>ΑΕ942344</t>
  </si>
  <si>
    <t>ΚΑΡΑΠΟΥΛΙΟΥ</t>
  </si>
  <si>
    <t>ΑΚ829630</t>
  </si>
  <si>
    <t>ΜΗΝΤΣΙΔΟΥ</t>
  </si>
  <si>
    <t>ΑΜ406600</t>
  </si>
  <si>
    <t>ΑΙ576153</t>
  </si>
  <si>
    <t>ΑΙ283487</t>
  </si>
  <si>
    <t>Χ151102</t>
  </si>
  <si>
    <t>ΑΜ171443</t>
  </si>
  <si>
    <t>ΑΝ757570</t>
  </si>
  <si>
    <t>ΓΚΙΡΤΖΙΜΑΝΗΣ</t>
  </si>
  <si>
    <t>ΑΗ423159</t>
  </si>
  <si>
    <t>ΓΙΔΑ</t>
  </si>
  <si>
    <t>ΑΟ636384</t>
  </si>
  <si>
    <t>ΑΚ888437</t>
  </si>
  <si>
    <t>ΑΜ000114</t>
  </si>
  <si>
    <t>ΤΙΧΑΛΑ</t>
  </si>
  <si>
    <t>ΑΜ868675</t>
  </si>
  <si>
    <t>ΚΑΛΟΧΩΡΙΟΥ</t>
  </si>
  <si>
    <t>Χ032213</t>
  </si>
  <si>
    <t>ΑΖ914782</t>
  </si>
  <si>
    <t>ΑΘΑΝΑΣΙΑΔΗΣ</t>
  </si>
  <si>
    <t>ΑΟ725743</t>
  </si>
  <si>
    <t>ΑΙ444704</t>
  </si>
  <si>
    <t>ΚΑΝΤΖΟΥ</t>
  </si>
  <si>
    <t>ΑΟ123010</t>
  </si>
  <si>
    <t>ΣΕΡΤΗ</t>
  </si>
  <si>
    <t>ΑΗ657979</t>
  </si>
  <si>
    <t>ΔΑΝΙΔΟΥ</t>
  </si>
  <si>
    <t>ΑΝ702892</t>
  </si>
  <si>
    <t>ΝΟΥΣΙΟΥ</t>
  </si>
  <si>
    <t>Χ909423</t>
  </si>
  <si>
    <t>Ρ788588</t>
  </si>
  <si>
    <t xml:space="preserve">ΧΡΥΣΟΥΛΑ </t>
  </si>
  <si>
    <t>Χ913650</t>
  </si>
  <si>
    <t>ΚΑΤΣΑΒΟΥ</t>
  </si>
  <si>
    <t>ΑΒ725791</t>
  </si>
  <si>
    <t>ΖΟΥΛΙΑΤΗ</t>
  </si>
  <si>
    <t>Χ634181</t>
  </si>
  <si>
    <t>ΠΑΣΑ</t>
  </si>
  <si>
    <t>ΑΚ268992</t>
  </si>
  <si>
    <t>ΤΣΙΜΕΡΙΚΑ</t>
  </si>
  <si>
    <t>ΑΙ369676</t>
  </si>
  <si>
    <t>Χ481140</t>
  </si>
  <si>
    <t>ΜΑΡΑΒΕΛΙΑ</t>
  </si>
  <si>
    <t>ΜΙΡΑΝΤΑ ΚΥΡΙΑΚΗ</t>
  </si>
  <si>
    <t>ΑΙ046441</t>
  </si>
  <si>
    <t>Χ623072</t>
  </si>
  <si>
    <t>ΚΑΦΑΡΑΚΗ</t>
  </si>
  <si>
    <t>Φ112316</t>
  </si>
  <si>
    <t>ΑΒ296004</t>
  </si>
  <si>
    <t>ΑΒ918469</t>
  </si>
  <si>
    <t>Φ086382</t>
  </si>
  <si>
    <t>ΚΑΛΑΡΑΚΗ</t>
  </si>
  <si>
    <t>ΑΗ962141</t>
  </si>
  <si>
    <t>ΧΡΙΣΤΙΝΑ ΘΕΟΔΩΡΑ</t>
  </si>
  <si>
    <t>ΑΟ725791</t>
  </si>
  <si>
    <t>ΡΑΠΙ</t>
  </si>
  <si>
    <t>ΓΙΟΡΙΝΑ</t>
  </si>
  <si>
    <t>ΑΝΕΣΤΙ</t>
  </si>
  <si>
    <t>ΑΝ216832</t>
  </si>
  <si>
    <t>ΣΑΛΤΟΥ</t>
  </si>
  <si>
    <t>ΑΖ722545</t>
  </si>
  <si>
    <t>ΑΑ322776</t>
  </si>
  <si>
    <t>ΑΝΑ</t>
  </si>
  <si>
    <t>ΝΟΒΡΟΥΣ</t>
  </si>
  <si>
    <t>ΑΝ167838</t>
  </si>
  <si>
    <t>ΚΡΙΚΗ</t>
  </si>
  <si>
    <t>ΑΗ762403</t>
  </si>
  <si>
    <t>ΓΚΑΡΓΚΟΥΔΗ</t>
  </si>
  <si>
    <t>ΑΖ318284</t>
  </si>
  <si>
    <t>ΕΥΔΟΞΙΑ ΒΑΣΙΛΙΚΗ</t>
  </si>
  <si>
    <t>ΑΖ765588</t>
  </si>
  <si>
    <t>ΚΟΚΤΣΙΔΟΥ</t>
  </si>
  <si>
    <t>ΑΕ401096</t>
  </si>
  <si>
    <t>ΑΕ799015</t>
  </si>
  <si>
    <t>ΑΒ424208</t>
  </si>
  <si>
    <t>ΜΠΑΝΤΟΥΒΕΡΑΚΗ</t>
  </si>
  <si>
    <t>ΑΗ466071</t>
  </si>
  <si>
    <t>ΤΣΟΠΑΝΑΚΟΥ</t>
  </si>
  <si>
    <t>Χ201581</t>
  </si>
  <si>
    <t>ΓΡΑΜΜΑΤΙΑ</t>
  </si>
  <si>
    <t>ΑΒ735222</t>
  </si>
  <si>
    <t>ΡΙΣΙΝΑ ΑΝΔΡΙΑΝΑ</t>
  </si>
  <si>
    <t>ΑΧΙΛΛΕΑ</t>
  </si>
  <si>
    <t>ΑΖ516727</t>
  </si>
  <si>
    <t>ΑΛΟΙΖΟΥ</t>
  </si>
  <si>
    <t>ΑΜ046717</t>
  </si>
  <si>
    <t>Φ317748</t>
  </si>
  <si>
    <t>ΑΒ887590</t>
  </si>
  <si>
    <t>ΟΥΕΡΑ</t>
  </si>
  <si>
    <t>ΑΡΙΑΝΕ</t>
  </si>
  <si>
    <t xml:space="preserve">ΖΑΝ ΜΠΟΣΚΟ </t>
  </si>
  <si>
    <t>ΑΟ045980</t>
  </si>
  <si>
    <t>Χ842916</t>
  </si>
  <si>
    <t>ΠΑΛΑΙΣΤΙΔΟΥ</t>
  </si>
  <si>
    <t>ΑΝ503211</t>
  </si>
  <si>
    <t>ΠΑΠΑΡΙΖΟΣ</t>
  </si>
  <si>
    <t>ΑΜ825284</t>
  </si>
  <si>
    <t>ΣΑΨΑΚΗ</t>
  </si>
  <si>
    <t>ΑΖ721114</t>
  </si>
  <si>
    <t>ΓΥΦΤΟΠΟΥΛΟΥ</t>
  </si>
  <si>
    <t>ΑΜ852132</t>
  </si>
  <si>
    <t>ΑΚ334902</t>
  </si>
  <si>
    <t>ΣΙΝΙΟΡΑΚΗ</t>
  </si>
  <si>
    <t>ΑΑ496756</t>
  </si>
  <si>
    <t>ΑΟ497606</t>
  </si>
  <si>
    <t>ΖΑΡΚΑΔΟΥΛΑΣ</t>
  </si>
  <si>
    <t>ΑΟ296254</t>
  </si>
  <si>
    <t>ΤΣΙΡΩΝΗΣ</t>
  </si>
  <si>
    <t>Χ867704</t>
  </si>
  <si>
    <t>ΑΟ432387</t>
  </si>
  <si>
    <t>Χ177078</t>
  </si>
  <si>
    <t>ΛΟΥΛΟΛΛΑΡΙ</t>
  </si>
  <si>
    <t>ΑΟ329690</t>
  </si>
  <si>
    <t>Χ713969</t>
  </si>
  <si>
    <t>ΑΑ058643</t>
  </si>
  <si>
    <t>ΑΧΛΑΤΗ</t>
  </si>
  <si>
    <t>ΑΕ111856</t>
  </si>
  <si>
    <t>ΑΖ682679</t>
  </si>
  <si>
    <t>ΑΑ263544</t>
  </si>
  <si>
    <t>ΚΑΝΙΜΑ</t>
  </si>
  <si>
    <t>ΑΚ828124</t>
  </si>
  <si>
    <t>ΣΤΑΜΑΤΙΑΔΗ</t>
  </si>
  <si>
    <t>Χ614826</t>
  </si>
  <si>
    <t>ΚΕΛΒΕΡΙΔΟΥ</t>
  </si>
  <si>
    <t>ΕΥΠΡΑΞΙΑ</t>
  </si>
  <si>
    <t>ΑΗ380630</t>
  </si>
  <si>
    <t>ΚΑΤΣΙΚΟΓΙΑΝΝΗ</t>
  </si>
  <si>
    <t>Χ927102</t>
  </si>
  <si>
    <t>ΚΟΝΤΟΦΡΥΟΥ</t>
  </si>
  <si>
    <t>ΙΣΙΔΩΡΑ</t>
  </si>
  <si>
    <t>ΑΑ089618</t>
  </si>
  <si>
    <t>ΣΙΔΗΡΟΠΟΥΛΟΣ</t>
  </si>
  <si>
    <t>ΑΙ355383</t>
  </si>
  <si>
    <t>Χ146718</t>
  </si>
  <si>
    <t>ΜΑΚΡΥΠΟΔΗ</t>
  </si>
  <si>
    <t>ΑΟ430992</t>
  </si>
  <si>
    <t>ΜΠΟΥΝΙΑΣ</t>
  </si>
  <si>
    <t>ΑΙ208701</t>
  </si>
  <si>
    <t>ΙΕΡΕΜΙΑΔΟΥ</t>
  </si>
  <si>
    <t>Χ247126</t>
  </si>
  <si>
    <t>ΑΕ984711</t>
  </si>
  <si>
    <t>ΑΝΔΡΕΑΝΗ ΑΙΚΑΤΕΡΙΝΗ</t>
  </si>
  <si>
    <t>ΑΙ843561</t>
  </si>
  <si>
    <t>ΑΜ608808</t>
  </si>
  <si>
    <t>ΜΠΟΛΟΥ</t>
  </si>
  <si>
    <t>Χ781325</t>
  </si>
  <si>
    <t>ΑΝ713855</t>
  </si>
  <si>
    <t>Φ441723</t>
  </si>
  <si>
    <t>ΕΡΝΙΚΙΟΙΛΗ</t>
  </si>
  <si>
    <t>ΑΗ343823</t>
  </si>
  <si>
    <t>ΑΟ119879</t>
  </si>
  <si>
    <t>ΚΡΙΣΤΙΤΣ</t>
  </si>
  <si>
    <t>ΑΚ851415</t>
  </si>
  <si>
    <t>ΑΒ382065</t>
  </si>
  <si>
    <t>ΣΑΝΤΙΚΑΙ</t>
  </si>
  <si>
    <t>ΚΟΖΜΑ</t>
  </si>
  <si>
    <t>ΑΙ416860</t>
  </si>
  <si>
    <t>ΜΑΘΩΝΑΙΟΥ</t>
  </si>
  <si>
    <t>ΑΜ116207</t>
  </si>
  <si>
    <t>ΑΖ587804</t>
  </si>
  <si>
    <t>ΡΟΙΔΗΣ</t>
  </si>
  <si>
    <t>Φ173025</t>
  </si>
  <si>
    <t>ΑΕ597210</t>
  </si>
  <si>
    <t>ΜΑΓΟΥΛΙΩΤΗ</t>
  </si>
  <si>
    <t>ΑΒ854144</t>
  </si>
  <si>
    <t>ΝΙΟΥΝΙΟΥΣΚΟΥ</t>
  </si>
  <si>
    <t>Φ326700</t>
  </si>
  <si>
    <t>ΚΑΡΑΡΡΗΓΑ</t>
  </si>
  <si>
    <t>ΜΑΡΙΝΑ ΕΛΕΥΘΕΡΙΑ</t>
  </si>
  <si>
    <t>ΑΚ070006</t>
  </si>
  <si>
    <t>ΒΟΓΔΟΠΟΥΛΟΣ</t>
  </si>
  <si>
    <t>ΑΚ981638</t>
  </si>
  <si>
    <t>ΤΖΑΜΠΑΖΗ</t>
  </si>
  <si>
    <t>Ξ785333</t>
  </si>
  <si>
    <t>ΒΑΣΙΛΑΡΟΥ</t>
  </si>
  <si>
    <t>ΑΖ429870</t>
  </si>
  <si>
    <t>ΚΑΡΑΜΠΑΤΗ</t>
  </si>
  <si>
    <t>ΑΖ589308</t>
  </si>
  <si>
    <t>ΑΕ850762</t>
  </si>
  <si>
    <t>Χ093491</t>
  </si>
  <si>
    <t>ΑΚ714408</t>
  </si>
  <si>
    <t>ΑΖ570461</t>
  </si>
  <si>
    <t>ΠΑΠΑΓΕΩΡΓΊΟΥ</t>
  </si>
  <si>
    <t>ΝΊΚΗ</t>
  </si>
  <si>
    <t>ΑΙ842062</t>
  </si>
  <si>
    <t>ΑΟ332681</t>
  </si>
  <si>
    <t>ΑΙ976121</t>
  </si>
  <si>
    <t>ΠΑΠΑΜΙΧΑΛΗ</t>
  </si>
  <si>
    <t>ΑΖ562352</t>
  </si>
  <si>
    <t>ΦΩΤΕΙΝΟΥ</t>
  </si>
  <si>
    <t>ΑΒ614112</t>
  </si>
  <si>
    <t>ΑΛΚΕΤΑ</t>
  </si>
  <si>
    <t>ΑΚ558581</t>
  </si>
  <si>
    <t>ΑΟ869808</t>
  </si>
  <si>
    <t>ΑΟ357179</t>
  </si>
  <si>
    <t>ΑΜ663651</t>
  </si>
  <si>
    <t>ΜΠΟΥΤΟΠΟΥΛΟΥ</t>
  </si>
  <si>
    <t>ΑΟ555540</t>
  </si>
  <si>
    <t>ΑΖ238385</t>
  </si>
  <si>
    <t>ΑΝ173293</t>
  </si>
  <si>
    <t>ΑΑ433039</t>
  </si>
  <si>
    <t>ΛΙΑΡΟΚΑΠΗ</t>
  </si>
  <si>
    <t>ΑΕ246507</t>
  </si>
  <si>
    <t>ΑΕ815660</t>
  </si>
  <si>
    <t>ΞΕΝΙΔΟΥ</t>
  </si>
  <si>
    <t>ΑΒ010230</t>
  </si>
  <si>
    <t>ΑΑ030897</t>
  </si>
  <si>
    <t>ΓΙΩΡΓΗ</t>
  </si>
  <si>
    <t>ΑΜ197594</t>
  </si>
  <si>
    <t>ΠΟΓΡΕΒΝΟΗ</t>
  </si>
  <si>
    <t>ΑΒ167415</t>
  </si>
  <si>
    <t>ΓΙΟΛΔΑΣΗ</t>
  </si>
  <si>
    <t>ΒΑΛΑΣΙΑ ΠΑΡΑΣΚΕΥΗ</t>
  </si>
  <si>
    <t>ΑΜ614769</t>
  </si>
  <si>
    <t>ΛΑΜΠΡΙΑΝΙΔΟΥ</t>
  </si>
  <si>
    <t>ΑΕ360556</t>
  </si>
  <si>
    <t>ΑΚ690703</t>
  </si>
  <si>
    <t>ΑΕ996465</t>
  </si>
  <si>
    <t>ΠΑΡΑΜ</t>
  </si>
  <si>
    <t>ΣΤΕΦΑΝΗ ΜΙΣΕΛ</t>
  </si>
  <si>
    <t>ΤΟΜΑΣ ΕΝΤΓΟΥΙΝ</t>
  </si>
  <si>
    <t>Χ395375</t>
  </si>
  <si>
    <t>ΚΟΥΤΙΝΑ</t>
  </si>
  <si>
    <t>ΑΙ292945</t>
  </si>
  <si>
    <t>ΓΕΩΡΓΙΑΔΗΣ</t>
  </si>
  <si>
    <t>ΑΟ597709</t>
  </si>
  <si>
    <t>ΑΖ294277</t>
  </si>
  <si>
    <t>Ρ331493</t>
  </si>
  <si>
    <t>Χ867381</t>
  </si>
  <si>
    <t>ΜΗΤΣΙΩΝΗ</t>
  </si>
  <si>
    <t>ΑΝΕΤΑ</t>
  </si>
  <si>
    <t>ΑΙ217037</t>
  </si>
  <si>
    <t>ΜΙΧΑΗΛΙΔΗΣ</t>
  </si>
  <si>
    <t>ΑΙ132754</t>
  </si>
  <si>
    <t>ΤΕΤΟΥ</t>
  </si>
  <si>
    <t>ΑΒ448579</t>
  </si>
  <si>
    <t>ΑΝ592778</t>
  </si>
  <si>
    <t>ΕΙΡΗΝΗ ΑΠΟΣΤΟΛΙΑ</t>
  </si>
  <si>
    <t>ΑΙ864946</t>
  </si>
  <si>
    <t>ΑΗ297411</t>
  </si>
  <si>
    <t>ΤΟΥΜΑΣΑΤΟΥ</t>
  </si>
  <si>
    <t>ΑΗ381196</t>
  </si>
  <si>
    <t>ΝΑΟΥΜΗ</t>
  </si>
  <si>
    <t>ΑΟ315109</t>
  </si>
  <si>
    <t>ΜΕΛΟΥ</t>
  </si>
  <si>
    <t>ΑΕ730838</t>
  </si>
  <si>
    <t>ΑΒ884019</t>
  </si>
  <si>
    <t>ΚΛΩΣΤΕΡΙΔΗ</t>
  </si>
  <si>
    <t>ΑΑ998006</t>
  </si>
  <si>
    <t>ΤΣΑΓΚΟΥ</t>
  </si>
  <si>
    <t>ΑΒ225258</t>
  </si>
  <si>
    <t>ΑΗ745186</t>
  </si>
  <si>
    <t>ΠΡΟΙΚΟΣ</t>
  </si>
  <si>
    <t>ΑΖ306403</t>
  </si>
  <si>
    <t xml:space="preserve">ΚΑΖΑΛΑ </t>
  </si>
  <si>
    <t xml:space="preserve">ΑΛΕΞΑΝΔΡΑ ΜΑΡΙΑ </t>
  </si>
  <si>
    <t>ΑΗ500522</t>
  </si>
  <si>
    <t>ΚΟΥΤΟΥΡΙΝΗ</t>
  </si>
  <si>
    <t>ΑΕ283798</t>
  </si>
  <si>
    <t>Ρ782544</t>
  </si>
  <si>
    <t>ΑΙΚΑΤΕΡΙΝΗ ΑΝΑΣΤΑΣΙΑ</t>
  </si>
  <si>
    <t>ΑΙ867740</t>
  </si>
  <si>
    <t>ΧΑΡΑΚΙΔΑ</t>
  </si>
  <si>
    <t>ΑΒ279608</t>
  </si>
  <si>
    <t>Π174226</t>
  </si>
  <si>
    <t>ΑΟ019819</t>
  </si>
  <si>
    <t>ΑΠΙΔΙΑΛΗ</t>
  </si>
  <si>
    <t>Φ493381</t>
  </si>
  <si>
    <t>Φ474807</t>
  </si>
  <si>
    <t>ΔΙΑΜΑΝΤΙΔΗΣ</t>
  </si>
  <si>
    <t>ΕΚΤΟΡΑΣ</t>
  </si>
  <si>
    <t>ΑΚ047449</t>
  </si>
  <si>
    <t>ΑΝ995912</t>
  </si>
  <si>
    <t>ΑΒ078905</t>
  </si>
  <si>
    <t>ILIA</t>
  </si>
  <si>
    <t>ΑΝ371401</t>
  </si>
  <si>
    <t>ΑΟ424670</t>
  </si>
  <si>
    <t>ΧΙΩΤΑΚΗ</t>
  </si>
  <si>
    <t>ΑΗ769284</t>
  </si>
  <si>
    <t>ΠΡΙΟΒΟΛΟΥ</t>
  </si>
  <si>
    <t>ΑΝ241658</t>
  </si>
  <si>
    <t>ΤΣΑΟΥΣΙΔΗΣ</t>
  </si>
  <si>
    <t>ΑΜ914152</t>
  </si>
  <si>
    <t>ΑΗ594872</t>
  </si>
  <si>
    <t>ΑΗ736696</t>
  </si>
  <si>
    <t>ΤΡΥΠΑΣ</t>
  </si>
  <si>
    <t>ΑΑ348798</t>
  </si>
  <si>
    <t>ΠΑΠΑΔΙΑΣ</t>
  </si>
  <si>
    <t>Χ367493</t>
  </si>
  <si>
    <t>ΜΑΡΓΙΟΛΑΚΗ</t>
  </si>
  <si>
    <t>ΑΙ442982</t>
  </si>
  <si>
    <t>ΑΝ294861</t>
  </si>
  <si>
    <t>ΑΙ031775</t>
  </si>
  <si>
    <t>ΑΕ646061</t>
  </si>
  <si>
    <t>ΑΗ677351</t>
  </si>
  <si>
    <t>ΠΕΡΒΟΛΑΡΑΚΗ</t>
  </si>
  <si>
    <t>ΑΝ481339</t>
  </si>
  <si>
    <t>ΤΖΟΥΤΖΟΜΗΤΡΟΥ</t>
  </si>
  <si>
    <t>ΑΝ147128</t>
  </si>
  <si>
    <t>ΜΠΑΝΤΑΒΗ</t>
  </si>
  <si>
    <t>ΑΗ267376</t>
  </si>
  <si>
    <t>ΑΙ158764</t>
  </si>
  <si>
    <t>ΣΙΟΥΣΤΗ</t>
  </si>
  <si>
    <t>ΑΗ673031</t>
  </si>
  <si>
    <t>ΚΑΦΟΥΡΟΥ</t>
  </si>
  <si>
    <t>ΑΙ050723</t>
  </si>
  <si>
    <t>ΒΑΙΝΑ</t>
  </si>
  <si>
    <t>ΑΟ055265</t>
  </si>
  <si>
    <t>ΔΕΡΕΚΛΗ</t>
  </si>
  <si>
    <t>ΑΒ490442</t>
  </si>
  <si>
    <t>ΓΚΟΛΤΣΗ</t>
  </si>
  <si>
    <t>ΑΕ343671</t>
  </si>
  <si>
    <t>ΜΠΟΥΦΙΚΟΥ</t>
  </si>
  <si>
    <t>ΑΙ287133</t>
  </si>
  <si>
    <t>ΦΡΑΓΚΟΠΟΥΛΟΣ</t>
  </si>
  <si>
    <t>ΑΗ196013</t>
  </si>
  <si>
    <t>ΑΟ774735</t>
  </si>
  <si>
    <t>ΧΙΩΤΕΡΗΣ</t>
  </si>
  <si>
    <t>ΑΖ183717</t>
  </si>
  <si>
    <t>ΑΑ977601</t>
  </si>
  <si>
    <t>ΑΖ797962</t>
  </si>
  <si>
    <t>ΤΣΑΝΤΑΡΛΙΩΤΗΣ</t>
  </si>
  <si>
    <t>ΑΝ802443</t>
  </si>
  <si>
    <t>ΜΙΧΑΛΙΤΣΗ</t>
  </si>
  <si>
    <t>ΑΖ152175</t>
  </si>
  <si>
    <t>ΑΚ479832</t>
  </si>
  <si>
    <t>ΚΑΛΟΓΡΙΟΠΟΥΛΟΣ</t>
  </si>
  <si>
    <t>Χ634553</t>
  </si>
  <si>
    <t>ΑΚ392413</t>
  </si>
  <si>
    <t>ΑΜ241567</t>
  </si>
  <si>
    <t>ΜΑΓΓΕΙΡΗ</t>
  </si>
  <si>
    <t>ΑΗ658978</t>
  </si>
  <si>
    <t>ΑΕ158497</t>
  </si>
  <si>
    <t>ΧΑΡΑΛΑΜΠΟΠΟΥΛΟΣ</t>
  </si>
  <si>
    <t>ΑΗ148444</t>
  </si>
  <si>
    <t>ΒΑΣΔΕΚΗ</t>
  </si>
  <si>
    <t>ΑΖ292422</t>
  </si>
  <si>
    <t>ΑΖ299337</t>
  </si>
  <si>
    <t>ΜΕΡΟΥ</t>
  </si>
  <si>
    <t>ΑΖ951150</t>
  </si>
  <si>
    <t>ΜΟΣΧΟΒΙΤΗΣ</t>
  </si>
  <si>
    <t>Τ421176</t>
  </si>
  <si>
    <t>ΑΟ365596</t>
  </si>
  <si>
    <t>ΚΟΝΙΤΟΠΟΥΛΟΣ</t>
  </si>
  <si>
    <t>ΑΜ534765</t>
  </si>
  <si>
    <t>ΛΑΚΗΣ</t>
  </si>
  <si>
    <t>ΑΝ323253</t>
  </si>
  <si>
    <t>ΑΖ559029</t>
  </si>
  <si>
    <t>ΕΥΔΟΚΙΑ ΜΑΡΙΑ</t>
  </si>
  <si>
    <t>ΑΕ081640</t>
  </si>
  <si>
    <t>ΒΡΑΧΑ</t>
  </si>
  <si>
    <t>ΑΗ511625</t>
  </si>
  <si>
    <t>ΑΝ403953</t>
  </si>
  <si>
    <t>ΑΚ660188</t>
  </si>
  <si>
    <t>ΠΡΑΤΙΚΑΚΗ</t>
  </si>
  <si>
    <t>ΑΖ577482</t>
  </si>
  <si>
    <t>ΡΟΜΠΟΥ</t>
  </si>
  <si>
    <t>ΡΟΔΟΥΣΑΚΗΣ</t>
  </si>
  <si>
    <t>ΑΕ535530</t>
  </si>
  <si>
    <t>ΚΡΙΣΙΛΙΑ</t>
  </si>
  <si>
    <t>ΑΙ987513</t>
  </si>
  <si>
    <t>ΑΖ082607</t>
  </si>
  <si>
    <t>ΣΚΟΠΕΛΙΤΟΥ</t>
  </si>
  <si>
    <t>ΑΙ653810</t>
  </si>
  <si>
    <t>ΤΣΙΤΣΙΚΑ</t>
  </si>
  <si>
    <t>ΑΜ038021</t>
  </si>
  <si>
    <t>ΑΜ465128</t>
  </si>
  <si>
    <t>ΤΑΡΕΝΙΔΟΥ</t>
  </si>
  <si>
    <t>ΑΜ665574</t>
  </si>
  <si>
    <t>ΚΕΡΗ</t>
  </si>
  <si>
    <t>ΕΛΕΝΗ ΣΩΤΗΡΙΑ</t>
  </si>
  <si>
    <t>ΑΗ594816</t>
  </si>
  <si>
    <t>ΑΒ413015</t>
  </si>
  <si>
    <t>Φ289502</t>
  </si>
  <si>
    <t>ΣΑΡΑΝΤΟΠOΥΛΟΥ</t>
  </si>
  <si>
    <t>Χ150637</t>
  </si>
  <si>
    <t>ΚΩΣΤΑΡΕΛΟΣ</t>
  </si>
  <si>
    <t>ΑΖ718097</t>
  </si>
  <si>
    <t>ΑΚ764771</t>
  </si>
  <si>
    <t>ΜΠΙΛΙΜΑΝΑΙ</t>
  </si>
  <si>
    <t>ΤΖΙΜΗ</t>
  </si>
  <si>
    <t>ΑΜ604967</t>
  </si>
  <si>
    <t>ΣΑΜΠΟΥΡΔΑΝΗ</t>
  </si>
  <si>
    <t>ΑΖ675052</t>
  </si>
  <si>
    <t>ΑΗ338174</t>
  </si>
  <si>
    <t>ΠΑΠΑΓΙΑΝΝΗΣ</t>
  </si>
  <si>
    <t>ΑΒ422063</t>
  </si>
  <si>
    <t>ΔΑΡΑ</t>
  </si>
  <si>
    <t>ΑΟ432045</t>
  </si>
  <si>
    <t>ΑΙ002476</t>
  </si>
  <si>
    <t>ΓΚΕΖΕΡΛΗ</t>
  </si>
  <si>
    <t>Χ030168</t>
  </si>
  <si>
    <t>ΑΖ711672</t>
  </si>
  <si>
    <t>ΣΙΔΗΡΟΚΑΛΤΣΗ</t>
  </si>
  <si>
    <t>Σ614311</t>
  </si>
  <si>
    <t>ΡΟΖΑΛΙΑ</t>
  </si>
  <si>
    <t>ΑΖ528413</t>
  </si>
  <si>
    <t>ΦΛΑΜΟΥΡΟΠΟΥΛΟΥ</t>
  </si>
  <si>
    <t>ΑΝ197613</t>
  </si>
  <si>
    <t>ΤΣΙΟΥΜΑΡΗΣ</t>
  </si>
  <si>
    <t>ΑΝ702545</t>
  </si>
  <si>
    <t>ΝΤΟΚΟΜΕ</t>
  </si>
  <si>
    <t>Φ257502</t>
  </si>
  <si>
    <t>ΔΟΓΑ</t>
  </si>
  <si>
    <t>ΑΒ230296</t>
  </si>
  <si>
    <t>Χ477001</t>
  </si>
  <si>
    <t>ΚΑΠΑΡΟΥΝΑΚΗ</t>
  </si>
  <si>
    <t>ΑΜ957269</t>
  </si>
  <si>
    <t>ΖΑΧΑΡΙΟΥΔΑΚΗΣ ΑΠΕΛΙΔΗΣ</t>
  </si>
  <si>
    <t>ΑΚ468765</t>
  </si>
  <si>
    <t>Χ366024</t>
  </si>
  <si>
    <t>ΓΑΛΕΑ</t>
  </si>
  <si>
    <t>ΑΚ259038</t>
  </si>
  <si>
    <t>ΑΝ105564</t>
  </si>
  <si>
    <t>ΑΖ287913</t>
  </si>
  <si>
    <t>ΒΙΡΤΖΙΝΙΑ</t>
  </si>
  <si>
    <t>ΑΚ379956</t>
  </si>
  <si>
    <t>ΑΒ766262</t>
  </si>
  <si>
    <t>ΓΩΝΙΟΠΟΥΛΟΥ</t>
  </si>
  <si>
    <t>ΑΗ340717</t>
  </si>
  <si>
    <t>Χ365083</t>
  </si>
  <si>
    <t>ΜΠΑΡΜΠΑΡΗ</t>
  </si>
  <si>
    <t>ΑΜ572365</t>
  </si>
  <si>
    <t>ΤΖΑΤΖΑΝΙΤΖΕ</t>
  </si>
  <si>
    <t>ΤΑΜΑΡΙ</t>
  </si>
  <si>
    <t>ΓΚΟΤΣΑ</t>
  </si>
  <si>
    <t>ΑΟ146702</t>
  </si>
  <si>
    <t>ΑΖ081220</t>
  </si>
  <si>
    <t>ΤΖΙΑΦΑΣ</t>
  </si>
  <si>
    <t>ΑΝ364337</t>
  </si>
  <si>
    <t>ΚΟΚΟΝΟΖΑΚΗ</t>
  </si>
  <si>
    <t>Π358084</t>
  </si>
  <si>
    <t xml:space="preserve">ΒΑΛΕΝΤΙΝΑ </t>
  </si>
  <si>
    <t>ΑΡ033076</t>
  </si>
  <si>
    <t>ΧΟΛΗ</t>
  </si>
  <si>
    <t>ΑΙ691757</t>
  </si>
  <si>
    <t>ΓΚΟΥΤΖΙΩΤΟΥ</t>
  </si>
  <si>
    <t>ΑΗ190103</t>
  </si>
  <si>
    <t>ΚΟΥΦΟΥΔΑΚΗ</t>
  </si>
  <si>
    <t>ΑΑ494917</t>
  </si>
  <si>
    <t>Χ965914</t>
  </si>
  <si>
    <t>ΑΖ767936</t>
  </si>
  <si>
    <t>ΛΑΖΑΡΙΔΗΣ</t>
  </si>
  <si>
    <t>ΑΚ965831</t>
  </si>
  <si>
    <t>ΜΠΑΣΙΡ ΑΜΠΤΟΥΛ ΣΑΜΑΝΤ</t>
  </si>
  <si>
    <t>ΑΗ576233</t>
  </si>
  <si>
    <t>ΚΩΦΙΑΔΗΣ</t>
  </si>
  <si>
    <t>ΑΖ662349</t>
  </si>
  <si>
    <t>ΤΖΟΛΑ</t>
  </si>
  <si>
    <t>ΑΙ202292</t>
  </si>
  <si>
    <t>ΓΙΑΡΚΙΑ</t>
  </si>
  <si>
    <t>ΑΗ702190</t>
  </si>
  <si>
    <t>ΚΡΑΒΑΡΙΤΗ</t>
  </si>
  <si>
    <t>Φ337139</t>
  </si>
  <si>
    <t>Χ216513</t>
  </si>
  <si>
    <t>ΑΝ833502</t>
  </si>
  <si>
    <t>ΛΥΡΑΚΟΥ</t>
  </si>
  <si>
    <t>ΠΑΝΑΓΙΩΤΑ ΜΑΡΙΚΑ</t>
  </si>
  <si>
    <t>ΑΜ201756</t>
  </si>
  <si>
    <t>ΚΛΟΥΒΑΚΗ</t>
  </si>
  <si>
    <t>ΑΖ438235</t>
  </si>
  <si>
    <t>Χ717867</t>
  </si>
  <si>
    <t>ΑΜ273978</t>
  </si>
  <si>
    <t>ΤΖΑΒΙΔΟΥ</t>
  </si>
  <si>
    <t>ΑΝ068058</t>
  </si>
  <si>
    <t>ΛΕΤΣΟΥ</t>
  </si>
  <si>
    <t>ΑΖ723223</t>
  </si>
  <si>
    <t>ΞΕΝΟΣ</t>
  </si>
  <si>
    <t>ΑΒ630922</t>
  </si>
  <si>
    <t>Τ491498</t>
  </si>
  <si>
    <t>ΛΙΝΟ</t>
  </si>
  <si>
    <t>ΙΒΑ</t>
  </si>
  <si>
    <t>ΑΟ064814</t>
  </si>
  <si>
    <t>ΑΖ305278</t>
  </si>
  <si>
    <t>ΕΛEΝΗ</t>
  </si>
  <si>
    <t>Χ977524</t>
  </si>
  <si>
    <t>ΑΒ364179</t>
  </si>
  <si>
    <t>ΚΕΡΜΕΛΗ</t>
  </si>
  <si>
    <t>ΑΜ836113</t>
  </si>
  <si>
    <t>ΜΠΑΛΙΑΣΗ</t>
  </si>
  <si>
    <t>ΑΙ971949</t>
  </si>
  <si>
    <t>Φ125974</t>
  </si>
  <si>
    <t>ΜΠΑΛΤΑΚΗ</t>
  </si>
  <si>
    <t>ΑΙ391507</t>
  </si>
  <si>
    <t>ΑΟ860787</t>
  </si>
  <si>
    <t>ΒΕΛΟΓΛΟΥ</t>
  </si>
  <si>
    <t>ΑΟ419892</t>
  </si>
  <si>
    <t>ΑΖ146733</t>
  </si>
  <si>
    <t>ΚΑΡΑΔΕΝΙΣΛΗ</t>
  </si>
  <si>
    <t>ΑΙ568626</t>
  </si>
  <si>
    <t>ΑΜ257934</t>
  </si>
  <si>
    <t>Φ063882</t>
  </si>
  <si>
    <t>ΕΥΣΤΑΘΙΑΔΗΣ</t>
  </si>
  <si>
    <t>ΘΕΟΓΕΝΗΣ</t>
  </si>
  <si>
    <t>ΑΟ249045</t>
  </si>
  <si>
    <t>ΣΙΜΟΝΙ</t>
  </si>
  <si>
    <t>ΛΕΙΝΤΙΑ</t>
  </si>
  <si>
    <t>ΠΕΤΡΙΚΑ</t>
  </si>
  <si>
    <t>ΑΝ232349</t>
  </si>
  <si>
    <t>ΑΑ980685</t>
  </si>
  <si>
    <t>ΑΒ216582</t>
  </si>
  <si>
    <t>ΜΟΥΝΤΕ</t>
  </si>
  <si>
    <t>ΑΗ435090</t>
  </si>
  <si>
    <t>ΘΕΛΕΡΙΤΗΣ</t>
  </si>
  <si>
    <t>ΑΜ761918</t>
  </si>
  <si>
    <t>ΜΠΑΜΠΑΙΤΗ</t>
  </si>
  <si>
    <t>Χ942869</t>
  </si>
  <si>
    <t>ΖΑΒΕΡΔΙΝΟΥ</t>
  </si>
  <si>
    <t>ΑΙ479643</t>
  </si>
  <si>
    <t>ΑΗ967787</t>
  </si>
  <si>
    <t>ΑΚ336311</t>
  </si>
  <si>
    <t>ΑΟ219796</t>
  </si>
  <si>
    <t>ΑΗ565182</t>
  </si>
  <si>
    <t>Χ907996</t>
  </si>
  <si>
    <t>ΤΣΟΡΜΠΑΤΖΟΓΛΟΥ</t>
  </si>
  <si>
    <t>ΑΖ644851</t>
  </si>
  <si>
    <t>ΑΝ035597</t>
  </si>
  <si>
    <t>ΠΕΣΚΟΥ</t>
  </si>
  <si>
    <t>ΒΑΓΓΕΛ</t>
  </si>
  <si>
    <t>ΑΚ626749</t>
  </si>
  <si>
    <t>ΜΠΟΥΝΤΑΛΗ</t>
  </si>
  <si>
    <t>ΑΚ528164</t>
  </si>
  <si>
    <t>ΝΤΑΒΕΛΑ</t>
  </si>
  <si>
    <t>ΙΟΥΛΙΕΤΑ</t>
  </si>
  <si>
    <t>ΑΙ661344</t>
  </si>
  <si>
    <t xml:space="preserve">ΑΣΠΡΟΥΔΗ </t>
  </si>
  <si>
    <t xml:space="preserve">ΑΘΑΝΑΣΙΑ </t>
  </si>
  <si>
    <t>ΑΙ779620</t>
  </si>
  <si>
    <t>ΖΑΙΛΗ ΤΑΓΙΑΡ</t>
  </si>
  <si>
    <t>ΑΜ198439</t>
  </si>
  <si>
    <t>ΑΒ754879</t>
  </si>
  <si>
    <t>ΑΝΑΣΤΑΣΟΠΟΥΛΟΣ</t>
  </si>
  <si>
    <t>Χ271759</t>
  </si>
  <si>
    <t>ΜΠΟΥΖΑ</t>
  </si>
  <si>
    <t>ΑΖ134367</t>
  </si>
  <si>
    <t>ΚΟΥΤΣΑΝΔΡΕΑ</t>
  </si>
  <si>
    <t>ΜΑΡΙΑ ΑΝΔΡΙΑΝΑ</t>
  </si>
  <si>
    <t>ΑΙ054991</t>
  </si>
  <si>
    <t>ΑΖ030378</t>
  </si>
  <si>
    <t>ΦΑΤΙΟΝΑ</t>
  </si>
  <si>
    <t>ΑΙ857269</t>
  </si>
  <si>
    <t>ΞΥΛΙΑ</t>
  </si>
  <si>
    <t>ΑΖ568021</t>
  </si>
  <si>
    <t>ΧΑΛΒΑΝΤΖΗ</t>
  </si>
  <si>
    <t>ΑΝ855289</t>
  </si>
  <si>
    <t>ΒΕΝΙΕΡΗ</t>
  </si>
  <si>
    <t>ΦΡΑΝΤΖΕΣΚΟΣ</t>
  </si>
  <si>
    <t>ΑΗ082309</t>
  </si>
  <si>
    <t>ΣΕΛΙΩΝΗ</t>
  </si>
  <si>
    <t>ΑΟ355184</t>
  </si>
  <si>
    <t>ΑΙ946445</t>
  </si>
  <si>
    <t>ΣΑΙΣΑΝΑ</t>
  </si>
  <si>
    <t>ΑΙ797848</t>
  </si>
  <si>
    <t>ΚΑΡΑΓΕΩΡΓΗ</t>
  </si>
  <si>
    <t>Χ391861</t>
  </si>
  <si>
    <t>ΤΣΙΤΖΙΛΩΝΗ</t>
  </si>
  <si>
    <t>ΑΗ227430</t>
  </si>
  <si>
    <t>ΑΗ060486</t>
  </si>
  <si>
    <t>ΤΑΙΦΥΡΙΑΝΟΥ</t>
  </si>
  <si>
    <t>Χ450568</t>
  </si>
  <si>
    <t>ΞΑΡΧΑΚΟΥ</t>
  </si>
  <si>
    <t>ΑΟ163596</t>
  </si>
  <si>
    <t>ΣΑΡΔΕΛΗ</t>
  </si>
  <si>
    <t>Φ130018</t>
  </si>
  <si>
    <t>ΚΩΣΤΑΒΑΣΙΛΗ</t>
  </si>
  <si>
    <t>Φ015835</t>
  </si>
  <si>
    <t>ΑΛΚΑΛΑΗ</t>
  </si>
  <si>
    <t>ΠΑΤΡΙΤΣΙΑ</t>
  </si>
  <si>
    <t>ΑΜ114279</t>
  </si>
  <si>
    <t>ΑΙ244298</t>
  </si>
  <si>
    <t>ΧΑΣΑΝΔΡΑ</t>
  </si>
  <si>
    <t>ΑΑ354911</t>
  </si>
  <si>
    <t>ΜΠΑΛΑΝΟΥ</t>
  </si>
  <si>
    <t>ΑΚ012686</t>
  </si>
  <si>
    <t>ΠΑΝΤΕΛΙΚΙΖΗ</t>
  </si>
  <si>
    <t>Χ198842</t>
  </si>
  <si>
    <t>ΚΑΡΑΚΟΛΙΟΥ</t>
  </si>
  <si>
    <t>ΑΗ692128</t>
  </si>
  <si>
    <t>ΑΒ674904</t>
  </si>
  <si>
    <t>ΑΙ805689</t>
  </si>
  <si>
    <t>ΑΕ962676</t>
  </si>
  <si>
    <t>ΠΑΝΑΓΙΩΤΗ ΔΗΜΟΥ</t>
  </si>
  <si>
    <t>ΑΚ289716</t>
  </si>
  <si>
    <t>ΜΥΤΑΡΗ</t>
  </si>
  <si>
    <t>ΑΙ252515</t>
  </si>
  <si>
    <t>ΧΑΤΖΗΤΣΟΛΙΔΗΣ</t>
  </si>
  <si>
    <t>ΑΗ770083</t>
  </si>
  <si>
    <t>ΤΖΙΩΛΟΥ</t>
  </si>
  <si>
    <t>ΑΚ230657</t>
  </si>
  <si>
    <t>ΑΚ902932</t>
  </si>
  <si>
    <t>ΑΒ137365</t>
  </si>
  <si>
    <t>ΣΚΡΕΠΕΤΟΥ</t>
  </si>
  <si>
    <t>ΑΕ486943</t>
  </si>
  <si>
    <t>ΑΙ874176</t>
  </si>
  <si>
    <t>ΑΡΣΕΝΙΑ</t>
  </si>
  <si>
    <t>ΑΝ198789</t>
  </si>
  <si>
    <t>ΝΕΜΤΣΗ</t>
  </si>
  <si>
    <t>ΑΒ115433</t>
  </si>
  <si>
    <t>ΜΠΑΧΟΥ</t>
  </si>
  <si>
    <t>Φ241792</t>
  </si>
  <si>
    <t>ΑΕ246002</t>
  </si>
  <si>
    <t>ΜΑΡΝΕΖΗ</t>
  </si>
  <si>
    <t>ΑΙ789412</t>
  </si>
  <si>
    <t>ΜΙΧΑΕΛΑ ΑΔΑΜΑΝΤΙΑ</t>
  </si>
  <si>
    <t>ΑΗ986613</t>
  </si>
  <si>
    <t>ΑΒ420143</t>
  </si>
  <si>
    <t>ΑΙ303480</t>
  </si>
  <si>
    <t>ΒΕΡΟΝΙΚΑ ΖΩΗ</t>
  </si>
  <si>
    <t>ΑΗ734071</t>
  </si>
  <si>
    <t>ΑΝ183271</t>
  </si>
  <si>
    <t>ΒΙΚΕΛΗ</t>
  </si>
  <si>
    <t>ΔΗΜΗΤΡΑ ΕΜΜΑΝΟΥΕΛΑ</t>
  </si>
  <si>
    <t>ΑΖ573087</t>
  </si>
  <si>
    <t>ΑΖ765373</t>
  </si>
  <si>
    <t>ΑΛΕΞΑΝΔΡΟΠΟΥΛΟΥ</t>
  </si>
  <si>
    <t>Χ585826</t>
  </si>
  <si>
    <t>ΑΝΔΡΙΑ</t>
  </si>
  <si>
    <t>ΑΕ842928</t>
  </si>
  <si>
    <t>ΧΡΙΣΤΙΝΑ ΑΚΤΙΝΑ</t>
  </si>
  <si>
    <t>ΑΗ184929</t>
  </si>
  <si>
    <t>ΤΣΙΚΡΙΚΑ</t>
  </si>
  <si>
    <t>ΑΕ264663</t>
  </si>
  <si>
    <t>ΑΝ220767</t>
  </si>
  <si>
    <t>ΤΣΑΟΥΣΙΔΟΥ</t>
  </si>
  <si>
    <t>ΑΝ344343</t>
  </si>
  <si>
    <t>ΑΕ963978</t>
  </si>
  <si>
    <t>ΑΖ311840</t>
  </si>
  <si>
    <t>ΑΙ279663</t>
  </si>
  <si>
    <t>Χ363049</t>
  </si>
  <si>
    <t>ΣΑΡΟΥΤΖΙΔΗ</t>
  </si>
  <si>
    <t>Χ726212</t>
  </si>
  <si>
    <t>ΣΠΥΡΑΚΟΥ</t>
  </si>
  <si>
    <t>ΑΑ323039</t>
  </si>
  <si>
    <t>ΡΗΓΑΤΟΣ</t>
  </si>
  <si>
    <t>ΑΖ204154</t>
  </si>
  <si>
    <t>ΟΡΦΑΝΛΗ</t>
  </si>
  <si>
    <t>ΑΜ683653</t>
  </si>
  <si>
    <t>ΝΟΥΣΚΑΛΗ</t>
  </si>
  <si>
    <t>ΑΖ670120</t>
  </si>
  <si>
    <t>ΖΑΜΟΥΡΙΔΟΥ</t>
  </si>
  <si>
    <t>ΑΕ641733</t>
  </si>
  <si>
    <t>ΑΗ641096</t>
  </si>
  <si>
    <t>ΣΑΜΟΛΑΔΑ</t>
  </si>
  <si>
    <t>ΑΗ347387</t>
  </si>
  <si>
    <t>ΠΑΡΔΑΛΙΔΟΥ</t>
  </si>
  <si>
    <t>ΑΟ234885</t>
  </si>
  <si>
    <t>ΑΙ968088</t>
  </si>
  <si>
    <t>ΑΖ327032</t>
  </si>
  <si>
    <t>ΜΠΟΤΣΑΡΗ</t>
  </si>
  <si>
    <t>Τ014177</t>
  </si>
  <si>
    <t>ΤΑΡΑΤΟΡΗ</t>
  </si>
  <si>
    <t>ΑΜ973422</t>
  </si>
  <si>
    <t>Χ345566</t>
  </si>
  <si>
    <t>ΑΗ044831</t>
  </si>
  <si>
    <t>Τ919449</t>
  </si>
  <si>
    <t>ΚΥΠΡΗ</t>
  </si>
  <si>
    <t>ΑΕ090442</t>
  </si>
  <si>
    <t>ΣΙΑΚΚΑ</t>
  </si>
  <si>
    <t>ΑΝ747190</t>
  </si>
  <si>
    <t>ΑΖ848559</t>
  </si>
  <si>
    <t>ΠΟΛΙΤΙΔΟΥ</t>
  </si>
  <si>
    <t>ΑΝ727993</t>
  </si>
  <si>
    <t>ΜΑΝΤΟΓΛΟΥ</t>
  </si>
  <si>
    <t>ΑΚ134397</t>
  </si>
  <si>
    <t xml:space="preserve">ΧΑΤΖΗ </t>
  </si>
  <si>
    <t>ΑΗ761830</t>
  </si>
  <si>
    <t>ΜΠΟΤΣΙΟΥ</t>
  </si>
  <si>
    <t>ΑΒ452726</t>
  </si>
  <si>
    <t>ΑΜΠΑΡΗΣ</t>
  </si>
  <si>
    <t>Χ451695</t>
  </si>
  <si>
    <t>ΤΣΟΥΚΑΙ</t>
  </si>
  <si>
    <t>ΚΛΕΜΕΝΤ</t>
  </si>
  <si>
    <t>ΑΚ406295</t>
  </si>
  <si>
    <t>ΚΑΡΙΠΙΔΟΥ</t>
  </si>
  <si>
    <t>ΑΖ136129</t>
  </si>
  <si>
    <t>ΑΖ720418</t>
  </si>
  <si>
    <t>ΜΑΝΕΛΙΔΗΣ</t>
  </si>
  <si>
    <t>ΑΑ239788</t>
  </si>
  <si>
    <t>ΜΠΑΙΡΑΜΙΔΟΥ</t>
  </si>
  <si>
    <t>ΑΑ248459</t>
  </si>
  <si>
    <t>ΜΠΟΥΝΙΑ</t>
  </si>
  <si>
    <t>Φ016748</t>
  </si>
  <si>
    <t>ΤΣΟΜΠΑΝΟΥΔΗ</t>
  </si>
  <si>
    <t>Ρ973555</t>
  </si>
  <si>
    <t>ΑΕ691783</t>
  </si>
  <si>
    <t>ΑΠΟΣΟΓΛΟΥ</t>
  </si>
  <si>
    <t>Τ914628</t>
  </si>
  <si>
    <t>ΑΙ858992</t>
  </si>
  <si>
    <t>ΑΙ227541</t>
  </si>
  <si>
    <t>ΑΗ584387</t>
  </si>
  <si>
    <t>ΑΒ217302</t>
  </si>
  <si>
    <t>ΛΕΚΟΥΣΗ</t>
  </si>
  <si>
    <t>ΜΑΓΔΑΛΕΝΑ ΘΕΚΛΑ</t>
  </si>
  <si>
    <t>ΑΝ432035</t>
  </si>
  <si>
    <t>Χ768847</t>
  </si>
  <si>
    <t>ΑΕ972446</t>
  </si>
  <si>
    <t>ΚΟΛΟΝΕΛΟΥ</t>
  </si>
  <si>
    <t>ΑΚ787241</t>
  </si>
  <si>
    <t>Φ487516</t>
  </si>
  <si>
    <t>ΣΑΙΔΕ</t>
  </si>
  <si>
    <t>Χ457730</t>
  </si>
  <si>
    <t>ΝΟΥΜΕΡΤΖΗ</t>
  </si>
  <si>
    <t>ΑΝ913772</t>
  </si>
  <si>
    <t>ΝΤΑΛΙΠΙ</t>
  </si>
  <si>
    <t>ΡΕΤΖΙΝΑ</t>
  </si>
  <si>
    <t>ΡΕΤΖΕΠ</t>
  </si>
  <si>
    <t>ΑΝ514246</t>
  </si>
  <si>
    <t>ΖΑΛΟΥΜΗ</t>
  </si>
  <si>
    <t>ΑΒ799007</t>
  </si>
  <si>
    <t>ΑΚ654522</t>
  </si>
  <si>
    <t>ΑΒ807114</t>
  </si>
  <si>
    <t>ΠΛΑΧΟΥΡΑΣ</t>
  </si>
  <si>
    <t>Σ879037</t>
  </si>
  <si>
    <t>ΦΙΛΗ</t>
  </si>
  <si>
    <t>ΑΟ821755</t>
  </si>
  <si>
    <t>ΠΑΡΠΟΡΗ</t>
  </si>
  <si>
    <t>ΑΝ691290</t>
  </si>
  <si>
    <t>ΖΗΡΟΥ</t>
  </si>
  <si>
    <t>ΑΝ654267</t>
  </si>
  <si>
    <t>Φ488318</t>
  </si>
  <si>
    <t>ΑΚ690052</t>
  </si>
  <si>
    <t>ΑΚ285573</t>
  </si>
  <si>
    <t>Τ222232</t>
  </si>
  <si>
    <t>ΤΑΠΑΣΚΟΥ</t>
  </si>
  <si>
    <t>ΑΝ208093</t>
  </si>
  <si>
    <t>Σ234336</t>
  </si>
  <si>
    <t>ΑΗ170597</t>
  </si>
  <si>
    <t>Τ863359</t>
  </si>
  <si>
    <t>ΤΡΟΥΜΠΟΥΚΗ</t>
  </si>
  <si>
    <t>Χ777173</t>
  </si>
  <si>
    <t>ΑΚ907331</t>
  </si>
  <si>
    <t>ΑΜ534148</t>
  </si>
  <si>
    <t>ΑΗ525885</t>
  </si>
  <si>
    <t>ΝΙΚΟΛΑΟΣ ΑΝΑΣΤΑΣΙΟΣ</t>
  </si>
  <si>
    <t>ΑΙ324578</t>
  </si>
  <si>
    <t>ΒΟΛΑΝΑΚΗ</t>
  </si>
  <si>
    <t>ΑΗ448511</t>
  </si>
  <si>
    <t>Σ968886</t>
  </si>
  <si>
    <t>ΚΑΡΑΖΑΝΟΥ</t>
  </si>
  <si>
    <t>ΑΜ147440</t>
  </si>
  <si>
    <t>ΚΑΛΟΣΙΔΟΥ</t>
  </si>
  <si>
    <t>ΑΜ278027</t>
  </si>
  <si>
    <t>Χ061474</t>
  </si>
  <si>
    <t>Χ409303</t>
  </si>
  <si>
    <t>ΑΗ662866</t>
  </si>
  <si>
    <t>ΑΕ238938</t>
  </si>
  <si>
    <t>ΤΕΡΨΙΘΕΑ</t>
  </si>
  <si>
    <t>ΑΙ942978</t>
  </si>
  <si>
    <t>ΑΡΜΟΥΤΙΔΟΥ</t>
  </si>
  <si>
    <t>ΑΕ182216</t>
  </si>
  <si>
    <t>ΛΕΒΕΝΤΗ</t>
  </si>
  <si>
    <t>ΑΜ321901</t>
  </si>
  <si>
    <t>ΔΡΟΥΛΙΣΚΟΥ</t>
  </si>
  <si>
    <t>ΒΑΣΙΛΙΚΗ ΦΑΝΟΥΡΙΑ</t>
  </si>
  <si>
    <t>ΑΙ609814</t>
  </si>
  <si>
    <t>ΑΖ185335</t>
  </si>
  <si>
    <t>ΑΕ974261</t>
  </si>
  <si>
    <t>ΚΡΑΝΙΑ</t>
  </si>
  <si>
    <t>Τ474734</t>
  </si>
  <si>
    <t>ΑΝ757277</t>
  </si>
  <si>
    <t>ΚΟΥΔΟΥΜΑΚΗΣ</t>
  </si>
  <si>
    <t>ΖΟΥΜΠΟΥΛΗΣ</t>
  </si>
  <si>
    <t>ΑΖ354570</t>
  </si>
  <si>
    <t>Χ087028</t>
  </si>
  <si>
    <t>ΠΑΠΑΝΑΣΤΑΣΙΟΥ</t>
  </si>
  <si>
    <t>ΑΟ349050</t>
  </si>
  <si>
    <t>ΑΙ225748</t>
  </si>
  <si>
    <t>ΑΒ146008</t>
  </si>
  <si>
    <t>ΚΟΥΤΣΙΜΠΟΓΕΩΡΓΟΥ</t>
  </si>
  <si>
    <t>Χ875162</t>
  </si>
  <si>
    <t>ΠΟΡΡΟΥ</t>
  </si>
  <si>
    <t>ΑΗ476358</t>
  </si>
  <si>
    <t>ΤΣΙΤΣΙΚΩΤΑ</t>
  </si>
  <si>
    <t>ΑΖ797932</t>
  </si>
  <si>
    <t>ΑΕ047843</t>
  </si>
  <si>
    <t>ΑΑ768247</t>
  </si>
  <si>
    <t>ΦΟΥΕΝΤΕΣ ΝΟΥΝΙΕΣ</t>
  </si>
  <si>
    <t>ΧΟΥΛΙΟ ΑΛΜΠΕΡΤΟ</t>
  </si>
  <si>
    <t>ΑΕ270009</t>
  </si>
  <si>
    <t>ΜΗΤΣΟΠΟΥΛΟΣ</t>
  </si>
  <si>
    <t>ΑΗ521038</t>
  </si>
  <si>
    <t>ΚΟΞΙΔΟΥ</t>
  </si>
  <si>
    <t>ΑΙ747482</t>
  </si>
  <si>
    <t>ΠΑΤΕΡΑΣ</t>
  </si>
  <si>
    <t>ΑΙ840273</t>
  </si>
  <si>
    <t>ΑΜ708555</t>
  </si>
  <si>
    <t>ΚΑΡΟΥΣΗ</t>
  </si>
  <si>
    <t>ΑΗ019729</t>
  </si>
  <si>
    <t>ΑΡΜΟΥΔΗ</t>
  </si>
  <si>
    <t>ΑΝ852436</t>
  </si>
  <si>
    <t>ΑΙ320040</t>
  </si>
  <si>
    <t>ΑΗ798025</t>
  </si>
  <si>
    <t>ΚΕΙΟΥ</t>
  </si>
  <si>
    <t>ΑΚ432760</t>
  </si>
  <si>
    <t>ΦΑΣΟΥΛΑΚΗ</t>
  </si>
  <si>
    <t>ΑΗ963031</t>
  </si>
  <si>
    <t>ΑΑ450149</t>
  </si>
  <si>
    <t>ΕΛΕΝΗ ΚΩΝΣΤΑΝΤΙΝΑ</t>
  </si>
  <si>
    <t>ΑΙ570242</t>
  </si>
  <si>
    <t>ΠΟΔΑΡΑ</t>
  </si>
  <si>
    <t>ΑΒ018807</t>
  </si>
  <si>
    <t>ΚΑΜΙΤΣΗ</t>
  </si>
  <si>
    <t>ΑΕ181774</t>
  </si>
  <si>
    <t>ΔΑΡΑΒΑΛΗ</t>
  </si>
  <si>
    <t>ΑΟ493158</t>
  </si>
  <si>
    <t>Χ378499</t>
  </si>
  <si>
    <t>ΠΡΩΙΜΟΥ</t>
  </si>
  <si>
    <t>ΑΚ988693</t>
  </si>
  <si>
    <t>ΑΜ014669</t>
  </si>
  <si>
    <t>ΠΟΥΡΟΥ</t>
  </si>
  <si>
    <t>ΑΕ344860</t>
  </si>
  <si>
    <t>ΑΝ914937</t>
  </si>
  <si>
    <t>ΜΕΧΙΛΗ</t>
  </si>
  <si>
    <t>ΑΙ811793</t>
  </si>
  <si>
    <t>ΑΗ732420</t>
  </si>
  <si>
    <t>ΑΑ019836</t>
  </si>
  <si>
    <t>ΓΚΟΝΕΤΗ</t>
  </si>
  <si>
    <t>ΑΟ146650</t>
  </si>
  <si>
    <t>ΑΝ009088</t>
  </si>
  <si>
    <t>ΣΜΠΟΝΙΑ</t>
  </si>
  <si>
    <t>ΑΕ043861</t>
  </si>
  <si>
    <t xml:space="preserve">ΠΑΠΑΔΟΠΟΥΛΟΣ </t>
  </si>
  <si>
    <t xml:space="preserve">ΘΕΜΙΣΤΟΚΛΗΣ </t>
  </si>
  <si>
    <t>ΑΖ173344</t>
  </si>
  <si>
    <t>ΑΚ821147</t>
  </si>
  <si>
    <t>ΓΚΙΚΟΚΑ</t>
  </si>
  <si>
    <t>ΑΜ020895</t>
  </si>
  <si>
    <t>ΑΚ367158</t>
  </si>
  <si>
    <t>ΓΟΥΝΙΔΟΥ</t>
  </si>
  <si>
    <t>ΑΝ895864</t>
  </si>
  <si>
    <t>ΛΑΓΑΡΗ</t>
  </si>
  <si>
    <t>Σ144047</t>
  </si>
  <si>
    <t>ΑΖ601642</t>
  </si>
  <si>
    <t>ΤΥΜΠΑ</t>
  </si>
  <si>
    <t>ΑΙ675490</t>
  </si>
  <si>
    <t>Χ846075</t>
  </si>
  <si>
    <t>ΓΚΑΡΝΑΡΑ</t>
  </si>
  <si>
    <t>ΑΝΑΔΟΧΟΣ</t>
  </si>
  <si>
    <t>ΑΖ272191</t>
  </si>
  <si>
    <t>ΜΠΟΥΝΤΑ</t>
  </si>
  <si>
    <t>ΑΖ480379</t>
  </si>
  <si>
    <t>ΦΡΑΓΚΕΔΗ</t>
  </si>
  <si>
    <t>ΑΙ460880</t>
  </si>
  <si>
    <t>ΑΖ820521</t>
  </si>
  <si>
    <t>ΦΑΡΣΑΡΗ</t>
  </si>
  <si>
    <t>ΑΖ465359</t>
  </si>
  <si>
    <t>ΑΕ354427</t>
  </si>
  <si>
    <t>ΓΕΩΡΓΑΛΑ</t>
  </si>
  <si>
    <t>ΑΒ039925</t>
  </si>
  <si>
    <t>ΑΙ845253</t>
  </si>
  <si>
    <t>ΑΙ343377</t>
  </si>
  <si>
    <t>ΤΣΟΥΓΙΑ</t>
  </si>
  <si>
    <t>Σ629033</t>
  </si>
  <si>
    <t>ΧΙΝΗ</t>
  </si>
  <si>
    <t>ΑΚ755755</t>
  </si>
  <si>
    <t>Χ988259</t>
  </si>
  <si>
    <t>ΒΡΟΝΤΖΟΥ</t>
  </si>
  <si>
    <t>ΑΝ886136</t>
  </si>
  <si>
    <t>ΔΑΜΗΛΑΚΟΥ</t>
  </si>
  <si>
    <t>ΑΝ510251</t>
  </si>
  <si>
    <t>ΧΡΟΥΤΑ</t>
  </si>
  <si>
    <t>ΑΒ273503</t>
  </si>
  <si>
    <t>ΦΟΥΣΚΑΡΗΣ</t>
  </si>
  <si>
    <t>Χ787137</t>
  </si>
  <si>
    <t>ΑΜ244625</t>
  </si>
  <si>
    <t>ΑΝ931401</t>
  </si>
  <si>
    <t>ΑΜ873945</t>
  </si>
  <si>
    <t>Χ838589</t>
  </si>
  <si>
    <t>ΑΒ101196</t>
  </si>
  <si>
    <t>ΠΑΓΚΡΑΤΗ</t>
  </si>
  <si>
    <t>ΑΖ706941</t>
  </si>
  <si>
    <t>ΑΙ624523</t>
  </si>
  <si>
    <t>ΑΜ172668</t>
  </si>
  <si>
    <t>ΦΩΤΙΑ</t>
  </si>
  <si>
    <t>ΑΗ485589</t>
  </si>
  <si>
    <t>ΚΑΡΑΤΖΙΟΥΛΑ</t>
  </si>
  <si>
    <t>ΑΖ294241</t>
  </si>
  <si>
    <t>ΑΙ840884</t>
  </si>
  <si>
    <t>ΑΟ951228</t>
  </si>
  <si>
    <t>ΔΟΡΚΑ</t>
  </si>
  <si>
    <t>ΑΑ254234</t>
  </si>
  <si>
    <t>Χ534174</t>
  </si>
  <si>
    <t>ΝΤΡΙΖΑΙ</t>
  </si>
  <si>
    <t>ΜΠΟΥΓΙΑΡ</t>
  </si>
  <si>
    <t>ΑΜ841786</t>
  </si>
  <si>
    <t>ΜΑΡΙΑ ΧΡΥΣΟΒΑΛΑΝΤΟΥ</t>
  </si>
  <si>
    <t>Χ616076</t>
  </si>
  <si>
    <t>ΣΙΩΛΟΥ</t>
  </si>
  <si>
    <t>ΑΝ501824</t>
  </si>
  <si>
    <t>ΝΙΚΟΛΑΚΟΠΟΥΛΟΣ</t>
  </si>
  <si>
    <t>ΑΙ207083</t>
  </si>
  <si>
    <t>ΑΒ072704</t>
  </si>
  <si>
    <t>ΤΣΙΚΑΚΗ</t>
  </si>
  <si>
    <t>ΑΗ691428</t>
  </si>
  <si>
    <t>ΑΙ833365</t>
  </si>
  <si>
    <t>ΑΓΟΡΑΤΖΗ</t>
  </si>
  <si>
    <t>ΑΒ126360</t>
  </si>
  <si>
    <t>ΖΟΥΦΙΑΚΟΥ</t>
  </si>
  <si>
    <t>Χ594870</t>
  </si>
  <si>
    <t>ΤΑΣΙΟΥΛΗΣ</t>
  </si>
  <si>
    <t>ΑΜ513651</t>
  </si>
  <si>
    <t>ΒΟΥΤΣΙΔΟΥ</t>
  </si>
  <si>
    <t>ΑΟ397432</t>
  </si>
  <si>
    <t>ΣΤΕΙΡΓΙΑΝΟΣ</t>
  </si>
  <si>
    <t>ΘΕΟΛΟΓΗ</t>
  </si>
  <si>
    <t>ΑΝ619727</t>
  </si>
  <si>
    <t>ΑΗ795698</t>
  </si>
  <si>
    <t>ΑΗ592732</t>
  </si>
  <si>
    <t>ΑΙ354073</t>
  </si>
  <si>
    <t>ΧΑΡΒΑΤΗ</t>
  </si>
  <si>
    <t>ΑΕ311318</t>
  </si>
  <si>
    <t>Χ256032</t>
  </si>
  <si>
    <t>ΤΣΙΤΡΑ</t>
  </si>
  <si>
    <t>ΑΙ322663</t>
  </si>
  <si>
    <t>ΚΑΠΕΡΝΕΚΑ</t>
  </si>
  <si>
    <t>ΑΚ676602</t>
  </si>
  <si>
    <t>ΑΖ680052</t>
  </si>
  <si>
    <t>ΑΟ362439</t>
  </si>
  <si>
    <t>ΑΕ338319</t>
  </si>
  <si>
    <t>ΠΙΤΣΙΔΙΑΝΑΚΗ</t>
  </si>
  <si>
    <t>ΑΙ944092</t>
  </si>
  <si>
    <t>ΤΣΙΜΠΙΣΗΣ</t>
  </si>
  <si>
    <t>ΑΚ302719</t>
  </si>
  <si>
    <t>ΠΙΤΕΡΟΣ</t>
  </si>
  <si>
    <t>ΙΑΣΟΝΑΣ</t>
  </si>
  <si>
    <t>ΑΚ961022</t>
  </si>
  <si>
    <t>ΚΑΛΦΟΥΝΤΖΟΥ</t>
  </si>
  <si>
    <t>ΑΟ861089</t>
  </si>
  <si>
    <t>ΚΑΡΑΓΚΙΟΖΗ</t>
  </si>
  <si>
    <t>ΑΙ858159</t>
  </si>
  <si>
    <t>ΦΡΑΓΚΟΣ</t>
  </si>
  <si>
    <t>ΑΖ234188</t>
  </si>
  <si>
    <t>ΓΕΩΡΓΟΜΑΝΟΣ</t>
  </si>
  <si>
    <t>ΑΙ850467</t>
  </si>
  <si>
    <t>ΜΠΟΥΝΤΑΛΗΣ</t>
  </si>
  <si>
    <t>ΑΗ097210</t>
  </si>
  <si>
    <t>Χ363518</t>
  </si>
  <si>
    <t>Χ590030</t>
  </si>
  <si>
    <t>ΠΑΝΑΓΟΥΛΗ</t>
  </si>
  <si>
    <t>ΑΚ084387</t>
  </si>
  <si>
    <t>ΜΗΤΣΚΑ</t>
  </si>
  <si>
    <t>ΑΗ791407</t>
  </si>
  <si>
    <t>ΑΙ797745</t>
  </si>
  <si>
    <t>ΤΣΕΠΕΝΚΟ</t>
  </si>
  <si>
    <t>ΑΛΕΞΑΝΤΡ</t>
  </si>
  <si>
    <t>ΑΝ574062</t>
  </si>
  <si>
    <t>ΜΟΥΓΚΟΛΙΑ</t>
  </si>
  <si>
    <t>Χ652099</t>
  </si>
  <si>
    <t>ΖΑΠΑΝΤΗ</t>
  </si>
  <si>
    <t>ΑΗ688764</t>
  </si>
  <si>
    <t>ΚΩΝΣΤΑΝΤΑΚΗΣ</t>
  </si>
  <si>
    <t>ΑΟ141889</t>
  </si>
  <si>
    <t>ΚΑΣΚΑΝΗ</t>
  </si>
  <si>
    <t>ΑΙ817178</t>
  </si>
  <si>
    <t>ΑΚ402935</t>
  </si>
  <si>
    <t>ΑΖ807438</t>
  </si>
  <si>
    <t>ΜΠΟΜΠΟΤΗ</t>
  </si>
  <si>
    <t>ΑΙ305372</t>
  </si>
  <si>
    <t>Χ309992</t>
  </si>
  <si>
    <t>ΜΑΝΔΑ</t>
  </si>
  <si>
    <t>ΑΗ502613</t>
  </si>
  <si>
    <t>ΚΛΟΥΒΑΤΟΥ</t>
  </si>
  <si>
    <t>Χ578299</t>
  </si>
  <si>
    <t>ΠΑΡΑΣΧΑ</t>
  </si>
  <si>
    <t>Χ740034</t>
  </si>
  <si>
    <t>ΖΟΥΡΛΑΔΑΝΗ</t>
  </si>
  <si>
    <t>ΑΝ328745</t>
  </si>
  <si>
    <t>ΓΚΟΓΚΟΥΡΑ</t>
  </si>
  <si>
    <t>ΑΙ285512</t>
  </si>
  <si>
    <t>ΓΚΑΒΑ</t>
  </si>
  <si>
    <t>Τ379464</t>
  </si>
  <si>
    <t>ΑΡ432830</t>
  </si>
  <si>
    <t>ΧΑΡΑΝΑ</t>
  </si>
  <si>
    <t>ΚΑΝΕΛΑ ΝΕΚΤΑΡΙΑ</t>
  </si>
  <si>
    <t>ΑΗ920661</t>
  </si>
  <si>
    <t>Χ409536</t>
  </si>
  <si>
    <t>ΑΗ499935</t>
  </si>
  <si>
    <t>ΑΗ679270</t>
  </si>
  <si>
    <t>ΜΠΑΡΜΠΗ</t>
  </si>
  <si>
    <t>ΑΙ632728</t>
  </si>
  <si>
    <t>ΑΟ233861</t>
  </si>
  <si>
    <t>Φ267361</t>
  </si>
  <si>
    <t>ΚΑΣΣΑ</t>
  </si>
  <si>
    <t>ΑΜ406140</t>
  </si>
  <si>
    <t>ΑΝ812893</t>
  </si>
  <si>
    <t>ΑΚ995444</t>
  </si>
  <si>
    <t>ΑΜ330384</t>
  </si>
  <si>
    <t>ΒΑΒΑΤΖΙΑΝΗ</t>
  </si>
  <si>
    <t>ΑΖ846399</t>
  </si>
  <si>
    <t>ΚΕΡΑΜΑ</t>
  </si>
  <si>
    <t>ΚΩΝΣΤΝΤΙΝΟΣ</t>
  </si>
  <si>
    <t>ΑΕ842996</t>
  </si>
  <si>
    <t>ΑΜ670432</t>
  </si>
  <si>
    <t>ΚΟΛΑΜΠΑ</t>
  </si>
  <si>
    <t>ΑΗ578003</t>
  </si>
  <si>
    <t>ΑΙ704511</t>
  </si>
  <si>
    <t>ΑΒ054061</t>
  </si>
  <si>
    <t>ΠΑΤΡΙΔΑ</t>
  </si>
  <si>
    <t>ΑΜ985310</t>
  </si>
  <si>
    <t>ΑΚ683246</t>
  </si>
  <si>
    <t>VAMVAKIDOU</t>
  </si>
  <si>
    <t>EVLAMPIA</t>
  </si>
  <si>
    <t>CHRISTOS</t>
  </si>
  <si>
    <t>Σ865456</t>
  </si>
  <si>
    <t>ΧΟΝΔΡΟΜΑΤΙΔΟΥ</t>
  </si>
  <si>
    <t>ΑΙ880102</t>
  </si>
  <si>
    <t>ΑΝ290513</t>
  </si>
  <si>
    <t>ΤΡΙΚΑΛΙΩΤΗ</t>
  </si>
  <si>
    <t>ΑΚ246550</t>
  </si>
  <si>
    <t>ΑΕ896752</t>
  </si>
  <si>
    <t>ΦΡΕΣΣΑ</t>
  </si>
  <si>
    <t>ΑΙ492567</t>
  </si>
  <si>
    <t>ΚΑΡΑΤΣΙΚΑΚΗΣ</t>
  </si>
  <si>
    <t>ΑΙ202585</t>
  </si>
  <si>
    <t>ΑΗ713186</t>
  </si>
  <si>
    <t>ΑΙ447686</t>
  </si>
  <si>
    <t>ΠΟΖΑΝΤΖΗ</t>
  </si>
  <si>
    <t>ΑΙ769833</t>
  </si>
  <si>
    <t>ΚΩΤΣΙΟΥ</t>
  </si>
  <si>
    <t>ΑΖ724866</t>
  </si>
  <si>
    <t>ΒΑΛΑΚΟΥ</t>
  </si>
  <si>
    <t>ΑΗ664573</t>
  </si>
  <si>
    <t>ΤΣΟΥΤΣΟΥΛΙΓΚΑ</t>
  </si>
  <si>
    <t>Τ814813</t>
  </si>
  <si>
    <t>ΣΚΥΛΑΚΗ</t>
  </si>
  <si>
    <t>ΑΖ940338</t>
  </si>
  <si>
    <t>ΠΡΙΑΓΓΕΛΟΥ</t>
  </si>
  <si>
    <t>ΑΙ306325</t>
  </si>
  <si>
    <t>ΠΥΛΙΩΤΗ</t>
  </si>
  <si>
    <t>ΑΑ445945</t>
  </si>
  <si>
    <t>ΧΟΥΤΖΙΟΥΜΗ</t>
  </si>
  <si>
    <t>ΑΜ617645</t>
  </si>
  <si>
    <t>ΣΥΝΤΕΤΟΥ</t>
  </si>
  <si>
    <t>ΑΕ098885</t>
  </si>
  <si>
    <t>ΑΙ427489</t>
  </si>
  <si>
    <t>ΑΚ140685</t>
  </si>
  <si>
    <t>ΑΕ242756</t>
  </si>
  <si>
    <t>ΑΗ746160</t>
  </si>
  <si>
    <t>Χ887163</t>
  </si>
  <si>
    <t>ΑΜ294110</t>
  </si>
  <si>
    <t>ΜΠΑΧΑΡΟΥΔΗ</t>
  </si>
  <si>
    <t>ΑΕ864074</t>
  </si>
  <si>
    <t xml:space="preserve">ΒΑΦΕΙΑΔΟΥ </t>
  </si>
  <si>
    <t>ΑΗ851458</t>
  </si>
  <si>
    <t>ΣΑΜΑΛΤΑΝΗ</t>
  </si>
  <si>
    <t>ΖΗΣΗΣ ΝΙΚΟΛΑΟΣ</t>
  </si>
  <si>
    <t>ΑΗ282462</t>
  </si>
  <si>
    <t>ΚΟΤΖΑΠΑΝΑΓΙΩΤΟΥ</t>
  </si>
  <si>
    <t>ΒΑΗΣ</t>
  </si>
  <si>
    <t>Ρ967628</t>
  </si>
  <si>
    <t>ΑΗ524194</t>
  </si>
  <si>
    <t>ΑΝ779515</t>
  </si>
  <si>
    <t>ΑΚ030657</t>
  </si>
  <si>
    <t>Χ746356</t>
  </si>
  <si>
    <t>ΚΟΥΝΤΟΥΡΑΚΗΣ</t>
  </si>
  <si>
    <t>Χ996061</t>
  </si>
  <si>
    <t>ΑΙ012865</t>
  </si>
  <si>
    <t>ΔΕΡΒΙΣΗ</t>
  </si>
  <si>
    <t>ΑΕ175833</t>
  </si>
  <si>
    <t>ΚΟΥΜΟΥΝΔΟΥΡΟΥ</t>
  </si>
  <si>
    <t>ΑΖ504434</t>
  </si>
  <si>
    <t>ΣΕΡΕΜΕΤΙΔΟΥ</t>
  </si>
  <si>
    <t>ΜΑΡΙΝΑ ΚΑΤΕΡΙΝΑ</t>
  </si>
  <si>
    <t>ΑΗ819491</t>
  </si>
  <si>
    <t>ΣΠΥΡΙΔΩΝΟΣ</t>
  </si>
  <si>
    <t>ΑΕ891476</t>
  </si>
  <si>
    <t>ΑΙ887314</t>
  </si>
  <si>
    <t>ΚΑΒΑΓΙΑ</t>
  </si>
  <si>
    <t>ΡΟΜΙΝΑ</t>
  </si>
  <si>
    <t>ΔΗΜΗΤΕΡ</t>
  </si>
  <si>
    <t>ΑΜ598755</t>
  </si>
  <si>
    <t>ΤΣΙΤΝΟΓΛΟΥ</t>
  </si>
  <si>
    <t>Χ533603</t>
  </si>
  <si>
    <t>ΑΗ173808</t>
  </si>
  <si>
    <t>ΣΑΛΒΑΝΟΥ</t>
  </si>
  <si>
    <t>ΑΙ006312</t>
  </si>
  <si>
    <t>ΑΗ221602</t>
  </si>
  <si>
    <t>ΚΟΚΚΙΝΟΣ</t>
  </si>
  <si>
    <t>Χ710771</t>
  </si>
  <si>
    <t>ΑΖ660126</t>
  </si>
  <si>
    <t>ΣΚΟΡΙΛΑ</t>
  </si>
  <si>
    <t>ΝΑΝΤΙΑ ΕΥΦΗΜΙΑ</t>
  </si>
  <si>
    <t>Χ290165</t>
  </si>
  <si>
    <t>ΧΡΙΣΤΟΦΑ</t>
  </si>
  <si>
    <t>ΑΕ635020</t>
  </si>
  <si>
    <t>ΑΚ238262</t>
  </si>
  <si>
    <t>ΑΑ468646</t>
  </si>
  <si>
    <t>ΑΜ661586</t>
  </si>
  <si>
    <t>ΑΜ854281</t>
  </si>
  <si>
    <t>ΑΖ261787</t>
  </si>
  <si>
    <t>ΒΑΚΑΛΗ</t>
  </si>
  <si>
    <t>ΑΝ024160</t>
  </si>
  <si>
    <t>ΑΗ811843</t>
  </si>
  <si>
    <t>ΑΟ336588</t>
  </si>
  <si>
    <t>ΑΖ481205</t>
  </si>
  <si>
    <t>ΔΡΟΣΟΥ ΠΑΠΠΑ</t>
  </si>
  <si>
    <t>ΧΡΥΣΑΥΓΗ ΛΑΜΠΡΙΝΗ</t>
  </si>
  <si>
    <t>Χ180313</t>
  </si>
  <si>
    <t>Σ427678</t>
  </si>
  <si>
    <t>ΜΗΣΚΟΥ</t>
  </si>
  <si>
    <t>ΑΗ822662</t>
  </si>
  <si>
    <t>ΝΤΟΚΑ</t>
  </si>
  <si>
    <t>ΑΖ720409</t>
  </si>
  <si>
    <t>Ρ926041</t>
  </si>
  <si>
    <t>ΓΕΩΡΓΙΑ ΗΩΣ</t>
  </si>
  <si>
    <t>ΑΗ604714</t>
  </si>
  <si>
    <t>ΒΑΡΩΤΑ</t>
  </si>
  <si>
    <t>Ρ907907</t>
  </si>
  <si>
    <t>ΑΙ558764</t>
  </si>
  <si>
    <t>ΚΩΝΣΤΑΝΤΙΝΑ ΔΗΜΗΤΡΑ</t>
  </si>
  <si>
    <t>ΑΕ328075</t>
  </si>
  <si>
    <t>Φ240282</t>
  </si>
  <si>
    <t>ΚΑΛΑΜΠΟΚΗ</t>
  </si>
  <si>
    <t>ΑΙ250832</t>
  </si>
  <si>
    <t>ΑΗ228296</t>
  </si>
  <si>
    <t>ΜΙΜΙΚΟΥ</t>
  </si>
  <si>
    <t>ΑΙ196554</t>
  </si>
  <si>
    <t>ΒΑΣΙΛΕΙΆΔΟΥ</t>
  </si>
  <si>
    <t>ΑΟ216417</t>
  </si>
  <si>
    <t>ΑΛΕΞΟΥΔΗ</t>
  </si>
  <si>
    <t>ΑΖ195355</t>
  </si>
  <si>
    <t>ΒΟΤΣΙΚΑ</t>
  </si>
  <si>
    <t>ΑΟ140420</t>
  </si>
  <si>
    <t>ΤΑΒΟΥΛΤΖΟΓΛΟΥ</t>
  </si>
  <si>
    <t>ΑΝ237118</t>
  </si>
  <si>
    <t>ΤΣΙΜΠΟΓΙΑΝΝΗ</t>
  </si>
  <si>
    <t>ΑΒ188180</t>
  </si>
  <si>
    <t>ΚΑΒΑΛΑΡΗ</t>
  </si>
  <si>
    <t>Χ188495</t>
  </si>
  <si>
    <t>ΚΟΥΝΟΥΣΒΕΛΗ</t>
  </si>
  <si>
    <t>Φ242707</t>
  </si>
  <si>
    <t>Χ057729</t>
  </si>
  <si>
    <t>Φ455611</t>
  </si>
  <si>
    <t>ΚΟΤΟΠΟΥΛΟΥ</t>
  </si>
  <si>
    <t>ΑΖ110395</t>
  </si>
  <si>
    <t>ΑΓΙΟΥ</t>
  </si>
  <si>
    <t>ΑΙ737867</t>
  </si>
  <si>
    <t>ΑΖ766603</t>
  </si>
  <si>
    <t>ΒΑΝΕΣΑ ΒΑΣΙΛΙΚΗ</t>
  </si>
  <si>
    <t>ΑΒ465014</t>
  </si>
  <si>
    <t>ΣΙΑΝΗ</t>
  </si>
  <si>
    <t>ΑΗ298179</t>
  </si>
  <si>
    <t>ΓΚΙΑΛΗ</t>
  </si>
  <si>
    <t>ΑΝ100007</t>
  </si>
  <si>
    <t>ΖΑΜΠΑΚΑ</t>
  </si>
  <si>
    <t>ΑΕ512916</t>
  </si>
  <si>
    <t>ΠΑΠΑΡΟΙΔΑΜΗ</t>
  </si>
  <si>
    <t>ΑΖ720958</t>
  </si>
  <si>
    <t>ΚΑΠΤΣΙΑΝΟΥ</t>
  </si>
  <si>
    <t>ΑΗ612646</t>
  </si>
  <si>
    <t>ΣΦΟΥΝΗ</t>
  </si>
  <si>
    <t>ΑΟ272619</t>
  </si>
  <si>
    <t>ΑΖ845346</t>
  </si>
  <si>
    <t>Τ018892</t>
  </si>
  <si>
    <t>ΑΟ444189</t>
  </si>
  <si>
    <t>ΚΑΡΑΣΙΩΤΑ</t>
  </si>
  <si>
    <t>ΑΙ106234</t>
  </si>
  <si>
    <t>ΑΝ786437</t>
  </si>
  <si>
    <t>ΑΗ684287</t>
  </si>
  <si>
    <t>ΠΑΤΤΕ</t>
  </si>
  <si>
    <t>ΑΚ032376</t>
  </si>
  <si>
    <t>Φ279403</t>
  </si>
  <si>
    <t>ΠΩΓΩΝΙΔΟΥ</t>
  </si>
  <si>
    <t>Φ189005</t>
  </si>
  <si>
    <t>ΑΗ880471</t>
  </si>
  <si>
    <t>ΑΚ679795</t>
  </si>
  <si>
    <t>ΓΕΡΟΣΤΑΘΟΥ</t>
  </si>
  <si>
    <t>ΑΜ506218</t>
  </si>
  <si>
    <t>ΑΙ684220</t>
  </si>
  <si>
    <t>ΠΑΣΧΑΛΙΔΗ</t>
  </si>
  <si>
    <t>ΑΖ076043</t>
  </si>
  <si>
    <t>ΦΡΑΓΚΟΥ ΑΝΔΡΙΩΤΗ</t>
  </si>
  <si>
    <t>Χ665994</t>
  </si>
  <si>
    <t>ΣΤΥΛΙΑΡΑΣ</t>
  </si>
  <si>
    <t>ΑΟ236121</t>
  </si>
  <si>
    <t>Χ659886</t>
  </si>
  <si>
    <t>ΤΥΡΝΕΝΟΠΟΥΛΟΥ</t>
  </si>
  <si>
    <t>Χ892141</t>
  </si>
  <si>
    <t>ΤΟΤΗ</t>
  </si>
  <si>
    <t>ΤΕΛΟΣ</t>
  </si>
  <si>
    <t>ΑΙ263967</t>
  </si>
  <si>
    <t>ΖΕΠΟΣ</t>
  </si>
  <si>
    <t>ΑΗ592304</t>
  </si>
  <si>
    <t>ΚΟΥΓΙΟΥΜΤΖΗ</t>
  </si>
  <si>
    <t>ΑΟ172364</t>
  </si>
  <si>
    <t>ΛΑΘΟΥΡΑ</t>
  </si>
  <si>
    <t>Χ833914</t>
  </si>
  <si>
    <t>ΑΜ799020</t>
  </si>
  <si>
    <t>ΑΚ224777</t>
  </si>
  <si>
    <t>ΑΚ352614</t>
  </si>
  <si>
    <t>ΜΙΧΑΛΟΓΙΑΝΝΑΚΗ</t>
  </si>
  <si>
    <t>ΕΙΡΗΝΑΙΟΣ</t>
  </si>
  <si>
    <t>ΑΕ973459</t>
  </si>
  <si>
    <t>ΑΗ548927</t>
  </si>
  <si>
    <t>ΝΟΥΣΑ</t>
  </si>
  <si>
    <t>ΑΙ120382</t>
  </si>
  <si>
    <t>ΑΙ745794</t>
  </si>
  <si>
    <t>ΙΟΡΔΑΝΙΔΗΣ</t>
  </si>
  <si>
    <t>ΑΚ443259</t>
  </si>
  <si>
    <t>ΜΠΑΡΜΠΑΡΙΩΤΗ</t>
  </si>
  <si>
    <t>Σ550650</t>
  </si>
  <si>
    <t>ΜΑΡΜΑΓΓΕΛΟΥ</t>
  </si>
  <si>
    <t>ΑΗ771433</t>
  </si>
  <si>
    <t>ΝΤΑΛΙΠΑΙ</t>
  </si>
  <si>
    <t>ΝΤΕΑΜΑΡΙΑ</t>
  </si>
  <si>
    <t>ΑΛΜΠΕΡΤ</t>
  </si>
  <si>
    <t>ΑΜ242348</t>
  </si>
  <si>
    <t>ΣΙΟΥΤΑ</t>
  </si>
  <si>
    <t>ΑΙ294393</t>
  </si>
  <si>
    <t>ΑΗ621567</t>
  </si>
  <si>
    <t>ΜΠΑΣΚΑ</t>
  </si>
  <si>
    <t>ΑΚ485069</t>
  </si>
  <si>
    <t>ΑΗ671072</t>
  </si>
  <si>
    <t>ΤΑΜΠΑΚΑΚΗ</t>
  </si>
  <si>
    <t>ΚΩΝΣΤΑΝΤΙΝΑ ΑΡΙΑΔΝΗ</t>
  </si>
  <si>
    <t>ΑΙ974222</t>
  </si>
  <si>
    <t>ΑΚΡΙΒΗ ΜΑΡΙΑ</t>
  </si>
  <si>
    <t>Χ087260</t>
  </si>
  <si>
    <t>ΑΜ580306</t>
  </si>
  <si>
    <t>ΑΚ782394</t>
  </si>
  <si>
    <t>ΑΙ866745</t>
  </si>
  <si>
    <t>ΑΗ229929</t>
  </si>
  <si>
    <t>ΓΡΑΦΙΑΔΕΛΛΗΣ</t>
  </si>
  <si>
    <t>ΣΑΒΒΑΣ ΠΑΝΑΓΙΩΤΗΣ</t>
  </si>
  <si>
    <t>ΑΚ241769</t>
  </si>
  <si>
    <t>ΑΜ081816</t>
  </si>
  <si>
    <t>ΛΥΓΔΑ</t>
  </si>
  <si>
    <t>ΑΝΟ28253</t>
  </si>
  <si>
    <t>Χ875434</t>
  </si>
  <si>
    <t>ΧΡΥΣΟΧΟΙΔΟΥ</t>
  </si>
  <si>
    <t>ΑΕ168924</t>
  </si>
  <si>
    <t>ΠΑΡΑΦΟΡΟΥ</t>
  </si>
  <si>
    <t>Φ474290</t>
  </si>
  <si>
    <t>ΡΟΛΗ</t>
  </si>
  <si>
    <t>ΑΗ808427</t>
  </si>
  <si>
    <t>ΑΗ769707</t>
  </si>
  <si>
    <t>ΝΑΣΗ</t>
  </si>
  <si>
    <t>ΑΜ174099</t>
  </si>
  <si>
    <t>ΤΑΧΟΠΟΥΛΟΥ</t>
  </si>
  <si>
    <t>ΠΑΡΘΕΝΑ ΑΝΤΩΝΙΑ</t>
  </si>
  <si>
    <t>ΑΗ696228</t>
  </si>
  <si>
    <t>ΚΩΣΤΑΜΠΙΤΣΗΣ</t>
  </si>
  <si>
    <t>ΑΖ322868</t>
  </si>
  <si>
    <t>ΧΑΙΝΑ</t>
  </si>
  <si>
    <t>ΑΖ983176</t>
  </si>
  <si>
    <t>ΘΕΟΚΑ</t>
  </si>
  <si>
    <t>ΑΗ600224</t>
  </si>
  <si>
    <t>ΑΒ564273</t>
  </si>
  <si>
    <t>ΑΝ142121</t>
  </si>
  <si>
    <t>ΑΒ387986</t>
  </si>
  <si>
    <t>ΑΒ042501</t>
  </si>
  <si>
    <t>ΑΒ173050</t>
  </si>
  <si>
    <t>ΦΙΛΙΠΠΙΔΗ</t>
  </si>
  <si>
    <t>ΑΙ494165</t>
  </si>
  <si>
    <t>ΠΑΤΛΙΤΖΑΝΑ</t>
  </si>
  <si>
    <t>Σ978178</t>
  </si>
  <si>
    <t>ΜΠΟΥΣΕΚΑ</t>
  </si>
  <si>
    <t>ΑΗ323216</t>
  </si>
  <si>
    <t>ΑΗ974556</t>
  </si>
  <si>
    <t>ΑΙ336648</t>
  </si>
  <si>
    <t>ΑΑ403805</t>
  </si>
  <si>
    <t>ΑΕ326396</t>
  </si>
  <si>
    <t>ΑΚ471034</t>
  </si>
  <si>
    <t>ΠΕΡΟΥΔΗ</t>
  </si>
  <si>
    <t>ΑΙ369156</t>
  </si>
  <si>
    <t>ΑΝ689717</t>
  </si>
  <si>
    <t>ΑΕ819218</t>
  </si>
  <si>
    <t>ΜΑΤΑΡΑΓΓΑ</t>
  </si>
  <si>
    <t>Π899503</t>
  </si>
  <si>
    <t>ΜΑΡΙΝΕΛΗ</t>
  </si>
  <si>
    <t>Χ725430</t>
  </si>
  <si>
    <t>ΠΑΛΑΜΠΟΥΙΚΗ</t>
  </si>
  <si>
    <t>ΑΖ840282</t>
  </si>
  <si>
    <t>ΑΚ899594</t>
  </si>
  <si>
    <t>Χ126709</t>
  </si>
  <si>
    <t>Χ352871</t>
  </si>
  <si>
    <t>ΠΛΕΥΡΑΚΗ</t>
  </si>
  <si>
    <t xml:space="preserve">ΘΕΟΦΙΛΟΣ </t>
  </si>
  <si>
    <t>ΑΙ461876</t>
  </si>
  <si>
    <t>ΤΑΣΚΟΥ</t>
  </si>
  <si>
    <t>ΑΗ180597</t>
  </si>
  <si>
    <t>ΕΥΑΓΓΕΛΙΑ ΘΕΟΔΩΡΑ ΠΕΛΑΓΙΑ</t>
  </si>
  <si>
    <t>ΑΝ627677</t>
  </si>
  <si>
    <t>ΑΒ458929</t>
  </si>
  <si>
    <t>ΑΙ030154</t>
  </si>
  <si>
    <t>ΚΑΨΟΥ</t>
  </si>
  <si>
    <t>ΑΑ402917</t>
  </si>
  <si>
    <t>ΑΖ796266</t>
  </si>
  <si>
    <t>ΠΟΥΓΚΑΤΣΙΟΒΑ</t>
  </si>
  <si>
    <t>ΑΝ856647</t>
  </si>
  <si>
    <t>ΑΙ851392</t>
  </si>
  <si>
    <t>ΑΒ499456</t>
  </si>
  <si>
    <t>ΚΩΝΣΤΑΝΤΙΝΑ ΜΑΡΙΑ</t>
  </si>
  <si>
    <t>ΑΒ490486</t>
  </si>
  <si>
    <t>ΑΗ828152</t>
  </si>
  <si>
    <t>ΑΝ182426</t>
  </si>
  <si>
    <t>ΤΣΟΥΚΑΡΑ</t>
  </si>
  <si>
    <t>ΕΛΕΝΗ ΜΑΓΔΑΛΙΝΗ</t>
  </si>
  <si>
    <t>Φ371244</t>
  </si>
  <si>
    <t>ΚΟΤΑΝΙΔΟΥ</t>
  </si>
  <si>
    <t>ΑΗ668572</t>
  </si>
  <si>
    <t>ΑΗ356732</t>
  </si>
  <si>
    <t>ΜΗΛΕΟΥΝΗ</t>
  </si>
  <si>
    <t>ΑΟ576979</t>
  </si>
  <si>
    <t>ΠΑΜΠΟΥΡΤΖΗ</t>
  </si>
  <si>
    <t>ΙΓΝΑΤΙΑ</t>
  </si>
  <si>
    <t>ΑΚ503281</t>
  </si>
  <si>
    <t>Χ691076</t>
  </si>
  <si>
    <t>ΤΣΙΜΑΡΑ ΝΤΑ ΚΟΣΤΑ</t>
  </si>
  <si>
    <t>ΑΕ635899</t>
  </si>
  <si>
    <t>ΤΑΤΑΚΟΥ</t>
  </si>
  <si>
    <t>ΑΗ280060</t>
  </si>
  <si>
    <t>ΑΙ164223</t>
  </si>
  <si>
    <t>ΙΩΑΚΕΙΜΙΔΗΣ</t>
  </si>
  <si>
    <t>ΑΑ277067</t>
  </si>
  <si>
    <t>ΤΣΕΛΑΙ</t>
  </si>
  <si>
    <t xml:space="preserve"> ΑΝΤΖΕΛΑ</t>
  </si>
  <si>
    <t>ΚΙΑΤΙΠ</t>
  </si>
  <si>
    <t>ΑΙ753178</t>
  </si>
  <si>
    <t>Χ340334</t>
  </si>
  <si>
    <t>ΑΟ631375</t>
  </si>
  <si>
    <t>ΔΕΛΗΣ</t>
  </si>
  <si>
    <t>Τ995875</t>
  </si>
  <si>
    <t>ΑΙ165382</t>
  </si>
  <si>
    <t>ΑΗ695327</t>
  </si>
  <si>
    <t>ΑΗ845354</t>
  </si>
  <si>
    <t>ΑΚ955651</t>
  </si>
  <si>
    <t>Χ717997</t>
  </si>
  <si>
    <t>ΣΙΩΓΚΑ</t>
  </si>
  <si>
    <t>ΑΗ349542</t>
  </si>
  <si>
    <t>ΚΟΚΟΒΑ</t>
  </si>
  <si>
    <t>ΑΑ431127</t>
  </si>
  <si>
    <t>ΛΟΥΣΙΟΠΟΥΛΟΥ</t>
  </si>
  <si>
    <t>ΑΜ693770</t>
  </si>
  <si>
    <t>ΕΛΙΑΜΟΥΝΙ</t>
  </si>
  <si>
    <t>ΑΖ209581</t>
  </si>
  <si>
    <t>ΡΑΦΤΑΚΗ</t>
  </si>
  <si>
    <t>ΑΒ975935</t>
  </si>
  <si>
    <t>ΠΑΝΗ</t>
  </si>
  <si>
    <t>ΑΒ813672</t>
  </si>
  <si>
    <t>ΑΚ144190</t>
  </si>
  <si>
    <t>ΑΑ427304</t>
  </si>
  <si>
    <t>ΑΗ234348</t>
  </si>
  <si>
    <t>ΦΡΑΝΤΖΗ</t>
  </si>
  <si>
    <t>Φ082935</t>
  </si>
  <si>
    <t>ΤΑΡΝΑΡΑ</t>
  </si>
  <si>
    <t>ΙΩΑΝΝΑ ΘΩΜΑΙΣ</t>
  </si>
  <si>
    <t>ΑΚ353509</t>
  </si>
  <si>
    <t>ΑΕ572371</t>
  </si>
  <si>
    <t>ΑΗ917423</t>
  </si>
  <si>
    <t>ΑΒ989820</t>
  </si>
  <si>
    <t>ΑΚ052155</t>
  </si>
  <si>
    <t>ΑΗ343898</t>
  </si>
  <si>
    <t>Χ553036</t>
  </si>
  <si>
    <t>ΙΛΑΡΙΔΟΥ</t>
  </si>
  <si>
    <t>ΑΗ362642</t>
  </si>
  <si>
    <t>ΑΝΑΣΤΟΠΟΥΛΟΥ</t>
  </si>
  <si>
    <t>ΑΑ053842</t>
  </si>
  <si>
    <t>ΣΤΑΜΑΤΕΛΟΥ</t>
  </si>
  <si>
    <t>ΑΡ056806</t>
  </si>
  <si>
    <t>ΑΒ765226</t>
  </si>
  <si>
    <t>ΤΟΥΡΑΣΑΝΙΔΟΥ</t>
  </si>
  <si>
    <t>ΚΩΝΣΤΑΝΤΙΝΑ ΜΑΡΙΝΑ</t>
  </si>
  <si>
    <t>ΑΙ390993</t>
  </si>
  <si>
    <t>ΣΙΟΥΤΗΣ</t>
  </si>
  <si>
    <t>Σ559758</t>
  </si>
  <si>
    <t>ΦΤΥΛΑΚΗ</t>
  </si>
  <si>
    <t>ΑΡ053707</t>
  </si>
  <si>
    <t>ΣΠΙΤΑΛΙΩΡΑΚΗ</t>
  </si>
  <si>
    <t>ΑΟ428946</t>
  </si>
  <si>
    <t>ΚΑΡΤΣΩΝΗ</t>
  </si>
  <si>
    <t>ΕΥΓΕΝΙΑ ΜΑΡΙΑ</t>
  </si>
  <si>
    <t>ΑΟ466098</t>
  </si>
  <si>
    <t>ΝΤΕΜΠΕΛΗ</t>
  </si>
  <si>
    <t>ΑΚ714036</t>
  </si>
  <si>
    <t>ΔΟΥΛΤΣΙΝΟΥ</t>
  </si>
  <si>
    <t>ΑΝ698300</t>
  </si>
  <si>
    <t>ΤΖΟΥΜΠΑ</t>
  </si>
  <si>
    <t>Χ658114</t>
  </si>
  <si>
    <t>ΠΡΕΝΤΖΑ</t>
  </si>
  <si>
    <t>ΑΚ386316</t>
  </si>
  <si>
    <t>ΑΗ349914</t>
  </si>
  <si>
    <t>ΣΚΟΥΡΟΛΙΑΚΟΥ</t>
  </si>
  <si>
    <t>ΑΝ494225</t>
  </si>
  <si>
    <t>ΑΝ409779</t>
  </si>
  <si>
    <t>ΑΜ128999</t>
  </si>
  <si>
    <t>ΤΟΥΤΟΥΝΤΖΙΔΟΥ</t>
  </si>
  <si>
    <t>ΑΟ745297</t>
  </si>
  <si>
    <t>ΑΟ186862</t>
  </si>
  <si>
    <t>ΑΙ358468</t>
  </si>
  <si>
    <t>ΑΕ801995</t>
  </si>
  <si>
    <t>ΕΙΡΗΝΗ ΔΕΣΠΟΙΝΑ</t>
  </si>
  <si>
    <t>ΑΖ441928</t>
  </si>
  <si>
    <t>ΑΑ444773</t>
  </si>
  <si>
    <t>ΝΟΜΙΚΗ</t>
  </si>
  <si>
    <t>Χ825366</t>
  </si>
  <si>
    <t>ΚΑΤΣΙΛΙΕΡΗ</t>
  </si>
  <si>
    <t>ΑΖ723849</t>
  </si>
  <si>
    <t>Χ425212</t>
  </si>
  <si>
    <t>ΠΑΤΣΑΡΟΥΧΑ</t>
  </si>
  <si>
    <t>ΑΑ975210</t>
  </si>
  <si>
    <t>ΑΚ355571</t>
  </si>
  <si>
    <t>ΑΚ469327</t>
  </si>
  <si>
    <t>ΝΤΙΝΤΙΦΑ</t>
  </si>
  <si>
    <t>ΑΝ667626</t>
  </si>
  <si>
    <t>ΑΚ370464</t>
  </si>
  <si>
    <t>ΑΒ265689</t>
  </si>
  <si>
    <t>ΝΤΟΝΗ</t>
  </si>
  <si>
    <t>ΑΗ238231</t>
  </si>
  <si>
    <t>ΑΚ014555</t>
  </si>
  <si>
    <t>ΤΣΟΛΙΑΚΟΥ</t>
  </si>
  <si>
    <t>ΑΕ540352</t>
  </si>
  <si>
    <t>Χ995487</t>
  </si>
  <si>
    <t>Χ328088</t>
  </si>
  <si>
    <t>ΜΠΙΤΖΑ</t>
  </si>
  <si>
    <t>ΑΟ789552</t>
  </si>
  <si>
    <t>ΖΟΥΜΠΟΥΛΙΔΟΥ</t>
  </si>
  <si>
    <t>ΑΝ325467</t>
  </si>
  <si>
    <t>ΚΑΤΣΑΚΟΥ</t>
  </si>
  <si>
    <t>ΑΜ374265</t>
  </si>
  <si>
    <t>ΚΕΦΑΛΛΗΝΟΥ</t>
  </si>
  <si>
    <t>ΑΒ212020</t>
  </si>
  <si>
    <t>ΑΟ765957</t>
  </si>
  <si>
    <t>ΛΕΚΑΚΗ</t>
  </si>
  <si>
    <t>ΑΚ374679</t>
  </si>
  <si>
    <t>ΛΟΥΜΙ</t>
  </si>
  <si>
    <t>ΑΝ667055</t>
  </si>
  <si>
    <t>ΜΟΚΑ</t>
  </si>
  <si>
    <t>ΑΖ273921</t>
  </si>
  <si>
    <t>ΤΡΙΓΓΑ</t>
  </si>
  <si>
    <t>ΑΚ499624</t>
  </si>
  <si>
    <t>ΑΜ738443</t>
  </si>
  <si>
    <t>ΑΕ795078</t>
  </si>
  <si>
    <t>ΑΙ957152</t>
  </si>
  <si>
    <t>ΟΣΜΑΝ ΚΕΧΑΓΙΑ</t>
  </si>
  <si>
    <t>ΓΙΑΧΓΙΑ</t>
  </si>
  <si>
    <t>ΑΙ255481</t>
  </si>
  <si>
    <t>ΑΙ850979</t>
  </si>
  <si>
    <t>ΑΗ307234</t>
  </si>
  <si>
    <t>ΑΔΑΜΑΝΤΙΔΟΥ</t>
  </si>
  <si>
    <t>ΑΖ845544</t>
  </si>
  <si>
    <t>ΑΒ773497</t>
  </si>
  <si>
    <t>ΛΙΤΣΑ</t>
  </si>
  <si>
    <t>ΑΖ549339</t>
  </si>
  <si>
    <t>ΤΑΟΥΚΤΣΗ</t>
  </si>
  <si>
    <t>ΑΜ298310</t>
  </si>
  <si>
    <t>ΘΕΟΔΟΣΗ</t>
  </si>
  <si>
    <t>ΑΖ082442</t>
  </si>
  <si>
    <t>ΑΙ242999</t>
  </si>
  <si>
    <t>ΒΑΛΑΣΗ</t>
  </si>
  <si>
    <t>ΑΒ429890</t>
  </si>
  <si>
    <t>Χ868936</t>
  </si>
  <si>
    <t>Χ502677</t>
  </si>
  <si>
    <t>ΑΝ919011</t>
  </si>
  <si>
    <t>ΡΩΜΑΝΟΠΟΥΛΟΥ</t>
  </si>
  <si>
    <t>ΑΕ189807</t>
  </si>
  <si>
    <t>ΤΑΠΕΙΝΟΥ</t>
  </si>
  <si>
    <t>Χ303864</t>
  </si>
  <si>
    <t>ΑΑ263466</t>
  </si>
  <si>
    <t>ΚΟΠΑΛΙΔΟΥ</t>
  </si>
  <si>
    <t>ΑΙ547283</t>
  </si>
  <si>
    <t>ΑΑ453084</t>
  </si>
  <si>
    <t>ΑΜ015389</t>
  </si>
  <si>
    <t>ΓΚΟΓΚΟΣ</t>
  </si>
  <si>
    <t>ΑΚ829516</t>
  </si>
  <si>
    <t>ΚΡΕΚΟΥΖΟΥ</t>
  </si>
  <si>
    <t>Χ000590</t>
  </si>
  <si>
    <t>ΛΕΝΕΤΑ</t>
  </si>
  <si>
    <t>ΑΚ473316</t>
  </si>
  <si>
    <t>ΑΝΤΕΡΡΙΩΤΗ</t>
  </si>
  <si>
    <t>ΑΖ527838</t>
  </si>
  <si>
    <t>ΤΣΕΝΤΙΔΟΥ</t>
  </si>
  <si>
    <t>ΑΛΕΞΑΝΔΡΑ ΕΥΜΟΡΦΙΑ</t>
  </si>
  <si>
    <t>ΑΙ046445</t>
  </si>
  <si>
    <t>ΞΟΥΡΙΔΑΣ</t>
  </si>
  <si>
    <t>ΑΖ747844</t>
  </si>
  <si>
    <t>ΓΙΑΤΡΑ</t>
  </si>
  <si>
    <t>Χ643004</t>
  </si>
  <si>
    <t>ΦΙΛΙΠΠΑΙΟΥ</t>
  </si>
  <si>
    <t>ΑΙ592691</t>
  </si>
  <si>
    <t>ΑΒ217874</t>
  </si>
  <si>
    <t>ΜΗΤΡΟΥΣΗ</t>
  </si>
  <si>
    <t>ΑΒ452352</t>
  </si>
  <si>
    <t>ΠΡΙΓΓΑ</t>
  </si>
  <si>
    <t>ΑΖ419035</t>
  </si>
  <si>
    <t>ΚΟΥΖΟΥΠΗ</t>
  </si>
  <si>
    <t>ΒΑΣΙΛΙΚΗ ΑΛΚΗΣΤΙΣ</t>
  </si>
  <si>
    <t>ΑΗ553055</t>
  </si>
  <si>
    <t>ΣΤΑΘΟΥΛΟΠΟΥΛΟΥ</t>
  </si>
  <si>
    <t>Τ255877</t>
  </si>
  <si>
    <t>ΦΡΥΓΑΝΙΩΤΗ</t>
  </si>
  <si>
    <t>ΑΟ144232</t>
  </si>
  <si>
    <t>Φ219537</t>
  </si>
  <si>
    <t>MAROUDAS</t>
  </si>
  <si>
    <t>NENYA</t>
  </si>
  <si>
    <t>NORBERT</t>
  </si>
  <si>
    <t>ΑΙ840773</t>
  </si>
  <si>
    <t>ΑΕ804571</t>
  </si>
  <si>
    <t>ΥΠΑΠΑΝΤΗ</t>
  </si>
  <si>
    <t>ΑΖ600239</t>
  </si>
  <si>
    <t>Τ241701</t>
  </si>
  <si>
    <t>ΚΑΛΛH</t>
  </si>
  <si>
    <t>ΑΝ626068</t>
  </si>
  <si>
    <t>ΑΝ759267</t>
  </si>
  <si>
    <t>ΙΦΟΓΛΟΥ</t>
  </si>
  <si>
    <t>ΑΙ151648</t>
  </si>
  <si>
    <t>ΑΒ755705</t>
  </si>
  <si>
    <t>ΓΡΑΜΜΑΤΙΚΟΠΟΥΛΟΥ</t>
  </si>
  <si>
    <t>ΑΚ881462</t>
  </si>
  <si>
    <t>ΑΗ573340</t>
  </si>
  <si>
    <t>ΜΥΡΜΙΓΚΟΥ</t>
  </si>
  <si>
    <t>ΑΙ706897</t>
  </si>
  <si>
    <t>ΛΕΟΝΤΟΠΟΥΛΟΥ</t>
  </si>
  <si>
    <t>ΑΖ496809</t>
  </si>
  <si>
    <t>ΑΖ318562</t>
  </si>
  <si>
    <t>ΜΠΑΚΟΥΛΗ</t>
  </si>
  <si>
    <t>ΑΗ437571</t>
  </si>
  <si>
    <t>ΝΤΟΣΤΑ</t>
  </si>
  <si>
    <t>ΕΛΙΝΑ</t>
  </si>
  <si>
    <t>ΛΕΥΤΕΡ</t>
  </si>
  <si>
    <t>ΑΝ060531</t>
  </si>
  <si>
    <t>ΔΗΜΚΟΥ</t>
  </si>
  <si>
    <t>ΑΑ934989</t>
  </si>
  <si>
    <t>ΑΙ780598</t>
  </si>
  <si>
    <t>Π966073</t>
  </si>
  <si>
    <t>ΑΕ471408</t>
  </si>
  <si>
    <t>ΧΡΥΣΙΚΟΠΟΥΛΟΥ</t>
  </si>
  <si>
    <t>ΑΙ218374</t>
  </si>
  <si>
    <t>ΖΗΣΙΟΠΟΥΛΟΥ</t>
  </si>
  <si>
    <t>ΑΙ358300</t>
  </si>
  <si>
    <t>ΑΙ024934</t>
  </si>
  <si>
    <t>ΑΖ387163</t>
  </si>
  <si>
    <t>ΜΠΟΜΠΟΥ ΜΑΓΟΥΛΑ</t>
  </si>
  <si>
    <t>ΑΒ404302</t>
  </si>
  <si>
    <t>ΚΤΕΝΑ</t>
  </si>
  <si>
    <t>ΑΙ097229</t>
  </si>
  <si>
    <t>ΜΕΡΤΙΡΗ</t>
  </si>
  <si>
    <t>ΑΙ014343</t>
  </si>
  <si>
    <t>ΛΑΔΑΚΑΚΟΥ</t>
  </si>
  <si>
    <t>ΑΖ515337</t>
  </si>
  <si>
    <t>ΑΝ343824</t>
  </si>
  <si>
    <t>ΚΟΛΛΑΤΟΥ</t>
  </si>
  <si>
    <t xml:space="preserve">ΠΙΤΣΑ </t>
  </si>
  <si>
    <t>Π909211</t>
  </si>
  <si>
    <t>ΑΙ799867</t>
  </si>
  <si>
    <t>ΑΝ734898</t>
  </si>
  <si>
    <t>ΜΑΝΙΟΥ</t>
  </si>
  <si>
    <t>ΑΙ976361</t>
  </si>
  <si>
    <t>ΚΟΥΡΟΥΜΙΧΑΚΗ</t>
  </si>
  <si>
    <t>ΑΜ922491</t>
  </si>
  <si>
    <t>ΑΟ556150</t>
  </si>
  <si>
    <t>ΤΣΙΛΙΓΚΟΥΔΗ</t>
  </si>
  <si>
    <t>ΑΖ377273</t>
  </si>
  <si>
    <t>ΑΗ830684</t>
  </si>
  <si>
    <t>ΑΖ543881</t>
  </si>
  <si>
    <t>ΑΙ633674</t>
  </si>
  <si>
    <t>Φ122679</t>
  </si>
  <si>
    <t>ΑΓΝΤΓΚΟΜΕΛΑΣΒΙΛΙ</t>
  </si>
  <si>
    <t>ΤΕΟΝΑ</t>
  </si>
  <si>
    <t>ΝΟΥΓΚΖΑΡΙ</t>
  </si>
  <si>
    <t>ΑΝ722536</t>
  </si>
  <si>
    <t>ΤΟΠΑΛΗ</t>
  </si>
  <si>
    <t>ΑΖ649487</t>
  </si>
  <si>
    <t>ΕΛΕΝΗ ΖΩΗ</t>
  </si>
  <si>
    <t>ΑΖ708069</t>
  </si>
  <si>
    <t>ΛΑΝΓΚΟΥ</t>
  </si>
  <si>
    <t>ΒΙΟΛΕΤΑ</t>
  </si>
  <si>
    <t>ΑΙ527191</t>
  </si>
  <si>
    <t>ΑΑ472591</t>
  </si>
  <si>
    <t>ΓΑΒΡΙΑ</t>
  </si>
  <si>
    <t>ΑΗ300801</t>
  </si>
  <si>
    <t>ΑΗ423987</t>
  </si>
  <si>
    <t>ΑΝΔΡΕΑΔΗΣ</t>
  </si>
  <si>
    <t>ΑΗ326646</t>
  </si>
  <si>
    <t>ΕΥΑΓΓΕΛΙΑ ΤΡΙΑΝΤΑΦΥΛ</t>
  </si>
  <si>
    <t>ΑΚ411578</t>
  </si>
  <si>
    <t>ΔΑΔΑΒΕΛΑ</t>
  </si>
  <si>
    <t>ΑΖ828889</t>
  </si>
  <si>
    <t>ΑΙ837301</t>
  </si>
  <si>
    <t>ΧΑΛΒΑΤΖΗ</t>
  </si>
  <si>
    <t>ΒΕΡΓΟΣ</t>
  </si>
  <si>
    <t>ΑΗ409880</t>
  </si>
  <si>
    <t>ΠΛΥΜΕΝΟΥ</t>
  </si>
  <si>
    <t>ΑΒ813267</t>
  </si>
  <si>
    <t>ΑΗ658271</t>
  </si>
  <si>
    <t>ΚΑΡΑΓΕΩΡΓΗΣ</t>
  </si>
  <si>
    <t>Χ082268</t>
  </si>
  <si>
    <t>ΦΥΤΟΥΣΗ</t>
  </si>
  <si>
    <t>ΑΒ253836</t>
  </si>
  <si>
    <t>ΑΖ284550</t>
  </si>
  <si>
    <t>ΑΙ289724</t>
  </si>
  <si>
    <t>ΤΣΙΧΛΑ</t>
  </si>
  <si>
    <t>ΑΗ211074</t>
  </si>
  <si>
    <t>ΑΗ987563</t>
  </si>
  <si>
    <t>ΑΚ777769</t>
  </si>
  <si>
    <t>ΑΗ278404</t>
  </si>
  <si>
    <t>ΜΠΑΛΤΣΙΟΥ</t>
  </si>
  <si>
    <t xml:space="preserve">ΜΑΡΙΑ ΕΛΙΣΑΒΕΤ </t>
  </si>
  <si>
    <t>ΑΗ847866</t>
  </si>
  <si>
    <t>ΚΑΤΣΙΛΑ</t>
  </si>
  <si>
    <t>ΑΙ246394</t>
  </si>
  <si>
    <t>ΑΙ579296</t>
  </si>
  <si>
    <t>ΑΚ468505</t>
  </si>
  <si>
    <t>ΑΗ518886</t>
  </si>
  <si>
    <t>ΜΠΟΔΙΤΣΟΠΟΥΛΟΥ</t>
  </si>
  <si>
    <t>ΑΑ258393</t>
  </si>
  <si>
    <t>ΑΖ471144</t>
  </si>
  <si>
    <t>ΖΑΡΑ</t>
  </si>
  <si>
    <t>ΑΜ832775</t>
  </si>
  <si>
    <t>ΜΑΡΑΓΚΟΥΔΑΚΗ</t>
  </si>
  <si>
    <t>ΑΙ543132</t>
  </si>
  <si>
    <t>ΚΑΡΔΑΜΑΚΗΣ</t>
  </si>
  <si>
    <t>Χ993528</t>
  </si>
  <si>
    <t>ΑΝ596523</t>
  </si>
  <si>
    <t>ΠΑΤΡΙΚΗ</t>
  </si>
  <si>
    <t>ΑΙ747928</t>
  </si>
  <si>
    <t>ΑΒ353655</t>
  </si>
  <si>
    <t>ΣΙΜΗ</t>
  </si>
  <si>
    <t>ΑΗ337437</t>
  </si>
  <si>
    <t>ΑΓΓΕΛΙΚΗ ΣΟΦΙΑ</t>
  </si>
  <si>
    <t>ΑΗ752443</t>
  </si>
  <si>
    <t>ΚΟΛΙΖΑ</t>
  </si>
  <si>
    <t>ΑΝ611035</t>
  </si>
  <si>
    <t>ΑΚ614640</t>
  </si>
  <si>
    <t>Τ356870</t>
  </si>
  <si>
    <t>ΜΠΟΥΧΟΥΡΗ</t>
  </si>
  <si>
    <t>ΑΗ662519</t>
  </si>
  <si>
    <t>ΑΚ725853</t>
  </si>
  <si>
    <t>ΑΚ499262</t>
  </si>
  <si>
    <t>ΜΑΡΓΑΡΩΝΗ</t>
  </si>
  <si>
    <t>Χ638985</t>
  </si>
  <si>
    <t>ΓΕΡΑΣΙΜΙΔΗΣ</t>
  </si>
  <si>
    <t>ΑΖ064180</t>
  </si>
  <si>
    <t>ΠΟΥΛΙΑΝΟΥ</t>
  </si>
  <si>
    <t>ΑΙ566473</t>
  </si>
  <si>
    <t>ΑΚ430783</t>
  </si>
  <si>
    <t>ΧΑΑΣ</t>
  </si>
  <si>
    <t>ΓΕΩΡΓΙΟΣ ΠΕΤΡΟΣ</t>
  </si>
  <si>
    <t>ΑΒ237550</t>
  </si>
  <si>
    <t>ΒΑΡΓΙΑΚΑΚΗ</t>
  </si>
  <si>
    <t>ΑΖ961640</t>
  </si>
  <si>
    <t>ΤΣΙΚΑΡΛΗ</t>
  </si>
  <si>
    <t>ΑΜ821577</t>
  </si>
  <si>
    <t>ΑΕ506523</t>
  </si>
  <si>
    <t>ΧΑΡΑΜΑΝΤΑ</t>
  </si>
  <si>
    <t>ΑΑ039904</t>
  </si>
  <si>
    <t>ΜΗΤΡΟΓΙΑΝΝΗ</t>
  </si>
  <si>
    <t>ΑΒ810669</t>
  </si>
  <si>
    <t>ΤΣΑΛΔΑΡΑΚΗ</t>
  </si>
  <si>
    <t>ΑΗ508832</t>
  </si>
  <si>
    <t>ΑΕ321135</t>
  </si>
  <si>
    <t>ΑΙ467064</t>
  </si>
  <si>
    <t>ΑΜ715015</t>
  </si>
  <si>
    <t>ΑΙ324579</t>
  </si>
  <si>
    <t>ΜΠΑΡΟΥΧΟΥ</t>
  </si>
  <si>
    <t>ΑΙ821607</t>
  </si>
  <si>
    <t>ΣΤΑΜΑΤΟΥΔΗ</t>
  </si>
  <si>
    <t>Φ003151</t>
  </si>
  <si>
    <t>ΑΟ496211</t>
  </si>
  <si>
    <t>ΠΟΡΓΙΑΖΗ</t>
  </si>
  <si>
    <t>ΑΗ699586</t>
  </si>
  <si>
    <t>ΤΑΟΥΚΙΔΟΥ</t>
  </si>
  <si>
    <t>ΑΗ659009</t>
  </si>
  <si>
    <t>ΑΚ345411</t>
  </si>
  <si>
    <t xml:space="preserve">ΚΩΣΤΑΚΗΣ </t>
  </si>
  <si>
    <t>ΑΜ059293</t>
  </si>
  <si>
    <t>ΝΤΟΥΡΜΙΣΙ</t>
  </si>
  <si>
    <t>ΣΙΛΒΙΑ</t>
  </si>
  <si>
    <t>ΑΓΚΡΟΝ</t>
  </si>
  <si>
    <t>ΑΚ688052</t>
  </si>
  <si>
    <t>ΛΑΜΠΙΡΗ</t>
  </si>
  <si>
    <t>Χ511137</t>
  </si>
  <si>
    <t>ΣΤΑΧΤΑΡΗ</t>
  </si>
  <si>
    <t>Χ408802</t>
  </si>
  <si>
    <t>ΑΚ348763</t>
  </si>
  <si>
    <t>Χ104378</t>
  </si>
  <si>
    <t>ΑΕ560052</t>
  </si>
  <si>
    <t>Χ374230</t>
  </si>
  <si>
    <t>ΜΥΣΤΟΓΛΟΥ</t>
  </si>
  <si>
    <t>ΑΖ664195</t>
  </si>
  <si>
    <t>ΜΑΝΩΛΟΠΟΥΛΟΥ</t>
  </si>
  <si>
    <t>ΑΙ982085</t>
  </si>
  <si>
    <t>ΑΜ831902</t>
  </si>
  <si>
    <t>ΓΚΑΛΕΤΣΗΣ</t>
  </si>
  <si>
    <t>ΑΟ201265</t>
  </si>
  <si>
    <t>ΑΝ355248</t>
  </si>
  <si>
    <t>Χ452547</t>
  </si>
  <si>
    <t>ΒΑΣΤΑΖΟΥ</t>
  </si>
  <si>
    <t>ΑΖ161390</t>
  </si>
  <si>
    <t>ΑΖ881146</t>
  </si>
  <si>
    <t>ΑΛΗΓΙΑΝΝΗΣ</t>
  </si>
  <si>
    <t>ΑΖ724641</t>
  </si>
  <si>
    <t>ΞΥΡΟΡΑΦΑ</t>
  </si>
  <si>
    <t>ΑΜ331699</t>
  </si>
  <si>
    <t>ΑΗ544650</t>
  </si>
  <si>
    <t>ΑΑ023493</t>
  </si>
  <si>
    <t>ΜΠΑΧΟΥΜΗ</t>
  </si>
  <si>
    <t>ΘΕΟΝΗ</t>
  </si>
  <si>
    <t>ΑΒ395735</t>
  </si>
  <si>
    <t>ΚΑΤΣΕΛΟΥ</t>
  </si>
  <si>
    <t>ΑΒ104841</t>
  </si>
  <si>
    <t>ΣΥΝΤΥΧΑΚΗ</t>
  </si>
  <si>
    <t>ΑΚ746320</t>
  </si>
  <si>
    <t>ΑΚ105474</t>
  </si>
  <si>
    <t>ΠΟΥΛΙΚΑΚΟΥ</t>
  </si>
  <si>
    <t>ΑΖ054738</t>
  </si>
  <si>
    <t>ΚΟΚΑ</t>
  </si>
  <si>
    <t>ΑΡΒΙΝΤΑ</t>
  </si>
  <si>
    <t>ΑΜ569361</t>
  </si>
  <si>
    <t>ΚΑΝΟΥΛΑ</t>
  </si>
  <si>
    <t>ΑΝ168844</t>
  </si>
  <si>
    <t>ΠΛΑΤΑΝΑ</t>
  </si>
  <si>
    <t>Φ025523</t>
  </si>
  <si>
    <t>Χ473691</t>
  </si>
  <si>
    <t>ΑΙ261631</t>
  </si>
  <si>
    <t>ΜΠΟΛΗΣ</t>
  </si>
  <si>
    <t>ΑΘΑΝΑΣΙΟΣ ΝΕΚΤΑΡΙΟΣ</t>
  </si>
  <si>
    <t>ΑΚ075905</t>
  </si>
  <si>
    <t>ΣΥΝΑΔΙΝΟΥ</t>
  </si>
  <si>
    <t>ΑΗ257385</t>
  </si>
  <si>
    <t>ΑΝ067817</t>
  </si>
  <si>
    <t>ΣΕΡΑΦΙΔΟΥ</t>
  </si>
  <si>
    <t>ΑΒ153697</t>
  </si>
  <si>
    <t>ΣΕΡΙΦ ΔΑΜΑΔΟΓΛΟΥ</t>
  </si>
  <si>
    <t>ΓΙΑΣΑΡ</t>
  </si>
  <si>
    <t>ΑΖ920181</t>
  </si>
  <si>
    <t>ΤΣΟΛΚΑ</t>
  </si>
  <si>
    <t>ΒΕΛΙΣΣΑΡΙΑ</t>
  </si>
  <si>
    <t>Χ274381</t>
  </si>
  <si>
    <t>ΑΕ280554</t>
  </si>
  <si>
    <t>ΑΗ979431</t>
  </si>
  <si>
    <t>ΑΗ766476</t>
  </si>
  <si>
    <t>ΑΜ751595</t>
  </si>
  <si>
    <t>ΣΙΝΑΝΙ</t>
  </si>
  <si>
    <t>ΛΟΡΕΝΑ</t>
  </si>
  <si>
    <t>ΥΛΙ</t>
  </si>
  <si>
    <t>ΑΜ131457</t>
  </si>
  <si>
    <t xml:space="preserve">ΠΑΥΛΙΔΟΥ </t>
  </si>
  <si>
    <t>ΑΜ427165</t>
  </si>
  <si>
    <t>ΑΚ978211</t>
  </si>
  <si>
    <t>ΠΑΠΑΣΩΤΗΡΑΚΟΠΟΥΛΟΥ</t>
  </si>
  <si>
    <t>ΑΙ202829</t>
  </si>
  <si>
    <t>ΑΙ368796</t>
  </si>
  <si>
    <t>ΚΟΤΣΙΡΩΝΗΣ</t>
  </si>
  <si>
    <t>ΑΙ220385</t>
  </si>
  <si>
    <t>ΠΛΑΣΤΑΡΓΙΑ</t>
  </si>
  <si>
    <t>ΑΓΓΕΛΙΚΗ ΙΩΑΝΝΑ</t>
  </si>
  <si>
    <t>ΑΝ549444</t>
  </si>
  <si>
    <t>ΑΕ720596</t>
  </si>
  <si>
    <t>ΤΖΙΑΜΑΛΗ</t>
  </si>
  <si>
    <t>ΠΑΡΑΣΚΕΥΗ ΔΕΣΠΟΙΝΑ</t>
  </si>
  <si>
    <t>ΑΙ142272</t>
  </si>
  <si>
    <t>ΑΝΑΠΟΛΙΩΤΑΚΗ</t>
  </si>
  <si>
    <t>ΑΗ222492</t>
  </si>
  <si>
    <t>ΒΑΣΙΛΙΚΗ ΝΑΤΑΛΙΑ</t>
  </si>
  <si>
    <t>ΑΟ460079</t>
  </si>
  <si>
    <t>ΑΖ625761</t>
  </si>
  <si>
    <t>ΤΣΙΡΓΙΩΤΗ</t>
  </si>
  <si>
    <t>ΑΓΓΕΛΙΚΗ ΔΕΣΠΟΙΝΑ</t>
  </si>
  <si>
    <t>ΑΚ493360</t>
  </si>
  <si>
    <t>ΜΑΝΩΛΗ</t>
  </si>
  <si>
    <t>ΑΖ080930</t>
  </si>
  <si>
    <t>ΑΙ315976</t>
  </si>
  <si>
    <t>ΑΖ980140</t>
  </si>
  <si>
    <t>ΒΕΡΜΠΗ</t>
  </si>
  <si>
    <t>ΑΚ165789</t>
  </si>
  <si>
    <t>ΚΟΥΚΟΥΡΕΤΣΗ</t>
  </si>
  <si>
    <t>ΚΡΙΣΤΙΑΝΑ</t>
  </si>
  <si>
    <t>ΒΑΣΙΛΗ</t>
  </si>
  <si>
    <t>ΑΙ784859</t>
  </si>
  <si>
    <t>ΑΖ896250</t>
  </si>
  <si>
    <t>Χ376061</t>
  </si>
  <si>
    <t>ΠΑΛΠΑΝΗΣ</t>
  </si>
  <si>
    <t>ΑΗ294699</t>
  </si>
  <si>
    <t>ΜΙΓΚΑ</t>
  </si>
  <si>
    <t>ΑΙ153017</t>
  </si>
  <si>
    <t>ΑΒ247225</t>
  </si>
  <si>
    <t>ΔΑΛΑΒΕΡΟΥ</t>
  </si>
  <si>
    <t>ΑΙ947383</t>
  </si>
  <si>
    <t>ΑΜ790059</t>
  </si>
  <si>
    <t>ΑΝ677641</t>
  </si>
  <si>
    <t>ΣΑΜΨΩΝΙΔΗΣ</t>
  </si>
  <si>
    <t>ΑΖ031810</t>
  </si>
  <si>
    <t>ΑΒΡΑΜΟΥΛΗ</t>
  </si>
  <si>
    <t>ΑΡΕΤΗ ΕΜΜΑΝΟΥΕΛΛΑ</t>
  </si>
  <si>
    <t>ΑΙ862891</t>
  </si>
  <si>
    <t>ΑΒ888901</t>
  </si>
  <si>
    <t>ΡΑΠΑΙ</t>
  </si>
  <si>
    <t>ΦΙΟΡΕΛΑ</t>
  </si>
  <si>
    <t>ΦΑΤΜΙΡ</t>
  </si>
  <si>
    <t>ΑΚ648899</t>
  </si>
  <si>
    <t>Χ316063</t>
  </si>
  <si>
    <t>ΑΗ179373</t>
  </si>
  <si>
    <t>ΑΜ014413</t>
  </si>
  <si>
    <t>ΑΒ789880</t>
  </si>
  <si>
    <t>ΑΗ465432</t>
  </si>
  <si>
    <t>ΒΑΡΖΕΛΙΩΤΗ</t>
  </si>
  <si>
    <t>ΑΚ347556</t>
  </si>
  <si>
    <t>ΑΗ638695</t>
  </si>
  <si>
    <t>ΣΑΚΑ</t>
  </si>
  <si>
    <t>ΑΙ293186</t>
  </si>
  <si>
    <t>ΚΥΡΙΑΚΕΑ</t>
  </si>
  <si>
    <t>ΑΖ055995</t>
  </si>
  <si>
    <t>ΛΙΑΛΙΑΣ</t>
  </si>
  <si>
    <t>ΑΗ325905</t>
  </si>
  <si>
    <t>ΑΚ627763</t>
  </si>
  <si>
    <t>ΚΟΥΡΚΟΥΛΙΩΤΗ</t>
  </si>
  <si>
    <t>ΕΥΜΟΡΦΙΑ ΕΥΓΕΝΙΑ</t>
  </si>
  <si>
    <t>ΑΗ476051</t>
  </si>
  <si>
    <t>ΧΑΡΙΤΩΝΙΔΗΣ</t>
  </si>
  <si>
    <t>ΑΖ562960</t>
  </si>
  <si>
    <t>ΜΠΟΧΩΡΗ</t>
  </si>
  <si>
    <t>ΑΖ661466</t>
  </si>
  <si>
    <t>ΑΝ329889</t>
  </si>
  <si>
    <t>ΑΒΡΑΜΙΔΗΣ</t>
  </si>
  <si>
    <t>ΑΖ786825</t>
  </si>
  <si>
    <t>ΑΙ294154</t>
  </si>
  <si>
    <t>ΑΖ876223</t>
  </si>
  <si>
    <t>ΤΟΥΜΠΑ</t>
  </si>
  <si>
    <t>ΑΗ667014</t>
  </si>
  <si>
    <t>ΑΝ213387</t>
  </si>
  <si>
    <t>ΓΕΩΡΓΟΥΛΑΚΟΥ</t>
  </si>
  <si>
    <t>Σ580352</t>
  </si>
  <si>
    <t>ΑΝ442544</t>
  </si>
  <si>
    <t>Χ864258</t>
  </si>
  <si>
    <t>ΜΠΑΣΙΑΚΟΥΡΑ</t>
  </si>
  <si>
    <t>Φ267199</t>
  </si>
  <si>
    <t>ΛΙΑΧΝΗΣ</t>
  </si>
  <si>
    <t>ΑΙ816875</t>
  </si>
  <si>
    <t>ΜΕΛΛΟΣ</t>
  </si>
  <si>
    <t>ΑΗ576259</t>
  </si>
  <si>
    <t>ΣΠΟΝΤΙΔΑΚΗ</t>
  </si>
  <si>
    <t>ΑΙ963085</t>
  </si>
  <si>
    <t>ΣΕΡΓΙΟΣ</t>
  </si>
  <si>
    <t>ΑΒ212285</t>
  </si>
  <si>
    <t>ΜΑΡΟΥΛΙΔΗ</t>
  </si>
  <si>
    <t>ΕΛΕΥΘΕΥΡΙΟΣ</t>
  </si>
  <si>
    <t>ΑΙ001009</t>
  </si>
  <si>
    <t>ΑΜ300348</t>
  </si>
  <si>
    <t>ΓΕΡΟΥΛΙΑ</t>
  </si>
  <si>
    <t>ΠΑΝΑΓΙΩΤΑ ΕΛΕΝΗ</t>
  </si>
  <si>
    <t>ΑΟ834285</t>
  </si>
  <si>
    <t>ΑΒ857450</t>
  </si>
  <si>
    <t>ΠΟΙΚΙΛΙΔΟΥ</t>
  </si>
  <si>
    <t>ΑΕ528335</t>
  </si>
  <si>
    <t>ΜΗΛΙΔΩΝΗ</t>
  </si>
  <si>
    <t>Χ182698</t>
  </si>
  <si>
    <t>ΣΚΑΛΤΣΑΣ</t>
  </si>
  <si>
    <t>ΑΖ238085</t>
  </si>
  <si>
    <t>ΜΠΑΤΖΙΟΓΙΑΝΝΗ</t>
  </si>
  <si>
    <t>Φ318183</t>
  </si>
  <si>
    <t>ΑΙ456924</t>
  </si>
  <si>
    <t>ΜΟΥΣΟΥΡΗ</t>
  </si>
  <si>
    <t>ΑΙ557614</t>
  </si>
  <si>
    <t>ΔΑΥΛΗ</t>
  </si>
  <si>
    <t>ΔΑΝΑΗ ΕΛΕΝΗ</t>
  </si>
  <si>
    <t>ΑΙ081258</t>
  </si>
  <si>
    <t>ΚΑΠΑΔΟΠΟΥΛΟΥ</t>
  </si>
  <si>
    <t>ΑΒ001211</t>
  </si>
  <si>
    <t>Χ227713</t>
  </si>
  <si>
    <t>ΑΟ331764</t>
  </si>
  <si>
    <t>ΠΛΕΙΑΝΘΙΔΗΣ</t>
  </si>
  <si>
    <t>Φ133217</t>
  </si>
  <si>
    <t>ΑΙ867902</t>
  </si>
  <si>
    <t>ΒΡΑΤΣΙΔΟΥ</t>
  </si>
  <si>
    <t>ΑΗ669084</t>
  </si>
  <si>
    <t>ΠΑΠΑΣΩΤΗΡΙΟΥ</t>
  </si>
  <si>
    <t>ΑΚ076990</t>
  </si>
  <si>
    <t>ΜΕΛΙΝΑ ΠΑΝΑΓΙΩΤΑ</t>
  </si>
  <si>
    <t>Χ960474</t>
  </si>
  <si>
    <t>ΓΚΑΝΤΟΓΛΟΥ</t>
  </si>
  <si>
    <t>ΑΙ189628</t>
  </si>
  <si>
    <t>ΑΖ802158</t>
  </si>
  <si>
    <t>ΑΗ782994</t>
  </si>
  <si>
    <t>ΓΟΖΙΛΗΣ</t>
  </si>
  <si>
    <t>ΑΟ241087</t>
  </si>
  <si>
    <t>ΕΛΙΣΑΒΕΤ ΑΘΑΝΑΣΙΑ</t>
  </si>
  <si>
    <t>ΙΩΑΝΝΗΣ ΚΩΝΣΤΑΝΤΙΝΟΣ</t>
  </si>
  <si>
    <t>ΑΚ816460</t>
  </si>
  <si>
    <t>ΑΜ031626</t>
  </si>
  <si>
    <t>ΣΙΑΜΙΩΤΗ</t>
  </si>
  <si>
    <t>ΑΒ998470</t>
  </si>
  <si>
    <t>ΑΟ694020</t>
  </si>
  <si>
    <t>ΑΜ184343</t>
  </si>
  <si>
    <t>ΤΣΙΝΤΖΙΛΩΝΗ</t>
  </si>
  <si>
    <t>Φ293622</t>
  </si>
  <si>
    <t>ΑΟ553722</t>
  </si>
  <si>
    <t>ΑΝΔΡΙΚΟΥ</t>
  </si>
  <si>
    <t>ΑΖ643219</t>
  </si>
  <si>
    <t>ΑΙ139400</t>
  </si>
  <si>
    <t>ΑΙ050158</t>
  </si>
  <si>
    <t>ΑΜ967151</t>
  </si>
  <si>
    <t>ΤΥΡΙΑΚΙΔΟΥ</t>
  </si>
  <si>
    <t>ΣΙΜΕΛΑ</t>
  </si>
  <si>
    <t>ΑΟ410276</t>
  </si>
  <si>
    <t>ΑΝ677756</t>
  </si>
  <si>
    <t>ΧΑΛΙΚΙΟΠΟΥΛΟΥ</t>
  </si>
  <si>
    <t>ΕΛΕΝΗ ΑΝΑΣΤΑΣΙΑ</t>
  </si>
  <si>
    <t>ΑΖ737577</t>
  </si>
  <si>
    <t>ΒΕΝΕΔΙΚΤΟΣ</t>
  </si>
  <si>
    <t>ΑΙ228154</t>
  </si>
  <si>
    <t>ΣΚΑΡΗ</t>
  </si>
  <si>
    <t>ΑΒ276495</t>
  </si>
  <si>
    <t>ΑΗ880042</t>
  </si>
  <si>
    <t xml:space="preserve">ΜΑΡΙΛΕΝΑ </t>
  </si>
  <si>
    <t>ΑΚ952616</t>
  </si>
  <si>
    <t>ΤΖΙΒΟΓΛΟΥ</t>
  </si>
  <si>
    <t>Χ124799</t>
  </si>
  <si>
    <t>ΑΙ294377</t>
  </si>
  <si>
    <t>ΧΡΙΣΟΣΤΟΜΙΔΗ</t>
  </si>
  <si>
    <t>ΑΗ379224</t>
  </si>
  <si>
    <t>Χ935612</t>
  </si>
  <si>
    <t>ΑΔΡΑΧΤΑ</t>
  </si>
  <si>
    <t>ΠΑΡΑΣΚΕΥΗ ΕΛΕΥΘΕΡΙΑ</t>
  </si>
  <si>
    <t>ΑΗ983313</t>
  </si>
  <si>
    <t>ΝΤΑΛΟΥΜΗ</t>
  </si>
  <si>
    <t>ΑΖ783102</t>
  </si>
  <si>
    <t>ΔΑΔΗ</t>
  </si>
  <si>
    <t>ΑΚ253185</t>
  </si>
  <si>
    <t>ΠΑΡΟΥΣΑΚΗ</t>
  </si>
  <si>
    <t>ΑΖ697962</t>
  </si>
  <si>
    <t>ΔΑΔΟΥ</t>
  </si>
  <si>
    <t>ΑΗ680047</t>
  </si>
  <si>
    <t>ΖΕΡΒΑΣ</t>
  </si>
  <si>
    <t>ΑΖ222725</t>
  </si>
  <si>
    <t>ΚΩΣΤΟΥΡΟΥ</t>
  </si>
  <si>
    <t>ΑΗ200576</t>
  </si>
  <si>
    <t>ΣΩΖΩΝ</t>
  </si>
  <si>
    <t>Χ871656</t>
  </si>
  <si>
    <t>ΑΚ377443</t>
  </si>
  <si>
    <t>ΚΟΤΣΙΑΙ</t>
  </si>
  <si>
    <t>ΟΝΤΕΤΑ</t>
  </si>
  <si>
    <t>ΠΑΡΤΙΖΑΝ</t>
  </si>
  <si>
    <t>ΑΝ158077</t>
  </si>
  <si>
    <t>ΑΙ911522</t>
  </si>
  <si>
    <t>ΑΝ803744</t>
  </si>
  <si>
    <t>ΡΟΜΠΕΡΤΣ ΚΡΑΓΙΟΠΟΥΛΟΥ</t>
  </si>
  <si>
    <t>ΓΕΡΑΣΙΜΟΣ ΓΕΘΩΝ</t>
  </si>
  <si>
    <t>ΑΙ731183</t>
  </si>
  <si>
    <t>ΚΑΡΑΒΙΑ</t>
  </si>
  <si>
    <t>Χ051229</t>
  </si>
  <si>
    <t>ΑΙ687995</t>
  </si>
  <si>
    <t>ΡΕΦΟΥΛΙΑ</t>
  </si>
  <si>
    <t>ΑΙ661762</t>
  </si>
  <si>
    <t>ΑΖ838181</t>
  </si>
  <si>
    <t>ΜΠΙΡΗΣ</t>
  </si>
  <si>
    <t>ΑΙ099613</t>
  </si>
  <si>
    <t>ΑΗ469147</t>
  </si>
  <si>
    <t>ΓΡΑΜΜΑΤΗΣ</t>
  </si>
  <si>
    <t>ΑΒ844912</t>
  </si>
  <si>
    <t>ΤΖΙΜΟΥΛΑΚΗ</t>
  </si>
  <si>
    <t>ΑΟ267016</t>
  </si>
  <si>
    <t>ΠΑΝΤΩΤΗ</t>
  </si>
  <si>
    <t>ΑΜ923000</t>
  </si>
  <si>
    <t>ΣΤΑΓΙΑ</t>
  </si>
  <si>
    <t>ΑΒ080577</t>
  </si>
  <si>
    <t>ΑΗ307436</t>
  </si>
  <si>
    <t>ΤΙΝΑ</t>
  </si>
  <si>
    <t>ΑΙ515769</t>
  </si>
  <si>
    <t>ΚΑΛΛΙΟΠΗ ΜΑΡΙΑ</t>
  </si>
  <si>
    <t>ΑΗ378515</t>
  </si>
  <si>
    <t>ΑΚ364097</t>
  </si>
  <si>
    <t>ΚΑΡΑΝΤΟΥΛΑΜΑ</t>
  </si>
  <si>
    <t>ΑΗ615262</t>
  </si>
  <si>
    <t>ΤΣΙΑΝΟΥ</t>
  </si>
  <si>
    <t>ΑΗ238451</t>
  </si>
  <si>
    <t>ΑΜ288220</t>
  </si>
  <si>
    <t>ΚΙΑΜΟΥΡΗ</t>
  </si>
  <si>
    <t>ΑΙ559323</t>
  </si>
  <si>
    <t>ΜΑΝΤΖΑΝΑΡΗ</t>
  </si>
  <si>
    <t>ΑΚ883368</t>
  </si>
  <si>
    <t>ΑΜ252392</t>
  </si>
  <si>
    <t>ΛΥΓΟΥΡΑ</t>
  </si>
  <si>
    <t>ΑΟ339109</t>
  </si>
  <si>
    <t>ΜΠΑΡΜΠΑΛΙΑ</t>
  </si>
  <si>
    <t>ΑΒ004807</t>
  </si>
  <si>
    <t>ΚΕΛΕΣΙΔΗΣ</t>
  </si>
  <si>
    <t>ΑΖ912788</t>
  </si>
  <si>
    <t>ΚΑΣΙΩΤΗ</t>
  </si>
  <si>
    <t>ΑΗ579653</t>
  </si>
  <si>
    <t>ΚΑΝΤΑ</t>
  </si>
  <si>
    <t>ΑΝ780291</t>
  </si>
  <si>
    <t>ΣΤΑΡΑΚΗ</t>
  </si>
  <si>
    <t>ΑΚ472544</t>
  </si>
  <si>
    <t>ΚΑΤΣΑΚΩΡΗ</t>
  </si>
  <si>
    <t>ΑΚ920852</t>
  </si>
  <si>
    <t>ΑΖ245830</t>
  </si>
  <si>
    <t>ΑΕ145786</t>
  </si>
  <si>
    <t>ΑΑ039543</t>
  </si>
  <si>
    <t>ΑΖ832443</t>
  </si>
  <si>
    <t>ΑΙ336051</t>
  </si>
  <si>
    <t>ΒΑΡΤΖΗ</t>
  </si>
  <si>
    <t>Χ326174</t>
  </si>
  <si>
    <t>ΑΕ750043</t>
  </si>
  <si>
    <t>ΠΑΠΑΣΤΑΜΑΤΗ</t>
  </si>
  <si>
    <t>ΑΜ982417</t>
  </si>
  <si>
    <t>ΑΙ756822</t>
  </si>
  <si>
    <t>ΚΑΡΓΑ</t>
  </si>
  <si>
    <t>ΑΙ987812</t>
  </si>
  <si>
    <t>ΑΗ170101</t>
  </si>
  <si>
    <t>ΑΗ991383</t>
  </si>
  <si>
    <t>ΚΟΥΓΕΝΤΑΚΗ</t>
  </si>
  <si>
    <t>ΑΟ259370</t>
  </si>
  <si>
    <t>ΑΒ425263</t>
  </si>
  <si>
    <t>ΚΡΙΑΡΙΔΟΥ</t>
  </si>
  <si>
    <t>ΑΑ282032</t>
  </si>
  <si>
    <t>Χ850190</t>
  </si>
  <si>
    <t>ΜΠΟΡΜΠΟΥΔΑΚΗ</t>
  </si>
  <si>
    <t>Χ346898</t>
  </si>
  <si>
    <t>Χ313776</t>
  </si>
  <si>
    <t>ΜΠΙΖΙΟΥΡΗΣ</t>
  </si>
  <si>
    <t>ΑΝ871235</t>
  </si>
  <si>
    <t>ΓΚΑΣΙΟΥ</t>
  </si>
  <si>
    <t>ΑΟ564033</t>
  </si>
  <si>
    <t>ΑΜ304225</t>
  </si>
  <si>
    <t>ΚΑΝΣΙΖΟΓΛΟΥ</t>
  </si>
  <si>
    <t>ΑΖ887009</t>
  </si>
  <si>
    <t>ΤΣΟΥΤΣΟΥΡΑ</t>
  </si>
  <si>
    <t>ΑΖ124306</t>
  </si>
  <si>
    <t>ΧΕΙΡΟΜΕΛΙΔΟΥ</t>
  </si>
  <si>
    <t>Χ773321</t>
  </si>
  <si>
    <t>ΜΠΑΣΤΡΟΓΙΑΝΝΗ</t>
  </si>
  <si>
    <t>ΑΖ818050</t>
  </si>
  <si>
    <t>ΑΖ617777</t>
  </si>
  <si>
    <t>ΑΚ500074</t>
  </si>
  <si>
    <t>ΑΝΑΤΣΟΥΤΣΟΥΛΑ</t>
  </si>
  <si>
    <t>ΑΙ636749</t>
  </si>
  <si>
    <t>ΑΜ690886</t>
  </si>
  <si>
    <t>ΜΠΙΜΠΙΚΗ</t>
  </si>
  <si>
    <t>ΑΖ667890</t>
  </si>
  <si>
    <t>ΑΙ940816</t>
  </si>
  <si>
    <t>ΑΖ642427</t>
  </si>
  <si>
    <t>ΣΚΥΛΙΤΣΗ</t>
  </si>
  <si>
    <t>ΑΒ249571</t>
  </si>
  <si>
    <t>ΑΖ860400</t>
  </si>
  <si>
    <t>ΚΟΝΔΥΛΙΑ ΕΙΡΗΝΗ</t>
  </si>
  <si>
    <t>ΑΗ481962</t>
  </si>
  <si>
    <t>ΣΑΚΚΑΤΟΥ</t>
  </si>
  <si>
    <t>Χ800987</t>
  </si>
  <si>
    <t>ΚΑΡΑΟΓΛΟΥ</t>
  </si>
  <si>
    <t>ΑΗ395872</t>
  </si>
  <si>
    <t>ΚΥΜΠΟΥΡΗ</t>
  </si>
  <si>
    <t>Χ284874</t>
  </si>
  <si>
    <t>ΑΚ359992</t>
  </si>
  <si>
    <t>ΑΜ311196</t>
  </si>
  <si>
    <t>ΑΝ992769</t>
  </si>
  <si>
    <t>ΣΚΑΠΕΤΟΡΑΧΗ</t>
  </si>
  <si>
    <t>ΑΝ806385</t>
  </si>
  <si>
    <t>ΑΝ900993</t>
  </si>
  <si>
    <t>ΑΕ378146</t>
  </si>
  <si>
    <t>ΣΤΑΜΙΓΚΟΥ</t>
  </si>
  <si>
    <t>ΑΚ262773</t>
  </si>
  <si>
    <t>ΚΑΜΠΑΝΟΥ</t>
  </si>
  <si>
    <t>ΑΝ166613</t>
  </si>
  <si>
    <t>ΓΑΡΙΟΥ</t>
  </si>
  <si>
    <t>ΑΖ212206</t>
  </si>
  <si>
    <t>ΣΑΚΟΓΛΟΥ</t>
  </si>
  <si>
    <t>ΑΙ729683</t>
  </si>
  <si>
    <t>ΛΙΑΜΠΑ</t>
  </si>
  <si>
    <t>ΑΖ761171</t>
  </si>
  <si>
    <t>ΜΠΑΓΓΟΥ</t>
  </si>
  <si>
    <t>ΑΚ981361</t>
  </si>
  <si>
    <t>ΜΑΓΕΙΡΑΣ</t>
  </si>
  <si>
    <t>ΑΕ503325</t>
  </si>
  <si>
    <t>ΧΑΛΙΛΙ</t>
  </si>
  <si>
    <t>ΠΕΡΠΑΡΙΜ</t>
  </si>
  <si>
    <t>ΑΝ428686</t>
  </si>
  <si>
    <t>ΣΤΑΥΡΙΑΝΟΥ</t>
  </si>
  <si>
    <t>ΣΠΥΡΙΔΟΥΛΑ ΜΑΡΙΑ</t>
  </si>
  <si>
    <t>ΑΖ039559</t>
  </si>
  <si>
    <t>ΓΕΩΡΓΑΝΤΑΣ</t>
  </si>
  <si>
    <t>ΚΩΝΣΤΑΝΤΙΝΟΣ ΑΣΤΕΡΙΟ</t>
  </si>
  <si>
    <t>ΑΙ284226</t>
  </si>
  <si>
    <t>Χ139121</t>
  </si>
  <si>
    <t>ΑΚ884058</t>
  </si>
  <si>
    <t>ΑΗ211883</t>
  </si>
  <si>
    <t>ΚΕΡΑΜΕΑ</t>
  </si>
  <si>
    <t>ΑΗ575154</t>
  </si>
  <si>
    <t>ΑΡ416940</t>
  </si>
  <si>
    <t>ΚΑΡΤΑΛΟΓΛΟΥ</t>
  </si>
  <si>
    <t>ΠΡΑΞΙΤΕΛΗΣ</t>
  </si>
  <si>
    <t>ΑΙ727968</t>
  </si>
  <si>
    <t>Χ412399</t>
  </si>
  <si>
    <t>ΙΩΑΝΝΗΣ ΕΥΑΓΓΕΛΟΣ</t>
  </si>
  <si>
    <t>ΑΗ601418</t>
  </si>
  <si>
    <t>ΟΥΤΣΙΟΥ</t>
  </si>
  <si>
    <t>ΑΚ047232</t>
  </si>
  <si>
    <t>ΑΗ318169</t>
  </si>
  <si>
    <t>ΑΕ468338</t>
  </si>
  <si>
    <t>ΓΑΒΡΗΛΟΥ</t>
  </si>
  <si>
    <t>ΑΒ797452</t>
  </si>
  <si>
    <t>ΑΙ136641</t>
  </si>
  <si>
    <t>ΚΑΡΠΑΘΙΟΥ</t>
  </si>
  <si>
    <t>ΔΕΣΠΟΙΝΑ ΤΣΑΜΠΙΚΑ</t>
  </si>
  <si>
    <t>ΔΗΗΤΡΙΟΣ</t>
  </si>
  <si>
    <t>ΑΗ450175</t>
  </si>
  <si>
    <t>ΜΠΟΡΙΤΑ</t>
  </si>
  <si>
    <t>ΑΕ327416</t>
  </si>
  <si>
    <t>ΑΕ115430</t>
  </si>
  <si>
    <t>ΑΜ535605</t>
  </si>
  <si>
    <t>ΤΣΟΡΜΠΑΤΖΟΥΔΗ</t>
  </si>
  <si>
    <t>ΑΙ907792</t>
  </si>
  <si>
    <t>ΧΑΤΖΗΣΑΚΟΥΛΑ</t>
  </si>
  <si>
    <t>ΜΙΧΑΗΛ ΑΘΑΝΑΣΙΟΣ</t>
  </si>
  <si>
    <t>ΑΝ194473</t>
  </si>
  <si>
    <t>ΚΙΛΜΠΑΣΑΝΗ</t>
  </si>
  <si>
    <t>ΑΚ417039</t>
  </si>
  <si>
    <t>ΑΖ816920</t>
  </si>
  <si>
    <t>ΜΠΙΤΟΥΝΗΣ</t>
  </si>
  <si>
    <t>ΑΑ099577</t>
  </si>
  <si>
    <t>ΤΣΕΠΟΛΑ</t>
  </si>
  <si>
    <t>ΑΝ079432</t>
  </si>
  <si>
    <t>ΑΗ169066</t>
  </si>
  <si>
    <t>ΜΠΕΣΙΡΗΣ</t>
  </si>
  <si>
    <t>ΑΛΕΞΑΝΔΡΟΣ ΙΩΣΗΦ</t>
  </si>
  <si>
    <t>ΑΖ669326</t>
  </si>
  <si>
    <t>ΓΑΛΗΝΟΣ</t>
  </si>
  <si>
    <t>ΑΒ148143</t>
  </si>
  <si>
    <t>ΣΟΥΖΑΝΑ ΑΝΝΑ</t>
  </si>
  <si>
    <t>ΑΜ347106</t>
  </si>
  <si>
    <t>Χ492154</t>
  </si>
  <si>
    <t>ΑΚ467391</t>
  </si>
  <si>
    <t>ΤΣΟΜΑΙΔΟΥ</t>
  </si>
  <si>
    <t>ΑΒ125921</t>
  </si>
  <si>
    <t>ΑΗ991320</t>
  </si>
  <si>
    <t>ΠΑΝΔΗ</t>
  </si>
  <si>
    <t>ΖΟΥΡΜΠΑ</t>
  </si>
  <si>
    <t>ΑΙ487859</t>
  </si>
  <si>
    <t>ΚΑΙΜΑΚΤΣΙΑΔΟΥ</t>
  </si>
  <si>
    <t>ΑΚ292057</t>
  </si>
  <si>
    <t>ΑΚ630530</t>
  </si>
  <si>
    <t>ΜΑΡΙΑ ΚΑΝΕΛΛΑ</t>
  </si>
  <si>
    <t>ΑΙ803918</t>
  </si>
  <si>
    <t>ΑΝ595467</t>
  </si>
  <si>
    <t>ΜΠΟΥΜΠΟΥΚΑΣ</t>
  </si>
  <si>
    <t>ΑΗ297051</t>
  </si>
  <si>
    <t>ΑΕ791480</t>
  </si>
  <si>
    <t>ΑΚ715058</t>
  </si>
  <si>
    <t>ΓΡΑΣΣΟΥ</t>
  </si>
  <si>
    <t>ΑΚ476060</t>
  </si>
  <si>
    <t>ΑΝΑΖΙΚΟΥ</t>
  </si>
  <si>
    <t>ΑΖ732938</t>
  </si>
  <si>
    <t>ΚΩΤΣΟΝΑΡΟΥ</t>
  </si>
  <si>
    <t>Χ789134</t>
  </si>
  <si>
    <t>ΤΑΞΑΡΗ</t>
  </si>
  <si>
    <t>ΑΟ306738</t>
  </si>
  <si>
    <t>Χ163205</t>
  </si>
  <si>
    <t>ΔΑΣΚΑΛΑΚΗΣ</t>
  </si>
  <si>
    <t>ΑΙ450150</t>
  </si>
  <si>
    <t>ΣΟΥΤΖΟΥ</t>
  </si>
  <si>
    <t xml:space="preserve">ΒΑΓΓΕΛΗΣ </t>
  </si>
  <si>
    <t>ΑΙ809816</t>
  </si>
  <si>
    <t xml:space="preserve">ΒΑΣΙΛΕΙΑ </t>
  </si>
  <si>
    <t>ΑΟ291826</t>
  </si>
  <si>
    <t>ΑΗ246101</t>
  </si>
  <si>
    <t>ΑΒ753785</t>
  </si>
  <si>
    <t>ΜΑΡΔΑ</t>
  </si>
  <si>
    <t>ΑΖ438131</t>
  </si>
  <si>
    <t>ΑΙ836471</t>
  </si>
  <si>
    <t>ΑΖ271996</t>
  </si>
  <si>
    <t>Τ055373</t>
  </si>
  <si>
    <t>ΑΚ364733</t>
  </si>
  <si>
    <t>ΚΟΙΝΑΚΗ</t>
  </si>
  <si>
    <t>ΑΙ454522</t>
  </si>
  <si>
    <t>ΑΙ869731</t>
  </si>
  <si>
    <t>ΜΑΓΚΛΑΡΑ</t>
  </si>
  <si>
    <t>ΑΙ499598</t>
  </si>
  <si>
    <t>ΚΙΚΙΛΙΓΚΑ</t>
  </si>
  <si>
    <t>Χ952493</t>
  </si>
  <si>
    <t>ΑΕ054489</t>
  </si>
  <si>
    <t>Χ930079</t>
  </si>
  <si>
    <t>ΑΒ636366</t>
  </si>
  <si>
    <t>ΓΚΟΛΟΣΗ</t>
  </si>
  <si>
    <t>ΑΒ600099</t>
  </si>
  <si>
    <t>ΚΟΝΙΔΑΡΗ</t>
  </si>
  <si>
    <t>ΑΑ025487</t>
  </si>
  <si>
    <t>ΜΠΕΡΤΑΚΗ</t>
  </si>
  <si>
    <t>ΑΜ584100</t>
  </si>
  <si>
    <t>ΚΑΝΕΛΛΟΠΟΥΛΟΣ</t>
  </si>
  <si>
    <t>ΑΖ209934</t>
  </si>
  <si>
    <t>ΑΜ181748</t>
  </si>
  <si>
    <t>ΑΗ648132</t>
  </si>
  <si>
    <t>ΤΖΙΤΖΟΥΔΗΣ</t>
  </si>
  <si>
    <t>ΑΗ913116</t>
  </si>
  <si>
    <t>ΑΖ193400</t>
  </si>
  <si>
    <t>ΣΟΥΦΛΑΚΗ</t>
  </si>
  <si>
    <t>ΑΕ727443</t>
  </si>
  <si>
    <t>ΑΑ102378</t>
  </si>
  <si>
    <t>ΑΜ369822</t>
  </si>
  <si>
    <t>ΠΑΤΩΝΗ</t>
  </si>
  <si>
    <t>ΑΖ845573</t>
  </si>
  <si>
    <t>ΑΖ609159</t>
  </si>
  <si>
    <t>ΑΕ338210</t>
  </si>
  <si>
    <t>ΒΑΘΥΛΑΚΗ</t>
  </si>
  <si>
    <t>ΑΚ472960</t>
  </si>
  <si>
    <t>ΑΑ319099</t>
  </si>
  <si>
    <t>ΛΟΥΛΟΥΡΓΑ</t>
  </si>
  <si>
    <t>ΑΒ264060</t>
  </si>
  <si>
    <t>Τ060869</t>
  </si>
  <si>
    <t>ΔΗΜΗΤΡΑΝΤΖΟΥ</t>
  </si>
  <si>
    <t>ΑΚ006180</t>
  </si>
  <si>
    <t>ΠΡΟΣΩΤΣΑΝΛΗ</t>
  </si>
  <si>
    <t>ΑΕ404258</t>
  </si>
  <si>
    <t>ΔΡΟΥΓΚΑΚΗ</t>
  </si>
  <si>
    <t>ΑΜ463262</t>
  </si>
  <si>
    <t>ΑΝ330231</t>
  </si>
  <si>
    <t>Σ148868</t>
  </si>
  <si>
    <t>ΑΝ926413</t>
  </si>
  <si>
    <t>ΣΧΟΙΝΟΠΛΟΚΑΚΗΣ</t>
  </si>
  <si>
    <t>Φ347832</t>
  </si>
  <si>
    <t>ΑΗ653742</t>
  </si>
  <si>
    <t>ΑΙ980383</t>
  </si>
  <si>
    <t>ΚΟΥΚΟΥΡΑ</t>
  </si>
  <si>
    <t>ΑΟ085911</t>
  </si>
  <si>
    <t>ΚΥΖΙΡΙΔΗ</t>
  </si>
  <si>
    <t>ΑΙ522572</t>
  </si>
  <si>
    <t>Χ840721</t>
  </si>
  <si>
    <t>ΑΜ729101</t>
  </si>
  <si>
    <t>Χ588705</t>
  </si>
  <si>
    <t>ΕΙΡΗΝΗ ΓΕΩΡΓΙΑ</t>
  </si>
  <si>
    <t>ΑΙ691504</t>
  </si>
  <si>
    <t>ΑΙ241112</t>
  </si>
  <si>
    <t>ΑΗ235255</t>
  </si>
  <si>
    <t>ΚΑΡΑΤΖΕΝΗ</t>
  </si>
  <si>
    <t>ΑΡ0610836</t>
  </si>
  <si>
    <t>ΑΗ260649</t>
  </si>
  <si>
    <t>ΑΟ885844</t>
  </si>
  <si>
    <t>ΜΠΟΥΡΓΟΣ</t>
  </si>
  <si>
    <t>ΑΑ309338</t>
  </si>
  <si>
    <t>ΑΖ969323</t>
  </si>
  <si>
    <t>Τ307123</t>
  </si>
  <si>
    <t>ΜΑΡΙΑ ΠΟΛΥΞΕΝΗ</t>
  </si>
  <si>
    <t>ΑΑ310505</t>
  </si>
  <si>
    <t>ΜΑΙΝΤΟΠΟΥΛΟΥ</t>
  </si>
  <si>
    <t>ΑΚ873326</t>
  </si>
  <si>
    <t>ΓΙΟΣΗΦ</t>
  </si>
  <si>
    <t>ΑΝ504346</t>
  </si>
  <si>
    <t>ΚΑΙΣΕΡΛΙΔΟΥ</t>
  </si>
  <si>
    <t>ΑΒ160931</t>
  </si>
  <si>
    <t>ΚΟΥΤΣΙΔΟΥ</t>
  </si>
  <si>
    <t>ΑΙ264336</t>
  </si>
  <si>
    <t>ΑΝ508038</t>
  </si>
  <si>
    <t>ΦΟΗ</t>
  </si>
  <si>
    <t>ΑΗ708006</t>
  </si>
  <si>
    <t>ΑΗ750519</t>
  </si>
  <si>
    <t>ΠΑΛΕΖΙΝΑ</t>
  </si>
  <si>
    <t>ΑΒ712267</t>
  </si>
  <si>
    <t>ΑΙ116476</t>
  </si>
  <si>
    <t>ΜΠΟΖΑΝΗ</t>
  </si>
  <si>
    <t>ΑΖ351377</t>
  </si>
  <si>
    <t>ΚΟΥΜΠΗ</t>
  </si>
  <si>
    <t>ΑΒ082152</t>
  </si>
  <si>
    <t>ΑΗ313905</t>
  </si>
  <si>
    <t>ΑΗ231001</t>
  </si>
  <si>
    <t>ΦΕΤΣΗ</t>
  </si>
  <si>
    <t>ΑΕ783485</t>
  </si>
  <si>
    <t>ΜΠΑΡΑΚΑΚΗ</t>
  </si>
  <si>
    <t>ΑΙ237219</t>
  </si>
  <si>
    <t>ΓΚΟΥΝΤΕΛΙΤΣΑ</t>
  </si>
  <si>
    <t>ΑΗ770721</t>
  </si>
  <si>
    <t>ΑΒ277772</t>
  </si>
  <si>
    <t>ΝΙΚΩΝ</t>
  </si>
  <si>
    <t>ΑΚ374721</t>
  </si>
  <si>
    <t>ΑΜ082256</t>
  </si>
  <si>
    <t>ΚΑΤΣΟΥΡΟΥ</t>
  </si>
  <si>
    <t>ΑΚ809676</t>
  </si>
  <si>
    <t>ΦΑΡΜΑΚΑΣ</t>
  </si>
  <si>
    <t>ΑΙ280554</t>
  </si>
  <si>
    <t>ΤΑΧΗΣ ΛΑΒΟΥΤΗΣ</t>
  </si>
  <si>
    <t>ΑΗ765586</t>
  </si>
  <si>
    <t>ΦΟΥΤΣΙΑ</t>
  </si>
  <si>
    <t>ΑΝ327978</t>
  </si>
  <si>
    <t>ΑΖ341377</t>
  </si>
  <si>
    <t>ΑΚ690568</t>
  </si>
  <si>
    <t>ΚΟΥΛΕΛΗ</t>
  </si>
  <si>
    <t>ΑΙ191539</t>
  </si>
  <si>
    <t>ΑΙ049894</t>
  </si>
  <si>
    <t>ΓΑΝΤΖΟΥ</t>
  </si>
  <si>
    <t>ΑΒ211503</t>
  </si>
  <si>
    <t>ΓΙΟΒΑΝΗΣ</t>
  </si>
  <si>
    <t>ΑΜ562465</t>
  </si>
  <si>
    <t>Χ478757</t>
  </si>
  <si>
    <t>ΣΩΠΙΚΙΩΤΗ</t>
  </si>
  <si>
    <t>ΑΕ768972</t>
  </si>
  <si>
    <t>ΑΒ382533</t>
  </si>
  <si>
    <t>ΑΚ789252</t>
  </si>
  <si>
    <t>ΜΠΙΦΣΑ</t>
  </si>
  <si>
    <t>ΕΛΙΣΑΒΕΤΑ</t>
  </si>
  <si>
    <t>ΑΚ023247</t>
  </si>
  <si>
    <t>ΚΟΡΔΑΛΗ</t>
  </si>
  <si>
    <t>ΑΙ089200</t>
  </si>
  <si>
    <t>ΑΒ716984</t>
  </si>
  <si>
    <t>ΖΩΙΤΣΟΥΔΗ</t>
  </si>
  <si>
    <t>ΑΟ391715</t>
  </si>
  <si>
    <t>ΒΕΡΒΕΝΙΩΤΗ</t>
  </si>
  <si>
    <t>ΑΖ955494</t>
  </si>
  <si>
    <t>ΑΚ338852</t>
  </si>
  <si>
    <t>ΓΑΡΔΕΝΙΩΤΗ</t>
  </si>
  <si>
    <t>ΑΖ605975</t>
  </si>
  <si>
    <t>ΑΗ706542</t>
  </si>
  <si>
    <t>ΑΕ166279</t>
  </si>
  <si>
    <t>ΠΑΠΑΖΗΣΗΣ</t>
  </si>
  <si>
    <t>ΑΗ765181</t>
  </si>
  <si>
    <t>ΧΟΥΤΟΣ</t>
  </si>
  <si>
    <t>ΑΜ063667</t>
  </si>
  <si>
    <t>Ρ831156</t>
  </si>
  <si>
    <t>ΑΚ864536</t>
  </si>
  <si>
    <t>ΑΝΔΡΟΝΙΚΟΥ</t>
  </si>
  <si>
    <t>ΑΕ657644</t>
  </si>
  <si>
    <t>ΒΑΣΙΛΑΚΟΣ</t>
  </si>
  <si>
    <t>ΑΕ753545</t>
  </si>
  <si>
    <t>ΑΙ604269</t>
  </si>
  <si>
    <t>ΑΕ492879</t>
  </si>
  <si>
    <t>ΑΞΙΟΠΟΥΛΟΥ</t>
  </si>
  <si>
    <t>ΗΛΙΑΝΝΑ ΜΑΡΙΑ</t>
  </si>
  <si>
    <t>ΑΚ875387</t>
  </si>
  <si>
    <t>ΑΕ096216</t>
  </si>
  <si>
    <t>ΑΗ582121</t>
  </si>
  <si>
    <t>ΤΑΓΓΕΡΙΔΟΥ</t>
  </si>
  <si>
    <t>ΑΗ418540</t>
  </si>
  <si>
    <t>Χ986421</t>
  </si>
  <si>
    <t>Χ588789</t>
  </si>
  <si>
    <t>ΓΚΑΛΙΜΠΟΥΔΗ</t>
  </si>
  <si>
    <t>ΑΝ427369</t>
  </si>
  <si>
    <t>ΑΚ256670</t>
  </si>
  <si>
    <t>ΑΖ716144</t>
  </si>
  <si>
    <t>ΑΛΑΤΖΕΛΙ</t>
  </si>
  <si>
    <t>ΜΑΧΜΟΥΝΤ</t>
  </si>
  <si>
    <t>ΑΗ977397</t>
  </si>
  <si>
    <t>Χ142376</t>
  </si>
  <si>
    <t>ΑΝ656486</t>
  </si>
  <si>
    <t>ΒΕΛΛΑ</t>
  </si>
  <si>
    <t>ΑΑ116331</t>
  </si>
  <si>
    <t>ΑΛΕΞΑΝΔΡΑ ΑΓΓΕΛΙΚΗ</t>
  </si>
  <si>
    <t>Χ938698</t>
  </si>
  <si>
    <t>ΦΟΥΣΚΗΣ</t>
  </si>
  <si>
    <t>Φ294656</t>
  </si>
  <si>
    <t>ΤΣΑΓΚΑΔΑΣ</t>
  </si>
  <si>
    <t>ΑΑ271612</t>
  </si>
  <si>
    <t>ΤΕΡΖΟΠΟΥΛΟΥ</t>
  </si>
  <si>
    <t>ΑΙ634599</t>
  </si>
  <si>
    <t>ΒΑΛΑΣΟΓΛΟΥ</t>
  </si>
  <si>
    <t>ΑΗ169123</t>
  </si>
  <si>
    <t>ΑΕ129976</t>
  </si>
  <si>
    <t>ΑΖ723627</t>
  </si>
  <si>
    <t>ΑΖ582265</t>
  </si>
  <si>
    <t>ΜΑΡΙΑ ΑΘΗΝΑ</t>
  </si>
  <si>
    <t>ΑΜ538693</t>
  </si>
  <si>
    <t>ΠΑΤΗΘΡΑΣ</t>
  </si>
  <si>
    <t>ΚΩΝΣΤΑΝΤΙΝΟΣ ΧΡΥΣΟΒΑΛΑΝΤΗΣ</t>
  </si>
  <si>
    <t>ΑΖ980770</t>
  </si>
  <si>
    <t>ΦΡΙΝΤΖΟΥ</t>
  </si>
  <si>
    <t>ΑΝ653310</t>
  </si>
  <si>
    <t>ΑΖ976813</t>
  </si>
  <si>
    <t>ΟΥΖΟΥΝΗΛΙΑ</t>
  </si>
  <si>
    <t>Χ314681</t>
  </si>
  <si>
    <t>ΑΕ397773</t>
  </si>
  <si>
    <t>ΣΩΤΗΡΙΑΔΗ</t>
  </si>
  <si>
    <t>ΑΒ836169</t>
  </si>
  <si>
    <t>Χ598979</t>
  </si>
  <si>
    <t>ΑΚ100987</t>
  </si>
  <si>
    <t>ΛΙΟΝΤΟΣ</t>
  </si>
  <si>
    <t>Χ367536</t>
  </si>
  <si>
    <t>ΚΟΡΟΥΝΗ</t>
  </si>
  <si>
    <t>ΑΒ866301</t>
  </si>
  <si>
    <t>ΑΜ742744</t>
  </si>
  <si>
    <t>ΑΝ494136</t>
  </si>
  <si>
    <t>ΑΒ897764</t>
  </si>
  <si>
    <t>ΚΟΚΚΟΤΗ</t>
  </si>
  <si>
    <t>ΑΒ386686</t>
  </si>
  <si>
    <t>ΑΖ025587</t>
  </si>
  <si>
    <t>ΑΟ373073</t>
  </si>
  <si>
    <t>ΜΠΟΥΡΝΑΚΑ</t>
  </si>
  <si>
    <t>Χ290031</t>
  </si>
  <si>
    <t>ΤΑΧΟΥ</t>
  </si>
  <si>
    <t>ΑΝ134479</t>
  </si>
  <si>
    <t>Χ407039</t>
  </si>
  <si>
    <t>ΑΕ642668</t>
  </si>
  <si>
    <t>ΠΩΠΟΤΑ</t>
  </si>
  <si>
    <t>ΑΕ632446</t>
  </si>
  <si>
    <t>ΑΜ000189</t>
  </si>
  <si>
    <t>ΚΑΠΑΝΔΕΛΗ</t>
  </si>
  <si>
    <t>ΑΜ431156</t>
  </si>
  <si>
    <t>ΑΚ292180</t>
  </si>
  <si>
    <t>ΑΙ766262</t>
  </si>
  <si>
    <t>ΜΙΧΑΛΑΚΟΠΟΥΛΟΥ</t>
  </si>
  <si>
    <t>ΑΗ556712</t>
  </si>
  <si>
    <t>ΚΑΤΣΙΑΡΙΜΠΑ</t>
  </si>
  <si>
    <t>ΑΖ929150</t>
  </si>
  <si>
    <t>ΛΩΛΗΣ</t>
  </si>
  <si>
    <t>ΑΕ800252</t>
  </si>
  <si>
    <t>ΠΕΡΙΦΑΝΟΥ</t>
  </si>
  <si>
    <t>ΑΖ484757</t>
  </si>
  <si>
    <t>ΑΙ821585</t>
  </si>
  <si>
    <t>ΓΙΑΜΠΑΝΗ</t>
  </si>
  <si>
    <t>ΑΗ070255</t>
  </si>
  <si>
    <t>ΣΤΕΦΑΝΙΑ ΑΛΕΞΑΝΔΡΑ</t>
  </si>
  <si>
    <t>ΑΙ409615</t>
  </si>
  <si>
    <t>ΕΙΚΟΣΙΠΕΝΤΑΚΗ</t>
  </si>
  <si>
    <t>ΑΟ796802</t>
  </si>
  <si>
    <t>ΚΟΥΡΟΥΠΑΚΗ ΑΒΡΑΜΟΠΟΥΛΟΥ</t>
  </si>
  <si>
    <t>ΑΙ215068</t>
  </si>
  <si>
    <t>ΓΕΩΡΓΩΤΑ</t>
  </si>
  <si>
    <t>Χ631633</t>
  </si>
  <si>
    <t>ΑΗ848894</t>
  </si>
  <si>
    <t>ΝΙΚΟΛΕΤΤΑ ΡΑΦΑΗΛΑ</t>
  </si>
  <si>
    <t>ΑΜ670533</t>
  </si>
  <si>
    <t>ΑΙ481679</t>
  </si>
  <si>
    <t>ΜΗΤΑΚΟΥΔΗΣ</t>
  </si>
  <si>
    <t>ΒΑΓΙΟΣ</t>
  </si>
  <si>
    <t>ΑΟ110639</t>
  </si>
  <si>
    <t>ΑΗ232833</t>
  </si>
  <si>
    <t>ΜΑΤΘΑΙΟΠΟΥΛΟΣ</t>
  </si>
  <si>
    <t>ΑΙ861854</t>
  </si>
  <si>
    <t>ΑΖ749811</t>
  </si>
  <si>
    <t>ΚΑΡΔΑΜΑΝΙΔΗ</t>
  </si>
  <si>
    <t>ΑΚ015923</t>
  </si>
  <si>
    <t>ΑΗ245032</t>
  </si>
  <si>
    <t>ΑΒ229406</t>
  </si>
  <si>
    <t>ΠΕΡΤΣΙΝΙΔΟΥ</t>
  </si>
  <si>
    <t>Χ740826</t>
  </si>
  <si>
    <t>ΑΙ238497</t>
  </si>
  <si>
    <t>ΑΟ440808</t>
  </si>
  <si>
    <t>ΑΝ353792</t>
  </si>
  <si>
    <t>ΚΑΣΣΕΛΟΥΡΗ</t>
  </si>
  <si>
    <t>ΑΚ404651</t>
  </si>
  <si>
    <t>ΠΥΡΙΝΗ</t>
  </si>
  <si>
    <t>ΑΑ477664</t>
  </si>
  <si>
    <t>ΑΖ223518</t>
  </si>
  <si>
    <t>ΑΜ912766</t>
  </si>
  <si>
    <t>ΑΖ677595</t>
  </si>
  <si>
    <t>ΜΑΚΡΙΔΑΚΗ</t>
  </si>
  <si>
    <t>ΑΙ090032</t>
  </si>
  <si>
    <t>Φ035899</t>
  </si>
  <si>
    <t>ΠΑΠΑΛΥΜΠΕΡΗ</t>
  </si>
  <si>
    <t>ΑΟ023384</t>
  </si>
  <si>
    <t>ΓΑΖΕΤΗΣ</t>
  </si>
  <si>
    <t>ΑΙ841117</t>
  </si>
  <si>
    <t>ΑΒ691792</t>
  </si>
  <si>
    <t>ΑΗ212825</t>
  </si>
  <si>
    <t>ΠΛΕΠΗ</t>
  </si>
  <si>
    <t>ΚΕΖΙΑΝΑ</t>
  </si>
  <si>
    <t>ΜΟΥΧΑΜΕΤ</t>
  </si>
  <si>
    <t>ΑΝ973873</t>
  </si>
  <si>
    <t>ΚΑΛΟΠΑΙΔΗ</t>
  </si>
  <si>
    <t>ΑΗ847177</t>
  </si>
  <si>
    <t>ΠΟΥΛΟΓΙΑΝΝΗ</t>
  </si>
  <si>
    <t xml:space="preserve">ΕΛΛΗ </t>
  </si>
  <si>
    <t>ΛΑΖΟΣ</t>
  </si>
  <si>
    <t>ΑΖ125290</t>
  </si>
  <si>
    <t>ΑΗ009193</t>
  </si>
  <si>
    <t xml:space="preserve">ΕΥΣΤΡΑΤΙΑ </t>
  </si>
  <si>
    <t>ΑΙ711027</t>
  </si>
  <si>
    <t>ΜΑΡΙΝΟΥ</t>
  </si>
  <si>
    <t>ΑΙ903988</t>
  </si>
  <si>
    <t>ΖΟΥΤΣΟΥ</t>
  </si>
  <si>
    <t>ΑΕ634416</t>
  </si>
  <si>
    <t>ΜΑΝΑΒΙΔΟΥ</t>
  </si>
  <si>
    <t>ΑΟ249647</t>
  </si>
  <si>
    <t>Χ861253</t>
  </si>
  <si>
    <t>ΑΚ915296</t>
  </si>
  <si>
    <t>ΑΖ383280</t>
  </si>
  <si>
    <t>ΛΑΓΟΠΟΔΗ</t>
  </si>
  <si>
    <t>ΑΑ356915</t>
  </si>
  <si>
    <t>ΑΗ781169</t>
  </si>
  <si>
    <t>Χ380352</t>
  </si>
  <si>
    <t>ΚΑΡΑΒΙΑΣ</t>
  </si>
  <si>
    <t>ΑΝΔΡΕΑΣ ΘΕΟΦΑΝΗΣ</t>
  </si>
  <si>
    <t>ΑΚ337199</t>
  </si>
  <si>
    <t>ΡΑΓΚΟΥΣΗΣ</t>
  </si>
  <si>
    <t>Τ010713</t>
  </si>
  <si>
    <t>ΤΑΚΑΚΗ</t>
  </si>
  <si>
    <t>ΑΙ148806</t>
  </si>
  <si>
    <t>ΤΣΙΒΑΚΑ</t>
  </si>
  <si>
    <t>Χ907995</t>
  </si>
  <si>
    <t>ΤΡΕΛΛΟΠΟΥΛΟΥ</t>
  </si>
  <si>
    <t>ΑΒ097471</t>
  </si>
  <si>
    <t>ΑΗ594604</t>
  </si>
  <si>
    <t>ΑΗ185370</t>
  </si>
  <si>
    <t>ΑΖ245733</t>
  </si>
  <si>
    <t>ΛΑΜΠΙΔΗ</t>
  </si>
  <si>
    <t>ΣΟΦΙΑ ΑΛΕΞΑΝΔΡΑ</t>
  </si>
  <si>
    <t>ΑΖ662528</t>
  </si>
  <si>
    <t>ΚΑΠΟΚΑΚΗ</t>
  </si>
  <si>
    <t>ΑΗ973725</t>
  </si>
  <si>
    <t>ΑΗ874043</t>
  </si>
  <si>
    <t>ΖΑΧΑΡΙΑΔΟΥ</t>
  </si>
  <si>
    <t>ΑΟ267389</t>
  </si>
  <si>
    <t>ΑΝ367961</t>
  </si>
  <si>
    <t>ΑΗ034010</t>
  </si>
  <si>
    <t>ΑΝ088540</t>
  </si>
  <si>
    <t>ΣΑΡΑΝΤΙΔΗ</t>
  </si>
  <si>
    <t>ΑΚ149874</t>
  </si>
  <si>
    <t>ΚΑΤΣΙΚΩΡΗ</t>
  </si>
  <si>
    <t>ΡΑΦΑΗΛΑ ΚΩΝΣΤΑΝΤΙΝΑ</t>
  </si>
  <si>
    <t>ΝΕΡΑΝΤΖΗΣ</t>
  </si>
  <si>
    <t>ΑΗ343122</t>
  </si>
  <si>
    <t>ΣΕΡΕΠΑ</t>
  </si>
  <si>
    <t>ΑΒ321391</t>
  </si>
  <si>
    <t>ΜΠΥΡΑ</t>
  </si>
  <si>
    <t>ΡΙΣΑΡΝΤ ΓΙΕΖΥ</t>
  </si>
  <si>
    <t>ΑΗ551015</t>
  </si>
  <si>
    <t>ΝΤΑΝΑΣ</t>
  </si>
  <si>
    <t>ΑΜ616110</t>
  </si>
  <si>
    <t>ΡΙΖΟΓΙΑΝΝΗ</t>
  </si>
  <si>
    <t>ΑΚ227308</t>
  </si>
  <si>
    <t>ΑΝ752808</t>
  </si>
  <si>
    <t>ΟΥΙΣΑ</t>
  </si>
  <si>
    <t>ΑΛΦΙ</t>
  </si>
  <si>
    <t>ΑΝ649131</t>
  </si>
  <si>
    <t>ΜΑΡΓΕΛΗ</t>
  </si>
  <si>
    <t>ΑΗ579790</t>
  </si>
  <si>
    <t>ΑΜΠΑΡΗ</t>
  </si>
  <si>
    <t>ΑΒ875472</t>
  </si>
  <si>
    <t>ΑΖ085032</t>
  </si>
  <si>
    <t>ΑΝ878497</t>
  </si>
  <si>
    <t>ΜΕΤΑΞΑΚΗ</t>
  </si>
  <si>
    <t>ΑΑ369807</t>
  </si>
  <si>
    <t>ΚΟΤΙΚΑ</t>
  </si>
  <si>
    <t>ΑΖ565720</t>
  </si>
  <si>
    <t>ΑΙ499650</t>
  </si>
  <si>
    <t>ΑΕ899694</t>
  </si>
  <si>
    <t>ΜΑΝΤΛΕΝΑ</t>
  </si>
  <si>
    <t>ΑΗ676435</t>
  </si>
  <si>
    <t>ΧΑΡΑΛΑΜΠΟΥ</t>
  </si>
  <si>
    <t>ΑΝ355768</t>
  </si>
  <si>
    <t>ΕΥΤΥΧΙΑ ΕΙΡΗΝΗ</t>
  </si>
  <si>
    <t>Χ528027</t>
  </si>
  <si>
    <t>ΣΚΟΡΔΑΚΗ</t>
  </si>
  <si>
    <t>Σ807937</t>
  </si>
  <si>
    <t>ΣΤΟΓΙΑΝΝΗ</t>
  </si>
  <si>
    <t>ΑΙ083109</t>
  </si>
  <si>
    <t>ΑΖ985161</t>
  </si>
  <si>
    <t>ΑΙ733552</t>
  </si>
  <si>
    <t>ΜΠΕΡΤΣΟΥ</t>
  </si>
  <si>
    <t>ΑΖ700524</t>
  </si>
  <si>
    <t>ΚΑΠΕΛΟΥ</t>
  </si>
  <si>
    <t>ΑΟ007337</t>
  </si>
  <si>
    <t>ΤΣΑΓΚΙΔΗ</t>
  </si>
  <si>
    <t>ΑΙ584568</t>
  </si>
  <si>
    <t>ΑΙ284888</t>
  </si>
  <si>
    <t>ΑΗ898910</t>
  </si>
  <si>
    <t>ΨΥΧΟΥΝΤΑΚΗ</t>
  </si>
  <si>
    <t>ΜΕΛΑΧΡΙΝΗ</t>
  </si>
  <si>
    <t>ΑΜ090711</t>
  </si>
  <si>
    <t>ΛΟΥΚΟΔΗΜΟΥ</t>
  </si>
  <si>
    <t>ΑΙ675860</t>
  </si>
  <si>
    <t>ΑΒ239808</t>
  </si>
  <si>
    <t>ΑΜ209435</t>
  </si>
  <si>
    <t>ΔΟΞΑΣΤΑΚΗ</t>
  </si>
  <si>
    <t>ΑΑ107943</t>
  </si>
  <si>
    <t>ΚΑΖΑΝΤΖΙΔΗ</t>
  </si>
  <si>
    <t>ΑΖ565418</t>
  </si>
  <si>
    <t>ΦΑΡΜΟΥΖΗ</t>
  </si>
  <si>
    <t>ΑΖ809019</t>
  </si>
  <si>
    <t>ΑΖ284376</t>
  </si>
  <si>
    <t>ΑΑ307975</t>
  </si>
  <si>
    <t>Χ993855</t>
  </si>
  <si>
    <t>ΠΛΑΦΟΥΝΤΖΗ</t>
  </si>
  <si>
    <t>ΑΙ048963</t>
  </si>
  <si>
    <t>ΑΖ662203</t>
  </si>
  <si>
    <t>ΛΑΓΚΑΔΙΝΟΥ</t>
  </si>
  <si>
    <t>ΑΘΗΝΑΙΣ</t>
  </si>
  <si>
    <t>ΑΗ568197</t>
  </si>
  <si>
    <t>ΑΖ711828</t>
  </si>
  <si>
    <t>ΚΟΥΚΟΥΒΑΟΥ</t>
  </si>
  <si>
    <t>ΑΛΚΙΟΝΗ</t>
  </si>
  <si>
    <t>ΑΚ069270</t>
  </si>
  <si>
    <t>ΑΜΒΡΟΣΙΟΣ</t>
  </si>
  <si>
    <t>ΑΚ517048</t>
  </si>
  <si>
    <t>ΖΑΧΑΚΗ</t>
  </si>
  <si>
    <t>ΑΖ785020</t>
  </si>
  <si>
    <t>ΜΠΑΚΑΡΤΖΗ</t>
  </si>
  <si>
    <t>ΑΖ447364</t>
  </si>
  <si>
    <t>ΜΑΡΙΑ ΓΡΗΓΟΡΙΑ</t>
  </si>
  <si>
    <t>ΑΗ126491</t>
  </si>
  <si>
    <t>ΑΒ886914</t>
  </si>
  <si>
    <t>ΑΝ617580</t>
  </si>
  <si>
    <t>ΜΑΡΙΑ ΕΛΕΥΘΕΡΙΑ</t>
  </si>
  <si>
    <t>ΑΜ071909</t>
  </si>
  <si>
    <t>ΤΣΙΛΙΒΙΓΚΟΥ</t>
  </si>
  <si>
    <t>ΑΗ007929</t>
  </si>
  <si>
    <t>ΠΙΤΣΙΚΟΣ</t>
  </si>
  <si>
    <t>ΑΖ701737</t>
  </si>
  <si>
    <t xml:space="preserve">ΛΕΩΝΙΔΟΥ </t>
  </si>
  <si>
    <t xml:space="preserve">ΜΑΡΙΑ ΑΝΤΩΝΙΑ </t>
  </si>
  <si>
    <t>ΑΕ149485</t>
  </si>
  <si>
    <t>ΠΑΡΘΕΝΗ</t>
  </si>
  <si>
    <t>ΑΗ842149</t>
  </si>
  <si>
    <t>Φ833156</t>
  </si>
  <si>
    <t>ΑΜ298934</t>
  </si>
  <si>
    <t>ΚΑΡΑΓΙΟΥΒΑΝΗ</t>
  </si>
  <si>
    <t>ΑΚ357548</t>
  </si>
  <si>
    <t>ΑΙ372677</t>
  </si>
  <si>
    <t>ΑΙ435114</t>
  </si>
  <si>
    <t>ΚΟΥΤΣΕΓΚΟΥ</t>
  </si>
  <si>
    <t>ΑΙ531496</t>
  </si>
  <si>
    <t>ΣΙΩΚΑΤΑ</t>
  </si>
  <si>
    <t>Χ236179</t>
  </si>
  <si>
    <t>Χ878530</t>
  </si>
  <si>
    <t>ΑΟ230440</t>
  </si>
  <si>
    <t>ΑΙ629736</t>
  </si>
  <si>
    <t>ΑΗ717424</t>
  </si>
  <si>
    <t>ΛΕΒΑΝΤΑΚΗ</t>
  </si>
  <si>
    <t>ΑΝ468040</t>
  </si>
  <si>
    <t>ΔΑΟΥΛΤΖΗ</t>
  </si>
  <si>
    <t>ΑΗ353694</t>
  </si>
  <si>
    <t>ΑΚ222805</t>
  </si>
  <si>
    <t>ΑΟ899184</t>
  </si>
  <si>
    <t>ΤΣΑΓΑΛΑ</t>
  </si>
  <si>
    <t>Σ229213</t>
  </si>
  <si>
    <t>ΜΠΛΕΤΑ</t>
  </si>
  <si>
    <t>ΑΗ182349</t>
  </si>
  <si>
    <t>ΛΑΖΙΟΥ</t>
  </si>
  <si>
    <t>ΑΗ845181</t>
  </si>
  <si>
    <t>ΚΑΡΑΜΑΝΛΗΣ</t>
  </si>
  <si>
    <t>ΔΩΡΟΠΟΥΛΟΣ</t>
  </si>
  <si>
    <t>ΑΒ456584</t>
  </si>
  <si>
    <t>ΠΟΥΛΑΚΗ</t>
  </si>
  <si>
    <t>ΑΙ942381</t>
  </si>
  <si>
    <t>ΑΖ270718</t>
  </si>
  <si>
    <t>ΦΕΙΔΑΚΗ</t>
  </si>
  <si>
    <t>Χ305728</t>
  </si>
  <si>
    <t>ΠΛΑΤΑΝΙΤΗ</t>
  </si>
  <si>
    <t>ΑΖ716159</t>
  </si>
  <si>
    <t>ΣΙΕΛΟΥΛΗ</t>
  </si>
  <si>
    <t>ΑΟ895537</t>
  </si>
  <si>
    <t>ΨΩΡΟΜΗΤΑ</t>
  </si>
  <si>
    <t>ΑΒ977956</t>
  </si>
  <si>
    <t>ΜΠΑΝΤΑΚ ΧΑΣΑΝ</t>
  </si>
  <si>
    <t>ΚΙΟΥΜΠΡΑ</t>
  </si>
  <si>
    <t>ΑΙ396632</t>
  </si>
  <si>
    <t xml:space="preserve">ΘΕΟΧΑΡΟΠΟΥΛΟΥ </t>
  </si>
  <si>
    <t xml:space="preserve">ΕΛΈΝΗ </t>
  </si>
  <si>
    <t>ΑΙ069105</t>
  </si>
  <si>
    <t>ΣΙΩΚΛΗ</t>
  </si>
  <si>
    <t>ΑΗ290711</t>
  </si>
  <si>
    <t>ΠΕΛΕΚΟΥ</t>
  </si>
  <si>
    <t>Χ963050</t>
  </si>
  <si>
    <t>ΘΕΟΔΩΡΑΚΗΣ</t>
  </si>
  <si>
    <t>ΑΖ268067</t>
  </si>
  <si>
    <t>ΒΟΥΒΑΚΗ</t>
  </si>
  <si>
    <t>ΑΡΤΕΜΙΣ ΑΓΑΠΗ</t>
  </si>
  <si>
    <t>ΑΚ710244</t>
  </si>
  <si>
    <t>ΑΙΜΙΛΙΑ ΜΑΡΙΑ</t>
  </si>
  <si>
    <t>ΑΟ008925</t>
  </si>
  <si>
    <t>ΜΠΟΥΦΤΑΣ</t>
  </si>
  <si>
    <t>Χ228206</t>
  </si>
  <si>
    <t>ΚΟΚΟΒΙΑΔΟΥ</t>
  </si>
  <si>
    <t>ΑΙ324413</t>
  </si>
  <si>
    <t>ΚΑΡΣΑΜΠΑΣ</t>
  </si>
  <si>
    <t>Σ534484</t>
  </si>
  <si>
    <t>Ρ976712</t>
  </si>
  <si>
    <t>ΑΖ219636</t>
  </si>
  <si>
    <t>ΛΥΡΑΝΤΩΝΑΚΗΣ</t>
  </si>
  <si>
    <t>ΑΟ061377</t>
  </si>
  <si>
    <t>ΑΕ869024</t>
  </si>
  <si>
    <t>ΟΥΣΟΥΛΤΖΟΓΛΟΥ</t>
  </si>
  <si>
    <t>ΑΚ994990</t>
  </si>
  <si>
    <t>ΑΙ611567</t>
  </si>
  <si>
    <t>ΑΙ223531</t>
  </si>
  <si>
    <t>ΜΠΕΚΥΡΑ</t>
  </si>
  <si>
    <t>ΑΚ470195</t>
  </si>
  <si>
    <t>ΚΑΡΑΚΟΛΗ</t>
  </si>
  <si>
    <t>ΑΒ863815</t>
  </si>
  <si>
    <t xml:space="preserve">ΜΑΡΙΑ ΕΥΣΤΡΑΤΙΑ </t>
  </si>
  <si>
    <t>ΑΚ877824</t>
  </si>
  <si>
    <t>ΑΟ483256</t>
  </si>
  <si>
    <t>ΑΒ953553</t>
  </si>
  <si>
    <t>ΔΟΡΙΑΚΗ</t>
  </si>
  <si>
    <t>Χ355231</t>
  </si>
  <si>
    <t>ΜΑΝΩΝΑ</t>
  </si>
  <si>
    <t>ΑΖ707483</t>
  </si>
  <si>
    <t>Χ728309</t>
  </si>
  <si>
    <t>ΑΜ600899</t>
  </si>
  <si>
    <t>ΜΗΤΡΑΚΑ</t>
  </si>
  <si>
    <t>ΑΒ696770</t>
  </si>
  <si>
    <t>ΜΙΜΙΓΙΑΝΝΗ</t>
  </si>
  <si>
    <t>ΑΙ816420</t>
  </si>
  <si>
    <t>ΤΖΗΚΑΣ</t>
  </si>
  <si>
    <t>ΑΙ280126</t>
  </si>
  <si>
    <t>ΑΖ723105</t>
  </si>
  <si>
    <t>ΕΞΗ</t>
  </si>
  <si>
    <t>ΑΝ551165</t>
  </si>
  <si>
    <t>ΑΙ208275</t>
  </si>
  <si>
    <t>ΚΑΡΑΓΚΙΟΧΤΖΗΣ</t>
  </si>
  <si>
    <t>ΑΕ073973</t>
  </si>
  <si>
    <t>ΑΜ068538</t>
  </si>
  <si>
    <t>ΑΝ430858</t>
  </si>
  <si>
    <t>ΑΗ631647</t>
  </si>
  <si>
    <t>ΜΟΥΤΣΙΟΥΛΗ</t>
  </si>
  <si>
    <t>ΑΖ297489</t>
  </si>
  <si>
    <t>ΝΑΤΣΙΟΥ</t>
  </si>
  <si>
    <t>ΖΗΣΟΣ</t>
  </si>
  <si>
    <t>ΑΗ142061</t>
  </si>
  <si>
    <t>ΓΚΟΥΜΑΣ</t>
  </si>
  <si>
    <t>ΑΒ743006</t>
  </si>
  <si>
    <t>ΤΣΙΡΟΣ</t>
  </si>
  <si>
    <t>ΑΙ798689</t>
  </si>
  <si>
    <t>ΟΥΡΓΑΝΤΖΟΓΛΟΥ</t>
  </si>
  <si>
    <t>ΑΗ808304</t>
  </si>
  <si>
    <t>ΑΜ695707</t>
  </si>
  <si>
    <t>ΑΜ981700</t>
  </si>
  <si>
    <t>ΑΜ812638</t>
  </si>
  <si>
    <t>Ρ736394</t>
  </si>
  <si>
    <t>Χ006666</t>
  </si>
  <si>
    <t>ΦΛΩΡΑ ΖΩΗ</t>
  </si>
  <si>
    <t>Χ410992</t>
  </si>
  <si>
    <t>ΡΟΥΠΑΝΗ</t>
  </si>
  <si>
    <t>ΑΙ744136</t>
  </si>
  <si>
    <t>ΑΕ97101</t>
  </si>
  <si>
    <t>Χ622010</t>
  </si>
  <si>
    <t>Φ327359</t>
  </si>
  <si>
    <t>ΓΚΑΒΑΛΗ</t>
  </si>
  <si>
    <t>ΑΗ487589</t>
  </si>
  <si>
    <t>ΑΗ223698</t>
  </si>
  <si>
    <t>ΚΟΥΖΙΝΑ</t>
  </si>
  <si>
    <t>ΑΖ273915</t>
  </si>
  <si>
    <t>ΧΡΥΣΟΥΛΑ ΠΑΡΑΣΚΕΥΗ</t>
  </si>
  <si>
    <t>ΜΑΡΑΓΓΟΥΛΗ</t>
  </si>
  <si>
    <t>ΑΚ410075</t>
  </si>
  <si>
    <t>ΑΚ647256</t>
  </si>
  <si>
    <t>ΑΝ248078</t>
  </si>
  <si>
    <t>ΓΕΩΡΓΑΡΟΥ</t>
  </si>
  <si>
    <t>ΑΜ640550</t>
  </si>
  <si>
    <t>ΑΒ026971</t>
  </si>
  <si>
    <t>Χ700827</t>
  </si>
  <si>
    <t>ΜΠΕΛΑΒΓΕΝΗ</t>
  </si>
  <si>
    <t>Χ838428</t>
  </si>
  <si>
    <t>ΚΟΚΚΟΒΟΥ</t>
  </si>
  <si>
    <t>ΑΖ493984</t>
  </si>
  <si>
    <t>ΜΠΑΡΙΚΟΣ</t>
  </si>
  <si>
    <t>ΑΙ625009</t>
  </si>
  <si>
    <t>ΠΕΝΤΟΤΗ</t>
  </si>
  <si>
    <t xml:space="preserve">ΝΙΚΗ </t>
  </si>
  <si>
    <t>ΑΙ772538</t>
  </si>
  <si>
    <t>ΡΟΝΤΟΓΙΑΝΝΗ</t>
  </si>
  <si>
    <t>ΑΙ263048</t>
  </si>
  <si>
    <t>ΛΙΑΒΑ</t>
  </si>
  <si>
    <t>ΑΝ370943</t>
  </si>
  <si>
    <t>ΑΒ353048</t>
  </si>
  <si>
    <t>ΑΞΙΩΤΗΣ</t>
  </si>
  <si>
    <t>ΑΚ636097</t>
  </si>
  <si>
    <t>ΤΣΙΡΟΓΙΑΝΝΗ</t>
  </si>
  <si>
    <t>Τ946763</t>
  </si>
  <si>
    <t>ΑΙ253456</t>
  </si>
  <si>
    <t>ΑΟ378061</t>
  </si>
  <si>
    <t>ΤΣΟΧΑΤΖΗ</t>
  </si>
  <si>
    <t>ΑΝ718376</t>
  </si>
  <si>
    <t>Χ585766</t>
  </si>
  <si>
    <t>ΣΑΒΒΗ</t>
  </si>
  <si>
    <t>ΑΖ302365</t>
  </si>
  <si>
    <t>ΧΑΤΖΗΛΛΑΡΙ</t>
  </si>
  <si>
    <t>ΑΝ497007</t>
  </si>
  <si>
    <t>ΚΟΥΤΣΟΠΑΓΟΥ</t>
  </si>
  <si>
    <t>Χ639904</t>
  </si>
  <si>
    <t>ΑΙ948721</t>
  </si>
  <si>
    <t>ΑΗ179759</t>
  </si>
  <si>
    <t>ΚΑΡΑΝΤΖΑ</t>
  </si>
  <si>
    <t>ΑΗ226265</t>
  </si>
  <si>
    <t>ΑΗ322378</t>
  </si>
  <si>
    <t>Χ611700</t>
  </si>
  <si>
    <t>ΚΑΡΑΓΙΑΝΝΗ ΓΚΙΟΥΛΣΕΝ</t>
  </si>
  <si>
    <t>ΙΣΑΒΕΛΛΑ</t>
  </si>
  <si>
    <t>ΒΕΝΙΑΜΙΝ</t>
  </si>
  <si>
    <t>ΑΙ262330</t>
  </si>
  <si>
    <t>ΑΒ078827</t>
  </si>
  <si>
    <t>ΠΑΠΑΤΟΛΙΚΑ</t>
  </si>
  <si>
    <t>ΑΕ841645</t>
  </si>
  <si>
    <t>ΑΗ775568</t>
  </si>
  <si>
    <t>ΣΑΡΛΑΝΗ</t>
  </si>
  <si>
    <t>ΑΒ225217</t>
  </si>
  <si>
    <t>ΚΟΥΤΕΝΤΑΚΗ</t>
  </si>
  <si>
    <t>ΑΜ466891</t>
  </si>
  <si>
    <t>ΑΚ988477</t>
  </si>
  <si>
    <t>ΔΙΑΜΑΝΤΙΔΗ</t>
  </si>
  <si>
    <t>ΒΙΚΤΩΡΙΑ ΓΕΩΡΓΙΑ</t>
  </si>
  <si>
    <t>ΑΒ791845</t>
  </si>
  <si>
    <t>ΑΝΝΑ ΜΑΡΙΝΑ</t>
  </si>
  <si>
    <t>ΑΙ616097</t>
  </si>
  <si>
    <t>ΧΙΩΤΕΛΛΗΣ</t>
  </si>
  <si>
    <t>Χ636466</t>
  </si>
  <si>
    <t>ΧΡΙΣΤΟΒΑΣΙΛΗ</t>
  </si>
  <si>
    <t>ΑΜ170786</t>
  </si>
  <si>
    <t>ΑΝ566242</t>
  </si>
  <si>
    <t>ΑΖ516916</t>
  </si>
  <si>
    <t>ΑΒ880535</t>
  </si>
  <si>
    <t>ΚΟΝΤΟΥΛΑ</t>
  </si>
  <si>
    <t>ΑΟ160339</t>
  </si>
  <si>
    <t>ΖΛΑΤΙΝΗ</t>
  </si>
  <si>
    <t>ΑΝ775908</t>
  </si>
  <si>
    <t>ΑΙ673788</t>
  </si>
  <si>
    <t>Χ041944</t>
  </si>
  <si>
    <t>ΑΚ745374</t>
  </si>
  <si>
    <t>ΑΑ379627</t>
  </si>
  <si>
    <t>ΚΑΛΥΒΑΣ</t>
  </si>
  <si>
    <t>ΑΚ969904</t>
  </si>
  <si>
    <t>Ν988419</t>
  </si>
  <si>
    <t>ΑΚ961576</t>
  </si>
  <si>
    <t>ΑΙ575686</t>
  </si>
  <si>
    <t>ΝΑΣΙΟΥΛΑ</t>
  </si>
  <si>
    <t>ΑΟ100598</t>
  </si>
  <si>
    <t>ΓΚΙΡΙΝΗ</t>
  </si>
  <si>
    <t>ΑΖ343183</t>
  </si>
  <si>
    <t>Χ151697</t>
  </si>
  <si>
    <t>ΤΡΙΑΝΤΑΦΥΛΙΑ</t>
  </si>
  <si>
    <t>Χ070969</t>
  </si>
  <si>
    <t>ΑΜΠΝΤΟΥ</t>
  </si>
  <si>
    <t>ΓΑΣΣΑΝ</t>
  </si>
  <si>
    <t>ΑΕ961008</t>
  </si>
  <si>
    <t>ΚΙΡΚΙΝΕΖΟΥ</t>
  </si>
  <si>
    <t>Χ777629</t>
  </si>
  <si>
    <t>ΓΚΟΥΓΚΑΡΑ</t>
  </si>
  <si>
    <t>ΑΖ270493</t>
  </si>
  <si>
    <t>ΚΑΛΟΦΟΡΙΔΟΥ</t>
  </si>
  <si>
    <t>ΑΕ681980</t>
  </si>
  <si>
    <t>ΚΟΥΤΣΩΝΑ</t>
  </si>
  <si>
    <t>ΑΗ793081</t>
  </si>
  <si>
    <t>ΕΥΘΥΜΙΑΔΗΣ</t>
  </si>
  <si>
    <t>ΑΖ406188</t>
  </si>
  <si>
    <t>ΑΚ655967</t>
  </si>
  <si>
    <t>ΑΡΧΟΝΤΟΠΟΥΛΟΥ</t>
  </si>
  <si>
    <t>ΑΒ357115</t>
  </si>
  <si>
    <t>ΧΑΝΤΖΑΡΑΣ</t>
  </si>
  <si>
    <t>ΑΖ221303</t>
  </si>
  <si>
    <t>ΚΟΝΙΤΟΠΟΥΛΟΥ</t>
  </si>
  <si>
    <t>ΑΚ545361</t>
  </si>
  <si>
    <t>ΚΥΡΙΟΥ ΚΑΡΒΕΛΗ</t>
  </si>
  <si>
    <t>ΜΑΡΙΝΤΙΝΑ</t>
  </si>
  <si>
    <t>ΑΒ080506</t>
  </si>
  <si>
    <t>ΑΖ911213</t>
  </si>
  <si>
    <t>ΦΡΑΓΚΟΛΙΑ</t>
  </si>
  <si>
    <t>ΠΥΘΑΓΟΡΑΣ</t>
  </si>
  <si>
    <t>Χ042409</t>
  </si>
  <si>
    <t>Φ290074</t>
  </si>
  <si>
    <t>ΧΡΥΣΑ ΗΛΙΑΝΑ</t>
  </si>
  <si>
    <t>ΑΗ433223</t>
  </si>
  <si>
    <t>ΧΡΥΣΟΠΗΓΗ</t>
  </si>
  <si>
    <t>ΑΜ701393</t>
  </si>
  <si>
    <t>ΑΡΙΣΤΟΦΑΝΗΣ</t>
  </si>
  <si>
    <t>Χ866316</t>
  </si>
  <si>
    <t>ΑΜ781874</t>
  </si>
  <si>
    <t>ΑΙ718546</t>
  </si>
  <si>
    <t>Ξ972389</t>
  </si>
  <si>
    <t>ΣΟΥΤΑ</t>
  </si>
  <si>
    <t>ΑΚ586893</t>
  </si>
  <si>
    <t>ΒΑΡΒΑΣΑΙΝΙΤΗ</t>
  </si>
  <si>
    <t>ΑΙ766835</t>
  </si>
  <si>
    <t>ΚΑΛΑΙΤΖΟΓΛΟΥ</t>
  </si>
  <si>
    <t>ΑΝ458501</t>
  </si>
  <si>
    <t>ΜΑΡΙΑΝΤΖΕΛΑ</t>
  </si>
  <si>
    <t>ΑΕ744786</t>
  </si>
  <si>
    <t>ΑΕ561398</t>
  </si>
  <si>
    <t>ΚΑΓΚΑΡΑΚΗ</t>
  </si>
  <si>
    <t>ΑΟ134858</t>
  </si>
  <si>
    <t>ΚΑΛΟΓΡΑΝΑ</t>
  </si>
  <si>
    <t>ΑΚ413317</t>
  </si>
  <si>
    <t>ΑΙ233355</t>
  </si>
  <si>
    <t>ΠΑΠΑΤΖΙΑΜΟΥ</t>
  </si>
  <si>
    <t>ΤΑΚΗΣ</t>
  </si>
  <si>
    <t>ΑΕ869787</t>
  </si>
  <si>
    <t>ΝΙΚΟΛΑΚΗΣ</t>
  </si>
  <si>
    <t>ΑΖ079991</t>
  </si>
  <si>
    <t>ΜΑΡΙΕΛΑ</t>
  </si>
  <si>
    <t>ΑΜ154800</t>
  </si>
  <si>
    <t>ΑΚ379737</t>
  </si>
  <si>
    <t>ΓΩΝΙΑΤΗ</t>
  </si>
  <si>
    <t>ΑΗ303841</t>
  </si>
  <si>
    <t>ΚΟΚΟΝΑ</t>
  </si>
  <si>
    <t>ΑΗ291904</t>
  </si>
  <si>
    <t>ΙΣΟΥΦ</t>
  </si>
  <si>
    <t>ΜΠΙΛΜΠΙΛ</t>
  </si>
  <si>
    <t>ΑΝ492583</t>
  </si>
  <si>
    <t>Φ353199</t>
  </si>
  <si>
    <t>ΑΙ239677</t>
  </si>
  <si>
    <t>ΜΠΟΥΖΙΚΑΣ</t>
  </si>
  <si>
    <t>Χ813109</t>
  </si>
  <si>
    <t>ΑΟ695587</t>
  </si>
  <si>
    <t>ΓΡΕΒΑΝΗ</t>
  </si>
  <si>
    <t>ΑΙ347550</t>
  </si>
  <si>
    <t>ΛΕΟΝΤΗΣ</t>
  </si>
  <si>
    <t>ΑΑ437147</t>
  </si>
  <si>
    <t>ΑΝΔΡΙΩΤΗΣ</t>
  </si>
  <si>
    <t>ΑΒ415760</t>
  </si>
  <si>
    <t>ΑΙ50027</t>
  </si>
  <si>
    <t>ΖΑΜΠΡΑ</t>
  </si>
  <si>
    <t>ΑΑ411969</t>
  </si>
  <si>
    <t>ΘΕΡΜΟΥ</t>
  </si>
  <si>
    <t>ΖΩΗ ΜΑΡΙΑ</t>
  </si>
  <si>
    <t>ΑΖ076723</t>
  </si>
  <si>
    <t>ΑΟ156180</t>
  </si>
  <si>
    <t>ΜΑΤΣΙΟΥΛΑ</t>
  </si>
  <si>
    <t>ΑΗ628441</t>
  </si>
  <si>
    <t>ΓΚΟΥΤΖΑΜΑΝΗ</t>
  </si>
  <si>
    <t>ΑΜ414763</t>
  </si>
  <si>
    <t>ΧΑΡΑΛΑΜΠΙΔΗΣ</t>
  </si>
  <si>
    <t>ΑΟ789246</t>
  </si>
  <si>
    <t>ΑΙ212042</t>
  </si>
  <si>
    <t>ΑΙ989377</t>
  </si>
  <si>
    <t>Χ694007</t>
  </si>
  <si>
    <t>ΑΗ093855</t>
  </si>
  <si>
    <t>ΚΟΤΣΩΝΑ</t>
  </si>
  <si>
    <t>ΑΒ317086</t>
  </si>
  <si>
    <t>ΜΠΙΤΣΙΚΩΚΟΥ</t>
  </si>
  <si>
    <t>Χ274892</t>
  </si>
  <si>
    <t>ΚΟΥΤΕΛΗ</t>
  </si>
  <si>
    <t>ΑΚ076786</t>
  </si>
  <si>
    <t>ΠΙΠΕΡΟΥ</t>
  </si>
  <si>
    <t>ΑΟ797317</t>
  </si>
  <si>
    <t>ΣΑΡΗΓΙΑΝΝΗ</t>
  </si>
  <si>
    <t>ΑΕ476921</t>
  </si>
  <si>
    <t>ΚΑΠΠΟΥ</t>
  </si>
  <si>
    <t>ΑΝ076559</t>
  </si>
  <si>
    <t>ΑΙ842333</t>
  </si>
  <si>
    <t>ΤΣΕΠΕΛΤΖΗ</t>
  </si>
  <si>
    <t>ΑΟ226361</t>
  </si>
  <si>
    <t>ΑΑ869385</t>
  </si>
  <si>
    <t>ΑΝ659762</t>
  </si>
  <si>
    <t>ΤΣΑΡΑΓΚΛΗΣ</t>
  </si>
  <si>
    <t>ΑΜ117653</t>
  </si>
  <si>
    <t>ΑΗ782975</t>
  </si>
  <si>
    <t>ΑΕ325477</t>
  </si>
  <si>
    <t>ΝΟΜΙΔΗΣ</t>
  </si>
  <si>
    <t xml:space="preserve"> ΜΑΝΩΛΗΣ</t>
  </si>
  <si>
    <t>ΑΕ526279</t>
  </si>
  <si>
    <t>ΑΚ666980</t>
  </si>
  <si>
    <t>ΜΑΝΔΕΛΑ</t>
  </si>
  <si>
    <t>ΑΖ846624</t>
  </si>
  <si>
    <t>ΑΗ529730</t>
  </si>
  <si>
    <t>ΚΟΝΔΥΛΗΣ</t>
  </si>
  <si>
    <t>ΑΖ225190</t>
  </si>
  <si>
    <t>Χ717676</t>
  </si>
  <si>
    <t>ΑΡΤΕΜΙΣΑ</t>
  </si>
  <si>
    <t>ΑΚ379143</t>
  </si>
  <si>
    <t>ΜΥΤΙΛΗΝΗ</t>
  </si>
  <si>
    <t>ΑΖ301397</t>
  </si>
  <si>
    <t>ΑΙ622594</t>
  </si>
  <si>
    <t>ΚΑΡΑΚΟΥ</t>
  </si>
  <si>
    <t>ΑΖ906861</t>
  </si>
  <si>
    <t>ΜΑΛΑΣΙ</t>
  </si>
  <si>
    <t>ΣΩΤΗΡ</t>
  </si>
  <si>
    <t>ΑΝ027145</t>
  </si>
  <si>
    <t>ΚΟΛΟΚΥΘΑ</t>
  </si>
  <si>
    <t>ΑΙ607590</t>
  </si>
  <si>
    <t>ΒΕΝΙΟΥ</t>
  </si>
  <si>
    <t>Χ615035</t>
  </si>
  <si>
    <t>ΑΚ027540</t>
  </si>
  <si>
    <t>ΜΑΝΔΗΛΑΡΗ</t>
  </si>
  <si>
    <t>ΑΒ013275</t>
  </si>
  <si>
    <t>ΘΑΛΑΣΣΗ</t>
  </si>
  <si>
    <t>ΑΙ649525</t>
  </si>
  <si>
    <t>ΑΑ371194</t>
  </si>
  <si>
    <t>ΑΖ620414</t>
  </si>
  <si>
    <t>ΤΣΑΝΟΣΙΔΟΥ</t>
  </si>
  <si>
    <t>ΑΙ283474</t>
  </si>
  <si>
    <t>ΚΥΡΙΑΚΗ ΣΟΦΙΑ</t>
  </si>
  <si>
    <t>ΑΖ785037</t>
  </si>
  <si>
    <t>ΚΑΡΑΝΤΑΓΛΗ</t>
  </si>
  <si>
    <t>ΑΕ855440</t>
  </si>
  <si>
    <t>ΜΠΡΟΥΝΙΛΝΤΑ</t>
  </si>
  <si>
    <t>ΑΝ279285</t>
  </si>
  <si>
    <t>ΤΣΙΣΚΑΚΗ</t>
  </si>
  <si>
    <t>ΑΗ512282</t>
  </si>
  <si>
    <t>ΑΟ212237</t>
  </si>
  <si>
    <t>ΑΖ556943</t>
  </si>
  <si>
    <t>ΑΚ880445</t>
  </si>
  <si>
    <t>ΣΚΡΕΚΑ</t>
  </si>
  <si>
    <t>ΑΡ234166</t>
  </si>
  <si>
    <t>ΑΒ196732</t>
  </si>
  <si>
    <t>ΑΛΕΤΡΑ</t>
  </si>
  <si>
    <t>ΑΙ815801</t>
  </si>
  <si>
    <t>ΑΟ133241</t>
  </si>
  <si>
    <t>ΚΑΥΚΗ</t>
  </si>
  <si>
    <t>ΑΝ550398</t>
  </si>
  <si>
    <t>ΔΙΣΜΑΝΗ</t>
  </si>
  <si>
    <t>ΑΖ839546</t>
  </si>
  <si>
    <t>ΑΖ701197</t>
  </si>
  <si>
    <t>ΚΕΣΙΔΟΥ</t>
  </si>
  <si>
    <t>ΛΑΝΑ</t>
  </si>
  <si>
    <t>ΒΙΤΑΛΗΣ</t>
  </si>
  <si>
    <t>ΑΕ385780</t>
  </si>
  <si>
    <t>ΠΙΛΑΤΟΥ ΜΙΧΑ</t>
  </si>
  <si>
    <t>ΑΝ001933</t>
  </si>
  <si>
    <t>ΦΛΙΟΥΚΑΣ</t>
  </si>
  <si>
    <t xml:space="preserve">ΣΤΕΦΑΝΟΣ </t>
  </si>
  <si>
    <t>ΑΙ851495</t>
  </si>
  <si>
    <t>ΑΗ061968</t>
  </si>
  <si>
    <t>ΕΜΜΕΛΕΙΑ</t>
  </si>
  <si>
    <t>ΑΟ536224</t>
  </si>
  <si>
    <t>ΣΟΥΛΟ</t>
  </si>
  <si>
    <t>ΚΟΥΙΤΙΜΕ</t>
  </si>
  <si>
    <t>ΝΤΕΜΟ</t>
  </si>
  <si>
    <t>ΑΝ097879</t>
  </si>
  <si>
    <t xml:space="preserve">ΠΟΓΚΑ </t>
  </si>
  <si>
    <t>ΑΒ495691</t>
  </si>
  <si>
    <t>ΑΙ334217</t>
  </si>
  <si>
    <t>ΑΗ983716</t>
  </si>
  <si>
    <t>ΓΟΤΣΗ</t>
  </si>
  <si>
    <t>ΑΖ737762</t>
  </si>
  <si>
    <t>ΑΝ506927</t>
  </si>
  <si>
    <t>ΑΙ815019</t>
  </si>
  <si>
    <t>ΔΡΙΤΣΕΛΗ</t>
  </si>
  <si>
    <t>ΑΚ966084</t>
  </si>
  <si>
    <t>ΚΕΣΕΚΙΔΗΣ</t>
  </si>
  <si>
    <t>ΑΜ282819</t>
  </si>
  <si>
    <t>ΓΙΑΝΝΗΣΟΠΟΥΛΟΥ</t>
  </si>
  <si>
    <t>ΟΛΓΑΝΘΗ</t>
  </si>
  <si>
    <t>ΑΗ510234</t>
  </si>
  <si>
    <t>ΜΑΚΡΟΔΗΜΟΥ</t>
  </si>
  <si>
    <t>ΑΙ520498</t>
  </si>
  <si>
    <t>ΑΜ927051</t>
  </si>
  <si>
    <t>ΓΡΙΒΑΚΗ</t>
  </si>
  <si>
    <t>ΑΙ460476</t>
  </si>
  <si>
    <t>ΤΡΙΠΟΛΙΤΑΚΗΣ</t>
  </si>
  <si>
    <t>ΑΟ438250</t>
  </si>
  <si>
    <t>ΒΑΣΙΚΩΣΤΑ</t>
  </si>
  <si>
    <t>Φ339055</t>
  </si>
  <si>
    <t>ΑΚ497525</t>
  </si>
  <si>
    <t>ΠΑΠΑΚΥΠΑΡΙΣΣΗ</t>
  </si>
  <si>
    <t>Ξ789811</t>
  </si>
  <si>
    <t>ΑΜ816932</t>
  </si>
  <si>
    <t>ΑΖ740486</t>
  </si>
  <si>
    <t>ΚΛΑΝΕΤΑΤΖΗ</t>
  </si>
  <si>
    <t>ΑΙ345077</t>
  </si>
  <si>
    <t>ΣΤΑΜΑΤΙΝΑ ΕΛΕΥΘΕΡΙΑ</t>
  </si>
  <si>
    <t>ΑΗ034665</t>
  </si>
  <si>
    <t>ΤΑΒΙΘΑ</t>
  </si>
  <si>
    <t>ΑΚ430545</t>
  </si>
  <si>
    <t>ΑΜ396178</t>
  </si>
  <si>
    <t>Χ892339</t>
  </si>
  <si>
    <t>ΦΑΡΜΑΚΗΣ</t>
  </si>
  <si>
    <t>ΑΙ214083</t>
  </si>
  <si>
    <t>MIRASGENTI</t>
  </si>
  <si>
    <t>IOANNA</t>
  </si>
  <si>
    <t>ΑΗ559539</t>
  </si>
  <si>
    <t>ΝΤΙΤΣΑΙ</t>
  </si>
  <si>
    <t>ΑΡΚΙΝΤΑ</t>
  </si>
  <si>
    <t>ΑΛΕΚΟ</t>
  </si>
  <si>
    <t>ΑΚ777302</t>
  </si>
  <si>
    <t>ΑΚ375651</t>
  </si>
  <si>
    <t>ΑΝ960926</t>
  </si>
  <si>
    <t>ΑΕ661100</t>
  </si>
  <si>
    <t>ΑΖ328251</t>
  </si>
  <si>
    <t>ΜΠΑΡΟΥΞΑΚΗ</t>
  </si>
  <si>
    <t>ΑΡ352714</t>
  </si>
  <si>
    <t>ΠΑΝΑΓΟΣ</t>
  </si>
  <si>
    <t>ΑΚ512317</t>
  </si>
  <si>
    <t>ΑΟ326586</t>
  </si>
  <si>
    <t>ΜΙΧΑΛΙΤΣΑ</t>
  </si>
  <si>
    <t>Χ546795</t>
  </si>
  <si>
    <t>ΑΖ566174</t>
  </si>
  <si>
    <t>ΘΡΟΥΒΑΛΑ</t>
  </si>
  <si>
    <t>ΑΑ063539</t>
  </si>
  <si>
    <t>ΑΖ704602</t>
  </si>
  <si>
    <t>ΑΜ049222</t>
  </si>
  <si>
    <t>ΜΑΝΟ</t>
  </si>
  <si>
    <t>ΑΝ515654</t>
  </si>
  <si>
    <t>ΝΤΕΚΑ</t>
  </si>
  <si>
    <t>ΑΜ734455</t>
  </si>
  <si>
    <t>ΜΠΑΘΑ</t>
  </si>
  <si>
    <t>ΑΜ779492</t>
  </si>
  <si>
    <t>ΚΟΥΣΚΟΥΤΗ</t>
  </si>
  <si>
    <t>Χ714954</t>
  </si>
  <si>
    <t>ΑΡΓΥΡΟΠΟΥΛΟΣ</t>
  </si>
  <si>
    <t>ΑΗ216535</t>
  </si>
  <si>
    <t>ΤΣΑΝΤΙΛΗ</t>
  </si>
  <si>
    <t>Χ908696</t>
  </si>
  <si>
    <t>ΑΚ303581</t>
  </si>
  <si>
    <t>ΠΟΥΛΙΟΥ ΔΗΜΗΤΡΙΟΥ</t>
  </si>
  <si>
    <t>ΑΖ819207</t>
  </si>
  <si>
    <t>ΜΠΟΜΠΟΣΗ</t>
  </si>
  <si>
    <t>ΑΖ860814</t>
  </si>
  <si>
    <t>Χ328132</t>
  </si>
  <si>
    <t>ΑΜ367254</t>
  </si>
  <si>
    <t>ΑΙ948608</t>
  </si>
  <si>
    <t>ΑΙ040931</t>
  </si>
  <si>
    <t>ΚΗΠΟΥΡΟΣ</t>
  </si>
  <si>
    <t>ΑΗ173478</t>
  </si>
  <si>
    <t>ΑΗ094753</t>
  </si>
  <si>
    <t>ΜΠΑΡΙΚΟΥ</t>
  </si>
  <si>
    <t>ΑΙ625008</t>
  </si>
  <si>
    <t>ΝΕΚΤΑΡΙΑ ΕΙΡΗΝΗ</t>
  </si>
  <si>
    <t>ΑΗ207945</t>
  </si>
  <si>
    <t>ΜΠΑΚΟΥΣΗ</t>
  </si>
  <si>
    <t>ΑΗ565901</t>
  </si>
  <si>
    <t>ΑΕ154871</t>
  </si>
  <si>
    <t>ΜΕΝΤΖΑ</t>
  </si>
  <si>
    <t>ΑΗ230040</t>
  </si>
  <si>
    <t>ΤΑΣΙΟΥ</t>
  </si>
  <si>
    <t>Χ880113</t>
  </si>
  <si>
    <t>ΚΑΡΠΗ</t>
  </si>
  <si>
    <t>ΑΚ749071</t>
  </si>
  <si>
    <t>ΑΒ517410</t>
  </si>
  <si>
    <t>ΑΕ993797</t>
  </si>
  <si>
    <t>ΑΙ687479</t>
  </si>
  <si>
    <t>ΑΚ694829</t>
  </si>
  <si>
    <t>ΒΕΡΛΕΤΗ</t>
  </si>
  <si>
    <t>ΑΓΓΕΛΙΚΗ ΑΘΑΝΑΣΙΑ</t>
  </si>
  <si>
    <t>ΑΙ820600</t>
  </si>
  <si>
    <t>ΑΕ359636</t>
  </si>
  <si>
    <t>ΣΚΑΡΤΑΔΟΥ</t>
  </si>
  <si>
    <t>ΑΕ453357</t>
  </si>
  <si>
    <t>ΚΑΤΡΑ</t>
  </si>
  <si>
    <t>ΑΕ460532</t>
  </si>
  <si>
    <t>ΝΤΟΥΡΟ</t>
  </si>
  <si>
    <t>ΤΖΕΜΑΛ</t>
  </si>
  <si>
    <t>ΑΝ160511</t>
  </si>
  <si>
    <t>ΑΒΔΟΥΛΟΣ</t>
  </si>
  <si>
    <t>ΑΝ025662</t>
  </si>
  <si>
    <t>ΑΚ607380</t>
  </si>
  <si>
    <t>ΑΖ817853</t>
  </si>
  <si>
    <t>ΑΕ726181</t>
  </si>
  <si>
    <t>ΣΕΙΤΑΡΙΔΟΥ</t>
  </si>
  <si>
    <t>ΠΑΡΘΕΝΑ ΙΩΑΝΝΑ</t>
  </si>
  <si>
    <t>ΑΝ903659</t>
  </si>
  <si>
    <t>ΠΑΤΡΙΩΤΗ</t>
  </si>
  <si>
    <t>ΑΖ991391</t>
  </si>
  <si>
    <t>ΒΟΥΡΛΑΚΗ</t>
  </si>
  <si>
    <t>ΑΒ845509</t>
  </si>
  <si>
    <t>Τ350986</t>
  </si>
  <si>
    <t>Χ863309</t>
  </si>
  <si>
    <t>ΑΚ352123</t>
  </si>
  <si>
    <t>ΓΚΙΑΤΑ</t>
  </si>
  <si>
    <t xml:space="preserve">ΓΚΕΡΑ </t>
  </si>
  <si>
    <t>ΤΟΜΟΡ</t>
  </si>
  <si>
    <t>ΑΚ333392</t>
  </si>
  <si>
    <t>ΑΖ807560</t>
  </si>
  <si>
    <t>ΣΙΑΧΟΥΛΗ</t>
  </si>
  <si>
    <t>ΑΗ741577</t>
  </si>
  <si>
    <t>ΒΑΓΓΙΑ</t>
  </si>
  <si>
    <t>ΝΕΣΤΗ</t>
  </si>
  <si>
    <t>ΑΜ039049</t>
  </si>
  <si>
    <t>ΒΑΛΑΧΗ</t>
  </si>
  <si>
    <t>ΑΖ115321</t>
  </si>
  <si>
    <t>ΑΡ108036</t>
  </si>
  <si>
    <t>ΚΑΚΟΥΣΙΟΣ</t>
  </si>
  <si>
    <t>ΑΗ297738</t>
  </si>
  <si>
    <t>ΜΠΑΛΔΑΡΗ</t>
  </si>
  <si>
    <t>ΑΖ806400</t>
  </si>
  <si>
    <t>Χ710734</t>
  </si>
  <si>
    <t>ΤΖΙΟΒΑΝΑΚΗ</t>
  </si>
  <si>
    <t>ΑΒ120152</t>
  </si>
  <si>
    <t>ΛΙΛΤΣΗ</t>
  </si>
  <si>
    <t>ΑΜ876979</t>
  </si>
  <si>
    <t>ΑΙ223319</t>
  </si>
  <si>
    <t>ΚΑΤΡΙΤΣΗΣ</t>
  </si>
  <si>
    <t>ΓΕΩΡΓΙΟΣ ΧΡΗΣΤΟΣ</t>
  </si>
  <si>
    <t>ΑΚ670994</t>
  </si>
  <si>
    <t>ΑΜ732698</t>
  </si>
  <si>
    <t>ΣΥΜΙΚΑΟΓΛΟΥ</t>
  </si>
  <si>
    <t>ΑΟ685669</t>
  </si>
  <si>
    <t>ΚΟΛΙΓΛΙΑΤΗ</t>
  </si>
  <si>
    <t>ΑΝ244251</t>
  </si>
  <si>
    <t>ΑΚ597121</t>
  </si>
  <si>
    <t>ΑΙ692154</t>
  </si>
  <si>
    <t>ΧΑΤΖΗΡΟΔΟΥ</t>
  </si>
  <si>
    <t>ΑΙ784519</t>
  </si>
  <si>
    <t>ΑΒ317228</t>
  </si>
  <si>
    <t>ΜΕΤΑΞΙΩΤΗΣ</t>
  </si>
  <si>
    <t>ΑΟ673961</t>
  </si>
  <si>
    <t>ΔΟΒΩΝΗ</t>
  </si>
  <si>
    <t>Χ866462</t>
  </si>
  <si>
    <t>ΜΠΕΣΙΡΗ</t>
  </si>
  <si>
    <t>ΑΗ476120</t>
  </si>
  <si>
    <t>ΑΖ771735</t>
  </si>
  <si>
    <t>ΚΑΙΒΑ</t>
  </si>
  <si>
    <t>ΑΙ289876</t>
  </si>
  <si>
    <t>ΤΡΑΜΠΟΥΡΑΤΖΗ</t>
  </si>
  <si>
    <t>ΑΗ892011</t>
  </si>
  <si>
    <t>ΑΖ429544</t>
  </si>
  <si>
    <t>ΚΑΣΑΝΤΡΙΔΟΥ</t>
  </si>
  <si>
    <t>ΑΟ197748</t>
  </si>
  <si>
    <t>ΣΥΡΙΟΠΟΥΛΟΥ</t>
  </si>
  <si>
    <t>ΑΒ205503</t>
  </si>
  <si>
    <t>ΑΜ144951</t>
  </si>
  <si>
    <t>ΑΙ463009</t>
  </si>
  <si>
    <t xml:space="preserve">ΚΥΡΙΑΚΟΠΟΥΛΟΥ </t>
  </si>
  <si>
    <t>ΑΙ784738</t>
  </si>
  <si>
    <t>ΧΑΝΤΖΙΑΡΑ</t>
  </si>
  <si>
    <t>ΑΗ283814</t>
  </si>
  <si>
    <t>ΦΛΑΜΠΟΥΡΑ</t>
  </si>
  <si>
    <t>ΑΗ531952</t>
  </si>
  <si>
    <t>ΔΟΦΟΥΔΗΣ</t>
  </si>
  <si>
    <t>ΑΑ478627</t>
  </si>
  <si>
    <t>ΑΙ064331</t>
  </si>
  <si>
    <t>ΑΕ725855</t>
  </si>
  <si>
    <t>ΖΕΙΚΟΥ</t>
  </si>
  <si>
    <t>ΑΕ804232</t>
  </si>
  <si>
    <t>ΑΖ326061</t>
  </si>
  <si>
    <t>ΑΝ512104</t>
  </si>
  <si>
    <t>ΕΛΕΝΗ ΑΝΔΡΙΑΝΑ</t>
  </si>
  <si>
    <t>ΑΙ824195</t>
  </si>
  <si>
    <t>ΑΗ353951</t>
  </si>
  <si>
    <t>ΑΕ161988</t>
  </si>
  <si>
    <t>ΑΙ487802</t>
  </si>
  <si>
    <t>ΑΖ662763</t>
  </si>
  <si>
    <t>ΓΚΙΟΥΡΑ</t>
  </si>
  <si>
    <t>ΑΒ434216</t>
  </si>
  <si>
    <t>ΜΕΙΚΟΠΟΥΛΟΥ</t>
  </si>
  <si>
    <t>ΑΙ863548</t>
  </si>
  <si>
    <t>ΜΑΝΛΗΣ</t>
  </si>
  <si>
    <t>ΑΖ896049</t>
  </si>
  <si>
    <t>ΤΣΟΥΜΑΝΗΣ</t>
  </si>
  <si>
    <t>ΑΜ350456</t>
  </si>
  <si>
    <t>ΚΛΩΝΑΡΗ</t>
  </si>
  <si>
    <t>ΕΛΕΝΗ ΑΔΑΜΑΝΤΙΑ</t>
  </si>
  <si>
    <t>ΑΝ553159</t>
  </si>
  <si>
    <t>ΑΖ811678</t>
  </si>
  <si>
    <t>ΑΕ756287</t>
  </si>
  <si>
    <t>ΜΙΛΕ</t>
  </si>
  <si>
    <t>ΑΟΥΛΟΝΑ</t>
  </si>
  <si>
    <t>ΑΡΙΣΤΙΡ</t>
  </si>
  <si>
    <t>ΑΚ490574</t>
  </si>
  <si>
    <t>Χ924046</t>
  </si>
  <si>
    <t>ΜΟΥΧΑΡΡΕΜΙ</t>
  </si>
  <si>
    <t>ΡΕΙΝΑ</t>
  </si>
  <si>
    <t>ΚΡΕΝΑΡ</t>
  </si>
  <si>
    <t>ΑΟ482378</t>
  </si>
  <si>
    <t>ΚΑΡΟΥΝΤΖΟΥ</t>
  </si>
  <si>
    <t>ΑΖ576946</t>
  </si>
  <si>
    <t>ΒΕΛΩΝΗΣ</t>
  </si>
  <si>
    <t>ΑΒ880985</t>
  </si>
  <si>
    <t>ΠΕΝΤΑΡΗ</t>
  </si>
  <si>
    <t>ΑΖ974692</t>
  </si>
  <si>
    <t>ΤΣΑΛΟΥΜΑ</t>
  </si>
  <si>
    <t>ΑΝ168242</t>
  </si>
  <si>
    <t>ΜΙΣΚΕΤΗ</t>
  </si>
  <si>
    <t>ΑΖ803931</t>
  </si>
  <si>
    <t>ΠΕΡΙΧΑΡΟΥ</t>
  </si>
  <si>
    <t>Χ030932</t>
  </si>
  <si>
    <t>ΤΣΟΚΑΝΑΡΑ</t>
  </si>
  <si>
    <t>ΑΗ212763</t>
  </si>
  <si>
    <t>ΑΑ318797</t>
  </si>
  <si>
    <t>ΑΗ483848</t>
  </si>
  <si>
    <t>ΒΡΑΓΓΑΛΑ</t>
  </si>
  <si>
    <t>ΑΙ333792</t>
  </si>
  <si>
    <t>Χ283907</t>
  </si>
  <si>
    <t>Χ222325</t>
  </si>
  <si>
    <t>ΑΙ292412</t>
  </si>
  <si>
    <t>ΤΖΟΥΜΑΚΑΣ</t>
  </si>
  <si>
    <t>ΑΙ069109</t>
  </si>
  <si>
    <t>ΑΝ690057</t>
  </si>
  <si>
    <t>ΑΝ524266</t>
  </si>
  <si>
    <t>ΚΑΝΝΑΒΟΣ</t>
  </si>
  <si>
    <t>ΑΙ641014</t>
  </si>
  <si>
    <t>ΚΟΠΡΙΒΑΛΗ</t>
  </si>
  <si>
    <t>ΑΗ343003</t>
  </si>
  <si>
    <t>ΑΗ217493</t>
  </si>
  <si>
    <t>ΑΒ269392</t>
  </si>
  <si>
    <t>ΑΚ545150</t>
  </si>
  <si>
    <t>ΑΙ450316</t>
  </si>
  <si>
    <t>ΚΟΥΡΟΥΜΙΧΑΚΗΣ</t>
  </si>
  <si>
    <t>ΑΙ864265</t>
  </si>
  <si>
    <t>ΑΖ810610</t>
  </si>
  <si>
    <t>ΚΑΡΑΜΠΟΙΚΗ</t>
  </si>
  <si>
    <t>ΑΑ301019</t>
  </si>
  <si>
    <t>ΑΒ169314</t>
  </si>
  <si>
    <t>ΑΙ250920</t>
  </si>
  <si>
    <t>ΑΗ024481</t>
  </si>
  <si>
    <t>ΝΤΟΝΤΣΕΚΟ</t>
  </si>
  <si>
    <t>ΑΗΔΟΝΙΤΣΑ</t>
  </si>
  <si>
    <t>ΑΜ877407</t>
  </si>
  <si>
    <t>ΜΟΛΥΒΙΑΤΗ</t>
  </si>
  <si>
    <t>ΑΗ512586</t>
  </si>
  <si>
    <t>ΑΜ741246</t>
  </si>
  <si>
    <t>Φ241674</t>
  </si>
  <si>
    <t>ΚΟΝΤΟΒΑΣ</t>
  </si>
  <si>
    <t>ΑΝ822780</t>
  </si>
  <si>
    <t>ΑΟ279398</t>
  </si>
  <si>
    <t>ΑΜ267961</t>
  </si>
  <si>
    <t>ΑΕ496228</t>
  </si>
  <si>
    <t>ΔΟΥΒΙΤΣΑ</t>
  </si>
  <si>
    <t>ΑΕ783112</t>
  </si>
  <si>
    <t>ΑΓΡΑΠΙΔΗ</t>
  </si>
  <si>
    <t>ΦΩΤΟΥΛΑ</t>
  </si>
  <si>
    <t>ΑΙ135235</t>
  </si>
  <si>
    <t>ΒΑΡΣΑΜΑ</t>
  </si>
  <si>
    <t>ΑΝ462941</t>
  </si>
  <si>
    <t>ΓΚΙΟΥΖΕΛΗ</t>
  </si>
  <si>
    <t>ΑΖ943252</t>
  </si>
  <si>
    <t>ΑΗ473954</t>
  </si>
  <si>
    <t>ΜΠΑΧΑΡΑΚΗ</t>
  </si>
  <si>
    <t>ΑΖ838952</t>
  </si>
  <si>
    <t>ΑΒ129498</t>
  </si>
  <si>
    <t>ΑΖ966338</t>
  </si>
  <si>
    <t>ΚΟΥΛΟΥΚΟΥΡΓΙΩΤΟΥ</t>
  </si>
  <si>
    <t>ΑΖ812247</t>
  </si>
  <si>
    <t>ΣΑΒΙΝΑ</t>
  </si>
  <si>
    <t>ΑΗ888000</t>
  </si>
  <si>
    <t>ΑΙ810072</t>
  </si>
  <si>
    <t>ΑΒ170835</t>
  </si>
  <si>
    <t>ΜΑΚΕΔΟΝΙΑ ΜΑΡΙΑ</t>
  </si>
  <si>
    <t>ΑΝ185328</t>
  </si>
  <si>
    <t>ΑΝΔΡΕΑΤΟΥ</t>
  </si>
  <si>
    <t>ΑΓΓΕΛΙΚΗ ΕΡΑΣΜΙΑ</t>
  </si>
  <si>
    <t>ΑΚ126457</t>
  </si>
  <si>
    <t>ΜΕΛΕΣΣΑΝΑΚΗ</t>
  </si>
  <si>
    <t>ΑΙ449787</t>
  </si>
  <si>
    <t>ΣΙΜΙΝΤΖΗ</t>
  </si>
  <si>
    <t>Χ215825</t>
  </si>
  <si>
    <t>ΜΑΡΙΑΝΟΥ</t>
  </si>
  <si>
    <t>ΑΝ461473</t>
  </si>
  <si>
    <t>ΑΙ792505</t>
  </si>
  <si>
    <t>ΚΟΥΤΖΙΑΦΑΡΑ</t>
  </si>
  <si>
    <t>ΑΒ891206</t>
  </si>
  <si>
    <t>ΡΟΥΦΟΥ</t>
  </si>
  <si>
    <t>ΑΟ275555</t>
  </si>
  <si>
    <t>ΧΑΤΖΗΜΑΓΙΟΓΛΟΥ</t>
  </si>
  <si>
    <t>ΑΜ850904</t>
  </si>
  <si>
    <t>ΑΗ246201</t>
  </si>
  <si>
    <t>ΑΗ697411</t>
  </si>
  <si>
    <t>ΑΗ963773</t>
  </si>
  <si>
    <t>ΑΙ039989</t>
  </si>
  <si>
    <t>ΜΗΤΣΙΑ</t>
  </si>
  <si>
    <t>ΑΕ262715</t>
  </si>
  <si>
    <t>ΑΟ200915</t>
  </si>
  <si>
    <t>ΑΗ169015</t>
  </si>
  <si>
    <t>ΓΙΟΥΡΟΥΚΟΣ</t>
  </si>
  <si>
    <t>ΑΙ752810</t>
  </si>
  <si>
    <t>ΑΖ718070</t>
  </si>
  <si>
    <t>ΣΦΗΚΑΣ</t>
  </si>
  <si>
    <t>ΑΚ604085</t>
  </si>
  <si>
    <t>ΚΟΥΒΕΛΑ</t>
  </si>
  <si>
    <t>Χ338020</t>
  </si>
  <si>
    <t>ΑΙ476967</t>
  </si>
  <si>
    <t>ΑΚ434673</t>
  </si>
  <si>
    <t>ΑΑ118209</t>
  </si>
  <si>
    <t>ΑΜ409978</t>
  </si>
  <si>
    <t>ΑΖ217066</t>
  </si>
  <si>
    <t>ΤΖΙΡΑΚΗΣ</t>
  </si>
  <si>
    <t>Φ062616</t>
  </si>
  <si>
    <t>ΓΟΥΒΕΡΑΚΗ</t>
  </si>
  <si>
    <t>ΑΜ395896</t>
  </si>
  <si>
    <t>ΖΑΦΕΙΡΑΚΗ</t>
  </si>
  <si>
    <t>ΕΥΑΝΘΙΑ ΡΑΦΑΕΛΑ</t>
  </si>
  <si>
    <t>ΑΙ281071</t>
  </si>
  <si>
    <t>ΠΛΕΥΡΙΤΑΚΗ</t>
  </si>
  <si>
    <t>Χ359576</t>
  </si>
  <si>
    <t>ΑΝ024233</t>
  </si>
  <si>
    <t>ΑΖ147047</t>
  </si>
  <si>
    <t>ΖΓΚΟΥΡΗ</t>
  </si>
  <si>
    <t>ΦΡΟΣΙΝΑ</t>
  </si>
  <si>
    <t>ΠΕΤΡΑΚ</t>
  </si>
  <si>
    <t>ΑΖ279528</t>
  </si>
  <si>
    <t>ΑΜ346912</t>
  </si>
  <si>
    <t>ΑΗ980983</t>
  </si>
  <si>
    <t>ΣΑΛΔΗ</t>
  </si>
  <si>
    <t>ΑΜ869650</t>
  </si>
  <si>
    <t>ΜΑΝΙΚΗ</t>
  </si>
  <si>
    <t>Χ458270</t>
  </si>
  <si>
    <t>ΜΑΡΑΓΙΑΝΝΗ</t>
  </si>
  <si>
    <t>ΑΙ778206</t>
  </si>
  <si>
    <t>ΑΙ776810</t>
  </si>
  <si>
    <t>ΝΤΟΥΛΙΑ</t>
  </si>
  <si>
    <t>Τ058750</t>
  </si>
  <si>
    <t>ΑΙ524500</t>
  </si>
  <si>
    <t>ΠΟΛΥΖΑ</t>
  </si>
  <si>
    <t>ΑΒ670356</t>
  </si>
  <si>
    <t>ΑΖ882508</t>
  </si>
  <si>
    <t>ΧΑΙΔΑ</t>
  </si>
  <si>
    <t>Χ126032</t>
  </si>
  <si>
    <t>ΑΒ219280</t>
  </si>
  <si>
    <t>ΜΑΡΙΑ ΚΑΛΛΙΟΠΗ</t>
  </si>
  <si>
    <t>ΑΗ817730</t>
  </si>
  <si>
    <t>ΚΑΠΟΠΟΥΛΟΥ</t>
  </si>
  <si>
    <t>ΙΩΑΝΝΑ ΚΩΝΣΤΑΝΤΙΝΑ</t>
  </si>
  <si>
    <t>ΑΕ746351</t>
  </si>
  <si>
    <t>ΑΟ497589</t>
  </si>
  <si>
    <t>ΤΣΙΟΚΑΝΟΥ</t>
  </si>
  <si>
    <t>ΑΙ328986</t>
  </si>
  <si>
    <t>ΑΗ913235</t>
  </si>
  <si>
    <t>ΜΑΣΤΟΡΑ</t>
  </si>
  <si>
    <t>ΑΗ478514</t>
  </si>
  <si>
    <t>ΝΤΟΜΠΡΟΣ</t>
  </si>
  <si>
    <t>ΑΗ781451</t>
  </si>
  <si>
    <t>ΔΙΑΛΕΧΤΗ</t>
  </si>
  <si>
    <t>ΑΡΧΙΜΗΔΗΣ</t>
  </si>
  <si>
    <t>ΑΗ306859</t>
  </si>
  <si>
    <t>ΑΗ459920</t>
  </si>
  <si>
    <t>ΚΑΤΣΑΝΤΩΝΗΣ</t>
  </si>
  <si>
    <t>ΑΜ750176</t>
  </si>
  <si>
    <t>ΔΟΥΝΟΥΛΗ</t>
  </si>
  <si>
    <t>Χ101274</t>
  </si>
  <si>
    <t>ΚΕΛΜΠΑΚΟΥΡΗ</t>
  </si>
  <si>
    <t>ΒΕΝΕΤΙΑ ΜΑΡΙΑ</t>
  </si>
  <si>
    <t>ΑΟ157202</t>
  </si>
  <si>
    <t>ΑΟ494988</t>
  </si>
  <si>
    <t>ΑΑ464147</t>
  </si>
  <si>
    <t>ΑΒ068260</t>
  </si>
  <si>
    <t>ΑΝ841419</t>
  </si>
  <si>
    <t>ΤΣΙΤΣΙΑΣ</t>
  </si>
  <si>
    <t>ΑΙ981235</t>
  </si>
  <si>
    <t>ΣΗΜΙΤΖΗ</t>
  </si>
  <si>
    <t>ΜΑΡΤΙΝΑ</t>
  </si>
  <si>
    <t>ΑΜ654396</t>
  </si>
  <si>
    <t>ΑΙ346484</t>
  </si>
  <si>
    <t>ΚΟΤΣΟΤΑ</t>
  </si>
  <si>
    <t>ΑΖ707107</t>
  </si>
  <si>
    <t>ΑΟ723079</t>
  </si>
  <si>
    <t>ΑΝ700077</t>
  </si>
  <si>
    <t>ΓΚΙΠΑΤΙΔΟΥ</t>
  </si>
  <si>
    <t>ΑΜ874472</t>
  </si>
  <si>
    <t>ΑΚ345980</t>
  </si>
  <si>
    <t>ΣΑΜΠΑΝΗ</t>
  </si>
  <si>
    <t>ΑΗ705308</t>
  </si>
  <si>
    <t>Φ013428</t>
  </si>
  <si>
    <t>ΑΚ054481</t>
  </si>
  <si>
    <t>Χ593457</t>
  </si>
  <si>
    <t>ΑΜ623480</t>
  </si>
  <si>
    <t>ΑΒ694779</t>
  </si>
  <si>
    <t>ΑΜ782128</t>
  </si>
  <si>
    <t>ΠΑΠΑΡΟΥΝΗ</t>
  </si>
  <si>
    <t>ΑΖ245452</t>
  </si>
  <si>
    <t>ΒΕΡΕΝΤΖΙΩΤΗ</t>
  </si>
  <si>
    <t>ΑΙ849514</t>
  </si>
  <si>
    <t>ΓΡΑΜΜΕΝΙΔΗΣ</t>
  </si>
  <si>
    <t>ΑΗ877838</t>
  </si>
  <si>
    <t>ΑΙ444093</t>
  </si>
  <si>
    <t>ΟΓΚΑΝΕΣΙΑΝ</t>
  </si>
  <si>
    <t>ΑΡΣΕΝ</t>
  </si>
  <si>
    <t>Χ947195</t>
  </si>
  <si>
    <t>ΑΒ760553</t>
  </si>
  <si>
    <t>ΡΑΚΚΑ</t>
  </si>
  <si>
    <t>ΑΖ721232</t>
  </si>
  <si>
    <t>ΑΗ201135</t>
  </si>
  <si>
    <t>ΑΙ981270</t>
  </si>
  <si>
    <t>ΧΑΤΖΗΑΘΑΝΑΣΙΟΥ ΚΑΡΑΚΑΣΗ</t>
  </si>
  <si>
    <t>ΑΝ515339</t>
  </si>
  <si>
    <t>ΤΟΥΡΝΑΚΗ</t>
  </si>
  <si>
    <t>ΑΒ632432</t>
  </si>
  <si>
    <t>ΜΠΟΥΤΙΝΟΥΛΗ</t>
  </si>
  <si>
    <t>ΑΒ832229</t>
  </si>
  <si>
    <t>ΚΟΡΠΗ</t>
  </si>
  <si>
    <t>ΑΕ560388</t>
  </si>
  <si>
    <t>ΜΙΧΑΚΗΣ</t>
  </si>
  <si>
    <t>ΑΗ434374</t>
  </si>
  <si>
    <t>ΓΚΟΛΤΣΙΟΥ</t>
  </si>
  <si>
    <t>ΑΗ966874</t>
  </si>
  <si>
    <t>ΑΜ386182</t>
  </si>
  <si>
    <t>ΛΑΚΟΥ</t>
  </si>
  <si>
    <t>ΑΝ328901</t>
  </si>
  <si>
    <t>ΑΙ493324</t>
  </si>
  <si>
    <t>ΜΠΙΖΑ</t>
  </si>
  <si>
    <t>ΑΙ815543</t>
  </si>
  <si>
    <t>ΑΖ613168</t>
  </si>
  <si>
    <t>ΒΙΝΤΟΥ</t>
  </si>
  <si>
    <t>ΑΖ905986</t>
  </si>
  <si>
    <t>ΑΝΔΡΙΑΝΑ ΜΑΡΙΑ</t>
  </si>
  <si>
    <t>ΑΜ160011</t>
  </si>
  <si>
    <t>ΤΣΙΟΥΤΡΑΣ</t>
  </si>
  <si>
    <t>ΑΗ319003</t>
  </si>
  <si>
    <t>ΤΣΙΑΒΑ</t>
  </si>
  <si>
    <t>ΑΗ740235</t>
  </si>
  <si>
    <t>ΚΑΝΤΖΑΡΗ</t>
  </si>
  <si>
    <t>ΑΑ316647</t>
  </si>
  <si>
    <t>ΒΕΡΒΕΛΙΔΟΥ</t>
  </si>
  <si>
    <t>ΑΜ681763</t>
  </si>
  <si>
    <t>ΠΟΓΙΑΣ</t>
  </si>
  <si>
    <t>ΑΗ740598</t>
  </si>
  <si>
    <t>ΑΗ545910</t>
  </si>
  <si>
    <t xml:space="preserve">ΜΙΧΕΛΑΚΑΚΗ </t>
  </si>
  <si>
    <t>Χ850292</t>
  </si>
  <si>
    <t>ΤΖΕΤΖΙΑ</t>
  </si>
  <si>
    <t>ΑΙ295701</t>
  </si>
  <si>
    <t>ΚΩΝΣΤΑΝΤΟΥΔΗΣ</t>
  </si>
  <si>
    <t>ΑΗ658226</t>
  </si>
  <si>
    <t>ΝΤΟΥΣΚΟΥ</t>
  </si>
  <si>
    <t>ΑΜ856877</t>
  </si>
  <si>
    <t>ΑΜ167318</t>
  </si>
  <si>
    <t>ΠΑΝΑΓΙΑΡΗ</t>
  </si>
  <si>
    <t>ΑΙ488275</t>
  </si>
  <si>
    <t>ΑΗ550322</t>
  </si>
  <si>
    <t>ΑΙ004035</t>
  </si>
  <si>
    <t>ΑΗ770785</t>
  </si>
  <si>
    <t>ΤΣΙΑΚΜΑΚΟΥΔΗ</t>
  </si>
  <si>
    <t>ΑΖ418102</t>
  </si>
  <si>
    <t>ΑΙ472100</t>
  </si>
  <si>
    <t>ΓΚΑΤΑ</t>
  </si>
  <si>
    <t xml:space="preserve">ΚΡΥΣΤΑΛΛΙΑ </t>
  </si>
  <si>
    <t>ΑΝ315440</t>
  </si>
  <si>
    <t>ΚΟΥΚΟΥΖΕΛΗ</t>
  </si>
  <si>
    <t>ΑΟ224020</t>
  </si>
  <si>
    <t>Χ699511</t>
  </si>
  <si>
    <t xml:space="preserve">ΒΕΡΤΟΠΟΥΛΟΥ </t>
  </si>
  <si>
    <t>ΓΕΩΓΙΟΣ</t>
  </si>
  <si>
    <t>ΑΝ650130</t>
  </si>
  <si>
    <t>ΓΚΟΥΤΣΗ</t>
  </si>
  <si>
    <t>ΑΗ243673</t>
  </si>
  <si>
    <t>ΑΖ472472</t>
  </si>
  <si>
    <t>ΓΙΩΤΣΑΣ</t>
  </si>
  <si>
    <t>ΑΟ742693</t>
  </si>
  <si>
    <t>ΑΖ457159</t>
  </si>
  <si>
    <t>ΜΠΟΥΡΔΑΚΗ</t>
  </si>
  <si>
    <t>ΑΒ028173</t>
  </si>
  <si>
    <t>ΑΖ291709</t>
  </si>
  <si>
    <t>ΣΑΚΟΥΦΑΚΗ</t>
  </si>
  <si>
    <t>ΑΚ356902</t>
  </si>
  <si>
    <t>ΦΡΑΓΚΟΓΙΑΝΝΗ</t>
  </si>
  <si>
    <t>ΑΙ645675</t>
  </si>
  <si>
    <t>ΜΠΕΤΑ</t>
  </si>
  <si>
    <t>ΤΖΕΝΙΣΑ</t>
  </si>
  <si>
    <t>ΑΝ969953</t>
  </si>
  <si>
    <t>ΑΗ967666</t>
  </si>
  <si>
    <t>ΑΗ765760</t>
  </si>
  <si>
    <t>ΡΟΔΟΠΟΥΛΟΣ</t>
  </si>
  <si>
    <t>ΑΗ205124</t>
  </si>
  <si>
    <t>ΚΑΤΤΗ</t>
  </si>
  <si>
    <t>ΑΜ080262</t>
  </si>
  <si>
    <t>ΑΒ321336</t>
  </si>
  <si>
    <t>ΒΟΡΙΖΑΝΑΚΗΣ</t>
  </si>
  <si>
    <t>ΑΑ366939</t>
  </si>
  <si>
    <t>ΠΡΟΔΡΟΜΙΔΟΥ</t>
  </si>
  <si>
    <t>ΑΖ815926</t>
  </si>
  <si>
    <t>ΚΟΥΦΑΔΗ</t>
  </si>
  <si>
    <t>ΑΗ114139</t>
  </si>
  <si>
    <t>ΟΚΑΝ</t>
  </si>
  <si>
    <t>ΑΜΕΤ</t>
  </si>
  <si>
    <t>Χ966565</t>
  </si>
  <si>
    <t>ΑΒ249895</t>
  </si>
  <si>
    <t>ΑΜ141329</t>
  </si>
  <si>
    <t>ΜΑΡΙΑ ΡΑΦΑΙΛΙΝΑ</t>
  </si>
  <si>
    <t>ΑΙ352543</t>
  </si>
  <si>
    <t>ΜΑΤΑΛΑ</t>
  </si>
  <si>
    <t>Φ224324</t>
  </si>
  <si>
    <t>ΦΑΦΟΥΤΑ</t>
  </si>
  <si>
    <t>ΡΟΥΣΑ ΜΑΡΙΑ</t>
  </si>
  <si>
    <t>ΑΗ299663</t>
  </si>
  <si>
    <t>ΑΚ085744</t>
  </si>
  <si>
    <t>ΤΑΚΟΣ</t>
  </si>
  <si>
    <t>ΑΗ830805</t>
  </si>
  <si>
    <t>ΑΙ992111</t>
  </si>
  <si>
    <t>ΤΣΙΑΝΑ</t>
  </si>
  <si>
    <t>Σ629860</t>
  </si>
  <si>
    <t>ΚΑΤΣΑΒΟΥΝΗΣ</t>
  </si>
  <si>
    <t>ΑΜ447848</t>
  </si>
  <si>
    <t>ΑΚ354489</t>
  </si>
  <si>
    <t>ΤΣΕΜΠΕΡΑ</t>
  </si>
  <si>
    <t>ΑΝΔΡΙΑΝΟΣ</t>
  </si>
  <si>
    <t>ΑΙ246027</t>
  </si>
  <si>
    <t>ΑΖ818884</t>
  </si>
  <si>
    <t>ΠΑΡΓΙΝΟΥ</t>
  </si>
  <si>
    <t>ΑΒ408933</t>
  </si>
  <si>
    <t>ΜΟΣΚΕΡΑ ΑΓΑΚΙΔΟΥ</t>
  </si>
  <si>
    <t>ΣΥΛΒΙΑ ΣΤΥΛΙΑΝΗ</t>
  </si>
  <si>
    <t>ΧΟΣΕ</t>
  </si>
  <si>
    <t>ΑΜ498386</t>
  </si>
  <si>
    <t xml:space="preserve">ΗΛΙΑΣ </t>
  </si>
  <si>
    <t>ΑΙ725404</t>
  </si>
  <si>
    <t>ΑΜ072883</t>
  </si>
  <si>
    <t>ΔΕΡΙΖΙΩΤΗ</t>
  </si>
  <si>
    <t>ΑΚ086752</t>
  </si>
  <si>
    <t>ΑΛΑΤΣΑΚΗ</t>
  </si>
  <si>
    <t>ΑΙ938269</t>
  </si>
  <si>
    <t>ΑΟ066392</t>
  </si>
  <si>
    <t>ΣΚΥΛΙΤΣΗΣ</t>
  </si>
  <si>
    <t>Χ645950</t>
  </si>
  <si>
    <t>ΙΝΤΟΥ</t>
  </si>
  <si>
    <t>ΑΚ930978</t>
  </si>
  <si>
    <t>ΑΜ524168</t>
  </si>
  <si>
    <t>ΑΚ647539</t>
  </si>
  <si>
    <t>ΚΟΜΠΟΧΟΛΗ</t>
  </si>
  <si>
    <t>ΑΜ771916</t>
  </si>
  <si>
    <t>ΑΑ979132</t>
  </si>
  <si>
    <t>ΒΡΟΝΤΙΝΑΚΗ</t>
  </si>
  <si>
    <t>Χ595589</t>
  </si>
  <si>
    <t xml:space="preserve">ΤΖΑΦΕΡΛΑΡΙ </t>
  </si>
  <si>
    <t xml:space="preserve">ΝΙΛΓΚΥΝΑ </t>
  </si>
  <si>
    <t xml:space="preserve">ΓΙΑΝΝΗ </t>
  </si>
  <si>
    <t>ΑΟ169740</t>
  </si>
  <si>
    <t>ΑΙ109869</t>
  </si>
  <si>
    <t>ΒΟΣΚΟΠΟΥΛΟΥ</t>
  </si>
  <si>
    <t>ΑΜ273060</t>
  </si>
  <si>
    <t>ΚΑΜΠΟΥΡΟΓΛΟΥ</t>
  </si>
  <si>
    <t>ΑΒ321162</t>
  </si>
  <si>
    <t>ΑΕ771034</t>
  </si>
  <si>
    <t>ΓΛΑΡΕΛΗ</t>
  </si>
  <si>
    <t>ΑΡ096364</t>
  </si>
  <si>
    <t>ΑΗ518775</t>
  </si>
  <si>
    <t>ΣΑΝΤΕΤΣΙΔΟΥ</t>
  </si>
  <si>
    <t>ΙΩΑΝΝΑ ΚΥΡΙΑΚΗ</t>
  </si>
  <si>
    <t>ΑΝ829294</t>
  </si>
  <si>
    <t>ΚΑΤΙΡΤΖΟΓΛΟΥ</t>
  </si>
  <si>
    <t>ΑΗ683536</t>
  </si>
  <si>
    <t>ΑΕ230869</t>
  </si>
  <si>
    <t>ΑΗ223783</t>
  </si>
  <si>
    <t>Σ818365</t>
  </si>
  <si>
    <t>Χ949447</t>
  </si>
  <si>
    <t>ΤΙΤΟΠΟΥΛΟΥ</t>
  </si>
  <si>
    <t>ΑΖ662922</t>
  </si>
  <si>
    <t>ΑΟ313767</t>
  </si>
  <si>
    <t>ΒΕΚΙΑΡΗ</t>
  </si>
  <si>
    <t>ΑΕ734342</t>
  </si>
  <si>
    <t>ΓΚΟΛΙΑ</t>
  </si>
  <si>
    <t>ΑΗ318324</t>
  </si>
  <si>
    <t>ΛΟΥΚΟΥΤΟΣ</t>
  </si>
  <si>
    <t>ΠΑΝΑΓΙΩΤΗΣ ΖΗΣΗΣ</t>
  </si>
  <si>
    <t>ΑΝ641328</t>
  </si>
  <si>
    <t>ΑΙ285418</t>
  </si>
  <si>
    <t>ΑΙ782156</t>
  </si>
  <si>
    <t>ΤΣΙΦΤΣΗΣ</t>
  </si>
  <si>
    <t>ΑΗ415850</t>
  </si>
  <si>
    <t>ΑΟ348864</t>
  </si>
  <si>
    <t>ΑΗ932604</t>
  </si>
  <si>
    <t>ΦΛΙΟΥΚΑ</t>
  </si>
  <si>
    <t>ΑΚ070080</t>
  </si>
  <si>
    <t>ΜΟΥΡΤΖΗ</t>
  </si>
  <si>
    <t>ΠΑΝΑΓΙΩΤΑ ΧΡΥΣΟΒΑΛΑΝ</t>
  </si>
  <si>
    <t>ΑΙ207097</t>
  </si>
  <si>
    <t>ΚΑΡΩΜΕΝΟΥ</t>
  </si>
  <si>
    <t>ΑΡ295230</t>
  </si>
  <si>
    <t>ΕΠΙΦΑΝΩΦ</t>
  </si>
  <si>
    <t>ΑΒ685411</t>
  </si>
  <si>
    <t>ΑΟ420996</t>
  </si>
  <si>
    <t>ΣΟΥΛΤΟΣ</t>
  </si>
  <si>
    <t>ΑΙ481244</t>
  </si>
  <si>
    <t>ΑΑ353198</t>
  </si>
  <si>
    <t>ΜΙΓΑΔΑΚΗΣ</t>
  </si>
  <si>
    <t>ΑΜ538647</t>
  </si>
  <si>
    <t xml:space="preserve">ΓΙΟΥΜΟΥΡΤΑΤΖΟΓΛΟΥ </t>
  </si>
  <si>
    <t xml:space="preserve">ΦΟΥΝΤΑ </t>
  </si>
  <si>
    <t>ΚΙΑΜΗΛ</t>
  </si>
  <si>
    <t>ΑΑ456125</t>
  </si>
  <si>
    <t>ΣΥΓΓΟΥΝΑ</t>
  </si>
  <si>
    <t>ΑΙ478235</t>
  </si>
  <si>
    <t>ΓΙΑΝΝΙΚΗΣ</t>
  </si>
  <si>
    <t>ΑΜ818061</t>
  </si>
  <si>
    <t>Χ428649</t>
  </si>
  <si>
    <t>ΣΤΥΛΙΔΟΥ</t>
  </si>
  <si>
    <t>ΑΚ927606</t>
  </si>
  <si>
    <t>ΣΑΒΒΟΥΡΑΣ</t>
  </si>
  <si>
    <t>Χ405609</t>
  </si>
  <si>
    <t>ΓΕΩΡΓΙΑ ΝΕΦΕΛΗ</t>
  </si>
  <si>
    <t>ΑΒ044975</t>
  </si>
  <si>
    <t>ΑΒ202853</t>
  </si>
  <si>
    <t>ΓΚΑΤΣΗ</t>
  </si>
  <si>
    <t>ΑΝ579238</t>
  </si>
  <si>
    <t>ΑΜ175931</t>
  </si>
  <si>
    <t>ΜΠΟΤΟΥ</t>
  </si>
  <si>
    <t>ΑΗ255564</t>
  </si>
  <si>
    <t>ΣΟΥΚΟΥΒΕΛΟΥ</t>
  </si>
  <si>
    <t>ΑΙ263647</t>
  </si>
  <si>
    <t>ΠΕ28 ΦΥΣΙΟΘΕΡΑΠΕΥΤΩΝ (ΘΕΣΗ 105)</t>
  </si>
  <si>
    <t>ΜΠΟΥΡΑΚΗ</t>
  </si>
  <si>
    <t>ΑΒ859004</t>
  </si>
  <si>
    <t>ΠΑΝΕΛΛΗ</t>
  </si>
  <si>
    <t>ΑΟ423923</t>
  </si>
  <si>
    <t>Τ327004</t>
  </si>
  <si>
    <t>ΜΑΖΑΡΗΣ</t>
  </si>
  <si>
    <t>ΧΑΡΑΛΑΜΠΟΣ ΝΙΚΟΛΑΟΣ</t>
  </si>
  <si>
    <t>ΑΚ713111</t>
  </si>
  <si>
    <t>ΑΚ921316</t>
  </si>
  <si>
    <t>ΜΠΟΥΛΜΕΤΗΣ</t>
  </si>
  <si>
    <t>Χ283573</t>
  </si>
  <si>
    <t>ΣΤΡΑΤΟΓΛΟΥ</t>
  </si>
  <si>
    <t>ΑΡ241267</t>
  </si>
  <si>
    <t>ΘΕΟΔΩΡΙΤΣΗ</t>
  </si>
  <si>
    <t>ΑΙ205963</t>
  </si>
  <si>
    <t>Χ482653</t>
  </si>
  <si>
    <t>ΑΙ440712</t>
  </si>
  <si>
    <t>ΜΑΛΑΚΟΥ</t>
  </si>
  <si>
    <t>ΑΟ925878</t>
  </si>
  <si>
    <t>ΚΟΥΡΙΔΑΚΗ</t>
  </si>
  <si>
    <t>ΜΠΟΥΡΟΣ</t>
  </si>
  <si>
    <t>ΑΙ411009</t>
  </si>
  <si>
    <t>ΠΑΙΔΗ</t>
  </si>
  <si>
    <t>Χ406788</t>
  </si>
  <si>
    <t>ΠΑΠΑΛΑΙΟΥ</t>
  </si>
  <si>
    <t>ΑΑ477231</t>
  </si>
  <si>
    <t>ΑΙ413610</t>
  </si>
  <si>
    <t>ΑΝ355752</t>
  </si>
  <si>
    <t>ΒΑΓΙΑΝΟΣ ΑΝΤΩΝΙΟΣ</t>
  </si>
  <si>
    <t>ΑΑ499176</t>
  </si>
  <si>
    <t>ΖΩΡΖΟΣ</t>
  </si>
  <si>
    <t>ΑΜ358575</t>
  </si>
  <si>
    <t>ΑΗ243183</t>
  </si>
  <si>
    <t>ΜΑΣΤΟΡΙΔΟΥ</t>
  </si>
  <si>
    <t>ΤΟΥΛΙΑΤΟΥ</t>
  </si>
  <si>
    <t>ΚΛΕΟΝΙΚΗ ΘΕΟΛΟΓΙΑ</t>
  </si>
  <si>
    <t>ΑΕ428538</t>
  </si>
  <si>
    <t>Ρ297740</t>
  </si>
  <si>
    <t>ΑΑ430791</t>
  </si>
  <si>
    <t>ΧΑΙΔΕΜΕΝΟΣ</t>
  </si>
  <si>
    <t>ΑΑ085316</t>
  </si>
  <si>
    <t>ΑΜ713664</t>
  </si>
  <si>
    <t>ΓΙΑΝΝΙΡΗΣ</t>
  </si>
  <si>
    <t>ΑΚ100784</t>
  </si>
  <si>
    <t>ΜΙΧΑΛΟΠΟΥΛΟΣ</t>
  </si>
  <si>
    <t>Χ790523</t>
  </si>
  <si>
    <t>ΣΕΙΤΑΝΗ</t>
  </si>
  <si>
    <t>ΑΗ675601</t>
  </si>
  <si>
    <t>ΜΑΤΑΡΑ</t>
  </si>
  <si>
    <t>ΑΜ278237</t>
  </si>
  <si>
    <t>ΑΜ586889</t>
  </si>
  <si>
    <t>ΑΝΤΩΝΕΛΑΚΗ</t>
  </si>
  <si>
    <t>ΕΜΜΑΝΟΥΗΛ ΘΕΟΧΑΡΗΣ</t>
  </si>
  <si>
    <t>ΑΝ679476</t>
  </si>
  <si>
    <t>ΚΛΕΩΝ</t>
  </si>
  <si>
    <t>ΑΕ418560</t>
  </si>
  <si>
    <t>ΑΚ337406</t>
  </si>
  <si>
    <t>ΑΖ823680</t>
  </si>
  <si>
    <t>ΠΙΤΤΑΡΑ</t>
  </si>
  <si>
    <t>ΑΟ601850</t>
  </si>
  <si>
    <t>ΑΝ458072</t>
  </si>
  <si>
    <t>ΙΕΡΕΙΔΟΥ</t>
  </si>
  <si>
    <t>ΦΑΝΗ ΧΡΙΣΤΙΝΑ</t>
  </si>
  <si>
    <t>ΑΖ337126</t>
  </si>
  <si>
    <t>ΔΗΜΟΥΛΗΣ</t>
  </si>
  <si>
    <t>Σ797302</t>
  </si>
  <si>
    <t>ΚΑΜΠΡΑΓΚΟΥ</t>
  </si>
  <si>
    <t>ΑΖ690783</t>
  </si>
  <si>
    <t>ΑΑ359380</t>
  </si>
  <si>
    <t>ΚΙΟΤΤΟΥ</t>
  </si>
  <si>
    <t>Χ825102</t>
  </si>
  <si>
    <t>Ρ883930</t>
  </si>
  <si>
    <t>ΑΡΙΣΤΟΝΙΚΗ</t>
  </si>
  <si>
    <t xml:space="preserve">ΤΡΙΑΝΤΑΦΥΛΛΟΣ </t>
  </si>
  <si>
    <t>ΑΒ367003</t>
  </si>
  <si>
    <t>ΑΚ907732</t>
  </si>
  <si>
    <t>ΜΙΧΑΗΛΟΥ</t>
  </si>
  <si>
    <t>ΜΥΡΟΓΙΑΝΝΗΣ</t>
  </si>
  <si>
    <t>ΑΑ440144</t>
  </si>
  <si>
    <t>ΚΟΤΤΑΡΑ</t>
  </si>
  <si>
    <t>ΑΒ232054</t>
  </si>
  <si>
    <t>ΚΑΛΙΟΝΤΖΑΚΗ</t>
  </si>
  <si>
    <t>ΑΜ285603</t>
  </si>
  <si>
    <t>ΑΟ406336</t>
  </si>
  <si>
    <t>ΔΕΛΗΓΙΑΝΝΗΣ</t>
  </si>
  <si>
    <t>ΑΜ850718</t>
  </si>
  <si>
    <t>ΤΣΙΟΥΚΑ</t>
  </si>
  <si>
    <t>ΑΕ311172</t>
  </si>
  <si>
    <t>ΠΟΛΥΖΩΓΟΠΟΥΛΟΣ</t>
  </si>
  <si>
    <t>Φ243421</t>
  </si>
  <si>
    <t>ΠΕΤΡΕΛΗΣ</t>
  </si>
  <si>
    <t>ΑΙ074154</t>
  </si>
  <si>
    <t>ΚΑΤΣΙΩΝΗ</t>
  </si>
  <si>
    <t>ΚΑΤΕΡΙΝΑ ΗΛΙΑΝΑ</t>
  </si>
  <si>
    <t>ΑΕ269914</t>
  </si>
  <si>
    <t>ΣΕΙΤΑΡΙΔΗ</t>
  </si>
  <si>
    <t>ΑΚ626310</t>
  </si>
  <si>
    <t>ΒΑΣΣΗΣ</t>
  </si>
  <si>
    <t>ΑΙ752093</t>
  </si>
  <si>
    <t>ΑΝ050124</t>
  </si>
  <si>
    <t>ΠΑΠΑΠΛΙΟΥΡΑ</t>
  </si>
  <si>
    <t>ΑΖ288426</t>
  </si>
  <si>
    <t>ΛΟΥΤΣΙΑ</t>
  </si>
  <si>
    <t>ΑΗ340375</t>
  </si>
  <si>
    <t>ΚΟΥΤΣΑΓΓΕΛΗ</t>
  </si>
  <si>
    <t>Χ560874</t>
  </si>
  <si>
    <t>ΔΟΥΡΑ</t>
  </si>
  <si>
    <t>ΑΕ900816</t>
  </si>
  <si>
    <t>ΑΜ692009</t>
  </si>
  <si>
    <t>Χ808245</t>
  </si>
  <si>
    <t>ΑΓΡΟΔΗΜΟΥ</t>
  </si>
  <si>
    <t>ΑΖ268668</t>
  </si>
  <si>
    <t>Σ948940</t>
  </si>
  <si>
    <t>Χ988734</t>
  </si>
  <si>
    <t>ΜΗΛΟΓΛΟΥ</t>
  </si>
  <si>
    <t>ΑΟ904878</t>
  </si>
  <si>
    <t>ΑΕ268532</t>
  </si>
  <si>
    <t>Σ796034</t>
  </si>
  <si>
    <t>ΑΙ204404</t>
  </si>
  <si>
    <t>ΑΒ780345</t>
  </si>
  <si>
    <t>ΑΖ797681</t>
  </si>
  <si>
    <t>ΑΡ480015</t>
  </si>
  <si>
    <t>ΑΖ655368</t>
  </si>
  <si>
    <t>ΑΖ148477</t>
  </si>
  <si>
    <t>ΤΖΟΥΡΜΕΤΗ</t>
  </si>
  <si>
    <t>Χ838810</t>
  </si>
  <si>
    <t>ΑΝ186484</t>
  </si>
  <si>
    <t>Χ437644</t>
  </si>
  <si>
    <t>ΑΝ706791</t>
  </si>
  <si>
    <t>ΦΛΕΒΟΤΟΜΟΥ</t>
  </si>
  <si>
    <t>ΑΒ605838</t>
  </si>
  <si>
    <t>ΒΕΡΒΑΙΝΙΩΤΗΣ</t>
  </si>
  <si>
    <t>ΑΜ586888</t>
  </si>
  <si>
    <t>ΑΜ069222</t>
  </si>
  <si>
    <t>ΑΝ803104</t>
  </si>
  <si>
    <t>ΚΟΚΟΛΟΓΙΑΝΝΗ</t>
  </si>
  <si>
    <t>ΑΑ991492</t>
  </si>
  <si>
    <t>ΚΕΛΛΑΣ</t>
  </si>
  <si>
    <t>ΑΙ285277</t>
  </si>
  <si>
    <t>ΚΑΡΑΜΗΤΣΙΟΥ</t>
  </si>
  <si>
    <t>ΑΙ838166</t>
  </si>
  <si>
    <t>ΑΟ309196</t>
  </si>
  <si>
    <t>ΑΖ266796</t>
  </si>
  <si>
    <t>ΝΤΙΝΟΥ</t>
  </si>
  <si>
    <t>ΣΤΕΦΑΝΙΑ ΡΑΦΑΗΛΙΑ</t>
  </si>
  <si>
    <t>ΑΝ754732</t>
  </si>
  <si>
    <t>ΑΚ817561</t>
  </si>
  <si>
    <t>ΑΗ461710</t>
  </si>
  <si>
    <t>ΛΟΥΒΑΡΗΣ</t>
  </si>
  <si>
    <t>Χ520678</t>
  </si>
  <si>
    <t>ΓΕΡΜΕΝΗ</t>
  </si>
  <si>
    <t>ΑΝ804786</t>
  </si>
  <si>
    <t>ΔΟΥΚΙΑΝΤΖΑΚΗ</t>
  </si>
  <si>
    <t>ΑΗ457020</t>
  </si>
  <si>
    <t>ΑΡ241243</t>
  </si>
  <si>
    <t>ΑΒ380326</t>
  </si>
  <si>
    <t>ΣΚΕΠΕΤΑΡΗ</t>
  </si>
  <si>
    <t>ΑΜ208256</t>
  </si>
  <si>
    <t>ΤΖΟΡΜΠΑΤΖΑΚΗ</t>
  </si>
  <si>
    <t>ΜΑΡΙΝΑ ΣΤΥΛΙΑΝΗ</t>
  </si>
  <si>
    <t>ΑΟ427742</t>
  </si>
  <si>
    <t>ΒΑΦΙΝΗ</t>
  </si>
  <si>
    <t>Χ112185</t>
  </si>
  <si>
    <t>Χ806869</t>
  </si>
  <si>
    <t>ΒΕΖΥΡΓΙΑΝΟΓΛΟΥ</t>
  </si>
  <si>
    <t>ΑΟ280874</t>
  </si>
  <si>
    <t>ΟΡΦΑΝΙΔΗΣ</t>
  </si>
  <si>
    <t>ΑΚ269481</t>
  </si>
  <si>
    <t>ΚΡΙΤΣΕΛΗΣ</t>
  </si>
  <si>
    <t>Φ105069</t>
  </si>
  <si>
    <t>ΛΟΥΤΣΙΔΗ</t>
  </si>
  <si>
    <t>Σ933292</t>
  </si>
  <si>
    <t>ΦΑΦΟΥΤΑΚΗΣ</t>
  </si>
  <si>
    <t>ΑΑ435310</t>
  </si>
  <si>
    <t>ΜΠΑΛΟΥΤΣΟΥ</t>
  </si>
  <si>
    <t>ΑΕ195641</t>
  </si>
  <si>
    <t>ΜΕΡΕΝΤΙΤΗΣ</t>
  </si>
  <si>
    <t>ΑΕ729219</t>
  </si>
  <si>
    <t>ΑΗ213963</t>
  </si>
  <si>
    <t>ΑΚ273338</t>
  </si>
  <si>
    <t>ΚΟΛΕΖΩΗ</t>
  </si>
  <si>
    <t>Φ027406</t>
  </si>
  <si>
    <t>ΤΖΙΟΤΖΙΟΥ</t>
  </si>
  <si>
    <t>ΑΖ267656</t>
  </si>
  <si>
    <t>ΜΙΜΗΚΟΠΟΥΛΟΥ</t>
  </si>
  <si>
    <t>ΑΝ220441</t>
  </si>
  <si>
    <t>ΑΖ711700</t>
  </si>
  <si>
    <t>ΣΟΥΛΟΓΛΟΥ</t>
  </si>
  <si>
    <t>ΜΠΕΡΚ</t>
  </si>
  <si>
    <t>ΑΖ403100</t>
  </si>
  <si>
    <t>Χ733479</t>
  </si>
  <si>
    <t>ΜΠΟΥΝΤΟΥ</t>
  </si>
  <si>
    <t>ΑΜ928460</t>
  </si>
  <si>
    <t>ΣΑΝΤΖΙΛΙΩΤΗ</t>
  </si>
  <si>
    <t>Χ689138</t>
  </si>
  <si>
    <t>ΠΕΦΑΝΗ</t>
  </si>
  <si>
    <t>ΑΚ653323</t>
  </si>
  <si>
    <t>ΑΖ892851</t>
  </si>
  <si>
    <t>ΜΕΛΕΓΚΟΓΛΟΥ</t>
  </si>
  <si>
    <t>ΑΕ542380</t>
  </si>
  <si>
    <t>Φ431062</t>
  </si>
  <si>
    <t>ΑΗ698509</t>
  </si>
  <si>
    <t>Χ300054</t>
  </si>
  <si>
    <t>ΑΖ958636</t>
  </si>
  <si>
    <t>ΘΑΛΑΣΣΙΝΟΥ</t>
  </si>
  <si>
    <t>Χ329376</t>
  </si>
  <si>
    <t>ΑΡΝΑΟΥΤΗΣ</t>
  </si>
  <si>
    <t>ΑΑ795658</t>
  </si>
  <si>
    <t>ΣΠΑΘΗΣ</t>
  </si>
  <si>
    <t>ΑΝ597146</t>
  </si>
  <si>
    <t>ΑΛΕΥΡΟΠΟΥΛΟΥ</t>
  </si>
  <si>
    <t>ΑΕ689447</t>
  </si>
  <si>
    <t>Χ230776</t>
  </si>
  <si>
    <t>ΛΥΜΠΕΡΤΑ</t>
  </si>
  <si>
    <t>ΑΑ049233</t>
  </si>
  <si>
    <t>ΜΕΣΣΑ</t>
  </si>
  <si>
    <t>ΑΖ155032</t>
  </si>
  <si>
    <t>ΑΟ214688</t>
  </si>
  <si>
    <t>ΑΒ962843</t>
  </si>
  <si>
    <t>ΑΒ499740</t>
  </si>
  <si>
    <t>ΑΙ205897</t>
  </si>
  <si>
    <t>ΤΖΑΝΙΝΗΣ</t>
  </si>
  <si>
    <t>ΑΝ352355</t>
  </si>
  <si>
    <t>ΛΑΧΑΝΑ</t>
  </si>
  <si>
    <t>Χ776807</t>
  </si>
  <si>
    <t>ΣΤΑΜΠΟΛΟΓΛΟΥ</t>
  </si>
  <si>
    <t>ΒΑΣΙΛΙΚΗ ΣΤΥΛΙΑΝΗ</t>
  </si>
  <si>
    <t>ΑΗ370395</t>
  </si>
  <si>
    <t>ΚΑΤΣΙΚΑΡΗ</t>
  </si>
  <si>
    <t>ΑΟ074891</t>
  </si>
  <si>
    <t>ΠΑΡΟΤΣΙΔΗΣ</t>
  </si>
  <si>
    <t>ΑΑ451995</t>
  </si>
  <si>
    <t>ΑΝ730075</t>
  </si>
  <si>
    <t>ΤΣΟΥΚΑΝΕΛΗ</t>
  </si>
  <si>
    <t>ΑΕ756981</t>
  </si>
  <si>
    <t>ΒΕΡΙΚΑΚΗ</t>
  </si>
  <si>
    <t>ΑΚ480324</t>
  </si>
  <si>
    <t>ΠΑΠΑΝΙΚΟΠΟΥΛΟΥ</t>
  </si>
  <si>
    <t>Σ901210</t>
  </si>
  <si>
    <t>ΑΒ485845</t>
  </si>
  <si>
    <t>ΚΑΚΑΡΟΥΓΚΑ</t>
  </si>
  <si>
    <t>Τ361837</t>
  </si>
  <si>
    <t>ΜΠΑΖΑΚΟΥ</t>
  </si>
  <si>
    <t>ΑΖ821677</t>
  </si>
  <si>
    <t>ΔΗΜΟΥΛΙΑΣ</t>
  </si>
  <si>
    <t>ΑΑ083735</t>
  </si>
  <si>
    <t>ΑΟ308972</t>
  </si>
  <si>
    <t>ΤΑΣΙΑΚΟΥ</t>
  </si>
  <si>
    <t>Χ930899</t>
  </si>
  <si>
    <t>ΚΕΝΤΡΟΥ</t>
  </si>
  <si>
    <t>ΑΕ663406</t>
  </si>
  <si>
    <t>ΑΗ708499</t>
  </si>
  <si>
    <t>Φ211127</t>
  </si>
  <si>
    <t>Τ381525</t>
  </si>
  <si>
    <t>ΑΝ204172</t>
  </si>
  <si>
    <t>ΑΝ713994</t>
  </si>
  <si>
    <t>ΑΕ260031</t>
  </si>
  <si>
    <t>ΜΑΝΤΖΑΡΗΣ</t>
  </si>
  <si>
    <t>ΑΖ329704</t>
  </si>
  <si>
    <t>ΑΜ204515</t>
  </si>
  <si>
    <t>ΖΩΖΩ</t>
  </si>
  <si>
    <t>Χ817417</t>
  </si>
  <si>
    <t>ΚΑΛΕΜΠΟΥΜΠΑ</t>
  </si>
  <si>
    <t>ΑΕ457603</t>
  </si>
  <si>
    <t>ΜΑΑΓΔΑΛΙΝΗ</t>
  </si>
  <si>
    <t>ΑΝ717281</t>
  </si>
  <si>
    <t>ΤΖΑΦΕΡΙΔΗ</t>
  </si>
  <si>
    <t>Χ507961</t>
  </si>
  <si>
    <t>ΑΚ683753</t>
  </si>
  <si>
    <t>ΛΑΝΖΟΝ ΜΙΛΛΕΡ</t>
  </si>
  <si>
    <t>ΜΑΡΙΟΥΤΣΑ</t>
  </si>
  <si>
    <t>ΑΙ763615</t>
  </si>
  <si>
    <t>ΜΕΓΚΟΥ</t>
  </si>
  <si>
    <t>ΑΒ995094</t>
  </si>
  <si>
    <t>ΕΡΜΕΙΔΗΣ</t>
  </si>
  <si>
    <t>Ρ160161</t>
  </si>
  <si>
    <t>ΑΒ008093</t>
  </si>
  <si>
    <t>ΑΞΑΟΠΟΥΛΟΣ</t>
  </si>
  <si>
    <t>Φ356009</t>
  </si>
  <si>
    <t>ΑΜ927244</t>
  </si>
  <si>
    <t>ΤΣΙΡΩΝΑ</t>
  </si>
  <si>
    <t>ΑΜΑΛΙΤΣΑ</t>
  </si>
  <si>
    <t>ΑΜ981524</t>
  </si>
  <si>
    <t>ΛΙΜΠΑΡΗΣ</t>
  </si>
  <si>
    <t>Χ448582</t>
  </si>
  <si>
    <t>ΚΑΙA</t>
  </si>
  <si>
    <t>ΑΗ785857</t>
  </si>
  <si>
    <t>ΑΝ741334</t>
  </si>
  <si>
    <t>ΑΙ175960</t>
  </si>
  <si>
    <t>ΚΑΡΑΚΗ</t>
  </si>
  <si>
    <t>ΑΖ369505</t>
  </si>
  <si>
    <t>ΨΑΡΡΑΣ</t>
  </si>
  <si>
    <t>ΑΕ377278</t>
  </si>
  <si>
    <t>ΧΑΡΜΠΑΣ</t>
  </si>
  <si>
    <t>ΘΕΟΔΩΡΟΣ ΝΕΚΤΑΡΙΟΣ</t>
  </si>
  <si>
    <t>ΑΕ042584</t>
  </si>
  <si>
    <t>ΤΑΟΥΛΑΙ</t>
  </si>
  <si>
    <t>ΒΟΛΑ ΑΓΑΘΗ</t>
  </si>
  <si>
    <t>ΛΑΕΡΝΤΗ</t>
  </si>
  <si>
    <t>ΑΜ542109</t>
  </si>
  <si>
    <t>ΣΑΡΙΚΑΚΗΣ</t>
  </si>
  <si>
    <t>ΑΟ961629</t>
  </si>
  <si>
    <t>ΖΑΡΡΑ</t>
  </si>
  <si>
    <t>ΑΒ619884</t>
  </si>
  <si>
    <t>ΣΤΑΥΡΑΓΓΕΛΟΣ</t>
  </si>
  <si>
    <t>ΑΡ487836</t>
  </si>
  <si>
    <t>Χ442629</t>
  </si>
  <si>
    <t>ΤΡΙΜΠΑΛΗ</t>
  </si>
  <si>
    <t>ΑΕ946721</t>
  </si>
  <si>
    <t>ΑΗ118771</t>
  </si>
  <si>
    <t>ΜΑΓΙΟΥ</t>
  </si>
  <si>
    <t>ΑΗ660061</t>
  </si>
  <si>
    <t>ΠΙΣΣΑ</t>
  </si>
  <si>
    <t>ΑΟ851025</t>
  </si>
  <si>
    <t>Φ314498</t>
  </si>
  <si>
    <t>ΓΚΙΡΕΤΛΗ</t>
  </si>
  <si>
    <t>ΝΕΤΖΜΗ</t>
  </si>
  <si>
    <t>ΑΝ776634</t>
  </si>
  <si>
    <t>ΑΝ902331</t>
  </si>
  <si>
    <t>ΜΑΛΑΝΟΣ</t>
  </si>
  <si>
    <t>Χ469276</t>
  </si>
  <si>
    <t>ΑΝ826936</t>
  </si>
  <si>
    <t>ΑΒ081073</t>
  </si>
  <si>
    <t>ΓΚΙΡΝΗ</t>
  </si>
  <si>
    <t>ΑΗ316274</t>
  </si>
  <si>
    <t>ΘΕΟΦΥΛΑΚΗ</t>
  </si>
  <si>
    <t>ΑΒ110226</t>
  </si>
  <si>
    <t>ΧΟΡΟΖΙΔΗΣ</t>
  </si>
  <si>
    <t>Φ881113</t>
  </si>
  <si>
    <t>ΠΛΑΚΟΥΤΣΗΣ</t>
  </si>
  <si>
    <t>ΘΕΟΚΛΗΤΟΣ</t>
  </si>
  <si>
    <t>ΑΗ087301</t>
  </si>
  <si>
    <t>ΑΜ531364</t>
  </si>
  <si>
    <t>ΣΑΦΑΡΙΔΟΥ</t>
  </si>
  <si>
    <t>ΑΗ674268</t>
  </si>
  <si>
    <t>ΤΑΝΑΝΑΚΗΣ</t>
  </si>
  <si>
    <t>ΑΝ199825</t>
  </si>
  <si>
    <t>ΑΒ039443</t>
  </si>
  <si>
    <t>ΑΜ392973</t>
  </si>
  <si>
    <t>ΑΗ185668</t>
  </si>
  <si>
    <t>ΑΝ744307</t>
  </si>
  <si>
    <t>ΑΝ544236</t>
  </si>
  <si>
    <t>ΜΠΛΙΟΥΜΠΑ</t>
  </si>
  <si>
    <t>ΑΗ268047</t>
  </si>
  <si>
    <t>ΑΟ211924</t>
  </si>
  <si>
    <t>ΑΡ403423</t>
  </si>
  <si>
    <t>ΑΕ010953</t>
  </si>
  <si>
    <t>ΑΑ316334</t>
  </si>
  <si>
    <t>ΣΤΕΦΑΝΗΣ</t>
  </si>
  <si>
    <t>ΑΒ446658</t>
  </si>
  <si>
    <t>ΑΜ848626</t>
  </si>
  <si>
    <t>ΤΣΑΦΑ</t>
  </si>
  <si>
    <t>ΑΝ047106</t>
  </si>
  <si>
    <t>ΑΗ546543</t>
  </si>
  <si>
    <t>ΤΖΗΚΑΛΑΓΙΑ</t>
  </si>
  <si>
    <t>Χ879241</t>
  </si>
  <si>
    <t>ΑΝΔΡΙΩΤΗ</t>
  </si>
  <si>
    <t>ΑΕ930707</t>
  </si>
  <si>
    <t>ΣΤΑΘΟΥΡΑΚΗΣ</t>
  </si>
  <si>
    <t>ΑΒ486043</t>
  </si>
  <si>
    <t>ΑΟ251031</t>
  </si>
  <si>
    <t>ΛΑΓΟΜΙΤΖΗΣ</t>
  </si>
  <si>
    <t>ΑΟ854786</t>
  </si>
  <si>
    <t>ΑΗ954176</t>
  </si>
  <si>
    <t>ΑΝ726811</t>
  </si>
  <si>
    <t>ΑΧΤΣΗ</t>
  </si>
  <si>
    <t>ΑΗ658575</t>
  </si>
  <si>
    <t>ΜΠΕΛΤΣΙΔΗΣ</t>
  </si>
  <si>
    <t>ΑΙ061609</t>
  </si>
  <si>
    <t>ΑΑ376876</t>
  </si>
  <si>
    <t>ΚΑΡΑΜΟΛΕΓΚΟΣ</t>
  </si>
  <si>
    <t>ΑΖ526531</t>
  </si>
  <si>
    <t>ΚΑΛΗ</t>
  </si>
  <si>
    <t>ΑΒ636748</t>
  </si>
  <si>
    <t>Φ347687</t>
  </si>
  <si>
    <t>ΚΟΥΡΤΣΙΔΟΥ</t>
  </si>
  <si>
    <t>ΑΒ356985</t>
  </si>
  <si>
    <t>ΑΕ841269</t>
  </si>
  <si>
    <t>ΜΕΡΑΧΤΣΑΚΗΣ</t>
  </si>
  <si>
    <t>ΑΖ162239</t>
  </si>
  <si>
    <t>ΑΒ387562</t>
  </si>
  <si>
    <t>ΑΙ942784</t>
  </si>
  <si>
    <t>ΝΟΥΤΣΟΣ</t>
  </si>
  <si>
    <t>ΑΗ550471</t>
  </si>
  <si>
    <t>ΜΠΟΥΤΣΗΣ</t>
  </si>
  <si>
    <t>ΑΙ130638</t>
  </si>
  <si>
    <t>ΑΚ795401</t>
  </si>
  <si>
    <t>ΓΙΑΚΟΥΜΟΓΙΑΝΝΑΚΗ</t>
  </si>
  <si>
    <t>ΑΕ973046</t>
  </si>
  <si>
    <t>ΧΡΥΣΑΝΘΑΚΟΠΟΥΛΟΥ</t>
  </si>
  <si>
    <t>ΑΗ703802</t>
  </si>
  <si>
    <t>ΑΕ609390</t>
  </si>
  <si>
    <t>ΚΩΝΣΤΑΝΤΙΝΟΣ ΚΥΡΙΑΚΟΣ</t>
  </si>
  <si>
    <t>ΑΒ342110</t>
  </si>
  <si>
    <t>ΑΙ322493</t>
  </si>
  <si>
    <t>ΑΝΤΩΝΙΑΔΗΣ</t>
  </si>
  <si>
    <t>ΑΒ930666</t>
  </si>
  <si>
    <t>ΑΖ266914</t>
  </si>
  <si>
    <t>ΑΜ177559</t>
  </si>
  <si>
    <t>ΖΩΡΑΚΗ</t>
  </si>
  <si>
    <t>ΑΗ961350</t>
  </si>
  <si>
    <t>ΑΙΚΑΤΕΡΙΝΗ ΚΑΛΛΙΟΠΗ</t>
  </si>
  <si>
    <t>ΑΖ763895</t>
  </si>
  <si>
    <t>ΑΜ909825</t>
  </si>
  <si>
    <t>ΣΠΑΘΑΡΗ</t>
  </si>
  <si>
    <t>ΑΙ046305</t>
  </si>
  <si>
    <t>ΠΑΠΑΡΕΝΤΗΣ</t>
  </si>
  <si>
    <t>ΑΗ831278</t>
  </si>
  <si>
    <t>ΜΑΛΑΜΑΚΗΣ</t>
  </si>
  <si>
    <t>ΑΚ015028</t>
  </si>
  <si>
    <t>ΓΕΩΡΓΑ</t>
  </si>
  <si>
    <t>ΑΖ018610</t>
  </si>
  <si>
    <t>ΤΣΙΑΤΣΙΜΑ</t>
  </si>
  <si>
    <t>ΑΒ555600</t>
  </si>
  <si>
    <t>ΑΝ804758</t>
  </si>
  <si>
    <t>ΑΖ527449</t>
  </si>
  <si>
    <t>ΑΖ235413</t>
  </si>
  <si>
    <t>ΑΗ889323</t>
  </si>
  <si>
    <t>ΠΝΑΚΑ</t>
  </si>
  <si>
    <t>ΑΗ713624</t>
  </si>
  <si>
    <t>ΑΖ189316</t>
  </si>
  <si>
    <t>ΑΙ844054</t>
  </si>
  <si>
    <t>ΤΑΤΛΑ</t>
  </si>
  <si>
    <t>ΑΚ616160</t>
  </si>
  <si>
    <t>ΑΗ919553</t>
  </si>
  <si>
    <t>ΜΕΛΙΓΚΩΝΗ</t>
  </si>
  <si>
    <t>ΑΙ064189</t>
  </si>
  <si>
    <t>ΑΝ226923</t>
  </si>
  <si>
    <t>ΑΗ294298</t>
  </si>
  <si>
    <t>ΑΗ701188</t>
  </si>
  <si>
    <t>ΓΚΙΛΙΡΗ</t>
  </si>
  <si>
    <t>ΑΚ940938</t>
  </si>
  <si>
    <t>ΑΚ893626</t>
  </si>
  <si>
    <t>ΣΥΝΟΛΑΚΗ</t>
  </si>
  <si>
    <t>ΑΖ972630</t>
  </si>
  <si>
    <t>ΚΑΣΤΕΛΛΑΚΗ</t>
  </si>
  <si>
    <t>ΑΑ373513</t>
  </si>
  <si>
    <t>ΑΒ836400</t>
  </si>
  <si>
    <t>ΑΑ385895</t>
  </si>
  <si>
    <t>ΓΚΥΖΕΛΗ</t>
  </si>
  <si>
    <t>ΑΗ213434</t>
  </si>
  <si>
    <t>ΑΑ047911</t>
  </si>
  <si>
    <t>ΑΖ222396</t>
  </si>
  <si>
    <t>ΜΟΡΦΗΣ</t>
  </si>
  <si>
    <t>ΑΒ308219</t>
  </si>
  <si>
    <t>ΠΑΠΟΥΚΟΓΛΟΥ</t>
  </si>
  <si>
    <t>ΑΚ091278</t>
  </si>
  <si>
    <t>ΦΑΚΗ</t>
  </si>
  <si>
    <t>ΑΝ736591</t>
  </si>
  <si>
    <t>ΧΡΙΣΟΔΟΥΛΟΣ</t>
  </si>
  <si>
    <t>ΑΖ467916</t>
  </si>
  <si>
    <t>ΜΟΥΣΚΕΦΤΑΡΑΣ</t>
  </si>
  <si>
    <t>ΑΒ118016</t>
  </si>
  <si>
    <t>ΣΤΑΥΡΟΥΛΑ ΗΛΙΑΝΑ</t>
  </si>
  <si>
    <t>ΑΗ429095</t>
  </si>
  <si>
    <t>ΒΛΑΣΣΗΣ</t>
  </si>
  <si>
    <t>Χ216994</t>
  </si>
  <si>
    <t>ΑΗ814834</t>
  </si>
  <si>
    <t>ΑΜ730211</t>
  </si>
  <si>
    <t>ΣΚΑΝΙΚΑ</t>
  </si>
  <si>
    <t>ΑΒ832904</t>
  </si>
  <si>
    <t>ΑΑ078241</t>
  </si>
  <si>
    <t>ΜΑΡΑΝΤΙΔΟΥ</t>
  </si>
  <si>
    <t>ΜΑΡΚΕΛΑ</t>
  </si>
  <si>
    <t>ΑΗ304178</t>
  </si>
  <si>
    <t>ΑΟ340587</t>
  </si>
  <si>
    <t>ΝΙΚΟΛΕΤΑ ΚΑΛΛΙΟΠΗ</t>
  </si>
  <si>
    <t>ΓΕΩΡΓΙΟΣ ΕΥΡΙΠΙΔΗΣ</t>
  </si>
  <si>
    <t>ΑΖ683290</t>
  </si>
  <si>
    <t>ΠΑΝΤΙΕΡΑ</t>
  </si>
  <si>
    <t>Ρ807024</t>
  </si>
  <si>
    <t>ΑΗ808969</t>
  </si>
  <si>
    <t>ΚΙΟΡΟΓΛΟΥ</t>
  </si>
  <si>
    <t>ΑΖ391054</t>
  </si>
  <si>
    <t>ΚΛΑΔΟΥΧΟΥ</t>
  </si>
  <si>
    <t>ΑΓΓΕΛΙΝΑ ΓΕΩΡΓΙΑ</t>
  </si>
  <si>
    <t>ΑΒ404041</t>
  </si>
  <si>
    <t>ΤΖΕΛΑΤΗ</t>
  </si>
  <si>
    <t>Σ331854</t>
  </si>
  <si>
    <t>ΑΙ397579</t>
  </si>
  <si>
    <t>ΣΓΟΥΡΙΔΗ</t>
  </si>
  <si>
    <t>ΑΚ041098</t>
  </si>
  <si>
    <t>ΑΙ714095</t>
  </si>
  <si>
    <t>ΑΚ485329</t>
  </si>
  <si>
    <t>ΜΑΤΖΑΒΙΝΟΥ</t>
  </si>
  <si>
    <t>ΑΙ307817</t>
  </si>
  <si>
    <t>ΣΑΜΠΑΝΗΣ</t>
  </si>
  <si>
    <t>ΑΜ776538</t>
  </si>
  <si>
    <t>ΑΙ319602</t>
  </si>
  <si>
    <t>ΜΗΤΣΟΓΙΑΝΝΗ</t>
  </si>
  <si>
    <t>ΑΚ929240</t>
  </si>
  <si>
    <t>ΑΚ964751</t>
  </si>
  <si>
    <t>ΑΖ714820</t>
  </si>
  <si>
    <t>ΑΝ796134</t>
  </si>
  <si>
    <t>ΓΡΑΜΜΕΝΗ</t>
  </si>
  <si>
    <t>Χ259176</t>
  </si>
  <si>
    <t>ΑΝ743325</t>
  </si>
  <si>
    <t>ΞΑΝΘΑΚΗ</t>
  </si>
  <si>
    <t>Χ294382</t>
  </si>
  <si>
    <t>ΑΝΘΙΤΣΗ</t>
  </si>
  <si>
    <t>ΑΜ421305</t>
  </si>
  <si>
    <t>ΑΖ325863</t>
  </si>
  <si>
    <t>Μ126354</t>
  </si>
  <si>
    <t>Φ316179</t>
  </si>
  <si>
    <t>ΚΑΛΛΙΓΕΡΗ</t>
  </si>
  <si>
    <t>ΑΑ350639</t>
  </si>
  <si>
    <t>ΑΟ734528</t>
  </si>
  <si>
    <t>ΑΙ348129</t>
  </si>
  <si>
    <t>ΒΑΚΟΥΦΤΣΗ</t>
  </si>
  <si>
    <t>ΑΙ851473</t>
  </si>
  <si>
    <t>ΑΕ878776</t>
  </si>
  <si>
    <t>ΜΗΤΣΙΩΤΗ</t>
  </si>
  <si>
    <t>ΑΜ880195</t>
  </si>
  <si>
    <t>Χ767509</t>
  </si>
  <si>
    <t>ΖΙΓΚΟΛΗ</t>
  </si>
  <si>
    <t>ΑΖ192559</t>
  </si>
  <si>
    <t>ΦΡΑΓΚΑΚΗΣ</t>
  </si>
  <si>
    <t>ΑΖ069057</t>
  </si>
  <si>
    <t>Φ144365</t>
  </si>
  <si>
    <t>ΑΒΔΟΥΛΑ</t>
  </si>
  <si>
    <t>ΑΗ766127</t>
  </si>
  <si>
    <t>ΒΑΛΕΡΙΟΣ</t>
  </si>
  <si>
    <t>ΑΒ857580</t>
  </si>
  <si>
    <t>ΘΕΟΔΩΡΑΚΙΔΟΥ</t>
  </si>
  <si>
    <t>ΑΟ207929</t>
  </si>
  <si>
    <t>ΣΟΧΤΑΡΟΠΟΥΛΟΥ</t>
  </si>
  <si>
    <t>ΑΖ404490</t>
  </si>
  <si>
    <t>ΚΟΝΤΟΜΑΝΟΥ</t>
  </si>
  <si>
    <t>ΑΗ761677</t>
  </si>
  <si>
    <t>ΛΑΝΔΡΙΤΣΗ ΑΝΔΡΙΤΣΗ</t>
  </si>
  <si>
    <t>ΒΙΚΕΝΤΙΟΣ ΔΗΜΗΤΡΙΟΣ</t>
  </si>
  <si>
    <t>Χ296590</t>
  </si>
  <si>
    <t>ΖΑΡΜΠΟΥΤΗ</t>
  </si>
  <si>
    <t>ΑΙ982859</t>
  </si>
  <si>
    <t>ΑΜ757949</t>
  </si>
  <si>
    <t>ΖΑΧΑΡΙΑΔΗ</t>
  </si>
  <si>
    <t>ΑΚ081798</t>
  </si>
  <si>
    <t>ΑΖ060713</t>
  </si>
  <si>
    <t>ΛΥΡΗΣ ΛΥΡΙΣΤΗΣ</t>
  </si>
  <si>
    <t>ΑΗ605511</t>
  </si>
  <si>
    <t>Σ922942</t>
  </si>
  <si>
    <t>ΚΥΡΙΑΚΛΕΙΔΗΣ</t>
  </si>
  <si>
    <t>ΑΒ582523</t>
  </si>
  <si>
    <t>ΟΣΙΠΙΔΗ</t>
  </si>
  <si>
    <t>ΑΙ707615</t>
  </si>
  <si>
    <t>TSENEKIDIS</t>
  </si>
  <si>
    <t>ALEXANDROS</t>
  </si>
  <si>
    <t>LAZAROS</t>
  </si>
  <si>
    <t>ΑΗ390735</t>
  </si>
  <si>
    <t>ΑΗ874399</t>
  </si>
  <si>
    <t>ΑΕ300465</t>
  </si>
  <si>
    <t>ΑΙ375159</t>
  </si>
  <si>
    <t>ΤΖΙΟΥΒΑΡΑ</t>
  </si>
  <si>
    <t>Σ950895</t>
  </si>
  <si>
    <t>ΑΚ967641</t>
  </si>
  <si>
    <t>ΜΗΤΑΚΙΔΟΥ</t>
  </si>
  <si>
    <t>ΑΖ804703</t>
  </si>
  <si>
    <t>ΑΖ731138</t>
  </si>
  <si>
    <t>ΚΑΠΕΣΙΔΟΥ</t>
  </si>
  <si>
    <t>ΑΝ389892</t>
  </si>
  <si>
    <t>ΑΙ477982</t>
  </si>
  <si>
    <t>ΑΗ318963</t>
  </si>
  <si>
    <t>ΣΚΟΥΦΑΣ</t>
  </si>
  <si>
    <t>ΑΗ981642</t>
  </si>
  <si>
    <t>ΑΕ613106</t>
  </si>
  <si>
    <t>ΕΒΕΛΙΝ ΔΗΜΗΤΡΑ</t>
  </si>
  <si>
    <t>ΑΗ194413</t>
  </si>
  <si>
    <t>ΚΟΥΛΟΥΛΙΑ</t>
  </si>
  <si>
    <t>ΑΙ609831</t>
  </si>
  <si>
    <t>Χ659370</t>
  </si>
  <si>
    <t>ΑΑ431270</t>
  </si>
  <si>
    <t>ΑΝ285457</t>
  </si>
  <si>
    <t>ΑΙ901412</t>
  </si>
  <si>
    <t>ΒΛΑΝΔΟΥ</t>
  </si>
  <si>
    <t>Χ410486</t>
  </si>
  <si>
    <t>ΝΙΚΟΛΑΚΑΚΗΣ</t>
  </si>
  <si>
    <t>ΑΙ463109</t>
  </si>
  <si>
    <t>ΤΣΑΠΑΡΕΛΗ</t>
  </si>
  <si>
    <t>Χ147639</t>
  </si>
  <si>
    <t>ΑΖ659657</t>
  </si>
  <si>
    <t>ΠΑΛΑΙΟΛΟΓΟΠΟΥΛΟΥ</t>
  </si>
  <si>
    <t>ΑΖ705365</t>
  </si>
  <si>
    <t>ΑΜ051359</t>
  </si>
  <si>
    <t>ΑΗ180636</t>
  </si>
  <si>
    <t>ΛΙΟΥΠΗ</t>
  </si>
  <si>
    <t>ΑΗ766861</t>
  </si>
  <si>
    <t>ΑΙ850881</t>
  </si>
  <si>
    <t>ΑΗ209840</t>
  </si>
  <si>
    <t>ΚΕΛΟΓΛΟΥ</t>
  </si>
  <si>
    <t>Φ172363</t>
  </si>
  <si>
    <t>ΑΖ720375</t>
  </si>
  <si>
    <t>ΒΙΒΙΛΑΚΗ</t>
  </si>
  <si>
    <t>ΑΜ972779</t>
  </si>
  <si>
    <t>ΑΖ481805</t>
  </si>
  <si>
    <t>ΔΕΛΗΦΩΤΑΚΗ</t>
  </si>
  <si>
    <t>ΑΙ715481</t>
  </si>
  <si>
    <t>Σ541252</t>
  </si>
  <si>
    <t>ΑΗ767863</t>
  </si>
  <si>
    <t>TATARASANU</t>
  </si>
  <si>
    <t>SORINA ALICE</t>
  </si>
  <si>
    <t>SORIN</t>
  </si>
  <si>
    <t>ΧΤ890993</t>
  </si>
  <si>
    <t>ΤΡΙΑΝΤΑΦΥΛΛΑΚΗΣ</t>
  </si>
  <si>
    <t>ΑΘΑΝΑΣΙΟΣ ΠΑΡΑΣΚΕΥΑΣ</t>
  </si>
  <si>
    <t>ΑΙ776179</t>
  </si>
  <si>
    <t>Χ795312</t>
  </si>
  <si>
    <t>ΓΙΑΜΟΥΡΗ</t>
  </si>
  <si>
    <t>ΑΑ421785</t>
  </si>
  <si>
    <t>ΧΡΥΣΑΦΕΝΕΙΑ</t>
  </si>
  <si>
    <t>ΑΗ332268</t>
  </si>
  <si>
    <t>Χ296270</t>
  </si>
  <si>
    <t>ΣΟΥΡΜΕΝΙΔΗΣ</t>
  </si>
  <si>
    <t>ΑΙ306418</t>
  </si>
  <si>
    <t>ΑΡΑΘΩΜΑ</t>
  </si>
  <si>
    <t>ΑΚ746778</t>
  </si>
  <si>
    <t>ΣΠΕΡΕΛΑΚΗ</t>
  </si>
  <si>
    <t>ΑΗ083485</t>
  </si>
  <si>
    <t>ΑΚ083402</t>
  </si>
  <si>
    <t>ΜΠΗΝΤΟΥ</t>
  </si>
  <si>
    <t>ΑΜ886753</t>
  </si>
  <si>
    <t>ΑΒ791294</t>
  </si>
  <si>
    <t>ΑΕ209126</t>
  </si>
  <si>
    <t>ΓΙΑΝΝΙΚΗ</t>
  </si>
  <si>
    <t>ΑΖ886472</t>
  </si>
  <si>
    <t>ΑΗ058998</t>
  </si>
  <si>
    <t>ΧΑΜΗΛΟΣ</t>
  </si>
  <si>
    <t>ΑΑ008576</t>
  </si>
  <si>
    <t>ΑΜ977653</t>
  </si>
  <si>
    <t>ΔΑΒΙΤΙΔΟΥ</t>
  </si>
  <si>
    <t>ΑΖ323246</t>
  </si>
  <si>
    <t>ΝΙΚΟΛΙΤΣΑΣ</t>
  </si>
  <si>
    <t>ΑΖ234580</t>
  </si>
  <si>
    <t>ΚΟΥΚΗΣ</t>
  </si>
  <si>
    <t>ΑΚ443792</t>
  </si>
  <si>
    <t>ΑΡΕΛΑΚΗ</t>
  </si>
  <si>
    <t>ΑΒ748949</t>
  </si>
  <si>
    <t>ΚΩΝΣΤΑΝΤΙΝΑ ΤΑΤΙΑΝΑ</t>
  </si>
  <si>
    <t>ΑΙ299040</t>
  </si>
  <si>
    <t>ΠΑΝΤΣΗ</t>
  </si>
  <si>
    <t>ΠΩΛΙΝΑ ΚΥΡΑΝΝΑ</t>
  </si>
  <si>
    <t>ΑΙ165843</t>
  </si>
  <si>
    <t>ΚΑΣΤΑΜΟΝΙΤΗ</t>
  </si>
  <si>
    <t>ΜΑΡΙΑ ΙΣΑΒΕΛΛΑ</t>
  </si>
  <si>
    <t>ΑΒ819553</t>
  </si>
  <si>
    <t>ΑΒ222304</t>
  </si>
  <si>
    <t>ΑΖ766033</t>
  </si>
  <si>
    <t>ΔΑΝΑΗ ΣΤΑΥΡΟΥΛΑ</t>
  </si>
  <si>
    <t>ΑΕ266760</t>
  </si>
  <si>
    <t>Χ886408</t>
  </si>
  <si>
    <t>ΜΟΝΙΝΑ</t>
  </si>
  <si>
    <t>IΩΑΝΝΑ ΜΑΡΙΑ</t>
  </si>
  <si>
    <t>ΑΑ067336</t>
  </si>
  <si>
    <t>Α0885988</t>
  </si>
  <si>
    <t>Χ335345</t>
  </si>
  <si>
    <t>ΑΗ860714</t>
  </si>
  <si>
    <t>ΑΡ285762</t>
  </si>
  <si>
    <t>ΨΕΙΡΟΠΟΥΛΟΥ</t>
  </si>
  <si>
    <t>ΡΙΖΟΣ</t>
  </si>
  <si>
    <t>ΑΗ475541</t>
  </si>
  <si>
    <t>ΦΟΥΤΣΟΓΛΟΥ</t>
  </si>
  <si>
    <t>ΑΝ339017</t>
  </si>
  <si>
    <t>ΑΗ716157</t>
  </si>
  <si>
    <t>ΑΙ547289</t>
  </si>
  <si>
    <t>ΜΕΜΟ</t>
  </si>
  <si>
    <t>ΜΑΡΣΙΝΤΑ</t>
  </si>
  <si>
    <t>ΦΑΤΟΣ</t>
  </si>
  <si>
    <t>ΑΜ902409</t>
  </si>
  <si>
    <t>ΒΛΑΣΑΚΙΔΟΥ</t>
  </si>
  <si>
    <t>ΑΗ337667</t>
  </si>
  <si>
    <t>ΑΒ383745</t>
  </si>
  <si>
    <t>ΛΑΓΟΥΒΑΡΔΟΥ</t>
  </si>
  <si>
    <t>ΚΑΡΑΝΙΚΑΣ</t>
  </si>
  <si>
    <t>ΑΖ767946</t>
  </si>
  <si>
    <t>ΜΟΥΣΤΑΚΙΔΟΥ</t>
  </si>
  <si>
    <t>ΣΟΥΣΣΑΝΑ</t>
  </si>
  <si>
    <t>Φ114237</t>
  </si>
  <si>
    <t>ΑΝ814800</t>
  </si>
  <si>
    <t>ΣΟΥΛΑΚΗΣ</t>
  </si>
  <si>
    <t>ΑΗ281767</t>
  </si>
  <si>
    <t>ΑΙΒΑΛΙΩΤΗΣ</t>
  </si>
  <si>
    <t>ΑΖ394060</t>
  </si>
  <si>
    <t>ΓΕΡΑΚΙΑΝΑΚΗ</t>
  </si>
  <si>
    <t>ΑΖ466661</t>
  </si>
  <si>
    <t>ΚΥΡΟΔΗΜΟΥ</t>
  </si>
  <si>
    <t>ΑΖ480676</t>
  </si>
  <si>
    <t>ΣΚΑΦΤΟΥΡΟΥ</t>
  </si>
  <si>
    <t>ΑΙ537176</t>
  </si>
  <si>
    <t>ΤΖΑΒΑΡΑΣ</t>
  </si>
  <si>
    <t>ΑΑ767975</t>
  </si>
  <si>
    <t>ΜΑΛΙΟΥΣΗΣ</t>
  </si>
  <si>
    <t>ΑΒ440398</t>
  </si>
  <si>
    <t>ΖΑΧΟΠΟΥΛΟΥ</t>
  </si>
  <si>
    <t>ΑΗ178402</t>
  </si>
  <si>
    <t>ΑΙ161147</t>
  </si>
  <si>
    <t>ΚΡΑΙΑΣ</t>
  </si>
  <si>
    <t>ΑΟ370653</t>
  </si>
  <si>
    <t>ΛΑΣΚΑΡΙΔΟΥ</t>
  </si>
  <si>
    <t>ΑΗ547881</t>
  </si>
  <si>
    <t>ΑΟ797362</t>
  </si>
  <si>
    <t>Τ240850</t>
  </si>
  <si>
    <t>ΑΖ663885</t>
  </si>
  <si>
    <t>ΑΟ278245</t>
  </si>
  <si>
    <t>ΑΚ932302</t>
  </si>
  <si>
    <t>ΑΓΚΟ</t>
  </si>
  <si>
    <t>ΤΟΥΛΗΝ</t>
  </si>
  <si>
    <t>ΑΡ285802</t>
  </si>
  <si>
    <t>ΑΗ703519</t>
  </si>
  <si>
    <t>ΛΥΡΗ</t>
  </si>
  <si>
    <t>ΑΙ063649</t>
  </si>
  <si>
    <t>ΑΙ711290</t>
  </si>
  <si>
    <t>ΑΝ507040</t>
  </si>
  <si>
    <t>ΠΑΠΑΦΩΤΟΠΟΥΛΟΣ</t>
  </si>
  <si>
    <t>ΑΑ114249</t>
  </si>
  <si>
    <t>ΑΒ199306</t>
  </si>
  <si>
    <t>ΜΑΛΑΠΑΝΗ</t>
  </si>
  <si>
    <t>Χ437390</t>
  </si>
  <si>
    <t>ΑΖ993667</t>
  </si>
  <si>
    <t>ΓΚΙΤΣΙΟΥ</t>
  </si>
  <si>
    <t>ΘΕΟΔΩΤΑ</t>
  </si>
  <si>
    <t>ΑΖ796075</t>
  </si>
  <si>
    <t>ΠΑΣΑΛΙΔΟΥ</t>
  </si>
  <si>
    <t>ΑΚ437805</t>
  </si>
  <si>
    <t>ΠΑΛΙΟΥ</t>
  </si>
  <si>
    <t>ΑΟ770626</t>
  </si>
  <si>
    <t>ΑΝ243716</t>
  </si>
  <si>
    <t>ΑΝ503924</t>
  </si>
  <si>
    <t>ΖΑΡΟΥΛΑ</t>
  </si>
  <si>
    <t>ΑΗ285839</t>
  </si>
  <si>
    <t>ΒΑΣΑΚΟΣ</t>
  </si>
  <si>
    <t>ΑΗ195821</t>
  </si>
  <si>
    <t>ΧΙΣΑ</t>
  </si>
  <si>
    <t>ΣΠΙΡΟ</t>
  </si>
  <si>
    <t>ΑΜ882715</t>
  </si>
  <si>
    <t>ΑΡ340124</t>
  </si>
  <si>
    <t>ΑΥΔΗ</t>
  </si>
  <si>
    <t>ΑΖ242354</t>
  </si>
  <si>
    <t>ΚΑΛΙΤΣΙΟΥ</t>
  </si>
  <si>
    <t>ΑΙ328011</t>
  </si>
  <si>
    <t>Χ539730</t>
  </si>
  <si>
    <t>Χ776722</t>
  </si>
  <si>
    <t>ΑΙ717411</t>
  </si>
  <si>
    <t>ΑΙ782444</t>
  </si>
  <si>
    <t>ΝΓΚΡΕΚΑΜΠΑ ΤΡΙΚΟΥΠΗΣ</t>
  </si>
  <si>
    <t>ΒΑΣΙΛΕΙΟΣ ΚΛΕΜΑΝ</t>
  </si>
  <si>
    <t>ΑΑ226358</t>
  </si>
  <si>
    <t>ΤΖΑΡΤΟΥ</t>
  </si>
  <si>
    <t>ΑΜ293515</t>
  </si>
  <si>
    <t>ΑΗ337622</t>
  </si>
  <si>
    <t>ΚΟΥΤΣΟΥΡΕΛΗΣ</t>
  </si>
  <si>
    <t>ΝΙΚΟΛΑΟΣ ΧΡΥΣΟΣΤΟΜΟΣ</t>
  </si>
  <si>
    <t>ΑΜ175457</t>
  </si>
  <si>
    <t>ΑΙ859934</t>
  </si>
  <si>
    <t>ΜΑΥΡΑΝΤΖΑ</t>
  </si>
  <si>
    <t>ΑΝ916318</t>
  </si>
  <si>
    <t>ΚΟΥΡΝΗ</t>
  </si>
  <si>
    <t>ΑΖ990701</t>
  </si>
  <si>
    <t>ΒΡΑΝΟΠΟΥΛΟΣ</t>
  </si>
  <si>
    <t>ΑΒ984767</t>
  </si>
  <si>
    <t>ΣΙΤΟΚΩΝΣΤΑΝΤΙΝΟΥ</t>
  </si>
  <si>
    <t>ΑΙ822260</t>
  </si>
  <si>
    <t>ΑΖ220671</t>
  </si>
  <si>
    <t>ΑΝΔΡΩΝΗΣ</t>
  </si>
  <si>
    <t>ΑΕ753890</t>
  </si>
  <si>
    <t>ΤΟΥΡΚΟΧΩΡΙΤΗ</t>
  </si>
  <si>
    <t>ΑΝ553351</t>
  </si>
  <si>
    <t>ΚΑΜΑΤΕΡΟΥ</t>
  </si>
  <si>
    <t>Χ651596</t>
  </si>
  <si>
    <t>ΣΙΩΠΗΣ</t>
  </si>
  <si>
    <t>ΑΚ379144</t>
  </si>
  <si>
    <t>ΔΙΑΜΑΝΤΟΠΟΥΛΟΣ</t>
  </si>
  <si>
    <t>ΑΚ093365</t>
  </si>
  <si>
    <t>ΜΗΣΙΟΥ</t>
  </si>
  <si>
    <t>ΚΥΠΑΡΙΣΙΑ</t>
  </si>
  <si>
    <t>ΑΕ867501</t>
  </si>
  <si>
    <t>ΑΗ430611</t>
  </si>
  <si>
    <t>ΔΑΛΑΚΑ</t>
  </si>
  <si>
    <t>ΑΚ519681</t>
  </si>
  <si>
    <t>ΤΙΝΤΩΝΗ</t>
  </si>
  <si>
    <t xml:space="preserve">ΑΡΓΥΡΩ ΗΡΩ </t>
  </si>
  <si>
    <t>ΖΟΥΡΟΥ</t>
  </si>
  <si>
    <t>ΑΜ246921</t>
  </si>
  <si>
    <t>ΑΖ942043</t>
  </si>
  <si>
    <t>ΚΟΡΩΝΕΛΛΟΣ</t>
  </si>
  <si>
    <t>ΑΗ621856</t>
  </si>
  <si>
    <t>ΜΠΕΚΥΡΑΣ</t>
  </si>
  <si>
    <t>ΑΜ146898</t>
  </si>
  <si>
    <t>ΝΕΔΕΛΤΣΟΣ</t>
  </si>
  <si>
    <t>Φ420538</t>
  </si>
  <si>
    <t>ΑΙ514898</t>
  </si>
  <si>
    <t>ΕΜΜΑΝΟΥΗ</t>
  </si>
  <si>
    <t>ΑΙ940540</t>
  </si>
  <si>
    <t>ΠΕ29 ΕΡΓΑΣΙΟΘΕΡΑΠΕΥΤΩΝ-ΕΡΓΟΘΕΡΑΠΕΥΤΩΝ (ΘΕΣΗ 106)</t>
  </si>
  <si>
    <t>ΜΑΡΙΑ ΛΥΔΙΑ</t>
  </si>
  <si>
    <t>ΑΝ877501</t>
  </si>
  <si>
    <t>ΑΟ472268</t>
  </si>
  <si>
    <t>ΛΕΚΑΝΙΔΟΥ</t>
  </si>
  <si>
    <t>ΑΡ386456</t>
  </si>
  <si>
    <t>ΑΙ094562</t>
  </si>
  <si>
    <t>ΑΝΘΙΜΟΣ</t>
  </si>
  <si>
    <t>ΑΚ464991</t>
  </si>
  <si>
    <t>ΣΑΚΕΛΛΑΡΙΔΟΥ</t>
  </si>
  <si>
    <t>ΑΖ043758</t>
  </si>
  <si>
    <t>ΓΑΛΛΙΟΥ</t>
  </si>
  <si>
    <t>ΑΖ080602</t>
  </si>
  <si>
    <t>ΑΗ238305</t>
  </si>
  <si>
    <t>ΑΚ573395</t>
  </si>
  <si>
    <t>ΚΟΥΦΑΝΤΩΝΗ</t>
  </si>
  <si>
    <t>Χ198694</t>
  </si>
  <si>
    <t>ΠΑΝΑΓΗ</t>
  </si>
  <si>
    <t>ΑΗ262486</t>
  </si>
  <si>
    <t>ΡΟΡΡΗ</t>
  </si>
  <si>
    <t>ΑΟ868684</t>
  </si>
  <si>
    <t>ΑΟ055774</t>
  </si>
  <si>
    <t>ΜΠΕΤΣΑΚΟΥ</t>
  </si>
  <si>
    <t>ΑΚ014329</t>
  </si>
  <si>
    <t>ΜΗΝΕΤΑ</t>
  </si>
  <si>
    <t>ΑΝ530678</t>
  </si>
  <si>
    <t>ΑΑ057398</t>
  </si>
  <si>
    <t>ΧΑΡΤΙΟΣ</t>
  </si>
  <si>
    <t>ΑΕ114975</t>
  </si>
  <si>
    <t>ΣΤΡΙΓΓΑΡΗ</t>
  </si>
  <si>
    <t>ΑΒ273550</t>
  </si>
  <si>
    <t>ΑΑ768530</t>
  </si>
  <si>
    <t>ΠΟΥΛΓΟΥΡΑ</t>
  </si>
  <si>
    <t>ΑΕ108900</t>
  </si>
  <si>
    <t>ΔΑΒΡΑΔΟΥ</t>
  </si>
  <si>
    <t>ΑΚ713954</t>
  </si>
  <si>
    <t>ΑΒ599616</t>
  </si>
  <si>
    <t>ΜΠΟΥΣΔΟΥΝΗ</t>
  </si>
  <si>
    <t>ΝΙΚΟΛΕΤΤΑ ΕΛΠΙΔΑ</t>
  </si>
  <si>
    <t>ΑΖ116387</t>
  </si>
  <si>
    <t>ΚΟΥΤΣΑΝΤΩΝΗ</t>
  </si>
  <si>
    <t>ΑΕ427446</t>
  </si>
  <si>
    <t>ΤΡΑΧΑΝΗ</t>
  </si>
  <si>
    <t>ΑΙ321927</t>
  </si>
  <si>
    <t>ΠΟΤΣΙΚΑ</t>
  </si>
  <si>
    <t>ΑΡ056168</t>
  </si>
  <si>
    <t>ΠΑΝΤΑΖΑΤΟΣ</t>
  </si>
  <si>
    <t>ΑΜ018432</t>
  </si>
  <si>
    <t>ΣΙΣΑΜΠΕΡΗ</t>
  </si>
  <si>
    <t>ΑΖ405384</t>
  </si>
  <si>
    <t>ΑΡ363004</t>
  </si>
  <si>
    <t>ΑΖ548085</t>
  </si>
  <si>
    <t>ΚΩΣΤΑΡΑ</t>
  </si>
  <si>
    <t>Τ153641</t>
  </si>
  <si>
    <t>ΚΑΨΑΛΑΚΗΣ</t>
  </si>
  <si>
    <t>ΑΟ011755</t>
  </si>
  <si>
    <t>ΑΚ812218</t>
  </si>
  <si>
    <t>ΑΝ095872</t>
  </si>
  <si>
    <t>ΓΙΑΛΥΨΟΥ</t>
  </si>
  <si>
    <t>ΓΕΩΡΓΙΟΣ ΚΩΝΣΤΑΝΤΙΝΟΣ</t>
  </si>
  <si>
    <t>ΑΑ396879</t>
  </si>
  <si>
    <t>ΣΑΧΤΟΥΡΗ</t>
  </si>
  <si>
    <t>ΑΖ932571</t>
  </si>
  <si>
    <t>ΤΑΥΡΗ ΝΤΕΓΙΑΝΝΗ</t>
  </si>
  <si>
    <t>ΑΒ195729</t>
  </si>
  <si>
    <t>ΚΙΝΤΗ</t>
  </si>
  <si>
    <t>ΑΟ110614</t>
  </si>
  <si>
    <t xml:space="preserve">ΗΛΕΚΤΡΑ ΕΛΕΝΗ </t>
  </si>
  <si>
    <t>ΑΚ619910</t>
  </si>
  <si>
    <t>ΑΟ127159</t>
  </si>
  <si>
    <t>ΔΕΚΑΡΙΣΤΟΥ</t>
  </si>
  <si>
    <t>ΜΙΧΑΗΛ ΚΩΝΣΤΑΝΤΙΝΟΣ</t>
  </si>
  <si>
    <t>ΑΝ011635</t>
  </si>
  <si>
    <t>ΑΗ284023</t>
  </si>
  <si>
    <t>Ρ976397</t>
  </si>
  <si>
    <t>ΑΚ477699</t>
  </si>
  <si>
    <t>ΑΗ323304</t>
  </si>
  <si>
    <t>ΧΑΖΑΠΗ</t>
  </si>
  <si>
    <t>ΑΡ071576</t>
  </si>
  <si>
    <t>ΚΑΤΣΑΜΑΓΚΟΥ</t>
  </si>
  <si>
    <t>ΑΙ484261</t>
  </si>
  <si>
    <t>ΜΠΑΜΠΛΑ</t>
  </si>
  <si>
    <t>ΑΟ569262</t>
  </si>
  <si>
    <t>ΑΟ502968</t>
  </si>
  <si>
    <t>ΒΥΔΡΑ</t>
  </si>
  <si>
    <t>ΑΒ691077</t>
  </si>
  <si>
    <t>Ρ557411</t>
  </si>
  <si>
    <t>Χ938746</t>
  </si>
  <si>
    <t>ΚΙΟΒΡΕΚΗ</t>
  </si>
  <si>
    <t>ΑΑ119903</t>
  </si>
  <si>
    <t>ΣΩΠΙΑΔΟΥ</t>
  </si>
  <si>
    <t>ΓΚΙΤΕΡΣΟΥ</t>
  </si>
  <si>
    <t>ΑΙ511892</t>
  </si>
  <si>
    <t>ΓΚΟΥΝΤΑΝΗ</t>
  </si>
  <si>
    <t>ΑΕ511737</t>
  </si>
  <si>
    <t>ΣΤΕΦΑΝΙΑ ΔΕΣΠΟΙΝΑ</t>
  </si>
  <si>
    <t>ΑΙ307941</t>
  </si>
  <si>
    <t>ΑΕ458907</t>
  </si>
  <si>
    <t>ΑΚ687324</t>
  </si>
  <si>
    <t>ΤΣΕΚΙΤΣΙΔΗ</t>
  </si>
  <si>
    <t>ΜΑΛΑΜΑΤΕΝΙΑ ΜΑΡΙΑ</t>
  </si>
  <si>
    <t>ΑΙ302799</t>
  </si>
  <si>
    <t>ΑΒ781484</t>
  </si>
  <si>
    <t>ΠΡΙΑΖΗΣ</t>
  </si>
  <si>
    <t>ΑΗ123768</t>
  </si>
  <si>
    <t>ΚΕΡΑΜΤΖΗ</t>
  </si>
  <si>
    <t>ΑΟ149570</t>
  </si>
  <si>
    <t>ΕΠΑΜΕΙΝΩΝΔΑΣ ΔΙΟΝΥΣΙΟΣ</t>
  </si>
  <si>
    <t>ΑΝ599171</t>
  </si>
  <si>
    <t>ΑΝ223322</t>
  </si>
  <si>
    <t>ΑΒ036683</t>
  </si>
  <si>
    <t>ΑΒ906829</t>
  </si>
  <si>
    <t>ΜΠΟΤΣΗΣ</t>
  </si>
  <si>
    <t>ΑΖ445887</t>
  </si>
  <si>
    <t>Χ763189</t>
  </si>
  <si>
    <t>ΠΛΙΑΚΟΠΑΝΟΥ</t>
  </si>
  <si>
    <t>ΑΖ743481</t>
  </si>
  <si>
    <t>ΜΑΛΙΧΟΥΔΗ</t>
  </si>
  <si>
    <t>ΑΖ066928</t>
  </si>
  <si>
    <t>ΑΚ380362</t>
  </si>
  <si>
    <t>ΑΗ650660</t>
  </si>
  <si>
    <t>ΑΚ522863</t>
  </si>
  <si>
    <t>ΑΖ108001</t>
  </si>
  <si>
    <t>ΠΑΠΑΝΔΡΙΟΠΟΥΛΟΥ</t>
  </si>
  <si>
    <t>ΑΜ621560</t>
  </si>
  <si>
    <t>ΑΗ244513</t>
  </si>
  <si>
    <t>ΚΑΛΛΙΔΗΣ</t>
  </si>
  <si>
    <t>ΑΗ371708</t>
  </si>
  <si>
    <t>ΠΑΠΑΓΕΩΡΓΟΠΟΥΛΟΥ</t>
  </si>
  <si>
    <t>ΑΚ976144</t>
  </si>
  <si>
    <t>ΚΑΡΑΚΟΓΛΟΥ</t>
  </si>
  <si>
    <t>ΑΝ410396</t>
  </si>
  <si>
    <t>ΑΖ473063</t>
  </si>
  <si>
    <t>ΚΑΛΟΓΙΑΝΝΗ ΚΟΛΟΒΟΥ</t>
  </si>
  <si>
    <t>ΑΚ807402</t>
  </si>
  <si>
    <t>ΑΝΔΡΟΥΤΣΟΣ</t>
  </si>
  <si>
    <t>ΑΝ786348</t>
  </si>
  <si>
    <t>ΑΗ969960</t>
  </si>
  <si>
    <t>ΑΗ854673</t>
  </si>
  <si>
    <t xml:space="preserve">ΑΡΙΣΤΕΙΔΗΣ </t>
  </si>
  <si>
    <t>ΑΖ136312</t>
  </si>
  <si>
    <t>ΧΡΙΣΤΟΔΟΥΛΙΔΗ</t>
  </si>
  <si>
    <t>ΡΕΝΟΣ</t>
  </si>
  <si>
    <t>Φ203385</t>
  </si>
  <si>
    <t>ΤΖΙΒΑΝΑΚΗ</t>
  </si>
  <si>
    <t>ΑΟ119948</t>
  </si>
  <si>
    <t>ΣΙΤΖΑΝΗ</t>
  </si>
  <si>
    <t>ΑΙ512915</t>
  </si>
  <si>
    <t>ΑΝ590760</t>
  </si>
  <si>
    <t>ΓΑΛΗ</t>
  </si>
  <si>
    <t>ΑΕ970506</t>
  </si>
  <si>
    <t>ΠΑΠΑΧΑΡΙΣΗ</t>
  </si>
  <si>
    <t>ΑΒ604385</t>
  </si>
  <si>
    <t>ΤΡΙΚΙΛΙΔΟΥ</t>
  </si>
  <si>
    <t>Χ894812</t>
  </si>
  <si>
    <t>ΧΟΥΔΕΛΟΥΔΗ</t>
  </si>
  <si>
    <t>ΑΛΙΝΑ</t>
  </si>
  <si>
    <t>ΑΕ539489</t>
  </si>
  <si>
    <t>ΧΙΩΤΕΛΛΗ</t>
  </si>
  <si>
    <t>ΑΝ529104</t>
  </si>
  <si>
    <t>ΑΒ196618</t>
  </si>
  <si>
    <t>ΜΑΚΕΛΛΑ</t>
  </si>
  <si>
    <t>ΑΗ397358</t>
  </si>
  <si>
    <t>ΑΗ287312</t>
  </si>
  <si>
    <t>ΑΖ854563</t>
  </si>
  <si>
    <t>ΜΠΑΜΠΑΛΕΤΣΟΥ</t>
  </si>
  <si>
    <t>ΑΙ563419</t>
  </si>
  <si>
    <t>ΤΟΥΝΤΟΠΟΥΛΟΥ</t>
  </si>
  <si>
    <t>ΑΖ105272</t>
  </si>
  <si>
    <t>ΣΦΗΝΤΣΙΩΤΗ</t>
  </si>
  <si>
    <t>ΑΖ141246</t>
  </si>
  <si>
    <t>ΣΤΑΥΛΙΩΤΗ</t>
  </si>
  <si>
    <t>ΑΗ566866</t>
  </si>
  <si>
    <t>ΚΕΛΕΜΟΥΡΙΔΟΥ</t>
  </si>
  <si>
    <t>Χ343158</t>
  </si>
  <si>
    <t>ΑΝ745619</t>
  </si>
  <si>
    <t>Χ190842</t>
  </si>
  <si>
    <t>ΛΟΥΜΠΡΟΥΚΟΥ</t>
  </si>
  <si>
    <t>ΑΚ724579</t>
  </si>
  <si>
    <t>ΜΠΟΥΡΙΚΑ</t>
  </si>
  <si>
    <t>ΑΜ038815</t>
  </si>
  <si>
    <t>ΠΑΠΑΔΟΓΙΑΝΝΗΣ</t>
  </si>
  <si>
    <t>ΑΖ071063</t>
  </si>
  <si>
    <t>Χ518592</t>
  </si>
  <si>
    <t>ΑΗ333645</t>
  </si>
  <si>
    <t>ΑΖ593592</t>
  </si>
  <si>
    <t>ΑΝ002135</t>
  </si>
  <si>
    <t>ΑΡΦΑΝΗ</t>
  </si>
  <si>
    <t>ΑΝ268626</t>
  </si>
  <si>
    <t>ΒΡΑΧΟΡΙΤΗ</t>
  </si>
  <si>
    <t>ΣΟΥΖΑΝΑ</t>
  </si>
  <si>
    <t>ΑΚ218087</t>
  </si>
  <si>
    <t>ΑΜ619487</t>
  </si>
  <si>
    <t>ΑΚ882623</t>
  </si>
  <si>
    <t>ΑΙ332267</t>
  </si>
  <si>
    <t>ΚΟΝΤΟΜΗΤΡΟΥ</t>
  </si>
  <si>
    <t>ΑΜ187168</t>
  </si>
  <si>
    <t>ΜΩΥΣΟΓΛΟΥ</t>
  </si>
  <si>
    <t>ΑΟ044801</t>
  </si>
  <si>
    <t>ΜΑΡΙΑ ΑΡΙΑΔΝΗ</t>
  </si>
  <si>
    <t>ΑΕ508745</t>
  </si>
  <si>
    <t>ΑΜ021314</t>
  </si>
  <si>
    <t>ΔΗΜΗΤΡΟΥΛΗ</t>
  </si>
  <si>
    <t>ΑΖ133425</t>
  </si>
  <si>
    <t>ΑΙ146347</t>
  </si>
  <si>
    <t>ΣΑΜΟΛΗ</t>
  </si>
  <si>
    <t>ΑΚ744607</t>
  </si>
  <si>
    <t>ΖΗΣΙΑΔΟΥ</t>
  </si>
  <si>
    <t>ΑΕ823159</t>
  </si>
  <si>
    <t>ΑΕ477203</t>
  </si>
  <si>
    <t>ΝΤΙΣΠΥΡΑΚΗ</t>
  </si>
  <si>
    <t>ΑΡΣΙΝΟΗ</t>
  </si>
  <si>
    <t>ΑΗ466572</t>
  </si>
  <si>
    <t>ΑΖ101615</t>
  </si>
  <si>
    <t>ΓΑΡΕΔΑΚΗ</t>
  </si>
  <si>
    <t>ΑΒ780458</t>
  </si>
  <si>
    <t>ΑΙ626295</t>
  </si>
  <si>
    <t>ΑΝ158608</t>
  </si>
  <si>
    <t>ΑΗ621577</t>
  </si>
  <si>
    <t>ΑΙ088178</t>
  </si>
  <si>
    <t>ΑΟ898010</t>
  </si>
  <si>
    <t>ΑΙ492216</t>
  </si>
  <si>
    <t>ΠΕΤΚΑΝΑ</t>
  </si>
  <si>
    <t>ΚΥΒΕΛΗ ΑΛΕΞΙΑ</t>
  </si>
  <si>
    <t>ΑΖ298102</t>
  </si>
  <si>
    <t xml:space="preserve">ΧΑΛΔΑΙΟΥ </t>
  </si>
  <si>
    <t xml:space="preserve">ΕΥΦΗΜΙΑ </t>
  </si>
  <si>
    <t>ΣΥΜΕΩΝ ΔΗΜΗΤΡΙΟΣ</t>
  </si>
  <si>
    <t>ΑΚ766584</t>
  </si>
  <si>
    <t>ΑΚ123455</t>
  </si>
  <si>
    <t>ΑΗ941501</t>
  </si>
  <si>
    <t>ΜΙΧ</t>
  </si>
  <si>
    <t>ΑΚ612584</t>
  </si>
  <si>
    <t>ΑΝ179671</t>
  </si>
  <si>
    <t>Χ516945</t>
  </si>
  <si>
    <t>ΑΗ899817</t>
  </si>
  <si>
    <t>ΚΑΡΑΓΙΩΡΓΗΣ</t>
  </si>
  <si>
    <t>ΑΝ614423</t>
  </si>
  <si>
    <t xml:space="preserve">ΡΗΓΟΠΟΥΛΟΥ </t>
  </si>
  <si>
    <t>ΑΒ315282</t>
  </si>
  <si>
    <t>ΑΚ411200</t>
  </si>
  <si>
    <t>ΚΟΥΣΟΥΡΗ</t>
  </si>
  <si>
    <t>ΑΒ234579</t>
  </si>
  <si>
    <t>ΓΕΡΟΣΙΔΕΡΗΣ</t>
  </si>
  <si>
    <t>ΑΒ273514</t>
  </si>
  <si>
    <t>ΑΗ565951</t>
  </si>
  <si>
    <t>ΑΖ009141</t>
  </si>
  <si>
    <t>ΠΑΤΑΓΙΑ ΜΠΑΚΑΡΑΚΗ</t>
  </si>
  <si>
    <t>ΑΚ812116</t>
  </si>
  <si>
    <t>ΑΜ146924</t>
  </si>
  <si>
    <t>ΤΣΑΙΛΑΡΗΣ</t>
  </si>
  <si>
    <t>ΑΝ161222</t>
  </si>
  <si>
    <t>ΛΥΓΟΥΡΑΣ</t>
  </si>
  <si>
    <t>ΑΗ763921</t>
  </si>
  <si>
    <t>ΜΑΥΡΙΚΟΥ</t>
  </si>
  <si>
    <t>ΑΒ557157</t>
  </si>
  <si>
    <t>ΚΑΓΓΕΛΙΔΟΥ</t>
  </si>
  <si>
    <t>ΑΟ037741</t>
  </si>
  <si>
    <t>ΦΛΩΡΑ ΙΩΑΝΝΑ</t>
  </si>
  <si>
    <t>ΑΚ026025</t>
  </si>
  <si>
    <t xml:space="preserve">ΒΑΣΙΛΟΓΛΟΥ </t>
  </si>
  <si>
    <t>ΑΙ744071</t>
  </si>
  <si>
    <t>ΣΤΑΜΟΓΙΑΝΝΟΥ</t>
  </si>
  <si>
    <t>ΚΟΥΣΤΙΜΠΗ</t>
  </si>
  <si>
    <t>ΑΝ126925</t>
  </si>
  <si>
    <t>Χ365598</t>
  </si>
  <si>
    <t>Τ084763</t>
  </si>
  <si>
    <t>Χ914010</t>
  </si>
  <si>
    <t>ΑΕ764795</t>
  </si>
  <si>
    <t>ΛΥΡΑΝΤΖΗ</t>
  </si>
  <si>
    <t>ΑΗ080058</t>
  </si>
  <si>
    <t>ΑΚ817704</t>
  </si>
  <si>
    <t>ΑΖ516895</t>
  </si>
  <si>
    <t>ΑΛΗΜΠΑΣΗ</t>
  </si>
  <si>
    <t>ΕΔΑ</t>
  </si>
  <si>
    <t>ΣΕΙΜΗ</t>
  </si>
  <si>
    <t>ΑΗ905768</t>
  </si>
  <si>
    <t>ΑΚ229068</t>
  </si>
  <si>
    <t>ΜΠΟΤΕΛΛΗ</t>
  </si>
  <si>
    <t>ΑΡ039956</t>
  </si>
  <si>
    <t>Σ179815</t>
  </si>
  <si>
    <t>ΚΟΠΑΝΟΥ</t>
  </si>
  <si>
    <t>ΑΟ373355</t>
  </si>
  <si>
    <t>ΑΙ604921</t>
  </si>
  <si>
    <t>ΑΗ483622</t>
  </si>
  <si>
    <t>ΔΙΝΟΠΟΥΛΟΥ</t>
  </si>
  <si>
    <t>ΑΗ843029</t>
  </si>
  <si>
    <t>Χ503860</t>
  </si>
  <si>
    <t>ΖΑΦΕΙΡΟΓΛΟΥ</t>
  </si>
  <si>
    <t>ΑΖ777340</t>
  </si>
  <si>
    <t>ΧΡΥΣΟΓΙΑΝΝΗΣ</t>
  </si>
  <si>
    <t>ΑΖ599855</t>
  </si>
  <si>
    <t>Φ043718</t>
  </si>
  <si>
    <t>ΓΙΑΝΝΑΚΟΠΟΥΛΟΣ</t>
  </si>
  <si>
    <t>ΑΟ009759</t>
  </si>
  <si>
    <t>ΚΟΥΡΚΟΥΛΗ</t>
  </si>
  <si>
    <t>ΑΗ382647</t>
  </si>
  <si>
    <t>ΚΟΡΔΟΓΙΑΝΝΗ</t>
  </si>
  <si>
    <t>ΑΗ713115</t>
  </si>
  <si>
    <t>ΑΜ547642</t>
  </si>
  <si>
    <t>ΑΒ999817</t>
  </si>
  <si>
    <t>ΜΑΡΙΝΑ ΚΩΝΣΤΑΝΤΙΝΑ</t>
  </si>
  <si>
    <t>ΑΚ113317</t>
  </si>
  <si>
    <t>ΜΠΑΛΤΗ</t>
  </si>
  <si>
    <t>ΑΜ056384</t>
  </si>
  <si>
    <t>ΑΗ829274</t>
  </si>
  <si>
    <t>Ρ648804</t>
  </si>
  <si>
    <t>ΓΙΩΡΓΗΣ</t>
  </si>
  <si>
    <t>ΑΚ670909</t>
  </si>
  <si>
    <t>ΚΑΛΟΓΙΑΝΝΑΚΗ</t>
  </si>
  <si>
    <t>ΑΖ111129</t>
  </si>
  <si>
    <t>ΧΡΙΣΤΟΔΟΥΛΙΔΟΥ</t>
  </si>
  <si>
    <t>ΑΜ065505</t>
  </si>
  <si>
    <t>ΓΚΟΝΗ ΚΑΡΑΜΠΟΤΣΟΥ</t>
  </si>
  <si>
    <t>ΙΕΡΟΝΥΜΗ</t>
  </si>
  <si>
    <t>ΑΚ345407</t>
  </si>
  <si>
    <t>ΦΟΥΝΤΟΥΛΙΔΗ</t>
  </si>
  <si>
    <t>ΑΓΓΕΛΙΚΗ EΙΡΗΝΗ</t>
  </si>
  <si>
    <t>ΑΙ692169</t>
  </si>
  <si>
    <t>ΠΕΤΣΙΑΝΗ</t>
  </si>
  <si>
    <t>ΑΒ461490</t>
  </si>
  <si>
    <t>Ρ765210</t>
  </si>
  <si>
    <t>ΣΚΟΥΡΤΗΣ</t>
  </si>
  <si>
    <t>ΦΡΕΝΤΥ</t>
  </si>
  <si>
    <t>ΑΝ618464</t>
  </si>
  <si>
    <t>ΔΗΜΑΣΗ</t>
  </si>
  <si>
    <t>ΑΙ175469</t>
  </si>
  <si>
    <t>ΑΝ564925</t>
  </si>
  <si>
    <t>ΣΟΛΑΚΗ</t>
  </si>
  <si>
    <t>ΑΖ893838</t>
  </si>
  <si>
    <t>ΤΣΙΤΣΗ</t>
  </si>
  <si>
    <t>ΑΑ008318</t>
  </si>
  <si>
    <t>ΑΚ614974</t>
  </si>
  <si>
    <t>ΑΜ059754</t>
  </si>
  <si>
    <t>ΑΑ049115</t>
  </si>
  <si>
    <t>ΛΥΡΑ</t>
  </si>
  <si>
    <t>ΑΚ018725</t>
  </si>
  <si>
    <t>ΑΝ469299</t>
  </si>
  <si>
    <t>ΑΙ502335</t>
  </si>
  <si>
    <t>ΑΗ394275</t>
  </si>
  <si>
    <t>ΤΟΜΠΡΟΣ</t>
  </si>
  <si>
    <t>ΑΝ620324</t>
  </si>
  <si>
    <t>ΠΑΠΑΚΥΡΓΙΑΚΗ ΝΟΥΤΣΟΥ</t>
  </si>
  <si>
    <t>ΑΗ541678</t>
  </si>
  <si>
    <t>ΑΖ712867</t>
  </si>
  <si>
    <t>ΑΖ551030</t>
  </si>
  <si>
    <t>ΑΝ031073</t>
  </si>
  <si>
    <t>ΤΣΟΝΤΑΚΗ</t>
  </si>
  <si>
    <t>ΑΒ300410</t>
  </si>
  <si>
    <t>ΑΜ029543</t>
  </si>
  <si>
    <t>ΑΖ776105</t>
  </si>
  <si>
    <t>ΚΟΝΤΟΥΚΑ</t>
  </si>
  <si>
    <t>Φ147128</t>
  </si>
  <si>
    <t>ΑΝ115514</t>
  </si>
  <si>
    <t>ΑΗ393912</t>
  </si>
  <si>
    <t>ΔΙΣΛΗ</t>
  </si>
  <si>
    <t>ΑΚ632825</t>
  </si>
  <si>
    <t>ΑΛΜΠΑΝΑ</t>
  </si>
  <si>
    <t>ΜΙΤΑΤ</t>
  </si>
  <si>
    <t>ΑΟ500432</t>
  </si>
  <si>
    <t>ΑΑ048372</t>
  </si>
  <si>
    <t>ΑΗ645030</t>
  </si>
  <si>
    <t>ΤΣΙΓΚΑΝΟΥ</t>
  </si>
  <si>
    <t>Χ434523</t>
  </si>
  <si>
    <t>ΑΧΟΥΛΙΑ</t>
  </si>
  <si>
    <t>ΑΙ143531</t>
  </si>
  <si>
    <t>ΑΒ047984</t>
  </si>
  <si>
    <t>ΛΙΑΝΟΥΛΟΠΟΥΛΟΥ</t>
  </si>
  <si>
    <t>ΑΝ675845</t>
  </si>
  <si>
    <t>ΛΕΧΟΥΡΙΤΗ</t>
  </si>
  <si>
    <t>ΑΝ015560</t>
  </si>
  <si>
    <t>ΑΜ011828</t>
  </si>
  <si>
    <t>ΖΩΙΝΑΣ</t>
  </si>
  <si>
    <t>ΑΡ069351</t>
  </si>
  <si>
    <t>ΑΟ115377</t>
  </si>
  <si>
    <t>ΑΑ083819</t>
  </si>
  <si>
    <t>ΑΗ393286</t>
  </si>
  <si>
    <t>ΑΝ188978</t>
  </si>
  <si>
    <t>ΣΜΥΡΝΗ</t>
  </si>
  <si>
    <t>Φ361341</t>
  </si>
  <si>
    <t>ΣΑΛΙΑΡΟΠΟΥΛΟΥ</t>
  </si>
  <si>
    <t>ΑΚ917605</t>
  </si>
  <si>
    <t>ΣΤΟΥΡΝΑΡΑ</t>
  </si>
  <si>
    <t>ΑΖ110125</t>
  </si>
  <si>
    <t>ΠΡΟΥΖΟΥ</t>
  </si>
  <si>
    <t>ΑΒ215750</t>
  </si>
  <si>
    <t>ΑΗ801804</t>
  </si>
  <si>
    <t>ΑΗ570150</t>
  </si>
  <si>
    <t>ΚΟΤΟΡΟΥ</t>
  </si>
  <si>
    <t>ΑΗ745461</t>
  </si>
  <si>
    <t>ΑΟ684243</t>
  </si>
  <si>
    <t>ΑΖ107883</t>
  </si>
  <si>
    <t>ΑΕ564273</t>
  </si>
  <si>
    <t>ΑΚ849261</t>
  </si>
  <si>
    <t>ΑΟ502571</t>
  </si>
  <si>
    <t>ΑΜ105790</t>
  </si>
  <si>
    <t>ΕΛΕΝΗ ΓΕΡΑΣΙΜΙΝΑ</t>
  </si>
  <si>
    <t>ΑΒ666649</t>
  </si>
  <si>
    <t>ΝΤΖΕΛΕΠΗ</t>
  </si>
  <si>
    <t>ΑΚ003046</t>
  </si>
  <si>
    <t>ΚΑΒΑΛΙΚΑΣ</t>
  </si>
  <si>
    <t>ΕΥΣΤΡΑΤΙΟΣ ΙΩΑΝΝΗΣ</t>
  </si>
  <si>
    <t>ΑΙ686147</t>
  </si>
  <si>
    <t>ΖΕΚΑΙ</t>
  </si>
  <si>
    <t>ΑΙ792451</t>
  </si>
  <si>
    <t>ΑΗ615092</t>
  </si>
  <si>
    <t>ΑΝ518477</t>
  </si>
  <si>
    <t>ΑΝ520413</t>
  </si>
  <si>
    <t>ΤΖΑΜΑΝΤΑΚΗ</t>
  </si>
  <si>
    <t>ΑΕ097590</t>
  </si>
  <si>
    <t>ΚΟΥΡΑΚΛΗ</t>
  </si>
  <si>
    <t>ΑΕ001218</t>
  </si>
  <si>
    <t>ΚΩΣΤΑΚΟΣ</t>
  </si>
  <si>
    <t>ΑΙ148618</t>
  </si>
  <si>
    <t>ΓΙΩΤΟΠΟΥΛΟΥ</t>
  </si>
  <si>
    <t>ΑΜ387692</t>
  </si>
  <si>
    <t>Φ876994</t>
  </si>
  <si>
    <t>ΚΑΡΓΑΚΗ</t>
  </si>
  <si>
    <t>ΑΙ964372</t>
  </si>
  <si>
    <t>ΤΣΙΓΚΑΡΟΠΟΥΛΟΥ</t>
  </si>
  <si>
    <t>ΑΟ403007</t>
  </si>
  <si>
    <t>ΑΝ062711</t>
  </si>
  <si>
    <t>ΑΕ821882</t>
  </si>
  <si>
    <t>ΑΑ011642</t>
  </si>
  <si>
    <t>Τ017890</t>
  </si>
  <si>
    <t>ΑΚ722789</t>
  </si>
  <si>
    <t>ΑΖ094246</t>
  </si>
  <si>
    <t>ΑΚ140703</t>
  </si>
  <si>
    <t>Σ470046</t>
  </si>
  <si>
    <t>ΑΜΠΑΖΑΙ</t>
  </si>
  <si>
    <t>ΜΕΓΚΙ</t>
  </si>
  <si>
    <t>ΑΝ505753</t>
  </si>
  <si>
    <t>ΜΟΥΖΟΥΛΑ</t>
  </si>
  <si>
    <t>ΑΙ750095</t>
  </si>
  <si>
    <t>ΑΗ839578</t>
  </si>
  <si>
    <t>ΚΛΩΝΑ</t>
  </si>
  <si>
    <t>ΑΗ332576</t>
  </si>
  <si>
    <t>ΑΛΙΦΙΕΡΑΚΗ</t>
  </si>
  <si>
    <t>ΑΜ001555</t>
  </si>
  <si>
    <t>Χ142225</t>
  </si>
  <si>
    <t>ΑΚ402818</t>
  </si>
  <si>
    <t>ΧΟΥΚΟΥΡΟΓΛΟΥ</t>
  </si>
  <si>
    <t>ΑΙ883403</t>
  </si>
  <si>
    <t>ΑΚ112008</t>
  </si>
  <si>
    <t>ΑΗ814951</t>
  </si>
  <si>
    <t>ΑΗ588790</t>
  </si>
  <si>
    <t>ΧΑΤΖΗΛΑΖΑΡΙΔΟΥ ΓΑΝΔΑ</t>
  </si>
  <si>
    <t>ΑΒ764380</t>
  </si>
  <si>
    <t>ΑΟ370758</t>
  </si>
  <si>
    <t>ΜΕΙΜΑΡΑΚΗ</t>
  </si>
  <si>
    <t>ΑΜ117726</t>
  </si>
  <si>
    <t>ΑΗ595656</t>
  </si>
  <si>
    <t>ΚΟΚΚΟΥ</t>
  </si>
  <si>
    <t>ΑΕ123044</t>
  </si>
  <si>
    <t>ΜΑΝΣΟΥΔΗ</t>
  </si>
  <si>
    <t>ΑΙ793009</t>
  </si>
  <si>
    <t>ΛΟΥΚΑΤΟΥ</t>
  </si>
  <si>
    <t>ΑΖ613294</t>
  </si>
  <si>
    <t>ΑΜ975679</t>
  </si>
  <si>
    <t>Ρ510498</t>
  </si>
  <si>
    <t>ΑΒ662382</t>
  </si>
  <si>
    <t>ΠΑΠΑΣΤΑΥΡΟΥ</t>
  </si>
  <si>
    <t>ΑΗ360718</t>
  </si>
  <si>
    <t>ΡΕΝΕΣΗΣ</t>
  </si>
  <si>
    <t>ΜΑΡΙΝΟΣ ΠΑΝΑΓΙΩΤΗΣ</t>
  </si>
  <si>
    <t>ΑΖ497259</t>
  </si>
  <si>
    <t>ΑΑ115514</t>
  </si>
  <si>
    <t>ΑΝ262450</t>
  </si>
  <si>
    <t>ΜΠΙΣΙΡΙΤΣΑ</t>
  </si>
  <si>
    <t>Φ277681</t>
  </si>
  <si>
    <t>ΤΑΣΟΛΑΜΠΡΟΥ</t>
  </si>
  <si>
    <t>ΑΖ222876</t>
  </si>
  <si>
    <t>ΛΙΟΥΜΗ</t>
  </si>
  <si>
    <t>ΡΟΥΣΤΕΜ</t>
  </si>
  <si>
    <t>ΑΙ808243</t>
  </si>
  <si>
    <t>ΑΚ721217</t>
  </si>
  <si>
    <t>ΑΗ384228</t>
  </si>
  <si>
    <t>ΣΦΕΤΚΑΣ</t>
  </si>
  <si>
    <t>ΑΙ707148</t>
  </si>
  <si>
    <t>ΑΝ512487</t>
  </si>
  <si>
    <t>ΦΟΥΡΛΑ</t>
  </si>
  <si>
    <t>ΑΜ648899</t>
  </si>
  <si>
    <t>ΑΙ492237</t>
  </si>
  <si>
    <t>ΑΗ966645</t>
  </si>
  <si>
    <t>ΑΖ831205</t>
  </si>
  <si>
    <t>ΑΙ100030</t>
  </si>
  <si>
    <t xml:space="preserve">ΑΛΒΑΝΙΔΟΥ </t>
  </si>
  <si>
    <t>Χ500169</t>
  </si>
  <si>
    <t>ΝΤΟΛΙΔΟΥ</t>
  </si>
  <si>
    <t>ΑΟ359566</t>
  </si>
  <si>
    <t>Σ363622</t>
  </si>
  <si>
    <t>ΑΖ887943</t>
  </si>
  <si>
    <t>ΚΥΡΙΜΗ</t>
  </si>
  <si>
    <t>ΑΜ154143</t>
  </si>
  <si>
    <t>ΤΣΑΚΑΤΟΥΡΑ</t>
  </si>
  <si>
    <t>ΑΗ051450</t>
  </si>
  <si>
    <t>ΑΟ256847</t>
  </si>
  <si>
    <t>ΜΠΟΜΠΟΥ ΓΚΟΥΡΛΙΑ</t>
  </si>
  <si>
    <t>ΑΚ393083</t>
  </si>
  <si>
    <t xml:space="preserve">ΣΤΑΜΑΤΟΠΟΎΛΟΥ </t>
  </si>
  <si>
    <t xml:space="preserve">ΑΙΚΑΤΕΡΊΝΗ </t>
  </si>
  <si>
    <t>ΑΝ431651</t>
  </si>
  <si>
    <t>ΖΟΥΜΠΟΡΛΗ</t>
  </si>
  <si>
    <t>ΑΕ810112</t>
  </si>
  <si>
    <t>ΑΜ177215</t>
  </si>
  <si>
    <t>ΧΡΟΝΑΚΗΣ</t>
  </si>
  <si>
    <t>ΑΝ120616</t>
  </si>
  <si>
    <t>ΓΙΑΝΝΙΟΥΔΗ</t>
  </si>
  <si>
    <t>Χ663372</t>
  </si>
  <si>
    <t>ΑΟ467352</t>
  </si>
  <si>
    <t>ΓΕΡΟΥΚΟΥ</t>
  </si>
  <si>
    <t>ΜΑΡΙΑ ΘΕΟΔΩΡΑ</t>
  </si>
  <si>
    <t>ΑΖ270551</t>
  </si>
  <si>
    <t>ΑΖ016904</t>
  </si>
  <si>
    <t>ΚΑΡΕΤΣΟΥ</t>
  </si>
  <si>
    <t>ΑΒ999962</t>
  </si>
  <si>
    <t>ΑΚ613321</t>
  </si>
  <si>
    <t>ΜΑΝΙΩΡΟΥ</t>
  </si>
  <si>
    <t>ΑΙ957888</t>
  </si>
  <si>
    <t>ΑΜ507714</t>
  </si>
  <si>
    <t>ΒΙΔΑΚΗΣ</t>
  </si>
  <si>
    <t>ΑΗ468701</t>
  </si>
  <si>
    <t>ΑΚ966134</t>
  </si>
  <si>
    <t>ΑΟ884564</t>
  </si>
  <si>
    <t>ΑΗ746078</t>
  </si>
  <si>
    <t>ΑΒ206027</t>
  </si>
  <si>
    <t>ΑΜ621926</t>
  </si>
  <si>
    <t>ΑΟ067780</t>
  </si>
  <si>
    <t>ΑΘΑΝΑΣΙΑ ΑΙΚΑΤΕΡΙΝΗ</t>
  </si>
  <si>
    <t>Σ118084</t>
  </si>
  <si>
    <t>ΓΡΙΣΠΟΣ</t>
  </si>
  <si>
    <t>ΟΘΩΝ</t>
  </si>
  <si>
    <t>ΑΖ119515</t>
  </si>
  <si>
    <t>ΜΠΑΚΑΤΣΗ</t>
  </si>
  <si>
    <t>ΑΒ273720</t>
  </si>
  <si>
    <t>ΑΝ859005</t>
  </si>
  <si>
    <t>ΑΒ442610</t>
  </si>
  <si>
    <t>ΑΜ456611</t>
  </si>
  <si>
    <t>Φ344260</t>
  </si>
  <si>
    <t>ΧΑΤΖΗΔΗΜΟΥ</t>
  </si>
  <si>
    <t>ΑΖ906207</t>
  </si>
  <si>
    <t>Χ711325</t>
  </si>
  <si>
    <t>ΔΡΑΚΟΥΛΑΚΟΥ ΠΑΥΛΑΚΟΥ</t>
  </si>
  <si>
    <t>ΑΜ096980</t>
  </si>
  <si>
    <t>ΤΣΕΡΚΕΖΙΔΟΥ</t>
  </si>
  <si>
    <t>ΑΗ869295</t>
  </si>
  <si>
    <t>ΣΑΚΛΕΟΥ</t>
  </si>
  <si>
    <t>ΑΖ555983</t>
  </si>
  <si>
    <t>ΠΑΡΙΑΝΟΥ</t>
  </si>
  <si>
    <t>ΑΝ430896</t>
  </si>
  <si>
    <t>ΑΒ635468</t>
  </si>
  <si>
    <t>ΕΥΑΝΘΙΑ ΣΠΥΡΙΔΟΥΛΑ</t>
  </si>
  <si>
    <t>Φ269002</t>
  </si>
  <si>
    <t>ΚΡΑΝΙΔΗ</t>
  </si>
  <si>
    <t>ΑΝ294734</t>
  </si>
  <si>
    <t>ΘΕΟΔΟΣΟΠΟΥΛΟΥ</t>
  </si>
  <si>
    <t>ΑΖ731450</t>
  </si>
  <si>
    <t>ΑΜ498535</t>
  </si>
  <si>
    <t>ΠΑΠΑΖΗ</t>
  </si>
  <si>
    <t>ΑΟ778097</t>
  </si>
  <si>
    <t>ΚΟΥΝΔΟΥΡΑΚΗ</t>
  </si>
  <si>
    <t>ΑΑ077151</t>
  </si>
  <si>
    <t>ΒΕΡΥΚΑΚΗ</t>
  </si>
  <si>
    <t>ΑΙ973698</t>
  </si>
  <si>
    <t>ΚΑΚΚΑΛΗ</t>
  </si>
  <si>
    <t>ΑΑ049285</t>
  </si>
  <si>
    <t>ΜΙΧΑΔΑΣΗ</t>
  </si>
  <si>
    <t>ΑΜ693521</t>
  </si>
  <si>
    <t>ΣΦΗΝΙΑΔΑΚΗ</t>
  </si>
  <si>
    <t>ΑΚ471132</t>
  </si>
  <si>
    <t>ΑΒ605345</t>
  </si>
  <si>
    <t>ΜΑΜΜΑ</t>
  </si>
  <si>
    <t>ΑΗ567216</t>
  </si>
  <si>
    <t>ΑΗ963934</t>
  </si>
  <si>
    <t>ΔΕΣΠΗ ΕΥΤΥΧΙΑΚΟΥ</t>
  </si>
  <si>
    <t>ΑΜ575298</t>
  </si>
  <si>
    <t>ΣΑΜΑΡΑΣ</t>
  </si>
  <si>
    <t>ΑΖ282121</t>
  </si>
  <si>
    <t>ΓΟΥΣΙΑΣ</t>
  </si>
  <si>
    <t>ΑΖ744168</t>
  </si>
  <si>
    <t>ΝΙΚΟΛΟΥΖΟΥ</t>
  </si>
  <si>
    <t>ΑΚ875312</t>
  </si>
  <si>
    <t>ΒΟΛΑΚΑ</t>
  </si>
  <si>
    <t>ΑΝ086063</t>
  </si>
  <si>
    <t>ΑΙ144346</t>
  </si>
  <si>
    <t>ΜΙΧΑΛΑΚΑ</t>
  </si>
  <si>
    <t>ΑΡ060145</t>
  </si>
  <si>
    <t>ΚΙΛΤΣΙΚΗ</t>
  </si>
  <si>
    <t>ΑΗ369879</t>
  </si>
  <si>
    <t>ΤΕΜΠΟΝΕΡΑ</t>
  </si>
  <si>
    <t>ΑΒ230432</t>
  </si>
  <si>
    <t>ΑΚ567269</t>
  </si>
  <si>
    <t>ΜΑΘΕΑ</t>
  </si>
  <si>
    <t>Φ262038</t>
  </si>
  <si>
    <t>ΓΚΡΕΚΑ</t>
  </si>
  <si>
    <t>ΑΖ785943</t>
  </si>
  <si>
    <t>ΑΗ423313</t>
  </si>
  <si>
    <t>ΔΕΡΕΔΙΝΗ</t>
  </si>
  <si>
    <t>ΑΝ786087</t>
  </si>
  <si>
    <t>ΑΖ620668</t>
  </si>
  <si>
    <t>ΑΙ283128</t>
  </si>
  <si>
    <t>ΑΡ416813</t>
  </si>
  <si>
    <t>ΝΤΟΥΜΤΑ</t>
  </si>
  <si>
    <t>ΑΚ405773</t>
  </si>
  <si>
    <t>ΜΠΑΓΕΤΑΚΟΥ</t>
  </si>
  <si>
    <t xml:space="preserve">ΦΙΛΙΑ </t>
  </si>
  <si>
    <t>ΑΒ801349</t>
  </si>
  <si>
    <t>ΛΕΩΝΗ</t>
  </si>
  <si>
    <t>ΑΚ112951</t>
  </si>
  <si>
    <t>ΑΗ313062</t>
  </si>
  <si>
    <t>ΑΜ532167</t>
  </si>
  <si>
    <t>ΑΚ122053</t>
  </si>
  <si>
    <t>ΟΝΤΑΜΠΑΣΙΔΟΥ</t>
  </si>
  <si>
    <t>ΑΗ842753</t>
  </si>
  <si>
    <t>ΦΑΡΡΟΥΚΟΥ</t>
  </si>
  <si>
    <t>ΕΜΙΛΙΑΝΟ</t>
  </si>
  <si>
    <t>ΑΟ394917</t>
  </si>
  <si>
    <t>ΙΣΙΔΩΡΟΥ</t>
  </si>
  <si>
    <t>Σ500372</t>
  </si>
  <si>
    <t>ΑΝ178168</t>
  </si>
  <si>
    <t>ΜΠΕΒΟΥΔΑ</t>
  </si>
  <si>
    <t>ΑΚ347272</t>
  </si>
  <si>
    <t>ΦΕΡΑΔΟΥΡΟΥ ΠΑΓΩΝΗ</t>
  </si>
  <si>
    <t>ΑΖ519669</t>
  </si>
  <si>
    <t>ΦΩΤΟΓΛΟΥ</t>
  </si>
  <si>
    <t>Χ145111</t>
  </si>
  <si>
    <t>ΑΚ843116</t>
  </si>
  <si>
    <t>ΣΑΛΑΤΕΛΛΗ</t>
  </si>
  <si>
    <t>ΑΙ412462</t>
  </si>
  <si>
    <t>ΤΣΙΦΛΙΚΑ</t>
  </si>
  <si>
    <t>ΑΗ354120</t>
  </si>
  <si>
    <t>ΑΒ635988</t>
  </si>
  <si>
    <t>ΝΤΙΛΕΚ</t>
  </si>
  <si>
    <t>ΑΛΤΕΚΙΝ</t>
  </si>
  <si>
    <t>ΑΗ862187</t>
  </si>
  <si>
    <t>ΚΑΛΑΚΩΝΑ</t>
  </si>
  <si>
    <t>ΑΑ423568</t>
  </si>
  <si>
    <t>ΑΒ401659</t>
  </si>
  <si>
    <t>ΜΠΑΝΤΑ</t>
  </si>
  <si>
    <t>ΑΗ310159</t>
  </si>
  <si>
    <t>ΜΑΛΑΚΗ</t>
  </si>
  <si>
    <t>ΑΙ209512</t>
  </si>
  <si>
    <t>ΣΑΡΓΚΛΙΔΗΣ</t>
  </si>
  <si>
    <t>ΓΕΩΡΓΙΟΣ ΡΑΦΑΗΛ</t>
  </si>
  <si>
    <t>Χ874486</t>
  </si>
  <si>
    <t>ΣΤΑΥΡΑΚΑΚΗΣ</t>
  </si>
  <si>
    <t>ΑΙ501485</t>
  </si>
  <si>
    <t>ΜΑΥΡΟΜΗΤΟΣ</t>
  </si>
  <si>
    <t>ΑΟ588361</t>
  </si>
  <si>
    <t>ΨΑΛΤΗ</t>
  </si>
  <si>
    <t>ΑΙ266862</t>
  </si>
  <si>
    <t>ΒΥΔΡΑΣ</t>
  </si>
  <si>
    <t>ΑΜ711895</t>
  </si>
  <si>
    <t>ΑΝ521741</t>
  </si>
  <si>
    <t>ΜΠΟΥΖΙ</t>
  </si>
  <si>
    <t>ΟΓΚΡΕΤΑ</t>
  </si>
  <si>
    <t>ΑΚ532364</t>
  </si>
  <si>
    <t>ΑΙ749080</t>
  </si>
  <si>
    <t>ΤΖΑΝΟΥΔΑΚΗ</t>
  </si>
  <si>
    <t>ΑΙ973899</t>
  </si>
  <si>
    <t>ΤΣΕΚΑΣ</t>
  </si>
  <si>
    <t>ΑΝ786450</t>
  </si>
  <si>
    <t>ΠΡΑΖΙΟΥΤΗ</t>
  </si>
  <si>
    <t>ΑΗ849571</t>
  </si>
  <si>
    <t>ΣΑΡΧΟΣΗ</t>
  </si>
  <si>
    <t>ΑΜ920921</t>
  </si>
  <si>
    <t>ΣΤΑΣΑ</t>
  </si>
  <si>
    <t>ΑΛΦΡΕΝΤ</t>
  </si>
  <si>
    <t>ΑΟ075530</t>
  </si>
  <si>
    <t>ΠΕ30 ΚΟΙΝΩΝΙΚΩΝ ΛΕΙΤΟΥΡΓΩΝ (ΘΕΣΗ 107)</t>
  </si>
  <si>
    <t>ΦΙΛΙΠΠΑΣ</t>
  </si>
  <si>
    <t>Φ475268</t>
  </si>
  <si>
    <t>ΧΑΤΖΗΙΩΑΝΝΟΥ</t>
  </si>
  <si>
    <t>Χ033526</t>
  </si>
  <si>
    <t>ΦΑΝΕ</t>
  </si>
  <si>
    <t>ΡΕΝΤΙΟΝ</t>
  </si>
  <si>
    <t>DHIMITRI</t>
  </si>
  <si>
    <t>ΑΚ283131</t>
  </si>
  <si>
    <t>ΑΝ401464</t>
  </si>
  <si>
    <t>ΣΙΑΚΑΜΠΕΝΗ</t>
  </si>
  <si>
    <t>ΑΜ742683</t>
  </si>
  <si>
    <t>ΑΟ653380</t>
  </si>
  <si>
    <t>ΑΝΤΖΟΥΛΗ</t>
  </si>
  <si>
    <t>ΑΙ579359</t>
  </si>
  <si>
    <t>ΑΑ979237</t>
  </si>
  <si>
    <t>ΑΝ580200</t>
  </si>
  <si>
    <t>ΠΙΣΤΙΩΛΑ</t>
  </si>
  <si>
    <t>ΑΕ126598</t>
  </si>
  <si>
    <t>ΜΙΣΣΙΟΥ</t>
  </si>
  <si>
    <t>ΑΑ440363</t>
  </si>
  <si>
    <t>ΑΓΙΟΡΓΙΤΗ</t>
  </si>
  <si>
    <t>ΑΙ450160</t>
  </si>
  <si>
    <t>ΣΑΒΒΑΚΗΣ</t>
  </si>
  <si>
    <t>ΑΗ456220</t>
  </si>
  <si>
    <t>Τ331121</t>
  </si>
  <si>
    <t>ΚΙΤΣΙΟΠΟΥΛΟΣ</t>
  </si>
  <si>
    <t>ΑΟ431357</t>
  </si>
  <si>
    <t>ΚΑΡΑΞΑΝΗ</t>
  </si>
  <si>
    <t>ΑΗ366643</t>
  </si>
  <si>
    <t>ΣΤΕΦΑΝΑΚΗ</t>
  </si>
  <si>
    <t>ΑΟ426525</t>
  </si>
  <si>
    <t>ΑΜΕΡΙΚΑΝΟΣ</t>
  </si>
  <si>
    <t>ΑΖ927841</t>
  </si>
  <si>
    <t>ΑΜ841770</t>
  </si>
  <si>
    <t>ΑΜ466806</t>
  </si>
  <si>
    <t>ΤΣΙΦΛΙΚΑΣ</t>
  </si>
  <si>
    <t>ΑΗ068213</t>
  </si>
  <si>
    <t>ΑΕ399319</t>
  </si>
  <si>
    <t>ΑΝ824829</t>
  </si>
  <si>
    <t>ΦΑΛΙΕΡΟΥ</t>
  </si>
  <si>
    <t>ΠΑΝΑΓΙΩΤΑ ΔΗΜΗΤΡΑ</t>
  </si>
  <si>
    <t>ΑΗ700200</t>
  </si>
  <si>
    <t>ΜΠΑΡΛΑΜΠΑ</t>
  </si>
  <si>
    <t>Χ041130</t>
  </si>
  <si>
    <t>ΑΒ372090</t>
  </si>
  <si>
    <t>Σ939709</t>
  </si>
  <si>
    <t>ΚΟΥΤΙΒΑΣ</t>
  </si>
  <si>
    <t>Φ481228</t>
  </si>
  <si>
    <t>ΛΑΦΤΣΗ</t>
  </si>
  <si>
    <t>ΚΑΡΚΑΣΙΝΑΣ</t>
  </si>
  <si>
    <t>ΑΜ759145</t>
  </si>
  <si>
    <t>ΑΟ945785</t>
  </si>
  <si>
    <t>ΚΟΥΚΟΦΙΚΗ</t>
  </si>
  <si>
    <t>ΑΒ979405</t>
  </si>
  <si>
    <t>ΦΑΣΟΛΗ</t>
  </si>
  <si>
    <t>ΑΑ347306</t>
  </si>
  <si>
    <t>ΝΕΑΝΙΔΟΥ</t>
  </si>
  <si>
    <t>ΑΝ760706</t>
  </si>
  <si>
    <t>ΑΜ472870</t>
  </si>
  <si>
    <t>ΑΙ232681</t>
  </si>
  <si>
    <t>ΚΑΡΑΙΣΚΑΚΗ</t>
  </si>
  <si>
    <t>ΑΕ078301</t>
  </si>
  <si>
    <t>Φ208855</t>
  </si>
  <si>
    <t>ΑΗ467549</t>
  </si>
  <si>
    <t>ΤΣΙΑΝΕΛΗ</t>
  </si>
  <si>
    <t>Χ866084</t>
  </si>
  <si>
    <t>ΜΑΥΡΑΕΙΔΟΠΟΥΛΟΥ</t>
  </si>
  <si>
    <t>ΑΕ253851</t>
  </si>
  <si>
    <t>ΛΙΠΑΡΑΚΗ</t>
  </si>
  <si>
    <t>ΑΗ960246</t>
  </si>
  <si>
    <t>ΑΙ208914</t>
  </si>
  <si>
    <t>ΑΙ792071</t>
  </si>
  <si>
    <t>ΑΝ367231</t>
  </si>
  <si>
    <t>ΑΝ920151</t>
  </si>
  <si>
    <t>ΑΙ761043</t>
  </si>
  <si>
    <t>ΑΝΔΡΟΜΑΧΗ ΜΑΡΙΑ</t>
  </si>
  <si>
    <t>ΑΖ822716</t>
  </si>
  <si>
    <t>Ρ527925</t>
  </si>
  <si>
    <t>ΝΕΖΟΥ</t>
  </si>
  <si>
    <t>Σ353472</t>
  </si>
  <si>
    <t>ΧΡΥΣΑΔΑΚΟΥ</t>
  </si>
  <si>
    <t>Φ111230</t>
  </si>
  <si>
    <t>ΔΕΛΑΒΙΑΣ</t>
  </si>
  <si>
    <t>ΑΑ377238</t>
  </si>
  <si>
    <t>ΝΟΤΗ</t>
  </si>
  <si>
    <t>ΑΒ078286</t>
  </si>
  <si>
    <t>ΚΟΛΟΚΟΤΡΩΝΗ</t>
  </si>
  <si>
    <t>ΑΖ783275</t>
  </si>
  <si>
    <t>ΒΟΛΚΙΔΗΣ</t>
  </si>
  <si>
    <t>ΑΒ614317</t>
  </si>
  <si>
    <t>ΓΕΡΑΚΟΥΔΗ</t>
  </si>
  <si>
    <t>ΑΖ832307</t>
  </si>
  <si>
    <t>ΑΖ325240</t>
  </si>
  <si>
    <t>ΛΕΚΑΤΣΑ</t>
  </si>
  <si>
    <t>Χ808410</t>
  </si>
  <si>
    <t>ΣΚΟΥΜΗ</t>
  </si>
  <si>
    <t>ΑΟ722272</t>
  </si>
  <si>
    <t>Χ012251</t>
  </si>
  <si>
    <t>ΑΒ386673</t>
  </si>
  <si>
    <t>ΑΑ315445</t>
  </si>
  <si>
    <t>ΠΑΛΙΟΣΤΡΑΤΖΗ</t>
  </si>
  <si>
    <t>ΑΝ908744</t>
  </si>
  <si>
    <t>ΜΗΧΟΥ</t>
  </si>
  <si>
    <t>Φ485164</t>
  </si>
  <si>
    <t>ΑΙ370263</t>
  </si>
  <si>
    <t>ΑΑ318618</t>
  </si>
  <si>
    <t>ΚΟΛΛΙΟΠΟΥΛΟΣ</t>
  </si>
  <si>
    <t>ΑΙ765826</t>
  </si>
  <si>
    <t>ΚΟΝΤΑΚΗ</t>
  </si>
  <si>
    <t>Ν951892</t>
  </si>
  <si>
    <t>ΚΑΤΣΙΑΔΑΚΗ</t>
  </si>
  <si>
    <t>ΑΚ224836</t>
  </si>
  <si>
    <t>ΑΒ076647</t>
  </si>
  <si>
    <t>ΜΠΡΑΓΟΥΔΑΚΗ</t>
  </si>
  <si>
    <t>ΑΟ428911</t>
  </si>
  <si>
    <t>ΧΑΤΖΙΔΟΥ</t>
  </si>
  <si>
    <t>ΑΖ914944</t>
  </si>
  <si>
    <t>ΤΟΥΡΤΟΥΝΗ</t>
  </si>
  <si>
    <t>ΑΚ964130</t>
  </si>
  <si>
    <t>ΑΕ796616</t>
  </si>
  <si>
    <t>Τ894037</t>
  </si>
  <si>
    <t>ΑΙ291307</t>
  </si>
  <si>
    <t>ΚΟΦΦΑΣ</t>
  </si>
  <si>
    <t>ΑΝ340564</t>
  </si>
  <si>
    <t>ΑΕ397171</t>
  </si>
  <si>
    <t>ΑΖ504900</t>
  </si>
  <si>
    <t>ΒΕΛΑΙ</t>
  </si>
  <si>
    <t>ΝΤΕΝΑΝΤΑ</t>
  </si>
  <si>
    <t>ΤΑΧΙΡ</t>
  </si>
  <si>
    <t>ΑΗ703396</t>
  </si>
  <si>
    <t>ΑΒ142997</t>
  </si>
  <si>
    <t>ΣΟΦΟΓΙΑΝΝΗ</t>
  </si>
  <si>
    <t>ΑΟ945778</t>
  </si>
  <si>
    <t>Χ769181</t>
  </si>
  <si>
    <t>Χ376008</t>
  </si>
  <si>
    <t>ΣΥΝΟΔΗ</t>
  </si>
  <si>
    <t>ΑΝ337345</t>
  </si>
  <si>
    <t>ΒΙΤΑΛΑΚΗ</t>
  </si>
  <si>
    <t>ΑΑ490271</t>
  </si>
  <si>
    <t>ΝΙΚΟΛΕΤΤΑ ΑΝΑΣΤΑΣΙΑ</t>
  </si>
  <si>
    <t>ΑΜ994828</t>
  </si>
  <si>
    <t>ΑΙ068345</t>
  </si>
  <si>
    <t>ΧΑΤΖΗΔΡΟΣΟΥ</t>
  </si>
  <si>
    <t>ΑΒ343866</t>
  </si>
  <si>
    <t>ΡΩΞΑΝΗ</t>
  </si>
  <si>
    <t>ΑΖ698045</t>
  </si>
  <si>
    <t>ΑΕ867785</t>
  </si>
  <si>
    <t>ΣΡΕΦΑΝΟΣ</t>
  </si>
  <si>
    <t>Χ941152</t>
  </si>
  <si>
    <t>ΠΙΛΗΣΗΣ</t>
  </si>
  <si>
    <t>ΑΑ317931</t>
  </si>
  <si>
    <t>ΑΒ317117</t>
  </si>
  <si>
    <t>ΑΚ962497</t>
  </si>
  <si>
    <t>ΑΖ842225</t>
  </si>
  <si>
    <t>ΑΟ362300</t>
  </si>
  <si>
    <t>ΤΡΟΥΠΗ ΡΑΜΙΡΕΖ</t>
  </si>
  <si>
    <t>ΓΚΛΟΡΙΑ ΙΩΑΝΝΑ</t>
  </si>
  <si>
    <t>ΑΑ422344</t>
  </si>
  <si>
    <t>ΠΑΛΑΙΟΧΩΡΙΤΗ</t>
  </si>
  <si>
    <t>ΙΩΑΝΝΕΤΑ ΕΛΠΙΝΙΚΗ</t>
  </si>
  <si>
    <t>ΣΙΜΩΝ</t>
  </si>
  <si>
    <t>ΑΝ289131</t>
  </si>
  <si>
    <t>ΣΚΡΑΠΑΛΗ</t>
  </si>
  <si>
    <t>ΑΜ414497</t>
  </si>
  <si>
    <t>Χ787310</t>
  </si>
  <si>
    <t>ΑΒΟΡΙΤΗ</t>
  </si>
  <si>
    <t>ΑΜ499390</t>
  </si>
  <si>
    <t>ΚΑΡΑΜΑΝΩΛΗ</t>
  </si>
  <si>
    <t>ΑΗ452870</t>
  </si>
  <si>
    <t>ΣΚΑΜΝΙΩΤΗΣ</t>
  </si>
  <si>
    <t>ΑΒ540111</t>
  </si>
  <si>
    <t>ΖΙΑΒΡΟΥ</t>
  </si>
  <si>
    <t>ΑΚ476359</t>
  </si>
  <si>
    <t>ΑΖ418802</t>
  </si>
  <si>
    <t>ΠΕΤΡΑΛΗ</t>
  </si>
  <si>
    <t>ΑΕ960968</t>
  </si>
  <si>
    <t>ΠΑΤΣΙΝΑΚΙΔΗΣ</t>
  </si>
  <si>
    <t>ΑΙ327172</t>
  </si>
  <si>
    <t>ΑΗ652484</t>
  </si>
  <si>
    <t>ΚΟΡΑΚΑΣ</t>
  </si>
  <si>
    <t>ΑΜ744722</t>
  </si>
  <si>
    <t>ΑΕ234888</t>
  </si>
  <si>
    <t>ΑΒ712959</t>
  </si>
  <si>
    <t>ΑΕ903181</t>
  </si>
  <si>
    <t>ΑΝΤΩΡΚΑ</t>
  </si>
  <si>
    <t>ΑΙ006408</t>
  </si>
  <si>
    <t>ΜΟΥΛΟΥ</t>
  </si>
  <si>
    <t>Χ000389</t>
  </si>
  <si>
    <t>ΤΑΣΣΑΚΟΠΟΥΛΟΥ</t>
  </si>
  <si>
    <t>ΑΜ444703</t>
  </si>
  <si>
    <t>ΑΙ772499</t>
  </si>
  <si>
    <t>ΑΜ015858</t>
  </si>
  <si>
    <t>ΑΡ004322</t>
  </si>
  <si>
    <t>ΣΚΙΑΘΙΤΟΥ</t>
  </si>
  <si>
    <t>ΑΝ128202</t>
  </si>
  <si>
    <t>ΑΒ780781</t>
  </si>
  <si>
    <t>Χ376391</t>
  </si>
  <si>
    <t>ΚΟΥΝΤΟΥΡΑ</t>
  </si>
  <si>
    <t>ΕΙΡΗΝΗ ΣΤΕΡΓΙΑΝΗ</t>
  </si>
  <si>
    <t>ΑΕ348701</t>
  </si>
  <si>
    <t>ΔΑΜΑΣΚΗΝΗ</t>
  </si>
  <si>
    <t>ΑΜ756780</t>
  </si>
  <si>
    <t>ΑΗ912590</t>
  </si>
  <si>
    <t>ΧΑΤΖΟΓΙΑΝΝΗ</t>
  </si>
  <si>
    <t>ΑΙ524227</t>
  </si>
  <si>
    <t>Σ705438</t>
  </si>
  <si>
    <t>Τ094707</t>
  </si>
  <si>
    <t>ΤΖΟΒΑΡΑΣ</t>
  </si>
  <si>
    <t>Χ862314</t>
  </si>
  <si>
    <t>ΑΗ876187</t>
  </si>
  <si>
    <t>Χ449951</t>
  </si>
  <si>
    <t>ΤΑΛΑΡΟΥΓΚΑ</t>
  </si>
  <si>
    <t>Χ989578</t>
  </si>
  <si>
    <t>ΠΑΤΡΟΥΛΑ</t>
  </si>
  <si>
    <t>Χ292564</t>
  </si>
  <si>
    <t>ΑΗ375211</t>
  </si>
  <si>
    <t>Χ921308</t>
  </si>
  <si>
    <t>ΑΟ479263</t>
  </si>
  <si>
    <t>ΤΑΝΤΟΥΛΑ</t>
  </si>
  <si>
    <t>Χ801114</t>
  </si>
  <si>
    <t>ΑΖ963234</t>
  </si>
  <si>
    <t>ΛΕΜΟΝΑΚΗ</t>
  </si>
  <si>
    <t>ΑΕ971916</t>
  </si>
  <si>
    <t>ΜΑΡΙΑ ΙΦΙΓΕΝΕΙΑ</t>
  </si>
  <si>
    <t>ΑΜ790341</t>
  </si>
  <si>
    <t>ΑΖ560494</t>
  </si>
  <si>
    <t>ΓΑΤΣΗ</t>
  </si>
  <si>
    <t>ΑΖ863994</t>
  </si>
  <si>
    <t>ΑΙ231010</t>
  </si>
  <si>
    <t>ΣΚΑΡΛΑΤΙΔΟΥ</t>
  </si>
  <si>
    <t>ΑΒ456967</t>
  </si>
  <si>
    <t>ΑΑ324061</t>
  </si>
  <si>
    <t>ΤΣΟΡΤΟΥ</t>
  </si>
  <si>
    <t>Χ109472</t>
  </si>
  <si>
    <t>ΑΝ316513</t>
  </si>
  <si>
    <t>ΑΙ798934</t>
  </si>
  <si>
    <t>ΑΖ255481</t>
  </si>
  <si>
    <t>Χ840800</t>
  </si>
  <si>
    <t>ΣΤΑΜΑΤΕΛΛΟΥ</t>
  </si>
  <si>
    <t>ΑΑ341464</t>
  </si>
  <si>
    <t>ΑΖ877860</t>
  </si>
  <si>
    <t>ΣΑΙΠΑ</t>
  </si>
  <si>
    <t>ΑΝ494407</t>
  </si>
  <si>
    <t>ΓΙΑΝΝΙΤΣΑ</t>
  </si>
  <si>
    <t>ΑΗ203678</t>
  </si>
  <si>
    <t>ΡΟΝΤΟΥ</t>
  </si>
  <si>
    <t>ΑΕ748502</t>
  </si>
  <si>
    <t>ΑΒ373404</t>
  </si>
  <si>
    <t>ΑΜ908629</t>
  </si>
  <si>
    <t>ΑΖ899426</t>
  </si>
  <si>
    <t>ΚΑΡΑΓΕΩΡΓΟΠΟΥΛΟΣ</t>
  </si>
  <si>
    <t>ΑΙ757313</t>
  </si>
  <si>
    <t>ΑΖ870667</t>
  </si>
  <si>
    <t>ΑΟ982676</t>
  </si>
  <si>
    <t>ΖΙΑΚΟΥ</t>
  </si>
  <si>
    <t>ΑΝ713150</t>
  </si>
  <si>
    <t>ΑΖ474546</t>
  </si>
  <si>
    <t>ΑΖ667885</t>
  </si>
  <si>
    <t>ΤΟΨΙΩΤΗ</t>
  </si>
  <si>
    <t>ΑΕ364021</t>
  </si>
  <si>
    <t>Χ018378</t>
  </si>
  <si>
    <t>ΑΙ300817</t>
  </si>
  <si>
    <t>ΚΑΖΑΚΙΔΟΥ</t>
  </si>
  <si>
    <t>ΑΝ765174</t>
  </si>
  <si>
    <t>ΑΙ508594</t>
  </si>
  <si>
    <t>ΚΑΜΠΑΚΗ</t>
  </si>
  <si>
    <t>Χ762944</t>
  </si>
  <si>
    <t>ΑΝΑΓΝΩΣΤΑΚΟΥ</t>
  </si>
  <si>
    <t>ΑΙ996254</t>
  </si>
  <si>
    <t>ΛΑΜΠΡΙΝΙΔΗ</t>
  </si>
  <si>
    <t>ΑΚ578376</t>
  </si>
  <si>
    <t>ΑΙ800625</t>
  </si>
  <si>
    <t>ΑΝ303328</t>
  </si>
  <si>
    <t>ΣΤΑΜΠΟΓΛΗ</t>
  </si>
  <si>
    <t>Φ093314</t>
  </si>
  <si>
    <t>ΑΖ852001</t>
  </si>
  <si>
    <t>ΤΣΩΛΑ</t>
  </si>
  <si>
    <t>ΑΟ934162</t>
  </si>
  <si>
    <t>ΑΖ670456</t>
  </si>
  <si>
    <t>ΜΠΑΛΑΜΟΥΤΗ</t>
  </si>
  <si>
    <t>ΑΜ534901</t>
  </si>
  <si>
    <t>ΑΝ996767</t>
  </si>
  <si>
    <t>ΣΑΛΑΣΙΔΗΣ</t>
  </si>
  <si>
    <t>ΑΟ723332</t>
  </si>
  <si>
    <t>ΓΕΩΡΓΟΥΛΗΣ</t>
  </si>
  <si>
    <t>ΑΚ766158</t>
  </si>
  <si>
    <t>ΑΝ669230</t>
  </si>
  <si>
    <t>Χ974446</t>
  </si>
  <si>
    <t>ΑΕ976231</t>
  </si>
  <si>
    <t>Χ320726</t>
  </si>
  <si>
    <t>ΑΕ193615</t>
  </si>
  <si>
    <t>ΑΒ837398</t>
  </si>
  <si>
    <t>ΑΜ951808</t>
  </si>
  <si>
    <t>ΒΑΞΕΒΑΝΗ</t>
  </si>
  <si>
    <t>ΑΖ418243</t>
  </si>
  <si>
    <t>ΜΑΥΡΟΒΟΥΝΙΩΤΗ</t>
  </si>
  <si>
    <t>ΑΖ582550</t>
  </si>
  <si>
    <t>Χ717596</t>
  </si>
  <si>
    <t>ΒΑΛΑΛΑΚΗ</t>
  </si>
  <si>
    <t>ΑΡ335460</t>
  </si>
  <si>
    <t>ΤΥΡΑΚΗ</t>
  </si>
  <si>
    <t>ΚΑΤΕΡΙΝΑ ΚΑΤΙΝΑ</t>
  </si>
  <si>
    <t>ΑΒ178947</t>
  </si>
  <si>
    <t>ΑΒ045024</t>
  </si>
  <si>
    <t>ΤΣΑΡΑΚΤΣΗ</t>
  </si>
  <si>
    <t>ΑΗ965107</t>
  </si>
  <si>
    <t>ΑΒ398756</t>
  </si>
  <si>
    <t>ΑΕ232372</t>
  </si>
  <si>
    <t>ΑΜ143504</t>
  </si>
  <si>
    <t>ΓΑΙΤΑΝΟΣ</t>
  </si>
  <si>
    <t>ΑΖ396190</t>
  </si>
  <si>
    <t>ΤΣΑΠΑΡΙΔΟΥ</t>
  </si>
  <si>
    <t>ΑΙ019220</t>
  </si>
  <si>
    <t>ΞΕΦΤΕΡΗ</t>
  </si>
  <si>
    <t>ΑΚΡΙΒΗ ΠΑΡΑΣΚΕΥΗ</t>
  </si>
  <si>
    <t>ΑΒ559261</t>
  </si>
  <si>
    <t>ΑΟ692259</t>
  </si>
  <si>
    <t>ΚΟΠΙΔΑΚΗ</t>
  </si>
  <si>
    <t>ΑΗ969829</t>
  </si>
  <si>
    <t>ΑΕ982883</t>
  </si>
  <si>
    <t>ΑΗ532060</t>
  </si>
  <si>
    <t>ΠΙΤΣΙΚΑΛΗ</t>
  </si>
  <si>
    <t>Φ060713</t>
  </si>
  <si>
    <t>Φ346273</t>
  </si>
  <si>
    <t>ΚΟΤΑΜΠΑΣΗ</t>
  </si>
  <si>
    <t>ΑΑ477529</t>
  </si>
  <si>
    <t>ΛΙΣΓΟΥ</t>
  </si>
  <si>
    <t>ΑΒ947053</t>
  </si>
  <si>
    <t>Χ446074</t>
  </si>
  <si>
    <t>Φ267119</t>
  </si>
  <si>
    <t>ΣΚΟΥΛΑΡΙΩΤΟΥ</t>
  </si>
  <si>
    <t>ΑΕ356573</t>
  </si>
  <si>
    <t>ΤΖΟΓΑ</t>
  </si>
  <si>
    <t>ΑΒ866508</t>
  </si>
  <si>
    <t>ΑΟ249295</t>
  </si>
  <si>
    <t>ΑΒ421860</t>
  </si>
  <si>
    <t>ΑΙ528510</t>
  </si>
  <si>
    <t>ΖΕΡΒΙΔΗ</t>
  </si>
  <si>
    <t>ΑΗ842568</t>
  </si>
  <si>
    <t>ΑΝ900432</t>
  </si>
  <si>
    <t>ΧΑΡΟΥΛΑ ΠΕΛΑΓΙΑ</t>
  </si>
  <si>
    <t>Χ359835</t>
  </si>
  <si>
    <t>ΒΑΓΙΑΤΗΣ</t>
  </si>
  <si>
    <t>ΑΜ902248</t>
  </si>
  <si>
    <t>ΦΑΚΑΡΟΥ</t>
  </si>
  <si>
    <t>ΑΗ937427</t>
  </si>
  <si>
    <t>ΑΙ123068</t>
  </si>
  <si>
    <t>ΣΤΡΑΒΑΚΟΥ</t>
  </si>
  <si>
    <t>Χ378363</t>
  </si>
  <si>
    <t>ΒΛΑΧΟΠΑΝΑΓΟΥ</t>
  </si>
  <si>
    <t>ΕΥΑΓΓΕΛΙΑ ΙΩΑΝΝΑ</t>
  </si>
  <si>
    <t>ΑΒ245676</t>
  </si>
  <si>
    <t>ΑΟ078142</t>
  </si>
  <si>
    <t>ΤΡΑΒΑΓΙΑΚΗ</t>
  </si>
  <si>
    <t>ΑΒ956086</t>
  </si>
  <si>
    <t>ΛΑΟΚΡΑΤΗΣ</t>
  </si>
  <si>
    <t>ΑΟ432199</t>
  </si>
  <si>
    <t>ΒΑΒΟΥΡΗ</t>
  </si>
  <si>
    <t>Χ359542</t>
  </si>
  <si>
    <t>ΤΣΙΦΛΙΔΟΥ</t>
  </si>
  <si>
    <t>ΑΝ374136</t>
  </si>
  <si>
    <t xml:space="preserve">ΕΥΤΥΧΙΑ </t>
  </si>
  <si>
    <t>ΑΒ936242</t>
  </si>
  <si>
    <t>ΤΣΙΤΣΟΠΟΥΛΟΥ</t>
  </si>
  <si>
    <t>ΑΖ627265</t>
  </si>
  <si>
    <t>Τ327234</t>
  </si>
  <si>
    <t>ΓΚΑΜΟΥ</t>
  </si>
  <si>
    <t>ΑΖ344891</t>
  </si>
  <si>
    <t>ΧΑΣΑΠΙΔΟΥ</t>
  </si>
  <si>
    <t>ΑΝ758449</t>
  </si>
  <si>
    <t>ΜΠΛΟΥΧΟΣ</t>
  </si>
  <si>
    <t>ΑΖ404237</t>
  </si>
  <si>
    <t>ΑΟ007037</t>
  </si>
  <si>
    <t>ΑΗ843380</t>
  </si>
  <si>
    <t>ΚΟΥΤΟΥΛΟΓΕΝΗΣ</t>
  </si>
  <si>
    <t>ΑΕ233172</t>
  </si>
  <si>
    <t>ΚΑΛΛΙΟΠΗ ΤΑΞΙΑΡΧΟΥΛΑ</t>
  </si>
  <si>
    <t>ΑΖ434804</t>
  </si>
  <si>
    <t>ΑΖ764753</t>
  </si>
  <si>
    <t>ΣΚΑΠΕΡΔΑΣ</t>
  </si>
  <si>
    <t>ΑΖ761038</t>
  </si>
  <si>
    <t>Χ919239</t>
  </si>
  <si>
    <t>ΛΙΜΝΙΑΤΗ</t>
  </si>
  <si>
    <t>ΑΚ743069</t>
  </si>
  <si>
    <t>Χ377322</t>
  </si>
  <si>
    <t>ΠΟΥΛΑ</t>
  </si>
  <si>
    <t>ΑΖ396648</t>
  </si>
  <si>
    <t>ΑΚ701618</t>
  </si>
  <si>
    <t>ΚΑΛΟΓΟΥΛΙΔΟΥ</t>
  </si>
  <si>
    <t>ΑΑ451599</t>
  </si>
  <si>
    <t>ΝΙΚΗ ΑΓΛΑΙΑ</t>
  </si>
  <si>
    <t>Χ801101</t>
  </si>
  <si>
    <t>ΚΑΡΤΣΩΝΑΚΗ</t>
  </si>
  <si>
    <t>Χ994528</t>
  </si>
  <si>
    <t>ΑΗ208525</t>
  </si>
  <si>
    <t>ΑΖ715534</t>
  </si>
  <si>
    <t>ΜΑΥΡΙΛΑΚΟΥ</t>
  </si>
  <si>
    <t>ΑΟ826204</t>
  </si>
  <si>
    <t>ΑΜ011419</t>
  </si>
  <si>
    <t>ΑΕ329269</t>
  </si>
  <si>
    <t>ΑΜ809986</t>
  </si>
  <si>
    <t>ΣΤΕΦΟΥΛΗ</t>
  </si>
  <si>
    <t>ΑΖ296194</t>
  </si>
  <si>
    <t>ΑΒ499165</t>
  </si>
  <si>
    <t>ΔΙΑΚΟΔΗΜΗΤΡΙΟΥ</t>
  </si>
  <si>
    <t>ΕΙΡΗΝΗ ΕΛΕΥΘΕΡΙΑ</t>
  </si>
  <si>
    <t>ΑΖ949844</t>
  </si>
  <si>
    <t>ΑΜ329118</t>
  </si>
  <si>
    <t>ΑΝ243174</t>
  </si>
  <si>
    <t>ΑΖ123378</t>
  </si>
  <si>
    <t>Χ779798</t>
  </si>
  <si>
    <t>ΑΟ288853</t>
  </si>
  <si>
    <t>ΑΡΑΒΑΝΤΙΝΟΥ ΚΑΡΛΑΤΟΥ</t>
  </si>
  <si>
    <t>ΑΜ957333</t>
  </si>
  <si>
    <t>ΤΣΑΜΑΛΗ</t>
  </si>
  <si>
    <t>Φ222481</t>
  </si>
  <si>
    <t>ΑΕ971898</t>
  </si>
  <si>
    <t>ΑΕ169578</t>
  </si>
  <si>
    <t>ΔΑΛΛΙΟΥ</t>
  </si>
  <si>
    <t>Φ144400</t>
  </si>
  <si>
    <t>ΑΗ776875</t>
  </si>
  <si>
    <t>Τ105589</t>
  </si>
  <si>
    <t>ΚΟΠΙΤΑ</t>
  </si>
  <si>
    <t>ΑΕ274093</t>
  </si>
  <si>
    <t>ΑΕ862760</t>
  </si>
  <si>
    <t>ΤΣΟΥΛΟΥΚΙΔΟΥ</t>
  </si>
  <si>
    <t>ΑΖ301572</t>
  </si>
  <si>
    <t>ΔΈΣΠΟΙΝΑ</t>
  </si>
  <si>
    <t>ΑΖ312664</t>
  </si>
  <si>
    <t>ΑΙ940807</t>
  </si>
  <si>
    <t>ΚΑΖΑΛΑ</t>
  </si>
  <si>
    <t>ΜΑΡΙΑ ΑΣΠΑΣΙΑ</t>
  </si>
  <si>
    <t>ΑΟ645343</t>
  </si>
  <si>
    <t>ΓΕΡΟ'Ι'ΤΟΥ</t>
  </si>
  <si>
    <t>ΑΒ103423</t>
  </si>
  <si>
    <t>ΤΣΟΥΛΗ</t>
  </si>
  <si>
    <t>ΑΑ358316</t>
  </si>
  <si>
    <t>ΑΒ202466</t>
  </si>
  <si>
    <t>ΚΟΥΤΡΟΥΜΑΝΙΔΟΥ</t>
  </si>
  <si>
    <t>ΑΚ901211</t>
  </si>
  <si>
    <t>ΚΟΝΤΣΙΩΤΗ</t>
  </si>
  <si>
    <t>ΑΒ438873</t>
  </si>
  <si>
    <t>ΑΒ423392</t>
  </si>
  <si>
    <t>ΤΣΙΑΝΤΟΥΛΗ</t>
  </si>
  <si>
    <t>ΜΑΡΙΑ ΣΕΒΑΣΤΗ</t>
  </si>
  <si>
    <t>ΑΙ286202</t>
  </si>
  <si>
    <t>ΑΙ466537</t>
  </si>
  <si>
    <t>ΡΟΜΠΟΓΙΑΝΝΑΚΗ</t>
  </si>
  <si>
    <t>ΑΚ468004</t>
  </si>
  <si>
    <t>Χ805263</t>
  </si>
  <si>
    <t>ΑΠΟΚΑΤΑΝΙΔΟΥ</t>
  </si>
  <si>
    <t>ΑΟ158928</t>
  </si>
  <si>
    <t>ΧΟΥΣΤΟΥΛΑΚΗ</t>
  </si>
  <si>
    <t>ΑΝ928642</t>
  </si>
  <si>
    <t>ΜΠΟΤΟΝΑΚΗ</t>
  </si>
  <si>
    <t>ΧΡΙΣΤΙΝΗ</t>
  </si>
  <si>
    <t>ΑΙ461798</t>
  </si>
  <si>
    <t>ΑΕ748618</t>
  </si>
  <si>
    <t>ΔΑΒΙΤΗ</t>
  </si>
  <si>
    <t>ΑΗ290122</t>
  </si>
  <si>
    <t>ΑΝ261706</t>
  </si>
  <si>
    <t>ΚΟΥΝΤΟΥΡΙΑΝΟΥ</t>
  </si>
  <si>
    <t>ΑΖ314671</t>
  </si>
  <si>
    <t>ΒΗΣΣΑΡΑΚΟΥ</t>
  </si>
  <si>
    <t>ΒΕΛΗΣΣΑΡΙΟΣ</t>
  </si>
  <si>
    <t>ΑΒ015278</t>
  </si>
  <si>
    <t>ΧΑΝΟΥΣΗ</t>
  </si>
  <si>
    <t>ΗΛΕΚΤΡΑ ΕΙΡΗΝΗ</t>
  </si>
  <si>
    <t>ΑΖ005213</t>
  </si>
  <si>
    <t>ΑΕ309972</t>
  </si>
  <si>
    <t>ΚΑΦΕΣΑΚΗ</t>
  </si>
  <si>
    <t>ΑΗ045541</t>
  </si>
  <si>
    <t>ΑΙ011148</t>
  </si>
  <si>
    <t>ΑΙ957274</t>
  </si>
  <si>
    <t>ΒΑΡΥΤΙΜΙΔΟΥ</t>
  </si>
  <si>
    <t>ΑΕ112402</t>
  </si>
  <si>
    <t>Φ334126</t>
  </si>
  <si>
    <t>ΠΑΡΛΙΑΡΟΥ</t>
  </si>
  <si>
    <t>ΟΛΥΜΠΙΑΔΑ</t>
  </si>
  <si>
    <t>Φ472212</t>
  </si>
  <si>
    <t>ΒΕΛΗ</t>
  </si>
  <si>
    <t>ΑΑ369923</t>
  </si>
  <si>
    <t>ΑΑ303282</t>
  </si>
  <si>
    <t>ΒΑΓΓΕΛΙΤΣΑ</t>
  </si>
  <si>
    <t>ΑΙ281806</t>
  </si>
  <si>
    <t>ΚΟΖΟΡΩΝΗ</t>
  </si>
  <si>
    <t>ΑΟ972528</t>
  </si>
  <si>
    <t>ΜΑΓΚΑΦΑΣ</t>
  </si>
  <si>
    <t>ΑΙ214966</t>
  </si>
  <si>
    <t>ΑΖ370546</t>
  </si>
  <si>
    <t>ΑΙ338586</t>
  </si>
  <si>
    <t>ΑΖ486560</t>
  </si>
  <si>
    <t>ΑΙ303099</t>
  </si>
  <si>
    <t>ΑΕ612660</t>
  </si>
  <si>
    <t xml:space="preserve">ΝΤΟΥΝΙΑΔΑΚΗ </t>
  </si>
  <si>
    <t>ΑΝ650332</t>
  </si>
  <si>
    <t>ΛΙΑΚΟΥΛΗ</t>
  </si>
  <si>
    <t>Χ906199</t>
  </si>
  <si>
    <t>ΑΚ557554</t>
  </si>
  <si>
    <t>ΑΚ921070</t>
  </si>
  <si>
    <t>ΒΕΡΡΟΥ</t>
  </si>
  <si>
    <t>ΑΒ448721</t>
  </si>
  <si>
    <t>ΦΡΑΔΕΛΟΥ</t>
  </si>
  <si>
    <t>ΚΑΛΙΟΠΗ</t>
  </si>
  <si>
    <t>ΑΚ674730</t>
  </si>
  <si>
    <t>ΑΜ796831</t>
  </si>
  <si>
    <t>ΠΡΕΒΕΝΑ</t>
  </si>
  <si>
    <t>ΑΝ674816</t>
  </si>
  <si>
    <t>ΤΖΩΡΤΖΟΓΛΟΥ</t>
  </si>
  <si>
    <t>ΑΝ359052</t>
  </si>
  <si>
    <t>Τ484247</t>
  </si>
  <si>
    <t>ΧΕΡΙΔΗ</t>
  </si>
  <si>
    <t>ΑΙ444415</t>
  </si>
  <si>
    <t>ΤΣΕΠΕΛΙΚΑ</t>
  </si>
  <si>
    <t>EΥΡΙΔΙΚΗ</t>
  </si>
  <si>
    <t>ΑΖ209925</t>
  </si>
  <si>
    <t>ΑΡ327685</t>
  </si>
  <si>
    <t>ΜΑΓΓΟΥΣΗ</t>
  </si>
  <si>
    <t>ΑΒ087420</t>
  </si>
  <si>
    <t>ΜΠΟΛΗ</t>
  </si>
  <si>
    <t>ΑΝ562189</t>
  </si>
  <si>
    <t>ΑΝ921305</t>
  </si>
  <si>
    <t>ΑΖ106112</t>
  </si>
  <si>
    <t>ΑΕ731772</t>
  </si>
  <si>
    <t>ΔΟΥΓΑΛΗ</t>
  </si>
  <si>
    <t>ΑΑ410717</t>
  </si>
  <si>
    <t>ΛΑΜΠΡΙΔΗΣ</t>
  </si>
  <si>
    <t>ΑΟ158803</t>
  </si>
  <si>
    <t>ΑΕ638457</t>
  </si>
  <si>
    <t>ΣΙΛΑΙΟΥ</t>
  </si>
  <si>
    <t>Χ806494</t>
  </si>
  <si>
    <t>ΑΙ760181</t>
  </si>
  <si>
    <t>ΑΙ493504</t>
  </si>
  <si>
    <t>ΟΙΚΟΝΟΜΟΥ ΕΥΜΟΡΦΟΥΤΣΙΚΟΥ</t>
  </si>
  <si>
    <t>ΟΑ421178</t>
  </si>
  <si>
    <t>ΑΖ797446</t>
  </si>
  <si>
    <t>ΑΕ329220</t>
  </si>
  <si>
    <t>ΝΙΚΟΛΟΥΔΗ</t>
  </si>
  <si>
    <t>Χ975537</t>
  </si>
  <si>
    <t>ΑΗ976437</t>
  </si>
  <si>
    <t>ΑΒ996339</t>
  </si>
  <si>
    <t xml:space="preserve">ΜΠΟΛΑΝΟΥ </t>
  </si>
  <si>
    <t>ΑΚ130010</t>
  </si>
  <si>
    <t>ΚΑΣΤΕΛΛΑΝΟΥ</t>
  </si>
  <si>
    <t>ΑΖ047626</t>
  </si>
  <si>
    <t>ΑΒ159796</t>
  </si>
  <si>
    <t>ΜΑΡΟΥΛΑ</t>
  </si>
  <si>
    <t>ΑΗ881348</t>
  </si>
  <si>
    <t>ΒΟΤΣΗ</t>
  </si>
  <si>
    <t>ΑΗ351176</t>
  </si>
  <si>
    <t>ΤΣΑΜΠΙΚΑ ΣΤΑΥΡΟΥΛΑ</t>
  </si>
  <si>
    <t>ΤΑΣΟΣ</t>
  </si>
  <si>
    <t>ΑΗ453770</t>
  </si>
  <si>
    <t>ΚΑΡΑΝΤΟΥ</t>
  </si>
  <si>
    <t>ΑΑ799536</t>
  </si>
  <si>
    <t>Χ995519</t>
  </si>
  <si>
    <t>Χ142156</t>
  </si>
  <si>
    <t>ΜΠΑΡΜΠΕΡΗΣ</t>
  </si>
  <si>
    <t>ΑΗ625667</t>
  </si>
  <si>
    <t>ΑΖ069643</t>
  </si>
  <si>
    <t>ΑΝΔΡΙΑΝΝΑ</t>
  </si>
  <si>
    <t>ΑΟ054067</t>
  </si>
  <si>
    <t>ΑΕ128300</t>
  </si>
  <si>
    <t>ΑΟ260722</t>
  </si>
  <si>
    <t>ΑΙ196126</t>
  </si>
  <si>
    <t>ΘΕΟΦΑΝΟΠΟΥΛΟΥ ΑΝΔΡΙΑΝΑΚΟΥ</t>
  </si>
  <si>
    <t>ΑΝ972038</t>
  </si>
  <si>
    <t>ΚΑΡΔΑΡΑΣ</t>
  </si>
  <si>
    <t>ΑΟ820789</t>
  </si>
  <si>
    <t>ΚΑΤΣΙΜΠΟΥΡΗΣ</t>
  </si>
  <si>
    <t>Α0478218</t>
  </si>
  <si>
    <t>ΛΟΜΒΑΡΔΟΥ</t>
  </si>
  <si>
    <t>ΖΩΗ ΦΡΑΝΤΖΕΣΚΑ</t>
  </si>
  <si>
    <t>ΑΕ243100</t>
  </si>
  <si>
    <t>ΚΡΑΝΑΚΗ</t>
  </si>
  <si>
    <t>ΑΗ584564</t>
  </si>
  <si>
    <t>ΒΑΡΝΑΛΗ</t>
  </si>
  <si>
    <t>ΑΜ905904</t>
  </si>
  <si>
    <t>ΑΗ566003</t>
  </si>
  <si>
    <t>ΑΜ181798</t>
  </si>
  <si>
    <t>ΣΙΜΩΣΗ</t>
  </si>
  <si>
    <t>ΑΙ956153</t>
  </si>
  <si>
    <t>ΑΕ703150</t>
  </si>
  <si>
    <t>Φ346929</t>
  </si>
  <si>
    <t>ΑΕ396252</t>
  </si>
  <si>
    <t>ΑΑ428466</t>
  </si>
  <si>
    <t>ΑΟ343309</t>
  </si>
  <si>
    <t>ΑΟ161200</t>
  </si>
  <si>
    <t>ΜΑΡΙΑ ΡΟΖΑ</t>
  </si>
  <si>
    <t>ΑΒ966124</t>
  </si>
  <si>
    <t xml:space="preserve">ΤΡΙΑΝΤΑΦΥΛΛΙΔΟΥ </t>
  </si>
  <si>
    <t xml:space="preserve">ΚΑΣΣΙΑΝΗ </t>
  </si>
  <si>
    <t>ΑΚ162225</t>
  </si>
  <si>
    <t>ΑΑ385024</t>
  </si>
  <si>
    <t>ΤΖΙΜΟΠΟΥΛΟΥ</t>
  </si>
  <si>
    <t>ΑΟ134534</t>
  </si>
  <si>
    <t>ΑΝ682097</t>
  </si>
  <si>
    <t>ΑΙ207440</t>
  </si>
  <si>
    <t>ΑΕ269084</t>
  </si>
  <si>
    <t>Χ803846</t>
  </si>
  <si>
    <t>ΑΗ200209</t>
  </si>
  <si>
    <t>ΑΜ055568</t>
  </si>
  <si>
    <t>ΔΕΜΕΤΖΟΥ</t>
  </si>
  <si>
    <t>Χ416219</t>
  </si>
  <si>
    <t>ΑΕ727440</t>
  </si>
  <si>
    <t>ΑΟ553437</t>
  </si>
  <si>
    <t>ΔΕΣΠΟΙΝΑ ΑΘΗΝΑ</t>
  </si>
  <si>
    <t>Χ696385</t>
  </si>
  <si>
    <t>ΑΒ775394</t>
  </si>
  <si>
    <t>ΜΕΡΕΚΟΥΛΙΑ</t>
  </si>
  <si>
    <t>ΠΑΝΑΓΙΩΤΑ ΝΙΚΟΛΕΤΑ</t>
  </si>
  <si>
    <t>Χ905078</t>
  </si>
  <si>
    <t>ΖΕΚΗ</t>
  </si>
  <si>
    <t>ΜΑΡΙΑΝΘΗ ΙΩΑΝΝΑ</t>
  </si>
  <si>
    <t>ΑΝ596170</t>
  </si>
  <si>
    <t>ΛΙΑΜΠΕΡΗ</t>
  </si>
  <si>
    <t>ΑΕ550491</t>
  </si>
  <si>
    <t>ΑΖ209822</t>
  </si>
  <si>
    <t>ΣΩΤΗΡΑ</t>
  </si>
  <si>
    <t>ΑΚ963759</t>
  </si>
  <si>
    <t>ΑΖ213445</t>
  </si>
  <si>
    <t>ΜΑΝΙΑΤΑΚΟΥ</t>
  </si>
  <si>
    <t>ΑΕ754991</t>
  </si>
  <si>
    <t>ΜΠΑΡΟΥΤΑ</t>
  </si>
  <si>
    <t>Σ389261</t>
  </si>
  <si>
    <t>ΣΑΜΠΡΟΒΑΛΑΚΗΣ</t>
  </si>
  <si>
    <t>ΑΑ063380</t>
  </si>
  <si>
    <t>ΑΙ470641</t>
  </si>
  <si>
    <t>ΑΕ245293</t>
  </si>
  <si>
    <t>ΑΜ374594</t>
  </si>
  <si>
    <t>ΑΝ619455</t>
  </si>
  <si>
    <t>Φ243591</t>
  </si>
  <si>
    <t>ΚΑΛΑΘΑ</t>
  </si>
  <si>
    <t>ΑΝ702171</t>
  </si>
  <si>
    <t>ΚΑΡΑΓΚΙΟΖΑΚΗ</t>
  </si>
  <si>
    <t>Χ965247</t>
  </si>
  <si>
    <t>ΑΝ251144</t>
  </si>
  <si>
    <t>ΣΤΑΜΠΟΛΤΑ</t>
  </si>
  <si>
    <t>ΑΖ210762</t>
  </si>
  <si>
    <t>ΠΛΟΥΜΑΚΗ</t>
  </si>
  <si>
    <t>Χ916617</t>
  </si>
  <si>
    <t>Τ142448</t>
  </si>
  <si>
    <t>ΠΑΛΙΒΙΔΑ</t>
  </si>
  <si>
    <t>ΑΚ149409</t>
  </si>
  <si>
    <t>ΤΑΚΟΥΜΑΚΗ</t>
  </si>
  <si>
    <t>ΑΖ712436</t>
  </si>
  <si>
    <t>ΑΡ311489</t>
  </si>
  <si>
    <t>ΑΜ936014</t>
  </si>
  <si>
    <t>ΑΕ711062</t>
  </si>
  <si>
    <t>ΑΜ876843</t>
  </si>
  <si>
    <t>ΠΑΠΑΔΟΒΑΣΙΛΑΚΗ</t>
  </si>
  <si>
    <t>ΑΚ483303</t>
  </si>
  <si>
    <t>ΑΕ897437</t>
  </si>
  <si>
    <t>ΑΟ033995</t>
  </si>
  <si>
    <t>ΠΡΕΜΤΣΗ</t>
  </si>
  <si>
    <t>Χ450261</t>
  </si>
  <si>
    <t>ΑΜ275501</t>
  </si>
  <si>
    <t>ΚΟΝΤΕΛΛΗ</t>
  </si>
  <si>
    <t>ΑΜ529319</t>
  </si>
  <si>
    <t>ΚΑΛΟΓΡΙΔΗ</t>
  </si>
  <si>
    <t>ΑΑ023998</t>
  </si>
  <si>
    <t>ΑΒ459890</t>
  </si>
  <si>
    <t>ΚΑΡΑΜΟΥΡΤΗ</t>
  </si>
  <si>
    <t>ΑΗ762744</t>
  </si>
  <si>
    <t>ΑΝ809022</t>
  </si>
  <si>
    <t>ΑΒ388117</t>
  </si>
  <si>
    <t>Χ205210</t>
  </si>
  <si>
    <t>Χ316533</t>
  </si>
  <si>
    <t>ΝΤΑΒΑΡΙΝΟΥ</t>
  </si>
  <si>
    <t>ΑΜ070932</t>
  </si>
  <si>
    <t>ΑΝ746426</t>
  </si>
  <si>
    <t>ΜΠΟΥΤΣΙΑΡΑΚΟΣ</t>
  </si>
  <si>
    <t>ΘΑΛΗΣ</t>
  </si>
  <si>
    <t>ΑΑ086130</t>
  </si>
  <si>
    <t>ΑΙ609678</t>
  </si>
  <si>
    <t xml:space="preserve">ΤΖΕΝΗ ΟΛΓΑ </t>
  </si>
  <si>
    <t>ΑΕ224013</t>
  </si>
  <si>
    <t>ΕΡΩΤΟΚΡΙΤΑΚΗ</t>
  </si>
  <si>
    <t>ΑΖ460485</t>
  </si>
  <si>
    <t>ΤΖΟΥΒΙΣΤΑ</t>
  </si>
  <si>
    <t>ΑΝ298765</t>
  </si>
  <si>
    <t>ΜΟΛΑΚΗΣ</t>
  </si>
  <si>
    <t>ΑΟ126217</t>
  </si>
  <si>
    <t>ΙΩΑΝΝΗΣ ΣΠΥΡΙΔΩΝ</t>
  </si>
  <si>
    <t>ΑΚ468178</t>
  </si>
  <si>
    <t>ΑΜ734115</t>
  </si>
  <si>
    <t>ΑΜ348588</t>
  </si>
  <si>
    <t>ΑΙ806350</t>
  </si>
  <si>
    <t>ΑΟ430904</t>
  </si>
  <si>
    <t>ΑΑ377046</t>
  </si>
  <si>
    <t>Χ086526</t>
  </si>
  <si>
    <t>ΑΒ782186</t>
  </si>
  <si>
    <t>ΑΝ600857</t>
  </si>
  <si>
    <t>ΜΠΕΖΕΡΙΑΝΟΥ</t>
  </si>
  <si>
    <t>Ρ492293</t>
  </si>
  <si>
    <t>ΑΒ150288</t>
  </si>
  <si>
    <t>ΑΡ006502</t>
  </si>
  <si>
    <t>ΑΝΤΟΝΕΛΛΑ</t>
  </si>
  <si>
    <t>ΑΒ740321</t>
  </si>
  <si>
    <t>ΑΒ289437</t>
  </si>
  <si>
    <t>ΑΑ977541</t>
  </si>
  <si>
    <t xml:space="preserve">ΧΟΥΡΣΟΥΖΙΔΟΥ </t>
  </si>
  <si>
    <t>Χ847737</t>
  </si>
  <si>
    <t>ΒΟΥΛΒΟΥΚΕΛΗ</t>
  </si>
  <si>
    <t>ΑΟ653107</t>
  </si>
  <si>
    <t>ΜΑΡΚΟΓΙΑΝΝΑΚΗ</t>
  </si>
  <si>
    <t>ΑΝΤΖΕΛΑ ΠΑΝΑΓΙΩΤΑ</t>
  </si>
  <si>
    <t>Χ700080</t>
  </si>
  <si>
    <t>ΚΟΥΝΟΥΓΑΚΗ</t>
  </si>
  <si>
    <t>ΑΒ480018</t>
  </si>
  <si>
    <t>ΤΕΓΟΝΙΚΟΥ</t>
  </si>
  <si>
    <t>ΑΜ960639</t>
  </si>
  <si>
    <t>ΑΕ222376</t>
  </si>
  <si>
    <t>ΑΡΑΒΑΝΤΙΝΟΥ</t>
  </si>
  <si>
    <t>ΑΕ714870</t>
  </si>
  <si>
    <t>ΑΜ373505</t>
  </si>
  <si>
    <t>ΑΝΔΡΙΑΝΑ ΑΙΚΑΤΕΡΙΝΗ</t>
  </si>
  <si>
    <t>ΑΒ525455</t>
  </si>
  <si>
    <t>ΑΡ070620</t>
  </si>
  <si>
    <t>ΑΕ965021</t>
  </si>
  <si>
    <t>ΒΕΒΗ</t>
  </si>
  <si>
    <t>EMMANOYΕΛΑ</t>
  </si>
  <si>
    <t>ΑΖ591736</t>
  </si>
  <si>
    <t>Φ272666</t>
  </si>
  <si>
    <t>ΣΟΡΒΑΤΖΙΩΤΗ</t>
  </si>
  <si>
    <t>ΑΗ215633</t>
  </si>
  <si>
    <t>ΦΟΥΣΙΕΚΗ</t>
  </si>
  <si>
    <t>ΑΙ796739</t>
  </si>
  <si>
    <t>ΚΟΥΚΟΥΖΙΚΑ</t>
  </si>
  <si>
    <t>ΑΖ418537</t>
  </si>
  <si>
    <t>ΒΑΦΕΑΣ</t>
  </si>
  <si>
    <t>ΝΕΟΚΛΗΣ</t>
  </si>
  <si>
    <t>ΑΙ361008</t>
  </si>
  <si>
    <t>ΖΑΜΠΕΡΤΣΗ</t>
  </si>
  <si>
    <t>ΑΝ050140</t>
  </si>
  <si>
    <t>ΔΑΡΡΑ</t>
  </si>
  <si>
    <t>ΑΕ253631</t>
  </si>
  <si>
    <t>ΚΑΡΕΛΛΑΚΗ</t>
  </si>
  <si>
    <t>ΠΑΝΑΓΙΟΥΛΛΑ</t>
  </si>
  <si>
    <t>ΑΗ454317</t>
  </si>
  <si>
    <t>ΜΗΤΣΟΓΙΑΝΝΗΣ</t>
  </si>
  <si>
    <t>ΑΒ842119</t>
  </si>
  <si>
    <t>ΤΑΞΙΑΡΧΟΥ</t>
  </si>
  <si>
    <t>ΑΡΤΕΜΙΣ ΜΑΡΙΑ</t>
  </si>
  <si>
    <t>ΑΖ320780</t>
  </si>
  <si>
    <t>ΠΥΡΟΒΟΛΙΣΙΑΝΟΥ</t>
  </si>
  <si>
    <t>ΑΒ198282</t>
  </si>
  <si>
    <t>ΠΑΠΑΓΙΑΝΝΟΠΟΥΛΟΣ</t>
  </si>
  <si>
    <t>ΑΒ088340</t>
  </si>
  <si>
    <t>ΓΕΩΡΓΙΑΣ</t>
  </si>
  <si>
    <t>ΑΖ307828</t>
  </si>
  <si>
    <t>ΚΑΡΤΣΑΦΛΕΚΗΣ</t>
  </si>
  <si>
    <t>ΑΟ360114</t>
  </si>
  <si>
    <t>ΑΕ247215</t>
  </si>
  <si>
    <t>ΛΕΒΟΓΙΑΝΝΗ</t>
  </si>
  <si>
    <t>ΑΝ064867</t>
  </si>
  <si>
    <t>ΑΑ315559</t>
  </si>
  <si>
    <t>ΧΑΤΖΙΚΟΥ</t>
  </si>
  <si>
    <t>ΓΡΑΜΜΑΤΙΚΗ ΕΙΡΗΝΗ</t>
  </si>
  <si>
    <t>ΑΒ176716</t>
  </si>
  <si>
    <t>ΜΙΣΙΟΥ</t>
  </si>
  <si>
    <t>Χ988114</t>
  </si>
  <si>
    <t>Χ821199</t>
  </si>
  <si>
    <t>ΦΡΟΥΖΗ</t>
  </si>
  <si>
    <t>ΑΝ470664</t>
  </si>
  <si>
    <t>ΤΖΑΝΑΚΟΥ</t>
  </si>
  <si>
    <t>ΑΜ743991</t>
  </si>
  <si>
    <t>ΑΟ494758</t>
  </si>
  <si>
    <t>ΑΙ995802</t>
  </si>
  <si>
    <t>ΑΗ071480</t>
  </si>
  <si>
    <t>ΖΕΡΒΟΥΔΑΚΗ</t>
  </si>
  <si>
    <t>ΑΡΤΕΜΙΣΙΑ</t>
  </si>
  <si>
    <t>Χ496672</t>
  </si>
  <si>
    <t>ΒΑΦΕΙΑΔΟΥ</t>
  </si>
  <si>
    <t>ΧΡΥΣΑΦΙΝΑ</t>
  </si>
  <si>
    <t>Χ974217</t>
  </si>
  <si>
    <t>ΑΚ365251</t>
  </si>
  <si>
    <t>ΑΕ228362</t>
  </si>
  <si>
    <t>ΓΟΥΖΙΟΥ</t>
  </si>
  <si>
    <t>ΑΒ522567</t>
  </si>
  <si>
    <t>ΜΑΛΑΚΟΖΗ</t>
  </si>
  <si>
    <t>ΑΝ423566</t>
  </si>
  <si>
    <t>ΑΡ451201</t>
  </si>
  <si>
    <t>ΓΙΑΝΝΟΚΩΣΤΑ</t>
  </si>
  <si>
    <t>ΑΑ307057</t>
  </si>
  <si>
    <t>ΤΣΑΚΟΥΜΑΚΟΥ</t>
  </si>
  <si>
    <t>ΑΕ238382</t>
  </si>
  <si>
    <t>ΒΗΧΑ</t>
  </si>
  <si>
    <t>ΑΘΗΝΑ ΕΥΑΓΓΕΛΙΑ</t>
  </si>
  <si>
    <t>ΑΝ101330</t>
  </si>
  <si>
    <t>ΜΩΡΑΙΤΙΔΟΥ</t>
  </si>
  <si>
    <t>ΑΖ162001</t>
  </si>
  <si>
    <t>ΚΑΠΝΙΣΗ</t>
  </si>
  <si>
    <t>ΑΕ308439</t>
  </si>
  <si>
    <t>ΑΗ121412</t>
  </si>
  <si>
    <t>ΧΑΤΖΗΚΥΡΙΑΚΙΔΗ</t>
  </si>
  <si>
    <t>ΑΒ428841</t>
  </si>
  <si>
    <t>Σ742349</t>
  </si>
  <si>
    <t>ΑΕ610214</t>
  </si>
  <si>
    <t>ΓΙΑΝΝΙΤΣΑΣ</t>
  </si>
  <si>
    <t>ΑΟ472817</t>
  </si>
  <si>
    <t>ΞΕΡΟΥΔΑΚΗΣ</t>
  </si>
  <si>
    <t>ΑΙ944342</t>
  </si>
  <si>
    <t>ΑΗ821758</t>
  </si>
  <si>
    <t>ΡΟΥΣΣΟΣ</t>
  </si>
  <si>
    <t>Χ860289</t>
  </si>
  <si>
    <t>ΑΚΡΩΤΗΡΙΑΝΑΚΗ</t>
  </si>
  <si>
    <t>ΑΝ562811</t>
  </si>
  <si>
    <t>ΑΒ488087</t>
  </si>
  <si>
    <t>ΜΑΥΡΑΝΤΩΝΑΚΗ</t>
  </si>
  <si>
    <t>ΑΗ969299</t>
  </si>
  <si>
    <t>ΑΟ492624</t>
  </si>
  <si>
    <t>ΠΟΥΛΟΥΚΤΣΗ</t>
  </si>
  <si>
    <t>Χ785458</t>
  </si>
  <si>
    <t>ΧΑΛΙΒΕΛΑΚΗ</t>
  </si>
  <si>
    <t>ΜΑΓΔΑ</t>
  </si>
  <si>
    <t>Χ495999</t>
  </si>
  <si>
    <t>ΑΗ203029</t>
  </si>
  <si>
    <t>ΓΕΡΟΘΑΝΑΣΗ</t>
  </si>
  <si>
    <t>ΑΒ242164</t>
  </si>
  <si>
    <t>ΚΙΟΥΠΕΛΟΓΛΟΥ</t>
  </si>
  <si>
    <t>ΑΜ307617</t>
  </si>
  <si>
    <t>ΑΖ702605</t>
  </si>
  <si>
    <t>ΑΗ452508</t>
  </si>
  <si>
    <t>ΚΑΤΣΟΥΛΑΚΗ</t>
  </si>
  <si>
    <t>ΑΙ942714</t>
  </si>
  <si>
    <t>ΚΑΡΑΒΑΣΗΣ</t>
  </si>
  <si>
    <t>ΑΗ318057</t>
  </si>
  <si>
    <t>ΑΒ070896</t>
  </si>
  <si>
    <t>Χ294321</t>
  </si>
  <si>
    <t>ΑΕ223936</t>
  </si>
  <si>
    <t>ΝΙΩΡΑ</t>
  </si>
  <si>
    <t>ΑΙ003946</t>
  </si>
  <si>
    <t>ΛΑΜΠΡΙΝΑΚΟΥ</t>
  </si>
  <si>
    <t>ΑΗ736784</t>
  </si>
  <si>
    <t>Χ201015</t>
  </si>
  <si>
    <t>ΜΥΛΩΝΟΠΟΥΛΟΥ</t>
  </si>
  <si>
    <t>ΑΖ905392</t>
  </si>
  <si>
    <t>ΝΕΟΣ</t>
  </si>
  <si>
    <t>ΑΒ172711</t>
  </si>
  <si>
    <t>ΚΑΡΑΖΟΥΡΝΙΑ</t>
  </si>
  <si>
    <t>ΑΖ204529</t>
  </si>
  <si>
    <t>ΑΙ460616</t>
  </si>
  <si>
    <t>ΠΑΡΘΕΝΙΩΤΗ</t>
  </si>
  <si>
    <t>ΑΚ293571</t>
  </si>
  <si>
    <t>ΑΗ743720</t>
  </si>
  <si>
    <t>ΖΗΣΟ</t>
  </si>
  <si>
    <t>ΑΚ230269</t>
  </si>
  <si>
    <t>ΑΜ953090</t>
  </si>
  <si>
    <t>ΑΝ264309</t>
  </si>
  <si>
    <t>ΜΠΑΛΙΛΑΚΗ</t>
  </si>
  <si>
    <t>ΑΑ496926</t>
  </si>
  <si>
    <t>ΜΠΑΛΟΘΙΑΡΗ</t>
  </si>
  <si>
    <t>Χ417439</t>
  </si>
  <si>
    <t>ΔΡΟΣΑΤΑΚΗ</t>
  </si>
  <si>
    <t>Ι ΩΑΝΝΗΣ</t>
  </si>
  <si>
    <t>ΑΙ444655</t>
  </si>
  <si>
    <t>Χ984589</t>
  </si>
  <si>
    <t>ΛΙΟΥΤΑ</t>
  </si>
  <si>
    <t>ΑΜ733366</t>
  </si>
  <si>
    <t>ΣΚΑΜΝΟΥ</t>
  </si>
  <si>
    <t>ΑΗ873952</t>
  </si>
  <si>
    <t>ΚΑΚΑΦΩΝΗ</t>
  </si>
  <si>
    <t>ΑΗ711368</t>
  </si>
  <si>
    <t>ΑΖ978328</t>
  </si>
  <si>
    <t>ΑΕ253148</t>
  </si>
  <si>
    <t>Χ626697</t>
  </si>
  <si>
    <t>ΓΕΩΡΓΟΓΙΑΝΝΗ</t>
  </si>
  <si>
    <t>ΑΝ158165</t>
  </si>
  <si>
    <t>ΑΙ046083</t>
  </si>
  <si>
    <t>Χ311035</t>
  </si>
  <si>
    <t>ΛΑΖΑΡΟΠΟΥΛΟΣ</t>
  </si>
  <si>
    <t>ΑΖ705105</t>
  </si>
  <si>
    <t>ΑΚ518397</t>
  </si>
  <si>
    <t>ΑΝ432152</t>
  </si>
  <si>
    <t>ΑΟ023024</t>
  </si>
  <si>
    <t>ΤΖΟΥΓΑΝΑΤΟΥ</t>
  </si>
  <si>
    <t>Τ579181</t>
  </si>
  <si>
    <t xml:space="preserve">ΜΕΣΕΛΙΔΟΥ ΠΑΠΑΚΙΠΗ </t>
  </si>
  <si>
    <t>ΑΜ865483</t>
  </si>
  <si>
    <t>ΑΑ083294</t>
  </si>
  <si>
    <t>ΦΑΡΣΑΡΑΚΗ</t>
  </si>
  <si>
    <t>ΑΖ456517</t>
  </si>
  <si>
    <t>Χ303194</t>
  </si>
  <si>
    <t>Φ437675</t>
  </si>
  <si>
    <t>Χ489984</t>
  </si>
  <si>
    <t>ΚΑΡΟΤΣΙΕΡΗ</t>
  </si>
  <si>
    <t>ΑΙ254785</t>
  </si>
  <si>
    <t>ΠΑΡΗΣΙΑ ΑΙΚΑΤΕΡΙΝΗ</t>
  </si>
  <si>
    <t>ΑΗ459528</t>
  </si>
  <si>
    <t>ΙΠΠΕΙΩΤΗ</t>
  </si>
  <si>
    <t>ΕΥΣΤΡ</t>
  </si>
  <si>
    <t>ΑΑ437878</t>
  </si>
  <si>
    <t>ΖΑΠΡΟΠΟΥΛΟΥ</t>
  </si>
  <si>
    <t>ΑΚ288028</t>
  </si>
  <si>
    <t>ΑΝ893058</t>
  </si>
  <si>
    <t>Χ835266</t>
  </si>
  <si>
    <t>ΚΙΒΡΑΚΙΔΟΥ</t>
  </si>
  <si>
    <t>ΑΖ793430</t>
  </si>
  <si>
    <t>ΑΙ757235</t>
  </si>
  <si>
    <t>ΡΕΝΑΝΘΗ</t>
  </si>
  <si>
    <t>ΑΙ951884</t>
  </si>
  <si>
    <t>ΓΙΑΒΡΟΥΔΗ</t>
  </si>
  <si>
    <t>Χ975561</t>
  </si>
  <si>
    <t>Χ848721</t>
  </si>
  <si>
    <t>ΚΟΥΠΡΑ</t>
  </si>
  <si>
    <t>ΑΑ485110</t>
  </si>
  <si>
    <t>ΚΑΡΛΗ</t>
  </si>
  <si>
    <t>ΑΖ467448</t>
  </si>
  <si>
    <t>Χ933794</t>
  </si>
  <si>
    <t>ΦΛΩΡΑΤΟΥ</t>
  </si>
  <si>
    <t>Χ295394</t>
  </si>
  <si>
    <t>ΔΡΙΒΑ</t>
  </si>
  <si>
    <t>ΑΕ557889</t>
  </si>
  <si>
    <t>ΑΒ776756</t>
  </si>
  <si>
    <t>ΛΕΛΟΥΔΑ</t>
  </si>
  <si>
    <t>ΑΙ300104</t>
  </si>
  <si>
    <t>ΣΑΜΙΩΤΗΣ</t>
  </si>
  <si>
    <t>ΑΑ008008</t>
  </si>
  <si>
    <t>Σ849255</t>
  </si>
  <si>
    <t>ΑΗ331343</t>
  </si>
  <si>
    <t>ΤΟΥΜΠΟΥΛΗ</t>
  </si>
  <si>
    <t>ΑΒ312201</t>
  </si>
  <si>
    <t>ΑΡ290100</t>
  </si>
  <si>
    <t>ΜΑΝΙΟΥΔΑΚΗ</t>
  </si>
  <si>
    <t>Χ962907</t>
  </si>
  <si>
    <t>ΣΚΛΑΒΟΥΝΟΣ</t>
  </si>
  <si>
    <t>ΑΚ339574</t>
  </si>
  <si>
    <t>ΤΖΟΑΝΟΥ</t>
  </si>
  <si>
    <t>ΑΕ930243</t>
  </si>
  <si>
    <t>ΑΟ296526</t>
  </si>
  <si>
    <t>Τ099712</t>
  </si>
  <si>
    <t>Χ831568</t>
  </si>
  <si>
    <t>ΦΑΦΑ</t>
  </si>
  <si>
    <t>ΑΑ378641</t>
  </si>
  <si>
    <t>ΤΑΝΙΔΟΥ</t>
  </si>
  <si>
    <t>ΑΗ428265</t>
  </si>
  <si>
    <t>ΑΟ706615</t>
  </si>
  <si>
    <t>ΜΑΛΚΟΠΟΥΛΟΥ</t>
  </si>
  <si>
    <t>ΑΖ869798</t>
  </si>
  <si>
    <t>ΑΙ302439</t>
  </si>
  <si>
    <t>ΑΛΒΑΡΟ</t>
  </si>
  <si>
    <t>ΑΚ545834</t>
  </si>
  <si>
    <t>ΣΑΡΗΓΙΑΝΝΙΔΟΥ</t>
  </si>
  <si>
    <t>Φ246116</t>
  </si>
  <si>
    <t>ΒΑΡΔΑΡΗ</t>
  </si>
  <si>
    <t>ΑΚ433128</t>
  </si>
  <si>
    <t>ΜΠΕΣΚΑ</t>
  </si>
  <si>
    <t>ΑΕ772288</t>
  </si>
  <si>
    <t>ΑΛΕΞΑΝΔΡ</t>
  </si>
  <si>
    <t>Π079281</t>
  </si>
  <si>
    <t>ΚΑΡΠΟΥΤΖΑΚΗ</t>
  </si>
  <si>
    <t>ΑΕ960174</t>
  </si>
  <si>
    <t>ΒΑΛΣΑΜΑΚΗ</t>
  </si>
  <si>
    <t>ΑΒ254706</t>
  </si>
  <si>
    <t>ΚΑΡΝΙΑΤΗ</t>
  </si>
  <si>
    <t>Χ403891</t>
  </si>
  <si>
    <t>ΔΕΜΑΤΑ</t>
  </si>
  <si>
    <t>ΑΖ720641</t>
  </si>
  <si>
    <t>ΤΣΑΝΑΙ</t>
  </si>
  <si>
    <t>ΤΖΟΥΛΙΑ</t>
  </si>
  <si>
    <t>ΕΝΓΚΕΛ</t>
  </si>
  <si>
    <t>ΑΝ500158</t>
  </si>
  <si>
    <t>ΑΕ206809</t>
  </si>
  <si>
    <t>ΖΑΝΤΕ</t>
  </si>
  <si>
    <t>Χ301698</t>
  </si>
  <si>
    <t>ΤΣΑΜΠΙΚΑ</t>
  </si>
  <si>
    <t>ΑΖ947701</t>
  </si>
  <si>
    <t>ΑΕΡΑΚΗ</t>
  </si>
  <si>
    <t>ΑΑ374597</t>
  </si>
  <si>
    <t>ΤΖΙΚΑ</t>
  </si>
  <si>
    <t>ΑΖ441300</t>
  </si>
  <si>
    <t>KΑΛΛΙΟΠΗ</t>
  </si>
  <si>
    <t>ΑΑ277198</t>
  </si>
  <si>
    <t>ΤΡΙΑΝΤΟΥ</t>
  </si>
  <si>
    <t>ΑΒ395296</t>
  </si>
  <si>
    <t>ΑΙ316678</t>
  </si>
  <si>
    <t>Ρ902426</t>
  </si>
  <si>
    <t>ΑΚ404569</t>
  </si>
  <si>
    <t>ΡΟΥΦΟΣ</t>
  </si>
  <si>
    <t>ΑΗ903345</t>
  </si>
  <si>
    <t>ΑΜ686172</t>
  </si>
  <si>
    <t>ΑΕ868392</t>
  </si>
  <si>
    <t>ΑΚ467798</t>
  </si>
  <si>
    <t>Τ514486</t>
  </si>
  <si>
    <t>ΝΤΕΜΟΓΙΑΝΝΗ</t>
  </si>
  <si>
    <t>Ρ364992</t>
  </si>
  <si>
    <t>ΒΙΤΚΑ</t>
  </si>
  <si>
    <t>ΑΗ305927</t>
  </si>
  <si>
    <t>ΜΠΡΟΥΝΤΖΙΟΥ</t>
  </si>
  <si>
    <t>ΑΖ838934</t>
  </si>
  <si>
    <t>Χ215748</t>
  </si>
  <si>
    <t>ΑΙ755808</t>
  </si>
  <si>
    <t>Χ304050</t>
  </si>
  <si>
    <t>ΤΣΟΜΠΡΑ</t>
  </si>
  <si>
    <t>ΑΟ951104</t>
  </si>
  <si>
    <t>ΚΥΡΙΑΚΑΚΗΣ</t>
  </si>
  <si>
    <t>Π162880</t>
  </si>
  <si>
    <t>ΒΑΣΙΛΑΡΑ</t>
  </si>
  <si>
    <t>ΑΝ093004</t>
  </si>
  <si>
    <t>Χ706443</t>
  </si>
  <si>
    <t>ΧΑΤΖΗΑΝΔΡΕΟΥ</t>
  </si>
  <si>
    <t>ΑΟ142190</t>
  </si>
  <si>
    <t>ΚΙΚΙΩΝΗ</t>
  </si>
  <si>
    <t>ΑΝ294782</t>
  </si>
  <si>
    <t xml:space="preserve">ΓΕΡΑΣΙΜΟΣ </t>
  </si>
  <si>
    <t>ΑΝ861540</t>
  </si>
  <si>
    <t>ΚΑΨΑΛΗΣ</t>
  </si>
  <si>
    <t>ΑΒ981709</t>
  </si>
  <si>
    <t>ΑΝ572394</t>
  </si>
  <si>
    <t>ΧΑΛΑΜΑΝΙΔΟΥ</t>
  </si>
  <si>
    <t>ΑΝ204095</t>
  </si>
  <si>
    <t>ΑΒ775752</t>
  </si>
  <si>
    <t>ΑΚ528594</t>
  </si>
  <si>
    <t>ΑΗ367784</t>
  </si>
  <si>
    <t>ΑΕ710413</t>
  </si>
  <si>
    <t>ΙΝΤΑΣ</t>
  </si>
  <si>
    <t>ΑΕ564603</t>
  </si>
  <si>
    <t>ΑΙ401693</t>
  </si>
  <si>
    <t>ΑΛΜΠΑΝΗ</t>
  </si>
  <si>
    <t>Χ839667</t>
  </si>
  <si>
    <t>Φ204933</t>
  </si>
  <si>
    <t>ΑΗ808519</t>
  </si>
  <si>
    <t>ΜΠΕΡΒΑΝΑΚΗ</t>
  </si>
  <si>
    <t>ΑΗ471295</t>
  </si>
  <si>
    <t>ΚΟΝΤΟΘΕΟΔΩΡΟΥ</t>
  </si>
  <si>
    <t>ΑΕ002135</t>
  </si>
  <si>
    <t>ΜΟΥΡΤΖΙΝΗ</t>
  </si>
  <si>
    <t>Φ122446</t>
  </si>
  <si>
    <t>ΓΑΛΑΤΕΙΑ</t>
  </si>
  <si>
    <t>ΑΑ130144</t>
  </si>
  <si>
    <t>Χ808548</t>
  </si>
  <si>
    <t>ΤΥΡΟΠΩΛΗ</t>
  </si>
  <si>
    <t>ΑΑ440606</t>
  </si>
  <si>
    <t>ΑΨΩΚΑΡΔΟΥ</t>
  </si>
  <si>
    <t>ΑΕ932730</t>
  </si>
  <si>
    <t>ΡΙΝΑΚΑΚΗ</t>
  </si>
  <si>
    <t>ΜΥΡΩΝΑΣ</t>
  </si>
  <si>
    <t>Χ357235</t>
  </si>
  <si>
    <t>ΑΗ209631</t>
  </si>
  <si>
    <t>ΤΡΙΤΣΚΑ</t>
  </si>
  <si>
    <t>ΑΚ889078</t>
  </si>
  <si>
    <t>Τ863384</t>
  </si>
  <si>
    <t>ΑΝ506844</t>
  </si>
  <si>
    <t>ΑΜ398957</t>
  </si>
  <si>
    <t>Χ707123</t>
  </si>
  <si>
    <t>ΒΕΡΡΑΣ</t>
  </si>
  <si>
    <t>ΑΙ752792</t>
  </si>
  <si>
    <t>ΑΟ934286</t>
  </si>
  <si>
    <t>ΚΟΥΤΣΙΜΠΕΛΑ</t>
  </si>
  <si>
    <t>ΑΙ314585</t>
  </si>
  <si>
    <t>ΑΕ728520</t>
  </si>
  <si>
    <t>ΠΡΕΒΕΖΑΝΟΥ</t>
  </si>
  <si>
    <t>ΑΝ514689</t>
  </si>
  <si>
    <t>ΑΗ455327</t>
  </si>
  <si>
    <t>ΚΑΤΣΑΜΠΕΡΗ</t>
  </si>
  <si>
    <t>Φ493559</t>
  </si>
  <si>
    <t>ΑΚ450651</t>
  </si>
  <si>
    <t>ΑΕ819367</t>
  </si>
  <si>
    <t>ΣΜΥΡΝΑΚΗ</t>
  </si>
  <si>
    <t>ΑΗ960619</t>
  </si>
  <si>
    <t>ΓΚΙΓΚΟΥΔΗ</t>
  </si>
  <si>
    <t>ΑΖ924705</t>
  </si>
  <si>
    <t>ΜΠΑΤΣΙΛΑ</t>
  </si>
  <si>
    <t>ΑΖ764959</t>
  </si>
  <si>
    <t>ΤΣΟΚΑΣ</t>
  </si>
  <si>
    <t>ΑΝ326151</t>
  </si>
  <si>
    <t>ΚΑΤΣΑΡΔΗ</t>
  </si>
  <si>
    <t>Χ570886</t>
  </si>
  <si>
    <t>ΚΩΤΤΑ</t>
  </si>
  <si>
    <t>ΜΑΚΕΔΟΝΙΑ</t>
  </si>
  <si>
    <t>ΑΑ408341</t>
  </si>
  <si>
    <t>ΚΟΥΤΡΟΥΠΗ</t>
  </si>
  <si>
    <t>ΑΕ929089</t>
  </si>
  <si>
    <t>ΑΜ464055</t>
  </si>
  <si>
    <t>ΓΙΑΓΚΟΥΔΑΚΗ</t>
  </si>
  <si>
    <t>ΑΚ446623</t>
  </si>
  <si>
    <t>ΑΟ314668</t>
  </si>
  <si>
    <t>ΣΑΛΙΑΡΗ</t>
  </si>
  <si>
    <t>ΑΖ756210</t>
  </si>
  <si>
    <t>ΣΒΟΛΙΑΝΤΟΠΟΥΛΟΥ</t>
  </si>
  <si>
    <t>ΑΖ995865</t>
  </si>
  <si>
    <t>ΤΟΥΡΝΑΒΙΤΗ</t>
  </si>
  <si>
    <t>ΑΗ821078</t>
  </si>
  <si>
    <t>ΜΕΛΙΣΣΑΡΟΠΟΥΛΟΥ</t>
  </si>
  <si>
    <t>Χ397402</t>
  </si>
  <si>
    <t>ΑΒ794214</t>
  </si>
  <si>
    <t>ΚΟΤΟΓΛΟΥ</t>
  </si>
  <si>
    <t>ΑΗ876650</t>
  </si>
  <si>
    <t>ΔΑΜΗΛΑΚΗ</t>
  </si>
  <si>
    <t>ΑΟ803681</t>
  </si>
  <si>
    <t>ΤΕΡΖΟΥΔΗ</t>
  </si>
  <si>
    <t>Χ783449</t>
  </si>
  <si>
    <t>ΑΖ948900</t>
  </si>
  <si>
    <t>ΑΒ313042</t>
  </si>
  <si>
    <t>ΑΙ453900</t>
  </si>
  <si>
    <t>ΑΕ749154</t>
  </si>
  <si>
    <t>ΑΟ962904</t>
  </si>
  <si>
    <t>ΧΑΡΙΣΙΑΔΟΥ</t>
  </si>
  <si>
    <t>ΑΝ782143</t>
  </si>
  <si>
    <t>ΑΚ947197</t>
  </si>
  <si>
    <t>ΑΓΟΡΑΣΤΗΣ ΟΡΕΣΤΗΣ</t>
  </si>
  <si>
    <t>ΑΙ908291</t>
  </si>
  <si>
    <t>ΚΟΡΩΝΙΟΥ</t>
  </si>
  <si>
    <t>ΑΟ303618</t>
  </si>
  <si>
    <t>ΑΚ993407</t>
  </si>
  <si>
    <t>Χ811807</t>
  </si>
  <si>
    <t>ΔΕΛΛΑΠΟΡΤΑ</t>
  </si>
  <si>
    <t>Τ519575</t>
  </si>
  <si>
    <t>ΣΕΡΣΕΜΗ</t>
  </si>
  <si>
    <t>ΑΙ324306</t>
  </si>
  <si>
    <t>ΤΣΟΥΜΑΝΗ ΚΑΤΣΑΡΕΑ</t>
  </si>
  <si>
    <t>ΑΚ582554</t>
  </si>
  <si>
    <t>ΔΙΑΝΕΛΗ</t>
  </si>
  <si>
    <t>ΑΝ802854</t>
  </si>
  <si>
    <t>Χ838494</t>
  </si>
  <si>
    <t>ΑΖ920155</t>
  </si>
  <si>
    <t>ΜΠΟΥΡΤΖΙΛΑ</t>
  </si>
  <si>
    <t>ΑΒ385076</t>
  </si>
  <si>
    <t>ΚΑΘΙΩΤΟΥ</t>
  </si>
  <si>
    <t>ΑΑ055401</t>
  </si>
  <si>
    <t>ΚΑΦΟΥΣΙΑ</t>
  </si>
  <si>
    <t>ΑΑ324180</t>
  </si>
  <si>
    <t>ΠΑΝΤΟΛΕΩΝ</t>
  </si>
  <si>
    <t>ΑΒ768145</t>
  </si>
  <si>
    <t>ΑΕ494141</t>
  </si>
  <si>
    <t>ΣΤΑΦΥΛΑΡΑΚΗ</t>
  </si>
  <si>
    <t>ΑΕ471512</t>
  </si>
  <si>
    <t>ΜΕΓΑ</t>
  </si>
  <si>
    <t>Χ717889</t>
  </si>
  <si>
    <t>ΗΡΕΙΩΤΗ</t>
  </si>
  <si>
    <t>ΦΩΤΕΙΝΟΣ</t>
  </si>
  <si>
    <t>Φ387049</t>
  </si>
  <si>
    <t>ΜΗΤΤΑ</t>
  </si>
  <si>
    <t>ΑΗ900166</t>
  </si>
  <si>
    <t>ΝΕΡΑΝΤΖΟΥΛΗ</t>
  </si>
  <si>
    <t>ΑΝ470393</t>
  </si>
  <si>
    <t>ΜΗΛΟΥΣΗ</t>
  </si>
  <si>
    <t>ΑΙ373804</t>
  </si>
  <si>
    <t>ΝΤΕΛΛΗ</t>
  </si>
  <si>
    <t>ΑΖ739365</t>
  </si>
  <si>
    <t>ΑΗ203050</t>
  </si>
  <si>
    <t>Χ576984</t>
  </si>
  <si>
    <t>ΔΩΜΑΤΑ</t>
  </si>
  <si>
    <t>ΑΕ964005</t>
  </si>
  <si>
    <t>ΑΝΔΡΕΑΝΗ</t>
  </si>
  <si>
    <t>Ν656116</t>
  </si>
  <si>
    <t>ΔΟΙΤΣΙΔΗ</t>
  </si>
  <si>
    <t>ΑΙ081715</t>
  </si>
  <si>
    <t>ΚΟΥΤΡΟΥΛΗ</t>
  </si>
  <si>
    <t>Τ888060</t>
  </si>
  <si>
    <t>ΑΡΙΣΤΕΑ ΕΛΙΝΑ</t>
  </si>
  <si>
    <t>ΑΒ108135</t>
  </si>
  <si>
    <t>ΑΖ717885</t>
  </si>
  <si>
    <t>ΓΡΗΓΟΡΙΑ ΕΛΕΝΗ</t>
  </si>
  <si>
    <t>ΑΜ757407</t>
  </si>
  <si>
    <t>ΜΠΕΛΚΑΚΗ</t>
  </si>
  <si>
    <t>ΑΗ485258</t>
  </si>
  <si>
    <t>ΝΙΚΗΤΙΑ ΑΝΑΣΤΑΣΙΑ</t>
  </si>
  <si>
    <t>ΑΖ604907</t>
  </si>
  <si>
    <t>ΠΑΠΑΛΟΥΚΑ</t>
  </si>
  <si>
    <t>ΑΝ494166</t>
  </si>
  <si>
    <t>ΜΙΤΕΝΤΖΗΣ</t>
  </si>
  <si>
    <t>ΑΙ956320</t>
  </si>
  <si>
    <t>ΑΖ263750</t>
  </si>
  <si>
    <t>ΦΡΙΛΙΓΚΟΥ</t>
  </si>
  <si>
    <t>Χ117158</t>
  </si>
  <si>
    <t>ΧΡΙΣΤΟΔΟΥΛΙΔΗΣ</t>
  </si>
  <si>
    <t>ΑΟ284512</t>
  </si>
  <si>
    <t>ΑΑ271670</t>
  </si>
  <si>
    <t>ΑΖ347713</t>
  </si>
  <si>
    <t>ΜΠΑΚΙΡΤΣΗ</t>
  </si>
  <si>
    <t>ΑΟ409420</t>
  </si>
  <si>
    <t>ΚΛΕΑΝΘΗΣ ΚΩΝΣΤΑΝΤΙΝΟΣ</t>
  </si>
  <si>
    <t>ΑΕ225256</t>
  </si>
  <si>
    <t>ΑΒ485159</t>
  </si>
  <si>
    <t>Χ807927</t>
  </si>
  <si>
    <t>ΚΟΚΚΟΣΗ</t>
  </si>
  <si>
    <t>ΑΕ780901</t>
  </si>
  <si>
    <t>ΑΖ965080</t>
  </si>
  <si>
    <t>ΚΡΑΜΠΗΣ</t>
  </si>
  <si>
    <t>ΑΚ681292</t>
  </si>
  <si>
    <t>ΜΠΑΜΠΟΥΝΗ</t>
  </si>
  <si>
    <t>ΑΚ347506</t>
  </si>
  <si>
    <t>ΡΙΖΩΤΑΚΗ</t>
  </si>
  <si>
    <t>Χ352165</t>
  </si>
  <si>
    <t>ΧΑΤΖΗΛΑΜΠΡΟΥ</t>
  </si>
  <si>
    <t>ΑΖ927636</t>
  </si>
  <si>
    <t>ΧΑΤΖΗΔΕΛΛΙΟΥ</t>
  </si>
  <si>
    <t>ΑΝ456857</t>
  </si>
  <si>
    <t>ΧΡΥΣΑΝΘΑΚΟΠΟΥΛΟΣ</t>
  </si>
  <si>
    <t>Χ801730</t>
  </si>
  <si>
    <t>Σ862575</t>
  </si>
  <si>
    <t>ΦΡΑΝΤΖΕΣΚΟΥ</t>
  </si>
  <si>
    <t>ΑΚ290332</t>
  </si>
  <si>
    <t>ΑΝ337595</t>
  </si>
  <si>
    <t>ΑΕ901913</t>
  </si>
  <si>
    <t>ΛΙΝΑΡΔΟΥ</t>
  </si>
  <si>
    <t>ΑΚ072952</t>
  </si>
  <si>
    <t>ΒΕΛΟΝΑ</t>
  </si>
  <si>
    <t>ΑΕ720798</t>
  </si>
  <si>
    <t>ΑΚ352173</t>
  </si>
  <si>
    <t>ΚΑΤΕΧΑΛΙΔΟΥ</t>
  </si>
  <si>
    <t>ΑΗ364001</t>
  </si>
  <si>
    <t>ΑΜ394493</t>
  </si>
  <si>
    <t>ΑΙ329475</t>
  </si>
  <si>
    <t>ΒΑΛΣΑΜΙΔΟΥ</t>
  </si>
  <si>
    <t>ΑΒ740453</t>
  </si>
  <si>
    <t>ΚΑΠΝΙΑΣ</t>
  </si>
  <si>
    <t>ΑΙ478437</t>
  </si>
  <si>
    <t>ΑΙ011748</t>
  </si>
  <si>
    <t>ΜΠΑΝΤΑΝΑ</t>
  </si>
  <si>
    <t>Χ788955</t>
  </si>
  <si>
    <t>ΚΟΤΙΛΙΔΑ</t>
  </si>
  <si>
    <t>Χ781356</t>
  </si>
  <si>
    <t>ΑΜ352146</t>
  </si>
  <si>
    <t>ΜΕΖΑΡΛΗ</t>
  </si>
  <si>
    <t>ΑΟ413246</t>
  </si>
  <si>
    <t>ΑΜΙΡΑΤΖΕΜΠΙ</t>
  </si>
  <si>
    <t>ΝΑΤΙΑ</t>
  </si>
  <si>
    <t>ΖΑΖΑ</t>
  </si>
  <si>
    <t>ΑΚ476203</t>
  </si>
  <si>
    <t>ΑΙ776550</t>
  </si>
  <si>
    <t>ΣΟΑΡΕΣ ΡΑΦΑΕΛ</t>
  </si>
  <si>
    <t>ΑΝ435741</t>
  </si>
  <si>
    <t>Χ617574</t>
  </si>
  <si>
    <t>ΜΠΑΝΑΓΗ</t>
  </si>
  <si>
    <t>ΑΕ269120</t>
  </si>
  <si>
    <t>ΑΑ428234</t>
  </si>
  <si>
    <t>ΚΑΡΑΜΕΣΟΥΤΗ</t>
  </si>
  <si>
    <t>ΑΖ724649</t>
  </si>
  <si>
    <t>ΣΚΟΥΜΠΡΗ</t>
  </si>
  <si>
    <t>ΑΕ984084</t>
  </si>
  <si>
    <t>ΜΕΛΙΟΠΟΥΛΟΣ</t>
  </si>
  <si>
    <t>ΑΟ956889</t>
  </si>
  <si>
    <t>ΑΙ496934</t>
  </si>
  <si>
    <t>ΑΛΕΒΥΖΟΣ</t>
  </si>
  <si>
    <t>ΑΟ430607</t>
  </si>
  <si>
    <t>Α0941642</t>
  </si>
  <si>
    <t>ΚΕΣΚΙΝΗ</t>
  </si>
  <si>
    <t>ΑΗ415493</t>
  </si>
  <si>
    <t>ΜΠΟΓΚΑ</t>
  </si>
  <si>
    <t>ΑΝ856375</t>
  </si>
  <si>
    <t>ΚΩΛΕΤΗ</t>
  </si>
  <si>
    <t>ΑΖ495138</t>
  </si>
  <si>
    <t>Χ395188</t>
  </si>
  <si>
    <t>ΝΕΔΕΛΤΣΟΥ</t>
  </si>
  <si>
    <t>Χ846149</t>
  </si>
  <si>
    <t>ΜΕΛΙΣΣΙΔΟΥ</t>
  </si>
  <si>
    <t>ΤΣΑΒΕ</t>
  </si>
  <si>
    <t>ΑΜ922804</t>
  </si>
  <si>
    <t>Χ874214</t>
  </si>
  <si>
    <t>ΤΑΟΥΣΑΝΗ</t>
  </si>
  <si>
    <t>Χ953533</t>
  </si>
  <si>
    <t>ΑΜ721850</t>
  </si>
  <si>
    <t>Χ874416</t>
  </si>
  <si>
    <t>ΑΝΑΤΟΛΙΩΤΗ</t>
  </si>
  <si>
    <t>ΑΑ430209</t>
  </si>
  <si>
    <t>ΑΒ869462</t>
  </si>
  <si>
    <t>ΤΣΑΒΤΑΡΙΔΟΥ</t>
  </si>
  <si>
    <t>ΑΟ061422</t>
  </si>
  <si>
    <t>ΠΙΕΤΡΗ</t>
  </si>
  <si>
    <t>ΑΜ112944</t>
  </si>
  <si>
    <t>ΑΜ404035</t>
  </si>
  <si>
    <t>Π420268</t>
  </si>
  <si>
    <t>ΓΙΟΥΡΟΥΚΗ</t>
  </si>
  <si>
    <t>ΑΑ388756</t>
  </si>
  <si>
    <t>ΜΠΑΚΑΡΟΥ</t>
  </si>
  <si>
    <t>ΑΕ810282</t>
  </si>
  <si>
    <t>ΑΗ434900</t>
  </si>
  <si>
    <t>ΤΣΑΡΕΛΑ</t>
  </si>
  <si>
    <t>ΑΑ431708</t>
  </si>
  <si>
    <t>ΑΑ390336</t>
  </si>
  <si>
    <t>ΑΝ494761</t>
  </si>
  <si>
    <t>ΚΙΤΤΑ</t>
  </si>
  <si>
    <t>ΑΝ247816</t>
  </si>
  <si>
    <t>ΑΕ255733</t>
  </si>
  <si>
    <t>ΜΙΝΕΡΒΑ ΜΑΡΙΑ</t>
  </si>
  <si>
    <t>ΑΖ187975</t>
  </si>
  <si>
    <t>ΑΙ283217</t>
  </si>
  <si>
    <t>ΚΟΣΜΑΔΟΠΟΥΛΟΥ</t>
  </si>
  <si>
    <t>ΑΗ288309</t>
  </si>
  <si>
    <t>ΚΟΥΡΚΟΥΝΑ</t>
  </si>
  <si>
    <t>ΑΑ906001</t>
  </si>
  <si>
    <t>ΝΙΚΟΛΑΙΔΗΣ</t>
  </si>
  <si>
    <t>ΑΜ401060</t>
  </si>
  <si>
    <t>ΜΠΑΛΤΙΝΗ</t>
  </si>
  <si>
    <t>ΑΒ421606</t>
  </si>
  <si>
    <t>Φ337046</t>
  </si>
  <si>
    <t>ΠΕΡΛΕΓΚΑ</t>
  </si>
  <si>
    <t>ΣΩΦΡΟΝΙΑ</t>
  </si>
  <si>
    <t>ΑΗ142395</t>
  </si>
  <si>
    <t>ΑΜ927221</t>
  </si>
  <si>
    <t>ΑΑ434163</t>
  </si>
  <si>
    <t>ΑΜ283198</t>
  </si>
  <si>
    <t>ΑΙ310940</t>
  </si>
  <si>
    <t>ΣΑΒΒΑΤΟΥΛΑ</t>
  </si>
  <si>
    <t>ΑΕ900991</t>
  </si>
  <si>
    <t>ΑΝ048088</t>
  </si>
  <si>
    <t>ΛΑΜΠΗΣ</t>
  </si>
  <si>
    <t>ΑΖ806644</t>
  </si>
  <si>
    <t>ΓΙΑΚΟΥΠΗ</t>
  </si>
  <si>
    <t>ΑΑ441349</t>
  </si>
  <si>
    <t>Χ255162</t>
  </si>
  <si>
    <t>Χ974433</t>
  </si>
  <si>
    <t>ΚΟΜΕΛΙΔΟΥ</t>
  </si>
  <si>
    <t>ΑΑ285025</t>
  </si>
  <si>
    <t>ΠΑΤΜΑΝΙΔΟΥ</t>
  </si>
  <si>
    <t>ΑΕ176816</t>
  </si>
  <si>
    <t>Χ389404</t>
  </si>
  <si>
    <t>Χ332952</t>
  </si>
  <si>
    <t>ΑΛΕΠΙΖΑΚΗ</t>
  </si>
  <si>
    <t>ΑΗ979433</t>
  </si>
  <si>
    <t>ΓΚΟΥΛΑΞΙΩΤΗ</t>
  </si>
  <si>
    <t>ΑΒ421590</t>
  </si>
  <si>
    <t>ΖΗΡΙΔΟΥ</t>
  </si>
  <si>
    <t>ΑΝ686092</t>
  </si>
  <si>
    <t>ΔΑΜΙΑΝΑΚΗ</t>
  </si>
  <si>
    <t>ΑΚ928982</t>
  </si>
  <si>
    <t>ΑΑ310395</t>
  </si>
  <si>
    <t>ΑΜ130213</t>
  </si>
  <si>
    <t>ΚΑΤΣΑΔΗΜΟΥ</t>
  </si>
  <si>
    <t>ΑΖ149451</t>
  </si>
  <si>
    <t>ΑΝ901403</t>
  </si>
  <si>
    <t>ΛΕΠΙΔΑ</t>
  </si>
  <si>
    <t>ΖΗΝΤΡΟΥ</t>
  </si>
  <si>
    <t>ΡΑΦΑΕΛΑ ΕΙΡΗΝΗ</t>
  </si>
  <si>
    <t>ΑΙ279398</t>
  </si>
  <si>
    <t>ΑΗ337344</t>
  </si>
  <si>
    <t>ΡΟΥΠΟΥ</t>
  </si>
  <si>
    <t>ΑΙ155936</t>
  </si>
  <si>
    <t>ΑΜ676892</t>
  </si>
  <si>
    <t>ΑΚ860456</t>
  </si>
  <si>
    <t>ΓΡΑΒΑΝΗΣ</t>
  </si>
  <si>
    <t>ΑΝ212423</t>
  </si>
  <si>
    <t>ΚΑΛΑΙΤΖΟΠΟΥΛΟΥ</t>
  </si>
  <si>
    <t>ΑΖ826427</t>
  </si>
  <si>
    <t>ΑΖ806726</t>
  </si>
  <si>
    <t>ΑΑ458187</t>
  </si>
  <si>
    <t>ΠΑΛΑΣΚΑ</t>
  </si>
  <si>
    <t>ΑΑ233428</t>
  </si>
  <si>
    <t>ΑΗ332533</t>
  </si>
  <si>
    <t>ΜΠΟΥΣΙΟΥ</t>
  </si>
  <si>
    <t>Χ411966</t>
  </si>
  <si>
    <t>ΑΟ117250</t>
  </si>
  <si>
    <t>ΧΑΡΑΛΑΜΠ</t>
  </si>
  <si>
    <t>ΑΗ692219</t>
  </si>
  <si>
    <t>Χ872818</t>
  </si>
  <si>
    <t>ΑΟ257550</t>
  </si>
  <si>
    <t>ΑΖ353912</t>
  </si>
  <si>
    <t>ΠΑΥΛΙΚΙΑΝΙΔΟΥ</t>
  </si>
  <si>
    <t>ΛΥΚΟΣ</t>
  </si>
  <si>
    <t>ΑΒ981944</t>
  </si>
  <si>
    <t>ΑΒ119671</t>
  </si>
  <si>
    <t>ΜΑΡΙΑ ΑΝΤΩΝΙΑ (ΜΑΝΤΩ)</t>
  </si>
  <si>
    <t>ΑΒ420879</t>
  </si>
  <si>
    <t>ΑΒ712157</t>
  </si>
  <si>
    <t>ΚΑΤΣΑΒΟΥΝΗ</t>
  </si>
  <si>
    <t>ΝΕΚΤΑΡΙΑ ΚΩΝΣΤΑΝΤΙΝΙΑ</t>
  </si>
  <si>
    <t>ΑΟ917093</t>
  </si>
  <si>
    <t>ΜΑΡΚΟΥΖΑΝΗ</t>
  </si>
  <si>
    <t>ΑΒ875768</t>
  </si>
  <si>
    <t>Χ974313</t>
  </si>
  <si>
    <t>ΓΟΥΣΗ</t>
  </si>
  <si>
    <t>ΑΑ379998</t>
  </si>
  <si>
    <t>ΑΒ423561</t>
  </si>
  <si>
    <t>ΑΖ570714</t>
  </si>
  <si>
    <t>ΒΕΤΤΗ</t>
  </si>
  <si>
    <t>ΑΟ919612</t>
  </si>
  <si>
    <t>ΚΑΤΣΙΑΝΗ</t>
  </si>
  <si>
    <t>ΑΖ370255</t>
  </si>
  <si>
    <t>ΤΣΙΣΜΕΛΗ</t>
  </si>
  <si>
    <t>ΑΒ131044</t>
  </si>
  <si>
    <t>ΑΝ886106</t>
  </si>
  <si>
    <t>ΜΑΡΙΑ ΠΑΓΩΝΑ</t>
  </si>
  <si>
    <t>ΑΝ763937</t>
  </si>
  <si>
    <t>ΑΘΑΝΑΣΑΚΗ</t>
  </si>
  <si>
    <t>ΑΙ315026</t>
  </si>
  <si>
    <t>ΑΝ179934</t>
  </si>
  <si>
    <t>ΝΤΟΝΑ</t>
  </si>
  <si>
    <t>Χ471259</t>
  </si>
  <si>
    <t>ΑΑ451146</t>
  </si>
  <si>
    <t>ΑΚ867874</t>
  </si>
  <si>
    <t>ΑΜ203919</t>
  </si>
  <si>
    <t>ΑΜΥΝΔΑ</t>
  </si>
  <si>
    <t>ΑΗ804762</t>
  </si>
  <si>
    <t>ΑΙ287393</t>
  </si>
  <si>
    <t>Χ475022</t>
  </si>
  <si>
    <t>ΚΟΥΜΠΑΛΟΥ</t>
  </si>
  <si>
    <t>ΑΜ263484</t>
  </si>
  <si>
    <t>ΕΥΓΕΝΙΑ ΕΥΘΥΜΙΑ</t>
  </si>
  <si>
    <t>ΧΑΡΙΣΗΣ</t>
  </si>
  <si>
    <t>ΑΕ391122</t>
  </si>
  <si>
    <t>ΓΙΑΝΝΟΥΣΗΣ</t>
  </si>
  <si>
    <t>ΑΟ075156</t>
  </si>
  <si>
    <t>ΤΣΑΛΙΔΟΥ</t>
  </si>
  <si>
    <t>ΑΖ410626</t>
  </si>
  <si>
    <t>ΚΑΡΑΦΟΥΛΙΔΟΥ</t>
  </si>
  <si>
    <t>ΑΕ764295</t>
  </si>
  <si>
    <t>ΒΕΖΥΡΤΖΟΓΛΟΥ</t>
  </si>
  <si>
    <t>Χ317171</t>
  </si>
  <si>
    <t>ΣΑΓΙΑ</t>
  </si>
  <si>
    <t>Χ314623</t>
  </si>
  <si>
    <t>ΜΠΑΚΑΛΟΥ</t>
  </si>
  <si>
    <t>ΑΚ726709</t>
  </si>
  <si>
    <t>ΖΩΡΟΓΙΑΝΝΙΔΗ</t>
  </si>
  <si>
    <t>Χ151732</t>
  </si>
  <si>
    <t>ΑΚ515590</t>
  </si>
  <si>
    <t>ΜΑΛΑΜΑΤΙΝΑ</t>
  </si>
  <si>
    <t>ΑΕ864218</t>
  </si>
  <si>
    <t>ΤΖΕΚΑ</t>
  </si>
  <si>
    <t>ΑΝ554553</t>
  </si>
  <si>
    <t>ΑΜ807435</t>
  </si>
  <si>
    <t>ΑΕ723634</t>
  </si>
  <si>
    <t>ΚΑΤΣΑΓΑΝΗ</t>
  </si>
  <si>
    <t>ΛΙΑΝΑ</t>
  </si>
  <si>
    <t>ΑΑ255826</t>
  </si>
  <si>
    <t>ΓΚΑΝΕΔΟΥΔΗ</t>
  </si>
  <si>
    <t>ΑΗ425806</t>
  </si>
  <si>
    <t>ΠΑΣΧΑΛΟΥΔΗ</t>
  </si>
  <si>
    <t>Χ932157</t>
  </si>
  <si>
    <t>ΑΗ672014</t>
  </si>
  <si>
    <t>ΑΒ452516</t>
  </si>
  <si>
    <t>ΧΑΤΖΗΙΟΡΔΑΝΟΥ</t>
  </si>
  <si>
    <t>Φ171677</t>
  </si>
  <si>
    <t>ΑΜ723361</t>
  </si>
  <si>
    <t>ΑΚ444709</t>
  </si>
  <si>
    <t>ΑΗ686927</t>
  </si>
  <si>
    <t>ΑΟ398915</t>
  </si>
  <si>
    <t>ΑΝ714403</t>
  </si>
  <si>
    <t>ΑΖ676350</t>
  </si>
  <si>
    <t>ΑΕ287085</t>
  </si>
  <si>
    <t>ΠΑΠΑΚΩΣΤΟΥΛΗ</t>
  </si>
  <si>
    <t>ΑΚ964442</t>
  </si>
  <si>
    <t>ΑΕ150960</t>
  </si>
  <si>
    <t>ΚΟΡΤΟΜΑΝΙΤΗ</t>
  </si>
  <si>
    <t>ΑΙ539758</t>
  </si>
  <si>
    <t>ΑΙ721776</t>
  </si>
  <si>
    <t>ΠΑΤΗΝΕΑ</t>
  </si>
  <si>
    <t>ΑΖ817028</t>
  </si>
  <si>
    <t>ΚΟΥΡΝΟΥΤΑ</t>
  </si>
  <si>
    <t>ΑΜ351831</t>
  </si>
  <si>
    <t>Χ280320</t>
  </si>
  <si>
    <t>ΝΑΤΣΙΟΠΟΥΛΟΥ</t>
  </si>
  <si>
    <t>ΑΙ026432</t>
  </si>
  <si>
    <t>Χ941314</t>
  </si>
  <si>
    <t>ΛΙΝΑΡΔΑΤΟΥ</t>
  </si>
  <si>
    <t>ΑΗ534217</t>
  </si>
  <si>
    <t>ΤΣΕΝΤΕΜΙΔΟΥ</t>
  </si>
  <si>
    <t>ΑΚ284334</t>
  </si>
  <si>
    <t>Χ558805</t>
  </si>
  <si>
    <t>ΜΑΡΑΜΠΟΥΤΗΣ</t>
  </si>
  <si>
    <t>ΑΕ383185</t>
  </si>
  <si>
    <t>ΑΗ313223</t>
  </si>
  <si>
    <t>ΓΚΟΥΡΔΟΓΛΟΥ</t>
  </si>
  <si>
    <t>ΑΑ956053</t>
  </si>
  <si>
    <t>ΜΑΤΗ</t>
  </si>
  <si>
    <t>ΑΕ130052</t>
  </si>
  <si>
    <t>ΚΟΣΜΙΔΗΣ</t>
  </si>
  <si>
    <t>Τ318759</t>
  </si>
  <si>
    <t>ΑΖΟΠΟΥΛΟΥ</t>
  </si>
  <si>
    <t>ΑΟ892971</t>
  </si>
  <si>
    <t>ΤΣΙΚΡΙΚΩΝΗ</t>
  </si>
  <si>
    <t>ΑΟ355901</t>
  </si>
  <si>
    <t>ΧΡΙΣΥΟΦΑΣ</t>
  </si>
  <si>
    <t>Φ440041</t>
  </si>
  <si>
    <t>ΜΠΟΥΝΤΖΟΥΚΙΔΟΥ</t>
  </si>
  <si>
    <t>ΑΗ874271</t>
  </si>
  <si>
    <t>Χ430698</t>
  </si>
  <si>
    <t>ΑΕ124180</t>
  </si>
  <si>
    <t>ΚΟΠΑΝΤΣΗ</t>
  </si>
  <si>
    <t>ΑΖ327932</t>
  </si>
  <si>
    <t>ΑΑ366654</t>
  </si>
  <si>
    <t>ΑΙ390262</t>
  </si>
  <si>
    <t>ΑΙ234433</t>
  </si>
  <si>
    <t>ΑΝ700535</t>
  </si>
  <si>
    <t>ΣΑΡΙΓΚΟΛΗ</t>
  </si>
  <si>
    <t>ΑΒ306048</t>
  </si>
  <si>
    <t>ΦΑΤΕ</t>
  </si>
  <si>
    <t>ΑΒ807381</t>
  </si>
  <si>
    <t>ΑΜ713865</t>
  </si>
  <si>
    <t>ΑΝ829440</t>
  </si>
  <si>
    <t>ΤΑΣΤΕΜΙΡΟΓΛΟΥ</t>
  </si>
  <si>
    <t>ΑΗ798495</t>
  </si>
  <si>
    <t>ΖΗΛΟΥΔΗ</t>
  </si>
  <si>
    <t>ΑΒ493934</t>
  </si>
  <si>
    <t>ΓΙΑΝΝΑΚΑΚΗΣ</t>
  </si>
  <si>
    <t>ΑΒ933848</t>
  </si>
  <si>
    <t>ΜΕΡΑΜΒΕΛΙΩΤΑΚΗΣ</t>
  </si>
  <si>
    <t>ΑΚ470266</t>
  </si>
  <si>
    <t>ΑΖ920541</t>
  </si>
  <si>
    <t>ΜΠΑΚΟΥΤΗ</t>
  </si>
  <si>
    <t>ΑΙ988066</t>
  </si>
  <si>
    <t>ΣΥΝΑΜΗ</t>
  </si>
  <si>
    <t>ΑΡ412012</t>
  </si>
  <si>
    <t>ΔΡΟΛΑΠΑ</t>
  </si>
  <si>
    <t>ΑΜ600880</t>
  </si>
  <si>
    <t>ΓΙΑΙΛΙΔΟΥ</t>
  </si>
  <si>
    <t>ΑΗ879212</t>
  </si>
  <si>
    <t>ΑΚ023903</t>
  </si>
  <si>
    <t>ΓΚΑΜΟΥΛΟΥ</t>
  </si>
  <si>
    <t>Σ126808</t>
  </si>
  <si>
    <t>ΣΕΒΑΣΤΕΛΛΗ</t>
  </si>
  <si>
    <t>ΑΑ438948</t>
  </si>
  <si>
    <t>ΑΙ127136</t>
  </si>
  <si>
    <t>ΑΕ310167</t>
  </si>
  <si>
    <t>ΚΥΡΙΑΚΗ ΦΑΝΟΥΡΙΑ</t>
  </si>
  <si>
    <t>ΑΙ439254</t>
  </si>
  <si>
    <t>ΑΑ448966</t>
  </si>
  <si>
    <t>ΑΑ350612</t>
  </si>
  <si>
    <t>Χ800076</t>
  </si>
  <si>
    <t>ΑΜ555253</t>
  </si>
  <si>
    <t>ΑΗ985804</t>
  </si>
  <si>
    <t>ΚΡΙΤΣΕΛΗ</t>
  </si>
  <si>
    <t>Τ149535</t>
  </si>
  <si>
    <t>Χ587977</t>
  </si>
  <si>
    <t>ΑΗ781853</t>
  </si>
  <si>
    <t>ΑΜ778434</t>
  </si>
  <si>
    <t>ΤΣΙΤΣΙΡΙΔΟΥ</t>
  </si>
  <si>
    <t>ΑΕ657924</t>
  </si>
  <si>
    <t>ΔΟΙΚΑ</t>
  </si>
  <si>
    <t>ΑΑ394030</t>
  </si>
  <si>
    <t>ΚΟΡΟΜΠΑΣ</t>
  </si>
  <si>
    <t>ΑΚ035048</t>
  </si>
  <si>
    <t>ΑΖ965748</t>
  </si>
  <si>
    <t>ΑΖ301361</t>
  </si>
  <si>
    <t>ΞΥΝΤΑΡΑ</t>
  </si>
  <si>
    <t>Τ865107</t>
  </si>
  <si>
    <t>ΒΑΘΡΑΚΕΑ</t>
  </si>
  <si>
    <t>Χ439024</t>
  </si>
  <si>
    <t>Χ980769</t>
  </si>
  <si>
    <t>ΤΡΑΚΑΛΑ</t>
  </si>
  <si>
    <t>ΑΗ288307</t>
  </si>
  <si>
    <t>ΑΛ ΣΑΡΑΧΕ</t>
  </si>
  <si>
    <t>ΓΑΖΙ</t>
  </si>
  <si>
    <t>ΑΕ657049</t>
  </si>
  <si>
    <t>ΑΙ286978</t>
  </si>
  <si>
    <t>ΤΣΟΥΜΑΡΗ</t>
  </si>
  <si>
    <t>ΑΜ752626</t>
  </si>
  <si>
    <t>ΚΟΥΤΣΟΥΚΟΓΛΟΥ</t>
  </si>
  <si>
    <t>ΑΝ914810</t>
  </si>
  <si>
    <t>ΑΗ380846</t>
  </si>
  <si>
    <t>Χ278282</t>
  </si>
  <si>
    <t>ΠΑΤΕΝΙΔΟΥ</t>
  </si>
  <si>
    <t>ΑΙ153722</t>
  </si>
  <si>
    <t>ΑΝ740397</t>
  </si>
  <si>
    <t>ΑΚ999317</t>
  </si>
  <si>
    <t>ΚΟΛΛΙΝΙΑΤΗ</t>
  </si>
  <si>
    <t>Χ144108</t>
  </si>
  <si>
    <t>ΑΖ374621</t>
  </si>
  <si>
    <t>ΑΖ678672</t>
  </si>
  <si>
    <t>ΦΩΚΙΑΝΟΥ</t>
  </si>
  <si>
    <t>Χ013287</t>
  </si>
  <si>
    <t>ΣΑΡΑΝΤΟΥΛΑ</t>
  </si>
  <si>
    <t>ΑΡ270767</t>
  </si>
  <si>
    <t>ΑΚ635344</t>
  </si>
  <si>
    <t>ΚΡΑΛΙΔΟΥ</t>
  </si>
  <si>
    <t>Χ772713</t>
  </si>
  <si>
    <t>ΑΗ707154</t>
  </si>
  <si>
    <t>ΦΑΝΤΣΙΟΥΔΗ</t>
  </si>
  <si>
    <t>ΑΖ841206</t>
  </si>
  <si>
    <t>ΑΗ383606</t>
  </si>
  <si>
    <t>ΤΙΜΟΘΕΙΔΟΥ</t>
  </si>
  <si>
    <t>ΑΕ867004</t>
  </si>
  <si>
    <t>Χ413696</t>
  </si>
  <si>
    <t>ΤΣΟΥΛΟΥΦΗ</t>
  </si>
  <si>
    <t>ΑΟ627844</t>
  </si>
  <si>
    <t>ΜΠΑΡΔΑΚΗ</t>
  </si>
  <si>
    <t>ΑΟ713428</t>
  </si>
  <si>
    <t>ΑΗ870436</t>
  </si>
  <si>
    <t>ΜΙΧΑΛΟΣΤΑΜΟΥ</t>
  </si>
  <si>
    <t>ΑΗ991247</t>
  </si>
  <si>
    <t>ΑΙ313872</t>
  </si>
  <si>
    <t>ΑΖ806529</t>
  </si>
  <si>
    <t>ΤΡΙΒΥΖΑ</t>
  </si>
  <si>
    <t>ΑΕ050718</t>
  </si>
  <si>
    <t>ΑΚ875173</t>
  </si>
  <si>
    <t>ΜΑΝΤΖΙΟΥ</t>
  </si>
  <si>
    <t>Φ056310</t>
  </si>
  <si>
    <t>ΜΠΟΥΣΑΙ</t>
  </si>
  <si>
    <t>ΠΑΟΛΑ</t>
  </si>
  <si>
    <t>ΠΙΡΟ</t>
  </si>
  <si>
    <t>ΑΟ057029</t>
  </si>
  <si>
    <t>ΑΜ757602</t>
  </si>
  <si>
    <t>ΑΗ378560</t>
  </si>
  <si>
    <t>ΣΜΥΡΝΙΩΤΑΚΗ</t>
  </si>
  <si>
    <t>ΑΜ464649</t>
  </si>
  <si>
    <t>Ρ990571</t>
  </si>
  <si>
    <t>ΤΕΜΕΡΙΔΟΥ</t>
  </si>
  <si>
    <t>ΑΖ170862</t>
  </si>
  <si>
    <t>ΜΑΜΑΛΙΚΙΔΟΥ</t>
  </si>
  <si>
    <t>ΑΟ270878</t>
  </si>
  <si>
    <t>ΑΝ728085</t>
  </si>
  <si>
    <t>ΚΑΒΟΥΡΗ</t>
  </si>
  <si>
    <t>Φ071874</t>
  </si>
  <si>
    <t>ΑΙ265662</t>
  </si>
  <si>
    <t>ΚΑΡΑΠΟΣΤΟΛΗ</t>
  </si>
  <si>
    <t>ΑΚ055406</t>
  </si>
  <si>
    <t>ΑΒ153121</t>
  </si>
  <si>
    <t>ΝΤΟΥΧΑΝΙΑΡΗΣ</t>
  </si>
  <si>
    <t>ΑΗ745623</t>
  </si>
  <si>
    <t>ΚΕΡΜΕΛΙΔΗ</t>
  </si>
  <si>
    <t>Χ408743</t>
  </si>
  <si>
    <t>ΓΚΑΒΑΛΙΝΗ</t>
  </si>
  <si>
    <t>ΑΑ262191</t>
  </si>
  <si>
    <t>ΣΑΒΒΑ</t>
  </si>
  <si>
    <t>ΑΕ371541</t>
  </si>
  <si>
    <t>ΜΑΝΤΕ</t>
  </si>
  <si>
    <t>ΑΗ285457</t>
  </si>
  <si>
    <t>ΑΚ078751</t>
  </si>
  <si>
    <t>ΑΗ950613</t>
  </si>
  <si>
    <t>ΒΟΛΙΩΤΗ</t>
  </si>
  <si>
    <t>ΑΚ406839</t>
  </si>
  <si>
    <t>ΑΟ355001</t>
  </si>
  <si>
    <t>Χ360751</t>
  </si>
  <si>
    <t>ΓΙΑΠΑΤΖΗ</t>
  </si>
  <si>
    <t>ΑΗ807498</t>
  </si>
  <si>
    <t>ΜΠΡΑΧΟΥ</t>
  </si>
  <si>
    <t>ΑΙΜΙΛIΑNΗ</t>
  </si>
  <si>
    <t>ΑΜ141287</t>
  </si>
  <si>
    <t>Τ191516</t>
  </si>
  <si>
    <t>ΜΠΟΖΙΚΗ</t>
  </si>
  <si>
    <t>ΑΟ187240</t>
  </si>
  <si>
    <t>ΦΛΩΡΙΔΟΥ</t>
  </si>
  <si>
    <t>ΕΛΕΝΗ ΑΝΔΡΙΑΝΝΑ</t>
  </si>
  <si>
    <t>ΑΚ904156</t>
  </si>
  <si>
    <t>ΑΗ606420</t>
  </si>
  <si>
    <t>ΑΟ927138</t>
  </si>
  <si>
    <t>ΑΜ153363</t>
  </si>
  <si>
    <t>ΑΝ365214</t>
  </si>
  <si>
    <t>ΧΡΟΝΑΡΑΚΗ</t>
  </si>
  <si>
    <t>ΑΗ722152</t>
  </si>
  <si>
    <t>ΑΖ404188</t>
  </si>
  <si>
    <t>ΜΗΤΙΤΑΝΙΔΟΥ</t>
  </si>
  <si>
    <t>ΑΝ235947</t>
  </si>
  <si>
    <t>ΑΓΗΣΙΛΕΙΑ</t>
  </si>
  <si>
    <t>ΑΜ300539</t>
  </si>
  <si>
    <t>ΑΖ230146</t>
  </si>
  <si>
    <t>ΑΕ739862</t>
  </si>
  <si>
    <t>Χ951761</t>
  </si>
  <si>
    <t>ΑΚ988180</t>
  </si>
  <si>
    <t>ΣΟΦΙΚΙΤΗ</t>
  </si>
  <si>
    <t>ΑΗ627928</t>
  </si>
  <si>
    <t>ΑΙ229362</t>
  </si>
  <si>
    <t>ΑΝΥΦΑΝΤΑΚΗΣ</t>
  </si>
  <si>
    <t>ΑΖ540397</t>
  </si>
  <si>
    <t>Φ076396</t>
  </si>
  <si>
    <t>Ρ283086</t>
  </si>
  <si>
    <t>ΑΑ014834</t>
  </si>
  <si>
    <t>ΑΗ980170</t>
  </si>
  <si>
    <t>ΒΟΛΚΟΣ</t>
  </si>
  <si>
    <t>ΑΒ448712</t>
  </si>
  <si>
    <t>ΑΙ285196</t>
  </si>
  <si>
    <t>ΑΒ352185</t>
  </si>
  <si>
    <t>ΧΑΤΖΗΧΡΙΣΤΑΚΗ</t>
  </si>
  <si>
    <t>ΑΟ207152</t>
  </si>
  <si>
    <t>Χ718974</t>
  </si>
  <si>
    <t>ΑΗ340708</t>
  </si>
  <si>
    <t>ΤΣΟΥΜΕΝΗ</t>
  </si>
  <si>
    <t>Χ966049</t>
  </si>
  <si>
    <t>ΑΟ425130</t>
  </si>
  <si>
    <t>ΑΚ874886</t>
  </si>
  <si>
    <t>ΑΚ259556</t>
  </si>
  <si>
    <t>ΑΖ502681</t>
  </si>
  <si>
    <t>ΠΡΙΝΙΤΗΣ</t>
  </si>
  <si>
    <t>ΑΕ427891</t>
  </si>
  <si>
    <t>ΒΑΦΕΙΔΟΥ</t>
  </si>
  <si>
    <t>ΑΙ169467</t>
  </si>
  <si>
    <t>ΚΛΗΜΗ</t>
  </si>
  <si>
    <t>ΑΙ669049</t>
  </si>
  <si>
    <t>ΧΟΝΔΡΟΠΟΥΛΟΥ</t>
  </si>
  <si>
    <t>Χ166451</t>
  </si>
  <si>
    <t>ΜΑΥΡΟΜΑΤΗΣ</t>
  </si>
  <si>
    <t>ΑΕ409739</t>
  </si>
  <si>
    <t>ΑΟ898336</t>
  </si>
  <si>
    <t>ΑΝ246678</t>
  </si>
  <si>
    <t>ΑΗ365315</t>
  </si>
  <si>
    <t>ΑΝΝΑ ΠΑΡΘΕΝΑ</t>
  </si>
  <si>
    <t>ΑΖ309331</t>
  </si>
  <si>
    <t>ΑΕ673669</t>
  </si>
  <si>
    <t>ΖΕΡΕ</t>
  </si>
  <si>
    <t>ΕΡΙΣΕΛΝΤΑ</t>
  </si>
  <si>
    <t xml:space="preserve">ΑΛΦΡΕΝΤ </t>
  </si>
  <si>
    <t>ΑΜ912952</t>
  </si>
  <si>
    <t>ΑΙ297026</t>
  </si>
  <si>
    <t>ΛΥΜΠΕΡΙΔΟΥ</t>
  </si>
  <si>
    <t>ΑΕ389164</t>
  </si>
  <si>
    <t>ΑΖ399027</t>
  </si>
  <si>
    <t>ΚΟΥΚΟΥΡΟΥΖΗ</t>
  </si>
  <si>
    <t>ΑΜ701196</t>
  </si>
  <si>
    <t>ΑΝ706951</t>
  </si>
  <si>
    <t>ΡΕΒΕΛΑΚΗ</t>
  </si>
  <si>
    <t>ΕΥΑΝΘΗΣ</t>
  </si>
  <si>
    <t>ΑΖ601438</t>
  </si>
  <si>
    <t>ΝΤΑΦΛΟΥΚΑΣ</t>
  </si>
  <si>
    <t>ΑΙ477085</t>
  </si>
  <si>
    <t>ΑΙ812751</t>
  </si>
  <si>
    <t>ΛΕΒΑΚΟΥ</t>
  </si>
  <si>
    <t>ΑΜ647571</t>
  </si>
  <si>
    <t>ΚΑΡΑΜΠΑΤΖΙΑΚΗΣ</t>
  </si>
  <si>
    <t>ΑΖ840337</t>
  </si>
  <si>
    <t xml:space="preserve"> ΜΑΡΙΑ</t>
  </si>
  <si>
    <t>ΑΒ451931</t>
  </si>
  <si>
    <t>ΚΑΛΛΙΑΚΟΥΔΑ</t>
  </si>
  <si>
    <t>ΑΗ133480</t>
  </si>
  <si>
    <t>ΜΑΝΟΥΗΛΙΔΗΣ</t>
  </si>
  <si>
    <t>ΑΕ618520</t>
  </si>
  <si>
    <t>ΓΕΩΡΓΊΑ</t>
  </si>
  <si>
    <t>ΝΊΚΌΛΆΌΣ</t>
  </si>
  <si>
    <t>Φ216239</t>
  </si>
  <si>
    <t>ΑΗ120170</t>
  </si>
  <si>
    <t>ΝΤΑΣΚΑΣ</t>
  </si>
  <si>
    <t>ΑΟ373071</t>
  </si>
  <si>
    <t>Χ806947</t>
  </si>
  <si>
    <t>ΑΖ978902</t>
  </si>
  <si>
    <t>ΑΗ302611</t>
  </si>
  <si>
    <t>ΒΑΣΙΛΙΚΗ ΒΑΛΙΝΑ</t>
  </si>
  <si>
    <t>ΑΒ996091</t>
  </si>
  <si>
    <t>ΑΕ229841</t>
  </si>
  <si>
    <t>Σ924275</t>
  </si>
  <si>
    <t>ΚΟΥΝΤΟΥΡΑΣ</t>
  </si>
  <si>
    <t>ΑΝ773959</t>
  </si>
  <si>
    <t>ΑΗ548962</t>
  </si>
  <si>
    <t>ΠΑΓΑΛΙΑ</t>
  </si>
  <si>
    <t>ΑΖ823960</t>
  </si>
  <si>
    <t>ΣΚΑΛΗ</t>
  </si>
  <si>
    <t>ΑΖ630374</t>
  </si>
  <si>
    <t>ΑΙ345851</t>
  </si>
  <si>
    <t>ΑΒ385405</t>
  </si>
  <si>
    <t>ΑΗ894909</t>
  </si>
  <si>
    <t>Χ537813</t>
  </si>
  <si>
    <t>ΜΠΑΦΙΤΗ</t>
  </si>
  <si>
    <t>ΑΗ105509</t>
  </si>
  <si>
    <t>ΦΕΡΤΑΚΗ</t>
  </si>
  <si>
    <t>ΑΜ742774</t>
  </si>
  <si>
    <t>ΧΑΤΖΗΦΩΤΗ</t>
  </si>
  <si>
    <t>ΑΝΤΙΓΟΝΗ ΑΔΑΜΑΝΤΙΑ</t>
  </si>
  <si>
    <t>ΑΑ431696</t>
  </si>
  <si>
    <t>ΝΤΟΚΟΣ</t>
  </si>
  <si>
    <t>ΑΟ984570</t>
  </si>
  <si>
    <t>ΑΒ640881</t>
  </si>
  <si>
    <t>ΑΜ402682</t>
  </si>
  <si>
    <t>ΧΡΗΣΤΑΝΤΩΝΙΟΥ</t>
  </si>
  <si>
    <t>ΑΙ382046</t>
  </si>
  <si>
    <t>ΜΠΑΡΚΑΛΑΚΗ</t>
  </si>
  <si>
    <t>ΑΒ966936</t>
  </si>
  <si>
    <t>ΑΗ863489</t>
  </si>
  <si>
    <t>Τ919647</t>
  </si>
  <si>
    <t>ΜΠΑΤΣΟΥΡΗΣ</t>
  </si>
  <si>
    <t>ΑΗ325220</t>
  </si>
  <si>
    <t>ΑΜ671458</t>
  </si>
  <si>
    <t>ΠΑΠΑΣΑΒΒΑ</t>
  </si>
  <si>
    <t>ΑΙ348002</t>
  </si>
  <si>
    <t>ΑΕ395525</t>
  </si>
  <si>
    <t>ΑΝ723497</t>
  </si>
  <si>
    <t>ΠΑΛΟΥΜΠΑ</t>
  </si>
  <si>
    <t>ΑΕ727245</t>
  </si>
  <si>
    <t>ΑΡΝΑΟΥΤΟΓΛΟΥ ΓΕΩΡΓΙΟΥ</t>
  </si>
  <si>
    <t>ΑΗ159222</t>
  </si>
  <si>
    <t>ΚΟΥΡΟΥΠΗ ΑΓΑΛΟΥ</t>
  </si>
  <si>
    <t>ΧΡΙΣΤΙΝΑ ΑΡΓΥΡΗ</t>
  </si>
  <si>
    <t>ΑΖ071437</t>
  </si>
  <si>
    <t>Χ950924</t>
  </si>
  <si>
    <t>ΒΑΝΙΚΙΩΤΗ</t>
  </si>
  <si>
    <t>ΑΖ031954</t>
  </si>
  <si>
    <t>ΓΙΑΝΝΑΚΙΔΗΣ</t>
  </si>
  <si>
    <t>ΑΗ926798</t>
  </si>
  <si>
    <t>ΑΚ384718</t>
  </si>
  <si>
    <t>ΜΑΡΚΑΤΑΤΟΥ</t>
  </si>
  <si>
    <t>ΑΗ667906</t>
  </si>
  <si>
    <t>ΜΠΑΜΠΟΥΣΗΣ</t>
  </si>
  <si>
    <t>ΑΚ154243</t>
  </si>
  <si>
    <t>ΑΝ322700</t>
  </si>
  <si>
    <t>ΑΗ200773</t>
  </si>
  <si>
    <t>ΑΖ468958</t>
  </si>
  <si>
    <t>ΑΚ243484</t>
  </si>
  <si>
    <t>ΑΚ993566</t>
  </si>
  <si>
    <t>ΚΑΜΙΔΟΥ</t>
  </si>
  <si>
    <t>ΜΑΡΙΑ ΕΛΒΙΡΑ</t>
  </si>
  <si>
    <t>ΑΙ896833</t>
  </si>
  <si>
    <t>ΚΑΡΑΜΠΕΤΣΑ</t>
  </si>
  <si>
    <t>ΑΗ094032</t>
  </si>
  <si>
    <t>ΑΖ393745</t>
  </si>
  <si>
    <t>ΚΑΖΑΚΟΠΟΥΛΟΥ</t>
  </si>
  <si>
    <t>ΑΖ313522</t>
  </si>
  <si>
    <t>ΡΑΔΗΣ</t>
  </si>
  <si>
    <t>ΑΚ255404</t>
  </si>
  <si>
    <t>ΡΑΥΤΑΚΟΠΟΥΛΟΥ</t>
  </si>
  <si>
    <t>ΑΙ200842</t>
  </si>
  <si>
    <t>Φ257425</t>
  </si>
  <si>
    <t>ΑΚ904260</t>
  </si>
  <si>
    <t>ΚΑΡΑΦΥΛΛΙΔΟΥ</t>
  </si>
  <si>
    <t>ΑΕ007341</t>
  </si>
  <si>
    <t>ΜΑΡΙΦΗ</t>
  </si>
  <si>
    <t>ΑΝ427080</t>
  </si>
  <si>
    <t>ΖΕΤΣΕΒΑ</t>
  </si>
  <si>
    <t>ΖΕΝΙΑ</t>
  </si>
  <si>
    <t>ΣΒΕΤΟΣΛΑΒ</t>
  </si>
  <si>
    <t>ΑΚ686520</t>
  </si>
  <si>
    <t>ΜΙΛΤΣΑΚΑΚΗ</t>
  </si>
  <si>
    <t>Φ262036</t>
  </si>
  <si>
    <t>ΔΟΓΚΑ</t>
  </si>
  <si>
    <t>ΑΗ354976</t>
  </si>
  <si>
    <t>ΠΙΛΑΤΗ</t>
  </si>
  <si>
    <t>ΑΕ616763</t>
  </si>
  <si>
    <t>ΤΑΠΑΝΑ</t>
  </si>
  <si>
    <t>ΑΗ311916</t>
  </si>
  <si>
    <t>Χ799621</t>
  </si>
  <si>
    <t>ΓΚΟΡΑΣΗ</t>
  </si>
  <si>
    <t>ΓΚΕΡΓΚΗ</t>
  </si>
  <si>
    <t>ΑΗ805070</t>
  </si>
  <si>
    <t>ΓΟΥΛΙΕΡΜΗ</t>
  </si>
  <si>
    <t>ΣΠΥΡΙΔΟΥΛΑ ΚΥΡΙΑΚΗ</t>
  </si>
  <si>
    <t>ΑΕ774441</t>
  </si>
  <si>
    <t>ΧΑΤΖΗΠΑΠΑ</t>
  </si>
  <si>
    <t>ΑΖ663260</t>
  </si>
  <si>
    <t>ΑΖ860507</t>
  </si>
  <si>
    <t>ΜΑΝΤΖΟΥΚΗ</t>
  </si>
  <si>
    <t>ΑΕ162134</t>
  </si>
  <si>
    <t>ΡΗΣΤΑ</t>
  </si>
  <si>
    <t>ΑΕ340144</t>
  </si>
  <si>
    <t>Χ067807</t>
  </si>
  <si>
    <t>ΑΙ818070</t>
  </si>
  <si>
    <t>Τ241858</t>
  </si>
  <si>
    <t>ΜΠΑΛΜΑΔΑΚΗ</t>
  </si>
  <si>
    <t>ΘΕΟΠΟΥΛΑ ΧΡΥΣΟΥΛΑ</t>
  </si>
  <si>
    <t>ΑΕ763565</t>
  </si>
  <si>
    <t>ΑΙ355826</t>
  </si>
  <si>
    <t>ΒΑΡΛΑΣ</t>
  </si>
  <si>
    <t>ΑΝ201102</t>
  </si>
  <si>
    <t>ΚΟΥΤΣΟΥΠΗ</t>
  </si>
  <si>
    <t>Χ611392</t>
  </si>
  <si>
    <t>ΑΝ814358</t>
  </si>
  <si>
    <t>ΑΒ442744</t>
  </si>
  <si>
    <t>ΝΤΟΥΝΗΣ</t>
  </si>
  <si>
    <t>ΑΚ598820</t>
  </si>
  <si>
    <t>ΚΑΤΣΙΟΥΠΗ</t>
  </si>
  <si>
    <t>ΚΑΛΛΙΟΠΗ ΠΑΝΑΓΙΩΤΑ</t>
  </si>
  <si>
    <t>ΑΒ106905</t>
  </si>
  <si>
    <t>ΓΙΑΧΙΑΣ</t>
  </si>
  <si>
    <t>ΑΟ409316</t>
  </si>
  <si>
    <t>ΠΟΛΥΜΕΡΑΣ</t>
  </si>
  <si>
    <t>ΑΚ328049</t>
  </si>
  <si>
    <t>ΜΑΝΟΛΟΓΛΟΥ</t>
  </si>
  <si>
    <t>ΑΜ547558</t>
  </si>
  <si>
    <t>ΑΕ765460</t>
  </si>
  <si>
    <t>ΔΡΕΤΤΑΣ</t>
  </si>
  <si>
    <t>ΑΙ065289</t>
  </si>
  <si>
    <t>ΤΣΙΑΜΗΤΡΟΥ</t>
  </si>
  <si>
    <t>ΑΙ886509</t>
  </si>
  <si>
    <t>Φ336682</t>
  </si>
  <si>
    <t>ΑΚ391710</t>
  </si>
  <si>
    <t>ΚΕΛΕΓΚΟΥΡΙΔΗΣ</t>
  </si>
  <si>
    <t>ΑΟ236931</t>
  </si>
  <si>
    <t>ΜΟΝΟΥ</t>
  </si>
  <si>
    <t>ΑΙ986792</t>
  </si>
  <si>
    <t>ΙΩΑΝΝΑ ΣΩΤΗΡΙΑ</t>
  </si>
  <si>
    <t>Χ027769</t>
  </si>
  <si>
    <t>ΒΑΛΚΑΝΙΩΤΗ</t>
  </si>
  <si>
    <t>ΑΒ849514</t>
  </si>
  <si>
    <t>ΒΑΓΙΟΥΛΑ</t>
  </si>
  <si>
    <t>ΑΙ632402</t>
  </si>
  <si>
    <t>ΤΣΙΑΚΙΡΗ</t>
  </si>
  <si>
    <t>Χ784948</t>
  </si>
  <si>
    <t>ΑΚ864671</t>
  </si>
  <si>
    <t>ΑΕ727192</t>
  </si>
  <si>
    <t>ΤΣΙΟΥΛΗ</t>
  </si>
  <si>
    <t>ΑΙΚΑΤΕΡΙΝΗ ΔΗΜΗΤΡΑ</t>
  </si>
  <si>
    <t>ΑΡ236271</t>
  </si>
  <si>
    <t>ΑΕ903429</t>
  </si>
  <si>
    <t>ΑΗ926834</t>
  </si>
  <si>
    <t>ΑΖ324818</t>
  </si>
  <si>
    <t>ΑΖ359261</t>
  </si>
  <si>
    <t>ΑΝ620852</t>
  </si>
  <si>
    <t>ΧΡΥΣΑΝΗ</t>
  </si>
  <si>
    <t>ΑΖ823839</t>
  </si>
  <si>
    <t>ΔΗΜΗΤΡΕΛΟΥ</t>
  </si>
  <si>
    <t>ΑΗ992164</t>
  </si>
  <si>
    <t>ΚΛΩΝΑΡΙΔΟΥ</t>
  </si>
  <si>
    <t>ΑΖ392151</t>
  </si>
  <si>
    <t>ΤΡΥΠΙΔΟΥ</t>
  </si>
  <si>
    <t>ΛΕΑΝΔΡΟΣ</t>
  </si>
  <si>
    <t>ΑΚ921602</t>
  </si>
  <si>
    <t>ΚΟΥΒΑΡΗ</t>
  </si>
  <si>
    <t>ΑΝ059270</t>
  </si>
  <si>
    <t>ΔΕΛΗΧΑΤΣΙΟΥ</t>
  </si>
  <si>
    <t>ΑΚ924228</t>
  </si>
  <si>
    <t>ΚΟΘΩΝΑ</t>
  </si>
  <si>
    <t>ΑΒ420196</t>
  </si>
  <si>
    <t>ΜΠΡΟΥΣΑ</t>
  </si>
  <si>
    <t>Χ760018</t>
  </si>
  <si>
    <t>ΑΙ731929</t>
  </si>
  <si>
    <t>ΑΖ806015</t>
  </si>
  <si>
    <t>ΜΙΝΓΚΑΣ</t>
  </si>
  <si>
    <t>ΑΖ805199</t>
  </si>
  <si>
    <t>ΝΤΟΥΦΕΚΙΑ</t>
  </si>
  <si>
    <t>ΑΒ499735</t>
  </si>
  <si>
    <t>ΜΑΜΑΛΑΚΗ</t>
  </si>
  <si>
    <t>ΑΒ486216</t>
  </si>
  <si>
    <t>ΚΟΣΜΙΔΟΥ ΜΙΚΡΟΠΟΥΛΟΥ</t>
  </si>
  <si>
    <t>ΑΟ683203</t>
  </si>
  <si>
    <t>ΚΑΡΑΣΙΜΟΥ</t>
  </si>
  <si>
    <t>ΑΕ795484</t>
  </si>
  <si>
    <t>ΑΖ856440</t>
  </si>
  <si>
    <t>ΜΠΑΓΙΩΚΗ</t>
  </si>
  <si>
    <t>ΑΟ655043</t>
  </si>
  <si>
    <t>ΑΕ110436</t>
  </si>
  <si>
    <t>ΑΒ132952</t>
  </si>
  <si>
    <t>ΑΚ879275</t>
  </si>
  <si>
    <t>ΑΜΒΡΟΣΙΑΔΟΥ</t>
  </si>
  <si>
    <t>ΑΗ863199</t>
  </si>
  <si>
    <t>ΑΑ380329</t>
  </si>
  <si>
    <t>ΑΗ973228</t>
  </si>
  <si>
    <t>ΑΒ964808</t>
  </si>
  <si>
    <t>ΑΖ265066</t>
  </si>
  <si>
    <t>ΑΙ294197</t>
  </si>
  <si>
    <t>ΜΟΥΡΤΙΑΔΟΥ</t>
  </si>
  <si>
    <t>ΑΗ656095</t>
  </si>
  <si>
    <t>ΓΙΑΛΙΑ</t>
  </si>
  <si>
    <t>Χ485764</t>
  </si>
  <si>
    <t xml:space="preserve">ΠΑΝΑΓΙΩΤΙΔΟΥ </t>
  </si>
  <si>
    <t>ΑΗ652795</t>
  </si>
  <si>
    <t>ΠΕΙΤΣΗ</t>
  </si>
  <si>
    <t>ΑΗ292882</t>
  </si>
  <si>
    <t>ΚΑΛΛΙΑΝΙΔΟΥ</t>
  </si>
  <si>
    <t>ΑΗ295382</t>
  </si>
  <si>
    <t>ΤΣΙΑΜΗΣ</t>
  </si>
  <si>
    <t>Χ835229</t>
  </si>
  <si>
    <t>ΑΗ426317</t>
  </si>
  <si>
    <t>ΜΗΤΡΑΚΗ</t>
  </si>
  <si>
    <t>Χ281037</t>
  </si>
  <si>
    <t>ΑΖ765285</t>
  </si>
  <si>
    <t>ΠΑΠΑΚΥΡΙΔΟΥ</t>
  </si>
  <si>
    <t>ΑΚ255607</t>
  </si>
  <si>
    <t>ΓΙΑΝΝΟΥΛΑΚΗ</t>
  </si>
  <si>
    <t>ΑΗ082856</t>
  </si>
  <si>
    <t>ΑΕ412641</t>
  </si>
  <si>
    <t>ΑΚ431191</t>
  </si>
  <si>
    <t>ΡΕΚΑΡΗ</t>
  </si>
  <si>
    <t>ΑΕ911224</t>
  </si>
  <si>
    <t>ΣΚΑΠΕΤΗ</t>
  </si>
  <si>
    <t>ΑΑ790870</t>
  </si>
  <si>
    <t>ΑΖ897380</t>
  </si>
  <si>
    <t>ΜΠΙΤΣΙΟΥ</t>
  </si>
  <si>
    <t>ΑΖ249677</t>
  </si>
  <si>
    <t>ΑΖ495339</t>
  </si>
  <si>
    <t>ΤΡΙΧΙΑ</t>
  </si>
  <si>
    <t>ΑΚ432197</t>
  </si>
  <si>
    <t>ΧΑΣΑΠΑΚΟΥ</t>
  </si>
  <si>
    <t>ΑΚ653194</t>
  </si>
  <si>
    <t>ΑΖ260415</t>
  </si>
  <si>
    <t>ΜΠΑΛΤΣΙΩΤΗ</t>
  </si>
  <si>
    <t>Χ308336</t>
  </si>
  <si>
    <t>ΑΝ019563</t>
  </si>
  <si>
    <t>ΠΑΤΣΑΡΗ</t>
  </si>
  <si>
    <t>ΣΕΒΑΣΤΟΣ</t>
  </si>
  <si>
    <t>ΑΝ401515</t>
  </si>
  <si>
    <t>ΧΑΤΖΗΚΕΒΟΡΚΙΑΝ</t>
  </si>
  <si>
    <t>ΜΑΡΝΤΗΡΟΣ</t>
  </si>
  <si>
    <t>ΑΟ245099</t>
  </si>
  <si>
    <t>ΜΑΣΧΑΛΙΔΗ</t>
  </si>
  <si>
    <t>Χ242092</t>
  </si>
  <si>
    <t>ΤΣΟΜΠΑΝΟΠΟΥΛΟΥ</t>
  </si>
  <si>
    <t xml:space="preserve">ΧΡΙΣΤΙΝΑ </t>
  </si>
  <si>
    <t>Χ973624</t>
  </si>
  <si>
    <t>ΑΑ767168</t>
  </si>
  <si>
    <t>ΑΖ469517</t>
  </si>
  <si>
    <t>ΜΠΑΛΑΝΗ</t>
  </si>
  <si>
    <t>ΑΑ967440</t>
  </si>
  <si>
    <t>ΑΖ407803</t>
  </si>
  <si>
    <t>ΑΕ820414</t>
  </si>
  <si>
    <t>ΑΚ229496</t>
  </si>
  <si>
    <t>ΑΕ236866</t>
  </si>
  <si>
    <t>ΠΟΛΥΜΕΝΗΣ</t>
  </si>
  <si>
    <t>ΑΝ405144</t>
  </si>
  <si>
    <t>ΑΕ304069</t>
  </si>
  <si>
    <t>ΑΡ449650</t>
  </si>
  <si>
    <t>ΠΟΛΥΛΟΗ</t>
  </si>
  <si>
    <t>ΑΙ836939</t>
  </si>
  <si>
    <t>ΑΑ760612</t>
  </si>
  <si>
    <t>ΑΟ862633</t>
  </si>
  <si>
    <t>ΑΙ198863</t>
  </si>
  <si>
    <t>ΑΕ971099</t>
  </si>
  <si>
    <t>ΑΖ854178</t>
  </si>
  <si>
    <t>ΑΖ433926</t>
  </si>
  <si>
    <t>ΖΩΝΤΑΝΟΥ</t>
  </si>
  <si>
    <t>ΑΝ429720</t>
  </si>
  <si>
    <t>ΑΕ085736</t>
  </si>
  <si>
    <t>ΠΑΠΑΜΗΤΟΥΚΑ</t>
  </si>
  <si>
    <t>ΑΖ352589</t>
  </si>
  <si>
    <t>ΑΝ406799</t>
  </si>
  <si>
    <t>ΨΑΡΑΚΟΥ</t>
  </si>
  <si>
    <t>Σ020397</t>
  </si>
  <si>
    <t>ΑΒ408801</t>
  </si>
  <si>
    <t>ΑΗ996207</t>
  </si>
  <si>
    <t>ΑΒ781637</t>
  </si>
  <si>
    <t>Φ143642</t>
  </si>
  <si>
    <t>ΤΟΥΤΟΥ</t>
  </si>
  <si>
    <t>ΑΝ996537</t>
  </si>
  <si>
    <t>ΑΡΧΙΤΕΚΤΟΝΙΔΗΣ</t>
  </si>
  <si>
    <t>ΑΒ438974</t>
  </si>
  <si>
    <t>ΑΑ263640</t>
  </si>
  <si>
    <t>ΚΟΝΤΟΔΗΜΑ</t>
  </si>
  <si>
    <t>ΑΙ777022</t>
  </si>
  <si>
    <t>ΑΗ461614</t>
  </si>
  <si>
    <t>ΡΟΥΛΛΗ</t>
  </si>
  <si>
    <t>ΑΜ933367</t>
  </si>
  <si>
    <t>ΑΟ890745</t>
  </si>
  <si>
    <t>ΖΑΡΟΚΩΣΤΑ</t>
  </si>
  <si>
    <t>ΑΗ723233</t>
  </si>
  <si>
    <t>Σ978718</t>
  </si>
  <si>
    <t>ΚΥΤΡΙΔΟΥ</t>
  </si>
  <si>
    <t>ΑΖ401230</t>
  </si>
  <si>
    <t>ΚΟΝΤΟΛΙΑ</t>
  </si>
  <si>
    <t>ΑΗ863671</t>
  </si>
  <si>
    <t>ΠΑΠΑΔΟΓΙΩΡΓΑΚΗ</t>
  </si>
  <si>
    <t>Φ230700</t>
  </si>
  <si>
    <t>ΑΚ879553</t>
  </si>
  <si>
    <t>ΑΒ300890</t>
  </si>
  <si>
    <t>ΚΟΛΟΒΟΥΡΗ</t>
  </si>
  <si>
    <t>Σ360294</t>
  </si>
  <si>
    <t>ΜΑΡΙΧΩΛΑ</t>
  </si>
  <si>
    <t>ΑΕ269637</t>
  </si>
  <si>
    <t>ΑΖ220464</t>
  </si>
  <si>
    <t>ΜΙΣΥΡΟΥ</t>
  </si>
  <si>
    <t>Τ035544</t>
  </si>
  <si>
    <t>ΞΗΡΟΚΩΣΤΑΣ</t>
  </si>
  <si>
    <t>Χ273183</t>
  </si>
  <si>
    <t>ΦΟΥΤΣΙΤΖΗ</t>
  </si>
  <si>
    <t>Χ731369</t>
  </si>
  <si>
    <t>ΑΖ238274</t>
  </si>
  <si>
    <t>ΣΑΦΑΡΙΚΑ</t>
  </si>
  <si>
    <t>ΑΗ895312</t>
  </si>
  <si>
    <t>ΚΟΥΡΚΟΥΝΑΣΙΟΥ</t>
  </si>
  <si>
    <t>ΑΙ372174</t>
  </si>
  <si>
    <t>ΑΗ340713</t>
  </si>
  <si>
    <t>ΑΟ959096</t>
  </si>
  <si>
    <t>ΣΛΙΚΑ</t>
  </si>
  <si>
    <t>ΑΒ101757</t>
  </si>
  <si>
    <t>ΣΙΜΙΡΗ</t>
  </si>
  <si>
    <t>ΑΗ589798</t>
  </si>
  <si>
    <t>Χ647863</t>
  </si>
  <si>
    <t>ΑΟ162931</t>
  </si>
  <si>
    <t>ΤΣΟΥΡΟΣ</t>
  </si>
  <si>
    <t>ΑΙ505811</t>
  </si>
  <si>
    <t>ΑΖ850164</t>
  </si>
  <si>
    <t>ΠΑΠΑΔΑΚΟΥ</t>
  </si>
  <si>
    <t>ΑΙ682071</t>
  </si>
  <si>
    <t>ΜΑΝΑΛΙΚΑΔΗ</t>
  </si>
  <si>
    <t>ΑΕ401336</t>
  </si>
  <si>
    <t>ΔΑΡΓΩΝΑΚΗ</t>
  </si>
  <si>
    <t>ΑΙ261142</t>
  </si>
  <si>
    <t>ΜΠΟΡΟΝΙΚΟΛΟΥ</t>
  </si>
  <si>
    <t>ΒΙΛΕΛΜΙΝΗ</t>
  </si>
  <si>
    <t>ΑΒ385616</t>
  </si>
  <si>
    <t>ΑΝ570120</t>
  </si>
  <si>
    <t>ΑΝ556816</t>
  </si>
  <si>
    <t>Φ215469</t>
  </si>
  <si>
    <t>ΑΝ370575</t>
  </si>
  <si>
    <t>Π987071</t>
  </si>
  <si>
    <t>Χ448444</t>
  </si>
  <si>
    <t>ΑΝ716271</t>
  </si>
  <si>
    <t>ΜΑΙΚΑΝΤΗ</t>
  </si>
  <si>
    <t>Ξ607409</t>
  </si>
  <si>
    <t>ΑΗ265125</t>
  </si>
  <si>
    <t>Τ145735</t>
  </si>
  <si>
    <t>ΝΤΟΓΚΑ</t>
  </si>
  <si>
    <t>ΑΙ003097</t>
  </si>
  <si>
    <t>ΑΟ692412</t>
  </si>
  <si>
    <t>ΙΕΡΩΝΥΜΑΚΗ</t>
  </si>
  <si>
    <t>Φ251958</t>
  </si>
  <si>
    <t>ΜΑΚΡΟΔΗΜΗΤΡΗ</t>
  </si>
  <si>
    <t>ΑΙ624793</t>
  </si>
  <si>
    <t>ΚΑΡΑΒΟΥΛΙΑ</t>
  </si>
  <si>
    <t>ΑΙ752994</t>
  </si>
  <si>
    <t>ΜΠΑΡΤΖΑΚΗ</t>
  </si>
  <si>
    <t>ΑΗ832846</t>
  </si>
  <si>
    <t>KAMBUROVA</t>
  </si>
  <si>
    <t>KREMENA</t>
  </si>
  <si>
    <t>GEORGI</t>
  </si>
  <si>
    <t>ΤΣΑΤΣΑΡΗ</t>
  </si>
  <si>
    <t>ΑΝ808448</t>
  </si>
  <si>
    <t>Ρ463114</t>
  </si>
  <si>
    <t>ΑΚ359740</t>
  </si>
  <si>
    <t>ΓΕΩΡΓΑΛΗ</t>
  </si>
  <si>
    <t>Ρ841289</t>
  </si>
  <si>
    <t>ΑΗ431340</t>
  </si>
  <si>
    <t>ΤΕΡΖΕΝΙΔΟΥ</t>
  </si>
  <si>
    <t>ΑΕ310491</t>
  </si>
  <si>
    <t>ΑΚ639049</t>
  </si>
  <si>
    <t>ΠΑΛΑΒΙΔΟΥ</t>
  </si>
  <si>
    <t>ΑΖ435742</t>
  </si>
  <si>
    <t>ΑΖ440587</t>
  </si>
  <si>
    <t>ΜΑΚΡΗ ΚΑΠΑΤΣΩΡΗ</t>
  </si>
  <si>
    <t>Φ272073</t>
  </si>
  <si>
    <t>ΑΚ818029</t>
  </si>
  <si>
    <t>ΤΟΥΛΓΕΡΙΔΟΥ</t>
  </si>
  <si>
    <t>ΑΖ682797</t>
  </si>
  <si>
    <t>ΑΒ527867</t>
  </si>
  <si>
    <t>ΑΗ400085</t>
  </si>
  <si>
    <t>Φ095609</t>
  </si>
  <si>
    <t>ΑΗ332140</t>
  </si>
  <si>
    <t>ΕΛΠΑΣΙΔΟΥ</t>
  </si>
  <si>
    <t xml:space="preserve">ΣΩΦΡΟΝΙΑ </t>
  </si>
  <si>
    <t>ΣΟΛΟΜΩΝ</t>
  </si>
  <si>
    <t>ΑΒ875757</t>
  </si>
  <si>
    <t>ΑΖ659424</t>
  </si>
  <si>
    <t>ΑΕ743955</t>
  </si>
  <si>
    <t>Α0725491</t>
  </si>
  <si>
    <t>ΑΝ357701</t>
  </si>
  <si>
    <t>ΚΑΠΕΤΣΗ</t>
  </si>
  <si>
    <t>ΑΗ107080</t>
  </si>
  <si>
    <t>ΧΑΤΖΗΚΩΣΤΑ</t>
  </si>
  <si>
    <t>Τ930060</t>
  </si>
  <si>
    <t>ΠΛΩΜΑΡΙΤΟΥ</t>
  </si>
  <si>
    <t>ΑΝ732521</t>
  </si>
  <si>
    <t>ΜΠΑΜΠΑΤΖΙΚΗ</t>
  </si>
  <si>
    <t>Χ976142</t>
  </si>
  <si>
    <t>ΑΙ963291</t>
  </si>
  <si>
    <t>ΑΙ354064</t>
  </si>
  <si>
    <t>ΑΖ583991</t>
  </si>
  <si>
    <t>ΑΗ295516</t>
  </si>
  <si>
    <t>ΤΣΙΦΤΣΗ</t>
  </si>
  <si>
    <t>ΑΝ913736</t>
  </si>
  <si>
    <t>ΑΕ249847</t>
  </si>
  <si>
    <t>ΑΕ071807</t>
  </si>
  <si>
    <t>ΣΟΛΑΚΗ ΓΑΛΑΝΑΚΗ</t>
  </si>
  <si>
    <t>ΑΕ171780</t>
  </si>
  <si>
    <t>ΖΥΜΒΡΑΓΟΥΔΑΚΗ</t>
  </si>
  <si>
    <t>ΑΑ464252</t>
  </si>
  <si>
    <t>ΣΤΑΜΑΤΕΛΟΠΟΥΛΟΣ</t>
  </si>
  <si>
    <t>ΑΜ456572</t>
  </si>
  <si>
    <t>ΚΑΝΙΝΗ</t>
  </si>
  <si>
    <t>ΑΚ678730</t>
  </si>
  <si>
    <t>ΑΟ428625</t>
  </si>
  <si>
    <t>ΑΚ794102</t>
  </si>
  <si>
    <t>ΑΟ301055</t>
  </si>
  <si>
    <t>ΑΗ782438</t>
  </si>
  <si>
    <t>ΑΟ082793</t>
  </si>
  <si>
    <t>ΑΖ096259</t>
  </si>
  <si>
    <t>ΚΟΥΛΛΙΑ</t>
  </si>
  <si>
    <t>ΑΙ932677</t>
  </si>
  <si>
    <t>Φ035616</t>
  </si>
  <si>
    <t>ΑΖ789403</t>
  </si>
  <si>
    <t>ΧΑΤΖΗΤΙΜΟΘΕΑΔΟΥ</t>
  </si>
  <si>
    <t>ΑΜ406534</t>
  </si>
  <si>
    <t>ΔΑΦΝΗ ΙΩΑΝΝΑ</t>
  </si>
  <si>
    <t>ΑΖ448917</t>
  </si>
  <si>
    <t>ΓΚΟΝΤΟΡΑΣ</t>
  </si>
  <si>
    <t>ΑΜ125992</t>
  </si>
  <si>
    <t>ΦΡΑΤΖΕΣΚΟΥ</t>
  </si>
  <si>
    <t>ΑΗ080859</t>
  </si>
  <si>
    <t>ΤΣΟΥΡΕΚΗ</t>
  </si>
  <si>
    <t>ΑΙ762030</t>
  </si>
  <si>
    <t>ΑΜ737123</t>
  </si>
  <si>
    <t>ΧΥΜΑ</t>
  </si>
  <si>
    <t>ΑΖ262928</t>
  </si>
  <si>
    <t>ΚΑΤΣΑΝΑ</t>
  </si>
  <si>
    <t>ΠΑΡΑΣΚΕΥΗ ΕΛΕΝΗ</t>
  </si>
  <si>
    <t>ΑΒ493389</t>
  </si>
  <si>
    <t>ΝΤΑΟΥΝΤΑΚΗ</t>
  </si>
  <si>
    <t>ΑΕ061864</t>
  </si>
  <si>
    <t>ΚΑΤΖΑΝΟΥ</t>
  </si>
  <si>
    <t>ΑΟ285843</t>
  </si>
  <si>
    <t>ΔΗΛΟΥΔΗ</t>
  </si>
  <si>
    <t>ΑΝ778004</t>
  </si>
  <si>
    <t>ΠΑΝΤΑΚΙΔΟΥ</t>
  </si>
  <si>
    <t>ΑΙ392111</t>
  </si>
  <si>
    <t>ΑΗ626015</t>
  </si>
  <si>
    <t>ΑΚ338429</t>
  </si>
  <si>
    <t>ΑΟ273641</t>
  </si>
  <si>
    <t>Χ987306</t>
  </si>
  <si>
    <t>ΑΠΟΣΤΟΛΟΥΔΑΣ</t>
  </si>
  <si>
    <t>ΑΜ423420</t>
  </si>
  <si>
    <t>ΜΕΡΗ</t>
  </si>
  <si>
    <t>Σ563850</t>
  </si>
  <si>
    <t>ΓΕΛΑΔΑΚΗ</t>
  </si>
  <si>
    <t>ΠΑΝΑΓΙΏΤΗΣ</t>
  </si>
  <si>
    <t>ΑΚ242560</t>
  </si>
  <si>
    <t>ΑΒ190166</t>
  </si>
  <si>
    <t>ΑΟ887717</t>
  </si>
  <si>
    <t>ΜΠΙΝΟΥ</t>
  </si>
  <si>
    <t>ΑΙ409311</t>
  </si>
  <si>
    <t>ΤΣΟΥΓΚΡΑΝΑ</t>
  </si>
  <si>
    <t>Τ526633</t>
  </si>
  <si>
    <t>ΚΟΥΜΛΕΛΗ</t>
  </si>
  <si>
    <t>ΑΗ851929</t>
  </si>
  <si>
    <t>ΔΗΜΑΡΑΚΗ</t>
  </si>
  <si>
    <t>ΑΝ536158</t>
  </si>
  <si>
    <t>ΖΑΜΚΙΝΟΣ</t>
  </si>
  <si>
    <t>Χ389739</t>
  </si>
  <si>
    <t>ΑΟ068849</t>
  </si>
  <si>
    <t>ΠΑΠΑΣΤΑΘΗΣ</t>
  </si>
  <si>
    <t>ΑΟ118194</t>
  </si>
  <si>
    <t>ΑΝΤΙΓΟΝΗ ΕΙΡΗΝΗ</t>
  </si>
  <si>
    <t>Φ039234</t>
  </si>
  <si>
    <t>Χ297192</t>
  </si>
  <si>
    <t>ΑΜ981709</t>
  </si>
  <si>
    <t>ΤΖΟΥΜΑΚΗ</t>
  </si>
  <si>
    <t>ΑΙ333958</t>
  </si>
  <si>
    <t>ΑΗ217933</t>
  </si>
  <si>
    <t>ΘΕΟΔΩΡΕΛΟΥ</t>
  </si>
  <si>
    <t>ΑΜ751903</t>
  </si>
  <si>
    <t>ΑΕ459272</t>
  </si>
  <si>
    <t>Φ256363</t>
  </si>
  <si>
    <t>ΚΑΡΑΘΑΝΑΣΟΠΟΥΛΟΥ</t>
  </si>
  <si>
    <t>ΒΕΝΕΤΤΑ</t>
  </si>
  <si>
    <t>ΑΚ363870</t>
  </si>
  <si>
    <t>ΑΗ767436</t>
  </si>
  <si>
    <t>ΜΠΟΥΣΔΕΚΗ</t>
  </si>
  <si>
    <t>Τ330808</t>
  </si>
  <si>
    <t>ΠΑΞΙΝΟΣ</t>
  </si>
  <si>
    <t>ΑΟ383303</t>
  </si>
  <si>
    <t>ΚΟΡΟΒΕΣΗ</t>
  </si>
  <si>
    <t>ΑΖ077744</t>
  </si>
  <si>
    <t>ΜΙΧΑΛΕΑΚΟΥ</t>
  </si>
  <si>
    <t>ΑΕ875609</t>
  </si>
  <si>
    <t>ΨΥΡΡΗ</t>
  </si>
  <si>
    <t>ΑΙ135738</t>
  </si>
  <si>
    <t>Π829897</t>
  </si>
  <si>
    <t>ΒΕΖΥΡΙΑΝΟΠΟΥΛΟΣ</t>
  </si>
  <si>
    <t>ΑΗ670607</t>
  </si>
  <si>
    <t>ΑΙ836837</t>
  </si>
  <si>
    <t>ΔΡΑΜΗΛΑΡΑΚΗ</t>
  </si>
  <si>
    <t>Φ322779</t>
  </si>
  <si>
    <t>ΘΑΝΟΠΟΥΛΟΥ</t>
  </si>
  <si>
    <t>ΑΝ247308</t>
  </si>
  <si>
    <t>ΒΕΛΑΩΡΑΣ</t>
  </si>
  <si>
    <t>ΑΜ484340</t>
  </si>
  <si>
    <t>ΑΜ298745</t>
  </si>
  <si>
    <t>ΑΗ621685</t>
  </si>
  <si>
    <t>ΑΖ396779</t>
  </si>
  <si>
    <t>ΓΚΕΡΓΚΕΣ</t>
  </si>
  <si>
    <t>Τ116461</t>
  </si>
  <si>
    <t>ΤΣΙΑΤΑ</t>
  </si>
  <si>
    <t>ΑΒ225853</t>
  </si>
  <si>
    <t>ΖΑΜΑΝΗ</t>
  </si>
  <si>
    <t>Χ543524</t>
  </si>
  <si>
    <t>ΚΑΜΕΝΙΔΟΥ</t>
  </si>
  <si>
    <t>ΑΕ835205</t>
  </si>
  <si>
    <t>ΠΑΠΑΔΗΜΗΤΡΑΤΟΥ</t>
  </si>
  <si>
    <t>ΑΙ057259</t>
  </si>
  <si>
    <t>ΑΙ827807</t>
  </si>
  <si>
    <t>ΜΠΙΖΙΟΥ</t>
  </si>
  <si>
    <t>ΑΖ108737</t>
  </si>
  <si>
    <t>ΑΙ131863</t>
  </si>
  <si>
    <t>ΑΖ046189</t>
  </si>
  <si>
    <t>ΑΖ111202</t>
  </si>
  <si>
    <t>ΒΡΕΤΟΣ</t>
  </si>
  <si>
    <t>ΑΚ772881</t>
  </si>
  <si>
    <t>ΔΑΤΣΙΚΑ</t>
  </si>
  <si>
    <t>ΑΙ227042</t>
  </si>
  <si>
    <t>ΑΖ220766</t>
  </si>
  <si>
    <t>ΚΟΥΡΛΕΣΗ</t>
  </si>
  <si>
    <t>ΑΖ707375</t>
  </si>
  <si>
    <t>ΑΕ092527</t>
  </si>
  <si>
    <t>ΤΣΙΑΛΙΚΗ</t>
  </si>
  <si>
    <t>ΑΒ894103</t>
  </si>
  <si>
    <t>ΠΑΠΑΔΟΣΠΥΡΙΔΑΚΗ</t>
  </si>
  <si>
    <t>ΑΙ804958</t>
  </si>
  <si>
    <t>ΑΙ765712</t>
  </si>
  <si>
    <t>ΚΙΣΚΟΡΙΔΟΥ</t>
  </si>
  <si>
    <t>ΑΖ378625</t>
  </si>
  <si>
    <t>ΑΚ228458</t>
  </si>
  <si>
    <t>ΧΡΙΣΤΟΦΟΡΟΥ</t>
  </si>
  <si>
    <t>ΑΜ089677</t>
  </si>
  <si>
    <t>ΑΗ373349</t>
  </si>
  <si>
    <t>ΖΩΓΡΑΦΕΝΙΑ</t>
  </si>
  <si>
    <t>ΑΟ281646</t>
  </si>
  <si>
    <t>ΚΑΤΣΙΠΟΔΑ</t>
  </si>
  <si>
    <t xml:space="preserve">ΔΙΟΝΥΣΙΑ </t>
  </si>
  <si>
    <t>ΑΟ553126</t>
  </si>
  <si>
    <t>ΑΝ568677</t>
  </si>
  <si>
    <t>ΑΒ014903</t>
  </si>
  <si>
    <t>ΚΟΥΝΑΒΗ</t>
  </si>
  <si>
    <t>ΑΙ209518</t>
  </si>
  <si>
    <t>ΑΗ741584</t>
  </si>
  <si>
    <t>ΠΑΡΣΩΤΑΚΗ</t>
  </si>
  <si>
    <t>Χ358098</t>
  </si>
  <si>
    <t>ΣΟΦΙΚΙΤΟΥ</t>
  </si>
  <si>
    <t>ΑΚ418503</t>
  </si>
  <si>
    <t>ΓΚΕΤΣΗ</t>
  </si>
  <si>
    <t>ΑΟ135653</t>
  </si>
  <si>
    <t>Σ225166</t>
  </si>
  <si>
    <t>Χ239749</t>
  </si>
  <si>
    <t>ΓΚΡΕΤΣΗ</t>
  </si>
  <si>
    <t>ΑΜ370387</t>
  </si>
  <si>
    <t>ΒΡΕΚΟΥ</t>
  </si>
  <si>
    <t>ΑΒ499241</t>
  </si>
  <si>
    <t>ΠΑΠΑΠΟΥΛΙΑ</t>
  </si>
  <si>
    <t>ΑΒ604063</t>
  </si>
  <si>
    <t>ΚΡΙΚΕΛΗ</t>
  </si>
  <si>
    <t>Χ713521</t>
  </si>
  <si>
    <t>ΑΗ360017</t>
  </si>
  <si>
    <t>ΑΖ211780</t>
  </si>
  <si>
    <t>ΑΡ326161</t>
  </si>
  <si>
    <t>ΦΑΤΣΗ</t>
  </si>
  <si>
    <t>ΑΚ403520</t>
  </si>
  <si>
    <t>ΚΥΦΩΝΙΔΟΥ</t>
  </si>
  <si>
    <t xml:space="preserve">ΕΛΕΥΘΈΡΙΟΣ </t>
  </si>
  <si>
    <t>ΑΜ932643</t>
  </si>
  <si>
    <t>Φ055838</t>
  </si>
  <si>
    <t>ΑΙ682671</t>
  </si>
  <si>
    <t>Χ778322</t>
  </si>
  <si>
    <t>ΠΡΕΒΟΛΗ</t>
  </si>
  <si>
    <t>ΑΡΤΕΜΙΟΣ</t>
  </si>
  <si>
    <t>ΑΗ943178</t>
  </si>
  <si>
    <t>ΑΚ983890</t>
  </si>
  <si>
    <t>ΑΜ290492</t>
  </si>
  <si>
    <t>ΔΕΡΕΚΗ</t>
  </si>
  <si>
    <t>ΑΖ644438</t>
  </si>
  <si>
    <t>ΑΝ373551</t>
  </si>
  <si>
    <t>ΑΙ770048</t>
  </si>
  <si>
    <t>ΑΒ286414</t>
  </si>
  <si>
    <t>ΛΕΓΚΑΤΑ</t>
  </si>
  <si>
    <t>ΚΟΛΕ</t>
  </si>
  <si>
    <t>ΑΝ665987</t>
  </si>
  <si>
    <t>ΚΟΥΛΟΥΜΠΗΣ</t>
  </si>
  <si>
    <t>ΤΡΥΦΩΝΑΣ</t>
  </si>
  <si>
    <t>ΑΗ550260</t>
  </si>
  <si>
    <t>ΚΑΡΤΑΚΗ</t>
  </si>
  <si>
    <t>ΑΗ472908</t>
  </si>
  <si>
    <t>ΑΝΔΡΕΙΩΜΕΝΟΥ</t>
  </si>
  <si>
    <t xml:space="preserve"> ΚΩΝΣΤΑΝΤΙΝΟΣ</t>
  </si>
  <si>
    <t>ΑΗ470695</t>
  </si>
  <si>
    <t>ΔΕΓΝΕ</t>
  </si>
  <si>
    <t>ΑΗ828483</t>
  </si>
  <si>
    <t>ΚΑΡΑΜΑΝΑΚΟΥ</t>
  </si>
  <si>
    <t>ΑΗ576229</t>
  </si>
  <si>
    <t>ΑΟ296830</t>
  </si>
  <si>
    <t>ΑΙ208007</t>
  </si>
  <si>
    <t>ΑΜ399957</t>
  </si>
  <si>
    <t>ΔΑΡΑΒΕΛΙΑ</t>
  </si>
  <si>
    <t>ΑΙ478867</t>
  </si>
  <si>
    <t>ΑΝ965983</t>
  </si>
  <si>
    <t>ΑΝ467852</t>
  </si>
  <si>
    <t>ΑΗ370426</t>
  </si>
  <si>
    <t>ΑΕ972423</t>
  </si>
  <si>
    <t>ΚΟΝΤΟΥΣΙΑΔΟΥ</t>
  </si>
  <si>
    <t>ΑΗ682089</t>
  </si>
  <si>
    <t>ΔΕΡΕΤΖΗ</t>
  </si>
  <si>
    <t>Π867985</t>
  </si>
  <si>
    <t>ΚΑΒΡΟΥΛΑΚΗ</t>
  </si>
  <si>
    <t>ΑΗ470853</t>
  </si>
  <si>
    <t>ΑΚ161289</t>
  </si>
  <si>
    <t>ΜΠΕΡΜΠΕΗ</t>
  </si>
  <si>
    <t>ΑΜ301834</t>
  </si>
  <si>
    <t>ΠΑΠΑΓΡΗΓΟΡΙΟΥ</t>
  </si>
  <si>
    <t>ΑΙ614119</t>
  </si>
  <si>
    <t>ΤΣΑΚΤΣΙΡΑ</t>
  </si>
  <si>
    <t>ΑΗ950977</t>
  </si>
  <si>
    <t>ΑΝΑΓΝΩΣΤΟΥΔΗ</t>
  </si>
  <si>
    <t>ΑΚ290782</t>
  </si>
  <si>
    <t>ΠΑΤΣΑΛΗ</t>
  </si>
  <si>
    <t>ΣΑΒΒΙΝΑ</t>
  </si>
  <si>
    <t>ΑΗ365394</t>
  </si>
  <si>
    <t>Φ215463</t>
  </si>
  <si>
    <t>ΑΝ851851</t>
  </si>
  <si>
    <t>ΑΚ404930</t>
  </si>
  <si>
    <t>ΤΑΚΑΤΟΓΛΟΥ</t>
  </si>
  <si>
    <t>ΑΙ106050</t>
  </si>
  <si>
    <t>Χ203945</t>
  </si>
  <si>
    <t>ΑΗ893801</t>
  </si>
  <si>
    <t>BASILEIOU</t>
  </si>
  <si>
    <t>POLINA</t>
  </si>
  <si>
    <t>Χ861525</t>
  </si>
  <si>
    <t>ΜΑΝΤΑΔΑΚΗ</t>
  </si>
  <si>
    <t>ΑΕ470083</t>
  </si>
  <si>
    <t>ΑΒ305801</t>
  </si>
  <si>
    <t>ΚΟΝΤΖΑΠΙΓΙΚΟΓΛΟΥ</t>
  </si>
  <si>
    <t>Φ174928</t>
  </si>
  <si>
    <t>Χ115450</t>
  </si>
  <si>
    <t>ΜΑΥΡΟΦΟΡΑΚΗ</t>
  </si>
  <si>
    <t>ΑΖ959967</t>
  </si>
  <si>
    <t>ΓΙΑΚΟΥΜΙΔΟΥ</t>
  </si>
  <si>
    <t>ΑΚ057592</t>
  </si>
  <si>
    <t>ΑΗ477290</t>
  </si>
  <si>
    <t>Χ081652</t>
  </si>
  <si>
    <t>ΓΚΑΝΟ</t>
  </si>
  <si>
    <t>ΦΛΩΡΙΓΕ</t>
  </si>
  <si>
    <t>ΣΕΛΑΜΙ</t>
  </si>
  <si>
    <t>ΑΟ691987</t>
  </si>
  <si>
    <t>ΑΖ039159</t>
  </si>
  <si>
    <t>ΠΑΠΑΤΖΙΜΟΠΟΥΛΟΥ</t>
  </si>
  <si>
    <t>ΑΙ407941</t>
  </si>
  <si>
    <t>ΑΗ851779</t>
  </si>
  <si>
    <t>ΓΕΡΟΝΤΑΡΗ</t>
  </si>
  <si>
    <t>ΑΗ514575</t>
  </si>
  <si>
    <t>ΑΙ376040</t>
  </si>
  <si>
    <t>ΜΠΟΥΖΑΝΗΣ</t>
  </si>
  <si>
    <t>ΑΟ031710</t>
  </si>
  <si>
    <t>ΑΚ805050</t>
  </si>
  <si>
    <t>ΜΑΝΤΖΙΟΣ</t>
  </si>
  <si>
    <t>ΑΝ114294</t>
  </si>
  <si>
    <t>ΚΩΝΣTAΝΤΙΝΟΣ</t>
  </si>
  <si>
    <t>ΑΙ297347</t>
  </si>
  <si>
    <t>ΘΩΜΑΣΙΔΟΥ</t>
  </si>
  <si>
    <t>ΑΖ869396</t>
  </si>
  <si>
    <t>ΣΕΜΠΡΟΥ</t>
  </si>
  <si>
    <t>Φ012241</t>
  </si>
  <si>
    <t>ΤΖΙΑΓΚΑΝΑ</t>
  </si>
  <si>
    <t>ΑΝ780824</t>
  </si>
  <si>
    <t>ΜΑΓΚΑΝΙΩΤΗ</t>
  </si>
  <si>
    <t>ΑΗ468997</t>
  </si>
  <si>
    <t>ΚΟΥΖΗ</t>
  </si>
  <si>
    <t>ΑΙ767670</t>
  </si>
  <si>
    <t>ΑΚ881128</t>
  </si>
  <si>
    <t>ΑΜ266913</t>
  </si>
  <si>
    <t>ΜΠΕΤΤΙΝΑ</t>
  </si>
  <si>
    <t>ΑΗ249306</t>
  </si>
  <si>
    <t>ΑΗ796213</t>
  </si>
  <si>
    <t>ΒΙΤΣΟΥ</t>
  </si>
  <si>
    <t>Χ797103</t>
  </si>
  <si>
    <t>ΑΖ805615</t>
  </si>
  <si>
    <t>ΓΡΑΒΙΑ</t>
  </si>
  <si>
    <t>ΑΗ703491</t>
  </si>
  <si>
    <t>Τ270451</t>
  </si>
  <si>
    <t>ΑΚ866696</t>
  </si>
  <si>
    <t>ΜΑΧΑΙΡΙΔΗ</t>
  </si>
  <si>
    <t>ΑΚ968389</t>
  </si>
  <si>
    <t>ΚΑΚΑΡΟΥΜΠΑ</t>
  </si>
  <si>
    <t>ΑΑ315210</t>
  </si>
  <si>
    <t>ΜΠΑΛΤΑΔΑΚΗ</t>
  </si>
  <si>
    <t>ΑΚ862207</t>
  </si>
  <si>
    <t>ΧΑΖΑΡΗ</t>
  </si>
  <si>
    <t>ΑΖ881695</t>
  </si>
  <si>
    <t>ΑΙ218941</t>
  </si>
  <si>
    <t>ΧΟΥΡΣΟΥΤΟΓΛΟΥ</t>
  </si>
  <si>
    <t>ΑΚ308388</t>
  </si>
  <si>
    <t>ΑΟ609362</t>
  </si>
  <si>
    <t>ΣΚΟΥΛΛΗ</t>
  </si>
  <si>
    <t>ΑΝ450649</t>
  </si>
  <si>
    <t>ΑΕ711385</t>
  </si>
  <si>
    <t>ΑΚ454042</t>
  </si>
  <si>
    <t>ΜΑΝΤΣΙΟΠΟΥΛΟΥ</t>
  </si>
  <si>
    <t>ΑΚ303764</t>
  </si>
  <si>
    <t>ΣΤΡΥΜΠΩΝΗ</t>
  </si>
  <si>
    <t>ΑΕ613808</t>
  </si>
  <si>
    <t>ΠΑΤΙΝΕΑ</t>
  </si>
  <si>
    <t>Χ340590</t>
  </si>
  <si>
    <t>ΤΣΟΥΚΑΛΗ</t>
  </si>
  <si>
    <t>ΣΤΑΥΡΟΥΛΑ ΣΟΦΙΑ</t>
  </si>
  <si>
    <t>ΑΙ557546</t>
  </si>
  <si>
    <t>ΑΟ899132</t>
  </si>
  <si>
    <t>ΚΟΥΚΑΛΙΩΤΗ</t>
  </si>
  <si>
    <t>ΑΝΝΑ ΧΡΙΣΤΙΝΑ</t>
  </si>
  <si>
    <t>ΑΝ914509</t>
  </si>
  <si>
    <t>ΒΓΕΝΟΠΟΥΛΟΥ</t>
  </si>
  <si>
    <t>Χ801437</t>
  </si>
  <si>
    <t>ΜΠΕΣΙΟΥ</t>
  </si>
  <si>
    <t>ΑΚ138784</t>
  </si>
  <si>
    <t>ΑΗ914555</t>
  </si>
  <si>
    <t>ΜΠΟΤΣΦΑΡΗ</t>
  </si>
  <si>
    <t>ΑΙ348479</t>
  </si>
  <si>
    <t>ΑΝ005745</t>
  </si>
  <si>
    <t>Τ137985</t>
  </si>
  <si>
    <t>ΝΤΑΓΚΟΥΝΑΚΗ</t>
  </si>
  <si>
    <t>ΑΑ005305</t>
  </si>
  <si>
    <t>ΑΡ310081</t>
  </si>
  <si>
    <t>ΛΑΜΕ</t>
  </si>
  <si>
    <t>ΑΚ637576</t>
  </si>
  <si>
    <t>ΛΑΖΑΡΙΔΗ</t>
  </si>
  <si>
    <t>ΑΜ992095</t>
  </si>
  <si>
    <t>ΜΗΤΣΙΑΚΟΥ</t>
  </si>
  <si>
    <t>ΑΚ881195</t>
  </si>
  <si>
    <t>ΠΡΑΤΤΗ</t>
  </si>
  <si>
    <t>ΑΚ036665</t>
  </si>
  <si>
    <t>Χ462509</t>
  </si>
  <si>
    <t>ΑΖ203991</t>
  </si>
  <si>
    <t>ΑΙ529415</t>
  </si>
  <si>
    <t>ΑΑ474168</t>
  </si>
  <si>
    <t>ΤΑΒΛΑΔΩΡΑΚΗ</t>
  </si>
  <si>
    <t>ΑΒ955577</t>
  </si>
  <si>
    <t>ΠΙΤΤΑΚΑ</t>
  </si>
  <si>
    <t>Ρ118357</t>
  </si>
  <si>
    <t>ΑΝΤΑΛΗ</t>
  </si>
  <si>
    <t>ΑΙ370870</t>
  </si>
  <si>
    <t>ΚΑΡΑΤΣΕ</t>
  </si>
  <si>
    <t>ΑΗ335068</t>
  </si>
  <si>
    <t>ΚΑΤΣΑΡΙΔΟΥ</t>
  </si>
  <si>
    <t>ΚΕΡΑΤΣΟΥΔΑ</t>
  </si>
  <si>
    <t>Χ968422</t>
  </si>
  <si>
    <t>ΑΚ485130</t>
  </si>
  <si>
    <t>ΑΥΘΕΝΤΙΑ</t>
  </si>
  <si>
    <t>ΑΕ389641</t>
  </si>
  <si>
    <t>ΑΒΕΤΙΣΩΒ</t>
  </si>
  <si>
    <t xml:space="preserve"> ΡΑΦΑΗΛ</t>
  </si>
  <si>
    <t>ΚΑΡΕΝ</t>
  </si>
  <si>
    <t>ΑΟ231577</t>
  </si>
  <si>
    <t>ΜΠΑΚΕΑ</t>
  </si>
  <si>
    <t>ΑΟ041767</t>
  </si>
  <si>
    <t>ΚΩΛΕΤΣΗ</t>
  </si>
  <si>
    <t>ΑΗ752577</t>
  </si>
  <si>
    <t>ΠΑΝΑΓΟΥΛΙΑ</t>
  </si>
  <si>
    <t>ΠΑΝΑΓΙΩΤΑ ΠΑΝΤΟΥΛΑ</t>
  </si>
  <si>
    <t>ΑΖ601607</t>
  </si>
  <si>
    <t>ΑΙ289484</t>
  </si>
  <si>
    <t>ΚΡΥΩΝΑ</t>
  </si>
  <si>
    <t>ΑΙ161183</t>
  </si>
  <si>
    <t>ΠΑΝΤΕΛΕΟΣ</t>
  </si>
  <si>
    <t>Σ571594</t>
  </si>
  <si>
    <t>ΚΑΡΑΣΑΒΒΑ</t>
  </si>
  <si>
    <t>Χ358845</t>
  </si>
  <si>
    <t>ΑΖ754090</t>
  </si>
  <si>
    <t>ΜΕΤΑΛΛΗΝΟΥ</t>
  </si>
  <si>
    <t>ΑΘΑΝΆΣΙΟΣ</t>
  </si>
  <si>
    <t>ΑΜ803373</t>
  </si>
  <si>
    <t>ΑΒ487394</t>
  </si>
  <si>
    <t>ΜΗΛΑ</t>
  </si>
  <si>
    <t>ΑΚ337176</t>
  </si>
  <si>
    <t>ΑΝΤΩΝΑΤΟΥ</t>
  </si>
  <si>
    <t>ΑΟ308956</t>
  </si>
  <si>
    <t>ΑΙ407614</t>
  </si>
  <si>
    <t>ΑΟ375058</t>
  </si>
  <si>
    <t>ΠΑΠΟΥΛΙΑ</t>
  </si>
  <si>
    <t>ΑΟ369738</t>
  </si>
  <si>
    <t>ΤΖΑΜΙΝΑ</t>
  </si>
  <si>
    <t>ΑΗ300387</t>
  </si>
  <si>
    <t>ΜΑΥΡΟΙΔΟΓΓΟΝΑ</t>
  </si>
  <si>
    <t xml:space="preserve">ΜΑΡΙΑ ΣΕΛΗΝΗ </t>
  </si>
  <si>
    <t>ΑΡ046994</t>
  </si>
  <si>
    <t>ΑΜ273379</t>
  </si>
  <si>
    <t>ΓΚΟΥΛΙΩΝΗ</t>
  </si>
  <si>
    <t>Χ100453</t>
  </si>
  <si>
    <t>ΑΗ252206</t>
  </si>
  <si>
    <t>ΑΝ720324</t>
  </si>
  <si>
    <t>ΑΕ966468</t>
  </si>
  <si>
    <t>ΑΙ713481</t>
  </si>
  <si>
    <t>Τ243199</t>
  </si>
  <si>
    <t>Χ154988</t>
  </si>
  <si>
    <t>Χ797539</t>
  </si>
  <si>
    <t>ΑΟ374909</t>
  </si>
  <si>
    <t>ΤΣΑΠΑ</t>
  </si>
  <si>
    <t>ΑΒ362819</t>
  </si>
  <si>
    <t>ΚΑΣΑΛΙΑ</t>
  </si>
  <si>
    <t>ΑΑ086077</t>
  </si>
  <si>
    <t>ΑΜ892171</t>
  </si>
  <si>
    <t>ΣΑΡΗΤΣΕΣΜΕΛΗ</t>
  </si>
  <si>
    <t>ΑΗ903274</t>
  </si>
  <si>
    <t>ΑΚ445269</t>
  </si>
  <si>
    <t>ΕΥΦΡΑΙΜΙΔΗ</t>
  </si>
  <si>
    <t>ΑΝΘΗ ΑΙΚΑΤΕΡΙΝΗ</t>
  </si>
  <si>
    <t>ΑΚ224596</t>
  </si>
  <si>
    <t>ΙΣΑΑΚΙΔΟΥ</t>
  </si>
  <si>
    <t>ΑΟ356117</t>
  </si>
  <si>
    <t>ΑΗ033559</t>
  </si>
  <si>
    <t>ΖΕΥΓΑΔΑΚΗ</t>
  </si>
  <si>
    <t>ΑΜ005674</t>
  </si>
  <si>
    <t>ΑΗ901531</t>
  </si>
  <si>
    <t>ΑΗ340671</t>
  </si>
  <si>
    <t>ΠΑΠΑΔΟΓΕΩΡΓΑΚΗ</t>
  </si>
  <si>
    <t>ΑΖ619750</t>
  </si>
  <si>
    <t>ΑΕ716165</t>
  </si>
  <si>
    <t>ΑΙ835067</t>
  </si>
  <si>
    <t>ΑΗ370361</t>
  </si>
  <si>
    <t>ΔΙΚΤΟΠΟΥΛΟΥ</t>
  </si>
  <si>
    <t>ΑΚ406491</t>
  </si>
  <si>
    <t>ΤΣΙΡΧΟΓΛΟΥ</t>
  </si>
  <si>
    <t>ΑΙ736888</t>
  </si>
  <si>
    <t>ΣΕΡΛΗ</t>
  </si>
  <si>
    <t>ΑΟ436368</t>
  </si>
  <si>
    <t>ΔΑΜΑΛΑ</t>
  </si>
  <si>
    <t>ΑΚ970442</t>
  </si>
  <si>
    <t>Χ352343</t>
  </si>
  <si>
    <t>ΣΙΡΑΝΙΔΟΥ</t>
  </si>
  <si>
    <t>ΑΜ018785</t>
  </si>
  <si>
    <t>ΑΕ751874</t>
  </si>
  <si>
    <t>ΑΚ612193</t>
  </si>
  <si>
    <t>Χ542114</t>
  </si>
  <si>
    <t>ΑΡ009028</t>
  </si>
  <si>
    <t>ΑΗ417893</t>
  </si>
  <si>
    <t>Φ362107</t>
  </si>
  <si>
    <t>ΞΑΦΗ</t>
  </si>
  <si>
    <t>ΑΝ335168</t>
  </si>
  <si>
    <t>ΑΗ039782</t>
  </si>
  <si>
    <t>Σ485344</t>
  </si>
  <si>
    <t>ΚΥΡΔΙΟΥ</t>
  </si>
  <si>
    <t>ΑΗ398883</t>
  </si>
  <si>
    <t>ΣΑΚΚΗ</t>
  </si>
  <si>
    <t>ΑΗ207215</t>
  </si>
  <si>
    <t>ΑΑ919566</t>
  </si>
  <si>
    <t>ΓΕΩΡΓΙΟΣ ΚΩΝΣΤΑΝΤΟΠΟΥΛΟΣ</t>
  </si>
  <si>
    <t>ΑΕ557642</t>
  </si>
  <si>
    <t>ΦΕΙΔΕΡΟΠΟΥΛΟΥ</t>
  </si>
  <si>
    <t>Χ360425</t>
  </si>
  <si>
    <t>ΖΙΩΤΗ</t>
  </si>
  <si>
    <t>ΦΡΑΤΖΕΣΚΑ</t>
  </si>
  <si>
    <t>ΑΖ509130</t>
  </si>
  <si>
    <t>ΑΕ471406</t>
  </si>
  <si>
    <t>ΓΑΛΑΡΙΩΤΗ</t>
  </si>
  <si>
    <t>Π574732</t>
  </si>
  <si>
    <t>ΣΥΜΙΑΚΟΥ</t>
  </si>
  <si>
    <t>ΑΗ405221</t>
  </si>
  <si>
    <t>ΙΩΑΝΝΑ ΜΑΡΙΝΑ</t>
  </si>
  <si>
    <t>ΑΗ843682</t>
  </si>
  <si>
    <t>ΓΕΡΟΜΙΧΑΛΟΥ</t>
  </si>
  <si>
    <t>ΑΗ570222</t>
  </si>
  <si>
    <t>ΑΕ633642</t>
  </si>
  <si>
    <t>ΓΚΟΥΤΣΕΛΗ</t>
  </si>
  <si>
    <t>ΑΖ220866</t>
  </si>
  <si>
    <t>ΤΣΙΡΟΠΟΥΛΟΥ</t>
  </si>
  <si>
    <t>ΑΟ151754</t>
  </si>
  <si>
    <t>ΦΑΡ</t>
  </si>
  <si>
    <t>ΣΕΧΑΜ</t>
  </si>
  <si>
    <t>ΑΖΜΙ</t>
  </si>
  <si>
    <t>ΑΙ248974</t>
  </si>
  <si>
    <t>Χ218729</t>
  </si>
  <si>
    <t>ΑΜ530463</t>
  </si>
  <si>
    <t>ΑΙ372748</t>
  </si>
  <si>
    <t>ΚΑΝΤΗ</t>
  </si>
  <si>
    <t>ΗΛΙΑΝΗ</t>
  </si>
  <si>
    <t>ΑΙ900081</t>
  </si>
  <si>
    <t>ΑΝ848213</t>
  </si>
  <si>
    <t xml:space="preserve">ΠΑΠΑΝΔΡΕΟΥ </t>
  </si>
  <si>
    <t>ΑΖ313924</t>
  </si>
  <si>
    <t>ΜΠΑΜΠΑΛΙΟΥΤΑ</t>
  </si>
  <si>
    <t>ΜΑΡΙΑ ΔΙΟΝΥΣΙΑ</t>
  </si>
  <si>
    <t>ΑΕ789476</t>
  </si>
  <si>
    <t>ΚΟΥΡΣΙΟΥΜΗ</t>
  </si>
  <si>
    <t>ΜΙΧΑΗΛΟΣ</t>
  </si>
  <si>
    <t>ΑΖ847461</t>
  </si>
  <si>
    <t>ΤΑΣΙΩΝΗ</t>
  </si>
  <si>
    <t>ΑΜ850113</t>
  </si>
  <si>
    <t>ΜΑΝΑΣΗ</t>
  </si>
  <si>
    <t>Χ413681</t>
  </si>
  <si>
    <t>ΠΟΥΛΙΑ</t>
  </si>
  <si>
    <t>ΑΖ619118</t>
  </si>
  <si>
    <t>ΑΟ154739</t>
  </si>
  <si>
    <t>ΜΙΣΟΛΙΔΟΥ</t>
  </si>
  <si>
    <t>ΑΙ709530</t>
  </si>
  <si>
    <t>ΧΕΛΙΔΩΝΗ</t>
  </si>
  <si>
    <t>Φ361412</t>
  </si>
  <si>
    <t>ΚΑΣΤΡΙΤΗΣ</t>
  </si>
  <si>
    <t>ΑΟ785912</t>
  </si>
  <si>
    <t>ΜΑΛΕΣΚΟΥ</t>
  </si>
  <si>
    <t>ΑΗ246912</t>
  </si>
  <si>
    <t>ΑΚ416764</t>
  </si>
  <si>
    <t>ΑΖ348499</t>
  </si>
  <si>
    <t>ΜΑΤΣΟΥΚΑΣ</t>
  </si>
  <si>
    <t>Χ295884</t>
  </si>
  <si>
    <t>ΠΟΡΦΥΡΙΟΣ</t>
  </si>
  <si>
    <t>ΑΟ375802</t>
  </si>
  <si>
    <t>ΚΕΥΣΕΝΙΔΟΥ</t>
  </si>
  <si>
    <t>ΑΙ388502</t>
  </si>
  <si>
    <t>ΑΚ290600</t>
  </si>
  <si>
    <t>ΝΕΛΑΙ</t>
  </si>
  <si>
    <t>ΚΛΑΟΥΡΑ</t>
  </si>
  <si>
    <t>ΛΟΥΑΝ</t>
  </si>
  <si>
    <t>ΑΟ159615</t>
  </si>
  <si>
    <t>ΜΕΛΠΩ</t>
  </si>
  <si>
    <t>ΑΡ212474</t>
  </si>
  <si>
    <t>ΑΖ395894</t>
  </si>
  <si>
    <t>ΧΑΤΖΗΤΖΑΝΟΥ</t>
  </si>
  <si>
    <t>ΑΜ456444</t>
  </si>
  <si>
    <t>ΛΙΑΓΚΟΥΡΗ</t>
  </si>
  <si>
    <t>ΕΥΤΥΧΙΑ ΕΛΕΝΗ</t>
  </si>
  <si>
    <t>ΑΚ080520</t>
  </si>
  <si>
    <t>ΑΒ445527</t>
  </si>
  <si>
    <t>Χ465682</t>
  </si>
  <si>
    <t>TROKA</t>
  </si>
  <si>
    <t>ENXHI</t>
  </si>
  <si>
    <t>GEZIM</t>
  </si>
  <si>
    <t>ΑΟ429968</t>
  </si>
  <si>
    <t>ΑΣΠΡΟΓΕΡΑΚΑ</t>
  </si>
  <si>
    <t>ΚΑΝΩΣΤΑΝΤΙΝΟΣ</t>
  </si>
  <si>
    <t>Χ048954</t>
  </si>
  <si>
    <t>ΑΝ775387</t>
  </si>
  <si>
    <t>ΧΑΤΖΗΠΑΥΛΟΥ</t>
  </si>
  <si>
    <t>ΑΟ578843</t>
  </si>
  <si>
    <t>ΑΙ165036</t>
  </si>
  <si>
    <t>ΑΖ395639</t>
  </si>
  <si>
    <t>ΑΙ469266</t>
  </si>
  <si>
    <t>ΠΗΤΣΙΑΝΗ</t>
  </si>
  <si>
    <t>ΑΙ142767</t>
  </si>
  <si>
    <t>ΓΚΟΛΦΗ</t>
  </si>
  <si>
    <t>Χ298679</t>
  </si>
  <si>
    <t>ΜΑΡΑΒΕΛΗ</t>
  </si>
  <si>
    <t>ΑΑ306960</t>
  </si>
  <si>
    <t>ΑΡ070357</t>
  </si>
  <si>
    <t>ΔΗΜΗΤΡΑ ΕΛΕΝΑ</t>
  </si>
  <si>
    <t>ΑΒ382086</t>
  </si>
  <si>
    <t xml:space="preserve">ΚΥΔΩΝΑΚΗ </t>
  </si>
  <si>
    <t>Χ916324</t>
  </si>
  <si>
    <t>ΑΖ964108</t>
  </si>
  <si>
    <t>ΑΜ436918</t>
  </si>
  <si>
    <t>ΑΙ894443</t>
  </si>
  <si>
    <t>Χ786093</t>
  </si>
  <si>
    <t>ΤΖΙΤΖΗ</t>
  </si>
  <si>
    <t>ΑΚ799522</t>
  </si>
  <si>
    <t>ΑΠΟΣΤΟΛΙΔΗ</t>
  </si>
  <si>
    <t>ΑΗ933924</t>
  </si>
  <si>
    <t>ΒΕΛΙΣΣΑΡΙΟΣ</t>
  </si>
  <si>
    <t>Χ833736</t>
  </si>
  <si>
    <t>ΑΜ367419</t>
  </si>
  <si>
    <t>ΑΗ338247</t>
  </si>
  <si>
    <t>ΑΒ271250</t>
  </si>
  <si>
    <t>ΑΑ789252</t>
  </si>
  <si>
    <t>ΑΝ002536</t>
  </si>
  <si>
    <t>ΑΙ875894</t>
  </si>
  <si>
    <t>ΛΑΔΕΡΗ</t>
  </si>
  <si>
    <t>ΑΖ275857</t>
  </si>
  <si>
    <t>ΑΝ348477</t>
  </si>
  <si>
    <t>ΑΗ613589</t>
  </si>
  <si>
    <t>ΑΖ111427</t>
  </si>
  <si>
    <t>ΠΟΡΟΥΤΣΙΔΟΥ</t>
  </si>
  <si>
    <t>ΑΕ905394</t>
  </si>
  <si>
    <t>ΑΟ392725</t>
  </si>
  <si>
    <t>ΣΑΛΑΜΑΝΗ</t>
  </si>
  <si>
    <t>ΑΗ914187</t>
  </si>
  <si>
    <t>Χ515352</t>
  </si>
  <si>
    <t>ΑΟ404319</t>
  </si>
  <si>
    <t>ΖΑΧΑΡΙΟΥΔΑΚΗΣ</t>
  </si>
  <si>
    <t>ΑΙ945808</t>
  </si>
  <si>
    <t>ΞΥΓΚΑ</t>
  </si>
  <si>
    <t>ΑΒ074521</t>
  </si>
  <si>
    <t>ΣΑΡΚΑΤΖΗ</t>
  </si>
  <si>
    <t>ΑΙ890311</t>
  </si>
  <si>
    <t>ΑΖ268391</t>
  </si>
  <si>
    <t>ΤΟΜΠΑΖΗ</t>
  </si>
  <si>
    <t>ΑΙ719953</t>
  </si>
  <si>
    <t>ΑΟ233012</t>
  </si>
  <si>
    <t>ΑΚ651424</t>
  </si>
  <si>
    <t>ΣΤΑΥΡΙΑΝΑΚΗ</t>
  </si>
  <si>
    <t>ΑΙ961897</t>
  </si>
  <si>
    <t>ΧΟΥΣΑΜ ΣΑΧΑΣΙΡΟ</t>
  </si>
  <si>
    <t>ΑΖ118770</t>
  </si>
  <si>
    <t>ΑΙ878167</t>
  </si>
  <si>
    <t>ΠΟΛΥΧΡΟΝΟΠΟΥΛΟΣ</t>
  </si>
  <si>
    <t>ΑΜ456023</t>
  </si>
  <si>
    <t>ΜΠΟΥΣΜΠΟΥ</t>
  </si>
  <si>
    <t>ΑΙ362189</t>
  </si>
  <si>
    <t>ΑΚ282981</t>
  </si>
  <si>
    <t>ΑΚ409411</t>
  </si>
  <si>
    <t>ΠΕΡΟΝΤΣΗ</t>
  </si>
  <si>
    <t>ΑΚ435977</t>
  </si>
  <si>
    <t>ΛΥΜΠΕΡΙΔΗΣ</t>
  </si>
  <si>
    <t>ΑΗ921608</t>
  </si>
  <si>
    <t>ΔΑΡΔΙΩΤΗ</t>
  </si>
  <si>
    <t>ΑΒ101175</t>
  </si>
  <si>
    <t>ΝΤΑΣΗ</t>
  </si>
  <si>
    <t>ΑΙ233939</t>
  </si>
  <si>
    <t>Χ376246</t>
  </si>
  <si>
    <t>ΠΑΡΑΣΧΑΚΗΣ</t>
  </si>
  <si>
    <t>ΚΑΝΑΡΗΣ</t>
  </si>
  <si>
    <t>ΑΗ400997</t>
  </si>
  <si>
    <t>ΠΡΟΥΝΤΖΟΣ</t>
  </si>
  <si>
    <t>ΑΕ729203</t>
  </si>
  <si>
    <t>Ρ789277</t>
  </si>
  <si>
    <t>ΑΜ908089</t>
  </si>
  <si>
    <t>ΑΒ937776</t>
  </si>
  <si>
    <t>ΜΑΛΑΜΗ</t>
  </si>
  <si>
    <t>ΑΒ092346</t>
  </si>
  <si>
    <t>ΑΙ412505</t>
  </si>
  <si>
    <t>ΑΖ661708</t>
  </si>
  <si>
    <t>Χ995542</t>
  </si>
  <si>
    <t>ΣΥΝΙΡΙΔΟΥ</t>
  </si>
  <si>
    <t>ΑΝ224132</t>
  </si>
  <si>
    <t>ΤΑΜΠΟΥΚΑ</t>
  </si>
  <si>
    <t>ΑΖ770892</t>
  </si>
  <si>
    <t>ΑΙ463546</t>
  </si>
  <si>
    <t>ΑΗ696783</t>
  </si>
  <si>
    <t>ΤΣΟΥΚΛΙΔΗ</t>
  </si>
  <si>
    <t>ΑΒ240645</t>
  </si>
  <si>
    <t>ΓΕΩΡΓΑΚΟΠΟΥΛΟΥ ΦΛΩΡΑΔΗ</t>
  </si>
  <si>
    <t>ΑΙ413842</t>
  </si>
  <si>
    <t>ΑΘΑΝΑΣΟΥΔΗ</t>
  </si>
  <si>
    <t>ΑΑ476615</t>
  </si>
  <si>
    <t>ΚΑΠΟΥΝΙΑΡΙΔΟΥ</t>
  </si>
  <si>
    <t>ΑΙ384679</t>
  </si>
  <si>
    <t>ΑΒ850651</t>
  </si>
  <si>
    <t>ΦΟΝΙΑ</t>
  </si>
  <si>
    <t>ΑΕ475086</t>
  </si>
  <si>
    <t>ΤΖΙΑΛΛΗΛΑ</t>
  </si>
  <si>
    <t>ΧΡΙΣΤΙΝΑ ΣΤΑΜΑΤΙΝΑ</t>
  </si>
  <si>
    <t>ΑΟ538475</t>
  </si>
  <si>
    <t>ΓΚΙΟΥΛΕΚΑ</t>
  </si>
  <si>
    <t>ΑΙ172219</t>
  </si>
  <si>
    <t>ΑΖ885640</t>
  </si>
  <si>
    <t>ΑΙ946106</t>
  </si>
  <si>
    <t>ΚΟΥΤΣΟΓΙΑΝΝΟΥΛΗ</t>
  </si>
  <si>
    <t>ΑΟ590634</t>
  </si>
  <si>
    <t>ΖΑΦΕΙΡΑΚΟΠΟΥΛΟΥ</t>
  </si>
  <si>
    <t>ΑΗ202447</t>
  </si>
  <si>
    <t>ΡΑΜΝΑΛΗ</t>
  </si>
  <si>
    <t>ΑΚ271402</t>
  </si>
  <si>
    <t>ΓΚΟΓΚΑΚΗ</t>
  </si>
  <si>
    <t>ΑΕ320320</t>
  </si>
  <si>
    <t>ΑΗ690530</t>
  </si>
  <si>
    <t>ΑΟ636425</t>
  </si>
  <si>
    <t>ΚΑΡΝΟΥΤΣΟΥ</t>
  </si>
  <si>
    <t>ΑΕ504677</t>
  </si>
  <si>
    <t>ΤΣΑΝΗ</t>
  </si>
  <si>
    <t>ΑΗ303498</t>
  </si>
  <si>
    <t>ΛΕΣΣΗ</t>
  </si>
  <si>
    <t>ΑΚ673004</t>
  </si>
  <si>
    <t>ΠΕΤΣΙΤΗ</t>
  </si>
  <si>
    <t>ΧΡΥΣΟΥΛΑ ΙΩΑΝΝΑ</t>
  </si>
  <si>
    <t>ΑΙ616932</t>
  </si>
  <si>
    <t>ΑΗ828413</t>
  </si>
  <si>
    <t>ΤΡΟΣΙΔΟΥ</t>
  </si>
  <si>
    <t>ΑΕ404942</t>
  </si>
  <si>
    <t>ΓΚΟΥΓΙΑΝΟΥ ΖΙΑΚΑ</t>
  </si>
  <si>
    <t>ΑΜ733945</t>
  </si>
  <si>
    <t>ΑΕ827015</t>
  </si>
  <si>
    <t>ΑΙ881691</t>
  </si>
  <si>
    <t>ΑΜΕΡΙΣΑ</t>
  </si>
  <si>
    <t>ΑΚ161182</t>
  </si>
  <si>
    <t>ΑΕ286567</t>
  </si>
  <si>
    <t>ΤΖΕΤΑΝΗ</t>
  </si>
  <si>
    <t xml:space="preserve">ΑΣΤΕΡ </t>
  </si>
  <si>
    <t>ΑΜ858600</t>
  </si>
  <si>
    <t>ΑΝ526200</t>
  </si>
  <si>
    <t xml:space="preserve"> ΝΙΚΟΛΕΤΤΑ</t>
  </si>
  <si>
    <t>ΑΕ249409</t>
  </si>
  <si>
    <t>ΑΒ692980</t>
  </si>
  <si>
    <t>ΠΑΙΒΑΝΑ</t>
  </si>
  <si>
    <t>ΑΑ769258</t>
  </si>
  <si>
    <t>ΧΥΤΗ</t>
  </si>
  <si>
    <t>ΑΒ199870</t>
  </si>
  <si>
    <t>ΑΝΤΩΝΙΟΣ ΠΑΝΑΓΙΩΤΗΣ</t>
  </si>
  <si>
    <t>ΑΝ603066</t>
  </si>
  <si>
    <t>ΑΙ483053</t>
  </si>
  <si>
    <t>ΑΙ632257</t>
  </si>
  <si>
    <t>ΛΑΓΟΠΟΥΛΟΣ</t>
  </si>
  <si>
    <t>ΑΖ891230</t>
  </si>
  <si>
    <t>ΜΑΝΩΛΑΚΟΥ</t>
  </si>
  <si>
    <t>ΑΟ481583</t>
  </si>
  <si>
    <t>ΑΚΡΙΒΕΤΑ</t>
  </si>
  <si>
    <t>ΑΖ264511</t>
  </si>
  <si>
    <t>ΑΟ384877</t>
  </si>
  <si>
    <t>ΑΚ308710</t>
  </si>
  <si>
    <t>ΜΙΚΙΤΣ</t>
  </si>
  <si>
    <t>ΜΙΛΙΤΣΑ</t>
  </si>
  <si>
    <t>ΜΙΟΝΤΡΑΓΚ</t>
  </si>
  <si>
    <t>ΑΝ380481</t>
  </si>
  <si>
    <t>ΜΑΥΡΟΜΥΤΗ</t>
  </si>
  <si>
    <t>Χ906360</t>
  </si>
  <si>
    <t>Χ497491</t>
  </si>
  <si>
    <t>ΣΔΡΑΝΗ</t>
  </si>
  <si>
    <t>ΑΑ431461</t>
  </si>
  <si>
    <t>ΑΟ316077</t>
  </si>
  <si>
    <t>ΑΟ211045</t>
  </si>
  <si>
    <t>ΑΝΑΣΤΆΣΙΟΣ</t>
  </si>
  <si>
    <t>ΑΑ760034</t>
  </si>
  <si>
    <t>ΑΜ910130</t>
  </si>
  <si>
    <t>ΚΟΥΦΑΛΗ</t>
  </si>
  <si>
    <t>Χ989067</t>
  </si>
  <si>
    <t>ΑΖ847325</t>
  </si>
  <si>
    <t>ΑΗ549562</t>
  </si>
  <si>
    <t>ΑΖ891615</t>
  </si>
  <si>
    <t>ΚΙΟΥΤΣΙΟΥΚΗ</t>
  </si>
  <si>
    <t>Χ944185</t>
  </si>
  <si>
    <t>Χ385094</t>
  </si>
  <si>
    <t>ΑΖ499046</t>
  </si>
  <si>
    <t>ΜΙΝΕΤΟΥ</t>
  </si>
  <si>
    <t>ΑΒ097343</t>
  </si>
  <si>
    <t>ΛΥΚΟΠΑΝΤΗ</t>
  </si>
  <si>
    <t>ΑΒ946620</t>
  </si>
  <si>
    <t>ΠΑΝΑΓΙΤΣΑ</t>
  </si>
  <si>
    <t>ΑΑ459306</t>
  </si>
  <si>
    <t>ΑΙ095098</t>
  </si>
  <si>
    <t>ΓΙΑΝΝΑΚΟΣ</t>
  </si>
  <si>
    <t>ΑΟ145135</t>
  </si>
  <si>
    <t>ΣΑΜΠΡΗ</t>
  </si>
  <si>
    <t>ΡΑΦΑΗΛΙΑ ΑΝΔΡΟΝΙΚΗ</t>
  </si>
  <si>
    <t>ΑΜ908651</t>
  </si>
  <si>
    <t xml:space="preserve">ΟΡΦΑΝΙΔΟΥ </t>
  </si>
  <si>
    <t>ΑΑ339611</t>
  </si>
  <si>
    <t>ΑΜ904889</t>
  </si>
  <si>
    <t>ΣΥΡΡΗ</t>
  </si>
  <si>
    <t>ΝΙΚΟΛΑΟΣ ΙΣΙΔΩΡΟΣ</t>
  </si>
  <si>
    <t>Φ349783</t>
  </si>
  <si>
    <t>ΑΖ845130</t>
  </si>
  <si>
    <t>ΔΙΟΝΥΣΙΑ ΠΑΥΛΙΝΑ</t>
  </si>
  <si>
    <t>ΑΒ831103</t>
  </si>
  <si>
    <t>ΡΕΦΕΝΕ</t>
  </si>
  <si>
    <t>ΑΕ805676</t>
  </si>
  <si>
    <t>ΑΚ787647</t>
  </si>
  <si>
    <t>ΠΕΝΤΙΔΗΣ</t>
  </si>
  <si>
    <t>ΑΝ174569</t>
  </si>
  <si>
    <t>ΑΗ855389</t>
  </si>
  <si>
    <t>Τ478848</t>
  </si>
  <si>
    <t>Χ873550</t>
  </si>
  <si>
    <t>ΦΕΛΛΑ</t>
  </si>
  <si>
    <t>ΑΕ575414</t>
  </si>
  <si>
    <t>ΚΑΤΡΙΤΣΗ</t>
  </si>
  <si>
    <t>ΑΟ866074</t>
  </si>
  <si>
    <t>ΧΕΛΑ</t>
  </si>
  <si>
    <t>ΣΠΗΛΙΤΣΑ</t>
  </si>
  <si>
    <t>ΑΚ958156</t>
  </si>
  <si>
    <t>ΑΣΛΑΝΙΔΗ</t>
  </si>
  <si>
    <t>ΑΝ740259</t>
  </si>
  <si>
    <t>ΠΡΙΝΤΖΙΟΥ</t>
  </si>
  <si>
    <t>ΑΙ834634</t>
  </si>
  <si>
    <t>ΑΟ085882</t>
  </si>
  <si>
    <t>ΑΖ028539</t>
  </si>
  <si>
    <t>ΣΚΑΛΚΟΥ</t>
  </si>
  <si>
    <t>ΑΝ597974</t>
  </si>
  <si>
    <t>ΑΜ640901</t>
  </si>
  <si>
    <t>ΧΑΛΙΑΣΟΥ</t>
  </si>
  <si>
    <t>ΕΛΣΑ</t>
  </si>
  <si>
    <t>ΑΗ250197</t>
  </si>
  <si>
    <t>ΚΑΝΕΛΛΗ ΠΟΛΙΤΑΚΗ</t>
  </si>
  <si>
    <t>ΔΑΝΑΗ ΜΕΡΟΠΗ</t>
  </si>
  <si>
    <t>ΑΗ585486</t>
  </si>
  <si>
    <t>ΣΥΣΟΒΙΤΗ</t>
  </si>
  <si>
    <t>ΑΙ117549</t>
  </si>
  <si>
    <t>ΛΑΜΠΡΙΝΗ ΧΡΥΣΟΒΑΛΑΝΤΩ</t>
  </si>
  <si>
    <t>ΑΙ837572</t>
  </si>
  <si>
    <t xml:space="preserve">ΚΟΥΤΣΑΚΗ </t>
  </si>
  <si>
    <t>ΑΝ927584</t>
  </si>
  <si>
    <t>ΠΑΠΑΝΙΚΟΛΟΠΟΥΛΟΥ</t>
  </si>
  <si>
    <t>ΑΙ557111</t>
  </si>
  <si>
    <t>ΓΚΛΟΝΤΙΑΝΟΥ</t>
  </si>
  <si>
    <t>ΑΝΑΤΟΛΙ</t>
  </si>
  <si>
    <t>ΑΜ634351</t>
  </si>
  <si>
    <t>ΑΗ354832</t>
  </si>
  <si>
    <t>ΓΟΝΗ</t>
  </si>
  <si>
    <t>ΑΝ993492</t>
  </si>
  <si>
    <t>ΑΙ039731</t>
  </si>
  <si>
    <t>ΚΟΛΙΑΚΑ</t>
  </si>
  <si>
    <t>ΑΕ287100</t>
  </si>
  <si>
    <t>ΑΖ315090</t>
  </si>
  <si>
    <t>ΚΟΡΟΣΙΔΟΥ</t>
  </si>
  <si>
    <t>ΑΜ661756</t>
  </si>
  <si>
    <t>ΑΒ852044</t>
  </si>
  <si>
    <t>ΑΕ347029</t>
  </si>
  <si>
    <t>ΜΠΕΛΕΖΗΣ</t>
  </si>
  <si>
    <t>ΑΙ401590</t>
  </si>
  <si>
    <t>ΑΗ390132</t>
  </si>
  <si>
    <t>ΑΗ963599</t>
  </si>
  <si>
    <t>ΑΑ415850</t>
  </si>
  <si>
    <t>ΑΕ259674</t>
  </si>
  <si>
    <t>ΤΣΙΤΣΑΝΟΥ</t>
  </si>
  <si>
    <t>ΕΥΣΤΡΑΤΙΟΣΣ</t>
  </si>
  <si>
    <t>ΑΗ931361</t>
  </si>
  <si>
    <t>ΞΕΡΑ</t>
  </si>
  <si>
    <t>ΜΑΡΙΝΑ ΕΛΛΗ</t>
  </si>
  <si>
    <t>ΑΖ021887</t>
  </si>
  <si>
    <t>ΣΕΚΕΡΤΖΗ</t>
  </si>
  <si>
    <t>ΑΗ967849</t>
  </si>
  <si>
    <t>ΑΑ325212</t>
  </si>
  <si>
    <t>ΚΑΝΤΟΥΝΗ</t>
  </si>
  <si>
    <t>ΑΝ438265</t>
  </si>
  <si>
    <t>ΑΒ620818</t>
  </si>
  <si>
    <t>ΣΤΑΜΕΛΟΣ</t>
  </si>
  <si>
    <t>ΑΕ493587</t>
  </si>
  <si>
    <t>ΚΑΘΑΡΟΠΟΥΛΟΥ</t>
  </si>
  <si>
    <t>ΑΝ599394</t>
  </si>
  <si>
    <t>ΑΟ268446</t>
  </si>
  <si>
    <t>ΚΟΥΤΖΑΜΠΑΣΗ</t>
  </si>
  <si>
    <t>ΑΒ361100</t>
  </si>
  <si>
    <t>ΚΑΡΑΠΑΝΑΓΙΩΤΙΔΟΥ</t>
  </si>
  <si>
    <t>ΑΒ109776</t>
  </si>
  <si>
    <t>ΚΟΥΜΠΟΥΝΗ</t>
  </si>
  <si>
    <t>Χ286458</t>
  </si>
  <si>
    <t>ΜΗΤΚΩΝΗ</t>
  </si>
  <si>
    <t>ΑΟ967754</t>
  </si>
  <si>
    <t>ΣΑΣΑΚΑΡΟΥ</t>
  </si>
  <si>
    <t>ΔΟΜΝΑ ΠΑΝΑΓΙΩΤΑ</t>
  </si>
  <si>
    <t>ΑΜ260227</t>
  </si>
  <si>
    <t>ΑΗ393019</t>
  </si>
  <si>
    <t>ΑΜ669229</t>
  </si>
  <si>
    <t>ΑΙ386776</t>
  </si>
  <si>
    <t>ΑΖ889091</t>
  </si>
  <si>
    <t>ΚΟΥΤΕΛΑΚΗ</t>
  </si>
  <si>
    <t>ΑΜ964058</t>
  </si>
  <si>
    <t>ΧΡΗΣΙΜΟΣ</t>
  </si>
  <si>
    <t>ΑΝ749209</t>
  </si>
  <si>
    <t>ΝΕΝΔΟΥ</t>
  </si>
  <si>
    <t>ΑΗ710267</t>
  </si>
  <si>
    <t>ΚΟΣΜΑΤΟΠΟΥΛΟΥ</t>
  </si>
  <si>
    <t>ΑΗ795068</t>
  </si>
  <si>
    <t>ΖΑΦΕΙΡΟΥΛΗ</t>
  </si>
  <si>
    <t>BΑIA</t>
  </si>
  <si>
    <t>ΑΒ833000</t>
  </si>
  <si>
    <t>ΣΩΤΗΡΟΥΔΗ</t>
  </si>
  <si>
    <t>ΑΜ922852</t>
  </si>
  <si>
    <t>ΑΖ335451</t>
  </si>
  <si>
    <t>ΤΣΙΡΕΚΑ</t>
  </si>
  <si>
    <t>ΑΙ350504</t>
  </si>
  <si>
    <t>ΑΙ138433</t>
  </si>
  <si>
    <t>ΑΜ371694</t>
  </si>
  <si>
    <t>ΑΑ440463</t>
  </si>
  <si>
    <t>ΑΝ789824</t>
  </si>
  <si>
    <t>Χ591841</t>
  </si>
  <si>
    <t>ΠΕΧΥΝΑΚΗ</t>
  </si>
  <si>
    <t>ΑΙ937735</t>
  </si>
  <si>
    <t>ΑΝΟΥΣΑΚΗ</t>
  </si>
  <si>
    <t>Φ344582</t>
  </si>
  <si>
    <t>ΣΤΑΥΡΙΔΗ</t>
  </si>
  <si>
    <t>ΑΚ970776</t>
  </si>
  <si>
    <t>ΑΗ824706</t>
  </si>
  <si>
    <t>ΑΗ325317</t>
  </si>
  <si>
    <t>ΑΙ453657</t>
  </si>
  <si>
    <t>ΑΙ840040</t>
  </si>
  <si>
    <t>ΑΙ336121</t>
  </si>
  <si>
    <t>ΚΑΡΟΠΟΥΛΟΥ</t>
  </si>
  <si>
    <t>ΑΖ890233</t>
  </si>
  <si>
    <t>ΑΖ360541</t>
  </si>
  <si>
    <t>ΑΙΚΑΤΕΡΙΝΗ ΧΡΙΣΤΙΝΑ</t>
  </si>
  <si>
    <t>ΑΑ045682</t>
  </si>
  <si>
    <t>ΑΖ907730</t>
  </si>
  <si>
    <t>ΒΑΝΑΚΑ</t>
  </si>
  <si>
    <t>ΑΚ321322</t>
  </si>
  <si>
    <t>ΑΕ242443</t>
  </si>
  <si>
    <t>Χ305001</t>
  </si>
  <si>
    <t>ΑΗ348107</t>
  </si>
  <si>
    <t>ΜΑΣΟΥΡΗΣ</t>
  </si>
  <si>
    <t>ΑΙ483179</t>
  </si>
  <si>
    <t>ΑΗ396877</t>
  </si>
  <si>
    <t>ΓΙΛΑΝΤΖΗ</t>
  </si>
  <si>
    <t>ΑΕ646274</t>
  </si>
  <si>
    <t>ΓΟΥΜΕΝΙΔΟΥ</t>
  </si>
  <si>
    <t>ΑΟ694670</t>
  </si>
  <si>
    <t>ΣΙΝΑΝΗ</t>
  </si>
  <si>
    <t>ΑΒ261470</t>
  </si>
  <si>
    <t>ΑΟ784051</t>
  </si>
  <si>
    <t>ΣΤΟΙΚΟΣ</t>
  </si>
  <si>
    <t>ΑΒ450581</t>
  </si>
  <si>
    <t>ΣΚΟΥΝΤΡΙΔΑΚΗ</t>
  </si>
  <si>
    <t>ΑΗ370670</t>
  </si>
  <si>
    <t>ΑΒ547547</t>
  </si>
  <si>
    <t>ΚΩΣΤΙΤΣΑ</t>
  </si>
  <si>
    <t>Χ469493</t>
  </si>
  <si>
    <t>ΚΑΡΥΤΙΝΟΥ</t>
  </si>
  <si>
    <t>ΑΖ162533</t>
  </si>
  <si>
    <t>ΑΗ857249</t>
  </si>
  <si>
    <t>ΑΖ887356</t>
  </si>
  <si>
    <t>ΑΓΓΕΛΟΝΕΚΤΑΡΙΟΣ</t>
  </si>
  <si>
    <t>ΑΗ528675</t>
  </si>
  <si>
    <t>ΑΜ933348</t>
  </si>
  <si>
    <t>ΚΟΝΤΟΓΙΑΝΝΙΔΟΥ</t>
  </si>
  <si>
    <t>ΑΖ396118</t>
  </si>
  <si>
    <t>ΑΗ402405</t>
  </si>
  <si>
    <t>ΑΖ671602</t>
  </si>
  <si>
    <t>ΑΗ875868</t>
  </si>
  <si>
    <t>ΑΖ854531</t>
  </si>
  <si>
    <t>ΒΡΗ</t>
  </si>
  <si>
    <t>ΑΑ268101</t>
  </si>
  <si>
    <t xml:space="preserve">ΣΤΕΛΛΑ </t>
  </si>
  <si>
    <t>ΑΒ889885</t>
  </si>
  <si>
    <t>ΜΑΡΟΠΟΥΛΟΥ</t>
  </si>
  <si>
    <t>ΑΕ236385</t>
  </si>
  <si>
    <t>ΚΟΥΤΣΟΘΑΝΑΣΗ</t>
  </si>
  <si>
    <t>ΑΒ499748</t>
  </si>
  <si>
    <t>ΜΕΛΗ</t>
  </si>
  <si>
    <t>ΑΚ470364</t>
  </si>
  <si>
    <t>ΑΗ265728</t>
  </si>
  <si>
    <t>ΔΡΟΣΙΔΟΥ</t>
  </si>
  <si>
    <t>ΑΕ883099</t>
  </si>
  <si>
    <t>ΣΤΑΜΑΤΕΛΑ</t>
  </si>
  <si>
    <t>ΑΒ028000</t>
  </si>
  <si>
    <t>ΑΖ676249</t>
  </si>
  <si>
    <t>ΓΙΑΝΝΟΥΛΑΣ</t>
  </si>
  <si>
    <t>ΑΖ664172</t>
  </si>
  <si>
    <t>ΖΑΧΙΛΑ</t>
  </si>
  <si>
    <t>ΑΝ897002</t>
  </si>
  <si>
    <t>ΑΖ940291</t>
  </si>
  <si>
    <t>ΤΥΡΟΒΟΛΑ</t>
  </si>
  <si>
    <t>ΑΝ268141</t>
  </si>
  <si>
    <t>ΑΕ898061</t>
  </si>
  <si>
    <t>ΑΝ262868</t>
  </si>
  <si>
    <t>ΚΩΤΟΥΛΑΣ</t>
  </si>
  <si>
    <t xml:space="preserve">ΝΙΚΟΛΑΟΣ ΧΡΗΣΤΟΣ </t>
  </si>
  <si>
    <t>ΑΗ820840</t>
  </si>
  <si>
    <t>ΠΑΝΑΓΙΩΤΑ ΕΥΤΕΡΠΗ</t>
  </si>
  <si>
    <t>ΑΜ128509</t>
  </si>
  <si>
    <t>ΑΜ428474</t>
  </si>
  <si>
    <t>ΑΖ722012</t>
  </si>
  <si>
    <t>ΠΙΕΤΡΟΣ</t>
  </si>
  <si>
    <t>ΑΕ342533</t>
  </si>
  <si>
    <t>ΒΑΤΣΙΟΥ</t>
  </si>
  <si>
    <t>ΑΚ354490</t>
  </si>
  <si>
    <t>ΑΖ054473</t>
  </si>
  <si>
    <t>ΘΕΟΔΩΡΑ ΟΥΡΑΝΙΑ</t>
  </si>
  <si>
    <t>Χ720959</t>
  </si>
  <si>
    <t>ΑΖ591840</t>
  </si>
  <si>
    <t>ΚΑΡΑΜΑΝΩΛΑΚΗ</t>
  </si>
  <si>
    <t>ΑΙ251895</t>
  </si>
  <si>
    <t>ΒΟΥΡΤΣΑΚΗΣ</t>
  </si>
  <si>
    <t>ΑΖ896672</t>
  </si>
  <si>
    <t>ΑΙ280701</t>
  </si>
  <si>
    <t>ΣΚΑΛΙΑΡΗ</t>
  </si>
  <si>
    <t>ΑΑ458966</t>
  </si>
  <si>
    <t>ΤΣΑΛΑΜΠΑΝΑ</t>
  </si>
  <si>
    <t>ΑΜ419315</t>
  </si>
  <si>
    <t>ΑΗ239527</t>
  </si>
  <si>
    <t>ΑΚ888028</t>
  </si>
  <si>
    <t>ΑΗ351870</t>
  </si>
  <si>
    <t>ΑΝ384701</t>
  </si>
  <si>
    <t>ΚΑΠΕΤΑΝΙΟΥ</t>
  </si>
  <si>
    <t>ΑΚ450296</t>
  </si>
  <si>
    <t>ΑΗ836213</t>
  </si>
  <si>
    <t>ΤΣΑΝΤΖΑΛΗΣ</t>
  </si>
  <si>
    <t>ΜΠΟΡΙΔΟΥ</t>
  </si>
  <si>
    <t>ΑΗ922519</t>
  </si>
  <si>
    <t>ΚΟΥΒΕΛΟΓΛΟΥ</t>
  </si>
  <si>
    <t>ΑΗ347627</t>
  </si>
  <si>
    <t>ΚΟΤΑΡΕΛΑ</t>
  </si>
  <si>
    <t>ΑΝ666255</t>
  </si>
  <si>
    <t>ΧΑΡΙΚΛΕΙΑ ΑΡΤΕΜΙΣ</t>
  </si>
  <si>
    <t>ΑΗ561946</t>
  </si>
  <si>
    <t>ΑΜ787003</t>
  </si>
  <si>
    <t>ΑΝ252764</t>
  </si>
  <si>
    <t>ΠΑΠΑΜΟΣΧΟΥ</t>
  </si>
  <si>
    <t>Ρ478999</t>
  </si>
  <si>
    <t>ΑΖ721874</t>
  </si>
  <si>
    <t>ΑΖ406985</t>
  </si>
  <si>
    <t>ΑΗ302780</t>
  </si>
  <si>
    <t>ΜΕΖΙΚΗΣ</t>
  </si>
  <si>
    <t>ΑΗ656015</t>
  </si>
  <si>
    <t>ΑΜ910535</t>
  </si>
  <si>
    <t>ΑΜ153299</t>
  </si>
  <si>
    <t>ΑΕ908477</t>
  </si>
  <si>
    <t>ΑΙ940571</t>
  </si>
  <si>
    <t>Χ797673</t>
  </si>
  <si>
    <t>ΑΙΚΑΤΕΡΙΝΗ ΦΩΤΕΙΝΗ</t>
  </si>
  <si>
    <t>ΑΝ239147</t>
  </si>
  <si>
    <t>ΑΗ536526</t>
  </si>
  <si>
    <t>ΑΙ151239</t>
  </si>
  <si>
    <t>ΑΡΔΑΜΗ</t>
  </si>
  <si>
    <t>ΑΙ802240</t>
  </si>
  <si>
    <t>ΑΚ304974</t>
  </si>
  <si>
    <t>ΜΑΚΡΙΔΗ</t>
  </si>
  <si>
    <t>ΑΖ762150</t>
  </si>
  <si>
    <t>ΔΡΑΓΑΤΑΚΗ</t>
  </si>
  <si>
    <t>ΑΑ311609</t>
  </si>
  <si>
    <t>ΤΣΑΡΑΠΑΤΣΑΝΗ</t>
  </si>
  <si>
    <t>ΑΒ426328</t>
  </si>
  <si>
    <t>ΒΡΟΧΙΔΗΣ</t>
  </si>
  <si>
    <t>ΑΚ756939</t>
  </si>
  <si>
    <t>ΑΒ109746</t>
  </si>
  <si>
    <t>ΚΟΥΜΠΗΣ</t>
  </si>
  <si>
    <t>ΑΙ787878</t>
  </si>
  <si>
    <t>ΖΟΥΜΠΟΥΛΙΔΗ</t>
  </si>
  <si>
    <t>ΑΚ832701</t>
  </si>
  <si>
    <t>ΑΒ132954</t>
  </si>
  <si>
    <t>ΑΖ796630</t>
  </si>
  <si>
    <t>ΚΑΚΑΖΑΝΗΣ</t>
  </si>
  <si>
    <t>ΑΖ356239</t>
  </si>
  <si>
    <t>ΑΜ892648</t>
  </si>
  <si>
    <t>ΣΟΛΑΚΑΚΗ</t>
  </si>
  <si>
    <t>ΑΙ947110</t>
  </si>
  <si>
    <t>ΝΙΚΟΓΙΑΝΝΗ</t>
  </si>
  <si>
    <t>ΓΙΑΣΕΜΗ ΜΑΡΙΑ</t>
  </si>
  <si>
    <t>ΑΟ949384</t>
  </si>
  <si>
    <t>ΑΙ844121</t>
  </si>
  <si>
    <t>ΜΟΡΦΟΥΛΑ</t>
  </si>
  <si>
    <t>ΑΙ898761</t>
  </si>
  <si>
    <t>ΑΗ320602</t>
  </si>
  <si>
    <t>ΜΠΟΥΖΟΥΚΗ</t>
  </si>
  <si>
    <t>ΑΙ290527</t>
  </si>
  <si>
    <t>ΑΗ876792</t>
  </si>
  <si>
    <t>ΠΑΧΟΣ</t>
  </si>
  <si>
    <t>ΑΗ560215</t>
  </si>
  <si>
    <t>ΑΚ952959</t>
  </si>
  <si>
    <t>ΑΗ851083</t>
  </si>
  <si>
    <t xml:space="preserve">ΚΑΡΚΑΒΙΤΣΑ </t>
  </si>
  <si>
    <t xml:space="preserve">ΕΥΘΥΜΙΟΣ </t>
  </si>
  <si>
    <t>ΑΜ752639</t>
  </si>
  <si>
    <t>ΑΟ686366</t>
  </si>
  <si>
    <t>ΤΣΕΧΙΛΙΔΟΥ</t>
  </si>
  <si>
    <t>ΑΖ313390</t>
  </si>
  <si>
    <t>ΜΠΑΒΕΤΣΙΑ</t>
  </si>
  <si>
    <t>ΑΑ311160</t>
  </si>
  <si>
    <t>ΚΑΤΣΙΜΙΤΣΙΡΗ</t>
  </si>
  <si>
    <t>ΑΟ427103</t>
  </si>
  <si>
    <t>ΣΙΑΧΟΥ</t>
  </si>
  <si>
    <t>ΑΙ738943</t>
  </si>
  <si>
    <t>Σ902333</t>
  </si>
  <si>
    <t>Χ383482</t>
  </si>
  <si>
    <t>ΝΤΑΜΑ</t>
  </si>
  <si>
    <t>ΑΟ575277</t>
  </si>
  <si>
    <t>ΑΕ963687</t>
  </si>
  <si>
    <t>ΖΑΦΕΙΡΙΔΟΥ</t>
  </si>
  <si>
    <t>ΑΚ446415</t>
  </si>
  <si>
    <t>ΑΜ369769</t>
  </si>
  <si>
    <t>ΚΩΣΤΑΛΟΥ</t>
  </si>
  <si>
    <t>ΑΑ498847</t>
  </si>
  <si>
    <t>ΚΟΥΣΑΙΤΗΣ</t>
  </si>
  <si>
    <t>ΑΖ768987</t>
  </si>
  <si>
    <t>ΑΚ048957</t>
  </si>
  <si>
    <t>ΑΗ704905</t>
  </si>
  <si>
    <t>ΒΟΥΡΛΗ</t>
  </si>
  <si>
    <t>ΑΒ068356</t>
  </si>
  <si>
    <t>ΜΑΛΑΙΝΟΥ</t>
  </si>
  <si>
    <t>ΑΒ018786</t>
  </si>
  <si>
    <t>ΜΙΚΕΔΑΚΗ</t>
  </si>
  <si>
    <t>ΑΗ576727</t>
  </si>
  <si>
    <t>ΧΑΤΖΗΓΙΑΝΝΙΔΟΥ</t>
  </si>
  <si>
    <t>ΑΖ414075</t>
  </si>
  <si>
    <t>Χ965104</t>
  </si>
  <si>
    <t>ΠΕΡΙΚΛΗΛΣ</t>
  </si>
  <si>
    <t>ΑΚ941287</t>
  </si>
  <si>
    <t>ΣΟΥΡΣΟΥ</t>
  </si>
  <si>
    <t>ΑΙ095364</t>
  </si>
  <si>
    <t>ΚΑΡΟΥΖΟΥ</t>
  </si>
  <si>
    <t>ΑΖ957430</t>
  </si>
  <si>
    <t>ΑΖ632884</t>
  </si>
  <si>
    <t>ΑΕ290606</t>
  </si>
  <si>
    <t>ΑΒ042787</t>
  </si>
  <si>
    <t>ΑΙΚΑΤΕΡΙΝΗ ΙΛΙΑΝΑ</t>
  </si>
  <si>
    <t>ΑΚ768868</t>
  </si>
  <si>
    <t>ΑΑ127529</t>
  </si>
  <si>
    <t>ΜΠΑΛΑΣΟΥ</t>
  </si>
  <si>
    <t>ΑΗ482528</t>
  </si>
  <si>
    <t>ΑΗ748992</t>
  </si>
  <si>
    <t>ΣΚΕΝΤΕΡΙΔΟΥ</t>
  </si>
  <si>
    <t>ΑΟ228367</t>
  </si>
  <si>
    <t>ΑΚ916622</t>
  </si>
  <si>
    <t>ΑΒΔΙΚΟΥ</t>
  </si>
  <si>
    <t>ΑΖ111055</t>
  </si>
  <si>
    <t>EXARCHOU</t>
  </si>
  <si>
    <t>ANTONIA</t>
  </si>
  <si>
    <t>SOKRATIS</t>
  </si>
  <si>
    <t>ΑΕ537802</t>
  </si>
  <si>
    <t>ΜΙΑΡΙΤΗ</t>
  </si>
  <si>
    <t>ΑΖ125704</t>
  </si>
  <si>
    <t>ΤΑΦΑΡΛΗ</t>
  </si>
  <si>
    <t>ΑΕ853086</t>
  </si>
  <si>
    <t>ΑΒ909230</t>
  </si>
  <si>
    <t>ΜΟΥΣΤΡΟΥΦΑ</t>
  </si>
  <si>
    <t>ΑΙ228252</t>
  </si>
  <si>
    <t>ΠΟΛΥΖΑ ΕΥΑΓΓΕΛΙΔΟΥ</t>
  </si>
  <si>
    <t>ΑΗ832773</t>
  </si>
  <si>
    <t>ΑΗ299167</t>
  </si>
  <si>
    <t>ΑΝ774835</t>
  </si>
  <si>
    <t>ΑΗ704473</t>
  </si>
  <si>
    <t>ΑΗ147032</t>
  </si>
  <si>
    <t>Τ274384</t>
  </si>
  <si>
    <t>ΑΚ038649</t>
  </si>
  <si>
    <t>ΑΒ725842</t>
  </si>
  <si>
    <t>Φ055133</t>
  </si>
  <si>
    <t>ΡΙΖΟΠΟΥΛΟΥ</t>
  </si>
  <si>
    <t>ΑΝ397638</t>
  </si>
  <si>
    <t>ΑΕ247384</t>
  </si>
  <si>
    <t>ΤΩΡΟΥ</t>
  </si>
  <si>
    <t>ΑΚ036130</t>
  </si>
  <si>
    <t>ΑΗ815561</t>
  </si>
  <si>
    <t xml:space="preserve">ΠΟΛΙΤΟΥ </t>
  </si>
  <si>
    <t xml:space="preserve">ΛΑΜΠΡΙΝΗ </t>
  </si>
  <si>
    <t>ΑΙ384111</t>
  </si>
  <si>
    <t>ΑΛΕΞΟΥΔΗΣ</t>
  </si>
  <si>
    <t>ΑΚ451735</t>
  </si>
  <si>
    <t>ΑΟ174747</t>
  </si>
  <si>
    <t>Ρ896296</t>
  </si>
  <si>
    <t>ΑΝ499401</t>
  </si>
  <si>
    <t>ΜΟΝΟΓΕΝΙΔΟΥ</t>
  </si>
  <si>
    <t>ΑΗ313055</t>
  </si>
  <si>
    <t>ΓΑΛΗΝΗ</t>
  </si>
  <si>
    <t>ΑΙ323405</t>
  </si>
  <si>
    <t>ΑΟ091392</t>
  </si>
  <si>
    <t>ΛΥΚΙΔΟΥ</t>
  </si>
  <si>
    <t>ΑΝ217221</t>
  </si>
  <si>
    <t>ΑΜ983773</t>
  </si>
  <si>
    <t>ΠΙΚΡΙΔΑ</t>
  </si>
  <si>
    <t>ΑΒ655596</t>
  </si>
  <si>
    <t>ΑΜ851402</t>
  </si>
  <si>
    <t>ΑΗ641914</t>
  </si>
  <si>
    <t>ΑΛΚΗΣΤΙΣ ΙΩΑΝΝΑ</t>
  </si>
  <si>
    <t>ΑΗ624594</t>
  </si>
  <si>
    <t>ΑΖ958707</t>
  </si>
  <si>
    <t>ΚΑΛΛΑΝΤΖΗ</t>
  </si>
  <si>
    <t>ΑΖ826549</t>
  </si>
  <si>
    <t>ΚΩΣΤΙΚΙΔΗΣ</t>
  </si>
  <si>
    <t>ΑΗ292447</t>
  </si>
  <si>
    <t>ΙΣΜΥΡΛΗ</t>
  </si>
  <si>
    <t>ΑΝ413316</t>
  </si>
  <si>
    <t>ΒΑΡΣΑΜΗΣ</t>
  </si>
  <si>
    <t>ΑΒ108188</t>
  </si>
  <si>
    <t>ΑΙ801320</t>
  </si>
  <si>
    <t>ΣΑΡΙΔΗ</t>
  </si>
  <si>
    <t>ΑΟ385138</t>
  </si>
  <si>
    <t>ΒΑΧΑΝΕΛΙΔΟΥ</t>
  </si>
  <si>
    <t>ΑΒ467893</t>
  </si>
  <si>
    <t>ΑΑ382074</t>
  </si>
  <si>
    <t>ΑΜ001174</t>
  </si>
  <si>
    <t>ΛΟΜΠΡΑΝΟΥ</t>
  </si>
  <si>
    <t>ΑΕ443101</t>
  </si>
  <si>
    <t>ΑΙ353139</t>
  </si>
  <si>
    <t>ΑΙΚΑΤΕΡΙΝΑΡΗ</t>
  </si>
  <si>
    <t>ΑΑ284032</t>
  </si>
  <si>
    <t>ΑΒ038091</t>
  </si>
  <si>
    <t>ΑΒ949942</t>
  </si>
  <si>
    <t>ΤΣΑΒΟΛΑΚΗ</t>
  </si>
  <si>
    <t>ΝΕΚΤΑΡΙΑ ΚΛΕΑΝΘΗ</t>
  </si>
  <si>
    <t>ΑΒ182169</t>
  </si>
  <si>
    <t>ΑΙ240202</t>
  </si>
  <si>
    <t>ΑΝ811589</t>
  </si>
  <si>
    <t>ΛΕΟΠΟΥΛΟΥ ΛΙΑ</t>
  </si>
  <si>
    <t>ΑΖ749489</t>
  </si>
  <si>
    <t>ΛΙΑΡΓΚΟΒΑ</t>
  </si>
  <si>
    <t>ΑΚ654027</t>
  </si>
  <si>
    <t>ΣΟΥΛΤΑΝΙΔΟΥ</t>
  </si>
  <si>
    <t>ΑΖ814270</t>
  </si>
  <si>
    <t>ΔΑΝΕΒΑ</t>
  </si>
  <si>
    <t>ΑΡ302159</t>
  </si>
  <si>
    <t>ΚΟΚΟΤΑ</t>
  </si>
  <si>
    <t>ΑΒ317034</t>
  </si>
  <si>
    <t>ΚΑΚΑΡΛΗ</t>
  </si>
  <si>
    <t>ΑΗ354014</t>
  </si>
  <si>
    <t>ΚΑΛΟΡΙΤΗ</t>
  </si>
  <si>
    <t>ΑΒ058675</t>
  </si>
  <si>
    <t>ΑΒ259322</t>
  </si>
  <si>
    <t>ΑΝ649393</t>
  </si>
  <si>
    <t>ΣΕΒΑΣΛΗ</t>
  </si>
  <si>
    <t>ΑΙ370919</t>
  </si>
  <si>
    <t>ΑΙ567398</t>
  </si>
  <si>
    <t>ΜΑΝΑΦΗΣ</t>
  </si>
  <si>
    <t>ΑΚ864914</t>
  </si>
  <si>
    <t>ΠΙΣΑΡΗ</t>
  </si>
  <si>
    <t>ΑΖ140906</t>
  </si>
  <si>
    <t>ΔΕΚΑΒΑΛΛΑ</t>
  </si>
  <si>
    <t>ΑΟ573344</t>
  </si>
  <si>
    <t>ΑΡ302431</t>
  </si>
  <si>
    <t>ΑΚ341405</t>
  </si>
  <si>
    <t>Χ928986</t>
  </si>
  <si>
    <t>ΑΜ343460</t>
  </si>
  <si>
    <t>Χ122940</t>
  </si>
  <si>
    <t>ΑΗ719792</t>
  </si>
  <si>
    <t>ΑΖ571544</t>
  </si>
  <si>
    <t>ΧΑΡΑΜΗ</t>
  </si>
  <si>
    <t>ΑΙ286835</t>
  </si>
  <si>
    <t>ΦΑΚΙΟΛΑ</t>
  </si>
  <si>
    <t>ΜΑΡΓΑΡΙΤΑ ΣΠΥΡΙΔΟΥΛΑ</t>
  </si>
  <si>
    <t>ΑΝ462493</t>
  </si>
  <si>
    <t>ΑΝ089063</t>
  </si>
  <si>
    <t>ΑΖ995146</t>
  </si>
  <si>
    <t>ΑΗ684210</t>
  </si>
  <si>
    <t>ΚΟΚΩΝΗ</t>
  </si>
  <si>
    <t>ΑΟ408417</t>
  </si>
  <si>
    <t>ΝΙΚΗΤΙΑΔΗ</t>
  </si>
  <si>
    <t>ΑΚ361443</t>
  </si>
  <si>
    <t>ΑΙ803659</t>
  </si>
  <si>
    <t>ΑΕ124144</t>
  </si>
  <si>
    <t>ΣΑΚΟΝΙΔΟΥ</t>
  </si>
  <si>
    <t>ΑΑ264018</t>
  </si>
  <si>
    <t>ΝΕΠΙΕΝΛΙΔΟΥ</t>
  </si>
  <si>
    <t>ΑΗ860680</t>
  </si>
  <si>
    <t>ΑΗ860438</t>
  </si>
  <si>
    <t>ΜΟΥΤΟΠΟΥΛΟΥ</t>
  </si>
  <si>
    <t>ΑΙ229832</t>
  </si>
  <si>
    <t>ΚΑΡΑΒΟΣΙΑΝΗ</t>
  </si>
  <si>
    <t>Χ926455</t>
  </si>
  <si>
    <t>ΑΒ487104</t>
  </si>
  <si>
    <t>ΒΑΓΗ</t>
  </si>
  <si>
    <t>ΑΗ379168</t>
  </si>
  <si>
    <t>ΓΚΑΡΙΠΗΣ</t>
  </si>
  <si>
    <t>ΑΙ708259</t>
  </si>
  <si>
    <t>ΑΖ579058</t>
  </si>
  <si>
    <t>ΒΕΖΥΡΑΚΗ</t>
  </si>
  <si>
    <t>ΑΑ039027</t>
  </si>
  <si>
    <t>ΑΒ458474</t>
  </si>
  <si>
    <t>ΔΑΣΕΝΑΚΗ</t>
  </si>
  <si>
    <t>ΜΑΡΙΑ ΛΕΛΟΥΔΙΑ</t>
  </si>
  <si>
    <t>ΑΟ790836</t>
  </si>
  <si>
    <t>ΚΑΛΤΣΑΜΗ</t>
  </si>
  <si>
    <t>ΑΖ886974</t>
  </si>
  <si>
    <t>ΠΑΤΣΙΚΑΘΕΟΔΩΡΟΥ</t>
  </si>
  <si>
    <t>ΑΕ313940</t>
  </si>
  <si>
    <t>ΑΕ261834</t>
  </si>
  <si>
    <t>ΑΟ933458</t>
  </si>
  <si>
    <t>ΑΕ861135</t>
  </si>
  <si>
    <t>ΑΗ566163</t>
  </si>
  <si>
    <t>ΣΟΦΟΥΛΑΚΗ</t>
  </si>
  <si>
    <t>ΑΝ361994</t>
  </si>
  <si>
    <t>ΑΕ974156</t>
  </si>
  <si>
    <t>ΖΑΡΚΑ</t>
  </si>
  <si>
    <t>ΑΙ750055</t>
  </si>
  <si>
    <t>ΠΑΣΧΟΔΗΜΑ</t>
  </si>
  <si>
    <t>ΑΖ947143</t>
  </si>
  <si>
    <t>ΑΗ378093</t>
  </si>
  <si>
    <t>ΚΑΡΟΛΟΣ</t>
  </si>
  <si>
    <t>ΑΝ922849</t>
  </si>
  <si>
    <t>ΓΟΥΡΖΟΥΛΙΔΗΣ</t>
  </si>
  <si>
    <t>ΑΖ301718</t>
  </si>
  <si>
    <t>ΕΛΙΣΣΑΒΕΤ ΑΠΟΣΤΟΛΙΑ</t>
  </si>
  <si>
    <t>ΑΖ197406</t>
  </si>
  <si>
    <t>ΑΕ245062</t>
  </si>
  <si>
    <t>ΠΟΥΛΙΑΚΑ</t>
  </si>
  <si>
    <t>ΑΒ480763</t>
  </si>
  <si>
    <t>ΤΖΩΡΤΖΑΚΗ</t>
  </si>
  <si>
    <t>ΑΙ458855</t>
  </si>
  <si>
    <t>ΑΗ427640</t>
  </si>
  <si>
    <t>ΑΒ462914</t>
  </si>
  <si>
    <t>ΑΡΚΑΔΑΚΗ</t>
  </si>
  <si>
    <t>Φ051517</t>
  </si>
  <si>
    <t>ΑΚ228725</t>
  </si>
  <si>
    <t>ΣΒΩΚΟΥ</t>
  </si>
  <si>
    <t>ΑΗ169171</t>
  </si>
  <si>
    <t>ΑΕ849468</t>
  </si>
  <si>
    <t>ΚΩΝΣΤΑΝΤΕΛΟΠΟΥΛΟΥ</t>
  </si>
  <si>
    <t>ΑΗ072558</t>
  </si>
  <si>
    <t>ΑΗ901108</t>
  </si>
  <si>
    <t>ΑΗ308399</t>
  </si>
  <si>
    <t>ΑΙ287279</t>
  </si>
  <si>
    <t>ΓΙΟΦΚΟΥ</t>
  </si>
  <si>
    <t>ΑΜ250767</t>
  </si>
  <si>
    <t>ΠΑΠΑΓΑΘΟΝΙΚΟΥ</t>
  </si>
  <si>
    <t>ΑΝ743014</t>
  </si>
  <si>
    <t>ΣΤΑΤΗ</t>
  </si>
  <si>
    <t>ΑΝ450653</t>
  </si>
  <si>
    <t>ΜΠΑΝΤΟΥΝΟΣ</t>
  </si>
  <si>
    <t>ΑΝ173790</t>
  </si>
  <si>
    <t>ΑΗ210527</t>
  </si>
  <si>
    <t>ΑΜ512775</t>
  </si>
  <si>
    <t>ΑΖ831428</t>
  </si>
  <si>
    <t>ΑΚ899238</t>
  </si>
  <si>
    <t>Χ790302</t>
  </si>
  <si>
    <t>ΔΕΡΔΕΡΗ</t>
  </si>
  <si>
    <t>ΑΗ370648</t>
  </si>
  <si>
    <t>ΜΑΡΑΘΙΑΝΟΥ</t>
  </si>
  <si>
    <t>Χ105577</t>
  </si>
  <si>
    <t>ΖΑΚΥΝΘΙΝΑΚΗ</t>
  </si>
  <si>
    <t>Χ640337</t>
  </si>
  <si>
    <t>ΓΑΛΑΝΑΚΗΣ</t>
  </si>
  <si>
    <t>ΑΙ945361</t>
  </si>
  <si>
    <t>ΣΑΠΡΙΚΗ</t>
  </si>
  <si>
    <t>ΑΚ386214</t>
  </si>
  <si>
    <t>ΜΑΣΤΡΟΓΕΩΡΓΙΟΥ</t>
  </si>
  <si>
    <t>Χ964678</t>
  </si>
  <si>
    <t>ΤΕΡΖΙΔΗΣ</t>
  </si>
  <si>
    <t>Χ843677</t>
  </si>
  <si>
    <t>ΝΤΙΝΙΤΣΟΥΔΗ</t>
  </si>
  <si>
    <t>Χ359947</t>
  </si>
  <si>
    <t>ΜΑΥΡΟΝΥΚΤΗ</t>
  </si>
  <si>
    <t>ΑΝ465437</t>
  </si>
  <si>
    <t>ΑΕ806797</t>
  </si>
  <si>
    <t>Π470576</t>
  </si>
  <si>
    <t>ΚΑΡΑΚΕΧΑΓΙΑ</t>
  </si>
  <si>
    <t>ΑΗ695303</t>
  </si>
  <si>
    <t>ΠΑΛΗΜΑΝΗ</t>
  </si>
  <si>
    <t>ΑΙ342000</t>
  </si>
  <si>
    <t>ΑΝ839483</t>
  </si>
  <si>
    <t>ΑΝ004211</t>
  </si>
  <si>
    <t>ΚΩΝΣΤΑΝΤΙΝΑΚΟΥ</t>
  </si>
  <si>
    <t>Χ801337</t>
  </si>
  <si>
    <t>ΠΑΓΩΝΙΔΟΥ</t>
  </si>
  <si>
    <t>ΑΙ397614</t>
  </si>
  <si>
    <t>ΒΡΑΚΑΣ</t>
  </si>
  <si>
    <t>ΑΝ917331</t>
  </si>
  <si>
    <t>ΑΕ726317</t>
  </si>
  <si>
    <t>ΑΝ840659</t>
  </si>
  <si>
    <t>ΓΙΑΣΑΝΑΚΟΠΟΥΛΟΥ</t>
  </si>
  <si>
    <t>ΑΑ474650</t>
  </si>
  <si>
    <t>ΜΑΡΚΟΠΟΥΛΟΥ ΚΟΡΕΣΗ</t>
  </si>
  <si>
    <t>ΑΖ704448</t>
  </si>
  <si>
    <t>ΑΖ845691</t>
  </si>
  <si>
    <t>ΧΟΥΣΕΙΝΟΓΛΟΥ</t>
  </si>
  <si>
    <t>ΤΖΑΝΕΡ</t>
  </si>
  <si>
    <t>ΣΕΛΑΙΔΗΝ</t>
  </si>
  <si>
    <t>ΑΕ766604</t>
  </si>
  <si>
    <t>ΘΑΝΑΣΟΥΡΑ</t>
  </si>
  <si>
    <t>ΑΟ068733</t>
  </si>
  <si>
    <t>ΤΣΑΡΙΚΤΣΗ</t>
  </si>
  <si>
    <t>ΜΠΙΝΓΚΙΟΥΛ</t>
  </si>
  <si>
    <t>ΑΖ902974</t>
  </si>
  <si>
    <t>ΖΙΑΒΡΟΣ</t>
  </si>
  <si>
    <t>ΑΙ260071</t>
  </si>
  <si>
    <t>ΑΗ905083</t>
  </si>
  <si>
    <t>ΑΕ914542</t>
  </si>
  <si>
    <t>ΑΝ508073</t>
  </si>
  <si>
    <t>ΜΗΝΗΣ</t>
  </si>
  <si>
    <t>ΑΖ425437</t>
  </si>
  <si>
    <t>ΑΖ893024</t>
  </si>
  <si>
    <t>ΑΗ418695</t>
  </si>
  <si>
    <t>ΑΜ824797</t>
  </si>
  <si>
    <t>ΑΝ573949</t>
  </si>
  <si>
    <t>ΑΗ233103</t>
  </si>
  <si>
    <t>ΑΝ428551</t>
  </si>
  <si>
    <t>ΑΝ937136</t>
  </si>
  <si>
    <t>ΑΖ217382</t>
  </si>
  <si>
    <t>ΑΖ434883</t>
  </si>
  <si>
    <t>ΑΕ197795</t>
  </si>
  <si>
    <t>ΖΑΜΠΑΣ</t>
  </si>
  <si>
    <t>ΑΗ885595</t>
  </si>
  <si>
    <t>ΑΚ143414</t>
  </si>
  <si>
    <t>ΑΖ447688</t>
  </si>
  <si>
    <t>ΜΑΡΙΑ ΝΑΖΛΟΥ</t>
  </si>
  <si>
    <t>Χ333462</t>
  </si>
  <si>
    <t>ΠΟΥΓΑΡΙΔΟΥ</t>
  </si>
  <si>
    <t>ΑΜ682713</t>
  </si>
  <si>
    <t>ΑΙ797634</t>
  </si>
  <si>
    <t>ΤΣΑΓΓΑΡΗ</t>
  </si>
  <si>
    <t>ΑΙ476414</t>
  </si>
  <si>
    <t>ΑΗ311772</t>
  </si>
  <si>
    <t>ΑΙ943968</t>
  </si>
  <si>
    <t>ΑΓΓΕΛΙΚΗ ΓΕΩΡΓΙΑ</t>
  </si>
  <si>
    <t>ΑΜ311614</t>
  </si>
  <si>
    <t>ΣΙΚΟΤΑΚΗ</t>
  </si>
  <si>
    <t>ΑΙ631809</t>
  </si>
  <si>
    <t>ΚΟΥΦΑΚΟΣ</t>
  </si>
  <si>
    <t>ΑΝ545523</t>
  </si>
  <si>
    <t>ΝΑΣΙΟΣ</t>
  </si>
  <si>
    <t>ΑΟ226127</t>
  </si>
  <si>
    <t>Φ493309</t>
  </si>
  <si>
    <t>ΑΝ538855</t>
  </si>
  <si>
    <t>ΑΙ443774</t>
  </si>
  <si>
    <t>ΑΖ878668</t>
  </si>
  <si>
    <t>ΑΙ843929</t>
  </si>
  <si>
    <t>ΞΑΝΘΙΠΠΗ ΚΑΤΕΡΙΝΑ</t>
  </si>
  <si>
    <t>ΑΗ836654</t>
  </si>
  <si>
    <t>ΑΝ412248</t>
  </si>
  <si>
    <t>ΛΕΖΟΥ</t>
  </si>
  <si>
    <t>ΑΕ770691</t>
  </si>
  <si>
    <t>ΑΝ538513</t>
  </si>
  <si>
    <t>ΑΚ416630</t>
  </si>
  <si>
    <t>ΚΗΤΤΑ</t>
  </si>
  <si>
    <t>ΑΗ243894</t>
  </si>
  <si>
    <t>ΝΤΑΝΑΒΑΡΑ</t>
  </si>
  <si>
    <t>ΑΗ266278</t>
  </si>
  <si>
    <t>ΑΚ293689</t>
  </si>
  <si>
    <t>ΛΙΤΟΥΔΗ</t>
  </si>
  <si>
    <t>ΑΗ690411</t>
  </si>
  <si>
    <t>ΑΙ533974</t>
  </si>
  <si>
    <t>ΠΕΡΙΚΛΕΟΥΣ</t>
  </si>
  <si>
    <t>ΧΑΤΖΗΣΤΑΜΟΥ</t>
  </si>
  <si>
    <t>ΕΥΦΡΟΣΥΝΗ ΕΥΦΡΑΙΜΙΑ</t>
  </si>
  <si>
    <t>ΑΖ990329</t>
  </si>
  <si>
    <t>ΗΛΙΟΠΟΥΛΟΥ ΠΑΝΑΓΟΠΟΥΛΟΥ</t>
  </si>
  <si>
    <t>ΑΝΝΑ ΕΥΓΕΝΙΑ</t>
  </si>
  <si>
    <t>Χ808644</t>
  </si>
  <si>
    <t>ΓΚΑΤΖΗ</t>
  </si>
  <si>
    <t>ΑΚ308685</t>
  </si>
  <si>
    <t>ΑΟ416935</t>
  </si>
  <si>
    <t>ΤΖΙΜΗΤΡΕΑ</t>
  </si>
  <si>
    <t>ΖΩΓΡΑΦΩ</t>
  </si>
  <si>
    <t>ΑΖ357263</t>
  </si>
  <si>
    <t>ΑΗ662458</t>
  </si>
  <si>
    <t>Σ584535</t>
  </si>
  <si>
    <t>ΔΗΜΟΡΑΓΚΑ</t>
  </si>
  <si>
    <t>ΑΗ273244</t>
  </si>
  <si>
    <t>ΑΝΔΡΕΟΠΟΥΛΗ</t>
  </si>
  <si>
    <t>Χ417069</t>
  </si>
  <si>
    <t>ΑΒ471504</t>
  </si>
  <si>
    <t>ΚΑΙΝΟΥ</t>
  </si>
  <si>
    <t>ΑΙ884665</t>
  </si>
  <si>
    <t>Χ213493</t>
  </si>
  <si>
    <t>ΒΑΓΓΕΛΙΝΑ</t>
  </si>
  <si>
    <t>ΑΜ162327</t>
  </si>
  <si>
    <t>Χ089999</t>
  </si>
  <si>
    <t>ΑΚ752413</t>
  </si>
  <si>
    <t>ΚΑΡΑΝΙΚΟΛΟΠΟΥΛΟΥ</t>
  </si>
  <si>
    <t>ΑΖ301898</t>
  </si>
  <si>
    <t>ΩΡΑΙΟΠΟΥΛΟΥ</t>
  </si>
  <si>
    <t>ΑΟ101604</t>
  </si>
  <si>
    <t>ΚΑΦΦΕΤΖΑΚΗ</t>
  </si>
  <si>
    <t>ΑΙ456441</t>
  </si>
  <si>
    <t>ΑΖ678719</t>
  </si>
  <si>
    <t>ΑΙ217818</t>
  </si>
  <si>
    <t>ΓΚΟΝΤΑ</t>
  </si>
  <si>
    <t>ΑΝ858355</t>
  </si>
  <si>
    <t>ΣΔΟΥΓΚΟΥ</t>
  </si>
  <si>
    <t>ΦΙΛΙΝΑ</t>
  </si>
  <si>
    <t>ΑΑ258085</t>
  </si>
  <si>
    <t>ΚΟΥΙΡΟΥΚΛΗ</t>
  </si>
  <si>
    <t>ΑΝΘΙΑ ΓΕΩΡΓΙΑ</t>
  </si>
  <si>
    <t>ΑΝ232438</t>
  </si>
  <si>
    <t>ΚΑΤΣΙΑΝΟΥ</t>
  </si>
  <si>
    <t>ΑΙ541924</t>
  </si>
  <si>
    <t>ΚΟΝΤΖΙΑ</t>
  </si>
  <si>
    <t>ΑΙ143038</t>
  </si>
  <si>
    <t>ΚΑΤΣΑΝΟΥΔΗ</t>
  </si>
  <si>
    <t>ΑΖ371241</t>
  </si>
  <si>
    <t>ΑΝ972296</t>
  </si>
  <si>
    <t>ΓΕΡΟΧΡΙΣΤΟΔΟΥΛΟΥ</t>
  </si>
  <si>
    <t>ΑΜ582463</t>
  </si>
  <si>
    <t>ΜΕΤΑΛΛΙΔΟΥ</t>
  </si>
  <si>
    <t>Χ453089</t>
  </si>
  <si>
    <t>ΧΡΟΝΑΚΗ</t>
  </si>
  <si>
    <t>ΑΜ464487</t>
  </si>
  <si>
    <t>ΠΑΧΙΔΟΥ</t>
  </si>
  <si>
    <t>ΑΝ784661</t>
  </si>
  <si>
    <t>ΑΙ291908</t>
  </si>
  <si>
    <t>ΑΖ991020</t>
  </si>
  <si>
    <t>ΑΕ800202</t>
  </si>
  <si>
    <t>ΓΙΟΥΤΣΟΥ</t>
  </si>
  <si>
    <t>ΑΙ764317</t>
  </si>
  <si>
    <t>ΑΗ382921</t>
  </si>
  <si>
    <t>ΑΜ865696</t>
  </si>
  <si>
    <t>ΚΑΜΟΥΤΣΗ</t>
  </si>
  <si>
    <t>ΑΗ492606</t>
  </si>
  <si>
    <t>ΑΟ354308</t>
  </si>
  <si>
    <t>ΜΠΟΥΤΣΙΚΑ</t>
  </si>
  <si>
    <t>ΑΖ498207</t>
  </si>
  <si>
    <t>ΤΣΟΥΡΑΠΗ</t>
  </si>
  <si>
    <t>ΑΙ228748</t>
  </si>
  <si>
    <t>ΛΕΨΙΝΙΩΤΗ</t>
  </si>
  <si>
    <t>ΑΙ689591</t>
  </si>
  <si>
    <t>ΓΚΙΟΥΛΜΠΑΜΠΑ</t>
  </si>
  <si>
    <t>ΑΝ171684</t>
  </si>
  <si>
    <t>ΑΜ415970</t>
  </si>
  <si>
    <t>ΑΙ814217</t>
  </si>
  <si>
    <t>ΣΚΕΥΗ</t>
  </si>
  <si>
    <t>ΑΜ302373</t>
  </si>
  <si>
    <t>ΑΝ196360</t>
  </si>
  <si>
    <t>ΓΚΑΛΗ</t>
  </si>
  <si>
    <t>ΑΝ715365</t>
  </si>
  <si>
    <t>ΔΙΧΑΝΗ</t>
  </si>
  <si>
    <t>Χ735223</t>
  </si>
  <si>
    <t>ΑΕ725029</t>
  </si>
  <si>
    <t>ΑΕ200159</t>
  </si>
  <si>
    <t>ΧΟΥΣΟΥ</t>
  </si>
  <si>
    <t>ΑΙ257185</t>
  </si>
  <si>
    <t>ΑΒ116355</t>
  </si>
  <si>
    <t>ΜΠΟΥΛΜΠΟΥ</t>
  </si>
  <si>
    <t>ΑΗ271654</t>
  </si>
  <si>
    <t>ΑΒ453236</t>
  </si>
  <si>
    <t>ΚΑΛΛΙΤΣΟΥΝΑΚΗ</t>
  </si>
  <si>
    <t>ΑΙ66592</t>
  </si>
  <si>
    <t>ΑΓΓΕΛΙΚΗ ΣΩΤΗΡΙΑ</t>
  </si>
  <si>
    <t>ΑΖ255225</t>
  </si>
  <si>
    <t>ΑΗ343002</t>
  </si>
  <si>
    <t>ΑΜ454236</t>
  </si>
  <si>
    <t>ΚΑΠΟΥΣΙ</t>
  </si>
  <si>
    <t>ΝΑΙΜ</t>
  </si>
  <si>
    <t>ΑΚ301974</t>
  </si>
  <si>
    <t>ΑΜ175178</t>
  </si>
  <si>
    <t>ΚΟΝΔΥΛΙΔΟΥ</t>
  </si>
  <si>
    <t>ΑΗ385289</t>
  </si>
  <si>
    <t>ΡΑΤΣΟΥ</t>
  </si>
  <si>
    <t>ΑΙ875325</t>
  </si>
  <si>
    <t>ΑΖ773575</t>
  </si>
  <si>
    <t>ΑΕ380329</t>
  </si>
  <si>
    <t>ΑΙ257158</t>
  </si>
  <si>
    <t>ΜΠΑΛΙΟΥΣΚΑ</t>
  </si>
  <si>
    <t>ΑΙ225554</t>
  </si>
  <si>
    <t>ΓΚΙΟΥΒΕΤΣΗ</t>
  </si>
  <si>
    <t>ΑΜ454665</t>
  </si>
  <si>
    <t>ΖΥΦΚΟΣ</t>
  </si>
  <si>
    <t>ΑΒ451721</t>
  </si>
  <si>
    <t>ΔΕΣΠΟΙΝΑ ΝΕΦΕΛΗ</t>
  </si>
  <si>
    <t>ΑΕ977089</t>
  </si>
  <si>
    <t>ΑΙ363954</t>
  </si>
  <si>
    <t>ΑΑ106752</t>
  </si>
  <si>
    <t>ΑΟ408006</t>
  </si>
  <si>
    <t>ΓΚΙΝΟΓΛΟΥ</t>
  </si>
  <si>
    <t>ΑΗ370311</t>
  </si>
  <si>
    <t>Τ280674</t>
  </si>
  <si>
    <t>ΣΤΡΑΒΟΡΑΒΔΗ</t>
  </si>
  <si>
    <t>ΑΟ954176</t>
  </si>
  <si>
    <t>ΑΕ833681</t>
  </si>
  <si>
    <t>ΓΕΩΡΓΟΥΛΙΑ</t>
  </si>
  <si>
    <t>ΑΒ403100</t>
  </si>
  <si>
    <t>ΑΝΝΑ ΜΑΡΙΑ ΑΝΑΣΤΑΣΙΑ</t>
  </si>
  <si>
    <t>ΑΖ605883</t>
  </si>
  <si>
    <t>ΚΟΥΜΑΝΤΑΤΑΚΗ</t>
  </si>
  <si>
    <t>ΑΟ487519</t>
  </si>
  <si>
    <t>ΔΑΓΚΟΥ</t>
  </si>
  <si>
    <t>ΑΟ909468</t>
  </si>
  <si>
    <t xml:space="preserve">ΡΟΥΣΚΑ </t>
  </si>
  <si>
    <t xml:space="preserve">ΑΣΤΕΡΙΟΣ </t>
  </si>
  <si>
    <t>ΑΙ158036</t>
  </si>
  <si>
    <t>ΑΣΤΡΙΝΑΚΗ</t>
  </si>
  <si>
    <t>ΑΙ438247</t>
  </si>
  <si>
    <t>Χ644661</t>
  </si>
  <si>
    <t>ΧΡΙΣΤΑΚΟΠΟΥΛΟΥ</t>
  </si>
  <si>
    <t>ΑΖ557477</t>
  </si>
  <si>
    <t>ΑΜ420201</t>
  </si>
  <si>
    <t>ΚΑΤΣΙΩΤΗ</t>
  </si>
  <si>
    <t>ΑΖ558410</t>
  </si>
  <si>
    <t>ΑΕ763574</t>
  </si>
  <si>
    <t>ΑΝ720074</t>
  </si>
  <si>
    <t>ΜΠΟΥΓΙΟΥΚΟΥ</t>
  </si>
  <si>
    <t>ΑΚ078882</t>
  </si>
  <si>
    <t>ΑΡ046042</t>
  </si>
  <si>
    <t>ΑΙ990359</t>
  </si>
  <si>
    <t>ΑΙ533453</t>
  </si>
  <si>
    <t>ΚΟΚΛΗΣ</t>
  </si>
  <si>
    <t>ΑΚ434559</t>
  </si>
  <si>
    <t>ΤΣΙΑΛΤΑ</t>
  </si>
  <si>
    <t>ΑΖ794028</t>
  </si>
  <si>
    <t>ΣΕΡΜΠΟΥ</t>
  </si>
  <si>
    <t>ΔΗΜΗΤΡΙΟΣ ΠΑΝΤΕΛΗΣ</t>
  </si>
  <si>
    <t>ΑΝ436637</t>
  </si>
  <si>
    <t>ΑΝ492828</t>
  </si>
  <si>
    <t>ΠΟΛΥΧΡΟΝΙΑΔΗΣ</t>
  </si>
  <si>
    <t>ΑΕ423746</t>
  </si>
  <si>
    <t>ΑΖ845931</t>
  </si>
  <si>
    <t>ΑΙ969374</t>
  </si>
  <si>
    <t>ΠΕΝΕΜΕΝΟΥ</t>
  </si>
  <si>
    <t>ΗΛΙΑΝΑ ΣΩΤΗΡΙΑ</t>
  </si>
  <si>
    <t>ΑΟ302308</t>
  </si>
  <si>
    <t>ΔΗΜΟΣΚΑΚΗ</t>
  </si>
  <si>
    <t>ΑΖ925061</t>
  </si>
  <si>
    <t>ΒΑΘΡΑΚΕΑΣ</t>
  </si>
  <si>
    <t>ΑΜ112020</t>
  </si>
  <si>
    <t>ΚΕΡΑΜΙΔΟΠΟΥΛΟΥ</t>
  </si>
  <si>
    <t>ΑΜ400607</t>
  </si>
  <si>
    <t>ΑΚ520993</t>
  </si>
  <si>
    <t>ΒΛΑΒΙΑΝΟΥ</t>
  </si>
  <si>
    <t>ΜΙΛΑΝ</t>
  </si>
  <si>
    <t>ΑΕ582808</t>
  </si>
  <si>
    <t>ΑΖ765148</t>
  </si>
  <si>
    <t>ΜΕΤΑΞΙΑ ΜΑΡΙΑ</t>
  </si>
  <si>
    <t>ΑΟ114972</t>
  </si>
  <si>
    <t>ΑΗ280104</t>
  </si>
  <si>
    <t>ΚΑΤΣΑΓΑΝΝΗ</t>
  </si>
  <si>
    <t>ΑΕ227342</t>
  </si>
  <si>
    <t>ΑΗ930957</t>
  </si>
  <si>
    <t>ΑΙ687838</t>
  </si>
  <si>
    <t>ΑΖ210189</t>
  </si>
  <si>
    <t>ΑΝ907787</t>
  </si>
  <si>
    <t>ΑΚ313220</t>
  </si>
  <si>
    <t>ΚΛΗΜΑΤΣΙΔΑΣ</t>
  </si>
  <si>
    <t>ΑΚ998171</t>
  </si>
  <si>
    <t>ΧΑΖΗΜ</t>
  </si>
  <si>
    <t>ΑΝΤΝΑΝ</t>
  </si>
  <si>
    <t>ΑΖ864649</t>
  </si>
  <si>
    <t>ΣΑΓΗΡ ΧΑΣΑΝ ΑΧΜΕΤ</t>
  </si>
  <si>
    <t>ΕΣΜΑ</t>
  </si>
  <si>
    <t>ΑΟ285890</t>
  </si>
  <si>
    <t>ΑΑ386955</t>
  </si>
  <si>
    <t>ΑΖ810809</t>
  </si>
  <si>
    <t>ΑΧΛΑΤΖΗ</t>
  </si>
  <si>
    <t>ΑΕ697104</t>
  </si>
  <si>
    <t>ΣΑΜΟΥΡΗ</t>
  </si>
  <si>
    <t>ΖΩΓΡΑΦΟΥΛΑ ΡΑΦΑΗΛΙΑ</t>
  </si>
  <si>
    <t>ΑΗ628030</t>
  </si>
  <si>
    <t>ΑΙ785821</t>
  </si>
  <si>
    <t>ΑΝ494768</t>
  </si>
  <si>
    <t>ΤΣΙΓΑΡΙΔΑΣ</t>
  </si>
  <si>
    <t>ΑΟ525114</t>
  </si>
  <si>
    <t>ΝΤΟΡΙΖΑΣ</t>
  </si>
  <si>
    <t>ΑΕ947692</t>
  </si>
  <si>
    <t>ΑΖ788698</t>
  </si>
  <si>
    <t>ΙΝΚΑ</t>
  </si>
  <si>
    <t>ΑΒ486604</t>
  </si>
  <si>
    <t>ΜΟΡΦΙΔΟΥ</t>
  </si>
  <si>
    <t>ΑΖ797868</t>
  </si>
  <si>
    <t>ΜΗΤΑ</t>
  </si>
  <si>
    <t>ΑΙ778085</t>
  </si>
  <si>
    <t>ΚΟΥΡΤΗΣ</t>
  </si>
  <si>
    <t>Ξ334043</t>
  </si>
  <si>
    <t>ΑΒ496611</t>
  </si>
  <si>
    <t>ΑΚ923945</t>
  </si>
  <si>
    <t>ΑΕ225435</t>
  </si>
  <si>
    <t>ΔΕΛΗΜΑΡΑ</t>
  </si>
  <si>
    <t>ΑΗ818016</t>
  </si>
  <si>
    <t>ΑΖ391369</t>
  </si>
  <si>
    <t>ΤΣΑΝΤΗΛΑ</t>
  </si>
  <si>
    <t>ΑΕ310886</t>
  </si>
  <si>
    <t>ΤΖΑΒΕΛΑΚΗ</t>
  </si>
  <si>
    <t>Χ567515</t>
  </si>
  <si>
    <t>ΑΗ686711</t>
  </si>
  <si>
    <t>ΣΚΑΝΤΖΟΥΡΗ</t>
  </si>
  <si>
    <t>ΑΙ834810</t>
  </si>
  <si>
    <t>ΠΕ31 ΕΞΕΙΔΙΚΕΥΜΕΝΟΥ (ΘΕΣΗ 108)</t>
  </si>
  <si>
    <t>ΚΑΤΑΤΑΞΗ ΜΕ ΣΕΙΡΑ ΠΡΟΤΕΡΑΙΟΤΗΤΑΣ ΥΠΟΨΗΦΙΩΝ ΕΚΠΑΙΔΕΥΤΙΚΩΝ ΠΡΩΤ/ΘΜΙΑΣ &amp; ΔΕΥΤ/ΘΜΙΑΣ (ΕΑΕ) – ΠΡΟΚΗΡΥΞΗ 4ΕΑ/2022</t>
  </si>
  <si>
    <t>ΤΕΧΝΟΛΟΓΙΚΗΣ ΕΚΠΑΙΔΕΥΣΗΣ (ΤΕ)</t>
  </si>
  <si>
    <t>ΤΕ01.19 ΚΟΜΜΩΤΙΚΗΣ (ΘΕΣΗ 305)</t>
  </si>
  <si>
    <t>ΜΑΓΚΩΝΑΚΗ</t>
  </si>
  <si>
    <t>Χ854169</t>
  </si>
  <si>
    <t>ΛΟΥΚΑΤΑΡΗ</t>
  </si>
  <si>
    <t>ΑΚ647031</t>
  </si>
  <si>
    <t>ΦΡΑΓΚΙΣΚΗ</t>
  </si>
  <si>
    <t>ΑΝ671592</t>
  </si>
  <si>
    <t>ΑΝ330930</t>
  </si>
  <si>
    <t>ΠΑΝΤΗ</t>
  </si>
  <si>
    <t>ΑΟ851044</t>
  </si>
  <si>
    <t>2:Δεύτερο Πτυχίο</t>
  </si>
  <si>
    <t>3:Άριστη Γνώση Ξένης Γλώσσας</t>
  </si>
  <si>
    <t>4:Πολύ Καλή Γνώση Ξένης Γλώσσας</t>
  </si>
  <si>
    <t>5:Καλή Γνώση Ξένης Γλώσσας</t>
  </si>
  <si>
    <t>6:Συνολική Βαθμολογία Ξένων Γλωσσών</t>
  </si>
  <si>
    <t>7:Γνώση Χειρισμού Η/Υ</t>
  </si>
  <si>
    <t>8:Επιμόρφωση Διάρκειας 300 Ωρών</t>
  </si>
  <si>
    <t>9:Συνολικός Βαθμός Ακαδημαϊκών Προσόντων</t>
  </si>
  <si>
    <t>12:Αριθμός Μηνών Εκπ. Προϋπηρ. σε Δυσπρόσιτες Σχ. Μονάδες</t>
  </si>
  <si>
    <t>13:Βαθμολογία Μηνών Εκπ. Προϋπηρ. σε Δυσπρόσιτες Σχ. Μονάδες</t>
  </si>
  <si>
    <t>14:Αριθμός Μηνών Εκπ. Προπϋπηρ. 3μηνης Διάρκειας</t>
  </si>
  <si>
    <t>15:Βαθμολογία Εκπ. Προϋπρ. 3μηνης Διάρκειας</t>
  </si>
  <si>
    <t>16:Αριθμός Μηνών Εκπ. Προϋπ. 3μηνης Διάρκειας σε Δυσπρ. Σχ. Μονάδες</t>
  </si>
  <si>
    <t>17:Βαθμολογία Μηνών ΕΚΠ. ΠΡΟΫΠ. 3ΜΗΝΗΣ ΔΙΑΡΚΕΙΑΣ ΣΕ ΔΥΣΠΡ. ΣΧ. ΜΟΝΑΔΕΣ</t>
  </si>
  <si>
    <t>18:Συνολική  Βαθμολογία Προϋπηρεσίας</t>
  </si>
  <si>
    <t>19:Βαθμολογία Ανήλικων Τέκνων</t>
  </si>
  <si>
    <t>20:Βαθμολογία Ποσοστού Αναπηρίας</t>
  </si>
  <si>
    <t>21:Πιστοποιημένη Επάρκεια στην Ελληνική Γραφή Braille (ΕΓΒ)</t>
  </si>
  <si>
    <t>22:Πιστοποιημένη Επάρκεια στην Ελληνική Νοηματική Γλώσσα (ΕΝΓ)</t>
  </si>
  <si>
    <t>23:Παιδαγωγική Επάρκεια</t>
  </si>
  <si>
    <t>24:Πιστοποιημένη Εξειδίκευση Στη Σχολική Ψυχολογία</t>
  </si>
  <si>
    <t>ΑΒ012668</t>
  </si>
  <si>
    <t>ΒΑΣΑΝΙΔΟΥ</t>
  </si>
  <si>
    <t>ΑΗ482231</t>
  </si>
  <si>
    <t>ΚΡΙΜΠΟΓΙΑΝΝΗ</t>
  </si>
  <si>
    <t>Χ907642</t>
  </si>
  <si>
    <t>Τ959242</t>
  </si>
  <si>
    <t>ΖΑΜΑΝΟΥ</t>
  </si>
  <si>
    <t>ΑΗ581779</t>
  </si>
  <si>
    <t>ΣΑΜΑΝΤΟΠΟΥΛΟΥ</t>
  </si>
  <si>
    <t>ΣΤΡΑΒΟΠΟΔΗΣ</t>
  </si>
  <si>
    <t>ΑΜ114790</t>
  </si>
  <si>
    <t>ΚΟΥΠΙΔΟΥ</t>
  </si>
  <si>
    <t>ΑΗ333051</t>
  </si>
  <si>
    <t>Ρ194818</t>
  </si>
  <si>
    <t>ΜΑΝΗΡΑ</t>
  </si>
  <si>
    <t>ΑΖ745392</t>
  </si>
  <si>
    <t>Σ501911</t>
  </si>
  <si>
    <t>ΑΒΡΑΝΑ</t>
  </si>
  <si>
    <t>ΑΟ351536</t>
  </si>
  <si>
    <t>ΜΠΑΣΙΑΣ</t>
  </si>
  <si>
    <t>ΑΚ481917</t>
  </si>
  <si>
    <t>ΣΕΛΛΑ</t>
  </si>
  <si>
    <t>ΑΝ447229</t>
  </si>
  <si>
    <t>ΚΟΛΙΟΠΑΝΟΥ</t>
  </si>
  <si>
    <t>Χ290948</t>
  </si>
  <si>
    <t>ΑΗ748232</t>
  </si>
  <si>
    <t>ΜΠΑΣΙΟΥΡΗ</t>
  </si>
  <si>
    <t>ΑΙ980521</t>
  </si>
  <si>
    <t>ΘΩΜΑΔΑΚΗ</t>
  </si>
  <si>
    <t>ΑΜ973665</t>
  </si>
  <si>
    <t>ΑΝΔΡΙΑΝΑΚΗ</t>
  </si>
  <si>
    <t>ΑΜ920449</t>
  </si>
  <si>
    <t>ΝΙΚΑΙΝΑ</t>
  </si>
  <si>
    <t>Φ224771</t>
  </si>
  <si>
    <t>ΡΟΠΟΤΟΥ</t>
  </si>
  <si>
    <t>ΑΑ393783</t>
  </si>
  <si>
    <t>ΡΑΒΑΝΙΔΟΥ</t>
  </si>
  <si>
    <t>ΑΟ224605</t>
  </si>
  <si>
    <t>ΤΖΑΝΗΣ</t>
  </si>
  <si>
    <t>ΑΚ125497</t>
  </si>
  <si>
    <t>ΣΙΤΖΑΚΗ</t>
  </si>
  <si>
    <t>ΑΙ190003</t>
  </si>
  <si>
    <t>ΜΑΛΟΥΣΗ</t>
  </si>
  <si>
    <t>ΑΟ710176</t>
  </si>
  <si>
    <t>ΑΑ942506</t>
  </si>
  <si>
    <t>ΑΒ384891</t>
  </si>
  <si>
    <t>Π257696</t>
  </si>
  <si>
    <t>ΑΒ577744</t>
  </si>
  <si>
    <t>ΠΑΝΟΥΡΓΙΑ</t>
  </si>
  <si>
    <t>ΑΕ935450</t>
  </si>
  <si>
    <t>ΤΣΙΤΣΑΡΗ</t>
  </si>
  <si>
    <t>ΑΝ870759</t>
  </si>
  <si>
    <t>ΑΗ202636</t>
  </si>
  <si>
    <t>ΚΙΝΤΖΟΝΙΔΟΥ</t>
  </si>
  <si>
    <t>ΑΟ231979</t>
  </si>
  <si>
    <t>ΚΟΥΤΣΙΑ</t>
  </si>
  <si>
    <t>Χ481423</t>
  </si>
  <si>
    <t>ΤΖΙΛΙΝΗ</t>
  </si>
  <si>
    <t>ΑΗ296120</t>
  </si>
  <si>
    <t>ΣΤΑΙΚΟΥ</t>
  </si>
  <si>
    <t>ΑΒ750287</t>
  </si>
  <si>
    <t>ΙΝΕΓΛΗ</t>
  </si>
  <si>
    <t>ΑΖ307666</t>
  </si>
  <si>
    <t>ΤΣΕΜΑΛΙΔΗΣ</t>
  </si>
  <si>
    <t>ΑΖ378257</t>
  </si>
  <si>
    <t>ΑΖ043793</t>
  </si>
  <si>
    <t>ΜΑΓΓΕΡΑ</t>
  </si>
  <si>
    <t>ΗΛΙΑ ΒΑΣΙΛΙΚΗ</t>
  </si>
  <si>
    <t>Χ374020</t>
  </si>
  <si>
    <t>ΣΤΕΡΓΙΑΝΟΣ</t>
  </si>
  <si>
    <t>Φ297810</t>
  </si>
  <si>
    <t>ΑΖ777433</t>
  </si>
  <si>
    <t>ΑΙΚΑΤΕΡΊΝΗ</t>
  </si>
  <si>
    <t>ΑΙ332527</t>
  </si>
  <si>
    <t>ΤΟΚΗ</t>
  </si>
  <si>
    <t>ΑΙ260439</t>
  </si>
  <si>
    <t>ΚΑΚΑΖΟΥΚΗ</t>
  </si>
  <si>
    <t>ΑΗ769457</t>
  </si>
  <si>
    <t>ΚΑΡΑΚΑΝΤΗ</t>
  </si>
  <si>
    <t>Χ915596</t>
  </si>
  <si>
    <t>ΤΡΑΝΤΖΑ</t>
  </si>
  <si>
    <t>ΑΜ742420</t>
  </si>
  <si>
    <t>ΑΗ203915</t>
  </si>
  <si>
    <t>ΜΑΝΤΖΙΚΟΥ</t>
  </si>
  <si>
    <t>ΑΟ362119</t>
  </si>
  <si>
    <t>Τ339681</t>
  </si>
  <si>
    <t>ΒΡΥΖΑ</t>
  </si>
  <si>
    <t>ΑΖ383258</t>
  </si>
  <si>
    <t>ΑΜ376339</t>
  </si>
  <si>
    <t>ΤΕ01.25 ΑΡΓΥΡΟΧΡΥΣΟΧΟΪΑΣ (ΘΕΣΗ 307)</t>
  </si>
  <si>
    <t>ΔΗΜΑΔΟΥ</t>
  </si>
  <si>
    <t>ΑΝ430859</t>
  </si>
  <si>
    <t>ΑΕ314681</t>
  </si>
  <si>
    <t>ΓΡΗΓΟΡΙΑΔΗΣ</t>
  </si>
  <si>
    <t>ΑΟ227712</t>
  </si>
  <si>
    <t>ΑΝ608280</t>
  </si>
  <si>
    <t>ΣΑΒΒΟΠΟΥΛΟΣ</t>
  </si>
  <si>
    <t>ΑΟ102888</t>
  </si>
  <si>
    <t>ΣΟΦΑΝΤΖΗ</t>
  </si>
  <si>
    <t>ΑΟ149355</t>
  </si>
  <si>
    <t>ΑΚ041372</t>
  </si>
  <si>
    <t>ΤΕ01.04 ΨΥΚΤΙΚΟΙ (ΘΕΣΗ 301)</t>
  </si>
  <si>
    <t>ΑΟ668637</t>
  </si>
  <si>
    <t>ΚΙΟΣΣΕΣ</t>
  </si>
  <si>
    <t>ΑΜ273000</t>
  </si>
  <si>
    <t>ΓΙΑΝΝΗΣ ΧΡΙΣΤΟΦΟΡΟΣ</t>
  </si>
  <si>
    <t>ΑΗ703040</t>
  </si>
  <si>
    <t>ΑΚ995613</t>
  </si>
  <si>
    <t>ΣΑΝΔΑΛΗΣ</t>
  </si>
  <si>
    <t>ΑΙ495671</t>
  </si>
  <si>
    <t>Χ269093</t>
  </si>
  <si>
    <t>ΦΥΤΟΚΛΗΣ</t>
  </si>
  <si>
    <t>ΑΖ839437</t>
  </si>
  <si>
    <t>ΟΥΛΟΥΜΗΣ</t>
  </si>
  <si>
    <t>Χ342386</t>
  </si>
  <si>
    <t>ΜΕΛΙΟΣ</t>
  </si>
  <si>
    <t>ΑΗ169805</t>
  </si>
  <si>
    <t>ΤΕ01.06 ΗΛΕΚΤΡΟΛΟΓΟΙ (ΘΕΣΗ 302)</t>
  </si>
  <si>
    <t>ΔΟΜΟΥΧΤΣΗΣ</t>
  </si>
  <si>
    <t>ΑΒ122950</t>
  </si>
  <si>
    <t>ΑΖ806249</t>
  </si>
  <si>
    <t>ΕΠΕΣΛΙΔΗΣ</t>
  </si>
  <si>
    <t>ΑΟ399791</t>
  </si>
  <si>
    <t>ΣΑΝΟΖΙΔΗΣ</t>
  </si>
  <si>
    <t>ΑΟ264033</t>
  </si>
  <si>
    <t>ΔΟΥΡΑΝΗ</t>
  </si>
  <si>
    <t>ΑΚ451972</t>
  </si>
  <si>
    <t>ΓΚΟΥΤΖΙΟΜΗΤΡΟΣ</t>
  </si>
  <si>
    <t>ΑΕ332720</t>
  </si>
  <si>
    <t>ΔΕΜΕΡΤΖΙΔΗΣ</t>
  </si>
  <si>
    <t>ΑΖ179966</t>
  </si>
  <si>
    <t>ΑΖ782983</t>
  </si>
  <si>
    <t>ΜΑΡΙΑ ΕΥΦΡΟΣΥΝΗ</t>
  </si>
  <si>
    <t>ΑΝ037522</t>
  </si>
  <si>
    <t>ΑΒ110193</t>
  </si>
  <si>
    <t>ΑΖ860165</t>
  </si>
  <si>
    <t>ΨΥΛΛΑΚΗΣ</t>
  </si>
  <si>
    <t>ΑΟ774343</t>
  </si>
  <si>
    <t>ΜΕΤΑΞΑΣ</t>
  </si>
  <si>
    <t>ΑΕ345516</t>
  </si>
  <si>
    <t>ΑΚ729831</t>
  </si>
  <si>
    <t>ΑΒ866389</t>
  </si>
  <si>
    <t>ΚΑΚΑΝΤΩΝΗΣ</t>
  </si>
  <si>
    <t>ΑΜ443622</t>
  </si>
  <si>
    <t>ΤΣΙΠΕΛΗΣ</t>
  </si>
  <si>
    <t>ΑΡ409513</t>
  </si>
  <si>
    <t>ΠΑΠΑΓΕΩΡΓΑΚΗΣ</t>
  </si>
  <si>
    <t>ΑΚ387548</t>
  </si>
  <si>
    <t>ΠΑΦΙΛΗΣ</t>
  </si>
  <si>
    <t>ΑΚ983466</t>
  </si>
  <si>
    <t>ΑΝ824802</t>
  </si>
  <si>
    <t>ΚΟΙΜΤΣΙΔΗΣ</t>
  </si>
  <si>
    <t>ΑΝ830016</t>
  </si>
  <si>
    <t>ΑΡΜΑΝΙΔΗΣ</t>
  </si>
  <si>
    <t>ΓΡΗΓΟΡΙΟΣ ΧΡΥΣΟΒΑΛΑΝΤΗΣ</t>
  </si>
  <si>
    <t>ΑΙ834018</t>
  </si>
  <si>
    <t>ΜΠΕΛΛΑΣ</t>
  </si>
  <si>
    <t>ΑΗ791881</t>
  </si>
  <si>
    <t>ΑΚ982932</t>
  </si>
  <si>
    <t>ΒΟΓΔΟΥ</t>
  </si>
  <si>
    <t>ΑΜ851697</t>
  </si>
  <si>
    <t>ΑΜ653411</t>
  </si>
  <si>
    <t>ΚΑΡΑΙΣΚΑΚΗΣ</t>
  </si>
  <si>
    <t>ΑΗ524535</t>
  </si>
  <si>
    <t>Χ286896</t>
  </si>
  <si>
    <t>ΠΑΓΚΟΥ</t>
  </si>
  <si>
    <t>ΑΕ314219</t>
  </si>
  <si>
    <t>ΜΑΜΑΛΗΣ</t>
  </si>
  <si>
    <t>ΑΖ670145</t>
  </si>
  <si>
    <t>ΒΕΝΟΣ</t>
  </si>
  <si>
    <t>ΑΜ405007</t>
  </si>
  <si>
    <t>ΚΙΟΥΡΤΖΟΓΛΟΥ</t>
  </si>
  <si>
    <t>ΑΗ763732</t>
  </si>
  <si>
    <t>ΤΣΑΝΑΚΑΣ</t>
  </si>
  <si>
    <t>Χ460236</t>
  </si>
  <si>
    <t>ΤΕ01.07 ΗΛΕΚΤΡΟΝΙΚΟΙ (ΘΕΣΗ 303)</t>
  </si>
  <si>
    <t>ΜΠΟΥΓΙΟΥΚΑΣ</t>
  </si>
  <si>
    <t>ΑΖ793510</t>
  </si>
  <si>
    <t>ΣΕΜΕΡΤΖΙΑΝ</t>
  </si>
  <si>
    <t>Τ464709</t>
  </si>
  <si>
    <t>ΚΑΛΑΝΤΖΗΣ</t>
  </si>
  <si>
    <t>ΑΚ215946</t>
  </si>
  <si>
    <t>ΑΖ363114</t>
  </si>
  <si>
    <t>ΑΒ276306</t>
  </si>
  <si>
    <t>ΑΟ229644</t>
  </si>
  <si>
    <t>ΚΕΦΑΛΑΣ</t>
  </si>
  <si>
    <t>ΑΗ406795</t>
  </si>
  <si>
    <t>ΒΑΚΑΛΗΣ</t>
  </si>
  <si>
    <t>ΑΒ686953</t>
  </si>
  <si>
    <t>ΑΝ214978</t>
  </si>
  <si>
    <t>ΒΑΞΕΒΑΝΗΣ</t>
  </si>
  <si>
    <t>ΑΖ929785</t>
  </si>
  <si>
    <t>ΑΜ965595</t>
  </si>
  <si>
    <t>ΠΟΛΟΜΑΡΚΑΚΗΣ</t>
  </si>
  <si>
    <t>ΑΖ468105</t>
  </si>
  <si>
    <t>ΜΟΥΝΤΡΑΚΗΣ</t>
  </si>
  <si>
    <t>ΑΚ820033</t>
  </si>
  <si>
    <t>ΡΑΚΚΑΣ</t>
  </si>
  <si>
    <t>ΑΙ254359</t>
  </si>
  <si>
    <t>Φ210112</t>
  </si>
  <si>
    <t>ΤΕ01.13 ΠΡΟΓΡΑΜΜΑΤΙΣΤΕΣ Η/Υ (ΘΕΣΗ 304)</t>
  </si>
  <si>
    <t>ΤΣΙΑΝΤΑΚΗ</t>
  </si>
  <si>
    <t>Π986261</t>
  </si>
  <si>
    <t>ΠΡΟΥΣΑΛΗ</t>
  </si>
  <si>
    <t>Χ785234</t>
  </si>
  <si>
    <t>ΑΟ754205</t>
  </si>
  <si>
    <t>ΑΙ278730</t>
  </si>
  <si>
    <t>ΑΜ808742</t>
  </si>
  <si>
    <t>ΔΟΥΒΛΟΣ</t>
  </si>
  <si>
    <t>ΑΒ435530</t>
  </si>
  <si>
    <t>Χ990232</t>
  </si>
  <si>
    <t>ΑΚ405961</t>
  </si>
  <si>
    <t>ΚΑΤΣΙΟΥΛΗΣ</t>
  </si>
  <si>
    <t>Χ958944</t>
  </si>
  <si>
    <t>ΑΗ204824</t>
  </si>
  <si>
    <t>ΑΟ991158</t>
  </si>
  <si>
    <t>ΑΖ368520</t>
  </si>
  <si>
    <t>ΝΤΙΝΙΕΡΑΚΗ</t>
  </si>
  <si>
    <t>Χ010713</t>
  </si>
  <si>
    <t>ΜΠΛΑΝΑ</t>
  </si>
  <si>
    <t>ΑΙ284481</t>
  </si>
  <si>
    <t>ΑΝ367108</t>
  </si>
  <si>
    <t>ΙΝΔΟΠΟΥΛΟΥ</t>
  </si>
  <si>
    <t>Φ469248</t>
  </si>
  <si>
    <t>ΑΕ853740</t>
  </si>
  <si>
    <t>ΔΕΛΚΟΥΣΗ</t>
  </si>
  <si>
    <t>ΑΙ340086</t>
  </si>
  <si>
    <t>ΑΑ051745</t>
  </si>
  <si>
    <t>ΑΜ394104</t>
  </si>
  <si>
    <t>Φ273746</t>
  </si>
  <si>
    <t>ΓΕΩΡΓΙΟΣ ΑΙΜΙΛΙΟΣ</t>
  </si>
  <si>
    <t>ΑΗ766701</t>
  </si>
  <si>
    <t>ΑΗ801145</t>
  </si>
  <si>
    <t>ΑΚ865256</t>
  </si>
  <si>
    <t>ΑΕ377228</t>
  </si>
  <si>
    <t>Τ255212</t>
  </si>
  <si>
    <t>ΛΙΩΤΗ</t>
  </si>
  <si>
    <t>ΑΜ388353</t>
  </si>
  <si>
    <t>ΑΚ382070</t>
  </si>
  <si>
    <t>ΑΖ350891</t>
  </si>
  <si>
    <t>ΜΥΤΑΡΗΣ</t>
  </si>
  <si>
    <t>ΑΝ291810</t>
  </si>
  <si>
    <t>ΑΟ329135</t>
  </si>
  <si>
    <t>ΑΗ800832</t>
  </si>
  <si>
    <t>ΔΕΛΙΑΝΙΔΟΥ</t>
  </si>
  <si>
    <t>ΑΜ941642</t>
  </si>
  <si>
    <t>ΜΑΤΡΑΓΚΟΣ</t>
  </si>
  <si>
    <t>ΑΗ234042</t>
  </si>
  <si>
    <t>ΜΠΕΝΑΒΙΔΗΣ</t>
  </si>
  <si>
    <t>ΑΖ145752</t>
  </si>
  <si>
    <t>ΓΕΡΑΜΠΙΝΗ</t>
  </si>
  <si>
    <t>ΑΚ747344</t>
  </si>
  <si>
    <t>ΑΝΟΙΚΤΟΜΑΤΗ</t>
  </si>
  <si>
    <t>Σ734550</t>
  </si>
  <si>
    <t>ΚΟΥΡΛΟΣ</t>
  </si>
  <si>
    <t>ΑΚ225505</t>
  </si>
  <si>
    <t>Φ281802</t>
  </si>
  <si>
    <t>ΜΕΛΕΤΙΟΥ</t>
  </si>
  <si>
    <t>ΑΕ990520</t>
  </si>
  <si>
    <t>ΑΔΑΜΟΓΛΟΥ</t>
  </si>
  <si>
    <t>Ρ764119</t>
  </si>
  <si>
    <t>ΑΟ461414</t>
  </si>
  <si>
    <t>ΚΑΣΙΔΙΑΡΗΣ</t>
  </si>
  <si>
    <t>ΑΖ219975</t>
  </si>
  <si>
    <t>ΑΜ307604</t>
  </si>
  <si>
    <t>ΒΕΛΛΙΟΥ</t>
  </si>
  <si>
    <t>ΑΝ378759</t>
  </si>
  <si>
    <t>Χ466521</t>
  </si>
  <si>
    <t>Ρ826308</t>
  </si>
  <si>
    <t>ΔΕΜΕΡΤΖΗΣ</t>
  </si>
  <si>
    <t>ΑΑ440821</t>
  </si>
  <si>
    <t>ΑΗ245627</t>
  </si>
  <si>
    <t>ΓΡΗΓΟΡΑΤΟΣ</t>
  </si>
  <si>
    <t>ΧΡΥΣΟΒΑΛΑΝΤΗΣ</t>
  </si>
  <si>
    <t>ΑΙ927965</t>
  </si>
  <si>
    <t>Ρ237729</t>
  </si>
  <si>
    <t>ΑΝ347529</t>
  </si>
  <si>
    <t>ΑΗ684763</t>
  </si>
  <si>
    <t>ΑΝ888806</t>
  </si>
  <si>
    <t>ΑΕ218972</t>
  </si>
  <si>
    <t>Ν837870</t>
  </si>
  <si>
    <t>Χ314988</t>
  </si>
  <si>
    <t>ΚΟΥΚΟΥΡΟΥΖΗΣ</t>
  </si>
  <si>
    <t>ΑΟ906353</t>
  </si>
  <si>
    <t>ΒΑΡΘΟΛΟΜΑΙΟΣ</t>
  </si>
  <si>
    <t>ΑΖ974030</t>
  </si>
  <si>
    <t>ΖΑΡΟΓΙΑΝΝΟΥ</t>
  </si>
  <si>
    <t>ΑΚ861002</t>
  </si>
  <si>
    <t>ΜΑΡΑΓΓΟΣ</t>
  </si>
  <si>
    <t>ΓΕΩΡΓΙΟΣ ΜΑΡΙΟΣ</t>
  </si>
  <si>
    <t>ΑΖ678074</t>
  </si>
  <si>
    <t>ΤΣΙΒΟΥ</t>
  </si>
  <si>
    <t>ΑΚ430875</t>
  </si>
  <si>
    <t>ΔΑΛΑΜΠΙΡΑ</t>
  </si>
  <si>
    <t>ΑΙ700553</t>
  </si>
  <si>
    <t>ΑΗ788456</t>
  </si>
  <si>
    <t>Χ376379</t>
  </si>
  <si>
    <t>ΠΑΠΑΣΤΕΡΓΙΟΣ</t>
  </si>
  <si>
    <t>ΚΩΝ.ΝΟΣ</t>
  </si>
  <si>
    <t>Ξ686484</t>
  </si>
  <si>
    <t>ΤΣΙΜΠΙΝΗ</t>
  </si>
  <si>
    <t>ΑΒ114244</t>
  </si>
  <si>
    <t>Χ409151</t>
  </si>
  <si>
    <t>ΚΥΡΙΑΚΟΠΟΥΛΟΣ</t>
  </si>
  <si>
    <t>Χ335397</t>
  </si>
  <si>
    <t>ΕΥΑΓΓΕΛΟΠΟΥΛΟΣ</t>
  </si>
  <si>
    <t>ΑΖ321542</t>
  </si>
  <si>
    <t>ΔΕΡΜΕΝΤΖΗ</t>
  </si>
  <si>
    <t>ΑΕ187269</t>
  </si>
  <si>
    <t>ΤΕ01.20 ΑΙΣΘΗΤΙΚΗΣ (ΘΕΣΗ 306)</t>
  </si>
  <si>
    <t>ΑΟ694278</t>
  </si>
  <si>
    <t>ΑΕ361456</t>
  </si>
  <si>
    <t>ΖΗΣΑΡΟΥ</t>
  </si>
  <si>
    <t>ΑΒ423673</t>
  </si>
  <si>
    <t>ΑΑ402499</t>
  </si>
  <si>
    <t>Φ344321</t>
  </si>
  <si>
    <t>Χ447644</t>
  </si>
  <si>
    <t>ΑΜ394172</t>
  </si>
  <si>
    <t>ΑΖ509843</t>
  </si>
  <si>
    <t xml:space="preserve">ΕΛΕΝΗ ΧΡΙΣΤΙΝΑ </t>
  </si>
  <si>
    <t>ΑΚ792978</t>
  </si>
  <si>
    <t>ΑΙ901201</t>
  </si>
  <si>
    <t>ΙΛΑΤΖΗ</t>
  </si>
  <si>
    <t>ΑΖ315292</t>
  </si>
  <si>
    <t>ΤΕ01.26 ΟΔΟΝΤΟΤΕΧΝΙΚΗΣ (ΘΕΣΗ 308)</t>
  </si>
  <si>
    <t>ΑΙ280633</t>
  </si>
  <si>
    <t>Χ255480</t>
  </si>
  <si>
    <t>ΑΖ291057</t>
  </si>
  <si>
    <t>ΤΕ01.29 ΒΟΗΘ.ΙΑΤΡ. &amp; ΒΙΟΛΟΓ. ΕΡΓΑΣΤΗΡΙΩΝ (ΘΕΣΗ 309)</t>
  </si>
  <si>
    <t>ΔΡΕΜΠΕΝΤΕΡΗ</t>
  </si>
  <si>
    <t>ΑΗ636307</t>
  </si>
  <si>
    <t>ΑΗ589041</t>
  </si>
  <si>
    <t>ΑΒ976215</t>
  </si>
  <si>
    <t>ΑΕ203653</t>
  </si>
  <si>
    <t>ΑΗ232921</t>
  </si>
  <si>
    <t>ΣΟΛΙΔΑΚΗ</t>
  </si>
  <si>
    <t>ΑΜ612366</t>
  </si>
  <si>
    <t>ΑΖ690657</t>
  </si>
  <si>
    <t>ΑΟ953184</t>
  </si>
  <si>
    <t>ΤΕ01.30 ΒΟΗΘΟΙ ΒΡΕΦΟΚΟΜΩΝ-ΠΑΙΔΟΚΟΜΩΝ (ΘΕΣΗ 310)</t>
  </si>
  <si>
    <t>ΑΕ972268</t>
  </si>
  <si>
    <t>ΑΒ738323</t>
  </si>
  <si>
    <t>ΠΕΙΜΑΝΙΔΟΥ</t>
  </si>
  <si>
    <t>ΑΜ619137</t>
  </si>
  <si>
    <t>ΑΗ397350</t>
  </si>
  <si>
    <t>ΕΥΘΥΜΟΓΛΟΥ</t>
  </si>
  <si>
    <t>ΑΖ678496</t>
  </si>
  <si>
    <t>ΑΗ901540</t>
  </si>
  <si>
    <t>ΧΑΤΖΗΜΙΧΑΗΛΙΔΟΥ</t>
  </si>
  <si>
    <t>ΜΙΧΑΕΛΑ ΓΕΩΡΓΙΑ</t>
  </si>
  <si>
    <t>ΑΗ850499</t>
  </si>
  <si>
    <t>ΑΡΒΑΝΙΤΗΣ</t>
  </si>
  <si>
    <t>ΑΜ962483</t>
  </si>
  <si>
    <t>ΚΟΝΙΝΗ</t>
  </si>
  <si>
    <t>ΑΝ845963</t>
  </si>
  <si>
    <t>ΘΕΟΦΥΛΟΥ</t>
  </si>
  <si>
    <t>ΑΜ457909</t>
  </si>
  <si>
    <t>ΑΕ811107</t>
  </si>
  <si>
    <t>ΑΖ917913</t>
  </si>
  <si>
    <t>ΚΑΜΠΛΟΚΟΒΑ</t>
  </si>
  <si>
    <t xml:space="preserve">ΣΒΕΤΛΑΝΑ </t>
  </si>
  <si>
    <t>ΑΒ110254</t>
  </si>
  <si>
    <t>ΞΥΡΑΦΑΚΗ</t>
  </si>
  <si>
    <t>ΑΑ012572</t>
  </si>
  <si>
    <t>ΜΠΑΓΙΑΤΖΙΔΟΥ</t>
  </si>
  <si>
    <t>ΑΑ338886</t>
  </si>
  <si>
    <t>ΒΑΙΤΣΑΚΗ</t>
  </si>
  <si>
    <t>ΑΙ405063</t>
  </si>
  <si>
    <t xml:space="preserve">ΜΑΧΑΙΡΟΠΟΥΛΟΥ </t>
  </si>
  <si>
    <t>ΑΑ869056</t>
  </si>
  <si>
    <t>ΤΣΟΛΑΚΙΔΗ</t>
  </si>
  <si>
    <t>ΑΝ087867</t>
  </si>
  <si>
    <t>ΔΙΛΒΟΗ</t>
  </si>
  <si>
    <t>ΒΑΣΙΛΕΙΑ ΕΙΡΗΝΗ</t>
  </si>
  <si>
    <t>Φ250561</t>
  </si>
  <si>
    <t>ΑΜ397022</t>
  </si>
  <si>
    <t>ΑΜ125960</t>
  </si>
  <si>
    <t>ΛΕΠΕΝΙΩΤΗ</t>
  </si>
  <si>
    <t>ΑΒ999164</t>
  </si>
  <si>
    <t>ΤΕ01.31 ΧΕΙΡΙΣΤΕΣ ΙΑΤΡΙΚΩΝ ΣΥΣΚΕΥΩΝ (ΒΟΗΘ. ΑΚΤΙΝ.) (ΘΕΣΗ 311)</t>
  </si>
  <si>
    <t>ΤΕ02.01 ΣΧΕΔΙΑΣΤΕΣ-ΔΟΜΙΚΟΙ (ΘΕΣΗ 312)</t>
  </si>
  <si>
    <t>Χ915661</t>
  </si>
  <si>
    <t>ΡΟΖΑΚΗ</t>
  </si>
  <si>
    <t>ΑΒ591264</t>
  </si>
  <si>
    <t>ΑΕ889682</t>
  </si>
  <si>
    <t>ΑΑ359711</t>
  </si>
  <si>
    <t>ΝΑΖΙΡΗΣ</t>
  </si>
  <si>
    <t>ΑΟ177063</t>
  </si>
  <si>
    <t>ΑΚ069674</t>
  </si>
  <si>
    <t>ΚΑΤΣΑΝΙΚΑΚΗ</t>
  </si>
  <si>
    <t>Ρ485125</t>
  </si>
  <si>
    <t>ΜΑΚΡΟΒΑΣΙΛΕΙΟΥ</t>
  </si>
  <si>
    <t>ΑΕ761396</t>
  </si>
  <si>
    <t>ΑΟ758859</t>
  </si>
  <si>
    <t>Ξ704728</t>
  </si>
  <si>
    <t>ΡΑΝΤΗ</t>
  </si>
  <si>
    <t>Χ982251</t>
  </si>
  <si>
    <t>ΑΖ791775</t>
  </si>
  <si>
    <t>ΑΕ130598</t>
  </si>
  <si>
    <t>ΓΚΑΚΙΔΟΥ ΔΗΜΗΤΡΙΑΔΟΥ</t>
  </si>
  <si>
    <t>ΑΟ278947</t>
  </si>
  <si>
    <t>ΛΕΙΒΑΔΙΩΤΑΚΗ</t>
  </si>
  <si>
    <t>ΑΙ967060</t>
  </si>
  <si>
    <t>ΛΟΥΛΟΥΔΗΣ</t>
  </si>
  <si>
    <t>ΑΝ011380</t>
  </si>
  <si>
    <t>ΝΕΡΑΝΤΖΑ</t>
  </si>
  <si>
    <t>Χ988276</t>
  </si>
  <si>
    <t>ΤΕ02.02 ΜΗΧΑΝΟΛΟΓΟΙ (ΘΕΣΗ 313)</t>
  </si>
  <si>
    <t>ΓΑΙΓΑΝΗ</t>
  </si>
  <si>
    <t>ΑΙ878199</t>
  </si>
  <si>
    <t>ΦΥΡΑΡΙΔΟΥ</t>
  </si>
  <si>
    <t>Χ390579</t>
  </si>
  <si>
    <t>ΑΕ344441</t>
  </si>
  <si>
    <t>ΠΡΑΜΠΡΟΜΗΣ</t>
  </si>
  <si>
    <t>ΑΙ352120</t>
  </si>
  <si>
    <t>ΤΣΙΜΠΛΙΔΗΣ</t>
  </si>
  <si>
    <t>ΑΑ869645</t>
  </si>
  <si>
    <t>ΣΠΑΝΟΠΟΥΛΟΣ</t>
  </si>
  <si>
    <t>Π825580</t>
  </si>
  <si>
    <t>ΜΑΧΑΙΡΟΠΟΥΛΟΥ</t>
  </si>
  <si>
    <t>ΑΙ323543</t>
  </si>
  <si>
    <t>ΑΙ429232</t>
  </si>
  <si>
    <t>ΤΣΕΛΕΠΙΔΗΣ</t>
  </si>
  <si>
    <t>ΑΕ830710</t>
  </si>
  <si>
    <t>ΑΑ412349</t>
  </si>
  <si>
    <t>Ξ594573</t>
  </si>
  <si>
    <t>ΒΑΝΤΣΗΣ</t>
  </si>
  <si>
    <t>ΑΙ347475</t>
  </si>
  <si>
    <t>ΑΝΑΣΤΑΣΙ</t>
  </si>
  <si>
    <t>ΑΜ857482</t>
  </si>
  <si>
    <t>ΓΡΗΓΟΡΑΚΟΣ</t>
  </si>
  <si>
    <t>ΑΗ711331</t>
  </si>
  <si>
    <t>ΜΑΛΛΙΟΣ</t>
  </si>
  <si>
    <t>ΑΝ719466</t>
  </si>
  <si>
    <t>ΚΑΚΑΦΩΝΗΣ</t>
  </si>
  <si>
    <t>ΑΖ211393</t>
  </si>
  <si>
    <t>ΓΚΟΛΦΗΣ</t>
  </si>
  <si>
    <t>Φ221697</t>
  </si>
  <si>
    <t>ΑΒ352493</t>
  </si>
  <si>
    <t>ΤΕΛΛΙΟΣ</t>
  </si>
  <si>
    <t>ΑΟ327103</t>
  </si>
  <si>
    <t>ΚΡΙΒΟΥ</t>
  </si>
  <si>
    <t>ΑΕ866448</t>
  </si>
  <si>
    <t>ΚΩΝΣΤΑΝΤΑΚΟΣ</t>
  </si>
  <si>
    <t>ΑΗ793802</t>
  </si>
  <si>
    <t>ΑΟ329127</t>
  </si>
  <si>
    <t>ΤΖΙΝΙΚΟΣ</t>
  </si>
  <si>
    <t>ΑΟ940654</t>
  </si>
  <si>
    <t>ΑΕ021535</t>
  </si>
  <si>
    <t>ΑΗ293106</t>
  </si>
  <si>
    <t>ΜΠΑΖΟΠΟΥΛΟΥ</t>
  </si>
  <si>
    <t>ΑΒ113241</t>
  </si>
  <si>
    <t>ΚΑΡΑΓΙΑΝΝΟΠΟΥΛΟΣ</t>
  </si>
  <si>
    <t>ΑΒ509267</t>
  </si>
  <si>
    <t>ΑΝ213192</t>
  </si>
  <si>
    <t>ΤΕ02.03 ΧΗΜΙΚΟΙ ΕΡΓΑΣΤΗΡΙΩΝ (ΘΕΣΗ 314)</t>
  </si>
  <si>
    <t>ΣΙΛΙΑΦΗ</t>
  </si>
  <si>
    <t>Τ377941</t>
  </si>
  <si>
    <t>ΚΑΤΣΕΛΑΚΗ</t>
  </si>
  <si>
    <t>ΑΖ966972</t>
  </si>
  <si>
    <t>ΑΝ857451</t>
  </si>
  <si>
    <t>ΤΕ02.04 ΟΙΚΟΝΟΜΙΑΣ ΔΙΟΙΚΗΣΗΣ (ΘΕΣΗ 315)</t>
  </si>
  <si>
    <t>ΠΑΝΙΔΗΣ</t>
  </si>
  <si>
    <t>ΑΑ408686</t>
  </si>
  <si>
    <t>ΡΕΤΖΕΠΗ</t>
  </si>
  <si>
    <t>ΑΗ794788</t>
  </si>
  <si>
    <t>ΑΙ353726</t>
  </si>
  <si>
    <t>ΑΚ267884</t>
  </si>
  <si>
    <t>ΚΑΤΣΕΑΣ</t>
  </si>
  <si>
    <t>ΑΝ847495</t>
  </si>
  <si>
    <t>ΡΕΝΤΑ</t>
  </si>
  <si>
    <t>ΑΕ822270</t>
  </si>
  <si>
    <t>ΧΛΙΑΠΑ</t>
  </si>
  <si>
    <t>ΑΖ787926</t>
  </si>
  <si>
    <t>ΜΠΑΛΑΤΣΑ</t>
  </si>
  <si>
    <t>ΑΑ365343</t>
  </si>
  <si>
    <t>ΑΕ311575</t>
  </si>
  <si>
    <t>ΚΟΥΤΣΙΜΠΟΥ</t>
  </si>
  <si>
    <t>ΞΕΝΙΑ</t>
  </si>
  <si>
    <t>ΑΙ857106</t>
  </si>
  <si>
    <t>Τ378356</t>
  </si>
  <si>
    <t>ΑΖ272999</t>
  </si>
  <si>
    <t>ΚΙΟΥΡΤΣΙΔΟΥ</t>
  </si>
  <si>
    <t>ΑΟ940028</t>
  </si>
  <si>
    <t>ΤΑΛΛΙΔΟΥ</t>
  </si>
  <si>
    <t>ΑΝ831049</t>
  </si>
  <si>
    <t>Χ923091</t>
  </si>
  <si>
    <t>ΜΠΟΥΡΑΝΤΑ</t>
  </si>
  <si>
    <t>ΑΖ967693</t>
  </si>
  <si>
    <t>ΑΚ490309</t>
  </si>
  <si>
    <t>ΑΖ792151</t>
  </si>
  <si>
    <t>Π870671</t>
  </si>
  <si>
    <t>ΚΛΑΟΥΔΑΤΟΣ</t>
  </si>
  <si>
    <t>ΑΗ792175</t>
  </si>
  <si>
    <t>ΑΜ039459</t>
  </si>
  <si>
    <t>ΑΜ850574</t>
  </si>
  <si>
    <t>ΚΑΤΑΓΗ</t>
  </si>
  <si>
    <t>ΑΑ091212</t>
  </si>
  <si>
    <t>ΜΑΓΚΛΑΡΑΣ</t>
  </si>
  <si>
    <t>Ρ770018</t>
  </si>
  <si>
    <t>ΑΡΧΑΒΛΗ</t>
  </si>
  <si>
    <t>ΑΖ463961</t>
  </si>
  <si>
    <t>ΑΜΙΤΣΗ</t>
  </si>
  <si>
    <t>ΑΗ572622</t>
  </si>
  <si>
    <t>Ξ591181</t>
  </si>
  <si>
    <t>ΜΠΟΝΑΡΕΒΑ</t>
  </si>
  <si>
    <t>ΑΚ352582</t>
  </si>
  <si>
    <t>ΑΒ765551</t>
  </si>
  <si>
    <t>ΑΖ150184</t>
  </si>
  <si>
    <t>ΠΕΤΣΙΝΗ</t>
  </si>
  <si>
    <t>ΑΖ304418</t>
  </si>
  <si>
    <t>ΑΒ173390</t>
  </si>
  <si>
    <t>ΦΛΟΥΡΑΚΗ</t>
  </si>
  <si>
    <t>ΑΜ465872</t>
  </si>
  <si>
    <t>ΑΖ720651</t>
  </si>
  <si>
    <t>ΑΒ369047</t>
  </si>
  <si>
    <t>ΜΠΟΥΣΔΟΥΚΟΥ</t>
  </si>
  <si>
    <t>ΑΙ216984</t>
  </si>
  <si>
    <t>ΑΙ323837</t>
  </si>
  <si>
    <t>ΑΗ667655</t>
  </si>
  <si>
    <t>ΝΤΟΥΒΑΛΕΤΗ</t>
  </si>
  <si>
    <t>ΑΙ342511</t>
  </si>
  <si>
    <t>ΑΚ426869</t>
  </si>
  <si>
    <t>ΑΚ155203</t>
  </si>
  <si>
    <t>Χ729828</t>
  </si>
  <si>
    <t>ΔΗΜΟΓΛΟΥ</t>
  </si>
  <si>
    <t>ΑΖ358093</t>
  </si>
  <si>
    <t>Σ954574</t>
  </si>
  <si>
    <t>ΑΗ762158</t>
  </si>
  <si>
    <t>ΝΤΡΟΥΓΚΑΣ</t>
  </si>
  <si>
    <t>Χ805141</t>
  </si>
  <si>
    <t>Σ651590</t>
  </si>
  <si>
    <t>ΠΑΤΣΙΑΛΟΣ</t>
  </si>
  <si>
    <t>Χ273964</t>
  </si>
  <si>
    <t>ΓΕΡΟΝΙΚΟΛΟΣ</t>
  </si>
  <si>
    <t>ΑΜ545475</t>
  </si>
  <si>
    <t>ΚΑΣΜΙΡΗ</t>
  </si>
  <si>
    <t>ΣΤΑΜΠΟΛΗΣ</t>
  </si>
  <si>
    <t>ΑΙ403734</t>
  </si>
  <si>
    <t>ΜΗΤΟΝΙΔΟΥ</t>
  </si>
  <si>
    <t>ΑΛΕΞΑΝΔΡΑ ΕΙΡΗΝΗ</t>
  </si>
  <si>
    <t>ΑΚ884835</t>
  </si>
  <si>
    <t>ΣΩΤΗΡΧΟΥ</t>
  </si>
  <si>
    <t>ΑΙ133887</t>
  </si>
  <si>
    <t>ΤΕΓΚΕΛΙΔΟΥ</t>
  </si>
  <si>
    <t>Φ191958</t>
  </si>
  <si>
    <t>ΔΟΥΜΤΣΗ</t>
  </si>
  <si>
    <t>ΑΙ877115</t>
  </si>
  <si>
    <t>ΤΖΑΝΑΒΑΣ</t>
  </si>
  <si>
    <t>ΑΝ870100</t>
  </si>
  <si>
    <t>ΑΟ725337</t>
  </si>
  <si>
    <t>ΑΙ817581</t>
  </si>
  <si>
    <t>Φ327194</t>
  </si>
  <si>
    <t>ΑΗ668424</t>
  </si>
  <si>
    <t>ΚΟΝΤΟΥΛΗ</t>
  </si>
  <si>
    <t>ΑΝ859003</t>
  </si>
  <si>
    <t>ΜΠΙΤΑΔΟΥ</t>
  </si>
  <si>
    <t>ΑΒ987020</t>
  </si>
  <si>
    <t>ΑΡ046410</t>
  </si>
  <si>
    <t>ΤΣΙΠΗΡΑΣ</t>
  </si>
  <si>
    <t>ΑΑ356415</t>
  </si>
  <si>
    <t>ΚΟΥΚΟΥΤΣΕΛΟΥ</t>
  </si>
  <si>
    <t>ΑΜ388055</t>
  </si>
  <si>
    <t>ΚΑΖΑΚΗΣ</t>
  </si>
  <si>
    <t>ΑΚ892014</t>
  </si>
  <si>
    <t>ΤΕ02.05 ΕΦΑΡΜΟΣΜΕΝΩΝ ΤΕΧΝΩΝ (ΘΕΣΗ 316)</t>
  </si>
  <si>
    <t>ΓΙΑΝΝΕΡΗ</t>
  </si>
  <si>
    <t>ΑΗ886756</t>
  </si>
  <si>
    <t>ΓΚΙΩΣΗ</t>
  </si>
  <si>
    <t>ΑΗ809790</t>
  </si>
  <si>
    <t>ΑΝ753712</t>
  </si>
  <si>
    <t>ΒΑΡΔΗ</t>
  </si>
  <si>
    <t>Χ996771</t>
  </si>
  <si>
    <t>ΤΑΝΤΟΥ</t>
  </si>
  <si>
    <t>ΑΚ422576</t>
  </si>
  <si>
    <t>ΒΑΣΙΛΙΚΗ ΠΑΡΑΣΚΕΥΗ</t>
  </si>
  <si>
    <t>ΑΒ445756</t>
  </si>
  <si>
    <t>ΑΗ500031</t>
  </si>
  <si>
    <t>ΑΟ235993</t>
  </si>
  <si>
    <t>ΜΑΡΕΝΤΑΚΗ</t>
  </si>
  <si>
    <t>ΜΑΡΙΑ ΕΥΤΥΧΙΑ</t>
  </si>
  <si>
    <t>ΑΟ893037</t>
  </si>
  <si>
    <t>ΑΕ638336</t>
  </si>
  <si>
    <t>ΤΖΙΤΖΙΛΗ</t>
  </si>
  <si>
    <t>ΑΗ317877</t>
  </si>
  <si>
    <t>ΠΕΣΧΟΥ</t>
  </si>
  <si>
    <t>ΑΝ352124</t>
  </si>
  <si>
    <t>ΤΣΙΛΕΔΑΚΗ</t>
  </si>
  <si>
    <t>ΑΕ468189</t>
  </si>
  <si>
    <t>ΚΕΡΕΦΙΑΔΟΥ</t>
  </si>
  <si>
    <t>ΑΜ267483</t>
  </si>
  <si>
    <t>ΧΛΗ</t>
  </si>
  <si>
    <t>ΑΚ501268</t>
  </si>
  <si>
    <t>ΑΗ553441</t>
  </si>
  <si>
    <t>ΑΣΙΚΟΓΛΟΥ</t>
  </si>
  <si>
    <t>ΑΝ324042</t>
  </si>
  <si>
    <t>ΑΖ806826</t>
  </si>
  <si>
    <t>ΤΕ02.06 ΣΧΕΔΙΑΣΜΟΥ ΚΑΙ ΠΑΡΑΓΩΓΗΣ ΠΡΟΪΟΝΤΩΝ (ΘΕΣΗ 317)</t>
  </si>
  <si>
    <t>ΑΒ913855</t>
  </si>
  <si>
    <t>ΑΝ213124</t>
  </si>
  <si>
    <t>ΓΑΜΒΡΟΠΟΥΛΟΣ</t>
  </si>
  <si>
    <t>ΑΗ195461</t>
  </si>
  <si>
    <t>ΓΑΤΖΙΟΥ</t>
  </si>
  <si>
    <t>ΑΕ862523</t>
  </si>
  <si>
    <t>ΚΟΚΚΙΔΟΥ</t>
  </si>
  <si>
    <t>ΑΝ389805</t>
  </si>
  <si>
    <t>ΚΟΖΑΝΙΔΟΥ</t>
  </si>
  <si>
    <t>ΑΟ130067</t>
  </si>
  <si>
    <t>ΑΗ553109</t>
  </si>
  <si>
    <t>ΤΕ02.07 ΓΕΩΠΟΝΙΑΣ (ΘΕΣΗ 318)</t>
  </si>
  <si>
    <t>ΒΑΣΙΛΑΚΟΓΛΟΥ</t>
  </si>
  <si>
    <t>ΑΕ866233</t>
  </si>
  <si>
    <t>ΑΝ901726</t>
  </si>
  <si>
    <t>ΤΣΙΛΙΓΚΙΡΗΣ</t>
  </si>
  <si>
    <t>ΑΟ725813</t>
  </si>
  <si>
    <t>ΑΟ242845</t>
  </si>
  <si>
    <t>ΘΑΝΟΓΙΑΝΝΗ</t>
  </si>
  <si>
    <t xml:space="preserve">ΠΑΧΥΛΑΚΗΣ </t>
  </si>
  <si>
    <t>Χ858860</t>
  </si>
  <si>
    <t>ΚΟΥΣΙΟΣ</t>
  </si>
  <si>
    <t>ΑΑ364274</t>
  </si>
  <si>
    <t xml:space="preserve">ΜΙΧΑΛΗΣ </t>
  </si>
  <si>
    <t>ΑΒ373509</t>
  </si>
  <si>
    <t>ΑΝ862591</t>
  </si>
  <si>
    <t>Χ425295</t>
  </si>
  <si>
    <t>ΑΑ371430</t>
  </si>
  <si>
    <t>ΓΑΛΑΝΗΣ</t>
  </si>
  <si>
    <t>ΑΜ828114</t>
  </si>
  <si>
    <t>ΑΚ547300</t>
  </si>
  <si>
    <t>ΑΗ399730</t>
  </si>
  <si>
    <t>ΤΑΡΑΤΣΑΣ</t>
  </si>
  <si>
    <t>ΑΚ357518</t>
  </si>
  <si>
    <t>ΑΙ284749</t>
  </si>
  <si>
    <t>ΜΠΑΝΤΗΣ</t>
  </si>
  <si>
    <t>ΑΗ823399</t>
  </si>
  <si>
    <t>ΛΕΒΕΝΤΟΠΟΥΛΟΥ</t>
  </si>
  <si>
    <t>ΑΙ287315</t>
  </si>
  <si>
    <t>ΑΟ858192</t>
  </si>
  <si>
    <t>ΧΑΤΖΗΓΡΗΓΟΡΙΟΥ</t>
  </si>
  <si>
    <t>ΑΒ876670</t>
  </si>
  <si>
    <t>Τ309422</t>
  </si>
  <si>
    <t>ΑΒ411721</t>
  </si>
  <si>
    <t>ΑΖ785859</t>
  </si>
  <si>
    <t>ΑΚ355573</t>
  </si>
  <si>
    <t>ΔΙΟΛΙΤΣΗ</t>
  </si>
  <si>
    <t>ΑΖ224171</t>
  </si>
  <si>
    <t>ΑΟ776090</t>
  </si>
  <si>
    <t>ΠΑΛΤΟΓΛΟΥ</t>
  </si>
  <si>
    <t>ΑΟ248550</t>
  </si>
  <si>
    <t>ΑΠΟΣΤΟΛΟΣ ΣΤΕΡΓΙΟΣ</t>
  </si>
  <si>
    <t>ΑΝ326215</t>
  </si>
  <si>
    <t>ΑΖ795370</t>
  </si>
  <si>
    <t>ΤΕ16 ΜΟΥΣΙΚΗΣ ΜΗ ΑΝΩΤΑΤΩΝ ΙΔΡΥΜΑΤΩΝ (ΘΕΣΗ 319)</t>
  </si>
  <si>
    <t>ΠΑΠΑΓΟΥΛΑΣ</t>
  </si>
  <si>
    <t>ΑΗ389404</t>
  </si>
  <si>
    <t>ΚΑΣΑΜΑΚΗ</t>
  </si>
  <si>
    <t>ΑΖ830925</t>
  </si>
  <si>
    <t>ΑΙ864824</t>
  </si>
  <si>
    <t>ΑΕ910585</t>
  </si>
  <si>
    <t>ΑΚ475462</t>
  </si>
  <si>
    <t>ΑΜ234123</t>
  </si>
  <si>
    <t>ΑΝ152733</t>
  </si>
  <si>
    <t>ΣΚΟΤΕΙΝΙΩΤΗ</t>
  </si>
  <si>
    <t>ΑΖ463663</t>
  </si>
  <si>
    <t>ΤΡΟΚΑΝΑ</t>
  </si>
  <si>
    <t>ΑΡΙΣΤΗ</t>
  </si>
  <si>
    <t>ΑΝ218114</t>
  </si>
  <si>
    <t>ΑΕ061789</t>
  </si>
  <si>
    <t>Χ972943</t>
  </si>
  <si>
    <t>ΣΚΟΠΙΑΝΟΣ</t>
  </si>
  <si>
    <t>ΑΙ384369</t>
  </si>
  <si>
    <t>ΤΣΟΓΓΑ</t>
  </si>
  <si>
    <t>ΑΟ408315</t>
  </si>
  <si>
    <t>ΣΑΡΛΗ</t>
  </si>
  <si>
    <t>Φ026943</t>
  </si>
  <si>
    <t>ΑΖ553544</t>
  </si>
  <si>
    <t>ΑΖ177574</t>
  </si>
  <si>
    <t>ΜΑΡΑΜΗ</t>
  </si>
  <si>
    <t>ΑΟ723071</t>
  </si>
  <si>
    <t>Τ425392</t>
  </si>
  <si>
    <t>ΑΖ993139</t>
  </si>
  <si>
    <t>ΑΙ880531</t>
  </si>
  <si>
    <t>ΛΕΜΟΝΑΣ</t>
  </si>
  <si>
    <t>ΑΝ872576</t>
  </si>
  <si>
    <t>ΖΙΑΖΙΑΡΗ</t>
  </si>
  <si>
    <t>ΑΑ977833</t>
  </si>
  <si>
    <t>ΛΑΚΙΩΤΑΚΗ</t>
  </si>
  <si>
    <t>ΑΚ738721</t>
  </si>
  <si>
    <t>ΛΑΔΙΚΟΣ</t>
  </si>
  <si>
    <t>ΑΟ455248</t>
  </si>
  <si>
    <t>ΑΗ459683</t>
  </si>
  <si>
    <t>ΤΣΕΚΟΥΡΟΠΟΥΛΟΥ</t>
  </si>
  <si>
    <t>ΑΒ368297</t>
  </si>
  <si>
    <t>ΟΝΟΥΦΡΙΑ</t>
  </si>
  <si>
    <t>ΑΖ378843</t>
  </si>
  <si>
    <t>ΤΥΡΟΒΟΥΖΗ</t>
  </si>
  <si>
    <t>Φ469384</t>
  </si>
  <si>
    <t>ΑΚ398797</t>
  </si>
  <si>
    <t>ΑΛΗΘΙΝΟΥ</t>
  </si>
  <si>
    <t>ΑΒ617531</t>
  </si>
  <si>
    <t>ΑΒ051397</t>
  </si>
  <si>
    <t>ΠΙΤΣΙΛΚΑ</t>
  </si>
  <si>
    <t>ΑΝ279234</t>
  </si>
  <si>
    <t>ΧΡΙΣΤΟΔΟΥΛΙΝΑ</t>
  </si>
  <si>
    <t>Φ075449</t>
  </si>
  <si>
    <t>ΒΑΡΥΠΑΤΗ</t>
  </si>
  <si>
    <t>ΕΜΜΑΝΟΥΕΛΛΑ</t>
  </si>
  <si>
    <t>ΑΚ164039</t>
  </si>
  <si>
    <t>ΑΚ982320</t>
  </si>
  <si>
    <t>ΝΕΟΦΩΤΙΣΤΟΣ</t>
  </si>
  <si>
    <t>Χ779188</t>
  </si>
  <si>
    <t>ΓΚΑΡΑΛΙΑΚΟΥ</t>
  </si>
  <si>
    <t>ΑΗ089482</t>
  </si>
  <si>
    <t>ΑΖ216767</t>
  </si>
  <si>
    <t>ΑΖ322864</t>
  </si>
  <si>
    <t>ΓΡΑΜΜΑΤΣΟΥΛΙΑ</t>
  </si>
  <si>
    <t>ΑΜ304589</t>
  </si>
  <si>
    <t>ΑΜ372910</t>
  </si>
  <si>
    <t>ΑΟ677602</t>
  </si>
  <si>
    <t>ΑΖ782797</t>
  </si>
  <si>
    <t>ΑΜ268073</t>
  </si>
  <si>
    <t>ΝΤΕΛΟΠΟΥΛΟΥ</t>
  </si>
  <si>
    <t>ΑΝ965971</t>
  </si>
  <si>
    <t>ΑΜ170968</t>
  </si>
  <si>
    <t>ΚΟΥΤΣΟΘΟΔΩΡΟΥ ΨΑΡΙΑΔΟΥ</t>
  </si>
  <si>
    <t>ΑΒ247885</t>
  </si>
  <si>
    <t>ΑΦΟΥΞΕΝΙΔΗΣ</t>
  </si>
  <si>
    <t>ΣΤΕΦΑΝΟΣ ΠΑΝΑΓΙΩΤΗΣ</t>
  </si>
  <si>
    <t>ΑΝ657226</t>
  </si>
  <si>
    <t>ΗΡΑ ΓΑΡΥΦΑΛΙΑ</t>
  </si>
  <si>
    <t>ΑΒ173448</t>
  </si>
  <si>
    <t>ΑΗ767581</t>
  </si>
  <si>
    <t>ΑΕ679926</t>
  </si>
  <si>
    <t>ΑΖ285778</t>
  </si>
  <si>
    <t>ΑΙ816898</t>
  </si>
  <si>
    <t>ΑΖ504882</t>
  </si>
  <si>
    <t>ΚΑΡΒΟΥΝΗΣ</t>
  </si>
  <si>
    <t>ΑΝ791943</t>
  </si>
  <si>
    <t>ΑΒ629268</t>
  </si>
  <si>
    <t>ΜΑΣΤΡΟΘΕΟΔΩΡΟΥ</t>
  </si>
  <si>
    <t>ΑΒ242864</t>
  </si>
  <si>
    <t>ΤΙΜΙΑΝΗ</t>
  </si>
  <si>
    <t>ΑΖ790410</t>
  </si>
  <si>
    <t>ΑΒ928192</t>
  </si>
  <si>
    <t>ΑΖ389600</t>
  </si>
  <si>
    <t>ΝΤΑΟΥΤΙΔΟΥ</t>
  </si>
  <si>
    <t>ΑΕ411637</t>
  </si>
  <si>
    <t>ΑΝ138001</t>
  </si>
  <si>
    <t>ΚΑΡΔΑΜΑΚΗ</t>
  </si>
  <si>
    <t>Χ496581</t>
  </si>
  <si>
    <t>ΑΖ795856</t>
  </si>
  <si>
    <t>ΤΣΙΓΑΡΑ</t>
  </si>
  <si>
    <t>ΕΥΤΕΡΠΗ ΕΙΡΗΝΗ</t>
  </si>
  <si>
    <t>ΑΝ341710</t>
  </si>
  <si>
    <t>ΤΖΑΝΑΚΗ</t>
  </si>
  <si>
    <t>ΑΕ967804</t>
  </si>
  <si>
    <t>ΑΚ327725</t>
  </si>
  <si>
    <t>ΑΚ892507</t>
  </si>
  <si>
    <t>ΑΖ697292</t>
  </si>
  <si>
    <t>ΑΑ909494</t>
  </si>
  <si>
    <t>ΧΑΡΒΑΤΗΣ</t>
  </si>
  <si>
    <t>ΑΟ037662</t>
  </si>
  <si>
    <t>ΑΖ529501</t>
  </si>
  <si>
    <t>ΑΕ789134</t>
  </si>
  <si>
    <t>ΑΑ923345</t>
  </si>
  <si>
    <t>ΧΡΙΣΤΟΠΟΥΛΟΣ</t>
  </si>
  <si>
    <t>ΑΙ614678</t>
  </si>
  <si>
    <t>ΚΑΡΝΕΖΟΣ</t>
  </si>
  <si>
    <t>ΑΜ099943</t>
  </si>
  <si>
    <t>ΕΥΑΓΓΕΛΙΑ ΕΙΡΗΝΗ</t>
  </si>
  <si>
    <t>ΑΙ834293</t>
  </si>
  <si>
    <t>ΑΖ803179</t>
  </si>
  <si>
    <t>ΑΚ422104</t>
  </si>
  <si>
    <t>ΑΒ478094</t>
  </si>
  <si>
    <t>ΓΕΩΡΓΑΚΑΚΟΣ</t>
  </si>
  <si>
    <t>ΑΟ827936</t>
  </si>
  <si>
    <t>ΔΗΜΗΤΣΑ</t>
  </si>
  <si>
    <t>ΑΗ337509</t>
  </si>
  <si>
    <t>ΑΛΑΜΑΝΟΥ</t>
  </si>
  <si>
    <t>ΒΑΡΒΑΡΑ ΘΕΟΔΩΡΑ ΕΙΡΗΝΗ</t>
  </si>
  <si>
    <t>ΑΒ819656</t>
  </si>
  <si>
    <t>ΠΑΠΑΝΑΣΤΑΣΗ</t>
  </si>
  <si>
    <t>ΑΡ397488</t>
  </si>
  <si>
    <t>ΤΣΑΛΚΙΤΖΗ</t>
  </si>
  <si>
    <t>ΑΑ365871</t>
  </si>
  <si>
    <t>ΑΕ645839</t>
  </si>
  <si>
    <t>ΜΠΟΥΛΟΥΣΗ</t>
  </si>
  <si>
    <t>ΑΗ279813</t>
  </si>
  <si>
    <t>ΒΑΝΙΔΟΥ</t>
  </si>
  <si>
    <t>ΑΝ209447</t>
  </si>
  <si>
    <t>ΤΖΙΛΑΚΑ</t>
  </si>
  <si>
    <t>ΑΝ321164</t>
  </si>
  <si>
    <t>ΑΟ404166</t>
  </si>
  <si>
    <t>ΣΙΑΠΚΑ</t>
  </si>
  <si>
    <t>ΑΕ339995</t>
  </si>
  <si>
    <t>ΓΙΑΝΝΑΡΑΣ</t>
  </si>
  <si>
    <t>ΑΙ423547</t>
  </si>
  <si>
    <t>ΣΑΡΡΗ ΝΤΜΗΤΡΙΕΒΑ</t>
  </si>
  <si>
    <t>ΑΒ158510</t>
  </si>
  <si>
    <t>ΠΑΡΘΕΝΟΠΟΥΛΟΣ</t>
  </si>
  <si>
    <t>ΑΗ177835</t>
  </si>
  <si>
    <t>ΚΑΚΑΡΙΚΑ</t>
  </si>
  <si>
    <t>ΑΒ695032</t>
  </si>
  <si>
    <t>ΤΣΕΡΩΝΗ</t>
  </si>
  <si>
    <t>ΑΚ965409</t>
  </si>
  <si>
    <t>ΑΗ077456</t>
  </si>
  <si>
    <t>ΖΑΡΡΑΣ</t>
  </si>
  <si>
    <t>ΑΚ802279</t>
  </si>
  <si>
    <t>ΤΣΙΚΟΛΗ</t>
  </si>
  <si>
    <t>ΑΕ432309</t>
  </si>
  <si>
    <t>ΤΖΑΦΕΡΗ</t>
  </si>
  <si>
    <t>ΑΜ430339</t>
  </si>
  <si>
    <t>ΑΕ206322</t>
  </si>
  <si>
    <t>ΑΙ427242</t>
  </si>
  <si>
    <t>ΜΠΕΜΠΟΥ</t>
  </si>
  <si>
    <t>Σ290850</t>
  </si>
  <si>
    <t>ΓΡΑΜΜΑΤΗ</t>
  </si>
  <si>
    <t>ΑΕ792187</t>
  </si>
  <si>
    <t>Ξ345055</t>
  </si>
  <si>
    <t>ΤΣΟΜΙΔΟΥ</t>
  </si>
  <si>
    <t>ΑΗ318418</t>
  </si>
  <si>
    <t>ΑΕ734468</t>
  </si>
  <si>
    <t>ΠΟΘΟΥ</t>
  </si>
  <si>
    <t>ΑΙ822080</t>
  </si>
  <si>
    <t>Χ365984</t>
  </si>
  <si>
    <t>ΤΣΑΓΚΩΝΑ</t>
  </si>
  <si>
    <t>ΑΗ573624</t>
  </si>
  <si>
    <t>ΔΕΜΕΛΗ</t>
  </si>
  <si>
    <t>ΑΟ573463</t>
  </si>
  <si>
    <t>ΡΟΔΙΟΥ</t>
  </si>
  <si>
    <t>ΑΗ408052</t>
  </si>
  <si>
    <t>ΒΑΦΕΙΑΔΗΣ</t>
  </si>
  <si>
    <t>ΑΗ351760</t>
  </si>
  <si>
    <t>ΑΒ422187</t>
  </si>
  <si>
    <t>ΝΙΚΟΜΑΧΗ</t>
  </si>
  <si>
    <t>ΑΖ916253</t>
  </si>
  <si>
    <t>ΒΑΚΡΙΝΟΣ</t>
  </si>
  <si>
    <t>ΑΗ714842</t>
  </si>
  <si>
    <t>ΑΖ244153</t>
  </si>
  <si>
    <t>ΑΓΓΟΥΡΙΔΑΚΗΣ</t>
  </si>
  <si>
    <t>ΑΙ745829</t>
  </si>
  <si>
    <t>ΑΙ949599</t>
  </si>
  <si>
    <t>ΤΖΟΥΦΑ</t>
  </si>
  <si>
    <t>Π452681</t>
  </si>
  <si>
    <t>ΧΟΝΔΡΗ</t>
  </si>
  <si>
    <t>ΑΕ757597</t>
  </si>
  <si>
    <t>ΑΜ372508</t>
  </si>
  <si>
    <t>ΑΝ712222</t>
  </si>
  <si>
    <t>Χ390519</t>
  </si>
  <si>
    <t>ΠΑΠΙΔΑ</t>
  </si>
  <si>
    <t>ΑΟ132184</t>
  </si>
  <si>
    <t>ΚΑΝΙΟΥΡΗ</t>
  </si>
  <si>
    <t>Σ788439</t>
  </si>
  <si>
    <t>ΚΑΛΟΥΤΣΑΚΗ</t>
  </si>
  <si>
    <t>Χ458356</t>
  </si>
  <si>
    <t>ΜΑΚΡΙΑ</t>
  </si>
  <si>
    <t>ΑΖ435772</t>
  </si>
  <si>
    <t>ΑΕ813999</t>
  </si>
  <si>
    <t>ΑΙ349196</t>
  </si>
  <si>
    <t>ΚΟΛΈΤΣΙΟΥ</t>
  </si>
  <si>
    <t>ΑΝΑΣΤΑΣΊΑ</t>
  </si>
  <si>
    <t>ΑΕ806551</t>
  </si>
  <si>
    <t>ΑΒ734192</t>
  </si>
  <si>
    <t>ΛΙΑΤΑ</t>
  </si>
  <si>
    <t>ΑΚ629101</t>
  </si>
  <si>
    <t>ΚΑΖΕΛΗ</t>
  </si>
  <si>
    <t>Φ493047</t>
  </si>
  <si>
    <t>ΒΛΑΔΙΚΑ</t>
  </si>
  <si>
    <t>ΑΗ354982</t>
  </si>
  <si>
    <t>ΑΖ736306</t>
  </si>
  <si>
    <t>ΑΚ331117</t>
  </si>
  <si>
    <t>ΚΟΛΟΚΟΥΡΗΣ</t>
  </si>
  <si>
    <t>ΑΗ611063</t>
  </si>
  <si>
    <t>ΚΑΡΑΝΤΖΙΝΗΣ</t>
  </si>
  <si>
    <t>ΑΕ247395</t>
  </si>
  <si>
    <t>ΑΚ636456</t>
  </si>
  <si>
    <t>ΑΖ377699</t>
  </si>
  <si>
    <t>ΑΒ238142</t>
  </si>
  <si>
    <t>ΑΑ408589</t>
  </si>
  <si>
    <t>ΧΟΡΝΟΒΑ</t>
  </si>
  <si>
    <t>ΑΜ375964</t>
  </si>
  <si>
    <t>ΑΟ777862</t>
  </si>
  <si>
    <t>ΑΝΑΣΤΟΠΟΥΛΟΣ</t>
  </si>
  <si>
    <t>ΑΖ206938</t>
  </si>
  <si>
    <t>ΖΑΧΑΡΟΥΛΗΣ</t>
  </si>
  <si>
    <t>ΑΗ764024</t>
  </si>
  <si>
    <t>Χ377557</t>
  </si>
  <si>
    <t>ΓΡΑΤΣΑ</t>
  </si>
  <si>
    <t>ΑΗ607303</t>
  </si>
  <si>
    <t>ΑΙ350900</t>
  </si>
  <si>
    <t>ΑΙ731489</t>
  </si>
  <si>
    <t>ΚΟΖΙΚΟΠΟΥΛΟΥ</t>
  </si>
  <si>
    <t>ΑΡ329109</t>
  </si>
  <si>
    <t>ΑΚ900355</t>
  </si>
  <si>
    <t>ΓΚΡΑΝΑ</t>
  </si>
  <si>
    <t>ΑΜ261692</t>
  </si>
  <si>
    <t>ΑΡ070006</t>
  </si>
  <si>
    <t>ΑΗ817651</t>
  </si>
  <si>
    <t>ΑΘΑΝΑΣΙΟΣ ΔΗΜΗΤΡΙΟΣ</t>
  </si>
  <si>
    <t>ΑΟ971362</t>
  </si>
  <si>
    <t>ΑΝ167201</t>
  </si>
  <si>
    <t>ΑΡ335035</t>
  </si>
  <si>
    <t>ΚΟΖΑΛΑΚΗ</t>
  </si>
  <si>
    <t>ΑΗ697129</t>
  </si>
  <si>
    <t>ΖΑΜΠΑ</t>
  </si>
  <si>
    <t>ΑΗ244931</t>
  </si>
  <si>
    <t>ΡΑΜΟΥΤΣΑΚΗ</t>
  </si>
  <si>
    <t>ΑΗ964884</t>
  </si>
  <si>
    <t>ΓΚΑΝΤΑΚΗ</t>
  </si>
  <si>
    <t>ΑΖ264909</t>
  </si>
  <si>
    <t>ΔΕΔΕΛΟΥΔΗ</t>
  </si>
  <si>
    <t>ΘΕΟΛΟΓΙΑ ΕΛΕΝΗ</t>
  </si>
  <si>
    <t>Σ491176</t>
  </si>
  <si>
    <t>Ρ025520</t>
  </si>
  <si>
    <t>ΜΑΜΑΡΕΛΗ</t>
  </si>
  <si>
    <t>Χ581192</t>
  </si>
  <si>
    <t>ΟΛΥΜΠΙΟΥ</t>
  </si>
  <si>
    <t>ΑΜ553401</t>
  </si>
  <si>
    <t>ΑΜ776749</t>
  </si>
  <si>
    <t>Χ816831</t>
  </si>
  <si>
    <t>ΑΖ396430</t>
  </si>
  <si>
    <t>ΑΑ935021</t>
  </si>
  <si>
    <t>ΚΟΝΤΟΓΙΑΝΝΑΚΗ</t>
  </si>
  <si>
    <t>Ρ718386</t>
  </si>
  <si>
    <t>Χ903585</t>
  </si>
  <si>
    <t>ΜΠΡΟΥΖΟΣ</t>
  </si>
  <si>
    <t>ΑΗ017028</t>
  </si>
  <si>
    <t>ΑΑ971375</t>
  </si>
  <si>
    <t>ΑΕ854715</t>
  </si>
  <si>
    <t>ΧΑΤΖΗΠΑΝΑΓΙΩΤΟΥ</t>
  </si>
  <si>
    <t>ΑΙ909713</t>
  </si>
  <si>
    <t>ΛΑΓΟΠΑΤΗ</t>
  </si>
  <si>
    <t>ΑΚ078041</t>
  </si>
  <si>
    <t>ΑΗ964798</t>
  </si>
  <si>
    <t>ΜΑΤΖΑΡΗ</t>
  </si>
  <si>
    <t>ΑΗ846201</t>
  </si>
  <si>
    <t>ΚΑΤΣΙΚΟΓΙΩΡΓΟΣ</t>
  </si>
  <si>
    <t>ΑΚ098238</t>
  </si>
  <si>
    <t>ΤΣΙΜΠΛΗ</t>
  </si>
  <si>
    <t>ΑΙ426912</t>
  </si>
  <si>
    <t>ΚΑΨΟΚΕΦΑΛΟΥ</t>
  </si>
  <si>
    <t>ΑΒ066120</t>
  </si>
  <si>
    <t>ΚΕΦΑΛΙΔΟΥ ΠΑΠΑΘΕΟΔΩΡΟΥ</t>
  </si>
  <si>
    <t>ΑΒ562870</t>
  </si>
  <si>
    <t>ΕΓΓΕΛΗ</t>
  </si>
  <si>
    <t>ΑΕ637047</t>
  </si>
  <si>
    <t>ΚΟΥΤΗ</t>
  </si>
  <si>
    <t>ΑΒ425429</t>
  </si>
  <si>
    <t>ΒΕΡΟΥΣΗ</t>
  </si>
  <si>
    <t>ΚΩΝΣΤΑΝΤΊΝΟΣ</t>
  </si>
  <si>
    <t>ΑΜ826380</t>
  </si>
  <si>
    <t>ΑΑ307099</t>
  </si>
  <si>
    <t>ΤΖΑΜΙΑΝ</t>
  </si>
  <si>
    <t>ΝΑΤΑΣΣΑ</t>
  </si>
  <si>
    <t>ΑΑ069041</t>
  </si>
  <si>
    <t>ΑΙ708085</t>
  </si>
  <si>
    <t>ΧΑΤΖΗΔΙΑΚΟΥ</t>
  </si>
  <si>
    <t>ΑΒ171658</t>
  </si>
  <si>
    <t>ΑΝ896827</t>
  </si>
  <si>
    <t>ΒΛΕΤΣΗ</t>
  </si>
  <si>
    <t>ΑΖ762980</t>
  </si>
  <si>
    <t>ΣΚΑΝΤΖΑΚΗΣ</t>
  </si>
  <si>
    <t>Χ856499</t>
  </si>
  <si>
    <t>ΠΑΠΑΠΡΟΚΟΠΙΟΥ</t>
  </si>
  <si>
    <t>Χ706480</t>
  </si>
  <si>
    <t>Ξ106277</t>
  </si>
  <si>
    <t>Χ917559</t>
  </si>
  <si>
    <t>ΛΑΛΙΟΠΟΥΛΟΥ</t>
  </si>
  <si>
    <t>ΑΙ256457</t>
  </si>
  <si>
    <t>ΑΛΠΟΧΩΡΙΤΗΣ</t>
  </si>
  <si>
    <t>ΑΙ754098</t>
  </si>
  <si>
    <t>ΑΚΡΙΔΑ</t>
  </si>
  <si>
    <t>ΗΛΙΑΣ ΠΑΝΑΓΙΩΤΗΣ</t>
  </si>
  <si>
    <t>ΑΒ093872</t>
  </si>
  <si>
    <t>ΑΖ417653</t>
  </si>
  <si>
    <t>ΑΕ207354</t>
  </si>
  <si>
    <t>Χ554381</t>
  </si>
  <si>
    <t>ΚΑΒΒΑΔΙΑ</t>
  </si>
  <si>
    <t>ΑΝ272707</t>
  </si>
  <si>
    <t>ΧΑΤΖΗΕΜΜΑΝΟΥΗΛ</t>
  </si>
  <si>
    <t>ΑΟ206362</t>
  </si>
  <si>
    <t>Χ296157</t>
  </si>
  <si>
    <t>ΕΙΡΗΝΗ ΜΕΛΙΝΑ</t>
  </si>
  <si>
    <t>ΑΟ368465</t>
  </si>
  <si>
    <t>ΑΡ496766</t>
  </si>
  <si>
    <t>ΣΑΛΑΜΑΣΤΡΑΚΗ</t>
  </si>
  <si>
    <t>ΑΖ946671</t>
  </si>
  <si>
    <t>ΔΟΥΒΑΡΑΣ</t>
  </si>
  <si>
    <t>ΑΖ829093</t>
  </si>
  <si>
    <t>ΟΡΦΑΝΟΠΟΥΛΟΥ</t>
  </si>
  <si>
    <t>ΑΗ564702</t>
  </si>
  <si>
    <t>ΑΟ174421</t>
  </si>
  <si>
    <t>ΑΜ695397</t>
  </si>
  <si>
    <t>ΚΑΤΣΑΝΗΣ</t>
  </si>
  <si>
    <t>ΑΚ715896</t>
  </si>
  <si>
    <t>ΜΑΝΔΗΛΑΣ</t>
  </si>
  <si>
    <t>ΑΖ602296</t>
  </si>
  <si>
    <t>ΑΖ667101</t>
  </si>
  <si>
    <t>ΑΕ976987</t>
  </si>
  <si>
    <t>ΝΑΣΟΓΛΟΥ</t>
  </si>
  <si>
    <t>ΑΖ422492</t>
  </si>
  <si>
    <t>ΑΝ332378</t>
  </si>
  <si>
    <t>ΦΡΟΥΖΑΚΗ</t>
  </si>
  <si>
    <t>ΑΚ932661</t>
  </si>
  <si>
    <t>ΚΑΜΗΝΙΩΤΗ</t>
  </si>
  <si>
    <t>ΑΟ348172</t>
  </si>
  <si>
    <t>ΑΒ599881</t>
  </si>
  <si>
    <t>ΑΒ112564</t>
  </si>
  <si>
    <t>ΤΖΑΡΑΛΗΣ</t>
  </si>
  <si>
    <t>ΑΖ938188</t>
  </si>
  <si>
    <t>ΓΙΔΑΡΗ</t>
  </si>
  <si>
    <t>ΑΟ214462</t>
  </si>
  <si>
    <t>ΜΑΖΑΝΑΚΗ</t>
  </si>
  <si>
    <t>ΑΚ482935</t>
  </si>
  <si>
    <t>ΚΑΡΑΚΑΣΗΣ</t>
  </si>
  <si>
    <t>ΑΑ271624</t>
  </si>
  <si>
    <t>ΜΠΕΚΗΡΟΠΟΥΛΟΣ</t>
  </si>
  <si>
    <t>ΑΝ748010</t>
  </si>
  <si>
    <t>ΠΑΡΙΝΤΑΣ</t>
  </si>
  <si>
    <t>ΑΡΟΝ</t>
  </si>
  <si>
    <t>ΑΕ697871</t>
  </si>
  <si>
    <t>ΑΑ427227</t>
  </si>
  <si>
    <t>Χ411019</t>
  </si>
  <si>
    <t>ΑΖ209457</t>
  </si>
  <si>
    <t>ΤΡΟΥΚΑ</t>
  </si>
  <si>
    <t>Χ770709</t>
  </si>
  <si>
    <t>ΑΑ382152</t>
  </si>
  <si>
    <t>ΚΑΤΣΕΛΗ</t>
  </si>
  <si>
    <t>ΑΙ816909</t>
  </si>
  <si>
    <t>ΑΕ792084</t>
  </si>
  <si>
    <t>ΑΙ292019</t>
  </si>
  <si>
    <t>ΑΟ013962</t>
  </si>
  <si>
    <t>ΠΑΝΑΓΙΩΤΗΣ ΑΛΕΞΙΟΣ</t>
  </si>
  <si>
    <t>ΑΑ081204</t>
  </si>
  <si>
    <t>ΑΟ859899</t>
  </si>
  <si>
    <t>ΑΙ624242</t>
  </si>
  <si>
    <t>Α0760813</t>
  </si>
  <si>
    <t>Χ700539</t>
  </si>
  <si>
    <t>ΑΟ976057</t>
  </si>
  <si>
    <t>ΑΝ758799</t>
  </si>
  <si>
    <t>ΔΟΝΟΥΚΑΡΑ</t>
  </si>
  <si>
    <t>ΑΕ185929</t>
  </si>
  <si>
    <t>ΑΝ822445</t>
  </si>
  <si>
    <t>ΑΚ211869</t>
  </si>
  <si>
    <t>ΠΑΤΤΑ</t>
  </si>
  <si>
    <t>ΑΝ707741</t>
  </si>
  <si>
    <t>ΚΑΝΕΛΛΙΑ ΙΩΑΝΝΑ</t>
  </si>
  <si>
    <t>Ρ196461</t>
  </si>
  <si>
    <t>ΑΖ170624</t>
  </si>
  <si>
    <t>ΞΟΥΡΗ</t>
  </si>
  <si>
    <t>ΑΗ701111</t>
  </si>
  <si>
    <t>Χ795545</t>
  </si>
  <si>
    <t>ΤΣΟΥΡΟΥΣ</t>
  </si>
  <si>
    <t>ΑΗ377692</t>
  </si>
  <si>
    <t>ΑΗ176067</t>
  </si>
  <si>
    <t>ΜΠΕΛΟΥΜΠΑΣΗ</t>
  </si>
  <si>
    <t>ΑΗ685128</t>
  </si>
  <si>
    <t>ΑΝ825875</t>
  </si>
  <si>
    <t>ΧΑΙΔΗ</t>
  </si>
  <si>
    <t>Σ457718</t>
  </si>
  <si>
    <t>Ρ722096</t>
  </si>
  <si>
    <t>ΑΕ825648</t>
  </si>
  <si>
    <t>ΖΟΥΡΔΗ</t>
  </si>
  <si>
    <t>ΑΟ191337</t>
  </si>
  <si>
    <t>ΜΑΝΤΟΥΣΗ</t>
  </si>
  <si>
    <t>ΑΟ732648</t>
  </si>
  <si>
    <t>ΑΒ748411</t>
  </si>
  <si>
    <t>ΑΒ795007</t>
  </si>
  <si>
    <t>ΔΙΑΜΑΝΤΩ ΑΝΑΣΤΑΣΙΑ</t>
  </si>
  <si>
    <t>Χ413672</t>
  </si>
  <si>
    <t>Χ774777</t>
  </si>
  <si>
    <t>Χ908033</t>
  </si>
  <si>
    <t>ΠΑΠΑΧΑΤΖΗΣ</t>
  </si>
  <si>
    <t>Π555470</t>
  </si>
  <si>
    <t>ΦΙΛΙΠΠΗΣ</t>
  </si>
  <si>
    <t>ΑΖ733609</t>
  </si>
  <si>
    <t>ΑΕ038300</t>
  </si>
  <si>
    <t>Χ739443</t>
  </si>
  <si>
    <t>ΜΟΥΤΑΦΗΣ</t>
  </si>
  <si>
    <t>ΑΒ392071</t>
  </si>
  <si>
    <t>ΧΑΒΑΤΖΑΝΙΔΟΥ</t>
  </si>
  <si>
    <t>ΑΖ402569</t>
  </si>
  <si>
    <t>ΑΖ285978</t>
  </si>
  <si>
    <t>ΚΙΟΡΙΔΟΥ</t>
  </si>
  <si>
    <t>ΑΟ413195</t>
  </si>
  <si>
    <t>ΛΑΜΠΡΟΓΕΩΡΓΟΥ</t>
  </si>
  <si>
    <t>ΑΚ824496</t>
  </si>
  <si>
    <t>ΣΚΟΥΡΙΤΑΚΗΣ</t>
  </si>
  <si>
    <t>ΑΙ963190</t>
  </si>
  <si>
    <t>ΑΚ873269</t>
  </si>
  <si>
    <t>Χ684753</t>
  </si>
  <si>
    <t>ΑΙ600302</t>
  </si>
  <si>
    <t>Χ618350</t>
  </si>
  <si>
    <t>ΑΗ393373</t>
  </si>
  <si>
    <t>ΑΒ070752</t>
  </si>
  <si>
    <t>ΚΕΒΡΕΚΙΔΟΥ</t>
  </si>
  <si>
    <t>ΜΑΡΙΑ ΜΑΡΓΑΡΙΤΑ</t>
  </si>
  <si>
    <t>ΑΙ351969</t>
  </si>
  <si>
    <t>ΤΣΙΑΓΚΑΣ</t>
  </si>
  <si>
    <t>ΑΜ247585</t>
  </si>
  <si>
    <t>ΝΕΦΡΟΥ</t>
  </si>
  <si>
    <t>ΑΜ115970</t>
  </si>
  <si>
    <t>ΧΑΛΕΠΛΙΔΗΣ</t>
  </si>
  <si>
    <t>Χ821855</t>
  </si>
  <si>
    <t>ΟΣΣΑ</t>
  </si>
  <si>
    <t>ΑΙ154711</t>
  </si>
  <si>
    <t>ΜΑΣΤΡΟΓΙΑΝΝΟΠΟΥΛΟΣ</t>
  </si>
  <si>
    <t>ΑΙ418235</t>
  </si>
  <si>
    <t>Χ038857</t>
  </si>
  <si>
    <t>ΑΒ065415</t>
  </si>
  <si>
    <t>ΚΛΕΙΩΤΗΣ</t>
  </si>
  <si>
    <t>ΑΕ351845</t>
  </si>
  <si>
    <t>ΜΠΟΖΑΡΛΗ</t>
  </si>
  <si>
    <t>ΑΗ765940</t>
  </si>
  <si>
    <t>Χ421062</t>
  </si>
  <si>
    <t>ΚΑΚΟΥΡΑΚΗ</t>
  </si>
  <si>
    <t>ΑΝ055632</t>
  </si>
  <si>
    <t>ΧΑΒΑΛΕ</t>
  </si>
  <si>
    <t>ΜΑΡΙΕΤΑ</t>
  </si>
  <si>
    <t>ΑΕ328499</t>
  </si>
  <si>
    <t>ΑΑ228729</t>
  </si>
  <si>
    <t>ΚΑΡΑΜΠΕΡΗ</t>
  </si>
  <si>
    <t>ΑΟ931003</t>
  </si>
  <si>
    <t>ΑΙ721112</t>
  </si>
  <si>
    <t>ΑΜ851987</t>
  </si>
  <si>
    <t>ΕΛΙΣΑΒΕΤ ΙΩΑΝΝΑ</t>
  </si>
  <si>
    <t>ΑΗ181484</t>
  </si>
  <si>
    <t>Χ890111</t>
  </si>
  <si>
    <t>ΑΒ501320</t>
  </si>
  <si>
    <t>ΑΙ244685</t>
  </si>
  <si>
    <t>ΤΣΙΟΛΑΚΗ</t>
  </si>
  <si>
    <t>Φ029424</t>
  </si>
  <si>
    <t>ΑΜ622202</t>
  </si>
  <si>
    <t>ΜΗΛΙΑ</t>
  </si>
  <si>
    <t>ΛΥΓΙΑ</t>
  </si>
  <si>
    <t>ΑΟ204370</t>
  </si>
  <si>
    <t>ΖΑΜΠΙΤΟΓΛΟΥ</t>
  </si>
  <si>
    <t xml:space="preserve">ΜΑΡΙΟΣ </t>
  </si>
  <si>
    <t>ΑΝ422320</t>
  </si>
  <si>
    <t>ΑΙ874509</t>
  </si>
  <si>
    <t>ΑΗ821562</t>
  </si>
  <si>
    <t>ΚΑΨΟΚΕΦΑΛΟΣ</t>
  </si>
  <si>
    <t>ΑΙ023529</t>
  </si>
  <si>
    <t>Χ296385</t>
  </si>
  <si>
    <t>ΜΑΛΙΑΚΚΑ</t>
  </si>
  <si>
    <t>ΕΛΕΝΗ ΔΕΣΠΟΙΝΑ</t>
  </si>
  <si>
    <t>ΑΝ449824</t>
  </si>
  <si>
    <t>ΣΙΑΠΛΑΟΥΡΑ</t>
  </si>
  <si>
    <t>Χ795333</t>
  </si>
  <si>
    <t>ΒΕΓΙΑΖΗ</t>
  </si>
  <si>
    <t>ΑΒ584431</t>
  </si>
  <si>
    <t>ΝΙΚΟΛΗΣ</t>
  </si>
  <si>
    <t>Χ028739</t>
  </si>
  <si>
    <t>ΚΑΡΑΚΟΥΣΗΣ</t>
  </si>
  <si>
    <t>ΑΑ762449</t>
  </si>
  <si>
    <t>ΚΟΥΣΟΥΛΗΣ</t>
  </si>
  <si>
    <t>Φ040875</t>
  </si>
  <si>
    <t>ΑΝΔΡΕΣΑ</t>
  </si>
  <si>
    <t>Χ798397</t>
  </si>
  <si>
    <t>ΑΒ828900</t>
  </si>
  <si>
    <t>ΑΝ809999</t>
  </si>
  <si>
    <t>ΑΟ965087</t>
  </si>
  <si>
    <t>ΚΟΤΤΟΡΟΣ</t>
  </si>
  <si>
    <t>ΑΝ814459</t>
  </si>
  <si>
    <t>ΑΚ115357</t>
  </si>
  <si>
    <t>ΠΑΡΑΣΚΕΥΗ ΓΡΑΜΜΑΤΟΥΛ</t>
  </si>
  <si>
    <t>ΑΕ200338</t>
  </si>
  <si>
    <t>ΚΟΥΚΟΥΒΑ</t>
  </si>
  <si>
    <t>ΑΜ076928</t>
  </si>
  <si>
    <t>ΠΑΙΒΑΝΑΣ</t>
  </si>
  <si>
    <t>Χ700977</t>
  </si>
  <si>
    <t>ΤΣΙΑΜΑΛΟΥ</t>
  </si>
  <si>
    <t>ΑΒ108140</t>
  </si>
  <si>
    <t>ΑΜ858635</t>
  </si>
  <si>
    <t>ΘΕΟΛΟΓΙΤΗ</t>
  </si>
  <si>
    <t>ΜΑΡΙΑ ΕΛΕΝΗ ΛΟΥΙΖΑ</t>
  </si>
  <si>
    <t>ΑΖ086791</t>
  </si>
  <si>
    <t>ΑΖ801749</t>
  </si>
  <si>
    <t>ΔΡΑΓΑΖΗΣ</t>
  </si>
  <si>
    <t>ΑΟ361997</t>
  </si>
  <si>
    <t>ΜΑΡΙΑ ΑΓΟΡΗ</t>
  </si>
  <si>
    <t>ΑΗ784504</t>
  </si>
  <si>
    <t>ΚΙΤΣΟΠΟΥΛΟΥ</t>
  </si>
  <si>
    <t>ΑΖ272249</t>
  </si>
  <si>
    <t>ΑΒ445767</t>
  </si>
  <si>
    <t>ΓΙΑΝΝΑΚΟΥΡΑΣ</t>
  </si>
  <si>
    <t>ΑΙ309875</t>
  </si>
  <si>
    <t>ΚΑΡΑΛΙΑΣ</t>
  </si>
  <si>
    <t>ΑΟ395618</t>
  </si>
  <si>
    <t>ΜΑΓΚΟΥΛΙΑ</t>
  </si>
  <si>
    <t>ΑΗ129996</t>
  </si>
  <si>
    <t>ΒΛΟΙΤΟΣ</t>
  </si>
  <si>
    <t>ΑΚ604217</t>
  </si>
  <si>
    <t>ΜΩΡΕΤΗ</t>
  </si>
  <si>
    <t>ΑΕ697279</t>
  </si>
  <si>
    <t>ΑΜ864788</t>
  </si>
  <si>
    <t>ΝΙΚΟΛΕΛΗ</t>
  </si>
  <si>
    <t>Σ971544</t>
  </si>
  <si>
    <t>ΑΛΕΞΑΝΤΩΝΑΚΗ</t>
  </si>
  <si>
    <t>ΑΗ468520</t>
  </si>
  <si>
    <t>ΜΠΡΟΥΖΟΥ</t>
  </si>
  <si>
    <t>ΑΗ701312</t>
  </si>
  <si>
    <t>ΑΙ906355</t>
  </si>
  <si>
    <t>ΑΠΟΣΤΟΛΟ</t>
  </si>
  <si>
    <t>ΑΚ820694</t>
  </si>
  <si>
    <t>ΑΒ978660</t>
  </si>
  <si>
    <t>ΜΠΙΝΤΗ</t>
  </si>
  <si>
    <t>Ξ656993</t>
  </si>
  <si>
    <t>ΚΑΣΑΡΑΚΗ</t>
  </si>
  <si>
    <t>ΑΝ344389</t>
  </si>
  <si>
    <t xml:space="preserve">ΧΗΡΑ </t>
  </si>
  <si>
    <t>ΑΟ355173</t>
  </si>
  <si>
    <t>ΑΗ240895</t>
  </si>
  <si>
    <t>ΚΡΙΕΖΗΣ</t>
  </si>
  <si>
    <t>ΑΙ193890</t>
  </si>
  <si>
    <t>ΑΙ763323</t>
  </si>
  <si>
    <t>ΜΟΥΡΕΛΑΤΟΣ</t>
  </si>
  <si>
    <t>Χ885079</t>
  </si>
  <si>
    <t>ΑΙ273291</t>
  </si>
  <si>
    <t>ΑΗ812366</t>
  </si>
  <si>
    <t>ΚΑΤΤΑΒΕΝΑΚΗΣ</t>
  </si>
  <si>
    <t>ΒΑΣΙΛΕΙΟΣ ΜΙΧΑΗΛ</t>
  </si>
  <si>
    <t>ΑΟ456432</t>
  </si>
  <si>
    <t>Ρ792187</t>
  </si>
  <si>
    <t>ΑΕ385306</t>
  </si>
  <si>
    <t>ΤΣΑΡΜΠΟΠΟΥΛΟΥ</t>
  </si>
  <si>
    <t>ΑΒ851109</t>
  </si>
  <si>
    <t>ΑΚ400127</t>
  </si>
  <si>
    <t>ΑΝ495712</t>
  </si>
  <si>
    <t>Χ628536</t>
  </si>
  <si>
    <t>ΑΕ710612</t>
  </si>
  <si>
    <t>Π986874</t>
  </si>
  <si>
    <t>ΤΣΑΝΟΣ</t>
  </si>
  <si>
    <t>Ρ987437</t>
  </si>
  <si>
    <t>ΜΑΝΙΑΤΗΣ</t>
  </si>
  <si>
    <t>Χ736149</t>
  </si>
  <si>
    <t>ΑΜ254163</t>
  </si>
  <si>
    <t>ΕΞΑΔΑΚΤΥΛΟΥ</t>
  </si>
  <si>
    <t>ΑΕ486881</t>
  </si>
  <si>
    <t>ΑΕ803492</t>
  </si>
  <si>
    <t>ΚΑΡΑΜΠΕΤΣΟΣ</t>
  </si>
  <si>
    <t>ΑΖ803528</t>
  </si>
  <si>
    <t>ΑΚ900616</t>
  </si>
  <si>
    <t>ΑΗ470070</t>
  </si>
  <si>
    <t>ΚΟΥΤΣΟΥΜΠΑ</t>
  </si>
  <si>
    <t>ΑΚ344755</t>
  </si>
  <si>
    <t>ΧΑΡΔΑΒΕΛΛΑΣ</t>
  </si>
  <si>
    <t>Σ965862</t>
  </si>
  <si>
    <t>ΤΟΣΚΑ</t>
  </si>
  <si>
    <t>Ν486618</t>
  </si>
  <si>
    <t>ΑΒ658603</t>
  </si>
  <si>
    <t>ΣΙΑΚΑΡΑ</t>
  </si>
  <si>
    <t>ΑΟ263493</t>
  </si>
  <si>
    <t>ΣΑΛΤΗ</t>
  </si>
  <si>
    <t>Π904180</t>
  </si>
  <si>
    <t>ΚΟΝΤΖΕΣ</t>
  </si>
  <si>
    <t>ΑΑ232479</t>
  </si>
  <si>
    <t>ΤΣΑΤΣΑΡΟΥΝΟΣ</t>
  </si>
  <si>
    <t>Σ197524</t>
  </si>
  <si>
    <t>Ν563823</t>
  </si>
  <si>
    <t>ΑΜ498622</t>
  </si>
  <si>
    <t>ΑΖ952778</t>
  </si>
  <si>
    <t>ΒΑΣΙΛΕΙΟΣ ΣΩΤΗΡΙΟΣ</t>
  </si>
  <si>
    <t>ΑΕ853158</t>
  </si>
  <si>
    <t>ΑΙ705351</t>
  </si>
  <si>
    <t>ΑΜ949533</t>
  </si>
  <si>
    <t>ΑΝΙΤΟΠΟΥΛΟΣ</t>
  </si>
  <si>
    <t>ΑΜ563482</t>
  </si>
  <si>
    <t>ΣΜΟΙΛΗΣ</t>
  </si>
  <si>
    <t>ΑΖ257853</t>
  </si>
  <si>
    <t>ΑΚ920013</t>
  </si>
  <si>
    <t>ΤΣΙΛΙΚΓΑΡΙΔΟΥ</t>
  </si>
  <si>
    <t>ΔΟΚΙΜΑΚΗ</t>
  </si>
  <si>
    <t>ΑΖ455494</t>
  </si>
  <si>
    <t>Π470199</t>
  </si>
  <si>
    <t>ΜΠΑΛΤΙΔΟΥ</t>
  </si>
  <si>
    <t>ΑΚ978718</t>
  </si>
  <si>
    <t>ΚΑΒΑΡΑΤΖΗ</t>
  </si>
  <si>
    <t>ΑΑ455572</t>
  </si>
  <si>
    <t>ΑΑ971513</t>
  </si>
  <si>
    <t>Ρ552837</t>
  </si>
  <si>
    <t>ΤΣΙΠΛΑΚΟΥΛΗ</t>
  </si>
  <si>
    <t>ΑΟ227740</t>
  </si>
  <si>
    <t>ΠΑΓΓΕΛΑ</t>
  </si>
  <si>
    <t>ΑΑ942675</t>
  </si>
  <si>
    <t>ΑΒ828080</t>
  </si>
  <si>
    <t>ΑΡ370743</t>
  </si>
  <si>
    <t>ΑΡ352856</t>
  </si>
  <si>
    <t>ΓΑΤΣΩΡΗ</t>
  </si>
  <si>
    <t>Ρ770734</t>
  </si>
  <si>
    <t>ΑΓΓΕΛΟΣ ΑΛΕΞΑΝΔΡΟΣ</t>
  </si>
  <si>
    <t>ΑΟ358775</t>
  </si>
  <si>
    <t>ΧΡΥΣΑΚΟΠΟΥΛΟΥ</t>
  </si>
  <si>
    <t>ΑΜ369547</t>
  </si>
  <si>
    <t>ΑΓΓΕΛΟΠΟΥΛΟΣ</t>
  </si>
  <si>
    <t>Σ776593</t>
  </si>
  <si>
    <t>ΚΟΥΡΚΟΥΒΑΤΗ</t>
  </si>
  <si>
    <t>ΑΚ420436</t>
  </si>
  <si>
    <t>ΣΤΑΥΡΑΚΗΣ</t>
  </si>
  <si>
    <t>ΑΖ965004</t>
  </si>
  <si>
    <t>ΓΑΡΓΑΕΤΙΔΗΣ</t>
  </si>
  <si>
    <t>ΑΗ815652</t>
  </si>
  <si>
    <t>ΑΕ224664</t>
  </si>
  <si>
    <t>ΚΟΛΛΙΝΤΖΑΣ</t>
  </si>
  <si>
    <t>ΑΙ467979</t>
  </si>
  <si>
    <t>ΠΡΟΥΣΙΝΟΥΔΗΣ</t>
  </si>
  <si>
    <t>ΑΒ740311</t>
  </si>
  <si>
    <t>ΑΒ698073</t>
  </si>
  <si>
    <t>ΧΑΝΤΣΑΡΙΔΟΥ</t>
  </si>
  <si>
    <t>ΑΚ850013</t>
  </si>
  <si>
    <t>ΑΕ331923</t>
  </si>
  <si>
    <t>ΤΣΙΧΛΗΣ</t>
  </si>
  <si>
    <t>ΑΡΙΣΤΟΤΕΛΗΣ ΚΩΝΣΤΑΝΤ</t>
  </si>
  <si>
    <t>ΑΜ587526</t>
  </si>
  <si>
    <t>ΣΠΥΡΙΔΑΚΟΥ</t>
  </si>
  <si>
    <t>ΑΕ623778</t>
  </si>
  <si>
    <t>ΚΑΡΠΑΝΟΥ</t>
  </si>
  <si>
    <t>ΑΝ963565</t>
  </si>
  <si>
    <t>ΜΑΝΤΖΟΥΤΣΟΥ</t>
  </si>
  <si>
    <t>ΑΚ385068</t>
  </si>
  <si>
    <t>ΑΕ759377</t>
  </si>
  <si>
    <t>ΜΙΧΑΛΑΡΕΑ</t>
  </si>
  <si>
    <t>Π531636</t>
  </si>
  <si>
    <t>ΑΝ999935</t>
  </si>
  <si>
    <t>ΑΗ802522</t>
  </si>
  <si>
    <t>ΑΖ094480</t>
  </si>
  <si>
    <t>ΜΠΑΛΑ</t>
  </si>
  <si>
    <t>ΑΖ244682</t>
  </si>
  <si>
    <t>ΑΚ836011</t>
  </si>
  <si>
    <t>ΑΕ967255</t>
  </si>
  <si>
    <t>ΜΟΡΦΟΓΙΑΝΝΗΣ</t>
  </si>
  <si>
    <t>ΑΗ778362</t>
  </si>
  <si>
    <t>ΓΕΩΡΓΙΟΣ ΜΑΡΓΑΡΗΤΗΣ</t>
  </si>
  <si>
    <t>ΑΗ448266</t>
  </si>
  <si>
    <t>ΔΟΞΑ</t>
  </si>
  <si>
    <t>ΑΝ357386</t>
  </si>
  <si>
    <t>ΓΑΚΟΥ</t>
  </si>
  <si>
    <t>ΑΕ996586</t>
  </si>
  <si>
    <t>ΣΙΑΝΤΙΚΟΥ</t>
  </si>
  <si>
    <t>ΑΒ639725</t>
  </si>
  <si>
    <t>ΑΖ132788</t>
  </si>
  <si>
    <t>ΒΟΥΡΔΑ</t>
  </si>
  <si>
    <t>ΑΒ892666</t>
  </si>
  <si>
    <t>ΑΟ536184</t>
  </si>
  <si>
    <t>ΜΟΥΡΘΟΣ</t>
  </si>
  <si>
    <t>ΑΗ876218</t>
  </si>
  <si>
    <t>ΚΟΥΒΟΠΟΥΛΟΥ</t>
  </si>
  <si>
    <t>ΑΕ862016</t>
  </si>
  <si>
    <t>ΑΚ865931</t>
  </si>
  <si>
    <t>ΔΕΡΜΕΝΤΖΗΣ</t>
  </si>
  <si>
    <t>ΑΚ454563</t>
  </si>
  <si>
    <t>ΒΕΝΤΖΑ</t>
  </si>
  <si>
    <t>ΜΑΡΙΑ ΜΑΛΑΜΩ</t>
  </si>
  <si>
    <t>ΑΒ846226</t>
  </si>
  <si>
    <t>ΡΗΓΟΥΤΣΟΥ</t>
  </si>
  <si>
    <t>ΑΕ943204</t>
  </si>
  <si>
    <t>ΑΗ402848</t>
  </si>
  <si>
    <t>ΑΖ457053</t>
  </si>
  <si>
    <t>ΑΝ256007</t>
  </si>
  <si>
    <t>ΑΛΚΙΝΟΗ</t>
  </si>
  <si>
    <t>ΑΕ814484</t>
  </si>
  <si>
    <t>Π258350</t>
  </si>
  <si>
    <t>ΑΙ658684</t>
  </si>
  <si>
    <t>ΑΚ410989</t>
  </si>
  <si>
    <t>ΒΟΥΛΙΜΙΩΤΗΣ</t>
  </si>
  <si>
    <t>Ξ609621</t>
  </si>
  <si>
    <t>ΓΚΟΣΙΟΥ</t>
  </si>
  <si>
    <t>ΑΕ806829</t>
  </si>
  <si>
    <t>Φ462245</t>
  </si>
  <si>
    <t>ΑΗ792570</t>
  </si>
  <si>
    <t>ΗΩ</t>
  </si>
  <si>
    <t>ΑΡΙΣΤΕΙΔΗΣ ΑΝΑΡΓΥΡΟΣ</t>
  </si>
  <si>
    <t>ΑΜ137225</t>
  </si>
  <si>
    <t>ΜΠΑΙΜΠΟΥ</t>
  </si>
  <si>
    <t>Φ097476</t>
  </si>
  <si>
    <t>ΕΦΕΤΖΗ ΓΕΩΡΓΙΑΔΟΥ</t>
  </si>
  <si>
    <t>ΑΙ190322</t>
  </si>
  <si>
    <t>ΑΖ737607</t>
  </si>
  <si>
    <t>ΑΜ962346</t>
  </si>
  <si>
    <t>ΚΕΤΑΝΗΣ</t>
  </si>
  <si>
    <t>Χ845047</t>
  </si>
  <si>
    <t>Χ846191</t>
  </si>
  <si>
    <t>ΠΛΑΤΑΝΟΥ</t>
  </si>
  <si>
    <t>ΑΒ627936</t>
  </si>
  <si>
    <t>ΑΖ294741</t>
  </si>
  <si>
    <t>ΑΜ847145</t>
  </si>
  <si>
    <t>ΤΖΟΥΑΝΟΠΟΥΛΟΥ</t>
  </si>
  <si>
    <t>ΑΖ210549</t>
  </si>
  <si>
    <t>ΣΕΛΗΝΙΔΟΥ</t>
  </si>
  <si>
    <t>ΑΙΜΙΛΙΑ ΑΝΑΣΤΑΣΙΑ</t>
  </si>
  <si>
    <t>ΑΕ006121</t>
  </si>
  <si>
    <t>ΙΟΥΣΤΙΝΑ</t>
  </si>
  <si>
    <t>ΑΖ888797</t>
  </si>
  <si>
    <t>ΓΚΟΥΖΟΥ</t>
  </si>
  <si>
    <t>Χ433866</t>
  </si>
  <si>
    <t>Ρ172377</t>
  </si>
  <si>
    <t>ΣΑΡΗΜΙΧΑΗΛΙΔΗΣ</t>
  </si>
  <si>
    <t>ΑΖ785451</t>
  </si>
  <si>
    <t>ΑΒ734171</t>
  </si>
  <si>
    <t>ΑΖ887578</t>
  </si>
  <si>
    <t>ΚΑΤΡΑΚΗ</t>
  </si>
  <si>
    <t>ΑΜ492178</t>
  </si>
  <si>
    <t>ΜΑΝΤΟΥΚΑ</t>
  </si>
  <si>
    <t>Σ171084</t>
  </si>
  <si>
    <t>ΜΟΥΣΤΑΚΙΔΗΣ</t>
  </si>
  <si>
    <t>ΑΒ460181</t>
  </si>
  <si>
    <t>ΚΑΜΠΥΛΑΥΚΑ</t>
  </si>
  <si>
    <t>ΑΕ253840</t>
  </si>
  <si>
    <t>ΑΖ920492</t>
  </si>
  <si>
    <t>ΔΕΜΕΡΤΖΟΓΛΟΥ</t>
  </si>
  <si>
    <t>Μ881779</t>
  </si>
  <si>
    <t>ΓΑΓΛΙΑΣ</t>
  </si>
  <si>
    <t>ΑΟ021138</t>
  </si>
  <si>
    <t>ΜΥΡΙΔΗ</t>
  </si>
  <si>
    <t>ΑΙ038455</t>
  </si>
  <si>
    <t>ΚΟΥΜΑ</t>
  </si>
  <si>
    <t>ΙΩΑΝΝΑ ΒΙΚΤΩΡΙΑ</t>
  </si>
  <si>
    <t>ΑΙ569672</t>
  </si>
  <si>
    <t>ΚΟΛΛΙΩΤΣΗΣ</t>
  </si>
  <si>
    <t>ΑΝ170837</t>
  </si>
  <si>
    <t>ΤΣΙΑΠΑΝΙΤΗ</t>
  </si>
  <si>
    <t>Π886701</t>
  </si>
  <si>
    <t>ΑΒ078073</t>
  </si>
  <si>
    <t>ΝΟΝΗΣ</t>
  </si>
  <si>
    <t>ΑΜ340921</t>
  </si>
  <si>
    <t>ΔΗΜ</t>
  </si>
  <si>
    <t>Τ143034</t>
  </si>
  <si>
    <t>ΜΑΚΡΗΣ</t>
  </si>
  <si>
    <t>ΑΚ120094</t>
  </si>
  <si>
    <t>ΛΙΒΑΝΑΣ</t>
  </si>
  <si>
    <t>ΑΜ745497</t>
  </si>
  <si>
    <t>ΔΟΥΔΟΥΝΗΣ</t>
  </si>
  <si>
    <t>Χ420191</t>
  </si>
  <si>
    <t>ΑΚ863059</t>
  </si>
  <si>
    <t>ΒΟΛΗΣ</t>
  </si>
  <si>
    <t>Χ555008</t>
  </si>
  <si>
    <t>ΑΒ895121</t>
  </si>
  <si>
    <t>ΑΟ635103</t>
  </si>
  <si>
    <t>Χ702057</t>
  </si>
  <si>
    <t>ΜΟΣΧΟΝΑΣ</t>
  </si>
  <si>
    <t>ΑΙ938204</t>
  </si>
  <si>
    <t>Π058742</t>
  </si>
  <si>
    <t>ΑΗ801989</t>
  </si>
  <si>
    <t>ΑΙ764603</t>
  </si>
  <si>
    <t>ΑΖ791417</t>
  </si>
  <si>
    <t>ΑΙ464794</t>
  </si>
  <si>
    <t>ΑΒ489228</t>
  </si>
  <si>
    <t>ΑΝ904516</t>
  </si>
  <si>
    <t>Χ813866</t>
  </si>
  <si>
    <t>ΑΝ562511</t>
  </si>
  <si>
    <t>ΑΙ954367</t>
  </si>
  <si>
    <t>ΑΙ180381</t>
  </si>
  <si>
    <t>ΑΗ768922</t>
  </si>
  <si>
    <t>ΑΝ3808997</t>
  </si>
  <si>
    <t>ΑΚ306237</t>
  </si>
  <si>
    <t>ΑΡ4745715</t>
  </si>
  <si>
    <t>ΑΝ6367895</t>
  </si>
  <si>
    <t>ΒΒ5496495</t>
  </si>
  <si>
    <t>ΑΒ387815</t>
  </si>
  <si>
    <t>ΑΚ7773375</t>
  </si>
  <si>
    <t>ΑΒ702794</t>
  </si>
  <si>
    <t>ΑΡ087110</t>
  </si>
  <si>
    <t>C4V5Ν189L</t>
  </si>
  <si>
    <t>ΑΕ204522</t>
  </si>
  <si>
    <t>ΑΕ354250</t>
  </si>
  <si>
    <t>ΑΕ340918</t>
  </si>
  <si>
    <t>ΑΒ458741</t>
  </si>
  <si>
    <t>Ρ3517193</t>
  </si>
  <si>
    <t>ΑΡ0253095</t>
  </si>
  <si>
    <t>ΑΖ907015</t>
  </si>
  <si>
    <t>ΑΗ103364</t>
  </si>
  <si>
    <t>ΑΚ324912</t>
  </si>
  <si>
    <t>ΑΝ616206</t>
  </si>
  <si>
    <t>ΑΚ692434</t>
  </si>
  <si>
    <t>Ρ891825</t>
  </si>
  <si>
    <t>ΑΝ429057</t>
  </si>
  <si>
    <t>ΑΗ954346</t>
  </si>
  <si>
    <t>ΑΚ272300</t>
  </si>
  <si>
    <t>ΑΙ151221</t>
  </si>
  <si>
    <t>ΑΒ350633</t>
  </si>
  <si>
    <t>ΑΟ163064</t>
  </si>
  <si>
    <t>Χ005889</t>
  </si>
  <si>
    <t>ΑΙ412891</t>
  </si>
  <si>
    <t>Ρ160645</t>
  </si>
  <si>
    <t>ΑΖ290776</t>
  </si>
  <si>
    <t>ΑΗ696544</t>
  </si>
  <si>
    <t>Χ289088</t>
  </si>
  <si>
    <t>ΑΙ693745</t>
  </si>
  <si>
    <t>Ρ809191</t>
  </si>
  <si>
    <t>ΑΕ765436</t>
  </si>
  <si>
    <t>ΑΒ835196</t>
  </si>
  <si>
    <t>ΑΔΤ</t>
  </si>
  <si>
    <t>ΑΕ370751</t>
  </si>
  <si>
    <t>ΑΖ264194</t>
  </si>
  <si>
    <t>Φ095494</t>
  </si>
  <si>
    <t>Χ267391</t>
  </si>
  <si>
    <t>ΑΑ354105</t>
  </si>
  <si>
    <t>ΑΗ309196</t>
  </si>
  <si>
    <t>ΑΒ770931</t>
  </si>
  <si>
    <t>ΑΗ298449</t>
  </si>
  <si>
    <t>ΑΒ954234</t>
  </si>
  <si>
    <t>ΑΗ191786</t>
  </si>
  <si>
    <t>ΑΗ761333</t>
  </si>
  <si>
    <t>ΑΕ676666</t>
  </si>
  <si>
    <t>ΑΝ321048</t>
  </si>
  <si>
    <t>ΑΖ977425</t>
  </si>
  <si>
    <t>ΑΑ773533</t>
  </si>
  <si>
    <t>Α0438810</t>
  </si>
  <si>
    <t>ΑΝ787657</t>
  </si>
  <si>
    <t>ΑΕ286187</t>
  </si>
  <si>
    <t>ΑΚ674018</t>
  </si>
  <si>
    <t>ΑΜ535875</t>
  </si>
  <si>
    <t>ΑΖ971379</t>
  </si>
  <si>
    <t>ΑΖ232155</t>
  </si>
  <si>
    <t>ΑΕ781322</t>
  </si>
  <si>
    <t>ΑΗ4636661</t>
  </si>
  <si>
    <t>Κ8735</t>
  </si>
  <si>
    <t>ΑΗ925049</t>
  </si>
  <si>
    <t>ΑΙ450711</t>
  </si>
  <si>
    <t>ΑΖ268118</t>
  </si>
  <si>
    <t>ΑΕ723068</t>
  </si>
  <si>
    <t>ΑΕ999910</t>
  </si>
  <si>
    <t>ΑΖ101689</t>
  </si>
  <si>
    <t>ΑΖ421868</t>
  </si>
  <si>
    <t>ΑΗ392265</t>
  </si>
  <si>
    <t>ΑΝ592394</t>
  </si>
  <si>
    <t>ΑΖ480742</t>
  </si>
  <si>
    <t>ΑΗ663687</t>
  </si>
  <si>
    <t>ΑΖ569409</t>
  </si>
  <si>
    <t>ΑΗ350544</t>
  </si>
  <si>
    <t>ΑΗ569689</t>
  </si>
  <si>
    <t>Τ353922</t>
  </si>
  <si>
    <t>ΑΖ395277</t>
  </si>
  <si>
    <t>ΑΑ387648</t>
  </si>
  <si>
    <t>ΑΙ713107</t>
  </si>
  <si>
    <t>ΑΗ763824</t>
  </si>
  <si>
    <t>ΑΒ365906</t>
  </si>
  <si>
    <t>ΑΚ369163</t>
  </si>
  <si>
    <t>ΑΒ421505</t>
  </si>
  <si>
    <t>ΑΜ079183</t>
  </si>
  <si>
    <t>ΑΗ891226</t>
  </si>
  <si>
    <t>ΑΜ952306</t>
  </si>
  <si>
    <t>ΑΙ978830</t>
  </si>
  <si>
    <t>ΑΟ394846</t>
  </si>
  <si>
    <t>ΑΚ398058</t>
  </si>
  <si>
    <t>ΝΕΟ Α/Α</t>
  </si>
  <si>
    <t>Επώνυμο</t>
  </si>
  <si>
    <t>Όνομα</t>
  </si>
  <si>
    <t>Πατρώνυμο</t>
  </si>
  <si>
    <t>Κλάδος Διορισμού</t>
  </si>
  <si>
    <t>Σειρά Πίνακα</t>
  </si>
  <si>
    <t>ΠΛΑΪΝΟΥ</t>
  </si>
  <si>
    <t>ΠΕ02.ΕΑΕ</t>
  </si>
  <si>
    <t>Χ908041</t>
  </si>
  <si>
    <t>ΚΑΪΑΦΑ</t>
  </si>
  <si>
    <t>ΠΕ03.ΕΑΕ</t>
  </si>
  <si>
    <t>ΑΑ314112</t>
  </si>
  <si>
    <t>ΒΟΥΤΗ - ΒΟΥΚΙΑ</t>
  </si>
  <si>
    <t>ΠΕ70.ΕΑΕ</t>
  </si>
  <si>
    <t>ΑΖ272113</t>
  </si>
  <si>
    <t>ΠΑΛΗΟΥ - ΔΑΡΕΙΩΤΗ</t>
  </si>
  <si>
    <t>ΠΕ88.01.ΕΑΕ</t>
  </si>
  <si>
    <t>ΑΙ788628</t>
  </si>
  <si>
    <t>ΚΑΨΑΛΙΔΗΣ</t>
  </si>
  <si>
    <t>ΠΕ89.01.ΕΑΕ</t>
  </si>
  <si>
    <t>ΑΖ130780</t>
  </si>
  <si>
    <t>ΣΑΪΣΑΝΑ</t>
  </si>
  <si>
    <t>ΠΕ30.ΕΑΕ</t>
  </si>
  <si>
    <t>ΒΑΪΑ</t>
  </si>
  <si>
    <t>ΑΒ317078</t>
  </si>
  <si>
    <t>ΤΣΙΓΑΝΗΣ</t>
  </si>
  <si>
    <t>ΑΙ847802</t>
  </si>
  <si>
    <t>ΓΟΥΤΣΙΑΣ</t>
  </si>
  <si>
    <t>ΠΕ08.ΕΑΕ</t>
  </si>
  <si>
    <t>ΑΝ004523</t>
  </si>
  <si>
    <t>ΧΡΥΣΟΓΟΝΙΔΟΥ</t>
  </si>
  <si>
    <t>ΕΥΔΟΞΙΑ - ΧΡΥΣΑΦΕΝΙΑ</t>
  </si>
  <si>
    <t>ΑΝ960895</t>
  </si>
  <si>
    <t>ΑΟ305985</t>
  </si>
  <si>
    <t>ΚΑΡΑΜΕΡΗΣ</t>
  </si>
  <si>
    <t>ΑΟ421077</t>
  </si>
  <si>
    <t>ΑΑ286055</t>
  </si>
  <si>
    <t>ΑΕ457738</t>
  </si>
  <si>
    <t>ΤΖΙΑΝΑΡΑ</t>
  </si>
  <si>
    <t>ΑΖ263443</t>
  </si>
  <si>
    <t>ΔΟΜΟΥΖΗΣ</t>
  </si>
  <si>
    <t>ΑΖ418268</t>
  </si>
  <si>
    <t>ΑΖ724754</t>
  </si>
  <si>
    <t>ΣΟΥΛΗΣ</t>
  </si>
  <si>
    <t>ΑΗ093081</t>
  </si>
  <si>
    <t>ΟΞΥΖΟΓΛΟΥ</t>
  </si>
  <si>
    <t>ΠΕ04.04.ΕΑΕ</t>
  </si>
  <si>
    <t>ΑΗ829246</t>
  </si>
  <si>
    <t>ΤΣΑΠΕΛΗ</t>
  </si>
  <si>
    <t>ΑΚ363012</t>
  </si>
  <si>
    <t>ΟΜΠΑΣΗ</t>
  </si>
  <si>
    <t>ΓΙΖΕΜ</t>
  </si>
  <si>
    <t>ΡΑΪΦ</t>
  </si>
  <si>
    <t>ΑΚ887672</t>
  </si>
  <si>
    <t>ΑΜ992701</t>
  </si>
  <si>
    <t>ΓΡΑΨΙΤΗ</t>
  </si>
  <si>
    <t>ΑΝ066418</t>
  </si>
  <si>
    <t>ΜΙΛΤΩ-ΜΥΡΤΩ</t>
  </si>
  <si>
    <t>ΑΝ244343</t>
  </si>
  <si>
    <t>ΘΕΟΔΟΣΟΠΟΥΛΟΣ</t>
  </si>
  <si>
    <t>ΠΕ04.01.ΕΑΕ</t>
  </si>
  <si>
    <t>ΑΝ866198</t>
  </si>
  <si>
    <t>Τ308856</t>
  </si>
  <si>
    <t>Χ543868</t>
  </si>
  <si>
    <t>ΚΟΜΠΟΛΙΑ</t>
  </si>
  <si>
    <t>ΠΕ01.ΕΑΕ</t>
  </si>
  <si>
    <t>ΑΑ967243</t>
  </si>
  <si>
    <t>ΑΒ444555</t>
  </si>
  <si>
    <t>ΤΣΑΤΣΑΚΗΣ</t>
  </si>
  <si>
    <t>ΑΕ463005</t>
  </si>
  <si>
    <t>ΓΑΛΕΝΙΑΝΟΥ</t>
  </si>
  <si>
    <t>Χ173155</t>
  </si>
  <si>
    <t>ΜΠΕΛΟΓΙΑΝΝΗ</t>
  </si>
  <si>
    <t>ΑΝ979169</t>
  </si>
  <si>
    <t>ΣΟΛΟΜΩΝΙΔΟΥ</t>
  </si>
  <si>
    <t>Τ506042</t>
  </si>
  <si>
    <t>ΑΒ034020</t>
  </si>
  <si>
    <t>ΑΝΔΡΟΝΙΔΗ</t>
  </si>
  <si>
    <t>Χ854064</t>
  </si>
  <si>
    <t>ΑΙ298077</t>
  </si>
  <si>
    <t>Χ925079</t>
  </si>
  <si>
    <t>ΔΡΟΣΙΝΟΥ</t>
  </si>
  <si>
    <t>ΑΚ112632</t>
  </si>
  <si>
    <t>ΑΕ801478</t>
  </si>
  <si>
    <t>ΑΜ429311</t>
  </si>
  <si>
    <t>ΜΙΓΚΟΣ</t>
  </si>
  <si>
    <t>Χ956027</t>
  </si>
  <si>
    <t>ΑΖ778209</t>
  </si>
  <si>
    <t>ΤΣΙΟΥΜΑΝΗ</t>
  </si>
  <si>
    <t>ΑΖ267460</t>
  </si>
  <si>
    <t>ΜΑΡΙΑ-ΙΩΑΝΝΑ</t>
  </si>
  <si>
    <t>Χ564460</t>
  </si>
  <si>
    <t>ΚΑΡΑΣΟΥΛΟΥ</t>
  </si>
  <si>
    <t>ΑΑ374437</t>
  </si>
  <si>
    <t>ΠΑΤΣΙΟΣ</t>
  </si>
  <si>
    <t>ΑΗ296771</t>
  </si>
  <si>
    <t>ΑΒΒΑΝΙΔΟΥ</t>
  </si>
  <si>
    <t>ΑΙ936704</t>
  </si>
  <si>
    <t>ΑΝ310947</t>
  </si>
  <si>
    <t>ΑΗ701150</t>
  </si>
  <si>
    <t>Χ393535</t>
  </si>
  <si>
    <t>ΔΡΑΜΠΙΔΟΥ</t>
  </si>
  <si>
    <t>ΑΑ925103</t>
  </si>
  <si>
    <t>ΡΙΖΑ</t>
  </si>
  <si>
    <t>ΕΛΕΝΗ-ΑΝΝΑ</t>
  </si>
  <si>
    <t>Σ994912</t>
  </si>
  <si>
    <t>ΤΖΙΩΓΑΣ</t>
  </si>
  <si>
    <t>ΑΙ341988</t>
  </si>
  <si>
    <t>ΣΚΟΥΛΑΡΙΚΗ</t>
  </si>
  <si>
    <t>ΚΑΣΣΙΑΝΗ-ΕΙΡΗΝΗ</t>
  </si>
  <si>
    <t>Σ960362</t>
  </si>
  <si>
    <t>ΠΙΠΙΛΗ</t>
  </si>
  <si>
    <t>ΑΕ325964</t>
  </si>
  <si>
    <t>ΖΑΛΩΝΗ</t>
  </si>
  <si>
    <t>ΜΙΓΚΡΑΝ</t>
  </si>
  <si>
    <t>ΑΝ705415</t>
  </si>
  <si>
    <t>ΕΙΡΗΝΙΚΗ</t>
  </si>
  <si>
    <t>ΑΗ854682</t>
  </si>
  <si>
    <t>ΚΗΠΟΥΡΓΟΥ</t>
  </si>
  <si>
    <t>ΑΛΕΞΙΑ-ΜΑΡΘΑ</t>
  </si>
  <si>
    <t>ΑΗ705884</t>
  </si>
  <si>
    <t>ΑΝ487832</t>
  </si>
  <si>
    <t>ΕΥΑΓΓΕΛΙΑ-ΕΙΡΗΝΗ</t>
  </si>
  <si>
    <t>Ρ852077</t>
  </si>
  <si>
    <t>ΣΙΑΠΗΣ</t>
  </si>
  <si>
    <t>Χ281973</t>
  </si>
  <si>
    <t>ΑΟ487949</t>
  </si>
  <si>
    <t>ΑΙ822910</t>
  </si>
  <si>
    <t>ΑΒ835472</t>
  </si>
  <si>
    <t>ΝΙΚΟΚΑΒΟΥΡΑ</t>
  </si>
  <si>
    <t>ΑΙ559273</t>
  </si>
  <si>
    <t>ΑΒ018480</t>
  </si>
  <si>
    <t>ΑΟ926234</t>
  </si>
  <si>
    <t>ΣΠΕΛΕΤΑ</t>
  </si>
  <si>
    <t>ΑΖ811964</t>
  </si>
  <si>
    <t>ΤΑΒΟΥΛΑΡΗ</t>
  </si>
  <si>
    <t>ΑΒ507764</t>
  </si>
  <si>
    <t>Φ200305</t>
  </si>
  <si>
    <t>ΑΗ308728</t>
  </si>
  <si>
    <t>ΦΑΧΑΜ</t>
  </si>
  <si>
    <t>ΑΝ161149</t>
  </si>
  <si>
    <t>ΝΕΟΧΩΡΙΤΗΣ</t>
  </si>
  <si>
    <t>ΑΙ509646</t>
  </si>
  <si>
    <t>ΤΣΙΡΙΓΚΑΣ</t>
  </si>
  <si>
    <t>ΑΟ621455</t>
  </si>
  <si>
    <t>ΓΙΑΝΝΙΤΣΙΩΤΗΣ</t>
  </si>
  <si>
    <t>ΑΖ104921</t>
  </si>
  <si>
    <t>Χ294539</t>
  </si>
  <si>
    <t>ΑΗ617501</t>
  </si>
  <si>
    <t>ΑΖ934357</t>
  </si>
  <si>
    <t>ΑΖ657265</t>
  </si>
  <si>
    <t>ΑΛΕΙΦΕΡΗ</t>
  </si>
  <si>
    <t>ΑΜ049173</t>
  </si>
  <si>
    <t>Χ111504</t>
  </si>
  <si>
    <t>ΑΑ053699</t>
  </si>
  <si>
    <t>ΔΟΥΛΦΗΣ</t>
  </si>
  <si>
    <t>ΑΗ773217</t>
  </si>
  <si>
    <t>ΤΣΙΝΤΖΗ</t>
  </si>
  <si>
    <t>ΕΛΕΝΗ ΠΟΛΥΞΕΝΗ</t>
  </si>
  <si>
    <t>ΑΗ762850</t>
  </si>
  <si>
    <t>ΑΚ111947</t>
  </si>
  <si>
    <t>Χ271514</t>
  </si>
  <si>
    <t>ΑΠΤΑΛΙΔΗΣ</t>
  </si>
  <si>
    <t>ΑΝ913856</t>
  </si>
  <si>
    <t>ΜΑΛΤΖΑΡΗΣ</t>
  </si>
  <si>
    <t>ΑΝ363295</t>
  </si>
  <si>
    <t>ΜΠΑΗ</t>
  </si>
  <si>
    <t>ΑΒ619412</t>
  </si>
  <si>
    <t>ΑΗ486383</t>
  </si>
  <si>
    <t>ΑΝΔΡΙΑΝΗ ΕΙΡΗΝΗ</t>
  </si>
  <si>
    <t>ΓΕΡΑΣΙΜΟΣ ΝΙΚΟΛΑΟΣ</t>
  </si>
  <si>
    <t>Χ672211</t>
  </si>
  <si>
    <t>ΑΜ813351</t>
  </si>
  <si>
    <t>ΑΓΙΑΝΝΙΤΟΥ</t>
  </si>
  <si>
    <t>ΑΚ383729</t>
  </si>
  <si>
    <t>ΑΟ731369</t>
  </si>
  <si>
    <t>Χ616009</t>
  </si>
  <si>
    <t>ΜΑΓΚΟΥΦΗΣ</t>
  </si>
  <si>
    <t>Ξ719804</t>
  </si>
  <si>
    <t>ΑΚ577250</t>
  </si>
  <si>
    <t>ΝΩΤΑ</t>
  </si>
  <si>
    <t>ΑΚ942417</t>
  </si>
  <si>
    <t>ΔΕΛΗΔΗΜΗΤΡΗ</t>
  </si>
  <si>
    <t>Τ799436</t>
  </si>
  <si>
    <t>ΜΠΑΤΖΑΝΗ</t>
  </si>
  <si>
    <t>ΑΟ039219</t>
  </si>
  <si>
    <t>ΛΥΜΑΞΗ</t>
  </si>
  <si>
    <t>ΑΗ985411</t>
  </si>
  <si>
    <t>ΖΙΟΥΛΗΣ</t>
  </si>
  <si>
    <t>ΑΒ838162</t>
  </si>
  <si>
    <t>ΕΥΘΥΜΙΑ-ΒΙΚΤΩΡΙΑ</t>
  </si>
  <si>
    <t>Ξ273818</t>
  </si>
  <si>
    <t>ΑΝ228844</t>
  </si>
  <si>
    <t>ΣΦΕΤΣΙΟΥ</t>
  </si>
  <si>
    <t>ΠΕ04.02.ΕΑΕ</t>
  </si>
  <si>
    <t>ΑΗ284594</t>
  </si>
  <si>
    <t>ΑΙ950258</t>
  </si>
  <si>
    <t>ΑΖ898851</t>
  </si>
  <si>
    <t>ΑΡ417944</t>
  </si>
  <si>
    <t>ΠΕ04.05.ΕΑΕ</t>
  </si>
  <si>
    <t>ΑΝ059452</t>
  </si>
  <si>
    <t>ΦΕΛΕΚΙΔΟΥ</t>
  </si>
  <si>
    <t>ΠΕ06.ΕΑΕ</t>
  </si>
  <si>
    <t>ΑΕ838795</t>
  </si>
  <si>
    <t>ΧΑΡΑΝΤΩΝΗ</t>
  </si>
  <si>
    <t>ΑΟ172373</t>
  </si>
  <si>
    <t>ΑΖ054008</t>
  </si>
  <si>
    <t>ΛΑΣΚΟΣ</t>
  </si>
  <si>
    <t>ΑΗ773960</t>
  </si>
  <si>
    <t>ΒΑΛΛΑ</t>
  </si>
  <si>
    <t>Χ877968</t>
  </si>
  <si>
    <t>ΓΕΩΡΓΙΑ-ΚΑΛΗ</t>
  </si>
  <si>
    <t>ΑΒ417069</t>
  </si>
  <si>
    <t>ΑΙ048077</t>
  </si>
  <si>
    <t>ΜΑΝΟΣ</t>
  </si>
  <si>
    <t>ΑΟ270791</t>
  </si>
  <si>
    <t>ΚΑΡΑΜΕΤΟΥ</t>
  </si>
  <si>
    <t>ΑΗ608591</t>
  </si>
  <si>
    <t>ΑΜ568867</t>
  </si>
  <si>
    <t>ΡΟΜΠΙΕ</t>
  </si>
  <si>
    <t>ΑΚ724643</t>
  </si>
  <si>
    <t>ΠΕ11.ΕΑΕ</t>
  </si>
  <si>
    <t>ΑΗ437674</t>
  </si>
  <si>
    <t>Χ750378</t>
  </si>
  <si>
    <t>ΚΑΡΑΟΥΛΑ</t>
  </si>
  <si>
    <t>ΠΕ60.ΕΑΕ</t>
  </si>
  <si>
    <t>ΑΟ115845</t>
  </si>
  <si>
    <t>ΚΟΥΤΣΑΦΤΗ</t>
  </si>
  <si>
    <t>ΑΗ482848</t>
  </si>
  <si>
    <t>ΚΟΥΡΕΝΤΑ</t>
  </si>
  <si>
    <t>ΑΕ796096</t>
  </si>
  <si>
    <t>ΠΑΤΑ</t>
  </si>
  <si>
    <t>ΑΖ774654</t>
  </si>
  <si>
    <t>Χ866262</t>
  </si>
  <si>
    <t>ΤΣΑΛΑΠΑΤΑΝΗ</t>
  </si>
  <si>
    <t>ΑΚ796730</t>
  </si>
  <si>
    <t>ΑΟ644361</t>
  </si>
  <si>
    <t>ΑΚ509829</t>
  </si>
  <si>
    <t>ΑΚ306083</t>
  </si>
  <si>
    <t>ΜΑΡΙΑ ΟΡΣΑΛΙΑ</t>
  </si>
  <si>
    <t>ΑΒ082967</t>
  </si>
  <si>
    <t>ΚΟΥΡΟΥΜΛΙΔΟΥ</t>
  </si>
  <si>
    <t>ΧΡΙΣΤΙΝΑ ΚΑΛΛΙΟΠΗ</t>
  </si>
  <si>
    <t>ΑΑ364485</t>
  </si>
  <si>
    <t>ΑΝ254649</t>
  </si>
  <si>
    <t>ΑΝ629074</t>
  </si>
  <si>
    <t>Α0340812</t>
  </si>
  <si>
    <t>ΑΝ539508</t>
  </si>
  <si>
    <t>ΚΑΜΗΛΑΛΗ</t>
  </si>
  <si>
    <t>ΜΑΡΙΑ-ΑΓΑΠΗ</t>
  </si>
  <si>
    <t>ΑΗ849495</t>
  </si>
  <si>
    <t>Φ143400</t>
  </si>
  <si>
    <t>Χ889559</t>
  </si>
  <si>
    <t>ΑΜ931576</t>
  </si>
  <si>
    <t>ΑΜ371713</t>
  </si>
  <si>
    <t>ΚΡΙΚΕΤΟΥ</t>
  </si>
  <si>
    <t>ΑΑ769515</t>
  </si>
  <si>
    <t>ΑΑ727735</t>
  </si>
  <si>
    <t>ΑΙ179694</t>
  </si>
  <si>
    <t>ΠΟΡΦΥΡΙΔΗΣ</t>
  </si>
  <si>
    <t>ΑΖ183269</t>
  </si>
  <si>
    <t>Χ926468</t>
  </si>
  <si>
    <t>ΑΑ491809</t>
  </si>
  <si>
    <t>ΑΑ407329</t>
  </si>
  <si>
    <t>ΦΑΝΑΡΙΩΤΟΥ</t>
  </si>
  <si>
    <t>Χ268874</t>
  </si>
  <si>
    <t>ΠΟΡΦΥΡΙΔΟΥ</t>
  </si>
  <si>
    <t>ΑΜ705427</t>
  </si>
  <si>
    <t>ΧΑΝΤΖΑΡΗ</t>
  </si>
  <si>
    <t>ΧΡΙΣΤΙΝΑ-ΕΡΙΣΑ</t>
  </si>
  <si>
    <t>ΑΡ341879</t>
  </si>
  <si>
    <t>ΑΕ372908</t>
  </si>
  <si>
    <t>Χ926640</t>
  </si>
  <si>
    <t>ΜΕΣΙΔΟΥ</t>
  </si>
  <si>
    <t>ΑΟ402106</t>
  </si>
  <si>
    <t>ΑΒ512252</t>
  </si>
  <si>
    <t>ΑΝ740034</t>
  </si>
  <si>
    <t>ΑΙ315102</t>
  </si>
  <si>
    <t>ΚΙΛΙΝΤΑΡΗ</t>
  </si>
  <si>
    <t>ΑΝ556262</t>
  </si>
  <si>
    <t>Χ449239</t>
  </si>
  <si>
    <t>ΧΑΤΖΗΗΛΙΑΔΗΣ</t>
  </si>
  <si>
    <t>ΑΑ029647</t>
  </si>
  <si>
    <t>ΑΙ901085</t>
  </si>
  <si>
    <t>ΑΙ435054</t>
  </si>
  <si>
    <t>ΔΡΑΓΑΤΟΓΙΑΝΝΗ</t>
  </si>
  <si>
    <t>ΑΑ429473</t>
  </si>
  <si>
    <t>ΑΑ978981</t>
  </si>
  <si>
    <t>ΡΙΓΓΑ</t>
  </si>
  <si>
    <t>ΑΒ824017</t>
  </si>
  <si>
    <t>ΑΕ312287</t>
  </si>
  <si>
    <t>ΑΝ975370</t>
  </si>
  <si>
    <t>ΙΩΣΗΦΙΔΗΣ</t>
  </si>
  <si>
    <t>ΑΖ855902</t>
  </si>
  <si>
    <t>ΜΥΡΚΟΣ</t>
  </si>
  <si>
    <t>ΑΟ492752</t>
  </si>
  <si>
    <t>ΑΜ844148</t>
  </si>
  <si>
    <t>ΓΕΡΟΝΙΚΟΥ</t>
  </si>
  <si>
    <t>ΑΑ978995</t>
  </si>
  <si>
    <t>ΑΕ198218</t>
  </si>
  <si>
    <t>ΑΖ806767</t>
  </si>
  <si>
    <t>ΑΒ142718</t>
  </si>
  <si>
    <t>ΚΑΒΡΑΚΗ</t>
  </si>
  <si>
    <t>ΑΚ267028</t>
  </si>
  <si>
    <t>ΑΖ493097</t>
  </si>
  <si>
    <t>ΜΑΡΚΑ</t>
  </si>
  <si>
    <t>ΑΗ276315</t>
  </si>
  <si>
    <t>ΖΔΡΑΛΗ</t>
  </si>
  <si>
    <t>ΑΝ925534</t>
  </si>
  <si>
    <t>ΑΡΑΜΠΑΣ</t>
  </si>
  <si>
    <t>ΑΖ849897</t>
  </si>
  <si>
    <t>ΚΑΤΣΙΑΦΟΥΡΟΥ</t>
  </si>
  <si>
    <t>ΑΒ801955</t>
  </si>
  <si>
    <t>ΑΜ748693</t>
  </si>
  <si>
    <t>ΤΖΕΛΟΥ</t>
  </si>
  <si>
    <t>ΑΟ693279</t>
  </si>
  <si>
    <t>ΑΕ836144</t>
  </si>
  <si>
    <t>ΑΕ652815</t>
  </si>
  <si>
    <t>ΚΑΒΑΛΕΡΟΥ</t>
  </si>
  <si>
    <t>ΒΛΑΣΗΣ</t>
  </si>
  <si>
    <t>ΑΜ931671</t>
  </si>
  <si>
    <t>ΑΚ918916</t>
  </si>
  <si>
    <t>ΑΗ296028</t>
  </si>
  <si>
    <t>ΚΙΑΤΟΥ</t>
  </si>
  <si>
    <t>ΑΖ588596</t>
  </si>
  <si>
    <t>ΑΖ359696</t>
  </si>
  <si>
    <t>ΑΑ976560</t>
  </si>
  <si>
    <t>ΑΟ278156</t>
  </si>
  <si>
    <t>ΑΡ059304</t>
  </si>
  <si>
    <t>ΑΕ352445</t>
  </si>
  <si>
    <t>ΤΑΝΤΖΟΠΟΥΛΟΥ</t>
  </si>
  <si>
    <t>ΑΜ280879</t>
  </si>
  <si>
    <t>ΠΙΤΣΙΚΑΚΗ</t>
  </si>
  <si>
    <t>ΑΕ960921</t>
  </si>
  <si>
    <t>ΝΙΚΟΛΕΤΑ ΜΑΡΙΑ</t>
  </si>
  <si>
    <t>ΑΕ644486</t>
  </si>
  <si>
    <t>ΣΙΑΡΚΟΥ</t>
  </si>
  <si>
    <t>ΠΕ78.ΕΑΕ</t>
  </si>
  <si>
    <t>Φ321271</t>
  </si>
  <si>
    <t>ΣΚΑΡΛΗ</t>
  </si>
  <si>
    <t>ΑΗ989246</t>
  </si>
  <si>
    <t>ΑΚ133987</t>
  </si>
  <si>
    <t>ΑΖ652759</t>
  </si>
  <si>
    <t>ΠΕ79.01.ΕΑΕ</t>
  </si>
  <si>
    <t>ΑΝ188726</t>
  </si>
  <si>
    <t>ΤΣΙΩΠΟΥ</t>
  </si>
  <si>
    <t>ΑΟ278047</t>
  </si>
  <si>
    <t>ΚΛΑΥΔΙΑΝΟΥ</t>
  </si>
  <si>
    <t>ΠΕ80.ΕΑΕ</t>
  </si>
  <si>
    <t>ΑΜ713068</t>
  </si>
  <si>
    <t>ΓΑΒΑΝΑΣ</t>
  </si>
  <si>
    <t>Χ742618</t>
  </si>
  <si>
    <t>ΤΣΑΒΑΛΙΑΣ</t>
  </si>
  <si>
    <t>ΑΟ815581</t>
  </si>
  <si>
    <t>Τ826334</t>
  </si>
  <si>
    <t>ΚΟΡΚΑ</t>
  </si>
  <si>
    <t>ΑΕ318408</t>
  </si>
  <si>
    <t>Ρ390914</t>
  </si>
  <si>
    <t>ΚΛΑΔΑΚΗ</t>
  </si>
  <si>
    <t>ΠΕ81.ΕΑΕ</t>
  </si>
  <si>
    <t>Χ205916</t>
  </si>
  <si>
    <t>ΠΕ82.ΕΑΕ</t>
  </si>
  <si>
    <t>ΑΒ125684</t>
  </si>
  <si>
    <t>ΜΟΡΙΑΝΟΣ</t>
  </si>
  <si>
    <t>ΠΕ84.ΕΑΕ</t>
  </si>
  <si>
    <t>Φ119428</t>
  </si>
  <si>
    <t>ΚΟΚΙΔΗΣ</t>
  </si>
  <si>
    <t>ΖΩΓΡΑΦΟΣ</t>
  </si>
  <si>
    <t>ΠΕ85.ΕΑΕ</t>
  </si>
  <si>
    <t>ΑΗ865065</t>
  </si>
  <si>
    <t>ΦΛΕΣΣΑΣ</t>
  </si>
  <si>
    <t>ΠΕ86.ΕΑΕ</t>
  </si>
  <si>
    <t>ΑΕ257980</t>
  </si>
  <si>
    <t>ΑΖ866390</t>
  </si>
  <si>
    <t>Τ315156</t>
  </si>
  <si>
    <t>ΓΟΥΝΑΡΗΣ</t>
  </si>
  <si>
    <t>ΑΗ983825</t>
  </si>
  <si>
    <t>ΣΠΥΡΕΛΗ</t>
  </si>
  <si>
    <t>ΑΒ554034</t>
  </si>
  <si>
    <t>ΑΑ439323</t>
  </si>
  <si>
    <t>ΠΕ87.03.ΕΑΕ</t>
  </si>
  <si>
    <t>ΑΙ395491</t>
  </si>
  <si>
    <t>ΠΕ87.06.ΕΑΕ</t>
  </si>
  <si>
    <t>ΠΕ87.08.ΕΑΕ</t>
  </si>
  <si>
    <t>ΠΕ87.09.ΕΑΕ</t>
  </si>
  <si>
    <t>ΑΒ157199</t>
  </si>
  <si>
    <t>Χ926525</t>
  </si>
  <si>
    <t>ΚΑΡΓΙΩΤΟΥ</t>
  </si>
  <si>
    <t>ΑΚ303517</t>
  </si>
  <si>
    <t>ΠΑΠΑΜΙΧΑΛΟΠΟΥΛΟΣ</t>
  </si>
  <si>
    <t>ΑΟ841507</t>
  </si>
  <si>
    <t>ΑΟ417911</t>
  </si>
  <si>
    <t>Χ446476</t>
  </si>
  <si>
    <t>ΚΛΑΔΑΣ</t>
  </si>
  <si>
    <t>ΑΝ899331</t>
  </si>
  <si>
    <t>ΚΑΨΟΡΑΧΗ</t>
  </si>
  <si>
    <t>ΠΕ88.02.ΕΑΕ</t>
  </si>
  <si>
    <t>Σ841018</t>
  </si>
  <si>
    <t>ΑΖ024164</t>
  </si>
  <si>
    <t>ΛΙΛΙΟΠΟΥΛΟΥ</t>
  </si>
  <si>
    <t>ΑΖ823077</t>
  </si>
  <si>
    <t>ΑΛΩΝΕΥΤΗ</t>
  </si>
  <si>
    <t>ΑΜ822816</t>
  </si>
  <si>
    <t>ΑΟ409286</t>
  </si>
  <si>
    <t>ΚΑΡΑΜΙΧΑΗΛ</t>
  </si>
  <si>
    <t>ΠΕ88.03.ΕΑΕ</t>
  </si>
  <si>
    <t>ΑΚ908844</t>
  </si>
  <si>
    <t>ΤΥΜΠΑΣ</t>
  </si>
  <si>
    <t>ΠΕ88.04.ΕΑΕ</t>
  </si>
  <si>
    <t>Ρ606900</t>
  </si>
  <si>
    <t>ΚΑΛΛΙΑΡΔΟΥ</t>
  </si>
  <si>
    <t>Χ909418</t>
  </si>
  <si>
    <t>ΓΙΑΓΤΖΙΔΟΥ</t>
  </si>
  <si>
    <t>Ρ822290</t>
  </si>
  <si>
    <t>ΑΗ822692</t>
  </si>
  <si>
    <t>Χ854254</t>
  </si>
  <si>
    <t>ΓΚΟΥΛΟΥΝΗΣ</t>
  </si>
  <si>
    <t>ΠΕ88.05.ΕΑΕ</t>
  </si>
  <si>
    <t>Χ408644</t>
  </si>
  <si>
    <t>ΑΜ527888</t>
  </si>
  <si>
    <t>ΑΗ264850</t>
  </si>
  <si>
    <t>ΜΠΟΤΩΝΗΣ</t>
  </si>
  <si>
    <t>ΑΒ419429</t>
  </si>
  <si>
    <t>ΑΝ251665</t>
  </si>
  <si>
    <t>ΠΕ89.02.ΕΑΕ</t>
  </si>
  <si>
    <t>ΑΙ551179</t>
  </si>
  <si>
    <t>ΦΟΥΡΤΟΥΝΗ</t>
  </si>
  <si>
    <t>ΠΕ91.01.ΕΑΕ</t>
  </si>
  <si>
    <t>Σ391394</t>
  </si>
  <si>
    <t>ΤΕ01.19.ΕΑΕ</t>
  </si>
  <si>
    <t>ΠΕ23.ΕΑΕ</t>
  </si>
  <si>
    <t>ΘΕΟΛΟΓΟΣ - ΓΕΩΡΓΙΟΣ</t>
  </si>
  <si>
    <t>ΤΣΑΜΠΙΚΑ-ΕΙΡΗΝΗ-ΧΡΥΣΟΒΑΛΑΝΤΗ</t>
  </si>
  <si>
    <t>ΜΑΡΙΑ-ΘΕΟΔΩΡΑ</t>
  </si>
  <si>
    <t>ΚΩΝΣΤΑΝΤΙΝΟΣ ΔΗΜΗΤΡΙ</t>
  </si>
  <si>
    <t>ΑΘΑΝΑΣΙΑ - ΜΑΡΓΩΤΗ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</si>
</sst>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sz val="11"/>
      <color theme="1"/>
      <name val="Calibri"/>
      <scheme val="minor"/>
    </font>
    <font>
      <b/>
      <sz val="11"/>
      <color theme="1"/>
      <name val="Calibri"/>
      <family val="2"/>
      <charset val="161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71FFF"/>
        <bgColor indexed="64"/>
      </patternFill>
    </fill>
    <fill>
      <patternFill patternType="solid">
        <fgColor rgb="FFF5B800"/>
        <bgColor indexed="64"/>
      </patternFill>
    </fill>
    <fill>
      <patternFill patternType="solid">
        <fgColor rgb="FF00DBD6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7" fillId="0" borderId="0"/>
  </cellStyleXfs>
  <cellXfs count="23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4" applyFont="1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1" fillId="0" borderId="1" xfId="4" applyFont="1" applyBorder="1"/>
    <xf numFmtId="0" fontId="1" fillId="0" borderId="1" xfId="4" applyFont="1" applyBorder="1" applyAlignment="1">
      <alignment horizontal="center"/>
    </xf>
    <xf numFmtId="0" fontId="3" fillId="0" borderId="0" xfId="4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5" borderId="1" xfId="4" applyFont="1" applyFill="1" applyBorder="1"/>
    <xf numFmtId="0" fontId="1" fillId="5" borderId="1" xfId="4" applyFont="1" applyFill="1" applyBorder="1" applyAlignment="1">
      <alignment horizontal="center"/>
    </xf>
    <xf numFmtId="0" fontId="0" fillId="5" borderId="0" xfId="0" applyFill="1"/>
    <xf numFmtId="0" fontId="3" fillId="5" borderId="0" xfId="4" applyFill="1"/>
    <xf numFmtId="0" fontId="1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horizontal="center" wrapText="1"/>
    </xf>
    <xf numFmtId="0" fontId="1" fillId="0" borderId="0" xfId="4" applyFont="1"/>
    <xf numFmtId="0" fontId="1" fillId="0" borderId="0" xfId="4" applyFont="1" applyAlignment="1">
      <alignment horizontal="center"/>
    </xf>
  </cellXfs>
  <cellStyles count="14">
    <cellStyle name="Κανονικό" xfId="0" builtinId="0"/>
    <cellStyle name="Κανονικό 2" xfId="1" xr:uid="{00000000-0005-0000-0000-000001000000}"/>
    <cellStyle name="Κανονικό 2 2" xfId="5" xr:uid="{00000000-0005-0000-0000-000002000000}"/>
    <cellStyle name="Κανονικό 2 2 2" xfId="9" xr:uid="{00000000-0005-0000-0000-000003000000}"/>
    <cellStyle name="Κανονικό 2 2 3" xfId="13" xr:uid="{00000000-0005-0000-0000-000004000000}"/>
    <cellStyle name="Κανονικό 2 3" xfId="11" xr:uid="{00000000-0005-0000-0000-000005000000}"/>
    <cellStyle name="Κανονικό 3" xfId="2" xr:uid="{00000000-0005-0000-0000-000006000000}"/>
    <cellStyle name="Κανονικό 4" xfId="4" xr:uid="{00000000-0005-0000-0000-000007000000}"/>
    <cellStyle name="Κανονικό 5" xfId="8" xr:uid="{00000000-0005-0000-0000-000008000000}"/>
    <cellStyle name="Κανονικό 5 2" xfId="10" xr:uid="{00000000-0005-0000-0000-000009000000}"/>
    <cellStyle name="Κανονικό 6" xfId="3" xr:uid="{00000000-0005-0000-0000-00000A000000}"/>
    <cellStyle name="Κανονικό 7" xfId="7" xr:uid="{00000000-0005-0000-0000-00000B000000}"/>
    <cellStyle name="Κανονικό 8" xfId="6" xr:uid="{00000000-0005-0000-0000-00000C000000}"/>
    <cellStyle name="Κανονικό 9" xfId="12" xr:uid="{00000000-0005-0000-0000-00000D000000}"/>
  </cellStyles>
  <dxfs count="0"/>
  <tableStyles count="0" defaultTableStyle="TableStyleMedium2" defaultPivotStyle="PivotStyleLight16"/>
  <colors>
    <mruColors>
      <color rgb="FFC71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Φύλλο2"/>
  <dimension ref="A1:F401"/>
  <sheetViews>
    <sheetView workbookViewId="0">
      <pane ySplit="1" topLeftCell="A269" activePane="bottomLeft" state="frozen"/>
      <selection pane="bottomLeft" activeCell="F289" sqref="F289"/>
    </sheetView>
  </sheetViews>
  <sheetFormatPr defaultColWidth="9.109375" defaultRowHeight="14.4" x14ac:dyDescent="0.3"/>
  <cols>
    <col min="1" max="1" width="21.44140625" style="21" bestFit="1" customWidth="1"/>
    <col min="2" max="2" width="21.88671875" style="21" bestFit="1" customWidth="1"/>
    <col min="3" max="3" width="21.44140625" style="21" bestFit="1" customWidth="1"/>
    <col min="4" max="4" width="14.88671875" style="22" bestFit="1" customWidth="1"/>
    <col min="5" max="5" width="12" style="22" bestFit="1" customWidth="1"/>
    <col min="6" max="16384" width="9.109375" style="12"/>
  </cols>
  <sheetData>
    <row r="1" spans="1:6" s="9" customFormat="1" ht="28.8" x14ac:dyDescent="0.3">
      <c r="A1" s="8" t="s">
        <v>32095</v>
      </c>
      <c r="B1" s="8" t="s">
        <v>32096</v>
      </c>
      <c r="C1" s="8" t="s">
        <v>32097</v>
      </c>
      <c r="D1" s="8" t="s">
        <v>32098</v>
      </c>
      <c r="E1" s="8" t="s">
        <v>32099</v>
      </c>
    </row>
    <row r="2" spans="1:6" x14ac:dyDescent="0.3">
      <c r="A2" s="10" t="s">
        <v>32100</v>
      </c>
      <c r="B2" s="10" t="s">
        <v>166</v>
      </c>
      <c r="C2" s="10" t="s">
        <v>30</v>
      </c>
      <c r="D2" s="11" t="s">
        <v>32101</v>
      </c>
      <c r="E2" s="11">
        <v>218</v>
      </c>
      <c r="F2" t="s">
        <v>32102</v>
      </c>
    </row>
    <row r="3" spans="1:6" x14ac:dyDescent="0.3">
      <c r="A3" s="10" t="s">
        <v>32103</v>
      </c>
      <c r="B3" s="10" t="s">
        <v>100</v>
      </c>
      <c r="C3" s="10" t="s">
        <v>124</v>
      </c>
      <c r="D3" s="11" t="s">
        <v>32104</v>
      </c>
      <c r="E3" s="11">
        <v>136</v>
      </c>
      <c r="F3" t="s">
        <v>32105</v>
      </c>
    </row>
    <row r="4" spans="1:6" x14ac:dyDescent="0.3">
      <c r="A4" s="10" t="s">
        <v>32106</v>
      </c>
      <c r="B4" s="10" t="s">
        <v>26</v>
      </c>
      <c r="C4" s="10" t="s">
        <v>158</v>
      </c>
      <c r="D4" s="11" t="s">
        <v>32107</v>
      </c>
      <c r="E4" s="11">
        <v>211</v>
      </c>
      <c r="F4" t="s">
        <v>32108</v>
      </c>
    </row>
    <row r="5" spans="1:6" x14ac:dyDescent="0.3">
      <c r="A5" s="10" t="s">
        <v>32109</v>
      </c>
      <c r="B5" s="10" t="s">
        <v>29</v>
      </c>
      <c r="C5" s="10" t="s">
        <v>55</v>
      </c>
      <c r="D5" s="11" t="s">
        <v>32110</v>
      </c>
      <c r="E5" s="11">
        <v>27</v>
      </c>
      <c r="F5" t="s">
        <v>32111</v>
      </c>
    </row>
    <row r="6" spans="1:6" x14ac:dyDescent="0.3">
      <c r="A6" s="10" t="s">
        <v>32112</v>
      </c>
      <c r="B6" s="10" t="s">
        <v>1076</v>
      </c>
      <c r="C6" s="10" t="s">
        <v>375</v>
      </c>
      <c r="D6" s="11" t="s">
        <v>32113</v>
      </c>
      <c r="E6" s="11">
        <v>1</v>
      </c>
      <c r="F6" t="s">
        <v>32114</v>
      </c>
    </row>
    <row r="7" spans="1:6" x14ac:dyDescent="0.3">
      <c r="A7" s="13" t="s">
        <v>32115</v>
      </c>
      <c r="B7" s="13" t="s">
        <v>54</v>
      </c>
      <c r="C7" s="13" t="s">
        <v>117</v>
      </c>
      <c r="D7" s="14" t="s">
        <v>32116</v>
      </c>
      <c r="E7" s="14">
        <v>121</v>
      </c>
      <c r="F7" t="s">
        <v>26838</v>
      </c>
    </row>
    <row r="8" spans="1:6" x14ac:dyDescent="0.3">
      <c r="A8" s="15" t="s">
        <v>2236</v>
      </c>
      <c r="B8" s="15" t="s">
        <v>32117</v>
      </c>
      <c r="C8" s="15" t="s">
        <v>68</v>
      </c>
      <c r="D8" s="16" t="s">
        <v>32107</v>
      </c>
      <c r="E8" s="16">
        <v>383</v>
      </c>
      <c r="F8" s="17" t="s">
        <v>32118</v>
      </c>
    </row>
    <row r="9" spans="1:6" x14ac:dyDescent="0.3">
      <c r="A9" s="15" t="s">
        <v>32119</v>
      </c>
      <c r="B9" s="15" t="s">
        <v>20</v>
      </c>
      <c r="C9" s="15" t="s">
        <v>68</v>
      </c>
      <c r="D9" s="16" t="s">
        <v>32104</v>
      </c>
      <c r="E9" s="16">
        <v>77</v>
      </c>
      <c r="F9" s="17" t="s">
        <v>32120</v>
      </c>
    </row>
    <row r="10" spans="1:6" x14ac:dyDescent="0.3">
      <c r="A10" s="15" t="s">
        <v>32121</v>
      </c>
      <c r="B10" s="15" t="s">
        <v>20</v>
      </c>
      <c r="C10" s="15" t="s">
        <v>124</v>
      </c>
      <c r="D10" s="16" t="s">
        <v>32122</v>
      </c>
      <c r="E10" s="16">
        <v>1</v>
      </c>
      <c r="F10" s="17" t="s">
        <v>32123</v>
      </c>
    </row>
    <row r="11" spans="1:6" x14ac:dyDescent="0.3">
      <c r="A11" s="15" t="s">
        <v>32124</v>
      </c>
      <c r="B11" s="15" t="s">
        <v>32125</v>
      </c>
      <c r="C11" s="15" t="s">
        <v>20</v>
      </c>
      <c r="D11" s="16" t="s">
        <v>32107</v>
      </c>
      <c r="E11" s="16">
        <v>317</v>
      </c>
      <c r="F11" s="17" t="s">
        <v>32126</v>
      </c>
    </row>
    <row r="12" spans="1:6" x14ac:dyDescent="0.3">
      <c r="A12" s="15" t="s">
        <v>8681</v>
      </c>
      <c r="B12" s="15" t="s">
        <v>22</v>
      </c>
      <c r="C12" s="15" t="s">
        <v>892</v>
      </c>
      <c r="D12" s="16" t="s">
        <v>32101</v>
      </c>
      <c r="E12" s="16">
        <v>138</v>
      </c>
      <c r="F12" s="17" t="s">
        <v>32127</v>
      </c>
    </row>
    <row r="13" spans="1:6" x14ac:dyDescent="0.3">
      <c r="A13" s="15" t="s">
        <v>32128</v>
      </c>
      <c r="B13" s="15" t="s">
        <v>20</v>
      </c>
      <c r="C13" s="15" t="s">
        <v>17</v>
      </c>
      <c r="D13" s="16" t="s">
        <v>32104</v>
      </c>
      <c r="E13" s="16">
        <v>15</v>
      </c>
      <c r="F13" s="17" t="s">
        <v>32129</v>
      </c>
    </row>
    <row r="14" spans="1:6" x14ac:dyDescent="0.3">
      <c r="A14" s="15" t="s">
        <v>7382</v>
      </c>
      <c r="B14" s="15" t="s">
        <v>178</v>
      </c>
      <c r="C14" s="15" t="s">
        <v>20</v>
      </c>
      <c r="D14" s="16" t="s">
        <v>32104</v>
      </c>
      <c r="E14" s="16">
        <v>85</v>
      </c>
      <c r="F14" s="18" t="s">
        <v>32130</v>
      </c>
    </row>
    <row r="15" spans="1:6" x14ac:dyDescent="0.3">
      <c r="A15" s="15" t="s">
        <v>18793</v>
      </c>
      <c r="B15" s="15" t="s">
        <v>37</v>
      </c>
      <c r="C15" s="15" t="s">
        <v>20</v>
      </c>
      <c r="D15" s="16" t="s">
        <v>32104</v>
      </c>
      <c r="E15" s="16">
        <v>158</v>
      </c>
      <c r="F15" s="18" t="s">
        <v>32131</v>
      </c>
    </row>
    <row r="16" spans="1:6" x14ac:dyDescent="0.3">
      <c r="A16" s="15" t="s">
        <v>32132</v>
      </c>
      <c r="B16" s="15" t="s">
        <v>789</v>
      </c>
      <c r="C16" s="15" t="s">
        <v>20</v>
      </c>
      <c r="D16" s="16" t="s">
        <v>32101</v>
      </c>
      <c r="E16" s="16">
        <v>207</v>
      </c>
      <c r="F16" s="18" t="s">
        <v>32133</v>
      </c>
    </row>
    <row r="17" spans="1:6" x14ac:dyDescent="0.3">
      <c r="A17" s="15" t="s">
        <v>32134</v>
      </c>
      <c r="B17" s="15" t="s">
        <v>79</v>
      </c>
      <c r="C17" s="15" t="s">
        <v>20</v>
      </c>
      <c r="D17" s="16" t="s">
        <v>32101</v>
      </c>
      <c r="E17" s="16">
        <v>183</v>
      </c>
      <c r="F17" s="18" t="s">
        <v>32135</v>
      </c>
    </row>
    <row r="18" spans="1:6" x14ac:dyDescent="0.3">
      <c r="A18" s="15" t="s">
        <v>3002</v>
      </c>
      <c r="B18" s="15" t="s">
        <v>188</v>
      </c>
      <c r="C18" s="15" t="s">
        <v>20</v>
      </c>
      <c r="D18" s="16" t="s">
        <v>32122</v>
      </c>
      <c r="E18" s="16">
        <v>14</v>
      </c>
      <c r="F18" s="18" t="s">
        <v>32136</v>
      </c>
    </row>
    <row r="19" spans="1:6" x14ac:dyDescent="0.3">
      <c r="A19" s="15" t="s">
        <v>32137</v>
      </c>
      <c r="B19" s="15" t="s">
        <v>30</v>
      </c>
      <c r="C19" s="15" t="s">
        <v>20</v>
      </c>
      <c r="D19" s="16" t="s">
        <v>32122</v>
      </c>
      <c r="E19" s="16">
        <v>7</v>
      </c>
      <c r="F19" s="18" t="s">
        <v>32138</v>
      </c>
    </row>
    <row r="20" spans="1:6" x14ac:dyDescent="0.3">
      <c r="A20" s="15" t="s">
        <v>32139</v>
      </c>
      <c r="B20" s="15" t="s">
        <v>29</v>
      </c>
      <c r="C20" s="15" t="s">
        <v>20</v>
      </c>
      <c r="D20" s="16" t="s">
        <v>32140</v>
      </c>
      <c r="E20" s="16">
        <v>23</v>
      </c>
      <c r="F20" s="18" t="s">
        <v>32141</v>
      </c>
    </row>
    <row r="21" spans="1:6" x14ac:dyDescent="0.3">
      <c r="A21" s="15" t="s">
        <v>32142</v>
      </c>
      <c r="B21" s="15" t="s">
        <v>149</v>
      </c>
      <c r="C21" s="15" t="s">
        <v>20</v>
      </c>
      <c r="D21" s="16" t="s">
        <v>32104</v>
      </c>
      <c r="E21" s="16">
        <v>53</v>
      </c>
      <c r="F21" s="18" t="s">
        <v>32143</v>
      </c>
    </row>
    <row r="22" spans="1:6" x14ac:dyDescent="0.3">
      <c r="A22" s="15" t="s">
        <v>32144</v>
      </c>
      <c r="B22" s="15" t="s">
        <v>32145</v>
      </c>
      <c r="C22" s="15" t="s">
        <v>32146</v>
      </c>
      <c r="D22" s="16" t="s">
        <v>32107</v>
      </c>
      <c r="E22" s="16">
        <v>67</v>
      </c>
      <c r="F22" s="18" t="s">
        <v>32147</v>
      </c>
    </row>
    <row r="23" spans="1:6" x14ac:dyDescent="0.3">
      <c r="A23" s="15" t="s">
        <v>3035</v>
      </c>
      <c r="B23" s="15" t="s">
        <v>41</v>
      </c>
      <c r="C23" s="15" t="s">
        <v>20</v>
      </c>
      <c r="D23" s="16" t="s">
        <v>32104</v>
      </c>
      <c r="E23" s="16">
        <v>147</v>
      </c>
      <c r="F23" s="18" t="s">
        <v>32148</v>
      </c>
    </row>
    <row r="24" spans="1:6" x14ac:dyDescent="0.3">
      <c r="A24" s="15" t="s">
        <v>32149</v>
      </c>
      <c r="B24" s="15" t="s">
        <v>789</v>
      </c>
      <c r="C24" s="15" t="s">
        <v>20</v>
      </c>
      <c r="D24" s="16" t="s">
        <v>32104</v>
      </c>
      <c r="E24" s="16">
        <v>120</v>
      </c>
      <c r="F24" s="18" t="s">
        <v>32150</v>
      </c>
    </row>
    <row r="25" spans="1:6" x14ac:dyDescent="0.3">
      <c r="A25" s="15" t="s">
        <v>5394</v>
      </c>
      <c r="B25" s="15" t="s">
        <v>32151</v>
      </c>
      <c r="C25" s="15" t="s">
        <v>20</v>
      </c>
      <c r="D25" s="16" t="s">
        <v>32104</v>
      </c>
      <c r="E25" s="16">
        <v>169</v>
      </c>
      <c r="F25" s="18" t="s">
        <v>32152</v>
      </c>
    </row>
    <row r="26" spans="1:6" x14ac:dyDescent="0.3">
      <c r="A26" s="15" t="s">
        <v>32153</v>
      </c>
      <c r="B26" s="15" t="s">
        <v>5060</v>
      </c>
      <c r="C26" s="15" t="s">
        <v>20</v>
      </c>
      <c r="D26" s="16" t="s">
        <v>32154</v>
      </c>
      <c r="E26" s="16">
        <v>62</v>
      </c>
      <c r="F26" s="18" t="s">
        <v>32155</v>
      </c>
    </row>
    <row r="27" spans="1:6" x14ac:dyDescent="0.3">
      <c r="A27" s="15" t="s">
        <v>7664</v>
      </c>
      <c r="B27" s="15" t="s">
        <v>54</v>
      </c>
      <c r="C27" s="15" t="s">
        <v>20</v>
      </c>
      <c r="D27" s="16" t="s">
        <v>32104</v>
      </c>
      <c r="E27" s="16">
        <v>35</v>
      </c>
      <c r="F27" s="18" t="s">
        <v>32156</v>
      </c>
    </row>
    <row r="28" spans="1:6" x14ac:dyDescent="0.3">
      <c r="A28" s="15" t="s">
        <v>11724</v>
      </c>
      <c r="B28" s="15" t="s">
        <v>454</v>
      </c>
      <c r="C28" s="15" t="s">
        <v>20</v>
      </c>
      <c r="D28" s="16" t="s">
        <v>32101</v>
      </c>
      <c r="E28" s="16">
        <v>150</v>
      </c>
      <c r="F28" s="18" t="s">
        <v>32157</v>
      </c>
    </row>
    <row r="29" spans="1:6" x14ac:dyDescent="0.3">
      <c r="A29" s="15" t="s">
        <v>32158</v>
      </c>
      <c r="B29" s="15" t="s">
        <v>1280</v>
      </c>
      <c r="C29" s="15" t="s">
        <v>1450</v>
      </c>
      <c r="D29" s="16" t="s">
        <v>32159</v>
      </c>
      <c r="E29" s="16">
        <v>3</v>
      </c>
      <c r="F29" s="18" t="s">
        <v>32160</v>
      </c>
    </row>
    <row r="30" spans="1:6" x14ac:dyDescent="0.3">
      <c r="A30" s="15" t="s">
        <v>5497</v>
      </c>
      <c r="B30" s="15" t="s">
        <v>22</v>
      </c>
      <c r="C30" s="15" t="s">
        <v>38</v>
      </c>
      <c r="D30" s="16" t="s">
        <v>32101</v>
      </c>
      <c r="E30" s="16">
        <v>31</v>
      </c>
      <c r="F30" s="18" t="s">
        <v>32161</v>
      </c>
    </row>
    <row r="31" spans="1:6" x14ac:dyDescent="0.3">
      <c r="A31" s="15" t="s">
        <v>32162</v>
      </c>
      <c r="B31" s="15" t="s">
        <v>243</v>
      </c>
      <c r="C31" s="15" t="s">
        <v>17</v>
      </c>
      <c r="D31" s="16" t="s">
        <v>32101</v>
      </c>
      <c r="E31" s="16">
        <v>32</v>
      </c>
      <c r="F31" s="18" t="s">
        <v>32163</v>
      </c>
    </row>
    <row r="32" spans="1:6" x14ac:dyDescent="0.3">
      <c r="A32" s="15" t="s">
        <v>32164</v>
      </c>
      <c r="B32" s="15" t="s">
        <v>825</v>
      </c>
      <c r="C32" s="15" t="s">
        <v>62</v>
      </c>
      <c r="D32" s="16" t="s">
        <v>32101</v>
      </c>
      <c r="E32" s="16">
        <v>48</v>
      </c>
      <c r="F32" s="18" t="s">
        <v>32165</v>
      </c>
    </row>
    <row r="33" spans="1:6" x14ac:dyDescent="0.3">
      <c r="A33" s="15" t="s">
        <v>32166</v>
      </c>
      <c r="B33" s="15" t="s">
        <v>166</v>
      </c>
      <c r="C33" s="15" t="s">
        <v>38</v>
      </c>
      <c r="D33" s="16" t="s">
        <v>32101</v>
      </c>
      <c r="E33" s="16">
        <v>63</v>
      </c>
      <c r="F33" s="18" t="s">
        <v>32167</v>
      </c>
    </row>
    <row r="34" spans="1:6" x14ac:dyDescent="0.3">
      <c r="A34" s="15" t="s">
        <v>32168</v>
      </c>
      <c r="B34" s="15" t="s">
        <v>258</v>
      </c>
      <c r="C34" s="15" t="s">
        <v>124</v>
      </c>
      <c r="D34" s="16" t="s">
        <v>32101</v>
      </c>
      <c r="E34" s="16">
        <v>99</v>
      </c>
      <c r="F34" s="18" t="s">
        <v>32169</v>
      </c>
    </row>
    <row r="35" spans="1:6" x14ac:dyDescent="0.3">
      <c r="A35" s="15" t="s">
        <v>6428</v>
      </c>
      <c r="B35" s="15" t="s">
        <v>957</v>
      </c>
      <c r="C35" s="15" t="s">
        <v>591</v>
      </c>
      <c r="D35" s="16" t="s">
        <v>32101</v>
      </c>
      <c r="E35" s="16">
        <v>113</v>
      </c>
      <c r="F35" s="18" t="s">
        <v>32170</v>
      </c>
    </row>
    <row r="36" spans="1:6" x14ac:dyDescent="0.3">
      <c r="A36" s="15" t="s">
        <v>32171</v>
      </c>
      <c r="B36" s="15" t="s">
        <v>2838</v>
      </c>
      <c r="C36" s="15" t="s">
        <v>38</v>
      </c>
      <c r="D36" s="16" t="s">
        <v>32101</v>
      </c>
      <c r="E36" s="16">
        <v>131</v>
      </c>
      <c r="F36" s="18" t="s">
        <v>32172</v>
      </c>
    </row>
    <row r="37" spans="1:6" x14ac:dyDescent="0.3">
      <c r="A37" s="15" t="s">
        <v>6010</v>
      </c>
      <c r="B37" s="15" t="s">
        <v>471</v>
      </c>
      <c r="C37" s="15" t="s">
        <v>124</v>
      </c>
      <c r="D37" s="16" t="s">
        <v>32101</v>
      </c>
      <c r="E37" s="16">
        <v>132</v>
      </c>
      <c r="F37" s="18" t="s">
        <v>32173</v>
      </c>
    </row>
    <row r="38" spans="1:6" x14ac:dyDescent="0.3">
      <c r="A38" s="15" t="s">
        <v>8841</v>
      </c>
      <c r="B38" s="15" t="s">
        <v>88</v>
      </c>
      <c r="C38" s="15" t="s">
        <v>927</v>
      </c>
      <c r="D38" s="16" t="s">
        <v>32101</v>
      </c>
      <c r="E38" s="16">
        <v>141</v>
      </c>
      <c r="F38" s="18" t="s">
        <v>32174</v>
      </c>
    </row>
    <row r="39" spans="1:6" x14ac:dyDescent="0.3">
      <c r="A39" s="15" t="s">
        <v>32175</v>
      </c>
      <c r="B39" s="15" t="s">
        <v>41</v>
      </c>
      <c r="C39" s="15" t="s">
        <v>136</v>
      </c>
      <c r="D39" s="16" t="s">
        <v>32101</v>
      </c>
      <c r="E39" s="16">
        <v>182</v>
      </c>
      <c r="F39" s="18" t="s">
        <v>32176</v>
      </c>
    </row>
    <row r="40" spans="1:6" x14ac:dyDescent="0.3">
      <c r="A40" s="15" t="s">
        <v>1530</v>
      </c>
      <c r="B40" s="15" t="s">
        <v>170</v>
      </c>
      <c r="C40" s="15" t="s">
        <v>68</v>
      </c>
      <c r="D40" s="16" t="s">
        <v>32101</v>
      </c>
      <c r="E40" s="16">
        <v>193</v>
      </c>
      <c r="F40" s="18" t="s">
        <v>32177</v>
      </c>
    </row>
    <row r="41" spans="1:6" x14ac:dyDescent="0.3">
      <c r="A41" s="15" t="s">
        <v>1224</v>
      </c>
      <c r="B41" s="15" t="s">
        <v>594</v>
      </c>
      <c r="C41" s="15" t="s">
        <v>158</v>
      </c>
      <c r="D41" s="16" t="s">
        <v>32101</v>
      </c>
      <c r="E41" s="16">
        <v>200</v>
      </c>
      <c r="F41" s="18" t="s">
        <v>32178</v>
      </c>
    </row>
    <row r="42" spans="1:6" x14ac:dyDescent="0.3">
      <c r="A42" s="15" t="s">
        <v>32179</v>
      </c>
      <c r="B42" s="15" t="s">
        <v>190</v>
      </c>
      <c r="C42" s="15" t="s">
        <v>68</v>
      </c>
      <c r="D42" s="16" t="s">
        <v>32101</v>
      </c>
      <c r="E42" s="16">
        <v>238</v>
      </c>
      <c r="F42" s="18" t="s">
        <v>32180</v>
      </c>
    </row>
    <row r="43" spans="1:6" x14ac:dyDescent="0.3">
      <c r="A43" s="15" t="s">
        <v>4893</v>
      </c>
      <c r="B43" s="15" t="s">
        <v>439</v>
      </c>
      <c r="C43" s="15" t="s">
        <v>30</v>
      </c>
      <c r="D43" s="16" t="s">
        <v>32101</v>
      </c>
      <c r="E43" s="16">
        <v>242</v>
      </c>
      <c r="F43" s="18" t="s">
        <v>32181</v>
      </c>
    </row>
    <row r="44" spans="1:6" x14ac:dyDescent="0.3">
      <c r="A44" s="15" t="s">
        <v>32182</v>
      </c>
      <c r="B44" s="15" t="s">
        <v>33</v>
      </c>
      <c r="C44" s="15" t="s">
        <v>19806</v>
      </c>
      <c r="D44" s="16" t="s">
        <v>32101</v>
      </c>
      <c r="E44" s="16">
        <v>253</v>
      </c>
      <c r="F44" s="18" t="s">
        <v>32183</v>
      </c>
    </row>
    <row r="45" spans="1:6" x14ac:dyDescent="0.3">
      <c r="A45" s="15" t="s">
        <v>2103</v>
      </c>
      <c r="B45" s="15" t="s">
        <v>32184</v>
      </c>
      <c r="C45" s="15" t="s">
        <v>343</v>
      </c>
      <c r="D45" s="16" t="s">
        <v>32101</v>
      </c>
      <c r="E45" s="16">
        <v>259</v>
      </c>
      <c r="F45" s="18" t="s">
        <v>32185</v>
      </c>
    </row>
    <row r="46" spans="1:6" x14ac:dyDescent="0.3">
      <c r="A46" s="15" t="s">
        <v>32186</v>
      </c>
      <c r="B46" s="15" t="s">
        <v>37</v>
      </c>
      <c r="C46" s="15" t="s">
        <v>68</v>
      </c>
      <c r="D46" s="16" t="s">
        <v>32104</v>
      </c>
      <c r="E46" s="16">
        <v>6</v>
      </c>
      <c r="F46" s="18" t="s">
        <v>32187</v>
      </c>
    </row>
    <row r="47" spans="1:6" x14ac:dyDescent="0.3">
      <c r="A47" s="15" t="s">
        <v>32188</v>
      </c>
      <c r="B47" s="15" t="s">
        <v>1854</v>
      </c>
      <c r="C47" s="15" t="s">
        <v>975</v>
      </c>
      <c r="D47" s="16" t="s">
        <v>32104</v>
      </c>
      <c r="E47" s="16">
        <v>11</v>
      </c>
      <c r="F47" s="18" t="s">
        <v>32189</v>
      </c>
    </row>
    <row r="48" spans="1:6" x14ac:dyDescent="0.3">
      <c r="A48" s="15" t="s">
        <v>32190</v>
      </c>
      <c r="B48" s="15" t="s">
        <v>149</v>
      </c>
      <c r="C48" s="15" t="s">
        <v>190</v>
      </c>
      <c r="D48" s="16" t="s">
        <v>32104</v>
      </c>
      <c r="E48" s="16">
        <v>13</v>
      </c>
      <c r="F48" s="18" t="s">
        <v>32191</v>
      </c>
    </row>
    <row r="49" spans="1:6" x14ac:dyDescent="0.3">
      <c r="A49" s="15" t="s">
        <v>31598</v>
      </c>
      <c r="B49" s="15" t="s">
        <v>1576</v>
      </c>
      <c r="C49" s="15" t="s">
        <v>30</v>
      </c>
      <c r="D49" s="16" t="s">
        <v>32104</v>
      </c>
      <c r="E49" s="16">
        <v>20</v>
      </c>
      <c r="F49" s="18" t="s">
        <v>32192</v>
      </c>
    </row>
    <row r="50" spans="1:6" x14ac:dyDescent="0.3">
      <c r="A50" s="15" t="s">
        <v>6215</v>
      </c>
      <c r="B50" s="15" t="s">
        <v>48</v>
      </c>
      <c r="C50" s="15" t="s">
        <v>136</v>
      </c>
      <c r="D50" s="16" t="s">
        <v>32104</v>
      </c>
      <c r="E50" s="16">
        <v>28</v>
      </c>
      <c r="F50" s="18" t="s">
        <v>32193</v>
      </c>
    </row>
    <row r="51" spans="1:6" x14ac:dyDescent="0.3">
      <c r="A51" s="15" t="s">
        <v>1565</v>
      </c>
      <c r="B51" s="15" t="s">
        <v>54</v>
      </c>
      <c r="C51" s="15" t="s">
        <v>124</v>
      </c>
      <c r="D51" s="16" t="s">
        <v>32104</v>
      </c>
      <c r="E51" s="16">
        <v>29</v>
      </c>
      <c r="F51" s="18" t="s">
        <v>32194</v>
      </c>
    </row>
    <row r="52" spans="1:6" x14ac:dyDescent="0.3">
      <c r="A52" s="15" t="s">
        <v>32195</v>
      </c>
      <c r="B52" s="15" t="s">
        <v>41</v>
      </c>
      <c r="C52" s="15" t="s">
        <v>81</v>
      </c>
      <c r="D52" s="16" t="s">
        <v>32104</v>
      </c>
      <c r="E52" s="16">
        <v>31</v>
      </c>
      <c r="F52" s="18" t="s">
        <v>32196</v>
      </c>
    </row>
    <row r="53" spans="1:6" x14ac:dyDescent="0.3">
      <c r="A53" s="15" t="s">
        <v>32197</v>
      </c>
      <c r="B53" s="15" t="s">
        <v>32198</v>
      </c>
      <c r="C53" s="15" t="s">
        <v>179</v>
      </c>
      <c r="D53" s="16" t="s">
        <v>32104</v>
      </c>
      <c r="E53" s="16">
        <v>36</v>
      </c>
      <c r="F53" s="18" t="s">
        <v>32199</v>
      </c>
    </row>
    <row r="54" spans="1:6" x14ac:dyDescent="0.3">
      <c r="A54" s="15" t="s">
        <v>32200</v>
      </c>
      <c r="B54" s="15" t="s">
        <v>17</v>
      </c>
      <c r="C54" s="15" t="s">
        <v>68</v>
      </c>
      <c r="D54" s="16" t="s">
        <v>32104</v>
      </c>
      <c r="E54" s="16">
        <v>38</v>
      </c>
      <c r="F54" s="18" t="s">
        <v>32201</v>
      </c>
    </row>
    <row r="55" spans="1:6" x14ac:dyDescent="0.3">
      <c r="A55" s="15" t="s">
        <v>32202</v>
      </c>
      <c r="B55" s="15" t="s">
        <v>32203</v>
      </c>
      <c r="C55" s="15" t="s">
        <v>38</v>
      </c>
      <c r="D55" s="16" t="s">
        <v>32104</v>
      </c>
      <c r="E55" s="16">
        <v>40</v>
      </c>
      <c r="F55" s="18" t="s">
        <v>32204</v>
      </c>
    </row>
    <row r="56" spans="1:6" x14ac:dyDescent="0.3">
      <c r="A56" s="15" t="s">
        <v>32205</v>
      </c>
      <c r="B56" s="15" t="s">
        <v>2157</v>
      </c>
      <c r="C56" s="15" t="s">
        <v>38</v>
      </c>
      <c r="D56" s="16" t="s">
        <v>32104</v>
      </c>
      <c r="E56" s="16">
        <v>41</v>
      </c>
      <c r="F56" s="18" t="s">
        <v>32206</v>
      </c>
    </row>
    <row r="57" spans="1:6" x14ac:dyDescent="0.3">
      <c r="A57" s="15" t="s">
        <v>32207</v>
      </c>
      <c r="B57" s="15" t="s">
        <v>97</v>
      </c>
      <c r="C57" s="15" t="s">
        <v>32208</v>
      </c>
      <c r="D57" s="16" t="s">
        <v>32104</v>
      </c>
      <c r="E57" s="16">
        <v>44</v>
      </c>
      <c r="F57" s="18" t="s">
        <v>32209</v>
      </c>
    </row>
    <row r="58" spans="1:6" x14ac:dyDescent="0.3">
      <c r="A58" s="15" t="s">
        <v>3042</v>
      </c>
      <c r="B58" s="15" t="s">
        <v>32210</v>
      </c>
      <c r="C58" s="15" t="s">
        <v>34</v>
      </c>
      <c r="D58" s="16" t="s">
        <v>32104</v>
      </c>
      <c r="E58" s="16">
        <v>46</v>
      </c>
      <c r="F58" s="18" t="s">
        <v>32211</v>
      </c>
    </row>
    <row r="59" spans="1:6" x14ac:dyDescent="0.3">
      <c r="A59" s="15" t="s">
        <v>32212</v>
      </c>
      <c r="B59" s="15" t="s">
        <v>32213</v>
      </c>
      <c r="C59" s="15" t="s">
        <v>17</v>
      </c>
      <c r="D59" s="16" t="s">
        <v>32104</v>
      </c>
      <c r="E59" s="16">
        <v>49</v>
      </c>
      <c r="F59" s="18" t="s">
        <v>32214</v>
      </c>
    </row>
    <row r="60" spans="1:6" x14ac:dyDescent="0.3">
      <c r="A60" s="15" t="s">
        <v>21888</v>
      </c>
      <c r="B60" s="15" t="s">
        <v>38</v>
      </c>
      <c r="C60" s="15" t="s">
        <v>17</v>
      </c>
      <c r="D60" s="16" t="s">
        <v>32104</v>
      </c>
      <c r="E60" s="16">
        <v>52</v>
      </c>
      <c r="F60" s="18" t="s">
        <v>32215</v>
      </c>
    </row>
    <row r="61" spans="1:6" x14ac:dyDescent="0.3">
      <c r="A61" s="15" t="s">
        <v>16902</v>
      </c>
      <c r="B61" s="15" t="s">
        <v>32216</v>
      </c>
      <c r="C61" s="15" t="s">
        <v>52</v>
      </c>
      <c r="D61" s="16" t="s">
        <v>32104</v>
      </c>
      <c r="E61" s="16">
        <v>56</v>
      </c>
      <c r="F61" s="18" t="s">
        <v>32217</v>
      </c>
    </row>
    <row r="62" spans="1:6" x14ac:dyDescent="0.3">
      <c r="A62" s="15" t="s">
        <v>32218</v>
      </c>
      <c r="B62" s="15" t="s">
        <v>5614</v>
      </c>
      <c r="C62" s="15" t="s">
        <v>17</v>
      </c>
      <c r="D62" s="16" t="s">
        <v>32104</v>
      </c>
      <c r="E62" s="16">
        <v>60</v>
      </c>
      <c r="F62" s="18" t="s">
        <v>32219</v>
      </c>
    </row>
    <row r="63" spans="1:6" x14ac:dyDescent="0.3">
      <c r="A63" s="15" t="s">
        <v>16299</v>
      </c>
      <c r="B63" s="15" t="s">
        <v>81</v>
      </c>
      <c r="C63" s="15" t="s">
        <v>68</v>
      </c>
      <c r="D63" s="16" t="s">
        <v>32104</v>
      </c>
      <c r="E63" s="16">
        <v>61</v>
      </c>
      <c r="F63" s="18" t="s">
        <v>32220</v>
      </c>
    </row>
    <row r="64" spans="1:6" x14ac:dyDescent="0.3">
      <c r="A64" s="15" t="s">
        <v>10786</v>
      </c>
      <c r="B64" s="15" t="s">
        <v>166</v>
      </c>
      <c r="C64" s="15" t="s">
        <v>81</v>
      </c>
      <c r="D64" s="16" t="s">
        <v>32104</v>
      </c>
      <c r="E64" s="16">
        <v>65</v>
      </c>
      <c r="F64" s="18" t="s">
        <v>32221</v>
      </c>
    </row>
    <row r="65" spans="1:6" x14ac:dyDescent="0.3">
      <c r="A65" s="15" t="s">
        <v>1861</v>
      </c>
      <c r="B65" s="15" t="s">
        <v>54</v>
      </c>
      <c r="C65" s="15" t="s">
        <v>124</v>
      </c>
      <c r="D65" s="16" t="s">
        <v>32104</v>
      </c>
      <c r="E65" s="16">
        <v>73</v>
      </c>
      <c r="F65" s="18" t="s">
        <v>32222</v>
      </c>
    </row>
    <row r="66" spans="1:6" x14ac:dyDescent="0.3">
      <c r="A66" s="15" t="s">
        <v>32223</v>
      </c>
      <c r="B66" s="15" t="s">
        <v>54</v>
      </c>
      <c r="C66" s="15" t="s">
        <v>136</v>
      </c>
      <c r="D66" s="16" t="s">
        <v>32104</v>
      </c>
      <c r="E66" s="16">
        <v>75</v>
      </c>
      <c r="F66" s="18" t="s">
        <v>32224</v>
      </c>
    </row>
    <row r="67" spans="1:6" x14ac:dyDescent="0.3">
      <c r="A67" s="15" t="s">
        <v>3579</v>
      </c>
      <c r="B67" s="15" t="s">
        <v>97</v>
      </c>
      <c r="C67" s="15" t="s">
        <v>425</v>
      </c>
      <c r="D67" s="16" t="s">
        <v>32104</v>
      </c>
      <c r="E67" s="16">
        <v>76</v>
      </c>
      <c r="F67" s="18" t="s">
        <v>32225</v>
      </c>
    </row>
    <row r="68" spans="1:6" x14ac:dyDescent="0.3">
      <c r="A68" s="15" t="s">
        <v>12972</v>
      </c>
      <c r="B68" s="15" t="s">
        <v>29</v>
      </c>
      <c r="C68" s="15" t="s">
        <v>117</v>
      </c>
      <c r="D68" s="16" t="s">
        <v>32104</v>
      </c>
      <c r="E68" s="16">
        <v>80</v>
      </c>
      <c r="F68" s="18" t="s">
        <v>32226</v>
      </c>
    </row>
    <row r="69" spans="1:6" x14ac:dyDescent="0.3">
      <c r="A69" s="15" t="s">
        <v>32227</v>
      </c>
      <c r="B69" s="15" t="s">
        <v>1189</v>
      </c>
      <c r="C69" s="15" t="s">
        <v>3705</v>
      </c>
      <c r="D69" s="16" t="s">
        <v>32104</v>
      </c>
      <c r="E69" s="16">
        <v>82</v>
      </c>
      <c r="F69" s="18" t="s">
        <v>32228</v>
      </c>
    </row>
    <row r="70" spans="1:6" x14ac:dyDescent="0.3">
      <c r="A70" s="15" t="s">
        <v>32229</v>
      </c>
      <c r="B70" s="15" t="s">
        <v>1659</v>
      </c>
      <c r="C70" s="15" t="s">
        <v>2370</v>
      </c>
      <c r="D70" s="16" t="s">
        <v>32104</v>
      </c>
      <c r="E70" s="16">
        <v>83</v>
      </c>
      <c r="F70" s="18" t="s">
        <v>32230</v>
      </c>
    </row>
    <row r="71" spans="1:6" x14ac:dyDescent="0.3">
      <c r="A71" s="15" t="s">
        <v>32229</v>
      </c>
      <c r="B71" s="15" t="s">
        <v>178</v>
      </c>
      <c r="C71" s="15" t="s">
        <v>442</v>
      </c>
      <c r="D71" s="16" t="s">
        <v>32104</v>
      </c>
      <c r="E71" s="16">
        <v>94</v>
      </c>
      <c r="F71" s="18" t="s">
        <v>32231</v>
      </c>
    </row>
    <row r="72" spans="1:6" x14ac:dyDescent="0.3">
      <c r="A72" s="15" t="s">
        <v>1401</v>
      </c>
      <c r="B72" s="15" t="s">
        <v>161</v>
      </c>
      <c r="C72" s="15" t="s">
        <v>68</v>
      </c>
      <c r="D72" s="16" t="s">
        <v>32104</v>
      </c>
      <c r="E72" s="16">
        <v>99</v>
      </c>
      <c r="F72" s="18" t="s">
        <v>32232</v>
      </c>
    </row>
    <row r="73" spans="1:6" x14ac:dyDescent="0.3">
      <c r="A73" s="15" t="s">
        <v>32233</v>
      </c>
      <c r="B73" s="15" t="s">
        <v>792</v>
      </c>
      <c r="C73" s="15" t="s">
        <v>17</v>
      </c>
      <c r="D73" s="16" t="s">
        <v>32104</v>
      </c>
      <c r="E73" s="16">
        <v>112</v>
      </c>
      <c r="F73" s="18" t="s">
        <v>32234</v>
      </c>
    </row>
    <row r="74" spans="1:6" x14ac:dyDescent="0.3">
      <c r="A74" s="15" t="s">
        <v>32235</v>
      </c>
      <c r="B74" s="15" t="s">
        <v>81</v>
      </c>
      <c r="C74" s="15" t="s">
        <v>158</v>
      </c>
      <c r="D74" s="16" t="s">
        <v>32104</v>
      </c>
      <c r="E74" s="16">
        <v>114</v>
      </c>
      <c r="F74" s="18" t="s">
        <v>32236</v>
      </c>
    </row>
    <row r="75" spans="1:6" x14ac:dyDescent="0.3">
      <c r="A75" s="15" t="s">
        <v>32237</v>
      </c>
      <c r="B75" s="15" t="s">
        <v>570</v>
      </c>
      <c r="C75" s="15" t="s">
        <v>238</v>
      </c>
      <c r="D75" s="16" t="s">
        <v>32104</v>
      </c>
      <c r="E75" s="16">
        <v>115</v>
      </c>
      <c r="F75" s="18" t="s">
        <v>32238</v>
      </c>
    </row>
    <row r="76" spans="1:6" x14ac:dyDescent="0.3">
      <c r="A76" s="15" t="s">
        <v>32239</v>
      </c>
      <c r="B76" s="15" t="s">
        <v>375</v>
      </c>
      <c r="C76" s="15" t="s">
        <v>17</v>
      </c>
      <c r="D76" s="16" t="s">
        <v>32104</v>
      </c>
      <c r="E76" s="16">
        <v>117</v>
      </c>
      <c r="F76" s="18" t="s">
        <v>32240</v>
      </c>
    </row>
    <row r="77" spans="1:6" x14ac:dyDescent="0.3">
      <c r="A77" s="15" t="s">
        <v>3996</v>
      </c>
      <c r="B77" s="15" t="s">
        <v>29</v>
      </c>
      <c r="C77" s="15" t="s">
        <v>17</v>
      </c>
      <c r="D77" s="16" t="s">
        <v>32104</v>
      </c>
      <c r="E77" s="16">
        <v>121</v>
      </c>
      <c r="F77" s="18" t="s">
        <v>32241</v>
      </c>
    </row>
    <row r="78" spans="1:6" x14ac:dyDescent="0.3">
      <c r="A78" s="15" t="s">
        <v>4536</v>
      </c>
      <c r="B78" s="15" t="s">
        <v>22</v>
      </c>
      <c r="C78" s="15" t="s">
        <v>81</v>
      </c>
      <c r="D78" s="16" t="s">
        <v>32104</v>
      </c>
      <c r="E78" s="16">
        <v>123</v>
      </c>
      <c r="F78" s="18" t="s">
        <v>32242</v>
      </c>
    </row>
    <row r="79" spans="1:6" x14ac:dyDescent="0.3">
      <c r="A79" s="15" t="s">
        <v>22806</v>
      </c>
      <c r="B79" s="15" t="s">
        <v>1975</v>
      </c>
      <c r="C79" s="15" t="s">
        <v>62</v>
      </c>
      <c r="D79" s="16" t="s">
        <v>32104</v>
      </c>
      <c r="E79" s="16">
        <v>126</v>
      </c>
      <c r="F79" s="18" t="s">
        <v>32243</v>
      </c>
    </row>
    <row r="80" spans="1:6" x14ac:dyDescent="0.3">
      <c r="A80" s="15" t="s">
        <v>14762</v>
      </c>
      <c r="B80" s="15" t="s">
        <v>328</v>
      </c>
      <c r="C80" s="15" t="s">
        <v>14</v>
      </c>
      <c r="D80" s="16" t="s">
        <v>32104</v>
      </c>
      <c r="E80" s="16">
        <v>127</v>
      </c>
      <c r="F80" s="18" t="s">
        <v>32244</v>
      </c>
    </row>
    <row r="81" spans="1:6" x14ac:dyDescent="0.3">
      <c r="A81" s="15" t="s">
        <v>32245</v>
      </c>
      <c r="B81" s="15" t="s">
        <v>166</v>
      </c>
      <c r="C81" s="15" t="s">
        <v>259</v>
      </c>
      <c r="D81" s="16" t="s">
        <v>32104</v>
      </c>
      <c r="E81" s="16">
        <v>129</v>
      </c>
      <c r="F81" s="18" t="s">
        <v>32246</v>
      </c>
    </row>
    <row r="82" spans="1:6" x14ac:dyDescent="0.3">
      <c r="A82" s="15" t="s">
        <v>687</v>
      </c>
      <c r="B82" s="15" t="s">
        <v>97</v>
      </c>
      <c r="C82" s="15" t="s">
        <v>343</v>
      </c>
      <c r="D82" s="16" t="s">
        <v>32104</v>
      </c>
      <c r="E82" s="16">
        <v>131</v>
      </c>
      <c r="F82" s="18" t="s">
        <v>32247</v>
      </c>
    </row>
    <row r="83" spans="1:6" x14ac:dyDescent="0.3">
      <c r="A83" s="15" t="s">
        <v>1425</v>
      </c>
      <c r="B83" s="15" t="s">
        <v>100</v>
      </c>
      <c r="C83" s="15" t="s">
        <v>34</v>
      </c>
      <c r="D83" s="16" t="s">
        <v>32104</v>
      </c>
      <c r="E83" s="16">
        <v>132</v>
      </c>
      <c r="F83" s="18" t="s">
        <v>32248</v>
      </c>
    </row>
    <row r="84" spans="1:6" x14ac:dyDescent="0.3">
      <c r="A84" s="15" t="s">
        <v>32249</v>
      </c>
      <c r="B84" s="15" t="s">
        <v>38</v>
      </c>
      <c r="C84" s="15" t="s">
        <v>81</v>
      </c>
      <c r="D84" s="16" t="s">
        <v>32104</v>
      </c>
      <c r="E84" s="16">
        <v>133</v>
      </c>
      <c r="F84" s="18" t="s">
        <v>32250</v>
      </c>
    </row>
    <row r="85" spans="1:6" x14ac:dyDescent="0.3">
      <c r="A85" s="15" t="s">
        <v>32251</v>
      </c>
      <c r="B85" s="15" t="s">
        <v>32252</v>
      </c>
      <c r="C85" s="15" t="s">
        <v>30</v>
      </c>
      <c r="D85" s="16" t="s">
        <v>32104</v>
      </c>
      <c r="E85" s="16">
        <v>134</v>
      </c>
      <c r="F85" s="18" t="s">
        <v>32253</v>
      </c>
    </row>
    <row r="86" spans="1:6" x14ac:dyDescent="0.3">
      <c r="A86" s="15" t="s">
        <v>4955</v>
      </c>
      <c r="B86" s="15" t="s">
        <v>166</v>
      </c>
      <c r="C86" s="15" t="s">
        <v>136</v>
      </c>
      <c r="D86" s="16" t="s">
        <v>32104</v>
      </c>
      <c r="E86" s="16">
        <v>138</v>
      </c>
      <c r="F86" s="18" t="s">
        <v>32254</v>
      </c>
    </row>
    <row r="87" spans="1:6" x14ac:dyDescent="0.3">
      <c r="A87" s="15" t="s">
        <v>4677</v>
      </c>
      <c r="B87" s="15" t="s">
        <v>54</v>
      </c>
      <c r="C87" s="15" t="s">
        <v>328</v>
      </c>
      <c r="D87" s="16" t="s">
        <v>32104</v>
      </c>
      <c r="E87" s="16">
        <v>140</v>
      </c>
      <c r="F87" s="18" t="s">
        <v>32255</v>
      </c>
    </row>
    <row r="88" spans="1:6" x14ac:dyDescent="0.3">
      <c r="A88" s="15" t="s">
        <v>32256</v>
      </c>
      <c r="B88" s="15" t="s">
        <v>9636</v>
      </c>
      <c r="C88" s="15" t="s">
        <v>2360</v>
      </c>
      <c r="D88" s="16" t="s">
        <v>32104</v>
      </c>
      <c r="E88" s="16">
        <v>144</v>
      </c>
      <c r="F88" s="18" t="s">
        <v>32257</v>
      </c>
    </row>
    <row r="89" spans="1:6" x14ac:dyDescent="0.3">
      <c r="A89" s="15" t="s">
        <v>32258</v>
      </c>
      <c r="B89" s="15" t="s">
        <v>1023</v>
      </c>
      <c r="C89" s="15" t="s">
        <v>38</v>
      </c>
      <c r="D89" s="16" t="s">
        <v>32104</v>
      </c>
      <c r="E89" s="16">
        <v>157</v>
      </c>
      <c r="F89" s="18" t="s">
        <v>32259</v>
      </c>
    </row>
    <row r="90" spans="1:6" x14ac:dyDescent="0.3">
      <c r="A90" s="15" t="s">
        <v>32260</v>
      </c>
      <c r="B90" s="15" t="s">
        <v>22</v>
      </c>
      <c r="C90" s="15" t="s">
        <v>158</v>
      </c>
      <c r="D90" s="16" t="s">
        <v>32104</v>
      </c>
      <c r="E90" s="16">
        <v>161</v>
      </c>
      <c r="F90" s="18" t="s">
        <v>32261</v>
      </c>
    </row>
    <row r="91" spans="1:6" x14ac:dyDescent="0.3">
      <c r="A91" s="15" t="s">
        <v>2008</v>
      </c>
      <c r="B91" s="15" t="s">
        <v>41</v>
      </c>
      <c r="C91" s="15" t="s">
        <v>30</v>
      </c>
      <c r="D91" s="16" t="s">
        <v>32104</v>
      </c>
      <c r="E91" s="16">
        <v>163</v>
      </c>
      <c r="F91" s="18" t="s">
        <v>32262</v>
      </c>
    </row>
    <row r="92" spans="1:6" x14ac:dyDescent="0.3">
      <c r="A92" s="15" t="s">
        <v>18541</v>
      </c>
      <c r="B92" s="15" t="s">
        <v>32263</v>
      </c>
      <c r="C92" s="15" t="s">
        <v>32264</v>
      </c>
      <c r="D92" s="16" t="s">
        <v>32104</v>
      </c>
      <c r="E92" s="16">
        <v>168</v>
      </c>
      <c r="F92" s="18" t="s">
        <v>32265</v>
      </c>
    </row>
    <row r="93" spans="1:6" x14ac:dyDescent="0.3">
      <c r="A93" s="15" t="s">
        <v>18867</v>
      </c>
      <c r="B93" s="15" t="s">
        <v>471</v>
      </c>
      <c r="C93" s="15" t="s">
        <v>17</v>
      </c>
      <c r="D93" s="16" t="s">
        <v>32104</v>
      </c>
      <c r="E93" s="16">
        <v>174</v>
      </c>
      <c r="F93" s="18" t="s">
        <v>32266</v>
      </c>
    </row>
    <row r="94" spans="1:6" x14ac:dyDescent="0.3">
      <c r="A94" s="15" t="s">
        <v>32267</v>
      </c>
      <c r="B94" s="15" t="s">
        <v>25039</v>
      </c>
      <c r="C94" s="15" t="s">
        <v>136</v>
      </c>
      <c r="D94" s="16" t="s">
        <v>32104</v>
      </c>
      <c r="E94" s="16">
        <v>175</v>
      </c>
      <c r="F94" s="18" t="s">
        <v>32268</v>
      </c>
    </row>
    <row r="95" spans="1:6" x14ac:dyDescent="0.3">
      <c r="A95" s="15" t="s">
        <v>18264</v>
      </c>
      <c r="B95" s="15" t="s">
        <v>21894</v>
      </c>
      <c r="C95" s="15" t="s">
        <v>30</v>
      </c>
      <c r="D95" s="16" t="s">
        <v>32104</v>
      </c>
      <c r="E95" s="16">
        <v>180</v>
      </c>
      <c r="F95" s="18" t="s">
        <v>32269</v>
      </c>
    </row>
    <row r="96" spans="1:6" x14ac:dyDescent="0.3">
      <c r="A96" s="15" t="s">
        <v>20994</v>
      </c>
      <c r="B96" s="15" t="s">
        <v>17</v>
      </c>
      <c r="C96" s="15" t="s">
        <v>55</v>
      </c>
      <c r="D96" s="16" t="s">
        <v>32104</v>
      </c>
      <c r="E96" s="16">
        <v>183</v>
      </c>
      <c r="F96" s="18" t="s">
        <v>32270</v>
      </c>
    </row>
    <row r="97" spans="1:6" x14ac:dyDescent="0.3">
      <c r="A97" s="15" t="s">
        <v>32271</v>
      </c>
      <c r="B97" s="15" t="s">
        <v>832</v>
      </c>
      <c r="C97" s="15" t="s">
        <v>227</v>
      </c>
      <c r="D97" s="16" t="s">
        <v>32154</v>
      </c>
      <c r="E97" s="16">
        <v>9</v>
      </c>
      <c r="F97" s="18" t="s">
        <v>32272</v>
      </c>
    </row>
    <row r="98" spans="1:6" x14ac:dyDescent="0.3">
      <c r="A98" s="15" t="s">
        <v>3700</v>
      </c>
      <c r="B98" s="15" t="s">
        <v>789</v>
      </c>
      <c r="C98" s="15" t="s">
        <v>17</v>
      </c>
      <c r="D98" s="16" t="s">
        <v>32154</v>
      </c>
      <c r="E98" s="16">
        <v>19</v>
      </c>
      <c r="F98" s="18" t="s">
        <v>32273</v>
      </c>
    </row>
    <row r="99" spans="1:6" x14ac:dyDescent="0.3">
      <c r="A99" s="15" t="s">
        <v>32274</v>
      </c>
      <c r="B99" s="15" t="s">
        <v>161</v>
      </c>
      <c r="C99" s="15" t="s">
        <v>375</v>
      </c>
      <c r="D99" s="16" t="s">
        <v>32154</v>
      </c>
      <c r="E99" s="16">
        <v>23</v>
      </c>
      <c r="F99" s="18" t="s">
        <v>32275</v>
      </c>
    </row>
    <row r="100" spans="1:6" x14ac:dyDescent="0.3">
      <c r="A100" s="15" t="s">
        <v>32276</v>
      </c>
      <c r="B100" s="15" t="s">
        <v>29</v>
      </c>
      <c r="C100" s="15" t="s">
        <v>52</v>
      </c>
      <c r="D100" s="16" t="s">
        <v>32154</v>
      </c>
      <c r="E100" s="16">
        <v>26</v>
      </c>
      <c r="F100" s="18" t="s">
        <v>32277</v>
      </c>
    </row>
    <row r="101" spans="1:6" x14ac:dyDescent="0.3">
      <c r="A101" s="15" t="s">
        <v>32278</v>
      </c>
      <c r="B101" s="15" t="s">
        <v>26</v>
      </c>
      <c r="C101" s="15" t="s">
        <v>117</v>
      </c>
      <c r="D101" s="16" t="s">
        <v>32154</v>
      </c>
      <c r="E101" s="16">
        <v>35</v>
      </c>
      <c r="F101" s="18" t="s">
        <v>32279</v>
      </c>
    </row>
    <row r="102" spans="1:6" x14ac:dyDescent="0.3">
      <c r="A102" s="15" t="s">
        <v>32280</v>
      </c>
      <c r="B102" s="15" t="s">
        <v>188</v>
      </c>
      <c r="C102" s="15" t="s">
        <v>38</v>
      </c>
      <c r="D102" s="16" t="s">
        <v>32154</v>
      </c>
      <c r="E102" s="16">
        <v>39</v>
      </c>
      <c r="F102" s="18" t="s">
        <v>32281</v>
      </c>
    </row>
    <row r="103" spans="1:6" x14ac:dyDescent="0.3">
      <c r="A103" s="15" t="s">
        <v>32282</v>
      </c>
      <c r="B103" s="15" t="s">
        <v>81</v>
      </c>
      <c r="C103" s="15" t="s">
        <v>62</v>
      </c>
      <c r="D103" s="16" t="s">
        <v>32154</v>
      </c>
      <c r="E103" s="16">
        <v>44</v>
      </c>
      <c r="F103" s="18" t="s">
        <v>32283</v>
      </c>
    </row>
    <row r="104" spans="1:6" x14ac:dyDescent="0.3">
      <c r="A104" s="15" t="s">
        <v>22871</v>
      </c>
      <c r="B104" s="15" t="s">
        <v>32284</v>
      </c>
      <c r="C104" s="15" t="s">
        <v>158</v>
      </c>
      <c r="D104" s="16" t="s">
        <v>32154</v>
      </c>
      <c r="E104" s="16">
        <v>51</v>
      </c>
      <c r="F104" s="18" t="s">
        <v>32285</v>
      </c>
    </row>
    <row r="105" spans="1:6" x14ac:dyDescent="0.3">
      <c r="A105" s="15" t="s">
        <v>13632</v>
      </c>
      <c r="B105" s="15" t="s">
        <v>652</v>
      </c>
      <c r="C105" s="15" t="s">
        <v>68</v>
      </c>
      <c r="D105" s="16" t="s">
        <v>32154</v>
      </c>
      <c r="E105" s="16">
        <v>72</v>
      </c>
      <c r="F105" s="18" t="s">
        <v>32286</v>
      </c>
    </row>
    <row r="106" spans="1:6" x14ac:dyDescent="0.3">
      <c r="A106" s="15" t="s">
        <v>32287</v>
      </c>
      <c r="B106" s="15" t="s">
        <v>957</v>
      </c>
      <c r="C106" s="15" t="s">
        <v>30</v>
      </c>
      <c r="D106" s="16" t="s">
        <v>32288</v>
      </c>
      <c r="E106" s="16">
        <v>6</v>
      </c>
      <c r="F106" s="18" t="s">
        <v>32289</v>
      </c>
    </row>
    <row r="107" spans="1:6" x14ac:dyDescent="0.3">
      <c r="A107" s="15" t="s">
        <v>7382</v>
      </c>
      <c r="B107" s="15" t="s">
        <v>182</v>
      </c>
      <c r="C107" s="15" t="s">
        <v>158</v>
      </c>
      <c r="D107" s="16" t="s">
        <v>32288</v>
      </c>
      <c r="E107" s="16">
        <v>7</v>
      </c>
      <c r="F107" s="18" t="s">
        <v>32290</v>
      </c>
    </row>
    <row r="108" spans="1:6" x14ac:dyDescent="0.3">
      <c r="A108" s="15" t="s">
        <v>10119</v>
      </c>
      <c r="B108" s="15" t="s">
        <v>178</v>
      </c>
      <c r="C108" s="15" t="s">
        <v>10049</v>
      </c>
      <c r="D108" s="16" t="s">
        <v>32140</v>
      </c>
      <c r="E108" s="16">
        <v>25</v>
      </c>
      <c r="F108" s="18" t="s">
        <v>32291</v>
      </c>
    </row>
    <row r="109" spans="1:6" x14ac:dyDescent="0.3">
      <c r="A109" s="15" t="s">
        <v>28836</v>
      </c>
      <c r="B109" s="15" t="s">
        <v>54</v>
      </c>
      <c r="C109" s="15" t="s">
        <v>17</v>
      </c>
      <c r="D109" s="16" t="s">
        <v>32140</v>
      </c>
      <c r="E109" s="16">
        <v>29</v>
      </c>
      <c r="F109" s="18" t="s">
        <v>32292</v>
      </c>
    </row>
    <row r="110" spans="1:6" x14ac:dyDescent="0.3">
      <c r="A110" s="15" t="s">
        <v>12608</v>
      </c>
      <c r="B110" s="15" t="s">
        <v>33</v>
      </c>
      <c r="C110" s="15" t="s">
        <v>38</v>
      </c>
      <c r="D110" s="16" t="s">
        <v>32293</v>
      </c>
      <c r="E110" s="16">
        <v>9</v>
      </c>
      <c r="F110" s="18" t="s">
        <v>32294</v>
      </c>
    </row>
    <row r="111" spans="1:6" x14ac:dyDescent="0.3">
      <c r="A111" s="15" t="s">
        <v>32295</v>
      </c>
      <c r="B111" s="15" t="s">
        <v>178</v>
      </c>
      <c r="C111" s="15" t="s">
        <v>17</v>
      </c>
      <c r="D111" s="16" t="s">
        <v>32296</v>
      </c>
      <c r="E111" s="16">
        <v>26</v>
      </c>
      <c r="F111" s="18" t="s">
        <v>32297</v>
      </c>
    </row>
    <row r="112" spans="1:6" x14ac:dyDescent="0.3">
      <c r="A112" s="15" t="s">
        <v>32298</v>
      </c>
      <c r="B112" s="15" t="s">
        <v>26911</v>
      </c>
      <c r="C112" s="15" t="s">
        <v>38</v>
      </c>
      <c r="D112" s="16" t="s">
        <v>32122</v>
      </c>
      <c r="E112" s="16">
        <v>2</v>
      </c>
      <c r="F112" s="18" t="s">
        <v>32299</v>
      </c>
    </row>
    <row r="113" spans="1:6" x14ac:dyDescent="0.3">
      <c r="A113" s="15" t="s">
        <v>6215</v>
      </c>
      <c r="B113" s="15" t="s">
        <v>861</v>
      </c>
      <c r="C113" s="15" t="s">
        <v>81</v>
      </c>
      <c r="D113" s="16" t="s">
        <v>32122</v>
      </c>
      <c r="E113" s="16">
        <v>3</v>
      </c>
      <c r="F113" s="18" t="s">
        <v>32300</v>
      </c>
    </row>
    <row r="114" spans="1:6" x14ac:dyDescent="0.3">
      <c r="A114" s="15" t="s">
        <v>32301</v>
      </c>
      <c r="B114" s="15" t="s">
        <v>1399</v>
      </c>
      <c r="C114" s="15" t="s">
        <v>17</v>
      </c>
      <c r="D114" s="16" t="s">
        <v>32122</v>
      </c>
      <c r="E114" s="16">
        <v>4</v>
      </c>
      <c r="F114" s="18" t="s">
        <v>32302</v>
      </c>
    </row>
    <row r="115" spans="1:6" x14ac:dyDescent="0.3">
      <c r="A115" s="15" t="s">
        <v>32303</v>
      </c>
      <c r="B115" s="15" t="s">
        <v>29</v>
      </c>
      <c r="C115" s="15" t="s">
        <v>38</v>
      </c>
      <c r="D115" s="16" t="s">
        <v>32122</v>
      </c>
      <c r="E115" s="16">
        <v>8</v>
      </c>
      <c r="F115" s="18" t="s">
        <v>32304</v>
      </c>
    </row>
    <row r="116" spans="1:6" x14ac:dyDescent="0.3">
      <c r="A116" s="15" t="s">
        <v>3372</v>
      </c>
      <c r="B116" s="15" t="s">
        <v>32305</v>
      </c>
      <c r="C116" s="15" t="s">
        <v>81</v>
      </c>
      <c r="D116" s="16" t="s">
        <v>32122</v>
      </c>
      <c r="E116" s="16">
        <v>9</v>
      </c>
      <c r="F116" s="18" t="s">
        <v>32306</v>
      </c>
    </row>
    <row r="117" spans="1:6" x14ac:dyDescent="0.3">
      <c r="A117" s="15" t="s">
        <v>4857</v>
      </c>
      <c r="B117" s="15" t="s">
        <v>406</v>
      </c>
      <c r="C117" s="15" t="s">
        <v>1854</v>
      </c>
      <c r="D117" s="16" t="s">
        <v>32122</v>
      </c>
      <c r="E117" s="16">
        <v>10</v>
      </c>
      <c r="F117" s="18" t="s">
        <v>32307</v>
      </c>
    </row>
    <row r="118" spans="1:6" x14ac:dyDescent="0.3">
      <c r="A118" s="15" t="s">
        <v>32308</v>
      </c>
      <c r="B118" s="15" t="s">
        <v>38</v>
      </c>
      <c r="C118" s="15" t="s">
        <v>17</v>
      </c>
      <c r="D118" s="16" t="s">
        <v>32122</v>
      </c>
      <c r="E118" s="16">
        <v>11</v>
      </c>
      <c r="F118" s="18" t="s">
        <v>32309</v>
      </c>
    </row>
    <row r="119" spans="1:6" x14ac:dyDescent="0.3">
      <c r="A119" s="15" t="s">
        <v>32310</v>
      </c>
      <c r="B119" s="15" t="s">
        <v>29</v>
      </c>
      <c r="C119" s="15" t="s">
        <v>81</v>
      </c>
      <c r="D119" s="16" t="s">
        <v>32122</v>
      </c>
      <c r="E119" s="16">
        <v>12</v>
      </c>
      <c r="F119" s="18" t="s">
        <v>32311</v>
      </c>
    </row>
    <row r="120" spans="1:6" x14ac:dyDescent="0.3">
      <c r="A120" s="15" t="s">
        <v>569</v>
      </c>
      <c r="B120" s="15" t="s">
        <v>213</v>
      </c>
      <c r="C120" s="15" t="s">
        <v>328</v>
      </c>
      <c r="D120" s="16" t="s">
        <v>32122</v>
      </c>
      <c r="E120" s="16">
        <v>15</v>
      </c>
      <c r="F120" s="18" t="s">
        <v>32312</v>
      </c>
    </row>
    <row r="121" spans="1:6" x14ac:dyDescent="0.3">
      <c r="A121" s="15" t="s">
        <v>32313</v>
      </c>
      <c r="B121" s="15" t="s">
        <v>143</v>
      </c>
      <c r="C121" s="15" t="s">
        <v>117</v>
      </c>
      <c r="D121" s="16" t="s">
        <v>32122</v>
      </c>
      <c r="E121" s="16">
        <v>16</v>
      </c>
      <c r="F121" s="18" t="s">
        <v>32314</v>
      </c>
    </row>
    <row r="122" spans="1:6" x14ac:dyDescent="0.3">
      <c r="A122" s="15" t="s">
        <v>207</v>
      </c>
      <c r="B122" s="15" t="s">
        <v>29</v>
      </c>
      <c r="C122" s="15" t="s">
        <v>214</v>
      </c>
      <c r="D122" s="16" t="s">
        <v>32315</v>
      </c>
      <c r="E122" s="16">
        <v>7</v>
      </c>
      <c r="F122" s="18" t="s">
        <v>32316</v>
      </c>
    </row>
    <row r="123" spans="1:6" x14ac:dyDescent="0.3">
      <c r="A123" s="15" t="s">
        <v>25977</v>
      </c>
      <c r="B123" s="15" t="s">
        <v>3854</v>
      </c>
      <c r="C123" s="15" t="s">
        <v>62</v>
      </c>
      <c r="D123" s="16" t="s">
        <v>32315</v>
      </c>
      <c r="E123" s="16">
        <v>18</v>
      </c>
      <c r="F123" s="18" t="s">
        <v>32317</v>
      </c>
    </row>
    <row r="124" spans="1:6" x14ac:dyDescent="0.3">
      <c r="A124" s="15" t="s">
        <v>32318</v>
      </c>
      <c r="B124" s="15" t="s">
        <v>147</v>
      </c>
      <c r="C124" s="15" t="s">
        <v>167</v>
      </c>
      <c r="D124" s="16" t="s">
        <v>32319</v>
      </c>
      <c r="E124" s="16">
        <v>3</v>
      </c>
      <c r="F124" s="18" t="s">
        <v>32320</v>
      </c>
    </row>
    <row r="125" spans="1:6" x14ac:dyDescent="0.3">
      <c r="A125" s="15" t="s">
        <v>32321</v>
      </c>
      <c r="B125" s="15" t="s">
        <v>54</v>
      </c>
      <c r="C125" s="15" t="s">
        <v>17</v>
      </c>
      <c r="D125" s="16" t="s">
        <v>32319</v>
      </c>
      <c r="E125" s="16">
        <v>5</v>
      </c>
      <c r="F125" s="18" t="s">
        <v>32322</v>
      </c>
    </row>
    <row r="126" spans="1:6" x14ac:dyDescent="0.3">
      <c r="A126" s="15" t="s">
        <v>32323</v>
      </c>
      <c r="B126" s="15" t="s">
        <v>41</v>
      </c>
      <c r="C126" s="15" t="s">
        <v>158</v>
      </c>
      <c r="D126" s="16" t="s">
        <v>32319</v>
      </c>
      <c r="E126" s="16">
        <v>8</v>
      </c>
      <c r="F126" s="18" t="s">
        <v>32324</v>
      </c>
    </row>
    <row r="127" spans="1:6" x14ac:dyDescent="0.3">
      <c r="A127" s="15" t="s">
        <v>32325</v>
      </c>
      <c r="B127" s="15" t="s">
        <v>342</v>
      </c>
      <c r="C127" s="15" t="s">
        <v>38</v>
      </c>
      <c r="D127" s="16" t="s">
        <v>32319</v>
      </c>
      <c r="E127" s="16">
        <v>9</v>
      </c>
      <c r="F127" s="18" t="s">
        <v>32326</v>
      </c>
    </row>
    <row r="128" spans="1:6" x14ac:dyDescent="0.3">
      <c r="A128" s="15" t="s">
        <v>18687</v>
      </c>
      <c r="B128" s="15" t="s">
        <v>54</v>
      </c>
      <c r="C128" s="15" t="s">
        <v>81</v>
      </c>
      <c r="D128" s="16" t="s">
        <v>32319</v>
      </c>
      <c r="E128" s="16">
        <v>11</v>
      </c>
      <c r="F128" s="18" t="s">
        <v>32327</v>
      </c>
    </row>
    <row r="129" spans="1:6" x14ac:dyDescent="0.3">
      <c r="A129" s="15" t="s">
        <v>32328</v>
      </c>
      <c r="B129" s="15" t="s">
        <v>289</v>
      </c>
      <c r="C129" s="15" t="s">
        <v>639</v>
      </c>
      <c r="D129" s="16" t="s">
        <v>32319</v>
      </c>
      <c r="E129" s="16">
        <v>12</v>
      </c>
      <c r="F129" s="18" t="s">
        <v>32329</v>
      </c>
    </row>
    <row r="130" spans="1:6" x14ac:dyDescent="0.3">
      <c r="A130" s="15" t="s">
        <v>28</v>
      </c>
      <c r="B130" s="15" t="s">
        <v>454</v>
      </c>
      <c r="C130" s="15" t="s">
        <v>17</v>
      </c>
      <c r="D130" s="16" t="s">
        <v>32319</v>
      </c>
      <c r="E130" s="16">
        <v>44</v>
      </c>
      <c r="F130" s="18" t="s">
        <v>32330</v>
      </c>
    </row>
    <row r="131" spans="1:6" x14ac:dyDescent="0.3">
      <c r="A131" s="15" t="s">
        <v>1337</v>
      </c>
      <c r="B131" s="15" t="s">
        <v>41</v>
      </c>
      <c r="C131" s="15" t="s">
        <v>17</v>
      </c>
      <c r="D131" s="16" t="s">
        <v>32319</v>
      </c>
      <c r="E131" s="16">
        <v>56</v>
      </c>
      <c r="F131" s="18" t="s">
        <v>32331</v>
      </c>
    </row>
    <row r="132" spans="1:6" x14ac:dyDescent="0.3">
      <c r="A132" s="15" t="s">
        <v>3434</v>
      </c>
      <c r="B132" s="15" t="s">
        <v>54</v>
      </c>
      <c r="C132" s="15" t="s">
        <v>38</v>
      </c>
      <c r="D132" s="16" t="s">
        <v>32319</v>
      </c>
      <c r="E132" s="16">
        <v>77</v>
      </c>
      <c r="F132" s="18" t="s">
        <v>32332</v>
      </c>
    </row>
    <row r="133" spans="1:6" x14ac:dyDescent="0.3">
      <c r="A133" s="15" t="s">
        <v>2052</v>
      </c>
      <c r="B133" s="15" t="s">
        <v>32333</v>
      </c>
      <c r="C133" s="15" t="s">
        <v>167</v>
      </c>
      <c r="D133" s="16" t="s">
        <v>32319</v>
      </c>
      <c r="E133" s="16">
        <v>78</v>
      </c>
      <c r="F133" s="18" t="s">
        <v>32334</v>
      </c>
    </row>
    <row r="134" spans="1:6" x14ac:dyDescent="0.3">
      <c r="A134" s="15" t="s">
        <v>32335</v>
      </c>
      <c r="B134" s="15" t="s">
        <v>32336</v>
      </c>
      <c r="C134" s="15" t="s">
        <v>117</v>
      </c>
      <c r="D134" s="16" t="s">
        <v>32319</v>
      </c>
      <c r="E134" s="16">
        <v>242</v>
      </c>
      <c r="F134" s="18" t="s">
        <v>32337</v>
      </c>
    </row>
    <row r="135" spans="1:6" x14ac:dyDescent="0.3">
      <c r="A135" s="15" t="s">
        <v>14444</v>
      </c>
      <c r="B135" s="15" t="s">
        <v>115</v>
      </c>
      <c r="C135" s="15" t="s">
        <v>626</v>
      </c>
      <c r="D135" s="16" t="s">
        <v>32319</v>
      </c>
      <c r="E135" s="16">
        <v>354</v>
      </c>
      <c r="F135" s="18" t="s">
        <v>32338</v>
      </c>
    </row>
    <row r="136" spans="1:6" x14ac:dyDescent="0.3">
      <c r="A136" s="15" t="s">
        <v>717</v>
      </c>
      <c r="B136" s="15" t="s">
        <v>41</v>
      </c>
      <c r="C136" s="15" t="s">
        <v>30</v>
      </c>
      <c r="D136" s="16" t="s">
        <v>32319</v>
      </c>
      <c r="E136" s="16">
        <v>362</v>
      </c>
      <c r="F136" s="18" t="s">
        <v>32339</v>
      </c>
    </row>
    <row r="137" spans="1:6" x14ac:dyDescent="0.3">
      <c r="A137" s="15" t="s">
        <v>7037</v>
      </c>
      <c r="B137" s="15" t="s">
        <v>62</v>
      </c>
      <c r="C137" s="15" t="s">
        <v>117</v>
      </c>
      <c r="D137" s="16" t="s">
        <v>32319</v>
      </c>
      <c r="E137" s="16">
        <v>363</v>
      </c>
      <c r="F137" s="18" t="s">
        <v>32340</v>
      </c>
    </row>
    <row r="138" spans="1:6" x14ac:dyDescent="0.3">
      <c r="A138" s="15" t="s">
        <v>29454</v>
      </c>
      <c r="B138" s="15" t="s">
        <v>41</v>
      </c>
      <c r="C138" s="15" t="s">
        <v>343</v>
      </c>
      <c r="D138" s="16" t="s">
        <v>32319</v>
      </c>
      <c r="E138" s="16">
        <v>375</v>
      </c>
      <c r="F138" s="18" t="s">
        <v>32341</v>
      </c>
    </row>
    <row r="139" spans="1:6" x14ac:dyDescent="0.3">
      <c r="A139" s="15" t="s">
        <v>32342</v>
      </c>
      <c r="B139" s="15" t="s">
        <v>32343</v>
      </c>
      <c r="C139" s="15" t="s">
        <v>34</v>
      </c>
      <c r="D139" s="16" t="s">
        <v>32319</v>
      </c>
      <c r="E139" s="16">
        <v>407</v>
      </c>
      <c r="F139" s="18" t="s">
        <v>32344</v>
      </c>
    </row>
    <row r="140" spans="1:6" x14ac:dyDescent="0.3">
      <c r="A140" s="15" t="s">
        <v>20210</v>
      </c>
      <c r="B140" s="15" t="s">
        <v>320</v>
      </c>
      <c r="C140" s="15" t="s">
        <v>34</v>
      </c>
      <c r="D140" s="16" t="s">
        <v>32319</v>
      </c>
      <c r="E140" s="16">
        <v>418</v>
      </c>
      <c r="F140" s="18" t="s">
        <v>32345</v>
      </c>
    </row>
    <row r="141" spans="1:6" x14ac:dyDescent="0.3">
      <c r="A141" s="15" t="s">
        <v>26964</v>
      </c>
      <c r="B141" s="15" t="s">
        <v>550</v>
      </c>
      <c r="C141" s="15" t="s">
        <v>81</v>
      </c>
      <c r="D141" s="16" t="s">
        <v>32319</v>
      </c>
      <c r="E141" s="16">
        <v>421</v>
      </c>
      <c r="F141" s="18" t="s">
        <v>32346</v>
      </c>
    </row>
    <row r="142" spans="1:6" x14ac:dyDescent="0.3">
      <c r="A142" s="15" t="s">
        <v>19615</v>
      </c>
      <c r="B142" s="15" t="s">
        <v>97</v>
      </c>
      <c r="C142" s="15" t="s">
        <v>124</v>
      </c>
      <c r="D142" s="16" t="s">
        <v>32107</v>
      </c>
      <c r="E142" s="16">
        <v>3</v>
      </c>
      <c r="F142" s="18" t="s">
        <v>32347</v>
      </c>
    </row>
    <row r="143" spans="1:6" x14ac:dyDescent="0.3">
      <c r="A143" s="15" t="s">
        <v>2449</v>
      </c>
      <c r="B143" s="15" t="s">
        <v>110</v>
      </c>
      <c r="C143" s="15" t="s">
        <v>972</v>
      </c>
      <c r="D143" s="16" t="s">
        <v>32107</v>
      </c>
      <c r="E143" s="16">
        <v>19</v>
      </c>
      <c r="F143" s="18" t="s">
        <v>32348</v>
      </c>
    </row>
    <row r="144" spans="1:6" x14ac:dyDescent="0.3">
      <c r="A144" s="15" t="s">
        <v>32349</v>
      </c>
      <c r="B144" s="15" t="s">
        <v>33</v>
      </c>
      <c r="C144" s="15" t="s">
        <v>9547</v>
      </c>
      <c r="D144" s="16" t="s">
        <v>32107</v>
      </c>
      <c r="E144" s="16">
        <v>23</v>
      </c>
      <c r="F144" s="18" t="s">
        <v>32350</v>
      </c>
    </row>
    <row r="145" spans="1:6" x14ac:dyDescent="0.3">
      <c r="A145" s="15" t="s">
        <v>11875</v>
      </c>
      <c r="B145" s="15" t="s">
        <v>413</v>
      </c>
      <c r="C145" s="15" t="s">
        <v>81</v>
      </c>
      <c r="D145" s="16" t="s">
        <v>32107</v>
      </c>
      <c r="E145" s="16">
        <v>47</v>
      </c>
      <c r="F145" s="18" t="s">
        <v>32351</v>
      </c>
    </row>
    <row r="146" spans="1:6" x14ac:dyDescent="0.3">
      <c r="A146" s="15" t="s">
        <v>7820</v>
      </c>
      <c r="B146" s="15" t="s">
        <v>33</v>
      </c>
      <c r="C146" s="15" t="s">
        <v>81</v>
      </c>
      <c r="D146" s="16" t="s">
        <v>32107</v>
      </c>
      <c r="E146" s="16">
        <v>57</v>
      </c>
      <c r="F146" s="18" t="s">
        <v>32352</v>
      </c>
    </row>
    <row r="147" spans="1:6" x14ac:dyDescent="0.3">
      <c r="A147" s="15" t="s">
        <v>32353</v>
      </c>
      <c r="B147" s="15" t="s">
        <v>2998</v>
      </c>
      <c r="C147" s="15" t="s">
        <v>20</v>
      </c>
      <c r="D147" s="16" t="s">
        <v>32107</v>
      </c>
      <c r="E147" s="16">
        <v>60</v>
      </c>
      <c r="F147" s="18" t="s">
        <v>32354</v>
      </c>
    </row>
    <row r="148" spans="1:6" x14ac:dyDescent="0.3">
      <c r="A148" s="15" t="s">
        <v>10208</v>
      </c>
      <c r="B148" s="15" t="s">
        <v>55</v>
      </c>
      <c r="C148" s="15" t="s">
        <v>30</v>
      </c>
      <c r="D148" s="16" t="s">
        <v>32107</v>
      </c>
      <c r="E148" s="16">
        <v>69</v>
      </c>
      <c r="F148" s="18" t="s">
        <v>32355</v>
      </c>
    </row>
    <row r="149" spans="1:6" x14ac:dyDescent="0.3">
      <c r="A149" s="15" t="s">
        <v>8201</v>
      </c>
      <c r="B149" s="15" t="s">
        <v>22</v>
      </c>
      <c r="C149" s="15" t="s">
        <v>117</v>
      </c>
      <c r="D149" s="16" t="s">
        <v>32107</v>
      </c>
      <c r="E149" s="16">
        <v>83</v>
      </c>
      <c r="F149" s="18" t="s">
        <v>32356</v>
      </c>
    </row>
    <row r="150" spans="1:6" x14ac:dyDescent="0.3">
      <c r="A150" s="15" t="s">
        <v>10409</v>
      </c>
      <c r="B150" s="15" t="s">
        <v>182</v>
      </c>
      <c r="C150" s="15" t="s">
        <v>38</v>
      </c>
      <c r="D150" s="16" t="s">
        <v>32107</v>
      </c>
      <c r="E150" s="16">
        <v>84</v>
      </c>
      <c r="F150" s="18" t="s">
        <v>32357</v>
      </c>
    </row>
    <row r="151" spans="1:6" x14ac:dyDescent="0.3">
      <c r="A151" s="15" t="s">
        <v>32358</v>
      </c>
      <c r="B151" s="15" t="s">
        <v>29</v>
      </c>
      <c r="C151" s="15" t="s">
        <v>238</v>
      </c>
      <c r="D151" s="16" t="s">
        <v>32107</v>
      </c>
      <c r="E151" s="16">
        <v>89</v>
      </c>
      <c r="F151" s="18" t="s">
        <v>32359</v>
      </c>
    </row>
    <row r="152" spans="1:6" x14ac:dyDescent="0.3">
      <c r="A152" s="15" t="s">
        <v>13657</v>
      </c>
      <c r="B152" s="15" t="s">
        <v>5060</v>
      </c>
      <c r="C152" s="15" t="s">
        <v>167</v>
      </c>
      <c r="D152" s="16" t="s">
        <v>32107</v>
      </c>
      <c r="E152" s="16">
        <v>97</v>
      </c>
      <c r="F152" s="18">
        <v>857902</v>
      </c>
    </row>
    <row r="153" spans="1:6" x14ac:dyDescent="0.3">
      <c r="A153" s="15" t="s">
        <v>32360</v>
      </c>
      <c r="B153" s="15" t="s">
        <v>1277</v>
      </c>
      <c r="C153" s="15" t="s">
        <v>30</v>
      </c>
      <c r="D153" s="16" t="s">
        <v>32107</v>
      </c>
      <c r="E153" s="16">
        <v>129</v>
      </c>
      <c r="F153" s="18" t="s">
        <v>32361</v>
      </c>
    </row>
    <row r="154" spans="1:6" x14ac:dyDescent="0.3">
      <c r="A154" s="15" t="s">
        <v>32362</v>
      </c>
      <c r="B154" s="15" t="s">
        <v>32363</v>
      </c>
      <c r="C154" s="15" t="s">
        <v>26404</v>
      </c>
      <c r="D154" s="16" t="s">
        <v>32107</v>
      </c>
      <c r="E154" s="16">
        <v>135</v>
      </c>
      <c r="F154" s="18" t="s">
        <v>32364</v>
      </c>
    </row>
    <row r="155" spans="1:6" x14ac:dyDescent="0.3">
      <c r="A155" s="15" t="s">
        <v>357</v>
      </c>
      <c r="B155" s="15" t="s">
        <v>139</v>
      </c>
      <c r="C155" s="15" t="s">
        <v>117</v>
      </c>
      <c r="D155" s="16" t="s">
        <v>32107</v>
      </c>
      <c r="E155" s="16">
        <v>136</v>
      </c>
      <c r="F155" s="18" t="s">
        <v>32365</v>
      </c>
    </row>
    <row r="156" spans="1:6" x14ac:dyDescent="0.3">
      <c r="A156" s="15" t="s">
        <v>18699</v>
      </c>
      <c r="B156" s="15" t="s">
        <v>957</v>
      </c>
      <c r="C156" s="15" t="s">
        <v>68</v>
      </c>
      <c r="D156" s="16" t="s">
        <v>32107</v>
      </c>
      <c r="E156" s="16">
        <v>147</v>
      </c>
      <c r="F156" s="18" t="s">
        <v>32366</v>
      </c>
    </row>
    <row r="157" spans="1:6" x14ac:dyDescent="0.3">
      <c r="A157" s="15" t="s">
        <v>32367</v>
      </c>
      <c r="B157" s="15" t="s">
        <v>22</v>
      </c>
      <c r="C157" s="15" t="s">
        <v>91</v>
      </c>
      <c r="D157" s="16" t="s">
        <v>32107</v>
      </c>
      <c r="E157" s="16">
        <v>164</v>
      </c>
      <c r="F157" s="18" t="s">
        <v>32368</v>
      </c>
    </row>
    <row r="158" spans="1:6" x14ac:dyDescent="0.3">
      <c r="A158" s="15" t="s">
        <v>11014</v>
      </c>
      <c r="B158" s="15" t="s">
        <v>12892</v>
      </c>
      <c r="C158" s="15" t="s">
        <v>20</v>
      </c>
      <c r="D158" s="16" t="s">
        <v>32107</v>
      </c>
      <c r="E158" s="16">
        <v>179</v>
      </c>
      <c r="F158" s="18" t="s">
        <v>32369</v>
      </c>
    </row>
    <row r="159" spans="1:6" x14ac:dyDescent="0.3">
      <c r="A159" s="15" t="s">
        <v>19268</v>
      </c>
      <c r="B159" s="15" t="s">
        <v>150</v>
      </c>
      <c r="C159" s="15" t="s">
        <v>34</v>
      </c>
      <c r="D159" s="16" t="s">
        <v>32107</v>
      </c>
      <c r="E159" s="16">
        <v>181</v>
      </c>
      <c r="F159" s="18" t="s">
        <v>32370</v>
      </c>
    </row>
    <row r="160" spans="1:6" x14ac:dyDescent="0.3">
      <c r="A160" s="15" t="s">
        <v>30768</v>
      </c>
      <c r="B160" s="15" t="s">
        <v>26</v>
      </c>
      <c r="C160" s="15" t="s">
        <v>81</v>
      </c>
      <c r="D160" s="16" t="s">
        <v>32107</v>
      </c>
      <c r="E160" s="16">
        <v>223</v>
      </c>
      <c r="F160" s="18" t="s">
        <v>32371</v>
      </c>
    </row>
    <row r="161" spans="1:6" x14ac:dyDescent="0.3">
      <c r="A161" s="15" t="s">
        <v>32372</v>
      </c>
      <c r="B161" s="15" t="s">
        <v>744</v>
      </c>
      <c r="C161" s="15" t="s">
        <v>20</v>
      </c>
      <c r="D161" s="16" t="s">
        <v>32107</v>
      </c>
      <c r="E161" s="16">
        <v>245</v>
      </c>
      <c r="F161" s="18" t="s">
        <v>32373</v>
      </c>
    </row>
    <row r="162" spans="1:6" x14ac:dyDescent="0.3">
      <c r="A162" s="15" t="s">
        <v>181</v>
      </c>
      <c r="B162" s="15" t="s">
        <v>170</v>
      </c>
      <c r="C162" s="15" t="s">
        <v>34</v>
      </c>
      <c r="D162" s="16" t="s">
        <v>32107</v>
      </c>
      <c r="E162" s="16">
        <v>246</v>
      </c>
      <c r="F162" s="18" t="s">
        <v>32374</v>
      </c>
    </row>
    <row r="163" spans="1:6" x14ac:dyDescent="0.3">
      <c r="A163" s="15" t="s">
        <v>32375</v>
      </c>
      <c r="B163" s="15" t="s">
        <v>2998</v>
      </c>
      <c r="C163" s="15" t="s">
        <v>30</v>
      </c>
      <c r="D163" s="16" t="s">
        <v>32107</v>
      </c>
      <c r="E163" s="16">
        <v>254</v>
      </c>
      <c r="F163" s="18" t="s">
        <v>32376</v>
      </c>
    </row>
    <row r="164" spans="1:6" x14ac:dyDescent="0.3">
      <c r="A164" s="15" t="s">
        <v>5740</v>
      </c>
      <c r="B164" s="15" t="s">
        <v>22</v>
      </c>
      <c r="C164" s="15" t="s">
        <v>878</v>
      </c>
      <c r="D164" s="16" t="s">
        <v>32107</v>
      </c>
      <c r="E164" s="16">
        <v>268</v>
      </c>
      <c r="F164" s="18" t="s">
        <v>32377</v>
      </c>
    </row>
    <row r="165" spans="1:6" x14ac:dyDescent="0.3">
      <c r="A165" s="15" t="s">
        <v>11110</v>
      </c>
      <c r="B165" s="15" t="s">
        <v>22</v>
      </c>
      <c r="C165" s="15" t="s">
        <v>190</v>
      </c>
      <c r="D165" s="16" t="s">
        <v>32107</v>
      </c>
      <c r="E165" s="16">
        <v>295</v>
      </c>
      <c r="F165" s="18" t="s">
        <v>32378</v>
      </c>
    </row>
    <row r="166" spans="1:6" x14ac:dyDescent="0.3">
      <c r="A166" s="15" t="s">
        <v>32379</v>
      </c>
      <c r="B166" s="15" t="s">
        <v>5447</v>
      </c>
      <c r="C166" s="15" t="s">
        <v>81</v>
      </c>
      <c r="D166" s="16" t="s">
        <v>32107</v>
      </c>
      <c r="E166" s="16">
        <v>297</v>
      </c>
      <c r="F166" s="18" t="s">
        <v>32380</v>
      </c>
    </row>
    <row r="167" spans="1:6" x14ac:dyDescent="0.3">
      <c r="A167" s="15" t="s">
        <v>2043</v>
      </c>
      <c r="B167" s="15" t="s">
        <v>563</v>
      </c>
      <c r="C167" s="15" t="s">
        <v>62</v>
      </c>
      <c r="D167" s="16" t="s">
        <v>32107</v>
      </c>
      <c r="E167" s="16">
        <v>298</v>
      </c>
      <c r="F167" s="18" t="s">
        <v>32381</v>
      </c>
    </row>
    <row r="168" spans="1:6" x14ac:dyDescent="0.3">
      <c r="A168" s="15" t="s">
        <v>32382</v>
      </c>
      <c r="B168" s="15" t="s">
        <v>161</v>
      </c>
      <c r="C168" s="15" t="s">
        <v>30</v>
      </c>
      <c r="D168" s="16" t="s">
        <v>32107</v>
      </c>
      <c r="E168" s="16">
        <v>307</v>
      </c>
      <c r="F168" s="18" t="s">
        <v>32383</v>
      </c>
    </row>
    <row r="169" spans="1:6" x14ac:dyDescent="0.3">
      <c r="A169" s="15" t="s">
        <v>17213</v>
      </c>
      <c r="B169" s="15" t="s">
        <v>4546</v>
      </c>
      <c r="C169" s="15" t="s">
        <v>136</v>
      </c>
      <c r="D169" s="16" t="s">
        <v>32107</v>
      </c>
      <c r="E169" s="16">
        <v>314</v>
      </c>
      <c r="F169" s="18" t="s">
        <v>32384</v>
      </c>
    </row>
    <row r="170" spans="1:6" x14ac:dyDescent="0.3">
      <c r="A170" s="15" t="s">
        <v>20210</v>
      </c>
      <c r="B170" s="15" t="s">
        <v>41</v>
      </c>
      <c r="C170" s="15" t="s">
        <v>30</v>
      </c>
      <c r="D170" s="16" t="s">
        <v>32107</v>
      </c>
      <c r="E170" s="16">
        <v>321</v>
      </c>
      <c r="F170" s="18" t="s">
        <v>32385</v>
      </c>
    </row>
    <row r="171" spans="1:6" x14ac:dyDescent="0.3">
      <c r="A171" s="15" t="s">
        <v>32386</v>
      </c>
      <c r="B171" s="15" t="s">
        <v>227</v>
      </c>
      <c r="C171" s="15" t="s">
        <v>652</v>
      </c>
      <c r="D171" s="16" t="s">
        <v>32107</v>
      </c>
      <c r="E171" s="16">
        <v>327</v>
      </c>
      <c r="F171" s="18" t="s">
        <v>32387</v>
      </c>
    </row>
    <row r="172" spans="1:6" x14ac:dyDescent="0.3">
      <c r="A172" s="15" t="s">
        <v>32388</v>
      </c>
      <c r="B172" s="15" t="s">
        <v>393</v>
      </c>
      <c r="C172" s="15" t="s">
        <v>17</v>
      </c>
      <c r="D172" s="16" t="s">
        <v>32107</v>
      </c>
      <c r="E172" s="16">
        <v>333</v>
      </c>
      <c r="F172" s="18" t="s">
        <v>32389</v>
      </c>
    </row>
    <row r="173" spans="1:6" x14ac:dyDescent="0.3">
      <c r="A173" s="15" t="s">
        <v>16223</v>
      </c>
      <c r="B173" s="15" t="s">
        <v>6148</v>
      </c>
      <c r="C173" s="15" t="s">
        <v>158</v>
      </c>
      <c r="D173" s="16" t="s">
        <v>32107</v>
      </c>
      <c r="E173" s="16">
        <v>335</v>
      </c>
      <c r="F173" s="18" t="s">
        <v>32390</v>
      </c>
    </row>
    <row r="174" spans="1:6" x14ac:dyDescent="0.3">
      <c r="A174" s="15" t="s">
        <v>32391</v>
      </c>
      <c r="B174" s="15" t="s">
        <v>2011</v>
      </c>
      <c r="C174" s="15" t="s">
        <v>81</v>
      </c>
      <c r="D174" s="16" t="s">
        <v>32107</v>
      </c>
      <c r="E174" s="16">
        <v>349</v>
      </c>
      <c r="F174" s="18" t="s">
        <v>32392</v>
      </c>
    </row>
    <row r="175" spans="1:6" x14ac:dyDescent="0.3">
      <c r="A175" s="15" t="s">
        <v>6054</v>
      </c>
      <c r="B175" s="15" t="s">
        <v>255</v>
      </c>
      <c r="C175" s="15" t="s">
        <v>328</v>
      </c>
      <c r="D175" s="16" t="s">
        <v>32107</v>
      </c>
      <c r="E175" s="16">
        <v>352</v>
      </c>
      <c r="F175" s="18" t="s">
        <v>32393</v>
      </c>
    </row>
    <row r="176" spans="1:6" x14ac:dyDescent="0.3">
      <c r="A176" s="15" t="s">
        <v>7838</v>
      </c>
      <c r="B176" s="15" t="s">
        <v>789</v>
      </c>
      <c r="C176" s="15" t="s">
        <v>20</v>
      </c>
      <c r="D176" s="16" t="s">
        <v>32107</v>
      </c>
      <c r="E176" s="16">
        <v>356</v>
      </c>
      <c r="F176" s="18" t="s">
        <v>32394</v>
      </c>
    </row>
    <row r="177" spans="1:6" x14ac:dyDescent="0.3">
      <c r="A177" s="15" t="s">
        <v>6430</v>
      </c>
      <c r="B177" s="15" t="s">
        <v>110</v>
      </c>
      <c r="C177" s="15" t="s">
        <v>328</v>
      </c>
      <c r="D177" s="16" t="s">
        <v>32107</v>
      </c>
      <c r="E177" s="16">
        <v>363</v>
      </c>
      <c r="F177" s="18" t="s">
        <v>32395</v>
      </c>
    </row>
    <row r="178" spans="1:6" x14ac:dyDescent="0.3">
      <c r="A178" s="15" t="s">
        <v>32396</v>
      </c>
      <c r="B178" s="15" t="s">
        <v>97</v>
      </c>
      <c r="C178" s="15" t="s">
        <v>2237</v>
      </c>
      <c r="D178" s="16" t="s">
        <v>32107</v>
      </c>
      <c r="E178" s="16">
        <v>369</v>
      </c>
      <c r="F178" s="18" t="s">
        <v>32397</v>
      </c>
    </row>
    <row r="179" spans="1:6" x14ac:dyDescent="0.3">
      <c r="A179" s="15" t="s">
        <v>13012</v>
      </c>
      <c r="B179" s="15" t="s">
        <v>88</v>
      </c>
      <c r="C179" s="15" t="s">
        <v>79</v>
      </c>
      <c r="D179" s="16" t="s">
        <v>32107</v>
      </c>
      <c r="E179" s="16">
        <v>370</v>
      </c>
      <c r="F179" s="18" t="s">
        <v>32398</v>
      </c>
    </row>
    <row r="180" spans="1:6" x14ac:dyDescent="0.3">
      <c r="A180" s="15" t="s">
        <v>32399</v>
      </c>
      <c r="B180" s="15" t="s">
        <v>1892</v>
      </c>
      <c r="C180" s="15" t="s">
        <v>20</v>
      </c>
      <c r="D180" s="16" t="s">
        <v>32107</v>
      </c>
      <c r="E180" s="16">
        <v>371</v>
      </c>
      <c r="F180" s="18" t="s">
        <v>32400</v>
      </c>
    </row>
    <row r="181" spans="1:6" x14ac:dyDescent="0.3">
      <c r="A181" s="15" t="s">
        <v>32401</v>
      </c>
      <c r="B181" s="15" t="s">
        <v>110</v>
      </c>
      <c r="C181" s="15" t="s">
        <v>124</v>
      </c>
      <c r="D181" s="16" t="s">
        <v>32107</v>
      </c>
      <c r="E181" s="16">
        <v>378</v>
      </c>
      <c r="F181" s="18" t="s">
        <v>32402</v>
      </c>
    </row>
    <row r="182" spans="1:6" x14ac:dyDescent="0.3">
      <c r="A182" s="15" t="s">
        <v>32403</v>
      </c>
      <c r="B182" s="15" t="s">
        <v>117</v>
      </c>
      <c r="C182" s="15" t="s">
        <v>158</v>
      </c>
      <c r="D182" s="16" t="s">
        <v>32107</v>
      </c>
      <c r="E182" s="16">
        <v>386</v>
      </c>
      <c r="F182" s="18" t="s">
        <v>32404</v>
      </c>
    </row>
    <row r="183" spans="1:6" x14ac:dyDescent="0.3">
      <c r="A183" s="15" t="s">
        <v>32405</v>
      </c>
      <c r="B183" s="15" t="s">
        <v>54</v>
      </c>
      <c r="C183" s="15" t="s">
        <v>442</v>
      </c>
      <c r="D183" s="16" t="s">
        <v>32107</v>
      </c>
      <c r="E183" s="16">
        <v>399</v>
      </c>
      <c r="F183" s="18" t="s">
        <v>32406</v>
      </c>
    </row>
    <row r="184" spans="1:6" x14ac:dyDescent="0.3">
      <c r="A184" s="15" t="s">
        <v>4918</v>
      </c>
      <c r="B184" s="15" t="s">
        <v>173</v>
      </c>
      <c r="C184" s="15" t="s">
        <v>158</v>
      </c>
      <c r="D184" s="16" t="s">
        <v>32107</v>
      </c>
      <c r="E184" s="16">
        <v>400</v>
      </c>
      <c r="F184" s="18" t="s">
        <v>32407</v>
      </c>
    </row>
    <row r="185" spans="1:6" x14ac:dyDescent="0.3">
      <c r="A185" s="15" t="s">
        <v>32408</v>
      </c>
      <c r="B185" s="15" t="s">
        <v>170</v>
      </c>
      <c r="C185" s="15" t="s">
        <v>158</v>
      </c>
      <c r="D185" s="16" t="s">
        <v>32107</v>
      </c>
      <c r="E185" s="16">
        <v>404</v>
      </c>
      <c r="F185" s="18" t="s">
        <v>32409</v>
      </c>
    </row>
    <row r="186" spans="1:6" x14ac:dyDescent="0.3">
      <c r="A186" s="15" t="s">
        <v>2073</v>
      </c>
      <c r="B186" s="15" t="s">
        <v>4935</v>
      </c>
      <c r="C186" s="15" t="s">
        <v>20</v>
      </c>
      <c r="D186" s="16" t="s">
        <v>32107</v>
      </c>
      <c r="E186" s="16">
        <v>408</v>
      </c>
      <c r="F186" s="18" t="s">
        <v>32410</v>
      </c>
    </row>
    <row r="187" spans="1:6" x14ac:dyDescent="0.3">
      <c r="A187" s="15" t="s">
        <v>5970</v>
      </c>
      <c r="B187" s="15" t="s">
        <v>161</v>
      </c>
      <c r="C187" s="15" t="s">
        <v>117</v>
      </c>
      <c r="D187" s="16" t="s">
        <v>32107</v>
      </c>
      <c r="E187" s="16">
        <v>422</v>
      </c>
      <c r="F187" s="18" t="s">
        <v>32411</v>
      </c>
    </row>
    <row r="188" spans="1:6" x14ac:dyDescent="0.3">
      <c r="A188" s="15" t="s">
        <v>32412</v>
      </c>
      <c r="B188" s="15" t="s">
        <v>41</v>
      </c>
      <c r="C188" s="15" t="s">
        <v>32413</v>
      </c>
      <c r="D188" s="16" t="s">
        <v>32107</v>
      </c>
      <c r="E188" s="16">
        <v>433</v>
      </c>
      <c r="F188" s="18" t="s">
        <v>32414</v>
      </c>
    </row>
    <row r="189" spans="1:6" x14ac:dyDescent="0.3">
      <c r="A189" s="15" t="s">
        <v>19449</v>
      </c>
      <c r="B189" s="15" t="s">
        <v>166</v>
      </c>
      <c r="C189" s="15" t="s">
        <v>782</v>
      </c>
      <c r="D189" s="16" t="s">
        <v>32107</v>
      </c>
      <c r="E189" s="16">
        <v>436</v>
      </c>
      <c r="F189" s="18" t="s">
        <v>32415</v>
      </c>
    </row>
    <row r="190" spans="1:6" x14ac:dyDescent="0.3">
      <c r="A190" s="15" t="s">
        <v>20070</v>
      </c>
      <c r="B190" s="15" t="s">
        <v>26</v>
      </c>
      <c r="C190" s="15" t="s">
        <v>30</v>
      </c>
      <c r="D190" s="16" t="s">
        <v>32107</v>
      </c>
      <c r="E190" s="16">
        <v>439</v>
      </c>
      <c r="F190" s="18" t="s">
        <v>32416</v>
      </c>
    </row>
    <row r="191" spans="1:6" x14ac:dyDescent="0.3">
      <c r="A191" s="15" t="s">
        <v>32417</v>
      </c>
      <c r="B191" s="15" t="s">
        <v>957</v>
      </c>
      <c r="C191" s="15" t="s">
        <v>20</v>
      </c>
      <c r="D191" s="16" t="s">
        <v>32107</v>
      </c>
      <c r="E191" s="16">
        <v>440</v>
      </c>
      <c r="F191" s="18" t="s">
        <v>32418</v>
      </c>
    </row>
    <row r="192" spans="1:6" x14ac:dyDescent="0.3">
      <c r="A192" s="15" t="s">
        <v>27710</v>
      </c>
      <c r="B192" s="15" t="s">
        <v>182</v>
      </c>
      <c r="C192" s="15" t="s">
        <v>20</v>
      </c>
      <c r="D192" s="16" t="s">
        <v>32107</v>
      </c>
      <c r="E192" s="16">
        <v>443</v>
      </c>
      <c r="F192" s="18" t="s">
        <v>32419</v>
      </c>
    </row>
    <row r="193" spans="1:6" x14ac:dyDescent="0.3">
      <c r="A193" s="15" t="s">
        <v>932</v>
      </c>
      <c r="B193" s="15" t="s">
        <v>88</v>
      </c>
      <c r="C193" s="15" t="s">
        <v>38</v>
      </c>
      <c r="D193" s="16" t="s">
        <v>32107</v>
      </c>
      <c r="E193" s="16">
        <v>447</v>
      </c>
      <c r="F193" s="18" t="s">
        <v>32420</v>
      </c>
    </row>
    <row r="194" spans="1:6" x14ac:dyDescent="0.3">
      <c r="A194" s="15" t="s">
        <v>1296</v>
      </c>
      <c r="B194" s="15" t="s">
        <v>143</v>
      </c>
      <c r="C194" s="15" t="s">
        <v>30</v>
      </c>
      <c r="D194" s="16" t="s">
        <v>32107</v>
      </c>
      <c r="E194" s="16">
        <v>450</v>
      </c>
      <c r="F194" s="18" t="s">
        <v>32421</v>
      </c>
    </row>
    <row r="195" spans="1:6" x14ac:dyDescent="0.3">
      <c r="A195" s="15" t="s">
        <v>2192</v>
      </c>
      <c r="B195" s="15" t="s">
        <v>255</v>
      </c>
      <c r="C195" s="15" t="s">
        <v>30</v>
      </c>
      <c r="D195" s="16" t="s">
        <v>32107</v>
      </c>
      <c r="E195" s="16">
        <v>451</v>
      </c>
      <c r="F195" s="18" t="s">
        <v>32422</v>
      </c>
    </row>
    <row r="196" spans="1:6" x14ac:dyDescent="0.3">
      <c r="A196" s="15" t="s">
        <v>3415</v>
      </c>
      <c r="B196" s="15" t="s">
        <v>161</v>
      </c>
      <c r="C196" s="15" t="s">
        <v>158</v>
      </c>
      <c r="D196" s="16" t="s">
        <v>32107</v>
      </c>
      <c r="E196" s="16">
        <v>456</v>
      </c>
      <c r="F196" s="18" t="s">
        <v>32423</v>
      </c>
    </row>
    <row r="197" spans="1:6" x14ac:dyDescent="0.3">
      <c r="A197" s="15" t="s">
        <v>32424</v>
      </c>
      <c r="B197" s="15" t="s">
        <v>161</v>
      </c>
      <c r="C197" s="15" t="s">
        <v>20</v>
      </c>
      <c r="D197" s="16" t="s">
        <v>32107</v>
      </c>
      <c r="E197" s="16">
        <v>457</v>
      </c>
      <c r="F197" s="18" t="s">
        <v>32425</v>
      </c>
    </row>
    <row r="198" spans="1:6" x14ac:dyDescent="0.3">
      <c r="A198" s="15" t="s">
        <v>32426</v>
      </c>
      <c r="B198" s="15" t="s">
        <v>789</v>
      </c>
      <c r="C198" s="15" t="s">
        <v>310</v>
      </c>
      <c r="D198" s="16" t="s">
        <v>32107</v>
      </c>
      <c r="E198" s="16">
        <v>458</v>
      </c>
      <c r="F198" s="18" t="s">
        <v>32427</v>
      </c>
    </row>
    <row r="199" spans="1:6" x14ac:dyDescent="0.3">
      <c r="A199" s="15" t="s">
        <v>36</v>
      </c>
      <c r="B199" s="15" t="s">
        <v>32428</v>
      </c>
      <c r="C199" s="15" t="s">
        <v>136</v>
      </c>
      <c r="D199" s="16" t="s">
        <v>32107</v>
      </c>
      <c r="E199" s="16">
        <v>462</v>
      </c>
      <c r="F199" s="18" t="s">
        <v>32429</v>
      </c>
    </row>
    <row r="200" spans="1:6" x14ac:dyDescent="0.3">
      <c r="A200" s="15" t="s">
        <v>32430</v>
      </c>
      <c r="B200" s="15" t="s">
        <v>29</v>
      </c>
      <c r="C200" s="15" t="s">
        <v>652</v>
      </c>
      <c r="D200" s="16" t="s">
        <v>32431</v>
      </c>
      <c r="E200" s="16">
        <v>2</v>
      </c>
      <c r="F200" s="18" t="s">
        <v>32432</v>
      </c>
    </row>
    <row r="201" spans="1:6" x14ac:dyDescent="0.3">
      <c r="A201" s="15" t="s">
        <v>32433</v>
      </c>
      <c r="B201" s="15" t="s">
        <v>188</v>
      </c>
      <c r="C201" s="15" t="s">
        <v>214</v>
      </c>
      <c r="D201" s="16" t="s">
        <v>32431</v>
      </c>
      <c r="E201" s="16">
        <v>11</v>
      </c>
      <c r="F201" s="18" t="s">
        <v>32434</v>
      </c>
    </row>
    <row r="202" spans="1:6" x14ac:dyDescent="0.3">
      <c r="A202" s="15" t="s">
        <v>2704</v>
      </c>
      <c r="B202" s="15" t="s">
        <v>789</v>
      </c>
      <c r="C202" s="15" t="s">
        <v>3121</v>
      </c>
      <c r="D202" s="16" t="s">
        <v>32431</v>
      </c>
      <c r="E202" s="16">
        <v>18</v>
      </c>
      <c r="F202" s="18" t="s">
        <v>32435</v>
      </c>
    </row>
    <row r="203" spans="1:6" x14ac:dyDescent="0.3">
      <c r="A203" s="15" t="s">
        <v>4223</v>
      </c>
      <c r="B203" s="15" t="s">
        <v>54</v>
      </c>
      <c r="C203" s="15" t="s">
        <v>652</v>
      </c>
      <c r="D203" s="16" t="s">
        <v>32431</v>
      </c>
      <c r="E203" s="16">
        <v>19</v>
      </c>
      <c r="F203" s="18" t="s">
        <v>32436</v>
      </c>
    </row>
    <row r="204" spans="1:6" x14ac:dyDescent="0.3">
      <c r="A204" s="15" t="s">
        <v>7816</v>
      </c>
      <c r="B204" s="15" t="s">
        <v>54</v>
      </c>
      <c r="C204" s="15" t="s">
        <v>30</v>
      </c>
      <c r="D204" s="16" t="s">
        <v>32437</v>
      </c>
      <c r="E204" s="16">
        <v>17</v>
      </c>
      <c r="F204" s="18" t="s">
        <v>31206</v>
      </c>
    </row>
    <row r="205" spans="1:6" x14ac:dyDescent="0.3">
      <c r="A205" s="15" t="s">
        <v>31285</v>
      </c>
      <c r="B205" s="15" t="s">
        <v>52</v>
      </c>
      <c r="C205" s="15" t="s">
        <v>385</v>
      </c>
      <c r="D205" s="16" t="s">
        <v>32437</v>
      </c>
      <c r="E205" s="16">
        <v>22</v>
      </c>
      <c r="F205" s="18" t="s">
        <v>31286</v>
      </c>
    </row>
    <row r="206" spans="1:6" x14ac:dyDescent="0.3">
      <c r="A206" s="15" t="s">
        <v>7037</v>
      </c>
      <c r="B206" s="15" t="s">
        <v>117</v>
      </c>
      <c r="C206" s="15" t="s">
        <v>62</v>
      </c>
      <c r="D206" s="16" t="s">
        <v>32437</v>
      </c>
      <c r="E206" s="16">
        <v>23</v>
      </c>
      <c r="F206" s="18" t="s">
        <v>32438</v>
      </c>
    </row>
    <row r="207" spans="1:6" x14ac:dyDescent="0.3">
      <c r="A207" s="15" t="s">
        <v>32439</v>
      </c>
      <c r="B207" s="15" t="s">
        <v>161</v>
      </c>
      <c r="C207" s="15" t="s">
        <v>117</v>
      </c>
      <c r="D207" s="16" t="s">
        <v>32437</v>
      </c>
      <c r="E207" s="16">
        <v>30</v>
      </c>
      <c r="F207" s="18" t="s">
        <v>32440</v>
      </c>
    </row>
    <row r="208" spans="1:6" x14ac:dyDescent="0.3">
      <c r="A208" s="15" t="s">
        <v>32441</v>
      </c>
      <c r="B208" s="15" t="s">
        <v>71</v>
      </c>
      <c r="C208" s="15" t="s">
        <v>117</v>
      </c>
      <c r="D208" s="16" t="s">
        <v>32442</v>
      </c>
      <c r="E208" s="16">
        <v>2</v>
      </c>
      <c r="F208" s="18" t="s">
        <v>32443</v>
      </c>
    </row>
    <row r="209" spans="1:6" x14ac:dyDescent="0.3">
      <c r="A209" s="15" t="s">
        <v>32444</v>
      </c>
      <c r="B209" s="15" t="s">
        <v>466</v>
      </c>
      <c r="C209" s="15" t="s">
        <v>136</v>
      </c>
      <c r="D209" s="16" t="s">
        <v>32442</v>
      </c>
      <c r="E209" s="16">
        <v>26</v>
      </c>
      <c r="F209" s="18" t="s">
        <v>32445</v>
      </c>
    </row>
    <row r="210" spans="1:6" x14ac:dyDescent="0.3">
      <c r="A210" s="15" t="s">
        <v>32446</v>
      </c>
      <c r="B210" s="15" t="s">
        <v>81</v>
      </c>
      <c r="C210" s="15" t="s">
        <v>30</v>
      </c>
      <c r="D210" s="16" t="s">
        <v>32442</v>
      </c>
      <c r="E210" s="16">
        <v>28</v>
      </c>
      <c r="F210" s="18" t="s">
        <v>32447</v>
      </c>
    </row>
    <row r="211" spans="1:6" x14ac:dyDescent="0.3">
      <c r="A211" s="15" t="s">
        <v>30318</v>
      </c>
      <c r="B211" s="15" t="s">
        <v>33</v>
      </c>
      <c r="C211" s="15" t="s">
        <v>81</v>
      </c>
      <c r="D211" s="16" t="s">
        <v>32442</v>
      </c>
      <c r="E211" s="16">
        <v>29</v>
      </c>
      <c r="F211" s="18" t="s">
        <v>32448</v>
      </c>
    </row>
    <row r="212" spans="1:6" x14ac:dyDescent="0.3">
      <c r="A212" s="15" t="s">
        <v>32449</v>
      </c>
      <c r="B212" s="15" t="s">
        <v>88</v>
      </c>
      <c r="C212" s="15" t="s">
        <v>81</v>
      </c>
      <c r="D212" s="16" t="s">
        <v>32442</v>
      </c>
      <c r="E212" s="16">
        <v>31</v>
      </c>
      <c r="F212" s="18" t="s">
        <v>32450</v>
      </c>
    </row>
    <row r="213" spans="1:6" x14ac:dyDescent="0.3">
      <c r="A213" s="15" t="s">
        <v>1342</v>
      </c>
      <c r="B213" s="15" t="s">
        <v>166</v>
      </c>
      <c r="C213" s="15" t="s">
        <v>117</v>
      </c>
      <c r="D213" s="16" t="s">
        <v>32442</v>
      </c>
      <c r="E213" s="16">
        <v>34</v>
      </c>
      <c r="F213" s="18" t="s">
        <v>32451</v>
      </c>
    </row>
    <row r="214" spans="1:6" x14ac:dyDescent="0.3">
      <c r="A214" s="15" t="s">
        <v>32452</v>
      </c>
      <c r="B214" s="15" t="s">
        <v>1140</v>
      </c>
      <c r="C214" s="15" t="s">
        <v>626</v>
      </c>
      <c r="D214" s="16" t="s">
        <v>32453</v>
      </c>
      <c r="E214" s="16">
        <v>2</v>
      </c>
      <c r="F214" s="18" t="s">
        <v>32454</v>
      </c>
    </row>
    <row r="215" spans="1:6" x14ac:dyDescent="0.3">
      <c r="A215" s="15" t="s">
        <v>3662</v>
      </c>
      <c r="B215" s="15" t="s">
        <v>88</v>
      </c>
      <c r="C215" s="15" t="s">
        <v>17</v>
      </c>
      <c r="D215" s="16" t="s">
        <v>32455</v>
      </c>
      <c r="E215" s="16">
        <v>5</v>
      </c>
      <c r="F215" s="18" t="s">
        <v>32456</v>
      </c>
    </row>
    <row r="216" spans="1:6" x14ac:dyDescent="0.3">
      <c r="A216" s="15" t="s">
        <v>32457</v>
      </c>
      <c r="B216" s="15" t="s">
        <v>17</v>
      </c>
      <c r="C216" s="15" t="s">
        <v>385</v>
      </c>
      <c r="D216" s="16" t="s">
        <v>32458</v>
      </c>
      <c r="E216" s="16">
        <v>5</v>
      </c>
      <c r="F216" s="18" t="s">
        <v>32459</v>
      </c>
    </row>
    <row r="217" spans="1:6" x14ac:dyDescent="0.3">
      <c r="A217" s="15" t="s">
        <v>32460</v>
      </c>
      <c r="B217" s="15" t="s">
        <v>136</v>
      </c>
      <c r="C217" s="15" t="s">
        <v>32461</v>
      </c>
      <c r="D217" s="16" t="s">
        <v>32462</v>
      </c>
      <c r="E217" s="16">
        <v>5</v>
      </c>
      <c r="F217" s="18" t="s">
        <v>32463</v>
      </c>
    </row>
    <row r="218" spans="1:6" x14ac:dyDescent="0.3">
      <c r="A218" s="15" t="s">
        <v>32464</v>
      </c>
      <c r="B218" s="15" t="s">
        <v>136</v>
      </c>
      <c r="C218" s="15" t="s">
        <v>20</v>
      </c>
      <c r="D218" s="16" t="s">
        <v>32465</v>
      </c>
      <c r="E218" s="16">
        <v>25</v>
      </c>
      <c r="F218" s="18" t="s">
        <v>32466</v>
      </c>
    </row>
    <row r="219" spans="1:6" x14ac:dyDescent="0.3">
      <c r="A219" s="15" t="s">
        <v>12236</v>
      </c>
      <c r="B219" s="15" t="s">
        <v>136</v>
      </c>
      <c r="C219" s="15" t="s">
        <v>328</v>
      </c>
      <c r="D219" s="16" t="s">
        <v>32465</v>
      </c>
      <c r="E219" s="16">
        <v>44</v>
      </c>
      <c r="F219" s="18" t="s">
        <v>32467</v>
      </c>
    </row>
    <row r="220" spans="1:6" x14ac:dyDescent="0.3">
      <c r="A220" s="15" t="s">
        <v>1430</v>
      </c>
      <c r="B220" s="15" t="s">
        <v>37</v>
      </c>
      <c r="C220" s="15" t="s">
        <v>20</v>
      </c>
      <c r="D220" s="16" t="s">
        <v>32465</v>
      </c>
      <c r="E220" s="16">
        <v>48</v>
      </c>
      <c r="F220" s="18" t="s">
        <v>32468</v>
      </c>
    </row>
    <row r="221" spans="1:6" x14ac:dyDescent="0.3">
      <c r="A221" s="15" t="s">
        <v>32469</v>
      </c>
      <c r="B221" s="15" t="s">
        <v>91</v>
      </c>
      <c r="C221" s="15" t="s">
        <v>38</v>
      </c>
      <c r="D221" s="16" t="s">
        <v>32465</v>
      </c>
      <c r="E221" s="16">
        <v>54</v>
      </c>
      <c r="F221" s="18" t="s">
        <v>32470</v>
      </c>
    </row>
    <row r="222" spans="1:6" x14ac:dyDescent="0.3">
      <c r="A222" s="15" t="s">
        <v>32471</v>
      </c>
      <c r="B222" s="15" t="s">
        <v>2372</v>
      </c>
      <c r="C222" s="15" t="s">
        <v>20</v>
      </c>
      <c r="D222" s="16" t="s">
        <v>32465</v>
      </c>
      <c r="E222" s="16">
        <v>55</v>
      </c>
      <c r="F222" s="18" t="s">
        <v>32472</v>
      </c>
    </row>
    <row r="223" spans="1:6" x14ac:dyDescent="0.3">
      <c r="A223" s="15" t="s">
        <v>3013</v>
      </c>
      <c r="B223" s="15" t="s">
        <v>258</v>
      </c>
      <c r="C223" s="15" t="s">
        <v>17</v>
      </c>
      <c r="D223" s="16" t="s">
        <v>32465</v>
      </c>
      <c r="E223" s="16">
        <v>60</v>
      </c>
      <c r="F223" s="18" t="s">
        <v>32473</v>
      </c>
    </row>
    <row r="224" spans="1:6" x14ac:dyDescent="0.3">
      <c r="A224" s="15" t="s">
        <v>3392</v>
      </c>
      <c r="B224" s="15" t="s">
        <v>41</v>
      </c>
      <c r="C224" s="15" t="s">
        <v>81</v>
      </c>
      <c r="D224" s="16" t="s">
        <v>32474</v>
      </c>
      <c r="E224" s="16">
        <v>2</v>
      </c>
      <c r="F224" s="18" t="s">
        <v>32475</v>
      </c>
    </row>
    <row r="225" spans="1:6" x14ac:dyDescent="0.3">
      <c r="A225" s="15" t="s">
        <v>1296</v>
      </c>
      <c r="B225" s="15" t="s">
        <v>41</v>
      </c>
      <c r="C225" s="15" t="s">
        <v>17</v>
      </c>
      <c r="D225" s="16" t="s">
        <v>32476</v>
      </c>
      <c r="E225" s="16">
        <v>7</v>
      </c>
      <c r="F225" s="18" t="s">
        <v>27299</v>
      </c>
    </row>
    <row r="226" spans="1:6" x14ac:dyDescent="0.3">
      <c r="A226" s="15" t="s">
        <v>10529</v>
      </c>
      <c r="B226" s="15" t="s">
        <v>738</v>
      </c>
      <c r="C226" s="15" t="s">
        <v>393</v>
      </c>
      <c r="D226" s="16" t="s">
        <v>32477</v>
      </c>
      <c r="E226" s="16">
        <v>1</v>
      </c>
      <c r="F226" s="18" t="s">
        <v>25366</v>
      </c>
    </row>
    <row r="227" spans="1:6" x14ac:dyDescent="0.3">
      <c r="A227" s="15" t="s">
        <v>99</v>
      </c>
      <c r="B227" s="15" t="s">
        <v>178</v>
      </c>
      <c r="C227" s="15" t="s">
        <v>38</v>
      </c>
      <c r="D227" s="16" t="s">
        <v>32478</v>
      </c>
      <c r="E227" s="16">
        <v>3</v>
      </c>
      <c r="F227" s="18" t="s">
        <v>32479</v>
      </c>
    </row>
    <row r="228" spans="1:6" x14ac:dyDescent="0.3">
      <c r="A228" s="15" t="s">
        <v>22590</v>
      </c>
      <c r="B228" s="15" t="s">
        <v>166</v>
      </c>
      <c r="C228" s="15" t="s">
        <v>136</v>
      </c>
      <c r="D228" s="16" t="s">
        <v>32110</v>
      </c>
      <c r="E228" s="16">
        <v>12</v>
      </c>
      <c r="F228" s="18" t="s">
        <v>32480</v>
      </c>
    </row>
    <row r="229" spans="1:6" x14ac:dyDescent="0.3">
      <c r="A229" s="15" t="s">
        <v>32481</v>
      </c>
      <c r="B229" s="15" t="s">
        <v>255</v>
      </c>
      <c r="C229" s="15" t="s">
        <v>1450</v>
      </c>
      <c r="D229" s="16" t="s">
        <v>32110</v>
      </c>
      <c r="E229" s="16">
        <v>14</v>
      </c>
      <c r="F229" s="18" t="s">
        <v>32482</v>
      </c>
    </row>
    <row r="230" spans="1:6" x14ac:dyDescent="0.3">
      <c r="A230" s="15" t="s">
        <v>32483</v>
      </c>
      <c r="B230" s="15" t="s">
        <v>167</v>
      </c>
      <c r="C230" s="15" t="s">
        <v>18362</v>
      </c>
      <c r="D230" s="16" t="s">
        <v>32110</v>
      </c>
      <c r="E230" s="16">
        <v>18</v>
      </c>
      <c r="F230" s="18" t="s">
        <v>32484</v>
      </c>
    </row>
    <row r="231" spans="1:6" x14ac:dyDescent="0.3">
      <c r="A231" s="15" t="s">
        <v>29872</v>
      </c>
      <c r="B231" s="15" t="s">
        <v>54</v>
      </c>
      <c r="C231" s="15" t="s">
        <v>2126</v>
      </c>
      <c r="D231" s="16" t="s">
        <v>32110</v>
      </c>
      <c r="E231" s="16">
        <v>20</v>
      </c>
      <c r="F231" s="18" t="s">
        <v>32485</v>
      </c>
    </row>
    <row r="232" spans="1:6" x14ac:dyDescent="0.3">
      <c r="A232" s="15" t="s">
        <v>2236</v>
      </c>
      <c r="B232" s="15" t="s">
        <v>1016</v>
      </c>
      <c r="C232" s="15" t="s">
        <v>442</v>
      </c>
      <c r="D232" s="16" t="s">
        <v>32110</v>
      </c>
      <c r="E232" s="16">
        <v>22</v>
      </c>
      <c r="F232" s="18" t="s">
        <v>32486</v>
      </c>
    </row>
    <row r="233" spans="1:6" x14ac:dyDescent="0.3">
      <c r="A233" s="15" t="s">
        <v>32487</v>
      </c>
      <c r="B233" s="15" t="s">
        <v>124</v>
      </c>
      <c r="C233" s="15" t="s">
        <v>136</v>
      </c>
      <c r="D233" s="16" t="s">
        <v>32110</v>
      </c>
      <c r="E233" s="16">
        <v>23</v>
      </c>
      <c r="F233" s="18" t="s">
        <v>32488</v>
      </c>
    </row>
    <row r="234" spans="1:6" x14ac:dyDescent="0.3">
      <c r="A234" s="15" t="s">
        <v>32489</v>
      </c>
      <c r="B234" s="15" t="s">
        <v>170</v>
      </c>
      <c r="C234" s="15" t="s">
        <v>158</v>
      </c>
      <c r="D234" s="16" t="s">
        <v>32490</v>
      </c>
      <c r="E234" s="16">
        <v>1</v>
      </c>
      <c r="F234" s="18" t="s">
        <v>32491</v>
      </c>
    </row>
    <row r="235" spans="1:6" x14ac:dyDescent="0.3">
      <c r="A235" s="15" t="s">
        <v>18216</v>
      </c>
      <c r="B235" s="15" t="s">
        <v>68</v>
      </c>
      <c r="C235" s="15" t="s">
        <v>9636</v>
      </c>
      <c r="D235" s="16" t="s">
        <v>32490</v>
      </c>
      <c r="E235" s="16">
        <v>13</v>
      </c>
      <c r="F235" s="18" t="s">
        <v>32492</v>
      </c>
    </row>
    <row r="236" spans="1:6" x14ac:dyDescent="0.3">
      <c r="A236" s="15" t="s">
        <v>32493</v>
      </c>
      <c r="B236" s="15" t="s">
        <v>54</v>
      </c>
      <c r="C236" s="15" t="s">
        <v>81</v>
      </c>
      <c r="D236" s="16" t="s">
        <v>32490</v>
      </c>
      <c r="E236" s="16">
        <v>18</v>
      </c>
      <c r="F236" s="18" t="s">
        <v>32494</v>
      </c>
    </row>
    <row r="237" spans="1:6" x14ac:dyDescent="0.3">
      <c r="A237" s="15" t="s">
        <v>32495</v>
      </c>
      <c r="B237" s="15" t="s">
        <v>1953</v>
      </c>
      <c r="C237" s="15" t="s">
        <v>62</v>
      </c>
      <c r="D237" s="16" t="s">
        <v>32490</v>
      </c>
      <c r="E237" s="16">
        <v>22</v>
      </c>
      <c r="F237" s="18" t="s">
        <v>32496</v>
      </c>
    </row>
    <row r="238" spans="1:6" x14ac:dyDescent="0.3">
      <c r="A238" s="15" t="s">
        <v>6423</v>
      </c>
      <c r="B238" s="15" t="s">
        <v>41</v>
      </c>
      <c r="C238" s="15" t="s">
        <v>158</v>
      </c>
      <c r="D238" s="16" t="s">
        <v>32490</v>
      </c>
      <c r="E238" s="16">
        <v>25</v>
      </c>
      <c r="F238" s="18" t="s">
        <v>32497</v>
      </c>
    </row>
    <row r="239" spans="1:6" x14ac:dyDescent="0.3">
      <c r="A239" s="15" t="s">
        <v>32498</v>
      </c>
      <c r="B239" s="15" t="s">
        <v>550</v>
      </c>
      <c r="C239" s="15" t="s">
        <v>91</v>
      </c>
      <c r="D239" s="16" t="s">
        <v>32499</v>
      </c>
      <c r="E239" s="16">
        <v>1</v>
      </c>
      <c r="F239" s="18" t="s">
        <v>32500</v>
      </c>
    </row>
    <row r="240" spans="1:6" x14ac:dyDescent="0.3">
      <c r="A240" s="15" t="s">
        <v>32501</v>
      </c>
      <c r="B240" s="15" t="s">
        <v>17</v>
      </c>
      <c r="C240" s="15" t="s">
        <v>442</v>
      </c>
      <c r="D240" s="16" t="s">
        <v>32502</v>
      </c>
      <c r="E240" s="16">
        <v>3</v>
      </c>
      <c r="F240" s="18" t="s">
        <v>32503</v>
      </c>
    </row>
    <row r="241" spans="1:6" x14ac:dyDescent="0.3">
      <c r="A241" s="15" t="s">
        <v>32504</v>
      </c>
      <c r="B241" s="15" t="s">
        <v>208</v>
      </c>
      <c r="C241" s="15" t="s">
        <v>17</v>
      </c>
      <c r="D241" s="16" t="s">
        <v>32502</v>
      </c>
      <c r="E241" s="16">
        <v>7</v>
      </c>
      <c r="F241" s="18" t="s">
        <v>32505</v>
      </c>
    </row>
    <row r="242" spans="1:6" x14ac:dyDescent="0.3">
      <c r="A242" s="15" t="s">
        <v>32506</v>
      </c>
      <c r="B242" s="15" t="s">
        <v>1155</v>
      </c>
      <c r="C242" s="15" t="s">
        <v>158</v>
      </c>
      <c r="D242" s="16" t="s">
        <v>32502</v>
      </c>
      <c r="E242" s="16">
        <v>8</v>
      </c>
      <c r="F242" s="18" t="s">
        <v>32507</v>
      </c>
    </row>
    <row r="243" spans="1:6" x14ac:dyDescent="0.3">
      <c r="A243" s="15" t="s">
        <v>181</v>
      </c>
      <c r="B243" s="15" t="s">
        <v>51</v>
      </c>
      <c r="C243" s="15" t="s">
        <v>20</v>
      </c>
      <c r="D243" s="16" t="s">
        <v>32502</v>
      </c>
      <c r="E243" s="16">
        <v>9</v>
      </c>
      <c r="F243" s="18" t="s">
        <v>32508</v>
      </c>
    </row>
    <row r="244" spans="1:6" x14ac:dyDescent="0.3">
      <c r="A244" s="15" t="s">
        <v>261</v>
      </c>
      <c r="B244" s="15" t="s">
        <v>29</v>
      </c>
      <c r="C244" s="15" t="s">
        <v>62</v>
      </c>
      <c r="D244" s="16" t="s">
        <v>32502</v>
      </c>
      <c r="E244" s="16">
        <v>10</v>
      </c>
      <c r="F244" s="18" t="s">
        <v>32509</v>
      </c>
    </row>
    <row r="245" spans="1:6" x14ac:dyDescent="0.3">
      <c r="A245" s="15" t="s">
        <v>32510</v>
      </c>
      <c r="B245" s="15" t="s">
        <v>136</v>
      </c>
      <c r="C245" s="15" t="s">
        <v>81</v>
      </c>
      <c r="D245" s="16" t="s">
        <v>32511</v>
      </c>
      <c r="E245" s="16">
        <v>1</v>
      </c>
      <c r="F245" s="18" t="s">
        <v>32512</v>
      </c>
    </row>
    <row r="246" spans="1:6" x14ac:dyDescent="0.3">
      <c r="A246" s="15" t="s">
        <v>6215</v>
      </c>
      <c r="B246" s="15" t="s">
        <v>22</v>
      </c>
      <c r="C246" s="15" t="s">
        <v>38</v>
      </c>
      <c r="D246" s="16" t="s">
        <v>32113</v>
      </c>
      <c r="E246" s="16">
        <v>4</v>
      </c>
      <c r="F246" s="18" t="s">
        <v>32513</v>
      </c>
    </row>
    <row r="247" spans="1:6" x14ac:dyDescent="0.3">
      <c r="A247" s="15" t="s">
        <v>752</v>
      </c>
      <c r="B247" s="15" t="s">
        <v>219</v>
      </c>
      <c r="C247" s="15" t="s">
        <v>5375</v>
      </c>
      <c r="D247" s="16" t="s">
        <v>32113</v>
      </c>
      <c r="E247" s="16">
        <v>7</v>
      </c>
      <c r="F247" s="18" t="s">
        <v>32514</v>
      </c>
    </row>
    <row r="248" spans="1:6" x14ac:dyDescent="0.3">
      <c r="A248" s="15" t="s">
        <v>32515</v>
      </c>
      <c r="B248" s="15" t="s">
        <v>158</v>
      </c>
      <c r="C248" s="15" t="s">
        <v>626</v>
      </c>
      <c r="D248" s="16" t="s">
        <v>32113</v>
      </c>
      <c r="E248" s="16">
        <v>11</v>
      </c>
      <c r="F248" s="18" t="s">
        <v>32516</v>
      </c>
    </row>
    <row r="249" spans="1:6" x14ac:dyDescent="0.3">
      <c r="A249" s="15" t="s">
        <v>181</v>
      </c>
      <c r="B249" s="15" t="s">
        <v>825</v>
      </c>
      <c r="C249" s="15" t="s">
        <v>626</v>
      </c>
      <c r="D249" s="16" t="s">
        <v>32113</v>
      </c>
      <c r="E249" s="16">
        <v>13</v>
      </c>
      <c r="F249" s="18" t="s">
        <v>32517</v>
      </c>
    </row>
    <row r="250" spans="1:6" x14ac:dyDescent="0.3">
      <c r="A250" s="15" t="s">
        <v>9110</v>
      </c>
      <c r="B250" s="15" t="s">
        <v>406</v>
      </c>
      <c r="C250" s="15" t="s">
        <v>91</v>
      </c>
      <c r="D250" s="16" t="s">
        <v>32518</v>
      </c>
      <c r="E250" s="16">
        <v>2</v>
      </c>
      <c r="F250" s="18" t="s">
        <v>32519</v>
      </c>
    </row>
    <row r="251" spans="1:6" x14ac:dyDescent="0.3">
      <c r="A251" s="15" t="s">
        <v>32520</v>
      </c>
      <c r="B251" s="15" t="s">
        <v>33</v>
      </c>
      <c r="C251" s="15" t="s">
        <v>136</v>
      </c>
      <c r="D251" s="16" t="s">
        <v>32521</v>
      </c>
      <c r="E251" s="16">
        <v>8</v>
      </c>
      <c r="F251" s="18" t="s">
        <v>32522</v>
      </c>
    </row>
    <row r="252" spans="1:6" x14ac:dyDescent="0.3">
      <c r="A252" s="15" t="s">
        <v>30519</v>
      </c>
      <c r="B252" s="15" t="s">
        <v>550</v>
      </c>
      <c r="C252" s="15" t="s">
        <v>442</v>
      </c>
      <c r="D252" s="16" t="s">
        <v>32523</v>
      </c>
      <c r="E252" s="16">
        <v>2</v>
      </c>
      <c r="F252" s="18" t="s">
        <v>30520</v>
      </c>
    </row>
    <row r="253" spans="1:6" x14ac:dyDescent="0.3">
      <c r="A253" s="19" t="s">
        <v>3102</v>
      </c>
      <c r="B253" s="19" t="s">
        <v>29</v>
      </c>
      <c r="C253" s="19" t="s">
        <v>158</v>
      </c>
      <c r="D253" s="20" t="s">
        <v>32524</v>
      </c>
      <c r="E253" s="20">
        <v>2</v>
      </c>
      <c r="F253" s="18" t="s">
        <v>10842</v>
      </c>
    </row>
    <row r="254" spans="1:6" x14ac:dyDescent="0.3">
      <c r="A254" s="19" t="s">
        <v>10845</v>
      </c>
      <c r="B254" s="19" t="s">
        <v>157</v>
      </c>
      <c r="C254" s="19" t="s">
        <v>117</v>
      </c>
      <c r="D254" s="20" t="s">
        <v>32524</v>
      </c>
      <c r="E254" s="20">
        <v>4</v>
      </c>
      <c r="F254" s="18" t="s">
        <v>10846</v>
      </c>
    </row>
    <row r="255" spans="1:6" x14ac:dyDescent="0.3">
      <c r="A255" s="19" t="s">
        <v>10847</v>
      </c>
      <c r="B255" s="19" t="s">
        <v>335</v>
      </c>
      <c r="C255" s="19" t="s">
        <v>259</v>
      </c>
      <c r="D255" s="20" t="s">
        <v>32524</v>
      </c>
      <c r="E255" s="20">
        <v>5</v>
      </c>
      <c r="F255" s="18" t="s">
        <v>10848</v>
      </c>
    </row>
    <row r="256" spans="1:6" x14ac:dyDescent="0.3">
      <c r="A256" s="19" t="s">
        <v>10849</v>
      </c>
      <c r="B256" s="19" t="s">
        <v>41</v>
      </c>
      <c r="C256" s="19" t="s">
        <v>55</v>
      </c>
      <c r="D256" s="20" t="s">
        <v>32524</v>
      </c>
      <c r="E256" s="20">
        <v>6</v>
      </c>
      <c r="F256" s="18" t="s">
        <v>10850</v>
      </c>
    </row>
    <row r="257" spans="1:6" x14ac:dyDescent="0.3">
      <c r="A257" s="19" t="s">
        <v>10851</v>
      </c>
      <c r="B257" s="19" t="s">
        <v>3866</v>
      </c>
      <c r="C257" s="19" t="s">
        <v>38</v>
      </c>
      <c r="D257" s="20" t="s">
        <v>32524</v>
      </c>
      <c r="E257" s="20">
        <v>7</v>
      </c>
      <c r="F257" s="18" t="s">
        <v>10852</v>
      </c>
    </row>
    <row r="258" spans="1:6" x14ac:dyDescent="0.3">
      <c r="A258" s="19" t="s">
        <v>421</v>
      </c>
      <c r="B258" s="19" t="s">
        <v>3964</v>
      </c>
      <c r="C258" s="19" t="s">
        <v>20</v>
      </c>
      <c r="D258" s="20" t="s">
        <v>32524</v>
      </c>
      <c r="E258" s="20">
        <v>9</v>
      </c>
      <c r="F258" s="18" t="s">
        <v>10854</v>
      </c>
    </row>
    <row r="259" spans="1:6" x14ac:dyDescent="0.3">
      <c r="A259" s="19" t="s">
        <v>3181</v>
      </c>
      <c r="B259" s="19" t="s">
        <v>10855</v>
      </c>
      <c r="C259" s="19" t="s">
        <v>587</v>
      </c>
      <c r="D259" s="20" t="s">
        <v>32524</v>
      </c>
      <c r="E259" s="20">
        <v>12</v>
      </c>
      <c r="F259" s="18" t="s">
        <v>10856</v>
      </c>
    </row>
    <row r="260" spans="1:6" x14ac:dyDescent="0.3">
      <c r="A260" s="19" t="s">
        <v>8686</v>
      </c>
      <c r="B260" s="19" t="s">
        <v>132</v>
      </c>
      <c r="C260" s="19" t="s">
        <v>52</v>
      </c>
      <c r="D260" s="20" t="s">
        <v>32524</v>
      </c>
      <c r="E260" s="20">
        <v>13</v>
      </c>
      <c r="F260" s="18" t="s">
        <v>10857</v>
      </c>
    </row>
    <row r="261" spans="1:6" x14ac:dyDescent="0.3">
      <c r="A261" s="19" t="s">
        <v>10858</v>
      </c>
      <c r="B261" s="19" t="s">
        <v>29</v>
      </c>
      <c r="C261" s="19" t="s">
        <v>38</v>
      </c>
      <c r="D261" s="20" t="s">
        <v>32524</v>
      </c>
      <c r="E261" s="20">
        <v>14</v>
      </c>
      <c r="F261" s="18" t="s">
        <v>10859</v>
      </c>
    </row>
    <row r="262" spans="1:6" x14ac:dyDescent="0.3">
      <c r="A262" s="19" t="s">
        <v>575</v>
      </c>
      <c r="B262" s="19" t="s">
        <v>29</v>
      </c>
      <c r="C262" s="19" t="s">
        <v>38</v>
      </c>
      <c r="D262" s="20" t="s">
        <v>32524</v>
      </c>
      <c r="E262" s="20">
        <v>18</v>
      </c>
      <c r="F262" s="18" t="s">
        <v>10861</v>
      </c>
    </row>
    <row r="263" spans="1:6" x14ac:dyDescent="0.3">
      <c r="A263" s="19" t="s">
        <v>10863</v>
      </c>
      <c r="B263" s="19" t="s">
        <v>33</v>
      </c>
      <c r="C263" s="19" t="s">
        <v>136</v>
      </c>
      <c r="D263" s="20" t="s">
        <v>32524</v>
      </c>
      <c r="E263" s="20">
        <v>21</v>
      </c>
      <c r="F263" s="18" t="s">
        <v>10864</v>
      </c>
    </row>
    <row r="264" spans="1:6" x14ac:dyDescent="0.3">
      <c r="A264" s="19" t="s">
        <v>1404</v>
      </c>
      <c r="B264" s="19" t="s">
        <v>789</v>
      </c>
      <c r="C264" s="19" t="s">
        <v>17</v>
      </c>
      <c r="D264" s="20" t="s">
        <v>32524</v>
      </c>
      <c r="E264" s="20">
        <v>23</v>
      </c>
      <c r="F264" s="18" t="s">
        <v>10865</v>
      </c>
    </row>
    <row r="265" spans="1:6" x14ac:dyDescent="0.3">
      <c r="A265" s="19" t="s">
        <v>10866</v>
      </c>
      <c r="B265" s="19" t="s">
        <v>213</v>
      </c>
      <c r="C265" s="19" t="s">
        <v>79</v>
      </c>
      <c r="D265" s="20" t="s">
        <v>32524</v>
      </c>
      <c r="E265" s="20">
        <v>24</v>
      </c>
      <c r="F265" s="18" t="s">
        <v>10867</v>
      </c>
    </row>
    <row r="266" spans="1:6" x14ac:dyDescent="0.3">
      <c r="A266" s="19" t="s">
        <v>10870</v>
      </c>
      <c r="B266" s="19" t="s">
        <v>10871</v>
      </c>
      <c r="C266" s="19" t="s">
        <v>30</v>
      </c>
      <c r="D266" s="20" t="s">
        <v>32524</v>
      </c>
      <c r="E266" s="20">
        <v>27</v>
      </c>
      <c r="F266" s="18" t="s">
        <v>10872</v>
      </c>
    </row>
    <row r="267" spans="1:6" x14ac:dyDescent="0.3">
      <c r="A267" s="19" t="s">
        <v>10873</v>
      </c>
      <c r="B267" s="19" t="s">
        <v>166</v>
      </c>
      <c r="C267" s="19" t="s">
        <v>38</v>
      </c>
      <c r="D267" s="20" t="s">
        <v>32524</v>
      </c>
      <c r="E267" s="20">
        <v>30</v>
      </c>
      <c r="F267" s="18" t="s">
        <v>10874</v>
      </c>
    </row>
    <row r="268" spans="1:6" x14ac:dyDescent="0.3">
      <c r="A268" s="19" t="s">
        <v>10876</v>
      </c>
      <c r="B268" s="19" t="s">
        <v>10877</v>
      </c>
      <c r="C268" s="19" t="s">
        <v>136</v>
      </c>
      <c r="D268" s="20" t="s">
        <v>32524</v>
      </c>
      <c r="E268" s="20">
        <v>33</v>
      </c>
      <c r="F268" s="18" t="s">
        <v>10878</v>
      </c>
    </row>
    <row r="269" spans="1:6" x14ac:dyDescent="0.3">
      <c r="A269" s="19" t="s">
        <v>10879</v>
      </c>
      <c r="B269" s="19" t="s">
        <v>26</v>
      </c>
      <c r="C269" s="19" t="s">
        <v>649</v>
      </c>
      <c r="D269" s="20" t="s">
        <v>32524</v>
      </c>
      <c r="E269" s="20">
        <v>34</v>
      </c>
      <c r="F269" s="18" t="s">
        <v>10880</v>
      </c>
    </row>
    <row r="270" spans="1:6" x14ac:dyDescent="0.3">
      <c r="A270" s="19" t="s">
        <v>2199</v>
      </c>
      <c r="B270" s="19" t="s">
        <v>380</v>
      </c>
      <c r="C270" s="19" t="s">
        <v>124</v>
      </c>
      <c r="D270" s="20" t="s">
        <v>32524</v>
      </c>
      <c r="E270" s="20">
        <v>37</v>
      </c>
      <c r="F270" s="18" t="s">
        <v>10884</v>
      </c>
    </row>
    <row r="271" spans="1:6" x14ac:dyDescent="0.3">
      <c r="A271" s="19" t="s">
        <v>10885</v>
      </c>
      <c r="B271" s="19" t="s">
        <v>22</v>
      </c>
      <c r="C271" s="19" t="s">
        <v>52</v>
      </c>
      <c r="D271" s="20" t="s">
        <v>32524</v>
      </c>
      <c r="E271" s="20">
        <v>39</v>
      </c>
      <c r="F271" s="18" t="s">
        <v>10886</v>
      </c>
    </row>
    <row r="272" spans="1:6" x14ac:dyDescent="0.3">
      <c r="A272" s="19" t="s">
        <v>93</v>
      </c>
      <c r="B272" s="19" t="s">
        <v>110</v>
      </c>
      <c r="C272" s="19" t="s">
        <v>2830</v>
      </c>
      <c r="D272" s="20" t="s">
        <v>32524</v>
      </c>
      <c r="E272" s="20">
        <v>43</v>
      </c>
      <c r="F272" s="18">
        <v>829923</v>
      </c>
    </row>
    <row r="273" spans="1:6" x14ac:dyDescent="0.3">
      <c r="A273" s="19" t="s">
        <v>10890</v>
      </c>
      <c r="B273" s="19" t="s">
        <v>1231</v>
      </c>
      <c r="C273" s="19" t="s">
        <v>17</v>
      </c>
      <c r="D273" s="20" t="s">
        <v>32524</v>
      </c>
      <c r="E273" s="20">
        <v>46</v>
      </c>
      <c r="F273" s="18" t="s">
        <v>10891</v>
      </c>
    </row>
    <row r="274" spans="1:6" x14ac:dyDescent="0.3">
      <c r="A274" s="19" t="s">
        <v>10892</v>
      </c>
      <c r="B274" s="19" t="s">
        <v>825</v>
      </c>
      <c r="C274" s="19" t="s">
        <v>34</v>
      </c>
      <c r="D274" s="20" t="s">
        <v>32524</v>
      </c>
      <c r="E274" s="20">
        <v>48</v>
      </c>
      <c r="F274" s="18" t="s">
        <v>10893</v>
      </c>
    </row>
    <row r="275" spans="1:6" x14ac:dyDescent="0.3">
      <c r="A275" s="19" t="s">
        <v>10894</v>
      </c>
      <c r="B275" s="19" t="s">
        <v>54</v>
      </c>
      <c r="C275" s="19" t="s">
        <v>230</v>
      </c>
      <c r="D275" s="20" t="s">
        <v>32524</v>
      </c>
      <c r="E275" s="20">
        <v>49</v>
      </c>
      <c r="F275" s="18" t="s">
        <v>10895</v>
      </c>
    </row>
    <row r="276" spans="1:6" x14ac:dyDescent="0.3">
      <c r="A276" s="19" t="s">
        <v>10896</v>
      </c>
      <c r="B276" s="19" t="s">
        <v>41</v>
      </c>
      <c r="C276" s="19" t="s">
        <v>117</v>
      </c>
      <c r="D276" s="20" t="s">
        <v>32524</v>
      </c>
      <c r="E276" s="20">
        <v>51</v>
      </c>
      <c r="F276" s="18" t="s">
        <v>10897</v>
      </c>
    </row>
    <row r="277" spans="1:6" x14ac:dyDescent="0.3">
      <c r="A277" s="19" t="s">
        <v>10899</v>
      </c>
      <c r="B277" s="19" t="s">
        <v>10782</v>
      </c>
      <c r="C277" s="19" t="s">
        <v>34</v>
      </c>
      <c r="D277" s="20" t="s">
        <v>32524</v>
      </c>
      <c r="E277" s="20">
        <v>54</v>
      </c>
      <c r="F277" s="18" t="s">
        <v>10900</v>
      </c>
    </row>
    <row r="278" spans="1:6" x14ac:dyDescent="0.3">
      <c r="A278" s="19" t="s">
        <v>2354</v>
      </c>
      <c r="B278" s="19" t="s">
        <v>10901</v>
      </c>
      <c r="C278" s="19" t="s">
        <v>1511</v>
      </c>
      <c r="D278" s="20" t="s">
        <v>32524</v>
      </c>
      <c r="E278" s="20">
        <v>55</v>
      </c>
      <c r="F278" s="18" t="s">
        <v>10902</v>
      </c>
    </row>
    <row r="279" spans="1:6" x14ac:dyDescent="0.3">
      <c r="A279" s="19" t="s">
        <v>10904</v>
      </c>
      <c r="B279" s="19" t="s">
        <v>789</v>
      </c>
      <c r="C279" s="19" t="s">
        <v>20</v>
      </c>
      <c r="D279" s="20" t="s">
        <v>32524</v>
      </c>
      <c r="E279" s="20">
        <v>57</v>
      </c>
      <c r="F279" s="18" t="s">
        <v>10905</v>
      </c>
    </row>
    <row r="280" spans="1:6" x14ac:dyDescent="0.3">
      <c r="A280" s="19" t="s">
        <v>3230</v>
      </c>
      <c r="B280" s="19" t="s">
        <v>550</v>
      </c>
      <c r="C280" s="19" t="s">
        <v>136</v>
      </c>
      <c r="D280" s="20" t="s">
        <v>32524</v>
      </c>
      <c r="E280" s="20">
        <v>59</v>
      </c>
      <c r="F280" s="18" t="s">
        <v>10906</v>
      </c>
    </row>
    <row r="281" spans="1:6" x14ac:dyDescent="0.3">
      <c r="A281" s="19" t="s">
        <v>10907</v>
      </c>
      <c r="B281" s="19" t="s">
        <v>115</v>
      </c>
      <c r="C281" s="19" t="s">
        <v>190</v>
      </c>
      <c r="D281" s="20" t="s">
        <v>32524</v>
      </c>
      <c r="E281" s="20">
        <v>66</v>
      </c>
      <c r="F281" s="18" t="s">
        <v>10908</v>
      </c>
    </row>
    <row r="282" spans="1:6" x14ac:dyDescent="0.3">
      <c r="A282" s="19" t="s">
        <v>6554</v>
      </c>
      <c r="B282" s="19" t="s">
        <v>41</v>
      </c>
      <c r="C282" s="19" t="s">
        <v>20</v>
      </c>
      <c r="D282" s="20" t="s">
        <v>32524</v>
      </c>
      <c r="E282" s="20">
        <v>68</v>
      </c>
      <c r="F282" s="18" t="s">
        <v>10909</v>
      </c>
    </row>
    <row r="283" spans="1:6" x14ac:dyDescent="0.3">
      <c r="A283" s="19" t="s">
        <v>1553</v>
      </c>
      <c r="B283" s="19" t="s">
        <v>8702</v>
      </c>
      <c r="C283" s="19" t="s">
        <v>81</v>
      </c>
      <c r="D283" s="20" t="s">
        <v>32524</v>
      </c>
      <c r="E283" s="20">
        <v>69</v>
      </c>
      <c r="F283" s="18" t="s">
        <v>10910</v>
      </c>
    </row>
    <row r="284" spans="1:6" x14ac:dyDescent="0.3">
      <c r="A284" s="19" t="s">
        <v>10911</v>
      </c>
      <c r="B284" s="19" t="s">
        <v>471</v>
      </c>
      <c r="C284" s="19" t="s">
        <v>30</v>
      </c>
      <c r="D284" s="20" t="s">
        <v>32524</v>
      </c>
      <c r="E284" s="20">
        <v>70</v>
      </c>
      <c r="F284" s="18" t="s">
        <v>10912</v>
      </c>
    </row>
    <row r="285" spans="1:6" x14ac:dyDescent="0.3">
      <c r="A285" s="19" t="s">
        <v>4927</v>
      </c>
      <c r="B285" s="19" t="s">
        <v>268</v>
      </c>
      <c r="C285" s="19" t="s">
        <v>81</v>
      </c>
      <c r="D285" s="20" t="s">
        <v>32524</v>
      </c>
      <c r="E285" s="20">
        <v>72</v>
      </c>
      <c r="F285" s="18" t="s">
        <v>10913</v>
      </c>
    </row>
    <row r="286" spans="1:6" x14ac:dyDescent="0.3">
      <c r="A286" s="19" t="s">
        <v>767</v>
      </c>
      <c r="B286" s="19" t="s">
        <v>188</v>
      </c>
      <c r="C286" s="19" t="s">
        <v>20</v>
      </c>
      <c r="D286" s="20" t="s">
        <v>32524</v>
      </c>
      <c r="E286" s="20">
        <v>74</v>
      </c>
      <c r="F286" s="18" t="s">
        <v>10914</v>
      </c>
    </row>
    <row r="287" spans="1:6" x14ac:dyDescent="0.3">
      <c r="A287" s="19" t="s">
        <v>10915</v>
      </c>
      <c r="B287" s="19" t="s">
        <v>149</v>
      </c>
      <c r="C287" s="19" t="s">
        <v>1023</v>
      </c>
      <c r="D287" s="20" t="s">
        <v>32524</v>
      </c>
      <c r="E287" s="20">
        <v>75</v>
      </c>
      <c r="F287" s="18" t="s">
        <v>10916</v>
      </c>
    </row>
    <row r="288" spans="1:6" x14ac:dyDescent="0.3">
      <c r="A288" s="19" t="s">
        <v>8929</v>
      </c>
      <c r="B288" s="19" t="s">
        <v>166</v>
      </c>
      <c r="C288" s="19" t="s">
        <v>243</v>
      </c>
      <c r="D288" s="20" t="s">
        <v>32524</v>
      </c>
      <c r="E288" s="20">
        <v>78</v>
      </c>
      <c r="F288" s="18" t="s">
        <v>31999</v>
      </c>
    </row>
    <row r="289" spans="1:6" x14ac:dyDescent="0.3">
      <c r="A289" s="19" t="s">
        <v>10920</v>
      </c>
      <c r="B289" s="19" t="s">
        <v>20</v>
      </c>
      <c r="C289" s="19" t="s">
        <v>38</v>
      </c>
      <c r="D289" s="20" t="s">
        <v>32524</v>
      </c>
      <c r="E289" s="20">
        <v>82</v>
      </c>
      <c r="F289" s="18" t="s">
        <v>10921</v>
      </c>
    </row>
    <row r="290" spans="1:6" x14ac:dyDescent="0.3">
      <c r="A290" s="19" t="s">
        <v>684</v>
      </c>
      <c r="B290" s="19" t="s">
        <v>289</v>
      </c>
      <c r="C290" s="19" t="s">
        <v>20</v>
      </c>
      <c r="D290" s="20" t="s">
        <v>32524</v>
      </c>
      <c r="E290" s="20">
        <v>83</v>
      </c>
      <c r="F290" s="18" t="s">
        <v>10922</v>
      </c>
    </row>
    <row r="291" spans="1:6" x14ac:dyDescent="0.3">
      <c r="A291" s="19" t="s">
        <v>10923</v>
      </c>
      <c r="B291" s="19" t="s">
        <v>789</v>
      </c>
      <c r="C291" s="19" t="s">
        <v>167</v>
      </c>
      <c r="D291" s="20" t="s">
        <v>32524</v>
      </c>
      <c r="E291" s="20">
        <v>85</v>
      </c>
      <c r="F291" s="18" t="s">
        <v>10924</v>
      </c>
    </row>
    <row r="292" spans="1:6" x14ac:dyDescent="0.3">
      <c r="A292" s="19" t="s">
        <v>763</v>
      </c>
      <c r="B292" s="19" t="s">
        <v>104</v>
      </c>
      <c r="C292" s="19" t="s">
        <v>117</v>
      </c>
      <c r="D292" s="20" t="s">
        <v>32524</v>
      </c>
      <c r="E292" s="20">
        <v>88</v>
      </c>
      <c r="F292" s="18" t="s">
        <v>10927</v>
      </c>
    </row>
    <row r="293" spans="1:6" x14ac:dyDescent="0.3">
      <c r="A293" s="19" t="s">
        <v>10928</v>
      </c>
      <c r="B293" s="19" t="s">
        <v>3948</v>
      </c>
      <c r="C293" s="19" t="s">
        <v>38</v>
      </c>
      <c r="D293" s="20" t="s">
        <v>32524</v>
      </c>
      <c r="E293" s="20">
        <v>91</v>
      </c>
      <c r="F293" s="18" t="s">
        <v>10929</v>
      </c>
    </row>
    <row r="294" spans="1:6" x14ac:dyDescent="0.3">
      <c r="A294" s="19" t="s">
        <v>10930</v>
      </c>
      <c r="B294" s="19" t="s">
        <v>182</v>
      </c>
      <c r="C294" s="19" t="s">
        <v>878</v>
      </c>
      <c r="D294" s="20" t="s">
        <v>32524</v>
      </c>
      <c r="E294" s="20">
        <v>94</v>
      </c>
      <c r="F294" s="18" t="s">
        <v>10931</v>
      </c>
    </row>
    <row r="295" spans="1:6" x14ac:dyDescent="0.3">
      <c r="A295" s="19" t="s">
        <v>10210</v>
      </c>
      <c r="B295" s="19" t="s">
        <v>166</v>
      </c>
      <c r="C295" s="19" t="s">
        <v>9822</v>
      </c>
      <c r="D295" s="20" t="s">
        <v>32524</v>
      </c>
      <c r="E295" s="20">
        <v>96</v>
      </c>
      <c r="F295" s="18" t="s">
        <v>10932</v>
      </c>
    </row>
    <row r="296" spans="1:6" x14ac:dyDescent="0.3">
      <c r="A296" s="19" t="s">
        <v>10933</v>
      </c>
      <c r="B296" s="19" t="s">
        <v>10934</v>
      </c>
      <c r="C296" s="19" t="s">
        <v>81</v>
      </c>
      <c r="D296" s="20" t="s">
        <v>32524</v>
      </c>
      <c r="E296" s="20">
        <v>98</v>
      </c>
      <c r="F296" s="18" t="s">
        <v>10935</v>
      </c>
    </row>
    <row r="297" spans="1:6" x14ac:dyDescent="0.3">
      <c r="A297" s="19" t="s">
        <v>10937</v>
      </c>
      <c r="B297" s="19" t="s">
        <v>136</v>
      </c>
      <c r="C297" s="19" t="s">
        <v>68</v>
      </c>
      <c r="D297" s="20" t="s">
        <v>32524</v>
      </c>
      <c r="E297" s="20">
        <v>100</v>
      </c>
      <c r="F297" s="18" t="s">
        <v>10938</v>
      </c>
    </row>
    <row r="298" spans="1:6" x14ac:dyDescent="0.3">
      <c r="A298" s="19" t="s">
        <v>784</v>
      </c>
      <c r="B298" s="19" t="s">
        <v>10939</v>
      </c>
      <c r="C298" s="19" t="s">
        <v>81</v>
      </c>
      <c r="D298" s="20" t="s">
        <v>32524</v>
      </c>
      <c r="E298" s="20">
        <v>101</v>
      </c>
      <c r="F298" s="18" t="s">
        <v>10940</v>
      </c>
    </row>
    <row r="299" spans="1:6" x14ac:dyDescent="0.3">
      <c r="A299" s="19" t="s">
        <v>10941</v>
      </c>
      <c r="B299" s="19" t="s">
        <v>26</v>
      </c>
      <c r="C299" s="19" t="s">
        <v>17</v>
      </c>
      <c r="D299" s="20" t="s">
        <v>32524</v>
      </c>
      <c r="E299" s="20">
        <v>102</v>
      </c>
      <c r="F299" s="18" t="s">
        <v>10942</v>
      </c>
    </row>
    <row r="300" spans="1:6" x14ac:dyDescent="0.3">
      <c r="A300" s="19" t="s">
        <v>4955</v>
      </c>
      <c r="B300" s="19" t="s">
        <v>255</v>
      </c>
      <c r="C300" s="19" t="s">
        <v>117</v>
      </c>
      <c r="D300" s="20" t="s">
        <v>32524</v>
      </c>
      <c r="E300" s="20">
        <v>104</v>
      </c>
      <c r="F300" s="18" t="s">
        <v>10943</v>
      </c>
    </row>
    <row r="301" spans="1:6" x14ac:dyDescent="0.3">
      <c r="A301" s="19" t="s">
        <v>8401</v>
      </c>
      <c r="B301" s="19" t="s">
        <v>29</v>
      </c>
      <c r="C301" s="19" t="s">
        <v>17</v>
      </c>
      <c r="D301" s="20" t="s">
        <v>32524</v>
      </c>
      <c r="E301" s="20">
        <v>110</v>
      </c>
      <c r="F301" s="18" t="s">
        <v>10947</v>
      </c>
    </row>
    <row r="302" spans="1:6" x14ac:dyDescent="0.3">
      <c r="A302" s="19" t="s">
        <v>10949</v>
      </c>
      <c r="B302" s="19" t="s">
        <v>471</v>
      </c>
      <c r="C302" s="19" t="s">
        <v>17</v>
      </c>
      <c r="D302" s="20" t="s">
        <v>32524</v>
      </c>
      <c r="E302" s="20">
        <v>113</v>
      </c>
      <c r="F302" s="18" t="s">
        <v>10950</v>
      </c>
    </row>
    <row r="303" spans="1:6" x14ac:dyDescent="0.3">
      <c r="A303" s="19" t="s">
        <v>10951</v>
      </c>
      <c r="B303" s="19" t="s">
        <v>30</v>
      </c>
      <c r="C303" s="19" t="s">
        <v>243</v>
      </c>
      <c r="D303" s="20" t="s">
        <v>32524</v>
      </c>
      <c r="E303" s="20">
        <v>115</v>
      </c>
      <c r="F303" s="18" t="s">
        <v>10952</v>
      </c>
    </row>
    <row r="304" spans="1:6" x14ac:dyDescent="0.3">
      <c r="A304" s="19" t="s">
        <v>10953</v>
      </c>
      <c r="B304" s="19" t="s">
        <v>2011</v>
      </c>
      <c r="C304" s="19" t="s">
        <v>136</v>
      </c>
      <c r="D304" s="20" t="s">
        <v>32524</v>
      </c>
      <c r="E304" s="20">
        <v>116</v>
      </c>
      <c r="F304" s="18" t="s">
        <v>10954</v>
      </c>
    </row>
    <row r="305" spans="1:6" x14ac:dyDescent="0.3">
      <c r="A305" s="19" t="s">
        <v>6441</v>
      </c>
      <c r="B305" s="19" t="s">
        <v>283</v>
      </c>
      <c r="C305" s="19" t="s">
        <v>68</v>
      </c>
      <c r="D305" s="20" t="s">
        <v>32524</v>
      </c>
      <c r="E305" s="20">
        <v>117</v>
      </c>
      <c r="F305" s="18" t="s">
        <v>10955</v>
      </c>
    </row>
    <row r="306" spans="1:6" x14ac:dyDescent="0.3">
      <c r="A306" s="19" t="s">
        <v>10956</v>
      </c>
      <c r="B306" s="19" t="s">
        <v>54</v>
      </c>
      <c r="C306" s="19" t="s">
        <v>10957</v>
      </c>
      <c r="D306" s="20" t="s">
        <v>32524</v>
      </c>
      <c r="E306" s="20">
        <v>119</v>
      </c>
      <c r="F306" s="18" t="s">
        <v>10958</v>
      </c>
    </row>
    <row r="307" spans="1:6" x14ac:dyDescent="0.3">
      <c r="A307" s="19" t="s">
        <v>1530</v>
      </c>
      <c r="B307" s="19" t="s">
        <v>1743</v>
      </c>
      <c r="C307" s="19" t="s">
        <v>23</v>
      </c>
      <c r="D307" s="20" t="s">
        <v>32524</v>
      </c>
      <c r="E307" s="20">
        <v>122</v>
      </c>
      <c r="F307" s="18" t="s">
        <v>10959</v>
      </c>
    </row>
    <row r="308" spans="1:6" x14ac:dyDescent="0.3">
      <c r="A308" s="19" t="s">
        <v>5799</v>
      </c>
      <c r="B308" s="19" t="s">
        <v>471</v>
      </c>
      <c r="C308" s="19" t="s">
        <v>136</v>
      </c>
      <c r="D308" s="20" t="s">
        <v>32524</v>
      </c>
      <c r="E308" s="20">
        <v>124</v>
      </c>
      <c r="F308" s="18" t="s">
        <v>10961</v>
      </c>
    </row>
    <row r="309" spans="1:6" x14ac:dyDescent="0.3">
      <c r="A309" s="19" t="s">
        <v>10962</v>
      </c>
      <c r="B309" s="19" t="s">
        <v>6835</v>
      </c>
      <c r="C309" s="19" t="s">
        <v>38</v>
      </c>
      <c r="D309" s="20" t="s">
        <v>32524</v>
      </c>
      <c r="E309" s="20">
        <v>126</v>
      </c>
      <c r="F309" s="18" t="s">
        <v>10963</v>
      </c>
    </row>
    <row r="310" spans="1:6" x14ac:dyDescent="0.3">
      <c r="A310" s="19" t="s">
        <v>10964</v>
      </c>
      <c r="B310" s="19" t="s">
        <v>132</v>
      </c>
      <c r="C310" s="19" t="s">
        <v>81</v>
      </c>
      <c r="D310" s="20" t="s">
        <v>32524</v>
      </c>
      <c r="E310" s="20">
        <v>127</v>
      </c>
      <c r="F310" s="18" t="s">
        <v>10965</v>
      </c>
    </row>
    <row r="311" spans="1:6" x14ac:dyDescent="0.3">
      <c r="A311" s="19" t="s">
        <v>5919</v>
      </c>
      <c r="B311" s="19" t="s">
        <v>188</v>
      </c>
      <c r="C311" s="19" t="s">
        <v>259</v>
      </c>
      <c r="D311" s="20" t="s">
        <v>32524</v>
      </c>
      <c r="E311" s="20">
        <v>132</v>
      </c>
      <c r="F311" s="18" t="s">
        <v>10966</v>
      </c>
    </row>
    <row r="312" spans="1:6" x14ac:dyDescent="0.3">
      <c r="A312" s="19" t="s">
        <v>5678</v>
      </c>
      <c r="B312" s="19" t="s">
        <v>54</v>
      </c>
      <c r="C312" s="19" t="s">
        <v>136</v>
      </c>
      <c r="D312" s="20" t="s">
        <v>32524</v>
      </c>
      <c r="E312" s="20">
        <v>134</v>
      </c>
      <c r="F312" s="18" t="s">
        <v>10968</v>
      </c>
    </row>
    <row r="313" spans="1:6" x14ac:dyDescent="0.3">
      <c r="A313" s="19" t="s">
        <v>3430</v>
      </c>
      <c r="B313" s="19" t="s">
        <v>10969</v>
      </c>
      <c r="C313" s="19" t="s">
        <v>17</v>
      </c>
      <c r="D313" s="20" t="s">
        <v>32524</v>
      </c>
      <c r="E313" s="20">
        <v>135</v>
      </c>
      <c r="F313" s="18" t="s">
        <v>10970</v>
      </c>
    </row>
    <row r="314" spans="1:6" x14ac:dyDescent="0.3">
      <c r="A314" s="19" t="s">
        <v>1340</v>
      </c>
      <c r="B314" s="19" t="s">
        <v>320</v>
      </c>
      <c r="C314" s="19" t="s">
        <v>38</v>
      </c>
      <c r="D314" s="20" t="s">
        <v>32524</v>
      </c>
      <c r="E314" s="20">
        <v>136</v>
      </c>
      <c r="F314" s="18" t="s">
        <v>10971</v>
      </c>
    </row>
    <row r="315" spans="1:6" x14ac:dyDescent="0.3">
      <c r="A315" s="19" t="s">
        <v>10972</v>
      </c>
      <c r="B315" s="19" t="s">
        <v>178</v>
      </c>
      <c r="C315" s="19" t="s">
        <v>14</v>
      </c>
      <c r="D315" s="20" t="s">
        <v>32524</v>
      </c>
      <c r="E315" s="20">
        <v>140</v>
      </c>
      <c r="F315" s="18" t="s">
        <v>10973</v>
      </c>
    </row>
    <row r="316" spans="1:6" x14ac:dyDescent="0.3">
      <c r="A316" s="19" t="s">
        <v>529</v>
      </c>
      <c r="B316" s="19" t="s">
        <v>166</v>
      </c>
      <c r="C316" s="19" t="s">
        <v>117</v>
      </c>
      <c r="D316" s="20" t="s">
        <v>32524</v>
      </c>
      <c r="E316" s="20">
        <v>141</v>
      </c>
      <c r="F316" s="18" t="s">
        <v>10974</v>
      </c>
    </row>
    <row r="317" spans="1:6" x14ac:dyDescent="0.3">
      <c r="A317" s="19" t="s">
        <v>10975</v>
      </c>
      <c r="B317" s="19" t="s">
        <v>29</v>
      </c>
      <c r="C317" s="19" t="s">
        <v>328</v>
      </c>
      <c r="D317" s="20" t="s">
        <v>32524</v>
      </c>
      <c r="E317" s="20">
        <v>142</v>
      </c>
      <c r="F317" s="18" t="s">
        <v>10976</v>
      </c>
    </row>
    <row r="318" spans="1:6" x14ac:dyDescent="0.3">
      <c r="A318" s="19" t="s">
        <v>4677</v>
      </c>
      <c r="B318" s="19" t="s">
        <v>173</v>
      </c>
      <c r="C318" s="19" t="s">
        <v>81</v>
      </c>
      <c r="D318" s="20" t="s">
        <v>32524</v>
      </c>
      <c r="E318" s="20">
        <v>143</v>
      </c>
      <c r="F318" s="18" t="s">
        <v>10977</v>
      </c>
    </row>
    <row r="319" spans="1:6" x14ac:dyDescent="0.3">
      <c r="A319" s="19" t="s">
        <v>7161</v>
      </c>
      <c r="B319" s="19" t="s">
        <v>3221</v>
      </c>
      <c r="C319" s="19" t="s">
        <v>20</v>
      </c>
      <c r="D319" s="20" t="s">
        <v>32524</v>
      </c>
      <c r="E319" s="20">
        <v>144</v>
      </c>
      <c r="F319" s="18" t="s">
        <v>10978</v>
      </c>
    </row>
    <row r="320" spans="1:6" x14ac:dyDescent="0.3">
      <c r="A320" s="19" t="s">
        <v>1425</v>
      </c>
      <c r="B320" s="19" t="s">
        <v>2088</v>
      </c>
      <c r="C320" s="19" t="s">
        <v>68</v>
      </c>
      <c r="D320" s="20" t="s">
        <v>32524</v>
      </c>
      <c r="E320" s="20">
        <v>150</v>
      </c>
      <c r="F320" s="18" t="s">
        <v>10983</v>
      </c>
    </row>
    <row r="321" spans="1:6" x14ac:dyDescent="0.3">
      <c r="A321" s="19" t="s">
        <v>181</v>
      </c>
      <c r="B321" s="19" t="s">
        <v>10984</v>
      </c>
      <c r="C321" s="19" t="s">
        <v>52</v>
      </c>
      <c r="D321" s="20" t="s">
        <v>32524</v>
      </c>
      <c r="E321" s="20">
        <v>151</v>
      </c>
      <c r="F321" s="18" t="s">
        <v>10985</v>
      </c>
    </row>
    <row r="322" spans="1:6" x14ac:dyDescent="0.3">
      <c r="A322" s="19" t="s">
        <v>8142</v>
      </c>
      <c r="B322" s="19" t="s">
        <v>126</v>
      </c>
      <c r="C322" s="19" t="s">
        <v>17</v>
      </c>
      <c r="D322" s="20" t="s">
        <v>32524</v>
      </c>
      <c r="E322" s="20">
        <v>152</v>
      </c>
      <c r="F322" s="18" t="s">
        <v>10986</v>
      </c>
    </row>
    <row r="323" spans="1:6" x14ac:dyDescent="0.3">
      <c r="A323" s="19" t="s">
        <v>9882</v>
      </c>
      <c r="B323" s="19" t="s">
        <v>143</v>
      </c>
      <c r="C323" s="19" t="s">
        <v>81</v>
      </c>
      <c r="D323" s="20" t="s">
        <v>32524</v>
      </c>
      <c r="E323" s="20">
        <v>153</v>
      </c>
      <c r="F323" s="18" t="s">
        <v>10987</v>
      </c>
    </row>
    <row r="324" spans="1:6" x14ac:dyDescent="0.3">
      <c r="A324" s="19" t="s">
        <v>10988</v>
      </c>
      <c r="B324" s="19" t="s">
        <v>54</v>
      </c>
      <c r="C324" s="19" t="s">
        <v>17</v>
      </c>
      <c r="D324" s="20" t="s">
        <v>32524</v>
      </c>
      <c r="E324" s="20">
        <v>154</v>
      </c>
      <c r="F324" s="18" t="s">
        <v>10989</v>
      </c>
    </row>
    <row r="325" spans="1:6" x14ac:dyDescent="0.3">
      <c r="A325" s="19" t="s">
        <v>5106</v>
      </c>
      <c r="B325" s="19" t="s">
        <v>789</v>
      </c>
      <c r="C325" s="19" t="s">
        <v>30</v>
      </c>
      <c r="D325" s="20" t="s">
        <v>32524</v>
      </c>
      <c r="E325" s="20">
        <v>156</v>
      </c>
      <c r="F325" s="18" t="s">
        <v>10991</v>
      </c>
    </row>
    <row r="326" spans="1:6" x14ac:dyDescent="0.3">
      <c r="A326" s="19" t="s">
        <v>10992</v>
      </c>
      <c r="B326" s="19" t="s">
        <v>104</v>
      </c>
      <c r="C326" s="19" t="s">
        <v>1023</v>
      </c>
      <c r="D326" s="20" t="s">
        <v>32524</v>
      </c>
      <c r="E326" s="20">
        <v>157</v>
      </c>
      <c r="F326" s="18" t="s">
        <v>10993</v>
      </c>
    </row>
    <row r="327" spans="1:6" x14ac:dyDescent="0.3">
      <c r="A327" s="19" t="s">
        <v>421</v>
      </c>
      <c r="B327" s="19" t="s">
        <v>97</v>
      </c>
      <c r="C327" s="19" t="s">
        <v>652</v>
      </c>
      <c r="D327" s="20" t="s">
        <v>32524</v>
      </c>
      <c r="E327" s="20">
        <v>158</v>
      </c>
      <c r="F327" s="18" t="s">
        <v>10994</v>
      </c>
    </row>
    <row r="328" spans="1:6" x14ac:dyDescent="0.3">
      <c r="A328" s="19" t="s">
        <v>3102</v>
      </c>
      <c r="B328" s="19" t="s">
        <v>213</v>
      </c>
      <c r="C328" s="19" t="s">
        <v>238</v>
      </c>
      <c r="D328" s="20" t="s">
        <v>32116</v>
      </c>
      <c r="E328" s="20">
        <v>3</v>
      </c>
      <c r="F328" s="18" t="s">
        <v>26768</v>
      </c>
    </row>
    <row r="329" spans="1:6" x14ac:dyDescent="0.3">
      <c r="A329" s="19" t="s">
        <v>26769</v>
      </c>
      <c r="B329" s="19" t="s">
        <v>161</v>
      </c>
      <c r="C329" s="19" t="s">
        <v>1076</v>
      </c>
      <c r="D329" s="20" t="s">
        <v>32116</v>
      </c>
      <c r="E329" s="20">
        <v>6</v>
      </c>
      <c r="F329" s="18" t="s">
        <v>26770</v>
      </c>
    </row>
    <row r="330" spans="1:6" x14ac:dyDescent="0.3">
      <c r="A330" s="19" t="s">
        <v>26771</v>
      </c>
      <c r="B330" s="19" t="s">
        <v>26772</v>
      </c>
      <c r="C330" s="19" t="s">
        <v>26773</v>
      </c>
      <c r="D330" s="20" t="s">
        <v>32116</v>
      </c>
      <c r="E330" s="20">
        <v>7</v>
      </c>
      <c r="F330" s="18" t="s">
        <v>26774</v>
      </c>
    </row>
    <row r="331" spans="1:6" x14ac:dyDescent="0.3">
      <c r="A331" s="19" t="s">
        <v>3404</v>
      </c>
      <c r="B331" s="19" t="s">
        <v>100</v>
      </c>
      <c r="C331" s="19" t="s">
        <v>158</v>
      </c>
      <c r="D331" s="20" t="s">
        <v>32116</v>
      </c>
      <c r="E331" s="20">
        <v>24</v>
      </c>
      <c r="F331" s="18" t="s">
        <v>26775</v>
      </c>
    </row>
    <row r="332" spans="1:6" x14ac:dyDescent="0.3">
      <c r="A332" s="19" t="s">
        <v>26776</v>
      </c>
      <c r="B332" s="19" t="s">
        <v>935</v>
      </c>
      <c r="C332" s="19" t="s">
        <v>68</v>
      </c>
      <c r="D332" s="20" t="s">
        <v>32116</v>
      </c>
      <c r="E332" s="20">
        <v>30</v>
      </c>
      <c r="F332" s="18" t="s">
        <v>26777</v>
      </c>
    </row>
    <row r="333" spans="1:6" x14ac:dyDescent="0.3">
      <c r="A333" s="19" t="s">
        <v>26779</v>
      </c>
      <c r="B333" s="19" t="s">
        <v>268</v>
      </c>
      <c r="C333" s="19" t="s">
        <v>55</v>
      </c>
      <c r="D333" s="20" t="s">
        <v>32116</v>
      </c>
      <c r="E333" s="20">
        <v>35</v>
      </c>
      <c r="F333" s="18" t="s">
        <v>26780</v>
      </c>
    </row>
    <row r="334" spans="1:6" x14ac:dyDescent="0.3">
      <c r="A334" s="19" t="s">
        <v>20935</v>
      </c>
      <c r="B334" s="19" t="s">
        <v>117</v>
      </c>
      <c r="C334" s="19" t="s">
        <v>328</v>
      </c>
      <c r="D334" s="20" t="s">
        <v>32116</v>
      </c>
      <c r="E334" s="20">
        <v>39</v>
      </c>
      <c r="F334" s="18" t="s">
        <v>26781</v>
      </c>
    </row>
    <row r="335" spans="1:6" x14ac:dyDescent="0.3">
      <c r="A335" s="19" t="s">
        <v>25269</v>
      </c>
      <c r="B335" s="19" t="s">
        <v>406</v>
      </c>
      <c r="C335" s="19" t="s">
        <v>124</v>
      </c>
      <c r="D335" s="20" t="s">
        <v>32116</v>
      </c>
      <c r="E335" s="20">
        <v>41</v>
      </c>
      <c r="F335" s="18" t="s">
        <v>26782</v>
      </c>
    </row>
    <row r="336" spans="1:6" x14ac:dyDescent="0.3">
      <c r="A336" s="19" t="s">
        <v>26783</v>
      </c>
      <c r="B336" s="19" t="s">
        <v>744</v>
      </c>
      <c r="C336" s="19" t="s">
        <v>17</v>
      </c>
      <c r="D336" s="20" t="s">
        <v>32116</v>
      </c>
      <c r="E336" s="20">
        <v>42</v>
      </c>
      <c r="F336" s="18" t="s">
        <v>26784</v>
      </c>
    </row>
    <row r="337" spans="1:6" x14ac:dyDescent="0.3">
      <c r="A337" s="19" t="s">
        <v>23022</v>
      </c>
      <c r="B337" s="19" t="s">
        <v>208</v>
      </c>
      <c r="C337" s="19" t="s">
        <v>17</v>
      </c>
      <c r="D337" s="20" t="s">
        <v>32116</v>
      </c>
      <c r="E337" s="20">
        <v>52</v>
      </c>
      <c r="F337" s="18" t="s">
        <v>26786</v>
      </c>
    </row>
    <row r="338" spans="1:6" x14ac:dyDescent="0.3">
      <c r="A338" s="19" t="s">
        <v>26787</v>
      </c>
      <c r="B338" s="19" t="s">
        <v>29</v>
      </c>
      <c r="C338" s="19" t="s">
        <v>158</v>
      </c>
      <c r="D338" s="20" t="s">
        <v>32116</v>
      </c>
      <c r="E338" s="20">
        <v>53</v>
      </c>
      <c r="F338" s="18" t="s">
        <v>26788</v>
      </c>
    </row>
    <row r="339" spans="1:6" x14ac:dyDescent="0.3">
      <c r="A339" s="19" t="s">
        <v>26789</v>
      </c>
      <c r="B339" s="19" t="s">
        <v>38</v>
      </c>
      <c r="C339" s="19" t="s">
        <v>9197</v>
      </c>
      <c r="D339" s="20" t="s">
        <v>32116</v>
      </c>
      <c r="E339" s="20">
        <v>55</v>
      </c>
      <c r="F339" s="18" t="s">
        <v>26790</v>
      </c>
    </row>
    <row r="340" spans="1:6" x14ac:dyDescent="0.3">
      <c r="A340" s="19" t="s">
        <v>26792</v>
      </c>
      <c r="B340" s="19" t="s">
        <v>30</v>
      </c>
      <c r="C340" s="19" t="s">
        <v>124</v>
      </c>
      <c r="D340" s="20" t="s">
        <v>32116</v>
      </c>
      <c r="E340" s="20">
        <v>63</v>
      </c>
      <c r="F340" s="18" t="s">
        <v>26793</v>
      </c>
    </row>
    <row r="341" spans="1:6" x14ac:dyDescent="0.3">
      <c r="A341" s="19" t="s">
        <v>26794</v>
      </c>
      <c r="B341" s="19" t="s">
        <v>454</v>
      </c>
      <c r="C341" s="19" t="s">
        <v>230</v>
      </c>
      <c r="D341" s="20" t="s">
        <v>32116</v>
      </c>
      <c r="E341" s="20">
        <v>70</v>
      </c>
      <c r="F341" s="18" t="s">
        <v>26795</v>
      </c>
    </row>
    <row r="342" spans="1:6" x14ac:dyDescent="0.3">
      <c r="A342" s="19" t="s">
        <v>26796</v>
      </c>
      <c r="B342" s="19" t="s">
        <v>54</v>
      </c>
      <c r="C342" s="19" t="s">
        <v>20</v>
      </c>
      <c r="D342" s="20" t="s">
        <v>32116</v>
      </c>
      <c r="E342" s="20">
        <v>74</v>
      </c>
      <c r="F342" s="18" t="s">
        <v>26797</v>
      </c>
    </row>
    <row r="343" spans="1:6" x14ac:dyDescent="0.3">
      <c r="A343" s="19" t="s">
        <v>26798</v>
      </c>
      <c r="B343" s="19" t="s">
        <v>117</v>
      </c>
      <c r="C343" s="19" t="s">
        <v>30</v>
      </c>
      <c r="D343" s="20" t="s">
        <v>32116</v>
      </c>
      <c r="E343" s="20">
        <v>76</v>
      </c>
      <c r="F343" s="18" t="s">
        <v>26799</v>
      </c>
    </row>
    <row r="344" spans="1:6" x14ac:dyDescent="0.3">
      <c r="A344" s="19" t="s">
        <v>4968</v>
      </c>
      <c r="B344" s="19" t="s">
        <v>139</v>
      </c>
      <c r="C344" s="19" t="s">
        <v>91</v>
      </c>
      <c r="D344" s="20" t="s">
        <v>32116</v>
      </c>
      <c r="E344" s="20">
        <v>78</v>
      </c>
      <c r="F344" s="18" t="s">
        <v>26800</v>
      </c>
    </row>
    <row r="345" spans="1:6" x14ac:dyDescent="0.3">
      <c r="A345" s="19" t="s">
        <v>26802</v>
      </c>
      <c r="B345" s="19" t="s">
        <v>17</v>
      </c>
      <c r="C345" s="19" t="s">
        <v>2595</v>
      </c>
      <c r="D345" s="20" t="s">
        <v>32116</v>
      </c>
      <c r="E345" s="20">
        <v>81</v>
      </c>
      <c r="F345" s="18" t="s">
        <v>26803</v>
      </c>
    </row>
    <row r="346" spans="1:6" x14ac:dyDescent="0.3">
      <c r="A346" s="19" t="s">
        <v>9327</v>
      </c>
      <c r="B346" s="19" t="s">
        <v>178</v>
      </c>
      <c r="C346" s="19" t="s">
        <v>20</v>
      </c>
      <c r="D346" s="20" t="s">
        <v>32116</v>
      </c>
      <c r="E346" s="20">
        <v>82</v>
      </c>
      <c r="F346" s="18" t="s">
        <v>26804</v>
      </c>
    </row>
    <row r="347" spans="1:6" x14ac:dyDescent="0.3">
      <c r="A347" s="19" t="s">
        <v>2227</v>
      </c>
      <c r="B347" s="19" t="s">
        <v>132</v>
      </c>
      <c r="C347" s="19" t="s">
        <v>17</v>
      </c>
      <c r="D347" s="20" t="s">
        <v>32116</v>
      </c>
      <c r="E347" s="20">
        <v>84</v>
      </c>
      <c r="F347" s="18" t="s">
        <v>26805</v>
      </c>
    </row>
    <row r="348" spans="1:6" x14ac:dyDescent="0.3">
      <c r="A348" s="19" t="s">
        <v>26806</v>
      </c>
      <c r="B348" s="19" t="s">
        <v>26807</v>
      </c>
      <c r="C348" s="19" t="s">
        <v>136</v>
      </c>
      <c r="D348" s="20" t="s">
        <v>32116</v>
      </c>
      <c r="E348" s="20">
        <v>85</v>
      </c>
      <c r="F348" s="18" t="s">
        <v>26808</v>
      </c>
    </row>
    <row r="349" spans="1:6" x14ac:dyDescent="0.3">
      <c r="A349" s="19" t="s">
        <v>26809</v>
      </c>
      <c r="B349" s="19" t="s">
        <v>29</v>
      </c>
      <c r="C349" s="19" t="s">
        <v>17</v>
      </c>
      <c r="D349" s="20" t="s">
        <v>32116</v>
      </c>
      <c r="E349" s="20">
        <v>86</v>
      </c>
      <c r="F349" s="18" t="s">
        <v>26810</v>
      </c>
    </row>
    <row r="350" spans="1:6" x14ac:dyDescent="0.3">
      <c r="A350" s="19" t="s">
        <v>7881</v>
      </c>
      <c r="B350" s="19" t="s">
        <v>29</v>
      </c>
      <c r="C350" s="19" t="s">
        <v>81</v>
      </c>
      <c r="D350" s="20" t="s">
        <v>32116</v>
      </c>
      <c r="E350" s="20">
        <v>87</v>
      </c>
      <c r="F350" s="18" t="s">
        <v>26811</v>
      </c>
    </row>
    <row r="351" spans="1:6" x14ac:dyDescent="0.3">
      <c r="A351" s="19" t="s">
        <v>2227</v>
      </c>
      <c r="B351" s="19" t="s">
        <v>29</v>
      </c>
      <c r="C351" s="19" t="s">
        <v>20</v>
      </c>
      <c r="D351" s="20" t="s">
        <v>32116</v>
      </c>
      <c r="E351" s="20">
        <v>88</v>
      </c>
      <c r="F351" s="18" t="s">
        <v>26812</v>
      </c>
    </row>
    <row r="352" spans="1:6" x14ac:dyDescent="0.3">
      <c r="A352" s="19" t="s">
        <v>26813</v>
      </c>
      <c r="B352" s="19" t="s">
        <v>193</v>
      </c>
      <c r="C352" s="19" t="s">
        <v>17</v>
      </c>
      <c r="D352" s="20" t="s">
        <v>32116</v>
      </c>
      <c r="E352" s="20">
        <v>90</v>
      </c>
      <c r="F352" s="18" t="s">
        <v>26814</v>
      </c>
    </row>
    <row r="353" spans="1:6" x14ac:dyDescent="0.3">
      <c r="A353" s="19" t="s">
        <v>26816</v>
      </c>
      <c r="B353" s="19" t="s">
        <v>62</v>
      </c>
      <c r="C353" s="19" t="s">
        <v>52</v>
      </c>
      <c r="D353" s="20" t="s">
        <v>32116</v>
      </c>
      <c r="E353" s="20">
        <v>93</v>
      </c>
      <c r="F353" s="18" t="s">
        <v>26817</v>
      </c>
    </row>
    <row r="354" spans="1:6" x14ac:dyDescent="0.3">
      <c r="A354" s="19" t="s">
        <v>26819</v>
      </c>
      <c r="B354" s="19" t="s">
        <v>29</v>
      </c>
      <c r="C354" s="19" t="s">
        <v>81</v>
      </c>
      <c r="D354" s="20" t="s">
        <v>32116</v>
      </c>
      <c r="E354" s="20">
        <v>99</v>
      </c>
      <c r="F354" s="18" t="s">
        <v>26820</v>
      </c>
    </row>
    <row r="355" spans="1:6" x14ac:dyDescent="0.3">
      <c r="A355" s="19" t="s">
        <v>26821</v>
      </c>
      <c r="B355" s="19" t="s">
        <v>178</v>
      </c>
      <c r="C355" s="19" t="s">
        <v>32525</v>
      </c>
      <c r="D355" s="20" t="s">
        <v>32116</v>
      </c>
      <c r="E355" s="20">
        <v>100</v>
      </c>
      <c r="F355" s="18" t="s">
        <v>26822</v>
      </c>
    </row>
    <row r="356" spans="1:6" x14ac:dyDescent="0.3">
      <c r="A356" s="19" t="s">
        <v>26823</v>
      </c>
      <c r="B356" s="19" t="s">
        <v>219</v>
      </c>
      <c r="C356" s="19" t="s">
        <v>81</v>
      </c>
      <c r="D356" s="20" t="s">
        <v>32116</v>
      </c>
      <c r="E356" s="20">
        <v>101</v>
      </c>
      <c r="F356" s="18" t="s">
        <v>26824</v>
      </c>
    </row>
    <row r="357" spans="1:6" x14ac:dyDescent="0.3">
      <c r="A357" s="19" t="s">
        <v>26785</v>
      </c>
      <c r="B357" s="19" t="s">
        <v>132</v>
      </c>
      <c r="C357" s="19" t="s">
        <v>30</v>
      </c>
      <c r="D357" s="20" t="s">
        <v>32116</v>
      </c>
      <c r="E357" s="20">
        <v>102</v>
      </c>
      <c r="F357" s="18" t="s">
        <v>26825</v>
      </c>
    </row>
    <row r="358" spans="1:6" x14ac:dyDescent="0.3">
      <c r="A358" s="19" t="s">
        <v>20712</v>
      </c>
      <c r="B358" s="19" t="s">
        <v>29</v>
      </c>
      <c r="C358" s="19" t="s">
        <v>158</v>
      </c>
      <c r="D358" s="20" t="s">
        <v>32116</v>
      </c>
      <c r="E358" s="20">
        <v>104</v>
      </c>
      <c r="F358" s="18" t="s">
        <v>26826</v>
      </c>
    </row>
    <row r="359" spans="1:6" x14ac:dyDescent="0.3">
      <c r="A359" s="19" t="s">
        <v>26827</v>
      </c>
      <c r="B359" s="19" t="s">
        <v>33</v>
      </c>
      <c r="C359" s="19" t="s">
        <v>81</v>
      </c>
      <c r="D359" s="20" t="s">
        <v>32116</v>
      </c>
      <c r="E359" s="20">
        <v>109</v>
      </c>
      <c r="F359" s="18" t="s">
        <v>26828</v>
      </c>
    </row>
    <row r="360" spans="1:6" x14ac:dyDescent="0.3">
      <c r="A360" s="19" t="s">
        <v>12972</v>
      </c>
      <c r="B360" s="19" t="s">
        <v>170</v>
      </c>
      <c r="C360" s="19" t="s">
        <v>34</v>
      </c>
      <c r="D360" s="20" t="s">
        <v>32116</v>
      </c>
      <c r="E360" s="20">
        <v>110</v>
      </c>
      <c r="F360" s="18" t="s">
        <v>26829</v>
      </c>
    </row>
    <row r="361" spans="1:6" x14ac:dyDescent="0.3">
      <c r="A361" s="19" t="s">
        <v>26755</v>
      </c>
      <c r="B361" s="19" t="s">
        <v>132</v>
      </c>
      <c r="C361" s="19" t="s">
        <v>136</v>
      </c>
      <c r="D361" s="20" t="s">
        <v>32116</v>
      </c>
      <c r="E361" s="20">
        <v>111</v>
      </c>
      <c r="F361" s="18" t="s">
        <v>26830</v>
      </c>
    </row>
    <row r="362" spans="1:6" x14ac:dyDescent="0.3">
      <c r="A362" s="19" t="s">
        <v>26831</v>
      </c>
      <c r="B362" s="19" t="s">
        <v>2743</v>
      </c>
      <c r="C362" s="19" t="s">
        <v>62</v>
      </c>
      <c r="D362" s="20" t="s">
        <v>32116</v>
      </c>
      <c r="E362" s="20">
        <v>112</v>
      </c>
      <c r="F362" s="18" t="s">
        <v>26832</v>
      </c>
    </row>
    <row r="363" spans="1:6" x14ac:dyDescent="0.3">
      <c r="A363" s="19" t="s">
        <v>26833</v>
      </c>
      <c r="B363" s="19" t="s">
        <v>88</v>
      </c>
      <c r="C363" s="19" t="s">
        <v>17</v>
      </c>
      <c r="D363" s="20" t="s">
        <v>32116</v>
      </c>
      <c r="E363" s="20">
        <v>115</v>
      </c>
      <c r="F363" s="18" t="s">
        <v>26834</v>
      </c>
    </row>
    <row r="364" spans="1:6" x14ac:dyDescent="0.3">
      <c r="A364" s="19" t="s">
        <v>24752</v>
      </c>
      <c r="B364" s="19" t="s">
        <v>744</v>
      </c>
      <c r="C364" s="19" t="s">
        <v>17</v>
      </c>
      <c r="D364" s="20" t="s">
        <v>32116</v>
      </c>
      <c r="E364" s="20">
        <v>120</v>
      </c>
      <c r="F364" s="18" t="s">
        <v>26837</v>
      </c>
    </row>
    <row r="365" spans="1:6" x14ac:dyDescent="0.3">
      <c r="A365" s="19" t="s">
        <v>7197</v>
      </c>
      <c r="B365" s="19" t="s">
        <v>33</v>
      </c>
      <c r="C365" s="19" t="s">
        <v>81</v>
      </c>
      <c r="D365" s="20" t="s">
        <v>32116</v>
      </c>
      <c r="E365" s="20">
        <v>123</v>
      </c>
      <c r="F365" s="18" t="s">
        <v>26839</v>
      </c>
    </row>
    <row r="366" spans="1:6" ht="28.8" x14ac:dyDescent="0.3">
      <c r="A366" s="19" t="s">
        <v>25375</v>
      </c>
      <c r="B366" s="19" t="s">
        <v>32526</v>
      </c>
      <c r="C366" s="19" t="s">
        <v>62</v>
      </c>
      <c r="D366" s="20" t="s">
        <v>32116</v>
      </c>
      <c r="E366" s="20">
        <v>125</v>
      </c>
      <c r="F366" s="18" t="s">
        <v>26840</v>
      </c>
    </row>
    <row r="367" spans="1:6" x14ac:dyDescent="0.3">
      <c r="A367" s="19" t="s">
        <v>2227</v>
      </c>
      <c r="B367" s="19" t="s">
        <v>188</v>
      </c>
      <c r="C367" s="19" t="s">
        <v>136</v>
      </c>
      <c r="D367" s="20" t="s">
        <v>32116</v>
      </c>
      <c r="E367" s="20">
        <v>127</v>
      </c>
      <c r="F367" s="18" t="s">
        <v>26841</v>
      </c>
    </row>
    <row r="368" spans="1:6" x14ac:dyDescent="0.3">
      <c r="A368" s="19" t="s">
        <v>14494</v>
      </c>
      <c r="B368" s="19" t="s">
        <v>26842</v>
      </c>
      <c r="C368" s="19" t="s">
        <v>2582</v>
      </c>
      <c r="D368" s="20" t="s">
        <v>32116</v>
      </c>
      <c r="E368" s="20">
        <v>128</v>
      </c>
      <c r="F368" s="18" t="s">
        <v>26843</v>
      </c>
    </row>
    <row r="369" spans="1:6" x14ac:dyDescent="0.3">
      <c r="A369" s="19" t="s">
        <v>26845</v>
      </c>
      <c r="B369" s="19" t="s">
        <v>110</v>
      </c>
      <c r="C369" s="19" t="s">
        <v>81</v>
      </c>
      <c r="D369" s="20" t="s">
        <v>32116</v>
      </c>
      <c r="E369" s="20">
        <v>130</v>
      </c>
      <c r="F369" s="18" t="s">
        <v>26846</v>
      </c>
    </row>
    <row r="370" spans="1:6" x14ac:dyDescent="0.3">
      <c r="A370" s="19" t="s">
        <v>26847</v>
      </c>
      <c r="B370" s="19" t="s">
        <v>32527</v>
      </c>
      <c r="C370" s="19" t="s">
        <v>38</v>
      </c>
      <c r="D370" s="20" t="s">
        <v>32116</v>
      </c>
      <c r="E370" s="20">
        <v>131</v>
      </c>
      <c r="F370" s="18" t="s">
        <v>26848</v>
      </c>
    </row>
    <row r="371" spans="1:6" ht="28.8" x14ac:dyDescent="0.3">
      <c r="A371" s="19" t="s">
        <v>26849</v>
      </c>
      <c r="B371" s="19" t="s">
        <v>32528</v>
      </c>
      <c r="C371" s="19" t="s">
        <v>892</v>
      </c>
      <c r="D371" s="20" t="s">
        <v>32116</v>
      </c>
      <c r="E371" s="20">
        <v>132</v>
      </c>
      <c r="F371" s="18" t="s">
        <v>26850</v>
      </c>
    </row>
    <row r="372" spans="1:6" x14ac:dyDescent="0.3">
      <c r="A372" s="19" t="s">
        <v>26851</v>
      </c>
      <c r="B372" s="19" t="s">
        <v>182</v>
      </c>
      <c r="C372" s="19" t="s">
        <v>230</v>
      </c>
      <c r="D372" s="20" t="s">
        <v>32116</v>
      </c>
      <c r="E372" s="20">
        <v>134</v>
      </c>
      <c r="F372" s="18" t="s">
        <v>26852</v>
      </c>
    </row>
    <row r="373" spans="1:6" x14ac:dyDescent="0.3">
      <c r="A373" s="19" t="s">
        <v>26853</v>
      </c>
      <c r="B373" s="19" t="s">
        <v>173</v>
      </c>
      <c r="C373" s="19" t="s">
        <v>17</v>
      </c>
      <c r="D373" s="20" t="s">
        <v>32116</v>
      </c>
      <c r="E373" s="20">
        <v>135</v>
      </c>
      <c r="F373" s="18" t="s">
        <v>26854</v>
      </c>
    </row>
    <row r="374" spans="1:6" x14ac:dyDescent="0.3">
      <c r="A374" s="19" t="s">
        <v>26855</v>
      </c>
      <c r="B374" s="19" t="s">
        <v>62</v>
      </c>
      <c r="C374" s="19" t="s">
        <v>3711</v>
      </c>
      <c r="D374" s="20" t="s">
        <v>32116</v>
      </c>
      <c r="E374" s="20">
        <v>137</v>
      </c>
      <c r="F374" s="18" t="s">
        <v>26856</v>
      </c>
    </row>
    <row r="375" spans="1:6" x14ac:dyDescent="0.3">
      <c r="A375" s="19" t="s">
        <v>26857</v>
      </c>
      <c r="B375" s="19" t="s">
        <v>342</v>
      </c>
      <c r="C375" s="19" t="s">
        <v>259</v>
      </c>
      <c r="D375" s="20" t="s">
        <v>32116</v>
      </c>
      <c r="E375" s="20">
        <v>138</v>
      </c>
      <c r="F375" s="18" t="s">
        <v>26858</v>
      </c>
    </row>
    <row r="376" spans="1:6" x14ac:dyDescent="0.3">
      <c r="A376" s="19" t="s">
        <v>10649</v>
      </c>
      <c r="B376" s="19" t="s">
        <v>41</v>
      </c>
      <c r="C376" s="19" t="s">
        <v>17</v>
      </c>
      <c r="D376" s="20" t="s">
        <v>32116</v>
      </c>
      <c r="E376" s="20">
        <v>139</v>
      </c>
      <c r="F376" s="18" t="s">
        <v>26859</v>
      </c>
    </row>
    <row r="377" spans="1:6" x14ac:dyDescent="0.3">
      <c r="A377" s="19" t="s">
        <v>26860</v>
      </c>
      <c r="B377" s="19" t="s">
        <v>41</v>
      </c>
      <c r="C377" s="19" t="s">
        <v>230</v>
      </c>
      <c r="D377" s="20" t="s">
        <v>32116</v>
      </c>
      <c r="E377" s="20">
        <v>140</v>
      </c>
      <c r="F377" s="18" t="s">
        <v>26861</v>
      </c>
    </row>
    <row r="378" spans="1:6" x14ac:dyDescent="0.3">
      <c r="A378" s="19" t="s">
        <v>1845</v>
      </c>
      <c r="B378" s="19" t="s">
        <v>1181</v>
      </c>
      <c r="C378" s="19" t="s">
        <v>34</v>
      </c>
      <c r="D378" s="20" t="s">
        <v>32116</v>
      </c>
      <c r="E378" s="20">
        <v>142</v>
      </c>
      <c r="F378" s="18" t="s">
        <v>26864</v>
      </c>
    </row>
    <row r="379" spans="1:6" x14ac:dyDescent="0.3">
      <c r="A379" s="19" t="s">
        <v>389</v>
      </c>
      <c r="B379" s="19" t="s">
        <v>268</v>
      </c>
      <c r="C379" s="19" t="s">
        <v>68</v>
      </c>
      <c r="D379" s="20" t="s">
        <v>32116</v>
      </c>
      <c r="E379" s="20">
        <v>143</v>
      </c>
      <c r="F379" s="18" t="s">
        <v>26865</v>
      </c>
    </row>
    <row r="380" spans="1:6" x14ac:dyDescent="0.3">
      <c r="A380" s="19" t="s">
        <v>16950</v>
      </c>
      <c r="B380" s="19" t="s">
        <v>182</v>
      </c>
      <c r="C380" s="19" t="s">
        <v>626</v>
      </c>
      <c r="D380" s="20" t="s">
        <v>32116</v>
      </c>
      <c r="E380" s="20">
        <v>144</v>
      </c>
      <c r="F380" s="18" t="s">
        <v>26866</v>
      </c>
    </row>
    <row r="381" spans="1:6" x14ac:dyDescent="0.3">
      <c r="A381" s="19" t="s">
        <v>26867</v>
      </c>
      <c r="B381" s="19" t="s">
        <v>25039</v>
      </c>
      <c r="C381" s="19" t="s">
        <v>1265</v>
      </c>
      <c r="D381" s="20" t="s">
        <v>32116</v>
      </c>
      <c r="E381" s="20">
        <v>145</v>
      </c>
      <c r="F381" s="18" t="s">
        <v>26868</v>
      </c>
    </row>
    <row r="382" spans="1:6" x14ac:dyDescent="0.3">
      <c r="A382" s="19" t="s">
        <v>26869</v>
      </c>
      <c r="B382" s="19" t="s">
        <v>88</v>
      </c>
      <c r="C382" s="19" t="s">
        <v>38</v>
      </c>
      <c r="D382" s="20" t="s">
        <v>32116</v>
      </c>
      <c r="E382" s="20">
        <v>146</v>
      </c>
      <c r="F382" s="18" t="s">
        <v>26870</v>
      </c>
    </row>
    <row r="383" spans="1:6" x14ac:dyDescent="0.3">
      <c r="A383" s="19" t="s">
        <v>127</v>
      </c>
      <c r="B383" s="19" t="s">
        <v>22</v>
      </c>
      <c r="C383" s="19" t="s">
        <v>55</v>
      </c>
      <c r="D383" s="20" t="s">
        <v>32116</v>
      </c>
      <c r="E383" s="20">
        <v>148</v>
      </c>
      <c r="F383" s="18" t="s">
        <v>26871</v>
      </c>
    </row>
    <row r="384" spans="1:6" x14ac:dyDescent="0.3">
      <c r="A384" s="19" t="s">
        <v>3508</v>
      </c>
      <c r="B384" s="19" t="s">
        <v>37</v>
      </c>
      <c r="C384" s="19" t="s">
        <v>81</v>
      </c>
      <c r="D384" s="20" t="s">
        <v>32116</v>
      </c>
      <c r="E384" s="20">
        <v>149</v>
      </c>
      <c r="F384" s="18" t="s">
        <v>26872</v>
      </c>
    </row>
    <row r="385" spans="1:6" x14ac:dyDescent="0.3">
      <c r="A385" s="19" t="s">
        <v>26875</v>
      </c>
      <c r="B385" s="19" t="s">
        <v>147</v>
      </c>
      <c r="C385" s="19" t="s">
        <v>230</v>
      </c>
      <c r="D385" s="20" t="s">
        <v>32116</v>
      </c>
      <c r="E385" s="20">
        <v>151</v>
      </c>
      <c r="F385" s="18" t="s">
        <v>26876</v>
      </c>
    </row>
    <row r="386" spans="1:6" x14ac:dyDescent="0.3">
      <c r="A386" s="19" t="s">
        <v>26877</v>
      </c>
      <c r="B386" s="19" t="s">
        <v>37</v>
      </c>
      <c r="C386" s="19" t="s">
        <v>230</v>
      </c>
      <c r="D386" s="20" t="s">
        <v>32116</v>
      </c>
      <c r="E386" s="20">
        <v>152</v>
      </c>
      <c r="F386" s="18" t="s">
        <v>26878</v>
      </c>
    </row>
    <row r="387" spans="1:6" x14ac:dyDescent="0.3">
      <c r="A387" s="19" t="s">
        <v>682</v>
      </c>
      <c r="B387" s="19" t="s">
        <v>516</v>
      </c>
      <c r="C387" s="19" t="s">
        <v>343</v>
      </c>
      <c r="D387" s="20" t="s">
        <v>32116</v>
      </c>
      <c r="E387" s="20">
        <v>153</v>
      </c>
      <c r="F387" s="18" t="s">
        <v>26879</v>
      </c>
    </row>
    <row r="388" spans="1:6" x14ac:dyDescent="0.3">
      <c r="A388" s="19" t="s">
        <v>26882</v>
      </c>
      <c r="B388" s="19" t="s">
        <v>88</v>
      </c>
      <c r="C388" s="19" t="s">
        <v>3642</v>
      </c>
      <c r="D388" s="20" t="s">
        <v>32116</v>
      </c>
      <c r="E388" s="20">
        <v>155</v>
      </c>
      <c r="F388" s="18" t="s">
        <v>26883</v>
      </c>
    </row>
    <row r="389" spans="1:6" x14ac:dyDescent="0.3">
      <c r="A389" s="19" t="s">
        <v>26884</v>
      </c>
      <c r="B389" s="19" t="s">
        <v>413</v>
      </c>
      <c r="C389" s="19" t="s">
        <v>68</v>
      </c>
      <c r="D389" s="20" t="s">
        <v>32116</v>
      </c>
      <c r="E389" s="20">
        <v>156</v>
      </c>
      <c r="F389" s="18" t="s">
        <v>26885</v>
      </c>
    </row>
    <row r="390" spans="1:6" x14ac:dyDescent="0.3">
      <c r="A390" s="19" t="s">
        <v>2786</v>
      </c>
      <c r="B390" s="19" t="s">
        <v>789</v>
      </c>
      <c r="C390" s="19" t="s">
        <v>158</v>
      </c>
      <c r="D390" s="20" t="s">
        <v>32116</v>
      </c>
      <c r="E390" s="20">
        <v>157</v>
      </c>
      <c r="F390" s="18" t="s">
        <v>26886</v>
      </c>
    </row>
    <row r="391" spans="1:6" x14ac:dyDescent="0.3">
      <c r="A391" s="19" t="s">
        <v>24354</v>
      </c>
      <c r="B391" s="19" t="s">
        <v>26</v>
      </c>
      <c r="C391" s="19" t="s">
        <v>38</v>
      </c>
      <c r="D391" s="20" t="s">
        <v>32116</v>
      </c>
      <c r="E391" s="20">
        <v>158</v>
      </c>
      <c r="F391" s="18" t="s">
        <v>26887</v>
      </c>
    </row>
    <row r="392" spans="1:6" x14ac:dyDescent="0.3">
      <c r="A392" s="19" t="s">
        <v>7656</v>
      </c>
      <c r="B392" s="19" t="s">
        <v>54</v>
      </c>
      <c r="C392" s="19" t="s">
        <v>68</v>
      </c>
      <c r="D392" s="20" t="s">
        <v>32116</v>
      </c>
      <c r="E392" s="20">
        <v>159</v>
      </c>
      <c r="F392" s="18" t="s">
        <v>26888</v>
      </c>
    </row>
    <row r="393" spans="1:6" x14ac:dyDescent="0.3">
      <c r="A393" s="19" t="s">
        <v>18717</v>
      </c>
      <c r="B393" s="19" t="s">
        <v>424</v>
      </c>
      <c r="C393" s="19" t="s">
        <v>68</v>
      </c>
      <c r="D393" s="20" t="s">
        <v>32116</v>
      </c>
      <c r="E393" s="20">
        <v>161</v>
      </c>
      <c r="F393" s="18" t="s">
        <v>26891</v>
      </c>
    </row>
    <row r="394" spans="1:6" x14ac:dyDescent="0.3">
      <c r="A394" s="19" t="s">
        <v>26893</v>
      </c>
      <c r="B394" s="19" t="s">
        <v>26894</v>
      </c>
      <c r="C394" s="19" t="s">
        <v>26895</v>
      </c>
      <c r="D394" s="20" t="s">
        <v>32116</v>
      </c>
      <c r="E394" s="20">
        <v>163</v>
      </c>
      <c r="F394" s="18" t="s">
        <v>26896</v>
      </c>
    </row>
    <row r="395" spans="1:6" x14ac:dyDescent="0.3">
      <c r="A395" s="19" t="s">
        <v>673</v>
      </c>
      <c r="B395" s="19" t="s">
        <v>29</v>
      </c>
      <c r="C395" s="19" t="s">
        <v>20</v>
      </c>
      <c r="D395" s="20" t="s">
        <v>32116</v>
      </c>
      <c r="E395" s="20">
        <v>165</v>
      </c>
      <c r="F395" s="18" t="s">
        <v>26897</v>
      </c>
    </row>
    <row r="396" spans="1:6" x14ac:dyDescent="0.3">
      <c r="A396" s="19" t="s">
        <v>22284</v>
      </c>
      <c r="B396" s="19" t="s">
        <v>41</v>
      </c>
      <c r="C396" s="19" t="s">
        <v>81</v>
      </c>
      <c r="D396" s="20" t="s">
        <v>32116</v>
      </c>
      <c r="E396" s="20">
        <v>168</v>
      </c>
      <c r="F396" s="18" t="s">
        <v>26901</v>
      </c>
    </row>
    <row r="397" spans="1:6" x14ac:dyDescent="0.3">
      <c r="A397" s="19" t="s">
        <v>3027</v>
      </c>
      <c r="B397" s="19" t="s">
        <v>26902</v>
      </c>
      <c r="C397" s="19" t="s">
        <v>136</v>
      </c>
      <c r="D397" s="20" t="s">
        <v>32116</v>
      </c>
      <c r="E397" s="20">
        <v>169</v>
      </c>
      <c r="F397" s="18" t="s">
        <v>26903</v>
      </c>
    </row>
    <row r="398" spans="1:6" x14ac:dyDescent="0.3">
      <c r="A398" s="19" t="s">
        <v>26904</v>
      </c>
      <c r="B398" s="19" t="s">
        <v>32529</v>
      </c>
      <c r="C398" s="19" t="s">
        <v>190</v>
      </c>
      <c r="D398" s="20" t="s">
        <v>32116</v>
      </c>
      <c r="E398" s="20">
        <v>170</v>
      </c>
      <c r="F398" s="18" t="s">
        <v>26905</v>
      </c>
    </row>
    <row r="399" spans="1:6" x14ac:dyDescent="0.3">
      <c r="A399" s="19" t="s">
        <v>1425</v>
      </c>
      <c r="B399" s="19" t="s">
        <v>26911</v>
      </c>
      <c r="C399" s="19" t="s">
        <v>892</v>
      </c>
      <c r="D399" s="20" t="s">
        <v>32116</v>
      </c>
      <c r="E399" s="20">
        <v>174</v>
      </c>
      <c r="F399" s="18" t="s">
        <v>26912</v>
      </c>
    </row>
    <row r="400" spans="1:6" x14ac:dyDescent="0.3">
      <c r="A400" s="19" t="s">
        <v>2416</v>
      </c>
      <c r="B400" s="19" t="s">
        <v>33</v>
      </c>
      <c r="C400" s="19" t="s">
        <v>68</v>
      </c>
      <c r="D400" s="20" t="s">
        <v>32116</v>
      </c>
      <c r="E400" s="20">
        <v>178</v>
      </c>
      <c r="F400" s="18" t="s">
        <v>26918</v>
      </c>
    </row>
    <row r="401" spans="1:6" x14ac:dyDescent="0.3">
      <c r="A401" s="19" t="s">
        <v>26922</v>
      </c>
      <c r="B401" s="19" t="s">
        <v>26923</v>
      </c>
      <c r="C401" s="19" t="s">
        <v>20</v>
      </c>
      <c r="D401" s="20" t="s">
        <v>32116</v>
      </c>
      <c r="E401" s="20">
        <v>182</v>
      </c>
      <c r="F401" s="18" t="s">
        <v>26924</v>
      </c>
    </row>
  </sheetData>
  <autoFilter ref="A1:E251" xr:uid="{00000000-0009-0000-0000-000000000000}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Φύλλο11"/>
  <dimension ref="A1:AH82"/>
  <sheetViews>
    <sheetView workbookViewId="0">
      <selection activeCell="A8" sqref="A8:AH69"/>
    </sheetView>
  </sheetViews>
  <sheetFormatPr defaultRowHeight="14.4" x14ac:dyDescent="0.3"/>
  <cols>
    <col min="1" max="2" width="9.109375" style="4"/>
    <col min="3" max="3" width="6" customWidth="1"/>
    <col min="4" max="4" width="20.5546875" bestFit="1" customWidth="1"/>
    <col min="5" max="5" width="19.109375" customWidth="1"/>
    <col min="6" max="6" width="18.109375" customWidth="1"/>
    <col min="7" max="7" width="10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10749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6</v>
      </c>
      <c r="B8" s="5">
        <v>1</v>
      </c>
      <c r="C8">
        <v>14226</v>
      </c>
      <c r="D8" t="s">
        <v>10752</v>
      </c>
      <c r="E8" t="s">
        <v>17</v>
      </c>
      <c r="F8" t="s">
        <v>68</v>
      </c>
      <c r="G8" t="s">
        <v>10753</v>
      </c>
      <c r="H8">
        <v>16.5</v>
      </c>
      <c r="I8">
        <v>0</v>
      </c>
      <c r="J8">
        <v>0</v>
      </c>
      <c r="K8">
        <v>28</v>
      </c>
      <c r="L8">
        <v>14</v>
      </c>
      <c r="O8">
        <v>14</v>
      </c>
      <c r="P8">
        <v>4</v>
      </c>
      <c r="Q8">
        <v>2</v>
      </c>
      <c r="R8">
        <v>64.5</v>
      </c>
      <c r="S8">
        <v>2</v>
      </c>
      <c r="T8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2</v>
      </c>
      <c r="AB8">
        <v>3</v>
      </c>
      <c r="AC8">
        <v>0</v>
      </c>
      <c r="AF8" t="s">
        <v>130</v>
      </c>
      <c r="AH8">
        <v>69.5</v>
      </c>
    </row>
    <row r="9" spans="1:34" x14ac:dyDescent="0.3">
      <c r="A9" s="4">
        <v>7</v>
      </c>
      <c r="B9" s="5">
        <v>2</v>
      </c>
      <c r="C9">
        <v>2796</v>
      </c>
      <c r="D9" t="s">
        <v>10754</v>
      </c>
      <c r="E9" t="s">
        <v>100</v>
      </c>
      <c r="F9" t="s">
        <v>343</v>
      </c>
      <c r="G9" t="s">
        <v>10755</v>
      </c>
      <c r="H9">
        <v>21.58</v>
      </c>
      <c r="I9">
        <v>0</v>
      </c>
      <c r="J9">
        <v>0</v>
      </c>
      <c r="K9">
        <v>0</v>
      </c>
      <c r="L9">
        <v>7</v>
      </c>
      <c r="N9">
        <v>3</v>
      </c>
      <c r="O9">
        <v>10</v>
      </c>
      <c r="P9">
        <v>4</v>
      </c>
      <c r="Q9">
        <v>0</v>
      </c>
      <c r="R9">
        <v>35.58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32</v>
      </c>
      <c r="AF9" t="s">
        <v>130</v>
      </c>
      <c r="AH9">
        <v>67.58</v>
      </c>
    </row>
    <row r="10" spans="1:34" x14ac:dyDescent="0.3">
      <c r="A10" s="4">
        <v>9</v>
      </c>
      <c r="B10" s="5">
        <v>3</v>
      </c>
      <c r="C10">
        <v>308</v>
      </c>
      <c r="D10" t="s">
        <v>10756</v>
      </c>
      <c r="E10" t="s">
        <v>1659</v>
      </c>
      <c r="F10" t="s">
        <v>136</v>
      </c>
      <c r="G10" t="s">
        <v>10757</v>
      </c>
      <c r="H10">
        <v>18.329999999999998</v>
      </c>
      <c r="I10">
        <v>0</v>
      </c>
      <c r="J10">
        <v>0</v>
      </c>
      <c r="K10">
        <v>20</v>
      </c>
      <c r="L10">
        <v>7</v>
      </c>
      <c r="O10">
        <v>7</v>
      </c>
      <c r="P10">
        <v>4</v>
      </c>
      <c r="Q10">
        <v>2</v>
      </c>
      <c r="R10">
        <v>51.33</v>
      </c>
      <c r="S10">
        <v>8</v>
      </c>
      <c r="T10">
        <v>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8</v>
      </c>
      <c r="AB10">
        <v>3</v>
      </c>
      <c r="AC10">
        <v>0</v>
      </c>
      <c r="AF10" t="s">
        <v>130</v>
      </c>
      <c r="AH10">
        <v>62.33</v>
      </c>
    </row>
    <row r="11" spans="1:34" x14ac:dyDescent="0.3">
      <c r="A11" s="4">
        <v>10</v>
      </c>
      <c r="B11" s="5">
        <v>4</v>
      </c>
      <c r="C11">
        <v>3425</v>
      </c>
      <c r="D11" t="s">
        <v>3604</v>
      </c>
      <c r="E11" t="s">
        <v>343</v>
      </c>
      <c r="F11" t="s">
        <v>38</v>
      </c>
      <c r="G11" t="s">
        <v>10758</v>
      </c>
      <c r="H11">
        <v>20.100000000000001</v>
      </c>
      <c r="I11">
        <v>0</v>
      </c>
      <c r="J11">
        <v>0</v>
      </c>
      <c r="K11">
        <v>28</v>
      </c>
      <c r="L11">
        <v>7</v>
      </c>
      <c r="N11">
        <v>3</v>
      </c>
      <c r="O11">
        <v>10</v>
      </c>
      <c r="P11">
        <v>4</v>
      </c>
      <c r="Q11">
        <v>0</v>
      </c>
      <c r="R11">
        <v>62.1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F11" t="s">
        <v>130</v>
      </c>
      <c r="AH11">
        <v>62.1</v>
      </c>
    </row>
    <row r="12" spans="1:34" x14ac:dyDescent="0.3">
      <c r="A12" s="4">
        <v>11</v>
      </c>
      <c r="B12" s="5">
        <v>5</v>
      </c>
      <c r="C12">
        <v>1902</v>
      </c>
      <c r="D12" t="s">
        <v>10759</v>
      </c>
      <c r="E12" t="s">
        <v>2439</v>
      </c>
      <c r="F12" t="s">
        <v>158</v>
      </c>
      <c r="G12" t="s">
        <v>10760</v>
      </c>
      <c r="H12">
        <v>20.53</v>
      </c>
      <c r="I12">
        <v>7</v>
      </c>
      <c r="J12">
        <v>0</v>
      </c>
      <c r="K12">
        <v>20</v>
      </c>
      <c r="L12">
        <v>7</v>
      </c>
      <c r="O12">
        <v>7</v>
      </c>
      <c r="P12">
        <v>4</v>
      </c>
      <c r="Q12">
        <v>2</v>
      </c>
      <c r="R12">
        <v>60.53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F12" t="s">
        <v>130</v>
      </c>
      <c r="AH12">
        <v>60.53</v>
      </c>
    </row>
    <row r="13" spans="1:34" x14ac:dyDescent="0.3">
      <c r="A13" s="4">
        <v>12</v>
      </c>
      <c r="B13" s="5">
        <v>6</v>
      </c>
      <c r="C13">
        <v>12585</v>
      </c>
      <c r="D13" t="s">
        <v>10761</v>
      </c>
      <c r="E13" t="s">
        <v>17</v>
      </c>
      <c r="F13" t="s">
        <v>343</v>
      </c>
      <c r="G13" t="s">
        <v>10762</v>
      </c>
      <c r="H13">
        <v>18.23</v>
      </c>
      <c r="I13">
        <v>0</v>
      </c>
      <c r="J13">
        <v>0</v>
      </c>
      <c r="K13">
        <v>0</v>
      </c>
      <c r="L13">
        <v>14</v>
      </c>
      <c r="O13">
        <v>14</v>
      </c>
      <c r="P13">
        <v>4</v>
      </c>
      <c r="Q13">
        <v>2</v>
      </c>
      <c r="R13">
        <v>38.229999999999997</v>
      </c>
      <c r="S13">
        <v>20</v>
      </c>
      <c r="T13">
        <v>20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20</v>
      </c>
      <c r="AB13">
        <v>0</v>
      </c>
      <c r="AC13">
        <v>0</v>
      </c>
      <c r="AF13" t="s">
        <v>130</v>
      </c>
      <c r="AH13">
        <v>58.23</v>
      </c>
    </row>
    <row r="14" spans="1:34" x14ac:dyDescent="0.3">
      <c r="A14" s="4">
        <v>13</v>
      </c>
      <c r="B14" s="5">
        <v>7</v>
      </c>
      <c r="C14">
        <v>3030</v>
      </c>
      <c r="D14" t="s">
        <v>10763</v>
      </c>
      <c r="E14" t="s">
        <v>88</v>
      </c>
      <c r="F14" t="s">
        <v>117</v>
      </c>
      <c r="G14" t="s">
        <v>10764</v>
      </c>
      <c r="H14">
        <v>19.079999999999998</v>
      </c>
      <c r="I14">
        <v>0</v>
      </c>
      <c r="J14">
        <v>0</v>
      </c>
      <c r="K14">
        <v>20</v>
      </c>
      <c r="L14">
        <v>7</v>
      </c>
      <c r="O14">
        <v>7</v>
      </c>
      <c r="P14">
        <v>4</v>
      </c>
      <c r="Q14">
        <v>2</v>
      </c>
      <c r="R14">
        <v>52.08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6</v>
      </c>
      <c r="AC14">
        <v>0</v>
      </c>
      <c r="AF14" t="s">
        <v>130</v>
      </c>
      <c r="AH14">
        <v>58.08</v>
      </c>
    </row>
    <row r="15" spans="1:34" x14ac:dyDescent="0.3">
      <c r="A15" s="4">
        <v>16</v>
      </c>
      <c r="B15" s="5">
        <v>8</v>
      </c>
      <c r="C15">
        <v>10906</v>
      </c>
      <c r="D15" t="s">
        <v>10766</v>
      </c>
      <c r="E15" t="s">
        <v>10767</v>
      </c>
      <c r="F15" t="s">
        <v>38</v>
      </c>
      <c r="G15" t="s">
        <v>10768</v>
      </c>
      <c r="H15">
        <v>14.45</v>
      </c>
      <c r="I15">
        <v>7</v>
      </c>
      <c r="J15">
        <v>0</v>
      </c>
      <c r="K15">
        <v>20</v>
      </c>
      <c r="M15">
        <v>5</v>
      </c>
      <c r="N15">
        <v>3</v>
      </c>
      <c r="O15">
        <v>8</v>
      </c>
      <c r="P15">
        <v>4</v>
      </c>
      <c r="Q15">
        <v>2</v>
      </c>
      <c r="R15">
        <v>55.45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 t="s">
        <v>130</v>
      </c>
      <c r="AF15" t="s">
        <v>130</v>
      </c>
      <c r="AH15">
        <v>55.45</v>
      </c>
    </row>
    <row r="16" spans="1:34" x14ac:dyDescent="0.3">
      <c r="A16" s="4">
        <v>17</v>
      </c>
      <c r="B16" s="5">
        <v>9</v>
      </c>
      <c r="C16">
        <v>2939</v>
      </c>
      <c r="D16" t="s">
        <v>10769</v>
      </c>
      <c r="E16" t="s">
        <v>100</v>
      </c>
      <c r="F16" t="s">
        <v>17</v>
      </c>
      <c r="G16" t="s">
        <v>10770</v>
      </c>
      <c r="H16">
        <v>16.329999999999998</v>
      </c>
      <c r="I16">
        <v>0</v>
      </c>
      <c r="J16">
        <v>0</v>
      </c>
      <c r="K16">
        <v>20</v>
      </c>
      <c r="L16">
        <v>7</v>
      </c>
      <c r="O16">
        <v>7</v>
      </c>
      <c r="P16">
        <v>4</v>
      </c>
      <c r="Q16">
        <v>2</v>
      </c>
      <c r="R16">
        <v>49.33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6</v>
      </c>
      <c r="AC16">
        <v>0</v>
      </c>
      <c r="AD16" t="s">
        <v>130</v>
      </c>
      <c r="AF16" t="s">
        <v>130</v>
      </c>
      <c r="AH16">
        <v>55.33</v>
      </c>
    </row>
    <row r="17" spans="1:34" x14ac:dyDescent="0.3">
      <c r="A17" s="4">
        <v>18</v>
      </c>
      <c r="B17" s="5">
        <v>10</v>
      </c>
      <c r="C17">
        <v>10556</v>
      </c>
      <c r="D17" t="s">
        <v>10771</v>
      </c>
      <c r="E17" t="s">
        <v>789</v>
      </c>
      <c r="F17" t="s">
        <v>17</v>
      </c>
      <c r="G17" t="s">
        <v>10772</v>
      </c>
      <c r="H17">
        <v>17.38</v>
      </c>
      <c r="I17">
        <v>0</v>
      </c>
      <c r="J17">
        <v>0</v>
      </c>
      <c r="K17">
        <v>0</v>
      </c>
      <c r="L17">
        <v>7</v>
      </c>
      <c r="O17">
        <v>7</v>
      </c>
      <c r="P17">
        <v>4</v>
      </c>
      <c r="Q17">
        <v>2</v>
      </c>
      <c r="R17">
        <v>30.38</v>
      </c>
      <c r="S17">
        <v>18</v>
      </c>
      <c r="T17">
        <v>18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18</v>
      </c>
      <c r="AB17">
        <v>6</v>
      </c>
      <c r="AC17">
        <v>0</v>
      </c>
      <c r="AF17" t="s">
        <v>130</v>
      </c>
      <c r="AH17">
        <v>54.38</v>
      </c>
    </row>
    <row r="18" spans="1:34" x14ac:dyDescent="0.3">
      <c r="A18" s="4">
        <v>22</v>
      </c>
      <c r="B18" s="5">
        <v>11</v>
      </c>
      <c r="C18">
        <v>7960</v>
      </c>
      <c r="D18" t="s">
        <v>10774</v>
      </c>
      <c r="E18" t="s">
        <v>100</v>
      </c>
      <c r="F18" t="s">
        <v>136</v>
      </c>
      <c r="G18" t="s">
        <v>10775</v>
      </c>
      <c r="H18">
        <v>16.45</v>
      </c>
      <c r="I18">
        <v>0</v>
      </c>
      <c r="J18">
        <v>0</v>
      </c>
      <c r="K18">
        <v>0</v>
      </c>
      <c r="L18">
        <v>7</v>
      </c>
      <c r="M18">
        <v>5</v>
      </c>
      <c r="O18">
        <v>12</v>
      </c>
      <c r="P18">
        <v>4</v>
      </c>
      <c r="Q18">
        <v>0</v>
      </c>
      <c r="R18">
        <v>32.450000000000003</v>
      </c>
      <c r="S18">
        <v>16</v>
      </c>
      <c r="T18">
        <v>16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16</v>
      </c>
      <c r="AB18">
        <v>3</v>
      </c>
      <c r="AC18">
        <v>0</v>
      </c>
      <c r="AF18" t="s">
        <v>130</v>
      </c>
      <c r="AH18">
        <v>51.45</v>
      </c>
    </row>
    <row r="19" spans="1:34" x14ac:dyDescent="0.3">
      <c r="A19" s="4">
        <v>23</v>
      </c>
      <c r="B19" s="5">
        <v>12</v>
      </c>
      <c r="C19">
        <v>4314</v>
      </c>
      <c r="D19" t="s">
        <v>10776</v>
      </c>
      <c r="E19" t="s">
        <v>97</v>
      </c>
      <c r="F19" t="s">
        <v>442</v>
      </c>
      <c r="G19" t="s">
        <v>10777</v>
      </c>
      <c r="H19">
        <v>18.079999999999998</v>
      </c>
      <c r="I19">
        <v>0</v>
      </c>
      <c r="J19">
        <v>0</v>
      </c>
      <c r="K19">
        <v>20</v>
      </c>
      <c r="L19">
        <v>7</v>
      </c>
      <c r="O19">
        <v>7</v>
      </c>
      <c r="P19">
        <v>4</v>
      </c>
      <c r="Q19">
        <v>2</v>
      </c>
      <c r="R19">
        <v>51.08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 t="s">
        <v>130</v>
      </c>
      <c r="AF19" t="s">
        <v>130</v>
      </c>
      <c r="AH19">
        <v>51.08</v>
      </c>
    </row>
    <row r="20" spans="1:34" x14ac:dyDescent="0.3">
      <c r="A20" s="4">
        <v>24</v>
      </c>
      <c r="B20" s="5">
        <v>13</v>
      </c>
      <c r="C20">
        <v>3250</v>
      </c>
      <c r="D20" t="s">
        <v>3340</v>
      </c>
      <c r="E20" t="s">
        <v>41</v>
      </c>
      <c r="F20" t="s">
        <v>892</v>
      </c>
      <c r="G20" t="s">
        <v>10778</v>
      </c>
      <c r="H20">
        <v>15.93</v>
      </c>
      <c r="I20">
        <v>0</v>
      </c>
      <c r="J20">
        <v>0</v>
      </c>
      <c r="K20">
        <v>20</v>
      </c>
      <c r="L20">
        <v>7</v>
      </c>
      <c r="O20">
        <v>7</v>
      </c>
      <c r="P20">
        <v>4</v>
      </c>
      <c r="Q20">
        <v>0</v>
      </c>
      <c r="R20">
        <v>46.93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</v>
      </c>
      <c r="AC20">
        <v>0</v>
      </c>
      <c r="AF20" t="s">
        <v>130</v>
      </c>
      <c r="AH20">
        <v>49.93</v>
      </c>
    </row>
    <row r="21" spans="1:34" x14ac:dyDescent="0.3">
      <c r="A21" s="4">
        <v>25</v>
      </c>
      <c r="B21" s="5">
        <v>14</v>
      </c>
      <c r="C21">
        <v>3428</v>
      </c>
      <c r="D21" t="s">
        <v>10779</v>
      </c>
      <c r="E21" t="s">
        <v>9300</v>
      </c>
      <c r="F21" t="s">
        <v>6551</v>
      </c>
      <c r="G21" t="s">
        <v>10780</v>
      </c>
      <c r="H21">
        <v>16.18</v>
      </c>
      <c r="I21">
        <v>0</v>
      </c>
      <c r="J21">
        <v>0</v>
      </c>
      <c r="K21">
        <v>20</v>
      </c>
      <c r="L21">
        <v>7</v>
      </c>
      <c r="O21">
        <v>7</v>
      </c>
      <c r="P21">
        <v>4</v>
      </c>
      <c r="Q21">
        <v>2</v>
      </c>
      <c r="R21">
        <v>49.18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F21" t="s">
        <v>130</v>
      </c>
      <c r="AH21">
        <v>49.18</v>
      </c>
    </row>
    <row r="22" spans="1:34" x14ac:dyDescent="0.3">
      <c r="A22" s="4">
        <v>26</v>
      </c>
      <c r="B22" s="5">
        <v>15</v>
      </c>
      <c r="C22">
        <v>10995</v>
      </c>
      <c r="D22" t="s">
        <v>9039</v>
      </c>
      <c r="E22" t="s">
        <v>91</v>
      </c>
      <c r="F22" t="s">
        <v>38</v>
      </c>
      <c r="G22" t="s">
        <v>10781</v>
      </c>
      <c r="H22">
        <v>16.88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0</v>
      </c>
      <c r="R22">
        <v>47.88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F22" t="s">
        <v>130</v>
      </c>
      <c r="AH22">
        <v>47.88</v>
      </c>
    </row>
    <row r="23" spans="1:34" x14ac:dyDescent="0.3">
      <c r="A23" s="4">
        <v>27</v>
      </c>
      <c r="B23" s="5">
        <v>16</v>
      </c>
      <c r="C23">
        <v>1319</v>
      </c>
      <c r="D23" t="s">
        <v>1432</v>
      </c>
      <c r="E23" t="s">
        <v>10782</v>
      </c>
      <c r="F23" t="s">
        <v>55</v>
      </c>
      <c r="G23" t="s">
        <v>10783</v>
      </c>
      <c r="H23">
        <v>17</v>
      </c>
      <c r="I23">
        <v>0</v>
      </c>
      <c r="J23">
        <v>0</v>
      </c>
      <c r="K23">
        <v>0</v>
      </c>
      <c r="L23">
        <v>7</v>
      </c>
      <c r="N23">
        <v>3</v>
      </c>
      <c r="O23">
        <v>10</v>
      </c>
      <c r="P23">
        <v>4</v>
      </c>
      <c r="Q23">
        <v>2</v>
      </c>
      <c r="R23">
        <v>33</v>
      </c>
      <c r="S23">
        <v>5</v>
      </c>
      <c r="T23">
        <v>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5</v>
      </c>
      <c r="AB23">
        <v>6</v>
      </c>
      <c r="AC23">
        <v>0</v>
      </c>
      <c r="AF23" t="s">
        <v>130</v>
      </c>
      <c r="AH23">
        <v>44</v>
      </c>
    </row>
    <row r="24" spans="1:34" x14ac:dyDescent="0.3">
      <c r="A24" s="4">
        <v>28</v>
      </c>
      <c r="B24" s="5">
        <v>17</v>
      </c>
      <c r="C24">
        <v>1127</v>
      </c>
      <c r="D24" t="s">
        <v>10784</v>
      </c>
      <c r="E24" t="s">
        <v>100</v>
      </c>
      <c r="F24" t="s">
        <v>20</v>
      </c>
      <c r="G24" t="s">
        <v>10785</v>
      </c>
      <c r="H24">
        <v>19.7</v>
      </c>
      <c r="I24">
        <v>0</v>
      </c>
      <c r="J24">
        <v>0</v>
      </c>
      <c r="K24">
        <v>0</v>
      </c>
      <c r="L24">
        <v>7</v>
      </c>
      <c r="O24">
        <v>7</v>
      </c>
      <c r="P24">
        <v>4</v>
      </c>
      <c r="Q24">
        <v>2</v>
      </c>
      <c r="R24">
        <v>32.700000000000003</v>
      </c>
      <c r="S24">
        <v>8</v>
      </c>
      <c r="T24">
        <v>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8</v>
      </c>
      <c r="AB24">
        <v>3</v>
      </c>
      <c r="AC24">
        <v>0</v>
      </c>
      <c r="AF24" t="s">
        <v>130</v>
      </c>
      <c r="AH24">
        <v>43.7</v>
      </c>
    </row>
    <row r="25" spans="1:34" x14ac:dyDescent="0.3">
      <c r="A25" s="4">
        <v>29</v>
      </c>
      <c r="B25" s="5">
        <v>18</v>
      </c>
      <c r="C25">
        <v>11242</v>
      </c>
      <c r="D25" t="s">
        <v>10786</v>
      </c>
      <c r="E25" t="s">
        <v>1743</v>
      </c>
      <c r="F25" t="s">
        <v>62</v>
      </c>
      <c r="G25" t="s">
        <v>10787</v>
      </c>
      <c r="H25">
        <v>18.23</v>
      </c>
      <c r="I25">
        <v>0</v>
      </c>
      <c r="J25">
        <v>0</v>
      </c>
      <c r="K25">
        <v>0</v>
      </c>
      <c r="L25">
        <v>7</v>
      </c>
      <c r="N25">
        <v>3</v>
      </c>
      <c r="O25">
        <v>10</v>
      </c>
      <c r="P25">
        <v>4</v>
      </c>
      <c r="Q25">
        <v>2</v>
      </c>
      <c r="R25">
        <v>34.229999999999997</v>
      </c>
      <c r="S25">
        <v>9</v>
      </c>
      <c r="T25">
        <v>9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9</v>
      </c>
      <c r="AB25">
        <v>0</v>
      </c>
      <c r="AC25">
        <v>0</v>
      </c>
      <c r="AF25" t="s">
        <v>130</v>
      </c>
      <c r="AH25">
        <v>43.23</v>
      </c>
    </row>
    <row r="26" spans="1:34" x14ac:dyDescent="0.3">
      <c r="A26" s="4">
        <v>31</v>
      </c>
      <c r="B26" s="5">
        <v>19</v>
      </c>
      <c r="C26">
        <v>1202</v>
      </c>
      <c r="D26" t="s">
        <v>10789</v>
      </c>
      <c r="E26" t="s">
        <v>54</v>
      </c>
      <c r="F26" t="s">
        <v>79</v>
      </c>
      <c r="G26" t="s">
        <v>10790</v>
      </c>
      <c r="H26">
        <v>18.88</v>
      </c>
      <c r="I26">
        <v>0</v>
      </c>
      <c r="J26">
        <v>0</v>
      </c>
      <c r="K26">
        <v>0</v>
      </c>
      <c r="L26">
        <v>7</v>
      </c>
      <c r="N26">
        <v>3</v>
      </c>
      <c r="O26">
        <v>10</v>
      </c>
      <c r="P26">
        <v>4</v>
      </c>
      <c r="Q26">
        <v>2</v>
      </c>
      <c r="R26">
        <v>34.880000000000003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6</v>
      </c>
      <c r="AC26">
        <v>0</v>
      </c>
      <c r="AF26" t="s">
        <v>130</v>
      </c>
      <c r="AH26">
        <v>40.880000000000003</v>
      </c>
    </row>
    <row r="27" spans="1:34" x14ac:dyDescent="0.3">
      <c r="A27" s="4">
        <v>32</v>
      </c>
      <c r="B27" s="5">
        <v>20</v>
      </c>
      <c r="C27">
        <v>6013</v>
      </c>
      <c r="D27" t="s">
        <v>3547</v>
      </c>
      <c r="E27" t="s">
        <v>37</v>
      </c>
      <c r="F27" t="s">
        <v>124</v>
      </c>
      <c r="G27" t="s">
        <v>10791</v>
      </c>
      <c r="H27">
        <v>18.329999999999998</v>
      </c>
      <c r="I27">
        <v>0</v>
      </c>
      <c r="J27">
        <v>0</v>
      </c>
      <c r="K27">
        <v>0</v>
      </c>
      <c r="L27">
        <v>7</v>
      </c>
      <c r="N27">
        <v>3</v>
      </c>
      <c r="O27">
        <v>10</v>
      </c>
      <c r="P27">
        <v>4</v>
      </c>
      <c r="Q27">
        <v>2</v>
      </c>
      <c r="R27">
        <v>34.33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6</v>
      </c>
      <c r="AC27">
        <v>0</v>
      </c>
      <c r="AD27" t="s">
        <v>130</v>
      </c>
      <c r="AF27" t="s">
        <v>130</v>
      </c>
      <c r="AH27">
        <v>40.33</v>
      </c>
    </row>
    <row r="28" spans="1:34" x14ac:dyDescent="0.3">
      <c r="A28" s="4">
        <v>33</v>
      </c>
      <c r="B28" s="5">
        <v>21</v>
      </c>
      <c r="C28">
        <v>2672</v>
      </c>
      <c r="D28" t="s">
        <v>769</v>
      </c>
      <c r="E28" t="s">
        <v>54</v>
      </c>
      <c r="F28" t="s">
        <v>442</v>
      </c>
      <c r="G28" t="s">
        <v>10792</v>
      </c>
      <c r="H28">
        <v>20.18</v>
      </c>
      <c r="I28">
        <v>7</v>
      </c>
      <c r="J28">
        <v>0</v>
      </c>
      <c r="K28">
        <v>0</v>
      </c>
      <c r="L28">
        <v>7</v>
      </c>
      <c r="O28">
        <v>7</v>
      </c>
      <c r="P28">
        <v>4</v>
      </c>
      <c r="Q28">
        <v>2</v>
      </c>
      <c r="R28">
        <v>40.18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F28" t="s">
        <v>130</v>
      </c>
      <c r="AH28">
        <v>40.18</v>
      </c>
    </row>
    <row r="29" spans="1:34" x14ac:dyDescent="0.3">
      <c r="A29" s="4">
        <v>34</v>
      </c>
      <c r="B29" s="5">
        <v>22</v>
      </c>
      <c r="C29">
        <v>11551</v>
      </c>
      <c r="D29" t="s">
        <v>7073</v>
      </c>
      <c r="E29" t="s">
        <v>88</v>
      </c>
      <c r="F29" t="s">
        <v>30</v>
      </c>
      <c r="G29" t="s">
        <v>10793</v>
      </c>
      <c r="H29">
        <v>19.25</v>
      </c>
      <c r="I29">
        <v>0</v>
      </c>
      <c r="J29">
        <v>0</v>
      </c>
      <c r="K29">
        <v>0</v>
      </c>
      <c r="N29">
        <v>3</v>
      </c>
      <c r="O29">
        <v>3</v>
      </c>
      <c r="P29">
        <v>4</v>
      </c>
      <c r="Q29">
        <v>2</v>
      </c>
      <c r="R29">
        <v>28.25</v>
      </c>
      <c r="S29">
        <v>4</v>
      </c>
      <c r="T29">
        <v>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4</v>
      </c>
      <c r="AB29">
        <v>6</v>
      </c>
      <c r="AC29">
        <v>0</v>
      </c>
      <c r="AD29" t="s">
        <v>130</v>
      </c>
      <c r="AF29" t="s">
        <v>130</v>
      </c>
      <c r="AH29">
        <v>38.25</v>
      </c>
    </row>
    <row r="30" spans="1:34" x14ac:dyDescent="0.3">
      <c r="A30" s="4">
        <v>37</v>
      </c>
      <c r="B30" s="5">
        <v>23</v>
      </c>
      <c r="C30">
        <v>11434</v>
      </c>
      <c r="D30" t="s">
        <v>10794</v>
      </c>
      <c r="E30" t="s">
        <v>29</v>
      </c>
      <c r="F30" t="s">
        <v>81</v>
      </c>
      <c r="G30" t="s">
        <v>10795</v>
      </c>
      <c r="H30">
        <v>20.53</v>
      </c>
      <c r="I30">
        <v>0</v>
      </c>
      <c r="J30">
        <v>0</v>
      </c>
      <c r="K30">
        <v>0</v>
      </c>
      <c r="L30">
        <v>7</v>
      </c>
      <c r="N30">
        <v>3</v>
      </c>
      <c r="O30">
        <v>10</v>
      </c>
      <c r="P30">
        <v>4</v>
      </c>
      <c r="Q30">
        <v>2</v>
      </c>
      <c r="R30">
        <v>36.53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F30" t="s">
        <v>130</v>
      </c>
      <c r="AH30">
        <v>36.53</v>
      </c>
    </row>
    <row r="31" spans="1:34" x14ac:dyDescent="0.3">
      <c r="A31" s="4">
        <v>38</v>
      </c>
      <c r="B31" s="5">
        <v>24</v>
      </c>
      <c r="C31">
        <v>7218</v>
      </c>
      <c r="D31" t="s">
        <v>10796</v>
      </c>
      <c r="E31" t="s">
        <v>41</v>
      </c>
      <c r="F31" t="s">
        <v>81</v>
      </c>
      <c r="G31" t="s">
        <v>10797</v>
      </c>
      <c r="H31">
        <v>20.5</v>
      </c>
      <c r="I31">
        <v>0</v>
      </c>
      <c r="J31">
        <v>0</v>
      </c>
      <c r="K31">
        <v>0</v>
      </c>
      <c r="L31">
        <v>7</v>
      </c>
      <c r="O31">
        <v>7</v>
      </c>
      <c r="P31">
        <v>4</v>
      </c>
      <c r="Q31">
        <v>2</v>
      </c>
      <c r="R31">
        <v>33.5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</v>
      </c>
      <c r="AC31">
        <v>0</v>
      </c>
      <c r="AF31" t="s">
        <v>130</v>
      </c>
      <c r="AH31">
        <v>36.5</v>
      </c>
    </row>
    <row r="32" spans="1:34" x14ac:dyDescent="0.3">
      <c r="A32" s="4">
        <v>39</v>
      </c>
      <c r="B32" s="5">
        <v>25</v>
      </c>
      <c r="C32">
        <v>3281</v>
      </c>
      <c r="D32" t="s">
        <v>10798</v>
      </c>
      <c r="E32" t="s">
        <v>29</v>
      </c>
      <c r="F32" t="s">
        <v>62</v>
      </c>
      <c r="G32" t="s">
        <v>10799</v>
      </c>
      <c r="H32">
        <v>20.38</v>
      </c>
      <c r="I32">
        <v>0</v>
      </c>
      <c r="J32">
        <v>0</v>
      </c>
      <c r="K32">
        <v>0</v>
      </c>
      <c r="L32">
        <v>7</v>
      </c>
      <c r="O32">
        <v>7</v>
      </c>
      <c r="P32">
        <v>4</v>
      </c>
      <c r="Q32">
        <v>2</v>
      </c>
      <c r="R32">
        <v>33.380000000000003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</v>
      </c>
      <c r="AC32">
        <v>0</v>
      </c>
      <c r="AD32" t="s">
        <v>130</v>
      </c>
      <c r="AE32" t="s">
        <v>130</v>
      </c>
      <c r="AF32" t="s">
        <v>130</v>
      </c>
      <c r="AH32">
        <v>36.380000000000003</v>
      </c>
    </row>
    <row r="33" spans="1:34" x14ac:dyDescent="0.3">
      <c r="A33" s="4">
        <v>40</v>
      </c>
      <c r="B33" s="5">
        <v>26</v>
      </c>
      <c r="C33">
        <v>8674</v>
      </c>
      <c r="D33" t="s">
        <v>10800</v>
      </c>
      <c r="E33" t="s">
        <v>10801</v>
      </c>
      <c r="F33" t="s">
        <v>10802</v>
      </c>
      <c r="G33" t="s">
        <v>10803</v>
      </c>
      <c r="H33">
        <v>17.5</v>
      </c>
      <c r="I33">
        <v>0</v>
      </c>
      <c r="J33">
        <v>0</v>
      </c>
      <c r="K33">
        <v>0</v>
      </c>
      <c r="L33">
        <v>7</v>
      </c>
      <c r="M33">
        <v>5</v>
      </c>
      <c r="O33">
        <v>12</v>
      </c>
      <c r="P33">
        <v>4</v>
      </c>
      <c r="Q33">
        <v>2</v>
      </c>
      <c r="R33">
        <v>35.5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F33" t="s">
        <v>130</v>
      </c>
      <c r="AH33">
        <v>35.5</v>
      </c>
    </row>
    <row r="34" spans="1:34" x14ac:dyDescent="0.3">
      <c r="A34" s="4">
        <v>42</v>
      </c>
      <c r="B34" s="5">
        <v>27</v>
      </c>
      <c r="C34">
        <v>3395</v>
      </c>
      <c r="D34" t="s">
        <v>10804</v>
      </c>
      <c r="E34" t="s">
        <v>255</v>
      </c>
      <c r="F34" t="s">
        <v>10805</v>
      </c>
      <c r="G34" t="s">
        <v>10806</v>
      </c>
      <c r="H34">
        <v>17.25</v>
      </c>
      <c r="I34">
        <v>0</v>
      </c>
      <c r="J34">
        <v>0</v>
      </c>
      <c r="K34">
        <v>0</v>
      </c>
      <c r="M34">
        <v>10</v>
      </c>
      <c r="O34">
        <v>10</v>
      </c>
      <c r="P34">
        <v>4</v>
      </c>
      <c r="Q34">
        <v>0</v>
      </c>
      <c r="R34">
        <v>31.25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</v>
      </c>
      <c r="AC34">
        <v>0</v>
      </c>
      <c r="AF34" t="s">
        <v>130</v>
      </c>
      <c r="AH34">
        <v>34.25</v>
      </c>
    </row>
    <row r="35" spans="1:34" x14ac:dyDescent="0.3">
      <c r="A35" s="4">
        <v>43</v>
      </c>
      <c r="B35" s="5">
        <v>28</v>
      </c>
      <c r="C35">
        <v>10406</v>
      </c>
      <c r="D35" t="s">
        <v>1742</v>
      </c>
      <c r="E35" t="s">
        <v>147</v>
      </c>
      <c r="F35" t="s">
        <v>17</v>
      </c>
      <c r="G35" t="s">
        <v>10807</v>
      </c>
      <c r="H35">
        <v>20.63</v>
      </c>
      <c r="I35">
        <v>0</v>
      </c>
      <c r="J35">
        <v>0</v>
      </c>
      <c r="K35">
        <v>0</v>
      </c>
      <c r="L35">
        <v>7</v>
      </c>
      <c r="N35">
        <v>3</v>
      </c>
      <c r="O35">
        <v>10</v>
      </c>
      <c r="P35">
        <v>0</v>
      </c>
      <c r="Q35">
        <v>0</v>
      </c>
      <c r="R35">
        <v>30.63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</v>
      </c>
      <c r="AC35">
        <v>0</v>
      </c>
      <c r="AF35" t="s">
        <v>130</v>
      </c>
      <c r="AH35">
        <v>33.630000000000003</v>
      </c>
    </row>
    <row r="36" spans="1:34" x14ac:dyDescent="0.3">
      <c r="A36" s="4">
        <v>44</v>
      </c>
      <c r="B36" s="5">
        <v>29</v>
      </c>
      <c r="C36">
        <v>1263</v>
      </c>
      <c r="D36" t="s">
        <v>10808</v>
      </c>
      <c r="E36" t="s">
        <v>161</v>
      </c>
      <c r="F36" t="s">
        <v>230</v>
      </c>
      <c r="G36" t="s">
        <v>10809</v>
      </c>
      <c r="H36">
        <v>20.079999999999998</v>
      </c>
      <c r="I36">
        <v>0</v>
      </c>
      <c r="J36">
        <v>0</v>
      </c>
      <c r="K36">
        <v>0</v>
      </c>
      <c r="L36">
        <v>7</v>
      </c>
      <c r="O36">
        <v>7</v>
      </c>
      <c r="P36">
        <v>4</v>
      </c>
      <c r="Q36">
        <v>0</v>
      </c>
      <c r="R36">
        <v>31.08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 t="s">
        <v>130</v>
      </c>
      <c r="AF36" t="s">
        <v>130</v>
      </c>
      <c r="AH36">
        <v>31.08</v>
      </c>
    </row>
    <row r="37" spans="1:34" x14ac:dyDescent="0.3">
      <c r="A37" s="4">
        <v>45</v>
      </c>
      <c r="B37" s="5">
        <v>30</v>
      </c>
      <c r="C37">
        <v>2913</v>
      </c>
      <c r="D37" t="s">
        <v>10810</v>
      </c>
      <c r="E37" t="s">
        <v>147</v>
      </c>
      <c r="F37" t="s">
        <v>649</v>
      </c>
      <c r="G37" t="s">
        <v>10811</v>
      </c>
      <c r="H37">
        <v>17.93</v>
      </c>
      <c r="I37">
        <v>0</v>
      </c>
      <c r="J37">
        <v>0</v>
      </c>
      <c r="K37">
        <v>0</v>
      </c>
      <c r="L37">
        <v>7</v>
      </c>
      <c r="O37">
        <v>7</v>
      </c>
      <c r="P37">
        <v>4</v>
      </c>
      <c r="Q37">
        <v>2</v>
      </c>
      <c r="R37">
        <v>30.93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F37" t="s">
        <v>130</v>
      </c>
      <c r="AH37">
        <v>30.93</v>
      </c>
    </row>
    <row r="38" spans="1:34" x14ac:dyDescent="0.3">
      <c r="A38" s="4">
        <v>46</v>
      </c>
      <c r="B38" s="5">
        <v>31</v>
      </c>
      <c r="C38">
        <v>2391</v>
      </c>
      <c r="D38" t="s">
        <v>10812</v>
      </c>
      <c r="E38" t="s">
        <v>17</v>
      </c>
      <c r="F38" t="s">
        <v>20</v>
      </c>
      <c r="G38" t="s">
        <v>10813</v>
      </c>
      <c r="H38">
        <v>19.579999999999998</v>
      </c>
      <c r="I38">
        <v>0</v>
      </c>
      <c r="J38">
        <v>0</v>
      </c>
      <c r="K38">
        <v>0</v>
      </c>
      <c r="L38">
        <v>7</v>
      </c>
      <c r="O38">
        <v>7</v>
      </c>
      <c r="P38">
        <v>4</v>
      </c>
      <c r="Q38">
        <v>0</v>
      </c>
      <c r="R38">
        <v>30.58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F38" t="s">
        <v>130</v>
      </c>
      <c r="AH38">
        <v>30.58</v>
      </c>
    </row>
    <row r="39" spans="1:34" x14ac:dyDescent="0.3">
      <c r="A39" s="4">
        <v>47</v>
      </c>
      <c r="B39" s="5">
        <v>32</v>
      </c>
      <c r="C39">
        <v>1049</v>
      </c>
      <c r="D39" t="s">
        <v>10814</v>
      </c>
      <c r="E39" t="s">
        <v>10815</v>
      </c>
      <c r="F39" t="s">
        <v>34</v>
      </c>
      <c r="G39" t="s">
        <v>10816</v>
      </c>
      <c r="H39">
        <v>17.45</v>
      </c>
      <c r="I39">
        <v>0</v>
      </c>
      <c r="J39">
        <v>0</v>
      </c>
      <c r="K39">
        <v>0</v>
      </c>
      <c r="L39">
        <v>7</v>
      </c>
      <c r="O39">
        <v>7</v>
      </c>
      <c r="P39">
        <v>4</v>
      </c>
      <c r="Q39">
        <v>2</v>
      </c>
      <c r="R39">
        <v>30.45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F39" t="s">
        <v>130</v>
      </c>
      <c r="AH39">
        <v>30.45</v>
      </c>
    </row>
    <row r="40" spans="1:34" x14ac:dyDescent="0.3">
      <c r="A40" s="7">
        <v>48</v>
      </c>
      <c r="B40" s="5">
        <v>33</v>
      </c>
      <c r="C40" s="2">
        <v>4835</v>
      </c>
      <c r="D40" s="2" t="s">
        <v>1170</v>
      </c>
      <c r="E40" s="2" t="s">
        <v>97</v>
      </c>
      <c r="F40" s="2" t="s">
        <v>442</v>
      </c>
      <c r="G40" s="2" t="s">
        <v>10817</v>
      </c>
      <c r="H40" s="2">
        <v>22.78</v>
      </c>
      <c r="I40" s="2">
        <v>0</v>
      </c>
      <c r="J40" s="2">
        <v>0</v>
      </c>
      <c r="K40" s="2">
        <v>0</v>
      </c>
      <c r="L40" s="2"/>
      <c r="M40" s="2"/>
      <c r="N40" s="2">
        <v>3</v>
      </c>
      <c r="O40" s="2">
        <v>3</v>
      </c>
      <c r="P40" s="2">
        <v>4</v>
      </c>
      <c r="Q40" s="2">
        <v>0</v>
      </c>
      <c r="R40" s="2">
        <v>29.78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/>
      <c r="AE40" s="2"/>
      <c r="AF40" s="2" t="s">
        <v>130</v>
      </c>
      <c r="AG40" s="2"/>
      <c r="AH40" s="2">
        <v>29.78</v>
      </c>
    </row>
    <row r="41" spans="1:34" x14ac:dyDescent="0.3">
      <c r="A41" s="4">
        <v>49</v>
      </c>
      <c r="B41" s="5">
        <v>34</v>
      </c>
      <c r="C41">
        <v>2479</v>
      </c>
      <c r="D41" t="s">
        <v>3764</v>
      </c>
      <c r="E41" t="s">
        <v>29</v>
      </c>
      <c r="F41" t="s">
        <v>1367</v>
      </c>
      <c r="G41" t="s">
        <v>10818</v>
      </c>
      <c r="H41">
        <v>16.25</v>
      </c>
      <c r="I41">
        <v>0</v>
      </c>
      <c r="J41">
        <v>0</v>
      </c>
      <c r="K41">
        <v>0</v>
      </c>
      <c r="L41">
        <v>7</v>
      </c>
      <c r="M41">
        <v>5</v>
      </c>
      <c r="O41">
        <v>12</v>
      </c>
      <c r="P41">
        <v>0</v>
      </c>
      <c r="Q41">
        <v>0</v>
      </c>
      <c r="R41">
        <v>28.25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F41" t="s">
        <v>130</v>
      </c>
      <c r="AH41">
        <v>28.25</v>
      </c>
    </row>
    <row r="42" spans="1:34" x14ac:dyDescent="0.3">
      <c r="A42" s="4">
        <v>50</v>
      </c>
      <c r="B42" s="5">
        <v>35</v>
      </c>
      <c r="C42">
        <v>7348</v>
      </c>
      <c r="D42" t="s">
        <v>10819</v>
      </c>
      <c r="E42" t="s">
        <v>17</v>
      </c>
      <c r="F42" t="s">
        <v>81</v>
      </c>
      <c r="G42" t="s">
        <v>10820</v>
      </c>
      <c r="H42">
        <v>17.7</v>
      </c>
      <c r="I42">
        <v>0</v>
      </c>
      <c r="J42">
        <v>0</v>
      </c>
      <c r="K42">
        <v>0</v>
      </c>
      <c r="N42">
        <v>3</v>
      </c>
      <c r="O42">
        <v>3</v>
      </c>
      <c r="P42">
        <v>4</v>
      </c>
      <c r="Q42">
        <v>2</v>
      </c>
      <c r="R42">
        <v>26.7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F42" t="s">
        <v>130</v>
      </c>
      <c r="AH42">
        <v>26.7</v>
      </c>
    </row>
    <row r="43" spans="1:34" x14ac:dyDescent="0.3">
      <c r="A43" s="4">
        <v>51</v>
      </c>
      <c r="B43" s="5">
        <v>36</v>
      </c>
      <c r="C43">
        <v>14452</v>
      </c>
      <c r="D43" t="s">
        <v>10821</v>
      </c>
      <c r="E43" t="s">
        <v>33</v>
      </c>
      <c r="F43" t="s">
        <v>457</v>
      </c>
      <c r="G43" t="s">
        <v>10822</v>
      </c>
      <c r="H43">
        <v>16.38</v>
      </c>
      <c r="I43">
        <v>0</v>
      </c>
      <c r="J43">
        <v>0</v>
      </c>
      <c r="K43">
        <v>0</v>
      </c>
      <c r="N43">
        <v>3</v>
      </c>
      <c r="O43">
        <v>3</v>
      </c>
      <c r="P43">
        <v>4</v>
      </c>
      <c r="Q43">
        <v>0</v>
      </c>
      <c r="R43">
        <v>23.38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F43" t="s">
        <v>130</v>
      </c>
      <c r="AH43">
        <v>23.38</v>
      </c>
    </row>
    <row r="44" spans="1:34" x14ac:dyDescent="0.3">
      <c r="A44" s="4">
        <v>53</v>
      </c>
      <c r="B44" s="5">
        <v>37</v>
      </c>
      <c r="C44">
        <v>12725</v>
      </c>
      <c r="D44" t="s">
        <v>6630</v>
      </c>
      <c r="E44" t="s">
        <v>10823</v>
      </c>
      <c r="F44" t="s">
        <v>55</v>
      </c>
      <c r="G44" t="s">
        <v>10824</v>
      </c>
      <c r="H44">
        <v>15.83</v>
      </c>
      <c r="I44">
        <v>7</v>
      </c>
      <c r="J44">
        <v>0</v>
      </c>
      <c r="K44">
        <v>20</v>
      </c>
      <c r="L44">
        <v>7</v>
      </c>
      <c r="O44">
        <v>7</v>
      </c>
      <c r="P44">
        <v>4</v>
      </c>
      <c r="Q44">
        <v>2</v>
      </c>
      <c r="R44">
        <v>55.83</v>
      </c>
      <c r="S44">
        <v>3</v>
      </c>
      <c r="T44">
        <v>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</v>
      </c>
      <c r="AB44">
        <v>9</v>
      </c>
      <c r="AC44">
        <v>0</v>
      </c>
      <c r="AH44">
        <v>67.83</v>
      </c>
    </row>
    <row r="45" spans="1:34" x14ac:dyDescent="0.3">
      <c r="A45" s="4">
        <v>54</v>
      </c>
      <c r="B45" s="5">
        <v>38</v>
      </c>
      <c r="C45">
        <v>5603</v>
      </c>
      <c r="D45" t="s">
        <v>8779</v>
      </c>
      <c r="E45" t="s">
        <v>10825</v>
      </c>
      <c r="F45" t="s">
        <v>230</v>
      </c>
      <c r="G45" t="s">
        <v>10826</v>
      </c>
      <c r="H45">
        <v>17.350000000000001</v>
      </c>
      <c r="I45">
        <v>0</v>
      </c>
      <c r="J45">
        <v>0</v>
      </c>
      <c r="K45">
        <v>20</v>
      </c>
      <c r="L45">
        <v>7</v>
      </c>
      <c r="O45">
        <v>7</v>
      </c>
      <c r="P45">
        <v>4</v>
      </c>
      <c r="Q45">
        <v>0</v>
      </c>
      <c r="R45">
        <v>48.35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6</v>
      </c>
      <c r="AC45">
        <v>0</v>
      </c>
      <c r="AH45">
        <v>54.35</v>
      </c>
    </row>
    <row r="46" spans="1:34" x14ac:dyDescent="0.3">
      <c r="A46" s="4">
        <v>55</v>
      </c>
      <c r="B46" s="5">
        <v>39</v>
      </c>
      <c r="C46">
        <v>340</v>
      </c>
      <c r="D46" t="s">
        <v>2559</v>
      </c>
      <c r="E46" t="s">
        <v>1189</v>
      </c>
      <c r="F46" t="s">
        <v>62</v>
      </c>
      <c r="G46" t="s">
        <v>10827</v>
      </c>
      <c r="H46">
        <v>23.13</v>
      </c>
      <c r="I46">
        <v>7</v>
      </c>
      <c r="J46">
        <v>0</v>
      </c>
      <c r="K46">
        <v>0</v>
      </c>
      <c r="L46">
        <v>7</v>
      </c>
      <c r="O46">
        <v>7</v>
      </c>
      <c r="P46">
        <v>4</v>
      </c>
      <c r="Q46">
        <v>0</v>
      </c>
      <c r="R46">
        <v>41.13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H46">
        <v>41.13</v>
      </c>
    </row>
    <row r="47" spans="1:34" x14ac:dyDescent="0.3">
      <c r="A47" s="4">
        <v>56</v>
      </c>
      <c r="B47" s="5">
        <v>40</v>
      </c>
      <c r="C47">
        <v>1972</v>
      </c>
      <c r="D47" t="s">
        <v>10828</v>
      </c>
      <c r="E47" t="s">
        <v>97</v>
      </c>
      <c r="F47" t="s">
        <v>34</v>
      </c>
      <c r="G47" t="s">
        <v>10829</v>
      </c>
      <c r="H47">
        <v>20.23</v>
      </c>
      <c r="I47">
        <v>0</v>
      </c>
      <c r="J47">
        <v>0</v>
      </c>
      <c r="K47">
        <v>0</v>
      </c>
      <c r="L47">
        <v>7</v>
      </c>
      <c r="O47">
        <v>7</v>
      </c>
      <c r="P47">
        <v>4</v>
      </c>
      <c r="Q47">
        <v>0</v>
      </c>
      <c r="R47">
        <v>31.23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6</v>
      </c>
      <c r="AC47">
        <v>0</v>
      </c>
      <c r="AH47">
        <v>37.229999999999997</v>
      </c>
    </row>
    <row r="48" spans="1:34" x14ac:dyDescent="0.3">
      <c r="A48" s="4">
        <v>58</v>
      </c>
      <c r="B48" s="5">
        <v>41</v>
      </c>
      <c r="C48">
        <v>4806</v>
      </c>
      <c r="D48" t="s">
        <v>181</v>
      </c>
      <c r="E48" t="s">
        <v>29</v>
      </c>
      <c r="F48" t="s">
        <v>68</v>
      </c>
      <c r="G48" t="s">
        <v>10830</v>
      </c>
      <c r="H48">
        <v>20</v>
      </c>
      <c r="I48">
        <v>7</v>
      </c>
      <c r="J48">
        <v>0</v>
      </c>
      <c r="K48">
        <v>0</v>
      </c>
      <c r="N48">
        <v>3</v>
      </c>
      <c r="O48">
        <v>3</v>
      </c>
      <c r="P48">
        <v>4</v>
      </c>
      <c r="Q48">
        <v>0</v>
      </c>
      <c r="R48">
        <v>34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H48">
        <v>34</v>
      </c>
    </row>
    <row r="49" spans="1:34" x14ac:dyDescent="0.3">
      <c r="A49" s="4">
        <v>59</v>
      </c>
      <c r="B49" s="5">
        <v>42</v>
      </c>
      <c r="C49">
        <v>6733</v>
      </c>
      <c r="D49" t="s">
        <v>10831</v>
      </c>
      <c r="E49" t="s">
        <v>10832</v>
      </c>
      <c r="F49" t="s">
        <v>117</v>
      </c>
      <c r="G49" t="s">
        <v>10833</v>
      </c>
      <c r="H49">
        <v>20.98</v>
      </c>
      <c r="I49">
        <v>0</v>
      </c>
      <c r="J49">
        <v>0</v>
      </c>
      <c r="K49">
        <v>0</v>
      </c>
      <c r="L49">
        <v>7</v>
      </c>
      <c r="O49">
        <v>7</v>
      </c>
      <c r="P49">
        <v>4</v>
      </c>
      <c r="Q49">
        <v>0</v>
      </c>
      <c r="R49">
        <v>31.98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H49">
        <v>31.98</v>
      </c>
    </row>
    <row r="50" spans="1:34" x14ac:dyDescent="0.3">
      <c r="A50" s="4">
        <v>60</v>
      </c>
      <c r="B50" s="5">
        <v>43</v>
      </c>
      <c r="C50">
        <v>14845</v>
      </c>
      <c r="D50" t="s">
        <v>1250</v>
      </c>
      <c r="E50" t="s">
        <v>29</v>
      </c>
      <c r="F50" t="s">
        <v>34</v>
      </c>
      <c r="G50" t="s">
        <v>10834</v>
      </c>
      <c r="H50">
        <v>20.43</v>
      </c>
      <c r="I50">
        <v>0</v>
      </c>
      <c r="J50">
        <v>0</v>
      </c>
      <c r="K50">
        <v>0</v>
      </c>
      <c r="L50">
        <v>7</v>
      </c>
      <c r="O50">
        <v>7</v>
      </c>
      <c r="P50">
        <v>4</v>
      </c>
      <c r="Q50">
        <v>0</v>
      </c>
      <c r="R50">
        <v>31.43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H50">
        <v>31.43</v>
      </c>
    </row>
    <row r="51" spans="1:34" x14ac:dyDescent="0.3">
      <c r="A51" s="4">
        <v>61</v>
      </c>
      <c r="B51" s="5">
        <v>44</v>
      </c>
      <c r="C51">
        <v>2704</v>
      </c>
      <c r="D51" t="s">
        <v>10835</v>
      </c>
      <c r="E51" t="s">
        <v>967</v>
      </c>
      <c r="F51" t="s">
        <v>68</v>
      </c>
      <c r="G51" t="s">
        <v>10836</v>
      </c>
      <c r="H51">
        <v>19.43</v>
      </c>
      <c r="I51">
        <v>0</v>
      </c>
      <c r="J51">
        <v>0</v>
      </c>
      <c r="K51">
        <v>0</v>
      </c>
      <c r="L51">
        <v>7</v>
      </c>
      <c r="O51">
        <v>7</v>
      </c>
      <c r="P51">
        <v>4</v>
      </c>
      <c r="Q51">
        <v>0</v>
      </c>
      <c r="R51">
        <v>30.43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H51">
        <v>30.43</v>
      </c>
    </row>
    <row r="52" spans="1:34" x14ac:dyDescent="0.3">
      <c r="A52" s="4">
        <v>62</v>
      </c>
      <c r="B52" s="5">
        <v>45</v>
      </c>
      <c r="C52">
        <v>12103</v>
      </c>
      <c r="D52" t="s">
        <v>10837</v>
      </c>
      <c r="E52" t="s">
        <v>10838</v>
      </c>
      <c r="F52" t="s">
        <v>10839</v>
      </c>
      <c r="G52" t="s">
        <v>10840</v>
      </c>
      <c r="H52">
        <v>18.03</v>
      </c>
      <c r="I52">
        <v>0</v>
      </c>
      <c r="J52">
        <v>0</v>
      </c>
      <c r="K52">
        <v>0</v>
      </c>
      <c r="N52">
        <v>3</v>
      </c>
      <c r="O52">
        <v>3</v>
      </c>
      <c r="P52">
        <v>4</v>
      </c>
      <c r="Q52">
        <v>2</v>
      </c>
      <c r="R52">
        <v>27.03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H52">
        <v>27.03</v>
      </c>
    </row>
    <row r="54" spans="1:34" x14ac:dyDescent="0.3">
      <c r="A54" s="3" t="s">
        <v>8356</v>
      </c>
    </row>
    <row r="55" spans="1:34" x14ac:dyDescent="0.3">
      <c r="A55" s="3" t="s">
        <v>10724</v>
      </c>
    </row>
    <row r="56" spans="1:34" x14ac:dyDescent="0.3">
      <c r="A56" s="3" t="s">
        <v>10725</v>
      </c>
    </row>
    <row r="57" spans="1:34" x14ac:dyDescent="0.3">
      <c r="A57" s="3" t="s">
        <v>10726</v>
      </c>
    </row>
    <row r="58" spans="1:34" x14ac:dyDescent="0.3">
      <c r="A58" s="3" t="s">
        <v>10727</v>
      </c>
    </row>
    <row r="59" spans="1:34" x14ac:dyDescent="0.3">
      <c r="A59" s="3" t="s">
        <v>10728</v>
      </c>
    </row>
    <row r="60" spans="1:34" x14ac:dyDescent="0.3">
      <c r="A60" s="3" t="s">
        <v>10729</v>
      </c>
    </row>
    <row r="61" spans="1:34" x14ac:dyDescent="0.3">
      <c r="A61" s="3" t="s">
        <v>10730</v>
      </c>
    </row>
    <row r="62" spans="1:34" x14ac:dyDescent="0.3">
      <c r="A62" s="3" t="s">
        <v>10731</v>
      </c>
    </row>
    <row r="63" spans="1:34" x14ac:dyDescent="0.3">
      <c r="A63" s="3" t="s">
        <v>10732</v>
      </c>
    </row>
    <row r="64" spans="1:34" s="4" customFormat="1" x14ac:dyDescent="0.3">
      <c r="A64" s="3" t="s">
        <v>10733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1:34" s="4" customFormat="1" x14ac:dyDescent="0.3">
      <c r="A65" s="3" t="s">
        <v>10734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1:34" s="4" customFormat="1" x14ac:dyDescent="0.3">
      <c r="A66" s="3" t="s">
        <v>10735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1:34" s="4" customFormat="1" x14ac:dyDescent="0.3">
      <c r="A67" s="3" t="s">
        <v>10736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1:34" s="4" customFormat="1" x14ac:dyDescent="0.3">
      <c r="A68" s="3" t="s">
        <v>10737</v>
      </c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1:34" s="4" customFormat="1" x14ac:dyDescent="0.3">
      <c r="A69" s="3" t="s">
        <v>10738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1:34" s="4" customFormat="1" x14ac:dyDescent="0.3">
      <c r="A70" s="3" t="s">
        <v>10739</v>
      </c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1:34" s="4" customFormat="1" x14ac:dyDescent="0.3">
      <c r="A71" s="3" t="s">
        <v>10740</v>
      </c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1:34" s="4" customFormat="1" x14ac:dyDescent="0.3">
      <c r="A72" s="3" t="s">
        <v>10741</v>
      </c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1:34" s="4" customFormat="1" x14ac:dyDescent="0.3">
      <c r="A73" s="3" t="s">
        <v>10742</v>
      </c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1:34" s="4" customFormat="1" x14ac:dyDescent="0.3">
      <c r="A74" s="3" t="s">
        <v>10743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1:34" s="4" customFormat="1" x14ac:dyDescent="0.3">
      <c r="A75" s="3" t="s">
        <v>10744</v>
      </c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1:34" s="4" customFormat="1" x14ac:dyDescent="0.3">
      <c r="A76" s="3" t="s">
        <v>10745</v>
      </c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1:34" s="4" customFormat="1" x14ac:dyDescent="0.3">
      <c r="A77" s="3" t="s">
        <v>10746</v>
      </c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1:34" s="4" customFormat="1" x14ac:dyDescent="0.3">
      <c r="A78" s="3" t="s">
        <v>10747</v>
      </c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1:34" s="4" customFormat="1" x14ac:dyDescent="0.3">
      <c r="A79" s="3" t="s">
        <v>10748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1:34" s="4" customFormat="1" x14ac:dyDescent="0.3">
      <c r="A80" s="3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1:34" s="4" customFormat="1" x14ac:dyDescent="0.3">
      <c r="A81" s="3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s="4" customFormat="1" x14ac:dyDescent="0.3">
      <c r="A82" s="3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Φύλλο12"/>
  <dimension ref="A1:AH4336"/>
  <sheetViews>
    <sheetView topLeftCell="A3450" workbookViewId="0">
      <selection activeCell="A8" sqref="A8:AH4527"/>
    </sheetView>
  </sheetViews>
  <sheetFormatPr defaultRowHeight="14.4" x14ac:dyDescent="0.3"/>
  <cols>
    <col min="1" max="2" width="9.109375" style="4"/>
    <col min="3" max="3" width="6" customWidth="1"/>
    <col min="4" max="4" width="35.44140625" bestFit="1" customWidth="1"/>
    <col min="5" max="5" width="29.6640625" bestFit="1" customWidth="1"/>
    <col min="6" max="6" width="24.6640625" bestFit="1" customWidth="1"/>
    <col min="7" max="7" width="13.6640625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10841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3</v>
      </c>
      <c r="B8" s="5">
        <v>1</v>
      </c>
      <c r="C8">
        <v>6569</v>
      </c>
      <c r="D8" t="s">
        <v>10843</v>
      </c>
      <c r="E8" t="s">
        <v>166</v>
      </c>
      <c r="F8" t="s">
        <v>488</v>
      </c>
      <c r="G8" t="s">
        <v>10844</v>
      </c>
      <c r="H8">
        <v>18.329999999999998</v>
      </c>
      <c r="I8">
        <v>0</v>
      </c>
      <c r="J8">
        <v>0</v>
      </c>
      <c r="K8">
        <v>20</v>
      </c>
      <c r="L8">
        <v>7</v>
      </c>
      <c r="M8">
        <v>5</v>
      </c>
      <c r="O8">
        <v>12</v>
      </c>
      <c r="P8">
        <v>0</v>
      </c>
      <c r="Q8">
        <v>0</v>
      </c>
      <c r="R8">
        <v>50.33</v>
      </c>
      <c r="S8">
        <v>120</v>
      </c>
      <c r="T8">
        <v>120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120</v>
      </c>
      <c r="AB8">
        <v>0</v>
      </c>
      <c r="AC8">
        <v>0</v>
      </c>
      <c r="AD8" t="s">
        <v>130</v>
      </c>
      <c r="AF8" t="s">
        <v>130</v>
      </c>
      <c r="AG8" t="s">
        <v>130</v>
      </c>
      <c r="AH8">
        <v>170.33</v>
      </c>
    </row>
    <row r="9" spans="1:34" x14ac:dyDescent="0.3">
      <c r="A9" s="4">
        <v>36</v>
      </c>
      <c r="B9" s="5">
        <v>2</v>
      </c>
      <c r="C9">
        <v>4442</v>
      </c>
      <c r="D9" t="s">
        <v>10882</v>
      </c>
      <c r="E9" t="s">
        <v>406</v>
      </c>
      <c r="F9" t="s">
        <v>81</v>
      </c>
      <c r="G9" t="s">
        <v>10883</v>
      </c>
      <c r="H9">
        <v>20.65</v>
      </c>
      <c r="I9">
        <v>0</v>
      </c>
      <c r="J9">
        <v>0</v>
      </c>
      <c r="K9">
        <v>20</v>
      </c>
      <c r="L9">
        <v>7</v>
      </c>
      <c r="M9">
        <v>5</v>
      </c>
      <c r="O9">
        <v>12</v>
      </c>
      <c r="P9">
        <v>4</v>
      </c>
      <c r="Q9">
        <v>0</v>
      </c>
      <c r="R9">
        <v>56.65</v>
      </c>
      <c r="S9">
        <v>75</v>
      </c>
      <c r="T9">
        <v>75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75</v>
      </c>
      <c r="AB9">
        <v>0</v>
      </c>
      <c r="AC9">
        <v>0</v>
      </c>
      <c r="AD9" t="s">
        <v>130</v>
      </c>
      <c r="AF9" t="s">
        <v>130</v>
      </c>
      <c r="AG9" t="s">
        <v>130</v>
      </c>
      <c r="AH9">
        <v>131.65</v>
      </c>
    </row>
    <row r="10" spans="1:34" x14ac:dyDescent="0.3">
      <c r="A10" s="4">
        <v>52</v>
      </c>
      <c r="B10" s="5">
        <v>3</v>
      </c>
      <c r="C10">
        <v>1101</v>
      </c>
      <c r="D10" t="s">
        <v>1129</v>
      </c>
      <c r="E10" t="s">
        <v>2271</v>
      </c>
      <c r="F10" t="s">
        <v>117</v>
      </c>
      <c r="G10" t="s">
        <v>10898</v>
      </c>
      <c r="H10">
        <v>23.05</v>
      </c>
      <c r="I10">
        <v>0</v>
      </c>
      <c r="J10">
        <v>0</v>
      </c>
      <c r="K10">
        <v>28</v>
      </c>
      <c r="L10">
        <v>7</v>
      </c>
      <c r="O10">
        <v>7</v>
      </c>
      <c r="P10">
        <v>4</v>
      </c>
      <c r="Q10">
        <v>2</v>
      </c>
      <c r="R10">
        <v>64.05</v>
      </c>
      <c r="S10">
        <v>62</v>
      </c>
      <c r="T10">
        <v>62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62</v>
      </c>
      <c r="AB10">
        <v>0</v>
      </c>
      <c r="AC10">
        <v>0</v>
      </c>
      <c r="AF10" t="s">
        <v>130</v>
      </c>
      <c r="AG10" t="s">
        <v>130</v>
      </c>
      <c r="AH10">
        <v>126.05</v>
      </c>
    </row>
    <row r="11" spans="1:34" x14ac:dyDescent="0.3">
      <c r="A11" s="4">
        <v>79</v>
      </c>
      <c r="B11" s="5">
        <v>4</v>
      </c>
      <c r="C11">
        <v>161</v>
      </c>
      <c r="D11" t="s">
        <v>1436</v>
      </c>
      <c r="E11" t="s">
        <v>143</v>
      </c>
      <c r="F11" t="s">
        <v>68</v>
      </c>
      <c r="G11" t="s">
        <v>10918</v>
      </c>
      <c r="H11">
        <v>20.48</v>
      </c>
      <c r="I11">
        <v>7</v>
      </c>
      <c r="J11">
        <v>0</v>
      </c>
      <c r="K11">
        <v>20</v>
      </c>
      <c r="L11">
        <v>7</v>
      </c>
      <c r="M11">
        <v>5</v>
      </c>
      <c r="O11">
        <v>12</v>
      </c>
      <c r="P11">
        <v>4</v>
      </c>
      <c r="Q11">
        <v>2</v>
      </c>
      <c r="R11">
        <v>65.48</v>
      </c>
      <c r="S11">
        <v>53</v>
      </c>
      <c r="T11">
        <v>53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53</v>
      </c>
      <c r="AB11">
        <v>0</v>
      </c>
      <c r="AC11">
        <v>0</v>
      </c>
      <c r="AF11" t="s">
        <v>130</v>
      </c>
      <c r="AG11" t="s">
        <v>130</v>
      </c>
      <c r="AH11">
        <v>118.48</v>
      </c>
    </row>
    <row r="12" spans="1:34" x14ac:dyDescent="0.3">
      <c r="A12" s="4">
        <v>86</v>
      </c>
      <c r="B12" s="5">
        <v>5</v>
      </c>
      <c r="C12">
        <v>1676</v>
      </c>
      <c r="D12" t="s">
        <v>10925</v>
      </c>
      <c r="E12" t="s">
        <v>170</v>
      </c>
      <c r="F12" t="s">
        <v>68</v>
      </c>
      <c r="G12" t="s">
        <v>10926</v>
      </c>
      <c r="H12">
        <v>19.25</v>
      </c>
      <c r="I12">
        <v>7</v>
      </c>
      <c r="J12">
        <v>0</v>
      </c>
      <c r="K12">
        <v>20</v>
      </c>
      <c r="N12">
        <v>3</v>
      </c>
      <c r="O12">
        <v>3</v>
      </c>
      <c r="P12">
        <v>4</v>
      </c>
      <c r="Q12">
        <v>0</v>
      </c>
      <c r="R12">
        <v>53.25</v>
      </c>
      <c r="S12">
        <v>60</v>
      </c>
      <c r="T12">
        <v>60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60</v>
      </c>
      <c r="AB12">
        <v>3</v>
      </c>
      <c r="AC12">
        <v>0</v>
      </c>
      <c r="AF12" t="s">
        <v>130</v>
      </c>
      <c r="AG12" t="s">
        <v>130</v>
      </c>
      <c r="AH12">
        <v>116.25</v>
      </c>
    </row>
    <row r="13" spans="1:34" x14ac:dyDescent="0.3">
      <c r="A13" s="4">
        <v>99</v>
      </c>
      <c r="B13" s="5">
        <v>6</v>
      </c>
      <c r="C13">
        <v>2363</v>
      </c>
      <c r="D13" t="s">
        <v>6683</v>
      </c>
      <c r="E13" t="s">
        <v>283</v>
      </c>
      <c r="F13" t="s">
        <v>58</v>
      </c>
      <c r="G13" t="s">
        <v>10936</v>
      </c>
      <c r="H13">
        <v>16.68</v>
      </c>
      <c r="I13">
        <v>0</v>
      </c>
      <c r="J13">
        <v>0</v>
      </c>
      <c r="K13">
        <v>20</v>
      </c>
      <c r="L13">
        <v>7</v>
      </c>
      <c r="M13">
        <v>5</v>
      </c>
      <c r="O13">
        <v>12</v>
      </c>
      <c r="P13">
        <v>4</v>
      </c>
      <c r="Q13">
        <v>2</v>
      </c>
      <c r="R13">
        <v>54.68</v>
      </c>
      <c r="S13">
        <v>54</v>
      </c>
      <c r="T13">
        <v>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54</v>
      </c>
      <c r="AB13">
        <v>6</v>
      </c>
      <c r="AC13">
        <v>0</v>
      </c>
      <c r="AD13" t="s">
        <v>130</v>
      </c>
      <c r="AF13" t="s">
        <v>130</v>
      </c>
      <c r="AG13" t="s">
        <v>130</v>
      </c>
      <c r="AH13">
        <v>114.68</v>
      </c>
    </row>
    <row r="14" spans="1:34" x14ac:dyDescent="0.3">
      <c r="A14" s="4">
        <v>109</v>
      </c>
      <c r="B14" s="5">
        <v>7</v>
      </c>
      <c r="C14">
        <v>10116</v>
      </c>
      <c r="D14" t="s">
        <v>10944</v>
      </c>
      <c r="E14" t="s">
        <v>10945</v>
      </c>
      <c r="F14" t="s">
        <v>117</v>
      </c>
      <c r="G14" t="s">
        <v>10946</v>
      </c>
      <c r="H14">
        <v>15.58</v>
      </c>
      <c r="I14">
        <v>0</v>
      </c>
      <c r="J14">
        <v>0</v>
      </c>
      <c r="K14">
        <v>28</v>
      </c>
      <c r="N14">
        <v>3</v>
      </c>
      <c r="O14">
        <v>3</v>
      </c>
      <c r="P14">
        <v>4</v>
      </c>
      <c r="Q14">
        <v>2</v>
      </c>
      <c r="R14">
        <v>52.58</v>
      </c>
      <c r="S14">
        <v>60</v>
      </c>
      <c r="T14">
        <v>60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60</v>
      </c>
      <c r="AB14">
        <v>0</v>
      </c>
      <c r="AC14">
        <v>0</v>
      </c>
      <c r="AF14" t="s">
        <v>130</v>
      </c>
      <c r="AG14" t="s">
        <v>130</v>
      </c>
      <c r="AH14">
        <v>112.58</v>
      </c>
    </row>
    <row r="15" spans="1:34" x14ac:dyDescent="0.3">
      <c r="A15" s="6">
        <v>112</v>
      </c>
      <c r="B15" s="5">
        <v>8</v>
      </c>
      <c r="C15" s="1">
        <v>6110</v>
      </c>
      <c r="D15" s="1" t="s">
        <v>7020</v>
      </c>
      <c r="E15" s="1" t="s">
        <v>4442</v>
      </c>
      <c r="F15" s="1" t="s">
        <v>539</v>
      </c>
      <c r="G15" s="1" t="s">
        <v>10948</v>
      </c>
      <c r="H15" s="1">
        <v>18.7</v>
      </c>
      <c r="I15" s="1">
        <v>0</v>
      </c>
      <c r="J15" s="1">
        <v>0</v>
      </c>
      <c r="K15" s="1">
        <v>20</v>
      </c>
      <c r="L15" s="1">
        <v>7</v>
      </c>
      <c r="M15" s="1">
        <v>5</v>
      </c>
      <c r="N15" s="1"/>
      <c r="O15" s="1">
        <v>12</v>
      </c>
      <c r="P15" s="1">
        <v>4</v>
      </c>
      <c r="Q15" s="1">
        <v>0</v>
      </c>
      <c r="R15" s="1">
        <v>54.7</v>
      </c>
      <c r="S15" s="1">
        <v>57</v>
      </c>
      <c r="T15" s="1">
        <v>57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57</v>
      </c>
      <c r="AB15" s="1">
        <v>0</v>
      </c>
      <c r="AC15" s="1">
        <v>0</v>
      </c>
      <c r="AD15" s="1"/>
      <c r="AE15" s="1"/>
      <c r="AF15" s="1" t="s">
        <v>130</v>
      </c>
      <c r="AG15" s="1" t="s">
        <v>130</v>
      </c>
      <c r="AH15" s="1">
        <v>111.7</v>
      </c>
    </row>
    <row r="16" spans="1:34" x14ac:dyDescent="0.3">
      <c r="A16" s="4">
        <v>123</v>
      </c>
      <c r="B16" s="5">
        <v>9</v>
      </c>
      <c r="C16">
        <v>6577</v>
      </c>
      <c r="D16" t="s">
        <v>4841</v>
      </c>
      <c r="E16" t="s">
        <v>54</v>
      </c>
      <c r="F16" t="s">
        <v>30</v>
      </c>
      <c r="G16" t="s">
        <v>10960</v>
      </c>
      <c r="H16">
        <v>18.05</v>
      </c>
      <c r="I16">
        <v>0</v>
      </c>
      <c r="J16">
        <v>0</v>
      </c>
      <c r="K16">
        <v>20</v>
      </c>
      <c r="L16">
        <v>7</v>
      </c>
      <c r="M16">
        <v>5</v>
      </c>
      <c r="O16">
        <v>12</v>
      </c>
      <c r="P16">
        <v>4</v>
      </c>
      <c r="Q16">
        <v>2</v>
      </c>
      <c r="R16">
        <v>56.05</v>
      </c>
      <c r="S16">
        <v>51</v>
      </c>
      <c r="T16">
        <v>51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51</v>
      </c>
      <c r="AB16">
        <v>3</v>
      </c>
      <c r="AC16">
        <v>0</v>
      </c>
      <c r="AF16" t="s">
        <v>130</v>
      </c>
      <c r="AG16" t="s">
        <v>130</v>
      </c>
      <c r="AH16">
        <v>110.05</v>
      </c>
    </row>
    <row r="17" spans="1:34" x14ac:dyDescent="0.3">
      <c r="A17" s="4">
        <v>133</v>
      </c>
      <c r="B17" s="5">
        <v>10</v>
      </c>
      <c r="C17">
        <v>12053</v>
      </c>
      <c r="D17" t="s">
        <v>737</v>
      </c>
      <c r="E17" t="s">
        <v>406</v>
      </c>
      <c r="F17" t="s">
        <v>20</v>
      </c>
      <c r="G17" t="s">
        <v>10967</v>
      </c>
      <c r="H17">
        <v>22.25</v>
      </c>
      <c r="I17">
        <v>0</v>
      </c>
      <c r="J17">
        <v>0</v>
      </c>
      <c r="K17">
        <v>20</v>
      </c>
      <c r="M17">
        <v>5</v>
      </c>
      <c r="O17">
        <v>5</v>
      </c>
      <c r="P17">
        <v>4</v>
      </c>
      <c r="Q17">
        <v>2</v>
      </c>
      <c r="R17">
        <v>53.25</v>
      </c>
      <c r="S17">
        <v>55</v>
      </c>
      <c r="T17">
        <v>55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55</v>
      </c>
      <c r="AB17">
        <v>0</v>
      </c>
      <c r="AC17">
        <v>0</v>
      </c>
      <c r="AF17" t="s">
        <v>130</v>
      </c>
      <c r="AG17" t="s">
        <v>130</v>
      </c>
      <c r="AH17">
        <v>108.25</v>
      </c>
    </row>
    <row r="18" spans="1:34" x14ac:dyDescent="0.3">
      <c r="A18" s="4">
        <v>145</v>
      </c>
      <c r="B18" s="5">
        <v>11</v>
      </c>
      <c r="C18">
        <v>7324</v>
      </c>
      <c r="D18" t="s">
        <v>10979</v>
      </c>
      <c r="E18" t="s">
        <v>37</v>
      </c>
      <c r="F18" t="s">
        <v>81</v>
      </c>
      <c r="G18" t="s">
        <v>10980</v>
      </c>
      <c r="H18">
        <v>19.100000000000001</v>
      </c>
      <c r="I18">
        <v>0</v>
      </c>
      <c r="J18">
        <v>0</v>
      </c>
      <c r="K18">
        <v>20</v>
      </c>
      <c r="N18">
        <v>3</v>
      </c>
      <c r="O18">
        <v>3</v>
      </c>
      <c r="P18">
        <v>4</v>
      </c>
      <c r="Q18">
        <v>2</v>
      </c>
      <c r="R18">
        <v>48.1</v>
      </c>
      <c r="S18">
        <v>57</v>
      </c>
      <c r="T18">
        <v>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57</v>
      </c>
      <c r="AB18">
        <v>0</v>
      </c>
      <c r="AC18">
        <v>0</v>
      </c>
      <c r="AF18" t="s">
        <v>130</v>
      </c>
      <c r="AG18" t="s">
        <v>130</v>
      </c>
      <c r="AH18">
        <v>105.1</v>
      </c>
    </row>
    <row r="19" spans="1:34" x14ac:dyDescent="0.3">
      <c r="A19" s="4">
        <v>149</v>
      </c>
      <c r="B19" s="5">
        <v>12</v>
      </c>
      <c r="C19">
        <v>14844</v>
      </c>
      <c r="D19" t="s">
        <v>10981</v>
      </c>
      <c r="E19" t="s">
        <v>652</v>
      </c>
      <c r="F19" t="s">
        <v>17</v>
      </c>
      <c r="G19" t="s">
        <v>10982</v>
      </c>
      <c r="H19">
        <v>17.850000000000001</v>
      </c>
      <c r="I19">
        <v>0</v>
      </c>
      <c r="J19">
        <v>0</v>
      </c>
      <c r="K19">
        <v>20</v>
      </c>
      <c r="L19">
        <v>7</v>
      </c>
      <c r="N19">
        <v>3</v>
      </c>
      <c r="O19">
        <v>10</v>
      </c>
      <c r="P19">
        <v>4</v>
      </c>
      <c r="Q19">
        <v>2</v>
      </c>
      <c r="R19">
        <v>53.85</v>
      </c>
      <c r="S19">
        <v>51</v>
      </c>
      <c r="T19">
        <v>51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51</v>
      </c>
      <c r="AB19">
        <v>0</v>
      </c>
      <c r="AC19">
        <v>0</v>
      </c>
      <c r="AF19" t="s">
        <v>130</v>
      </c>
      <c r="AG19" t="s">
        <v>130</v>
      </c>
      <c r="AH19">
        <v>104.85</v>
      </c>
    </row>
    <row r="20" spans="1:34" x14ac:dyDescent="0.3">
      <c r="A20" s="4">
        <v>159</v>
      </c>
      <c r="B20" s="5">
        <v>13</v>
      </c>
      <c r="C20">
        <v>1902</v>
      </c>
      <c r="D20" t="s">
        <v>10759</v>
      </c>
      <c r="E20" t="s">
        <v>2439</v>
      </c>
      <c r="F20" t="s">
        <v>158</v>
      </c>
      <c r="G20" t="s">
        <v>10760</v>
      </c>
      <c r="H20">
        <v>15.43</v>
      </c>
      <c r="I20">
        <v>7</v>
      </c>
      <c r="J20">
        <v>0</v>
      </c>
      <c r="K20">
        <v>28</v>
      </c>
      <c r="L20">
        <v>7</v>
      </c>
      <c r="O20">
        <v>7</v>
      </c>
      <c r="P20">
        <v>4</v>
      </c>
      <c r="Q20">
        <v>2</v>
      </c>
      <c r="R20">
        <v>63.43</v>
      </c>
      <c r="S20">
        <v>37</v>
      </c>
      <c r="T20">
        <v>37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37</v>
      </c>
      <c r="AB20">
        <v>0</v>
      </c>
      <c r="AC20">
        <v>0</v>
      </c>
      <c r="AF20" t="s">
        <v>130</v>
      </c>
      <c r="AG20" t="s">
        <v>130</v>
      </c>
      <c r="AH20">
        <v>100.43</v>
      </c>
    </row>
    <row r="21" spans="1:34" x14ac:dyDescent="0.3">
      <c r="A21" s="4">
        <v>161</v>
      </c>
      <c r="B21" s="5">
        <v>14</v>
      </c>
      <c r="C21">
        <v>10738</v>
      </c>
      <c r="D21" t="s">
        <v>10995</v>
      </c>
      <c r="E21" t="s">
        <v>29</v>
      </c>
      <c r="F21" t="s">
        <v>20</v>
      </c>
      <c r="G21" t="s">
        <v>10996</v>
      </c>
      <c r="H21">
        <v>19.350000000000001</v>
      </c>
      <c r="I21">
        <v>0</v>
      </c>
      <c r="J21">
        <v>40</v>
      </c>
      <c r="K21">
        <v>20</v>
      </c>
      <c r="O21">
        <v>0</v>
      </c>
      <c r="P21">
        <v>0</v>
      </c>
      <c r="Q21">
        <v>0</v>
      </c>
      <c r="R21">
        <v>79.349999999999994</v>
      </c>
      <c r="S21">
        <v>20</v>
      </c>
      <c r="T21">
        <v>20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20</v>
      </c>
      <c r="AB21">
        <v>0</v>
      </c>
      <c r="AC21">
        <v>0</v>
      </c>
      <c r="AF21" t="s">
        <v>130</v>
      </c>
      <c r="AG21" t="s">
        <v>130</v>
      </c>
      <c r="AH21">
        <v>99.35</v>
      </c>
    </row>
    <row r="22" spans="1:34" x14ac:dyDescent="0.3">
      <c r="A22" s="4">
        <v>162</v>
      </c>
      <c r="B22" s="5">
        <v>15</v>
      </c>
      <c r="C22">
        <v>6066</v>
      </c>
      <c r="D22" t="s">
        <v>10997</v>
      </c>
      <c r="E22" t="s">
        <v>29</v>
      </c>
      <c r="F22" t="s">
        <v>17</v>
      </c>
      <c r="G22" t="s">
        <v>10998</v>
      </c>
      <c r="H22">
        <v>21.63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0</v>
      </c>
      <c r="R22">
        <v>52.63</v>
      </c>
      <c r="S22">
        <v>46</v>
      </c>
      <c r="T22">
        <v>46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46</v>
      </c>
      <c r="AB22">
        <v>0</v>
      </c>
      <c r="AC22">
        <v>0</v>
      </c>
      <c r="AF22" t="s">
        <v>130</v>
      </c>
      <c r="AG22" t="s">
        <v>130</v>
      </c>
      <c r="AH22">
        <v>98.63</v>
      </c>
    </row>
    <row r="23" spans="1:34" x14ac:dyDescent="0.3">
      <c r="A23" s="4">
        <v>163</v>
      </c>
      <c r="B23" s="5">
        <v>16</v>
      </c>
      <c r="C23">
        <v>14685</v>
      </c>
      <c r="D23" t="s">
        <v>10999</v>
      </c>
      <c r="E23" t="s">
        <v>8037</v>
      </c>
      <c r="F23" t="s">
        <v>20</v>
      </c>
      <c r="G23" t="s">
        <v>11000</v>
      </c>
      <c r="H23">
        <v>19.43</v>
      </c>
      <c r="I23">
        <v>0</v>
      </c>
      <c r="J23">
        <v>0</v>
      </c>
      <c r="K23">
        <v>20</v>
      </c>
      <c r="L23">
        <v>7</v>
      </c>
      <c r="N23">
        <v>3</v>
      </c>
      <c r="O23">
        <v>10</v>
      </c>
      <c r="P23">
        <v>4</v>
      </c>
      <c r="Q23">
        <v>0</v>
      </c>
      <c r="R23">
        <v>53.43</v>
      </c>
      <c r="S23">
        <v>45</v>
      </c>
      <c r="T23">
        <v>45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45</v>
      </c>
      <c r="AB23">
        <v>0</v>
      </c>
      <c r="AC23">
        <v>0</v>
      </c>
      <c r="AF23" t="s">
        <v>130</v>
      </c>
      <c r="AG23" t="s">
        <v>130</v>
      </c>
      <c r="AH23">
        <v>98.43</v>
      </c>
    </row>
    <row r="24" spans="1:34" x14ac:dyDescent="0.3">
      <c r="A24" s="4">
        <v>164</v>
      </c>
      <c r="B24" s="5">
        <v>17</v>
      </c>
      <c r="C24">
        <v>4011</v>
      </c>
      <c r="D24" t="s">
        <v>11001</v>
      </c>
      <c r="E24" t="s">
        <v>29</v>
      </c>
      <c r="F24" t="s">
        <v>11002</v>
      </c>
      <c r="G24" t="s">
        <v>11003</v>
      </c>
      <c r="H24">
        <v>19.25</v>
      </c>
      <c r="I24">
        <v>0</v>
      </c>
      <c r="J24">
        <v>0</v>
      </c>
      <c r="K24">
        <v>20</v>
      </c>
      <c r="N24">
        <v>3</v>
      </c>
      <c r="O24">
        <v>3</v>
      </c>
      <c r="P24">
        <v>4</v>
      </c>
      <c r="Q24">
        <v>2</v>
      </c>
      <c r="R24">
        <v>48.25</v>
      </c>
      <c r="S24">
        <v>47</v>
      </c>
      <c r="T24">
        <v>47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47</v>
      </c>
      <c r="AB24">
        <v>3</v>
      </c>
      <c r="AC24">
        <v>0</v>
      </c>
      <c r="AF24" t="s">
        <v>130</v>
      </c>
      <c r="AG24" t="s">
        <v>130</v>
      </c>
      <c r="AH24">
        <v>98.25</v>
      </c>
    </row>
    <row r="25" spans="1:34" x14ac:dyDescent="0.3">
      <c r="A25" s="4">
        <v>165</v>
      </c>
      <c r="B25" s="5">
        <v>18</v>
      </c>
      <c r="C25">
        <v>2383</v>
      </c>
      <c r="D25" t="s">
        <v>11004</v>
      </c>
      <c r="E25" t="s">
        <v>147</v>
      </c>
      <c r="F25" t="s">
        <v>55</v>
      </c>
      <c r="G25" t="s">
        <v>11005</v>
      </c>
      <c r="H25">
        <v>17.079999999999998</v>
      </c>
      <c r="I25">
        <v>0</v>
      </c>
      <c r="J25">
        <v>0</v>
      </c>
      <c r="K25">
        <v>28</v>
      </c>
      <c r="L25">
        <v>7</v>
      </c>
      <c r="O25">
        <v>7</v>
      </c>
      <c r="P25">
        <v>4</v>
      </c>
      <c r="Q25">
        <v>2</v>
      </c>
      <c r="R25">
        <v>58.08</v>
      </c>
      <c r="S25">
        <v>37</v>
      </c>
      <c r="T25">
        <v>37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37</v>
      </c>
      <c r="AB25">
        <v>3</v>
      </c>
      <c r="AC25">
        <v>0</v>
      </c>
      <c r="AF25" t="s">
        <v>130</v>
      </c>
      <c r="AG25" t="s">
        <v>130</v>
      </c>
      <c r="AH25">
        <v>98.08</v>
      </c>
    </row>
    <row r="26" spans="1:34" x14ac:dyDescent="0.3">
      <c r="A26" s="4">
        <v>166</v>
      </c>
      <c r="B26" s="5">
        <v>19</v>
      </c>
      <c r="C26">
        <v>10950</v>
      </c>
      <c r="D26" t="s">
        <v>11006</v>
      </c>
      <c r="E26" t="s">
        <v>166</v>
      </c>
      <c r="F26" t="s">
        <v>68</v>
      </c>
      <c r="G26" t="s">
        <v>11007</v>
      </c>
      <c r="H26">
        <v>19.53</v>
      </c>
      <c r="I26">
        <v>0</v>
      </c>
      <c r="J26">
        <v>0</v>
      </c>
      <c r="K26">
        <v>20</v>
      </c>
      <c r="L26">
        <v>7</v>
      </c>
      <c r="M26">
        <v>5</v>
      </c>
      <c r="O26">
        <v>12</v>
      </c>
      <c r="P26">
        <v>4</v>
      </c>
      <c r="Q26">
        <v>2</v>
      </c>
      <c r="R26">
        <v>57.53</v>
      </c>
      <c r="S26">
        <v>37</v>
      </c>
      <c r="T26">
        <v>37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37</v>
      </c>
      <c r="AB26">
        <v>3</v>
      </c>
      <c r="AC26">
        <v>0</v>
      </c>
      <c r="AD26" t="s">
        <v>130</v>
      </c>
      <c r="AF26" t="s">
        <v>130</v>
      </c>
      <c r="AG26" t="s">
        <v>130</v>
      </c>
      <c r="AH26">
        <v>97.53</v>
      </c>
    </row>
    <row r="27" spans="1:34" x14ac:dyDescent="0.3">
      <c r="A27" s="4">
        <v>167</v>
      </c>
      <c r="B27" s="5">
        <v>20</v>
      </c>
      <c r="C27">
        <v>5376</v>
      </c>
      <c r="D27" t="s">
        <v>3587</v>
      </c>
      <c r="E27" t="s">
        <v>29</v>
      </c>
      <c r="F27" t="s">
        <v>52</v>
      </c>
      <c r="G27" t="s">
        <v>11008</v>
      </c>
      <c r="H27">
        <v>19.350000000000001</v>
      </c>
      <c r="I27">
        <v>0</v>
      </c>
      <c r="J27">
        <v>0</v>
      </c>
      <c r="K27">
        <v>28</v>
      </c>
      <c r="L27">
        <v>7</v>
      </c>
      <c r="O27">
        <v>7</v>
      </c>
      <c r="P27">
        <v>4</v>
      </c>
      <c r="Q27">
        <v>2</v>
      </c>
      <c r="R27">
        <v>60.35</v>
      </c>
      <c r="S27">
        <v>37</v>
      </c>
      <c r="T27">
        <v>37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37</v>
      </c>
      <c r="AB27">
        <v>0</v>
      </c>
      <c r="AC27">
        <v>0</v>
      </c>
      <c r="AF27" t="s">
        <v>130</v>
      </c>
      <c r="AG27" t="s">
        <v>130</v>
      </c>
      <c r="AH27">
        <v>97.35</v>
      </c>
    </row>
    <row r="28" spans="1:34" x14ac:dyDescent="0.3">
      <c r="A28" s="4">
        <v>168</v>
      </c>
      <c r="B28" s="5">
        <v>21</v>
      </c>
      <c r="C28">
        <v>15203</v>
      </c>
      <c r="D28" t="s">
        <v>11009</v>
      </c>
      <c r="E28" t="s">
        <v>161</v>
      </c>
      <c r="F28" t="s">
        <v>442</v>
      </c>
      <c r="G28" t="s">
        <v>32049</v>
      </c>
      <c r="H28">
        <v>17.3</v>
      </c>
      <c r="I28">
        <v>0</v>
      </c>
      <c r="J28">
        <v>0</v>
      </c>
      <c r="K28">
        <v>20</v>
      </c>
      <c r="O28">
        <v>0</v>
      </c>
      <c r="P28">
        <v>4</v>
      </c>
      <c r="Q28">
        <v>0</v>
      </c>
      <c r="R28">
        <v>41.3</v>
      </c>
      <c r="S28">
        <v>53</v>
      </c>
      <c r="T28">
        <v>53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53</v>
      </c>
      <c r="AB28">
        <v>3</v>
      </c>
      <c r="AC28">
        <v>0</v>
      </c>
      <c r="AF28" t="s">
        <v>130</v>
      </c>
      <c r="AG28" t="s">
        <v>130</v>
      </c>
      <c r="AH28">
        <v>97.3</v>
      </c>
    </row>
    <row r="29" spans="1:34" x14ac:dyDescent="0.3">
      <c r="A29" s="4">
        <v>169</v>
      </c>
      <c r="B29" s="5">
        <v>22</v>
      </c>
      <c r="C29">
        <v>5178</v>
      </c>
      <c r="D29" t="s">
        <v>11010</v>
      </c>
      <c r="E29" t="s">
        <v>22</v>
      </c>
      <c r="F29" t="s">
        <v>5614</v>
      </c>
      <c r="G29" t="s">
        <v>11011</v>
      </c>
      <c r="H29">
        <v>22.03</v>
      </c>
      <c r="I29">
        <v>0</v>
      </c>
      <c r="J29">
        <v>0</v>
      </c>
      <c r="K29">
        <v>20</v>
      </c>
      <c r="N29">
        <v>3</v>
      </c>
      <c r="O29">
        <v>3</v>
      </c>
      <c r="P29">
        <v>4</v>
      </c>
      <c r="Q29">
        <v>2</v>
      </c>
      <c r="R29">
        <v>51.03</v>
      </c>
      <c r="S29">
        <v>46</v>
      </c>
      <c r="T29">
        <v>46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46</v>
      </c>
      <c r="AB29">
        <v>0</v>
      </c>
      <c r="AC29">
        <v>0</v>
      </c>
      <c r="AF29" t="s">
        <v>130</v>
      </c>
      <c r="AG29" t="s">
        <v>130</v>
      </c>
      <c r="AH29">
        <v>97.03</v>
      </c>
    </row>
    <row r="30" spans="1:34" x14ac:dyDescent="0.3">
      <c r="A30" s="4">
        <v>170</v>
      </c>
      <c r="B30" s="5">
        <v>23</v>
      </c>
      <c r="C30">
        <v>503</v>
      </c>
      <c r="D30" t="s">
        <v>11012</v>
      </c>
      <c r="E30" t="s">
        <v>29</v>
      </c>
      <c r="F30" t="s">
        <v>425</v>
      </c>
      <c r="G30" t="s">
        <v>11013</v>
      </c>
      <c r="H30">
        <v>18.53</v>
      </c>
      <c r="I30">
        <v>0</v>
      </c>
      <c r="J30">
        <v>0</v>
      </c>
      <c r="K30">
        <v>28</v>
      </c>
      <c r="L30">
        <v>7</v>
      </c>
      <c r="O30">
        <v>7</v>
      </c>
      <c r="P30">
        <v>4</v>
      </c>
      <c r="Q30">
        <v>2</v>
      </c>
      <c r="R30">
        <v>59.53</v>
      </c>
      <c r="S30">
        <v>31</v>
      </c>
      <c r="T30">
        <v>31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31</v>
      </c>
      <c r="AB30">
        <v>6</v>
      </c>
      <c r="AC30">
        <v>0</v>
      </c>
      <c r="AD30" t="s">
        <v>130</v>
      </c>
      <c r="AF30" t="s">
        <v>130</v>
      </c>
      <c r="AG30" t="s">
        <v>130</v>
      </c>
      <c r="AH30">
        <v>96.53</v>
      </c>
    </row>
    <row r="31" spans="1:34" x14ac:dyDescent="0.3">
      <c r="A31" s="4">
        <v>171</v>
      </c>
      <c r="B31" s="5">
        <v>24</v>
      </c>
      <c r="C31">
        <v>2557</v>
      </c>
      <c r="D31" t="s">
        <v>11014</v>
      </c>
      <c r="E31" t="s">
        <v>41</v>
      </c>
      <c r="F31" t="s">
        <v>68</v>
      </c>
      <c r="G31" t="s">
        <v>11015</v>
      </c>
      <c r="H31">
        <v>19.48</v>
      </c>
      <c r="I31">
        <v>0</v>
      </c>
      <c r="J31">
        <v>0</v>
      </c>
      <c r="K31">
        <v>20</v>
      </c>
      <c r="L31">
        <v>7</v>
      </c>
      <c r="N31">
        <v>3</v>
      </c>
      <c r="O31">
        <v>10</v>
      </c>
      <c r="P31">
        <v>4</v>
      </c>
      <c r="Q31">
        <v>0</v>
      </c>
      <c r="R31">
        <v>53.48</v>
      </c>
      <c r="S31">
        <v>37</v>
      </c>
      <c r="T31">
        <v>37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37</v>
      </c>
      <c r="AB31">
        <v>6</v>
      </c>
      <c r="AC31">
        <v>0</v>
      </c>
      <c r="AF31" t="s">
        <v>130</v>
      </c>
      <c r="AG31" t="s">
        <v>130</v>
      </c>
      <c r="AH31">
        <v>96.48</v>
      </c>
    </row>
    <row r="32" spans="1:34" x14ac:dyDescent="0.3">
      <c r="A32" s="4">
        <v>172</v>
      </c>
      <c r="B32" s="5">
        <v>25</v>
      </c>
      <c r="C32">
        <v>9725</v>
      </c>
      <c r="D32" t="s">
        <v>2244</v>
      </c>
      <c r="E32" t="s">
        <v>471</v>
      </c>
      <c r="F32" t="s">
        <v>101</v>
      </c>
      <c r="H32">
        <v>19.25</v>
      </c>
      <c r="I32">
        <v>0</v>
      </c>
      <c r="J32">
        <v>0</v>
      </c>
      <c r="K32">
        <v>20</v>
      </c>
      <c r="L32">
        <v>7</v>
      </c>
      <c r="O32">
        <v>7</v>
      </c>
      <c r="P32">
        <v>4</v>
      </c>
      <c r="Q32">
        <v>0</v>
      </c>
      <c r="R32">
        <v>50.25</v>
      </c>
      <c r="S32">
        <v>46</v>
      </c>
      <c r="T32">
        <v>46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46</v>
      </c>
      <c r="AB32">
        <v>0</v>
      </c>
      <c r="AC32">
        <v>0</v>
      </c>
      <c r="AF32" t="s">
        <v>130</v>
      </c>
      <c r="AG32" t="s">
        <v>130</v>
      </c>
      <c r="AH32">
        <v>96.25</v>
      </c>
    </row>
    <row r="33" spans="1:34" x14ac:dyDescent="0.3">
      <c r="A33" s="4">
        <v>173</v>
      </c>
      <c r="B33" s="5">
        <v>26</v>
      </c>
      <c r="C33">
        <v>4309</v>
      </c>
      <c r="D33" t="s">
        <v>11016</v>
      </c>
      <c r="E33" t="s">
        <v>26</v>
      </c>
      <c r="F33" t="s">
        <v>81</v>
      </c>
      <c r="G33" t="s">
        <v>11017</v>
      </c>
      <c r="H33">
        <v>16.079999999999998</v>
      </c>
      <c r="I33">
        <v>0</v>
      </c>
      <c r="J33">
        <v>0</v>
      </c>
      <c r="K33">
        <v>28</v>
      </c>
      <c r="L33">
        <v>7</v>
      </c>
      <c r="N33">
        <v>3</v>
      </c>
      <c r="O33">
        <v>10</v>
      </c>
      <c r="P33">
        <v>4</v>
      </c>
      <c r="Q33">
        <v>0</v>
      </c>
      <c r="R33">
        <v>58.08</v>
      </c>
      <c r="S33">
        <v>37</v>
      </c>
      <c r="T33">
        <v>37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37</v>
      </c>
      <c r="AB33">
        <v>0</v>
      </c>
      <c r="AC33">
        <v>0</v>
      </c>
      <c r="AF33" t="s">
        <v>130</v>
      </c>
      <c r="AG33" t="s">
        <v>130</v>
      </c>
      <c r="AH33">
        <v>95.08</v>
      </c>
    </row>
    <row r="34" spans="1:34" x14ac:dyDescent="0.3">
      <c r="A34" s="4">
        <v>174</v>
      </c>
      <c r="B34" s="5">
        <v>27</v>
      </c>
      <c r="C34">
        <v>11556</v>
      </c>
      <c r="D34" t="s">
        <v>6914</v>
      </c>
      <c r="E34" t="s">
        <v>3235</v>
      </c>
      <c r="F34" t="s">
        <v>38</v>
      </c>
      <c r="G34" t="s">
        <v>11018</v>
      </c>
      <c r="H34">
        <v>18.95</v>
      </c>
      <c r="I34">
        <v>0</v>
      </c>
      <c r="J34">
        <v>0</v>
      </c>
      <c r="K34">
        <v>20</v>
      </c>
      <c r="N34">
        <v>3</v>
      </c>
      <c r="O34">
        <v>3</v>
      </c>
      <c r="P34">
        <v>4</v>
      </c>
      <c r="Q34">
        <v>2</v>
      </c>
      <c r="R34">
        <v>47.95</v>
      </c>
      <c r="S34">
        <v>47</v>
      </c>
      <c r="T34">
        <v>47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47</v>
      </c>
      <c r="AB34">
        <v>0</v>
      </c>
      <c r="AC34">
        <v>0</v>
      </c>
      <c r="AF34" t="s">
        <v>130</v>
      </c>
      <c r="AG34" t="s">
        <v>130</v>
      </c>
      <c r="AH34">
        <v>94.95</v>
      </c>
    </row>
    <row r="35" spans="1:34" x14ac:dyDescent="0.3">
      <c r="A35" s="4">
        <v>175</v>
      </c>
      <c r="B35" s="5">
        <v>28</v>
      </c>
      <c r="C35">
        <v>2342</v>
      </c>
      <c r="D35" t="s">
        <v>11019</v>
      </c>
      <c r="E35" t="s">
        <v>789</v>
      </c>
      <c r="F35" t="s">
        <v>81</v>
      </c>
      <c r="G35" t="s">
        <v>11020</v>
      </c>
      <c r="H35">
        <v>20.65</v>
      </c>
      <c r="I35">
        <v>0</v>
      </c>
      <c r="J35">
        <v>0</v>
      </c>
      <c r="K35">
        <v>20</v>
      </c>
      <c r="N35">
        <v>3</v>
      </c>
      <c r="O35">
        <v>3</v>
      </c>
      <c r="P35">
        <v>4</v>
      </c>
      <c r="Q35">
        <v>0</v>
      </c>
      <c r="R35">
        <v>47.65</v>
      </c>
      <c r="S35">
        <v>47</v>
      </c>
      <c r="T35">
        <v>47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47</v>
      </c>
      <c r="AB35">
        <v>0</v>
      </c>
      <c r="AC35">
        <v>0</v>
      </c>
      <c r="AF35" t="s">
        <v>130</v>
      </c>
      <c r="AG35" t="s">
        <v>130</v>
      </c>
      <c r="AH35">
        <v>94.65</v>
      </c>
    </row>
    <row r="36" spans="1:34" x14ac:dyDescent="0.3">
      <c r="A36" s="4">
        <v>176</v>
      </c>
      <c r="B36" s="5">
        <v>29</v>
      </c>
      <c r="C36">
        <v>12324</v>
      </c>
      <c r="D36" t="s">
        <v>11021</v>
      </c>
      <c r="E36" t="s">
        <v>41</v>
      </c>
      <c r="F36" t="s">
        <v>457</v>
      </c>
      <c r="G36" t="s">
        <v>11022</v>
      </c>
      <c r="H36">
        <v>18.93</v>
      </c>
      <c r="I36">
        <v>0</v>
      </c>
      <c r="J36">
        <v>0</v>
      </c>
      <c r="K36">
        <v>28</v>
      </c>
      <c r="L36">
        <v>7</v>
      </c>
      <c r="M36">
        <v>5</v>
      </c>
      <c r="O36">
        <v>12</v>
      </c>
      <c r="P36">
        <v>4</v>
      </c>
      <c r="Q36">
        <v>2</v>
      </c>
      <c r="R36">
        <v>64.930000000000007</v>
      </c>
      <c r="S36">
        <v>26</v>
      </c>
      <c r="T36">
        <v>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26</v>
      </c>
      <c r="AB36">
        <v>3</v>
      </c>
      <c r="AC36">
        <v>0</v>
      </c>
      <c r="AF36" t="s">
        <v>130</v>
      </c>
      <c r="AG36" t="s">
        <v>130</v>
      </c>
      <c r="AH36">
        <v>93.93</v>
      </c>
    </row>
    <row r="37" spans="1:34" x14ac:dyDescent="0.3">
      <c r="A37" s="4">
        <v>177</v>
      </c>
      <c r="B37" s="5">
        <v>30</v>
      </c>
      <c r="C37">
        <v>8923</v>
      </c>
      <c r="D37" t="s">
        <v>6035</v>
      </c>
      <c r="E37" t="s">
        <v>406</v>
      </c>
      <c r="F37" t="s">
        <v>58</v>
      </c>
      <c r="G37" t="s">
        <v>11023</v>
      </c>
      <c r="H37">
        <v>19.68</v>
      </c>
      <c r="I37">
        <v>0</v>
      </c>
      <c r="J37">
        <v>0</v>
      </c>
      <c r="K37">
        <v>20</v>
      </c>
      <c r="L37">
        <v>7</v>
      </c>
      <c r="O37">
        <v>7</v>
      </c>
      <c r="P37">
        <v>4</v>
      </c>
      <c r="Q37">
        <v>0</v>
      </c>
      <c r="R37">
        <v>50.68</v>
      </c>
      <c r="S37">
        <v>37</v>
      </c>
      <c r="T37">
        <v>37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37</v>
      </c>
      <c r="AB37">
        <v>6</v>
      </c>
      <c r="AC37">
        <v>0</v>
      </c>
      <c r="AF37" t="s">
        <v>130</v>
      </c>
      <c r="AG37" t="s">
        <v>130</v>
      </c>
      <c r="AH37">
        <v>93.68</v>
      </c>
    </row>
    <row r="38" spans="1:34" x14ac:dyDescent="0.3">
      <c r="A38" s="4">
        <v>178</v>
      </c>
      <c r="B38" s="5">
        <v>31</v>
      </c>
      <c r="C38">
        <v>6150</v>
      </c>
      <c r="D38" t="s">
        <v>10536</v>
      </c>
      <c r="E38" t="s">
        <v>97</v>
      </c>
      <c r="F38" t="s">
        <v>158</v>
      </c>
      <c r="G38" t="s">
        <v>11024</v>
      </c>
      <c r="H38">
        <v>19.579999999999998</v>
      </c>
      <c r="I38">
        <v>0</v>
      </c>
      <c r="J38">
        <v>0</v>
      </c>
      <c r="K38">
        <v>28</v>
      </c>
      <c r="L38">
        <v>7</v>
      </c>
      <c r="N38">
        <v>3</v>
      </c>
      <c r="O38">
        <v>10</v>
      </c>
      <c r="P38">
        <v>4</v>
      </c>
      <c r="Q38">
        <v>2</v>
      </c>
      <c r="R38">
        <v>63.58</v>
      </c>
      <c r="S38">
        <v>27</v>
      </c>
      <c r="T38">
        <v>27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27</v>
      </c>
      <c r="AB38">
        <v>3</v>
      </c>
      <c r="AC38">
        <v>0</v>
      </c>
      <c r="AF38" t="s">
        <v>130</v>
      </c>
      <c r="AG38" t="s">
        <v>130</v>
      </c>
      <c r="AH38">
        <v>93.58</v>
      </c>
    </row>
    <row r="39" spans="1:34" x14ac:dyDescent="0.3">
      <c r="A39" s="4">
        <v>179</v>
      </c>
      <c r="B39" s="5">
        <v>32</v>
      </c>
      <c r="C39">
        <v>3918</v>
      </c>
      <c r="D39" t="s">
        <v>3923</v>
      </c>
      <c r="E39" t="s">
        <v>744</v>
      </c>
      <c r="F39" t="s">
        <v>158</v>
      </c>
      <c r="G39" t="s">
        <v>11025</v>
      </c>
      <c r="H39">
        <v>20.98</v>
      </c>
      <c r="I39">
        <v>0</v>
      </c>
      <c r="J39">
        <v>0</v>
      </c>
      <c r="K39">
        <v>20</v>
      </c>
      <c r="L39">
        <v>14</v>
      </c>
      <c r="O39">
        <v>14</v>
      </c>
      <c r="P39">
        <v>4</v>
      </c>
      <c r="Q39">
        <v>2</v>
      </c>
      <c r="R39">
        <v>60.98</v>
      </c>
      <c r="S39">
        <v>32</v>
      </c>
      <c r="T39">
        <v>32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32</v>
      </c>
      <c r="AB39">
        <v>0</v>
      </c>
      <c r="AC39">
        <v>0</v>
      </c>
      <c r="AF39" t="s">
        <v>130</v>
      </c>
      <c r="AG39" t="s">
        <v>130</v>
      </c>
      <c r="AH39">
        <v>92.98</v>
      </c>
    </row>
    <row r="40" spans="1:34" x14ac:dyDescent="0.3">
      <c r="A40" s="4">
        <v>180</v>
      </c>
      <c r="B40" s="5">
        <v>33</v>
      </c>
      <c r="C40">
        <v>8469</v>
      </c>
      <c r="D40" t="s">
        <v>387</v>
      </c>
      <c r="E40" t="s">
        <v>188</v>
      </c>
      <c r="F40" t="s">
        <v>38</v>
      </c>
      <c r="G40" t="s">
        <v>11026</v>
      </c>
      <c r="H40">
        <v>17.600000000000001</v>
      </c>
      <c r="I40">
        <v>0</v>
      </c>
      <c r="J40">
        <v>0</v>
      </c>
      <c r="K40">
        <v>20</v>
      </c>
      <c r="N40">
        <v>3</v>
      </c>
      <c r="O40">
        <v>3</v>
      </c>
      <c r="P40">
        <v>4</v>
      </c>
      <c r="Q40">
        <v>2</v>
      </c>
      <c r="R40">
        <v>46.6</v>
      </c>
      <c r="S40">
        <v>46</v>
      </c>
      <c r="T40">
        <v>46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46</v>
      </c>
      <c r="AB40">
        <v>0</v>
      </c>
      <c r="AC40">
        <v>0</v>
      </c>
      <c r="AF40" t="s">
        <v>130</v>
      </c>
      <c r="AG40" t="s">
        <v>130</v>
      </c>
      <c r="AH40">
        <v>92.6</v>
      </c>
    </row>
    <row r="41" spans="1:34" x14ac:dyDescent="0.3">
      <c r="A41" s="4">
        <v>181</v>
      </c>
      <c r="B41" s="5">
        <v>34</v>
      </c>
      <c r="C41">
        <v>4262</v>
      </c>
      <c r="D41" t="s">
        <v>11027</v>
      </c>
      <c r="E41" t="s">
        <v>1426</v>
      </c>
      <c r="F41" t="s">
        <v>7899</v>
      </c>
      <c r="G41" t="s">
        <v>11028</v>
      </c>
      <c r="H41">
        <v>20.75</v>
      </c>
      <c r="I41">
        <v>7</v>
      </c>
      <c r="J41">
        <v>0</v>
      </c>
      <c r="K41">
        <v>20</v>
      </c>
      <c r="N41">
        <v>3</v>
      </c>
      <c r="O41">
        <v>3</v>
      </c>
      <c r="P41">
        <v>4</v>
      </c>
      <c r="Q41">
        <v>0</v>
      </c>
      <c r="R41">
        <v>54.75</v>
      </c>
      <c r="S41">
        <v>31</v>
      </c>
      <c r="T41">
        <v>31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31</v>
      </c>
      <c r="AB41">
        <v>6</v>
      </c>
      <c r="AC41">
        <v>0</v>
      </c>
      <c r="AF41" t="s">
        <v>130</v>
      </c>
      <c r="AG41" t="s">
        <v>130</v>
      </c>
      <c r="AH41">
        <v>91.75</v>
      </c>
    </row>
    <row r="42" spans="1:34" x14ac:dyDescent="0.3">
      <c r="A42" s="4">
        <v>182</v>
      </c>
      <c r="B42" s="5">
        <v>35</v>
      </c>
      <c r="C42">
        <v>1532</v>
      </c>
      <c r="D42" t="s">
        <v>11029</v>
      </c>
      <c r="E42" t="s">
        <v>54</v>
      </c>
      <c r="F42" t="s">
        <v>375</v>
      </c>
      <c r="G42" t="s">
        <v>11030</v>
      </c>
      <c r="H42">
        <v>18.55</v>
      </c>
      <c r="I42">
        <v>0</v>
      </c>
      <c r="J42">
        <v>0</v>
      </c>
      <c r="K42">
        <v>0</v>
      </c>
      <c r="L42">
        <v>7</v>
      </c>
      <c r="O42">
        <v>7</v>
      </c>
      <c r="P42">
        <v>4</v>
      </c>
      <c r="Q42">
        <v>2</v>
      </c>
      <c r="R42">
        <v>31.55</v>
      </c>
      <c r="S42">
        <v>51</v>
      </c>
      <c r="T42">
        <v>51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51</v>
      </c>
      <c r="AB42">
        <v>9</v>
      </c>
      <c r="AC42">
        <v>0</v>
      </c>
      <c r="AF42" t="s">
        <v>130</v>
      </c>
      <c r="AG42" t="s">
        <v>130</v>
      </c>
      <c r="AH42">
        <v>91.55</v>
      </c>
    </row>
    <row r="43" spans="1:34" x14ac:dyDescent="0.3">
      <c r="A43" s="4">
        <v>183</v>
      </c>
      <c r="B43" s="5">
        <v>36</v>
      </c>
      <c r="C43">
        <v>8238</v>
      </c>
      <c r="D43" t="s">
        <v>11031</v>
      </c>
      <c r="E43" t="s">
        <v>30</v>
      </c>
      <c r="F43" t="s">
        <v>136</v>
      </c>
      <c r="G43" t="s">
        <v>11032</v>
      </c>
      <c r="H43">
        <v>17.3</v>
      </c>
      <c r="I43">
        <v>0</v>
      </c>
      <c r="J43">
        <v>0</v>
      </c>
      <c r="K43">
        <v>20</v>
      </c>
      <c r="L43">
        <v>7</v>
      </c>
      <c r="O43">
        <v>7</v>
      </c>
      <c r="P43">
        <v>4</v>
      </c>
      <c r="Q43">
        <v>2</v>
      </c>
      <c r="R43">
        <v>50.3</v>
      </c>
      <c r="S43">
        <v>18</v>
      </c>
      <c r="T43">
        <v>18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18</v>
      </c>
      <c r="AB43">
        <v>3</v>
      </c>
      <c r="AC43">
        <v>20</v>
      </c>
      <c r="AF43" t="s">
        <v>130</v>
      </c>
      <c r="AG43" t="s">
        <v>130</v>
      </c>
      <c r="AH43">
        <v>91.3</v>
      </c>
    </row>
    <row r="44" spans="1:34" x14ac:dyDescent="0.3">
      <c r="A44" s="4">
        <v>184</v>
      </c>
      <c r="B44" s="5">
        <v>37</v>
      </c>
      <c r="C44">
        <v>12778</v>
      </c>
      <c r="D44" t="s">
        <v>1707</v>
      </c>
      <c r="E44" t="s">
        <v>1016</v>
      </c>
      <c r="F44" t="s">
        <v>17</v>
      </c>
      <c r="G44" t="s">
        <v>11033</v>
      </c>
      <c r="H44">
        <v>19.3</v>
      </c>
      <c r="I44">
        <v>0</v>
      </c>
      <c r="J44">
        <v>0</v>
      </c>
      <c r="K44">
        <v>20</v>
      </c>
      <c r="M44">
        <v>5</v>
      </c>
      <c r="N44">
        <v>3</v>
      </c>
      <c r="O44">
        <v>8</v>
      </c>
      <c r="P44">
        <v>4</v>
      </c>
      <c r="Q44">
        <v>0</v>
      </c>
      <c r="R44">
        <v>51.3</v>
      </c>
      <c r="S44">
        <v>37</v>
      </c>
      <c r="T44">
        <v>37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37</v>
      </c>
      <c r="AB44">
        <v>3</v>
      </c>
      <c r="AC44">
        <v>0</v>
      </c>
      <c r="AF44" t="s">
        <v>130</v>
      </c>
      <c r="AG44" t="s">
        <v>130</v>
      </c>
      <c r="AH44">
        <v>91.3</v>
      </c>
    </row>
    <row r="45" spans="1:34" x14ac:dyDescent="0.3">
      <c r="A45" s="4">
        <v>185</v>
      </c>
      <c r="B45" s="5">
        <v>38</v>
      </c>
      <c r="C45">
        <v>14980</v>
      </c>
      <c r="D45" t="s">
        <v>11034</v>
      </c>
      <c r="E45" t="s">
        <v>11035</v>
      </c>
      <c r="F45" t="s">
        <v>972</v>
      </c>
      <c r="G45" t="s">
        <v>11036</v>
      </c>
      <c r="H45">
        <v>15.93</v>
      </c>
      <c r="I45">
        <v>0</v>
      </c>
      <c r="J45">
        <v>0</v>
      </c>
      <c r="K45">
        <v>20</v>
      </c>
      <c r="L45">
        <v>7</v>
      </c>
      <c r="O45">
        <v>7</v>
      </c>
      <c r="P45">
        <v>0</v>
      </c>
      <c r="Q45">
        <v>0</v>
      </c>
      <c r="R45">
        <v>42.93</v>
      </c>
      <c r="S45">
        <v>45</v>
      </c>
      <c r="T45">
        <v>45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45</v>
      </c>
      <c r="AB45">
        <v>3</v>
      </c>
      <c r="AC45">
        <v>0</v>
      </c>
      <c r="AF45" t="s">
        <v>130</v>
      </c>
      <c r="AG45" t="s">
        <v>130</v>
      </c>
      <c r="AH45">
        <v>90.93</v>
      </c>
    </row>
    <row r="46" spans="1:34" x14ac:dyDescent="0.3">
      <c r="A46" s="4">
        <v>186</v>
      </c>
      <c r="B46" s="5">
        <v>39</v>
      </c>
      <c r="C46">
        <v>2523</v>
      </c>
      <c r="D46" t="s">
        <v>11037</v>
      </c>
      <c r="E46" t="s">
        <v>858</v>
      </c>
      <c r="F46" t="s">
        <v>68</v>
      </c>
      <c r="G46" t="s">
        <v>11038</v>
      </c>
      <c r="H46">
        <v>19.78</v>
      </c>
      <c r="I46">
        <v>0</v>
      </c>
      <c r="J46">
        <v>0</v>
      </c>
      <c r="K46">
        <v>20</v>
      </c>
      <c r="L46">
        <v>7</v>
      </c>
      <c r="N46">
        <v>3</v>
      </c>
      <c r="O46">
        <v>10</v>
      </c>
      <c r="P46">
        <v>4</v>
      </c>
      <c r="Q46">
        <v>2</v>
      </c>
      <c r="R46">
        <v>55.78</v>
      </c>
      <c r="S46">
        <v>35</v>
      </c>
      <c r="T46">
        <v>35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35</v>
      </c>
      <c r="AB46">
        <v>0</v>
      </c>
      <c r="AC46">
        <v>0</v>
      </c>
      <c r="AF46" t="s">
        <v>130</v>
      </c>
      <c r="AG46" t="s">
        <v>130</v>
      </c>
      <c r="AH46">
        <v>90.78</v>
      </c>
    </row>
    <row r="47" spans="1:34" x14ac:dyDescent="0.3">
      <c r="A47" s="4">
        <v>187</v>
      </c>
      <c r="B47" s="5">
        <v>40</v>
      </c>
      <c r="C47">
        <v>833</v>
      </c>
      <c r="D47" t="s">
        <v>2227</v>
      </c>
      <c r="E47" t="s">
        <v>268</v>
      </c>
      <c r="F47" t="s">
        <v>38</v>
      </c>
      <c r="G47" t="s">
        <v>11039</v>
      </c>
      <c r="H47">
        <v>17.63</v>
      </c>
      <c r="I47">
        <v>0</v>
      </c>
      <c r="J47">
        <v>0</v>
      </c>
      <c r="K47">
        <v>20</v>
      </c>
      <c r="N47">
        <v>6</v>
      </c>
      <c r="O47">
        <v>6</v>
      </c>
      <c r="P47">
        <v>4</v>
      </c>
      <c r="Q47">
        <v>2</v>
      </c>
      <c r="R47">
        <v>49.63</v>
      </c>
      <c r="S47">
        <v>38</v>
      </c>
      <c r="T47">
        <v>38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38</v>
      </c>
      <c r="AB47">
        <v>3</v>
      </c>
      <c r="AC47">
        <v>0</v>
      </c>
      <c r="AF47" t="s">
        <v>130</v>
      </c>
      <c r="AG47" t="s">
        <v>130</v>
      </c>
      <c r="AH47">
        <v>90.63</v>
      </c>
    </row>
    <row r="48" spans="1:34" x14ac:dyDescent="0.3">
      <c r="A48" s="4">
        <v>188</v>
      </c>
      <c r="B48" s="5">
        <v>41</v>
      </c>
      <c r="C48">
        <v>1678</v>
      </c>
      <c r="D48" t="s">
        <v>11040</v>
      </c>
      <c r="E48" t="s">
        <v>166</v>
      </c>
      <c r="F48" t="s">
        <v>30</v>
      </c>
      <c r="G48" t="s">
        <v>11041</v>
      </c>
      <c r="H48">
        <v>17.100000000000001</v>
      </c>
      <c r="I48">
        <v>0</v>
      </c>
      <c r="J48">
        <v>0</v>
      </c>
      <c r="K48">
        <v>28</v>
      </c>
      <c r="L48">
        <v>7</v>
      </c>
      <c r="O48">
        <v>7</v>
      </c>
      <c r="P48">
        <v>4</v>
      </c>
      <c r="Q48">
        <v>2</v>
      </c>
      <c r="R48">
        <v>58.1</v>
      </c>
      <c r="S48">
        <v>32</v>
      </c>
      <c r="T48">
        <v>32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32</v>
      </c>
      <c r="AB48">
        <v>0</v>
      </c>
      <c r="AC48">
        <v>0</v>
      </c>
      <c r="AF48" t="s">
        <v>130</v>
      </c>
      <c r="AG48" t="s">
        <v>130</v>
      </c>
      <c r="AH48">
        <v>90.1</v>
      </c>
    </row>
    <row r="49" spans="1:34" x14ac:dyDescent="0.3">
      <c r="A49" s="4">
        <v>189</v>
      </c>
      <c r="B49" s="5">
        <v>42</v>
      </c>
      <c r="C49">
        <v>1175</v>
      </c>
      <c r="D49" t="s">
        <v>11042</v>
      </c>
      <c r="E49" t="s">
        <v>22</v>
      </c>
      <c r="F49" t="s">
        <v>81</v>
      </c>
      <c r="G49" t="s">
        <v>11043</v>
      </c>
      <c r="H49">
        <v>19.829999999999998</v>
      </c>
      <c r="I49">
        <v>0</v>
      </c>
      <c r="J49">
        <v>0</v>
      </c>
      <c r="K49">
        <v>20</v>
      </c>
      <c r="L49">
        <v>7</v>
      </c>
      <c r="O49">
        <v>7</v>
      </c>
      <c r="P49">
        <v>4</v>
      </c>
      <c r="Q49">
        <v>2</v>
      </c>
      <c r="R49">
        <v>52.83</v>
      </c>
      <c r="S49">
        <v>37</v>
      </c>
      <c r="T49">
        <v>37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37</v>
      </c>
      <c r="AB49">
        <v>0</v>
      </c>
      <c r="AC49">
        <v>0</v>
      </c>
      <c r="AF49" t="s">
        <v>130</v>
      </c>
      <c r="AG49" t="s">
        <v>130</v>
      </c>
      <c r="AH49">
        <v>89.83</v>
      </c>
    </row>
    <row r="50" spans="1:34" x14ac:dyDescent="0.3">
      <c r="A50" s="4">
        <v>190</v>
      </c>
      <c r="B50" s="5">
        <v>43</v>
      </c>
      <c r="C50">
        <v>15409</v>
      </c>
      <c r="D50" t="s">
        <v>132</v>
      </c>
      <c r="E50" t="s">
        <v>6567</v>
      </c>
      <c r="F50" t="s">
        <v>38</v>
      </c>
      <c r="G50" t="s">
        <v>11044</v>
      </c>
      <c r="H50">
        <v>18.75</v>
      </c>
      <c r="I50">
        <v>0</v>
      </c>
      <c r="J50">
        <v>0</v>
      </c>
      <c r="K50">
        <v>20</v>
      </c>
      <c r="N50">
        <v>3</v>
      </c>
      <c r="O50">
        <v>3</v>
      </c>
      <c r="P50">
        <v>4</v>
      </c>
      <c r="Q50">
        <v>0</v>
      </c>
      <c r="R50">
        <v>45.75</v>
      </c>
      <c r="S50">
        <v>44</v>
      </c>
      <c r="T50">
        <v>44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44</v>
      </c>
      <c r="AB50">
        <v>0</v>
      </c>
      <c r="AC50">
        <v>0</v>
      </c>
      <c r="AF50" t="s">
        <v>130</v>
      </c>
      <c r="AG50" t="s">
        <v>130</v>
      </c>
      <c r="AH50">
        <v>89.75</v>
      </c>
    </row>
    <row r="51" spans="1:34" x14ac:dyDescent="0.3">
      <c r="A51" s="4">
        <v>191</v>
      </c>
      <c r="B51" s="5">
        <v>44</v>
      </c>
      <c r="C51">
        <v>2787</v>
      </c>
      <c r="D51" t="s">
        <v>11045</v>
      </c>
      <c r="E51" t="s">
        <v>97</v>
      </c>
      <c r="F51" t="s">
        <v>892</v>
      </c>
      <c r="G51" t="s">
        <v>11046</v>
      </c>
      <c r="H51">
        <v>19.68</v>
      </c>
      <c r="I51">
        <v>0</v>
      </c>
      <c r="J51">
        <v>0</v>
      </c>
      <c r="K51">
        <v>20</v>
      </c>
      <c r="L51">
        <v>7</v>
      </c>
      <c r="O51">
        <v>7</v>
      </c>
      <c r="P51">
        <v>4</v>
      </c>
      <c r="Q51">
        <v>2</v>
      </c>
      <c r="R51">
        <v>52.68</v>
      </c>
      <c r="S51">
        <v>37</v>
      </c>
      <c r="T51">
        <v>37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37</v>
      </c>
      <c r="AB51">
        <v>0</v>
      </c>
      <c r="AC51">
        <v>0</v>
      </c>
      <c r="AD51" t="s">
        <v>130</v>
      </c>
      <c r="AF51" t="s">
        <v>130</v>
      </c>
      <c r="AG51" t="s">
        <v>130</v>
      </c>
      <c r="AH51">
        <v>89.68</v>
      </c>
    </row>
    <row r="52" spans="1:34" x14ac:dyDescent="0.3">
      <c r="A52" s="4">
        <v>192</v>
      </c>
      <c r="B52" s="5">
        <v>45</v>
      </c>
      <c r="C52">
        <v>3158</v>
      </c>
      <c r="D52" t="s">
        <v>4708</v>
      </c>
      <c r="E52" t="s">
        <v>1426</v>
      </c>
      <c r="F52" t="s">
        <v>4176</v>
      </c>
      <c r="G52" t="s">
        <v>11047</v>
      </c>
      <c r="H52">
        <v>20.399999999999999</v>
      </c>
      <c r="I52">
        <v>0</v>
      </c>
      <c r="J52">
        <v>0</v>
      </c>
      <c r="K52">
        <v>28</v>
      </c>
      <c r="L52">
        <v>7</v>
      </c>
      <c r="N52">
        <v>3</v>
      </c>
      <c r="O52">
        <v>10</v>
      </c>
      <c r="P52">
        <v>4</v>
      </c>
      <c r="Q52">
        <v>2</v>
      </c>
      <c r="R52">
        <v>64.400000000000006</v>
      </c>
      <c r="S52">
        <v>25</v>
      </c>
      <c r="T52">
        <v>25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25</v>
      </c>
      <c r="AB52">
        <v>0</v>
      </c>
      <c r="AC52">
        <v>0</v>
      </c>
      <c r="AD52" t="s">
        <v>130</v>
      </c>
      <c r="AF52" t="s">
        <v>130</v>
      </c>
      <c r="AG52" t="s">
        <v>130</v>
      </c>
      <c r="AH52">
        <v>89.4</v>
      </c>
    </row>
    <row r="53" spans="1:34" x14ac:dyDescent="0.3">
      <c r="A53" s="4">
        <v>193</v>
      </c>
      <c r="B53" s="5">
        <v>46</v>
      </c>
      <c r="C53">
        <v>5658</v>
      </c>
      <c r="D53" t="s">
        <v>11048</v>
      </c>
      <c r="E53" t="s">
        <v>29</v>
      </c>
      <c r="F53" t="s">
        <v>158</v>
      </c>
      <c r="G53" t="s">
        <v>11049</v>
      </c>
      <c r="H53">
        <v>16.98</v>
      </c>
      <c r="I53">
        <v>0</v>
      </c>
      <c r="J53">
        <v>0</v>
      </c>
      <c r="K53">
        <v>20</v>
      </c>
      <c r="N53">
        <v>3</v>
      </c>
      <c r="O53">
        <v>3</v>
      </c>
      <c r="P53">
        <v>4</v>
      </c>
      <c r="Q53">
        <v>0</v>
      </c>
      <c r="R53">
        <v>43.98</v>
      </c>
      <c r="S53">
        <v>18</v>
      </c>
      <c r="T53">
        <v>18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18</v>
      </c>
      <c r="AB53">
        <v>0</v>
      </c>
      <c r="AC53">
        <v>26.8</v>
      </c>
      <c r="AF53" t="s">
        <v>130</v>
      </c>
      <c r="AG53" t="s">
        <v>130</v>
      </c>
      <c r="AH53">
        <v>88.78</v>
      </c>
    </row>
    <row r="54" spans="1:34" x14ac:dyDescent="0.3">
      <c r="A54" s="4">
        <v>194</v>
      </c>
      <c r="B54" s="5">
        <v>47</v>
      </c>
      <c r="C54">
        <v>3477</v>
      </c>
      <c r="D54" t="s">
        <v>181</v>
      </c>
      <c r="E54" t="s">
        <v>110</v>
      </c>
      <c r="F54" t="s">
        <v>570</v>
      </c>
      <c r="G54" t="s">
        <v>11050</v>
      </c>
      <c r="H54">
        <v>19.68</v>
      </c>
      <c r="I54">
        <v>0</v>
      </c>
      <c r="J54">
        <v>0</v>
      </c>
      <c r="K54">
        <v>20</v>
      </c>
      <c r="L54">
        <v>7</v>
      </c>
      <c r="O54">
        <v>7</v>
      </c>
      <c r="P54">
        <v>4</v>
      </c>
      <c r="Q54">
        <v>2</v>
      </c>
      <c r="R54">
        <v>52.68</v>
      </c>
      <c r="S54">
        <v>36</v>
      </c>
      <c r="T54">
        <v>36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36</v>
      </c>
      <c r="AB54">
        <v>0</v>
      </c>
      <c r="AC54">
        <v>0</v>
      </c>
      <c r="AD54" t="s">
        <v>130</v>
      </c>
      <c r="AF54" t="s">
        <v>130</v>
      </c>
      <c r="AG54" t="s">
        <v>130</v>
      </c>
      <c r="AH54">
        <v>88.68</v>
      </c>
    </row>
    <row r="55" spans="1:34" x14ac:dyDescent="0.3">
      <c r="A55" s="4">
        <v>195</v>
      </c>
      <c r="B55" s="5">
        <v>48</v>
      </c>
      <c r="C55">
        <v>1670</v>
      </c>
      <c r="D55" t="s">
        <v>11051</v>
      </c>
      <c r="E55" t="s">
        <v>11052</v>
      </c>
      <c r="F55" t="s">
        <v>34</v>
      </c>
      <c r="G55" t="s">
        <v>11053</v>
      </c>
      <c r="H55">
        <v>21.4</v>
      </c>
      <c r="I55">
        <v>0</v>
      </c>
      <c r="J55">
        <v>0</v>
      </c>
      <c r="K55">
        <v>20</v>
      </c>
      <c r="N55">
        <v>6</v>
      </c>
      <c r="O55">
        <v>6</v>
      </c>
      <c r="P55">
        <v>4</v>
      </c>
      <c r="Q55">
        <v>0</v>
      </c>
      <c r="R55">
        <v>51.4</v>
      </c>
      <c r="S55">
        <v>37</v>
      </c>
      <c r="T55">
        <v>37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37</v>
      </c>
      <c r="AB55">
        <v>0</v>
      </c>
      <c r="AC55">
        <v>0</v>
      </c>
      <c r="AF55" t="s">
        <v>130</v>
      </c>
      <c r="AG55" t="s">
        <v>130</v>
      </c>
      <c r="AH55">
        <v>88.4</v>
      </c>
    </row>
    <row r="56" spans="1:34" x14ac:dyDescent="0.3">
      <c r="A56" s="4">
        <v>196</v>
      </c>
      <c r="B56" s="5">
        <v>49</v>
      </c>
      <c r="C56">
        <v>5073</v>
      </c>
      <c r="D56" t="s">
        <v>11054</v>
      </c>
      <c r="E56" t="s">
        <v>29</v>
      </c>
      <c r="F56" t="s">
        <v>124</v>
      </c>
      <c r="G56" t="s">
        <v>11055</v>
      </c>
      <c r="H56">
        <v>19.38</v>
      </c>
      <c r="I56">
        <v>0</v>
      </c>
      <c r="J56">
        <v>0</v>
      </c>
      <c r="K56">
        <v>20</v>
      </c>
      <c r="N56">
        <v>3</v>
      </c>
      <c r="O56">
        <v>3</v>
      </c>
      <c r="P56">
        <v>4</v>
      </c>
      <c r="Q56">
        <v>2</v>
      </c>
      <c r="R56">
        <v>48.38</v>
      </c>
      <c r="S56">
        <v>37</v>
      </c>
      <c r="T56">
        <v>37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37</v>
      </c>
      <c r="AB56">
        <v>3</v>
      </c>
      <c r="AC56">
        <v>0</v>
      </c>
      <c r="AF56" t="s">
        <v>130</v>
      </c>
      <c r="AG56" t="s">
        <v>130</v>
      </c>
      <c r="AH56">
        <v>88.38</v>
      </c>
    </row>
    <row r="57" spans="1:34" x14ac:dyDescent="0.3">
      <c r="A57" s="4">
        <v>197</v>
      </c>
      <c r="B57" s="5">
        <v>50</v>
      </c>
      <c r="C57">
        <v>3966</v>
      </c>
      <c r="D57" t="s">
        <v>11056</v>
      </c>
      <c r="E57" t="s">
        <v>182</v>
      </c>
      <c r="F57" t="s">
        <v>17</v>
      </c>
      <c r="G57" t="s">
        <v>11057</v>
      </c>
      <c r="H57">
        <v>22.13</v>
      </c>
      <c r="I57">
        <v>0</v>
      </c>
      <c r="J57">
        <v>0</v>
      </c>
      <c r="K57">
        <v>0</v>
      </c>
      <c r="L57">
        <v>7</v>
      </c>
      <c r="O57">
        <v>7</v>
      </c>
      <c r="P57">
        <v>0</v>
      </c>
      <c r="Q57">
        <v>0</v>
      </c>
      <c r="R57">
        <v>29.13</v>
      </c>
      <c r="S57">
        <v>53</v>
      </c>
      <c r="T57">
        <v>53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53</v>
      </c>
      <c r="AB57">
        <v>6</v>
      </c>
      <c r="AC57">
        <v>0</v>
      </c>
      <c r="AF57" t="s">
        <v>130</v>
      </c>
      <c r="AG57" t="s">
        <v>130</v>
      </c>
      <c r="AH57">
        <v>88.13</v>
      </c>
    </row>
    <row r="58" spans="1:34" x14ac:dyDescent="0.3">
      <c r="A58" s="4">
        <v>198</v>
      </c>
      <c r="B58" s="5">
        <v>51</v>
      </c>
      <c r="C58">
        <v>8862</v>
      </c>
      <c r="D58" t="s">
        <v>11058</v>
      </c>
      <c r="E58" t="s">
        <v>789</v>
      </c>
      <c r="F58" t="s">
        <v>68</v>
      </c>
      <c r="G58" t="s">
        <v>11059</v>
      </c>
      <c r="H58">
        <v>15.03</v>
      </c>
      <c r="I58">
        <v>0</v>
      </c>
      <c r="J58">
        <v>0</v>
      </c>
      <c r="K58">
        <v>28</v>
      </c>
      <c r="L58">
        <v>7</v>
      </c>
      <c r="O58">
        <v>7</v>
      </c>
      <c r="P58">
        <v>0</v>
      </c>
      <c r="Q58">
        <v>0</v>
      </c>
      <c r="R58">
        <v>50.03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6</v>
      </c>
      <c r="AC58">
        <v>32</v>
      </c>
      <c r="AF58" t="s">
        <v>130</v>
      </c>
      <c r="AG58" t="s">
        <v>130</v>
      </c>
      <c r="AH58">
        <v>88.03</v>
      </c>
    </row>
    <row r="59" spans="1:34" x14ac:dyDescent="0.3">
      <c r="A59" s="4">
        <v>199</v>
      </c>
      <c r="B59" s="5">
        <v>52</v>
      </c>
      <c r="C59">
        <v>3112</v>
      </c>
      <c r="D59" t="s">
        <v>11060</v>
      </c>
      <c r="E59" t="s">
        <v>283</v>
      </c>
      <c r="F59" t="s">
        <v>587</v>
      </c>
      <c r="G59" t="s">
        <v>11061</v>
      </c>
      <c r="H59">
        <v>19</v>
      </c>
      <c r="I59">
        <v>0</v>
      </c>
      <c r="J59">
        <v>0</v>
      </c>
      <c r="K59">
        <v>28</v>
      </c>
      <c r="L59">
        <v>7</v>
      </c>
      <c r="O59">
        <v>7</v>
      </c>
      <c r="P59">
        <v>4</v>
      </c>
      <c r="Q59">
        <v>0</v>
      </c>
      <c r="R59">
        <v>58</v>
      </c>
      <c r="S59">
        <v>24</v>
      </c>
      <c r="T59">
        <v>24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24</v>
      </c>
      <c r="AB59">
        <v>6</v>
      </c>
      <c r="AC59">
        <v>0</v>
      </c>
      <c r="AD59" t="s">
        <v>130</v>
      </c>
      <c r="AF59" t="s">
        <v>130</v>
      </c>
      <c r="AG59" t="s">
        <v>130</v>
      </c>
      <c r="AH59">
        <v>88</v>
      </c>
    </row>
    <row r="60" spans="1:34" x14ac:dyDescent="0.3">
      <c r="A60" s="4">
        <v>200</v>
      </c>
      <c r="B60" s="5">
        <v>53</v>
      </c>
      <c r="C60">
        <v>3021</v>
      </c>
      <c r="D60" t="s">
        <v>11062</v>
      </c>
      <c r="E60" t="s">
        <v>11063</v>
      </c>
      <c r="F60" t="s">
        <v>91</v>
      </c>
      <c r="G60" t="s">
        <v>11064</v>
      </c>
      <c r="H60">
        <v>19.579999999999998</v>
      </c>
      <c r="I60">
        <v>7</v>
      </c>
      <c r="J60">
        <v>0</v>
      </c>
      <c r="K60">
        <v>20</v>
      </c>
      <c r="M60">
        <v>5</v>
      </c>
      <c r="O60">
        <v>5</v>
      </c>
      <c r="P60">
        <v>4</v>
      </c>
      <c r="Q60">
        <v>0</v>
      </c>
      <c r="R60">
        <v>55.58</v>
      </c>
      <c r="S60">
        <v>26</v>
      </c>
      <c r="T60">
        <v>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26</v>
      </c>
      <c r="AB60">
        <v>6</v>
      </c>
      <c r="AC60">
        <v>0</v>
      </c>
      <c r="AF60" t="s">
        <v>130</v>
      </c>
      <c r="AG60" t="s">
        <v>130</v>
      </c>
      <c r="AH60">
        <v>87.58</v>
      </c>
    </row>
    <row r="61" spans="1:34" x14ac:dyDescent="0.3">
      <c r="A61" s="4">
        <v>201</v>
      </c>
      <c r="B61" s="5">
        <v>54</v>
      </c>
      <c r="C61">
        <v>3681</v>
      </c>
      <c r="D61" t="s">
        <v>11065</v>
      </c>
      <c r="E61" t="s">
        <v>967</v>
      </c>
      <c r="F61" t="s">
        <v>62</v>
      </c>
      <c r="G61" t="s">
        <v>11066</v>
      </c>
      <c r="H61">
        <v>17.579999999999998</v>
      </c>
      <c r="I61">
        <v>0</v>
      </c>
      <c r="J61">
        <v>0</v>
      </c>
      <c r="K61">
        <v>20</v>
      </c>
      <c r="L61">
        <v>7</v>
      </c>
      <c r="O61">
        <v>7</v>
      </c>
      <c r="P61">
        <v>4</v>
      </c>
      <c r="Q61">
        <v>2</v>
      </c>
      <c r="R61">
        <v>50.58</v>
      </c>
      <c r="S61">
        <v>37</v>
      </c>
      <c r="T61">
        <v>37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37</v>
      </c>
      <c r="AB61">
        <v>0</v>
      </c>
      <c r="AC61">
        <v>0</v>
      </c>
      <c r="AF61" t="s">
        <v>130</v>
      </c>
      <c r="AG61" t="s">
        <v>130</v>
      </c>
      <c r="AH61">
        <v>87.58</v>
      </c>
    </row>
    <row r="62" spans="1:34" x14ac:dyDescent="0.3">
      <c r="A62" s="4">
        <v>202</v>
      </c>
      <c r="B62" s="5">
        <v>55</v>
      </c>
      <c r="C62">
        <v>12877</v>
      </c>
      <c r="D62" t="s">
        <v>11067</v>
      </c>
      <c r="E62" t="s">
        <v>132</v>
      </c>
      <c r="F62" t="s">
        <v>136</v>
      </c>
      <c r="G62" t="s">
        <v>11068</v>
      </c>
      <c r="H62">
        <v>20.350000000000001</v>
      </c>
      <c r="I62">
        <v>0</v>
      </c>
      <c r="J62">
        <v>0</v>
      </c>
      <c r="K62">
        <v>20</v>
      </c>
      <c r="L62">
        <v>7</v>
      </c>
      <c r="O62">
        <v>7</v>
      </c>
      <c r="P62">
        <v>4</v>
      </c>
      <c r="Q62">
        <v>2</v>
      </c>
      <c r="R62">
        <v>53.35</v>
      </c>
      <c r="S62">
        <v>34</v>
      </c>
      <c r="T62">
        <v>34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34</v>
      </c>
      <c r="AB62">
        <v>0</v>
      </c>
      <c r="AC62">
        <v>0</v>
      </c>
      <c r="AF62" t="s">
        <v>130</v>
      </c>
      <c r="AG62" t="s">
        <v>130</v>
      </c>
      <c r="AH62">
        <v>87.35</v>
      </c>
    </row>
    <row r="63" spans="1:34" x14ac:dyDescent="0.3">
      <c r="A63" s="4">
        <v>203</v>
      </c>
      <c r="B63" s="5">
        <v>56</v>
      </c>
      <c r="C63">
        <v>5530</v>
      </c>
      <c r="D63" t="s">
        <v>11069</v>
      </c>
      <c r="E63" t="s">
        <v>22</v>
      </c>
      <c r="F63" t="s">
        <v>20</v>
      </c>
      <c r="G63" t="s">
        <v>11070</v>
      </c>
      <c r="H63">
        <v>20.28</v>
      </c>
      <c r="I63">
        <v>7</v>
      </c>
      <c r="J63">
        <v>0</v>
      </c>
      <c r="K63">
        <v>20</v>
      </c>
      <c r="L63">
        <v>7</v>
      </c>
      <c r="O63">
        <v>7</v>
      </c>
      <c r="P63">
        <v>4</v>
      </c>
      <c r="Q63">
        <v>2</v>
      </c>
      <c r="R63">
        <v>60.28</v>
      </c>
      <c r="S63">
        <v>24</v>
      </c>
      <c r="T63">
        <v>24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24</v>
      </c>
      <c r="AB63">
        <v>3</v>
      </c>
      <c r="AC63">
        <v>0</v>
      </c>
      <c r="AF63" t="s">
        <v>130</v>
      </c>
      <c r="AG63" t="s">
        <v>130</v>
      </c>
      <c r="AH63">
        <v>87.28</v>
      </c>
    </row>
    <row r="64" spans="1:34" x14ac:dyDescent="0.3">
      <c r="A64" s="4">
        <v>204</v>
      </c>
      <c r="B64" s="5">
        <v>57</v>
      </c>
      <c r="C64">
        <v>2776</v>
      </c>
      <c r="D64" t="s">
        <v>4476</v>
      </c>
      <c r="E64" t="s">
        <v>33</v>
      </c>
      <c r="F64" t="s">
        <v>34</v>
      </c>
      <c r="G64" t="s">
        <v>11071</v>
      </c>
      <c r="H64">
        <v>22.15</v>
      </c>
      <c r="I64">
        <v>0</v>
      </c>
      <c r="J64">
        <v>0</v>
      </c>
      <c r="K64">
        <v>20</v>
      </c>
      <c r="L64">
        <v>7</v>
      </c>
      <c r="O64">
        <v>7</v>
      </c>
      <c r="P64">
        <v>4</v>
      </c>
      <c r="Q64">
        <v>2</v>
      </c>
      <c r="R64">
        <v>55.15</v>
      </c>
      <c r="S64">
        <v>32</v>
      </c>
      <c r="T64">
        <v>32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32</v>
      </c>
      <c r="AB64">
        <v>0</v>
      </c>
      <c r="AC64">
        <v>0</v>
      </c>
      <c r="AF64" t="s">
        <v>130</v>
      </c>
      <c r="AG64" t="s">
        <v>130</v>
      </c>
      <c r="AH64">
        <v>87.15</v>
      </c>
    </row>
    <row r="65" spans="1:34" x14ac:dyDescent="0.3">
      <c r="A65" s="4">
        <v>205</v>
      </c>
      <c r="B65" s="5">
        <v>58</v>
      </c>
      <c r="C65">
        <v>798</v>
      </c>
      <c r="D65" t="s">
        <v>11072</v>
      </c>
      <c r="E65" t="s">
        <v>11073</v>
      </c>
      <c r="F65" t="s">
        <v>416</v>
      </c>
      <c r="G65" t="s">
        <v>11074</v>
      </c>
      <c r="H65">
        <v>17</v>
      </c>
      <c r="I65">
        <v>0</v>
      </c>
      <c r="J65">
        <v>0</v>
      </c>
      <c r="K65">
        <v>20</v>
      </c>
      <c r="L65">
        <v>7</v>
      </c>
      <c r="O65">
        <v>7</v>
      </c>
      <c r="P65">
        <v>4</v>
      </c>
      <c r="Q65">
        <v>2</v>
      </c>
      <c r="R65">
        <v>50</v>
      </c>
      <c r="S65">
        <v>37</v>
      </c>
      <c r="T65">
        <v>37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37</v>
      </c>
      <c r="AB65">
        <v>0</v>
      </c>
      <c r="AC65">
        <v>0</v>
      </c>
      <c r="AF65" t="s">
        <v>130</v>
      </c>
      <c r="AG65" t="s">
        <v>130</v>
      </c>
      <c r="AH65">
        <v>87</v>
      </c>
    </row>
    <row r="66" spans="1:34" x14ac:dyDescent="0.3">
      <c r="A66" s="4">
        <v>206</v>
      </c>
      <c r="B66" s="5">
        <v>59</v>
      </c>
      <c r="C66">
        <v>9993</v>
      </c>
      <c r="D66" t="s">
        <v>5720</v>
      </c>
      <c r="E66" t="s">
        <v>88</v>
      </c>
      <c r="F66" t="s">
        <v>328</v>
      </c>
      <c r="G66" t="s">
        <v>11075</v>
      </c>
      <c r="H66">
        <v>18.25</v>
      </c>
      <c r="I66">
        <v>0</v>
      </c>
      <c r="J66">
        <v>0</v>
      </c>
      <c r="K66">
        <v>20</v>
      </c>
      <c r="L66">
        <v>7</v>
      </c>
      <c r="O66">
        <v>7</v>
      </c>
      <c r="P66">
        <v>4</v>
      </c>
      <c r="Q66">
        <v>0</v>
      </c>
      <c r="R66">
        <v>49.25</v>
      </c>
      <c r="S66">
        <v>37</v>
      </c>
      <c r="T66">
        <v>37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37</v>
      </c>
      <c r="AB66">
        <v>0</v>
      </c>
      <c r="AC66">
        <v>0</v>
      </c>
      <c r="AD66" t="s">
        <v>130</v>
      </c>
      <c r="AF66" t="s">
        <v>130</v>
      </c>
      <c r="AG66" t="s">
        <v>130</v>
      </c>
      <c r="AH66">
        <v>86.25</v>
      </c>
    </row>
    <row r="67" spans="1:34" x14ac:dyDescent="0.3">
      <c r="A67" s="4">
        <v>207</v>
      </c>
      <c r="B67" s="5">
        <v>60</v>
      </c>
      <c r="C67">
        <v>8941</v>
      </c>
      <c r="D67" t="s">
        <v>11076</v>
      </c>
      <c r="E67" t="s">
        <v>283</v>
      </c>
      <c r="F67" t="s">
        <v>117</v>
      </c>
      <c r="G67" t="s">
        <v>11077</v>
      </c>
      <c r="H67">
        <v>21.2</v>
      </c>
      <c r="I67">
        <v>0</v>
      </c>
      <c r="J67">
        <v>0</v>
      </c>
      <c r="K67">
        <v>20</v>
      </c>
      <c r="L67">
        <v>14</v>
      </c>
      <c r="O67">
        <v>14</v>
      </c>
      <c r="P67">
        <v>4</v>
      </c>
      <c r="Q67">
        <v>2</v>
      </c>
      <c r="R67">
        <v>61.2</v>
      </c>
      <c r="S67">
        <v>25</v>
      </c>
      <c r="T67">
        <v>25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25</v>
      </c>
      <c r="AB67">
        <v>0</v>
      </c>
      <c r="AC67">
        <v>0</v>
      </c>
      <c r="AF67" t="s">
        <v>130</v>
      </c>
      <c r="AG67" t="s">
        <v>130</v>
      </c>
      <c r="AH67">
        <v>86.2</v>
      </c>
    </row>
    <row r="68" spans="1:34" x14ac:dyDescent="0.3">
      <c r="A68" s="4">
        <v>208</v>
      </c>
      <c r="B68" s="5">
        <v>61</v>
      </c>
      <c r="C68">
        <v>826</v>
      </c>
      <c r="D68" t="s">
        <v>11078</v>
      </c>
      <c r="E68" t="s">
        <v>4391</v>
      </c>
      <c r="F68" t="s">
        <v>328</v>
      </c>
      <c r="G68" t="s">
        <v>11079</v>
      </c>
      <c r="H68">
        <v>20</v>
      </c>
      <c r="I68">
        <v>0</v>
      </c>
      <c r="J68">
        <v>0</v>
      </c>
      <c r="K68">
        <v>20</v>
      </c>
      <c r="L68">
        <v>7</v>
      </c>
      <c r="O68">
        <v>7</v>
      </c>
      <c r="P68">
        <v>4</v>
      </c>
      <c r="Q68">
        <v>2</v>
      </c>
      <c r="R68">
        <v>53</v>
      </c>
      <c r="S68">
        <v>33</v>
      </c>
      <c r="T68">
        <v>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33</v>
      </c>
      <c r="AB68">
        <v>0</v>
      </c>
      <c r="AC68">
        <v>0</v>
      </c>
      <c r="AE68" t="s">
        <v>130</v>
      </c>
      <c r="AF68" t="s">
        <v>130</v>
      </c>
      <c r="AG68" t="s">
        <v>130</v>
      </c>
      <c r="AH68">
        <v>86</v>
      </c>
    </row>
    <row r="69" spans="1:34" x14ac:dyDescent="0.3">
      <c r="A69" s="4">
        <v>209</v>
      </c>
      <c r="B69" s="5">
        <v>62</v>
      </c>
      <c r="C69">
        <v>12982</v>
      </c>
      <c r="D69" t="s">
        <v>11080</v>
      </c>
      <c r="E69" t="s">
        <v>41</v>
      </c>
      <c r="F69" t="s">
        <v>101</v>
      </c>
      <c r="G69" t="s">
        <v>11081</v>
      </c>
      <c r="H69">
        <v>21.95</v>
      </c>
      <c r="I69">
        <v>0</v>
      </c>
      <c r="J69">
        <v>0</v>
      </c>
      <c r="K69">
        <v>20</v>
      </c>
      <c r="L69">
        <v>7</v>
      </c>
      <c r="O69">
        <v>7</v>
      </c>
      <c r="P69">
        <v>4</v>
      </c>
      <c r="Q69">
        <v>0</v>
      </c>
      <c r="R69">
        <v>52.95</v>
      </c>
      <c r="S69">
        <v>27</v>
      </c>
      <c r="T69">
        <v>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27</v>
      </c>
      <c r="AB69">
        <v>6</v>
      </c>
      <c r="AC69">
        <v>0</v>
      </c>
      <c r="AF69" t="s">
        <v>130</v>
      </c>
      <c r="AG69" t="s">
        <v>130</v>
      </c>
      <c r="AH69">
        <v>85.95</v>
      </c>
    </row>
    <row r="70" spans="1:34" x14ac:dyDescent="0.3">
      <c r="A70" s="4">
        <v>210</v>
      </c>
      <c r="B70" s="5">
        <v>63</v>
      </c>
      <c r="C70">
        <v>243</v>
      </c>
      <c r="D70" t="s">
        <v>11082</v>
      </c>
      <c r="E70" t="s">
        <v>258</v>
      </c>
      <c r="F70" t="s">
        <v>14</v>
      </c>
      <c r="G70" t="s">
        <v>11083</v>
      </c>
      <c r="H70">
        <v>19.829999999999998</v>
      </c>
      <c r="I70">
        <v>0</v>
      </c>
      <c r="J70">
        <v>0</v>
      </c>
      <c r="K70">
        <v>28</v>
      </c>
      <c r="L70">
        <v>14</v>
      </c>
      <c r="O70">
        <v>14</v>
      </c>
      <c r="P70">
        <v>4</v>
      </c>
      <c r="Q70">
        <v>2</v>
      </c>
      <c r="R70">
        <v>67.83</v>
      </c>
      <c r="S70">
        <v>12</v>
      </c>
      <c r="T70">
        <v>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12</v>
      </c>
      <c r="AB70">
        <v>6</v>
      </c>
      <c r="AC70">
        <v>0</v>
      </c>
      <c r="AF70" t="s">
        <v>130</v>
      </c>
      <c r="AG70" t="s">
        <v>130</v>
      </c>
      <c r="AH70">
        <v>85.83</v>
      </c>
    </row>
    <row r="71" spans="1:34" x14ac:dyDescent="0.3">
      <c r="A71" s="4">
        <v>211</v>
      </c>
      <c r="B71" s="5">
        <v>64</v>
      </c>
      <c r="C71">
        <v>14508</v>
      </c>
      <c r="D71" t="s">
        <v>11084</v>
      </c>
      <c r="E71" t="s">
        <v>170</v>
      </c>
      <c r="F71" t="s">
        <v>238</v>
      </c>
      <c r="G71" t="s">
        <v>11085</v>
      </c>
      <c r="H71">
        <v>17.75</v>
      </c>
      <c r="I71">
        <v>0</v>
      </c>
      <c r="J71">
        <v>0</v>
      </c>
      <c r="K71">
        <v>20</v>
      </c>
      <c r="L71">
        <v>7</v>
      </c>
      <c r="O71">
        <v>7</v>
      </c>
      <c r="P71">
        <v>4</v>
      </c>
      <c r="Q71">
        <v>2</v>
      </c>
      <c r="R71">
        <v>50.75</v>
      </c>
      <c r="S71">
        <v>27</v>
      </c>
      <c r="T71">
        <v>27</v>
      </c>
      <c r="U71">
        <v>1</v>
      </c>
      <c r="V71">
        <v>2</v>
      </c>
      <c r="W71">
        <v>0</v>
      </c>
      <c r="X71">
        <v>0</v>
      </c>
      <c r="Y71">
        <v>0</v>
      </c>
      <c r="Z71">
        <v>0</v>
      </c>
      <c r="AA71">
        <v>29</v>
      </c>
      <c r="AB71">
        <v>6</v>
      </c>
      <c r="AC71">
        <v>0</v>
      </c>
      <c r="AF71" t="s">
        <v>130</v>
      </c>
      <c r="AG71" t="s">
        <v>130</v>
      </c>
      <c r="AH71">
        <v>85.75</v>
      </c>
    </row>
    <row r="72" spans="1:34" x14ac:dyDescent="0.3">
      <c r="A72" s="4">
        <v>212</v>
      </c>
      <c r="B72" s="5">
        <v>65</v>
      </c>
      <c r="C72">
        <v>10037</v>
      </c>
      <c r="D72" t="s">
        <v>11086</v>
      </c>
      <c r="E72" t="s">
        <v>51</v>
      </c>
      <c r="F72" t="s">
        <v>55</v>
      </c>
      <c r="G72" t="s">
        <v>11087</v>
      </c>
      <c r="H72">
        <v>19.7</v>
      </c>
      <c r="I72">
        <v>0</v>
      </c>
      <c r="J72">
        <v>0</v>
      </c>
      <c r="K72">
        <v>20</v>
      </c>
      <c r="M72">
        <v>5</v>
      </c>
      <c r="O72">
        <v>5</v>
      </c>
      <c r="P72">
        <v>4</v>
      </c>
      <c r="Q72">
        <v>2</v>
      </c>
      <c r="R72">
        <v>50.7</v>
      </c>
      <c r="S72">
        <v>35</v>
      </c>
      <c r="T72">
        <v>35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35</v>
      </c>
      <c r="AB72">
        <v>0</v>
      </c>
      <c r="AC72">
        <v>0</v>
      </c>
      <c r="AF72" t="s">
        <v>130</v>
      </c>
      <c r="AG72" t="s">
        <v>130</v>
      </c>
      <c r="AH72">
        <v>85.7</v>
      </c>
    </row>
    <row r="73" spans="1:34" x14ac:dyDescent="0.3">
      <c r="A73" s="4">
        <v>213</v>
      </c>
      <c r="B73" s="5">
        <v>66</v>
      </c>
      <c r="C73">
        <v>13</v>
      </c>
      <c r="D73" t="s">
        <v>11088</v>
      </c>
      <c r="E73" t="s">
        <v>38</v>
      </c>
      <c r="F73" t="s">
        <v>124</v>
      </c>
      <c r="G73" t="s">
        <v>11089</v>
      </c>
      <c r="H73">
        <v>19.68</v>
      </c>
      <c r="I73">
        <v>0</v>
      </c>
      <c r="J73">
        <v>0</v>
      </c>
      <c r="K73">
        <v>28</v>
      </c>
      <c r="L73">
        <v>7</v>
      </c>
      <c r="O73">
        <v>7</v>
      </c>
      <c r="P73">
        <v>4</v>
      </c>
      <c r="Q73">
        <v>2</v>
      </c>
      <c r="R73">
        <v>60.68</v>
      </c>
      <c r="S73">
        <v>25</v>
      </c>
      <c r="T73">
        <v>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25</v>
      </c>
      <c r="AB73">
        <v>0</v>
      </c>
      <c r="AC73">
        <v>0</v>
      </c>
      <c r="AF73" t="s">
        <v>130</v>
      </c>
      <c r="AG73" t="s">
        <v>130</v>
      </c>
      <c r="AH73">
        <v>85.68</v>
      </c>
    </row>
    <row r="74" spans="1:34" x14ac:dyDescent="0.3">
      <c r="A74" s="4">
        <v>214</v>
      </c>
      <c r="B74" s="5">
        <v>67</v>
      </c>
      <c r="C74">
        <v>793</v>
      </c>
      <c r="D74" t="s">
        <v>11090</v>
      </c>
      <c r="E74" t="s">
        <v>8565</v>
      </c>
      <c r="F74" t="s">
        <v>62</v>
      </c>
      <c r="G74" t="s">
        <v>11091</v>
      </c>
      <c r="H74">
        <v>20.38</v>
      </c>
      <c r="I74">
        <v>0</v>
      </c>
      <c r="J74">
        <v>0</v>
      </c>
      <c r="K74">
        <v>20</v>
      </c>
      <c r="L74">
        <v>7</v>
      </c>
      <c r="N74">
        <v>3</v>
      </c>
      <c r="O74">
        <v>10</v>
      </c>
      <c r="P74">
        <v>4</v>
      </c>
      <c r="Q74">
        <v>0</v>
      </c>
      <c r="R74">
        <v>54.38</v>
      </c>
      <c r="S74">
        <v>11</v>
      </c>
      <c r="T74">
        <v>11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11</v>
      </c>
      <c r="AB74">
        <v>0</v>
      </c>
      <c r="AC74">
        <v>20</v>
      </c>
      <c r="AF74" t="s">
        <v>130</v>
      </c>
      <c r="AG74" t="s">
        <v>130</v>
      </c>
      <c r="AH74">
        <v>85.38</v>
      </c>
    </row>
    <row r="75" spans="1:34" x14ac:dyDescent="0.3">
      <c r="A75" s="4">
        <v>215</v>
      </c>
      <c r="B75" s="5">
        <v>68</v>
      </c>
      <c r="C75">
        <v>2097</v>
      </c>
      <c r="D75" t="s">
        <v>1287</v>
      </c>
      <c r="E75" t="s">
        <v>307</v>
      </c>
      <c r="F75" t="s">
        <v>38</v>
      </c>
      <c r="G75" t="s">
        <v>11092</v>
      </c>
      <c r="H75">
        <v>17.649999999999999</v>
      </c>
      <c r="I75">
        <v>0</v>
      </c>
      <c r="J75">
        <v>0</v>
      </c>
      <c r="K75">
        <v>20</v>
      </c>
      <c r="L75">
        <v>7</v>
      </c>
      <c r="M75">
        <v>5</v>
      </c>
      <c r="O75">
        <v>12</v>
      </c>
      <c r="P75">
        <v>4</v>
      </c>
      <c r="Q75">
        <v>0</v>
      </c>
      <c r="R75">
        <v>53.65</v>
      </c>
      <c r="S75">
        <v>28</v>
      </c>
      <c r="T75">
        <v>28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28</v>
      </c>
      <c r="AB75">
        <v>3</v>
      </c>
      <c r="AC75">
        <v>0</v>
      </c>
      <c r="AF75" t="s">
        <v>130</v>
      </c>
      <c r="AG75" t="s">
        <v>130</v>
      </c>
      <c r="AH75">
        <v>84.65</v>
      </c>
    </row>
    <row r="76" spans="1:34" x14ac:dyDescent="0.3">
      <c r="A76" s="4">
        <v>216</v>
      </c>
      <c r="B76" s="5">
        <v>69</v>
      </c>
      <c r="C76">
        <v>97</v>
      </c>
      <c r="D76" t="s">
        <v>11093</v>
      </c>
      <c r="E76" t="s">
        <v>20</v>
      </c>
      <c r="F76" t="s">
        <v>158</v>
      </c>
      <c r="G76" t="s">
        <v>11094</v>
      </c>
      <c r="H76">
        <v>18.43</v>
      </c>
      <c r="I76">
        <v>0</v>
      </c>
      <c r="J76">
        <v>0</v>
      </c>
      <c r="K76">
        <v>20</v>
      </c>
      <c r="N76">
        <v>6</v>
      </c>
      <c r="O76">
        <v>6</v>
      </c>
      <c r="P76">
        <v>4</v>
      </c>
      <c r="Q76">
        <v>2</v>
      </c>
      <c r="R76">
        <v>50.43</v>
      </c>
      <c r="S76">
        <v>34</v>
      </c>
      <c r="T76">
        <v>34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34</v>
      </c>
      <c r="AB76">
        <v>0</v>
      </c>
      <c r="AC76">
        <v>0</v>
      </c>
      <c r="AF76" t="s">
        <v>130</v>
      </c>
      <c r="AG76" t="s">
        <v>130</v>
      </c>
      <c r="AH76">
        <v>84.43</v>
      </c>
    </row>
    <row r="77" spans="1:34" x14ac:dyDescent="0.3">
      <c r="A77" s="4">
        <v>217</v>
      </c>
      <c r="B77" s="5">
        <v>70</v>
      </c>
      <c r="C77">
        <v>1072</v>
      </c>
      <c r="D77" t="s">
        <v>28</v>
      </c>
      <c r="E77" t="s">
        <v>1053</v>
      </c>
      <c r="F77" t="s">
        <v>117</v>
      </c>
      <c r="G77" t="s">
        <v>11095</v>
      </c>
      <c r="H77">
        <v>18.73</v>
      </c>
      <c r="I77">
        <v>0</v>
      </c>
      <c r="J77">
        <v>0</v>
      </c>
      <c r="K77">
        <v>20</v>
      </c>
      <c r="L77">
        <v>7</v>
      </c>
      <c r="O77">
        <v>7</v>
      </c>
      <c r="P77">
        <v>4</v>
      </c>
      <c r="Q77">
        <v>2</v>
      </c>
      <c r="R77">
        <v>51.73</v>
      </c>
      <c r="S77">
        <v>32</v>
      </c>
      <c r="T77">
        <v>32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32</v>
      </c>
      <c r="AB77">
        <v>0</v>
      </c>
      <c r="AC77">
        <v>0</v>
      </c>
      <c r="AF77" t="s">
        <v>130</v>
      </c>
      <c r="AG77" t="s">
        <v>130</v>
      </c>
      <c r="AH77">
        <v>83.73</v>
      </c>
    </row>
    <row r="78" spans="1:34" x14ac:dyDescent="0.3">
      <c r="A78" s="4">
        <v>218</v>
      </c>
      <c r="B78" s="5">
        <v>71</v>
      </c>
      <c r="C78">
        <v>4196</v>
      </c>
      <c r="D78" t="s">
        <v>4693</v>
      </c>
      <c r="E78" t="s">
        <v>41</v>
      </c>
      <c r="F78" t="s">
        <v>190</v>
      </c>
      <c r="G78" t="s">
        <v>11096</v>
      </c>
      <c r="H78">
        <v>19.53</v>
      </c>
      <c r="I78">
        <v>0</v>
      </c>
      <c r="J78">
        <v>0</v>
      </c>
      <c r="K78">
        <v>20</v>
      </c>
      <c r="L78">
        <v>7</v>
      </c>
      <c r="O78">
        <v>7</v>
      </c>
      <c r="P78">
        <v>4</v>
      </c>
      <c r="Q78">
        <v>0</v>
      </c>
      <c r="R78">
        <v>50.53</v>
      </c>
      <c r="S78">
        <v>30</v>
      </c>
      <c r="T78">
        <v>30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30</v>
      </c>
      <c r="AB78">
        <v>3</v>
      </c>
      <c r="AC78">
        <v>0</v>
      </c>
      <c r="AF78" t="s">
        <v>130</v>
      </c>
      <c r="AG78" t="s">
        <v>130</v>
      </c>
      <c r="AH78">
        <v>83.53</v>
      </c>
    </row>
    <row r="79" spans="1:34" x14ac:dyDescent="0.3">
      <c r="A79" s="4">
        <v>219</v>
      </c>
      <c r="B79" s="5">
        <v>72</v>
      </c>
      <c r="C79">
        <v>13605</v>
      </c>
      <c r="D79" t="s">
        <v>5114</v>
      </c>
      <c r="E79" t="s">
        <v>11097</v>
      </c>
      <c r="F79" t="s">
        <v>136</v>
      </c>
      <c r="G79" t="s">
        <v>11098</v>
      </c>
      <c r="H79">
        <v>19.350000000000001</v>
      </c>
      <c r="I79">
        <v>0</v>
      </c>
      <c r="J79">
        <v>0</v>
      </c>
      <c r="K79">
        <v>20</v>
      </c>
      <c r="L79">
        <v>7</v>
      </c>
      <c r="M79">
        <v>5</v>
      </c>
      <c r="O79">
        <v>12</v>
      </c>
      <c r="P79">
        <v>4</v>
      </c>
      <c r="Q79">
        <v>0</v>
      </c>
      <c r="R79">
        <v>55.35</v>
      </c>
      <c r="S79">
        <v>28</v>
      </c>
      <c r="T79">
        <v>28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28</v>
      </c>
      <c r="AB79">
        <v>0</v>
      </c>
      <c r="AC79">
        <v>0</v>
      </c>
      <c r="AF79" t="s">
        <v>130</v>
      </c>
      <c r="AG79" t="s">
        <v>130</v>
      </c>
      <c r="AH79">
        <v>83.35</v>
      </c>
    </row>
    <row r="80" spans="1:34" x14ac:dyDescent="0.3">
      <c r="A80" s="4">
        <v>220</v>
      </c>
      <c r="B80" s="5">
        <v>73</v>
      </c>
      <c r="C80">
        <v>903</v>
      </c>
      <c r="D80" t="s">
        <v>5805</v>
      </c>
      <c r="E80" t="s">
        <v>29</v>
      </c>
      <c r="F80" t="s">
        <v>38</v>
      </c>
      <c r="G80" t="s">
        <v>11099</v>
      </c>
      <c r="H80">
        <v>21.08</v>
      </c>
      <c r="I80">
        <v>0</v>
      </c>
      <c r="J80">
        <v>0</v>
      </c>
      <c r="K80">
        <v>20</v>
      </c>
      <c r="N80">
        <v>3</v>
      </c>
      <c r="O80">
        <v>3</v>
      </c>
      <c r="P80">
        <v>4</v>
      </c>
      <c r="Q80">
        <v>2</v>
      </c>
      <c r="R80">
        <v>50.08</v>
      </c>
      <c r="S80">
        <v>30</v>
      </c>
      <c r="T80">
        <v>30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30</v>
      </c>
      <c r="AB80">
        <v>3</v>
      </c>
      <c r="AC80">
        <v>0</v>
      </c>
      <c r="AF80" t="s">
        <v>130</v>
      </c>
      <c r="AG80" t="s">
        <v>130</v>
      </c>
      <c r="AH80">
        <v>83.08</v>
      </c>
    </row>
    <row r="81" spans="1:34" x14ac:dyDescent="0.3">
      <c r="A81" s="4">
        <v>221</v>
      </c>
      <c r="B81" s="5">
        <v>74</v>
      </c>
      <c r="C81">
        <v>3963</v>
      </c>
      <c r="D81" t="s">
        <v>486</v>
      </c>
      <c r="E81" t="s">
        <v>33</v>
      </c>
      <c r="F81" t="s">
        <v>124</v>
      </c>
      <c r="G81" t="s">
        <v>11100</v>
      </c>
      <c r="H81">
        <v>21.98</v>
      </c>
      <c r="I81">
        <v>7</v>
      </c>
      <c r="J81">
        <v>0</v>
      </c>
      <c r="K81">
        <v>20</v>
      </c>
      <c r="L81">
        <v>7</v>
      </c>
      <c r="N81">
        <v>3</v>
      </c>
      <c r="O81">
        <v>10</v>
      </c>
      <c r="P81">
        <v>4</v>
      </c>
      <c r="Q81">
        <v>2</v>
      </c>
      <c r="R81">
        <v>64.98</v>
      </c>
      <c r="S81">
        <v>18</v>
      </c>
      <c r="T81">
        <v>18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18</v>
      </c>
      <c r="AB81">
        <v>0</v>
      </c>
      <c r="AC81">
        <v>0</v>
      </c>
      <c r="AF81" t="s">
        <v>130</v>
      </c>
      <c r="AG81" t="s">
        <v>130</v>
      </c>
      <c r="AH81">
        <v>82.98</v>
      </c>
    </row>
    <row r="82" spans="1:34" x14ac:dyDescent="0.3">
      <c r="A82" s="4">
        <v>222</v>
      </c>
      <c r="B82" s="5">
        <v>75</v>
      </c>
      <c r="C82">
        <v>10717</v>
      </c>
      <c r="D82" t="s">
        <v>11101</v>
      </c>
      <c r="E82" t="s">
        <v>11102</v>
      </c>
      <c r="F82" t="s">
        <v>17</v>
      </c>
      <c r="G82" t="s">
        <v>11103</v>
      </c>
      <c r="H82">
        <v>18.68</v>
      </c>
      <c r="I82">
        <v>0</v>
      </c>
      <c r="J82">
        <v>0</v>
      </c>
      <c r="K82">
        <v>20</v>
      </c>
      <c r="L82">
        <v>7</v>
      </c>
      <c r="O82">
        <v>7</v>
      </c>
      <c r="P82">
        <v>0</v>
      </c>
      <c r="Q82">
        <v>0</v>
      </c>
      <c r="R82">
        <v>45.68</v>
      </c>
      <c r="S82">
        <v>37</v>
      </c>
      <c r="T82">
        <v>37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37</v>
      </c>
      <c r="AB82">
        <v>0</v>
      </c>
      <c r="AC82">
        <v>0</v>
      </c>
      <c r="AF82" t="s">
        <v>130</v>
      </c>
      <c r="AG82" t="s">
        <v>130</v>
      </c>
      <c r="AH82">
        <v>82.68</v>
      </c>
    </row>
    <row r="83" spans="1:34" x14ac:dyDescent="0.3">
      <c r="A83" s="4">
        <v>223</v>
      </c>
      <c r="B83" s="5">
        <v>76</v>
      </c>
      <c r="C83">
        <v>8438</v>
      </c>
      <c r="D83" t="s">
        <v>11104</v>
      </c>
      <c r="E83" t="s">
        <v>33</v>
      </c>
      <c r="F83" t="s">
        <v>30</v>
      </c>
      <c r="G83" t="s">
        <v>11105</v>
      </c>
      <c r="H83">
        <v>21.4</v>
      </c>
      <c r="I83">
        <v>0</v>
      </c>
      <c r="J83">
        <v>0</v>
      </c>
      <c r="K83">
        <v>20</v>
      </c>
      <c r="N83">
        <v>3</v>
      </c>
      <c r="O83">
        <v>3</v>
      </c>
      <c r="P83">
        <v>4</v>
      </c>
      <c r="Q83">
        <v>2</v>
      </c>
      <c r="R83">
        <v>50.4</v>
      </c>
      <c r="S83">
        <v>28</v>
      </c>
      <c r="T83">
        <v>28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28</v>
      </c>
      <c r="AB83">
        <v>3</v>
      </c>
      <c r="AC83">
        <v>0</v>
      </c>
      <c r="AF83" t="s">
        <v>130</v>
      </c>
      <c r="AG83" t="s">
        <v>130</v>
      </c>
      <c r="AH83">
        <v>81.400000000000006</v>
      </c>
    </row>
    <row r="84" spans="1:34" x14ac:dyDescent="0.3">
      <c r="A84" s="4">
        <v>224</v>
      </c>
      <c r="B84" s="5">
        <v>77</v>
      </c>
      <c r="C84">
        <v>9288</v>
      </c>
      <c r="D84" t="s">
        <v>11106</v>
      </c>
      <c r="E84" t="s">
        <v>11107</v>
      </c>
      <c r="F84" t="s">
        <v>158</v>
      </c>
      <c r="G84" t="s">
        <v>11108</v>
      </c>
      <c r="H84">
        <v>20.28</v>
      </c>
      <c r="I84">
        <v>0</v>
      </c>
      <c r="J84">
        <v>0</v>
      </c>
      <c r="K84">
        <v>20</v>
      </c>
      <c r="N84">
        <v>3</v>
      </c>
      <c r="O84">
        <v>3</v>
      </c>
      <c r="P84">
        <v>4</v>
      </c>
      <c r="Q84">
        <v>2</v>
      </c>
      <c r="R84">
        <v>49.28</v>
      </c>
      <c r="S84">
        <v>32</v>
      </c>
      <c r="T84">
        <v>32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32</v>
      </c>
      <c r="AB84">
        <v>0</v>
      </c>
      <c r="AC84">
        <v>0</v>
      </c>
      <c r="AD84" t="s">
        <v>130</v>
      </c>
      <c r="AF84" t="s">
        <v>130</v>
      </c>
      <c r="AG84" t="s">
        <v>130</v>
      </c>
      <c r="AH84">
        <v>81.28</v>
      </c>
    </row>
    <row r="85" spans="1:34" x14ac:dyDescent="0.3">
      <c r="A85" s="4">
        <v>226</v>
      </c>
      <c r="B85" s="5">
        <v>78</v>
      </c>
      <c r="C85">
        <v>2510</v>
      </c>
      <c r="D85" t="s">
        <v>421</v>
      </c>
      <c r="E85" t="s">
        <v>29</v>
      </c>
      <c r="F85" t="s">
        <v>38</v>
      </c>
      <c r="G85" t="s">
        <v>11109</v>
      </c>
      <c r="H85">
        <v>18.8</v>
      </c>
      <c r="I85">
        <v>0</v>
      </c>
      <c r="J85">
        <v>0</v>
      </c>
      <c r="K85">
        <v>20</v>
      </c>
      <c r="L85">
        <v>7</v>
      </c>
      <c r="O85">
        <v>7</v>
      </c>
      <c r="P85">
        <v>4</v>
      </c>
      <c r="Q85">
        <v>2</v>
      </c>
      <c r="R85">
        <v>51.8</v>
      </c>
      <c r="S85">
        <v>26</v>
      </c>
      <c r="T85">
        <v>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26</v>
      </c>
      <c r="AB85">
        <v>3</v>
      </c>
      <c r="AC85">
        <v>0</v>
      </c>
      <c r="AF85" t="s">
        <v>130</v>
      </c>
      <c r="AG85" t="s">
        <v>130</v>
      </c>
      <c r="AH85">
        <v>80.8</v>
      </c>
    </row>
    <row r="86" spans="1:34" x14ac:dyDescent="0.3">
      <c r="A86" s="4">
        <v>227</v>
      </c>
      <c r="B86" s="5">
        <v>79</v>
      </c>
      <c r="C86">
        <v>2655</v>
      </c>
      <c r="D86" t="s">
        <v>11110</v>
      </c>
      <c r="E86" t="s">
        <v>744</v>
      </c>
      <c r="F86" t="s">
        <v>81</v>
      </c>
      <c r="G86" t="s">
        <v>11111</v>
      </c>
      <c r="H86">
        <v>20.18</v>
      </c>
      <c r="I86">
        <v>0</v>
      </c>
      <c r="J86">
        <v>0</v>
      </c>
      <c r="K86">
        <v>20</v>
      </c>
      <c r="L86">
        <v>7</v>
      </c>
      <c r="O86">
        <v>7</v>
      </c>
      <c r="P86">
        <v>4</v>
      </c>
      <c r="Q86">
        <v>2</v>
      </c>
      <c r="R86">
        <v>53.18</v>
      </c>
      <c r="S86">
        <v>27</v>
      </c>
      <c r="T86">
        <v>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27</v>
      </c>
      <c r="AB86">
        <v>0</v>
      </c>
      <c r="AC86">
        <v>0</v>
      </c>
      <c r="AD86" t="s">
        <v>130</v>
      </c>
      <c r="AF86" t="s">
        <v>130</v>
      </c>
      <c r="AG86" t="s">
        <v>130</v>
      </c>
      <c r="AH86">
        <v>80.180000000000007</v>
      </c>
    </row>
    <row r="87" spans="1:34" x14ac:dyDescent="0.3">
      <c r="A87" s="4">
        <v>228</v>
      </c>
      <c r="B87" s="5">
        <v>80</v>
      </c>
      <c r="C87">
        <v>4514</v>
      </c>
      <c r="D87" t="s">
        <v>11112</v>
      </c>
      <c r="E87" t="s">
        <v>29</v>
      </c>
      <c r="F87" t="s">
        <v>11113</v>
      </c>
      <c r="G87" t="s">
        <v>11114</v>
      </c>
      <c r="H87">
        <v>20.88</v>
      </c>
      <c r="I87">
        <v>0</v>
      </c>
      <c r="J87">
        <v>0</v>
      </c>
      <c r="K87">
        <v>20</v>
      </c>
      <c r="L87">
        <v>7</v>
      </c>
      <c r="O87">
        <v>7</v>
      </c>
      <c r="P87">
        <v>4</v>
      </c>
      <c r="Q87">
        <v>0</v>
      </c>
      <c r="R87">
        <v>51.88</v>
      </c>
      <c r="S87">
        <v>28</v>
      </c>
      <c r="T87">
        <v>28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28</v>
      </c>
      <c r="AB87">
        <v>0</v>
      </c>
      <c r="AC87">
        <v>0</v>
      </c>
      <c r="AF87" t="s">
        <v>130</v>
      </c>
      <c r="AG87" t="s">
        <v>130</v>
      </c>
      <c r="AH87">
        <v>79.88</v>
      </c>
    </row>
    <row r="88" spans="1:34" x14ac:dyDescent="0.3">
      <c r="A88" s="4">
        <v>229</v>
      </c>
      <c r="B88" s="5">
        <v>81</v>
      </c>
      <c r="C88">
        <v>5233</v>
      </c>
      <c r="D88" t="s">
        <v>11115</v>
      </c>
      <c r="E88" t="s">
        <v>132</v>
      </c>
      <c r="F88" t="s">
        <v>136</v>
      </c>
      <c r="G88" t="s">
        <v>11116</v>
      </c>
      <c r="H88">
        <v>16.8</v>
      </c>
      <c r="I88">
        <v>0</v>
      </c>
      <c r="J88">
        <v>0</v>
      </c>
      <c r="K88">
        <v>28</v>
      </c>
      <c r="N88">
        <v>3</v>
      </c>
      <c r="O88">
        <v>3</v>
      </c>
      <c r="P88">
        <v>4</v>
      </c>
      <c r="Q88">
        <v>0</v>
      </c>
      <c r="R88">
        <v>51.8</v>
      </c>
      <c r="S88">
        <v>28</v>
      </c>
      <c r="T88">
        <v>28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28</v>
      </c>
      <c r="AB88">
        <v>0</v>
      </c>
      <c r="AC88">
        <v>0</v>
      </c>
      <c r="AD88" t="s">
        <v>130</v>
      </c>
      <c r="AF88" t="s">
        <v>130</v>
      </c>
      <c r="AG88" t="s">
        <v>130</v>
      </c>
      <c r="AH88">
        <v>79.8</v>
      </c>
    </row>
    <row r="89" spans="1:34" x14ac:dyDescent="0.3">
      <c r="A89" s="4">
        <v>230</v>
      </c>
      <c r="B89" s="5">
        <v>82</v>
      </c>
      <c r="C89">
        <v>108</v>
      </c>
      <c r="D89" t="s">
        <v>11117</v>
      </c>
      <c r="E89" t="s">
        <v>100</v>
      </c>
      <c r="F89" t="s">
        <v>17</v>
      </c>
      <c r="G89" t="s">
        <v>11118</v>
      </c>
      <c r="H89">
        <v>20.75</v>
      </c>
      <c r="I89">
        <v>0</v>
      </c>
      <c r="J89">
        <v>0</v>
      </c>
      <c r="K89">
        <v>20</v>
      </c>
      <c r="L89">
        <v>7</v>
      </c>
      <c r="O89">
        <v>7</v>
      </c>
      <c r="P89">
        <v>4</v>
      </c>
      <c r="Q89">
        <v>2</v>
      </c>
      <c r="R89">
        <v>53.75</v>
      </c>
      <c r="S89">
        <v>26</v>
      </c>
      <c r="T89">
        <v>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26</v>
      </c>
      <c r="AB89">
        <v>0</v>
      </c>
      <c r="AC89">
        <v>0</v>
      </c>
      <c r="AF89" t="s">
        <v>130</v>
      </c>
      <c r="AG89" t="s">
        <v>130</v>
      </c>
      <c r="AH89">
        <v>79.75</v>
      </c>
    </row>
    <row r="90" spans="1:34" x14ac:dyDescent="0.3">
      <c r="A90" s="4">
        <v>231</v>
      </c>
      <c r="B90" s="5">
        <v>83</v>
      </c>
      <c r="C90">
        <v>10234</v>
      </c>
      <c r="D90" t="s">
        <v>11119</v>
      </c>
      <c r="E90" t="s">
        <v>161</v>
      </c>
      <c r="F90" t="s">
        <v>68</v>
      </c>
      <c r="G90" t="s">
        <v>11120</v>
      </c>
      <c r="H90">
        <v>18.73</v>
      </c>
      <c r="I90">
        <v>0</v>
      </c>
      <c r="J90">
        <v>0</v>
      </c>
      <c r="K90">
        <v>20</v>
      </c>
      <c r="L90">
        <v>7</v>
      </c>
      <c r="N90">
        <v>3</v>
      </c>
      <c r="O90">
        <v>10</v>
      </c>
      <c r="P90">
        <v>4</v>
      </c>
      <c r="Q90">
        <v>2</v>
      </c>
      <c r="R90">
        <v>54.73</v>
      </c>
      <c r="S90">
        <v>25</v>
      </c>
      <c r="T90">
        <v>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25</v>
      </c>
      <c r="AB90">
        <v>0</v>
      </c>
      <c r="AC90">
        <v>0</v>
      </c>
      <c r="AD90" t="s">
        <v>130</v>
      </c>
      <c r="AF90" t="s">
        <v>130</v>
      </c>
      <c r="AG90" t="s">
        <v>130</v>
      </c>
      <c r="AH90">
        <v>79.73</v>
      </c>
    </row>
    <row r="91" spans="1:34" x14ac:dyDescent="0.3">
      <c r="A91" s="4">
        <v>232</v>
      </c>
      <c r="B91" s="5">
        <v>84</v>
      </c>
      <c r="C91">
        <v>7286</v>
      </c>
      <c r="D91" t="s">
        <v>6107</v>
      </c>
      <c r="E91" t="s">
        <v>11121</v>
      </c>
      <c r="F91" t="s">
        <v>11122</v>
      </c>
      <c r="G91" t="s">
        <v>11123</v>
      </c>
      <c r="H91">
        <v>16.55</v>
      </c>
      <c r="I91">
        <v>7</v>
      </c>
      <c r="J91">
        <v>0</v>
      </c>
      <c r="K91">
        <v>20</v>
      </c>
      <c r="L91">
        <v>7</v>
      </c>
      <c r="N91">
        <v>3</v>
      </c>
      <c r="O91">
        <v>10</v>
      </c>
      <c r="P91">
        <v>4</v>
      </c>
      <c r="Q91">
        <v>2</v>
      </c>
      <c r="R91">
        <v>59.55</v>
      </c>
      <c r="S91">
        <v>14</v>
      </c>
      <c r="T91">
        <v>14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14</v>
      </c>
      <c r="AB91">
        <v>6</v>
      </c>
      <c r="AC91">
        <v>0</v>
      </c>
      <c r="AF91" t="s">
        <v>130</v>
      </c>
      <c r="AG91" t="s">
        <v>130</v>
      </c>
      <c r="AH91">
        <v>79.55</v>
      </c>
    </row>
    <row r="92" spans="1:34" x14ac:dyDescent="0.3">
      <c r="A92" s="4">
        <v>233</v>
      </c>
      <c r="B92" s="5">
        <v>85</v>
      </c>
      <c r="C92">
        <v>11093</v>
      </c>
      <c r="D92" t="s">
        <v>11124</v>
      </c>
      <c r="E92" t="s">
        <v>11125</v>
      </c>
      <c r="F92" t="s">
        <v>1806</v>
      </c>
      <c r="G92" t="s">
        <v>11126</v>
      </c>
      <c r="H92">
        <v>16.100000000000001</v>
      </c>
      <c r="I92">
        <v>0</v>
      </c>
      <c r="J92">
        <v>0</v>
      </c>
      <c r="K92">
        <v>20</v>
      </c>
      <c r="L92">
        <v>7</v>
      </c>
      <c r="O92">
        <v>7</v>
      </c>
      <c r="P92">
        <v>4</v>
      </c>
      <c r="Q92">
        <v>2</v>
      </c>
      <c r="R92">
        <v>49.1</v>
      </c>
      <c r="S92">
        <v>30</v>
      </c>
      <c r="T92">
        <v>30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30</v>
      </c>
      <c r="AB92">
        <v>0</v>
      </c>
      <c r="AC92">
        <v>0</v>
      </c>
      <c r="AF92" t="s">
        <v>130</v>
      </c>
      <c r="AG92" t="s">
        <v>130</v>
      </c>
      <c r="AH92">
        <v>79.099999999999994</v>
      </c>
    </row>
    <row r="93" spans="1:34" x14ac:dyDescent="0.3">
      <c r="A93" s="4">
        <v>234</v>
      </c>
      <c r="B93" s="5">
        <v>86</v>
      </c>
      <c r="C93">
        <v>6742</v>
      </c>
      <c r="D93" t="s">
        <v>8306</v>
      </c>
      <c r="E93" t="s">
        <v>149</v>
      </c>
      <c r="F93" t="s">
        <v>38</v>
      </c>
      <c r="G93" t="s">
        <v>11127</v>
      </c>
      <c r="H93">
        <v>20.7</v>
      </c>
      <c r="I93">
        <v>0</v>
      </c>
      <c r="J93">
        <v>0</v>
      </c>
      <c r="K93">
        <v>20</v>
      </c>
      <c r="L93">
        <v>7</v>
      </c>
      <c r="N93">
        <v>3</v>
      </c>
      <c r="O93">
        <v>10</v>
      </c>
      <c r="P93">
        <v>4</v>
      </c>
      <c r="Q93">
        <v>2</v>
      </c>
      <c r="R93">
        <v>56.7</v>
      </c>
      <c r="S93">
        <v>22</v>
      </c>
      <c r="T93">
        <v>22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22</v>
      </c>
      <c r="AB93">
        <v>0</v>
      </c>
      <c r="AC93">
        <v>0</v>
      </c>
      <c r="AF93" t="s">
        <v>130</v>
      </c>
      <c r="AG93" t="s">
        <v>130</v>
      </c>
      <c r="AH93">
        <v>78.7</v>
      </c>
    </row>
    <row r="94" spans="1:34" x14ac:dyDescent="0.3">
      <c r="A94" s="4">
        <v>235</v>
      </c>
      <c r="B94" s="5">
        <v>87</v>
      </c>
      <c r="C94">
        <v>13434</v>
      </c>
      <c r="D94" t="s">
        <v>5059</v>
      </c>
      <c r="E94" t="s">
        <v>471</v>
      </c>
      <c r="F94" t="s">
        <v>975</v>
      </c>
      <c r="G94" t="s">
        <v>11128</v>
      </c>
      <c r="H94">
        <v>17.93</v>
      </c>
      <c r="I94">
        <v>0</v>
      </c>
      <c r="J94">
        <v>0</v>
      </c>
      <c r="K94">
        <v>20</v>
      </c>
      <c r="N94">
        <v>3</v>
      </c>
      <c r="O94">
        <v>3</v>
      </c>
      <c r="P94">
        <v>4</v>
      </c>
      <c r="Q94">
        <v>0</v>
      </c>
      <c r="R94">
        <v>44.93</v>
      </c>
      <c r="S94">
        <v>33</v>
      </c>
      <c r="T94">
        <v>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33</v>
      </c>
      <c r="AB94">
        <v>0</v>
      </c>
      <c r="AC94">
        <v>0</v>
      </c>
      <c r="AF94" t="s">
        <v>130</v>
      </c>
      <c r="AG94" t="s">
        <v>130</v>
      </c>
      <c r="AH94">
        <v>77.930000000000007</v>
      </c>
    </row>
    <row r="95" spans="1:34" x14ac:dyDescent="0.3">
      <c r="A95" s="4">
        <v>236</v>
      </c>
      <c r="B95" s="5">
        <v>88</v>
      </c>
      <c r="C95">
        <v>9495</v>
      </c>
      <c r="D95" t="s">
        <v>11129</v>
      </c>
      <c r="E95" t="s">
        <v>166</v>
      </c>
      <c r="F95" t="s">
        <v>17</v>
      </c>
      <c r="G95" t="s">
        <v>11130</v>
      </c>
      <c r="H95">
        <v>23.83</v>
      </c>
      <c r="I95">
        <v>0</v>
      </c>
      <c r="J95">
        <v>40</v>
      </c>
      <c r="K95">
        <v>0</v>
      </c>
      <c r="L95">
        <v>7</v>
      </c>
      <c r="N95">
        <v>3</v>
      </c>
      <c r="O95">
        <v>10</v>
      </c>
      <c r="P95">
        <v>4</v>
      </c>
      <c r="Q95">
        <v>0</v>
      </c>
      <c r="R95">
        <v>77.83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F95" t="s">
        <v>130</v>
      </c>
      <c r="AG95" t="s">
        <v>130</v>
      </c>
      <c r="AH95">
        <v>77.83</v>
      </c>
    </row>
    <row r="96" spans="1:34" x14ac:dyDescent="0.3">
      <c r="A96" s="4">
        <v>237</v>
      </c>
      <c r="B96" s="5">
        <v>89</v>
      </c>
      <c r="C96">
        <v>1250</v>
      </c>
      <c r="D96" t="s">
        <v>5094</v>
      </c>
      <c r="E96" t="s">
        <v>255</v>
      </c>
      <c r="F96" t="s">
        <v>91</v>
      </c>
      <c r="G96" t="s">
        <v>11131</v>
      </c>
      <c r="H96">
        <v>19.45</v>
      </c>
      <c r="I96">
        <v>0</v>
      </c>
      <c r="J96">
        <v>0</v>
      </c>
      <c r="K96">
        <v>20</v>
      </c>
      <c r="L96">
        <v>7</v>
      </c>
      <c r="N96">
        <v>3</v>
      </c>
      <c r="O96">
        <v>10</v>
      </c>
      <c r="P96">
        <v>4</v>
      </c>
      <c r="Q96">
        <v>0</v>
      </c>
      <c r="R96">
        <v>53.45</v>
      </c>
      <c r="S96">
        <v>18</v>
      </c>
      <c r="T96">
        <v>18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18</v>
      </c>
      <c r="AB96">
        <v>6</v>
      </c>
      <c r="AC96">
        <v>0</v>
      </c>
      <c r="AF96" t="s">
        <v>130</v>
      </c>
      <c r="AG96" t="s">
        <v>130</v>
      </c>
      <c r="AH96">
        <v>77.45</v>
      </c>
    </row>
    <row r="97" spans="1:34" x14ac:dyDescent="0.3">
      <c r="A97" s="4">
        <v>238</v>
      </c>
      <c r="B97" s="5">
        <v>90</v>
      </c>
      <c r="C97">
        <v>8581</v>
      </c>
      <c r="D97" t="s">
        <v>7768</v>
      </c>
      <c r="E97" t="s">
        <v>11132</v>
      </c>
      <c r="F97" t="s">
        <v>17</v>
      </c>
      <c r="G97" t="s">
        <v>11133</v>
      </c>
      <c r="H97">
        <v>20.28</v>
      </c>
      <c r="I97">
        <v>0</v>
      </c>
      <c r="J97">
        <v>0</v>
      </c>
      <c r="K97">
        <v>28</v>
      </c>
      <c r="L97">
        <v>7</v>
      </c>
      <c r="O97">
        <v>7</v>
      </c>
      <c r="P97">
        <v>4</v>
      </c>
      <c r="Q97">
        <v>2</v>
      </c>
      <c r="R97">
        <v>61.28</v>
      </c>
      <c r="S97">
        <v>16</v>
      </c>
      <c r="T97">
        <v>16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16</v>
      </c>
      <c r="AB97">
        <v>0</v>
      </c>
      <c r="AC97">
        <v>0</v>
      </c>
      <c r="AF97" t="s">
        <v>130</v>
      </c>
      <c r="AG97" t="s">
        <v>130</v>
      </c>
      <c r="AH97">
        <v>77.28</v>
      </c>
    </row>
    <row r="98" spans="1:34" x14ac:dyDescent="0.3">
      <c r="A98" s="4">
        <v>239</v>
      </c>
      <c r="B98" s="5">
        <v>91</v>
      </c>
      <c r="C98">
        <v>11791</v>
      </c>
      <c r="D98" t="s">
        <v>3508</v>
      </c>
      <c r="E98" t="s">
        <v>471</v>
      </c>
      <c r="F98" t="s">
        <v>17</v>
      </c>
      <c r="G98" t="s">
        <v>11134</v>
      </c>
      <c r="H98">
        <v>22.2</v>
      </c>
      <c r="I98">
        <v>7</v>
      </c>
      <c r="J98">
        <v>0</v>
      </c>
      <c r="K98">
        <v>20</v>
      </c>
      <c r="L98">
        <v>7</v>
      </c>
      <c r="N98">
        <v>3</v>
      </c>
      <c r="O98">
        <v>10</v>
      </c>
      <c r="P98">
        <v>0</v>
      </c>
      <c r="Q98">
        <v>0</v>
      </c>
      <c r="R98">
        <v>59.2</v>
      </c>
      <c r="S98">
        <v>18</v>
      </c>
      <c r="T98">
        <v>18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18</v>
      </c>
      <c r="AB98">
        <v>0</v>
      </c>
      <c r="AC98">
        <v>0</v>
      </c>
      <c r="AF98" t="s">
        <v>130</v>
      </c>
      <c r="AG98" t="s">
        <v>130</v>
      </c>
      <c r="AH98">
        <v>77.2</v>
      </c>
    </row>
    <row r="99" spans="1:34" x14ac:dyDescent="0.3">
      <c r="A99" s="4">
        <v>240</v>
      </c>
      <c r="B99" s="5">
        <v>92</v>
      </c>
      <c r="C99">
        <v>9260</v>
      </c>
      <c r="D99" t="s">
        <v>2534</v>
      </c>
      <c r="E99" t="s">
        <v>54</v>
      </c>
      <c r="F99" t="s">
        <v>20</v>
      </c>
      <c r="G99" t="s">
        <v>11135</v>
      </c>
      <c r="H99">
        <v>22.15</v>
      </c>
      <c r="I99">
        <v>7</v>
      </c>
      <c r="J99">
        <v>0</v>
      </c>
      <c r="K99">
        <v>20</v>
      </c>
      <c r="L99">
        <v>7</v>
      </c>
      <c r="N99">
        <v>3</v>
      </c>
      <c r="O99">
        <v>10</v>
      </c>
      <c r="P99">
        <v>0</v>
      </c>
      <c r="Q99">
        <v>0</v>
      </c>
      <c r="R99">
        <v>59.15</v>
      </c>
      <c r="S99">
        <v>18</v>
      </c>
      <c r="T99">
        <v>18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18</v>
      </c>
      <c r="AB99">
        <v>0</v>
      </c>
      <c r="AC99">
        <v>0</v>
      </c>
      <c r="AF99" t="s">
        <v>130</v>
      </c>
      <c r="AG99" t="s">
        <v>130</v>
      </c>
      <c r="AH99">
        <v>77.150000000000006</v>
      </c>
    </row>
    <row r="100" spans="1:34" x14ac:dyDescent="0.3">
      <c r="A100" s="4">
        <v>241</v>
      </c>
      <c r="B100" s="5">
        <v>93</v>
      </c>
      <c r="C100">
        <v>5018</v>
      </c>
      <c r="D100" t="s">
        <v>971</v>
      </c>
      <c r="E100" t="s">
        <v>88</v>
      </c>
      <c r="F100" t="s">
        <v>17</v>
      </c>
      <c r="G100" t="s">
        <v>11136</v>
      </c>
      <c r="H100">
        <v>22.65</v>
      </c>
      <c r="I100">
        <v>7</v>
      </c>
      <c r="J100">
        <v>0</v>
      </c>
      <c r="K100">
        <v>20</v>
      </c>
      <c r="L100">
        <v>7</v>
      </c>
      <c r="O100">
        <v>7</v>
      </c>
      <c r="P100">
        <v>4</v>
      </c>
      <c r="Q100">
        <v>2</v>
      </c>
      <c r="R100">
        <v>62.65</v>
      </c>
      <c r="S100">
        <v>14</v>
      </c>
      <c r="T100">
        <v>14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14</v>
      </c>
      <c r="AB100">
        <v>0</v>
      </c>
      <c r="AC100">
        <v>0</v>
      </c>
      <c r="AF100" t="s">
        <v>130</v>
      </c>
      <c r="AG100" t="s">
        <v>130</v>
      </c>
      <c r="AH100">
        <v>76.650000000000006</v>
      </c>
    </row>
    <row r="101" spans="1:34" x14ac:dyDescent="0.3">
      <c r="A101" s="4">
        <v>242</v>
      </c>
      <c r="B101" s="5">
        <v>94</v>
      </c>
      <c r="C101">
        <v>13147</v>
      </c>
      <c r="D101" t="s">
        <v>4968</v>
      </c>
      <c r="E101" t="s">
        <v>29</v>
      </c>
      <c r="F101" t="s">
        <v>393</v>
      </c>
      <c r="G101" t="s">
        <v>11137</v>
      </c>
      <c r="H101">
        <v>16.43</v>
      </c>
      <c r="I101">
        <v>0</v>
      </c>
      <c r="J101">
        <v>0</v>
      </c>
      <c r="K101">
        <v>20</v>
      </c>
      <c r="L101">
        <v>7</v>
      </c>
      <c r="O101">
        <v>7</v>
      </c>
      <c r="P101">
        <v>4</v>
      </c>
      <c r="Q101">
        <v>0</v>
      </c>
      <c r="R101">
        <v>47.43</v>
      </c>
      <c r="S101">
        <v>29</v>
      </c>
      <c r="T101">
        <v>29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29</v>
      </c>
      <c r="AB101">
        <v>0</v>
      </c>
      <c r="AC101">
        <v>0</v>
      </c>
      <c r="AF101" t="s">
        <v>130</v>
      </c>
      <c r="AG101" t="s">
        <v>130</v>
      </c>
      <c r="AH101">
        <v>76.430000000000007</v>
      </c>
    </row>
    <row r="102" spans="1:34" x14ac:dyDescent="0.3">
      <c r="A102" s="4">
        <v>243</v>
      </c>
      <c r="B102" s="5">
        <v>95</v>
      </c>
      <c r="C102">
        <v>7586</v>
      </c>
      <c r="D102" t="s">
        <v>11138</v>
      </c>
      <c r="E102" t="s">
        <v>166</v>
      </c>
      <c r="F102" t="s">
        <v>17</v>
      </c>
      <c r="G102" t="s">
        <v>11139</v>
      </c>
      <c r="H102">
        <v>19.23</v>
      </c>
      <c r="I102">
        <v>7</v>
      </c>
      <c r="J102">
        <v>0</v>
      </c>
      <c r="K102">
        <v>20</v>
      </c>
      <c r="L102">
        <v>7</v>
      </c>
      <c r="M102">
        <v>5</v>
      </c>
      <c r="O102">
        <v>12</v>
      </c>
      <c r="P102">
        <v>4</v>
      </c>
      <c r="Q102">
        <v>2</v>
      </c>
      <c r="R102">
        <v>64.23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12</v>
      </c>
      <c r="AC102">
        <v>0</v>
      </c>
      <c r="AF102" t="s">
        <v>130</v>
      </c>
      <c r="AG102" t="s">
        <v>130</v>
      </c>
      <c r="AH102">
        <v>76.23</v>
      </c>
    </row>
    <row r="103" spans="1:34" x14ac:dyDescent="0.3">
      <c r="A103" s="4">
        <v>244</v>
      </c>
      <c r="B103" s="5">
        <v>96</v>
      </c>
      <c r="C103">
        <v>10740</v>
      </c>
      <c r="D103" t="s">
        <v>4672</v>
      </c>
      <c r="E103" t="s">
        <v>88</v>
      </c>
      <c r="F103" t="s">
        <v>136</v>
      </c>
      <c r="G103" t="s">
        <v>11140</v>
      </c>
      <c r="H103">
        <v>18.73</v>
      </c>
      <c r="I103">
        <v>0</v>
      </c>
      <c r="J103">
        <v>0</v>
      </c>
      <c r="K103">
        <v>28</v>
      </c>
      <c r="L103">
        <v>7</v>
      </c>
      <c r="O103">
        <v>7</v>
      </c>
      <c r="P103">
        <v>4</v>
      </c>
      <c r="Q103">
        <v>0</v>
      </c>
      <c r="R103">
        <v>57.73</v>
      </c>
      <c r="S103">
        <v>18</v>
      </c>
      <c r="T103">
        <v>18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18</v>
      </c>
      <c r="AB103">
        <v>0</v>
      </c>
      <c r="AC103">
        <v>0</v>
      </c>
      <c r="AD103" t="s">
        <v>130</v>
      </c>
      <c r="AF103" t="s">
        <v>130</v>
      </c>
      <c r="AG103" t="s">
        <v>130</v>
      </c>
      <c r="AH103">
        <v>75.73</v>
      </c>
    </row>
    <row r="104" spans="1:34" x14ac:dyDescent="0.3">
      <c r="A104" s="4">
        <v>245</v>
      </c>
      <c r="B104" s="5">
        <v>97</v>
      </c>
      <c r="C104">
        <v>2817</v>
      </c>
      <c r="D104" t="s">
        <v>11141</v>
      </c>
      <c r="E104" t="s">
        <v>6779</v>
      </c>
      <c r="F104" t="s">
        <v>124</v>
      </c>
      <c r="G104" t="s">
        <v>11142</v>
      </c>
      <c r="H104">
        <v>19.48</v>
      </c>
      <c r="I104">
        <v>0</v>
      </c>
      <c r="J104">
        <v>0</v>
      </c>
      <c r="K104">
        <v>20</v>
      </c>
      <c r="L104">
        <v>14</v>
      </c>
      <c r="O104">
        <v>14</v>
      </c>
      <c r="P104">
        <v>4</v>
      </c>
      <c r="Q104">
        <v>2</v>
      </c>
      <c r="R104">
        <v>59.48</v>
      </c>
      <c r="S104">
        <v>16</v>
      </c>
      <c r="T104">
        <v>16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16</v>
      </c>
      <c r="AB104">
        <v>0</v>
      </c>
      <c r="AC104">
        <v>0</v>
      </c>
      <c r="AF104" t="s">
        <v>130</v>
      </c>
      <c r="AG104" t="s">
        <v>130</v>
      </c>
      <c r="AH104">
        <v>75.48</v>
      </c>
    </row>
    <row r="105" spans="1:34" x14ac:dyDescent="0.3">
      <c r="A105" s="4">
        <v>246</v>
      </c>
      <c r="B105" s="5">
        <v>98</v>
      </c>
      <c r="C105">
        <v>10439</v>
      </c>
      <c r="D105" t="s">
        <v>5512</v>
      </c>
      <c r="E105" t="s">
        <v>964</v>
      </c>
      <c r="F105" t="s">
        <v>17</v>
      </c>
      <c r="G105" t="s">
        <v>11143</v>
      </c>
      <c r="H105">
        <v>22.98</v>
      </c>
      <c r="I105">
        <v>0</v>
      </c>
      <c r="J105">
        <v>0</v>
      </c>
      <c r="K105">
        <v>20</v>
      </c>
      <c r="L105">
        <v>7</v>
      </c>
      <c r="N105">
        <v>3</v>
      </c>
      <c r="O105">
        <v>10</v>
      </c>
      <c r="P105">
        <v>4</v>
      </c>
      <c r="Q105">
        <v>2</v>
      </c>
      <c r="R105">
        <v>58.98</v>
      </c>
      <c r="S105">
        <v>12</v>
      </c>
      <c r="T105">
        <v>12</v>
      </c>
      <c r="U105">
        <v>0</v>
      </c>
      <c r="V105">
        <v>0</v>
      </c>
      <c r="W105">
        <v>3</v>
      </c>
      <c r="X105">
        <v>4.5</v>
      </c>
      <c r="Y105">
        <v>0</v>
      </c>
      <c r="Z105">
        <v>0</v>
      </c>
      <c r="AA105">
        <v>16.5</v>
      </c>
      <c r="AB105">
        <v>0</v>
      </c>
      <c r="AC105">
        <v>0</v>
      </c>
      <c r="AF105" t="s">
        <v>130</v>
      </c>
      <c r="AG105" t="s">
        <v>130</v>
      </c>
      <c r="AH105">
        <v>75.48</v>
      </c>
    </row>
    <row r="106" spans="1:34" x14ac:dyDescent="0.3">
      <c r="A106" s="4">
        <v>247</v>
      </c>
      <c r="B106" s="5">
        <v>99</v>
      </c>
      <c r="C106">
        <v>11399</v>
      </c>
      <c r="D106" t="s">
        <v>11144</v>
      </c>
      <c r="E106" t="s">
        <v>4843</v>
      </c>
      <c r="F106" t="s">
        <v>3968</v>
      </c>
      <c r="G106" t="s">
        <v>32000</v>
      </c>
      <c r="H106">
        <v>20.23</v>
      </c>
      <c r="I106">
        <v>7</v>
      </c>
      <c r="J106">
        <v>0</v>
      </c>
      <c r="K106">
        <v>20</v>
      </c>
      <c r="L106">
        <v>7</v>
      </c>
      <c r="O106">
        <v>7</v>
      </c>
      <c r="P106">
        <v>4</v>
      </c>
      <c r="Q106">
        <v>0</v>
      </c>
      <c r="R106">
        <v>58.23</v>
      </c>
      <c r="S106">
        <v>17</v>
      </c>
      <c r="T106">
        <v>17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17</v>
      </c>
      <c r="AB106">
        <v>0</v>
      </c>
      <c r="AC106">
        <v>0</v>
      </c>
      <c r="AF106" t="s">
        <v>130</v>
      </c>
      <c r="AG106" t="s">
        <v>130</v>
      </c>
      <c r="AH106">
        <v>75.23</v>
      </c>
    </row>
    <row r="107" spans="1:34" x14ac:dyDescent="0.3">
      <c r="A107" s="4">
        <v>248</v>
      </c>
      <c r="B107" s="5">
        <v>100</v>
      </c>
      <c r="C107">
        <v>10354</v>
      </c>
      <c r="D107" t="s">
        <v>6852</v>
      </c>
      <c r="E107" t="s">
        <v>54</v>
      </c>
      <c r="F107" t="s">
        <v>11145</v>
      </c>
      <c r="G107">
        <v>858076</v>
      </c>
      <c r="H107">
        <v>22.05</v>
      </c>
      <c r="I107">
        <v>7</v>
      </c>
      <c r="J107">
        <v>0</v>
      </c>
      <c r="K107">
        <v>28</v>
      </c>
      <c r="L107">
        <v>7</v>
      </c>
      <c r="O107">
        <v>7</v>
      </c>
      <c r="P107">
        <v>4</v>
      </c>
      <c r="Q107">
        <v>0</v>
      </c>
      <c r="R107">
        <v>68.05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6</v>
      </c>
      <c r="AC107">
        <v>0</v>
      </c>
      <c r="AF107" t="s">
        <v>130</v>
      </c>
      <c r="AG107" t="s">
        <v>130</v>
      </c>
      <c r="AH107">
        <v>74.05</v>
      </c>
    </row>
    <row r="108" spans="1:34" x14ac:dyDescent="0.3">
      <c r="A108" s="4">
        <v>250</v>
      </c>
      <c r="B108" s="5">
        <v>101</v>
      </c>
      <c r="C108">
        <v>12657</v>
      </c>
      <c r="D108" t="s">
        <v>2416</v>
      </c>
      <c r="E108" t="s">
        <v>1242</v>
      </c>
      <c r="F108" t="s">
        <v>81</v>
      </c>
      <c r="G108" t="s">
        <v>11147</v>
      </c>
      <c r="H108">
        <v>20.83</v>
      </c>
      <c r="I108">
        <v>0</v>
      </c>
      <c r="J108">
        <v>0</v>
      </c>
      <c r="K108">
        <v>20</v>
      </c>
      <c r="L108">
        <v>7</v>
      </c>
      <c r="M108">
        <v>5</v>
      </c>
      <c r="O108">
        <v>12</v>
      </c>
      <c r="P108">
        <v>4</v>
      </c>
      <c r="Q108">
        <v>2</v>
      </c>
      <c r="R108">
        <v>58.83</v>
      </c>
      <c r="S108">
        <v>15</v>
      </c>
      <c r="T108">
        <v>15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15</v>
      </c>
      <c r="AB108">
        <v>0</v>
      </c>
      <c r="AC108">
        <v>0</v>
      </c>
      <c r="AF108" t="s">
        <v>130</v>
      </c>
      <c r="AG108" t="s">
        <v>130</v>
      </c>
      <c r="AH108">
        <v>73.83</v>
      </c>
    </row>
    <row r="109" spans="1:34" x14ac:dyDescent="0.3">
      <c r="A109" s="4">
        <v>251</v>
      </c>
      <c r="B109" s="5">
        <v>102</v>
      </c>
      <c r="C109">
        <v>538</v>
      </c>
      <c r="D109" t="s">
        <v>8308</v>
      </c>
      <c r="E109" t="s">
        <v>9158</v>
      </c>
      <c r="F109" t="s">
        <v>34</v>
      </c>
      <c r="G109">
        <v>318964</v>
      </c>
      <c r="H109">
        <v>17.649999999999999</v>
      </c>
      <c r="I109">
        <v>0</v>
      </c>
      <c r="J109">
        <v>0</v>
      </c>
      <c r="K109">
        <v>20</v>
      </c>
      <c r="L109">
        <v>7</v>
      </c>
      <c r="O109">
        <v>7</v>
      </c>
      <c r="P109">
        <v>4</v>
      </c>
      <c r="Q109">
        <v>0</v>
      </c>
      <c r="R109">
        <v>48.65</v>
      </c>
      <c r="S109">
        <v>25</v>
      </c>
      <c r="T109">
        <v>25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25</v>
      </c>
      <c r="AB109">
        <v>0</v>
      </c>
      <c r="AC109">
        <v>0</v>
      </c>
      <c r="AF109" t="s">
        <v>130</v>
      </c>
      <c r="AG109" t="s">
        <v>130</v>
      </c>
      <c r="AH109">
        <v>73.650000000000006</v>
      </c>
    </row>
    <row r="110" spans="1:34" x14ac:dyDescent="0.3">
      <c r="A110" s="4">
        <v>252</v>
      </c>
      <c r="B110" s="5">
        <v>103</v>
      </c>
      <c r="C110">
        <v>1823</v>
      </c>
      <c r="D110" t="s">
        <v>1260</v>
      </c>
      <c r="E110" t="s">
        <v>132</v>
      </c>
      <c r="F110" t="s">
        <v>38</v>
      </c>
      <c r="G110" t="s">
        <v>11148</v>
      </c>
      <c r="H110">
        <v>20.53</v>
      </c>
      <c r="I110">
        <v>0</v>
      </c>
      <c r="J110">
        <v>0</v>
      </c>
      <c r="K110">
        <v>20</v>
      </c>
      <c r="N110">
        <v>3</v>
      </c>
      <c r="O110">
        <v>3</v>
      </c>
      <c r="P110">
        <v>4</v>
      </c>
      <c r="Q110">
        <v>2</v>
      </c>
      <c r="R110">
        <v>49.53</v>
      </c>
      <c r="S110">
        <v>18</v>
      </c>
      <c r="T110">
        <v>18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18</v>
      </c>
      <c r="AB110">
        <v>6</v>
      </c>
      <c r="AC110">
        <v>0</v>
      </c>
      <c r="AF110" t="s">
        <v>130</v>
      </c>
      <c r="AG110" t="s">
        <v>130</v>
      </c>
      <c r="AH110">
        <v>73.53</v>
      </c>
    </row>
    <row r="111" spans="1:34" x14ac:dyDescent="0.3">
      <c r="A111" s="4">
        <v>253</v>
      </c>
      <c r="B111" s="5">
        <v>104</v>
      </c>
      <c r="C111">
        <v>8272</v>
      </c>
      <c r="D111" t="s">
        <v>11149</v>
      </c>
      <c r="E111" t="s">
        <v>29</v>
      </c>
      <c r="F111" t="s">
        <v>230</v>
      </c>
      <c r="G111" t="s">
        <v>11150</v>
      </c>
      <c r="H111">
        <v>20.5</v>
      </c>
      <c r="I111">
        <v>0</v>
      </c>
      <c r="J111">
        <v>0</v>
      </c>
      <c r="K111">
        <v>20</v>
      </c>
      <c r="M111">
        <v>5</v>
      </c>
      <c r="O111">
        <v>5</v>
      </c>
      <c r="P111">
        <v>4</v>
      </c>
      <c r="Q111">
        <v>2</v>
      </c>
      <c r="R111">
        <v>51.5</v>
      </c>
      <c r="S111">
        <v>22</v>
      </c>
      <c r="T111">
        <v>22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22</v>
      </c>
      <c r="AB111">
        <v>0</v>
      </c>
      <c r="AC111">
        <v>0</v>
      </c>
      <c r="AF111" t="s">
        <v>130</v>
      </c>
      <c r="AG111" t="s">
        <v>130</v>
      </c>
      <c r="AH111">
        <v>73.5</v>
      </c>
    </row>
    <row r="112" spans="1:34" x14ac:dyDescent="0.3">
      <c r="A112" s="4">
        <v>254</v>
      </c>
      <c r="B112" s="5">
        <v>105</v>
      </c>
      <c r="C112">
        <v>12356</v>
      </c>
      <c r="D112" t="s">
        <v>11151</v>
      </c>
      <c r="E112" t="s">
        <v>29</v>
      </c>
      <c r="F112" t="s">
        <v>5614</v>
      </c>
      <c r="G112" t="s">
        <v>11152</v>
      </c>
      <c r="H112">
        <v>19.28</v>
      </c>
      <c r="I112">
        <v>0</v>
      </c>
      <c r="J112">
        <v>0</v>
      </c>
      <c r="K112">
        <v>20</v>
      </c>
      <c r="L112">
        <v>14</v>
      </c>
      <c r="O112">
        <v>14</v>
      </c>
      <c r="P112">
        <v>4</v>
      </c>
      <c r="Q112">
        <v>0</v>
      </c>
      <c r="R112">
        <v>57.28</v>
      </c>
      <c r="S112">
        <v>10</v>
      </c>
      <c r="T112">
        <v>10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10</v>
      </c>
      <c r="AB112">
        <v>6</v>
      </c>
      <c r="AC112">
        <v>0</v>
      </c>
      <c r="AD112" t="s">
        <v>130</v>
      </c>
      <c r="AF112" t="s">
        <v>130</v>
      </c>
      <c r="AG112" t="s">
        <v>130</v>
      </c>
      <c r="AH112">
        <v>73.28</v>
      </c>
    </row>
    <row r="113" spans="1:34" x14ac:dyDescent="0.3">
      <c r="A113" s="4">
        <v>255</v>
      </c>
      <c r="B113" s="5">
        <v>106</v>
      </c>
      <c r="C113">
        <v>5724</v>
      </c>
      <c r="D113" t="s">
        <v>11153</v>
      </c>
      <c r="E113" t="s">
        <v>132</v>
      </c>
      <c r="F113" t="s">
        <v>17</v>
      </c>
      <c r="G113" t="s">
        <v>11154</v>
      </c>
      <c r="H113">
        <v>20.399999999999999</v>
      </c>
      <c r="I113">
        <v>0</v>
      </c>
      <c r="J113">
        <v>0</v>
      </c>
      <c r="K113">
        <v>20</v>
      </c>
      <c r="N113">
        <v>3</v>
      </c>
      <c r="O113">
        <v>3</v>
      </c>
      <c r="P113">
        <v>4</v>
      </c>
      <c r="Q113">
        <v>2</v>
      </c>
      <c r="R113">
        <v>49.4</v>
      </c>
      <c r="S113">
        <v>20</v>
      </c>
      <c r="T113">
        <v>20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20</v>
      </c>
      <c r="AB113">
        <v>3</v>
      </c>
      <c r="AC113">
        <v>0</v>
      </c>
      <c r="AF113" t="s">
        <v>130</v>
      </c>
      <c r="AG113" t="s">
        <v>130</v>
      </c>
      <c r="AH113">
        <v>72.400000000000006</v>
      </c>
    </row>
    <row r="114" spans="1:34" x14ac:dyDescent="0.3">
      <c r="A114" s="4">
        <v>256</v>
      </c>
      <c r="B114" s="5">
        <v>107</v>
      </c>
      <c r="C114">
        <v>4032</v>
      </c>
      <c r="D114" t="s">
        <v>11155</v>
      </c>
      <c r="E114" t="s">
        <v>29</v>
      </c>
      <c r="F114" t="s">
        <v>17</v>
      </c>
      <c r="G114" t="s">
        <v>11156</v>
      </c>
      <c r="H114">
        <v>20</v>
      </c>
      <c r="I114">
        <v>0</v>
      </c>
      <c r="J114">
        <v>0</v>
      </c>
      <c r="K114">
        <v>20</v>
      </c>
      <c r="L114">
        <v>7</v>
      </c>
      <c r="N114">
        <v>3</v>
      </c>
      <c r="O114">
        <v>10</v>
      </c>
      <c r="P114">
        <v>4</v>
      </c>
      <c r="Q114">
        <v>0</v>
      </c>
      <c r="R114">
        <v>54</v>
      </c>
      <c r="S114">
        <v>18</v>
      </c>
      <c r="T114">
        <v>18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18</v>
      </c>
      <c r="AB114">
        <v>0</v>
      </c>
      <c r="AC114">
        <v>0</v>
      </c>
      <c r="AF114" t="s">
        <v>130</v>
      </c>
      <c r="AG114" t="s">
        <v>130</v>
      </c>
      <c r="AH114">
        <v>72</v>
      </c>
    </row>
    <row r="115" spans="1:34" x14ac:dyDescent="0.3">
      <c r="A115" s="4">
        <v>257</v>
      </c>
      <c r="B115" s="5">
        <v>108</v>
      </c>
      <c r="C115">
        <v>7155</v>
      </c>
      <c r="D115" t="s">
        <v>4597</v>
      </c>
      <c r="E115" t="s">
        <v>54</v>
      </c>
      <c r="F115" t="s">
        <v>68</v>
      </c>
      <c r="G115" t="s">
        <v>11157</v>
      </c>
      <c r="H115">
        <v>19.25</v>
      </c>
      <c r="I115">
        <v>0</v>
      </c>
      <c r="J115">
        <v>0</v>
      </c>
      <c r="K115">
        <v>20</v>
      </c>
      <c r="L115">
        <v>7</v>
      </c>
      <c r="O115">
        <v>7</v>
      </c>
      <c r="P115">
        <v>4</v>
      </c>
      <c r="Q115">
        <v>0</v>
      </c>
      <c r="R115">
        <v>50.25</v>
      </c>
      <c r="S115">
        <v>15</v>
      </c>
      <c r="T115">
        <v>15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15</v>
      </c>
      <c r="AB115">
        <v>6</v>
      </c>
      <c r="AC115">
        <v>0</v>
      </c>
      <c r="AF115" t="s">
        <v>130</v>
      </c>
      <c r="AG115" t="s">
        <v>130</v>
      </c>
      <c r="AH115">
        <v>71.25</v>
      </c>
    </row>
    <row r="116" spans="1:34" x14ac:dyDescent="0.3">
      <c r="A116" s="4">
        <v>258</v>
      </c>
      <c r="B116" s="5">
        <v>109</v>
      </c>
      <c r="C116">
        <v>13688</v>
      </c>
      <c r="D116" t="s">
        <v>11158</v>
      </c>
      <c r="E116" t="s">
        <v>33</v>
      </c>
      <c r="F116" t="s">
        <v>11159</v>
      </c>
      <c r="G116" t="s">
        <v>11160</v>
      </c>
      <c r="H116">
        <v>17.55</v>
      </c>
      <c r="I116">
        <v>0</v>
      </c>
      <c r="J116">
        <v>0</v>
      </c>
      <c r="K116">
        <v>20</v>
      </c>
      <c r="L116">
        <v>7</v>
      </c>
      <c r="N116">
        <v>3</v>
      </c>
      <c r="O116">
        <v>10</v>
      </c>
      <c r="P116">
        <v>4</v>
      </c>
      <c r="Q116">
        <v>2</v>
      </c>
      <c r="R116">
        <v>53.55</v>
      </c>
      <c r="S116">
        <v>17</v>
      </c>
      <c r="T116">
        <v>17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17</v>
      </c>
      <c r="AB116">
        <v>0</v>
      </c>
      <c r="AC116">
        <v>0</v>
      </c>
      <c r="AF116" t="s">
        <v>130</v>
      </c>
      <c r="AG116" t="s">
        <v>130</v>
      </c>
      <c r="AH116">
        <v>70.55</v>
      </c>
    </row>
    <row r="117" spans="1:34" x14ac:dyDescent="0.3">
      <c r="A117" s="4">
        <v>259</v>
      </c>
      <c r="B117" s="5">
        <v>110</v>
      </c>
      <c r="C117">
        <v>2772</v>
      </c>
      <c r="D117" t="s">
        <v>11161</v>
      </c>
      <c r="E117" t="s">
        <v>33</v>
      </c>
      <c r="F117" t="s">
        <v>1161</v>
      </c>
      <c r="G117" t="s">
        <v>11162</v>
      </c>
      <c r="H117">
        <v>16.53</v>
      </c>
      <c r="I117">
        <v>7</v>
      </c>
      <c r="J117">
        <v>0</v>
      </c>
      <c r="K117">
        <v>20</v>
      </c>
      <c r="N117">
        <v>3</v>
      </c>
      <c r="O117">
        <v>3</v>
      </c>
      <c r="P117">
        <v>4</v>
      </c>
      <c r="Q117">
        <v>0</v>
      </c>
      <c r="R117">
        <v>50.53</v>
      </c>
      <c r="S117">
        <v>14</v>
      </c>
      <c r="T117">
        <v>14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14</v>
      </c>
      <c r="AB117">
        <v>6</v>
      </c>
      <c r="AC117">
        <v>0</v>
      </c>
      <c r="AF117" t="s">
        <v>130</v>
      </c>
      <c r="AG117" t="s">
        <v>130</v>
      </c>
      <c r="AH117">
        <v>70.53</v>
      </c>
    </row>
    <row r="118" spans="1:34" x14ac:dyDescent="0.3">
      <c r="A118" s="4">
        <v>260</v>
      </c>
      <c r="B118" s="5">
        <v>111</v>
      </c>
      <c r="C118">
        <v>2551</v>
      </c>
      <c r="D118" t="s">
        <v>11163</v>
      </c>
      <c r="E118" t="s">
        <v>29</v>
      </c>
      <c r="F118" t="s">
        <v>243</v>
      </c>
      <c r="G118" t="s">
        <v>11164</v>
      </c>
      <c r="H118">
        <v>16.399999999999999</v>
      </c>
      <c r="I118">
        <v>0</v>
      </c>
      <c r="J118">
        <v>0</v>
      </c>
      <c r="K118">
        <v>20</v>
      </c>
      <c r="L118">
        <v>7</v>
      </c>
      <c r="O118">
        <v>7</v>
      </c>
      <c r="P118">
        <v>4</v>
      </c>
      <c r="Q118">
        <v>2</v>
      </c>
      <c r="R118">
        <v>49.4</v>
      </c>
      <c r="S118">
        <v>18</v>
      </c>
      <c r="T118">
        <v>18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18</v>
      </c>
      <c r="AB118">
        <v>3</v>
      </c>
      <c r="AC118">
        <v>0</v>
      </c>
      <c r="AF118" t="s">
        <v>130</v>
      </c>
      <c r="AG118" t="s">
        <v>130</v>
      </c>
      <c r="AH118">
        <v>70.400000000000006</v>
      </c>
    </row>
    <row r="119" spans="1:34" x14ac:dyDescent="0.3">
      <c r="A119" s="4">
        <v>261</v>
      </c>
      <c r="B119" s="5">
        <v>112</v>
      </c>
      <c r="C119">
        <v>11202</v>
      </c>
      <c r="D119" t="s">
        <v>11165</v>
      </c>
      <c r="E119" t="s">
        <v>2333</v>
      </c>
      <c r="F119" t="s">
        <v>442</v>
      </c>
      <c r="G119" t="s">
        <v>11166</v>
      </c>
      <c r="H119">
        <v>18.95</v>
      </c>
      <c r="I119">
        <v>0</v>
      </c>
      <c r="J119">
        <v>0</v>
      </c>
      <c r="K119">
        <v>20</v>
      </c>
      <c r="L119">
        <v>7</v>
      </c>
      <c r="O119">
        <v>7</v>
      </c>
      <c r="P119">
        <v>4</v>
      </c>
      <c r="Q119">
        <v>2</v>
      </c>
      <c r="R119">
        <v>51.95</v>
      </c>
      <c r="S119">
        <v>18</v>
      </c>
      <c r="T119">
        <v>18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18</v>
      </c>
      <c r="AB119">
        <v>0</v>
      </c>
      <c r="AC119">
        <v>0</v>
      </c>
      <c r="AF119" t="s">
        <v>130</v>
      </c>
      <c r="AG119" t="s">
        <v>130</v>
      </c>
      <c r="AH119">
        <v>69.95</v>
      </c>
    </row>
    <row r="120" spans="1:34" x14ac:dyDescent="0.3">
      <c r="A120" s="4">
        <v>262</v>
      </c>
      <c r="B120" s="5">
        <v>113</v>
      </c>
      <c r="C120">
        <v>8107</v>
      </c>
      <c r="D120" t="s">
        <v>2720</v>
      </c>
      <c r="E120" t="s">
        <v>789</v>
      </c>
      <c r="F120" t="s">
        <v>442</v>
      </c>
      <c r="G120" t="s">
        <v>11167</v>
      </c>
      <c r="H120">
        <v>22.83</v>
      </c>
      <c r="I120">
        <v>7</v>
      </c>
      <c r="J120">
        <v>0</v>
      </c>
      <c r="K120">
        <v>20</v>
      </c>
      <c r="L120">
        <v>14</v>
      </c>
      <c r="O120">
        <v>14</v>
      </c>
      <c r="P120">
        <v>4</v>
      </c>
      <c r="Q120">
        <v>2</v>
      </c>
      <c r="R120">
        <v>69.83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F120" t="s">
        <v>130</v>
      </c>
      <c r="AG120" t="s">
        <v>130</v>
      </c>
      <c r="AH120">
        <v>69.83</v>
      </c>
    </row>
    <row r="121" spans="1:34" x14ac:dyDescent="0.3">
      <c r="A121" s="4">
        <v>263</v>
      </c>
      <c r="B121" s="5">
        <v>114</v>
      </c>
      <c r="C121">
        <v>5475</v>
      </c>
      <c r="D121" t="s">
        <v>4749</v>
      </c>
      <c r="E121" t="s">
        <v>11168</v>
      </c>
      <c r="F121" t="s">
        <v>81</v>
      </c>
      <c r="G121" t="s">
        <v>11169</v>
      </c>
      <c r="H121">
        <v>22.75</v>
      </c>
      <c r="I121">
        <v>7</v>
      </c>
      <c r="J121">
        <v>0</v>
      </c>
      <c r="K121">
        <v>20</v>
      </c>
      <c r="L121">
        <v>7</v>
      </c>
      <c r="O121">
        <v>7</v>
      </c>
      <c r="P121">
        <v>4</v>
      </c>
      <c r="Q121">
        <v>0</v>
      </c>
      <c r="R121">
        <v>60.75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9</v>
      </c>
      <c r="AC121">
        <v>0</v>
      </c>
      <c r="AF121" t="s">
        <v>130</v>
      </c>
      <c r="AG121" t="s">
        <v>130</v>
      </c>
      <c r="AH121">
        <v>69.75</v>
      </c>
    </row>
    <row r="122" spans="1:34" x14ac:dyDescent="0.3">
      <c r="A122" s="4">
        <v>264</v>
      </c>
      <c r="B122" s="5">
        <v>115</v>
      </c>
      <c r="C122">
        <v>9852</v>
      </c>
      <c r="D122" t="s">
        <v>1760</v>
      </c>
      <c r="E122" t="s">
        <v>10521</v>
      </c>
      <c r="F122" t="s">
        <v>30</v>
      </c>
      <c r="G122" t="s">
        <v>11170</v>
      </c>
      <c r="H122">
        <v>22.3</v>
      </c>
      <c r="I122">
        <v>0</v>
      </c>
      <c r="J122">
        <v>0</v>
      </c>
      <c r="K122">
        <v>20</v>
      </c>
      <c r="L122">
        <v>7</v>
      </c>
      <c r="N122">
        <v>3</v>
      </c>
      <c r="O122">
        <v>10</v>
      </c>
      <c r="P122">
        <v>4</v>
      </c>
      <c r="Q122">
        <v>2</v>
      </c>
      <c r="R122">
        <v>58.3</v>
      </c>
      <c r="S122">
        <v>11</v>
      </c>
      <c r="T122">
        <v>11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11</v>
      </c>
      <c r="AB122">
        <v>0</v>
      </c>
      <c r="AC122">
        <v>0</v>
      </c>
      <c r="AF122" t="s">
        <v>130</v>
      </c>
      <c r="AG122" t="s">
        <v>130</v>
      </c>
      <c r="AH122">
        <v>69.3</v>
      </c>
    </row>
    <row r="123" spans="1:34" x14ac:dyDescent="0.3">
      <c r="A123" s="4">
        <v>265</v>
      </c>
      <c r="B123" s="5">
        <v>116</v>
      </c>
      <c r="C123">
        <v>51</v>
      </c>
      <c r="D123" t="s">
        <v>11171</v>
      </c>
      <c r="E123" t="s">
        <v>88</v>
      </c>
      <c r="F123" t="s">
        <v>11172</v>
      </c>
      <c r="G123" t="s">
        <v>11173</v>
      </c>
      <c r="H123">
        <v>19.8</v>
      </c>
      <c r="I123">
        <v>0</v>
      </c>
      <c r="J123">
        <v>0</v>
      </c>
      <c r="K123">
        <v>20</v>
      </c>
      <c r="L123">
        <v>7</v>
      </c>
      <c r="M123">
        <v>5</v>
      </c>
      <c r="O123">
        <v>12</v>
      </c>
      <c r="P123">
        <v>4</v>
      </c>
      <c r="Q123">
        <v>2</v>
      </c>
      <c r="R123">
        <v>57.8</v>
      </c>
      <c r="S123">
        <v>11</v>
      </c>
      <c r="T123">
        <v>11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11</v>
      </c>
      <c r="AB123">
        <v>0</v>
      </c>
      <c r="AC123">
        <v>0</v>
      </c>
      <c r="AF123" t="s">
        <v>130</v>
      </c>
      <c r="AG123" t="s">
        <v>130</v>
      </c>
      <c r="AH123">
        <v>68.8</v>
      </c>
    </row>
    <row r="124" spans="1:34" x14ac:dyDescent="0.3">
      <c r="A124" s="4">
        <v>267</v>
      </c>
      <c r="B124" s="5">
        <v>117</v>
      </c>
      <c r="C124">
        <v>9289</v>
      </c>
      <c r="D124" t="s">
        <v>11174</v>
      </c>
      <c r="E124" t="s">
        <v>88</v>
      </c>
      <c r="F124" t="s">
        <v>20</v>
      </c>
      <c r="G124" t="s">
        <v>11175</v>
      </c>
      <c r="H124">
        <v>20.58</v>
      </c>
      <c r="I124">
        <v>0</v>
      </c>
      <c r="J124">
        <v>0</v>
      </c>
      <c r="K124">
        <v>20</v>
      </c>
      <c r="L124">
        <v>7</v>
      </c>
      <c r="O124">
        <v>7</v>
      </c>
      <c r="P124">
        <v>4</v>
      </c>
      <c r="Q124">
        <v>0</v>
      </c>
      <c r="R124">
        <v>51.58</v>
      </c>
      <c r="S124">
        <v>17</v>
      </c>
      <c r="T124">
        <v>17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17</v>
      </c>
      <c r="AB124">
        <v>0</v>
      </c>
      <c r="AC124">
        <v>0</v>
      </c>
      <c r="AF124" t="s">
        <v>130</v>
      </c>
      <c r="AG124" t="s">
        <v>130</v>
      </c>
      <c r="AH124">
        <v>68.58</v>
      </c>
    </row>
    <row r="125" spans="1:34" x14ac:dyDescent="0.3">
      <c r="A125" s="4">
        <v>268</v>
      </c>
      <c r="B125" s="5">
        <v>118</v>
      </c>
      <c r="C125">
        <v>12233</v>
      </c>
      <c r="D125" t="s">
        <v>181</v>
      </c>
      <c r="E125" t="s">
        <v>11176</v>
      </c>
      <c r="F125" t="s">
        <v>91</v>
      </c>
      <c r="G125" t="s">
        <v>11177</v>
      </c>
      <c r="H125">
        <v>23.15</v>
      </c>
      <c r="I125">
        <v>7</v>
      </c>
      <c r="J125">
        <v>0</v>
      </c>
      <c r="K125">
        <v>20</v>
      </c>
      <c r="M125">
        <v>5</v>
      </c>
      <c r="N125">
        <v>3</v>
      </c>
      <c r="O125">
        <v>8</v>
      </c>
      <c r="P125">
        <v>4</v>
      </c>
      <c r="Q125">
        <v>0</v>
      </c>
      <c r="R125">
        <v>62.15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6</v>
      </c>
      <c r="AC125">
        <v>0</v>
      </c>
      <c r="AF125" t="s">
        <v>130</v>
      </c>
      <c r="AG125" t="s">
        <v>130</v>
      </c>
      <c r="AH125">
        <v>68.150000000000006</v>
      </c>
    </row>
    <row r="126" spans="1:34" x14ac:dyDescent="0.3">
      <c r="A126" s="4">
        <v>269</v>
      </c>
      <c r="B126" s="5">
        <v>119</v>
      </c>
      <c r="C126">
        <v>13305</v>
      </c>
      <c r="D126" t="s">
        <v>11178</v>
      </c>
      <c r="E126" t="s">
        <v>594</v>
      </c>
      <c r="F126" t="s">
        <v>227</v>
      </c>
      <c r="G126" t="s">
        <v>11179</v>
      </c>
      <c r="H126">
        <v>19.7</v>
      </c>
      <c r="I126">
        <v>0</v>
      </c>
      <c r="J126">
        <v>0</v>
      </c>
      <c r="K126">
        <v>20</v>
      </c>
      <c r="L126">
        <v>14</v>
      </c>
      <c r="O126">
        <v>14</v>
      </c>
      <c r="P126">
        <v>4</v>
      </c>
      <c r="Q126">
        <v>0</v>
      </c>
      <c r="R126">
        <v>57.7</v>
      </c>
      <c r="S126">
        <v>7</v>
      </c>
      <c r="T126">
        <v>7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7</v>
      </c>
      <c r="AB126">
        <v>3</v>
      </c>
      <c r="AC126">
        <v>0</v>
      </c>
      <c r="AD126" t="s">
        <v>130</v>
      </c>
      <c r="AF126" t="s">
        <v>130</v>
      </c>
      <c r="AG126" t="s">
        <v>130</v>
      </c>
      <c r="AH126">
        <v>67.7</v>
      </c>
    </row>
    <row r="127" spans="1:34" x14ac:dyDescent="0.3">
      <c r="A127" s="4">
        <v>270</v>
      </c>
      <c r="B127" s="5">
        <v>120</v>
      </c>
      <c r="C127">
        <v>4075</v>
      </c>
      <c r="D127" t="s">
        <v>11180</v>
      </c>
      <c r="E127" t="s">
        <v>471</v>
      </c>
      <c r="F127" t="s">
        <v>136</v>
      </c>
      <c r="G127" t="s">
        <v>11181</v>
      </c>
      <c r="H127">
        <v>22</v>
      </c>
      <c r="I127">
        <v>7</v>
      </c>
      <c r="J127">
        <v>0</v>
      </c>
      <c r="K127">
        <v>20</v>
      </c>
      <c r="L127">
        <v>14</v>
      </c>
      <c r="O127">
        <v>14</v>
      </c>
      <c r="P127">
        <v>4</v>
      </c>
      <c r="Q127">
        <v>0</v>
      </c>
      <c r="R127">
        <v>67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F127" t="s">
        <v>130</v>
      </c>
      <c r="AG127" t="s">
        <v>130</v>
      </c>
      <c r="AH127">
        <v>67</v>
      </c>
    </row>
    <row r="128" spans="1:34" x14ac:dyDescent="0.3">
      <c r="A128" s="4">
        <v>271</v>
      </c>
      <c r="B128" s="5">
        <v>121</v>
      </c>
      <c r="C128">
        <v>12111</v>
      </c>
      <c r="D128" t="s">
        <v>11182</v>
      </c>
      <c r="E128" t="s">
        <v>81</v>
      </c>
      <c r="F128" t="s">
        <v>52</v>
      </c>
      <c r="G128" t="s">
        <v>11183</v>
      </c>
      <c r="H128">
        <v>17.93</v>
      </c>
      <c r="I128">
        <v>0</v>
      </c>
      <c r="J128">
        <v>0</v>
      </c>
      <c r="K128">
        <v>20</v>
      </c>
      <c r="L128">
        <v>7</v>
      </c>
      <c r="O128">
        <v>7</v>
      </c>
      <c r="P128">
        <v>4</v>
      </c>
      <c r="Q128">
        <v>0</v>
      </c>
      <c r="R128">
        <v>48.93</v>
      </c>
      <c r="S128">
        <v>18</v>
      </c>
      <c r="T128">
        <v>18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18</v>
      </c>
      <c r="AB128">
        <v>0</v>
      </c>
      <c r="AC128">
        <v>0</v>
      </c>
      <c r="AF128" t="s">
        <v>130</v>
      </c>
      <c r="AG128" t="s">
        <v>130</v>
      </c>
      <c r="AH128">
        <v>66.930000000000007</v>
      </c>
    </row>
    <row r="129" spans="1:34" x14ac:dyDescent="0.3">
      <c r="A129" s="4">
        <v>272</v>
      </c>
      <c r="B129" s="5">
        <v>122</v>
      </c>
      <c r="C129">
        <v>7469</v>
      </c>
      <c r="D129" t="s">
        <v>11184</v>
      </c>
      <c r="E129" t="s">
        <v>789</v>
      </c>
      <c r="F129" t="s">
        <v>81</v>
      </c>
      <c r="G129" t="s">
        <v>11185</v>
      </c>
      <c r="H129">
        <v>21.28</v>
      </c>
      <c r="I129">
        <v>0</v>
      </c>
      <c r="J129">
        <v>0</v>
      </c>
      <c r="K129">
        <v>20</v>
      </c>
      <c r="L129">
        <v>7</v>
      </c>
      <c r="N129">
        <v>3</v>
      </c>
      <c r="O129">
        <v>10</v>
      </c>
      <c r="P129">
        <v>4</v>
      </c>
      <c r="Q129">
        <v>0</v>
      </c>
      <c r="R129">
        <v>55.28</v>
      </c>
      <c r="S129">
        <v>11</v>
      </c>
      <c r="T129">
        <v>11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11</v>
      </c>
      <c r="AB129">
        <v>0</v>
      </c>
      <c r="AC129">
        <v>0</v>
      </c>
      <c r="AF129" t="s">
        <v>130</v>
      </c>
      <c r="AG129" t="s">
        <v>130</v>
      </c>
      <c r="AH129">
        <v>66.28</v>
      </c>
    </row>
    <row r="130" spans="1:34" x14ac:dyDescent="0.3">
      <c r="A130" s="4">
        <v>273</v>
      </c>
      <c r="B130" s="5">
        <v>123</v>
      </c>
      <c r="C130">
        <v>8606</v>
      </c>
      <c r="D130" t="s">
        <v>2416</v>
      </c>
      <c r="E130" t="s">
        <v>1280</v>
      </c>
      <c r="F130" t="s">
        <v>68</v>
      </c>
      <c r="G130" t="s">
        <v>11186</v>
      </c>
      <c r="H130">
        <v>18.93</v>
      </c>
      <c r="I130">
        <v>0</v>
      </c>
      <c r="J130">
        <v>0</v>
      </c>
      <c r="K130">
        <v>20</v>
      </c>
      <c r="L130">
        <v>7</v>
      </c>
      <c r="M130">
        <v>5</v>
      </c>
      <c r="O130">
        <v>12</v>
      </c>
      <c r="P130">
        <v>4</v>
      </c>
      <c r="Q130">
        <v>0</v>
      </c>
      <c r="R130">
        <v>54.93</v>
      </c>
      <c r="S130">
        <v>11</v>
      </c>
      <c r="T130">
        <v>11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11</v>
      </c>
      <c r="AB130">
        <v>0</v>
      </c>
      <c r="AC130">
        <v>0</v>
      </c>
      <c r="AF130" t="s">
        <v>130</v>
      </c>
      <c r="AG130" t="s">
        <v>130</v>
      </c>
      <c r="AH130">
        <v>65.930000000000007</v>
      </c>
    </row>
    <row r="131" spans="1:34" x14ac:dyDescent="0.3">
      <c r="A131" s="4">
        <v>274</v>
      </c>
      <c r="B131" s="5">
        <v>124</v>
      </c>
      <c r="C131">
        <v>4668</v>
      </c>
      <c r="D131" t="s">
        <v>2484</v>
      </c>
      <c r="E131" t="s">
        <v>406</v>
      </c>
      <c r="F131" t="s">
        <v>30</v>
      </c>
      <c r="G131" t="s">
        <v>11187</v>
      </c>
      <c r="H131">
        <v>22.9</v>
      </c>
      <c r="I131">
        <v>0</v>
      </c>
      <c r="J131">
        <v>0</v>
      </c>
      <c r="K131">
        <v>20</v>
      </c>
      <c r="M131">
        <v>5</v>
      </c>
      <c r="N131">
        <v>3</v>
      </c>
      <c r="O131">
        <v>8</v>
      </c>
      <c r="P131">
        <v>4</v>
      </c>
      <c r="Q131">
        <v>0</v>
      </c>
      <c r="R131">
        <v>54.9</v>
      </c>
      <c r="S131">
        <v>11</v>
      </c>
      <c r="T131">
        <v>11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11</v>
      </c>
      <c r="AB131">
        <v>0</v>
      </c>
      <c r="AC131">
        <v>0</v>
      </c>
      <c r="AF131" t="s">
        <v>130</v>
      </c>
      <c r="AG131" t="s">
        <v>130</v>
      </c>
      <c r="AH131">
        <v>65.900000000000006</v>
      </c>
    </row>
    <row r="132" spans="1:34" x14ac:dyDescent="0.3">
      <c r="A132" s="4">
        <v>275</v>
      </c>
      <c r="B132" s="5">
        <v>125</v>
      </c>
      <c r="C132">
        <v>11839</v>
      </c>
      <c r="D132" t="s">
        <v>1845</v>
      </c>
      <c r="E132" t="s">
        <v>2758</v>
      </c>
      <c r="F132" t="s">
        <v>1806</v>
      </c>
      <c r="G132" t="s">
        <v>11188</v>
      </c>
      <c r="H132">
        <v>21.7</v>
      </c>
      <c r="I132">
        <v>7</v>
      </c>
      <c r="J132">
        <v>0</v>
      </c>
      <c r="K132">
        <v>28</v>
      </c>
      <c r="N132">
        <v>3</v>
      </c>
      <c r="O132">
        <v>3</v>
      </c>
      <c r="P132">
        <v>4</v>
      </c>
      <c r="Q132">
        <v>2</v>
      </c>
      <c r="R132">
        <v>65.7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F132" t="s">
        <v>130</v>
      </c>
      <c r="AG132" t="s">
        <v>130</v>
      </c>
      <c r="AH132">
        <v>65.7</v>
      </c>
    </row>
    <row r="133" spans="1:34" x14ac:dyDescent="0.3">
      <c r="A133" s="4">
        <v>276</v>
      </c>
      <c r="B133" s="5">
        <v>126</v>
      </c>
      <c r="C133">
        <v>11540</v>
      </c>
      <c r="D133" t="s">
        <v>11189</v>
      </c>
      <c r="E133" t="s">
        <v>29</v>
      </c>
      <c r="F133" t="s">
        <v>30</v>
      </c>
      <c r="G133" t="s">
        <v>11190</v>
      </c>
      <c r="H133">
        <v>19.649999999999999</v>
      </c>
      <c r="I133">
        <v>0</v>
      </c>
      <c r="J133">
        <v>0</v>
      </c>
      <c r="K133">
        <v>20</v>
      </c>
      <c r="L133">
        <v>7</v>
      </c>
      <c r="O133">
        <v>7</v>
      </c>
      <c r="P133">
        <v>4</v>
      </c>
      <c r="Q133">
        <v>0</v>
      </c>
      <c r="R133">
        <v>50.65</v>
      </c>
      <c r="S133">
        <v>15</v>
      </c>
      <c r="T133">
        <v>15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15</v>
      </c>
      <c r="AB133">
        <v>0</v>
      </c>
      <c r="AC133">
        <v>0</v>
      </c>
      <c r="AF133" t="s">
        <v>130</v>
      </c>
      <c r="AG133" t="s">
        <v>130</v>
      </c>
      <c r="AH133">
        <v>65.650000000000006</v>
      </c>
    </row>
    <row r="134" spans="1:34" x14ac:dyDescent="0.3">
      <c r="A134" s="4">
        <v>277</v>
      </c>
      <c r="B134" s="5">
        <v>127</v>
      </c>
      <c r="C134">
        <v>3465</v>
      </c>
      <c r="D134" t="s">
        <v>11191</v>
      </c>
      <c r="E134" t="s">
        <v>400</v>
      </c>
      <c r="F134" t="s">
        <v>190</v>
      </c>
      <c r="G134" t="s">
        <v>11192</v>
      </c>
      <c r="H134">
        <v>18.13</v>
      </c>
      <c r="I134">
        <v>0</v>
      </c>
      <c r="J134">
        <v>0</v>
      </c>
      <c r="K134">
        <v>20</v>
      </c>
      <c r="L134">
        <v>7</v>
      </c>
      <c r="O134">
        <v>7</v>
      </c>
      <c r="P134">
        <v>4</v>
      </c>
      <c r="Q134">
        <v>0</v>
      </c>
      <c r="R134">
        <v>49.13</v>
      </c>
      <c r="S134">
        <v>3</v>
      </c>
      <c r="T134">
        <v>3</v>
      </c>
      <c r="U134">
        <v>0</v>
      </c>
      <c r="V134">
        <v>0</v>
      </c>
      <c r="W134">
        <v>7</v>
      </c>
      <c r="X134">
        <v>10</v>
      </c>
      <c r="Y134">
        <v>0</v>
      </c>
      <c r="Z134">
        <v>0</v>
      </c>
      <c r="AA134">
        <v>13</v>
      </c>
      <c r="AB134">
        <v>3</v>
      </c>
      <c r="AC134">
        <v>0</v>
      </c>
      <c r="AF134" t="s">
        <v>130</v>
      </c>
      <c r="AG134" t="s">
        <v>130</v>
      </c>
      <c r="AH134">
        <v>65.13</v>
      </c>
    </row>
    <row r="135" spans="1:34" x14ac:dyDescent="0.3">
      <c r="A135" s="4">
        <v>278</v>
      </c>
      <c r="B135" s="5">
        <v>128</v>
      </c>
      <c r="C135">
        <v>5774</v>
      </c>
      <c r="D135" t="s">
        <v>11193</v>
      </c>
      <c r="E135" t="s">
        <v>51</v>
      </c>
      <c r="F135" t="s">
        <v>136</v>
      </c>
      <c r="G135" t="s">
        <v>11194</v>
      </c>
      <c r="H135">
        <v>23.1</v>
      </c>
      <c r="I135">
        <v>0</v>
      </c>
      <c r="J135">
        <v>0</v>
      </c>
      <c r="K135">
        <v>20</v>
      </c>
      <c r="L135">
        <v>7</v>
      </c>
      <c r="O135">
        <v>7</v>
      </c>
      <c r="P135">
        <v>4</v>
      </c>
      <c r="Q135">
        <v>0</v>
      </c>
      <c r="R135">
        <v>54.1</v>
      </c>
      <c r="S135">
        <v>11</v>
      </c>
      <c r="T135">
        <v>11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11</v>
      </c>
      <c r="AB135">
        <v>0</v>
      </c>
      <c r="AC135">
        <v>0</v>
      </c>
      <c r="AF135" t="s">
        <v>130</v>
      </c>
      <c r="AG135" t="s">
        <v>130</v>
      </c>
      <c r="AH135">
        <v>65.099999999999994</v>
      </c>
    </row>
    <row r="136" spans="1:34" x14ac:dyDescent="0.3">
      <c r="A136" s="4">
        <v>280</v>
      </c>
      <c r="B136" s="5">
        <v>129</v>
      </c>
      <c r="C136">
        <v>9898</v>
      </c>
      <c r="D136" t="s">
        <v>11195</v>
      </c>
      <c r="E136" t="s">
        <v>136</v>
      </c>
      <c r="F136" t="s">
        <v>1265</v>
      </c>
      <c r="G136" t="s">
        <v>11196</v>
      </c>
      <c r="H136">
        <v>18.600000000000001</v>
      </c>
      <c r="I136">
        <v>0</v>
      </c>
      <c r="J136">
        <v>0</v>
      </c>
      <c r="K136">
        <v>28</v>
      </c>
      <c r="L136">
        <v>7</v>
      </c>
      <c r="M136">
        <v>5</v>
      </c>
      <c r="O136">
        <v>12</v>
      </c>
      <c r="P136">
        <v>4</v>
      </c>
      <c r="Q136">
        <v>2</v>
      </c>
      <c r="R136">
        <v>64.599999999999994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F136" t="s">
        <v>130</v>
      </c>
      <c r="AG136" t="s">
        <v>130</v>
      </c>
      <c r="AH136">
        <v>64.599999999999994</v>
      </c>
    </row>
    <row r="137" spans="1:34" x14ac:dyDescent="0.3">
      <c r="A137" s="4">
        <v>281</v>
      </c>
      <c r="B137" s="5">
        <v>130</v>
      </c>
      <c r="C137">
        <v>11546</v>
      </c>
      <c r="D137" t="s">
        <v>2416</v>
      </c>
      <c r="E137" t="s">
        <v>2011</v>
      </c>
      <c r="F137" t="s">
        <v>55</v>
      </c>
      <c r="G137" t="s">
        <v>11197</v>
      </c>
      <c r="H137">
        <v>22.2</v>
      </c>
      <c r="I137">
        <v>0</v>
      </c>
      <c r="J137">
        <v>0</v>
      </c>
      <c r="K137">
        <v>20</v>
      </c>
      <c r="L137">
        <v>7</v>
      </c>
      <c r="O137">
        <v>7</v>
      </c>
      <c r="P137">
        <v>4</v>
      </c>
      <c r="Q137">
        <v>0</v>
      </c>
      <c r="R137">
        <v>53.2</v>
      </c>
      <c r="S137">
        <v>11</v>
      </c>
      <c r="T137">
        <v>11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11</v>
      </c>
      <c r="AB137">
        <v>0</v>
      </c>
      <c r="AC137">
        <v>0</v>
      </c>
      <c r="AF137" t="s">
        <v>130</v>
      </c>
      <c r="AG137" t="s">
        <v>130</v>
      </c>
      <c r="AH137">
        <v>64.2</v>
      </c>
    </row>
    <row r="138" spans="1:34" x14ac:dyDescent="0.3">
      <c r="A138" s="4">
        <v>282</v>
      </c>
      <c r="B138" s="5">
        <v>131</v>
      </c>
      <c r="C138">
        <v>1708</v>
      </c>
      <c r="D138" t="s">
        <v>5697</v>
      </c>
      <c r="E138" t="s">
        <v>41</v>
      </c>
      <c r="F138" t="s">
        <v>328</v>
      </c>
      <c r="G138" t="s">
        <v>11198</v>
      </c>
      <c r="H138">
        <v>19.100000000000001</v>
      </c>
      <c r="I138">
        <v>0</v>
      </c>
      <c r="J138">
        <v>0</v>
      </c>
      <c r="K138">
        <v>20</v>
      </c>
      <c r="L138">
        <v>7</v>
      </c>
      <c r="N138">
        <v>3</v>
      </c>
      <c r="O138">
        <v>10</v>
      </c>
      <c r="P138">
        <v>4</v>
      </c>
      <c r="Q138">
        <v>0</v>
      </c>
      <c r="R138">
        <v>53.1</v>
      </c>
      <c r="S138">
        <v>11</v>
      </c>
      <c r="T138">
        <v>11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11</v>
      </c>
      <c r="AB138">
        <v>0</v>
      </c>
      <c r="AC138">
        <v>0</v>
      </c>
      <c r="AF138" t="s">
        <v>130</v>
      </c>
      <c r="AG138" t="s">
        <v>130</v>
      </c>
      <c r="AH138">
        <v>64.099999999999994</v>
      </c>
    </row>
    <row r="139" spans="1:34" x14ac:dyDescent="0.3">
      <c r="A139" s="4">
        <v>283</v>
      </c>
      <c r="B139" s="5">
        <v>132</v>
      </c>
      <c r="C139">
        <v>11420</v>
      </c>
      <c r="D139" t="s">
        <v>11199</v>
      </c>
      <c r="E139" t="s">
        <v>71</v>
      </c>
      <c r="F139" t="s">
        <v>136</v>
      </c>
      <c r="G139" t="s">
        <v>11200</v>
      </c>
      <c r="H139">
        <v>21.05</v>
      </c>
      <c r="I139">
        <v>0</v>
      </c>
      <c r="J139">
        <v>0</v>
      </c>
      <c r="K139">
        <v>20</v>
      </c>
      <c r="M139">
        <v>5</v>
      </c>
      <c r="O139">
        <v>5</v>
      </c>
      <c r="P139">
        <v>4</v>
      </c>
      <c r="Q139">
        <v>0</v>
      </c>
      <c r="R139">
        <v>50.05</v>
      </c>
      <c r="S139">
        <v>14</v>
      </c>
      <c r="T139">
        <v>14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14</v>
      </c>
      <c r="AB139">
        <v>0</v>
      </c>
      <c r="AC139">
        <v>0</v>
      </c>
      <c r="AF139" t="s">
        <v>130</v>
      </c>
      <c r="AG139" t="s">
        <v>130</v>
      </c>
      <c r="AH139">
        <v>64.05</v>
      </c>
    </row>
    <row r="140" spans="1:34" x14ac:dyDescent="0.3">
      <c r="A140" s="4">
        <v>284</v>
      </c>
      <c r="B140" s="5">
        <v>133</v>
      </c>
      <c r="C140">
        <v>13526</v>
      </c>
      <c r="D140" t="s">
        <v>114</v>
      </c>
      <c r="E140" t="s">
        <v>37</v>
      </c>
      <c r="F140" t="s">
        <v>17</v>
      </c>
      <c r="G140" t="s">
        <v>11201</v>
      </c>
      <c r="H140">
        <v>19.03</v>
      </c>
      <c r="I140">
        <v>0</v>
      </c>
      <c r="J140">
        <v>0</v>
      </c>
      <c r="K140">
        <v>20</v>
      </c>
      <c r="L140">
        <v>7</v>
      </c>
      <c r="N140">
        <v>3</v>
      </c>
      <c r="O140">
        <v>10</v>
      </c>
      <c r="P140">
        <v>4</v>
      </c>
      <c r="Q140">
        <v>0</v>
      </c>
      <c r="R140">
        <v>53.03</v>
      </c>
      <c r="S140">
        <v>11</v>
      </c>
      <c r="T140">
        <v>11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11</v>
      </c>
      <c r="AB140">
        <v>0</v>
      </c>
      <c r="AC140">
        <v>0</v>
      </c>
      <c r="AF140" t="s">
        <v>130</v>
      </c>
      <c r="AG140" t="s">
        <v>130</v>
      </c>
      <c r="AH140">
        <v>64.03</v>
      </c>
    </row>
    <row r="141" spans="1:34" x14ac:dyDescent="0.3">
      <c r="A141" s="4">
        <v>285</v>
      </c>
      <c r="B141" s="5">
        <v>134</v>
      </c>
      <c r="C141">
        <v>4393</v>
      </c>
      <c r="D141" t="s">
        <v>1449</v>
      </c>
      <c r="E141" t="s">
        <v>1155</v>
      </c>
      <c r="F141" t="s">
        <v>892</v>
      </c>
      <c r="G141" t="s">
        <v>11202</v>
      </c>
      <c r="H141">
        <v>16</v>
      </c>
      <c r="I141">
        <v>0</v>
      </c>
      <c r="J141">
        <v>0</v>
      </c>
      <c r="K141">
        <v>28</v>
      </c>
      <c r="L141">
        <v>14</v>
      </c>
      <c r="O141">
        <v>14</v>
      </c>
      <c r="P141">
        <v>4</v>
      </c>
      <c r="Q141">
        <v>2</v>
      </c>
      <c r="R141">
        <v>64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F141" t="s">
        <v>130</v>
      </c>
      <c r="AG141" t="s">
        <v>130</v>
      </c>
      <c r="AH141">
        <v>64</v>
      </c>
    </row>
    <row r="142" spans="1:34" x14ac:dyDescent="0.3">
      <c r="A142" s="4">
        <v>286</v>
      </c>
      <c r="B142" s="5">
        <v>135</v>
      </c>
      <c r="C142">
        <v>120</v>
      </c>
      <c r="D142" t="s">
        <v>11203</v>
      </c>
      <c r="E142" t="s">
        <v>100</v>
      </c>
      <c r="F142" t="s">
        <v>68</v>
      </c>
      <c r="G142" t="s">
        <v>11204</v>
      </c>
      <c r="H142">
        <v>19.48</v>
      </c>
      <c r="I142">
        <v>0</v>
      </c>
      <c r="J142">
        <v>0</v>
      </c>
      <c r="K142">
        <v>20</v>
      </c>
      <c r="L142">
        <v>7</v>
      </c>
      <c r="O142">
        <v>7</v>
      </c>
      <c r="P142">
        <v>4</v>
      </c>
      <c r="Q142">
        <v>2</v>
      </c>
      <c r="R142">
        <v>52.48</v>
      </c>
      <c r="S142">
        <v>11</v>
      </c>
      <c r="T142">
        <v>11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11</v>
      </c>
      <c r="AB142">
        <v>0</v>
      </c>
      <c r="AC142">
        <v>0</v>
      </c>
      <c r="AF142" t="s">
        <v>130</v>
      </c>
      <c r="AG142" t="s">
        <v>130</v>
      </c>
      <c r="AH142">
        <v>63.48</v>
      </c>
    </row>
    <row r="143" spans="1:34" x14ac:dyDescent="0.3">
      <c r="A143" s="4">
        <v>287</v>
      </c>
      <c r="B143" s="5">
        <v>136</v>
      </c>
      <c r="C143">
        <v>926</v>
      </c>
      <c r="D143" t="s">
        <v>5830</v>
      </c>
      <c r="E143" t="s">
        <v>11205</v>
      </c>
      <c r="F143" t="s">
        <v>375</v>
      </c>
      <c r="G143" t="s">
        <v>11206</v>
      </c>
      <c r="H143">
        <v>19.25</v>
      </c>
      <c r="I143">
        <v>0</v>
      </c>
      <c r="J143">
        <v>0</v>
      </c>
      <c r="K143">
        <v>20</v>
      </c>
      <c r="L143">
        <v>7</v>
      </c>
      <c r="O143">
        <v>7</v>
      </c>
      <c r="P143">
        <v>4</v>
      </c>
      <c r="Q143">
        <v>2</v>
      </c>
      <c r="R143">
        <v>52.25</v>
      </c>
      <c r="S143">
        <v>11</v>
      </c>
      <c r="T143">
        <v>11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11</v>
      </c>
      <c r="AB143">
        <v>0</v>
      </c>
      <c r="AC143">
        <v>0</v>
      </c>
      <c r="AF143" t="s">
        <v>130</v>
      </c>
      <c r="AG143" t="s">
        <v>130</v>
      </c>
      <c r="AH143">
        <v>63.25</v>
      </c>
    </row>
    <row r="144" spans="1:34" x14ac:dyDescent="0.3">
      <c r="A144" s="4">
        <v>288</v>
      </c>
      <c r="B144" s="5">
        <v>137</v>
      </c>
      <c r="C144">
        <v>10980</v>
      </c>
      <c r="D144" t="s">
        <v>11207</v>
      </c>
      <c r="E144" t="s">
        <v>255</v>
      </c>
      <c r="F144" t="s">
        <v>193</v>
      </c>
      <c r="G144" t="s">
        <v>11208</v>
      </c>
      <c r="H144">
        <v>20.05</v>
      </c>
      <c r="I144">
        <v>0</v>
      </c>
      <c r="J144">
        <v>0</v>
      </c>
      <c r="K144">
        <v>20</v>
      </c>
      <c r="L144">
        <v>7</v>
      </c>
      <c r="M144">
        <v>5</v>
      </c>
      <c r="O144">
        <v>12</v>
      </c>
      <c r="P144">
        <v>0</v>
      </c>
      <c r="Q144">
        <v>0</v>
      </c>
      <c r="R144">
        <v>52.05</v>
      </c>
      <c r="S144">
        <v>11</v>
      </c>
      <c r="T144">
        <v>11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11</v>
      </c>
      <c r="AB144">
        <v>0</v>
      </c>
      <c r="AC144">
        <v>0</v>
      </c>
      <c r="AF144" t="s">
        <v>130</v>
      </c>
      <c r="AG144" t="s">
        <v>130</v>
      </c>
      <c r="AH144">
        <v>63.05</v>
      </c>
    </row>
    <row r="145" spans="1:34" x14ac:dyDescent="0.3">
      <c r="A145" s="4">
        <v>289</v>
      </c>
      <c r="B145" s="5">
        <v>138</v>
      </c>
      <c r="C145">
        <v>3064</v>
      </c>
      <c r="D145" t="s">
        <v>11209</v>
      </c>
      <c r="E145" t="s">
        <v>29</v>
      </c>
      <c r="F145" t="s">
        <v>20</v>
      </c>
      <c r="G145" t="s">
        <v>11210</v>
      </c>
      <c r="H145">
        <v>20.5</v>
      </c>
      <c r="I145">
        <v>0</v>
      </c>
      <c r="J145">
        <v>0</v>
      </c>
      <c r="K145">
        <v>20</v>
      </c>
      <c r="L145">
        <v>7</v>
      </c>
      <c r="O145">
        <v>7</v>
      </c>
      <c r="P145">
        <v>4</v>
      </c>
      <c r="Q145">
        <v>0</v>
      </c>
      <c r="R145">
        <v>51.5</v>
      </c>
      <c r="S145">
        <v>11</v>
      </c>
      <c r="T145">
        <v>11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11</v>
      </c>
      <c r="AB145">
        <v>0</v>
      </c>
      <c r="AC145">
        <v>0</v>
      </c>
      <c r="AF145" t="s">
        <v>130</v>
      </c>
      <c r="AG145" t="s">
        <v>130</v>
      </c>
      <c r="AH145">
        <v>62.5</v>
      </c>
    </row>
    <row r="146" spans="1:34" x14ac:dyDescent="0.3">
      <c r="A146" s="4">
        <v>290</v>
      </c>
      <c r="B146" s="5">
        <v>139</v>
      </c>
      <c r="C146">
        <v>12798</v>
      </c>
      <c r="D146" t="s">
        <v>10512</v>
      </c>
      <c r="E146" t="s">
        <v>178</v>
      </c>
      <c r="F146" t="s">
        <v>9291</v>
      </c>
      <c r="G146" t="s">
        <v>11211</v>
      </c>
      <c r="H146">
        <v>21.28</v>
      </c>
      <c r="I146">
        <v>0</v>
      </c>
      <c r="J146">
        <v>0</v>
      </c>
      <c r="K146">
        <v>20</v>
      </c>
      <c r="L146">
        <v>7</v>
      </c>
      <c r="O146">
        <v>7</v>
      </c>
      <c r="P146">
        <v>4</v>
      </c>
      <c r="Q146">
        <v>0</v>
      </c>
      <c r="R146">
        <v>52.28</v>
      </c>
      <c r="S146">
        <v>10</v>
      </c>
      <c r="T146">
        <v>10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10</v>
      </c>
      <c r="AB146">
        <v>0</v>
      </c>
      <c r="AC146">
        <v>0</v>
      </c>
      <c r="AF146" t="s">
        <v>130</v>
      </c>
      <c r="AG146" t="s">
        <v>130</v>
      </c>
      <c r="AH146">
        <v>62.28</v>
      </c>
    </row>
    <row r="147" spans="1:34" x14ac:dyDescent="0.3">
      <c r="A147" s="4">
        <v>291</v>
      </c>
      <c r="B147" s="5">
        <v>140</v>
      </c>
      <c r="C147">
        <v>7135</v>
      </c>
      <c r="D147" t="s">
        <v>11212</v>
      </c>
      <c r="E147" t="s">
        <v>178</v>
      </c>
      <c r="F147" t="s">
        <v>17</v>
      </c>
      <c r="G147" t="s">
        <v>11213</v>
      </c>
      <c r="H147">
        <v>19.95</v>
      </c>
      <c r="I147">
        <v>0</v>
      </c>
      <c r="J147">
        <v>0</v>
      </c>
      <c r="K147">
        <v>20</v>
      </c>
      <c r="L147">
        <v>7</v>
      </c>
      <c r="O147">
        <v>7</v>
      </c>
      <c r="P147">
        <v>4</v>
      </c>
      <c r="Q147">
        <v>0</v>
      </c>
      <c r="R147">
        <v>50.95</v>
      </c>
      <c r="S147">
        <v>11</v>
      </c>
      <c r="T147">
        <v>11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11</v>
      </c>
      <c r="AB147">
        <v>0</v>
      </c>
      <c r="AC147">
        <v>0</v>
      </c>
      <c r="AF147" t="s">
        <v>130</v>
      </c>
      <c r="AG147" t="s">
        <v>130</v>
      </c>
      <c r="AH147">
        <v>61.95</v>
      </c>
    </row>
    <row r="148" spans="1:34" x14ac:dyDescent="0.3">
      <c r="A148" s="4">
        <v>292</v>
      </c>
      <c r="B148" s="5">
        <v>141</v>
      </c>
      <c r="C148">
        <v>5050</v>
      </c>
      <c r="D148" t="s">
        <v>4552</v>
      </c>
      <c r="E148" t="s">
        <v>11214</v>
      </c>
      <c r="F148" t="s">
        <v>38</v>
      </c>
      <c r="G148" t="s">
        <v>11215</v>
      </c>
      <c r="H148">
        <v>18.78</v>
      </c>
      <c r="I148">
        <v>0</v>
      </c>
      <c r="J148">
        <v>0</v>
      </c>
      <c r="K148">
        <v>20</v>
      </c>
      <c r="M148">
        <v>5</v>
      </c>
      <c r="O148">
        <v>5</v>
      </c>
      <c r="P148">
        <v>0</v>
      </c>
      <c r="Q148">
        <v>0</v>
      </c>
      <c r="R148">
        <v>43.78</v>
      </c>
      <c r="S148">
        <v>18</v>
      </c>
      <c r="T148">
        <v>18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18</v>
      </c>
      <c r="AB148">
        <v>0</v>
      </c>
      <c r="AC148">
        <v>0</v>
      </c>
      <c r="AF148" t="s">
        <v>130</v>
      </c>
      <c r="AG148" t="s">
        <v>130</v>
      </c>
      <c r="AH148">
        <v>61.78</v>
      </c>
    </row>
    <row r="149" spans="1:34" x14ac:dyDescent="0.3">
      <c r="A149" s="4">
        <v>293</v>
      </c>
      <c r="B149" s="5">
        <v>142</v>
      </c>
      <c r="C149">
        <v>10316</v>
      </c>
      <c r="D149" t="s">
        <v>6275</v>
      </c>
      <c r="E149" t="s">
        <v>178</v>
      </c>
      <c r="F149" t="s">
        <v>81</v>
      </c>
      <c r="G149" t="s">
        <v>11216</v>
      </c>
      <c r="H149">
        <v>19.75</v>
      </c>
      <c r="I149">
        <v>0</v>
      </c>
      <c r="J149">
        <v>0</v>
      </c>
      <c r="K149">
        <v>0</v>
      </c>
      <c r="N149">
        <v>3</v>
      </c>
      <c r="O149">
        <v>3</v>
      </c>
      <c r="P149">
        <v>0</v>
      </c>
      <c r="Q149">
        <v>2</v>
      </c>
      <c r="R149">
        <v>24.75</v>
      </c>
      <c r="S149">
        <v>37</v>
      </c>
      <c r="T149">
        <v>37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37</v>
      </c>
      <c r="AB149">
        <v>0</v>
      </c>
      <c r="AC149">
        <v>0</v>
      </c>
      <c r="AF149" t="s">
        <v>130</v>
      </c>
      <c r="AG149" t="s">
        <v>130</v>
      </c>
      <c r="AH149">
        <v>61.75</v>
      </c>
    </row>
    <row r="150" spans="1:34" x14ac:dyDescent="0.3">
      <c r="A150" s="4">
        <v>294</v>
      </c>
      <c r="B150" s="5">
        <v>143</v>
      </c>
      <c r="C150">
        <v>2403</v>
      </c>
      <c r="D150" t="s">
        <v>288</v>
      </c>
      <c r="E150" t="s">
        <v>289</v>
      </c>
      <c r="F150" t="s">
        <v>17</v>
      </c>
      <c r="G150" t="s">
        <v>290</v>
      </c>
      <c r="H150">
        <v>12.5</v>
      </c>
      <c r="I150">
        <v>7</v>
      </c>
      <c r="J150">
        <v>0</v>
      </c>
      <c r="K150">
        <v>20</v>
      </c>
      <c r="L150">
        <v>7</v>
      </c>
      <c r="O150">
        <v>7</v>
      </c>
      <c r="P150">
        <v>4</v>
      </c>
      <c r="Q150">
        <v>2</v>
      </c>
      <c r="R150">
        <v>52.5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9</v>
      </c>
      <c r="AC150">
        <v>0</v>
      </c>
      <c r="AF150" t="s">
        <v>130</v>
      </c>
      <c r="AG150" t="s">
        <v>130</v>
      </c>
      <c r="AH150">
        <v>61.5</v>
      </c>
    </row>
    <row r="151" spans="1:34" x14ac:dyDescent="0.3">
      <c r="A151" s="4">
        <v>295</v>
      </c>
      <c r="B151" s="5">
        <v>144</v>
      </c>
      <c r="C151">
        <v>3529</v>
      </c>
      <c r="D151" t="s">
        <v>11217</v>
      </c>
      <c r="E151" t="s">
        <v>54</v>
      </c>
      <c r="F151" t="s">
        <v>1526</v>
      </c>
      <c r="G151" t="s">
        <v>11218</v>
      </c>
      <c r="H151">
        <v>17.2</v>
      </c>
      <c r="I151">
        <v>0</v>
      </c>
      <c r="J151">
        <v>0</v>
      </c>
      <c r="K151">
        <v>28</v>
      </c>
      <c r="L151">
        <v>7</v>
      </c>
      <c r="O151">
        <v>7</v>
      </c>
      <c r="P151">
        <v>4</v>
      </c>
      <c r="Q151">
        <v>2</v>
      </c>
      <c r="R151">
        <v>58.2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3</v>
      </c>
      <c r="AC151">
        <v>0</v>
      </c>
      <c r="AF151" t="s">
        <v>130</v>
      </c>
      <c r="AG151" t="s">
        <v>130</v>
      </c>
      <c r="AH151">
        <v>61.2</v>
      </c>
    </row>
    <row r="152" spans="1:34" x14ac:dyDescent="0.3">
      <c r="A152" s="4">
        <v>296</v>
      </c>
      <c r="B152" s="5">
        <v>145</v>
      </c>
      <c r="C152">
        <v>8645</v>
      </c>
      <c r="D152" t="s">
        <v>11219</v>
      </c>
      <c r="E152" t="s">
        <v>11220</v>
      </c>
      <c r="F152" t="s">
        <v>328</v>
      </c>
      <c r="G152" t="s">
        <v>11221</v>
      </c>
      <c r="H152">
        <v>19.95</v>
      </c>
      <c r="I152">
        <v>0</v>
      </c>
      <c r="J152">
        <v>0</v>
      </c>
      <c r="K152">
        <v>20</v>
      </c>
      <c r="L152">
        <v>7</v>
      </c>
      <c r="N152">
        <v>3</v>
      </c>
      <c r="O152">
        <v>10</v>
      </c>
      <c r="P152">
        <v>0</v>
      </c>
      <c r="Q152">
        <v>0</v>
      </c>
      <c r="R152">
        <v>49.95</v>
      </c>
      <c r="S152">
        <v>11</v>
      </c>
      <c r="T152">
        <v>11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11</v>
      </c>
      <c r="AB152">
        <v>0</v>
      </c>
      <c r="AC152">
        <v>0</v>
      </c>
      <c r="AF152" t="s">
        <v>130</v>
      </c>
      <c r="AG152" t="s">
        <v>130</v>
      </c>
      <c r="AH152">
        <v>60.95</v>
      </c>
    </row>
    <row r="153" spans="1:34" x14ac:dyDescent="0.3">
      <c r="A153" s="4">
        <v>298</v>
      </c>
      <c r="B153" s="5">
        <v>146</v>
      </c>
      <c r="C153">
        <v>11180</v>
      </c>
      <c r="D153" t="s">
        <v>2635</v>
      </c>
      <c r="E153" t="s">
        <v>29</v>
      </c>
      <c r="F153" t="s">
        <v>8147</v>
      </c>
      <c r="G153" t="s">
        <v>11222</v>
      </c>
      <c r="H153">
        <v>17.43</v>
      </c>
      <c r="I153">
        <v>0</v>
      </c>
      <c r="J153">
        <v>0</v>
      </c>
      <c r="K153">
        <v>20</v>
      </c>
      <c r="N153">
        <v>6</v>
      </c>
      <c r="O153">
        <v>6</v>
      </c>
      <c r="P153">
        <v>4</v>
      </c>
      <c r="Q153">
        <v>2</v>
      </c>
      <c r="R153">
        <v>49.43</v>
      </c>
      <c r="S153">
        <v>11</v>
      </c>
      <c r="T153">
        <v>11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11</v>
      </c>
      <c r="AB153">
        <v>0</v>
      </c>
      <c r="AC153">
        <v>0</v>
      </c>
      <c r="AF153" t="s">
        <v>130</v>
      </c>
      <c r="AG153" t="s">
        <v>130</v>
      </c>
      <c r="AH153">
        <v>60.43</v>
      </c>
    </row>
    <row r="154" spans="1:34" x14ac:dyDescent="0.3">
      <c r="A154" s="4">
        <v>299</v>
      </c>
      <c r="B154" s="5">
        <v>147</v>
      </c>
      <c r="C154">
        <v>291</v>
      </c>
      <c r="D154" t="s">
        <v>11223</v>
      </c>
      <c r="E154" t="s">
        <v>19</v>
      </c>
      <c r="F154" t="s">
        <v>117</v>
      </c>
      <c r="G154" t="s">
        <v>11224</v>
      </c>
      <c r="H154">
        <v>20.350000000000001</v>
      </c>
      <c r="I154">
        <v>0</v>
      </c>
      <c r="J154">
        <v>0</v>
      </c>
      <c r="K154">
        <v>20</v>
      </c>
      <c r="L154">
        <v>7</v>
      </c>
      <c r="O154">
        <v>7</v>
      </c>
      <c r="P154">
        <v>4</v>
      </c>
      <c r="Q154">
        <v>0</v>
      </c>
      <c r="R154">
        <v>51.35</v>
      </c>
      <c r="S154">
        <v>9</v>
      </c>
      <c r="T154">
        <v>9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9</v>
      </c>
      <c r="AB154">
        <v>0</v>
      </c>
      <c r="AC154">
        <v>0</v>
      </c>
      <c r="AF154" t="s">
        <v>130</v>
      </c>
      <c r="AG154" t="s">
        <v>130</v>
      </c>
      <c r="AH154">
        <v>60.35</v>
      </c>
    </row>
    <row r="155" spans="1:34" x14ac:dyDescent="0.3">
      <c r="A155" s="4">
        <v>300</v>
      </c>
      <c r="B155" s="5">
        <v>148</v>
      </c>
      <c r="C155">
        <v>5041</v>
      </c>
      <c r="D155" t="s">
        <v>11225</v>
      </c>
      <c r="E155" t="s">
        <v>54</v>
      </c>
      <c r="F155" t="s">
        <v>652</v>
      </c>
      <c r="G155" t="s">
        <v>11226</v>
      </c>
      <c r="H155">
        <v>19.28</v>
      </c>
      <c r="I155">
        <v>7</v>
      </c>
      <c r="J155">
        <v>0</v>
      </c>
      <c r="K155">
        <v>20</v>
      </c>
      <c r="L155">
        <v>7</v>
      </c>
      <c r="N155">
        <v>3</v>
      </c>
      <c r="O155">
        <v>10</v>
      </c>
      <c r="P155">
        <v>4</v>
      </c>
      <c r="Q155">
        <v>0</v>
      </c>
      <c r="R155">
        <v>60.28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 t="s">
        <v>130</v>
      </c>
      <c r="AF155" t="s">
        <v>130</v>
      </c>
      <c r="AG155" t="s">
        <v>130</v>
      </c>
      <c r="AH155">
        <v>60.28</v>
      </c>
    </row>
    <row r="156" spans="1:34" x14ac:dyDescent="0.3">
      <c r="A156" s="4">
        <v>301</v>
      </c>
      <c r="B156" s="5">
        <v>149</v>
      </c>
      <c r="C156">
        <v>4130</v>
      </c>
      <c r="D156" t="s">
        <v>2132</v>
      </c>
      <c r="E156" t="s">
        <v>182</v>
      </c>
      <c r="F156" t="s">
        <v>30</v>
      </c>
      <c r="G156" t="s">
        <v>11227</v>
      </c>
      <c r="H156">
        <v>16.25</v>
      </c>
      <c r="I156">
        <v>0</v>
      </c>
      <c r="J156">
        <v>0</v>
      </c>
      <c r="K156">
        <v>20</v>
      </c>
      <c r="L156">
        <v>7</v>
      </c>
      <c r="M156">
        <v>5</v>
      </c>
      <c r="O156">
        <v>12</v>
      </c>
      <c r="P156">
        <v>4</v>
      </c>
      <c r="Q156">
        <v>2</v>
      </c>
      <c r="R156">
        <v>54.25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6</v>
      </c>
      <c r="AC156">
        <v>0</v>
      </c>
      <c r="AD156" t="s">
        <v>130</v>
      </c>
      <c r="AF156" t="s">
        <v>130</v>
      </c>
      <c r="AG156" t="s">
        <v>130</v>
      </c>
      <c r="AH156">
        <v>60.25</v>
      </c>
    </row>
    <row r="157" spans="1:34" x14ac:dyDescent="0.3">
      <c r="A157" s="4">
        <v>302</v>
      </c>
      <c r="B157" s="5">
        <v>150</v>
      </c>
      <c r="C157">
        <v>11739</v>
      </c>
      <c r="D157" t="s">
        <v>11228</v>
      </c>
      <c r="E157" t="s">
        <v>182</v>
      </c>
      <c r="F157" t="s">
        <v>892</v>
      </c>
      <c r="G157" t="s">
        <v>11229</v>
      </c>
      <c r="H157">
        <v>21.08</v>
      </c>
      <c r="I157">
        <v>7</v>
      </c>
      <c r="J157">
        <v>0</v>
      </c>
      <c r="K157">
        <v>20</v>
      </c>
      <c r="L157">
        <v>7</v>
      </c>
      <c r="O157">
        <v>7</v>
      </c>
      <c r="P157">
        <v>4</v>
      </c>
      <c r="Q157">
        <v>0</v>
      </c>
      <c r="R157">
        <v>59.08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F157" t="s">
        <v>130</v>
      </c>
      <c r="AG157" t="s">
        <v>130</v>
      </c>
      <c r="AH157">
        <v>59.08</v>
      </c>
    </row>
    <row r="158" spans="1:34" x14ac:dyDescent="0.3">
      <c r="A158" s="4">
        <v>303</v>
      </c>
      <c r="B158" s="5">
        <v>151</v>
      </c>
      <c r="C158">
        <v>11961</v>
      </c>
      <c r="D158" t="s">
        <v>11230</v>
      </c>
      <c r="E158" t="s">
        <v>54</v>
      </c>
      <c r="F158" t="s">
        <v>167</v>
      </c>
      <c r="G158" t="s">
        <v>11231</v>
      </c>
      <c r="H158">
        <v>17.75</v>
      </c>
      <c r="I158">
        <v>7</v>
      </c>
      <c r="J158">
        <v>0</v>
      </c>
      <c r="K158">
        <v>20</v>
      </c>
      <c r="L158">
        <v>7</v>
      </c>
      <c r="N158">
        <v>3</v>
      </c>
      <c r="O158">
        <v>10</v>
      </c>
      <c r="P158">
        <v>4</v>
      </c>
      <c r="Q158">
        <v>0</v>
      </c>
      <c r="R158">
        <v>58.75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F158" t="s">
        <v>130</v>
      </c>
      <c r="AG158" t="s">
        <v>130</v>
      </c>
      <c r="AH158">
        <v>58.75</v>
      </c>
    </row>
    <row r="159" spans="1:34" x14ac:dyDescent="0.3">
      <c r="A159" s="4">
        <v>304</v>
      </c>
      <c r="B159" s="5">
        <v>152</v>
      </c>
      <c r="C159">
        <v>13793</v>
      </c>
      <c r="D159" t="s">
        <v>3388</v>
      </c>
      <c r="E159" t="s">
        <v>208</v>
      </c>
      <c r="F159" t="s">
        <v>30</v>
      </c>
      <c r="G159" t="s">
        <v>11232</v>
      </c>
      <c r="H159">
        <v>18.7</v>
      </c>
      <c r="I159">
        <v>0</v>
      </c>
      <c r="J159">
        <v>0</v>
      </c>
      <c r="K159">
        <v>20</v>
      </c>
      <c r="L159">
        <v>7</v>
      </c>
      <c r="O159">
        <v>7</v>
      </c>
      <c r="P159">
        <v>4</v>
      </c>
      <c r="Q159">
        <v>0</v>
      </c>
      <c r="R159">
        <v>49.7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9</v>
      </c>
      <c r="AC159">
        <v>0</v>
      </c>
      <c r="AF159" t="s">
        <v>130</v>
      </c>
      <c r="AG159" t="s">
        <v>130</v>
      </c>
      <c r="AH159">
        <v>58.7</v>
      </c>
    </row>
    <row r="160" spans="1:34" x14ac:dyDescent="0.3">
      <c r="A160" s="4">
        <v>305</v>
      </c>
      <c r="B160" s="5">
        <v>153</v>
      </c>
      <c r="C160">
        <v>3559</v>
      </c>
      <c r="D160" t="s">
        <v>11233</v>
      </c>
      <c r="E160" t="s">
        <v>41</v>
      </c>
      <c r="F160" t="s">
        <v>17</v>
      </c>
      <c r="G160" t="s">
        <v>11234</v>
      </c>
      <c r="H160">
        <v>18.600000000000001</v>
      </c>
      <c r="I160">
        <v>0</v>
      </c>
      <c r="J160">
        <v>0</v>
      </c>
      <c r="K160">
        <v>20</v>
      </c>
      <c r="L160">
        <v>7</v>
      </c>
      <c r="N160">
        <v>3</v>
      </c>
      <c r="O160">
        <v>10</v>
      </c>
      <c r="P160">
        <v>4</v>
      </c>
      <c r="Q160">
        <v>2</v>
      </c>
      <c r="R160">
        <v>54.6</v>
      </c>
      <c r="S160">
        <v>4</v>
      </c>
      <c r="T160">
        <v>4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4</v>
      </c>
      <c r="AB160">
        <v>0</v>
      </c>
      <c r="AC160">
        <v>0</v>
      </c>
      <c r="AF160" t="s">
        <v>130</v>
      </c>
      <c r="AG160" t="s">
        <v>130</v>
      </c>
      <c r="AH160">
        <v>58.6</v>
      </c>
    </row>
    <row r="161" spans="1:34" x14ac:dyDescent="0.3">
      <c r="A161" s="4">
        <v>306</v>
      </c>
      <c r="B161" s="5">
        <v>154</v>
      </c>
      <c r="C161">
        <v>11969</v>
      </c>
      <c r="D161" t="s">
        <v>11235</v>
      </c>
      <c r="E161" t="s">
        <v>149</v>
      </c>
      <c r="F161" t="s">
        <v>5375</v>
      </c>
      <c r="G161" t="s">
        <v>11236</v>
      </c>
      <c r="H161">
        <v>17.25</v>
      </c>
      <c r="I161">
        <v>0</v>
      </c>
      <c r="J161">
        <v>0</v>
      </c>
      <c r="K161">
        <v>20</v>
      </c>
      <c r="L161">
        <v>7</v>
      </c>
      <c r="O161">
        <v>7</v>
      </c>
      <c r="P161">
        <v>4</v>
      </c>
      <c r="Q161">
        <v>0</v>
      </c>
      <c r="R161">
        <v>48.25</v>
      </c>
      <c r="S161">
        <v>4</v>
      </c>
      <c r="T161">
        <v>4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4</v>
      </c>
      <c r="AB161">
        <v>6</v>
      </c>
      <c r="AC161">
        <v>0</v>
      </c>
      <c r="AF161" t="s">
        <v>130</v>
      </c>
      <c r="AG161" t="s">
        <v>130</v>
      </c>
      <c r="AH161">
        <v>58.25</v>
      </c>
    </row>
    <row r="162" spans="1:34" x14ac:dyDescent="0.3">
      <c r="A162" s="4">
        <v>307</v>
      </c>
      <c r="B162" s="5">
        <v>155</v>
      </c>
      <c r="C162">
        <v>4148</v>
      </c>
      <c r="D162" t="s">
        <v>11237</v>
      </c>
      <c r="E162" t="s">
        <v>188</v>
      </c>
      <c r="F162" t="s">
        <v>972</v>
      </c>
      <c r="G162" t="s">
        <v>11238</v>
      </c>
      <c r="H162">
        <v>20.58</v>
      </c>
      <c r="I162">
        <v>0</v>
      </c>
      <c r="J162">
        <v>0</v>
      </c>
      <c r="K162">
        <v>20</v>
      </c>
      <c r="L162">
        <v>7</v>
      </c>
      <c r="O162">
        <v>7</v>
      </c>
      <c r="P162">
        <v>4</v>
      </c>
      <c r="Q162">
        <v>0</v>
      </c>
      <c r="R162">
        <v>51.58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6</v>
      </c>
      <c r="AC162">
        <v>0</v>
      </c>
      <c r="AD162" t="s">
        <v>130</v>
      </c>
      <c r="AF162" t="s">
        <v>130</v>
      </c>
      <c r="AG162" t="s">
        <v>130</v>
      </c>
      <c r="AH162">
        <v>57.58</v>
      </c>
    </row>
    <row r="163" spans="1:34" x14ac:dyDescent="0.3">
      <c r="A163" s="4">
        <v>308</v>
      </c>
      <c r="B163" s="5">
        <v>156</v>
      </c>
      <c r="C163">
        <v>11470</v>
      </c>
      <c r="D163" t="s">
        <v>5008</v>
      </c>
      <c r="E163" t="s">
        <v>471</v>
      </c>
      <c r="F163" t="s">
        <v>30</v>
      </c>
      <c r="G163" t="s">
        <v>11239</v>
      </c>
      <c r="H163">
        <v>20.53</v>
      </c>
      <c r="I163">
        <v>0</v>
      </c>
      <c r="J163">
        <v>0</v>
      </c>
      <c r="K163">
        <v>20</v>
      </c>
      <c r="L163">
        <v>7</v>
      </c>
      <c r="O163">
        <v>7</v>
      </c>
      <c r="P163">
        <v>4</v>
      </c>
      <c r="Q163">
        <v>2</v>
      </c>
      <c r="R163">
        <v>53.53</v>
      </c>
      <c r="S163">
        <v>4</v>
      </c>
      <c r="T163">
        <v>4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4</v>
      </c>
      <c r="AB163">
        <v>0</v>
      </c>
      <c r="AC163">
        <v>0</v>
      </c>
      <c r="AF163" t="s">
        <v>130</v>
      </c>
      <c r="AG163" t="s">
        <v>130</v>
      </c>
      <c r="AH163">
        <v>57.53</v>
      </c>
    </row>
    <row r="164" spans="1:34" x14ac:dyDescent="0.3">
      <c r="A164" s="4">
        <v>309</v>
      </c>
      <c r="B164" s="5">
        <v>157</v>
      </c>
      <c r="C164">
        <v>11558</v>
      </c>
      <c r="D164" t="s">
        <v>11240</v>
      </c>
      <c r="E164" t="s">
        <v>268</v>
      </c>
      <c r="F164" t="s">
        <v>136</v>
      </c>
      <c r="G164" t="s">
        <v>11241</v>
      </c>
      <c r="H164">
        <v>21.28</v>
      </c>
      <c r="I164">
        <v>0</v>
      </c>
      <c r="J164">
        <v>0</v>
      </c>
      <c r="K164">
        <v>20</v>
      </c>
      <c r="L164">
        <v>7</v>
      </c>
      <c r="N164">
        <v>3</v>
      </c>
      <c r="O164">
        <v>10</v>
      </c>
      <c r="P164">
        <v>4</v>
      </c>
      <c r="Q164">
        <v>2</v>
      </c>
      <c r="R164">
        <v>57.28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F164" t="s">
        <v>130</v>
      </c>
      <c r="AG164" t="s">
        <v>130</v>
      </c>
      <c r="AH164">
        <v>57.28</v>
      </c>
    </row>
    <row r="165" spans="1:34" x14ac:dyDescent="0.3">
      <c r="A165" s="4">
        <v>310</v>
      </c>
      <c r="B165" s="5">
        <v>158</v>
      </c>
      <c r="C165">
        <v>3951</v>
      </c>
      <c r="D165" t="s">
        <v>11242</v>
      </c>
      <c r="E165" t="s">
        <v>147</v>
      </c>
      <c r="F165" t="s">
        <v>55</v>
      </c>
      <c r="G165" t="s">
        <v>11243</v>
      </c>
      <c r="H165">
        <v>22.88</v>
      </c>
      <c r="I165">
        <v>0</v>
      </c>
      <c r="J165">
        <v>0</v>
      </c>
      <c r="K165">
        <v>20</v>
      </c>
      <c r="L165">
        <v>7</v>
      </c>
      <c r="N165">
        <v>3</v>
      </c>
      <c r="O165">
        <v>10</v>
      </c>
      <c r="P165">
        <v>4</v>
      </c>
      <c r="Q165">
        <v>0</v>
      </c>
      <c r="R165">
        <v>56.88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F165" t="s">
        <v>130</v>
      </c>
      <c r="AG165" t="s">
        <v>130</v>
      </c>
      <c r="AH165">
        <v>56.88</v>
      </c>
    </row>
    <row r="166" spans="1:34" x14ac:dyDescent="0.3">
      <c r="A166" s="4">
        <v>311</v>
      </c>
      <c r="B166" s="5">
        <v>159</v>
      </c>
      <c r="C166">
        <v>8994</v>
      </c>
      <c r="D166" t="s">
        <v>11244</v>
      </c>
      <c r="E166" t="s">
        <v>139</v>
      </c>
      <c r="F166" t="s">
        <v>81</v>
      </c>
      <c r="G166" t="s">
        <v>11245</v>
      </c>
      <c r="H166">
        <v>19.53</v>
      </c>
      <c r="I166">
        <v>0</v>
      </c>
      <c r="J166">
        <v>0</v>
      </c>
      <c r="K166">
        <v>20</v>
      </c>
      <c r="L166">
        <v>7</v>
      </c>
      <c r="O166">
        <v>7</v>
      </c>
      <c r="P166">
        <v>4</v>
      </c>
      <c r="Q166">
        <v>2</v>
      </c>
      <c r="R166">
        <v>52.53</v>
      </c>
      <c r="S166">
        <v>4</v>
      </c>
      <c r="T166">
        <v>4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4</v>
      </c>
      <c r="AB166">
        <v>0</v>
      </c>
      <c r="AC166">
        <v>0</v>
      </c>
      <c r="AF166" t="s">
        <v>130</v>
      </c>
      <c r="AG166" t="s">
        <v>130</v>
      </c>
      <c r="AH166">
        <v>56.53</v>
      </c>
    </row>
    <row r="167" spans="1:34" x14ac:dyDescent="0.3">
      <c r="A167" s="4">
        <v>312</v>
      </c>
      <c r="B167" s="5">
        <v>160</v>
      </c>
      <c r="C167">
        <v>2784</v>
      </c>
      <c r="D167" t="s">
        <v>11246</v>
      </c>
      <c r="E167" t="s">
        <v>1084</v>
      </c>
      <c r="F167" t="s">
        <v>38</v>
      </c>
      <c r="G167" t="s">
        <v>11247</v>
      </c>
      <c r="H167">
        <v>20.25</v>
      </c>
      <c r="I167">
        <v>0</v>
      </c>
      <c r="J167">
        <v>0</v>
      </c>
      <c r="K167">
        <v>20</v>
      </c>
      <c r="N167">
        <v>3</v>
      </c>
      <c r="O167">
        <v>3</v>
      </c>
      <c r="P167">
        <v>4</v>
      </c>
      <c r="Q167">
        <v>2</v>
      </c>
      <c r="R167">
        <v>49.25</v>
      </c>
      <c r="S167">
        <v>7</v>
      </c>
      <c r="T167">
        <v>7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7</v>
      </c>
      <c r="AB167">
        <v>0</v>
      </c>
      <c r="AC167">
        <v>0</v>
      </c>
      <c r="AF167" t="s">
        <v>130</v>
      </c>
      <c r="AG167" t="s">
        <v>130</v>
      </c>
      <c r="AH167">
        <v>56.25</v>
      </c>
    </row>
    <row r="168" spans="1:34" x14ac:dyDescent="0.3">
      <c r="A168" s="4">
        <v>313</v>
      </c>
      <c r="B168" s="5">
        <v>161</v>
      </c>
      <c r="C168">
        <v>11284</v>
      </c>
      <c r="D168" t="s">
        <v>3508</v>
      </c>
      <c r="E168" t="s">
        <v>188</v>
      </c>
      <c r="F168" t="s">
        <v>2598</v>
      </c>
      <c r="G168" t="s">
        <v>11248</v>
      </c>
      <c r="H168">
        <v>16.55</v>
      </c>
      <c r="I168">
        <v>0</v>
      </c>
      <c r="J168">
        <v>0</v>
      </c>
      <c r="K168">
        <v>20</v>
      </c>
      <c r="L168">
        <v>7</v>
      </c>
      <c r="O168">
        <v>7</v>
      </c>
      <c r="P168">
        <v>4</v>
      </c>
      <c r="Q168">
        <v>0</v>
      </c>
      <c r="R168">
        <v>47.55</v>
      </c>
      <c r="S168">
        <v>8</v>
      </c>
      <c r="T168">
        <v>8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8</v>
      </c>
      <c r="AB168">
        <v>0</v>
      </c>
      <c r="AC168">
        <v>0</v>
      </c>
      <c r="AF168" t="s">
        <v>130</v>
      </c>
      <c r="AG168" t="s">
        <v>130</v>
      </c>
      <c r="AH168">
        <v>55.55</v>
      </c>
    </row>
    <row r="169" spans="1:34" x14ac:dyDescent="0.3">
      <c r="A169" s="4">
        <v>314</v>
      </c>
      <c r="B169" s="5">
        <v>162</v>
      </c>
      <c r="C169">
        <v>3196</v>
      </c>
      <c r="D169" t="s">
        <v>410</v>
      </c>
      <c r="E169" t="s">
        <v>182</v>
      </c>
      <c r="F169" t="s">
        <v>81</v>
      </c>
      <c r="G169" t="s">
        <v>11249</v>
      </c>
      <c r="H169">
        <v>18.18</v>
      </c>
      <c r="I169">
        <v>0</v>
      </c>
      <c r="J169">
        <v>0</v>
      </c>
      <c r="K169">
        <v>20</v>
      </c>
      <c r="L169">
        <v>7</v>
      </c>
      <c r="O169">
        <v>7</v>
      </c>
      <c r="P169">
        <v>4</v>
      </c>
      <c r="Q169">
        <v>0</v>
      </c>
      <c r="R169">
        <v>49.18</v>
      </c>
      <c r="S169">
        <v>6</v>
      </c>
      <c r="T169">
        <v>6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6</v>
      </c>
      <c r="AB169">
        <v>0</v>
      </c>
      <c r="AC169">
        <v>0</v>
      </c>
      <c r="AF169" t="s">
        <v>130</v>
      </c>
      <c r="AG169" t="s">
        <v>130</v>
      </c>
      <c r="AH169">
        <v>55.18</v>
      </c>
    </row>
    <row r="170" spans="1:34" x14ac:dyDescent="0.3">
      <c r="A170" s="4">
        <v>315</v>
      </c>
      <c r="B170" s="5">
        <v>163</v>
      </c>
      <c r="C170">
        <v>9494</v>
      </c>
      <c r="D170" t="s">
        <v>1304</v>
      </c>
      <c r="E170" t="s">
        <v>88</v>
      </c>
      <c r="F170" t="s">
        <v>328</v>
      </c>
      <c r="G170" t="s">
        <v>11250</v>
      </c>
      <c r="H170">
        <v>21.95</v>
      </c>
      <c r="I170">
        <v>0</v>
      </c>
      <c r="J170">
        <v>0</v>
      </c>
      <c r="K170">
        <v>20</v>
      </c>
      <c r="N170">
        <v>3</v>
      </c>
      <c r="O170">
        <v>3</v>
      </c>
      <c r="P170">
        <v>4</v>
      </c>
      <c r="Q170">
        <v>2</v>
      </c>
      <c r="R170">
        <v>50.95</v>
      </c>
      <c r="S170">
        <v>4</v>
      </c>
      <c r="T170">
        <v>4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4</v>
      </c>
      <c r="AB170">
        <v>0</v>
      </c>
      <c r="AC170">
        <v>0</v>
      </c>
      <c r="AF170" t="s">
        <v>130</v>
      </c>
      <c r="AG170" t="s">
        <v>130</v>
      </c>
      <c r="AH170">
        <v>54.95</v>
      </c>
    </row>
    <row r="171" spans="1:34" x14ac:dyDescent="0.3">
      <c r="A171" s="4">
        <v>316</v>
      </c>
      <c r="B171" s="5">
        <v>164</v>
      </c>
      <c r="C171">
        <v>7908</v>
      </c>
      <c r="D171" t="s">
        <v>1958</v>
      </c>
      <c r="E171" t="s">
        <v>816</v>
      </c>
      <c r="F171" t="s">
        <v>81</v>
      </c>
      <c r="G171" t="s">
        <v>11251</v>
      </c>
      <c r="H171">
        <v>20.329999999999998</v>
      </c>
      <c r="I171">
        <v>7</v>
      </c>
      <c r="J171">
        <v>0</v>
      </c>
      <c r="K171">
        <v>20</v>
      </c>
      <c r="N171">
        <v>3</v>
      </c>
      <c r="O171">
        <v>3</v>
      </c>
      <c r="P171">
        <v>4</v>
      </c>
      <c r="Q171">
        <v>0</v>
      </c>
      <c r="R171">
        <v>54.33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F171" t="s">
        <v>130</v>
      </c>
      <c r="AG171" t="s">
        <v>130</v>
      </c>
      <c r="AH171">
        <v>54.33</v>
      </c>
    </row>
    <row r="172" spans="1:34" x14ac:dyDescent="0.3">
      <c r="A172" s="4">
        <v>317</v>
      </c>
      <c r="B172" s="5">
        <v>165</v>
      </c>
      <c r="C172">
        <v>14909</v>
      </c>
      <c r="D172" t="s">
        <v>11252</v>
      </c>
      <c r="E172" t="s">
        <v>51</v>
      </c>
      <c r="F172" t="s">
        <v>649</v>
      </c>
      <c r="G172" t="s">
        <v>11253</v>
      </c>
      <c r="H172">
        <v>18.95</v>
      </c>
      <c r="I172">
        <v>0</v>
      </c>
      <c r="J172">
        <v>0</v>
      </c>
      <c r="K172">
        <v>20</v>
      </c>
      <c r="L172">
        <v>7</v>
      </c>
      <c r="O172">
        <v>7</v>
      </c>
      <c r="P172">
        <v>4</v>
      </c>
      <c r="Q172">
        <v>0</v>
      </c>
      <c r="R172">
        <v>49.95</v>
      </c>
      <c r="S172">
        <v>4</v>
      </c>
      <c r="T172">
        <v>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4</v>
      </c>
      <c r="AB172">
        <v>0</v>
      </c>
      <c r="AC172">
        <v>0</v>
      </c>
      <c r="AF172" t="s">
        <v>130</v>
      </c>
      <c r="AG172" t="s">
        <v>130</v>
      </c>
      <c r="AH172">
        <v>53.95</v>
      </c>
    </row>
    <row r="173" spans="1:34" x14ac:dyDescent="0.3">
      <c r="A173" s="4">
        <v>318</v>
      </c>
      <c r="B173" s="5">
        <v>166</v>
      </c>
      <c r="C173">
        <v>12160</v>
      </c>
      <c r="D173" t="s">
        <v>9818</v>
      </c>
      <c r="E173" t="s">
        <v>219</v>
      </c>
      <c r="F173" t="s">
        <v>1023</v>
      </c>
      <c r="G173" t="s">
        <v>11254</v>
      </c>
      <c r="H173">
        <v>22.93</v>
      </c>
      <c r="I173">
        <v>7</v>
      </c>
      <c r="J173">
        <v>0</v>
      </c>
      <c r="K173">
        <v>20</v>
      </c>
      <c r="O173">
        <v>0</v>
      </c>
      <c r="P173">
        <v>4</v>
      </c>
      <c r="Q173">
        <v>0</v>
      </c>
      <c r="R173">
        <v>53.93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F173" t="s">
        <v>130</v>
      </c>
      <c r="AG173" t="s">
        <v>130</v>
      </c>
      <c r="AH173">
        <v>53.93</v>
      </c>
    </row>
    <row r="174" spans="1:34" x14ac:dyDescent="0.3">
      <c r="A174" s="4">
        <v>319</v>
      </c>
      <c r="B174" s="5">
        <v>167</v>
      </c>
      <c r="C174">
        <v>496</v>
      </c>
      <c r="D174" t="s">
        <v>9689</v>
      </c>
      <c r="E174" t="s">
        <v>29</v>
      </c>
      <c r="F174" t="s">
        <v>81</v>
      </c>
      <c r="G174" t="s">
        <v>11255</v>
      </c>
      <c r="H174">
        <v>18.78</v>
      </c>
      <c r="I174">
        <v>0</v>
      </c>
      <c r="J174">
        <v>0</v>
      </c>
      <c r="K174">
        <v>20</v>
      </c>
      <c r="N174">
        <v>3</v>
      </c>
      <c r="O174">
        <v>3</v>
      </c>
      <c r="P174">
        <v>4</v>
      </c>
      <c r="Q174">
        <v>2</v>
      </c>
      <c r="R174">
        <v>47.78</v>
      </c>
      <c r="S174">
        <v>6</v>
      </c>
      <c r="T174">
        <v>6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6</v>
      </c>
      <c r="AB174">
        <v>0</v>
      </c>
      <c r="AC174">
        <v>0</v>
      </c>
      <c r="AF174" t="s">
        <v>130</v>
      </c>
      <c r="AG174" t="s">
        <v>130</v>
      </c>
      <c r="AH174">
        <v>53.78</v>
      </c>
    </row>
    <row r="175" spans="1:34" x14ac:dyDescent="0.3">
      <c r="A175" s="4">
        <v>320</v>
      </c>
      <c r="B175" s="5">
        <v>168</v>
      </c>
      <c r="C175">
        <v>3049</v>
      </c>
      <c r="D175" t="s">
        <v>932</v>
      </c>
      <c r="E175" t="s">
        <v>11256</v>
      </c>
      <c r="F175" t="s">
        <v>17</v>
      </c>
      <c r="G175" t="s">
        <v>11257</v>
      </c>
      <c r="H175">
        <v>19.649999999999999</v>
      </c>
      <c r="I175">
        <v>0</v>
      </c>
      <c r="J175">
        <v>0</v>
      </c>
      <c r="K175">
        <v>20</v>
      </c>
      <c r="L175">
        <v>7</v>
      </c>
      <c r="O175">
        <v>7</v>
      </c>
      <c r="P175">
        <v>4</v>
      </c>
      <c r="Q175">
        <v>0</v>
      </c>
      <c r="R175">
        <v>50.65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3</v>
      </c>
      <c r="AC175">
        <v>0</v>
      </c>
      <c r="AF175" t="s">
        <v>130</v>
      </c>
      <c r="AG175" t="s">
        <v>130</v>
      </c>
      <c r="AH175">
        <v>53.65</v>
      </c>
    </row>
    <row r="176" spans="1:34" x14ac:dyDescent="0.3">
      <c r="A176" s="4">
        <v>321</v>
      </c>
      <c r="B176" s="5">
        <v>169</v>
      </c>
      <c r="C176">
        <v>5678</v>
      </c>
      <c r="D176" t="s">
        <v>93</v>
      </c>
      <c r="E176" t="s">
        <v>10782</v>
      </c>
      <c r="F176" t="s">
        <v>91</v>
      </c>
      <c r="G176" t="s">
        <v>11258</v>
      </c>
      <c r="H176">
        <v>22.28</v>
      </c>
      <c r="I176">
        <v>0</v>
      </c>
      <c r="J176">
        <v>0</v>
      </c>
      <c r="K176">
        <v>20</v>
      </c>
      <c r="L176">
        <v>7</v>
      </c>
      <c r="O176">
        <v>7</v>
      </c>
      <c r="P176">
        <v>4</v>
      </c>
      <c r="Q176">
        <v>0</v>
      </c>
      <c r="R176">
        <v>53.28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F176" t="s">
        <v>130</v>
      </c>
      <c r="AG176" t="s">
        <v>130</v>
      </c>
      <c r="AH176">
        <v>53.28</v>
      </c>
    </row>
    <row r="177" spans="1:34" x14ac:dyDescent="0.3">
      <c r="A177" s="4">
        <v>322</v>
      </c>
      <c r="B177" s="5">
        <v>170</v>
      </c>
      <c r="C177">
        <v>2984</v>
      </c>
      <c r="D177" t="s">
        <v>11259</v>
      </c>
      <c r="E177" t="s">
        <v>3803</v>
      </c>
      <c r="F177" t="s">
        <v>20</v>
      </c>
      <c r="G177" t="s">
        <v>11260</v>
      </c>
      <c r="H177">
        <v>22.15</v>
      </c>
      <c r="I177">
        <v>0</v>
      </c>
      <c r="J177">
        <v>0</v>
      </c>
      <c r="K177">
        <v>20</v>
      </c>
      <c r="L177">
        <v>7</v>
      </c>
      <c r="O177">
        <v>7</v>
      </c>
      <c r="P177">
        <v>4</v>
      </c>
      <c r="Q177">
        <v>0</v>
      </c>
      <c r="R177">
        <v>53.15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F177" t="s">
        <v>130</v>
      </c>
      <c r="AG177" t="s">
        <v>130</v>
      </c>
      <c r="AH177">
        <v>53.15</v>
      </c>
    </row>
    <row r="178" spans="1:34" x14ac:dyDescent="0.3">
      <c r="A178" s="4">
        <v>323</v>
      </c>
      <c r="B178" s="5">
        <v>171</v>
      </c>
      <c r="C178">
        <v>14866</v>
      </c>
      <c r="D178" t="s">
        <v>181</v>
      </c>
      <c r="E178" t="s">
        <v>178</v>
      </c>
      <c r="F178" t="s">
        <v>62</v>
      </c>
      <c r="G178" t="s">
        <v>11261</v>
      </c>
      <c r="H178">
        <v>16.95</v>
      </c>
      <c r="I178">
        <v>0</v>
      </c>
      <c r="J178">
        <v>0</v>
      </c>
      <c r="K178">
        <v>20</v>
      </c>
      <c r="N178">
        <v>6</v>
      </c>
      <c r="O178">
        <v>6</v>
      </c>
      <c r="P178">
        <v>4</v>
      </c>
      <c r="Q178">
        <v>0</v>
      </c>
      <c r="R178">
        <v>46.95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6</v>
      </c>
      <c r="AC178">
        <v>0</v>
      </c>
      <c r="AF178" t="s">
        <v>130</v>
      </c>
      <c r="AG178" t="s">
        <v>130</v>
      </c>
      <c r="AH178">
        <v>52.95</v>
      </c>
    </row>
    <row r="179" spans="1:34" x14ac:dyDescent="0.3">
      <c r="A179" s="4">
        <v>324</v>
      </c>
      <c r="B179" s="5">
        <v>172</v>
      </c>
      <c r="C179">
        <v>3100</v>
      </c>
      <c r="D179" t="s">
        <v>10774</v>
      </c>
      <c r="E179" t="s">
        <v>208</v>
      </c>
      <c r="F179" t="s">
        <v>339</v>
      </c>
      <c r="G179" t="s">
        <v>11262</v>
      </c>
      <c r="H179">
        <v>19.8</v>
      </c>
      <c r="I179">
        <v>0</v>
      </c>
      <c r="J179">
        <v>0</v>
      </c>
      <c r="K179">
        <v>20</v>
      </c>
      <c r="L179">
        <v>7</v>
      </c>
      <c r="O179">
        <v>7</v>
      </c>
      <c r="P179">
        <v>4</v>
      </c>
      <c r="Q179">
        <v>2</v>
      </c>
      <c r="R179">
        <v>52.8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F179" t="s">
        <v>130</v>
      </c>
      <c r="AG179" t="s">
        <v>130</v>
      </c>
      <c r="AH179">
        <v>52.8</v>
      </c>
    </row>
    <row r="180" spans="1:34" x14ac:dyDescent="0.3">
      <c r="A180" s="4">
        <v>325</v>
      </c>
      <c r="B180" s="5">
        <v>173</v>
      </c>
      <c r="C180">
        <v>9762</v>
      </c>
      <c r="D180" t="s">
        <v>11263</v>
      </c>
      <c r="E180" t="s">
        <v>54</v>
      </c>
      <c r="F180" t="s">
        <v>81</v>
      </c>
      <c r="G180" t="s">
        <v>11264</v>
      </c>
      <c r="H180">
        <v>21.58</v>
      </c>
      <c r="I180">
        <v>0</v>
      </c>
      <c r="J180">
        <v>0</v>
      </c>
      <c r="K180">
        <v>20</v>
      </c>
      <c r="L180">
        <v>7</v>
      </c>
      <c r="O180">
        <v>7</v>
      </c>
      <c r="P180">
        <v>4</v>
      </c>
      <c r="Q180">
        <v>0</v>
      </c>
      <c r="R180">
        <v>52.58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F180" t="s">
        <v>130</v>
      </c>
      <c r="AG180" t="s">
        <v>130</v>
      </c>
      <c r="AH180">
        <v>52.58</v>
      </c>
    </row>
    <row r="181" spans="1:34" x14ac:dyDescent="0.3">
      <c r="A181" s="4">
        <v>326</v>
      </c>
      <c r="B181" s="5">
        <v>174</v>
      </c>
      <c r="C181">
        <v>8930</v>
      </c>
      <c r="D181" t="s">
        <v>1599</v>
      </c>
      <c r="E181" t="s">
        <v>1189</v>
      </c>
      <c r="F181" t="s">
        <v>158</v>
      </c>
      <c r="G181" t="s">
        <v>11265</v>
      </c>
      <c r="H181">
        <v>20.55</v>
      </c>
      <c r="I181">
        <v>0</v>
      </c>
      <c r="J181">
        <v>0</v>
      </c>
      <c r="K181">
        <v>20</v>
      </c>
      <c r="M181">
        <v>5</v>
      </c>
      <c r="O181">
        <v>5</v>
      </c>
      <c r="P181">
        <v>4</v>
      </c>
      <c r="Q181">
        <v>0</v>
      </c>
      <c r="R181">
        <v>49.55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3</v>
      </c>
      <c r="AC181">
        <v>0</v>
      </c>
      <c r="AF181" t="s">
        <v>130</v>
      </c>
      <c r="AG181" t="s">
        <v>130</v>
      </c>
      <c r="AH181">
        <v>52.55</v>
      </c>
    </row>
    <row r="182" spans="1:34" x14ac:dyDescent="0.3">
      <c r="A182" s="4">
        <v>327</v>
      </c>
      <c r="B182" s="5">
        <v>175</v>
      </c>
      <c r="C182">
        <v>10415</v>
      </c>
      <c r="D182" t="s">
        <v>28</v>
      </c>
      <c r="E182" t="s">
        <v>157</v>
      </c>
      <c r="F182" t="s">
        <v>68</v>
      </c>
      <c r="G182" t="s">
        <v>11266</v>
      </c>
      <c r="H182">
        <v>21.3</v>
      </c>
      <c r="I182">
        <v>0</v>
      </c>
      <c r="J182">
        <v>0</v>
      </c>
      <c r="K182">
        <v>20</v>
      </c>
      <c r="L182">
        <v>7</v>
      </c>
      <c r="O182">
        <v>7</v>
      </c>
      <c r="P182">
        <v>4</v>
      </c>
      <c r="Q182">
        <v>0</v>
      </c>
      <c r="R182">
        <v>52.3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F182" t="s">
        <v>130</v>
      </c>
      <c r="AG182" t="s">
        <v>130</v>
      </c>
      <c r="AH182">
        <v>52.3</v>
      </c>
    </row>
    <row r="183" spans="1:34" x14ac:dyDescent="0.3">
      <c r="A183" s="4">
        <v>328</v>
      </c>
      <c r="B183" s="5">
        <v>176</v>
      </c>
      <c r="C183">
        <v>8824</v>
      </c>
      <c r="D183" t="s">
        <v>3662</v>
      </c>
      <c r="E183" t="s">
        <v>132</v>
      </c>
      <c r="F183" t="s">
        <v>3516</v>
      </c>
      <c r="G183" t="s">
        <v>11267</v>
      </c>
      <c r="H183">
        <v>17.23</v>
      </c>
      <c r="I183">
        <v>0</v>
      </c>
      <c r="J183">
        <v>0</v>
      </c>
      <c r="K183">
        <v>20</v>
      </c>
      <c r="M183">
        <v>5</v>
      </c>
      <c r="O183">
        <v>5</v>
      </c>
      <c r="P183">
        <v>4</v>
      </c>
      <c r="Q183">
        <v>0</v>
      </c>
      <c r="R183">
        <v>46.23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6</v>
      </c>
      <c r="AC183">
        <v>0</v>
      </c>
      <c r="AF183" t="s">
        <v>130</v>
      </c>
      <c r="AG183" t="s">
        <v>130</v>
      </c>
      <c r="AH183">
        <v>52.23</v>
      </c>
    </row>
    <row r="184" spans="1:34" x14ac:dyDescent="0.3">
      <c r="A184" s="4">
        <v>329</v>
      </c>
      <c r="B184" s="5">
        <v>177</v>
      </c>
      <c r="C184">
        <v>6159</v>
      </c>
      <c r="D184" t="s">
        <v>11268</v>
      </c>
      <c r="E184" t="s">
        <v>166</v>
      </c>
      <c r="F184" t="s">
        <v>62</v>
      </c>
      <c r="G184" t="s">
        <v>11269</v>
      </c>
      <c r="H184">
        <v>18.899999999999999</v>
      </c>
      <c r="I184">
        <v>0</v>
      </c>
      <c r="J184">
        <v>0</v>
      </c>
      <c r="K184">
        <v>20</v>
      </c>
      <c r="L184">
        <v>7</v>
      </c>
      <c r="O184">
        <v>7</v>
      </c>
      <c r="P184">
        <v>4</v>
      </c>
      <c r="Q184">
        <v>2</v>
      </c>
      <c r="R184">
        <v>51.9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F184" t="s">
        <v>130</v>
      </c>
      <c r="AG184" t="s">
        <v>130</v>
      </c>
      <c r="AH184">
        <v>51.9</v>
      </c>
    </row>
    <row r="185" spans="1:34" x14ac:dyDescent="0.3">
      <c r="A185" s="4">
        <v>330</v>
      </c>
      <c r="B185" s="5">
        <v>178</v>
      </c>
      <c r="C185">
        <v>2426</v>
      </c>
      <c r="D185" t="s">
        <v>8837</v>
      </c>
      <c r="E185" t="s">
        <v>136</v>
      </c>
      <c r="F185" t="s">
        <v>20</v>
      </c>
      <c r="G185" t="s">
        <v>11270</v>
      </c>
      <c r="H185">
        <v>19.079999999999998</v>
      </c>
      <c r="I185">
        <v>0</v>
      </c>
      <c r="J185">
        <v>0</v>
      </c>
      <c r="K185">
        <v>20</v>
      </c>
      <c r="M185">
        <v>5</v>
      </c>
      <c r="O185">
        <v>5</v>
      </c>
      <c r="P185">
        <v>4</v>
      </c>
      <c r="Q185">
        <v>0</v>
      </c>
      <c r="R185">
        <v>48.08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3</v>
      </c>
      <c r="AC185">
        <v>0</v>
      </c>
      <c r="AF185" t="s">
        <v>130</v>
      </c>
      <c r="AG185" t="s">
        <v>130</v>
      </c>
      <c r="AH185">
        <v>51.08</v>
      </c>
    </row>
    <row r="186" spans="1:34" x14ac:dyDescent="0.3">
      <c r="A186" s="4">
        <v>331</v>
      </c>
      <c r="B186" s="5">
        <v>179</v>
      </c>
      <c r="C186">
        <v>15172</v>
      </c>
      <c r="D186" t="s">
        <v>11271</v>
      </c>
      <c r="E186" t="s">
        <v>2130</v>
      </c>
      <c r="F186" t="s">
        <v>442</v>
      </c>
      <c r="G186" t="s">
        <v>11272</v>
      </c>
      <c r="H186">
        <v>20.65</v>
      </c>
      <c r="I186">
        <v>0</v>
      </c>
      <c r="J186">
        <v>0</v>
      </c>
      <c r="K186">
        <v>20</v>
      </c>
      <c r="L186">
        <v>7</v>
      </c>
      <c r="N186">
        <v>3</v>
      </c>
      <c r="O186">
        <v>10</v>
      </c>
      <c r="P186">
        <v>0</v>
      </c>
      <c r="Q186">
        <v>0</v>
      </c>
      <c r="R186">
        <v>50.65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F186" t="s">
        <v>130</v>
      </c>
      <c r="AG186" t="s">
        <v>130</v>
      </c>
      <c r="AH186">
        <v>50.65</v>
      </c>
    </row>
    <row r="187" spans="1:34" x14ac:dyDescent="0.3">
      <c r="A187" s="4">
        <v>332</v>
      </c>
      <c r="B187" s="5">
        <v>180</v>
      </c>
      <c r="C187">
        <v>2820</v>
      </c>
      <c r="D187" t="s">
        <v>11273</v>
      </c>
      <c r="E187" t="s">
        <v>68</v>
      </c>
      <c r="F187" t="s">
        <v>30</v>
      </c>
      <c r="G187" t="s">
        <v>11274</v>
      </c>
      <c r="H187">
        <v>19.5</v>
      </c>
      <c r="I187">
        <v>0</v>
      </c>
      <c r="J187">
        <v>0</v>
      </c>
      <c r="K187">
        <v>20</v>
      </c>
      <c r="L187">
        <v>7</v>
      </c>
      <c r="O187">
        <v>7</v>
      </c>
      <c r="P187">
        <v>4</v>
      </c>
      <c r="Q187">
        <v>0</v>
      </c>
      <c r="R187">
        <v>50.5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F187" t="s">
        <v>130</v>
      </c>
      <c r="AG187" t="s">
        <v>130</v>
      </c>
      <c r="AH187">
        <v>50.5</v>
      </c>
    </row>
    <row r="188" spans="1:34" x14ac:dyDescent="0.3">
      <c r="A188" s="4">
        <v>333</v>
      </c>
      <c r="B188" s="5">
        <v>181</v>
      </c>
      <c r="C188">
        <v>14204</v>
      </c>
      <c r="D188" t="s">
        <v>11275</v>
      </c>
      <c r="E188" t="s">
        <v>10280</v>
      </c>
      <c r="F188" t="s">
        <v>30</v>
      </c>
      <c r="G188" t="s">
        <v>11276</v>
      </c>
      <c r="H188">
        <v>18.55</v>
      </c>
      <c r="I188">
        <v>0</v>
      </c>
      <c r="J188">
        <v>0</v>
      </c>
      <c r="K188">
        <v>20</v>
      </c>
      <c r="L188">
        <v>7</v>
      </c>
      <c r="O188">
        <v>7</v>
      </c>
      <c r="P188">
        <v>4</v>
      </c>
      <c r="Q188">
        <v>0</v>
      </c>
      <c r="R188">
        <v>49.55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F188" t="s">
        <v>130</v>
      </c>
      <c r="AG188" t="s">
        <v>130</v>
      </c>
      <c r="AH188">
        <v>49.55</v>
      </c>
    </row>
    <row r="189" spans="1:34" x14ac:dyDescent="0.3">
      <c r="A189" s="4">
        <v>334</v>
      </c>
      <c r="B189" s="5">
        <v>182</v>
      </c>
      <c r="C189">
        <v>28</v>
      </c>
      <c r="D189" t="s">
        <v>5824</v>
      </c>
      <c r="E189" t="s">
        <v>41</v>
      </c>
      <c r="F189" t="s">
        <v>81</v>
      </c>
      <c r="G189" t="s">
        <v>11277</v>
      </c>
      <c r="H189">
        <v>19.3</v>
      </c>
      <c r="I189">
        <v>0</v>
      </c>
      <c r="J189">
        <v>0</v>
      </c>
      <c r="K189">
        <v>20</v>
      </c>
      <c r="N189">
        <v>6</v>
      </c>
      <c r="O189">
        <v>6</v>
      </c>
      <c r="P189">
        <v>4</v>
      </c>
      <c r="Q189">
        <v>0</v>
      </c>
      <c r="R189">
        <v>49.3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F189" t="s">
        <v>130</v>
      </c>
      <c r="AG189" t="s">
        <v>130</v>
      </c>
      <c r="AH189">
        <v>49.3</v>
      </c>
    </row>
    <row r="190" spans="1:34" x14ac:dyDescent="0.3">
      <c r="A190" s="4">
        <v>335</v>
      </c>
      <c r="B190" s="5">
        <v>183</v>
      </c>
      <c r="C190">
        <v>15067</v>
      </c>
      <c r="D190" t="s">
        <v>7214</v>
      </c>
      <c r="E190" t="s">
        <v>166</v>
      </c>
      <c r="F190" t="s">
        <v>1023</v>
      </c>
      <c r="G190" t="s">
        <v>11278</v>
      </c>
      <c r="H190">
        <v>18.68</v>
      </c>
      <c r="I190">
        <v>0</v>
      </c>
      <c r="J190">
        <v>0</v>
      </c>
      <c r="K190">
        <v>20</v>
      </c>
      <c r="L190">
        <v>7</v>
      </c>
      <c r="O190">
        <v>7</v>
      </c>
      <c r="P190">
        <v>0</v>
      </c>
      <c r="Q190">
        <v>0</v>
      </c>
      <c r="R190">
        <v>45.68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3</v>
      </c>
      <c r="AC190">
        <v>0</v>
      </c>
      <c r="AF190" t="s">
        <v>130</v>
      </c>
      <c r="AG190" t="s">
        <v>130</v>
      </c>
      <c r="AH190">
        <v>48.68</v>
      </c>
    </row>
    <row r="191" spans="1:34" x14ac:dyDescent="0.3">
      <c r="A191" s="4">
        <v>336</v>
      </c>
      <c r="B191" s="5">
        <v>184</v>
      </c>
      <c r="C191">
        <v>6332</v>
      </c>
      <c r="D191" t="s">
        <v>11279</v>
      </c>
      <c r="E191" t="s">
        <v>136</v>
      </c>
      <c r="F191" t="s">
        <v>343</v>
      </c>
      <c r="G191" t="s">
        <v>11280</v>
      </c>
      <c r="H191">
        <v>17.13</v>
      </c>
      <c r="I191">
        <v>7</v>
      </c>
      <c r="J191">
        <v>0</v>
      </c>
      <c r="K191">
        <v>20</v>
      </c>
      <c r="O191">
        <v>0</v>
      </c>
      <c r="P191">
        <v>4</v>
      </c>
      <c r="Q191">
        <v>0</v>
      </c>
      <c r="R191">
        <v>48.13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F191" t="s">
        <v>130</v>
      </c>
      <c r="AG191" t="s">
        <v>130</v>
      </c>
      <c r="AH191">
        <v>48.13</v>
      </c>
    </row>
    <row r="192" spans="1:34" x14ac:dyDescent="0.3">
      <c r="A192" s="4">
        <v>337</v>
      </c>
      <c r="B192" s="5">
        <v>185</v>
      </c>
      <c r="C192">
        <v>8694</v>
      </c>
      <c r="D192" t="s">
        <v>11281</v>
      </c>
      <c r="E192" t="s">
        <v>54</v>
      </c>
      <c r="F192" t="s">
        <v>11282</v>
      </c>
      <c r="G192" t="s">
        <v>11283</v>
      </c>
      <c r="H192">
        <v>18.73</v>
      </c>
      <c r="I192">
        <v>0</v>
      </c>
      <c r="J192">
        <v>0</v>
      </c>
      <c r="K192">
        <v>20</v>
      </c>
      <c r="N192">
        <v>3</v>
      </c>
      <c r="O192">
        <v>3</v>
      </c>
      <c r="P192">
        <v>4</v>
      </c>
      <c r="Q192">
        <v>2</v>
      </c>
      <c r="R192">
        <v>47.73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F192" t="s">
        <v>130</v>
      </c>
      <c r="AG192" t="s">
        <v>130</v>
      </c>
      <c r="AH192">
        <v>47.73</v>
      </c>
    </row>
    <row r="193" spans="1:34" x14ac:dyDescent="0.3">
      <c r="A193" s="4">
        <v>338</v>
      </c>
      <c r="B193" s="5">
        <v>186</v>
      </c>
      <c r="C193">
        <v>10095</v>
      </c>
      <c r="D193" t="s">
        <v>1399</v>
      </c>
      <c r="E193" t="s">
        <v>20</v>
      </c>
      <c r="F193" t="s">
        <v>136</v>
      </c>
      <c r="G193" t="s">
        <v>11284</v>
      </c>
      <c r="H193">
        <v>20.25</v>
      </c>
      <c r="I193">
        <v>0</v>
      </c>
      <c r="J193">
        <v>0</v>
      </c>
      <c r="K193">
        <v>20</v>
      </c>
      <c r="N193">
        <v>3</v>
      </c>
      <c r="O193">
        <v>3</v>
      </c>
      <c r="P193">
        <v>4</v>
      </c>
      <c r="Q193">
        <v>0</v>
      </c>
      <c r="R193">
        <v>47.25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F193" t="s">
        <v>130</v>
      </c>
      <c r="AG193" t="s">
        <v>130</v>
      </c>
      <c r="AH193">
        <v>47.25</v>
      </c>
    </row>
    <row r="194" spans="1:34" x14ac:dyDescent="0.3">
      <c r="A194" s="4">
        <v>339</v>
      </c>
      <c r="B194" s="5">
        <v>187</v>
      </c>
      <c r="C194">
        <v>330</v>
      </c>
      <c r="D194" t="s">
        <v>11285</v>
      </c>
      <c r="E194" t="s">
        <v>136</v>
      </c>
      <c r="F194" t="s">
        <v>11286</v>
      </c>
      <c r="G194" t="s">
        <v>11287</v>
      </c>
      <c r="H194">
        <v>15.95</v>
      </c>
      <c r="I194">
        <v>0</v>
      </c>
      <c r="J194">
        <v>0</v>
      </c>
      <c r="K194">
        <v>20</v>
      </c>
      <c r="N194">
        <v>3</v>
      </c>
      <c r="O194">
        <v>3</v>
      </c>
      <c r="P194">
        <v>4</v>
      </c>
      <c r="Q194">
        <v>0</v>
      </c>
      <c r="R194">
        <v>42.95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F194" t="s">
        <v>130</v>
      </c>
      <c r="AG194" t="s">
        <v>130</v>
      </c>
      <c r="AH194">
        <v>42.95</v>
      </c>
    </row>
    <row r="195" spans="1:34" x14ac:dyDescent="0.3">
      <c r="A195" s="4">
        <v>340</v>
      </c>
      <c r="B195" s="5">
        <v>188</v>
      </c>
      <c r="C195">
        <v>15251</v>
      </c>
      <c r="D195" t="s">
        <v>413</v>
      </c>
      <c r="E195" t="s">
        <v>307</v>
      </c>
      <c r="F195" t="s">
        <v>1265</v>
      </c>
      <c r="G195" t="s">
        <v>11288</v>
      </c>
      <c r="H195">
        <v>19.7</v>
      </c>
      <c r="I195">
        <v>0</v>
      </c>
      <c r="J195">
        <v>0</v>
      </c>
      <c r="K195">
        <v>20</v>
      </c>
      <c r="O195">
        <v>0</v>
      </c>
      <c r="P195">
        <v>0</v>
      </c>
      <c r="Q195">
        <v>0</v>
      </c>
      <c r="R195">
        <v>39.700000000000003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3</v>
      </c>
      <c r="AC195">
        <v>0</v>
      </c>
      <c r="AF195" t="s">
        <v>130</v>
      </c>
      <c r="AG195" t="s">
        <v>130</v>
      </c>
      <c r="AH195">
        <v>42.7</v>
      </c>
    </row>
    <row r="196" spans="1:34" x14ac:dyDescent="0.3">
      <c r="A196" s="4">
        <v>341</v>
      </c>
      <c r="B196" s="5">
        <v>189</v>
      </c>
      <c r="C196">
        <v>7841</v>
      </c>
      <c r="D196" t="s">
        <v>93</v>
      </c>
      <c r="E196" t="s">
        <v>594</v>
      </c>
      <c r="F196" t="s">
        <v>17</v>
      </c>
      <c r="G196" t="s">
        <v>11289</v>
      </c>
      <c r="H196">
        <v>18.05</v>
      </c>
      <c r="I196">
        <v>0</v>
      </c>
      <c r="J196">
        <v>0</v>
      </c>
      <c r="K196">
        <v>20</v>
      </c>
      <c r="N196">
        <v>3</v>
      </c>
      <c r="O196">
        <v>3</v>
      </c>
      <c r="P196">
        <v>0</v>
      </c>
      <c r="Q196">
        <v>0</v>
      </c>
      <c r="R196">
        <v>41.05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F196" t="s">
        <v>130</v>
      </c>
      <c r="AG196" t="s">
        <v>130</v>
      </c>
      <c r="AH196">
        <v>41.05</v>
      </c>
    </row>
    <row r="197" spans="1:34" x14ac:dyDescent="0.3">
      <c r="A197" s="4">
        <v>342</v>
      </c>
      <c r="B197" s="5">
        <v>190</v>
      </c>
      <c r="C197">
        <v>8202</v>
      </c>
      <c r="D197" t="s">
        <v>6587</v>
      </c>
      <c r="E197" t="s">
        <v>88</v>
      </c>
      <c r="F197" t="s">
        <v>20</v>
      </c>
      <c r="G197" t="s">
        <v>11290</v>
      </c>
      <c r="H197">
        <v>17.75</v>
      </c>
      <c r="I197">
        <v>0</v>
      </c>
      <c r="J197">
        <v>0</v>
      </c>
      <c r="K197">
        <v>20</v>
      </c>
      <c r="L197">
        <v>7</v>
      </c>
      <c r="O197">
        <v>7</v>
      </c>
      <c r="P197">
        <v>4</v>
      </c>
      <c r="Q197">
        <v>0</v>
      </c>
      <c r="R197">
        <v>48.75</v>
      </c>
      <c r="S197">
        <v>113</v>
      </c>
      <c r="T197">
        <v>113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113</v>
      </c>
      <c r="AB197">
        <v>0</v>
      </c>
      <c r="AC197">
        <v>26.8</v>
      </c>
      <c r="AG197" t="s">
        <v>130</v>
      </c>
      <c r="AH197">
        <v>188.55</v>
      </c>
    </row>
    <row r="198" spans="1:34" x14ac:dyDescent="0.3">
      <c r="A198" s="4">
        <v>343</v>
      </c>
      <c r="B198" s="5">
        <v>191</v>
      </c>
      <c r="C198">
        <v>13357</v>
      </c>
      <c r="D198" t="s">
        <v>4841</v>
      </c>
      <c r="E198" t="s">
        <v>178</v>
      </c>
      <c r="F198" t="s">
        <v>11291</v>
      </c>
      <c r="G198" t="s">
        <v>11292</v>
      </c>
      <c r="H198">
        <v>17.05</v>
      </c>
      <c r="I198">
        <v>0</v>
      </c>
      <c r="J198">
        <v>0</v>
      </c>
      <c r="K198">
        <v>0</v>
      </c>
      <c r="L198">
        <v>7</v>
      </c>
      <c r="O198">
        <v>7</v>
      </c>
      <c r="P198">
        <v>4</v>
      </c>
      <c r="Q198">
        <v>2</v>
      </c>
      <c r="R198">
        <v>30.05</v>
      </c>
      <c r="S198">
        <v>98</v>
      </c>
      <c r="T198">
        <v>98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98</v>
      </c>
      <c r="AB198">
        <v>12</v>
      </c>
      <c r="AC198">
        <v>32</v>
      </c>
      <c r="AG198" t="s">
        <v>130</v>
      </c>
      <c r="AH198">
        <v>172.05</v>
      </c>
    </row>
    <row r="199" spans="1:34" x14ac:dyDescent="0.3">
      <c r="A199" s="4">
        <v>344</v>
      </c>
      <c r="B199" s="5">
        <v>192</v>
      </c>
      <c r="C199">
        <v>11347</v>
      </c>
      <c r="D199" t="s">
        <v>11293</v>
      </c>
      <c r="E199" t="s">
        <v>143</v>
      </c>
      <c r="F199" t="s">
        <v>79</v>
      </c>
      <c r="G199" t="s">
        <v>11294</v>
      </c>
      <c r="H199">
        <v>17.63</v>
      </c>
      <c r="I199">
        <v>0</v>
      </c>
      <c r="J199">
        <v>0</v>
      </c>
      <c r="K199">
        <v>0</v>
      </c>
      <c r="N199">
        <v>3</v>
      </c>
      <c r="O199">
        <v>3</v>
      </c>
      <c r="P199">
        <v>4</v>
      </c>
      <c r="Q199">
        <v>0</v>
      </c>
      <c r="R199">
        <v>24.63</v>
      </c>
      <c r="S199">
        <v>110</v>
      </c>
      <c r="T199">
        <v>110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110</v>
      </c>
      <c r="AB199">
        <v>0</v>
      </c>
      <c r="AC199">
        <v>32</v>
      </c>
      <c r="AG199" t="s">
        <v>130</v>
      </c>
      <c r="AH199">
        <v>166.63</v>
      </c>
    </row>
    <row r="200" spans="1:34" x14ac:dyDescent="0.3">
      <c r="A200" s="4">
        <v>345</v>
      </c>
      <c r="B200" s="5">
        <v>193</v>
      </c>
      <c r="C200">
        <v>2547</v>
      </c>
      <c r="D200" t="s">
        <v>10631</v>
      </c>
      <c r="E200" t="s">
        <v>188</v>
      </c>
      <c r="F200" t="s">
        <v>158</v>
      </c>
      <c r="G200" t="s">
        <v>11295</v>
      </c>
      <c r="H200">
        <v>18.7</v>
      </c>
      <c r="I200">
        <v>0</v>
      </c>
      <c r="J200">
        <v>0</v>
      </c>
      <c r="K200">
        <v>20</v>
      </c>
      <c r="L200">
        <v>14</v>
      </c>
      <c r="O200">
        <v>14</v>
      </c>
      <c r="P200">
        <v>4</v>
      </c>
      <c r="Q200">
        <v>0</v>
      </c>
      <c r="R200">
        <v>56.7</v>
      </c>
      <c r="S200">
        <v>74</v>
      </c>
      <c r="T200">
        <v>74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74</v>
      </c>
      <c r="AB200">
        <v>3</v>
      </c>
      <c r="AC200">
        <v>32</v>
      </c>
      <c r="AG200" t="s">
        <v>130</v>
      </c>
      <c r="AH200">
        <v>165.7</v>
      </c>
    </row>
    <row r="201" spans="1:34" x14ac:dyDescent="0.3">
      <c r="A201" s="4">
        <v>346</v>
      </c>
      <c r="B201" s="5">
        <v>194</v>
      </c>
      <c r="C201">
        <v>10102</v>
      </c>
      <c r="D201" t="s">
        <v>11296</v>
      </c>
      <c r="E201" t="s">
        <v>283</v>
      </c>
      <c r="F201" t="s">
        <v>17</v>
      </c>
      <c r="G201" t="s">
        <v>11297</v>
      </c>
      <c r="H201">
        <v>19.45</v>
      </c>
      <c r="I201">
        <v>0</v>
      </c>
      <c r="J201">
        <v>0</v>
      </c>
      <c r="K201">
        <v>20</v>
      </c>
      <c r="L201">
        <v>7</v>
      </c>
      <c r="O201">
        <v>7</v>
      </c>
      <c r="P201">
        <v>4</v>
      </c>
      <c r="Q201">
        <v>2</v>
      </c>
      <c r="R201">
        <v>52.45</v>
      </c>
      <c r="S201">
        <v>109</v>
      </c>
      <c r="T201">
        <v>109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109</v>
      </c>
      <c r="AB201">
        <v>3</v>
      </c>
      <c r="AC201">
        <v>0</v>
      </c>
      <c r="AG201" t="s">
        <v>130</v>
      </c>
      <c r="AH201">
        <v>164.45</v>
      </c>
    </row>
    <row r="202" spans="1:34" x14ac:dyDescent="0.3">
      <c r="A202" s="4">
        <v>347</v>
      </c>
      <c r="B202" s="5">
        <v>195</v>
      </c>
      <c r="C202">
        <v>11</v>
      </c>
      <c r="D202" t="s">
        <v>1129</v>
      </c>
      <c r="E202" t="s">
        <v>1508</v>
      </c>
      <c r="F202" t="s">
        <v>1812</v>
      </c>
      <c r="G202" t="s">
        <v>11298</v>
      </c>
      <c r="H202">
        <v>18.55</v>
      </c>
      <c r="I202">
        <v>0</v>
      </c>
      <c r="J202">
        <v>0</v>
      </c>
      <c r="K202">
        <v>28</v>
      </c>
      <c r="L202">
        <v>14</v>
      </c>
      <c r="O202">
        <v>14</v>
      </c>
      <c r="P202">
        <v>4</v>
      </c>
      <c r="Q202">
        <v>0</v>
      </c>
      <c r="R202">
        <v>64.55</v>
      </c>
      <c r="S202">
        <v>65</v>
      </c>
      <c r="T202">
        <v>65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65</v>
      </c>
      <c r="AB202">
        <v>0</v>
      </c>
      <c r="AC202">
        <v>34.4</v>
      </c>
      <c r="AD202" t="s">
        <v>130</v>
      </c>
      <c r="AG202" t="s">
        <v>130</v>
      </c>
      <c r="AH202">
        <v>163.95</v>
      </c>
    </row>
    <row r="203" spans="1:34" x14ac:dyDescent="0.3">
      <c r="A203" s="4">
        <v>348</v>
      </c>
      <c r="B203" s="5">
        <v>196</v>
      </c>
      <c r="C203">
        <v>511</v>
      </c>
      <c r="D203" t="s">
        <v>5830</v>
      </c>
      <c r="E203" t="s">
        <v>26</v>
      </c>
      <c r="F203" t="s">
        <v>158</v>
      </c>
      <c r="G203" t="s">
        <v>11299</v>
      </c>
      <c r="H203">
        <v>19.55</v>
      </c>
      <c r="I203">
        <v>0</v>
      </c>
      <c r="J203">
        <v>40</v>
      </c>
      <c r="K203">
        <v>20</v>
      </c>
      <c r="L203">
        <v>7</v>
      </c>
      <c r="O203">
        <v>7</v>
      </c>
      <c r="P203">
        <v>4</v>
      </c>
      <c r="Q203">
        <v>2</v>
      </c>
      <c r="R203">
        <v>92.55</v>
      </c>
      <c r="S203">
        <v>71</v>
      </c>
      <c r="T203">
        <v>71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71</v>
      </c>
      <c r="AB203">
        <v>0</v>
      </c>
      <c r="AC203">
        <v>0</v>
      </c>
      <c r="AG203" t="s">
        <v>130</v>
      </c>
      <c r="AH203">
        <v>163.55000000000001</v>
      </c>
    </row>
    <row r="204" spans="1:34" x14ac:dyDescent="0.3">
      <c r="A204" s="4">
        <v>349</v>
      </c>
      <c r="B204" s="5">
        <v>197</v>
      </c>
      <c r="C204">
        <v>11007</v>
      </c>
      <c r="D204" t="s">
        <v>11300</v>
      </c>
      <c r="E204" t="s">
        <v>342</v>
      </c>
      <c r="F204" t="s">
        <v>1090</v>
      </c>
      <c r="G204" t="s">
        <v>11301</v>
      </c>
      <c r="H204">
        <v>21.63</v>
      </c>
      <c r="I204">
        <v>0</v>
      </c>
      <c r="J204">
        <v>0</v>
      </c>
      <c r="K204">
        <v>20</v>
      </c>
      <c r="L204">
        <v>7</v>
      </c>
      <c r="O204">
        <v>7</v>
      </c>
      <c r="P204">
        <v>4</v>
      </c>
      <c r="Q204">
        <v>2</v>
      </c>
      <c r="R204">
        <v>54.63</v>
      </c>
      <c r="S204">
        <v>98</v>
      </c>
      <c r="T204">
        <v>98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98</v>
      </c>
      <c r="AB204">
        <v>9</v>
      </c>
      <c r="AC204">
        <v>0</v>
      </c>
      <c r="AD204" t="s">
        <v>130</v>
      </c>
      <c r="AG204" t="s">
        <v>130</v>
      </c>
      <c r="AH204">
        <v>161.63</v>
      </c>
    </row>
    <row r="205" spans="1:34" x14ac:dyDescent="0.3">
      <c r="A205" s="4">
        <v>350</v>
      </c>
      <c r="B205" s="5">
        <v>198</v>
      </c>
      <c r="C205">
        <v>4300</v>
      </c>
      <c r="D205" t="s">
        <v>10428</v>
      </c>
      <c r="E205" t="s">
        <v>258</v>
      </c>
      <c r="F205" t="s">
        <v>20</v>
      </c>
      <c r="G205" t="s">
        <v>11302</v>
      </c>
      <c r="H205">
        <v>19.75</v>
      </c>
      <c r="I205">
        <v>0</v>
      </c>
      <c r="J205">
        <v>0</v>
      </c>
      <c r="K205">
        <v>28</v>
      </c>
      <c r="L205">
        <v>7</v>
      </c>
      <c r="N205">
        <v>3</v>
      </c>
      <c r="O205">
        <v>10</v>
      </c>
      <c r="P205">
        <v>4</v>
      </c>
      <c r="Q205">
        <v>0</v>
      </c>
      <c r="R205">
        <v>61.75</v>
      </c>
      <c r="S205">
        <v>61</v>
      </c>
      <c r="T205">
        <v>61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61</v>
      </c>
      <c r="AB205">
        <v>6</v>
      </c>
      <c r="AC205">
        <v>26.8</v>
      </c>
      <c r="AG205" t="s">
        <v>130</v>
      </c>
      <c r="AH205">
        <v>155.55000000000001</v>
      </c>
    </row>
    <row r="206" spans="1:34" x14ac:dyDescent="0.3">
      <c r="A206" s="4">
        <v>351</v>
      </c>
      <c r="B206" s="5">
        <v>199</v>
      </c>
      <c r="C206">
        <v>5266</v>
      </c>
      <c r="D206" t="s">
        <v>11303</v>
      </c>
      <c r="E206" t="s">
        <v>54</v>
      </c>
      <c r="F206" t="s">
        <v>20</v>
      </c>
      <c r="G206" t="s">
        <v>11304</v>
      </c>
      <c r="H206">
        <v>19.88</v>
      </c>
      <c r="I206">
        <v>0</v>
      </c>
      <c r="J206">
        <v>0</v>
      </c>
      <c r="K206">
        <v>20</v>
      </c>
      <c r="L206">
        <v>14</v>
      </c>
      <c r="O206">
        <v>14</v>
      </c>
      <c r="P206">
        <v>4</v>
      </c>
      <c r="Q206">
        <v>2</v>
      </c>
      <c r="R206">
        <v>59.88</v>
      </c>
      <c r="S206">
        <v>62</v>
      </c>
      <c r="T206">
        <v>62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62</v>
      </c>
      <c r="AB206">
        <v>3</v>
      </c>
      <c r="AC206">
        <v>26.8</v>
      </c>
      <c r="AG206" t="s">
        <v>130</v>
      </c>
      <c r="AH206">
        <v>151.68</v>
      </c>
    </row>
    <row r="207" spans="1:34" x14ac:dyDescent="0.3">
      <c r="A207" s="4">
        <v>352</v>
      </c>
      <c r="B207" s="5">
        <v>200</v>
      </c>
      <c r="C207">
        <v>21</v>
      </c>
      <c r="D207" t="s">
        <v>264</v>
      </c>
      <c r="E207" t="s">
        <v>424</v>
      </c>
      <c r="F207" t="s">
        <v>124</v>
      </c>
      <c r="G207" t="s">
        <v>11305</v>
      </c>
      <c r="H207">
        <v>20.73</v>
      </c>
      <c r="I207">
        <v>0</v>
      </c>
      <c r="J207">
        <v>40</v>
      </c>
      <c r="K207">
        <v>28</v>
      </c>
      <c r="L207">
        <v>14</v>
      </c>
      <c r="O207">
        <v>14</v>
      </c>
      <c r="P207">
        <v>4</v>
      </c>
      <c r="Q207">
        <v>0</v>
      </c>
      <c r="R207">
        <v>106.73</v>
      </c>
      <c r="S207">
        <v>44</v>
      </c>
      <c r="T207">
        <v>44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44</v>
      </c>
      <c r="AB207">
        <v>0</v>
      </c>
      <c r="AC207">
        <v>0</v>
      </c>
      <c r="AG207" t="s">
        <v>130</v>
      </c>
      <c r="AH207">
        <v>150.72999999999999</v>
      </c>
    </row>
    <row r="208" spans="1:34" x14ac:dyDescent="0.3">
      <c r="A208" s="4">
        <v>353</v>
      </c>
      <c r="B208" s="5">
        <v>201</v>
      </c>
      <c r="C208">
        <v>9880</v>
      </c>
      <c r="D208" t="s">
        <v>11306</v>
      </c>
      <c r="E208" t="s">
        <v>188</v>
      </c>
      <c r="F208" t="s">
        <v>30</v>
      </c>
      <c r="G208" t="s">
        <v>11307</v>
      </c>
      <c r="H208">
        <v>18.45</v>
      </c>
      <c r="I208">
        <v>0</v>
      </c>
      <c r="J208">
        <v>0</v>
      </c>
      <c r="K208">
        <v>20</v>
      </c>
      <c r="L208">
        <v>7</v>
      </c>
      <c r="O208">
        <v>7</v>
      </c>
      <c r="P208">
        <v>4</v>
      </c>
      <c r="Q208">
        <v>2</v>
      </c>
      <c r="R208">
        <v>51.45</v>
      </c>
      <c r="S208">
        <v>96</v>
      </c>
      <c r="T208">
        <v>96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96</v>
      </c>
      <c r="AB208">
        <v>3</v>
      </c>
      <c r="AC208">
        <v>0</v>
      </c>
      <c r="AG208" t="s">
        <v>130</v>
      </c>
      <c r="AH208">
        <v>150.44999999999999</v>
      </c>
    </row>
    <row r="209" spans="1:34" x14ac:dyDescent="0.3">
      <c r="A209" s="4">
        <v>354</v>
      </c>
      <c r="B209" s="5">
        <v>202</v>
      </c>
      <c r="C209">
        <v>8508</v>
      </c>
      <c r="D209" t="s">
        <v>1449</v>
      </c>
      <c r="E209" t="s">
        <v>1121</v>
      </c>
      <c r="F209" t="s">
        <v>20</v>
      </c>
      <c r="G209" t="s">
        <v>11308</v>
      </c>
      <c r="H209">
        <v>19.399999999999999</v>
      </c>
      <c r="I209">
        <v>0</v>
      </c>
      <c r="J209">
        <v>0</v>
      </c>
      <c r="K209">
        <v>20</v>
      </c>
      <c r="L209">
        <v>7</v>
      </c>
      <c r="N209">
        <v>3</v>
      </c>
      <c r="O209">
        <v>10</v>
      </c>
      <c r="P209">
        <v>4</v>
      </c>
      <c r="Q209">
        <v>0</v>
      </c>
      <c r="R209">
        <v>53.4</v>
      </c>
      <c r="S209">
        <v>97</v>
      </c>
      <c r="T209">
        <v>97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97</v>
      </c>
      <c r="AB209">
        <v>0</v>
      </c>
      <c r="AC209">
        <v>0</v>
      </c>
      <c r="AG209" t="s">
        <v>130</v>
      </c>
      <c r="AH209">
        <v>150.4</v>
      </c>
    </row>
    <row r="210" spans="1:34" x14ac:dyDescent="0.3">
      <c r="A210" s="4">
        <v>355</v>
      </c>
      <c r="B210" s="5">
        <v>203</v>
      </c>
      <c r="C210">
        <v>15347</v>
      </c>
      <c r="D210" t="s">
        <v>11309</v>
      </c>
      <c r="E210" t="s">
        <v>33</v>
      </c>
      <c r="F210" t="s">
        <v>30</v>
      </c>
      <c r="G210" t="s">
        <v>11310</v>
      </c>
      <c r="H210">
        <v>16.079999999999998</v>
      </c>
      <c r="I210">
        <v>0</v>
      </c>
      <c r="J210">
        <v>0</v>
      </c>
      <c r="K210">
        <v>0</v>
      </c>
      <c r="N210">
        <v>3</v>
      </c>
      <c r="O210">
        <v>3</v>
      </c>
      <c r="P210">
        <v>4</v>
      </c>
      <c r="Q210">
        <v>0</v>
      </c>
      <c r="R210">
        <v>23.08</v>
      </c>
      <c r="S210">
        <v>94</v>
      </c>
      <c r="T210">
        <v>94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94</v>
      </c>
      <c r="AB210">
        <v>6</v>
      </c>
      <c r="AC210">
        <v>26.8</v>
      </c>
      <c r="AD210" t="s">
        <v>130</v>
      </c>
      <c r="AG210" t="s">
        <v>130</v>
      </c>
      <c r="AH210">
        <v>149.88</v>
      </c>
    </row>
    <row r="211" spans="1:34" x14ac:dyDescent="0.3">
      <c r="A211" s="4">
        <v>357</v>
      </c>
      <c r="B211" s="5">
        <v>204</v>
      </c>
      <c r="C211">
        <v>5300</v>
      </c>
      <c r="D211" t="s">
        <v>2524</v>
      </c>
      <c r="E211" t="s">
        <v>789</v>
      </c>
      <c r="F211" t="s">
        <v>14</v>
      </c>
      <c r="G211" t="s">
        <v>11311</v>
      </c>
      <c r="H211">
        <v>17.78</v>
      </c>
      <c r="I211">
        <v>0</v>
      </c>
      <c r="J211">
        <v>0</v>
      </c>
      <c r="K211">
        <v>20</v>
      </c>
      <c r="N211">
        <v>3</v>
      </c>
      <c r="O211">
        <v>3</v>
      </c>
      <c r="P211">
        <v>4</v>
      </c>
      <c r="Q211">
        <v>0</v>
      </c>
      <c r="R211">
        <v>44.78</v>
      </c>
      <c r="S211">
        <v>64</v>
      </c>
      <c r="T211">
        <v>64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64</v>
      </c>
      <c r="AB211">
        <v>3</v>
      </c>
      <c r="AC211">
        <v>33.6</v>
      </c>
      <c r="AG211" t="s">
        <v>130</v>
      </c>
      <c r="AH211">
        <v>145.38</v>
      </c>
    </row>
    <row r="212" spans="1:34" x14ac:dyDescent="0.3">
      <c r="A212" s="4">
        <v>360</v>
      </c>
      <c r="B212" s="5">
        <v>205</v>
      </c>
      <c r="C212">
        <v>2170</v>
      </c>
      <c r="D212" t="s">
        <v>11314</v>
      </c>
      <c r="E212" t="s">
        <v>62</v>
      </c>
      <c r="F212" t="s">
        <v>457</v>
      </c>
      <c r="G212" t="s">
        <v>11315</v>
      </c>
      <c r="H212">
        <v>16.68</v>
      </c>
      <c r="I212">
        <v>7</v>
      </c>
      <c r="J212">
        <v>0</v>
      </c>
      <c r="K212">
        <v>28</v>
      </c>
      <c r="L212">
        <v>7</v>
      </c>
      <c r="N212">
        <v>3</v>
      </c>
      <c r="O212">
        <v>10</v>
      </c>
      <c r="P212">
        <v>4</v>
      </c>
      <c r="Q212">
        <v>2</v>
      </c>
      <c r="R212">
        <v>67.680000000000007</v>
      </c>
      <c r="S212">
        <v>68</v>
      </c>
      <c r="T212">
        <v>68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68</v>
      </c>
      <c r="AB212">
        <v>3</v>
      </c>
      <c r="AC212">
        <v>0</v>
      </c>
      <c r="AD212" t="s">
        <v>130</v>
      </c>
      <c r="AG212" t="s">
        <v>130</v>
      </c>
      <c r="AH212">
        <v>138.68</v>
      </c>
    </row>
    <row r="213" spans="1:34" x14ac:dyDescent="0.3">
      <c r="A213" s="4">
        <v>362</v>
      </c>
      <c r="B213" s="5">
        <v>206</v>
      </c>
      <c r="C213">
        <v>9218</v>
      </c>
      <c r="D213" t="s">
        <v>11317</v>
      </c>
      <c r="E213" t="s">
        <v>7403</v>
      </c>
      <c r="F213" t="s">
        <v>20</v>
      </c>
      <c r="G213" t="s">
        <v>11318</v>
      </c>
      <c r="H213">
        <v>22.05</v>
      </c>
      <c r="I213">
        <v>0</v>
      </c>
      <c r="J213">
        <v>0</v>
      </c>
      <c r="K213">
        <v>20</v>
      </c>
      <c r="L213">
        <v>14</v>
      </c>
      <c r="O213">
        <v>14</v>
      </c>
      <c r="P213">
        <v>0</v>
      </c>
      <c r="Q213">
        <v>0</v>
      </c>
      <c r="R213">
        <v>56.05</v>
      </c>
      <c r="S213">
        <v>81</v>
      </c>
      <c r="T213">
        <v>81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81</v>
      </c>
      <c r="AB213">
        <v>0</v>
      </c>
      <c r="AC213">
        <v>0</v>
      </c>
      <c r="AG213" t="s">
        <v>130</v>
      </c>
      <c r="AH213">
        <v>137.05000000000001</v>
      </c>
    </row>
    <row r="214" spans="1:34" x14ac:dyDescent="0.3">
      <c r="A214" s="4">
        <v>364</v>
      </c>
      <c r="B214" s="5">
        <v>207</v>
      </c>
      <c r="C214">
        <v>1790</v>
      </c>
      <c r="D214" t="s">
        <v>181</v>
      </c>
      <c r="E214" t="s">
        <v>166</v>
      </c>
      <c r="F214" t="s">
        <v>587</v>
      </c>
      <c r="G214" t="s">
        <v>11319</v>
      </c>
      <c r="H214">
        <v>19.88</v>
      </c>
      <c r="I214">
        <v>0</v>
      </c>
      <c r="J214">
        <v>0</v>
      </c>
      <c r="K214">
        <v>20</v>
      </c>
      <c r="L214">
        <v>7</v>
      </c>
      <c r="N214">
        <v>3</v>
      </c>
      <c r="O214">
        <v>10</v>
      </c>
      <c r="P214">
        <v>4</v>
      </c>
      <c r="Q214">
        <v>2</v>
      </c>
      <c r="R214">
        <v>55.88</v>
      </c>
      <c r="S214">
        <v>57</v>
      </c>
      <c r="T214">
        <v>57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57</v>
      </c>
      <c r="AB214">
        <v>3</v>
      </c>
      <c r="AC214">
        <v>20</v>
      </c>
      <c r="AG214" t="s">
        <v>130</v>
      </c>
      <c r="AH214">
        <v>135.88</v>
      </c>
    </row>
    <row r="215" spans="1:34" x14ac:dyDescent="0.3">
      <c r="A215" s="4">
        <v>366</v>
      </c>
      <c r="B215" s="5">
        <v>208</v>
      </c>
      <c r="C215">
        <v>10123</v>
      </c>
      <c r="D215" t="s">
        <v>11321</v>
      </c>
      <c r="E215" t="s">
        <v>188</v>
      </c>
      <c r="F215" t="s">
        <v>20</v>
      </c>
      <c r="G215" t="s">
        <v>11322</v>
      </c>
      <c r="H215">
        <v>17.7</v>
      </c>
      <c r="I215">
        <v>0</v>
      </c>
      <c r="J215">
        <v>0</v>
      </c>
      <c r="K215">
        <v>20</v>
      </c>
      <c r="L215">
        <v>7</v>
      </c>
      <c r="M215">
        <v>5</v>
      </c>
      <c r="O215">
        <v>12</v>
      </c>
      <c r="P215">
        <v>4</v>
      </c>
      <c r="Q215">
        <v>0</v>
      </c>
      <c r="R215">
        <v>53.7</v>
      </c>
      <c r="S215">
        <v>81</v>
      </c>
      <c r="T215">
        <v>81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81</v>
      </c>
      <c r="AB215">
        <v>0</v>
      </c>
      <c r="AC215">
        <v>0</v>
      </c>
      <c r="AD215" t="s">
        <v>130</v>
      </c>
      <c r="AG215" t="s">
        <v>130</v>
      </c>
      <c r="AH215">
        <v>134.69999999999999</v>
      </c>
    </row>
    <row r="216" spans="1:34" x14ac:dyDescent="0.3">
      <c r="A216" s="4">
        <v>368</v>
      </c>
      <c r="B216" s="5">
        <v>209</v>
      </c>
      <c r="C216">
        <v>12226</v>
      </c>
      <c r="D216" t="s">
        <v>11324</v>
      </c>
      <c r="E216" t="s">
        <v>1117</v>
      </c>
      <c r="F216" t="s">
        <v>117</v>
      </c>
      <c r="G216" t="s">
        <v>11325</v>
      </c>
      <c r="H216">
        <v>20.83</v>
      </c>
      <c r="I216">
        <v>0</v>
      </c>
      <c r="J216">
        <v>0</v>
      </c>
      <c r="K216">
        <v>28</v>
      </c>
      <c r="L216">
        <v>14</v>
      </c>
      <c r="O216">
        <v>14</v>
      </c>
      <c r="P216">
        <v>4</v>
      </c>
      <c r="Q216">
        <v>2</v>
      </c>
      <c r="R216">
        <v>68.83</v>
      </c>
      <c r="S216">
        <v>57</v>
      </c>
      <c r="T216">
        <v>57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57</v>
      </c>
      <c r="AB216">
        <v>6</v>
      </c>
      <c r="AC216">
        <v>0</v>
      </c>
      <c r="AG216" t="s">
        <v>130</v>
      </c>
      <c r="AH216">
        <v>131.83000000000001</v>
      </c>
    </row>
    <row r="217" spans="1:34" x14ac:dyDescent="0.3">
      <c r="A217" s="4">
        <v>371</v>
      </c>
      <c r="B217" s="5">
        <v>210</v>
      </c>
      <c r="C217">
        <v>1776</v>
      </c>
      <c r="D217" t="s">
        <v>11326</v>
      </c>
      <c r="E217" t="s">
        <v>54</v>
      </c>
      <c r="F217" t="s">
        <v>1023</v>
      </c>
      <c r="G217" t="s">
        <v>11327</v>
      </c>
      <c r="H217">
        <v>18.18</v>
      </c>
      <c r="I217">
        <v>0</v>
      </c>
      <c r="J217">
        <v>40</v>
      </c>
      <c r="K217">
        <v>20</v>
      </c>
      <c r="L217">
        <v>7</v>
      </c>
      <c r="O217">
        <v>7</v>
      </c>
      <c r="P217">
        <v>4</v>
      </c>
      <c r="Q217">
        <v>0</v>
      </c>
      <c r="R217">
        <v>89.18</v>
      </c>
      <c r="S217">
        <v>37</v>
      </c>
      <c r="T217">
        <v>37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37</v>
      </c>
      <c r="AB217">
        <v>3</v>
      </c>
      <c r="AC217">
        <v>0</v>
      </c>
      <c r="AG217" t="s">
        <v>130</v>
      </c>
      <c r="AH217">
        <v>129.18</v>
      </c>
    </row>
    <row r="218" spans="1:34" x14ac:dyDescent="0.3">
      <c r="A218" s="4">
        <v>372</v>
      </c>
      <c r="B218" s="5">
        <v>211</v>
      </c>
      <c r="C218">
        <v>7508</v>
      </c>
      <c r="D218" t="s">
        <v>11328</v>
      </c>
      <c r="E218" t="s">
        <v>166</v>
      </c>
      <c r="F218" t="s">
        <v>11329</v>
      </c>
      <c r="G218" t="s">
        <v>11330</v>
      </c>
      <c r="H218">
        <v>18.13</v>
      </c>
      <c r="I218">
        <v>0</v>
      </c>
      <c r="J218">
        <v>40</v>
      </c>
      <c r="K218">
        <v>0</v>
      </c>
      <c r="L218">
        <v>7</v>
      </c>
      <c r="O218">
        <v>7</v>
      </c>
      <c r="P218">
        <v>4</v>
      </c>
      <c r="Q218">
        <v>0</v>
      </c>
      <c r="R218">
        <v>69.13</v>
      </c>
      <c r="S218">
        <v>60</v>
      </c>
      <c r="T218">
        <v>60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60</v>
      </c>
      <c r="AB218">
        <v>0</v>
      </c>
      <c r="AC218">
        <v>0</v>
      </c>
      <c r="AG218" t="s">
        <v>130</v>
      </c>
      <c r="AH218">
        <v>129.13</v>
      </c>
    </row>
    <row r="219" spans="1:34" x14ac:dyDescent="0.3">
      <c r="A219" s="4">
        <v>373</v>
      </c>
      <c r="B219" s="5">
        <v>212</v>
      </c>
      <c r="C219">
        <v>10306</v>
      </c>
      <c r="D219" t="s">
        <v>11331</v>
      </c>
      <c r="E219" t="s">
        <v>1716</v>
      </c>
      <c r="F219" t="s">
        <v>11332</v>
      </c>
      <c r="G219" t="s">
        <v>11333</v>
      </c>
      <c r="H219">
        <v>20.100000000000001</v>
      </c>
      <c r="I219">
        <v>0</v>
      </c>
      <c r="J219">
        <v>0</v>
      </c>
      <c r="K219">
        <v>20</v>
      </c>
      <c r="L219">
        <v>7</v>
      </c>
      <c r="N219">
        <v>3</v>
      </c>
      <c r="O219">
        <v>10</v>
      </c>
      <c r="P219">
        <v>4</v>
      </c>
      <c r="Q219">
        <v>2</v>
      </c>
      <c r="R219">
        <v>56.1</v>
      </c>
      <c r="S219">
        <v>64</v>
      </c>
      <c r="T219">
        <v>64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64</v>
      </c>
      <c r="AB219">
        <v>9</v>
      </c>
      <c r="AC219">
        <v>0</v>
      </c>
      <c r="AG219" t="s">
        <v>130</v>
      </c>
      <c r="AH219">
        <v>129.1</v>
      </c>
    </row>
    <row r="220" spans="1:34" x14ac:dyDescent="0.3">
      <c r="A220" s="4">
        <v>374</v>
      </c>
      <c r="B220" s="5">
        <v>213</v>
      </c>
      <c r="C220">
        <v>4042</v>
      </c>
      <c r="D220" t="s">
        <v>8843</v>
      </c>
      <c r="E220" t="s">
        <v>9158</v>
      </c>
      <c r="F220" t="s">
        <v>17</v>
      </c>
      <c r="G220" t="s">
        <v>11334</v>
      </c>
      <c r="H220">
        <v>21.1</v>
      </c>
      <c r="I220">
        <v>0</v>
      </c>
      <c r="J220">
        <v>0</v>
      </c>
      <c r="K220">
        <v>0</v>
      </c>
      <c r="L220">
        <v>7</v>
      </c>
      <c r="O220">
        <v>7</v>
      </c>
      <c r="P220">
        <v>4</v>
      </c>
      <c r="Q220">
        <v>2</v>
      </c>
      <c r="R220">
        <v>34.1</v>
      </c>
      <c r="S220">
        <v>95</v>
      </c>
      <c r="T220">
        <v>95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95</v>
      </c>
      <c r="AB220">
        <v>0</v>
      </c>
      <c r="AC220">
        <v>0</v>
      </c>
      <c r="AG220" t="s">
        <v>130</v>
      </c>
      <c r="AH220">
        <v>129.1</v>
      </c>
    </row>
    <row r="221" spans="1:34" x14ac:dyDescent="0.3">
      <c r="A221" s="4">
        <v>375</v>
      </c>
      <c r="B221" s="5">
        <v>214</v>
      </c>
      <c r="C221">
        <v>218</v>
      </c>
      <c r="D221" t="s">
        <v>10275</v>
      </c>
      <c r="E221" t="s">
        <v>825</v>
      </c>
      <c r="F221" t="s">
        <v>14</v>
      </c>
      <c r="G221" t="s">
        <v>11335</v>
      </c>
      <c r="H221">
        <v>20.5</v>
      </c>
      <c r="I221">
        <v>0</v>
      </c>
      <c r="J221">
        <v>40</v>
      </c>
      <c r="K221">
        <v>20</v>
      </c>
      <c r="M221">
        <v>5</v>
      </c>
      <c r="O221">
        <v>5</v>
      </c>
      <c r="P221">
        <v>4</v>
      </c>
      <c r="Q221">
        <v>2</v>
      </c>
      <c r="R221">
        <v>91.5</v>
      </c>
      <c r="S221">
        <v>37</v>
      </c>
      <c r="T221">
        <v>37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37</v>
      </c>
      <c r="AB221">
        <v>0</v>
      </c>
      <c r="AC221">
        <v>0</v>
      </c>
      <c r="AG221" t="s">
        <v>130</v>
      </c>
      <c r="AH221">
        <v>128.5</v>
      </c>
    </row>
    <row r="222" spans="1:34" x14ac:dyDescent="0.3">
      <c r="A222" s="4">
        <v>376</v>
      </c>
      <c r="B222" s="5">
        <v>215</v>
      </c>
      <c r="C222">
        <v>2530</v>
      </c>
      <c r="D222" t="s">
        <v>8128</v>
      </c>
      <c r="E222" t="s">
        <v>789</v>
      </c>
      <c r="F222" t="s">
        <v>17</v>
      </c>
      <c r="G222" t="s">
        <v>11336</v>
      </c>
      <c r="H222">
        <v>19.829999999999998</v>
      </c>
      <c r="I222">
        <v>0</v>
      </c>
      <c r="J222">
        <v>0</v>
      </c>
      <c r="K222">
        <v>20</v>
      </c>
      <c r="L222">
        <v>7</v>
      </c>
      <c r="N222">
        <v>3</v>
      </c>
      <c r="O222">
        <v>10</v>
      </c>
      <c r="P222">
        <v>4</v>
      </c>
      <c r="Q222">
        <v>2</v>
      </c>
      <c r="R222">
        <v>55.83</v>
      </c>
      <c r="S222">
        <v>66</v>
      </c>
      <c r="T222">
        <v>66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66</v>
      </c>
      <c r="AB222">
        <v>6</v>
      </c>
      <c r="AC222">
        <v>0</v>
      </c>
      <c r="AG222" t="s">
        <v>130</v>
      </c>
      <c r="AH222">
        <v>127.83</v>
      </c>
    </row>
    <row r="223" spans="1:34" x14ac:dyDescent="0.3">
      <c r="A223" s="4">
        <v>378</v>
      </c>
      <c r="B223" s="5">
        <v>216</v>
      </c>
      <c r="C223">
        <v>8672</v>
      </c>
      <c r="D223" t="s">
        <v>11337</v>
      </c>
      <c r="E223" t="s">
        <v>738</v>
      </c>
      <c r="F223" t="s">
        <v>20</v>
      </c>
      <c r="G223" t="s">
        <v>11338</v>
      </c>
      <c r="H223">
        <v>16.05</v>
      </c>
      <c r="I223">
        <v>0</v>
      </c>
      <c r="J223">
        <v>0</v>
      </c>
      <c r="K223">
        <v>0</v>
      </c>
      <c r="N223">
        <v>3</v>
      </c>
      <c r="O223">
        <v>3</v>
      </c>
      <c r="P223">
        <v>4</v>
      </c>
      <c r="Q223">
        <v>2</v>
      </c>
      <c r="R223">
        <v>25.05</v>
      </c>
      <c r="S223">
        <v>75</v>
      </c>
      <c r="T223">
        <v>75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75</v>
      </c>
      <c r="AB223">
        <v>0</v>
      </c>
      <c r="AC223">
        <v>26.8</v>
      </c>
      <c r="AD223" t="s">
        <v>130</v>
      </c>
      <c r="AG223" t="s">
        <v>130</v>
      </c>
      <c r="AH223">
        <v>126.85</v>
      </c>
    </row>
    <row r="224" spans="1:34" x14ac:dyDescent="0.3">
      <c r="A224" s="4">
        <v>379</v>
      </c>
      <c r="B224" s="5">
        <v>217</v>
      </c>
      <c r="C224">
        <v>1308</v>
      </c>
      <c r="D224" t="s">
        <v>11339</v>
      </c>
      <c r="E224" t="s">
        <v>166</v>
      </c>
      <c r="F224" t="s">
        <v>81</v>
      </c>
      <c r="G224" t="s">
        <v>11340</v>
      </c>
      <c r="H224">
        <v>20.8</v>
      </c>
      <c r="I224">
        <v>0</v>
      </c>
      <c r="J224">
        <v>0</v>
      </c>
      <c r="K224">
        <v>28</v>
      </c>
      <c r="L224">
        <v>7</v>
      </c>
      <c r="N224">
        <v>3</v>
      </c>
      <c r="O224">
        <v>10</v>
      </c>
      <c r="P224">
        <v>4</v>
      </c>
      <c r="Q224">
        <v>2</v>
      </c>
      <c r="R224">
        <v>64.8</v>
      </c>
      <c r="S224">
        <v>59</v>
      </c>
      <c r="T224">
        <v>59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59</v>
      </c>
      <c r="AB224">
        <v>3</v>
      </c>
      <c r="AC224">
        <v>0</v>
      </c>
      <c r="AG224" t="s">
        <v>130</v>
      </c>
      <c r="AH224">
        <v>126.8</v>
      </c>
    </row>
    <row r="225" spans="1:34" x14ac:dyDescent="0.3">
      <c r="A225" s="4">
        <v>380</v>
      </c>
      <c r="B225" s="5">
        <v>218</v>
      </c>
      <c r="C225">
        <v>4097</v>
      </c>
      <c r="D225" t="s">
        <v>11341</v>
      </c>
      <c r="E225" t="s">
        <v>4843</v>
      </c>
      <c r="F225" t="s">
        <v>6216</v>
      </c>
      <c r="G225" t="s">
        <v>11342</v>
      </c>
      <c r="H225">
        <v>20.3</v>
      </c>
      <c r="I225">
        <v>0</v>
      </c>
      <c r="J225">
        <v>0</v>
      </c>
      <c r="K225">
        <v>20</v>
      </c>
      <c r="L225">
        <v>7</v>
      </c>
      <c r="M225">
        <v>5</v>
      </c>
      <c r="O225">
        <v>12</v>
      </c>
      <c r="P225">
        <v>4</v>
      </c>
      <c r="Q225">
        <v>0</v>
      </c>
      <c r="R225">
        <v>56.3</v>
      </c>
      <c r="S225">
        <v>64</v>
      </c>
      <c r="T225">
        <v>64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64</v>
      </c>
      <c r="AB225">
        <v>6</v>
      </c>
      <c r="AC225">
        <v>0</v>
      </c>
      <c r="AG225" t="s">
        <v>130</v>
      </c>
      <c r="AH225">
        <v>126.3</v>
      </c>
    </row>
    <row r="226" spans="1:34" x14ac:dyDescent="0.3">
      <c r="A226" s="4">
        <v>381</v>
      </c>
      <c r="B226" s="5">
        <v>219</v>
      </c>
      <c r="C226">
        <v>5715</v>
      </c>
      <c r="D226" t="s">
        <v>11343</v>
      </c>
      <c r="E226" t="s">
        <v>54</v>
      </c>
      <c r="F226" t="s">
        <v>14</v>
      </c>
      <c r="G226" t="s">
        <v>11344</v>
      </c>
      <c r="H226">
        <v>17.2</v>
      </c>
      <c r="I226">
        <v>0</v>
      </c>
      <c r="J226">
        <v>0</v>
      </c>
      <c r="K226">
        <v>20</v>
      </c>
      <c r="L226">
        <v>7</v>
      </c>
      <c r="O226">
        <v>7</v>
      </c>
      <c r="P226">
        <v>4</v>
      </c>
      <c r="Q226">
        <v>2</v>
      </c>
      <c r="R226">
        <v>50.2</v>
      </c>
      <c r="S226">
        <v>70</v>
      </c>
      <c r="T226">
        <v>70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70</v>
      </c>
      <c r="AB226">
        <v>6</v>
      </c>
      <c r="AC226">
        <v>0</v>
      </c>
      <c r="AG226" t="s">
        <v>130</v>
      </c>
      <c r="AH226">
        <v>126.2</v>
      </c>
    </row>
    <row r="227" spans="1:34" x14ac:dyDescent="0.3">
      <c r="A227" s="4">
        <v>382</v>
      </c>
      <c r="B227" s="5">
        <v>220</v>
      </c>
      <c r="C227">
        <v>348</v>
      </c>
      <c r="D227" t="s">
        <v>93</v>
      </c>
      <c r="E227" t="s">
        <v>957</v>
      </c>
      <c r="F227" t="s">
        <v>11345</v>
      </c>
      <c r="G227" t="s">
        <v>11346</v>
      </c>
      <c r="H227">
        <v>18.55</v>
      </c>
      <c r="I227">
        <v>0</v>
      </c>
      <c r="J227">
        <v>0</v>
      </c>
      <c r="K227">
        <v>20</v>
      </c>
      <c r="L227">
        <v>14</v>
      </c>
      <c r="O227">
        <v>14</v>
      </c>
      <c r="P227">
        <v>4</v>
      </c>
      <c r="Q227">
        <v>2</v>
      </c>
      <c r="R227">
        <v>58.55</v>
      </c>
      <c r="S227">
        <v>65</v>
      </c>
      <c r="T227">
        <v>65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65</v>
      </c>
      <c r="AB227">
        <v>0</v>
      </c>
      <c r="AC227">
        <v>0</v>
      </c>
      <c r="AG227" t="s">
        <v>130</v>
      </c>
      <c r="AH227">
        <v>123.55</v>
      </c>
    </row>
    <row r="228" spans="1:34" x14ac:dyDescent="0.3">
      <c r="A228" s="4">
        <v>383</v>
      </c>
      <c r="B228" s="5">
        <v>221</v>
      </c>
      <c r="C228">
        <v>5092</v>
      </c>
      <c r="D228" t="s">
        <v>11347</v>
      </c>
      <c r="E228" t="s">
        <v>265</v>
      </c>
      <c r="F228" t="s">
        <v>190</v>
      </c>
      <c r="G228" t="s">
        <v>11348</v>
      </c>
      <c r="H228">
        <v>14.88</v>
      </c>
      <c r="I228">
        <v>0</v>
      </c>
      <c r="J228">
        <v>0</v>
      </c>
      <c r="K228">
        <v>28</v>
      </c>
      <c r="L228">
        <v>7</v>
      </c>
      <c r="O228">
        <v>7</v>
      </c>
      <c r="P228">
        <v>4</v>
      </c>
      <c r="Q228">
        <v>2</v>
      </c>
      <c r="R228">
        <v>55.88</v>
      </c>
      <c r="S228">
        <v>61</v>
      </c>
      <c r="T228">
        <v>61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61</v>
      </c>
      <c r="AB228">
        <v>6</v>
      </c>
      <c r="AC228">
        <v>0</v>
      </c>
      <c r="AG228" t="s">
        <v>130</v>
      </c>
      <c r="AH228">
        <v>122.88</v>
      </c>
    </row>
    <row r="229" spans="1:34" x14ac:dyDescent="0.3">
      <c r="A229" s="4">
        <v>384</v>
      </c>
      <c r="B229" s="5">
        <v>222</v>
      </c>
      <c r="C229">
        <v>6619</v>
      </c>
      <c r="D229" t="s">
        <v>11349</v>
      </c>
      <c r="E229" t="s">
        <v>178</v>
      </c>
      <c r="F229" t="s">
        <v>17</v>
      </c>
      <c r="G229" t="s">
        <v>11350</v>
      </c>
      <c r="H229">
        <v>18.28</v>
      </c>
      <c r="I229">
        <v>0</v>
      </c>
      <c r="J229">
        <v>0</v>
      </c>
      <c r="K229">
        <v>20</v>
      </c>
      <c r="N229">
        <v>3</v>
      </c>
      <c r="O229">
        <v>3</v>
      </c>
      <c r="P229">
        <v>4</v>
      </c>
      <c r="Q229">
        <v>0</v>
      </c>
      <c r="R229">
        <v>45.28</v>
      </c>
      <c r="S229">
        <v>55</v>
      </c>
      <c r="T229">
        <v>55</v>
      </c>
      <c r="U229">
        <v>8</v>
      </c>
      <c r="V229">
        <v>16</v>
      </c>
      <c r="W229">
        <v>0</v>
      </c>
      <c r="X229">
        <v>0</v>
      </c>
      <c r="Y229">
        <v>0</v>
      </c>
      <c r="Z229">
        <v>0</v>
      </c>
      <c r="AA229">
        <v>71</v>
      </c>
      <c r="AB229">
        <v>6</v>
      </c>
      <c r="AC229">
        <v>0</v>
      </c>
      <c r="AG229" t="s">
        <v>130</v>
      </c>
      <c r="AH229">
        <v>122.28</v>
      </c>
    </row>
    <row r="230" spans="1:34" x14ac:dyDescent="0.3">
      <c r="A230" s="4">
        <v>385</v>
      </c>
      <c r="B230" s="5">
        <v>223</v>
      </c>
      <c r="C230">
        <v>491</v>
      </c>
      <c r="D230" t="s">
        <v>11351</v>
      </c>
      <c r="E230" t="s">
        <v>41</v>
      </c>
      <c r="F230" t="s">
        <v>190</v>
      </c>
      <c r="G230" t="s">
        <v>11352</v>
      </c>
      <c r="H230">
        <v>18.149999999999999</v>
      </c>
      <c r="I230">
        <v>0</v>
      </c>
      <c r="J230">
        <v>0</v>
      </c>
      <c r="K230">
        <v>20</v>
      </c>
      <c r="L230">
        <v>7</v>
      </c>
      <c r="N230">
        <v>3</v>
      </c>
      <c r="O230">
        <v>10</v>
      </c>
      <c r="P230">
        <v>4</v>
      </c>
      <c r="Q230">
        <v>0</v>
      </c>
      <c r="R230">
        <v>52.15</v>
      </c>
      <c r="S230">
        <v>67</v>
      </c>
      <c r="T230">
        <v>67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67</v>
      </c>
      <c r="AB230">
        <v>3</v>
      </c>
      <c r="AC230">
        <v>0</v>
      </c>
      <c r="AD230" t="s">
        <v>130</v>
      </c>
      <c r="AE230" t="s">
        <v>130</v>
      </c>
      <c r="AG230" t="s">
        <v>130</v>
      </c>
      <c r="AH230">
        <v>122.15</v>
      </c>
    </row>
    <row r="231" spans="1:34" x14ac:dyDescent="0.3">
      <c r="A231" s="4">
        <v>386</v>
      </c>
      <c r="B231" s="5">
        <v>224</v>
      </c>
      <c r="C231">
        <v>12843</v>
      </c>
      <c r="D231" t="s">
        <v>11353</v>
      </c>
      <c r="E231" t="s">
        <v>62</v>
      </c>
      <c r="F231" t="s">
        <v>782</v>
      </c>
      <c r="G231" t="s">
        <v>11354</v>
      </c>
      <c r="H231">
        <v>19.28</v>
      </c>
      <c r="I231">
        <v>0</v>
      </c>
      <c r="J231">
        <v>0</v>
      </c>
      <c r="K231">
        <v>20</v>
      </c>
      <c r="L231">
        <v>7</v>
      </c>
      <c r="N231">
        <v>3</v>
      </c>
      <c r="O231">
        <v>10</v>
      </c>
      <c r="P231">
        <v>4</v>
      </c>
      <c r="Q231">
        <v>0</v>
      </c>
      <c r="R231">
        <v>53.28</v>
      </c>
      <c r="S231">
        <v>62</v>
      </c>
      <c r="T231">
        <v>62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62</v>
      </c>
      <c r="AB231">
        <v>6</v>
      </c>
      <c r="AC231">
        <v>0</v>
      </c>
      <c r="AG231" t="s">
        <v>130</v>
      </c>
      <c r="AH231">
        <v>121.28</v>
      </c>
    </row>
    <row r="232" spans="1:34" x14ac:dyDescent="0.3">
      <c r="A232" s="4">
        <v>387</v>
      </c>
      <c r="B232" s="5">
        <v>225</v>
      </c>
      <c r="C232">
        <v>4343</v>
      </c>
      <c r="D232" t="s">
        <v>11355</v>
      </c>
      <c r="E232" t="s">
        <v>11356</v>
      </c>
      <c r="F232" t="s">
        <v>158</v>
      </c>
      <c r="G232" t="s">
        <v>11357</v>
      </c>
      <c r="H232">
        <v>16.8</v>
      </c>
      <c r="I232">
        <v>0</v>
      </c>
      <c r="J232">
        <v>0</v>
      </c>
      <c r="K232">
        <v>0</v>
      </c>
      <c r="O232">
        <v>0</v>
      </c>
      <c r="P232">
        <v>4</v>
      </c>
      <c r="Q232">
        <v>2</v>
      </c>
      <c r="R232">
        <v>22.8</v>
      </c>
      <c r="S232">
        <v>64</v>
      </c>
      <c r="T232">
        <v>64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64</v>
      </c>
      <c r="AB232">
        <v>0</v>
      </c>
      <c r="AC232">
        <v>34.4</v>
      </c>
      <c r="AG232" t="s">
        <v>130</v>
      </c>
      <c r="AH232">
        <v>121.2</v>
      </c>
    </row>
    <row r="233" spans="1:34" x14ac:dyDescent="0.3">
      <c r="A233" s="4">
        <v>388</v>
      </c>
      <c r="B233" s="5">
        <v>226</v>
      </c>
      <c r="C233">
        <v>12011</v>
      </c>
      <c r="D233" t="s">
        <v>11358</v>
      </c>
      <c r="E233" t="s">
        <v>649</v>
      </c>
      <c r="F233" t="s">
        <v>34</v>
      </c>
      <c r="G233" t="s">
        <v>11359</v>
      </c>
      <c r="H233">
        <v>14.13</v>
      </c>
      <c r="I233">
        <v>0</v>
      </c>
      <c r="J233">
        <v>0</v>
      </c>
      <c r="K233">
        <v>0</v>
      </c>
      <c r="N233">
        <v>3</v>
      </c>
      <c r="O233">
        <v>3</v>
      </c>
      <c r="P233">
        <v>4</v>
      </c>
      <c r="Q233">
        <v>0</v>
      </c>
      <c r="R233">
        <v>21.13</v>
      </c>
      <c r="S233">
        <v>72</v>
      </c>
      <c r="T233">
        <v>72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72</v>
      </c>
      <c r="AB233">
        <v>0</v>
      </c>
      <c r="AC233">
        <v>28</v>
      </c>
      <c r="AG233" t="s">
        <v>130</v>
      </c>
      <c r="AH233">
        <v>121.13</v>
      </c>
    </row>
    <row r="234" spans="1:34" x14ac:dyDescent="0.3">
      <c r="A234" s="4">
        <v>390</v>
      </c>
      <c r="B234" s="5">
        <v>227</v>
      </c>
      <c r="C234">
        <v>5320</v>
      </c>
      <c r="D234" t="s">
        <v>11360</v>
      </c>
      <c r="E234" t="s">
        <v>11361</v>
      </c>
      <c r="F234" t="s">
        <v>892</v>
      </c>
      <c r="G234" t="s">
        <v>11362</v>
      </c>
      <c r="H234">
        <v>19.95</v>
      </c>
      <c r="I234">
        <v>0</v>
      </c>
      <c r="J234">
        <v>0</v>
      </c>
      <c r="K234">
        <v>20</v>
      </c>
      <c r="N234">
        <v>3</v>
      </c>
      <c r="O234">
        <v>3</v>
      </c>
      <c r="P234">
        <v>4</v>
      </c>
      <c r="Q234">
        <v>2</v>
      </c>
      <c r="R234">
        <v>48.95</v>
      </c>
      <c r="S234">
        <v>66</v>
      </c>
      <c r="T234">
        <v>66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66</v>
      </c>
      <c r="AB234">
        <v>6</v>
      </c>
      <c r="AC234">
        <v>0</v>
      </c>
      <c r="AG234" t="s">
        <v>130</v>
      </c>
      <c r="AH234">
        <v>120.95</v>
      </c>
    </row>
    <row r="235" spans="1:34" x14ac:dyDescent="0.3">
      <c r="A235" s="4">
        <v>391</v>
      </c>
      <c r="B235" s="5">
        <v>228</v>
      </c>
      <c r="C235">
        <v>8332</v>
      </c>
      <c r="D235" t="s">
        <v>11363</v>
      </c>
      <c r="E235" t="s">
        <v>11364</v>
      </c>
      <c r="F235" t="s">
        <v>17</v>
      </c>
      <c r="G235" t="s">
        <v>11365</v>
      </c>
      <c r="H235">
        <v>18.88</v>
      </c>
      <c r="I235">
        <v>0</v>
      </c>
      <c r="J235">
        <v>0</v>
      </c>
      <c r="K235">
        <v>20</v>
      </c>
      <c r="L235">
        <v>7</v>
      </c>
      <c r="M235">
        <v>5</v>
      </c>
      <c r="O235">
        <v>12</v>
      </c>
      <c r="P235">
        <v>4</v>
      </c>
      <c r="Q235">
        <v>2</v>
      </c>
      <c r="R235">
        <v>56.88</v>
      </c>
      <c r="S235">
        <v>63</v>
      </c>
      <c r="T235">
        <v>63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63</v>
      </c>
      <c r="AB235">
        <v>0</v>
      </c>
      <c r="AC235">
        <v>0</v>
      </c>
      <c r="AG235" t="s">
        <v>130</v>
      </c>
      <c r="AH235">
        <v>119.88</v>
      </c>
    </row>
    <row r="236" spans="1:34" x14ac:dyDescent="0.3">
      <c r="A236" s="4">
        <v>392</v>
      </c>
      <c r="B236" s="5">
        <v>229</v>
      </c>
      <c r="C236">
        <v>5588</v>
      </c>
      <c r="D236" t="s">
        <v>11366</v>
      </c>
      <c r="E236" t="s">
        <v>29</v>
      </c>
      <c r="F236" t="s">
        <v>11367</v>
      </c>
      <c r="G236" t="s">
        <v>11368</v>
      </c>
      <c r="H236">
        <v>19.18</v>
      </c>
      <c r="I236">
        <v>0</v>
      </c>
      <c r="J236">
        <v>40</v>
      </c>
      <c r="K236">
        <v>20</v>
      </c>
      <c r="L236">
        <v>7</v>
      </c>
      <c r="M236">
        <v>5</v>
      </c>
      <c r="O236">
        <v>12</v>
      </c>
      <c r="P236">
        <v>4</v>
      </c>
      <c r="Q236">
        <v>0</v>
      </c>
      <c r="R236">
        <v>95.18</v>
      </c>
      <c r="S236">
        <v>18</v>
      </c>
      <c r="T236">
        <v>18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18</v>
      </c>
      <c r="AB236">
        <v>6</v>
      </c>
      <c r="AC236">
        <v>0</v>
      </c>
      <c r="AG236" t="s">
        <v>130</v>
      </c>
      <c r="AH236">
        <v>119.18</v>
      </c>
    </row>
    <row r="237" spans="1:34" x14ac:dyDescent="0.3">
      <c r="A237" s="4">
        <v>393</v>
      </c>
      <c r="B237" s="5">
        <v>230</v>
      </c>
      <c r="C237">
        <v>3450</v>
      </c>
      <c r="D237" t="s">
        <v>10270</v>
      </c>
      <c r="E237" t="s">
        <v>3964</v>
      </c>
      <c r="F237" t="s">
        <v>81</v>
      </c>
      <c r="G237" t="s">
        <v>11369</v>
      </c>
      <c r="H237">
        <v>18.13</v>
      </c>
      <c r="I237">
        <v>0</v>
      </c>
      <c r="J237">
        <v>0</v>
      </c>
      <c r="K237">
        <v>20</v>
      </c>
      <c r="L237">
        <v>7</v>
      </c>
      <c r="N237">
        <v>3</v>
      </c>
      <c r="O237">
        <v>10</v>
      </c>
      <c r="P237">
        <v>4</v>
      </c>
      <c r="Q237">
        <v>2</v>
      </c>
      <c r="R237">
        <v>54.13</v>
      </c>
      <c r="S237">
        <v>59</v>
      </c>
      <c r="T237">
        <v>59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59</v>
      </c>
      <c r="AB237">
        <v>6</v>
      </c>
      <c r="AC237">
        <v>0</v>
      </c>
      <c r="AG237" t="s">
        <v>130</v>
      </c>
      <c r="AH237">
        <v>119.13</v>
      </c>
    </row>
    <row r="238" spans="1:34" x14ac:dyDescent="0.3">
      <c r="A238" s="4">
        <v>395</v>
      </c>
      <c r="B238" s="5">
        <v>231</v>
      </c>
      <c r="C238">
        <v>2630</v>
      </c>
      <c r="D238" t="s">
        <v>11371</v>
      </c>
      <c r="E238" t="s">
        <v>54</v>
      </c>
      <c r="F238" t="s">
        <v>20</v>
      </c>
      <c r="G238" t="s">
        <v>11372</v>
      </c>
      <c r="H238">
        <v>17.38</v>
      </c>
      <c r="I238">
        <v>0</v>
      </c>
      <c r="J238">
        <v>0</v>
      </c>
      <c r="K238">
        <v>20</v>
      </c>
      <c r="L238">
        <v>7</v>
      </c>
      <c r="N238">
        <v>3</v>
      </c>
      <c r="O238">
        <v>10</v>
      </c>
      <c r="P238">
        <v>4</v>
      </c>
      <c r="Q238">
        <v>2</v>
      </c>
      <c r="R238">
        <v>53.38</v>
      </c>
      <c r="S238">
        <v>65</v>
      </c>
      <c r="T238">
        <v>65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65</v>
      </c>
      <c r="AB238">
        <v>0</v>
      </c>
      <c r="AC238">
        <v>0</v>
      </c>
      <c r="AD238" t="s">
        <v>130</v>
      </c>
      <c r="AG238" t="s">
        <v>130</v>
      </c>
      <c r="AH238">
        <v>118.38</v>
      </c>
    </row>
    <row r="239" spans="1:34" x14ac:dyDescent="0.3">
      <c r="A239" s="4">
        <v>396</v>
      </c>
      <c r="B239" s="5">
        <v>232</v>
      </c>
      <c r="C239">
        <v>7952</v>
      </c>
      <c r="D239" t="s">
        <v>11373</v>
      </c>
      <c r="E239" t="s">
        <v>182</v>
      </c>
      <c r="F239" t="s">
        <v>68</v>
      </c>
      <c r="G239" t="s">
        <v>11374</v>
      </c>
      <c r="H239">
        <v>19.3</v>
      </c>
      <c r="I239">
        <v>7</v>
      </c>
      <c r="J239">
        <v>0</v>
      </c>
      <c r="K239">
        <v>20</v>
      </c>
      <c r="M239">
        <v>5</v>
      </c>
      <c r="N239">
        <v>3</v>
      </c>
      <c r="O239">
        <v>8</v>
      </c>
      <c r="P239">
        <v>4</v>
      </c>
      <c r="Q239">
        <v>2</v>
      </c>
      <c r="R239">
        <v>60.3</v>
      </c>
      <c r="S239">
        <v>52</v>
      </c>
      <c r="T239">
        <v>52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52</v>
      </c>
      <c r="AB239">
        <v>6</v>
      </c>
      <c r="AC239">
        <v>0</v>
      </c>
      <c r="AD239" t="s">
        <v>130</v>
      </c>
      <c r="AG239" t="s">
        <v>130</v>
      </c>
      <c r="AH239">
        <v>118.3</v>
      </c>
    </row>
    <row r="240" spans="1:34" x14ac:dyDescent="0.3">
      <c r="A240" s="4">
        <v>398</v>
      </c>
      <c r="B240" s="5">
        <v>233</v>
      </c>
      <c r="C240">
        <v>10560</v>
      </c>
      <c r="D240" t="s">
        <v>11375</v>
      </c>
      <c r="E240" t="s">
        <v>182</v>
      </c>
      <c r="F240" t="s">
        <v>17</v>
      </c>
      <c r="G240" t="s">
        <v>11376</v>
      </c>
      <c r="H240">
        <v>18.600000000000001</v>
      </c>
      <c r="I240">
        <v>0</v>
      </c>
      <c r="J240">
        <v>0</v>
      </c>
      <c r="K240">
        <v>20</v>
      </c>
      <c r="L240">
        <v>7</v>
      </c>
      <c r="M240">
        <v>5</v>
      </c>
      <c r="O240">
        <v>12</v>
      </c>
      <c r="P240">
        <v>4</v>
      </c>
      <c r="Q240">
        <v>0</v>
      </c>
      <c r="R240">
        <v>54.6</v>
      </c>
      <c r="S240">
        <v>63</v>
      </c>
      <c r="T240">
        <v>63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63</v>
      </c>
      <c r="AB240">
        <v>0</v>
      </c>
      <c r="AC240">
        <v>0</v>
      </c>
      <c r="AG240" t="s">
        <v>130</v>
      </c>
      <c r="AH240">
        <v>117.6</v>
      </c>
    </row>
    <row r="241" spans="1:34" x14ac:dyDescent="0.3">
      <c r="A241" s="4">
        <v>400</v>
      </c>
      <c r="B241" s="5">
        <v>234</v>
      </c>
      <c r="C241">
        <v>11447</v>
      </c>
      <c r="D241" t="s">
        <v>11377</v>
      </c>
      <c r="E241" t="s">
        <v>110</v>
      </c>
      <c r="F241" t="s">
        <v>521</v>
      </c>
      <c r="G241" t="s">
        <v>11378</v>
      </c>
      <c r="H241">
        <v>19</v>
      </c>
      <c r="I241">
        <v>0</v>
      </c>
      <c r="J241">
        <v>0</v>
      </c>
      <c r="K241">
        <v>20</v>
      </c>
      <c r="L241">
        <v>7</v>
      </c>
      <c r="M241">
        <v>5</v>
      </c>
      <c r="O241">
        <v>12</v>
      </c>
      <c r="P241">
        <v>4</v>
      </c>
      <c r="Q241">
        <v>2</v>
      </c>
      <c r="R241">
        <v>57</v>
      </c>
      <c r="S241">
        <v>60</v>
      </c>
      <c r="T241">
        <v>60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60</v>
      </c>
      <c r="AB241">
        <v>0</v>
      </c>
      <c r="AC241">
        <v>0</v>
      </c>
      <c r="AG241" t="s">
        <v>130</v>
      </c>
      <c r="AH241">
        <v>117</v>
      </c>
    </row>
    <row r="242" spans="1:34" x14ac:dyDescent="0.3">
      <c r="A242" s="4">
        <v>401</v>
      </c>
      <c r="B242" s="5">
        <v>235</v>
      </c>
      <c r="C242">
        <v>2140</v>
      </c>
      <c r="D242" t="s">
        <v>11379</v>
      </c>
      <c r="E242" t="s">
        <v>161</v>
      </c>
      <c r="F242" t="s">
        <v>117</v>
      </c>
      <c r="G242" t="s">
        <v>11380</v>
      </c>
      <c r="H242">
        <v>17.829999999999998</v>
      </c>
      <c r="I242">
        <v>0</v>
      </c>
      <c r="J242">
        <v>0</v>
      </c>
      <c r="K242">
        <v>20</v>
      </c>
      <c r="M242">
        <v>5</v>
      </c>
      <c r="N242">
        <v>3</v>
      </c>
      <c r="O242">
        <v>8</v>
      </c>
      <c r="P242">
        <v>4</v>
      </c>
      <c r="Q242">
        <v>2</v>
      </c>
      <c r="R242">
        <v>51.83</v>
      </c>
      <c r="S242">
        <v>65</v>
      </c>
      <c r="T242">
        <v>65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65</v>
      </c>
      <c r="AB242">
        <v>0</v>
      </c>
      <c r="AC242">
        <v>0</v>
      </c>
      <c r="AG242" t="s">
        <v>130</v>
      </c>
      <c r="AH242">
        <v>116.83</v>
      </c>
    </row>
    <row r="243" spans="1:34" x14ac:dyDescent="0.3">
      <c r="A243" s="4">
        <v>402</v>
      </c>
      <c r="B243" s="5">
        <v>236</v>
      </c>
      <c r="C243">
        <v>257</v>
      </c>
      <c r="D243" t="s">
        <v>11381</v>
      </c>
      <c r="E243" t="s">
        <v>161</v>
      </c>
      <c r="F243" t="s">
        <v>38</v>
      </c>
      <c r="G243" t="s">
        <v>11382</v>
      </c>
      <c r="H243">
        <v>14.78</v>
      </c>
      <c r="I243">
        <v>0</v>
      </c>
      <c r="J243">
        <v>0</v>
      </c>
      <c r="K243">
        <v>20</v>
      </c>
      <c r="L243">
        <v>7</v>
      </c>
      <c r="O243">
        <v>7</v>
      </c>
      <c r="P243">
        <v>4</v>
      </c>
      <c r="Q243">
        <v>2</v>
      </c>
      <c r="R243">
        <v>47.78</v>
      </c>
      <c r="S243">
        <v>60</v>
      </c>
      <c r="T243">
        <v>60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60</v>
      </c>
      <c r="AB243">
        <v>9</v>
      </c>
      <c r="AC243">
        <v>0</v>
      </c>
      <c r="AG243" t="s">
        <v>130</v>
      </c>
      <c r="AH243">
        <v>116.78</v>
      </c>
    </row>
    <row r="244" spans="1:34" x14ac:dyDescent="0.3">
      <c r="A244" s="4">
        <v>404</v>
      </c>
      <c r="B244" s="5">
        <v>237</v>
      </c>
      <c r="C244">
        <v>13078</v>
      </c>
      <c r="D244" t="s">
        <v>11383</v>
      </c>
      <c r="E244" t="s">
        <v>26</v>
      </c>
      <c r="F244" t="s">
        <v>17</v>
      </c>
      <c r="G244" t="s">
        <v>11384</v>
      </c>
      <c r="H244">
        <v>20.100000000000001</v>
      </c>
      <c r="I244">
        <v>0</v>
      </c>
      <c r="J244">
        <v>0</v>
      </c>
      <c r="K244">
        <v>28</v>
      </c>
      <c r="L244">
        <v>7</v>
      </c>
      <c r="O244">
        <v>7</v>
      </c>
      <c r="P244">
        <v>4</v>
      </c>
      <c r="Q244">
        <v>2</v>
      </c>
      <c r="R244">
        <v>61.1</v>
      </c>
      <c r="S244">
        <v>52</v>
      </c>
      <c r="T244">
        <v>52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52</v>
      </c>
      <c r="AB244">
        <v>3</v>
      </c>
      <c r="AC244">
        <v>0</v>
      </c>
      <c r="AD244" t="s">
        <v>130</v>
      </c>
      <c r="AG244" t="s">
        <v>130</v>
      </c>
      <c r="AH244">
        <v>116.1</v>
      </c>
    </row>
    <row r="245" spans="1:34" x14ac:dyDescent="0.3">
      <c r="A245" s="4">
        <v>405</v>
      </c>
      <c r="B245" s="5">
        <v>238</v>
      </c>
      <c r="C245">
        <v>4497</v>
      </c>
      <c r="D245" t="s">
        <v>1962</v>
      </c>
      <c r="E245" t="s">
        <v>789</v>
      </c>
      <c r="F245" t="s">
        <v>136</v>
      </c>
      <c r="G245" t="s">
        <v>11385</v>
      </c>
      <c r="H245">
        <v>17</v>
      </c>
      <c r="I245">
        <v>0</v>
      </c>
      <c r="J245">
        <v>0</v>
      </c>
      <c r="K245">
        <v>28</v>
      </c>
      <c r="L245">
        <v>7</v>
      </c>
      <c r="O245">
        <v>7</v>
      </c>
      <c r="P245">
        <v>4</v>
      </c>
      <c r="Q245">
        <v>2</v>
      </c>
      <c r="R245">
        <v>58</v>
      </c>
      <c r="S245">
        <v>55</v>
      </c>
      <c r="T245">
        <v>55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55</v>
      </c>
      <c r="AB245">
        <v>3</v>
      </c>
      <c r="AC245">
        <v>0</v>
      </c>
      <c r="AD245" t="s">
        <v>130</v>
      </c>
      <c r="AG245" t="s">
        <v>130</v>
      </c>
      <c r="AH245">
        <v>116</v>
      </c>
    </row>
    <row r="246" spans="1:34" x14ac:dyDescent="0.3">
      <c r="A246" s="4">
        <v>406</v>
      </c>
      <c r="B246" s="5">
        <v>239</v>
      </c>
      <c r="C246">
        <v>5669</v>
      </c>
      <c r="D246" t="s">
        <v>3649</v>
      </c>
      <c r="E246" t="s">
        <v>454</v>
      </c>
      <c r="F246" t="s">
        <v>1566</v>
      </c>
      <c r="G246" t="s">
        <v>11386</v>
      </c>
      <c r="H246">
        <v>19.68</v>
      </c>
      <c r="I246">
        <v>0</v>
      </c>
      <c r="J246">
        <v>0</v>
      </c>
      <c r="K246">
        <v>20</v>
      </c>
      <c r="L246">
        <v>7</v>
      </c>
      <c r="O246">
        <v>7</v>
      </c>
      <c r="P246">
        <v>4</v>
      </c>
      <c r="Q246">
        <v>2</v>
      </c>
      <c r="R246">
        <v>52.68</v>
      </c>
      <c r="S246">
        <v>60</v>
      </c>
      <c r="T246">
        <v>60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60</v>
      </c>
      <c r="AB246">
        <v>3</v>
      </c>
      <c r="AC246">
        <v>0</v>
      </c>
      <c r="AG246" t="s">
        <v>130</v>
      </c>
      <c r="AH246">
        <v>115.68</v>
      </c>
    </row>
    <row r="247" spans="1:34" x14ac:dyDescent="0.3">
      <c r="A247" s="4">
        <v>407</v>
      </c>
      <c r="B247" s="5">
        <v>240</v>
      </c>
      <c r="C247">
        <v>6576</v>
      </c>
      <c r="D247" t="s">
        <v>11387</v>
      </c>
      <c r="E247" t="s">
        <v>161</v>
      </c>
      <c r="F247" t="s">
        <v>81</v>
      </c>
      <c r="G247" t="s">
        <v>11388</v>
      </c>
      <c r="H247">
        <v>21.65</v>
      </c>
      <c r="I247">
        <v>0</v>
      </c>
      <c r="J247">
        <v>0</v>
      </c>
      <c r="K247">
        <v>20</v>
      </c>
      <c r="L247">
        <v>7</v>
      </c>
      <c r="M247">
        <v>5</v>
      </c>
      <c r="O247">
        <v>12</v>
      </c>
      <c r="P247">
        <v>4</v>
      </c>
      <c r="Q247">
        <v>2</v>
      </c>
      <c r="R247">
        <v>59.65</v>
      </c>
      <c r="S247">
        <v>53</v>
      </c>
      <c r="T247">
        <v>53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53</v>
      </c>
      <c r="AB247">
        <v>3</v>
      </c>
      <c r="AC247">
        <v>0</v>
      </c>
      <c r="AD247" t="s">
        <v>130</v>
      </c>
      <c r="AG247" t="s">
        <v>130</v>
      </c>
      <c r="AH247">
        <v>115.65</v>
      </c>
    </row>
    <row r="248" spans="1:34" x14ac:dyDescent="0.3">
      <c r="A248" s="4">
        <v>412</v>
      </c>
      <c r="B248" s="5">
        <v>241</v>
      </c>
      <c r="C248">
        <v>3204</v>
      </c>
      <c r="D248" t="s">
        <v>11389</v>
      </c>
      <c r="E248" t="s">
        <v>471</v>
      </c>
      <c r="F248" t="s">
        <v>20</v>
      </c>
      <c r="G248" t="s">
        <v>11390</v>
      </c>
      <c r="H248">
        <v>19</v>
      </c>
      <c r="I248">
        <v>0</v>
      </c>
      <c r="J248">
        <v>0</v>
      </c>
      <c r="K248">
        <v>20</v>
      </c>
      <c r="L248">
        <v>7</v>
      </c>
      <c r="M248">
        <v>5</v>
      </c>
      <c r="O248">
        <v>12</v>
      </c>
      <c r="P248">
        <v>4</v>
      </c>
      <c r="Q248">
        <v>0</v>
      </c>
      <c r="R248">
        <v>55</v>
      </c>
      <c r="S248">
        <v>60</v>
      </c>
      <c r="T248">
        <v>60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60</v>
      </c>
      <c r="AB248">
        <v>0</v>
      </c>
      <c r="AC248">
        <v>0</v>
      </c>
      <c r="AG248" t="s">
        <v>130</v>
      </c>
      <c r="AH248">
        <v>115</v>
      </c>
    </row>
    <row r="249" spans="1:34" x14ac:dyDescent="0.3">
      <c r="A249" s="4">
        <v>413</v>
      </c>
      <c r="B249" s="5">
        <v>242</v>
      </c>
      <c r="C249">
        <v>12969</v>
      </c>
      <c r="D249" t="s">
        <v>11391</v>
      </c>
      <c r="E249" t="s">
        <v>587</v>
      </c>
      <c r="F249" t="s">
        <v>81</v>
      </c>
      <c r="G249" t="s">
        <v>11392</v>
      </c>
      <c r="H249">
        <v>18.88</v>
      </c>
      <c r="I249">
        <v>0</v>
      </c>
      <c r="J249">
        <v>0</v>
      </c>
      <c r="K249">
        <v>20</v>
      </c>
      <c r="L249">
        <v>7</v>
      </c>
      <c r="O249">
        <v>7</v>
      </c>
      <c r="P249">
        <v>4</v>
      </c>
      <c r="Q249">
        <v>2</v>
      </c>
      <c r="R249">
        <v>51.88</v>
      </c>
      <c r="S249">
        <v>57</v>
      </c>
      <c r="T249">
        <v>57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57</v>
      </c>
      <c r="AB249">
        <v>6</v>
      </c>
      <c r="AC249">
        <v>0</v>
      </c>
      <c r="AG249" t="s">
        <v>130</v>
      </c>
      <c r="AH249">
        <v>114.88</v>
      </c>
    </row>
    <row r="250" spans="1:34" x14ac:dyDescent="0.3">
      <c r="A250" s="4">
        <v>414</v>
      </c>
      <c r="B250" s="5">
        <v>243</v>
      </c>
      <c r="C250">
        <v>11436</v>
      </c>
      <c r="D250" t="s">
        <v>11393</v>
      </c>
      <c r="E250" t="s">
        <v>22</v>
      </c>
      <c r="F250" t="s">
        <v>1566</v>
      </c>
      <c r="G250">
        <v>818935</v>
      </c>
      <c r="H250">
        <v>18.53</v>
      </c>
      <c r="I250">
        <v>0</v>
      </c>
      <c r="J250">
        <v>0</v>
      </c>
      <c r="K250">
        <v>20</v>
      </c>
      <c r="M250">
        <v>5</v>
      </c>
      <c r="O250">
        <v>5</v>
      </c>
      <c r="P250">
        <v>4</v>
      </c>
      <c r="Q250">
        <v>2</v>
      </c>
      <c r="R250">
        <v>49.53</v>
      </c>
      <c r="S250">
        <v>59</v>
      </c>
      <c r="T250">
        <v>59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59</v>
      </c>
      <c r="AB250">
        <v>6</v>
      </c>
      <c r="AC250">
        <v>0</v>
      </c>
      <c r="AG250" t="s">
        <v>130</v>
      </c>
      <c r="AH250">
        <v>114.53</v>
      </c>
    </row>
    <row r="251" spans="1:34" x14ac:dyDescent="0.3">
      <c r="A251" s="4">
        <v>415</v>
      </c>
      <c r="B251" s="5">
        <v>244</v>
      </c>
      <c r="C251">
        <v>8127</v>
      </c>
      <c r="D251" t="s">
        <v>11394</v>
      </c>
      <c r="E251" t="s">
        <v>858</v>
      </c>
      <c r="F251" t="s">
        <v>136</v>
      </c>
      <c r="G251" t="s">
        <v>11395</v>
      </c>
      <c r="H251">
        <v>19.329999999999998</v>
      </c>
      <c r="I251">
        <v>0</v>
      </c>
      <c r="J251">
        <v>0</v>
      </c>
      <c r="K251">
        <v>20</v>
      </c>
      <c r="L251">
        <v>7</v>
      </c>
      <c r="N251">
        <v>3</v>
      </c>
      <c r="O251">
        <v>10</v>
      </c>
      <c r="P251">
        <v>4</v>
      </c>
      <c r="Q251">
        <v>2</v>
      </c>
      <c r="R251">
        <v>55.33</v>
      </c>
      <c r="S251">
        <v>59</v>
      </c>
      <c r="T251">
        <v>59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59</v>
      </c>
      <c r="AB251">
        <v>0</v>
      </c>
      <c r="AC251">
        <v>0</v>
      </c>
      <c r="AG251" t="s">
        <v>130</v>
      </c>
      <c r="AH251">
        <v>114.33</v>
      </c>
    </row>
    <row r="252" spans="1:34" x14ac:dyDescent="0.3">
      <c r="A252" s="4">
        <v>416</v>
      </c>
      <c r="B252" s="5">
        <v>245</v>
      </c>
      <c r="C252">
        <v>1449</v>
      </c>
      <c r="D252" t="s">
        <v>2635</v>
      </c>
      <c r="E252" t="s">
        <v>255</v>
      </c>
      <c r="F252" t="s">
        <v>79</v>
      </c>
      <c r="G252" t="s">
        <v>11396</v>
      </c>
      <c r="H252">
        <v>20.2</v>
      </c>
      <c r="I252">
        <v>0</v>
      </c>
      <c r="J252">
        <v>0</v>
      </c>
      <c r="K252">
        <v>20</v>
      </c>
      <c r="L252">
        <v>7</v>
      </c>
      <c r="N252">
        <v>3</v>
      </c>
      <c r="O252">
        <v>10</v>
      </c>
      <c r="P252">
        <v>4</v>
      </c>
      <c r="Q252">
        <v>2</v>
      </c>
      <c r="R252">
        <v>56.2</v>
      </c>
      <c r="S252">
        <v>52</v>
      </c>
      <c r="T252">
        <v>52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52</v>
      </c>
      <c r="AB252">
        <v>6</v>
      </c>
      <c r="AC252">
        <v>0</v>
      </c>
      <c r="AD252" t="s">
        <v>130</v>
      </c>
      <c r="AG252" t="s">
        <v>130</v>
      </c>
      <c r="AH252">
        <v>114.2</v>
      </c>
    </row>
    <row r="253" spans="1:34" x14ac:dyDescent="0.3">
      <c r="A253" s="4">
        <v>417</v>
      </c>
      <c r="B253" s="5">
        <v>246</v>
      </c>
      <c r="C253">
        <v>8966</v>
      </c>
      <c r="D253" t="s">
        <v>11397</v>
      </c>
      <c r="E253" t="s">
        <v>213</v>
      </c>
      <c r="F253" t="s">
        <v>20</v>
      </c>
      <c r="G253" t="s">
        <v>11398</v>
      </c>
      <c r="H253">
        <v>19.98</v>
      </c>
      <c r="I253">
        <v>0</v>
      </c>
      <c r="J253">
        <v>0</v>
      </c>
      <c r="K253">
        <v>20</v>
      </c>
      <c r="N253">
        <v>3</v>
      </c>
      <c r="O253">
        <v>3</v>
      </c>
      <c r="P253">
        <v>4</v>
      </c>
      <c r="Q253">
        <v>2</v>
      </c>
      <c r="R253">
        <v>48.98</v>
      </c>
      <c r="S253">
        <v>65</v>
      </c>
      <c r="T253">
        <v>65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65</v>
      </c>
      <c r="AB253">
        <v>0</v>
      </c>
      <c r="AC253">
        <v>0</v>
      </c>
      <c r="AG253" t="s">
        <v>130</v>
      </c>
      <c r="AH253">
        <v>113.98</v>
      </c>
    </row>
    <row r="254" spans="1:34" x14ac:dyDescent="0.3">
      <c r="A254" s="4">
        <v>418</v>
      </c>
      <c r="B254" s="5">
        <v>247</v>
      </c>
      <c r="C254">
        <v>5068</v>
      </c>
      <c r="D254" t="s">
        <v>11399</v>
      </c>
      <c r="E254" t="s">
        <v>37</v>
      </c>
      <c r="F254" t="s">
        <v>136</v>
      </c>
      <c r="G254" t="s">
        <v>11400</v>
      </c>
      <c r="H254">
        <v>14.58</v>
      </c>
      <c r="I254">
        <v>0</v>
      </c>
      <c r="J254">
        <v>0</v>
      </c>
      <c r="K254">
        <v>20</v>
      </c>
      <c r="L254">
        <v>7</v>
      </c>
      <c r="O254">
        <v>7</v>
      </c>
      <c r="P254">
        <v>4</v>
      </c>
      <c r="Q254">
        <v>2</v>
      </c>
      <c r="R254">
        <v>47.58</v>
      </c>
      <c r="S254">
        <v>66</v>
      </c>
      <c r="T254">
        <v>66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66</v>
      </c>
      <c r="AB254">
        <v>0</v>
      </c>
      <c r="AC254">
        <v>0</v>
      </c>
      <c r="AD254" t="s">
        <v>130</v>
      </c>
      <c r="AG254" t="s">
        <v>130</v>
      </c>
      <c r="AH254">
        <v>113.58</v>
      </c>
    </row>
    <row r="255" spans="1:34" x14ac:dyDescent="0.3">
      <c r="A255" s="4">
        <v>421</v>
      </c>
      <c r="B255" s="5">
        <v>248</v>
      </c>
      <c r="C255">
        <v>3493</v>
      </c>
      <c r="D255" t="s">
        <v>11401</v>
      </c>
      <c r="E255" t="s">
        <v>1576</v>
      </c>
      <c r="F255" t="s">
        <v>243</v>
      </c>
      <c r="G255" t="s">
        <v>11402</v>
      </c>
      <c r="H255">
        <v>21.3</v>
      </c>
      <c r="I255">
        <v>0</v>
      </c>
      <c r="J255">
        <v>0</v>
      </c>
      <c r="K255">
        <v>20</v>
      </c>
      <c r="L255">
        <v>7</v>
      </c>
      <c r="N255">
        <v>3</v>
      </c>
      <c r="O255">
        <v>10</v>
      </c>
      <c r="P255">
        <v>4</v>
      </c>
      <c r="Q255">
        <v>0</v>
      </c>
      <c r="R255">
        <v>55.3</v>
      </c>
      <c r="S255">
        <v>52</v>
      </c>
      <c r="T255">
        <v>52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52</v>
      </c>
      <c r="AB255">
        <v>6</v>
      </c>
      <c r="AC255">
        <v>0</v>
      </c>
      <c r="AG255" t="s">
        <v>130</v>
      </c>
      <c r="AH255">
        <v>113.3</v>
      </c>
    </row>
    <row r="256" spans="1:34" x14ac:dyDescent="0.3">
      <c r="A256" s="4">
        <v>422</v>
      </c>
      <c r="B256" s="5">
        <v>249</v>
      </c>
      <c r="C256">
        <v>8809</v>
      </c>
      <c r="D256" t="s">
        <v>11403</v>
      </c>
      <c r="E256" t="s">
        <v>54</v>
      </c>
      <c r="F256" t="s">
        <v>750</v>
      </c>
      <c r="G256" t="s">
        <v>11404</v>
      </c>
      <c r="H256">
        <v>16.03</v>
      </c>
      <c r="I256">
        <v>0</v>
      </c>
      <c r="J256">
        <v>0</v>
      </c>
      <c r="K256">
        <v>20</v>
      </c>
      <c r="L256">
        <v>14</v>
      </c>
      <c r="O256">
        <v>14</v>
      </c>
      <c r="P256">
        <v>4</v>
      </c>
      <c r="Q256">
        <v>2</v>
      </c>
      <c r="R256">
        <v>56.03</v>
      </c>
      <c r="S256">
        <v>54</v>
      </c>
      <c r="T256">
        <v>54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54</v>
      </c>
      <c r="AB256">
        <v>3</v>
      </c>
      <c r="AC256">
        <v>0</v>
      </c>
      <c r="AG256" t="s">
        <v>130</v>
      </c>
      <c r="AH256">
        <v>113.03</v>
      </c>
    </row>
    <row r="257" spans="1:34" x14ac:dyDescent="0.3">
      <c r="A257" s="4">
        <v>423</v>
      </c>
      <c r="B257" s="5">
        <v>250</v>
      </c>
      <c r="C257">
        <v>199</v>
      </c>
      <c r="D257" t="s">
        <v>11405</v>
      </c>
      <c r="E257" t="s">
        <v>97</v>
      </c>
      <c r="F257" t="s">
        <v>136</v>
      </c>
      <c r="G257" t="s">
        <v>11406</v>
      </c>
      <c r="H257">
        <v>19.93</v>
      </c>
      <c r="I257">
        <v>0</v>
      </c>
      <c r="J257">
        <v>0</v>
      </c>
      <c r="K257">
        <v>20</v>
      </c>
      <c r="L257">
        <v>7</v>
      </c>
      <c r="O257">
        <v>7</v>
      </c>
      <c r="P257">
        <v>4</v>
      </c>
      <c r="Q257">
        <v>2</v>
      </c>
      <c r="R257">
        <v>52.93</v>
      </c>
      <c r="S257">
        <v>51</v>
      </c>
      <c r="T257">
        <v>51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51</v>
      </c>
      <c r="AB257">
        <v>9</v>
      </c>
      <c r="AC257">
        <v>0</v>
      </c>
      <c r="AG257" t="s">
        <v>130</v>
      </c>
      <c r="AH257">
        <v>112.93</v>
      </c>
    </row>
    <row r="258" spans="1:34" x14ac:dyDescent="0.3">
      <c r="A258" s="4">
        <v>424</v>
      </c>
      <c r="B258" s="5">
        <v>251</v>
      </c>
      <c r="C258">
        <v>11651</v>
      </c>
      <c r="D258" t="s">
        <v>36</v>
      </c>
      <c r="E258" t="s">
        <v>132</v>
      </c>
      <c r="F258" t="s">
        <v>14</v>
      </c>
      <c r="G258" t="s">
        <v>11407</v>
      </c>
      <c r="H258">
        <v>19.93</v>
      </c>
      <c r="I258">
        <v>0</v>
      </c>
      <c r="J258">
        <v>0</v>
      </c>
      <c r="K258">
        <v>20</v>
      </c>
      <c r="L258">
        <v>7</v>
      </c>
      <c r="N258">
        <v>3</v>
      </c>
      <c r="O258">
        <v>10</v>
      </c>
      <c r="P258">
        <v>4</v>
      </c>
      <c r="Q258">
        <v>2</v>
      </c>
      <c r="R258">
        <v>55.93</v>
      </c>
      <c r="S258">
        <v>54</v>
      </c>
      <c r="T258">
        <v>54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54</v>
      </c>
      <c r="AB258">
        <v>3</v>
      </c>
      <c r="AC258">
        <v>0</v>
      </c>
      <c r="AG258" t="s">
        <v>130</v>
      </c>
      <c r="AH258">
        <v>112.93</v>
      </c>
    </row>
    <row r="259" spans="1:34" x14ac:dyDescent="0.3">
      <c r="A259" s="4">
        <v>425</v>
      </c>
      <c r="B259" s="5">
        <v>252</v>
      </c>
      <c r="C259">
        <v>6430</v>
      </c>
      <c r="D259" t="s">
        <v>2416</v>
      </c>
      <c r="E259" t="s">
        <v>697</v>
      </c>
      <c r="F259" t="s">
        <v>158</v>
      </c>
      <c r="G259" t="s">
        <v>11408</v>
      </c>
      <c r="H259">
        <v>20.8</v>
      </c>
      <c r="I259">
        <v>0</v>
      </c>
      <c r="J259">
        <v>0</v>
      </c>
      <c r="K259">
        <v>20</v>
      </c>
      <c r="L259">
        <v>7</v>
      </c>
      <c r="O259">
        <v>7</v>
      </c>
      <c r="P259">
        <v>4</v>
      </c>
      <c r="Q259">
        <v>2</v>
      </c>
      <c r="R259">
        <v>53.8</v>
      </c>
      <c r="S259">
        <v>59</v>
      </c>
      <c r="T259">
        <v>59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59</v>
      </c>
      <c r="AB259">
        <v>0</v>
      </c>
      <c r="AC259">
        <v>0</v>
      </c>
      <c r="AD259" t="s">
        <v>130</v>
      </c>
      <c r="AG259" t="s">
        <v>130</v>
      </c>
      <c r="AH259">
        <v>112.8</v>
      </c>
    </row>
    <row r="260" spans="1:34" x14ac:dyDescent="0.3">
      <c r="A260" s="4">
        <v>426</v>
      </c>
      <c r="B260" s="5">
        <v>253</v>
      </c>
      <c r="C260">
        <v>15147</v>
      </c>
      <c r="D260" t="s">
        <v>11409</v>
      </c>
      <c r="E260" t="s">
        <v>41</v>
      </c>
      <c r="F260" t="s">
        <v>6216</v>
      </c>
      <c r="G260" t="s">
        <v>11410</v>
      </c>
      <c r="H260">
        <v>19.98</v>
      </c>
      <c r="I260">
        <v>0</v>
      </c>
      <c r="J260">
        <v>0</v>
      </c>
      <c r="K260">
        <v>28</v>
      </c>
      <c r="L260">
        <v>7</v>
      </c>
      <c r="O260">
        <v>7</v>
      </c>
      <c r="P260">
        <v>4</v>
      </c>
      <c r="Q260">
        <v>2</v>
      </c>
      <c r="R260">
        <v>60.98</v>
      </c>
      <c r="S260">
        <v>51</v>
      </c>
      <c r="T260">
        <v>51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51</v>
      </c>
      <c r="AB260">
        <v>0</v>
      </c>
      <c r="AC260">
        <v>0</v>
      </c>
      <c r="AG260" t="s">
        <v>130</v>
      </c>
      <c r="AH260">
        <v>111.98</v>
      </c>
    </row>
    <row r="261" spans="1:34" x14ac:dyDescent="0.3">
      <c r="A261" s="4">
        <v>427</v>
      </c>
      <c r="B261" s="5">
        <v>254</v>
      </c>
      <c r="C261">
        <v>7223</v>
      </c>
      <c r="D261" t="s">
        <v>11411</v>
      </c>
      <c r="E261" t="s">
        <v>20</v>
      </c>
      <c r="F261" t="s">
        <v>34</v>
      </c>
      <c r="G261" t="s">
        <v>11412</v>
      </c>
      <c r="H261">
        <v>18.93</v>
      </c>
      <c r="I261">
        <v>0</v>
      </c>
      <c r="J261">
        <v>0</v>
      </c>
      <c r="K261">
        <v>20</v>
      </c>
      <c r="L261">
        <v>7</v>
      </c>
      <c r="M261">
        <v>5</v>
      </c>
      <c r="O261">
        <v>12</v>
      </c>
      <c r="P261">
        <v>4</v>
      </c>
      <c r="Q261">
        <v>0</v>
      </c>
      <c r="R261">
        <v>54.93</v>
      </c>
      <c r="S261">
        <v>57</v>
      </c>
      <c r="T261">
        <v>57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57</v>
      </c>
      <c r="AB261">
        <v>0</v>
      </c>
      <c r="AC261">
        <v>0</v>
      </c>
      <c r="AD261" t="s">
        <v>130</v>
      </c>
      <c r="AG261" t="s">
        <v>130</v>
      </c>
      <c r="AH261">
        <v>111.93</v>
      </c>
    </row>
    <row r="262" spans="1:34" x14ac:dyDescent="0.3">
      <c r="A262" s="4">
        <v>428</v>
      </c>
      <c r="B262" s="5">
        <v>255</v>
      </c>
      <c r="C262">
        <v>12438</v>
      </c>
      <c r="D262" t="s">
        <v>11413</v>
      </c>
      <c r="E262" t="s">
        <v>115</v>
      </c>
      <c r="F262" t="s">
        <v>782</v>
      </c>
      <c r="G262" t="s">
        <v>11414</v>
      </c>
      <c r="H262">
        <v>19.68</v>
      </c>
      <c r="I262">
        <v>0</v>
      </c>
      <c r="J262">
        <v>40</v>
      </c>
      <c r="K262">
        <v>20</v>
      </c>
      <c r="L262">
        <v>14</v>
      </c>
      <c r="O262">
        <v>14</v>
      </c>
      <c r="P262">
        <v>0</v>
      </c>
      <c r="Q262">
        <v>0</v>
      </c>
      <c r="R262">
        <v>93.68</v>
      </c>
      <c r="S262">
        <v>18</v>
      </c>
      <c r="T262">
        <v>18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18</v>
      </c>
      <c r="AB262">
        <v>0</v>
      </c>
      <c r="AC262">
        <v>0</v>
      </c>
      <c r="AG262" t="s">
        <v>130</v>
      </c>
      <c r="AH262">
        <v>111.68</v>
      </c>
    </row>
    <row r="263" spans="1:34" x14ac:dyDescent="0.3">
      <c r="A263" s="4">
        <v>429</v>
      </c>
      <c r="B263" s="5">
        <v>256</v>
      </c>
      <c r="C263">
        <v>8075</v>
      </c>
      <c r="D263" t="s">
        <v>11415</v>
      </c>
      <c r="E263" t="s">
        <v>471</v>
      </c>
      <c r="F263" t="s">
        <v>17</v>
      </c>
      <c r="G263" t="s">
        <v>11416</v>
      </c>
      <c r="H263">
        <v>18</v>
      </c>
      <c r="I263">
        <v>0</v>
      </c>
      <c r="J263">
        <v>0</v>
      </c>
      <c r="K263">
        <v>20</v>
      </c>
      <c r="L263">
        <v>7</v>
      </c>
      <c r="N263">
        <v>3</v>
      </c>
      <c r="O263">
        <v>10</v>
      </c>
      <c r="P263">
        <v>4</v>
      </c>
      <c r="Q263">
        <v>2</v>
      </c>
      <c r="R263">
        <v>54</v>
      </c>
      <c r="S263">
        <v>57</v>
      </c>
      <c r="T263">
        <v>57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57</v>
      </c>
      <c r="AB263">
        <v>0</v>
      </c>
      <c r="AC263">
        <v>0</v>
      </c>
      <c r="AG263" t="s">
        <v>130</v>
      </c>
      <c r="AH263">
        <v>111</v>
      </c>
    </row>
    <row r="264" spans="1:34" x14ac:dyDescent="0.3">
      <c r="A264" s="4">
        <v>430</v>
      </c>
      <c r="B264" s="5">
        <v>257</v>
      </c>
      <c r="C264">
        <v>12866</v>
      </c>
      <c r="D264" t="s">
        <v>11417</v>
      </c>
      <c r="E264" t="s">
        <v>29</v>
      </c>
      <c r="F264" t="s">
        <v>243</v>
      </c>
      <c r="G264" t="s">
        <v>11418</v>
      </c>
      <c r="H264">
        <v>17.88</v>
      </c>
      <c r="I264">
        <v>0</v>
      </c>
      <c r="J264">
        <v>0</v>
      </c>
      <c r="K264">
        <v>20</v>
      </c>
      <c r="L264">
        <v>7</v>
      </c>
      <c r="N264">
        <v>3</v>
      </c>
      <c r="O264">
        <v>10</v>
      </c>
      <c r="P264">
        <v>4</v>
      </c>
      <c r="Q264">
        <v>2</v>
      </c>
      <c r="R264">
        <v>53.88</v>
      </c>
      <c r="S264">
        <v>54</v>
      </c>
      <c r="T264">
        <v>54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54</v>
      </c>
      <c r="AB264">
        <v>3</v>
      </c>
      <c r="AC264">
        <v>0</v>
      </c>
      <c r="AG264" t="s">
        <v>130</v>
      </c>
      <c r="AH264">
        <v>110.88</v>
      </c>
    </row>
    <row r="265" spans="1:34" x14ac:dyDescent="0.3">
      <c r="A265" s="4">
        <v>431</v>
      </c>
      <c r="B265" s="5">
        <v>258</v>
      </c>
      <c r="C265">
        <v>8432</v>
      </c>
      <c r="D265" t="s">
        <v>11419</v>
      </c>
      <c r="E265" t="s">
        <v>1874</v>
      </c>
      <c r="F265" t="s">
        <v>17</v>
      </c>
      <c r="G265" t="s">
        <v>11420</v>
      </c>
      <c r="H265">
        <v>19.63</v>
      </c>
      <c r="I265">
        <v>0</v>
      </c>
      <c r="J265">
        <v>0</v>
      </c>
      <c r="K265">
        <v>20</v>
      </c>
      <c r="L265">
        <v>7</v>
      </c>
      <c r="N265">
        <v>3</v>
      </c>
      <c r="O265">
        <v>10</v>
      </c>
      <c r="P265">
        <v>4</v>
      </c>
      <c r="Q265">
        <v>2</v>
      </c>
      <c r="R265">
        <v>55.63</v>
      </c>
      <c r="S265">
        <v>55</v>
      </c>
      <c r="T265">
        <v>55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55</v>
      </c>
      <c r="AB265">
        <v>0</v>
      </c>
      <c r="AC265">
        <v>0</v>
      </c>
      <c r="AG265" t="s">
        <v>130</v>
      </c>
      <c r="AH265">
        <v>110.63</v>
      </c>
    </row>
    <row r="266" spans="1:34" x14ac:dyDescent="0.3">
      <c r="A266" s="4">
        <v>434</v>
      </c>
      <c r="B266" s="5">
        <v>259</v>
      </c>
      <c r="C266">
        <v>5958</v>
      </c>
      <c r="D266" t="s">
        <v>5712</v>
      </c>
      <c r="E266" t="s">
        <v>26</v>
      </c>
      <c r="F266" t="s">
        <v>136</v>
      </c>
      <c r="G266" t="s">
        <v>11421</v>
      </c>
      <c r="H266">
        <v>19.05</v>
      </c>
      <c r="I266">
        <v>0</v>
      </c>
      <c r="J266">
        <v>0</v>
      </c>
      <c r="K266">
        <v>20</v>
      </c>
      <c r="L266">
        <v>7</v>
      </c>
      <c r="O266">
        <v>7</v>
      </c>
      <c r="P266">
        <v>0</v>
      </c>
      <c r="Q266">
        <v>2</v>
      </c>
      <c r="R266">
        <v>48.05</v>
      </c>
      <c r="S266">
        <v>62</v>
      </c>
      <c r="T266">
        <v>62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62</v>
      </c>
      <c r="AB266">
        <v>0</v>
      </c>
      <c r="AC266">
        <v>0</v>
      </c>
      <c r="AG266" t="s">
        <v>130</v>
      </c>
      <c r="AH266">
        <v>110.05</v>
      </c>
    </row>
    <row r="267" spans="1:34" x14ac:dyDescent="0.3">
      <c r="A267" s="4">
        <v>436</v>
      </c>
      <c r="B267" s="5">
        <v>260</v>
      </c>
      <c r="C267">
        <v>15259</v>
      </c>
      <c r="D267" t="s">
        <v>11422</v>
      </c>
      <c r="E267" t="s">
        <v>143</v>
      </c>
      <c r="F267" t="s">
        <v>20</v>
      </c>
      <c r="G267" t="s">
        <v>11423</v>
      </c>
      <c r="H267">
        <v>17.899999999999999</v>
      </c>
      <c r="I267">
        <v>0</v>
      </c>
      <c r="J267">
        <v>0</v>
      </c>
      <c r="K267">
        <v>20</v>
      </c>
      <c r="L267">
        <v>7</v>
      </c>
      <c r="O267">
        <v>7</v>
      </c>
      <c r="P267">
        <v>4</v>
      </c>
      <c r="Q267">
        <v>0</v>
      </c>
      <c r="R267">
        <v>48.9</v>
      </c>
      <c r="S267">
        <v>58</v>
      </c>
      <c r="T267">
        <v>58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58</v>
      </c>
      <c r="AB267">
        <v>3</v>
      </c>
      <c r="AC267">
        <v>0</v>
      </c>
      <c r="AG267" t="s">
        <v>130</v>
      </c>
      <c r="AH267">
        <v>109.9</v>
      </c>
    </row>
    <row r="268" spans="1:34" x14ac:dyDescent="0.3">
      <c r="A268" s="4">
        <v>437</v>
      </c>
      <c r="B268" s="5">
        <v>261</v>
      </c>
      <c r="C268">
        <v>3877</v>
      </c>
      <c r="D268" t="s">
        <v>3181</v>
      </c>
      <c r="E268" t="s">
        <v>37</v>
      </c>
      <c r="F268" t="s">
        <v>214</v>
      </c>
      <c r="G268" t="s">
        <v>11424</v>
      </c>
      <c r="H268">
        <v>18.75</v>
      </c>
      <c r="I268">
        <v>0</v>
      </c>
      <c r="J268">
        <v>0</v>
      </c>
      <c r="K268">
        <v>20</v>
      </c>
      <c r="L268">
        <v>7</v>
      </c>
      <c r="O268">
        <v>7</v>
      </c>
      <c r="P268">
        <v>4</v>
      </c>
      <c r="Q268">
        <v>0</v>
      </c>
      <c r="R268">
        <v>49.75</v>
      </c>
      <c r="S268">
        <v>60</v>
      </c>
      <c r="T268">
        <v>60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60</v>
      </c>
      <c r="AB268">
        <v>0</v>
      </c>
      <c r="AC268">
        <v>0</v>
      </c>
      <c r="AG268" t="s">
        <v>130</v>
      </c>
      <c r="AH268">
        <v>109.75</v>
      </c>
    </row>
    <row r="269" spans="1:34" x14ac:dyDescent="0.3">
      <c r="A269" s="4">
        <v>438</v>
      </c>
      <c r="B269" s="5">
        <v>262</v>
      </c>
      <c r="C269">
        <v>5360</v>
      </c>
      <c r="D269" t="s">
        <v>11425</v>
      </c>
      <c r="E269" t="s">
        <v>110</v>
      </c>
      <c r="F269" t="s">
        <v>34</v>
      </c>
      <c r="G269" t="s">
        <v>11426</v>
      </c>
      <c r="H269">
        <v>20.58</v>
      </c>
      <c r="I269">
        <v>0</v>
      </c>
      <c r="J269">
        <v>0</v>
      </c>
      <c r="K269">
        <v>20</v>
      </c>
      <c r="L269">
        <v>7</v>
      </c>
      <c r="N269">
        <v>3</v>
      </c>
      <c r="O269">
        <v>10</v>
      </c>
      <c r="P269">
        <v>4</v>
      </c>
      <c r="Q269">
        <v>2</v>
      </c>
      <c r="R269">
        <v>56.58</v>
      </c>
      <c r="S269">
        <v>53</v>
      </c>
      <c r="T269">
        <v>53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53</v>
      </c>
      <c r="AB269">
        <v>0</v>
      </c>
      <c r="AC269">
        <v>0</v>
      </c>
      <c r="AG269" t="s">
        <v>130</v>
      </c>
      <c r="AH269">
        <v>109.58</v>
      </c>
    </row>
    <row r="270" spans="1:34" x14ac:dyDescent="0.3">
      <c r="A270" s="4">
        <v>439</v>
      </c>
      <c r="B270" s="5">
        <v>263</v>
      </c>
      <c r="C270">
        <v>7436</v>
      </c>
      <c r="D270" t="s">
        <v>11427</v>
      </c>
      <c r="E270" t="s">
        <v>29</v>
      </c>
      <c r="F270" t="s">
        <v>68</v>
      </c>
      <c r="G270" t="s">
        <v>11428</v>
      </c>
      <c r="H270">
        <v>18.25</v>
      </c>
      <c r="I270">
        <v>0</v>
      </c>
      <c r="J270">
        <v>0</v>
      </c>
      <c r="K270">
        <v>20</v>
      </c>
      <c r="L270">
        <v>7</v>
      </c>
      <c r="M270">
        <v>5</v>
      </c>
      <c r="O270">
        <v>12</v>
      </c>
      <c r="P270">
        <v>4</v>
      </c>
      <c r="Q270">
        <v>2</v>
      </c>
      <c r="R270">
        <v>56.25</v>
      </c>
      <c r="S270">
        <v>53</v>
      </c>
      <c r="T270">
        <v>53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53</v>
      </c>
      <c r="AB270">
        <v>0</v>
      </c>
      <c r="AC270">
        <v>0</v>
      </c>
      <c r="AD270" t="s">
        <v>130</v>
      </c>
      <c r="AG270" t="s">
        <v>130</v>
      </c>
      <c r="AH270">
        <v>109.25</v>
      </c>
    </row>
    <row r="271" spans="1:34" x14ac:dyDescent="0.3">
      <c r="A271" s="4">
        <v>441</v>
      </c>
      <c r="B271" s="5">
        <v>264</v>
      </c>
      <c r="C271">
        <v>9554</v>
      </c>
      <c r="D271" t="s">
        <v>11429</v>
      </c>
      <c r="E271" t="s">
        <v>41</v>
      </c>
      <c r="F271" t="s">
        <v>17</v>
      </c>
      <c r="G271" t="s">
        <v>11430</v>
      </c>
      <c r="H271">
        <v>20.03</v>
      </c>
      <c r="I271">
        <v>0</v>
      </c>
      <c r="J271">
        <v>0</v>
      </c>
      <c r="K271">
        <v>20</v>
      </c>
      <c r="L271">
        <v>14</v>
      </c>
      <c r="O271">
        <v>14</v>
      </c>
      <c r="P271">
        <v>4</v>
      </c>
      <c r="Q271">
        <v>0</v>
      </c>
      <c r="R271">
        <v>58.03</v>
      </c>
      <c r="S271">
        <v>45</v>
      </c>
      <c r="T271">
        <v>45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45</v>
      </c>
      <c r="AB271">
        <v>6</v>
      </c>
      <c r="AC271">
        <v>0</v>
      </c>
      <c r="AG271" t="s">
        <v>130</v>
      </c>
      <c r="AH271">
        <v>109.03</v>
      </c>
    </row>
    <row r="272" spans="1:34" x14ac:dyDescent="0.3">
      <c r="A272" s="4">
        <v>442</v>
      </c>
      <c r="B272" s="5">
        <v>265</v>
      </c>
      <c r="C272">
        <v>12933</v>
      </c>
      <c r="D272" t="s">
        <v>11431</v>
      </c>
      <c r="E272" t="s">
        <v>385</v>
      </c>
      <c r="F272" t="s">
        <v>117</v>
      </c>
      <c r="G272" t="s">
        <v>11432</v>
      </c>
      <c r="H272">
        <v>17.63</v>
      </c>
      <c r="I272">
        <v>0</v>
      </c>
      <c r="J272">
        <v>0</v>
      </c>
      <c r="K272">
        <v>20</v>
      </c>
      <c r="N272">
        <v>3</v>
      </c>
      <c r="O272">
        <v>3</v>
      </c>
      <c r="P272">
        <v>4</v>
      </c>
      <c r="Q272">
        <v>0</v>
      </c>
      <c r="R272">
        <v>44.63</v>
      </c>
      <c r="S272">
        <v>64</v>
      </c>
      <c r="T272">
        <v>64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64</v>
      </c>
      <c r="AB272">
        <v>0</v>
      </c>
      <c r="AC272">
        <v>0</v>
      </c>
      <c r="AG272" t="s">
        <v>130</v>
      </c>
      <c r="AH272">
        <v>108.63</v>
      </c>
    </row>
    <row r="273" spans="1:34" x14ac:dyDescent="0.3">
      <c r="A273" s="4">
        <v>444</v>
      </c>
      <c r="B273" s="5">
        <v>266</v>
      </c>
      <c r="C273">
        <v>12138</v>
      </c>
      <c r="D273" t="s">
        <v>3849</v>
      </c>
      <c r="E273" t="s">
        <v>1576</v>
      </c>
      <c r="F273" t="s">
        <v>1526</v>
      </c>
      <c r="G273" t="s">
        <v>11433</v>
      </c>
      <c r="H273">
        <v>17.399999999999999</v>
      </c>
      <c r="I273">
        <v>0</v>
      </c>
      <c r="J273">
        <v>0</v>
      </c>
      <c r="K273">
        <v>20</v>
      </c>
      <c r="L273">
        <v>7</v>
      </c>
      <c r="O273">
        <v>7</v>
      </c>
      <c r="P273">
        <v>4</v>
      </c>
      <c r="Q273">
        <v>0</v>
      </c>
      <c r="R273">
        <v>48.4</v>
      </c>
      <c r="S273">
        <v>57</v>
      </c>
      <c r="T273">
        <v>57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57</v>
      </c>
      <c r="AB273">
        <v>3</v>
      </c>
      <c r="AC273">
        <v>0</v>
      </c>
      <c r="AG273" t="s">
        <v>130</v>
      </c>
      <c r="AH273">
        <v>108.4</v>
      </c>
    </row>
    <row r="274" spans="1:34" x14ac:dyDescent="0.3">
      <c r="A274" s="4">
        <v>445</v>
      </c>
      <c r="B274" s="5">
        <v>267</v>
      </c>
      <c r="C274">
        <v>13560</v>
      </c>
      <c r="D274" t="s">
        <v>11434</v>
      </c>
      <c r="E274" t="s">
        <v>34</v>
      </c>
      <c r="F274" t="s">
        <v>11435</v>
      </c>
      <c r="G274" t="s">
        <v>11436</v>
      </c>
      <c r="H274">
        <v>16.3</v>
      </c>
      <c r="I274">
        <v>0</v>
      </c>
      <c r="J274">
        <v>0</v>
      </c>
      <c r="K274">
        <v>20</v>
      </c>
      <c r="L274">
        <v>7</v>
      </c>
      <c r="M274">
        <v>5</v>
      </c>
      <c r="O274">
        <v>12</v>
      </c>
      <c r="P274">
        <v>4</v>
      </c>
      <c r="Q274">
        <v>2</v>
      </c>
      <c r="R274">
        <v>54.3</v>
      </c>
      <c r="S274">
        <v>54</v>
      </c>
      <c r="T274">
        <v>54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54</v>
      </c>
      <c r="AB274">
        <v>0</v>
      </c>
      <c r="AC274">
        <v>0</v>
      </c>
      <c r="AG274" t="s">
        <v>130</v>
      </c>
      <c r="AH274">
        <v>108.3</v>
      </c>
    </row>
    <row r="275" spans="1:34" x14ac:dyDescent="0.3">
      <c r="A275" s="4">
        <v>446</v>
      </c>
      <c r="B275" s="5">
        <v>268</v>
      </c>
      <c r="C275">
        <v>8158</v>
      </c>
      <c r="D275" t="s">
        <v>11437</v>
      </c>
      <c r="E275" t="s">
        <v>149</v>
      </c>
      <c r="F275" t="s">
        <v>17</v>
      </c>
      <c r="G275" t="s">
        <v>11438</v>
      </c>
      <c r="H275">
        <v>15.13</v>
      </c>
      <c r="I275">
        <v>0</v>
      </c>
      <c r="J275">
        <v>0</v>
      </c>
      <c r="K275">
        <v>20</v>
      </c>
      <c r="L275">
        <v>7</v>
      </c>
      <c r="O275">
        <v>7</v>
      </c>
      <c r="P275">
        <v>4</v>
      </c>
      <c r="Q275">
        <v>2</v>
      </c>
      <c r="R275">
        <v>48.13</v>
      </c>
      <c r="S275">
        <v>60</v>
      </c>
      <c r="T275">
        <v>60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60</v>
      </c>
      <c r="AB275">
        <v>0</v>
      </c>
      <c r="AC275">
        <v>0</v>
      </c>
      <c r="AG275" t="s">
        <v>130</v>
      </c>
      <c r="AH275">
        <v>108.13</v>
      </c>
    </row>
    <row r="276" spans="1:34" x14ac:dyDescent="0.3">
      <c r="A276" s="4">
        <v>447</v>
      </c>
      <c r="B276" s="5">
        <v>269</v>
      </c>
      <c r="C276">
        <v>1922</v>
      </c>
      <c r="D276" t="s">
        <v>11439</v>
      </c>
      <c r="E276" t="s">
        <v>29</v>
      </c>
      <c r="F276" t="s">
        <v>7576</v>
      </c>
      <c r="G276" t="s">
        <v>11440</v>
      </c>
      <c r="H276">
        <v>20.23</v>
      </c>
      <c r="I276">
        <v>0</v>
      </c>
      <c r="J276">
        <v>0</v>
      </c>
      <c r="K276">
        <v>20</v>
      </c>
      <c r="L276">
        <v>7</v>
      </c>
      <c r="O276">
        <v>7</v>
      </c>
      <c r="P276">
        <v>4</v>
      </c>
      <c r="Q276">
        <v>2</v>
      </c>
      <c r="R276">
        <v>53.23</v>
      </c>
      <c r="S276">
        <v>46</v>
      </c>
      <c r="T276">
        <v>46</v>
      </c>
      <c r="U276">
        <v>1</v>
      </c>
      <c r="V276">
        <v>2</v>
      </c>
      <c r="W276">
        <v>0</v>
      </c>
      <c r="X276">
        <v>0</v>
      </c>
      <c r="Y276">
        <v>0</v>
      </c>
      <c r="Z276">
        <v>0</v>
      </c>
      <c r="AA276">
        <v>48</v>
      </c>
      <c r="AB276">
        <v>6</v>
      </c>
      <c r="AC276">
        <v>0</v>
      </c>
      <c r="AG276" t="s">
        <v>130</v>
      </c>
      <c r="AH276">
        <v>107.23</v>
      </c>
    </row>
    <row r="277" spans="1:34" x14ac:dyDescent="0.3">
      <c r="A277" s="4">
        <v>448</v>
      </c>
      <c r="B277" s="5">
        <v>270</v>
      </c>
      <c r="C277">
        <v>1805</v>
      </c>
      <c r="D277" t="s">
        <v>11441</v>
      </c>
      <c r="E277" t="s">
        <v>594</v>
      </c>
      <c r="F277" t="s">
        <v>117</v>
      </c>
      <c r="G277" t="s">
        <v>11442</v>
      </c>
      <c r="H277">
        <v>20.23</v>
      </c>
      <c r="I277">
        <v>0</v>
      </c>
      <c r="J277">
        <v>0</v>
      </c>
      <c r="K277">
        <v>20</v>
      </c>
      <c r="L277">
        <v>7</v>
      </c>
      <c r="O277">
        <v>7</v>
      </c>
      <c r="P277">
        <v>4</v>
      </c>
      <c r="Q277">
        <v>2</v>
      </c>
      <c r="R277">
        <v>53.23</v>
      </c>
      <c r="S277">
        <v>54</v>
      </c>
      <c r="T277">
        <v>54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54</v>
      </c>
      <c r="AB277">
        <v>0</v>
      </c>
      <c r="AC277">
        <v>0</v>
      </c>
      <c r="AG277" t="s">
        <v>130</v>
      </c>
      <c r="AH277">
        <v>107.23</v>
      </c>
    </row>
    <row r="278" spans="1:34" x14ac:dyDescent="0.3">
      <c r="A278" s="4">
        <v>450</v>
      </c>
      <c r="B278" s="5">
        <v>271</v>
      </c>
      <c r="C278">
        <v>7861</v>
      </c>
      <c r="D278" t="s">
        <v>11444</v>
      </c>
      <c r="E278" t="s">
        <v>11445</v>
      </c>
      <c r="F278" t="s">
        <v>442</v>
      </c>
      <c r="G278" t="s">
        <v>11446</v>
      </c>
      <c r="H278">
        <v>18.73</v>
      </c>
      <c r="I278">
        <v>0</v>
      </c>
      <c r="J278">
        <v>40</v>
      </c>
      <c r="K278">
        <v>20</v>
      </c>
      <c r="L278">
        <v>7</v>
      </c>
      <c r="O278">
        <v>7</v>
      </c>
      <c r="P278">
        <v>0</v>
      </c>
      <c r="Q278">
        <v>0</v>
      </c>
      <c r="R278">
        <v>85.73</v>
      </c>
      <c r="S278">
        <v>18</v>
      </c>
      <c r="T278">
        <v>18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18</v>
      </c>
      <c r="AB278">
        <v>3</v>
      </c>
      <c r="AC278">
        <v>0</v>
      </c>
      <c r="AG278" t="s">
        <v>130</v>
      </c>
      <c r="AH278">
        <v>106.73</v>
      </c>
    </row>
    <row r="279" spans="1:34" x14ac:dyDescent="0.3">
      <c r="A279" s="4">
        <v>451</v>
      </c>
      <c r="B279" s="5">
        <v>272</v>
      </c>
      <c r="C279">
        <v>947</v>
      </c>
      <c r="D279" t="s">
        <v>11447</v>
      </c>
      <c r="E279" t="s">
        <v>88</v>
      </c>
      <c r="F279" t="s">
        <v>416</v>
      </c>
      <c r="G279" t="s">
        <v>11448</v>
      </c>
      <c r="H279">
        <v>20.68</v>
      </c>
      <c r="I279">
        <v>0</v>
      </c>
      <c r="J279">
        <v>0</v>
      </c>
      <c r="K279">
        <v>20</v>
      </c>
      <c r="L279">
        <v>7</v>
      </c>
      <c r="O279">
        <v>7</v>
      </c>
      <c r="P279">
        <v>4</v>
      </c>
      <c r="Q279">
        <v>2</v>
      </c>
      <c r="R279">
        <v>53.68</v>
      </c>
      <c r="S279">
        <v>53</v>
      </c>
      <c r="T279">
        <v>53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53</v>
      </c>
      <c r="AB279">
        <v>0</v>
      </c>
      <c r="AC279">
        <v>0</v>
      </c>
      <c r="AG279" t="s">
        <v>130</v>
      </c>
      <c r="AH279">
        <v>106.68</v>
      </c>
    </row>
    <row r="280" spans="1:34" x14ac:dyDescent="0.3">
      <c r="A280" s="4">
        <v>452</v>
      </c>
      <c r="B280" s="5">
        <v>273</v>
      </c>
      <c r="C280">
        <v>8652</v>
      </c>
      <c r="D280" t="s">
        <v>11449</v>
      </c>
      <c r="E280" t="s">
        <v>349</v>
      </c>
      <c r="F280" t="s">
        <v>4370</v>
      </c>
      <c r="G280" t="s">
        <v>11450</v>
      </c>
      <c r="H280">
        <v>19.38</v>
      </c>
      <c r="I280">
        <v>0</v>
      </c>
      <c r="J280">
        <v>0</v>
      </c>
      <c r="K280">
        <v>20</v>
      </c>
      <c r="N280">
        <v>3</v>
      </c>
      <c r="O280">
        <v>3</v>
      </c>
      <c r="P280">
        <v>4</v>
      </c>
      <c r="Q280">
        <v>0</v>
      </c>
      <c r="R280">
        <v>46.38</v>
      </c>
      <c r="S280">
        <v>60</v>
      </c>
      <c r="T280">
        <v>60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60</v>
      </c>
      <c r="AB280">
        <v>0</v>
      </c>
      <c r="AC280">
        <v>0</v>
      </c>
      <c r="AG280" t="s">
        <v>130</v>
      </c>
      <c r="AH280">
        <v>106.38</v>
      </c>
    </row>
    <row r="281" spans="1:34" x14ac:dyDescent="0.3">
      <c r="A281" s="4">
        <v>453</v>
      </c>
      <c r="B281" s="5">
        <v>274</v>
      </c>
      <c r="C281">
        <v>8327</v>
      </c>
      <c r="D281" t="s">
        <v>11451</v>
      </c>
      <c r="E281" t="s">
        <v>11452</v>
      </c>
      <c r="F281" t="s">
        <v>17</v>
      </c>
      <c r="G281" t="s">
        <v>11453</v>
      </c>
      <c r="H281">
        <v>20.149999999999999</v>
      </c>
      <c r="I281">
        <v>0</v>
      </c>
      <c r="J281">
        <v>0</v>
      </c>
      <c r="K281">
        <v>20</v>
      </c>
      <c r="L281">
        <v>7</v>
      </c>
      <c r="M281">
        <v>5</v>
      </c>
      <c r="O281">
        <v>12</v>
      </c>
      <c r="P281">
        <v>4</v>
      </c>
      <c r="Q281">
        <v>0</v>
      </c>
      <c r="R281">
        <v>56.15</v>
      </c>
      <c r="S281">
        <v>44</v>
      </c>
      <c r="T281">
        <v>44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44</v>
      </c>
      <c r="AB281">
        <v>6</v>
      </c>
      <c r="AC281">
        <v>0</v>
      </c>
      <c r="AG281" t="s">
        <v>130</v>
      </c>
      <c r="AH281">
        <v>106.15</v>
      </c>
    </row>
    <row r="282" spans="1:34" x14ac:dyDescent="0.3">
      <c r="A282" s="4">
        <v>454</v>
      </c>
      <c r="B282" s="5">
        <v>275</v>
      </c>
      <c r="C282">
        <v>7725</v>
      </c>
      <c r="D282" t="s">
        <v>2043</v>
      </c>
      <c r="E282" t="s">
        <v>132</v>
      </c>
      <c r="F282" t="s">
        <v>20</v>
      </c>
      <c r="G282" t="s">
        <v>11454</v>
      </c>
      <c r="H282">
        <v>19.93</v>
      </c>
      <c r="I282">
        <v>0</v>
      </c>
      <c r="J282">
        <v>0</v>
      </c>
      <c r="K282">
        <v>20</v>
      </c>
      <c r="L282">
        <v>14</v>
      </c>
      <c r="O282">
        <v>14</v>
      </c>
      <c r="P282">
        <v>4</v>
      </c>
      <c r="Q282">
        <v>2</v>
      </c>
      <c r="R282">
        <v>59.93</v>
      </c>
      <c r="S282">
        <v>46</v>
      </c>
      <c r="T282">
        <v>46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46</v>
      </c>
      <c r="AB282">
        <v>0</v>
      </c>
      <c r="AC282">
        <v>0</v>
      </c>
      <c r="AG282" t="s">
        <v>130</v>
      </c>
      <c r="AH282">
        <v>105.93</v>
      </c>
    </row>
    <row r="283" spans="1:34" x14ac:dyDescent="0.3">
      <c r="A283" s="4">
        <v>455</v>
      </c>
      <c r="B283" s="5">
        <v>276</v>
      </c>
      <c r="C283">
        <v>8732</v>
      </c>
      <c r="D283" t="s">
        <v>11455</v>
      </c>
      <c r="E283" t="s">
        <v>54</v>
      </c>
      <c r="F283" t="s">
        <v>136</v>
      </c>
      <c r="G283" t="s">
        <v>11456</v>
      </c>
      <c r="H283">
        <v>13.73</v>
      </c>
      <c r="I283">
        <v>0</v>
      </c>
      <c r="J283">
        <v>0</v>
      </c>
      <c r="K283">
        <v>20</v>
      </c>
      <c r="L283">
        <v>7</v>
      </c>
      <c r="O283">
        <v>7</v>
      </c>
      <c r="P283">
        <v>4</v>
      </c>
      <c r="Q283">
        <v>2</v>
      </c>
      <c r="R283">
        <v>46.73</v>
      </c>
      <c r="S283">
        <v>56</v>
      </c>
      <c r="T283">
        <v>56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56</v>
      </c>
      <c r="AB283">
        <v>3</v>
      </c>
      <c r="AC283">
        <v>0</v>
      </c>
      <c r="AD283" t="s">
        <v>130</v>
      </c>
      <c r="AG283" t="s">
        <v>130</v>
      </c>
      <c r="AH283">
        <v>105.73</v>
      </c>
    </row>
    <row r="284" spans="1:34" x14ac:dyDescent="0.3">
      <c r="A284" s="4">
        <v>456</v>
      </c>
      <c r="B284" s="5">
        <v>277</v>
      </c>
      <c r="C284">
        <v>7825</v>
      </c>
      <c r="D284" t="s">
        <v>11457</v>
      </c>
      <c r="E284" t="s">
        <v>182</v>
      </c>
      <c r="F284" t="s">
        <v>782</v>
      </c>
      <c r="G284" t="s">
        <v>11458</v>
      </c>
      <c r="H284">
        <v>18.38</v>
      </c>
      <c r="I284">
        <v>0</v>
      </c>
      <c r="J284">
        <v>0</v>
      </c>
      <c r="K284">
        <v>20</v>
      </c>
      <c r="M284">
        <v>5</v>
      </c>
      <c r="O284">
        <v>5</v>
      </c>
      <c r="P284">
        <v>4</v>
      </c>
      <c r="Q284">
        <v>2</v>
      </c>
      <c r="R284">
        <v>49.38</v>
      </c>
      <c r="S284">
        <v>50</v>
      </c>
      <c r="T284">
        <v>50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50</v>
      </c>
      <c r="AB284">
        <v>6</v>
      </c>
      <c r="AC284">
        <v>0</v>
      </c>
      <c r="AG284" t="s">
        <v>130</v>
      </c>
      <c r="AH284">
        <v>105.38</v>
      </c>
    </row>
    <row r="285" spans="1:34" x14ac:dyDescent="0.3">
      <c r="A285" s="4">
        <v>457</v>
      </c>
      <c r="B285" s="5">
        <v>278</v>
      </c>
      <c r="C285">
        <v>8249</v>
      </c>
      <c r="D285" t="s">
        <v>11459</v>
      </c>
      <c r="E285" t="s">
        <v>161</v>
      </c>
      <c r="F285" t="s">
        <v>55</v>
      </c>
      <c r="G285" t="s">
        <v>11460</v>
      </c>
      <c r="H285">
        <v>20.25</v>
      </c>
      <c r="I285">
        <v>0</v>
      </c>
      <c r="J285">
        <v>0</v>
      </c>
      <c r="K285">
        <v>20</v>
      </c>
      <c r="L285">
        <v>7</v>
      </c>
      <c r="O285">
        <v>7</v>
      </c>
      <c r="P285">
        <v>4</v>
      </c>
      <c r="Q285">
        <v>0</v>
      </c>
      <c r="R285">
        <v>51.25</v>
      </c>
      <c r="S285">
        <v>54</v>
      </c>
      <c r="T285">
        <v>54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54</v>
      </c>
      <c r="AB285">
        <v>0</v>
      </c>
      <c r="AC285">
        <v>0</v>
      </c>
      <c r="AG285" t="s">
        <v>130</v>
      </c>
      <c r="AH285">
        <v>105.25</v>
      </c>
    </row>
    <row r="286" spans="1:34" x14ac:dyDescent="0.3">
      <c r="A286" s="4">
        <v>460</v>
      </c>
      <c r="B286" s="5">
        <v>279</v>
      </c>
      <c r="C286">
        <v>5337</v>
      </c>
      <c r="D286" t="s">
        <v>7280</v>
      </c>
      <c r="E286" t="s">
        <v>11461</v>
      </c>
      <c r="F286" t="s">
        <v>117</v>
      </c>
      <c r="G286" t="s">
        <v>11462</v>
      </c>
      <c r="H286">
        <v>20.75</v>
      </c>
      <c r="I286">
        <v>0</v>
      </c>
      <c r="J286">
        <v>0</v>
      </c>
      <c r="K286">
        <v>20</v>
      </c>
      <c r="L286">
        <v>14</v>
      </c>
      <c r="O286">
        <v>14</v>
      </c>
      <c r="P286">
        <v>4</v>
      </c>
      <c r="Q286">
        <v>0</v>
      </c>
      <c r="R286">
        <v>58.75</v>
      </c>
      <c r="S286">
        <v>46</v>
      </c>
      <c r="T286">
        <v>46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46</v>
      </c>
      <c r="AB286">
        <v>0</v>
      </c>
      <c r="AC286">
        <v>0</v>
      </c>
      <c r="AG286" t="s">
        <v>130</v>
      </c>
      <c r="AH286">
        <v>104.75</v>
      </c>
    </row>
    <row r="287" spans="1:34" x14ac:dyDescent="0.3">
      <c r="A287" s="4">
        <v>461</v>
      </c>
      <c r="B287" s="5">
        <v>280</v>
      </c>
      <c r="C287">
        <v>11510</v>
      </c>
      <c r="D287" t="s">
        <v>1896</v>
      </c>
      <c r="E287" t="s">
        <v>110</v>
      </c>
      <c r="F287" t="s">
        <v>124</v>
      </c>
      <c r="G287" t="s">
        <v>11463</v>
      </c>
      <c r="H287">
        <v>17.7</v>
      </c>
      <c r="I287">
        <v>0</v>
      </c>
      <c r="J287">
        <v>0</v>
      </c>
      <c r="K287">
        <v>20</v>
      </c>
      <c r="N287">
        <v>3</v>
      </c>
      <c r="O287">
        <v>3</v>
      </c>
      <c r="P287">
        <v>4</v>
      </c>
      <c r="Q287">
        <v>2</v>
      </c>
      <c r="R287">
        <v>46.7</v>
      </c>
      <c r="S287">
        <v>52</v>
      </c>
      <c r="T287">
        <v>52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52</v>
      </c>
      <c r="AB287">
        <v>6</v>
      </c>
      <c r="AC287">
        <v>0</v>
      </c>
      <c r="AD287" t="s">
        <v>130</v>
      </c>
      <c r="AG287" t="s">
        <v>130</v>
      </c>
      <c r="AH287">
        <v>104.7</v>
      </c>
    </row>
    <row r="288" spans="1:34" x14ac:dyDescent="0.3">
      <c r="A288" s="4">
        <v>462</v>
      </c>
      <c r="B288" s="5">
        <v>281</v>
      </c>
      <c r="C288">
        <v>2424</v>
      </c>
      <c r="D288" t="s">
        <v>11464</v>
      </c>
      <c r="E288" t="s">
        <v>2838</v>
      </c>
      <c r="F288" t="s">
        <v>38</v>
      </c>
      <c r="G288" t="s">
        <v>11465</v>
      </c>
      <c r="H288">
        <v>18.579999999999998</v>
      </c>
      <c r="I288">
        <v>0</v>
      </c>
      <c r="J288">
        <v>0</v>
      </c>
      <c r="K288">
        <v>20</v>
      </c>
      <c r="L288">
        <v>7</v>
      </c>
      <c r="O288">
        <v>7</v>
      </c>
      <c r="P288">
        <v>4</v>
      </c>
      <c r="Q288">
        <v>0</v>
      </c>
      <c r="R288">
        <v>49.58</v>
      </c>
      <c r="S288">
        <v>49</v>
      </c>
      <c r="T288">
        <v>49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49</v>
      </c>
      <c r="AB288">
        <v>6</v>
      </c>
      <c r="AC288">
        <v>0</v>
      </c>
      <c r="AG288" t="s">
        <v>130</v>
      </c>
      <c r="AH288">
        <v>104.58</v>
      </c>
    </row>
    <row r="289" spans="1:34" x14ac:dyDescent="0.3">
      <c r="A289" s="4">
        <v>464</v>
      </c>
      <c r="B289" s="5">
        <v>282</v>
      </c>
      <c r="C289">
        <v>7820</v>
      </c>
      <c r="D289" t="s">
        <v>11466</v>
      </c>
      <c r="E289" t="s">
        <v>11467</v>
      </c>
      <c r="F289" t="s">
        <v>52</v>
      </c>
      <c r="G289" t="s">
        <v>11468</v>
      </c>
      <c r="H289">
        <v>18.43</v>
      </c>
      <c r="I289">
        <v>0</v>
      </c>
      <c r="J289">
        <v>0</v>
      </c>
      <c r="K289">
        <v>20</v>
      </c>
      <c r="N289">
        <v>3</v>
      </c>
      <c r="O289">
        <v>3</v>
      </c>
      <c r="P289">
        <v>4</v>
      </c>
      <c r="Q289">
        <v>0</v>
      </c>
      <c r="R289">
        <v>45.43</v>
      </c>
      <c r="S289">
        <v>59</v>
      </c>
      <c r="T289">
        <v>59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59</v>
      </c>
      <c r="AB289">
        <v>0</v>
      </c>
      <c r="AC289">
        <v>0</v>
      </c>
      <c r="AG289" t="s">
        <v>130</v>
      </c>
      <c r="AH289">
        <v>104.43</v>
      </c>
    </row>
    <row r="290" spans="1:34" x14ac:dyDescent="0.3">
      <c r="A290" s="4">
        <v>465</v>
      </c>
      <c r="B290" s="5">
        <v>283</v>
      </c>
      <c r="C290">
        <v>9005</v>
      </c>
      <c r="D290" t="s">
        <v>11469</v>
      </c>
      <c r="E290" t="s">
        <v>41</v>
      </c>
      <c r="F290" t="s">
        <v>17</v>
      </c>
      <c r="G290" t="s">
        <v>11470</v>
      </c>
      <c r="H290">
        <v>18.3</v>
      </c>
      <c r="I290">
        <v>0</v>
      </c>
      <c r="J290">
        <v>0</v>
      </c>
      <c r="K290">
        <v>20</v>
      </c>
      <c r="L290">
        <v>7</v>
      </c>
      <c r="O290">
        <v>7</v>
      </c>
      <c r="P290">
        <v>4</v>
      </c>
      <c r="Q290">
        <v>2</v>
      </c>
      <c r="R290">
        <v>51.3</v>
      </c>
      <c r="S290">
        <v>53</v>
      </c>
      <c r="T290">
        <v>53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53</v>
      </c>
      <c r="AB290">
        <v>0</v>
      </c>
      <c r="AC290">
        <v>0</v>
      </c>
      <c r="AD290" t="s">
        <v>130</v>
      </c>
      <c r="AG290" t="s">
        <v>130</v>
      </c>
      <c r="AH290">
        <v>104.3</v>
      </c>
    </row>
    <row r="291" spans="1:34" x14ac:dyDescent="0.3">
      <c r="A291" s="4">
        <v>466</v>
      </c>
      <c r="B291" s="5">
        <v>284</v>
      </c>
      <c r="C291">
        <v>12153</v>
      </c>
      <c r="D291" t="s">
        <v>11471</v>
      </c>
      <c r="E291" t="s">
        <v>230</v>
      </c>
      <c r="F291" t="s">
        <v>649</v>
      </c>
      <c r="G291" t="s">
        <v>11472</v>
      </c>
      <c r="H291">
        <v>17.100000000000001</v>
      </c>
      <c r="I291">
        <v>0</v>
      </c>
      <c r="J291">
        <v>0</v>
      </c>
      <c r="K291">
        <v>20</v>
      </c>
      <c r="L291">
        <v>7</v>
      </c>
      <c r="O291">
        <v>7</v>
      </c>
      <c r="P291">
        <v>4</v>
      </c>
      <c r="Q291">
        <v>2</v>
      </c>
      <c r="R291">
        <v>50.1</v>
      </c>
      <c r="S291">
        <v>54</v>
      </c>
      <c r="T291">
        <v>54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54</v>
      </c>
      <c r="AB291">
        <v>0</v>
      </c>
      <c r="AC291">
        <v>0</v>
      </c>
      <c r="AG291" t="s">
        <v>130</v>
      </c>
      <c r="AH291">
        <v>104.1</v>
      </c>
    </row>
    <row r="292" spans="1:34" x14ac:dyDescent="0.3">
      <c r="A292" s="4">
        <v>467</v>
      </c>
      <c r="B292" s="5">
        <v>285</v>
      </c>
      <c r="C292">
        <v>2628</v>
      </c>
      <c r="D292" t="s">
        <v>11473</v>
      </c>
      <c r="E292" t="s">
        <v>11474</v>
      </c>
      <c r="F292" t="s">
        <v>30</v>
      </c>
      <c r="G292" t="s">
        <v>11475</v>
      </c>
      <c r="H292">
        <v>22.93</v>
      </c>
      <c r="I292">
        <v>7</v>
      </c>
      <c r="J292">
        <v>0</v>
      </c>
      <c r="K292">
        <v>20</v>
      </c>
      <c r="L292">
        <v>14</v>
      </c>
      <c r="O292">
        <v>14</v>
      </c>
      <c r="P292">
        <v>4</v>
      </c>
      <c r="Q292">
        <v>0</v>
      </c>
      <c r="R292">
        <v>67.930000000000007</v>
      </c>
      <c r="S292">
        <v>36</v>
      </c>
      <c r="T292">
        <v>36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36</v>
      </c>
      <c r="AB292">
        <v>0</v>
      </c>
      <c r="AC292">
        <v>0</v>
      </c>
      <c r="AG292" t="s">
        <v>130</v>
      </c>
      <c r="AH292">
        <v>103.93</v>
      </c>
    </row>
    <row r="293" spans="1:34" x14ac:dyDescent="0.3">
      <c r="A293" s="4">
        <v>468</v>
      </c>
      <c r="B293" s="5">
        <v>286</v>
      </c>
      <c r="C293">
        <v>5820</v>
      </c>
      <c r="D293" t="s">
        <v>11476</v>
      </c>
      <c r="E293" t="s">
        <v>54</v>
      </c>
      <c r="F293" t="s">
        <v>81</v>
      </c>
      <c r="G293" t="s">
        <v>11477</v>
      </c>
      <c r="H293">
        <v>16.350000000000001</v>
      </c>
      <c r="I293">
        <v>0</v>
      </c>
      <c r="J293">
        <v>0</v>
      </c>
      <c r="K293">
        <v>20</v>
      </c>
      <c r="L293">
        <v>7</v>
      </c>
      <c r="N293">
        <v>3</v>
      </c>
      <c r="O293">
        <v>10</v>
      </c>
      <c r="P293">
        <v>4</v>
      </c>
      <c r="Q293">
        <v>0</v>
      </c>
      <c r="R293">
        <v>50.35</v>
      </c>
      <c r="S293">
        <v>53</v>
      </c>
      <c r="T293">
        <v>53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53</v>
      </c>
      <c r="AB293">
        <v>0</v>
      </c>
      <c r="AC293">
        <v>0</v>
      </c>
      <c r="AG293" t="s">
        <v>130</v>
      </c>
      <c r="AH293">
        <v>103.35</v>
      </c>
    </row>
    <row r="294" spans="1:34" x14ac:dyDescent="0.3">
      <c r="A294" s="4">
        <v>469</v>
      </c>
      <c r="B294" s="5">
        <v>287</v>
      </c>
      <c r="C294">
        <v>4787</v>
      </c>
      <c r="D294" t="s">
        <v>1361</v>
      </c>
      <c r="E294" t="s">
        <v>338</v>
      </c>
      <c r="F294" t="s">
        <v>136</v>
      </c>
      <c r="G294" t="s">
        <v>11478</v>
      </c>
      <c r="H294">
        <v>19.079999999999998</v>
      </c>
      <c r="I294">
        <v>0</v>
      </c>
      <c r="J294">
        <v>0</v>
      </c>
      <c r="K294">
        <v>20</v>
      </c>
      <c r="L294">
        <v>14</v>
      </c>
      <c r="O294">
        <v>14</v>
      </c>
      <c r="P294">
        <v>4</v>
      </c>
      <c r="Q294">
        <v>2</v>
      </c>
      <c r="R294">
        <v>59.08</v>
      </c>
      <c r="S294">
        <v>38</v>
      </c>
      <c r="T294">
        <v>38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38</v>
      </c>
      <c r="AB294">
        <v>6</v>
      </c>
      <c r="AC294">
        <v>0</v>
      </c>
      <c r="AG294" t="s">
        <v>130</v>
      </c>
      <c r="AH294">
        <v>103.08</v>
      </c>
    </row>
    <row r="295" spans="1:34" x14ac:dyDescent="0.3">
      <c r="A295" s="4">
        <v>470</v>
      </c>
      <c r="B295" s="5">
        <v>288</v>
      </c>
      <c r="C295">
        <v>5189</v>
      </c>
      <c r="D295" t="s">
        <v>11479</v>
      </c>
      <c r="E295" t="s">
        <v>41</v>
      </c>
      <c r="F295" t="s">
        <v>425</v>
      </c>
      <c r="G295" t="s">
        <v>11480</v>
      </c>
      <c r="H295">
        <v>21.08</v>
      </c>
      <c r="I295">
        <v>0</v>
      </c>
      <c r="J295">
        <v>0</v>
      </c>
      <c r="K295">
        <v>0</v>
      </c>
      <c r="L295">
        <v>7</v>
      </c>
      <c r="O295">
        <v>7</v>
      </c>
      <c r="P295">
        <v>4</v>
      </c>
      <c r="Q295">
        <v>2</v>
      </c>
      <c r="R295">
        <v>34.08</v>
      </c>
      <c r="S295">
        <v>63</v>
      </c>
      <c r="T295">
        <v>63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63</v>
      </c>
      <c r="AB295">
        <v>6</v>
      </c>
      <c r="AC295">
        <v>0</v>
      </c>
      <c r="AG295" t="s">
        <v>130</v>
      </c>
      <c r="AH295">
        <v>103.08</v>
      </c>
    </row>
    <row r="296" spans="1:34" x14ac:dyDescent="0.3">
      <c r="A296" s="4">
        <v>471</v>
      </c>
      <c r="B296" s="5">
        <v>289</v>
      </c>
      <c r="C296">
        <v>2941</v>
      </c>
      <c r="D296" t="s">
        <v>11343</v>
      </c>
      <c r="E296" t="s">
        <v>33</v>
      </c>
      <c r="F296" t="s">
        <v>101</v>
      </c>
      <c r="G296" t="s">
        <v>11481</v>
      </c>
      <c r="H296">
        <v>16.88</v>
      </c>
      <c r="I296">
        <v>0</v>
      </c>
      <c r="J296">
        <v>0</v>
      </c>
      <c r="K296">
        <v>28</v>
      </c>
      <c r="L296">
        <v>7</v>
      </c>
      <c r="O296">
        <v>7</v>
      </c>
      <c r="P296">
        <v>4</v>
      </c>
      <c r="Q296">
        <v>2</v>
      </c>
      <c r="R296">
        <v>57.88</v>
      </c>
      <c r="S296">
        <v>39</v>
      </c>
      <c r="T296">
        <v>39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39</v>
      </c>
      <c r="AB296">
        <v>6</v>
      </c>
      <c r="AC296">
        <v>0</v>
      </c>
      <c r="AD296" t="s">
        <v>130</v>
      </c>
      <c r="AG296" t="s">
        <v>130</v>
      </c>
      <c r="AH296">
        <v>102.88</v>
      </c>
    </row>
    <row r="297" spans="1:34" x14ac:dyDescent="0.3">
      <c r="A297" s="4">
        <v>472</v>
      </c>
      <c r="B297" s="5">
        <v>290</v>
      </c>
      <c r="C297">
        <v>3399</v>
      </c>
      <c r="D297" t="s">
        <v>5678</v>
      </c>
      <c r="E297" t="s">
        <v>110</v>
      </c>
      <c r="F297" t="s">
        <v>117</v>
      </c>
      <c r="G297" t="s">
        <v>11482</v>
      </c>
      <c r="H297">
        <v>17.45</v>
      </c>
      <c r="I297">
        <v>0</v>
      </c>
      <c r="J297">
        <v>0</v>
      </c>
      <c r="K297">
        <v>20</v>
      </c>
      <c r="L297">
        <v>14</v>
      </c>
      <c r="O297">
        <v>14</v>
      </c>
      <c r="P297">
        <v>4</v>
      </c>
      <c r="Q297">
        <v>0</v>
      </c>
      <c r="R297">
        <v>55.45</v>
      </c>
      <c r="S297">
        <v>47</v>
      </c>
      <c r="T297">
        <v>47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47</v>
      </c>
      <c r="AB297">
        <v>0</v>
      </c>
      <c r="AC297">
        <v>0</v>
      </c>
      <c r="AG297" t="s">
        <v>130</v>
      </c>
      <c r="AH297">
        <v>102.45</v>
      </c>
    </row>
    <row r="298" spans="1:34" x14ac:dyDescent="0.3">
      <c r="A298" s="4">
        <v>473</v>
      </c>
      <c r="B298" s="5">
        <v>291</v>
      </c>
      <c r="C298">
        <v>10105</v>
      </c>
      <c r="D298" t="s">
        <v>11483</v>
      </c>
      <c r="E298" t="s">
        <v>403</v>
      </c>
      <c r="F298" t="s">
        <v>328</v>
      </c>
      <c r="G298" t="s">
        <v>11484</v>
      </c>
      <c r="H298">
        <v>20.100000000000001</v>
      </c>
      <c r="I298">
        <v>0</v>
      </c>
      <c r="J298">
        <v>0</v>
      </c>
      <c r="K298">
        <v>20</v>
      </c>
      <c r="N298">
        <v>3</v>
      </c>
      <c r="O298">
        <v>3</v>
      </c>
      <c r="P298">
        <v>4</v>
      </c>
      <c r="Q298">
        <v>2</v>
      </c>
      <c r="R298">
        <v>49.1</v>
      </c>
      <c r="S298">
        <v>53</v>
      </c>
      <c r="T298">
        <v>53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53</v>
      </c>
      <c r="AB298">
        <v>0</v>
      </c>
      <c r="AC298">
        <v>0</v>
      </c>
      <c r="AG298" t="s">
        <v>130</v>
      </c>
      <c r="AH298">
        <v>102.1</v>
      </c>
    </row>
    <row r="299" spans="1:34" x14ac:dyDescent="0.3">
      <c r="A299" s="4">
        <v>474</v>
      </c>
      <c r="B299" s="5">
        <v>292</v>
      </c>
      <c r="C299">
        <v>8850</v>
      </c>
      <c r="D299" t="s">
        <v>11485</v>
      </c>
      <c r="E299" t="s">
        <v>1371</v>
      </c>
      <c r="F299" t="s">
        <v>68</v>
      </c>
      <c r="G299" t="s">
        <v>11486</v>
      </c>
      <c r="H299">
        <v>19.55</v>
      </c>
      <c r="I299">
        <v>0</v>
      </c>
      <c r="J299">
        <v>0</v>
      </c>
      <c r="K299">
        <v>20</v>
      </c>
      <c r="N299">
        <v>3</v>
      </c>
      <c r="O299">
        <v>3</v>
      </c>
      <c r="P299">
        <v>4</v>
      </c>
      <c r="Q299">
        <v>0</v>
      </c>
      <c r="R299">
        <v>46.55</v>
      </c>
      <c r="S299">
        <v>52</v>
      </c>
      <c r="T299">
        <v>52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52</v>
      </c>
      <c r="AB299">
        <v>3</v>
      </c>
      <c r="AC299">
        <v>0</v>
      </c>
      <c r="AG299" t="s">
        <v>130</v>
      </c>
      <c r="AH299">
        <v>101.55</v>
      </c>
    </row>
    <row r="300" spans="1:34" x14ac:dyDescent="0.3">
      <c r="A300" s="4">
        <v>475</v>
      </c>
      <c r="B300" s="5">
        <v>293</v>
      </c>
      <c r="C300">
        <v>3746</v>
      </c>
      <c r="D300" t="s">
        <v>11487</v>
      </c>
      <c r="E300" t="s">
        <v>166</v>
      </c>
      <c r="F300" t="s">
        <v>20</v>
      </c>
      <c r="G300" t="s">
        <v>11488</v>
      </c>
      <c r="H300">
        <v>19.18</v>
      </c>
      <c r="I300">
        <v>0</v>
      </c>
      <c r="J300">
        <v>0</v>
      </c>
      <c r="K300">
        <v>0</v>
      </c>
      <c r="L300">
        <v>7</v>
      </c>
      <c r="M300">
        <v>5</v>
      </c>
      <c r="O300">
        <v>12</v>
      </c>
      <c r="P300">
        <v>4</v>
      </c>
      <c r="Q300">
        <v>2</v>
      </c>
      <c r="R300">
        <v>37.18</v>
      </c>
      <c r="S300">
        <v>61</v>
      </c>
      <c r="T300">
        <v>61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61</v>
      </c>
      <c r="AB300">
        <v>3</v>
      </c>
      <c r="AC300">
        <v>0</v>
      </c>
      <c r="AG300" t="s">
        <v>130</v>
      </c>
      <c r="AH300">
        <v>101.18</v>
      </c>
    </row>
    <row r="301" spans="1:34" x14ac:dyDescent="0.3">
      <c r="A301" s="4">
        <v>476</v>
      </c>
      <c r="B301" s="5">
        <v>294</v>
      </c>
      <c r="C301">
        <v>1847</v>
      </c>
      <c r="D301" t="s">
        <v>11489</v>
      </c>
      <c r="E301" t="s">
        <v>255</v>
      </c>
      <c r="F301" t="s">
        <v>5614</v>
      </c>
      <c r="G301" t="s">
        <v>11490</v>
      </c>
      <c r="H301">
        <v>21.03</v>
      </c>
      <c r="I301">
        <v>0</v>
      </c>
      <c r="J301">
        <v>0</v>
      </c>
      <c r="K301">
        <v>20</v>
      </c>
      <c r="L301">
        <v>7</v>
      </c>
      <c r="O301">
        <v>7</v>
      </c>
      <c r="P301">
        <v>0</v>
      </c>
      <c r="Q301">
        <v>0</v>
      </c>
      <c r="R301">
        <v>48.03</v>
      </c>
      <c r="S301">
        <v>47</v>
      </c>
      <c r="T301">
        <v>47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47</v>
      </c>
      <c r="AB301">
        <v>6</v>
      </c>
      <c r="AC301">
        <v>0</v>
      </c>
      <c r="AG301" t="s">
        <v>130</v>
      </c>
      <c r="AH301">
        <v>101.03</v>
      </c>
    </row>
    <row r="302" spans="1:34" x14ac:dyDescent="0.3">
      <c r="A302" s="4">
        <v>477</v>
      </c>
      <c r="B302" s="5">
        <v>295</v>
      </c>
      <c r="C302">
        <v>3594</v>
      </c>
      <c r="D302" t="s">
        <v>5114</v>
      </c>
      <c r="E302" t="s">
        <v>29</v>
      </c>
      <c r="F302" t="s">
        <v>38</v>
      </c>
      <c r="G302" t="s">
        <v>11491</v>
      </c>
      <c r="H302">
        <v>16.68</v>
      </c>
      <c r="I302">
        <v>0</v>
      </c>
      <c r="J302">
        <v>0</v>
      </c>
      <c r="K302">
        <v>20</v>
      </c>
      <c r="L302">
        <v>14</v>
      </c>
      <c r="O302">
        <v>14</v>
      </c>
      <c r="P302">
        <v>4</v>
      </c>
      <c r="Q302">
        <v>2</v>
      </c>
      <c r="R302">
        <v>56.68</v>
      </c>
      <c r="S302">
        <v>44</v>
      </c>
      <c r="T302">
        <v>44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44</v>
      </c>
      <c r="AB302">
        <v>0</v>
      </c>
      <c r="AC302">
        <v>0</v>
      </c>
      <c r="AD302" t="s">
        <v>130</v>
      </c>
      <c r="AE302" t="s">
        <v>130</v>
      </c>
      <c r="AG302" t="s">
        <v>130</v>
      </c>
      <c r="AH302">
        <v>100.68</v>
      </c>
    </row>
    <row r="303" spans="1:34" x14ac:dyDescent="0.3">
      <c r="A303" s="4">
        <v>478</v>
      </c>
      <c r="B303" s="5">
        <v>296</v>
      </c>
      <c r="C303">
        <v>5673</v>
      </c>
      <c r="D303" t="s">
        <v>11492</v>
      </c>
      <c r="E303" t="s">
        <v>68</v>
      </c>
      <c r="F303" t="s">
        <v>1023</v>
      </c>
      <c r="G303" t="s">
        <v>11493</v>
      </c>
      <c r="H303">
        <v>18.88</v>
      </c>
      <c r="I303">
        <v>0</v>
      </c>
      <c r="J303">
        <v>0</v>
      </c>
      <c r="K303">
        <v>20</v>
      </c>
      <c r="N303">
        <v>3</v>
      </c>
      <c r="O303">
        <v>3</v>
      </c>
      <c r="P303">
        <v>4</v>
      </c>
      <c r="Q303">
        <v>0</v>
      </c>
      <c r="R303">
        <v>45.88</v>
      </c>
      <c r="S303">
        <v>54</v>
      </c>
      <c r="T303">
        <v>54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54</v>
      </c>
      <c r="AB303">
        <v>0</v>
      </c>
      <c r="AC303">
        <v>0</v>
      </c>
      <c r="AG303" t="s">
        <v>130</v>
      </c>
      <c r="AH303">
        <v>99.88</v>
      </c>
    </row>
    <row r="304" spans="1:34" x14ac:dyDescent="0.3">
      <c r="A304" s="4">
        <v>479</v>
      </c>
      <c r="B304" s="5">
        <v>297</v>
      </c>
      <c r="C304">
        <v>41</v>
      </c>
      <c r="D304" t="s">
        <v>11494</v>
      </c>
      <c r="E304" t="s">
        <v>29</v>
      </c>
      <c r="F304" t="s">
        <v>17</v>
      </c>
      <c r="G304" t="s">
        <v>11495</v>
      </c>
      <c r="H304">
        <v>18.8</v>
      </c>
      <c r="I304">
        <v>0</v>
      </c>
      <c r="J304">
        <v>0</v>
      </c>
      <c r="K304">
        <v>28</v>
      </c>
      <c r="L304">
        <v>14</v>
      </c>
      <c r="O304">
        <v>14</v>
      </c>
      <c r="P304">
        <v>4</v>
      </c>
      <c r="Q304">
        <v>0</v>
      </c>
      <c r="R304">
        <v>64.8</v>
      </c>
      <c r="S304">
        <v>35</v>
      </c>
      <c r="T304">
        <v>35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35</v>
      </c>
      <c r="AB304">
        <v>0</v>
      </c>
      <c r="AC304">
        <v>0</v>
      </c>
      <c r="AG304" t="s">
        <v>130</v>
      </c>
      <c r="AH304">
        <v>99.8</v>
      </c>
    </row>
    <row r="305" spans="1:34" x14ac:dyDescent="0.3">
      <c r="A305" s="4">
        <v>480</v>
      </c>
      <c r="B305" s="5">
        <v>298</v>
      </c>
      <c r="C305">
        <v>6942</v>
      </c>
      <c r="D305" t="s">
        <v>11496</v>
      </c>
      <c r="E305" t="s">
        <v>29</v>
      </c>
      <c r="F305" t="s">
        <v>167</v>
      </c>
      <c r="G305" t="s">
        <v>11497</v>
      </c>
      <c r="H305">
        <v>18.55</v>
      </c>
      <c r="I305">
        <v>0</v>
      </c>
      <c r="J305">
        <v>0</v>
      </c>
      <c r="K305">
        <v>20</v>
      </c>
      <c r="L305">
        <v>7</v>
      </c>
      <c r="M305">
        <v>5</v>
      </c>
      <c r="O305">
        <v>12</v>
      </c>
      <c r="P305">
        <v>4</v>
      </c>
      <c r="Q305">
        <v>2</v>
      </c>
      <c r="R305">
        <v>56.55</v>
      </c>
      <c r="S305">
        <v>37</v>
      </c>
      <c r="T305">
        <v>37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37</v>
      </c>
      <c r="AB305">
        <v>6</v>
      </c>
      <c r="AC305">
        <v>0</v>
      </c>
      <c r="AG305" t="s">
        <v>130</v>
      </c>
      <c r="AH305">
        <v>99.55</v>
      </c>
    </row>
    <row r="306" spans="1:34" x14ac:dyDescent="0.3">
      <c r="A306" s="4">
        <v>481</v>
      </c>
      <c r="B306" s="5">
        <v>299</v>
      </c>
      <c r="C306">
        <v>14324</v>
      </c>
      <c r="D306" t="s">
        <v>11498</v>
      </c>
      <c r="E306" t="s">
        <v>71</v>
      </c>
      <c r="F306" t="s">
        <v>190</v>
      </c>
      <c r="G306" t="s">
        <v>11499</v>
      </c>
      <c r="H306">
        <v>19.3</v>
      </c>
      <c r="I306">
        <v>0</v>
      </c>
      <c r="J306">
        <v>0</v>
      </c>
      <c r="K306">
        <v>0</v>
      </c>
      <c r="M306">
        <v>10</v>
      </c>
      <c r="O306">
        <v>10</v>
      </c>
      <c r="P306">
        <v>4</v>
      </c>
      <c r="Q306">
        <v>2</v>
      </c>
      <c r="R306">
        <v>35.299999999999997</v>
      </c>
      <c r="S306">
        <v>64</v>
      </c>
      <c r="T306">
        <v>64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64</v>
      </c>
      <c r="AB306">
        <v>0</v>
      </c>
      <c r="AC306">
        <v>0</v>
      </c>
      <c r="AE306" t="s">
        <v>130</v>
      </c>
      <c r="AG306" t="s">
        <v>130</v>
      </c>
      <c r="AH306">
        <v>99.3</v>
      </c>
    </row>
    <row r="307" spans="1:34" x14ac:dyDescent="0.3">
      <c r="A307" s="4">
        <v>482</v>
      </c>
      <c r="B307" s="5">
        <v>300</v>
      </c>
      <c r="C307">
        <v>10104</v>
      </c>
      <c r="D307" t="s">
        <v>74</v>
      </c>
      <c r="E307" t="s">
        <v>178</v>
      </c>
      <c r="F307" t="s">
        <v>20</v>
      </c>
      <c r="G307" t="s">
        <v>11500</v>
      </c>
      <c r="H307">
        <v>20.9</v>
      </c>
      <c r="I307">
        <v>0</v>
      </c>
      <c r="J307">
        <v>0</v>
      </c>
      <c r="K307">
        <v>20</v>
      </c>
      <c r="L307">
        <v>7</v>
      </c>
      <c r="O307">
        <v>7</v>
      </c>
      <c r="P307">
        <v>4</v>
      </c>
      <c r="Q307">
        <v>0</v>
      </c>
      <c r="R307">
        <v>51.9</v>
      </c>
      <c r="S307">
        <v>47</v>
      </c>
      <c r="T307">
        <v>47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47</v>
      </c>
      <c r="AB307">
        <v>0</v>
      </c>
      <c r="AC307">
        <v>0</v>
      </c>
      <c r="AG307" t="s">
        <v>130</v>
      </c>
      <c r="AH307">
        <v>98.9</v>
      </c>
    </row>
    <row r="308" spans="1:34" x14ac:dyDescent="0.3">
      <c r="A308" s="4">
        <v>483</v>
      </c>
      <c r="B308" s="5">
        <v>301</v>
      </c>
      <c r="C308">
        <v>15210</v>
      </c>
      <c r="D308" t="s">
        <v>438</v>
      </c>
      <c r="E308" t="s">
        <v>2122</v>
      </c>
      <c r="F308" t="s">
        <v>124</v>
      </c>
      <c r="G308" t="s">
        <v>11501</v>
      </c>
      <c r="H308">
        <v>17.579999999999998</v>
      </c>
      <c r="I308">
        <v>0</v>
      </c>
      <c r="J308">
        <v>0</v>
      </c>
      <c r="K308">
        <v>20</v>
      </c>
      <c r="N308">
        <v>3</v>
      </c>
      <c r="O308">
        <v>3</v>
      </c>
      <c r="P308">
        <v>4</v>
      </c>
      <c r="Q308">
        <v>2</v>
      </c>
      <c r="R308">
        <v>46.58</v>
      </c>
      <c r="S308">
        <v>52</v>
      </c>
      <c r="T308">
        <v>52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52</v>
      </c>
      <c r="AB308">
        <v>0</v>
      </c>
      <c r="AC308">
        <v>0</v>
      </c>
      <c r="AG308" t="s">
        <v>130</v>
      </c>
      <c r="AH308">
        <v>98.58</v>
      </c>
    </row>
    <row r="309" spans="1:34" x14ac:dyDescent="0.3">
      <c r="A309" s="4">
        <v>484</v>
      </c>
      <c r="B309" s="5">
        <v>302</v>
      </c>
      <c r="C309">
        <v>6402</v>
      </c>
      <c r="D309" t="s">
        <v>11502</v>
      </c>
      <c r="E309" t="s">
        <v>29</v>
      </c>
      <c r="F309" t="s">
        <v>30</v>
      </c>
      <c r="G309" t="s">
        <v>11503</v>
      </c>
      <c r="H309">
        <v>18.850000000000001</v>
      </c>
      <c r="I309">
        <v>0</v>
      </c>
      <c r="J309">
        <v>0</v>
      </c>
      <c r="K309">
        <v>0</v>
      </c>
      <c r="N309">
        <v>6</v>
      </c>
      <c r="O309">
        <v>6</v>
      </c>
      <c r="P309">
        <v>4</v>
      </c>
      <c r="Q309">
        <v>2</v>
      </c>
      <c r="R309">
        <v>30.85</v>
      </c>
      <c r="S309">
        <v>61</v>
      </c>
      <c r="T309">
        <v>61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61</v>
      </c>
      <c r="AB309">
        <v>6</v>
      </c>
      <c r="AC309">
        <v>0</v>
      </c>
      <c r="AG309" t="s">
        <v>130</v>
      </c>
      <c r="AH309">
        <v>97.85</v>
      </c>
    </row>
    <row r="310" spans="1:34" x14ac:dyDescent="0.3">
      <c r="A310" s="4">
        <v>485</v>
      </c>
      <c r="B310" s="5">
        <v>303</v>
      </c>
      <c r="C310">
        <v>8190</v>
      </c>
      <c r="D310" t="s">
        <v>172</v>
      </c>
      <c r="E310" t="s">
        <v>342</v>
      </c>
      <c r="F310" t="s">
        <v>158</v>
      </c>
      <c r="G310" t="s">
        <v>11504</v>
      </c>
      <c r="H310">
        <v>22.83</v>
      </c>
      <c r="I310">
        <v>7</v>
      </c>
      <c r="J310">
        <v>0</v>
      </c>
      <c r="K310">
        <v>20</v>
      </c>
      <c r="L310">
        <v>7</v>
      </c>
      <c r="O310">
        <v>7</v>
      </c>
      <c r="P310">
        <v>4</v>
      </c>
      <c r="Q310">
        <v>0</v>
      </c>
      <c r="R310">
        <v>60.83</v>
      </c>
      <c r="S310">
        <v>34</v>
      </c>
      <c r="T310">
        <v>34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34</v>
      </c>
      <c r="AB310">
        <v>3</v>
      </c>
      <c r="AC310">
        <v>0</v>
      </c>
      <c r="AG310" t="s">
        <v>130</v>
      </c>
      <c r="AH310">
        <v>97.83</v>
      </c>
    </row>
    <row r="311" spans="1:34" x14ac:dyDescent="0.3">
      <c r="A311" s="4">
        <v>486</v>
      </c>
      <c r="B311" s="5">
        <v>304</v>
      </c>
      <c r="C311">
        <v>7482</v>
      </c>
      <c r="D311" t="s">
        <v>28</v>
      </c>
      <c r="E311" t="s">
        <v>935</v>
      </c>
      <c r="F311" t="s">
        <v>782</v>
      </c>
      <c r="G311" t="s">
        <v>11505</v>
      </c>
      <c r="H311">
        <v>19.73</v>
      </c>
      <c r="I311">
        <v>0</v>
      </c>
      <c r="J311">
        <v>0</v>
      </c>
      <c r="K311">
        <v>0</v>
      </c>
      <c r="L311">
        <v>7</v>
      </c>
      <c r="N311">
        <v>3</v>
      </c>
      <c r="O311">
        <v>10</v>
      </c>
      <c r="P311">
        <v>4</v>
      </c>
      <c r="Q311">
        <v>2</v>
      </c>
      <c r="R311">
        <v>35.729999999999997</v>
      </c>
      <c r="S311">
        <v>59</v>
      </c>
      <c r="T311">
        <v>59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59</v>
      </c>
      <c r="AB311">
        <v>3</v>
      </c>
      <c r="AC311">
        <v>0</v>
      </c>
      <c r="AG311" t="s">
        <v>130</v>
      </c>
      <c r="AH311">
        <v>97.73</v>
      </c>
    </row>
    <row r="312" spans="1:34" x14ac:dyDescent="0.3">
      <c r="A312" s="4">
        <v>487</v>
      </c>
      <c r="B312" s="5">
        <v>305</v>
      </c>
      <c r="C312">
        <v>12186</v>
      </c>
      <c r="D312" t="s">
        <v>67</v>
      </c>
      <c r="E312" t="s">
        <v>149</v>
      </c>
      <c r="F312" t="s">
        <v>1238</v>
      </c>
      <c r="G312" t="s">
        <v>11506</v>
      </c>
      <c r="H312">
        <v>20.05</v>
      </c>
      <c r="I312">
        <v>0</v>
      </c>
      <c r="J312">
        <v>0</v>
      </c>
      <c r="K312">
        <v>20</v>
      </c>
      <c r="M312">
        <v>5</v>
      </c>
      <c r="O312">
        <v>5</v>
      </c>
      <c r="P312">
        <v>4</v>
      </c>
      <c r="Q312">
        <v>2</v>
      </c>
      <c r="R312">
        <v>51.05</v>
      </c>
      <c r="S312">
        <v>46</v>
      </c>
      <c r="T312">
        <v>46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46</v>
      </c>
      <c r="AB312">
        <v>0</v>
      </c>
      <c r="AC312">
        <v>0</v>
      </c>
      <c r="AG312" t="s">
        <v>130</v>
      </c>
      <c r="AH312">
        <v>97.05</v>
      </c>
    </row>
    <row r="313" spans="1:34" x14ac:dyDescent="0.3">
      <c r="A313" s="4">
        <v>488</v>
      </c>
      <c r="B313" s="5">
        <v>306</v>
      </c>
      <c r="C313">
        <v>9469</v>
      </c>
      <c r="D313" t="s">
        <v>11507</v>
      </c>
      <c r="E313" t="s">
        <v>11508</v>
      </c>
      <c r="F313" t="s">
        <v>20</v>
      </c>
      <c r="G313" t="s">
        <v>11509</v>
      </c>
      <c r="H313">
        <v>20.68</v>
      </c>
      <c r="I313">
        <v>0</v>
      </c>
      <c r="J313">
        <v>0</v>
      </c>
      <c r="K313">
        <v>20</v>
      </c>
      <c r="L313">
        <v>7</v>
      </c>
      <c r="N313">
        <v>3</v>
      </c>
      <c r="O313">
        <v>10</v>
      </c>
      <c r="P313">
        <v>4</v>
      </c>
      <c r="Q313">
        <v>2</v>
      </c>
      <c r="R313">
        <v>56.68</v>
      </c>
      <c r="S313">
        <v>40</v>
      </c>
      <c r="T313">
        <v>40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40</v>
      </c>
      <c r="AB313">
        <v>0</v>
      </c>
      <c r="AC313">
        <v>0</v>
      </c>
      <c r="AG313" t="s">
        <v>130</v>
      </c>
      <c r="AH313">
        <v>96.68</v>
      </c>
    </row>
    <row r="314" spans="1:34" x14ac:dyDescent="0.3">
      <c r="A314" s="4">
        <v>489</v>
      </c>
      <c r="B314" s="5">
        <v>307</v>
      </c>
      <c r="C314">
        <v>10485</v>
      </c>
      <c r="D314" t="s">
        <v>11510</v>
      </c>
      <c r="E314" t="s">
        <v>97</v>
      </c>
      <c r="F314" t="s">
        <v>101</v>
      </c>
      <c r="G314" t="s">
        <v>11511</v>
      </c>
      <c r="H314">
        <v>18.98</v>
      </c>
      <c r="I314">
        <v>0</v>
      </c>
      <c r="J314">
        <v>0</v>
      </c>
      <c r="K314">
        <v>20</v>
      </c>
      <c r="L314">
        <v>7</v>
      </c>
      <c r="O314">
        <v>7</v>
      </c>
      <c r="P314">
        <v>4</v>
      </c>
      <c r="Q314">
        <v>0</v>
      </c>
      <c r="R314">
        <v>49.98</v>
      </c>
      <c r="S314">
        <v>46</v>
      </c>
      <c r="T314">
        <v>46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46</v>
      </c>
      <c r="AB314">
        <v>0</v>
      </c>
      <c r="AC314">
        <v>0</v>
      </c>
      <c r="AG314" t="s">
        <v>130</v>
      </c>
      <c r="AH314">
        <v>95.98</v>
      </c>
    </row>
    <row r="315" spans="1:34" x14ac:dyDescent="0.3">
      <c r="A315" s="4">
        <v>490</v>
      </c>
      <c r="B315" s="5">
        <v>308</v>
      </c>
      <c r="C315">
        <v>4222</v>
      </c>
      <c r="D315" t="s">
        <v>11512</v>
      </c>
      <c r="E315" t="s">
        <v>255</v>
      </c>
      <c r="F315" t="s">
        <v>17</v>
      </c>
      <c r="G315" t="s">
        <v>11513</v>
      </c>
      <c r="H315">
        <v>17.93</v>
      </c>
      <c r="I315">
        <v>0</v>
      </c>
      <c r="J315">
        <v>0</v>
      </c>
      <c r="K315">
        <v>0</v>
      </c>
      <c r="L315">
        <v>7</v>
      </c>
      <c r="O315">
        <v>7</v>
      </c>
      <c r="P315">
        <v>4</v>
      </c>
      <c r="Q315">
        <v>0</v>
      </c>
      <c r="R315">
        <v>28.93</v>
      </c>
      <c r="S315">
        <v>67</v>
      </c>
      <c r="T315">
        <v>67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67</v>
      </c>
      <c r="AB315">
        <v>0</v>
      </c>
      <c r="AC315">
        <v>0</v>
      </c>
      <c r="AG315" t="s">
        <v>130</v>
      </c>
      <c r="AH315">
        <v>95.93</v>
      </c>
    </row>
    <row r="316" spans="1:34" x14ac:dyDescent="0.3">
      <c r="A316" s="4">
        <v>491</v>
      </c>
      <c r="B316" s="5">
        <v>309</v>
      </c>
      <c r="C316">
        <v>10657</v>
      </c>
      <c r="D316" t="s">
        <v>241</v>
      </c>
      <c r="E316" t="s">
        <v>29</v>
      </c>
      <c r="F316" t="s">
        <v>30</v>
      </c>
      <c r="G316" t="s">
        <v>11514</v>
      </c>
      <c r="H316">
        <v>16.45</v>
      </c>
      <c r="I316">
        <v>0</v>
      </c>
      <c r="J316">
        <v>0</v>
      </c>
      <c r="K316">
        <v>28</v>
      </c>
      <c r="L316">
        <v>7</v>
      </c>
      <c r="O316">
        <v>7</v>
      </c>
      <c r="P316">
        <v>4</v>
      </c>
      <c r="Q316">
        <v>0</v>
      </c>
      <c r="R316">
        <v>55.45</v>
      </c>
      <c r="S316">
        <v>34</v>
      </c>
      <c r="T316">
        <v>34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34</v>
      </c>
      <c r="AB316">
        <v>6</v>
      </c>
      <c r="AC316">
        <v>0</v>
      </c>
      <c r="AG316" t="s">
        <v>130</v>
      </c>
      <c r="AH316">
        <v>95.45</v>
      </c>
    </row>
    <row r="317" spans="1:34" x14ac:dyDescent="0.3">
      <c r="A317" s="4">
        <v>492</v>
      </c>
      <c r="B317" s="5">
        <v>310</v>
      </c>
      <c r="C317">
        <v>11803</v>
      </c>
      <c r="D317" t="s">
        <v>3430</v>
      </c>
      <c r="E317" t="s">
        <v>208</v>
      </c>
      <c r="F317" t="s">
        <v>570</v>
      </c>
      <c r="G317" t="s">
        <v>11515</v>
      </c>
      <c r="H317">
        <v>20.8</v>
      </c>
      <c r="I317">
        <v>0</v>
      </c>
      <c r="J317">
        <v>0</v>
      </c>
      <c r="K317">
        <v>20</v>
      </c>
      <c r="L317">
        <v>7</v>
      </c>
      <c r="N317">
        <v>3</v>
      </c>
      <c r="O317">
        <v>10</v>
      </c>
      <c r="P317">
        <v>4</v>
      </c>
      <c r="Q317">
        <v>2</v>
      </c>
      <c r="R317">
        <v>56.8</v>
      </c>
      <c r="S317">
        <v>35</v>
      </c>
      <c r="T317">
        <v>35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35</v>
      </c>
      <c r="AB317">
        <v>3</v>
      </c>
      <c r="AC317">
        <v>0</v>
      </c>
      <c r="AG317" t="s">
        <v>130</v>
      </c>
      <c r="AH317">
        <v>94.8</v>
      </c>
    </row>
    <row r="318" spans="1:34" x14ac:dyDescent="0.3">
      <c r="A318" s="4">
        <v>493</v>
      </c>
      <c r="B318" s="5">
        <v>311</v>
      </c>
      <c r="C318">
        <v>13453</v>
      </c>
      <c r="D318" t="s">
        <v>11516</v>
      </c>
      <c r="E318" t="s">
        <v>550</v>
      </c>
      <c r="F318" t="s">
        <v>230</v>
      </c>
      <c r="G318" t="s">
        <v>11517</v>
      </c>
      <c r="H318">
        <v>17.75</v>
      </c>
      <c r="I318">
        <v>0</v>
      </c>
      <c r="J318">
        <v>0</v>
      </c>
      <c r="K318">
        <v>28</v>
      </c>
      <c r="L318">
        <v>7</v>
      </c>
      <c r="O318">
        <v>7</v>
      </c>
      <c r="P318">
        <v>4</v>
      </c>
      <c r="Q318">
        <v>2</v>
      </c>
      <c r="R318">
        <v>58.75</v>
      </c>
      <c r="S318">
        <v>30</v>
      </c>
      <c r="T318">
        <v>30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30</v>
      </c>
      <c r="AB318">
        <v>6</v>
      </c>
      <c r="AC318">
        <v>0</v>
      </c>
      <c r="AG318" t="s">
        <v>130</v>
      </c>
      <c r="AH318">
        <v>94.75</v>
      </c>
    </row>
    <row r="319" spans="1:34" x14ac:dyDescent="0.3">
      <c r="A319" s="4">
        <v>494</v>
      </c>
      <c r="B319" s="5">
        <v>312</v>
      </c>
      <c r="C319">
        <v>12589</v>
      </c>
      <c r="D319" t="s">
        <v>11518</v>
      </c>
      <c r="E319" t="s">
        <v>738</v>
      </c>
      <c r="F319" t="s">
        <v>488</v>
      </c>
      <c r="G319" t="s">
        <v>11519</v>
      </c>
      <c r="H319">
        <v>19.5</v>
      </c>
      <c r="I319">
        <v>0</v>
      </c>
      <c r="J319">
        <v>0</v>
      </c>
      <c r="K319">
        <v>20</v>
      </c>
      <c r="L319">
        <v>7</v>
      </c>
      <c r="M319">
        <v>5</v>
      </c>
      <c r="O319">
        <v>12</v>
      </c>
      <c r="P319">
        <v>4</v>
      </c>
      <c r="Q319">
        <v>2</v>
      </c>
      <c r="R319">
        <v>57.5</v>
      </c>
      <c r="S319">
        <v>37</v>
      </c>
      <c r="T319">
        <v>37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37</v>
      </c>
      <c r="AB319">
        <v>0</v>
      </c>
      <c r="AC319">
        <v>0</v>
      </c>
      <c r="AG319" t="s">
        <v>130</v>
      </c>
      <c r="AH319">
        <v>94.5</v>
      </c>
    </row>
    <row r="320" spans="1:34" x14ac:dyDescent="0.3">
      <c r="A320" s="4">
        <v>495</v>
      </c>
      <c r="B320" s="5">
        <v>313</v>
      </c>
      <c r="C320">
        <v>2814</v>
      </c>
      <c r="D320" t="s">
        <v>11520</v>
      </c>
      <c r="E320" t="s">
        <v>11521</v>
      </c>
      <c r="F320" t="s">
        <v>782</v>
      </c>
      <c r="G320" t="s">
        <v>11522</v>
      </c>
      <c r="H320">
        <v>18.100000000000001</v>
      </c>
      <c r="I320">
        <v>0</v>
      </c>
      <c r="J320">
        <v>0</v>
      </c>
      <c r="K320">
        <v>20</v>
      </c>
      <c r="L320">
        <v>7</v>
      </c>
      <c r="O320">
        <v>7</v>
      </c>
      <c r="P320">
        <v>4</v>
      </c>
      <c r="Q320">
        <v>2</v>
      </c>
      <c r="R320">
        <v>51.1</v>
      </c>
      <c r="S320">
        <v>37</v>
      </c>
      <c r="T320">
        <v>37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37</v>
      </c>
      <c r="AB320">
        <v>6</v>
      </c>
      <c r="AC320">
        <v>0</v>
      </c>
      <c r="AG320" t="s">
        <v>130</v>
      </c>
      <c r="AH320">
        <v>94.1</v>
      </c>
    </row>
    <row r="321" spans="1:34" x14ac:dyDescent="0.3">
      <c r="A321" s="4">
        <v>496</v>
      </c>
      <c r="B321" s="5">
        <v>314</v>
      </c>
      <c r="C321">
        <v>13072</v>
      </c>
      <c r="D321" t="s">
        <v>11523</v>
      </c>
      <c r="E321" t="s">
        <v>10969</v>
      </c>
      <c r="F321" t="s">
        <v>488</v>
      </c>
      <c r="G321" t="s">
        <v>11524</v>
      </c>
      <c r="H321">
        <v>16.03</v>
      </c>
      <c r="I321">
        <v>0</v>
      </c>
      <c r="J321">
        <v>0</v>
      </c>
      <c r="K321">
        <v>20</v>
      </c>
      <c r="L321">
        <v>7</v>
      </c>
      <c r="N321">
        <v>3</v>
      </c>
      <c r="O321">
        <v>10</v>
      </c>
      <c r="P321">
        <v>4</v>
      </c>
      <c r="Q321">
        <v>2</v>
      </c>
      <c r="R321">
        <v>52.03</v>
      </c>
      <c r="S321">
        <v>39</v>
      </c>
      <c r="T321">
        <v>39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39</v>
      </c>
      <c r="AB321">
        <v>3</v>
      </c>
      <c r="AC321">
        <v>0</v>
      </c>
      <c r="AG321" t="s">
        <v>130</v>
      </c>
      <c r="AH321">
        <v>94.03</v>
      </c>
    </row>
    <row r="322" spans="1:34" x14ac:dyDescent="0.3">
      <c r="A322" s="4">
        <v>497</v>
      </c>
      <c r="B322" s="5">
        <v>315</v>
      </c>
      <c r="C322">
        <v>4573</v>
      </c>
      <c r="D322" t="s">
        <v>11525</v>
      </c>
      <c r="E322" t="s">
        <v>1084</v>
      </c>
      <c r="F322" t="s">
        <v>17</v>
      </c>
      <c r="G322" t="s">
        <v>11526</v>
      </c>
      <c r="H322">
        <v>18.3</v>
      </c>
      <c r="I322">
        <v>0</v>
      </c>
      <c r="J322">
        <v>0</v>
      </c>
      <c r="K322">
        <v>20</v>
      </c>
      <c r="L322">
        <v>7</v>
      </c>
      <c r="M322">
        <v>5</v>
      </c>
      <c r="O322">
        <v>12</v>
      </c>
      <c r="P322">
        <v>4</v>
      </c>
      <c r="Q322">
        <v>2</v>
      </c>
      <c r="R322">
        <v>56.3</v>
      </c>
      <c r="S322">
        <v>37</v>
      </c>
      <c r="T322">
        <v>37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37</v>
      </c>
      <c r="AB322">
        <v>0</v>
      </c>
      <c r="AC322">
        <v>0</v>
      </c>
      <c r="AD322" t="s">
        <v>130</v>
      </c>
      <c r="AG322" t="s">
        <v>130</v>
      </c>
      <c r="AH322">
        <v>93.3</v>
      </c>
    </row>
    <row r="323" spans="1:34" x14ac:dyDescent="0.3">
      <c r="A323" s="4">
        <v>498</v>
      </c>
      <c r="B323" s="5">
        <v>316</v>
      </c>
      <c r="C323">
        <v>1972</v>
      </c>
      <c r="D323" t="s">
        <v>10828</v>
      </c>
      <c r="E323" t="s">
        <v>97</v>
      </c>
      <c r="F323" t="s">
        <v>34</v>
      </c>
      <c r="G323" t="s">
        <v>10829</v>
      </c>
      <c r="H323">
        <v>20.23</v>
      </c>
      <c r="I323">
        <v>0</v>
      </c>
      <c r="J323">
        <v>0</v>
      </c>
      <c r="K323">
        <v>20</v>
      </c>
      <c r="L323">
        <v>7</v>
      </c>
      <c r="O323">
        <v>7</v>
      </c>
      <c r="P323">
        <v>4</v>
      </c>
      <c r="Q323">
        <v>0</v>
      </c>
      <c r="R323">
        <v>51.23</v>
      </c>
      <c r="S323">
        <v>36</v>
      </c>
      <c r="T323">
        <v>36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6</v>
      </c>
      <c r="AC323">
        <v>0</v>
      </c>
      <c r="AG323" t="s">
        <v>130</v>
      </c>
      <c r="AH323">
        <v>93.23</v>
      </c>
    </row>
    <row r="324" spans="1:34" x14ac:dyDescent="0.3">
      <c r="A324" s="4">
        <v>499</v>
      </c>
      <c r="B324" s="5">
        <v>317</v>
      </c>
      <c r="C324">
        <v>5401</v>
      </c>
      <c r="D324" t="s">
        <v>11527</v>
      </c>
      <c r="E324" t="s">
        <v>5237</v>
      </c>
      <c r="F324" t="s">
        <v>117</v>
      </c>
      <c r="G324" t="s">
        <v>11528</v>
      </c>
      <c r="H324">
        <v>17.7</v>
      </c>
      <c r="I324">
        <v>0</v>
      </c>
      <c r="J324">
        <v>0</v>
      </c>
      <c r="K324">
        <v>20</v>
      </c>
      <c r="L324">
        <v>14</v>
      </c>
      <c r="O324">
        <v>14</v>
      </c>
      <c r="P324">
        <v>4</v>
      </c>
      <c r="Q324">
        <v>2</v>
      </c>
      <c r="R324">
        <v>57.7</v>
      </c>
      <c r="S324">
        <v>35</v>
      </c>
      <c r="T324">
        <v>35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35</v>
      </c>
      <c r="AB324">
        <v>0</v>
      </c>
      <c r="AC324">
        <v>0</v>
      </c>
      <c r="AG324" t="s">
        <v>130</v>
      </c>
      <c r="AH324">
        <v>92.7</v>
      </c>
    </row>
    <row r="325" spans="1:34" x14ac:dyDescent="0.3">
      <c r="A325" s="4">
        <v>500</v>
      </c>
      <c r="B325" s="5">
        <v>318</v>
      </c>
      <c r="C325">
        <v>14182</v>
      </c>
      <c r="D325" t="s">
        <v>11529</v>
      </c>
      <c r="E325" t="s">
        <v>48</v>
      </c>
      <c r="F325" t="s">
        <v>124</v>
      </c>
      <c r="G325" t="s">
        <v>11530</v>
      </c>
      <c r="H325">
        <v>15.9</v>
      </c>
      <c r="I325">
        <v>0</v>
      </c>
      <c r="J325">
        <v>0</v>
      </c>
      <c r="K325">
        <v>20</v>
      </c>
      <c r="L325">
        <v>7</v>
      </c>
      <c r="O325">
        <v>7</v>
      </c>
      <c r="P325">
        <v>4</v>
      </c>
      <c r="Q325">
        <v>2</v>
      </c>
      <c r="R325">
        <v>48.9</v>
      </c>
      <c r="S325">
        <v>37</v>
      </c>
      <c r="T325">
        <v>37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37</v>
      </c>
      <c r="AB325">
        <v>6</v>
      </c>
      <c r="AC325">
        <v>0</v>
      </c>
      <c r="AG325" t="s">
        <v>130</v>
      </c>
      <c r="AH325">
        <v>91.9</v>
      </c>
    </row>
    <row r="326" spans="1:34" x14ac:dyDescent="0.3">
      <c r="A326" s="4">
        <v>501</v>
      </c>
      <c r="B326" s="5">
        <v>319</v>
      </c>
      <c r="C326">
        <v>3988</v>
      </c>
      <c r="D326" t="s">
        <v>11531</v>
      </c>
      <c r="E326" t="s">
        <v>88</v>
      </c>
      <c r="F326" t="s">
        <v>892</v>
      </c>
      <c r="G326" t="s">
        <v>11532</v>
      </c>
      <c r="H326">
        <v>18.899999999999999</v>
      </c>
      <c r="I326">
        <v>0</v>
      </c>
      <c r="J326">
        <v>0</v>
      </c>
      <c r="K326">
        <v>0</v>
      </c>
      <c r="O326">
        <v>0</v>
      </c>
      <c r="P326">
        <v>4</v>
      </c>
      <c r="Q326">
        <v>2</v>
      </c>
      <c r="R326">
        <v>24.9</v>
      </c>
      <c r="S326">
        <v>61</v>
      </c>
      <c r="T326">
        <v>61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61</v>
      </c>
      <c r="AB326">
        <v>6</v>
      </c>
      <c r="AC326">
        <v>0</v>
      </c>
      <c r="AG326" t="s">
        <v>130</v>
      </c>
      <c r="AH326">
        <v>91.9</v>
      </c>
    </row>
    <row r="327" spans="1:34" x14ac:dyDescent="0.3">
      <c r="A327" s="4">
        <v>503</v>
      </c>
      <c r="B327" s="5">
        <v>320</v>
      </c>
      <c r="C327">
        <v>10994</v>
      </c>
      <c r="D327" t="s">
        <v>11533</v>
      </c>
      <c r="E327" t="s">
        <v>170</v>
      </c>
      <c r="F327" t="s">
        <v>81</v>
      </c>
      <c r="G327" t="s">
        <v>11534</v>
      </c>
      <c r="H327">
        <v>16.68</v>
      </c>
      <c r="I327">
        <v>0</v>
      </c>
      <c r="J327">
        <v>0</v>
      </c>
      <c r="K327">
        <v>0</v>
      </c>
      <c r="L327">
        <v>7</v>
      </c>
      <c r="M327">
        <v>5</v>
      </c>
      <c r="O327">
        <v>12</v>
      </c>
      <c r="P327">
        <v>4</v>
      </c>
      <c r="Q327">
        <v>2</v>
      </c>
      <c r="R327">
        <v>34.68</v>
      </c>
      <c r="S327">
        <v>56</v>
      </c>
      <c r="T327">
        <v>56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56</v>
      </c>
      <c r="AB327">
        <v>0</v>
      </c>
      <c r="AC327">
        <v>0</v>
      </c>
      <c r="AG327" t="s">
        <v>130</v>
      </c>
      <c r="AH327">
        <v>90.68</v>
      </c>
    </row>
    <row r="328" spans="1:34" x14ac:dyDescent="0.3">
      <c r="A328" s="4">
        <v>504</v>
      </c>
      <c r="B328" s="5">
        <v>321</v>
      </c>
      <c r="C328">
        <v>4339</v>
      </c>
      <c r="D328" t="s">
        <v>11535</v>
      </c>
      <c r="E328" t="s">
        <v>328</v>
      </c>
      <c r="F328" t="s">
        <v>81</v>
      </c>
      <c r="G328" t="s">
        <v>11536</v>
      </c>
      <c r="H328">
        <v>15.53</v>
      </c>
      <c r="I328">
        <v>0</v>
      </c>
      <c r="J328">
        <v>0</v>
      </c>
      <c r="K328">
        <v>20</v>
      </c>
      <c r="M328">
        <v>5</v>
      </c>
      <c r="O328">
        <v>5</v>
      </c>
      <c r="P328">
        <v>4</v>
      </c>
      <c r="Q328">
        <v>2</v>
      </c>
      <c r="R328">
        <v>46.53</v>
      </c>
      <c r="S328">
        <v>41</v>
      </c>
      <c r="T328">
        <v>41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41</v>
      </c>
      <c r="AB328">
        <v>3</v>
      </c>
      <c r="AC328">
        <v>0</v>
      </c>
      <c r="AG328" t="s">
        <v>130</v>
      </c>
      <c r="AH328">
        <v>90.53</v>
      </c>
    </row>
    <row r="329" spans="1:34" x14ac:dyDescent="0.3">
      <c r="A329" s="4">
        <v>505</v>
      </c>
      <c r="B329" s="5">
        <v>322</v>
      </c>
      <c r="C329">
        <v>13117</v>
      </c>
      <c r="D329" t="s">
        <v>3401</v>
      </c>
      <c r="E329" t="s">
        <v>4801</v>
      </c>
      <c r="F329" t="s">
        <v>62</v>
      </c>
      <c r="G329" t="s">
        <v>11537</v>
      </c>
      <c r="H329">
        <v>20.5</v>
      </c>
      <c r="I329">
        <v>0</v>
      </c>
      <c r="J329">
        <v>0</v>
      </c>
      <c r="K329">
        <v>20</v>
      </c>
      <c r="L329">
        <v>7</v>
      </c>
      <c r="O329">
        <v>7</v>
      </c>
      <c r="P329">
        <v>4</v>
      </c>
      <c r="Q329">
        <v>2</v>
      </c>
      <c r="R329">
        <v>53.5</v>
      </c>
      <c r="S329">
        <v>37</v>
      </c>
      <c r="T329">
        <v>37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37</v>
      </c>
      <c r="AB329">
        <v>0</v>
      </c>
      <c r="AC329">
        <v>0</v>
      </c>
      <c r="AG329" t="s">
        <v>130</v>
      </c>
      <c r="AH329">
        <v>90.5</v>
      </c>
    </row>
    <row r="330" spans="1:34" x14ac:dyDescent="0.3">
      <c r="A330" s="4">
        <v>506</v>
      </c>
      <c r="B330" s="5">
        <v>323</v>
      </c>
      <c r="C330">
        <v>2810</v>
      </c>
      <c r="D330" t="s">
        <v>891</v>
      </c>
      <c r="E330" t="s">
        <v>858</v>
      </c>
      <c r="F330" t="s">
        <v>158</v>
      </c>
      <c r="G330" t="s">
        <v>11538</v>
      </c>
      <c r="H330">
        <v>18.43</v>
      </c>
      <c r="I330">
        <v>0</v>
      </c>
      <c r="J330">
        <v>0</v>
      </c>
      <c r="K330">
        <v>28</v>
      </c>
      <c r="L330">
        <v>14</v>
      </c>
      <c r="O330">
        <v>14</v>
      </c>
      <c r="P330">
        <v>4</v>
      </c>
      <c r="Q330">
        <v>2</v>
      </c>
      <c r="R330">
        <v>66.430000000000007</v>
      </c>
      <c r="S330">
        <v>24</v>
      </c>
      <c r="T330">
        <v>24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24</v>
      </c>
      <c r="AB330">
        <v>0</v>
      </c>
      <c r="AC330">
        <v>0</v>
      </c>
      <c r="AG330" t="s">
        <v>130</v>
      </c>
      <c r="AH330">
        <v>90.43</v>
      </c>
    </row>
    <row r="331" spans="1:34" x14ac:dyDescent="0.3">
      <c r="A331" s="4">
        <v>507</v>
      </c>
      <c r="B331" s="5">
        <v>324</v>
      </c>
      <c r="C331">
        <v>7998</v>
      </c>
      <c r="D331" t="s">
        <v>3642</v>
      </c>
      <c r="E331" t="s">
        <v>97</v>
      </c>
      <c r="F331" t="s">
        <v>687</v>
      </c>
      <c r="G331" t="s">
        <v>11539</v>
      </c>
      <c r="H331">
        <v>18.38</v>
      </c>
      <c r="I331">
        <v>0</v>
      </c>
      <c r="J331">
        <v>40</v>
      </c>
      <c r="K331">
        <v>20</v>
      </c>
      <c r="M331">
        <v>5</v>
      </c>
      <c r="N331">
        <v>3</v>
      </c>
      <c r="O331">
        <v>8</v>
      </c>
      <c r="P331">
        <v>4</v>
      </c>
      <c r="Q331">
        <v>0</v>
      </c>
      <c r="R331">
        <v>90.38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G331" t="s">
        <v>130</v>
      </c>
      <c r="AH331">
        <v>90.38</v>
      </c>
    </row>
    <row r="332" spans="1:34" x14ac:dyDescent="0.3">
      <c r="A332" s="4">
        <v>508</v>
      </c>
      <c r="B332" s="5">
        <v>325</v>
      </c>
      <c r="C332">
        <v>3739</v>
      </c>
      <c r="D332" t="s">
        <v>1317</v>
      </c>
      <c r="E332" t="s">
        <v>166</v>
      </c>
      <c r="F332" t="s">
        <v>124</v>
      </c>
      <c r="G332" t="s">
        <v>11540</v>
      </c>
      <c r="H332">
        <v>17.149999999999999</v>
      </c>
      <c r="I332">
        <v>0</v>
      </c>
      <c r="J332">
        <v>0</v>
      </c>
      <c r="K332">
        <v>20</v>
      </c>
      <c r="L332">
        <v>7</v>
      </c>
      <c r="O332">
        <v>7</v>
      </c>
      <c r="P332">
        <v>4</v>
      </c>
      <c r="Q332">
        <v>0</v>
      </c>
      <c r="R332">
        <v>48.15</v>
      </c>
      <c r="S332">
        <v>42</v>
      </c>
      <c r="T332">
        <v>42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42</v>
      </c>
      <c r="AB332">
        <v>0</v>
      </c>
      <c r="AC332">
        <v>0</v>
      </c>
      <c r="AG332" t="s">
        <v>130</v>
      </c>
      <c r="AH332">
        <v>90.15</v>
      </c>
    </row>
    <row r="333" spans="1:34" x14ac:dyDescent="0.3">
      <c r="A333" s="4">
        <v>509</v>
      </c>
      <c r="B333" s="5">
        <v>326</v>
      </c>
      <c r="C333">
        <v>7988</v>
      </c>
      <c r="D333" t="s">
        <v>3033</v>
      </c>
      <c r="E333" t="s">
        <v>3243</v>
      </c>
      <c r="F333" t="s">
        <v>158</v>
      </c>
      <c r="G333" t="s">
        <v>11541</v>
      </c>
      <c r="H333">
        <v>20.58</v>
      </c>
      <c r="I333">
        <v>0</v>
      </c>
      <c r="J333">
        <v>0</v>
      </c>
      <c r="K333">
        <v>20</v>
      </c>
      <c r="L333">
        <v>7</v>
      </c>
      <c r="M333">
        <v>5</v>
      </c>
      <c r="O333">
        <v>12</v>
      </c>
      <c r="P333">
        <v>4</v>
      </c>
      <c r="Q333">
        <v>0</v>
      </c>
      <c r="R333">
        <v>56.58</v>
      </c>
      <c r="S333">
        <v>30</v>
      </c>
      <c r="T333">
        <v>30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30</v>
      </c>
      <c r="AB333">
        <v>3</v>
      </c>
      <c r="AC333">
        <v>0</v>
      </c>
      <c r="AE333" t="s">
        <v>130</v>
      </c>
      <c r="AG333" t="s">
        <v>130</v>
      </c>
      <c r="AH333">
        <v>89.58</v>
      </c>
    </row>
    <row r="334" spans="1:34" x14ac:dyDescent="0.3">
      <c r="A334" s="4">
        <v>510</v>
      </c>
      <c r="B334" s="5">
        <v>327</v>
      </c>
      <c r="C334">
        <v>6286</v>
      </c>
      <c r="D334" t="s">
        <v>11542</v>
      </c>
      <c r="E334" t="s">
        <v>11543</v>
      </c>
      <c r="F334" t="s">
        <v>136</v>
      </c>
      <c r="G334" t="s">
        <v>11544</v>
      </c>
      <c r="H334">
        <v>17.55</v>
      </c>
      <c r="I334">
        <v>0</v>
      </c>
      <c r="J334">
        <v>0</v>
      </c>
      <c r="K334">
        <v>20</v>
      </c>
      <c r="L334">
        <v>7</v>
      </c>
      <c r="N334">
        <v>3</v>
      </c>
      <c r="O334">
        <v>10</v>
      </c>
      <c r="P334">
        <v>4</v>
      </c>
      <c r="Q334">
        <v>0</v>
      </c>
      <c r="R334">
        <v>51.55</v>
      </c>
      <c r="S334">
        <v>37</v>
      </c>
      <c r="T334">
        <v>37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37</v>
      </c>
      <c r="AB334">
        <v>0</v>
      </c>
      <c r="AC334">
        <v>0</v>
      </c>
      <c r="AG334" t="s">
        <v>130</v>
      </c>
      <c r="AH334">
        <v>88.55</v>
      </c>
    </row>
    <row r="335" spans="1:34" x14ac:dyDescent="0.3">
      <c r="A335" s="4">
        <v>511</v>
      </c>
      <c r="B335" s="5">
        <v>328</v>
      </c>
      <c r="C335">
        <v>6705</v>
      </c>
      <c r="D335" t="s">
        <v>11545</v>
      </c>
      <c r="E335" t="s">
        <v>11546</v>
      </c>
      <c r="F335" t="s">
        <v>238</v>
      </c>
      <c r="G335" t="s">
        <v>11547</v>
      </c>
      <c r="H335">
        <v>17.329999999999998</v>
      </c>
      <c r="I335">
        <v>0</v>
      </c>
      <c r="J335">
        <v>0</v>
      </c>
      <c r="K335">
        <v>0</v>
      </c>
      <c r="L335">
        <v>7</v>
      </c>
      <c r="O335">
        <v>7</v>
      </c>
      <c r="P335">
        <v>4</v>
      </c>
      <c r="Q335">
        <v>2</v>
      </c>
      <c r="R335">
        <v>30.33</v>
      </c>
      <c r="S335">
        <v>58</v>
      </c>
      <c r="T335">
        <v>58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58</v>
      </c>
      <c r="AB335">
        <v>0</v>
      </c>
      <c r="AC335">
        <v>0</v>
      </c>
      <c r="AG335" t="s">
        <v>130</v>
      </c>
      <c r="AH335">
        <v>88.33</v>
      </c>
    </row>
    <row r="336" spans="1:34" x14ac:dyDescent="0.3">
      <c r="A336" s="4">
        <v>512</v>
      </c>
      <c r="B336" s="5">
        <v>329</v>
      </c>
      <c r="C336">
        <v>6046</v>
      </c>
      <c r="D336" t="s">
        <v>11548</v>
      </c>
      <c r="E336" t="s">
        <v>143</v>
      </c>
      <c r="F336" t="s">
        <v>30</v>
      </c>
      <c r="G336" t="s">
        <v>11549</v>
      </c>
      <c r="H336">
        <v>17.95</v>
      </c>
      <c r="I336">
        <v>0</v>
      </c>
      <c r="J336">
        <v>0</v>
      </c>
      <c r="K336">
        <v>20</v>
      </c>
      <c r="L336">
        <v>7</v>
      </c>
      <c r="N336">
        <v>3</v>
      </c>
      <c r="O336">
        <v>10</v>
      </c>
      <c r="P336">
        <v>4</v>
      </c>
      <c r="Q336">
        <v>2</v>
      </c>
      <c r="R336">
        <v>53.95</v>
      </c>
      <c r="S336">
        <v>34</v>
      </c>
      <c r="T336">
        <v>34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34</v>
      </c>
      <c r="AB336">
        <v>0</v>
      </c>
      <c r="AC336">
        <v>0</v>
      </c>
      <c r="AG336" t="s">
        <v>130</v>
      </c>
      <c r="AH336">
        <v>87.95</v>
      </c>
    </row>
    <row r="337" spans="1:34" x14ac:dyDescent="0.3">
      <c r="A337" s="4">
        <v>513</v>
      </c>
      <c r="B337" s="5">
        <v>330</v>
      </c>
      <c r="C337">
        <v>3241</v>
      </c>
      <c r="D337" t="s">
        <v>11550</v>
      </c>
      <c r="E337" t="s">
        <v>88</v>
      </c>
      <c r="F337" t="s">
        <v>20</v>
      </c>
      <c r="G337" t="s">
        <v>11551</v>
      </c>
      <c r="H337">
        <v>19.88</v>
      </c>
      <c r="I337">
        <v>0</v>
      </c>
      <c r="J337">
        <v>0</v>
      </c>
      <c r="K337">
        <v>20</v>
      </c>
      <c r="L337">
        <v>7</v>
      </c>
      <c r="O337">
        <v>7</v>
      </c>
      <c r="P337">
        <v>4</v>
      </c>
      <c r="Q337">
        <v>0</v>
      </c>
      <c r="R337">
        <v>50.88</v>
      </c>
      <c r="S337">
        <v>37</v>
      </c>
      <c r="T337">
        <v>37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37</v>
      </c>
      <c r="AB337">
        <v>0</v>
      </c>
      <c r="AC337">
        <v>0</v>
      </c>
      <c r="AG337" t="s">
        <v>130</v>
      </c>
      <c r="AH337">
        <v>87.88</v>
      </c>
    </row>
    <row r="338" spans="1:34" x14ac:dyDescent="0.3">
      <c r="A338" s="4">
        <v>514</v>
      </c>
      <c r="B338" s="5">
        <v>331</v>
      </c>
      <c r="C338">
        <v>2254</v>
      </c>
      <c r="D338" t="s">
        <v>11552</v>
      </c>
      <c r="E338" t="s">
        <v>243</v>
      </c>
      <c r="F338" t="s">
        <v>972</v>
      </c>
      <c r="G338" t="s">
        <v>11553</v>
      </c>
      <c r="H338">
        <v>16.73</v>
      </c>
      <c r="I338">
        <v>0</v>
      </c>
      <c r="J338">
        <v>0</v>
      </c>
      <c r="K338">
        <v>20</v>
      </c>
      <c r="M338">
        <v>5</v>
      </c>
      <c r="O338">
        <v>5</v>
      </c>
      <c r="P338">
        <v>4</v>
      </c>
      <c r="Q338">
        <v>2</v>
      </c>
      <c r="R338">
        <v>47.73</v>
      </c>
      <c r="S338">
        <v>37</v>
      </c>
      <c r="T338">
        <v>37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37</v>
      </c>
      <c r="AB338">
        <v>3</v>
      </c>
      <c r="AC338">
        <v>0</v>
      </c>
      <c r="AG338" t="s">
        <v>130</v>
      </c>
      <c r="AH338">
        <v>87.73</v>
      </c>
    </row>
    <row r="339" spans="1:34" x14ac:dyDescent="0.3">
      <c r="A339" s="4">
        <v>516</v>
      </c>
      <c r="B339" s="5">
        <v>332</v>
      </c>
      <c r="C339">
        <v>477</v>
      </c>
      <c r="D339" t="s">
        <v>7220</v>
      </c>
      <c r="E339" t="s">
        <v>166</v>
      </c>
      <c r="F339" t="s">
        <v>117</v>
      </c>
      <c r="G339" t="s">
        <v>11555</v>
      </c>
      <c r="H339">
        <v>17.8</v>
      </c>
      <c r="I339">
        <v>0</v>
      </c>
      <c r="J339">
        <v>0</v>
      </c>
      <c r="K339">
        <v>20</v>
      </c>
      <c r="M339">
        <v>5</v>
      </c>
      <c r="N339">
        <v>3</v>
      </c>
      <c r="O339">
        <v>8</v>
      </c>
      <c r="P339">
        <v>4</v>
      </c>
      <c r="Q339">
        <v>2</v>
      </c>
      <c r="R339">
        <v>51.8</v>
      </c>
      <c r="S339">
        <v>35</v>
      </c>
      <c r="T339">
        <v>35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35</v>
      </c>
      <c r="AB339">
        <v>0</v>
      </c>
      <c r="AC339">
        <v>0</v>
      </c>
      <c r="AD339" t="s">
        <v>130</v>
      </c>
      <c r="AG339" t="s">
        <v>130</v>
      </c>
      <c r="AH339">
        <v>86.8</v>
      </c>
    </row>
    <row r="340" spans="1:34" x14ac:dyDescent="0.3">
      <c r="A340" s="4">
        <v>517</v>
      </c>
      <c r="B340" s="5">
        <v>333</v>
      </c>
      <c r="C340">
        <v>7630</v>
      </c>
      <c r="D340" t="s">
        <v>11556</v>
      </c>
      <c r="E340" t="s">
        <v>22</v>
      </c>
      <c r="F340" t="s">
        <v>346</v>
      </c>
      <c r="G340" t="s">
        <v>11557</v>
      </c>
      <c r="H340">
        <v>18.7</v>
      </c>
      <c r="I340">
        <v>0</v>
      </c>
      <c r="J340">
        <v>0</v>
      </c>
      <c r="K340">
        <v>28</v>
      </c>
      <c r="L340">
        <v>7</v>
      </c>
      <c r="N340">
        <v>3</v>
      </c>
      <c r="O340">
        <v>10</v>
      </c>
      <c r="P340">
        <v>4</v>
      </c>
      <c r="Q340">
        <v>0</v>
      </c>
      <c r="R340">
        <v>60.7</v>
      </c>
      <c r="S340">
        <v>26</v>
      </c>
      <c r="T340">
        <v>26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26</v>
      </c>
      <c r="AB340">
        <v>0</v>
      </c>
      <c r="AC340">
        <v>0</v>
      </c>
      <c r="AD340" t="s">
        <v>130</v>
      </c>
      <c r="AG340" t="s">
        <v>130</v>
      </c>
      <c r="AH340">
        <v>86.7</v>
      </c>
    </row>
    <row r="341" spans="1:34" x14ac:dyDescent="0.3">
      <c r="A341" s="4">
        <v>518</v>
      </c>
      <c r="B341" s="5">
        <v>334</v>
      </c>
      <c r="C341">
        <v>10815</v>
      </c>
      <c r="D341" t="s">
        <v>11558</v>
      </c>
      <c r="E341" t="s">
        <v>29</v>
      </c>
      <c r="F341" t="s">
        <v>20</v>
      </c>
      <c r="G341" t="s">
        <v>11559</v>
      </c>
      <c r="H341">
        <v>20.6</v>
      </c>
      <c r="I341">
        <v>0</v>
      </c>
      <c r="J341">
        <v>0</v>
      </c>
      <c r="K341">
        <v>20</v>
      </c>
      <c r="N341">
        <v>3</v>
      </c>
      <c r="O341">
        <v>3</v>
      </c>
      <c r="P341">
        <v>4</v>
      </c>
      <c r="Q341">
        <v>0</v>
      </c>
      <c r="R341">
        <v>47.6</v>
      </c>
      <c r="S341">
        <v>33</v>
      </c>
      <c r="T341">
        <v>33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33</v>
      </c>
      <c r="AB341">
        <v>6</v>
      </c>
      <c r="AC341">
        <v>0</v>
      </c>
      <c r="AG341" t="s">
        <v>130</v>
      </c>
      <c r="AH341">
        <v>86.6</v>
      </c>
    </row>
    <row r="342" spans="1:34" x14ac:dyDescent="0.3">
      <c r="A342" s="4">
        <v>519</v>
      </c>
      <c r="B342" s="5">
        <v>335</v>
      </c>
      <c r="C342">
        <v>2008</v>
      </c>
      <c r="D342" t="s">
        <v>3454</v>
      </c>
      <c r="E342" t="s">
        <v>11560</v>
      </c>
      <c r="F342" t="s">
        <v>167</v>
      </c>
      <c r="G342" t="s">
        <v>11561</v>
      </c>
      <c r="H342">
        <v>18.43</v>
      </c>
      <c r="I342">
        <v>0</v>
      </c>
      <c r="J342">
        <v>0</v>
      </c>
      <c r="K342">
        <v>20</v>
      </c>
      <c r="L342">
        <v>7</v>
      </c>
      <c r="O342">
        <v>7</v>
      </c>
      <c r="P342">
        <v>4</v>
      </c>
      <c r="Q342">
        <v>0</v>
      </c>
      <c r="R342">
        <v>49.43</v>
      </c>
      <c r="S342">
        <v>37</v>
      </c>
      <c r="T342">
        <v>37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37</v>
      </c>
      <c r="AB342">
        <v>0</v>
      </c>
      <c r="AC342">
        <v>0</v>
      </c>
      <c r="AG342" t="s">
        <v>130</v>
      </c>
      <c r="AH342">
        <v>86.43</v>
      </c>
    </row>
    <row r="343" spans="1:34" x14ac:dyDescent="0.3">
      <c r="A343" s="4">
        <v>520</v>
      </c>
      <c r="B343" s="5">
        <v>336</v>
      </c>
      <c r="C343">
        <v>12385</v>
      </c>
      <c r="D343" t="s">
        <v>11562</v>
      </c>
      <c r="E343" t="s">
        <v>22</v>
      </c>
      <c r="F343" t="s">
        <v>343</v>
      </c>
      <c r="G343" t="s">
        <v>11563</v>
      </c>
      <c r="H343">
        <v>22.1</v>
      </c>
      <c r="I343">
        <v>0</v>
      </c>
      <c r="J343">
        <v>0</v>
      </c>
      <c r="K343">
        <v>20</v>
      </c>
      <c r="M343">
        <v>5</v>
      </c>
      <c r="N343">
        <v>3</v>
      </c>
      <c r="O343">
        <v>8</v>
      </c>
      <c r="P343">
        <v>4</v>
      </c>
      <c r="Q343">
        <v>0</v>
      </c>
      <c r="R343">
        <v>54.1</v>
      </c>
      <c r="S343">
        <v>32</v>
      </c>
      <c r="T343">
        <v>32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32</v>
      </c>
      <c r="AB343">
        <v>0</v>
      </c>
      <c r="AC343">
        <v>0</v>
      </c>
      <c r="AG343" t="s">
        <v>130</v>
      </c>
      <c r="AH343">
        <v>86.1</v>
      </c>
    </row>
    <row r="344" spans="1:34" x14ac:dyDescent="0.3">
      <c r="A344" s="4">
        <v>521</v>
      </c>
      <c r="B344" s="5">
        <v>337</v>
      </c>
      <c r="C344">
        <v>13449</v>
      </c>
      <c r="D344" t="s">
        <v>11564</v>
      </c>
      <c r="E344" t="s">
        <v>5470</v>
      </c>
      <c r="F344" t="s">
        <v>832</v>
      </c>
      <c r="G344" t="s">
        <v>11565</v>
      </c>
      <c r="H344">
        <v>21.78</v>
      </c>
      <c r="I344">
        <v>0</v>
      </c>
      <c r="J344">
        <v>0</v>
      </c>
      <c r="K344">
        <v>20</v>
      </c>
      <c r="L344">
        <v>7</v>
      </c>
      <c r="M344">
        <v>5</v>
      </c>
      <c r="O344">
        <v>12</v>
      </c>
      <c r="P344">
        <v>4</v>
      </c>
      <c r="Q344">
        <v>2</v>
      </c>
      <c r="R344">
        <v>59.78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6</v>
      </c>
      <c r="AC344">
        <v>20</v>
      </c>
      <c r="AG344" t="s">
        <v>130</v>
      </c>
      <c r="AH344">
        <v>85.78</v>
      </c>
    </row>
    <row r="345" spans="1:34" x14ac:dyDescent="0.3">
      <c r="A345" s="4">
        <v>522</v>
      </c>
      <c r="B345" s="5">
        <v>338</v>
      </c>
      <c r="C345">
        <v>6918</v>
      </c>
      <c r="D345" t="s">
        <v>11566</v>
      </c>
      <c r="E345" t="s">
        <v>136</v>
      </c>
      <c r="F345" t="s">
        <v>30</v>
      </c>
      <c r="G345" t="s">
        <v>11567</v>
      </c>
      <c r="H345">
        <v>23</v>
      </c>
      <c r="I345">
        <v>0</v>
      </c>
      <c r="J345">
        <v>0</v>
      </c>
      <c r="K345">
        <v>20</v>
      </c>
      <c r="L345">
        <v>7</v>
      </c>
      <c r="O345">
        <v>7</v>
      </c>
      <c r="P345">
        <v>4</v>
      </c>
      <c r="Q345">
        <v>2</v>
      </c>
      <c r="R345">
        <v>56</v>
      </c>
      <c r="S345">
        <v>29</v>
      </c>
      <c r="T345">
        <v>29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29</v>
      </c>
      <c r="AB345">
        <v>0</v>
      </c>
      <c r="AC345">
        <v>0</v>
      </c>
      <c r="AG345" t="s">
        <v>130</v>
      </c>
      <c r="AH345">
        <v>85</v>
      </c>
    </row>
    <row r="346" spans="1:34" x14ac:dyDescent="0.3">
      <c r="A346" s="4">
        <v>523</v>
      </c>
      <c r="B346" s="5">
        <v>339</v>
      </c>
      <c r="C346">
        <v>13586</v>
      </c>
      <c r="D346" t="s">
        <v>1723</v>
      </c>
      <c r="E346" t="s">
        <v>178</v>
      </c>
      <c r="F346" t="s">
        <v>190</v>
      </c>
      <c r="G346" t="s">
        <v>11568</v>
      </c>
      <c r="H346">
        <v>16.899999999999999</v>
      </c>
      <c r="I346">
        <v>0</v>
      </c>
      <c r="J346">
        <v>0</v>
      </c>
      <c r="K346">
        <v>20</v>
      </c>
      <c r="L346">
        <v>7</v>
      </c>
      <c r="O346">
        <v>7</v>
      </c>
      <c r="P346">
        <v>4</v>
      </c>
      <c r="Q346">
        <v>2</v>
      </c>
      <c r="R346">
        <v>49.9</v>
      </c>
      <c r="S346">
        <v>32</v>
      </c>
      <c r="T346">
        <v>32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32</v>
      </c>
      <c r="AB346">
        <v>3</v>
      </c>
      <c r="AC346">
        <v>0</v>
      </c>
      <c r="AG346" t="s">
        <v>130</v>
      </c>
      <c r="AH346">
        <v>84.9</v>
      </c>
    </row>
    <row r="347" spans="1:34" x14ac:dyDescent="0.3">
      <c r="A347" s="4">
        <v>524</v>
      </c>
      <c r="B347" s="5">
        <v>340</v>
      </c>
      <c r="C347">
        <v>326</v>
      </c>
      <c r="D347" t="s">
        <v>5989</v>
      </c>
      <c r="E347" t="s">
        <v>11569</v>
      </c>
      <c r="F347" t="s">
        <v>124</v>
      </c>
      <c r="G347" t="s">
        <v>11570</v>
      </c>
      <c r="H347">
        <v>18.579999999999998</v>
      </c>
      <c r="I347">
        <v>0</v>
      </c>
      <c r="J347">
        <v>0</v>
      </c>
      <c r="K347">
        <v>28</v>
      </c>
      <c r="L347">
        <v>7</v>
      </c>
      <c r="N347">
        <v>3</v>
      </c>
      <c r="O347">
        <v>10</v>
      </c>
      <c r="P347">
        <v>0</v>
      </c>
      <c r="Q347">
        <v>0</v>
      </c>
      <c r="R347">
        <v>56.58</v>
      </c>
      <c r="S347">
        <v>28</v>
      </c>
      <c r="T347">
        <v>28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28</v>
      </c>
      <c r="AB347">
        <v>0</v>
      </c>
      <c r="AC347">
        <v>0</v>
      </c>
      <c r="AG347" t="s">
        <v>130</v>
      </c>
      <c r="AH347">
        <v>84.58</v>
      </c>
    </row>
    <row r="348" spans="1:34" x14ac:dyDescent="0.3">
      <c r="A348" s="4">
        <v>525</v>
      </c>
      <c r="B348" s="5">
        <v>341</v>
      </c>
      <c r="C348">
        <v>7816</v>
      </c>
      <c r="D348" t="s">
        <v>5985</v>
      </c>
      <c r="E348" t="s">
        <v>1331</v>
      </c>
      <c r="F348" t="s">
        <v>117</v>
      </c>
      <c r="G348" t="s">
        <v>11571</v>
      </c>
      <c r="H348">
        <v>16.43</v>
      </c>
      <c r="I348">
        <v>0</v>
      </c>
      <c r="J348">
        <v>0</v>
      </c>
      <c r="K348">
        <v>0</v>
      </c>
      <c r="N348">
        <v>3</v>
      </c>
      <c r="O348">
        <v>3</v>
      </c>
      <c r="P348">
        <v>4</v>
      </c>
      <c r="Q348">
        <v>2</v>
      </c>
      <c r="R348">
        <v>25.43</v>
      </c>
      <c r="S348">
        <v>59</v>
      </c>
      <c r="T348">
        <v>59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59</v>
      </c>
      <c r="AB348">
        <v>0</v>
      </c>
      <c r="AC348">
        <v>0</v>
      </c>
      <c r="AG348" t="s">
        <v>130</v>
      </c>
      <c r="AH348">
        <v>84.43</v>
      </c>
    </row>
    <row r="349" spans="1:34" x14ac:dyDescent="0.3">
      <c r="A349" s="4">
        <v>526</v>
      </c>
      <c r="B349" s="5">
        <v>342</v>
      </c>
      <c r="C349">
        <v>9811</v>
      </c>
      <c r="D349" t="s">
        <v>11572</v>
      </c>
      <c r="E349" t="s">
        <v>22</v>
      </c>
      <c r="F349" t="s">
        <v>328</v>
      </c>
      <c r="G349" t="s">
        <v>11573</v>
      </c>
      <c r="H349">
        <v>18.329999999999998</v>
      </c>
      <c r="I349">
        <v>0</v>
      </c>
      <c r="J349">
        <v>0</v>
      </c>
      <c r="K349">
        <v>0</v>
      </c>
      <c r="N349">
        <v>3</v>
      </c>
      <c r="O349">
        <v>3</v>
      </c>
      <c r="P349">
        <v>4</v>
      </c>
      <c r="Q349">
        <v>0</v>
      </c>
      <c r="R349">
        <v>25.33</v>
      </c>
      <c r="S349">
        <v>53</v>
      </c>
      <c r="T349">
        <v>53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53</v>
      </c>
      <c r="AB349">
        <v>6</v>
      </c>
      <c r="AC349">
        <v>0</v>
      </c>
      <c r="AG349" t="s">
        <v>130</v>
      </c>
      <c r="AH349">
        <v>84.33</v>
      </c>
    </row>
    <row r="350" spans="1:34" x14ac:dyDescent="0.3">
      <c r="A350" s="4">
        <v>527</v>
      </c>
      <c r="B350" s="5">
        <v>343</v>
      </c>
      <c r="C350">
        <v>11895</v>
      </c>
      <c r="D350" t="s">
        <v>11574</v>
      </c>
      <c r="E350" t="s">
        <v>789</v>
      </c>
      <c r="F350" t="s">
        <v>2561</v>
      </c>
      <c r="G350" t="s">
        <v>11575</v>
      </c>
      <c r="H350">
        <v>19.55</v>
      </c>
      <c r="I350">
        <v>7</v>
      </c>
      <c r="J350">
        <v>0</v>
      </c>
      <c r="K350">
        <v>20</v>
      </c>
      <c r="L350">
        <v>7</v>
      </c>
      <c r="O350">
        <v>7</v>
      </c>
      <c r="P350">
        <v>4</v>
      </c>
      <c r="Q350">
        <v>2</v>
      </c>
      <c r="R350">
        <v>59.55</v>
      </c>
      <c r="S350">
        <v>18</v>
      </c>
      <c r="T350">
        <v>18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18</v>
      </c>
      <c r="AB350">
        <v>6</v>
      </c>
      <c r="AC350">
        <v>0</v>
      </c>
      <c r="AG350" t="s">
        <v>130</v>
      </c>
      <c r="AH350">
        <v>83.55</v>
      </c>
    </row>
    <row r="351" spans="1:34" x14ac:dyDescent="0.3">
      <c r="A351" s="4">
        <v>528</v>
      </c>
      <c r="B351" s="5">
        <v>344</v>
      </c>
      <c r="C351">
        <v>9877</v>
      </c>
      <c r="D351" t="s">
        <v>11576</v>
      </c>
      <c r="E351" t="s">
        <v>136</v>
      </c>
      <c r="F351" t="s">
        <v>14</v>
      </c>
      <c r="G351" t="s">
        <v>11577</v>
      </c>
      <c r="H351">
        <v>20.18</v>
      </c>
      <c r="I351">
        <v>0</v>
      </c>
      <c r="J351">
        <v>0</v>
      </c>
      <c r="K351">
        <v>0</v>
      </c>
      <c r="N351">
        <v>3</v>
      </c>
      <c r="O351">
        <v>3</v>
      </c>
      <c r="P351">
        <v>4</v>
      </c>
      <c r="Q351">
        <v>0</v>
      </c>
      <c r="R351">
        <v>27.18</v>
      </c>
      <c r="S351">
        <v>56</v>
      </c>
      <c r="T351">
        <v>56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56</v>
      </c>
      <c r="AB351">
        <v>0</v>
      </c>
      <c r="AC351">
        <v>0</v>
      </c>
      <c r="AG351" t="s">
        <v>130</v>
      </c>
      <c r="AH351">
        <v>83.18</v>
      </c>
    </row>
    <row r="352" spans="1:34" x14ac:dyDescent="0.3">
      <c r="A352" s="4">
        <v>529</v>
      </c>
      <c r="B352" s="5">
        <v>345</v>
      </c>
      <c r="C352">
        <v>8473</v>
      </c>
      <c r="D352" t="s">
        <v>11578</v>
      </c>
      <c r="E352" t="s">
        <v>88</v>
      </c>
      <c r="F352" t="s">
        <v>927</v>
      </c>
      <c r="G352" t="s">
        <v>11579</v>
      </c>
      <c r="H352">
        <v>17.149999999999999</v>
      </c>
      <c r="I352">
        <v>0</v>
      </c>
      <c r="J352">
        <v>0</v>
      </c>
      <c r="K352">
        <v>20</v>
      </c>
      <c r="L352">
        <v>7</v>
      </c>
      <c r="O352">
        <v>7</v>
      </c>
      <c r="P352">
        <v>4</v>
      </c>
      <c r="Q352">
        <v>2</v>
      </c>
      <c r="R352">
        <v>50.15</v>
      </c>
      <c r="S352">
        <v>32</v>
      </c>
      <c r="T352">
        <v>32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32</v>
      </c>
      <c r="AB352">
        <v>0</v>
      </c>
      <c r="AC352">
        <v>0</v>
      </c>
      <c r="AG352" t="s">
        <v>130</v>
      </c>
      <c r="AH352">
        <v>82.15</v>
      </c>
    </row>
    <row r="353" spans="1:34" x14ac:dyDescent="0.3">
      <c r="A353" s="4">
        <v>530</v>
      </c>
      <c r="B353" s="5">
        <v>346</v>
      </c>
      <c r="C353">
        <v>1445</v>
      </c>
      <c r="D353" t="s">
        <v>2073</v>
      </c>
      <c r="E353" t="s">
        <v>11580</v>
      </c>
      <c r="F353" t="s">
        <v>81</v>
      </c>
      <c r="G353" t="s">
        <v>11581</v>
      </c>
      <c r="H353">
        <v>18.3</v>
      </c>
      <c r="I353">
        <v>0</v>
      </c>
      <c r="J353">
        <v>0</v>
      </c>
      <c r="K353">
        <v>20</v>
      </c>
      <c r="L353">
        <v>7</v>
      </c>
      <c r="O353">
        <v>7</v>
      </c>
      <c r="P353">
        <v>4</v>
      </c>
      <c r="Q353">
        <v>2</v>
      </c>
      <c r="R353">
        <v>51.3</v>
      </c>
      <c r="S353">
        <v>27</v>
      </c>
      <c r="T353">
        <v>27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27</v>
      </c>
      <c r="AB353">
        <v>3</v>
      </c>
      <c r="AC353">
        <v>0</v>
      </c>
      <c r="AG353" t="s">
        <v>130</v>
      </c>
      <c r="AH353">
        <v>81.3</v>
      </c>
    </row>
    <row r="354" spans="1:34" x14ac:dyDescent="0.3">
      <c r="A354" s="4">
        <v>531</v>
      </c>
      <c r="B354" s="5">
        <v>347</v>
      </c>
      <c r="C354">
        <v>12423</v>
      </c>
      <c r="D354" t="s">
        <v>11582</v>
      </c>
      <c r="E354" t="s">
        <v>342</v>
      </c>
      <c r="F354" t="s">
        <v>892</v>
      </c>
      <c r="G354" t="s">
        <v>11583</v>
      </c>
      <c r="H354">
        <v>17.93</v>
      </c>
      <c r="I354">
        <v>0</v>
      </c>
      <c r="J354">
        <v>0</v>
      </c>
      <c r="K354">
        <v>20</v>
      </c>
      <c r="M354">
        <v>5</v>
      </c>
      <c r="O354">
        <v>5</v>
      </c>
      <c r="P354">
        <v>4</v>
      </c>
      <c r="Q354">
        <v>0</v>
      </c>
      <c r="R354">
        <v>46.93</v>
      </c>
      <c r="S354">
        <v>28</v>
      </c>
      <c r="T354">
        <v>28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28</v>
      </c>
      <c r="AB354">
        <v>6</v>
      </c>
      <c r="AC354">
        <v>0</v>
      </c>
      <c r="AG354" t="s">
        <v>130</v>
      </c>
      <c r="AH354">
        <v>80.930000000000007</v>
      </c>
    </row>
    <row r="355" spans="1:34" x14ac:dyDescent="0.3">
      <c r="A355" s="4">
        <v>532</v>
      </c>
      <c r="B355" s="5">
        <v>348</v>
      </c>
      <c r="C355">
        <v>5770</v>
      </c>
      <c r="D355" t="s">
        <v>11584</v>
      </c>
      <c r="E355" t="s">
        <v>342</v>
      </c>
      <c r="F355" t="s">
        <v>81</v>
      </c>
      <c r="G355" t="s">
        <v>11585</v>
      </c>
      <c r="H355">
        <v>15.88</v>
      </c>
      <c r="I355">
        <v>0</v>
      </c>
      <c r="J355">
        <v>0</v>
      </c>
      <c r="K355">
        <v>0</v>
      </c>
      <c r="M355">
        <v>5</v>
      </c>
      <c r="O355">
        <v>5</v>
      </c>
      <c r="P355">
        <v>4</v>
      </c>
      <c r="Q355">
        <v>0</v>
      </c>
      <c r="R355">
        <v>24.88</v>
      </c>
      <c r="S355">
        <v>50</v>
      </c>
      <c r="T355">
        <v>50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50</v>
      </c>
      <c r="AB355">
        <v>6</v>
      </c>
      <c r="AC355">
        <v>0</v>
      </c>
      <c r="AG355" t="s">
        <v>130</v>
      </c>
      <c r="AH355">
        <v>80.88</v>
      </c>
    </row>
    <row r="356" spans="1:34" x14ac:dyDescent="0.3">
      <c r="A356" s="4">
        <v>533</v>
      </c>
      <c r="B356" s="5">
        <v>349</v>
      </c>
      <c r="C356">
        <v>8348</v>
      </c>
      <c r="D356" t="s">
        <v>11586</v>
      </c>
      <c r="E356" t="s">
        <v>37</v>
      </c>
      <c r="F356" t="s">
        <v>117</v>
      </c>
      <c r="G356" t="s">
        <v>11587</v>
      </c>
      <c r="H356">
        <v>19.73</v>
      </c>
      <c r="I356">
        <v>0</v>
      </c>
      <c r="J356">
        <v>0</v>
      </c>
      <c r="K356">
        <v>0</v>
      </c>
      <c r="N356">
        <v>3</v>
      </c>
      <c r="O356">
        <v>3</v>
      </c>
      <c r="P356">
        <v>4</v>
      </c>
      <c r="Q356">
        <v>0</v>
      </c>
      <c r="R356">
        <v>26.73</v>
      </c>
      <c r="S356">
        <v>54</v>
      </c>
      <c r="T356">
        <v>54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54</v>
      </c>
      <c r="AB356">
        <v>0</v>
      </c>
      <c r="AC356">
        <v>0</v>
      </c>
      <c r="AG356" t="s">
        <v>130</v>
      </c>
      <c r="AH356">
        <v>80.73</v>
      </c>
    </row>
    <row r="357" spans="1:34" x14ac:dyDescent="0.3">
      <c r="A357" s="4">
        <v>534</v>
      </c>
      <c r="B357" s="5">
        <v>350</v>
      </c>
      <c r="C357">
        <v>12218</v>
      </c>
      <c r="D357" t="s">
        <v>11588</v>
      </c>
      <c r="E357" t="s">
        <v>560</v>
      </c>
      <c r="F357" t="s">
        <v>17</v>
      </c>
      <c r="G357" t="s">
        <v>11589</v>
      </c>
      <c r="H357">
        <v>20.7</v>
      </c>
      <c r="I357">
        <v>0</v>
      </c>
      <c r="J357">
        <v>0</v>
      </c>
      <c r="K357">
        <v>20</v>
      </c>
      <c r="L357">
        <v>7</v>
      </c>
      <c r="O357">
        <v>7</v>
      </c>
      <c r="P357">
        <v>4</v>
      </c>
      <c r="Q357">
        <v>2</v>
      </c>
      <c r="R357">
        <v>53.7</v>
      </c>
      <c r="S357">
        <v>8</v>
      </c>
      <c r="T357">
        <v>8</v>
      </c>
      <c r="U357">
        <v>0</v>
      </c>
      <c r="V357">
        <v>0</v>
      </c>
      <c r="W357">
        <v>7</v>
      </c>
      <c r="X357">
        <v>10</v>
      </c>
      <c r="Y357">
        <v>0</v>
      </c>
      <c r="Z357">
        <v>0</v>
      </c>
      <c r="AA357">
        <v>18</v>
      </c>
      <c r="AB357">
        <v>9</v>
      </c>
      <c r="AC357">
        <v>0</v>
      </c>
      <c r="AG357" t="s">
        <v>130</v>
      </c>
      <c r="AH357">
        <v>80.7</v>
      </c>
    </row>
    <row r="358" spans="1:34" x14ac:dyDescent="0.3">
      <c r="A358" s="4">
        <v>535</v>
      </c>
      <c r="B358" s="5">
        <v>351</v>
      </c>
      <c r="C358">
        <v>10587</v>
      </c>
      <c r="D358" t="s">
        <v>11590</v>
      </c>
      <c r="E358" t="s">
        <v>4695</v>
      </c>
      <c r="F358" t="s">
        <v>909</v>
      </c>
      <c r="G358" t="s">
        <v>11591</v>
      </c>
      <c r="H358">
        <v>20.6</v>
      </c>
      <c r="I358">
        <v>0</v>
      </c>
      <c r="J358">
        <v>0</v>
      </c>
      <c r="K358">
        <v>20</v>
      </c>
      <c r="L358">
        <v>7</v>
      </c>
      <c r="M358">
        <v>5</v>
      </c>
      <c r="O358">
        <v>12</v>
      </c>
      <c r="P358">
        <v>4</v>
      </c>
      <c r="Q358">
        <v>0</v>
      </c>
      <c r="R358">
        <v>56.6</v>
      </c>
      <c r="S358">
        <v>18</v>
      </c>
      <c r="T358">
        <v>18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18</v>
      </c>
      <c r="AB358">
        <v>6</v>
      </c>
      <c r="AC358">
        <v>0</v>
      </c>
      <c r="AG358" t="s">
        <v>130</v>
      </c>
      <c r="AH358">
        <v>80.599999999999994</v>
      </c>
    </row>
    <row r="359" spans="1:34" x14ac:dyDescent="0.3">
      <c r="A359" s="4">
        <v>536</v>
      </c>
      <c r="B359" s="5">
        <v>352</v>
      </c>
      <c r="C359">
        <v>11713</v>
      </c>
      <c r="D359" t="s">
        <v>11592</v>
      </c>
      <c r="E359" t="s">
        <v>23</v>
      </c>
      <c r="F359" t="s">
        <v>2474</v>
      </c>
      <c r="G359" t="s">
        <v>11593</v>
      </c>
      <c r="H359">
        <v>14.95</v>
      </c>
      <c r="I359">
        <v>0</v>
      </c>
      <c r="J359">
        <v>40</v>
      </c>
      <c r="K359">
        <v>0</v>
      </c>
      <c r="L359">
        <v>7</v>
      </c>
      <c r="O359">
        <v>7</v>
      </c>
      <c r="P359">
        <v>4</v>
      </c>
      <c r="Q359">
        <v>2</v>
      </c>
      <c r="R359">
        <v>67.95</v>
      </c>
      <c r="S359">
        <v>12</v>
      </c>
      <c r="T359">
        <v>12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12</v>
      </c>
      <c r="AB359">
        <v>0</v>
      </c>
      <c r="AC359">
        <v>0</v>
      </c>
      <c r="AG359" t="s">
        <v>130</v>
      </c>
      <c r="AH359">
        <v>79.95</v>
      </c>
    </row>
    <row r="360" spans="1:34" x14ac:dyDescent="0.3">
      <c r="A360" s="4">
        <v>538</v>
      </c>
      <c r="B360" s="5">
        <v>353</v>
      </c>
      <c r="C360">
        <v>9248</v>
      </c>
      <c r="D360" t="s">
        <v>11594</v>
      </c>
      <c r="E360" t="s">
        <v>289</v>
      </c>
      <c r="F360" t="s">
        <v>30</v>
      </c>
      <c r="G360" t="s">
        <v>11595</v>
      </c>
      <c r="H360">
        <v>19.079999999999998</v>
      </c>
      <c r="I360">
        <v>0</v>
      </c>
      <c r="J360">
        <v>0</v>
      </c>
      <c r="K360">
        <v>20</v>
      </c>
      <c r="L360">
        <v>7</v>
      </c>
      <c r="N360">
        <v>3</v>
      </c>
      <c r="O360">
        <v>10</v>
      </c>
      <c r="P360">
        <v>0</v>
      </c>
      <c r="Q360">
        <v>0</v>
      </c>
      <c r="R360">
        <v>49.08</v>
      </c>
      <c r="S360">
        <v>30</v>
      </c>
      <c r="T360">
        <v>30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30</v>
      </c>
      <c r="AB360">
        <v>0</v>
      </c>
      <c r="AC360">
        <v>0</v>
      </c>
      <c r="AG360" t="s">
        <v>130</v>
      </c>
      <c r="AH360">
        <v>79.08</v>
      </c>
    </row>
    <row r="361" spans="1:34" x14ac:dyDescent="0.3">
      <c r="A361" s="4">
        <v>539</v>
      </c>
      <c r="B361" s="5">
        <v>354</v>
      </c>
      <c r="C361">
        <v>1581</v>
      </c>
      <c r="D361" t="s">
        <v>11596</v>
      </c>
      <c r="E361" t="s">
        <v>54</v>
      </c>
      <c r="F361" t="s">
        <v>5614</v>
      </c>
      <c r="G361" t="s">
        <v>11597</v>
      </c>
      <c r="H361">
        <v>21.8</v>
      </c>
      <c r="I361">
        <v>0</v>
      </c>
      <c r="J361">
        <v>0</v>
      </c>
      <c r="K361">
        <v>20</v>
      </c>
      <c r="L361">
        <v>7</v>
      </c>
      <c r="O361">
        <v>7</v>
      </c>
      <c r="P361">
        <v>4</v>
      </c>
      <c r="Q361">
        <v>2</v>
      </c>
      <c r="R361">
        <v>54.8</v>
      </c>
      <c r="S361">
        <v>18</v>
      </c>
      <c r="T361">
        <v>18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18</v>
      </c>
      <c r="AB361">
        <v>6</v>
      </c>
      <c r="AC361">
        <v>0</v>
      </c>
      <c r="AG361" t="s">
        <v>130</v>
      </c>
      <c r="AH361">
        <v>78.8</v>
      </c>
    </row>
    <row r="362" spans="1:34" x14ac:dyDescent="0.3">
      <c r="A362" s="4">
        <v>540</v>
      </c>
      <c r="B362" s="5">
        <v>355</v>
      </c>
      <c r="C362">
        <v>12927</v>
      </c>
      <c r="D362" t="s">
        <v>11598</v>
      </c>
      <c r="E362" t="s">
        <v>454</v>
      </c>
      <c r="F362" t="s">
        <v>20</v>
      </c>
      <c r="G362" t="s">
        <v>11599</v>
      </c>
      <c r="H362">
        <v>18.8</v>
      </c>
      <c r="I362">
        <v>0</v>
      </c>
      <c r="J362">
        <v>0</v>
      </c>
      <c r="K362">
        <v>20</v>
      </c>
      <c r="L362">
        <v>7</v>
      </c>
      <c r="M362">
        <v>5</v>
      </c>
      <c r="O362">
        <v>12</v>
      </c>
      <c r="P362">
        <v>4</v>
      </c>
      <c r="Q362">
        <v>0</v>
      </c>
      <c r="R362">
        <v>54.8</v>
      </c>
      <c r="S362">
        <v>18</v>
      </c>
      <c r="T362">
        <v>18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18</v>
      </c>
      <c r="AB362">
        <v>6</v>
      </c>
      <c r="AC362">
        <v>0</v>
      </c>
      <c r="AG362" t="s">
        <v>130</v>
      </c>
      <c r="AH362">
        <v>78.8</v>
      </c>
    </row>
    <row r="363" spans="1:34" x14ac:dyDescent="0.3">
      <c r="A363" s="4">
        <v>541</v>
      </c>
      <c r="B363" s="5">
        <v>356</v>
      </c>
      <c r="C363">
        <v>1058</v>
      </c>
      <c r="D363" t="s">
        <v>11600</v>
      </c>
      <c r="E363" t="s">
        <v>11601</v>
      </c>
      <c r="F363" t="s">
        <v>30</v>
      </c>
      <c r="G363" t="s">
        <v>11602</v>
      </c>
      <c r="H363">
        <v>20</v>
      </c>
      <c r="I363">
        <v>0</v>
      </c>
      <c r="J363">
        <v>0</v>
      </c>
      <c r="K363">
        <v>20</v>
      </c>
      <c r="L363">
        <v>7</v>
      </c>
      <c r="O363">
        <v>7</v>
      </c>
      <c r="P363">
        <v>4</v>
      </c>
      <c r="Q363">
        <v>2</v>
      </c>
      <c r="R363">
        <v>53</v>
      </c>
      <c r="S363">
        <v>25</v>
      </c>
      <c r="T363">
        <v>25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25</v>
      </c>
      <c r="AB363">
        <v>0</v>
      </c>
      <c r="AC363">
        <v>0</v>
      </c>
      <c r="AG363" t="s">
        <v>130</v>
      </c>
      <c r="AH363">
        <v>78</v>
      </c>
    </row>
    <row r="364" spans="1:34" x14ac:dyDescent="0.3">
      <c r="A364" s="4">
        <v>542</v>
      </c>
      <c r="B364" s="5">
        <v>357</v>
      </c>
      <c r="C364">
        <v>15232</v>
      </c>
      <c r="D364" t="s">
        <v>11603</v>
      </c>
      <c r="E364" t="s">
        <v>29</v>
      </c>
      <c r="F364" t="s">
        <v>136</v>
      </c>
      <c r="G364" t="s">
        <v>11604</v>
      </c>
      <c r="H364">
        <v>20.68</v>
      </c>
      <c r="I364">
        <v>0</v>
      </c>
      <c r="J364">
        <v>0</v>
      </c>
      <c r="K364">
        <v>20</v>
      </c>
      <c r="L364">
        <v>7</v>
      </c>
      <c r="N364">
        <v>3</v>
      </c>
      <c r="O364">
        <v>10</v>
      </c>
      <c r="P364">
        <v>4</v>
      </c>
      <c r="Q364">
        <v>2</v>
      </c>
      <c r="R364">
        <v>56.68</v>
      </c>
      <c r="S364">
        <v>18</v>
      </c>
      <c r="T364">
        <v>18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18</v>
      </c>
      <c r="AB364">
        <v>3</v>
      </c>
      <c r="AC364">
        <v>0</v>
      </c>
      <c r="AG364" t="s">
        <v>130</v>
      </c>
      <c r="AH364">
        <v>77.680000000000007</v>
      </c>
    </row>
    <row r="365" spans="1:34" x14ac:dyDescent="0.3">
      <c r="A365" s="4">
        <v>543</v>
      </c>
      <c r="B365" s="5">
        <v>358</v>
      </c>
      <c r="C365">
        <v>8300</v>
      </c>
      <c r="D365" t="s">
        <v>11605</v>
      </c>
      <c r="E365" t="s">
        <v>22</v>
      </c>
      <c r="F365" t="s">
        <v>38</v>
      </c>
      <c r="G365" t="s">
        <v>11606</v>
      </c>
      <c r="H365">
        <v>16.55</v>
      </c>
      <c r="I365">
        <v>0</v>
      </c>
      <c r="J365">
        <v>0</v>
      </c>
      <c r="K365">
        <v>20</v>
      </c>
      <c r="L365">
        <v>14</v>
      </c>
      <c r="O365">
        <v>14</v>
      </c>
      <c r="P365">
        <v>4</v>
      </c>
      <c r="Q365">
        <v>2</v>
      </c>
      <c r="R365">
        <v>56.55</v>
      </c>
      <c r="S365">
        <v>18</v>
      </c>
      <c r="T365">
        <v>18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18</v>
      </c>
      <c r="AB365">
        <v>3</v>
      </c>
      <c r="AC365">
        <v>0</v>
      </c>
      <c r="AG365" t="s">
        <v>130</v>
      </c>
      <c r="AH365">
        <v>77.55</v>
      </c>
    </row>
    <row r="366" spans="1:34" x14ac:dyDescent="0.3">
      <c r="A366" s="4">
        <v>544</v>
      </c>
      <c r="B366" s="5">
        <v>359</v>
      </c>
      <c r="C366">
        <v>1714</v>
      </c>
      <c r="D366" t="s">
        <v>8800</v>
      </c>
      <c r="E366" t="s">
        <v>255</v>
      </c>
      <c r="F366" t="s">
        <v>136</v>
      </c>
      <c r="G366" t="s">
        <v>11607</v>
      </c>
      <c r="H366">
        <v>17.5</v>
      </c>
      <c r="I366">
        <v>0</v>
      </c>
      <c r="J366">
        <v>0</v>
      </c>
      <c r="K366">
        <v>20</v>
      </c>
      <c r="N366">
        <v>3</v>
      </c>
      <c r="O366">
        <v>3</v>
      </c>
      <c r="P366">
        <v>4</v>
      </c>
      <c r="Q366">
        <v>0</v>
      </c>
      <c r="R366">
        <v>44.5</v>
      </c>
      <c r="S366">
        <v>33</v>
      </c>
      <c r="T366">
        <v>33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33</v>
      </c>
      <c r="AB366">
        <v>0</v>
      </c>
      <c r="AC366">
        <v>0</v>
      </c>
      <c r="AG366" t="s">
        <v>130</v>
      </c>
      <c r="AH366">
        <v>77.5</v>
      </c>
    </row>
    <row r="367" spans="1:34" x14ac:dyDescent="0.3">
      <c r="A367" s="4">
        <v>545</v>
      </c>
      <c r="B367" s="5">
        <v>360</v>
      </c>
      <c r="C367">
        <v>6039</v>
      </c>
      <c r="D367" t="s">
        <v>11608</v>
      </c>
      <c r="E367" t="s">
        <v>1189</v>
      </c>
      <c r="F367" t="s">
        <v>38</v>
      </c>
      <c r="G367" t="s">
        <v>11609</v>
      </c>
      <c r="H367">
        <v>18.350000000000001</v>
      </c>
      <c r="I367">
        <v>0</v>
      </c>
      <c r="J367">
        <v>0</v>
      </c>
      <c r="K367">
        <v>20</v>
      </c>
      <c r="L367">
        <v>7</v>
      </c>
      <c r="O367">
        <v>7</v>
      </c>
      <c r="P367">
        <v>4</v>
      </c>
      <c r="Q367">
        <v>0</v>
      </c>
      <c r="R367">
        <v>49.35</v>
      </c>
      <c r="S367">
        <v>22</v>
      </c>
      <c r="T367">
        <v>22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22</v>
      </c>
      <c r="AB367">
        <v>6</v>
      </c>
      <c r="AC367">
        <v>0</v>
      </c>
      <c r="AG367" t="s">
        <v>130</v>
      </c>
      <c r="AH367">
        <v>77.349999999999994</v>
      </c>
    </row>
    <row r="368" spans="1:34" x14ac:dyDescent="0.3">
      <c r="A368" s="4">
        <v>546</v>
      </c>
      <c r="B368" s="5">
        <v>361</v>
      </c>
      <c r="C368">
        <v>3423</v>
      </c>
      <c r="D368" t="s">
        <v>181</v>
      </c>
      <c r="E368" t="s">
        <v>7360</v>
      </c>
      <c r="F368" t="s">
        <v>11610</v>
      </c>
      <c r="G368" t="s">
        <v>11611</v>
      </c>
      <c r="H368">
        <v>19.28</v>
      </c>
      <c r="I368">
        <v>7</v>
      </c>
      <c r="J368">
        <v>0</v>
      </c>
      <c r="K368">
        <v>20</v>
      </c>
      <c r="N368">
        <v>3</v>
      </c>
      <c r="O368">
        <v>3</v>
      </c>
      <c r="P368">
        <v>4</v>
      </c>
      <c r="Q368">
        <v>0</v>
      </c>
      <c r="R368">
        <v>53.28</v>
      </c>
      <c r="S368">
        <v>18</v>
      </c>
      <c r="T368">
        <v>18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18</v>
      </c>
      <c r="AB368">
        <v>6</v>
      </c>
      <c r="AC368">
        <v>0</v>
      </c>
      <c r="AG368" t="s">
        <v>130</v>
      </c>
      <c r="AH368">
        <v>77.28</v>
      </c>
    </row>
    <row r="369" spans="1:34" x14ac:dyDescent="0.3">
      <c r="A369" s="4">
        <v>547</v>
      </c>
      <c r="B369" s="5">
        <v>362</v>
      </c>
      <c r="C369">
        <v>6138</v>
      </c>
      <c r="D369" t="s">
        <v>11612</v>
      </c>
      <c r="E369" t="s">
        <v>34</v>
      </c>
      <c r="F369" t="s">
        <v>81</v>
      </c>
      <c r="G369" t="s">
        <v>11613</v>
      </c>
      <c r="H369">
        <v>16.899999999999999</v>
      </c>
      <c r="I369">
        <v>0</v>
      </c>
      <c r="J369">
        <v>0</v>
      </c>
      <c r="K369">
        <v>20</v>
      </c>
      <c r="N369">
        <v>3</v>
      </c>
      <c r="O369">
        <v>3</v>
      </c>
      <c r="P369">
        <v>0</v>
      </c>
      <c r="Q369">
        <v>0</v>
      </c>
      <c r="R369">
        <v>39.9</v>
      </c>
      <c r="S369">
        <v>37</v>
      </c>
      <c r="T369">
        <v>37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37</v>
      </c>
      <c r="AB369">
        <v>0</v>
      </c>
      <c r="AC369">
        <v>0</v>
      </c>
      <c r="AG369" t="s">
        <v>130</v>
      </c>
      <c r="AH369">
        <v>76.900000000000006</v>
      </c>
    </row>
    <row r="370" spans="1:34" x14ac:dyDescent="0.3">
      <c r="A370" s="4">
        <v>548</v>
      </c>
      <c r="B370" s="5">
        <v>363</v>
      </c>
      <c r="C370">
        <v>15236</v>
      </c>
      <c r="D370" t="s">
        <v>4070</v>
      </c>
      <c r="E370" t="s">
        <v>41</v>
      </c>
      <c r="F370" t="s">
        <v>190</v>
      </c>
      <c r="G370" t="s">
        <v>11614</v>
      </c>
      <c r="H370">
        <v>20.88</v>
      </c>
      <c r="I370">
        <v>0</v>
      </c>
      <c r="J370">
        <v>0</v>
      </c>
      <c r="K370">
        <v>20</v>
      </c>
      <c r="L370">
        <v>7</v>
      </c>
      <c r="M370">
        <v>5</v>
      </c>
      <c r="O370">
        <v>12</v>
      </c>
      <c r="P370">
        <v>4</v>
      </c>
      <c r="Q370">
        <v>2</v>
      </c>
      <c r="R370">
        <v>58.88</v>
      </c>
      <c r="S370">
        <v>18</v>
      </c>
      <c r="T370">
        <v>18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18</v>
      </c>
      <c r="AB370">
        <v>0</v>
      </c>
      <c r="AC370">
        <v>0</v>
      </c>
      <c r="AG370" t="s">
        <v>130</v>
      </c>
      <c r="AH370">
        <v>76.88</v>
      </c>
    </row>
    <row r="371" spans="1:34" x14ac:dyDescent="0.3">
      <c r="A371" s="4">
        <v>549</v>
      </c>
      <c r="B371" s="5">
        <v>364</v>
      </c>
      <c r="C371">
        <v>6713</v>
      </c>
      <c r="D371" t="s">
        <v>11615</v>
      </c>
      <c r="E371" t="s">
        <v>139</v>
      </c>
      <c r="F371" t="s">
        <v>81</v>
      </c>
      <c r="G371" t="s">
        <v>11616</v>
      </c>
      <c r="H371">
        <v>17.7</v>
      </c>
      <c r="I371">
        <v>0</v>
      </c>
      <c r="J371">
        <v>0</v>
      </c>
      <c r="K371">
        <v>20</v>
      </c>
      <c r="L371">
        <v>7</v>
      </c>
      <c r="N371">
        <v>3</v>
      </c>
      <c r="O371">
        <v>10</v>
      </c>
      <c r="P371">
        <v>4</v>
      </c>
      <c r="Q371">
        <v>2</v>
      </c>
      <c r="R371">
        <v>53.7</v>
      </c>
      <c r="S371">
        <v>20</v>
      </c>
      <c r="T371">
        <v>20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20</v>
      </c>
      <c r="AB371">
        <v>3</v>
      </c>
      <c r="AC371">
        <v>0</v>
      </c>
      <c r="AG371" t="s">
        <v>130</v>
      </c>
      <c r="AH371">
        <v>76.7</v>
      </c>
    </row>
    <row r="372" spans="1:34" x14ac:dyDescent="0.3">
      <c r="A372" s="4">
        <v>550</v>
      </c>
      <c r="B372" s="5">
        <v>365</v>
      </c>
      <c r="C372">
        <v>5028</v>
      </c>
      <c r="D372" t="s">
        <v>11617</v>
      </c>
      <c r="E372" t="s">
        <v>594</v>
      </c>
      <c r="F372" t="s">
        <v>38</v>
      </c>
      <c r="G372" t="s">
        <v>11618</v>
      </c>
      <c r="H372">
        <v>19.53</v>
      </c>
      <c r="I372">
        <v>0</v>
      </c>
      <c r="J372">
        <v>0</v>
      </c>
      <c r="K372">
        <v>20</v>
      </c>
      <c r="L372">
        <v>7</v>
      </c>
      <c r="N372">
        <v>3</v>
      </c>
      <c r="O372">
        <v>10</v>
      </c>
      <c r="P372">
        <v>4</v>
      </c>
      <c r="Q372">
        <v>2</v>
      </c>
      <c r="R372">
        <v>55.53</v>
      </c>
      <c r="S372">
        <v>18</v>
      </c>
      <c r="T372">
        <v>18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18</v>
      </c>
      <c r="AB372">
        <v>3</v>
      </c>
      <c r="AC372">
        <v>0</v>
      </c>
      <c r="AG372" t="s">
        <v>130</v>
      </c>
      <c r="AH372">
        <v>76.53</v>
      </c>
    </row>
    <row r="373" spans="1:34" x14ac:dyDescent="0.3">
      <c r="A373" s="4">
        <v>551</v>
      </c>
      <c r="B373" s="5">
        <v>366</v>
      </c>
      <c r="C373">
        <v>7561</v>
      </c>
      <c r="D373" t="s">
        <v>8142</v>
      </c>
      <c r="E373" t="s">
        <v>26</v>
      </c>
      <c r="F373" t="s">
        <v>385</v>
      </c>
      <c r="G373" t="s">
        <v>11619</v>
      </c>
      <c r="H373">
        <v>17.5</v>
      </c>
      <c r="I373">
        <v>0</v>
      </c>
      <c r="J373">
        <v>0</v>
      </c>
      <c r="K373">
        <v>20</v>
      </c>
      <c r="L373">
        <v>7</v>
      </c>
      <c r="M373">
        <v>5</v>
      </c>
      <c r="O373">
        <v>12</v>
      </c>
      <c r="P373">
        <v>4</v>
      </c>
      <c r="Q373">
        <v>2</v>
      </c>
      <c r="R373">
        <v>55.5</v>
      </c>
      <c r="S373">
        <v>18</v>
      </c>
      <c r="T373">
        <v>18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18</v>
      </c>
      <c r="AB373">
        <v>3</v>
      </c>
      <c r="AC373">
        <v>0</v>
      </c>
      <c r="AG373" t="s">
        <v>130</v>
      </c>
      <c r="AH373">
        <v>76.5</v>
      </c>
    </row>
    <row r="374" spans="1:34" x14ac:dyDescent="0.3">
      <c r="A374" s="4">
        <v>552</v>
      </c>
      <c r="B374" s="5">
        <v>367</v>
      </c>
      <c r="C374">
        <v>8834</v>
      </c>
      <c r="D374" t="s">
        <v>11620</v>
      </c>
      <c r="E374" t="s">
        <v>166</v>
      </c>
      <c r="F374" t="s">
        <v>750</v>
      </c>
      <c r="G374" t="s">
        <v>11621</v>
      </c>
      <c r="H374">
        <v>18.829999999999998</v>
      </c>
      <c r="I374">
        <v>0</v>
      </c>
      <c r="J374">
        <v>0</v>
      </c>
      <c r="K374">
        <v>20</v>
      </c>
      <c r="L374">
        <v>7</v>
      </c>
      <c r="N374">
        <v>3</v>
      </c>
      <c r="O374">
        <v>10</v>
      </c>
      <c r="P374">
        <v>4</v>
      </c>
      <c r="Q374">
        <v>2</v>
      </c>
      <c r="R374">
        <v>54.83</v>
      </c>
      <c r="S374">
        <v>18</v>
      </c>
      <c r="T374">
        <v>18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18</v>
      </c>
      <c r="AB374">
        <v>3</v>
      </c>
      <c r="AC374">
        <v>0</v>
      </c>
      <c r="AG374" t="s">
        <v>130</v>
      </c>
      <c r="AH374">
        <v>75.83</v>
      </c>
    </row>
    <row r="375" spans="1:34" x14ac:dyDescent="0.3">
      <c r="A375" s="4">
        <v>553</v>
      </c>
      <c r="B375" s="5">
        <v>368</v>
      </c>
      <c r="C375">
        <v>11572</v>
      </c>
      <c r="D375" t="s">
        <v>11622</v>
      </c>
      <c r="E375" t="s">
        <v>268</v>
      </c>
      <c r="F375" t="s">
        <v>136</v>
      </c>
      <c r="G375" t="s">
        <v>11623</v>
      </c>
      <c r="H375">
        <v>19.8</v>
      </c>
      <c r="I375">
        <v>0</v>
      </c>
      <c r="J375">
        <v>0</v>
      </c>
      <c r="K375">
        <v>20</v>
      </c>
      <c r="L375">
        <v>7</v>
      </c>
      <c r="M375">
        <v>5</v>
      </c>
      <c r="O375">
        <v>12</v>
      </c>
      <c r="P375">
        <v>4</v>
      </c>
      <c r="Q375">
        <v>2</v>
      </c>
      <c r="R375">
        <v>57.8</v>
      </c>
      <c r="S375">
        <v>18</v>
      </c>
      <c r="T375">
        <v>18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18</v>
      </c>
      <c r="AB375">
        <v>0</v>
      </c>
      <c r="AC375">
        <v>0</v>
      </c>
      <c r="AG375" t="s">
        <v>130</v>
      </c>
      <c r="AH375">
        <v>75.8</v>
      </c>
    </row>
    <row r="376" spans="1:34" x14ac:dyDescent="0.3">
      <c r="A376" s="4">
        <v>554</v>
      </c>
      <c r="B376" s="5">
        <v>369</v>
      </c>
      <c r="C376">
        <v>12363</v>
      </c>
      <c r="D376" t="s">
        <v>11624</v>
      </c>
      <c r="E376" t="s">
        <v>11625</v>
      </c>
      <c r="F376" t="s">
        <v>117</v>
      </c>
      <c r="G376" t="s">
        <v>11626</v>
      </c>
      <c r="H376">
        <v>17.649999999999999</v>
      </c>
      <c r="I376">
        <v>0</v>
      </c>
      <c r="J376">
        <v>0</v>
      </c>
      <c r="K376">
        <v>20</v>
      </c>
      <c r="M376">
        <v>10</v>
      </c>
      <c r="O376">
        <v>10</v>
      </c>
      <c r="P376">
        <v>4</v>
      </c>
      <c r="Q376">
        <v>0</v>
      </c>
      <c r="R376">
        <v>51.65</v>
      </c>
      <c r="S376">
        <v>18</v>
      </c>
      <c r="T376">
        <v>18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18</v>
      </c>
      <c r="AB376">
        <v>6</v>
      </c>
      <c r="AC376">
        <v>0</v>
      </c>
      <c r="AG376" t="s">
        <v>130</v>
      </c>
      <c r="AH376">
        <v>75.650000000000006</v>
      </c>
    </row>
    <row r="377" spans="1:34" x14ac:dyDescent="0.3">
      <c r="A377" s="4">
        <v>555</v>
      </c>
      <c r="B377" s="5">
        <v>370</v>
      </c>
      <c r="C377">
        <v>470</v>
      </c>
      <c r="D377" t="s">
        <v>11627</v>
      </c>
      <c r="E377" t="s">
        <v>11628</v>
      </c>
      <c r="F377" t="s">
        <v>17</v>
      </c>
      <c r="G377" t="s">
        <v>11629</v>
      </c>
      <c r="H377">
        <v>17.43</v>
      </c>
      <c r="I377">
        <v>0</v>
      </c>
      <c r="J377">
        <v>0</v>
      </c>
      <c r="K377">
        <v>20</v>
      </c>
      <c r="M377">
        <v>5</v>
      </c>
      <c r="O377">
        <v>5</v>
      </c>
      <c r="P377">
        <v>4</v>
      </c>
      <c r="Q377">
        <v>0</v>
      </c>
      <c r="R377">
        <v>46.43</v>
      </c>
      <c r="S377">
        <v>23</v>
      </c>
      <c r="T377">
        <v>23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23</v>
      </c>
      <c r="AB377">
        <v>6</v>
      </c>
      <c r="AC377">
        <v>0</v>
      </c>
      <c r="AG377" t="s">
        <v>130</v>
      </c>
      <c r="AH377">
        <v>75.430000000000007</v>
      </c>
    </row>
    <row r="378" spans="1:34" x14ac:dyDescent="0.3">
      <c r="A378" s="4">
        <v>556</v>
      </c>
      <c r="B378" s="5">
        <v>371</v>
      </c>
      <c r="C378">
        <v>3046</v>
      </c>
      <c r="D378" t="s">
        <v>2416</v>
      </c>
      <c r="E378" t="s">
        <v>161</v>
      </c>
      <c r="F378" t="s">
        <v>230</v>
      </c>
      <c r="G378" t="s">
        <v>11630</v>
      </c>
      <c r="H378">
        <v>20.100000000000001</v>
      </c>
      <c r="I378">
        <v>0</v>
      </c>
      <c r="J378">
        <v>0</v>
      </c>
      <c r="K378">
        <v>20</v>
      </c>
      <c r="L378">
        <v>7</v>
      </c>
      <c r="M378">
        <v>5</v>
      </c>
      <c r="O378">
        <v>12</v>
      </c>
      <c r="P378">
        <v>4</v>
      </c>
      <c r="Q378">
        <v>2</v>
      </c>
      <c r="R378">
        <v>58.1</v>
      </c>
      <c r="S378">
        <v>14</v>
      </c>
      <c r="T378">
        <v>14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14</v>
      </c>
      <c r="AB378">
        <v>3</v>
      </c>
      <c r="AC378">
        <v>0</v>
      </c>
      <c r="AG378" t="s">
        <v>130</v>
      </c>
      <c r="AH378">
        <v>75.099999999999994</v>
      </c>
    </row>
    <row r="379" spans="1:34" x14ac:dyDescent="0.3">
      <c r="A379" s="4">
        <v>557</v>
      </c>
      <c r="B379" s="5">
        <v>372</v>
      </c>
      <c r="C379">
        <v>3150</v>
      </c>
      <c r="D379" t="s">
        <v>11631</v>
      </c>
      <c r="E379" t="s">
        <v>158</v>
      </c>
      <c r="F379" t="s">
        <v>117</v>
      </c>
      <c r="G379" t="s">
        <v>11632</v>
      </c>
      <c r="H379">
        <v>16.350000000000001</v>
      </c>
      <c r="I379">
        <v>0</v>
      </c>
      <c r="J379">
        <v>0</v>
      </c>
      <c r="K379">
        <v>20</v>
      </c>
      <c r="L379">
        <v>14</v>
      </c>
      <c r="O379">
        <v>14</v>
      </c>
      <c r="P379">
        <v>4</v>
      </c>
      <c r="Q379">
        <v>2</v>
      </c>
      <c r="R379">
        <v>56.35</v>
      </c>
      <c r="S379">
        <v>18</v>
      </c>
      <c r="T379">
        <v>18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18</v>
      </c>
      <c r="AB379">
        <v>0</v>
      </c>
      <c r="AC379">
        <v>0</v>
      </c>
      <c r="AG379" t="s">
        <v>130</v>
      </c>
      <c r="AH379">
        <v>74.349999999999994</v>
      </c>
    </row>
    <row r="380" spans="1:34" x14ac:dyDescent="0.3">
      <c r="A380" s="4">
        <v>558</v>
      </c>
      <c r="B380" s="5">
        <v>373</v>
      </c>
      <c r="C380">
        <v>7070</v>
      </c>
      <c r="D380" t="s">
        <v>11633</v>
      </c>
      <c r="E380" t="s">
        <v>54</v>
      </c>
      <c r="F380" t="s">
        <v>10805</v>
      </c>
      <c r="G380" t="s">
        <v>11634</v>
      </c>
      <c r="H380">
        <v>20.95</v>
      </c>
      <c r="I380">
        <v>0</v>
      </c>
      <c r="J380">
        <v>0</v>
      </c>
      <c r="K380">
        <v>20</v>
      </c>
      <c r="N380">
        <v>6</v>
      </c>
      <c r="O380">
        <v>6</v>
      </c>
      <c r="P380">
        <v>4</v>
      </c>
      <c r="Q380">
        <v>2</v>
      </c>
      <c r="R380">
        <v>52.95</v>
      </c>
      <c r="S380">
        <v>18</v>
      </c>
      <c r="T380">
        <v>18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18</v>
      </c>
      <c r="AB380">
        <v>3</v>
      </c>
      <c r="AC380">
        <v>0</v>
      </c>
      <c r="AG380" t="s">
        <v>130</v>
      </c>
      <c r="AH380">
        <v>73.95</v>
      </c>
    </row>
    <row r="381" spans="1:34" x14ac:dyDescent="0.3">
      <c r="A381" s="4">
        <v>559</v>
      </c>
      <c r="B381" s="5">
        <v>374</v>
      </c>
      <c r="C381">
        <v>4557</v>
      </c>
      <c r="D381" t="s">
        <v>6509</v>
      </c>
      <c r="E381" t="s">
        <v>789</v>
      </c>
      <c r="F381" t="s">
        <v>91</v>
      </c>
      <c r="G381" t="s">
        <v>11635</v>
      </c>
      <c r="H381">
        <v>16.95</v>
      </c>
      <c r="I381">
        <v>0</v>
      </c>
      <c r="J381">
        <v>0</v>
      </c>
      <c r="K381">
        <v>20</v>
      </c>
      <c r="L381">
        <v>7</v>
      </c>
      <c r="M381">
        <v>5</v>
      </c>
      <c r="O381">
        <v>12</v>
      </c>
      <c r="P381">
        <v>4</v>
      </c>
      <c r="Q381">
        <v>0</v>
      </c>
      <c r="R381">
        <v>52.95</v>
      </c>
      <c r="S381">
        <v>18</v>
      </c>
      <c r="T381">
        <v>18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18</v>
      </c>
      <c r="AB381">
        <v>3</v>
      </c>
      <c r="AC381">
        <v>0</v>
      </c>
      <c r="AG381" t="s">
        <v>130</v>
      </c>
      <c r="AH381">
        <v>73.95</v>
      </c>
    </row>
    <row r="382" spans="1:34" x14ac:dyDescent="0.3">
      <c r="A382" s="4">
        <v>560</v>
      </c>
      <c r="B382" s="5">
        <v>375</v>
      </c>
      <c r="C382">
        <v>11706</v>
      </c>
      <c r="D382" t="s">
        <v>11636</v>
      </c>
      <c r="E382" t="s">
        <v>29</v>
      </c>
      <c r="F382" t="s">
        <v>38</v>
      </c>
      <c r="G382" t="s">
        <v>11637</v>
      </c>
      <c r="H382">
        <v>15.8</v>
      </c>
      <c r="I382">
        <v>0</v>
      </c>
      <c r="J382">
        <v>0</v>
      </c>
      <c r="K382">
        <v>20</v>
      </c>
      <c r="L382">
        <v>7</v>
      </c>
      <c r="O382">
        <v>7</v>
      </c>
      <c r="P382">
        <v>4</v>
      </c>
      <c r="Q382">
        <v>2</v>
      </c>
      <c r="R382">
        <v>48.8</v>
      </c>
      <c r="S382">
        <v>25</v>
      </c>
      <c r="T382">
        <v>25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25</v>
      </c>
      <c r="AB382">
        <v>0</v>
      </c>
      <c r="AC382">
        <v>0</v>
      </c>
      <c r="AG382" t="s">
        <v>130</v>
      </c>
      <c r="AH382">
        <v>73.8</v>
      </c>
    </row>
    <row r="383" spans="1:34" x14ac:dyDescent="0.3">
      <c r="A383" s="4">
        <v>561</v>
      </c>
      <c r="B383" s="5">
        <v>376</v>
      </c>
      <c r="C383">
        <v>8585</v>
      </c>
      <c r="D383" t="s">
        <v>2236</v>
      </c>
      <c r="E383" t="s">
        <v>54</v>
      </c>
      <c r="F383" t="s">
        <v>20</v>
      </c>
      <c r="G383" t="s">
        <v>11638</v>
      </c>
      <c r="H383">
        <v>19.25</v>
      </c>
      <c r="I383">
        <v>0</v>
      </c>
      <c r="J383">
        <v>0</v>
      </c>
      <c r="K383">
        <v>20</v>
      </c>
      <c r="L383">
        <v>7</v>
      </c>
      <c r="M383">
        <v>5</v>
      </c>
      <c r="O383">
        <v>12</v>
      </c>
      <c r="P383">
        <v>4</v>
      </c>
      <c r="Q383">
        <v>0</v>
      </c>
      <c r="R383">
        <v>55.25</v>
      </c>
      <c r="S383">
        <v>18</v>
      </c>
      <c r="T383">
        <v>18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18</v>
      </c>
      <c r="AB383">
        <v>0</v>
      </c>
      <c r="AC383">
        <v>0</v>
      </c>
      <c r="AD383" t="s">
        <v>130</v>
      </c>
      <c r="AG383" t="s">
        <v>130</v>
      </c>
      <c r="AH383">
        <v>73.25</v>
      </c>
    </row>
    <row r="384" spans="1:34" x14ac:dyDescent="0.3">
      <c r="A384" s="4">
        <v>562</v>
      </c>
      <c r="B384" s="5">
        <v>377</v>
      </c>
      <c r="C384">
        <v>3850</v>
      </c>
      <c r="D384" t="s">
        <v>1703</v>
      </c>
      <c r="E384" t="s">
        <v>1280</v>
      </c>
      <c r="F384" t="s">
        <v>570</v>
      </c>
      <c r="G384">
        <v>125058</v>
      </c>
      <c r="H384">
        <v>19.23</v>
      </c>
      <c r="I384">
        <v>0</v>
      </c>
      <c r="J384">
        <v>0</v>
      </c>
      <c r="K384">
        <v>20</v>
      </c>
      <c r="L384">
        <v>7</v>
      </c>
      <c r="N384">
        <v>3</v>
      </c>
      <c r="O384">
        <v>10</v>
      </c>
      <c r="P384">
        <v>4</v>
      </c>
      <c r="Q384">
        <v>2</v>
      </c>
      <c r="R384">
        <v>55.23</v>
      </c>
      <c r="S384">
        <v>18</v>
      </c>
      <c r="T384">
        <v>18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18</v>
      </c>
      <c r="AB384">
        <v>0</v>
      </c>
      <c r="AC384">
        <v>0</v>
      </c>
      <c r="AG384" t="s">
        <v>130</v>
      </c>
      <c r="AH384">
        <v>73.23</v>
      </c>
    </row>
    <row r="385" spans="1:34" x14ac:dyDescent="0.3">
      <c r="A385" s="4">
        <v>563</v>
      </c>
      <c r="B385" s="5">
        <v>378</v>
      </c>
      <c r="C385">
        <v>839</v>
      </c>
      <c r="D385" t="s">
        <v>11639</v>
      </c>
      <c r="E385" t="s">
        <v>38</v>
      </c>
      <c r="F385" t="s">
        <v>81</v>
      </c>
      <c r="G385" t="s">
        <v>11640</v>
      </c>
      <c r="H385">
        <v>17.100000000000001</v>
      </c>
      <c r="I385">
        <v>0</v>
      </c>
      <c r="J385">
        <v>0</v>
      </c>
      <c r="K385">
        <v>0</v>
      </c>
      <c r="O385">
        <v>0</v>
      </c>
      <c r="P385">
        <v>4</v>
      </c>
      <c r="Q385">
        <v>0</v>
      </c>
      <c r="R385">
        <v>21.1</v>
      </c>
      <c r="S385">
        <v>52</v>
      </c>
      <c r="T385">
        <v>52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52</v>
      </c>
      <c r="AB385">
        <v>0</v>
      </c>
      <c r="AC385">
        <v>0</v>
      </c>
      <c r="AG385" t="s">
        <v>130</v>
      </c>
      <c r="AH385">
        <v>73.099999999999994</v>
      </c>
    </row>
    <row r="386" spans="1:34" x14ac:dyDescent="0.3">
      <c r="A386" s="4">
        <v>564</v>
      </c>
      <c r="B386" s="5">
        <v>379</v>
      </c>
      <c r="C386">
        <v>11139</v>
      </c>
      <c r="D386" t="s">
        <v>10138</v>
      </c>
      <c r="E386" t="s">
        <v>3449</v>
      </c>
      <c r="F386" t="s">
        <v>30</v>
      </c>
      <c r="G386" t="s">
        <v>11641</v>
      </c>
      <c r="H386">
        <v>19</v>
      </c>
      <c r="I386">
        <v>0</v>
      </c>
      <c r="J386">
        <v>0</v>
      </c>
      <c r="K386">
        <v>20</v>
      </c>
      <c r="L386">
        <v>7</v>
      </c>
      <c r="O386">
        <v>7</v>
      </c>
      <c r="P386">
        <v>4</v>
      </c>
      <c r="Q386">
        <v>0</v>
      </c>
      <c r="R386">
        <v>50</v>
      </c>
      <c r="S386">
        <v>23</v>
      </c>
      <c r="T386">
        <v>23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23</v>
      </c>
      <c r="AB386">
        <v>0</v>
      </c>
      <c r="AC386">
        <v>0</v>
      </c>
      <c r="AD386" t="s">
        <v>130</v>
      </c>
      <c r="AG386" t="s">
        <v>130</v>
      </c>
      <c r="AH386">
        <v>73</v>
      </c>
    </row>
    <row r="387" spans="1:34" x14ac:dyDescent="0.3">
      <c r="A387" s="4">
        <v>565</v>
      </c>
      <c r="B387" s="5">
        <v>380</v>
      </c>
      <c r="C387">
        <v>2712</v>
      </c>
      <c r="D387" t="s">
        <v>1133</v>
      </c>
      <c r="E387" t="s">
        <v>54</v>
      </c>
      <c r="F387" t="s">
        <v>11642</v>
      </c>
      <c r="G387" t="s">
        <v>11643</v>
      </c>
      <c r="H387">
        <v>23.73</v>
      </c>
      <c r="I387">
        <v>0</v>
      </c>
      <c r="J387">
        <v>0</v>
      </c>
      <c r="K387">
        <v>20</v>
      </c>
      <c r="L387">
        <v>7</v>
      </c>
      <c r="O387">
        <v>7</v>
      </c>
      <c r="P387">
        <v>4</v>
      </c>
      <c r="Q387">
        <v>0</v>
      </c>
      <c r="R387">
        <v>54.73</v>
      </c>
      <c r="S387">
        <v>18</v>
      </c>
      <c r="T387">
        <v>18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18</v>
      </c>
      <c r="AB387">
        <v>0</v>
      </c>
      <c r="AC387">
        <v>0</v>
      </c>
      <c r="AG387" t="s">
        <v>130</v>
      </c>
      <c r="AH387">
        <v>72.73</v>
      </c>
    </row>
    <row r="388" spans="1:34" x14ac:dyDescent="0.3">
      <c r="A388" s="4">
        <v>566</v>
      </c>
      <c r="B388" s="5">
        <v>381</v>
      </c>
      <c r="C388">
        <v>12595</v>
      </c>
      <c r="D388" t="s">
        <v>8138</v>
      </c>
      <c r="E388" t="s">
        <v>161</v>
      </c>
      <c r="F388" t="s">
        <v>38</v>
      </c>
      <c r="G388" t="s">
        <v>11644</v>
      </c>
      <c r="H388">
        <v>21.43</v>
      </c>
      <c r="I388">
        <v>0</v>
      </c>
      <c r="J388">
        <v>0</v>
      </c>
      <c r="K388">
        <v>20</v>
      </c>
      <c r="L388">
        <v>7</v>
      </c>
      <c r="N388">
        <v>3</v>
      </c>
      <c r="O388">
        <v>10</v>
      </c>
      <c r="P388">
        <v>4</v>
      </c>
      <c r="Q388">
        <v>0</v>
      </c>
      <c r="R388">
        <v>55.43</v>
      </c>
      <c r="S388">
        <v>17</v>
      </c>
      <c r="T388">
        <v>17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17</v>
      </c>
      <c r="AB388">
        <v>0</v>
      </c>
      <c r="AC388">
        <v>0</v>
      </c>
      <c r="AG388" t="s">
        <v>130</v>
      </c>
      <c r="AH388">
        <v>72.430000000000007</v>
      </c>
    </row>
    <row r="389" spans="1:34" x14ac:dyDescent="0.3">
      <c r="A389" s="4">
        <v>567</v>
      </c>
      <c r="B389" s="5">
        <v>382</v>
      </c>
      <c r="C389">
        <v>12141</v>
      </c>
      <c r="D389" t="s">
        <v>11645</v>
      </c>
      <c r="E389" t="s">
        <v>132</v>
      </c>
      <c r="F389" t="s">
        <v>11646</v>
      </c>
      <c r="G389" t="s">
        <v>11647</v>
      </c>
      <c r="H389">
        <v>19.329999999999998</v>
      </c>
      <c r="I389">
        <v>0</v>
      </c>
      <c r="J389">
        <v>0</v>
      </c>
      <c r="K389">
        <v>28</v>
      </c>
      <c r="L389">
        <v>7</v>
      </c>
      <c r="M389">
        <v>5</v>
      </c>
      <c r="O389">
        <v>12</v>
      </c>
      <c r="P389">
        <v>4</v>
      </c>
      <c r="Q389">
        <v>0</v>
      </c>
      <c r="R389">
        <v>63.33</v>
      </c>
      <c r="S389">
        <v>9</v>
      </c>
      <c r="T389">
        <v>9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9</v>
      </c>
      <c r="AB389">
        <v>0</v>
      </c>
      <c r="AC389">
        <v>0</v>
      </c>
      <c r="AG389" t="s">
        <v>130</v>
      </c>
      <c r="AH389">
        <v>72.33</v>
      </c>
    </row>
    <row r="390" spans="1:34" x14ac:dyDescent="0.3">
      <c r="A390" s="4">
        <v>568</v>
      </c>
      <c r="B390" s="5">
        <v>383</v>
      </c>
      <c r="C390">
        <v>718</v>
      </c>
      <c r="D390" t="s">
        <v>682</v>
      </c>
      <c r="E390" t="s">
        <v>2758</v>
      </c>
      <c r="F390" t="s">
        <v>442</v>
      </c>
      <c r="G390" t="s">
        <v>11648</v>
      </c>
      <c r="H390">
        <v>17.13</v>
      </c>
      <c r="I390">
        <v>0</v>
      </c>
      <c r="J390">
        <v>0</v>
      </c>
      <c r="K390">
        <v>20</v>
      </c>
      <c r="L390">
        <v>7</v>
      </c>
      <c r="N390">
        <v>3</v>
      </c>
      <c r="O390">
        <v>10</v>
      </c>
      <c r="P390">
        <v>4</v>
      </c>
      <c r="Q390">
        <v>0</v>
      </c>
      <c r="R390">
        <v>51.13</v>
      </c>
      <c r="S390">
        <v>18</v>
      </c>
      <c r="T390">
        <v>18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18</v>
      </c>
      <c r="AB390">
        <v>3</v>
      </c>
      <c r="AC390">
        <v>0</v>
      </c>
      <c r="AG390" t="s">
        <v>130</v>
      </c>
      <c r="AH390">
        <v>72.13</v>
      </c>
    </row>
    <row r="391" spans="1:34" x14ac:dyDescent="0.3">
      <c r="A391" s="4">
        <v>569</v>
      </c>
      <c r="B391" s="5">
        <v>384</v>
      </c>
      <c r="C391">
        <v>122</v>
      </c>
      <c r="D391" t="s">
        <v>4955</v>
      </c>
      <c r="E391" t="s">
        <v>29</v>
      </c>
      <c r="F391" t="s">
        <v>124</v>
      </c>
      <c r="G391" t="s">
        <v>11649</v>
      </c>
      <c r="H391">
        <v>17.73</v>
      </c>
      <c r="I391">
        <v>0</v>
      </c>
      <c r="J391">
        <v>0</v>
      </c>
      <c r="K391">
        <v>20</v>
      </c>
      <c r="L391">
        <v>7</v>
      </c>
      <c r="M391">
        <v>5</v>
      </c>
      <c r="O391">
        <v>12</v>
      </c>
      <c r="P391">
        <v>4</v>
      </c>
      <c r="Q391">
        <v>0</v>
      </c>
      <c r="R391">
        <v>53.73</v>
      </c>
      <c r="S391">
        <v>15</v>
      </c>
      <c r="T391">
        <v>15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15</v>
      </c>
      <c r="AB391">
        <v>3</v>
      </c>
      <c r="AC391">
        <v>0</v>
      </c>
      <c r="AG391" t="s">
        <v>130</v>
      </c>
      <c r="AH391">
        <v>71.73</v>
      </c>
    </row>
    <row r="392" spans="1:34" x14ac:dyDescent="0.3">
      <c r="A392" s="4">
        <v>570</v>
      </c>
      <c r="B392" s="5">
        <v>385</v>
      </c>
      <c r="C392">
        <v>7125</v>
      </c>
      <c r="D392" t="s">
        <v>11650</v>
      </c>
      <c r="E392" t="s">
        <v>166</v>
      </c>
      <c r="F392" t="s">
        <v>343</v>
      </c>
      <c r="G392" t="s">
        <v>11651</v>
      </c>
      <c r="H392">
        <v>19.68</v>
      </c>
      <c r="I392">
        <v>0</v>
      </c>
      <c r="J392">
        <v>0</v>
      </c>
      <c r="K392">
        <v>20</v>
      </c>
      <c r="L392">
        <v>7</v>
      </c>
      <c r="O392">
        <v>7</v>
      </c>
      <c r="P392">
        <v>4</v>
      </c>
      <c r="Q392">
        <v>0</v>
      </c>
      <c r="R392">
        <v>50.68</v>
      </c>
      <c r="S392">
        <v>18</v>
      </c>
      <c r="T392">
        <v>18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18</v>
      </c>
      <c r="AB392">
        <v>3</v>
      </c>
      <c r="AC392">
        <v>0</v>
      </c>
      <c r="AG392" t="s">
        <v>130</v>
      </c>
      <c r="AH392">
        <v>71.680000000000007</v>
      </c>
    </row>
    <row r="393" spans="1:34" x14ac:dyDescent="0.3">
      <c r="A393" s="4">
        <v>571</v>
      </c>
      <c r="B393" s="5">
        <v>386</v>
      </c>
      <c r="C393">
        <v>15482</v>
      </c>
      <c r="D393" t="s">
        <v>1703</v>
      </c>
      <c r="E393" t="s">
        <v>54</v>
      </c>
      <c r="F393" t="s">
        <v>124</v>
      </c>
      <c r="G393" t="s">
        <v>11652</v>
      </c>
      <c r="H393">
        <v>21.48</v>
      </c>
      <c r="I393">
        <v>0</v>
      </c>
      <c r="J393">
        <v>0</v>
      </c>
      <c r="K393">
        <v>28</v>
      </c>
      <c r="L393">
        <v>7</v>
      </c>
      <c r="O393">
        <v>7</v>
      </c>
      <c r="P393">
        <v>4</v>
      </c>
      <c r="Q393">
        <v>0</v>
      </c>
      <c r="R393">
        <v>60.48</v>
      </c>
      <c r="S393">
        <v>8</v>
      </c>
      <c r="T393">
        <v>8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8</v>
      </c>
      <c r="AB393">
        <v>3</v>
      </c>
      <c r="AC393">
        <v>0</v>
      </c>
      <c r="AG393" t="s">
        <v>130</v>
      </c>
      <c r="AH393">
        <v>71.48</v>
      </c>
    </row>
    <row r="394" spans="1:34" x14ac:dyDescent="0.3">
      <c r="A394" s="4">
        <v>572</v>
      </c>
      <c r="B394" s="5">
        <v>387</v>
      </c>
      <c r="C394">
        <v>1177</v>
      </c>
      <c r="D394" t="s">
        <v>5106</v>
      </c>
      <c r="E394" t="s">
        <v>54</v>
      </c>
      <c r="F394" t="s">
        <v>38</v>
      </c>
      <c r="G394" t="s">
        <v>11653</v>
      </c>
      <c r="H394">
        <v>19.48</v>
      </c>
      <c r="I394">
        <v>0</v>
      </c>
      <c r="J394">
        <v>0</v>
      </c>
      <c r="K394">
        <v>20</v>
      </c>
      <c r="L394">
        <v>7</v>
      </c>
      <c r="O394">
        <v>7</v>
      </c>
      <c r="P394">
        <v>4</v>
      </c>
      <c r="Q394">
        <v>2</v>
      </c>
      <c r="R394">
        <v>52.48</v>
      </c>
      <c r="S394">
        <v>19</v>
      </c>
      <c r="T394">
        <v>19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19</v>
      </c>
      <c r="AB394">
        <v>0</v>
      </c>
      <c r="AC394">
        <v>0</v>
      </c>
      <c r="AG394" t="s">
        <v>130</v>
      </c>
      <c r="AH394">
        <v>71.48</v>
      </c>
    </row>
    <row r="395" spans="1:34" x14ac:dyDescent="0.3">
      <c r="A395" s="4">
        <v>573</v>
      </c>
      <c r="B395" s="5">
        <v>388</v>
      </c>
      <c r="C395">
        <v>2678</v>
      </c>
      <c r="D395" t="s">
        <v>28</v>
      </c>
      <c r="E395" t="s">
        <v>11654</v>
      </c>
      <c r="F395" t="s">
        <v>442</v>
      </c>
      <c r="G395" t="s">
        <v>11655</v>
      </c>
      <c r="H395">
        <v>19.399999999999999</v>
      </c>
      <c r="I395">
        <v>0</v>
      </c>
      <c r="J395">
        <v>0</v>
      </c>
      <c r="K395">
        <v>20</v>
      </c>
      <c r="L395">
        <v>7</v>
      </c>
      <c r="M395">
        <v>5</v>
      </c>
      <c r="O395">
        <v>12</v>
      </c>
      <c r="P395">
        <v>4</v>
      </c>
      <c r="Q395">
        <v>2</v>
      </c>
      <c r="R395">
        <v>57.4</v>
      </c>
      <c r="S395">
        <v>14</v>
      </c>
      <c r="T395">
        <v>14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14</v>
      </c>
      <c r="AB395">
        <v>0</v>
      </c>
      <c r="AC395">
        <v>0</v>
      </c>
      <c r="AG395" t="s">
        <v>130</v>
      </c>
      <c r="AH395">
        <v>71.400000000000006</v>
      </c>
    </row>
    <row r="396" spans="1:34" x14ac:dyDescent="0.3">
      <c r="A396" s="4">
        <v>574</v>
      </c>
      <c r="B396" s="5">
        <v>389</v>
      </c>
      <c r="C396">
        <v>12660</v>
      </c>
      <c r="D396" t="s">
        <v>11656</v>
      </c>
      <c r="E396" t="s">
        <v>967</v>
      </c>
      <c r="F396" t="s">
        <v>6208</v>
      </c>
      <c r="G396" t="s">
        <v>11657</v>
      </c>
      <c r="H396">
        <v>17.93</v>
      </c>
      <c r="I396">
        <v>0</v>
      </c>
      <c r="J396">
        <v>0</v>
      </c>
      <c r="K396">
        <v>20</v>
      </c>
      <c r="L396">
        <v>14</v>
      </c>
      <c r="O396">
        <v>14</v>
      </c>
      <c r="P396">
        <v>4</v>
      </c>
      <c r="Q396">
        <v>2</v>
      </c>
      <c r="R396">
        <v>57.93</v>
      </c>
      <c r="S396">
        <v>13</v>
      </c>
      <c r="T396">
        <v>13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13</v>
      </c>
      <c r="AB396">
        <v>0</v>
      </c>
      <c r="AC396">
        <v>0</v>
      </c>
      <c r="AG396" t="s">
        <v>130</v>
      </c>
      <c r="AH396">
        <v>70.930000000000007</v>
      </c>
    </row>
    <row r="397" spans="1:34" x14ac:dyDescent="0.3">
      <c r="A397" s="4">
        <v>575</v>
      </c>
      <c r="B397" s="5">
        <v>390</v>
      </c>
      <c r="C397">
        <v>15102</v>
      </c>
      <c r="D397" t="s">
        <v>8556</v>
      </c>
      <c r="E397" t="s">
        <v>667</v>
      </c>
      <c r="F397" t="s">
        <v>81</v>
      </c>
      <c r="G397" t="s">
        <v>11658</v>
      </c>
      <c r="H397">
        <v>22.9</v>
      </c>
      <c r="I397">
        <v>7</v>
      </c>
      <c r="J397">
        <v>0</v>
      </c>
      <c r="K397">
        <v>28</v>
      </c>
      <c r="L397">
        <v>7</v>
      </c>
      <c r="O397">
        <v>7</v>
      </c>
      <c r="P397">
        <v>0</v>
      </c>
      <c r="Q397">
        <v>0</v>
      </c>
      <c r="R397">
        <v>64.900000000000006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6</v>
      </c>
      <c r="AC397">
        <v>0</v>
      </c>
      <c r="AG397" t="s">
        <v>130</v>
      </c>
      <c r="AH397">
        <v>70.900000000000006</v>
      </c>
    </row>
    <row r="398" spans="1:34" x14ac:dyDescent="0.3">
      <c r="A398" s="4">
        <v>576</v>
      </c>
      <c r="B398" s="5">
        <v>391</v>
      </c>
      <c r="C398">
        <v>2443</v>
      </c>
      <c r="D398" t="s">
        <v>11659</v>
      </c>
      <c r="E398" t="s">
        <v>17</v>
      </c>
      <c r="F398" t="s">
        <v>30</v>
      </c>
      <c r="G398" t="s">
        <v>11660</v>
      </c>
      <c r="H398">
        <v>17.78</v>
      </c>
      <c r="I398">
        <v>0</v>
      </c>
      <c r="J398">
        <v>0</v>
      </c>
      <c r="K398">
        <v>20</v>
      </c>
      <c r="L398">
        <v>7</v>
      </c>
      <c r="N398">
        <v>3</v>
      </c>
      <c r="O398">
        <v>10</v>
      </c>
      <c r="P398">
        <v>4</v>
      </c>
      <c r="Q398">
        <v>2</v>
      </c>
      <c r="R398">
        <v>53.78</v>
      </c>
      <c r="S398">
        <v>17</v>
      </c>
      <c r="T398">
        <v>17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17</v>
      </c>
      <c r="AB398">
        <v>0</v>
      </c>
      <c r="AC398">
        <v>0</v>
      </c>
      <c r="AG398" t="s">
        <v>130</v>
      </c>
      <c r="AH398">
        <v>70.78</v>
      </c>
    </row>
    <row r="399" spans="1:34" x14ac:dyDescent="0.3">
      <c r="A399" s="4">
        <v>577</v>
      </c>
      <c r="B399" s="5">
        <v>392</v>
      </c>
      <c r="C399">
        <v>3742</v>
      </c>
      <c r="D399" t="s">
        <v>11661</v>
      </c>
      <c r="E399" t="s">
        <v>1072</v>
      </c>
      <c r="F399" t="s">
        <v>38</v>
      </c>
      <c r="G399" t="s">
        <v>11662</v>
      </c>
      <c r="H399">
        <v>23.48</v>
      </c>
      <c r="I399">
        <v>7</v>
      </c>
      <c r="J399">
        <v>0</v>
      </c>
      <c r="K399">
        <v>28</v>
      </c>
      <c r="O399">
        <v>0</v>
      </c>
      <c r="P399">
        <v>4</v>
      </c>
      <c r="Q399">
        <v>2</v>
      </c>
      <c r="R399">
        <v>64.48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6</v>
      </c>
      <c r="AC399">
        <v>0</v>
      </c>
      <c r="AG399" t="s">
        <v>130</v>
      </c>
      <c r="AH399">
        <v>70.48</v>
      </c>
    </row>
    <row r="400" spans="1:34" x14ac:dyDescent="0.3">
      <c r="A400" s="4">
        <v>578</v>
      </c>
      <c r="B400" s="5">
        <v>393</v>
      </c>
      <c r="C400">
        <v>4093</v>
      </c>
      <c r="D400" t="s">
        <v>11663</v>
      </c>
      <c r="E400" t="s">
        <v>54</v>
      </c>
      <c r="F400" t="s">
        <v>38</v>
      </c>
      <c r="G400" t="s">
        <v>11664</v>
      </c>
      <c r="H400">
        <v>19.399999999999999</v>
      </c>
      <c r="I400">
        <v>0</v>
      </c>
      <c r="J400">
        <v>0</v>
      </c>
      <c r="K400">
        <v>20</v>
      </c>
      <c r="L400">
        <v>7</v>
      </c>
      <c r="O400">
        <v>7</v>
      </c>
      <c r="P400">
        <v>4</v>
      </c>
      <c r="Q400">
        <v>2</v>
      </c>
      <c r="R400">
        <v>52.4</v>
      </c>
      <c r="S400">
        <v>18</v>
      </c>
      <c r="T400">
        <v>18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18</v>
      </c>
      <c r="AB400">
        <v>0</v>
      </c>
      <c r="AC400">
        <v>0</v>
      </c>
      <c r="AG400" t="s">
        <v>130</v>
      </c>
      <c r="AH400">
        <v>70.400000000000006</v>
      </c>
    </row>
    <row r="401" spans="1:34" x14ac:dyDescent="0.3">
      <c r="A401" s="4">
        <v>579</v>
      </c>
      <c r="B401" s="5">
        <v>394</v>
      </c>
      <c r="C401">
        <v>8077</v>
      </c>
      <c r="D401" t="s">
        <v>11665</v>
      </c>
      <c r="E401" t="s">
        <v>173</v>
      </c>
      <c r="F401" t="s">
        <v>17</v>
      </c>
      <c r="G401" t="s">
        <v>11666</v>
      </c>
      <c r="H401">
        <v>18.329999999999998</v>
      </c>
      <c r="I401">
        <v>0</v>
      </c>
      <c r="J401">
        <v>0</v>
      </c>
      <c r="K401">
        <v>20</v>
      </c>
      <c r="L401">
        <v>7</v>
      </c>
      <c r="M401">
        <v>5</v>
      </c>
      <c r="O401">
        <v>12</v>
      </c>
      <c r="P401">
        <v>4</v>
      </c>
      <c r="Q401">
        <v>0</v>
      </c>
      <c r="R401">
        <v>54.33</v>
      </c>
      <c r="S401">
        <v>16</v>
      </c>
      <c r="T401">
        <v>16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16</v>
      </c>
      <c r="AB401">
        <v>0</v>
      </c>
      <c r="AC401">
        <v>0</v>
      </c>
      <c r="AG401" t="s">
        <v>130</v>
      </c>
      <c r="AH401">
        <v>70.33</v>
      </c>
    </row>
    <row r="402" spans="1:34" x14ac:dyDescent="0.3">
      <c r="A402" s="4">
        <v>580</v>
      </c>
      <c r="B402" s="5">
        <v>395</v>
      </c>
      <c r="C402">
        <v>8712</v>
      </c>
      <c r="D402" t="s">
        <v>11667</v>
      </c>
      <c r="E402" t="s">
        <v>29</v>
      </c>
      <c r="F402" t="s">
        <v>55</v>
      </c>
      <c r="G402" t="s">
        <v>11668</v>
      </c>
      <c r="H402">
        <v>17.149999999999999</v>
      </c>
      <c r="I402">
        <v>0</v>
      </c>
      <c r="J402">
        <v>0</v>
      </c>
      <c r="K402">
        <v>20</v>
      </c>
      <c r="N402">
        <v>6</v>
      </c>
      <c r="O402">
        <v>6</v>
      </c>
      <c r="P402">
        <v>4</v>
      </c>
      <c r="Q402">
        <v>2</v>
      </c>
      <c r="R402">
        <v>49.15</v>
      </c>
      <c r="S402">
        <v>18</v>
      </c>
      <c r="T402">
        <v>18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18</v>
      </c>
      <c r="AB402">
        <v>3</v>
      </c>
      <c r="AC402">
        <v>0</v>
      </c>
      <c r="AG402" t="s">
        <v>130</v>
      </c>
      <c r="AH402">
        <v>70.150000000000006</v>
      </c>
    </row>
    <row r="403" spans="1:34" x14ac:dyDescent="0.3">
      <c r="A403" s="4">
        <v>581</v>
      </c>
      <c r="B403" s="5">
        <v>396</v>
      </c>
      <c r="C403">
        <v>5748</v>
      </c>
      <c r="D403" t="s">
        <v>3534</v>
      </c>
      <c r="E403" t="s">
        <v>110</v>
      </c>
      <c r="F403" t="s">
        <v>328</v>
      </c>
      <c r="G403" t="s">
        <v>11669</v>
      </c>
      <c r="H403">
        <v>19.149999999999999</v>
      </c>
      <c r="I403">
        <v>0</v>
      </c>
      <c r="J403">
        <v>0</v>
      </c>
      <c r="K403">
        <v>20</v>
      </c>
      <c r="L403">
        <v>7</v>
      </c>
      <c r="O403">
        <v>7</v>
      </c>
      <c r="P403">
        <v>4</v>
      </c>
      <c r="Q403">
        <v>2</v>
      </c>
      <c r="R403">
        <v>52.15</v>
      </c>
      <c r="S403">
        <v>18</v>
      </c>
      <c r="T403">
        <v>18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18</v>
      </c>
      <c r="AB403">
        <v>0</v>
      </c>
      <c r="AC403">
        <v>0</v>
      </c>
      <c r="AG403" t="s">
        <v>130</v>
      </c>
      <c r="AH403">
        <v>70.150000000000006</v>
      </c>
    </row>
    <row r="404" spans="1:34" x14ac:dyDescent="0.3">
      <c r="A404" s="4">
        <v>582</v>
      </c>
      <c r="B404" s="5">
        <v>397</v>
      </c>
      <c r="C404">
        <v>11632</v>
      </c>
      <c r="D404" t="s">
        <v>737</v>
      </c>
      <c r="E404" t="s">
        <v>161</v>
      </c>
      <c r="F404" t="s">
        <v>17</v>
      </c>
      <c r="G404" t="s">
        <v>11670</v>
      </c>
      <c r="H404">
        <v>21.05</v>
      </c>
      <c r="I404">
        <v>0</v>
      </c>
      <c r="J404">
        <v>0</v>
      </c>
      <c r="K404">
        <v>20</v>
      </c>
      <c r="L404">
        <v>7</v>
      </c>
      <c r="N404">
        <v>3</v>
      </c>
      <c r="O404">
        <v>10</v>
      </c>
      <c r="P404">
        <v>4</v>
      </c>
      <c r="Q404">
        <v>2</v>
      </c>
      <c r="R404">
        <v>57.05</v>
      </c>
      <c r="S404">
        <v>13</v>
      </c>
      <c r="T404">
        <v>13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13</v>
      </c>
      <c r="AB404">
        <v>0</v>
      </c>
      <c r="AC404">
        <v>0</v>
      </c>
      <c r="AG404" t="s">
        <v>130</v>
      </c>
      <c r="AH404">
        <v>70.05</v>
      </c>
    </row>
    <row r="405" spans="1:34" x14ac:dyDescent="0.3">
      <c r="A405" s="4">
        <v>583</v>
      </c>
      <c r="B405" s="5">
        <v>398</v>
      </c>
      <c r="C405">
        <v>12262</v>
      </c>
      <c r="D405" t="s">
        <v>11671</v>
      </c>
      <c r="E405" t="s">
        <v>11672</v>
      </c>
      <c r="F405" t="s">
        <v>11673</v>
      </c>
      <c r="G405" t="s">
        <v>11674</v>
      </c>
      <c r="H405">
        <v>18.829999999999998</v>
      </c>
      <c r="I405">
        <v>0</v>
      </c>
      <c r="J405">
        <v>0</v>
      </c>
      <c r="K405">
        <v>20</v>
      </c>
      <c r="L405">
        <v>7</v>
      </c>
      <c r="O405">
        <v>7</v>
      </c>
      <c r="P405">
        <v>4</v>
      </c>
      <c r="Q405">
        <v>2</v>
      </c>
      <c r="R405">
        <v>51.83</v>
      </c>
      <c r="S405">
        <v>18</v>
      </c>
      <c r="T405">
        <v>18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18</v>
      </c>
      <c r="AB405">
        <v>0</v>
      </c>
      <c r="AC405">
        <v>0</v>
      </c>
      <c r="AG405" t="s">
        <v>130</v>
      </c>
      <c r="AH405">
        <v>69.83</v>
      </c>
    </row>
    <row r="406" spans="1:34" x14ac:dyDescent="0.3">
      <c r="A406" s="4">
        <v>584</v>
      </c>
      <c r="B406" s="5">
        <v>399</v>
      </c>
      <c r="C406">
        <v>11412</v>
      </c>
      <c r="D406" t="s">
        <v>322</v>
      </c>
      <c r="E406" t="s">
        <v>100</v>
      </c>
      <c r="F406" t="s">
        <v>17</v>
      </c>
      <c r="G406" t="s">
        <v>11675</v>
      </c>
      <c r="H406">
        <v>18.45</v>
      </c>
      <c r="I406">
        <v>0</v>
      </c>
      <c r="J406">
        <v>0</v>
      </c>
      <c r="K406">
        <v>20</v>
      </c>
      <c r="L406">
        <v>7</v>
      </c>
      <c r="O406">
        <v>7</v>
      </c>
      <c r="P406">
        <v>4</v>
      </c>
      <c r="Q406">
        <v>2</v>
      </c>
      <c r="R406">
        <v>51.45</v>
      </c>
      <c r="S406">
        <v>18</v>
      </c>
      <c r="T406">
        <v>18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18</v>
      </c>
      <c r="AB406">
        <v>0</v>
      </c>
      <c r="AC406">
        <v>0</v>
      </c>
      <c r="AG406" t="s">
        <v>130</v>
      </c>
      <c r="AH406">
        <v>69.45</v>
      </c>
    </row>
    <row r="407" spans="1:34" x14ac:dyDescent="0.3">
      <c r="A407" s="4">
        <v>585</v>
      </c>
      <c r="B407" s="5">
        <v>400</v>
      </c>
      <c r="C407">
        <v>3012</v>
      </c>
      <c r="D407" t="s">
        <v>161</v>
      </c>
      <c r="E407" t="s">
        <v>6578</v>
      </c>
      <c r="F407" t="s">
        <v>124</v>
      </c>
      <c r="G407" t="s">
        <v>11676</v>
      </c>
      <c r="H407">
        <v>20.43</v>
      </c>
      <c r="I407">
        <v>0</v>
      </c>
      <c r="J407">
        <v>0</v>
      </c>
      <c r="K407">
        <v>20</v>
      </c>
      <c r="L407">
        <v>7</v>
      </c>
      <c r="O407">
        <v>7</v>
      </c>
      <c r="P407">
        <v>4</v>
      </c>
      <c r="Q407">
        <v>0</v>
      </c>
      <c r="R407">
        <v>51.43</v>
      </c>
      <c r="S407">
        <v>18</v>
      </c>
      <c r="T407">
        <v>18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18</v>
      </c>
      <c r="AB407">
        <v>0</v>
      </c>
      <c r="AC407">
        <v>0</v>
      </c>
      <c r="AG407" t="s">
        <v>130</v>
      </c>
      <c r="AH407">
        <v>69.430000000000007</v>
      </c>
    </row>
    <row r="408" spans="1:34" x14ac:dyDescent="0.3">
      <c r="A408" s="4">
        <v>586</v>
      </c>
      <c r="B408" s="5">
        <v>401</v>
      </c>
      <c r="C408">
        <v>426</v>
      </c>
      <c r="D408" t="s">
        <v>6480</v>
      </c>
      <c r="E408" t="s">
        <v>100</v>
      </c>
      <c r="F408" t="s">
        <v>68</v>
      </c>
      <c r="G408" t="s">
        <v>11677</v>
      </c>
      <c r="H408">
        <v>18.350000000000001</v>
      </c>
      <c r="I408">
        <v>0</v>
      </c>
      <c r="J408">
        <v>0</v>
      </c>
      <c r="K408">
        <v>20</v>
      </c>
      <c r="L408">
        <v>7</v>
      </c>
      <c r="O408">
        <v>7</v>
      </c>
      <c r="P408">
        <v>4</v>
      </c>
      <c r="Q408">
        <v>2</v>
      </c>
      <c r="R408">
        <v>51.35</v>
      </c>
      <c r="S408">
        <v>18</v>
      </c>
      <c r="T408">
        <v>18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18</v>
      </c>
      <c r="AB408">
        <v>0</v>
      </c>
      <c r="AC408">
        <v>0</v>
      </c>
      <c r="AG408" t="s">
        <v>130</v>
      </c>
      <c r="AH408">
        <v>69.349999999999994</v>
      </c>
    </row>
    <row r="409" spans="1:34" x14ac:dyDescent="0.3">
      <c r="A409" s="4">
        <v>587</v>
      </c>
      <c r="B409" s="5">
        <v>402</v>
      </c>
      <c r="C409">
        <v>2006</v>
      </c>
      <c r="D409" t="s">
        <v>11678</v>
      </c>
      <c r="E409" t="s">
        <v>29</v>
      </c>
      <c r="F409" t="s">
        <v>117</v>
      </c>
      <c r="G409" t="s">
        <v>11679</v>
      </c>
      <c r="H409">
        <v>16.05</v>
      </c>
      <c r="I409">
        <v>0</v>
      </c>
      <c r="J409">
        <v>0</v>
      </c>
      <c r="K409">
        <v>20</v>
      </c>
      <c r="N409">
        <v>6</v>
      </c>
      <c r="O409">
        <v>6</v>
      </c>
      <c r="P409">
        <v>4</v>
      </c>
      <c r="Q409">
        <v>2</v>
      </c>
      <c r="R409">
        <v>48.05</v>
      </c>
      <c r="S409">
        <v>18</v>
      </c>
      <c r="T409">
        <v>18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18</v>
      </c>
      <c r="AB409">
        <v>3</v>
      </c>
      <c r="AC409">
        <v>0</v>
      </c>
      <c r="AG409" t="s">
        <v>130</v>
      </c>
      <c r="AH409">
        <v>69.05</v>
      </c>
    </row>
    <row r="410" spans="1:34" x14ac:dyDescent="0.3">
      <c r="A410" s="4">
        <v>588</v>
      </c>
      <c r="B410" s="5">
        <v>403</v>
      </c>
      <c r="C410">
        <v>9245</v>
      </c>
      <c r="D410" t="s">
        <v>11680</v>
      </c>
      <c r="E410" t="s">
        <v>166</v>
      </c>
      <c r="F410" t="s">
        <v>649</v>
      </c>
      <c r="G410" t="s">
        <v>11681</v>
      </c>
      <c r="H410">
        <v>17.5</v>
      </c>
      <c r="I410">
        <v>0</v>
      </c>
      <c r="J410">
        <v>0</v>
      </c>
      <c r="K410">
        <v>20</v>
      </c>
      <c r="L410">
        <v>7</v>
      </c>
      <c r="O410">
        <v>7</v>
      </c>
      <c r="P410">
        <v>4</v>
      </c>
      <c r="Q410">
        <v>2</v>
      </c>
      <c r="R410">
        <v>50.5</v>
      </c>
      <c r="S410">
        <v>18</v>
      </c>
      <c r="T410">
        <v>18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18</v>
      </c>
      <c r="AB410">
        <v>0</v>
      </c>
      <c r="AC410">
        <v>0</v>
      </c>
      <c r="AG410" t="s">
        <v>130</v>
      </c>
      <c r="AH410">
        <v>68.5</v>
      </c>
    </row>
    <row r="411" spans="1:34" x14ac:dyDescent="0.3">
      <c r="A411" s="4">
        <v>589</v>
      </c>
      <c r="B411" s="5">
        <v>404</v>
      </c>
      <c r="C411">
        <v>10839</v>
      </c>
      <c r="D411" t="s">
        <v>11682</v>
      </c>
      <c r="E411" t="s">
        <v>173</v>
      </c>
      <c r="F411" t="s">
        <v>81</v>
      </c>
      <c r="G411" t="s">
        <v>11683</v>
      </c>
      <c r="H411">
        <v>17.079999999999998</v>
      </c>
      <c r="I411">
        <v>0</v>
      </c>
      <c r="J411">
        <v>0</v>
      </c>
      <c r="K411">
        <v>20</v>
      </c>
      <c r="L411">
        <v>7</v>
      </c>
      <c r="N411">
        <v>3</v>
      </c>
      <c r="O411">
        <v>10</v>
      </c>
      <c r="P411">
        <v>0</v>
      </c>
      <c r="Q411">
        <v>0</v>
      </c>
      <c r="R411">
        <v>47.08</v>
      </c>
      <c r="S411">
        <v>18</v>
      </c>
      <c r="T411">
        <v>18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18</v>
      </c>
      <c r="AB411">
        <v>3</v>
      </c>
      <c r="AC411">
        <v>0</v>
      </c>
      <c r="AG411" t="s">
        <v>130</v>
      </c>
      <c r="AH411">
        <v>68.08</v>
      </c>
    </row>
    <row r="412" spans="1:34" x14ac:dyDescent="0.3">
      <c r="A412" s="4">
        <v>590</v>
      </c>
      <c r="B412" s="5">
        <v>405</v>
      </c>
      <c r="C412">
        <v>8240</v>
      </c>
      <c r="D412" t="s">
        <v>11684</v>
      </c>
      <c r="E412" t="s">
        <v>825</v>
      </c>
      <c r="F412" t="s">
        <v>972</v>
      </c>
      <c r="G412" t="s">
        <v>11685</v>
      </c>
      <c r="H412">
        <v>19.05</v>
      </c>
      <c r="I412">
        <v>0</v>
      </c>
      <c r="J412">
        <v>0</v>
      </c>
      <c r="K412">
        <v>20</v>
      </c>
      <c r="L412">
        <v>7</v>
      </c>
      <c r="O412">
        <v>7</v>
      </c>
      <c r="P412">
        <v>4</v>
      </c>
      <c r="Q412">
        <v>2</v>
      </c>
      <c r="R412">
        <v>52.05</v>
      </c>
      <c r="S412">
        <v>16</v>
      </c>
      <c r="T412">
        <v>16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16</v>
      </c>
      <c r="AB412">
        <v>0</v>
      </c>
      <c r="AC412">
        <v>0</v>
      </c>
      <c r="AG412" t="s">
        <v>130</v>
      </c>
      <c r="AH412">
        <v>68.05</v>
      </c>
    </row>
    <row r="413" spans="1:34" x14ac:dyDescent="0.3">
      <c r="A413" s="4">
        <v>591</v>
      </c>
      <c r="B413" s="5">
        <v>406</v>
      </c>
      <c r="C413">
        <v>12621</v>
      </c>
      <c r="D413" t="s">
        <v>775</v>
      </c>
      <c r="E413" t="s">
        <v>110</v>
      </c>
      <c r="F413" t="s">
        <v>38</v>
      </c>
      <c r="G413" t="s">
        <v>11686</v>
      </c>
      <c r="H413">
        <v>19.78</v>
      </c>
      <c r="I413">
        <v>0</v>
      </c>
      <c r="J413">
        <v>0</v>
      </c>
      <c r="K413">
        <v>20</v>
      </c>
      <c r="N413">
        <v>6</v>
      </c>
      <c r="O413">
        <v>6</v>
      </c>
      <c r="P413">
        <v>4</v>
      </c>
      <c r="Q413">
        <v>0</v>
      </c>
      <c r="R413">
        <v>49.78</v>
      </c>
      <c r="S413">
        <v>18</v>
      </c>
      <c r="T413">
        <v>18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18</v>
      </c>
      <c r="AB413">
        <v>0</v>
      </c>
      <c r="AC413">
        <v>0</v>
      </c>
      <c r="AG413" t="s">
        <v>130</v>
      </c>
      <c r="AH413">
        <v>67.78</v>
      </c>
    </row>
    <row r="414" spans="1:34" x14ac:dyDescent="0.3">
      <c r="A414" s="4">
        <v>592</v>
      </c>
      <c r="B414" s="5">
        <v>407</v>
      </c>
      <c r="C414">
        <v>9714</v>
      </c>
      <c r="D414" t="s">
        <v>11687</v>
      </c>
      <c r="E414" t="s">
        <v>594</v>
      </c>
      <c r="F414" t="s">
        <v>38</v>
      </c>
      <c r="G414" t="s">
        <v>11688</v>
      </c>
      <c r="H414">
        <v>20.73</v>
      </c>
      <c r="I414">
        <v>0</v>
      </c>
      <c r="J414">
        <v>0</v>
      </c>
      <c r="K414">
        <v>20</v>
      </c>
      <c r="L414">
        <v>14</v>
      </c>
      <c r="O414">
        <v>14</v>
      </c>
      <c r="P414">
        <v>4</v>
      </c>
      <c r="Q414">
        <v>0</v>
      </c>
      <c r="R414">
        <v>58.73</v>
      </c>
      <c r="S414">
        <v>9</v>
      </c>
      <c r="T414">
        <v>9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9</v>
      </c>
      <c r="AB414">
        <v>0</v>
      </c>
      <c r="AC414">
        <v>0</v>
      </c>
      <c r="AG414" t="s">
        <v>130</v>
      </c>
      <c r="AH414">
        <v>67.73</v>
      </c>
    </row>
    <row r="415" spans="1:34" x14ac:dyDescent="0.3">
      <c r="A415" s="4">
        <v>593</v>
      </c>
      <c r="B415" s="5">
        <v>408</v>
      </c>
      <c r="C415">
        <v>350</v>
      </c>
      <c r="D415" t="s">
        <v>5820</v>
      </c>
      <c r="E415" t="s">
        <v>419</v>
      </c>
      <c r="F415" t="s">
        <v>124</v>
      </c>
      <c r="G415" t="s">
        <v>11689</v>
      </c>
      <c r="H415">
        <v>22.83</v>
      </c>
      <c r="I415">
        <v>0</v>
      </c>
      <c r="J415">
        <v>0</v>
      </c>
      <c r="K415">
        <v>28</v>
      </c>
      <c r="L415">
        <v>7</v>
      </c>
      <c r="N415">
        <v>3</v>
      </c>
      <c r="O415">
        <v>10</v>
      </c>
      <c r="P415">
        <v>4</v>
      </c>
      <c r="Q415">
        <v>2</v>
      </c>
      <c r="R415">
        <v>66.83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G415" t="s">
        <v>130</v>
      </c>
      <c r="AH415">
        <v>66.83</v>
      </c>
    </row>
    <row r="416" spans="1:34" x14ac:dyDescent="0.3">
      <c r="A416" s="4">
        <v>594</v>
      </c>
      <c r="B416" s="5">
        <v>409</v>
      </c>
      <c r="C416">
        <v>14750</v>
      </c>
      <c r="D416" t="s">
        <v>11690</v>
      </c>
      <c r="E416" t="s">
        <v>22</v>
      </c>
      <c r="F416" t="s">
        <v>17</v>
      </c>
      <c r="G416" t="s">
        <v>11691</v>
      </c>
      <c r="H416">
        <v>19.75</v>
      </c>
      <c r="I416">
        <v>0</v>
      </c>
      <c r="J416">
        <v>0</v>
      </c>
      <c r="K416">
        <v>20</v>
      </c>
      <c r="L416">
        <v>7</v>
      </c>
      <c r="M416">
        <v>5</v>
      </c>
      <c r="O416">
        <v>12</v>
      </c>
      <c r="P416">
        <v>4</v>
      </c>
      <c r="Q416">
        <v>0</v>
      </c>
      <c r="R416">
        <v>55.75</v>
      </c>
      <c r="S416">
        <v>8</v>
      </c>
      <c r="T416">
        <v>8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8</v>
      </c>
      <c r="AB416">
        <v>3</v>
      </c>
      <c r="AC416">
        <v>0</v>
      </c>
      <c r="AG416" t="s">
        <v>130</v>
      </c>
      <c r="AH416">
        <v>66.75</v>
      </c>
    </row>
    <row r="417" spans="1:34" x14ac:dyDescent="0.3">
      <c r="A417" s="4">
        <v>595</v>
      </c>
      <c r="B417" s="5">
        <v>410</v>
      </c>
      <c r="C417">
        <v>1883</v>
      </c>
      <c r="D417" t="s">
        <v>11692</v>
      </c>
      <c r="E417" t="s">
        <v>1161</v>
      </c>
      <c r="F417" t="s">
        <v>17</v>
      </c>
      <c r="G417" t="s">
        <v>11693</v>
      </c>
      <c r="H417">
        <v>18.899999999999999</v>
      </c>
      <c r="I417">
        <v>0</v>
      </c>
      <c r="J417">
        <v>0</v>
      </c>
      <c r="K417">
        <v>20</v>
      </c>
      <c r="N417">
        <v>3</v>
      </c>
      <c r="O417">
        <v>3</v>
      </c>
      <c r="P417">
        <v>4</v>
      </c>
      <c r="Q417">
        <v>0</v>
      </c>
      <c r="R417">
        <v>45.9</v>
      </c>
      <c r="S417">
        <v>20</v>
      </c>
      <c r="T417">
        <v>20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20</v>
      </c>
      <c r="AB417">
        <v>0</v>
      </c>
      <c r="AC417">
        <v>0</v>
      </c>
      <c r="AG417" t="s">
        <v>130</v>
      </c>
      <c r="AH417">
        <v>65.900000000000006</v>
      </c>
    </row>
    <row r="418" spans="1:34" x14ac:dyDescent="0.3">
      <c r="A418" s="4">
        <v>596</v>
      </c>
      <c r="B418" s="5">
        <v>411</v>
      </c>
      <c r="C418">
        <v>6516</v>
      </c>
      <c r="D418" t="s">
        <v>3027</v>
      </c>
      <c r="E418" t="s">
        <v>110</v>
      </c>
      <c r="F418" t="s">
        <v>259</v>
      </c>
      <c r="G418" t="s">
        <v>11694</v>
      </c>
      <c r="H418">
        <v>16.88</v>
      </c>
      <c r="I418">
        <v>0</v>
      </c>
      <c r="J418">
        <v>0</v>
      </c>
      <c r="K418">
        <v>20</v>
      </c>
      <c r="L418">
        <v>7</v>
      </c>
      <c r="O418">
        <v>7</v>
      </c>
      <c r="P418">
        <v>4</v>
      </c>
      <c r="Q418">
        <v>0</v>
      </c>
      <c r="R418">
        <v>47.88</v>
      </c>
      <c r="S418">
        <v>18</v>
      </c>
      <c r="T418">
        <v>18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18</v>
      </c>
      <c r="AB418">
        <v>0</v>
      </c>
      <c r="AC418">
        <v>0</v>
      </c>
      <c r="AG418" t="s">
        <v>130</v>
      </c>
      <c r="AH418">
        <v>65.88</v>
      </c>
    </row>
    <row r="419" spans="1:34" x14ac:dyDescent="0.3">
      <c r="A419" s="4">
        <v>597</v>
      </c>
      <c r="B419" s="5">
        <v>412</v>
      </c>
      <c r="C419">
        <v>4407</v>
      </c>
      <c r="D419" t="s">
        <v>2254</v>
      </c>
      <c r="E419" t="s">
        <v>11695</v>
      </c>
      <c r="F419" t="s">
        <v>11696</v>
      </c>
      <c r="G419" t="s">
        <v>11697</v>
      </c>
      <c r="H419">
        <v>20.3</v>
      </c>
      <c r="I419">
        <v>0</v>
      </c>
      <c r="J419">
        <v>0</v>
      </c>
      <c r="K419">
        <v>20</v>
      </c>
      <c r="L419">
        <v>7</v>
      </c>
      <c r="N419">
        <v>3</v>
      </c>
      <c r="O419">
        <v>10</v>
      </c>
      <c r="P419">
        <v>4</v>
      </c>
      <c r="Q419">
        <v>0</v>
      </c>
      <c r="R419">
        <v>54.3</v>
      </c>
      <c r="S419">
        <v>11</v>
      </c>
      <c r="T419">
        <v>11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11</v>
      </c>
      <c r="AB419">
        <v>0</v>
      </c>
      <c r="AC419">
        <v>0</v>
      </c>
      <c r="AG419" t="s">
        <v>130</v>
      </c>
      <c r="AH419">
        <v>65.3</v>
      </c>
    </row>
    <row r="420" spans="1:34" x14ac:dyDescent="0.3">
      <c r="A420" s="4">
        <v>598</v>
      </c>
      <c r="B420" s="5">
        <v>413</v>
      </c>
      <c r="C420">
        <v>7649</v>
      </c>
      <c r="D420" t="s">
        <v>11698</v>
      </c>
      <c r="E420" t="s">
        <v>11699</v>
      </c>
      <c r="F420" t="s">
        <v>20</v>
      </c>
      <c r="G420" t="s">
        <v>11700</v>
      </c>
      <c r="H420">
        <v>19.55</v>
      </c>
      <c r="I420">
        <v>0</v>
      </c>
      <c r="J420">
        <v>0</v>
      </c>
      <c r="K420">
        <v>20</v>
      </c>
      <c r="L420">
        <v>7</v>
      </c>
      <c r="N420">
        <v>3</v>
      </c>
      <c r="O420">
        <v>10</v>
      </c>
      <c r="P420">
        <v>4</v>
      </c>
      <c r="Q420">
        <v>0</v>
      </c>
      <c r="R420">
        <v>53.55</v>
      </c>
      <c r="S420">
        <v>11</v>
      </c>
      <c r="T420">
        <v>11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11</v>
      </c>
      <c r="AB420">
        <v>0</v>
      </c>
      <c r="AC420">
        <v>0</v>
      </c>
      <c r="AG420" t="s">
        <v>130</v>
      </c>
      <c r="AH420">
        <v>64.55</v>
      </c>
    </row>
    <row r="421" spans="1:34" x14ac:dyDescent="0.3">
      <c r="A421" s="4">
        <v>599</v>
      </c>
      <c r="B421" s="5">
        <v>414</v>
      </c>
      <c r="C421">
        <v>504</v>
      </c>
      <c r="D421" t="s">
        <v>11701</v>
      </c>
      <c r="E421" t="s">
        <v>550</v>
      </c>
      <c r="F421" t="s">
        <v>190</v>
      </c>
      <c r="G421" t="s">
        <v>11702</v>
      </c>
      <c r="H421">
        <v>18.55</v>
      </c>
      <c r="I421">
        <v>0</v>
      </c>
      <c r="J421">
        <v>0</v>
      </c>
      <c r="K421">
        <v>20</v>
      </c>
      <c r="L421">
        <v>7</v>
      </c>
      <c r="O421">
        <v>7</v>
      </c>
      <c r="P421">
        <v>4</v>
      </c>
      <c r="Q421">
        <v>2</v>
      </c>
      <c r="R421">
        <v>51.55</v>
      </c>
      <c r="S421">
        <v>13</v>
      </c>
      <c r="T421">
        <v>13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13</v>
      </c>
      <c r="AB421">
        <v>0</v>
      </c>
      <c r="AC421">
        <v>0</v>
      </c>
      <c r="AG421" t="s">
        <v>130</v>
      </c>
      <c r="AH421">
        <v>64.55</v>
      </c>
    </row>
    <row r="422" spans="1:34" x14ac:dyDescent="0.3">
      <c r="A422" s="4">
        <v>600</v>
      </c>
      <c r="B422" s="5">
        <v>415</v>
      </c>
      <c r="C422">
        <v>1235</v>
      </c>
      <c r="D422" t="s">
        <v>2672</v>
      </c>
      <c r="E422" t="s">
        <v>816</v>
      </c>
      <c r="F422" t="s">
        <v>2140</v>
      </c>
      <c r="G422" t="s">
        <v>11703</v>
      </c>
      <c r="H422">
        <v>19.48</v>
      </c>
      <c r="I422">
        <v>0</v>
      </c>
      <c r="J422">
        <v>0</v>
      </c>
      <c r="K422">
        <v>28</v>
      </c>
      <c r="L422">
        <v>7</v>
      </c>
      <c r="N422">
        <v>3</v>
      </c>
      <c r="O422">
        <v>10</v>
      </c>
      <c r="P422">
        <v>4</v>
      </c>
      <c r="Q422">
        <v>0</v>
      </c>
      <c r="R422">
        <v>61.48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3</v>
      </c>
      <c r="AC422">
        <v>0</v>
      </c>
      <c r="AG422" t="s">
        <v>130</v>
      </c>
      <c r="AH422">
        <v>64.48</v>
      </c>
    </row>
    <row r="423" spans="1:34" x14ac:dyDescent="0.3">
      <c r="A423" s="4">
        <v>601</v>
      </c>
      <c r="B423" s="5">
        <v>416</v>
      </c>
      <c r="C423">
        <v>14431</v>
      </c>
      <c r="D423" t="s">
        <v>11704</v>
      </c>
      <c r="E423" t="s">
        <v>7627</v>
      </c>
      <c r="F423" t="s">
        <v>81</v>
      </c>
      <c r="G423" t="s">
        <v>11705</v>
      </c>
      <c r="H423">
        <v>20.23</v>
      </c>
      <c r="I423">
        <v>0</v>
      </c>
      <c r="J423">
        <v>0</v>
      </c>
      <c r="K423">
        <v>28</v>
      </c>
      <c r="L423">
        <v>7</v>
      </c>
      <c r="M423">
        <v>5</v>
      </c>
      <c r="O423">
        <v>12</v>
      </c>
      <c r="P423">
        <v>4</v>
      </c>
      <c r="Q423">
        <v>0</v>
      </c>
      <c r="R423">
        <v>64.23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G423" t="s">
        <v>130</v>
      </c>
      <c r="AH423">
        <v>64.23</v>
      </c>
    </row>
    <row r="424" spans="1:34" x14ac:dyDescent="0.3">
      <c r="A424" s="4">
        <v>602</v>
      </c>
      <c r="B424" s="5">
        <v>417</v>
      </c>
      <c r="C424">
        <v>11018</v>
      </c>
      <c r="D424" t="s">
        <v>7029</v>
      </c>
      <c r="E424" t="s">
        <v>5971</v>
      </c>
      <c r="F424" t="s">
        <v>72</v>
      </c>
      <c r="G424" t="s">
        <v>11706</v>
      </c>
      <c r="H424">
        <v>18.93</v>
      </c>
      <c r="I424">
        <v>0</v>
      </c>
      <c r="J424">
        <v>0</v>
      </c>
      <c r="K424">
        <v>20</v>
      </c>
      <c r="L424">
        <v>7</v>
      </c>
      <c r="O424">
        <v>7</v>
      </c>
      <c r="P424">
        <v>0</v>
      </c>
      <c r="Q424">
        <v>0</v>
      </c>
      <c r="R424">
        <v>45.93</v>
      </c>
      <c r="S424">
        <v>18</v>
      </c>
      <c r="T424">
        <v>18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18</v>
      </c>
      <c r="AB424">
        <v>0</v>
      </c>
      <c r="AC424">
        <v>0</v>
      </c>
      <c r="AG424" t="s">
        <v>130</v>
      </c>
      <c r="AH424">
        <v>63.93</v>
      </c>
    </row>
    <row r="425" spans="1:34" x14ac:dyDescent="0.3">
      <c r="A425" s="4">
        <v>603</v>
      </c>
      <c r="B425" s="5">
        <v>418</v>
      </c>
      <c r="C425">
        <v>1142</v>
      </c>
      <c r="D425" t="s">
        <v>1604</v>
      </c>
      <c r="E425" t="s">
        <v>1474</v>
      </c>
      <c r="F425" t="s">
        <v>68</v>
      </c>
      <c r="G425" t="s">
        <v>11707</v>
      </c>
      <c r="H425">
        <v>17.850000000000001</v>
      </c>
      <c r="I425">
        <v>0</v>
      </c>
      <c r="J425">
        <v>0</v>
      </c>
      <c r="K425">
        <v>20</v>
      </c>
      <c r="M425">
        <v>5</v>
      </c>
      <c r="N425">
        <v>3</v>
      </c>
      <c r="O425">
        <v>8</v>
      </c>
      <c r="P425">
        <v>4</v>
      </c>
      <c r="Q425">
        <v>0</v>
      </c>
      <c r="R425">
        <v>49.85</v>
      </c>
      <c r="S425">
        <v>8</v>
      </c>
      <c r="T425">
        <v>8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8</v>
      </c>
      <c r="AB425">
        <v>6</v>
      </c>
      <c r="AC425">
        <v>0</v>
      </c>
      <c r="AD425" t="s">
        <v>130</v>
      </c>
      <c r="AG425" t="s">
        <v>130</v>
      </c>
      <c r="AH425">
        <v>63.85</v>
      </c>
    </row>
    <row r="426" spans="1:34" x14ac:dyDescent="0.3">
      <c r="A426" s="4">
        <v>604</v>
      </c>
      <c r="B426" s="5">
        <v>419</v>
      </c>
      <c r="C426">
        <v>3390</v>
      </c>
      <c r="D426" t="s">
        <v>11708</v>
      </c>
      <c r="E426" t="s">
        <v>110</v>
      </c>
      <c r="F426" t="s">
        <v>17</v>
      </c>
      <c r="G426" t="s">
        <v>11709</v>
      </c>
      <c r="H426">
        <v>19.829999999999998</v>
      </c>
      <c r="I426">
        <v>0</v>
      </c>
      <c r="J426">
        <v>0</v>
      </c>
      <c r="K426">
        <v>20</v>
      </c>
      <c r="L426">
        <v>7</v>
      </c>
      <c r="O426">
        <v>7</v>
      </c>
      <c r="P426">
        <v>4</v>
      </c>
      <c r="Q426">
        <v>2</v>
      </c>
      <c r="R426">
        <v>52.83</v>
      </c>
      <c r="S426">
        <v>11</v>
      </c>
      <c r="T426">
        <v>11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11</v>
      </c>
      <c r="AB426">
        <v>0</v>
      </c>
      <c r="AC426">
        <v>0</v>
      </c>
      <c r="AD426" t="s">
        <v>130</v>
      </c>
      <c r="AG426" t="s">
        <v>130</v>
      </c>
      <c r="AH426">
        <v>63.83</v>
      </c>
    </row>
    <row r="427" spans="1:34" x14ac:dyDescent="0.3">
      <c r="A427" s="4">
        <v>605</v>
      </c>
      <c r="B427" s="5">
        <v>420</v>
      </c>
      <c r="C427">
        <v>15466</v>
      </c>
      <c r="D427" t="s">
        <v>11710</v>
      </c>
      <c r="E427" t="s">
        <v>11711</v>
      </c>
      <c r="F427" t="s">
        <v>20</v>
      </c>
      <c r="G427" t="s">
        <v>11712</v>
      </c>
      <c r="H427">
        <v>16.7</v>
      </c>
      <c r="I427">
        <v>0</v>
      </c>
      <c r="J427">
        <v>0</v>
      </c>
      <c r="K427">
        <v>20</v>
      </c>
      <c r="M427">
        <v>5</v>
      </c>
      <c r="O427">
        <v>5</v>
      </c>
      <c r="P427">
        <v>4</v>
      </c>
      <c r="Q427">
        <v>0</v>
      </c>
      <c r="R427">
        <v>45.7</v>
      </c>
      <c r="S427">
        <v>18</v>
      </c>
      <c r="T427">
        <v>18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18</v>
      </c>
      <c r="AB427">
        <v>0</v>
      </c>
      <c r="AC427">
        <v>0</v>
      </c>
      <c r="AG427" t="s">
        <v>130</v>
      </c>
      <c r="AH427">
        <v>63.7</v>
      </c>
    </row>
    <row r="428" spans="1:34" x14ac:dyDescent="0.3">
      <c r="A428" s="4">
        <v>606</v>
      </c>
      <c r="B428" s="5">
        <v>421</v>
      </c>
      <c r="C428">
        <v>7298</v>
      </c>
      <c r="D428" t="s">
        <v>11713</v>
      </c>
      <c r="E428" t="s">
        <v>136</v>
      </c>
      <c r="F428" t="s">
        <v>17</v>
      </c>
      <c r="G428" t="s">
        <v>11714</v>
      </c>
      <c r="H428">
        <v>20.68</v>
      </c>
      <c r="I428">
        <v>0</v>
      </c>
      <c r="J428">
        <v>0</v>
      </c>
      <c r="K428">
        <v>20</v>
      </c>
      <c r="L428">
        <v>7</v>
      </c>
      <c r="N428">
        <v>3</v>
      </c>
      <c r="O428">
        <v>10</v>
      </c>
      <c r="P428">
        <v>4</v>
      </c>
      <c r="Q428">
        <v>0</v>
      </c>
      <c r="R428">
        <v>54.68</v>
      </c>
      <c r="S428">
        <v>9</v>
      </c>
      <c r="T428">
        <v>9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9</v>
      </c>
      <c r="AB428">
        <v>0</v>
      </c>
      <c r="AC428">
        <v>0</v>
      </c>
      <c r="AG428" t="s">
        <v>130</v>
      </c>
      <c r="AH428">
        <v>63.68</v>
      </c>
    </row>
    <row r="429" spans="1:34" x14ac:dyDescent="0.3">
      <c r="A429" s="4">
        <v>607</v>
      </c>
      <c r="B429" s="5">
        <v>422</v>
      </c>
      <c r="C429">
        <v>14752</v>
      </c>
      <c r="D429" t="s">
        <v>8531</v>
      </c>
      <c r="E429" t="s">
        <v>117</v>
      </c>
      <c r="F429" t="s">
        <v>17</v>
      </c>
      <c r="G429" t="s">
        <v>11715</v>
      </c>
      <c r="H429">
        <v>19.350000000000001</v>
      </c>
      <c r="I429">
        <v>0</v>
      </c>
      <c r="J429">
        <v>0</v>
      </c>
      <c r="K429">
        <v>28</v>
      </c>
      <c r="N429">
        <v>6</v>
      </c>
      <c r="O429">
        <v>6</v>
      </c>
      <c r="P429">
        <v>4</v>
      </c>
      <c r="Q429">
        <v>0</v>
      </c>
      <c r="R429">
        <v>57.35</v>
      </c>
      <c r="S429">
        <v>6</v>
      </c>
      <c r="T429">
        <v>6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6</v>
      </c>
      <c r="AB429">
        <v>0</v>
      </c>
      <c r="AC429">
        <v>0</v>
      </c>
      <c r="AG429" t="s">
        <v>130</v>
      </c>
      <c r="AH429">
        <v>63.35</v>
      </c>
    </row>
    <row r="430" spans="1:34" x14ac:dyDescent="0.3">
      <c r="A430" s="4">
        <v>608</v>
      </c>
      <c r="B430" s="5">
        <v>423</v>
      </c>
      <c r="C430">
        <v>1043</v>
      </c>
      <c r="D430" t="s">
        <v>11716</v>
      </c>
      <c r="E430" t="s">
        <v>11717</v>
      </c>
      <c r="F430" t="s">
        <v>343</v>
      </c>
      <c r="G430" t="s">
        <v>11718</v>
      </c>
      <c r="H430">
        <v>18.350000000000001</v>
      </c>
      <c r="I430">
        <v>0</v>
      </c>
      <c r="J430">
        <v>0</v>
      </c>
      <c r="K430">
        <v>20</v>
      </c>
      <c r="N430">
        <v>3</v>
      </c>
      <c r="O430">
        <v>3</v>
      </c>
      <c r="P430">
        <v>4</v>
      </c>
      <c r="Q430">
        <v>0</v>
      </c>
      <c r="R430">
        <v>45.35</v>
      </c>
      <c r="S430">
        <v>18</v>
      </c>
      <c r="T430">
        <v>18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18</v>
      </c>
      <c r="AB430">
        <v>0</v>
      </c>
      <c r="AC430">
        <v>0</v>
      </c>
      <c r="AG430" t="s">
        <v>130</v>
      </c>
      <c r="AH430">
        <v>63.35</v>
      </c>
    </row>
    <row r="431" spans="1:34" x14ac:dyDescent="0.3">
      <c r="A431" s="4">
        <v>609</v>
      </c>
      <c r="B431" s="5">
        <v>424</v>
      </c>
      <c r="C431">
        <v>3709</v>
      </c>
      <c r="D431" t="s">
        <v>9146</v>
      </c>
      <c r="E431" t="s">
        <v>289</v>
      </c>
      <c r="F431" t="s">
        <v>20</v>
      </c>
      <c r="G431" t="s">
        <v>11719</v>
      </c>
      <c r="H431">
        <v>20.93</v>
      </c>
      <c r="I431">
        <v>0</v>
      </c>
      <c r="J431">
        <v>0</v>
      </c>
      <c r="K431">
        <v>20</v>
      </c>
      <c r="L431">
        <v>7</v>
      </c>
      <c r="O431">
        <v>7</v>
      </c>
      <c r="P431">
        <v>4</v>
      </c>
      <c r="Q431">
        <v>2</v>
      </c>
      <c r="R431">
        <v>53.93</v>
      </c>
      <c r="S431">
        <v>6</v>
      </c>
      <c r="T431">
        <v>6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6</v>
      </c>
      <c r="AB431">
        <v>3</v>
      </c>
      <c r="AC431">
        <v>0</v>
      </c>
      <c r="AG431" t="s">
        <v>130</v>
      </c>
      <c r="AH431">
        <v>62.93</v>
      </c>
    </row>
    <row r="432" spans="1:34" x14ac:dyDescent="0.3">
      <c r="A432" s="4">
        <v>610</v>
      </c>
      <c r="B432" s="5">
        <v>425</v>
      </c>
      <c r="C432">
        <v>7850</v>
      </c>
      <c r="D432" t="s">
        <v>10270</v>
      </c>
      <c r="E432" t="s">
        <v>757</v>
      </c>
      <c r="F432" t="s">
        <v>375</v>
      </c>
      <c r="G432" t="s">
        <v>11720</v>
      </c>
      <c r="H432">
        <v>21.68</v>
      </c>
      <c r="I432">
        <v>0</v>
      </c>
      <c r="J432">
        <v>0</v>
      </c>
      <c r="K432">
        <v>20</v>
      </c>
      <c r="L432">
        <v>7</v>
      </c>
      <c r="O432">
        <v>7</v>
      </c>
      <c r="P432">
        <v>4</v>
      </c>
      <c r="Q432">
        <v>0</v>
      </c>
      <c r="R432">
        <v>52.68</v>
      </c>
      <c r="S432">
        <v>10</v>
      </c>
      <c r="T432">
        <v>10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10</v>
      </c>
      <c r="AB432">
        <v>0</v>
      </c>
      <c r="AC432">
        <v>0</v>
      </c>
      <c r="AG432" t="s">
        <v>130</v>
      </c>
      <c r="AH432">
        <v>62.68</v>
      </c>
    </row>
    <row r="433" spans="1:34" x14ac:dyDescent="0.3">
      <c r="A433" s="4">
        <v>611</v>
      </c>
      <c r="B433" s="5">
        <v>426</v>
      </c>
      <c r="C433">
        <v>9704</v>
      </c>
      <c r="D433" t="s">
        <v>2498</v>
      </c>
      <c r="E433" t="s">
        <v>11721</v>
      </c>
      <c r="F433" t="s">
        <v>343</v>
      </c>
      <c r="G433" t="s">
        <v>11722</v>
      </c>
      <c r="H433">
        <v>18.2</v>
      </c>
      <c r="I433">
        <v>0</v>
      </c>
      <c r="J433">
        <v>0</v>
      </c>
      <c r="K433">
        <v>20</v>
      </c>
      <c r="M433">
        <v>5</v>
      </c>
      <c r="N433">
        <v>3</v>
      </c>
      <c r="O433">
        <v>8</v>
      </c>
      <c r="P433">
        <v>4</v>
      </c>
      <c r="Q433">
        <v>2</v>
      </c>
      <c r="R433">
        <v>52.2</v>
      </c>
      <c r="S433">
        <v>10</v>
      </c>
      <c r="T433">
        <v>10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10</v>
      </c>
      <c r="AB433">
        <v>0</v>
      </c>
      <c r="AC433">
        <v>0</v>
      </c>
      <c r="AG433" t="s">
        <v>130</v>
      </c>
      <c r="AH433">
        <v>62.2</v>
      </c>
    </row>
    <row r="434" spans="1:34" x14ac:dyDescent="0.3">
      <c r="A434" s="4">
        <v>612</v>
      </c>
      <c r="B434" s="5">
        <v>427</v>
      </c>
      <c r="C434">
        <v>5829</v>
      </c>
      <c r="D434" t="s">
        <v>11723</v>
      </c>
      <c r="E434" t="s">
        <v>230</v>
      </c>
      <c r="F434" t="s">
        <v>2302</v>
      </c>
      <c r="G434">
        <v>831292</v>
      </c>
      <c r="H434">
        <v>15.85</v>
      </c>
      <c r="I434">
        <v>0</v>
      </c>
      <c r="J434">
        <v>0</v>
      </c>
      <c r="K434">
        <v>20</v>
      </c>
      <c r="L434">
        <v>7</v>
      </c>
      <c r="O434">
        <v>7</v>
      </c>
      <c r="P434">
        <v>0</v>
      </c>
      <c r="Q434">
        <v>2</v>
      </c>
      <c r="R434">
        <v>44.85</v>
      </c>
      <c r="S434">
        <v>17</v>
      </c>
      <c r="T434">
        <v>17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17</v>
      </c>
      <c r="AB434">
        <v>0</v>
      </c>
      <c r="AC434">
        <v>0</v>
      </c>
      <c r="AG434" t="s">
        <v>130</v>
      </c>
      <c r="AH434">
        <v>61.85</v>
      </c>
    </row>
    <row r="435" spans="1:34" x14ac:dyDescent="0.3">
      <c r="A435" s="4">
        <v>613</v>
      </c>
      <c r="B435" s="5">
        <v>428</v>
      </c>
      <c r="C435">
        <v>8709</v>
      </c>
      <c r="D435" t="s">
        <v>11724</v>
      </c>
      <c r="E435" t="s">
        <v>11725</v>
      </c>
      <c r="F435" t="s">
        <v>17</v>
      </c>
      <c r="G435" t="s">
        <v>11726</v>
      </c>
      <c r="H435">
        <v>21.8</v>
      </c>
      <c r="I435">
        <v>0</v>
      </c>
      <c r="J435">
        <v>0</v>
      </c>
      <c r="K435">
        <v>20</v>
      </c>
      <c r="L435">
        <v>7</v>
      </c>
      <c r="O435">
        <v>7</v>
      </c>
      <c r="P435">
        <v>4</v>
      </c>
      <c r="Q435">
        <v>0</v>
      </c>
      <c r="R435">
        <v>52.8</v>
      </c>
      <c r="S435">
        <v>9</v>
      </c>
      <c r="T435">
        <v>9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9</v>
      </c>
      <c r="AB435">
        <v>0</v>
      </c>
      <c r="AC435">
        <v>0</v>
      </c>
      <c r="AG435" t="s">
        <v>130</v>
      </c>
      <c r="AH435">
        <v>61.8</v>
      </c>
    </row>
    <row r="436" spans="1:34" x14ac:dyDescent="0.3">
      <c r="A436" s="4">
        <v>614</v>
      </c>
      <c r="B436" s="5">
        <v>429</v>
      </c>
      <c r="C436">
        <v>3177</v>
      </c>
      <c r="D436" t="s">
        <v>11727</v>
      </c>
      <c r="E436" t="s">
        <v>406</v>
      </c>
      <c r="F436" t="s">
        <v>62</v>
      </c>
      <c r="G436" t="s">
        <v>11728</v>
      </c>
      <c r="H436">
        <v>19.48</v>
      </c>
      <c r="I436">
        <v>0</v>
      </c>
      <c r="J436">
        <v>0</v>
      </c>
      <c r="K436">
        <v>28</v>
      </c>
      <c r="L436">
        <v>7</v>
      </c>
      <c r="N436">
        <v>3</v>
      </c>
      <c r="O436">
        <v>10</v>
      </c>
      <c r="P436">
        <v>4</v>
      </c>
      <c r="Q436">
        <v>0</v>
      </c>
      <c r="R436">
        <v>61.48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G436" t="s">
        <v>130</v>
      </c>
      <c r="AH436">
        <v>61.48</v>
      </c>
    </row>
    <row r="437" spans="1:34" x14ac:dyDescent="0.3">
      <c r="A437" s="4">
        <v>615</v>
      </c>
      <c r="B437" s="5">
        <v>430</v>
      </c>
      <c r="C437">
        <v>340</v>
      </c>
      <c r="D437" t="s">
        <v>2559</v>
      </c>
      <c r="E437" t="s">
        <v>1189</v>
      </c>
      <c r="F437" t="s">
        <v>62</v>
      </c>
      <c r="G437" t="s">
        <v>10827</v>
      </c>
      <c r="H437">
        <v>23.13</v>
      </c>
      <c r="I437">
        <v>7</v>
      </c>
      <c r="J437">
        <v>0</v>
      </c>
      <c r="K437">
        <v>20</v>
      </c>
      <c r="L437">
        <v>7</v>
      </c>
      <c r="O437">
        <v>7</v>
      </c>
      <c r="P437">
        <v>4</v>
      </c>
      <c r="Q437">
        <v>0</v>
      </c>
      <c r="R437">
        <v>61.13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G437" t="s">
        <v>130</v>
      </c>
      <c r="AH437">
        <v>61.13</v>
      </c>
    </row>
    <row r="438" spans="1:34" x14ac:dyDescent="0.3">
      <c r="A438" s="4">
        <v>616</v>
      </c>
      <c r="B438" s="5">
        <v>431</v>
      </c>
      <c r="C438">
        <v>2779</v>
      </c>
      <c r="D438" t="s">
        <v>11729</v>
      </c>
      <c r="E438" t="s">
        <v>11730</v>
      </c>
      <c r="F438" t="s">
        <v>68</v>
      </c>
      <c r="G438" t="s">
        <v>11731</v>
      </c>
      <c r="H438">
        <v>19.100000000000001</v>
      </c>
      <c r="I438">
        <v>0</v>
      </c>
      <c r="J438">
        <v>0</v>
      </c>
      <c r="K438">
        <v>28</v>
      </c>
      <c r="L438">
        <v>7</v>
      </c>
      <c r="N438">
        <v>3</v>
      </c>
      <c r="O438">
        <v>10</v>
      </c>
      <c r="P438">
        <v>4</v>
      </c>
      <c r="Q438">
        <v>0</v>
      </c>
      <c r="R438">
        <v>61.1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G438" t="s">
        <v>130</v>
      </c>
      <c r="AH438">
        <v>61.1</v>
      </c>
    </row>
    <row r="439" spans="1:34" x14ac:dyDescent="0.3">
      <c r="A439" s="4">
        <v>617</v>
      </c>
      <c r="B439" s="5">
        <v>432</v>
      </c>
      <c r="C439">
        <v>9262</v>
      </c>
      <c r="D439" t="s">
        <v>11732</v>
      </c>
      <c r="E439" t="s">
        <v>342</v>
      </c>
      <c r="F439" t="s">
        <v>68</v>
      </c>
      <c r="G439" t="s">
        <v>11733</v>
      </c>
      <c r="H439">
        <v>18.03</v>
      </c>
      <c r="I439">
        <v>0</v>
      </c>
      <c r="J439">
        <v>0</v>
      </c>
      <c r="K439">
        <v>20</v>
      </c>
      <c r="L439">
        <v>7</v>
      </c>
      <c r="O439">
        <v>7</v>
      </c>
      <c r="P439">
        <v>4</v>
      </c>
      <c r="Q439">
        <v>2</v>
      </c>
      <c r="R439">
        <v>51.03</v>
      </c>
      <c r="S439">
        <v>10</v>
      </c>
      <c r="T439">
        <v>10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10</v>
      </c>
      <c r="AB439">
        <v>0</v>
      </c>
      <c r="AC439">
        <v>0</v>
      </c>
      <c r="AG439" t="s">
        <v>130</v>
      </c>
      <c r="AH439">
        <v>61.03</v>
      </c>
    </row>
    <row r="440" spans="1:34" x14ac:dyDescent="0.3">
      <c r="A440" s="4">
        <v>618</v>
      </c>
      <c r="B440" s="5">
        <v>433</v>
      </c>
      <c r="C440">
        <v>10371</v>
      </c>
      <c r="D440" t="s">
        <v>9942</v>
      </c>
      <c r="E440" t="s">
        <v>54</v>
      </c>
      <c r="F440" t="s">
        <v>91</v>
      </c>
      <c r="G440" t="s">
        <v>11734</v>
      </c>
      <c r="H440">
        <v>21.48</v>
      </c>
      <c r="I440">
        <v>0</v>
      </c>
      <c r="J440">
        <v>0</v>
      </c>
      <c r="K440">
        <v>20</v>
      </c>
      <c r="L440">
        <v>7</v>
      </c>
      <c r="M440">
        <v>5</v>
      </c>
      <c r="O440">
        <v>12</v>
      </c>
      <c r="P440">
        <v>4</v>
      </c>
      <c r="Q440">
        <v>0</v>
      </c>
      <c r="R440">
        <v>57.48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3</v>
      </c>
      <c r="AC440">
        <v>0</v>
      </c>
      <c r="AG440" t="s">
        <v>130</v>
      </c>
      <c r="AH440">
        <v>60.48</v>
      </c>
    </row>
    <row r="441" spans="1:34" x14ac:dyDescent="0.3">
      <c r="A441" s="4">
        <v>619</v>
      </c>
      <c r="B441" s="5">
        <v>434</v>
      </c>
      <c r="C441">
        <v>2045</v>
      </c>
      <c r="D441" t="s">
        <v>11735</v>
      </c>
      <c r="E441" t="s">
        <v>11736</v>
      </c>
      <c r="F441" t="s">
        <v>3094</v>
      </c>
      <c r="G441" t="s">
        <v>11737</v>
      </c>
      <c r="H441">
        <v>19.28</v>
      </c>
      <c r="I441">
        <v>0</v>
      </c>
      <c r="J441">
        <v>0</v>
      </c>
      <c r="K441">
        <v>20</v>
      </c>
      <c r="L441">
        <v>7</v>
      </c>
      <c r="M441">
        <v>5</v>
      </c>
      <c r="O441">
        <v>12</v>
      </c>
      <c r="P441">
        <v>4</v>
      </c>
      <c r="Q441">
        <v>0</v>
      </c>
      <c r="R441">
        <v>55.28</v>
      </c>
      <c r="S441">
        <v>2</v>
      </c>
      <c r="T441">
        <v>2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2</v>
      </c>
      <c r="AB441">
        <v>3</v>
      </c>
      <c r="AC441">
        <v>0</v>
      </c>
      <c r="AG441" t="s">
        <v>130</v>
      </c>
      <c r="AH441">
        <v>60.28</v>
      </c>
    </row>
    <row r="442" spans="1:34" x14ac:dyDescent="0.3">
      <c r="A442" s="4">
        <v>620</v>
      </c>
      <c r="B442" s="5">
        <v>435</v>
      </c>
      <c r="C442">
        <v>417</v>
      </c>
      <c r="D442" t="s">
        <v>11738</v>
      </c>
      <c r="E442" t="s">
        <v>320</v>
      </c>
      <c r="F442" t="s">
        <v>20</v>
      </c>
      <c r="G442" t="s">
        <v>11739</v>
      </c>
      <c r="H442">
        <v>16.25</v>
      </c>
      <c r="I442">
        <v>0</v>
      </c>
      <c r="J442">
        <v>0</v>
      </c>
      <c r="K442">
        <v>28</v>
      </c>
      <c r="L442">
        <v>7</v>
      </c>
      <c r="N442">
        <v>3</v>
      </c>
      <c r="O442">
        <v>10</v>
      </c>
      <c r="P442">
        <v>4</v>
      </c>
      <c r="Q442">
        <v>0</v>
      </c>
      <c r="R442">
        <v>58.25</v>
      </c>
      <c r="S442">
        <v>2</v>
      </c>
      <c r="T442">
        <v>2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</v>
      </c>
      <c r="AB442">
        <v>0</v>
      </c>
      <c r="AC442">
        <v>0</v>
      </c>
      <c r="AG442" t="s">
        <v>130</v>
      </c>
      <c r="AH442">
        <v>60.25</v>
      </c>
    </row>
    <row r="443" spans="1:34" x14ac:dyDescent="0.3">
      <c r="A443" s="4">
        <v>621</v>
      </c>
      <c r="B443" s="5">
        <v>436</v>
      </c>
      <c r="C443">
        <v>6787</v>
      </c>
      <c r="D443" t="s">
        <v>4201</v>
      </c>
      <c r="E443" t="s">
        <v>29</v>
      </c>
      <c r="F443" t="s">
        <v>17</v>
      </c>
      <c r="G443" t="s">
        <v>11740</v>
      </c>
      <c r="H443">
        <v>18.2</v>
      </c>
      <c r="I443">
        <v>0</v>
      </c>
      <c r="J443">
        <v>0</v>
      </c>
      <c r="K443">
        <v>20</v>
      </c>
      <c r="M443">
        <v>5</v>
      </c>
      <c r="O443">
        <v>5</v>
      </c>
      <c r="P443">
        <v>0</v>
      </c>
      <c r="Q443">
        <v>0</v>
      </c>
      <c r="R443">
        <v>43.2</v>
      </c>
      <c r="S443">
        <v>17</v>
      </c>
      <c r="T443">
        <v>17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17</v>
      </c>
      <c r="AB443">
        <v>0</v>
      </c>
      <c r="AC443">
        <v>0</v>
      </c>
      <c r="AG443" t="s">
        <v>130</v>
      </c>
      <c r="AH443">
        <v>60.2</v>
      </c>
    </row>
    <row r="444" spans="1:34" x14ac:dyDescent="0.3">
      <c r="A444" s="4">
        <v>622</v>
      </c>
      <c r="B444" s="5">
        <v>437</v>
      </c>
      <c r="C444">
        <v>2112</v>
      </c>
      <c r="D444" t="s">
        <v>8592</v>
      </c>
      <c r="E444" t="s">
        <v>54</v>
      </c>
      <c r="F444" t="s">
        <v>124</v>
      </c>
      <c r="G444" t="s">
        <v>11741</v>
      </c>
      <c r="H444">
        <v>20.78</v>
      </c>
      <c r="I444">
        <v>0</v>
      </c>
      <c r="J444">
        <v>0</v>
      </c>
      <c r="K444">
        <v>20</v>
      </c>
      <c r="L444">
        <v>7</v>
      </c>
      <c r="O444">
        <v>7</v>
      </c>
      <c r="P444">
        <v>4</v>
      </c>
      <c r="Q444">
        <v>2</v>
      </c>
      <c r="R444">
        <v>53.78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6</v>
      </c>
      <c r="AC444">
        <v>0</v>
      </c>
      <c r="AG444" t="s">
        <v>130</v>
      </c>
      <c r="AH444">
        <v>59.78</v>
      </c>
    </row>
    <row r="445" spans="1:34" x14ac:dyDescent="0.3">
      <c r="A445" s="4">
        <v>623</v>
      </c>
      <c r="B445" s="5">
        <v>438</v>
      </c>
      <c r="C445">
        <v>9016</v>
      </c>
      <c r="D445" t="s">
        <v>11110</v>
      </c>
      <c r="E445" t="s">
        <v>265</v>
      </c>
      <c r="F445" t="s">
        <v>81</v>
      </c>
      <c r="G445" t="s">
        <v>11742</v>
      </c>
      <c r="H445">
        <v>18.5</v>
      </c>
      <c r="I445">
        <v>0</v>
      </c>
      <c r="J445">
        <v>0</v>
      </c>
      <c r="K445">
        <v>20</v>
      </c>
      <c r="L445">
        <v>7</v>
      </c>
      <c r="O445">
        <v>7</v>
      </c>
      <c r="P445">
        <v>4</v>
      </c>
      <c r="Q445">
        <v>0</v>
      </c>
      <c r="R445">
        <v>49.5</v>
      </c>
      <c r="S445">
        <v>10</v>
      </c>
      <c r="T445">
        <v>10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10</v>
      </c>
      <c r="AB445">
        <v>0</v>
      </c>
      <c r="AC445">
        <v>0</v>
      </c>
      <c r="AG445" t="s">
        <v>130</v>
      </c>
      <c r="AH445">
        <v>59.5</v>
      </c>
    </row>
    <row r="446" spans="1:34" x14ac:dyDescent="0.3">
      <c r="A446" s="4">
        <v>624</v>
      </c>
      <c r="B446" s="5">
        <v>439</v>
      </c>
      <c r="C446">
        <v>5880</v>
      </c>
      <c r="D446" t="s">
        <v>11743</v>
      </c>
      <c r="E446" t="s">
        <v>29</v>
      </c>
      <c r="F446" t="s">
        <v>68</v>
      </c>
      <c r="G446" t="s">
        <v>11744</v>
      </c>
      <c r="H446">
        <v>17.45</v>
      </c>
      <c r="I446">
        <v>7</v>
      </c>
      <c r="J446">
        <v>0</v>
      </c>
      <c r="K446">
        <v>20</v>
      </c>
      <c r="N446">
        <v>3</v>
      </c>
      <c r="O446">
        <v>3</v>
      </c>
      <c r="P446">
        <v>4</v>
      </c>
      <c r="Q446">
        <v>2</v>
      </c>
      <c r="R446">
        <v>53.45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6</v>
      </c>
      <c r="AC446">
        <v>0</v>
      </c>
      <c r="AG446" t="s">
        <v>130</v>
      </c>
      <c r="AH446">
        <v>59.45</v>
      </c>
    </row>
    <row r="447" spans="1:34" x14ac:dyDescent="0.3">
      <c r="A447" s="4">
        <v>625</v>
      </c>
      <c r="B447" s="5">
        <v>440</v>
      </c>
      <c r="C447">
        <v>11119</v>
      </c>
      <c r="D447" t="s">
        <v>11745</v>
      </c>
      <c r="E447" t="s">
        <v>158</v>
      </c>
      <c r="F447" t="s">
        <v>20</v>
      </c>
      <c r="G447" t="s">
        <v>11746</v>
      </c>
      <c r="H447">
        <v>14.1</v>
      </c>
      <c r="I447">
        <v>0</v>
      </c>
      <c r="J447">
        <v>0</v>
      </c>
      <c r="K447">
        <v>28</v>
      </c>
      <c r="L447">
        <v>7</v>
      </c>
      <c r="O447">
        <v>7</v>
      </c>
      <c r="P447">
        <v>4</v>
      </c>
      <c r="Q447">
        <v>0</v>
      </c>
      <c r="R447">
        <v>53.1</v>
      </c>
      <c r="S447">
        <v>6</v>
      </c>
      <c r="T447">
        <v>6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6</v>
      </c>
      <c r="AB447">
        <v>0</v>
      </c>
      <c r="AC447">
        <v>0</v>
      </c>
      <c r="AG447" t="s">
        <v>130</v>
      </c>
      <c r="AH447">
        <v>59.1</v>
      </c>
    </row>
    <row r="448" spans="1:34" x14ac:dyDescent="0.3">
      <c r="A448" s="4">
        <v>626</v>
      </c>
      <c r="B448" s="5">
        <v>441</v>
      </c>
      <c r="C448">
        <v>7239</v>
      </c>
      <c r="D448" t="s">
        <v>11747</v>
      </c>
      <c r="E448" t="s">
        <v>54</v>
      </c>
      <c r="F448" t="s">
        <v>214</v>
      </c>
      <c r="G448" t="s">
        <v>11748</v>
      </c>
      <c r="H448">
        <v>15.7</v>
      </c>
      <c r="I448">
        <v>0</v>
      </c>
      <c r="J448">
        <v>0</v>
      </c>
      <c r="K448">
        <v>20</v>
      </c>
      <c r="N448">
        <v>6</v>
      </c>
      <c r="O448">
        <v>6</v>
      </c>
      <c r="P448">
        <v>4</v>
      </c>
      <c r="Q448">
        <v>2</v>
      </c>
      <c r="R448">
        <v>47.7</v>
      </c>
      <c r="S448">
        <v>5</v>
      </c>
      <c r="T448">
        <v>5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5</v>
      </c>
      <c r="AB448">
        <v>6</v>
      </c>
      <c r="AC448">
        <v>0</v>
      </c>
      <c r="AG448" t="s">
        <v>130</v>
      </c>
      <c r="AH448">
        <v>58.7</v>
      </c>
    </row>
    <row r="449" spans="1:34" x14ac:dyDescent="0.3">
      <c r="A449" s="4">
        <v>627</v>
      </c>
      <c r="B449" s="5">
        <v>442</v>
      </c>
      <c r="C449">
        <v>2603</v>
      </c>
      <c r="D449" t="s">
        <v>11749</v>
      </c>
      <c r="E449" t="s">
        <v>964</v>
      </c>
      <c r="F449" t="s">
        <v>17</v>
      </c>
      <c r="G449" t="s">
        <v>11750</v>
      </c>
      <c r="H449">
        <v>18.600000000000001</v>
      </c>
      <c r="I449">
        <v>0</v>
      </c>
      <c r="J449">
        <v>0</v>
      </c>
      <c r="K449">
        <v>28</v>
      </c>
      <c r="L449">
        <v>7</v>
      </c>
      <c r="M449">
        <v>5</v>
      </c>
      <c r="O449">
        <v>12</v>
      </c>
      <c r="P449">
        <v>0</v>
      </c>
      <c r="Q449">
        <v>0</v>
      </c>
      <c r="R449">
        <v>58.6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G449" t="s">
        <v>130</v>
      </c>
      <c r="AH449">
        <v>58.6</v>
      </c>
    </row>
    <row r="450" spans="1:34" x14ac:dyDescent="0.3">
      <c r="A450" s="4">
        <v>628</v>
      </c>
      <c r="B450" s="5">
        <v>443</v>
      </c>
      <c r="C450">
        <v>5072</v>
      </c>
      <c r="D450" t="s">
        <v>929</v>
      </c>
      <c r="E450" t="s">
        <v>744</v>
      </c>
      <c r="F450" t="s">
        <v>79</v>
      </c>
      <c r="G450" t="s">
        <v>11751</v>
      </c>
      <c r="H450">
        <v>20.399999999999999</v>
      </c>
      <c r="I450">
        <v>0</v>
      </c>
      <c r="J450">
        <v>0</v>
      </c>
      <c r="K450">
        <v>20</v>
      </c>
      <c r="L450">
        <v>7</v>
      </c>
      <c r="O450">
        <v>7</v>
      </c>
      <c r="P450">
        <v>4</v>
      </c>
      <c r="Q450">
        <v>2</v>
      </c>
      <c r="R450">
        <v>53.4</v>
      </c>
      <c r="S450">
        <v>5</v>
      </c>
      <c r="T450">
        <v>5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5</v>
      </c>
      <c r="AB450">
        <v>0</v>
      </c>
      <c r="AC450">
        <v>0</v>
      </c>
      <c r="AG450" t="s">
        <v>130</v>
      </c>
      <c r="AH450">
        <v>58.4</v>
      </c>
    </row>
    <row r="451" spans="1:34" x14ac:dyDescent="0.3">
      <c r="A451" s="4">
        <v>629</v>
      </c>
      <c r="B451" s="5">
        <v>444</v>
      </c>
      <c r="C451">
        <v>7644</v>
      </c>
      <c r="D451" t="s">
        <v>11752</v>
      </c>
      <c r="E451" t="s">
        <v>37</v>
      </c>
      <c r="F451" t="s">
        <v>328</v>
      </c>
      <c r="G451" t="s">
        <v>11753</v>
      </c>
      <c r="H451">
        <v>21.13</v>
      </c>
      <c r="I451">
        <v>0</v>
      </c>
      <c r="J451">
        <v>0</v>
      </c>
      <c r="K451">
        <v>20</v>
      </c>
      <c r="L451">
        <v>7</v>
      </c>
      <c r="N451">
        <v>3</v>
      </c>
      <c r="O451">
        <v>10</v>
      </c>
      <c r="P451">
        <v>4</v>
      </c>
      <c r="Q451">
        <v>0</v>
      </c>
      <c r="R451">
        <v>55.13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3</v>
      </c>
      <c r="AC451">
        <v>0</v>
      </c>
      <c r="AD451" t="s">
        <v>130</v>
      </c>
      <c r="AG451" t="s">
        <v>130</v>
      </c>
      <c r="AH451">
        <v>58.13</v>
      </c>
    </row>
    <row r="452" spans="1:34" x14ac:dyDescent="0.3">
      <c r="A452" s="4">
        <v>630</v>
      </c>
      <c r="B452" s="5">
        <v>445</v>
      </c>
      <c r="C452">
        <v>6679</v>
      </c>
      <c r="D452" t="s">
        <v>11754</v>
      </c>
      <c r="E452" t="s">
        <v>208</v>
      </c>
      <c r="F452" t="s">
        <v>375</v>
      </c>
      <c r="G452" t="s">
        <v>11755</v>
      </c>
      <c r="H452">
        <v>19.100000000000001</v>
      </c>
      <c r="I452">
        <v>0</v>
      </c>
      <c r="J452">
        <v>0</v>
      </c>
      <c r="K452">
        <v>20</v>
      </c>
      <c r="L452">
        <v>7</v>
      </c>
      <c r="N452">
        <v>3</v>
      </c>
      <c r="O452">
        <v>10</v>
      </c>
      <c r="P452">
        <v>4</v>
      </c>
      <c r="Q452">
        <v>0</v>
      </c>
      <c r="R452">
        <v>53.1</v>
      </c>
      <c r="S452">
        <v>5</v>
      </c>
      <c r="T452">
        <v>5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5</v>
      </c>
      <c r="AB452">
        <v>0</v>
      </c>
      <c r="AC452">
        <v>0</v>
      </c>
      <c r="AG452" t="s">
        <v>130</v>
      </c>
      <c r="AH452">
        <v>58.1</v>
      </c>
    </row>
    <row r="453" spans="1:34" x14ac:dyDescent="0.3">
      <c r="A453" s="4">
        <v>631</v>
      </c>
      <c r="B453" s="5">
        <v>446</v>
      </c>
      <c r="C453">
        <v>1533</v>
      </c>
      <c r="D453" t="s">
        <v>11756</v>
      </c>
      <c r="E453" t="s">
        <v>188</v>
      </c>
      <c r="F453" t="s">
        <v>158</v>
      </c>
      <c r="G453" t="s">
        <v>11757</v>
      </c>
      <c r="H453">
        <v>19.78</v>
      </c>
      <c r="I453">
        <v>0</v>
      </c>
      <c r="J453">
        <v>0</v>
      </c>
      <c r="K453">
        <v>20</v>
      </c>
      <c r="L453">
        <v>7</v>
      </c>
      <c r="N453">
        <v>3</v>
      </c>
      <c r="O453">
        <v>10</v>
      </c>
      <c r="P453">
        <v>0</v>
      </c>
      <c r="Q453">
        <v>2</v>
      </c>
      <c r="R453">
        <v>51.78</v>
      </c>
      <c r="S453">
        <v>6</v>
      </c>
      <c r="T453">
        <v>6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6</v>
      </c>
      <c r="AB453">
        <v>0</v>
      </c>
      <c r="AC453">
        <v>0</v>
      </c>
      <c r="AD453" t="s">
        <v>130</v>
      </c>
      <c r="AG453" t="s">
        <v>130</v>
      </c>
      <c r="AH453">
        <v>57.78</v>
      </c>
    </row>
    <row r="454" spans="1:34" x14ac:dyDescent="0.3">
      <c r="A454" s="4">
        <v>632</v>
      </c>
      <c r="B454" s="5">
        <v>447</v>
      </c>
      <c r="C454">
        <v>15475</v>
      </c>
      <c r="D454" t="s">
        <v>11758</v>
      </c>
      <c r="E454" t="s">
        <v>5080</v>
      </c>
      <c r="F454" t="s">
        <v>343</v>
      </c>
      <c r="G454" t="s">
        <v>11759</v>
      </c>
      <c r="H454">
        <v>19.73</v>
      </c>
      <c r="I454">
        <v>0</v>
      </c>
      <c r="J454">
        <v>0</v>
      </c>
      <c r="K454">
        <v>20</v>
      </c>
      <c r="L454">
        <v>14</v>
      </c>
      <c r="O454">
        <v>14</v>
      </c>
      <c r="P454">
        <v>4</v>
      </c>
      <c r="Q454">
        <v>0</v>
      </c>
      <c r="R454">
        <v>57.73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G454" t="s">
        <v>130</v>
      </c>
      <c r="AH454">
        <v>57.73</v>
      </c>
    </row>
    <row r="455" spans="1:34" x14ac:dyDescent="0.3">
      <c r="A455" s="4">
        <v>633</v>
      </c>
      <c r="B455" s="5">
        <v>448</v>
      </c>
      <c r="C455">
        <v>15256</v>
      </c>
      <c r="D455" t="s">
        <v>11760</v>
      </c>
      <c r="E455" t="s">
        <v>29</v>
      </c>
      <c r="F455" t="s">
        <v>649</v>
      </c>
      <c r="G455" t="s">
        <v>11761</v>
      </c>
      <c r="H455">
        <v>17.73</v>
      </c>
      <c r="I455">
        <v>0</v>
      </c>
      <c r="J455">
        <v>0</v>
      </c>
      <c r="K455">
        <v>20</v>
      </c>
      <c r="N455">
        <v>3</v>
      </c>
      <c r="O455">
        <v>3</v>
      </c>
      <c r="P455">
        <v>4</v>
      </c>
      <c r="Q455">
        <v>2</v>
      </c>
      <c r="R455">
        <v>46.73</v>
      </c>
      <c r="S455">
        <v>11</v>
      </c>
      <c r="T455">
        <v>11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11</v>
      </c>
      <c r="AB455">
        <v>0</v>
      </c>
      <c r="AC455">
        <v>0</v>
      </c>
      <c r="AD455" t="s">
        <v>130</v>
      </c>
      <c r="AG455" t="s">
        <v>130</v>
      </c>
      <c r="AH455">
        <v>57.73</v>
      </c>
    </row>
    <row r="456" spans="1:34" x14ac:dyDescent="0.3">
      <c r="A456" s="4">
        <v>634</v>
      </c>
      <c r="B456" s="5">
        <v>449</v>
      </c>
      <c r="C456">
        <v>4919</v>
      </c>
      <c r="D456" t="s">
        <v>3662</v>
      </c>
      <c r="E456" t="s">
        <v>283</v>
      </c>
      <c r="F456" t="s">
        <v>190</v>
      </c>
      <c r="G456" t="s">
        <v>11762</v>
      </c>
      <c r="H456">
        <v>18.68</v>
      </c>
      <c r="I456">
        <v>0</v>
      </c>
      <c r="J456">
        <v>0</v>
      </c>
      <c r="K456">
        <v>20</v>
      </c>
      <c r="L456">
        <v>7</v>
      </c>
      <c r="M456">
        <v>5</v>
      </c>
      <c r="O456">
        <v>12</v>
      </c>
      <c r="P456">
        <v>4</v>
      </c>
      <c r="Q456">
        <v>0</v>
      </c>
      <c r="R456">
        <v>54.68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3</v>
      </c>
      <c r="AC456">
        <v>0</v>
      </c>
      <c r="AG456" t="s">
        <v>130</v>
      </c>
      <c r="AH456">
        <v>57.68</v>
      </c>
    </row>
    <row r="457" spans="1:34" x14ac:dyDescent="0.3">
      <c r="A457" s="4">
        <v>635</v>
      </c>
      <c r="B457" s="5">
        <v>450</v>
      </c>
      <c r="C457">
        <v>10055</v>
      </c>
      <c r="D457" t="s">
        <v>11763</v>
      </c>
      <c r="E457" t="s">
        <v>41</v>
      </c>
      <c r="F457" t="s">
        <v>17</v>
      </c>
      <c r="G457" t="s">
        <v>11764</v>
      </c>
      <c r="H457">
        <v>20.399999999999999</v>
      </c>
      <c r="I457">
        <v>0</v>
      </c>
      <c r="J457">
        <v>0</v>
      </c>
      <c r="K457">
        <v>20</v>
      </c>
      <c r="L457">
        <v>7</v>
      </c>
      <c r="O457">
        <v>7</v>
      </c>
      <c r="P457">
        <v>4</v>
      </c>
      <c r="Q457">
        <v>0</v>
      </c>
      <c r="R457">
        <v>51.4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6</v>
      </c>
      <c r="AC457">
        <v>0</v>
      </c>
      <c r="AG457" t="s">
        <v>130</v>
      </c>
      <c r="AH457">
        <v>57.4</v>
      </c>
    </row>
    <row r="458" spans="1:34" x14ac:dyDescent="0.3">
      <c r="A458" s="4">
        <v>636</v>
      </c>
      <c r="B458" s="5">
        <v>451</v>
      </c>
      <c r="C458">
        <v>7369</v>
      </c>
      <c r="D458" t="s">
        <v>7924</v>
      </c>
      <c r="E458" t="s">
        <v>667</v>
      </c>
      <c r="F458" t="s">
        <v>230</v>
      </c>
      <c r="G458" t="s">
        <v>11765</v>
      </c>
      <c r="H458">
        <v>17.399999999999999</v>
      </c>
      <c r="I458">
        <v>0</v>
      </c>
      <c r="J458">
        <v>0</v>
      </c>
      <c r="K458">
        <v>20</v>
      </c>
      <c r="L458">
        <v>7</v>
      </c>
      <c r="N458">
        <v>3</v>
      </c>
      <c r="O458">
        <v>10</v>
      </c>
      <c r="P458">
        <v>4</v>
      </c>
      <c r="Q458">
        <v>0</v>
      </c>
      <c r="R458">
        <v>51.4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6</v>
      </c>
      <c r="AC458">
        <v>0</v>
      </c>
      <c r="AG458" t="s">
        <v>130</v>
      </c>
      <c r="AH458">
        <v>57.4</v>
      </c>
    </row>
    <row r="459" spans="1:34" x14ac:dyDescent="0.3">
      <c r="A459" s="4">
        <v>637</v>
      </c>
      <c r="B459" s="5">
        <v>452</v>
      </c>
      <c r="C459">
        <v>12818</v>
      </c>
      <c r="D459" t="s">
        <v>2383</v>
      </c>
      <c r="E459" t="s">
        <v>1331</v>
      </c>
      <c r="F459" t="s">
        <v>68</v>
      </c>
      <c r="G459" t="s">
        <v>11766</v>
      </c>
      <c r="H459">
        <v>16.329999999999998</v>
      </c>
      <c r="I459">
        <v>0</v>
      </c>
      <c r="J459">
        <v>0</v>
      </c>
      <c r="K459">
        <v>20</v>
      </c>
      <c r="L459">
        <v>7</v>
      </c>
      <c r="N459">
        <v>3</v>
      </c>
      <c r="O459">
        <v>10</v>
      </c>
      <c r="P459">
        <v>4</v>
      </c>
      <c r="Q459">
        <v>0</v>
      </c>
      <c r="R459">
        <v>50.33</v>
      </c>
      <c r="S459">
        <v>4</v>
      </c>
      <c r="T459">
        <v>4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4</v>
      </c>
      <c r="AB459">
        <v>3</v>
      </c>
      <c r="AC459">
        <v>0</v>
      </c>
      <c r="AG459" t="s">
        <v>130</v>
      </c>
      <c r="AH459">
        <v>57.33</v>
      </c>
    </row>
    <row r="460" spans="1:34" x14ac:dyDescent="0.3">
      <c r="A460" s="4">
        <v>638</v>
      </c>
      <c r="B460" s="5">
        <v>453</v>
      </c>
      <c r="C460">
        <v>625</v>
      </c>
      <c r="D460" t="s">
        <v>11767</v>
      </c>
      <c r="E460" t="s">
        <v>26</v>
      </c>
      <c r="F460" t="s">
        <v>20</v>
      </c>
      <c r="G460" t="s">
        <v>11768</v>
      </c>
      <c r="H460">
        <v>19.28</v>
      </c>
      <c r="I460">
        <v>0</v>
      </c>
      <c r="J460">
        <v>0</v>
      </c>
      <c r="K460">
        <v>20</v>
      </c>
      <c r="L460">
        <v>7</v>
      </c>
      <c r="O460">
        <v>7</v>
      </c>
      <c r="P460">
        <v>0</v>
      </c>
      <c r="Q460">
        <v>0</v>
      </c>
      <c r="R460">
        <v>46.28</v>
      </c>
      <c r="S460">
        <v>11</v>
      </c>
      <c r="T460">
        <v>11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11</v>
      </c>
      <c r="AB460">
        <v>0</v>
      </c>
      <c r="AC460">
        <v>0</v>
      </c>
      <c r="AG460" t="s">
        <v>130</v>
      </c>
      <c r="AH460">
        <v>57.28</v>
      </c>
    </row>
    <row r="461" spans="1:34" x14ac:dyDescent="0.3">
      <c r="A461" s="4">
        <v>639</v>
      </c>
      <c r="B461" s="5">
        <v>454</v>
      </c>
      <c r="C461">
        <v>3233</v>
      </c>
      <c r="D461" t="s">
        <v>11769</v>
      </c>
      <c r="E461" t="s">
        <v>744</v>
      </c>
      <c r="F461" t="s">
        <v>81</v>
      </c>
      <c r="G461" t="s">
        <v>11770</v>
      </c>
      <c r="H461">
        <v>20.100000000000001</v>
      </c>
      <c r="I461">
        <v>0</v>
      </c>
      <c r="J461">
        <v>0</v>
      </c>
      <c r="K461">
        <v>28</v>
      </c>
      <c r="L461">
        <v>7</v>
      </c>
      <c r="O461">
        <v>7</v>
      </c>
      <c r="P461">
        <v>0</v>
      </c>
      <c r="Q461">
        <v>2</v>
      </c>
      <c r="R461">
        <v>57.1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G461" t="s">
        <v>130</v>
      </c>
      <c r="AH461">
        <v>57.1</v>
      </c>
    </row>
    <row r="462" spans="1:34" x14ac:dyDescent="0.3">
      <c r="A462" s="4">
        <v>640</v>
      </c>
      <c r="B462" s="5">
        <v>455</v>
      </c>
      <c r="C462">
        <v>14647</v>
      </c>
      <c r="D462" t="s">
        <v>10518</v>
      </c>
      <c r="E462" t="s">
        <v>789</v>
      </c>
      <c r="F462" t="s">
        <v>81</v>
      </c>
      <c r="G462" t="s">
        <v>11771</v>
      </c>
      <c r="H462">
        <v>19.079999999999998</v>
      </c>
      <c r="I462">
        <v>0</v>
      </c>
      <c r="J462">
        <v>0</v>
      </c>
      <c r="K462">
        <v>20</v>
      </c>
      <c r="L462">
        <v>14</v>
      </c>
      <c r="O462">
        <v>14</v>
      </c>
      <c r="P462">
        <v>4</v>
      </c>
      <c r="Q462">
        <v>0</v>
      </c>
      <c r="R462">
        <v>57.08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G462" t="s">
        <v>130</v>
      </c>
      <c r="AH462">
        <v>57.08</v>
      </c>
    </row>
    <row r="463" spans="1:34" x14ac:dyDescent="0.3">
      <c r="A463" s="4">
        <v>641</v>
      </c>
      <c r="B463" s="5">
        <v>456</v>
      </c>
      <c r="C463">
        <v>3271</v>
      </c>
      <c r="D463" t="s">
        <v>67</v>
      </c>
      <c r="E463" t="s">
        <v>54</v>
      </c>
      <c r="F463" t="s">
        <v>259</v>
      </c>
      <c r="G463" t="s">
        <v>11772</v>
      </c>
      <c r="H463">
        <v>19.63</v>
      </c>
      <c r="I463">
        <v>0</v>
      </c>
      <c r="J463">
        <v>0</v>
      </c>
      <c r="K463">
        <v>20</v>
      </c>
      <c r="L463">
        <v>7</v>
      </c>
      <c r="N463">
        <v>3</v>
      </c>
      <c r="O463">
        <v>10</v>
      </c>
      <c r="P463">
        <v>4</v>
      </c>
      <c r="Q463">
        <v>0</v>
      </c>
      <c r="R463">
        <v>53.63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3</v>
      </c>
      <c r="AC463">
        <v>0</v>
      </c>
      <c r="AG463" t="s">
        <v>130</v>
      </c>
      <c r="AH463">
        <v>56.63</v>
      </c>
    </row>
    <row r="464" spans="1:34" x14ac:dyDescent="0.3">
      <c r="A464" s="4">
        <v>642</v>
      </c>
      <c r="B464" s="5">
        <v>457</v>
      </c>
      <c r="C464">
        <v>12767</v>
      </c>
      <c r="D464" t="s">
        <v>11773</v>
      </c>
      <c r="E464" t="s">
        <v>188</v>
      </c>
      <c r="F464" t="s">
        <v>1566</v>
      </c>
      <c r="G464" t="s">
        <v>11774</v>
      </c>
      <c r="H464">
        <v>20.58</v>
      </c>
      <c r="I464">
        <v>0</v>
      </c>
      <c r="J464">
        <v>0</v>
      </c>
      <c r="K464">
        <v>20</v>
      </c>
      <c r="L464">
        <v>7</v>
      </c>
      <c r="M464">
        <v>5</v>
      </c>
      <c r="O464">
        <v>12</v>
      </c>
      <c r="P464">
        <v>4</v>
      </c>
      <c r="Q464">
        <v>0</v>
      </c>
      <c r="R464">
        <v>56.58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G464" t="s">
        <v>130</v>
      </c>
      <c r="AH464">
        <v>56.58</v>
      </c>
    </row>
    <row r="465" spans="1:34" x14ac:dyDescent="0.3">
      <c r="A465" s="4">
        <v>643</v>
      </c>
      <c r="B465" s="5">
        <v>458</v>
      </c>
      <c r="C465">
        <v>5824</v>
      </c>
      <c r="D465" t="s">
        <v>11775</v>
      </c>
      <c r="E465" t="s">
        <v>188</v>
      </c>
      <c r="F465" t="s">
        <v>81</v>
      </c>
      <c r="G465" t="s">
        <v>11776</v>
      </c>
      <c r="H465">
        <v>24.25</v>
      </c>
      <c r="I465">
        <v>0</v>
      </c>
      <c r="J465">
        <v>0</v>
      </c>
      <c r="K465">
        <v>20</v>
      </c>
      <c r="L465">
        <v>7</v>
      </c>
      <c r="M465">
        <v>5</v>
      </c>
      <c r="O465">
        <v>12</v>
      </c>
      <c r="P465">
        <v>0</v>
      </c>
      <c r="Q465">
        <v>0</v>
      </c>
      <c r="R465">
        <v>56.25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G465" t="s">
        <v>130</v>
      </c>
      <c r="AH465">
        <v>56.25</v>
      </c>
    </row>
    <row r="466" spans="1:34" x14ac:dyDescent="0.3">
      <c r="A466" s="4">
        <v>644</v>
      </c>
      <c r="B466" s="5">
        <v>459</v>
      </c>
      <c r="C466">
        <v>7915</v>
      </c>
      <c r="D466" t="s">
        <v>11777</v>
      </c>
      <c r="E466" t="s">
        <v>2841</v>
      </c>
      <c r="F466" t="s">
        <v>34</v>
      </c>
      <c r="G466" t="s">
        <v>11778</v>
      </c>
      <c r="H466">
        <v>16.98</v>
      </c>
      <c r="I466">
        <v>0</v>
      </c>
      <c r="J466">
        <v>0</v>
      </c>
      <c r="K466">
        <v>20</v>
      </c>
      <c r="L466">
        <v>7</v>
      </c>
      <c r="N466">
        <v>3</v>
      </c>
      <c r="O466">
        <v>10</v>
      </c>
      <c r="P466">
        <v>4</v>
      </c>
      <c r="Q466">
        <v>0</v>
      </c>
      <c r="R466">
        <v>50.98</v>
      </c>
      <c r="S466">
        <v>5</v>
      </c>
      <c r="T466">
        <v>5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5</v>
      </c>
      <c r="AB466">
        <v>0</v>
      </c>
      <c r="AC466">
        <v>0</v>
      </c>
      <c r="AG466" t="s">
        <v>130</v>
      </c>
      <c r="AH466">
        <v>55.98</v>
      </c>
    </row>
    <row r="467" spans="1:34" x14ac:dyDescent="0.3">
      <c r="A467" s="4">
        <v>645</v>
      </c>
      <c r="B467" s="5">
        <v>460</v>
      </c>
      <c r="C467">
        <v>4071</v>
      </c>
      <c r="D467" t="s">
        <v>11779</v>
      </c>
      <c r="E467" t="s">
        <v>328</v>
      </c>
      <c r="F467" t="s">
        <v>68</v>
      </c>
      <c r="G467" t="s">
        <v>11780</v>
      </c>
      <c r="H467">
        <v>17.73</v>
      </c>
      <c r="I467">
        <v>0</v>
      </c>
      <c r="J467">
        <v>0</v>
      </c>
      <c r="K467">
        <v>20</v>
      </c>
      <c r="L467">
        <v>7</v>
      </c>
      <c r="O467">
        <v>7</v>
      </c>
      <c r="P467">
        <v>4</v>
      </c>
      <c r="Q467">
        <v>2</v>
      </c>
      <c r="R467">
        <v>50.73</v>
      </c>
      <c r="S467">
        <v>5</v>
      </c>
      <c r="T467">
        <v>5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5</v>
      </c>
      <c r="AB467">
        <v>0</v>
      </c>
      <c r="AC467">
        <v>0</v>
      </c>
      <c r="AG467" t="s">
        <v>130</v>
      </c>
      <c r="AH467">
        <v>55.73</v>
      </c>
    </row>
    <row r="468" spans="1:34" x14ac:dyDescent="0.3">
      <c r="A468" s="4">
        <v>646</v>
      </c>
      <c r="B468" s="5">
        <v>461</v>
      </c>
      <c r="C468">
        <v>4038</v>
      </c>
      <c r="D468" t="s">
        <v>2301</v>
      </c>
      <c r="E468" t="s">
        <v>10838</v>
      </c>
      <c r="F468" t="s">
        <v>30</v>
      </c>
      <c r="G468" t="s">
        <v>11781</v>
      </c>
      <c r="H468">
        <v>19.28</v>
      </c>
      <c r="I468">
        <v>0</v>
      </c>
      <c r="J468">
        <v>0</v>
      </c>
      <c r="K468">
        <v>20</v>
      </c>
      <c r="L468">
        <v>7</v>
      </c>
      <c r="N468">
        <v>3</v>
      </c>
      <c r="O468">
        <v>10</v>
      </c>
      <c r="P468">
        <v>4</v>
      </c>
      <c r="Q468">
        <v>2</v>
      </c>
      <c r="R468">
        <v>55.28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G468" t="s">
        <v>130</v>
      </c>
      <c r="AH468">
        <v>55.28</v>
      </c>
    </row>
    <row r="469" spans="1:34" x14ac:dyDescent="0.3">
      <c r="A469" s="4">
        <v>647</v>
      </c>
      <c r="B469" s="5">
        <v>462</v>
      </c>
      <c r="C469">
        <v>5035</v>
      </c>
      <c r="D469" t="s">
        <v>11782</v>
      </c>
      <c r="E469" t="s">
        <v>7314</v>
      </c>
      <c r="F469" t="s">
        <v>20</v>
      </c>
      <c r="G469" t="s">
        <v>11783</v>
      </c>
      <c r="H469">
        <v>18.18</v>
      </c>
      <c r="I469">
        <v>0</v>
      </c>
      <c r="J469">
        <v>0</v>
      </c>
      <c r="K469">
        <v>20</v>
      </c>
      <c r="L469">
        <v>7</v>
      </c>
      <c r="O469">
        <v>7</v>
      </c>
      <c r="P469">
        <v>4</v>
      </c>
      <c r="Q469">
        <v>2</v>
      </c>
      <c r="R469">
        <v>51.18</v>
      </c>
      <c r="S469">
        <v>4</v>
      </c>
      <c r="T469">
        <v>4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4</v>
      </c>
      <c r="AB469">
        <v>0</v>
      </c>
      <c r="AC469">
        <v>0</v>
      </c>
      <c r="AG469" t="s">
        <v>130</v>
      </c>
      <c r="AH469">
        <v>55.18</v>
      </c>
    </row>
    <row r="470" spans="1:34" x14ac:dyDescent="0.3">
      <c r="A470" s="4">
        <v>648</v>
      </c>
      <c r="B470" s="5">
        <v>463</v>
      </c>
      <c r="C470">
        <v>9212</v>
      </c>
      <c r="D470" t="s">
        <v>11784</v>
      </c>
      <c r="E470" t="s">
        <v>54</v>
      </c>
      <c r="F470" t="s">
        <v>136</v>
      </c>
      <c r="G470" t="s">
        <v>11785</v>
      </c>
      <c r="H470">
        <v>18.18</v>
      </c>
      <c r="I470">
        <v>0</v>
      </c>
      <c r="J470">
        <v>0</v>
      </c>
      <c r="K470">
        <v>20</v>
      </c>
      <c r="L470">
        <v>7</v>
      </c>
      <c r="O470">
        <v>7</v>
      </c>
      <c r="P470">
        <v>4</v>
      </c>
      <c r="Q470">
        <v>0</v>
      </c>
      <c r="R470">
        <v>49.18</v>
      </c>
      <c r="S470">
        <v>6</v>
      </c>
      <c r="T470">
        <v>6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6</v>
      </c>
      <c r="AB470">
        <v>0</v>
      </c>
      <c r="AC470">
        <v>0</v>
      </c>
      <c r="AG470" t="s">
        <v>130</v>
      </c>
      <c r="AH470">
        <v>55.18</v>
      </c>
    </row>
    <row r="471" spans="1:34" x14ac:dyDescent="0.3">
      <c r="A471" s="4">
        <v>649</v>
      </c>
      <c r="B471" s="5">
        <v>464</v>
      </c>
      <c r="C471">
        <v>9348</v>
      </c>
      <c r="D471" t="s">
        <v>6161</v>
      </c>
      <c r="E471" t="s">
        <v>11786</v>
      </c>
      <c r="F471" t="s">
        <v>30</v>
      </c>
      <c r="G471" t="s">
        <v>11787</v>
      </c>
      <c r="H471">
        <v>18.93</v>
      </c>
      <c r="I471">
        <v>0</v>
      </c>
      <c r="J471">
        <v>0</v>
      </c>
      <c r="K471">
        <v>20</v>
      </c>
      <c r="L471">
        <v>7</v>
      </c>
      <c r="M471">
        <v>5</v>
      </c>
      <c r="O471">
        <v>12</v>
      </c>
      <c r="P471">
        <v>4</v>
      </c>
      <c r="Q471">
        <v>0</v>
      </c>
      <c r="R471">
        <v>54.93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G471" t="s">
        <v>130</v>
      </c>
      <c r="AH471">
        <v>54.93</v>
      </c>
    </row>
    <row r="472" spans="1:34" x14ac:dyDescent="0.3">
      <c r="A472" s="4">
        <v>650</v>
      </c>
      <c r="B472" s="5">
        <v>465</v>
      </c>
      <c r="C472">
        <v>9073</v>
      </c>
      <c r="D472" t="s">
        <v>3430</v>
      </c>
      <c r="E472" t="s">
        <v>161</v>
      </c>
      <c r="F472" t="s">
        <v>81</v>
      </c>
      <c r="G472" t="s">
        <v>11788</v>
      </c>
      <c r="H472">
        <v>18.8</v>
      </c>
      <c r="I472">
        <v>0</v>
      </c>
      <c r="J472">
        <v>0</v>
      </c>
      <c r="K472">
        <v>20</v>
      </c>
      <c r="L472">
        <v>7</v>
      </c>
      <c r="M472">
        <v>5</v>
      </c>
      <c r="O472">
        <v>12</v>
      </c>
      <c r="P472">
        <v>4</v>
      </c>
      <c r="Q472">
        <v>0</v>
      </c>
      <c r="R472">
        <v>54.8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G472" t="s">
        <v>130</v>
      </c>
      <c r="AH472">
        <v>54.8</v>
      </c>
    </row>
    <row r="473" spans="1:34" x14ac:dyDescent="0.3">
      <c r="A473" s="4">
        <v>651</v>
      </c>
      <c r="B473" s="5">
        <v>466</v>
      </c>
      <c r="C473">
        <v>11248</v>
      </c>
      <c r="D473" t="s">
        <v>11789</v>
      </c>
      <c r="E473" t="s">
        <v>2435</v>
      </c>
      <c r="F473" t="s">
        <v>2225</v>
      </c>
      <c r="G473" t="s">
        <v>11790</v>
      </c>
      <c r="H473">
        <v>20.45</v>
      </c>
      <c r="I473">
        <v>0</v>
      </c>
      <c r="J473">
        <v>0</v>
      </c>
      <c r="K473">
        <v>20</v>
      </c>
      <c r="L473">
        <v>7</v>
      </c>
      <c r="N473">
        <v>3</v>
      </c>
      <c r="O473">
        <v>10</v>
      </c>
      <c r="P473">
        <v>4</v>
      </c>
      <c r="Q473">
        <v>0</v>
      </c>
      <c r="R473">
        <v>54.45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G473" t="s">
        <v>130</v>
      </c>
      <c r="AH473">
        <v>54.45</v>
      </c>
    </row>
    <row r="474" spans="1:34" x14ac:dyDescent="0.3">
      <c r="A474" s="4">
        <v>652</v>
      </c>
      <c r="B474" s="5">
        <v>467</v>
      </c>
      <c r="C474">
        <v>2572</v>
      </c>
      <c r="D474" t="s">
        <v>11791</v>
      </c>
      <c r="E474" t="s">
        <v>33</v>
      </c>
      <c r="F474" t="s">
        <v>81</v>
      </c>
      <c r="G474" t="s">
        <v>11792</v>
      </c>
      <c r="H474">
        <v>16.25</v>
      </c>
      <c r="I474">
        <v>0</v>
      </c>
      <c r="J474">
        <v>0</v>
      </c>
      <c r="K474">
        <v>20</v>
      </c>
      <c r="L474">
        <v>7</v>
      </c>
      <c r="O474">
        <v>7</v>
      </c>
      <c r="P474">
        <v>4</v>
      </c>
      <c r="Q474">
        <v>2</v>
      </c>
      <c r="R474">
        <v>49.25</v>
      </c>
      <c r="S474">
        <v>5</v>
      </c>
      <c r="T474">
        <v>5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5</v>
      </c>
      <c r="AB474">
        <v>0</v>
      </c>
      <c r="AC474">
        <v>0</v>
      </c>
      <c r="AG474" t="s">
        <v>130</v>
      </c>
      <c r="AH474">
        <v>54.25</v>
      </c>
    </row>
    <row r="475" spans="1:34" x14ac:dyDescent="0.3">
      <c r="A475" s="4">
        <v>653</v>
      </c>
      <c r="B475" s="5">
        <v>468</v>
      </c>
      <c r="C475">
        <v>1768</v>
      </c>
      <c r="D475" t="s">
        <v>11793</v>
      </c>
      <c r="E475" t="s">
        <v>188</v>
      </c>
      <c r="F475" t="s">
        <v>227</v>
      </c>
      <c r="G475" t="s">
        <v>11794</v>
      </c>
      <c r="H475">
        <v>20.100000000000001</v>
      </c>
      <c r="I475">
        <v>0</v>
      </c>
      <c r="J475">
        <v>0</v>
      </c>
      <c r="K475">
        <v>20</v>
      </c>
      <c r="L475">
        <v>7</v>
      </c>
      <c r="O475">
        <v>7</v>
      </c>
      <c r="P475">
        <v>4</v>
      </c>
      <c r="Q475">
        <v>0</v>
      </c>
      <c r="R475">
        <v>51.1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3</v>
      </c>
      <c r="AC475">
        <v>0</v>
      </c>
      <c r="AG475" t="s">
        <v>130</v>
      </c>
      <c r="AH475">
        <v>54.1</v>
      </c>
    </row>
    <row r="476" spans="1:34" x14ac:dyDescent="0.3">
      <c r="A476" s="4">
        <v>654</v>
      </c>
      <c r="B476" s="5">
        <v>469</v>
      </c>
      <c r="C476">
        <v>7757</v>
      </c>
      <c r="D476" t="s">
        <v>3200</v>
      </c>
      <c r="E476" t="s">
        <v>161</v>
      </c>
      <c r="F476" t="s">
        <v>20</v>
      </c>
      <c r="G476" t="s">
        <v>11795</v>
      </c>
      <c r="H476">
        <v>18.93</v>
      </c>
      <c r="I476">
        <v>0</v>
      </c>
      <c r="J476">
        <v>0</v>
      </c>
      <c r="K476">
        <v>20</v>
      </c>
      <c r="N476">
        <v>3</v>
      </c>
      <c r="O476">
        <v>3</v>
      </c>
      <c r="P476">
        <v>4</v>
      </c>
      <c r="Q476">
        <v>0</v>
      </c>
      <c r="R476">
        <v>45.93</v>
      </c>
      <c r="S476">
        <v>8</v>
      </c>
      <c r="T476">
        <v>8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8</v>
      </c>
      <c r="AB476">
        <v>0</v>
      </c>
      <c r="AC476">
        <v>0</v>
      </c>
      <c r="AG476" t="s">
        <v>130</v>
      </c>
      <c r="AH476">
        <v>53.93</v>
      </c>
    </row>
    <row r="477" spans="1:34" x14ac:dyDescent="0.3">
      <c r="A477" s="4">
        <v>655</v>
      </c>
      <c r="B477" s="5">
        <v>470</v>
      </c>
      <c r="C477">
        <v>9021</v>
      </c>
      <c r="D477" t="s">
        <v>11796</v>
      </c>
      <c r="E477" t="s">
        <v>33</v>
      </c>
      <c r="F477" t="s">
        <v>17</v>
      </c>
      <c r="G477" t="s">
        <v>11797</v>
      </c>
      <c r="H477">
        <v>16.899999999999999</v>
      </c>
      <c r="I477">
        <v>0</v>
      </c>
      <c r="J477">
        <v>0</v>
      </c>
      <c r="K477">
        <v>20</v>
      </c>
      <c r="L477">
        <v>7</v>
      </c>
      <c r="O477">
        <v>7</v>
      </c>
      <c r="P477">
        <v>4</v>
      </c>
      <c r="Q477">
        <v>0</v>
      </c>
      <c r="R477">
        <v>47.9</v>
      </c>
      <c r="S477">
        <v>6</v>
      </c>
      <c r="T477">
        <v>6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6</v>
      </c>
      <c r="AB477">
        <v>0</v>
      </c>
      <c r="AC477">
        <v>0</v>
      </c>
      <c r="AG477" t="s">
        <v>130</v>
      </c>
      <c r="AH477">
        <v>53.9</v>
      </c>
    </row>
    <row r="478" spans="1:34" x14ac:dyDescent="0.3">
      <c r="A478" s="4">
        <v>656</v>
      </c>
      <c r="B478" s="5">
        <v>471</v>
      </c>
      <c r="C478">
        <v>4345</v>
      </c>
      <c r="D478" t="s">
        <v>5881</v>
      </c>
      <c r="E478" t="s">
        <v>964</v>
      </c>
      <c r="F478" t="s">
        <v>136</v>
      </c>
      <c r="G478">
        <v>167043</v>
      </c>
      <c r="H478">
        <v>20.7</v>
      </c>
      <c r="I478">
        <v>0</v>
      </c>
      <c r="J478">
        <v>0</v>
      </c>
      <c r="K478">
        <v>20</v>
      </c>
      <c r="L478">
        <v>7</v>
      </c>
      <c r="O478">
        <v>7</v>
      </c>
      <c r="P478">
        <v>4</v>
      </c>
      <c r="Q478">
        <v>2</v>
      </c>
      <c r="R478">
        <v>53.7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G478" t="s">
        <v>130</v>
      </c>
      <c r="AH478">
        <v>53.7</v>
      </c>
    </row>
    <row r="479" spans="1:34" x14ac:dyDescent="0.3">
      <c r="A479" s="4">
        <v>657</v>
      </c>
      <c r="B479" s="5">
        <v>472</v>
      </c>
      <c r="C479">
        <v>8998</v>
      </c>
      <c r="D479" t="s">
        <v>181</v>
      </c>
      <c r="E479" t="s">
        <v>258</v>
      </c>
      <c r="F479" t="s">
        <v>38</v>
      </c>
      <c r="G479" t="s">
        <v>11798</v>
      </c>
      <c r="H479">
        <v>19.5</v>
      </c>
      <c r="I479">
        <v>0</v>
      </c>
      <c r="J479">
        <v>0</v>
      </c>
      <c r="K479">
        <v>20</v>
      </c>
      <c r="L479">
        <v>7</v>
      </c>
      <c r="N479">
        <v>3</v>
      </c>
      <c r="O479">
        <v>10</v>
      </c>
      <c r="P479">
        <v>4</v>
      </c>
      <c r="Q479">
        <v>0</v>
      </c>
      <c r="R479">
        <v>53.5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G479" t="s">
        <v>130</v>
      </c>
      <c r="AH479">
        <v>53.5</v>
      </c>
    </row>
    <row r="480" spans="1:34" x14ac:dyDescent="0.3">
      <c r="A480" s="4">
        <v>658</v>
      </c>
      <c r="B480" s="5">
        <v>473</v>
      </c>
      <c r="C480">
        <v>13392</v>
      </c>
      <c r="D480" t="s">
        <v>11799</v>
      </c>
      <c r="E480" t="s">
        <v>935</v>
      </c>
      <c r="F480" t="s">
        <v>55</v>
      </c>
      <c r="G480" t="s">
        <v>11800</v>
      </c>
      <c r="H480">
        <v>17.399999999999999</v>
      </c>
      <c r="I480">
        <v>0</v>
      </c>
      <c r="J480">
        <v>0</v>
      </c>
      <c r="K480">
        <v>20</v>
      </c>
      <c r="L480">
        <v>7</v>
      </c>
      <c r="N480">
        <v>3</v>
      </c>
      <c r="O480">
        <v>10</v>
      </c>
      <c r="P480">
        <v>4</v>
      </c>
      <c r="Q480">
        <v>2</v>
      </c>
      <c r="R480">
        <v>53.4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G480" t="s">
        <v>130</v>
      </c>
      <c r="AH480">
        <v>53.4</v>
      </c>
    </row>
    <row r="481" spans="1:34" x14ac:dyDescent="0.3">
      <c r="A481" s="4">
        <v>659</v>
      </c>
      <c r="B481" s="5">
        <v>474</v>
      </c>
      <c r="C481">
        <v>3512</v>
      </c>
      <c r="D481" t="s">
        <v>4893</v>
      </c>
      <c r="E481" t="s">
        <v>4362</v>
      </c>
      <c r="F481" t="s">
        <v>68</v>
      </c>
      <c r="G481" t="s">
        <v>11801</v>
      </c>
      <c r="H481">
        <v>20.399999999999999</v>
      </c>
      <c r="I481">
        <v>0</v>
      </c>
      <c r="J481">
        <v>0</v>
      </c>
      <c r="K481">
        <v>20</v>
      </c>
      <c r="M481">
        <v>5</v>
      </c>
      <c r="O481">
        <v>5</v>
      </c>
      <c r="P481">
        <v>4</v>
      </c>
      <c r="Q481">
        <v>0</v>
      </c>
      <c r="R481">
        <v>49.4</v>
      </c>
      <c r="S481">
        <v>4</v>
      </c>
      <c r="T481">
        <v>4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4</v>
      </c>
      <c r="AB481">
        <v>0</v>
      </c>
      <c r="AC481">
        <v>0</v>
      </c>
      <c r="AG481" t="s">
        <v>130</v>
      </c>
      <c r="AH481">
        <v>53.4</v>
      </c>
    </row>
    <row r="482" spans="1:34" x14ac:dyDescent="0.3">
      <c r="A482" s="4">
        <v>660</v>
      </c>
      <c r="B482" s="5">
        <v>475</v>
      </c>
      <c r="C482">
        <v>12503</v>
      </c>
      <c r="D482" t="s">
        <v>11802</v>
      </c>
      <c r="E482" t="s">
        <v>471</v>
      </c>
      <c r="F482" t="s">
        <v>1854</v>
      </c>
      <c r="G482" t="s">
        <v>11803</v>
      </c>
      <c r="H482">
        <v>17.399999999999999</v>
      </c>
      <c r="I482">
        <v>0</v>
      </c>
      <c r="J482">
        <v>0</v>
      </c>
      <c r="K482">
        <v>20</v>
      </c>
      <c r="M482">
        <v>5</v>
      </c>
      <c r="N482">
        <v>3</v>
      </c>
      <c r="O482">
        <v>8</v>
      </c>
      <c r="P482">
        <v>4</v>
      </c>
      <c r="Q482">
        <v>0</v>
      </c>
      <c r="R482">
        <v>49.4</v>
      </c>
      <c r="S482">
        <v>4</v>
      </c>
      <c r="T482">
        <v>4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4</v>
      </c>
      <c r="AB482">
        <v>0</v>
      </c>
      <c r="AC482">
        <v>0</v>
      </c>
      <c r="AG482" t="s">
        <v>130</v>
      </c>
      <c r="AH482">
        <v>53.4</v>
      </c>
    </row>
    <row r="483" spans="1:34" x14ac:dyDescent="0.3">
      <c r="A483" s="4">
        <v>661</v>
      </c>
      <c r="B483" s="5">
        <v>476</v>
      </c>
      <c r="C483">
        <v>7162</v>
      </c>
      <c r="D483" t="s">
        <v>11804</v>
      </c>
      <c r="E483" t="s">
        <v>10939</v>
      </c>
      <c r="F483" t="s">
        <v>1806</v>
      </c>
      <c r="G483" t="s">
        <v>11805</v>
      </c>
      <c r="H483">
        <v>21.38</v>
      </c>
      <c r="I483">
        <v>0</v>
      </c>
      <c r="J483">
        <v>0</v>
      </c>
      <c r="K483">
        <v>20</v>
      </c>
      <c r="L483">
        <v>7</v>
      </c>
      <c r="M483">
        <v>5</v>
      </c>
      <c r="O483">
        <v>12</v>
      </c>
      <c r="P483">
        <v>0</v>
      </c>
      <c r="Q483">
        <v>0</v>
      </c>
      <c r="R483">
        <v>53.38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G483" t="s">
        <v>130</v>
      </c>
      <c r="AH483">
        <v>53.38</v>
      </c>
    </row>
    <row r="484" spans="1:34" x14ac:dyDescent="0.3">
      <c r="A484" s="4">
        <v>662</v>
      </c>
      <c r="B484" s="5">
        <v>477</v>
      </c>
      <c r="C484">
        <v>12078</v>
      </c>
      <c r="D484" t="s">
        <v>10885</v>
      </c>
      <c r="E484" t="s">
        <v>11806</v>
      </c>
      <c r="F484" t="s">
        <v>539</v>
      </c>
      <c r="G484" t="s">
        <v>11807</v>
      </c>
      <c r="H484">
        <v>19.329999999999998</v>
      </c>
      <c r="I484">
        <v>0</v>
      </c>
      <c r="J484">
        <v>0</v>
      </c>
      <c r="K484">
        <v>20</v>
      </c>
      <c r="L484">
        <v>7</v>
      </c>
      <c r="N484">
        <v>3</v>
      </c>
      <c r="O484">
        <v>10</v>
      </c>
      <c r="P484">
        <v>4</v>
      </c>
      <c r="Q484">
        <v>0</v>
      </c>
      <c r="R484">
        <v>53.33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G484" t="s">
        <v>130</v>
      </c>
      <c r="AH484">
        <v>53.33</v>
      </c>
    </row>
    <row r="485" spans="1:34" x14ac:dyDescent="0.3">
      <c r="A485" s="4">
        <v>663</v>
      </c>
      <c r="B485" s="5">
        <v>478</v>
      </c>
      <c r="C485">
        <v>3780</v>
      </c>
      <c r="D485" t="s">
        <v>11808</v>
      </c>
      <c r="E485" t="s">
        <v>136</v>
      </c>
      <c r="F485" t="s">
        <v>457</v>
      </c>
      <c r="G485" t="s">
        <v>11809</v>
      </c>
      <c r="H485">
        <v>18.18</v>
      </c>
      <c r="I485">
        <v>0</v>
      </c>
      <c r="J485">
        <v>0</v>
      </c>
      <c r="K485">
        <v>20</v>
      </c>
      <c r="M485">
        <v>5</v>
      </c>
      <c r="O485">
        <v>5</v>
      </c>
      <c r="P485">
        <v>4</v>
      </c>
      <c r="Q485">
        <v>0</v>
      </c>
      <c r="R485">
        <v>47.18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6</v>
      </c>
      <c r="AC485">
        <v>0</v>
      </c>
      <c r="AG485" t="s">
        <v>130</v>
      </c>
      <c r="AH485">
        <v>53.18</v>
      </c>
    </row>
    <row r="486" spans="1:34" x14ac:dyDescent="0.3">
      <c r="A486" s="4">
        <v>664</v>
      </c>
      <c r="B486" s="5">
        <v>479</v>
      </c>
      <c r="C486">
        <v>1758</v>
      </c>
      <c r="D486" t="s">
        <v>11810</v>
      </c>
      <c r="E486" t="s">
        <v>115</v>
      </c>
      <c r="F486" t="s">
        <v>62</v>
      </c>
      <c r="G486" t="s">
        <v>11811</v>
      </c>
      <c r="H486">
        <v>18.100000000000001</v>
      </c>
      <c r="I486">
        <v>0</v>
      </c>
      <c r="J486">
        <v>0</v>
      </c>
      <c r="K486">
        <v>20</v>
      </c>
      <c r="L486">
        <v>7</v>
      </c>
      <c r="N486">
        <v>3</v>
      </c>
      <c r="O486">
        <v>10</v>
      </c>
      <c r="P486">
        <v>4</v>
      </c>
      <c r="Q486">
        <v>0</v>
      </c>
      <c r="R486">
        <v>52.1</v>
      </c>
      <c r="S486">
        <v>1</v>
      </c>
      <c r="T486">
        <v>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1</v>
      </c>
      <c r="AB486">
        <v>0</v>
      </c>
      <c r="AC486">
        <v>0</v>
      </c>
      <c r="AG486" t="s">
        <v>130</v>
      </c>
      <c r="AH486">
        <v>53.1</v>
      </c>
    </row>
    <row r="487" spans="1:34" x14ac:dyDescent="0.3">
      <c r="A487" s="4">
        <v>665</v>
      </c>
      <c r="B487" s="5">
        <v>480</v>
      </c>
      <c r="C487">
        <v>436</v>
      </c>
      <c r="D487" t="s">
        <v>3123</v>
      </c>
      <c r="E487" t="s">
        <v>26</v>
      </c>
      <c r="F487" t="s">
        <v>117</v>
      </c>
      <c r="G487" t="s">
        <v>11812</v>
      </c>
      <c r="H487">
        <v>19.05</v>
      </c>
      <c r="I487">
        <v>0</v>
      </c>
      <c r="J487">
        <v>0</v>
      </c>
      <c r="K487">
        <v>20</v>
      </c>
      <c r="M487">
        <v>10</v>
      </c>
      <c r="O487">
        <v>10</v>
      </c>
      <c r="P487">
        <v>4</v>
      </c>
      <c r="Q487">
        <v>0</v>
      </c>
      <c r="R487">
        <v>53.05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G487" t="s">
        <v>130</v>
      </c>
      <c r="AH487">
        <v>53.05</v>
      </c>
    </row>
    <row r="488" spans="1:34" x14ac:dyDescent="0.3">
      <c r="A488" s="4">
        <v>666</v>
      </c>
      <c r="B488" s="5">
        <v>481</v>
      </c>
      <c r="C488">
        <v>901</v>
      </c>
      <c r="D488" t="s">
        <v>317</v>
      </c>
      <c r="E488" t="s">
        <v>10838</v>
      </c>
      <c r="F488" t="s">
        <v>782</v>
      </c>
      <c r="G488" t="s">
        <v>32050</v>
      </c>
      <c r="H488">
        <v>21.98</v>
      </c>
      <c r="I488">
        <v>0</v>
      </c>
      <c r="J488">
        <v>0</v>
      </c>
      <c r="K488">
        <v>20</v>
      </c>
      <c r="L488">
        <v>7</v>
      </c>
      <c r="O488">
        <v>7</v>
      </c>
      <c r="P488">
        <v>4</v>
      </c>
      <c r="Q488">
        <v>0</v>
      </c>
      <c r="R488">
        <v>52.98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G488" t="s">
        <v>130</v>
      </c>
      <c r="AH488">
        <v>52.98</v>
      </c>
    </row>
    <row r="489" spans="1:34" x14ac:dyDescent="0.3">
      <c r="A489" s="4">
        <v>667</v>
      </c>
      <c r="B489" s="5">
        <v>482</v>
      </c>
      <c r="C489">
        <v>1915</v>
      </c>
      <c r="D489" t="s">
        <v>2449</v>
      </c>
      <c r="E489" t="s">
        <v>29</v>
      </c>
      <c r="F489" t="s">
        <v>381</v>
      </c>
      <c r="G489" t="s">
        <v>11813</v>
      </c>
      <c r="H489">
        <v>16.68</v>
      </c>
      <c r="I489">
        <v>0</v>
      </c>
      <c r="J489">
        <v>0</v>
      </c>
      <c r="K489">
        <v>20</v>
      </c>
      <c r="L489">
        <v>7</v>
      </c>
      <c r="M489">
        <v>5</v>
      </c>
      <c r="O489">
        <v>12</v>
      </c>
      <c r="P489">
        <v>4</v>
      </c>
      <c r="Q489">
        <v>0</v>
      </c>
      <c r="R489">
        <v>52.68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G489" t="s">
        <v>130</v>
      </c>
      <c r="AH489">
        <v>52.68</v>
      </c>
    </row>
    <row r="490" spans="1:34" x14ac:dyDescent="0.3">
      <c r="A490" s="4">
        <v>668</v>
      </c>
      <c r="B490" s="5">
        <v>483</v>
      </c>
      <c r="C490">
        <v>12048</v>
      </c>
      <c r="D490" t="s">
        <v>11814</v>
      </c>
      <c r="E490" t="s">
        <v>652</v>
      </c>
      <c r="F490" t="s">
        <v>11815</v>
      </c>
      <c r="G490" t="s">
        <v>11816</v>
      </c>
      <c r="H490">
        <v>19.600000000000001</v>
      </c>
      <c r="I490">
        <v>0</v>
      </c>
      <c r="J490">
        <v>0</v>
      </c>
      <c r="K490">
        <v>20</v>
      </c>
      <c r="L490">
        <v>7</v>
      </c>
      <c r="O490">
        <v>7</v>
      </c>
      <c r="P490">
        <v>4</v>
      </c>
      <c r="Q490">
        <v>2</v>
      </c>
      <c r="R490">
        <v>52.6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G490" t="s">
        <v>130</v>
      </c>
      <c r="AH490">
        <v>52.6</v>
      </c>
    </row>
    <row r="491" spans="1:34" x14ac:dyDescent="0.3">
      <c r="A491" s="4">
        <v>669</v>
      </c>
      <c r="B491" s="5">
        <v>484</v>
      </c>
      <c r="C491">
        <v>11490</v>
      </c>
      <c r="D491" t="s">
        <v>11817</v>
      </c>
      <c r="E491" t="s">
        <v>29</v>
      </c>
      <c r="F491" t="s">
        <v>17</v>
      </c>
      <c r="G491" t="s">
        <v>11818</v>
      </c>
      <c r="H491">
        <v>18.23</v>
      </c>
      <c r="I491">
        <v>0</v>
      </c>
      <c r="J491">
        <v>0</v>
      </c>
      <c r="K491">
        <v>20</v>
      </c>
      <c r="L491">
        <v>7</v>
      </c>
      <c r="N491">
        <v>3</v>
      </c>
      <c r="O491">
        <v>10</v>
      </c>
      <c r="P491">
        <v>4</v>
      </c>
      <c r="Q491">
        <v>0</v>
      </c>
      <c r="R491">
        <v>52.23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G491" t="s">
        <v>130</v>
      </c>
      <c r="AH491">
        <v>52.23</v>
      </c>
    </row>
    <row r="492" spans="1:34" x14ac:dyDescent="0.3">
      <c r="A492" s="4">
        <v>670</v>
      </c>
      <c r="B492" s="5">
        <v>485</v>
      </c>
      <c r="C492">
        <v>8684</v>
      </c>
      <c r="D492" t="s">
        <v>11819</v>
      </c>
      <c r="E492" t="s">
        <v>1189</v>
      </c>
      <c r="F492" t="s">
        <v>158</v>
      </c>
      <c r="G492" t="s">
        <v>11820</v>
      </c>
      <c r="H492">
        <v>16.03</v>
      </c>
      <c r="I492">
        <v>0</v>
      </c>
      <c r="J492">
        <v>0</v>
      </c>
      <c r="K492">
        <v>20</v>
      </c>
      <c r="L492">
        <v>7</v>
      </c>
      <c r="O492">
        <v>7</v>
      </c>
      <c r="P492">
        <v>4</v>
      </c>
      <c r="Q492">
        <v>2</v>
      </c>
      <c r="R492">
        <v>49.03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3</v>
      </c>
      <c r="AC492">
        <v>0</v>
      </c>
      <c r="AG492" t="s">
        <v>130</v>
      </c>
      <c r="AH492">
        <v>52.03</v>
      </c>
    </row>
    <row r="493" spans="1:34" x14ac:dyDescent="0.3">
      <c r="A493" s="4">
        <v>671</v>
      </c>
      <c r="B493" s="5">
        <v>486</v>
      </c>
      <c r="C493">
        <v>10957</v>
      </c>
      <c r="D493" t="s">
        <v>8220</v>
      </c>
      <c r="E493" t="s">
        <v>454</v>
      </c>
      <c r="F493" t="s">
        <v>81</v>
      </c>
      <c r="G493" t="s">
        <v>11821</v>
      </c>
      <c r="H493">
        <v>20.03</v>
      </c>
      <c r="I493">
        <v>0</v>
      </c>
      <c r="J493">
        <v>0</v>
      </c>
      <c r="K493">
        <v>20</v>
      </c>
      <c r="L493">
        <v>7</v>
      </c>
      <c r="M493">
        <v>5</v>
      </c>
      <c r="O493">
        <v>12</v>
      </c>
      <c r="P493">
        <v>0</v>
      </c>
      <c r="Q493">
        <v>0</v>
      </c>
      <c r="R493">
        <v>52.03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G493" t="s">
        <v>130</v>
      </c>
      <c r="AH493">
        <v>52.03</v>
      </c>
    </row>
    <row r="494" spans="1:34" x14ac:dyDescent="0.3">
      <c r="A494" s="4">
        <v>672</v>
      </c>
      <c r="B494" s="5">
        <v>487</v>
      </c>
      <c r="C494">
        <v>7554</v>
      </c>
      <c r="D494" t="s">
        <v>11822</v>
      </c>
      <c r="E494" t="s">
        <v>11823</v>
      </c>
      <c r="F494" t="s">
        <v>20</v>
      </c>
      <c r="G494" t="s">
        <v>11824</v>
      </c>
      <c r="H494">
        <v>17.88</v>
      </c>
      <c r="I494">
        <v>0</v>
      </c>
      <c r="J494">
        <v>0</v>
      </c>
      <c r="K494">
        <v>20</v>
      </c>
      <c r="L494">
        <v>7</v>
      </c>
      <c r="O494">
        <v>7</v>
      </c>
      <c r="P494">
        <v>4</v>
      </c>
      <c r="Q494">
        <v>0</v>
      </c>
      <c r="R494">
        <v>48.88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3</v>
      </c>
      <c r="AC494">
        <v>0</v>
      </c>
      <c r="AG494" t="s">
        <v>130</v>
      </c>
      <c r="AH494">
        <v>51.88</v>
      </c>
    </row>
    <row r="495" spans="1:34" x14ac:dyDescent="0.3">
      <c r="A495" s="4">
        <v>673</v>
      </c>
      <c r="B495" s="5">
        <v>488</v>
      </c>
      <c r="C495">
        <v>7736</v>
      </c>
      <c r="D495" t="s">
        <v>5695</v>
      </c>
      <c r="E495" t="s">
        <v>400</v>
      </c>
      <c r="F495" t="s">
        <v>1238</v>
      </c>
      <c r="G495" t="s">
        <v>11825</v>
      </c>
      <c r="H495">
        <v>20.68</v>
      </c>
      <c r="I495">
        <v>0</v>
      </c>
      <c r="J495">
        <v>0</v>
      </c>
      <c r="K495">
        <v>20</v>
      </c>
      <c r="L495">
        <v>7</v>
      </c>
      <c r="O495">
        <v>7</v>
      </c>
      <c r="P495">
        <v>4</v>
      </c>
      <c r="Q495">
        <v>0</v>
      </c>
      <c r="R495">
        <v>51.68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G495" t="s">
        <v>130</v>
      </c>
      <c r="AH495">
        <v>51.68</v>
      </c>
    </row>
    <row r="496" spans="1:34" x14ac:dyDescent="0.3">
      <c r="A496" s="4">
        <v>674</v>
      </c>
      <c r="B496" s="5">
        <v>489</v>
      </c>
      <c r="C496">
        <v>15104</v>
      </c>
      <c r="D496" t="s">
        <v>11826</v>
      </c>
      <c r="E496" t="s">
        <v>5447</v>
      </c>
      <c r="F496" t="s">
        <v>81</v>
      </c>
      <c r="G496" t="s">
        <v>11827</v>
      </c>
      <c r="H496">
        <v>18.649999999999999</v>
      </c>
      <c r="I496">
        <v>0</v>
      </c>
      <c r="J496">
        <v>0</v>
      </c>
      <c r="K496">
        <v>20</v>
      </c>
      <c r="L496">
        <v>7</v>
      </c>
      <c r="O496">
        <v>7</v>
      </c>
      <c r="P496">
        <v>4</v>
      </c>
      <c r="Q496">
        <v>0</v>
      </c>
      <c r="R496">
        <v>49.65</v>
      </c>
      <c r="S496">
        <v>2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2</v>
      </c>
      <c r="AB496">
        <v>0</v>
      </c>
      <c r="AC496">
        <v>0</v>
      </c>
      <c r="AG496" t="s">
        <v>130</v>
      </c>
      <c r="AH496">
        <v>51.65</v>
      </c>
    </row>
    <row r="497" spans="1:34" x14ac:dyDescent="0.3">
      <c r="A497" s="4">
        <v>675</v>
      </c>
      <c r="B497" s="5">
        <v>490</v>
      </c>
      <c r="C497">
        <v>1571</v>
      </c>
      <c r="D497" t="s">
        <v>10440</v>
      </c>
      <c r="E497" t="s">
        <v>41</v>
      </c>
      <c r="F497" t="s">
        <v>6575</v>
      </c>
      <c r="G497" t="s">
        <v>11828</v>
      </c>
      <c r="H497">
        <v>20.25</v>
      </c>
      <c r="I497">
        <v>0</v>
      </c>
      <c r="J497">
        <v>0</v>
      </c>
      <c r="K497">
        <v>20</v>
      </c>
      <c r="L497">
        <v>7</v>
      </c>
      <c r="O497">
        <v>7</v>
      </c>
      <c r="P497">
        <v>4</v>
      </c>
      <c r="Q497">
        <v>0</v>
      </c>
      <c r="R497">
        <v>51.25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G497" t="s">
        <v>130</v>
      </c>
      <c r="AH497">
        <v>51.25</v>
      </c>
    </row>
    <row r="498" spans="1:34" x14ac:dyDescent="0.3">
      <c r="A498" s="4">
        <v>676</v>
      </c>
      <c r="B498" s="5">
        <v>491</v>
      </c>
      <c r="C498">
        <v>1326</v>
      </c>
      <c r="D498" t="s">
        <v>11829</v>
      </c>
      <c r="E498" t="s">
        <v>11830</v>
      </c>
      <c r="F498" t="s">
        <v>375</v>
      </c>
      <c r="G498" t="s">
        <v>11831</v>
      </c>
      <c r="H498">
        <v>20.2</v>
      </c>
      <c r="I498">
        <v>0</v>
      </c>
      <c r="J498">
        <v>0</v>
      </c>
      <c r="K498">
        <v>20</v>
      </c>
      <c r="L498">
        <v>7</v>
      </c>
      <c r="O498">
        <v>7</v>
      </c>
      <c r="P498">
        <v>4</v>
      </c>
      <c r="Q498">
        <v>0</v>
      </c>
      <c r="R498">
        <v>51.2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G498" t="s">
        <v>130</v>
      </c>
      <c r="AH498">
        <v>51.2</v>
      </c>
    </row>
    <row r="499" spans="1:34" x14ac:dyDescent="0.3">
      <c r="A499" s="4">
        <v>677</v>
      </c>
      <c r="B499" s="5">
        <v>492</v>
      </c>
      <c r="C499">
        <v>5781</v>
      </c>
      <c r="D499" t="s">
        <v>11832</v>
      </c>
      <c r="E499" t="s">
        <v>166</v>
      </c>
      <c r="F499" t="s">
        <v>243</v>
      </c>
      <c r="G499" t="s">
        <v>11833</v>
      </c>
      <c r="H499">
        <v>18.18</v>
      </c>
      <c r="I499">
        <v>0</v>
      </c>
      <c r="J499">
        <v>0</v>
      </c>
      <c r="K499">
        <v>20</v>
      </c>
      <c r="N499">
        <v>3</v>
      </c>
      <c r="O499">
        <v>3</v>
      </c>
      <c r="P499">
        <v>4</v>
      </c>
      <c r="Q499">
        <v>0</v>
      </c>
      <c r="R499">
        <v>45.18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6</v>
      </c>
      <c r="AC499">
        <v>0</v>
      </c>
      <c r="AG499" t="s">
        <v>130</v>
      </c>
      <c r="AH499">
        <v>51.18</v>
      </c>
    </row>
    <row r="500" spans="1:34" x14ac:dyDescent="0.3">
      <c r="A500" s="4">
        <v>678</v>
      </c>
      <c r="B500" s="5">
        <v>493</v>
      </c>
      <c r="C500">
        <v>524</v>
      </c>
      <c r="D500" t="s">
        <v>11834</v>
      </c>
      <c r="E500" t="s">
        <v>11835</v>
      </c>
      <c r="F500" t="s">
        <v>81</v>
      </c>
      <c r="G500" t="s">
        <v>11836</v>
      </c>
      <c r="H500">
        <v>20.05</v>
      </c>
      <c r="I500">
        <v>0</v>
      </c>
      <c r="J500">
        <v>0</v>
      </c>
      <c r="K500">
        <v>20</v>
      </c>
      <c r="L500">
        <v>7</v>
      </c>
      <c r="O500">
        <v>7</v>
      </c>
      <c r="P500">
        <v>4</v>
      </c>
      <c r="Q500">
        <v>0</v>
      </c>
      <c r="R500">
        <v>51.05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G500" t="s">
        <v>130</v>
      </c>
      <c r="AH500">
        <v>51.05</v>
      </c>
    </row>
    <row r="501" spans="1:34" x14ac:dyDescent="0.3">
      <c r="A501" s="4">
        <v>679</v>
      </c>
      <c r="B501" s="5">
        <v>494</v>
      </c>
      <c r="C501">
        <v>1772</v>
      </c>
      <c r="D501" t="s">
        <v>11837</v>
      </c>
      <c r="E501" t="s">
        <v>29</v>
      </c>
      <c r="F501" t="s">
        <v>17</v>
      </c>
      <c r="G501" t="s">
        <v>11838</v>
      </c>
      <c r="H501">
        <v>19.2</v>
      </c>
      <c r="I501">
        <v>0</v>
      </c>
      <c r="J501">
        <v>0</v>
      </c>
      <c r="K501">
        <v>20</v>
      </c>
      <c r="L501">
        <v>7</v>
      </c>
      <c r="O501">
        <v>7</v>
      </c>
      <c r="P501">
        <v>4</v>
      </c>
      <c r="Q501">
        <v>0</v>
      </c>
      <c r="R501">
        <v>50.2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E501" t="s">
        <v>130</v>
      </c>
      <c r="AG501" t="s">
        <v>130</v>
      </c>
      <c r="AH501">
        <v>50.2</v>
      </c>
    </row>
    <row r="502" spans="1:34" x14ac:dyDescent="0.3">
      <c r="A502" s="4">
        <v>680</v>
      </c>
      <c r="B502" s="5">
        <v>495</v>
      </c>
      <c r="C502">
        <v>1271</v>
      </c>
      <c r="D502" t="s">
        <v>6906</v>
      </c>
      <c r="E502" t="s">
        <v>11839</v>
      </c>
      <c r="F502" t="s">
        <v>11840</v>
      </c>
      <c r="G502" t="s">
        <v>11841</v>
      </c>
      <c r="H502">
        <v>18</v>
      </c>
      <c r="I502">
        <v>0</v>
      </c>
      <c r="J502">
        <v>0</v>
      </c>
      <c r="K502">
        <v>20</v>
      </c>
      <c r="N502">
        <v>3</v>
      </c>
      <c r="O502">
        <v>3</v>
      </c>
      <c r="P502">
        <v>4</v>
      </c>
      <c r="Q502">
        <v>2</v>
      </c>
      <c r="R502">
        <v>47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3</v>
      </c>
      <c r="AC502">
        <v>0</v>
      </c>
      <c r="AG502" t="s">
        <v>130</v>
      </c>
      <c r="AH502">
        <v>50</v>
      </c>
    </row>
    <row r="503" spans="1:34" x14ac:dyDescent="0.3">
      <c r="A503" s="4">
        <v>681</v>
      </c>
      <c r="B503" s="5">
        <v>496</v>
      </c>
      <c r="C503">
        <v>121</v>
      </c>
      <c r="D503" t="s">
        <v>11842</v>
      </c>
      <c r="E503" t="s">
        <v>11843</v>
      </c>
      <c r="F503" t="s">
        <v>158</v>
      </c>
      <c r="G503" t="s">
        <v>11844</v>
      </c>
      <c r="H503">
        <v>16.93</v>
      </c>
      <c r="I503">
        <v>0</v>
      </c>
      <c r="J503">
        <v>0</v>
      </c>
      <c r="K503">
        <v>20</v>
      </c>
      <c r="L503">
        <v>7</v>
      </c>
      <c r="O503">
        <v>7</v>
      </c>
      <c r="P503">
        <v>0</v>
      </c>
      <c r="Q503">
        <v>0</v>
      </c>
      <c r="R503">
        <v>43.93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6</v>
      </c>
      <c r="AC503">
        <v>0</v>
      </c>
      <c r="AG503" t="s">
        <v>130</v>
      </c>
      <c r="AH503">
        <v>49.93</v>
      </c>
    </row>
    <row r="504" spans="1:34" x14ac:dyDescent="0.3">
      <c r="A504" s="4">
        <v>682</v>
      </c>
      <c r="B504" s="5">
        <v>497</v>
      </c>
      <c r="C504">
        <v>10843</v>
      </c>
      <c r="D504" t="s">
        <v>11845</v>
      </c>
      <c r="E504" t="s">
        <v>11846</v>
      </c>
      <c r="F504" t="s">
        <v>30</v>
      </c>
      <c r="G504" t="s">
        <v>11847</v>
      </c>
      <c r="H504">
        <v>18.7</v>
      </c>
      <c r="I504">
        <v>0</v>
      </c>
      <c r="J504">
        <v>0</v>
      </c>
      <c r="K504">
        <v>20</v>
      </c>
      <c r="L504">
        <v>7</v>
      </c>
      <c r="O504">
        <v>7</v>
      </c>
      <c r="P504">
        <v>4</v>
      </c>
      <c r="Q504">
        <v>0</v>
      </c>
      <c r="R504">
        <v>49.7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G504" t="s">
        <v>130</v>
      </c>
      <c r="AH504">
        <v>49.7</v>
      </c>
    </row>
    <row r="505" spans="1:34" x14ac:dyDescent="0.3">
      <c r="A505" s="4">
        <v>683</v>
      </c>
      <c r="B505" s="5">
        <v>498</v>
      </c>
      <c r="C505">
        <v>8098</v>
      </c>
      <c r="D505" t="s">
        <v>11848</v>
      </c>
      <c r="E505" t="s">
        <v>41</v>
      </c>
      <c r="F505" t="s">
        <v>11435</v>
      </c>
      <c r="G505" t="s">
        <v>11849</v>
      </c>
      <c r="H505">
        <v>18.48</v>
      </c>
      <c r="I505">
        <v>0</v>
      </c>
      <c r="J505">
        <v>0</v>
      </c>
      <c r="K505">
        <v>20</v>
      </c>
      <c r="L505">
        <v>7</v>
      </c>
      <c r="O505">
        <v>7</v>
      </c>
      <c r="P505">
        <v>4</v>
      </c>
      <c r="Q505">
        <v>0</v>
      </c>
      <c r="R505">
        <v>49.48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G505" t="s">
        <v>130</v>
      </c>
      <c r="AH505">
        <v>49.48</v>
      </c>
    </row>
    <row r="506" spans="1:34" x14ac:dyDescent="0.3">
      <c r="A506" s="4">
        <v>684</v>
      </c>
      <c r="B506" s="5">
        <v>499</v>
      </c>
      <c r="C506">
        <v>13847</v>
      </c>
      <c r="D506" t="s">
        <v>11578</v>
      </c>
      <c r="E506" t="s">
        <v>406</v>
      </c>
      <c r="F506" t="s">
        <v>68</v>
      </c>
      <c r="G506" t="s">
        <v>11850</v>
      </c>
      <c r="H506">
        <v>18.38</v>
      </c>
      <c r="I506">
        <v>0</v>
      </c>
      <c r="J506">
        <v>0</v>
      </c>
      <c r="K506">
        <v>20</v>
      </c>
      <c r="L506">
        <v>7</v>
      </c>
      <c r="O506">
        <v>7</v>
      </c>
      <c r="P506">
        <v>4</v>
      </c>
      <c r="Q506">
        <v>0</v>
      </c>
      <c r="R506">
        <v>49.38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G506" t="s">
        <v>130</v>
      </c>
      <c r="AH506">
        <v>49.38</v>
      </c>
    </row>
    <row r="507" spans="1:34" x14ac:dyDescent="0.3">
      <c r="A507" s="4">
        <v>685</v>
      </c>
      <c r="B507" s="5">
        <v>500</v>
      </c>
      <c r="C507">
        <v>5397</v>
      </c>
      <c r="D507" t="s">
        <v>944</v>
      </c>
      <c r="E507" t="s">
        <v>5424</v>
      </c>
      <c r="F507" t="s">
        <v>539</v>
      </c>
      <c r="G507" t="s">
        <v>11851</v>
      </c>
      <c r="H507">
        <v>18.45</v>
      </c>
      <c r="I507">
        <v>0</v>
      </c>
      <c r="J507">
        <v>0</v>
      </c>
      <c r="K507">
        <v>20</v>
      </c>
      <c r="L507">
        <v>7</v>
      </c>
      <c r="N507">
        <v>3</v>
      </c>
      <c r="O507">
        <v>10</v>
      </c>
      <c r="P507">
        <v>0</v>
      </c>
      <c r="Q507">
        <v>0</v>
      </c>
      <c r="R507">
        <v>48.45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G507" t="s">
        <v>130</v>
      </c>
      <c r="AH507">
        <v>48.45</v>
      </c>
    </row>
    <row r="508" spans="1:34" x14ac:dyDescent="0.3">
      <c r="A508" s="4">
        <v>686</v>
      </c>
      <c r="B508" s="5">
        <v>501</v>
      </c>
      <c r="C508">
        <v>10400</v>
      </c>
      <c r="D508" t="s">
        <v>11852</v>
      </c>
      <c r="E508" t="s">
        <v>29</v>
      </c>
      <c r="F508" t="s">
        <v>11853</v>
      </c>
      <c r="G508" t="s">
        <v>11854</v>
      </c>
      <c r="H508">
        <v>17.100000000000001</v>
      </c>
      <c r="I508">
        <v>0</v>
      </c>
      <c r="J508">
        <v>0</v>
      </c>
      <c r="K508">
        <v>20</v>
      </c>
      <c r="L508">
        <v>7</v>
      </c>
      <c r="O508">
        <v>7</v>
      </c>
      <c r="P508">
        <v>4</v>
      </c>
      <c r="Q508">
        <v>0</v>
      </c>
      <c r="R508">
        <v>48.1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G508" t="s">
        <v>130</v>
      </c>
      <c r="AH508">
        <v>48.1</v>
      </c>
    </row>
    <row r="509" spans="1:34" x14ac:dyDescent="0.3">
      <c r="A509" s="4">
        <v>687</v>
      </c>
      <c r="B509" s="5">
        <v>502</v>
      </c>
      <c r="C509">
        <v>8012</v>
      </c>
      <c r="D509" t="s">
        <v>11855</v>
      </c>
      <c r="E509" t="s">
        <v>171</v>
      </c>
      <c r="F509" t="s">
        <v>158</v>
      </c>
      <c r="G509" t="s">
        <v>11856</v>
      </c>
      <c r="H509">
        <v>20.63</v>
      </c>
      <c r="I509">
        <v>0</v>
      </c>
      <c r="J509">
        <v>0</v>
      </c>
      <c r="K509">
        <v>20</v>
      </c>
      <c r="L509">
        <v>7</v>
      </c>
      <c r="O509">
        <v>7</v>
      </c>
      <c r="P509">
        <v>0</v>
      </c>
      <c r="Q509">
        <v>0</v>
      </c>
      <c r="R509">
        <v>47.63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G509" t="s">
        <v>130</v>
      </c>
      <c r="AH509">
        <v>47.63</v>
      </c>
    </row>
    <row r="510" spans="1:34" x14ac:dyDescent="0.3">
      <c r="A510" s="4">
        <v>688</v>
      </c>
      <c r="B510" s="5">
        <v>503</v>
      </c>
      <c r="C510">
        <v>7799</v>
      </c>
      <c r="D510" t="s">
        <v>10907</v>
      </c>
      <c r="E510" t="s">
        <v>54</v>
      </c>
      <c r="F510" t="s">
        <v>892</v>
      </c>
      <c r="G510" t="s">
        <v>11857</v>
      </c>
      <c r="H510">
        <v>17.43</v>
      </c>
      <c r="I510">
        <v>0</v>
      </c>
      <c r="J510">
        <v>0</v>
      </c>
      <c r="K510">
        <v>20</v>
      </c>
      <c r="N510">
        <v>3</v>
      </c>
      <c r="O510">
        <v>3</v>
      </c>
      <c r="P510">
        <v>4</v>
      </c>
      <c r="Q510">
        <v>0</v>
      </c>
      <c r="R510">
        <v>44.43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3</v>
      </c>
      <c r="AC510">
        <v>0</v>
      </c>
      <c r="AG510" t="s">
        <v>130</v>
      </c>
      <c r="AH510">
        <v>47.43</v>
      </c>
    </row>
    <row r="511" spans="1:34" x14ac:dyDescent="0.3">
      <c r="A511" s="4">
        <v>689</v>
      </c>
      <c r="B511" s="5">
        <v>504</v>
      </c>
      <c r="C511">
        <v>13193</v>
      </c>
      <c r="D511" t="s">
        <v>11858</v>
      </c>
      <c r="E511" t="s">
        <v>19</v>
      </c>
      <c r="F511" t="s">
        <v>20</v>
      </c>
      <c r="G511" t="s">
        <v>11859</v>
      </c>
      <c r="H511">
        <v>20.079999999999998</v>
      </c>
      <c r="I511">
        <v>0</v>
      </c>
      <c r="J511">
        <v>0</v>
      </c>
      <c r="K511">
        <v>20</v>
      </c>
      <c r="N511">
        <v>3</v>
      </c>
      <c r="O511">
        <v>3</v>
      </c>
      <c r="P511">
        <v>4</v>
      </c>
      <c r="Q511">
        <v>0</v>
      </c>
      <c r="R511">
        <v>47.08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G511" t="s">
        <v>130</v>
      </c>
      <c r="AH511">
        <v>47.08</v>
      </c>
    </row>
    <row r="512" spans="1:34" x14ac:dyDescent="0.3">
      <c r="A512" s="4">
        <v>690</v>
      </c>
      <c r="B512" s="5">
        <v>505</v>
      </c>
      <c r="C512">
        <v>13723</v>
      </c>
      <c r="D512" t="s">
        <v>11860</v>
      </c>
      <c r="E512" t="s">
        <v>442</v>
      </c>
      <c r="F512" t="s">
        <v>38</v>
      </c>
      <c r="G512" t="s">
        <v>11861</v>
      </c>
      <c r="H512">
        <v>17.03</v>
      </c>
      <c r="I512">
        <v>0</v>
      </c>
      <c r="J512">
        <v>0</v>
      </c>
      <c r="K512">
        <v>20</v>
      </c>
      <c r="N512">
        <v>6</v>
      </c>
      <c r="O512">
        <v>6</v>
      </c>
      <c r="P512">
        <v>4</v>
      </c>
      <c r="Q512">
        <v>0</v>
      </c>
      <c r="R512">
        <v>47.03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G512" t="s">
        <v>130</v>
      </c>
      <c r="AH512">
        <v>47.03</v>
      </c>
    </row>
    <row r="513" spans="1:34" x14ac:dyDescent="0.3">
      <c r="A513" s="4">
        <v>691</v>
      </c>
      <c r="B513" s="5">
        <v>506</v>
      </c>
      <c r="C513">
        <v>684</v>
      </c>
      <c r="D513" t="s">
        <v>11862</v>
      </c>
      <c r="E513" t="s">
        <v>166</v>
      </c>
      <c r="F513" t="s">
        <v>343</v>
      </c>
      <c r="G513" t="s">
        <v>11863</v>
      </c>
      <c r="H513">
        <v>15.33</v>
      </c>
      <c r="I513">
        <v>0</v>
      </c>
      <c r="J513">
        <v>0</v>
      </c>
      <c r="K513">
        <v>20</v>
      </c>
      <c r="L513">
        <v>7</v>
      </c>
      <c r="O513">
        <v>7</v>
      </c>
      <c r="P513">
        <v>4</v>
      </c>
      <c r="Q513">
        <v>0</v>
      </c>
      <c r="R513">
        <v>46.33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G513" t="s">
        <v>130</v>
      </c>
      <c r="AH513">
        <v>46.33</v>
      </c>
    </row>
    <row r="514" spans="1:34" x14ac:dyDescent="0.3">
      <c r="A514" s="4">
        <v>692</v>
      </c>
      <c r="B514" s="5">
        <v>507</v>
      </c>
      <c r="C514">
        <v>10190</v>
      </c>
      <c r="D514" t="s">
        <v>11864</v>
      </c>
      <c r="E514" t="s">
        <v>4239</v>
      </c>
      <c r="F514" t="s">
        <v>158</v>
      </c>
      <c r="G514" t="s">
        <v>11865</v>
      </c>
      <c r="H514">
        <v>17.05</v>
      </c>
      <c r="I514">
        <v>0</v>
      </c>
      <c r="J514">
        <v>0</v>
      </c>
      <c r="K514">
        <v>20</v>
      </c>
      <c r="L514">
        <v>7</v>
      </c>
      <c r="O514">
        <v>7</v>
      </c>
      <c r="P514">
        <v>0</v>
      </c>
      <c r="Q514">
        <v>2</v>
      </c>
      <c r="R514">
        <v>46.05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G514" t="s">
        <v>130</v>
      </c>
      <c r="AH514">
        <v>46.05</v>
      </c>
    </row>
    <row r="515" spans="1:34" x14ac:dyDescent="0.3">
      <c r="A515" s="4">
        <v>693</v>
      </c>
      <c r="B515" s="5">
        <v>508</v>
      </c>
      <c r="C515">
        <v>4830</v>
      </c>
      <c r="D515" t="s">
        <v>11866</v>
      </c>
      <c r="E515" t="s">
        <v>188</v>
      </c>
      <c r="F515" t="s">
        <v>117</v>
      </c>
      <c r="G515" t="s">
        <v>11867</v>
      </c>
      <c r="H515">
        <v>16.43</v>
      </c>
      <c r="I515">
        <v>0</v>
      </c>
      <c r="J515">
        <v>0</v>
      </c>
      <c r="K515">
        <v>20</v>
      </c>
      <c r="M515">
        <v>5</v>
      </c>
      <c r="O515">
        <v>5</v>
      </c>
      <c r="P515">
        <v>4</v>
      </c>
      <c r="Q515">
        <v>0</v>
      </c>
      <c r="R515">
        <v>45.43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G515" t="s">
        <v>130</v>
      </c>
      <c r="AH515">
        <v>45.43</v>
      </c>
    </row>
    <row r="516" spans="1:34" x14ac:dyDescent="0.3">
      <c r="A516" s="4">
        <v>694</v>
      </c>
      <c r="B516" s="5">
        <v>509</v>
      </c>
      <c r="C516">
        <v>14780</v>
      </c>
      <c r="D516" t="s">
        <v>7056</v>
      </c>
      <c r="E516" t="s">
        <v>1189</v>
      </c>
      <c r="F516" t="s">
        <v>587</v>
      </c>
      <c r="G516" t="s">
        <v>11868</v>
      </c>
      <c r="H516">
        <v>17.8</v>
      </c>
      <c r="I516">
        <v>0</v>
      </c>
      <c r="J516">
        <v>0</v>
      </c>
      <c r="K516">
        <v>20</v>
      </c>
      <c r="N516">
        <v>3</v>
      </c>
      <c r="O516">
        <v>3</v>
      </c>
      <c r="P516">
        <v>4</v>
      </c>
      <c r="Q516">
        <v>0</v>
      </c>
      <c r="R516">
        <v>44.8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G516" t="s">
        <v>130</v>
      </c>
      <c r="AH516">
        <v>44.8</v>
      </c>
    </row>
    <row r="517" spans="1:34" x14ac:dyDescent="0.3">
      <c r="A517" s="4">
        <v>695</v>
      </c>
      <c r="B517" s="5">
        <v>510</v>
      </c>
      <c r="C517">
        <v>12515</v>
      </c>
      <c r="D517" t="s">
        <v>412</v>
      </c>
      <c r="E517" t="s">
        <v>255</v>
      </c>
      <c r="F517" t="s">
        <v>11869</v>
      </c>
      <c r="G517" t="s">
        <v>11870</v>
      </c>
      <c r="H517">
        <v>18.3</v>
      </c>
      <c r="I517">
        <v>0</v>
      </c>
      <c r="J517">
        <v>0</v>
      </c>
      <c r="K517">
        <v>20</v>
      </c>
      <c r="N517">
        <v>6</v>
      </c>
      <c r="O517">
        <v>6</v>
      </c>
      <c r="P517">
        <v>0</v>
      </c>
      <c r="Q517">
        <v>0</v>
      </c>
      <c r="R517">
        <v>44.3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G517" t="s">
        <v>130</v>
      </c>
      <c r="AH517">
        <v>44.3</v>
      </c>
    </row>
    <row r="518" spans="1:34" x14ac:dyDescent="0.3">
      <c r="A518" s="4">
        <v>696</v>
      </c>
      <c r="B518" s="5">
        <v>511</v>
      </c>
      <c r="C518">
        <v>5248</v>
      </c>
      <c r="D518" t="s">
        <v>11871</v>
      </c>
      <c r="E518" t="s">
        <v>2234</v>
      </c>
      <c r="F518" t="s">
        <v>243</v>
      </c>
      <c r="G518" t="s">
        <v>11872</v>
      </c>
      <c r="H518">
        <v>18.149999999999999</v>
      </c>
      <c r="I518">
        <v>0</v>
      </c>
      <c r="J518">
        <v>0</v>
      </c>
      <c r="K518">
        <v>20</v>
      </c>
      <c r="N518">
        <v>6</v>
      </c>
      <c r="O518">
        <v>6</v>
      </c>
      <c r="P518">
        <v>0</v>
      </c>
      <c r="Q518">
        <v>0</v>
      </c>
      <c r="R518">
        <v>44.15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G518" t="s">
        <v>130</v>
      </c>
      <c r="AH518">
        <v>44.15</v>
      </c>
    </row>
    <row r="519" spans="1:34" x14ac:dyDescent="0.3">
      <c r="A519" s="4">
        <v>697</v>
      </c>
      <c r="B519" s="5">
        <v>512</v>
      </c>
      <c r="C519">
        <v>5468</v>
      </c>
      <c r="D519" t="s">
        <v>11873</v>
      </c>
      <c r="E519" t="s">
        <v>143</v>
      </c>
      <c r="F519" t="s">
        <v>117</v>
      </c>
      <c r="G519" t="s">
        <v>11874</v>
      </c>
      <c r="H519">
        <v>12.5</v>
      </c>
      <c r="I519">
        <v>0</v>
      </c>
      <c r="J519">
        <v>0</v>
      </c>
      <c r="K519">
        <v>20</v>
      </c>
      <c r="L519">
        <v>7</v>
      </c>
      <c r="O519">
        <v>7</v>
      </c>
      <c r="P519">
        <v>4</v>
      </c>
      <c r="Q519">
        <v>0</v>
      </c>
      <c r="R519">
        <v>43.5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G519" t="s">
        <v>130</v>
      </c>
      <c r="AH519">
        <v>43.5</v>
      </c>
    </row>
    <row r="520" spans="1:34" x14ac:dyDescent="0.3">
      <c r="A520" s="4">
        <v>698</v>
      </c>
      <c r="B520" s="5">
        <v>513</v>
      </c>
      <c r="C520">
        <v>6970</v>
      </c>
      <c r="D520" t="s">
        <v>11875</v>
      </c>
      <c r="E520" t="s">
        <v>439</v>
      </c>
      <c r="F520" t="s">
        <v>466</v>
      </c>
      <c r="G520" t="s">
        <v>11876</v>
      </c>
      <c r="H520">
        <v>19.48</v>
      </c>
      <c r="I520">
        <v>0</v>
      </c>
      <c r="J520">
        <v>0</v>
      </c>
      <c r="K520">
        <v>20</v>
      </c>
      <c r="N520">
        <v>3</v>
      </c>
      <c r="O520">
        <v>3</v>
      </c>
      <c r="P520">
        <v>0</v>
      </c>
      <c r="Q520">
        <v>0</v>
      </c>
      <c r="R520">
        <v>42.48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G520" t="s">
        <v>130</v>
      </c>
      <c r="AH520">
        <v>42.48</v>
      </c>
    </row>
    <row r="521" spans="1:34" x14ac:dyDescent="0.3">
      <c r="A521" s="4">
        <v>699</v>
      </c>
      <c r="B521" s="5">
        <v>514</v>
      </c>
      <c r="C521">
        <v>5838</v>
      </c>
      <c r="D521" t="s">
        <v>11877</v>
      </c>
      <c r="E521" t="s">
        <v>2867</v>
      </c>
      <c r="F521" t="s">
        <v>167</v>
      </c>
      <c r="G521" t="s">
        <v>11878</v>
      </c>
      <c r="H521">
        <v>19.45</v>
      </c>
      <c r="I521">
        <v>0</v>
      </c>
      <c r="J521">
        <v>0</v>
      </c>
      <c r="K521">
        <v>20</v>
      </c>
      <c r="N521">
        <v>3</v>
      </c>
      <c r="O521">
        <v>3</v>
      </c>
      <c r="P521">
        <v>0</v>
      </c>
      <c r="Q521">
        <v>0</v>
      </c>
      <c r="R521">
        <v>42.45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G521" t="s">
        <v>130</v>
      </c>
      <c r="AH521">
        <v>42.45</v>
      </c>
    </row>
    <row r="522" spans="1:34" x14ac:dyDescent="0.3">
      <c r="A522" s="4">
        <v>700</v>
      </c>
      <c r="B522" s="5">
        <v>515</v>
      </c>
      <c r="C522">
        <v>9996</v>
      </c>
      <c r="D522" t="s">
        <v>4955</v>
      </c>
      <c r="E522" t="s">
        <v>132</v>
      </c>
      <c r="F522" t="s">
        <v>167</v>
      </c>
      <c r="G522" t="s">
        <v>11879</v>
      </c>
      <c r="H522">
        <v>20.45</v>
      </c>
      <c r="I522">
        <v>0</v>
      </c>
      <c r="J522">
        <v>0</v>
      </c>
      <c r="K522">
        <v>0</v>
      </c>
      <c r="M522">
        <v>5</v>
      </c>
      <c r="N522">
        <v>3</v>
      </c>
      <c r="O522">
        <v>8</v>
      </c>
      <c r="P522">
        <v>4</v>
      </c>
      <c r="Q522">
        <v>0</v>
      </c>
      <c r="R522">
        <v>32.450000000000003</v>
      </c>
      <c r="S522">
        <v>10</v>
      </c>
      <c r="T522">
        <v>10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10</v>
      </c>
      <c r="AB522">
        <v>0</v>
      </c>
      <c r="AC522">
        <v>0</v>
      </c>
      <c r="AG522" t="s">
        <v>130</v>
      </c>
      <c r="AH522">
        <v>42.45</v>
      </c>
    </row>
    <row r="523" spans="1:34" x14ac:dyDescent="0.3">
      <c r="A523" s="4">
        <v>701</v>
      </c>
      <c r="B523" s="5">
        <v>516</v>
      </c>
      <c r="C523">
        <v>3141</v>
      </c>
      <c r="D523" t="s">
        <v>11880</v>
      </c>
      <c r="E523" t="s">
        <v>161</v>
      </c>
      <c r="F523" t="s">
        <v>91</v>
      </c>
      <c r="G523" t="s">
        <v>11881</v>
      </c>
      <c r="H523">
        <v>18.68</v>
      </c>
      <c r="I523">
        <v>0</v>
      </c>
      <c r="J523">
        <v>0</v>
      </c>
      <c r="K523">
        <v>20</v>
      </c>
      <c r="N523">
        <v>3</v>
      </c>
      <c r="O523">
        <v>3</v>
      </c>
      <c r="P523">
        <v>0</v>
      </c>
      <c r="Q523">
        <v>0</v>
      </c>
      <c r="R523">
        <v>41.68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G523" t="s">
        <v>130</v>
      </c>
      <c r="AH523">
        <v>41.68</v>
      </c>
    </row>
    <row r="524" spans="1:34" x14ac:dyDescent="0.3">
      <c r="A524" s="4">
        <v>702</v>
      </c>
      <c r="B524" s="5">
        <v>517</v>
      </c>
      <c r="C524">
        <v>6318</v>
      </c>
      <c r="D524" t="s">
        <v>6107</v>
      </c>
      <c r="E524" t="s">
        <v>1694</v>
      </c>
      <c r="F524" t="s">
        <v>346</v>
      </c>
      <c r="G524" t="s">
        <v>11882</v>
      </c>
      <c r="H524">
        <v>21.65</v>
      </c>
      <c r="I524">
        <v>7</v>
      </c>
      <c r="J524">
        <v>0</v>
      </c>
      <c r="K524">
        <v>0</v>
      </c>
      <c r="L524">
        <v>7</v>
      </c>
      <c r="O524">
        <v>7</v>
      </c>
      <c r="P524">
        <v>0</v>
      </c>
      <c r="Q524">
        <v>0</v>
      </c>
      <c r="R524">
        <v>35.65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6</v>
      </c>
      <c r="AC524">
        <v>0</v>
      </c>
      <c r="AG524" t="s">
        <v>130</v>
      </c>
      <c r="AH524">
        <v>41.65</v>
      </c>
    </row>
    <row r="525" spans="1:34" x14ac:dyDescent="0.3">
      <c r="A525" s="4">
        <v>703</v>
      </c>
      <c r="B525" s="5">
        <v>518</v>
      </c>
      <c r="C525">
        <v>13494</v>
      </c>
      <c r="D525" t="s">
        <v>11883</v>
      </c>
      <c r="E525" t="s">
        <v>9456</v>
      </c>
      <c r="F525" t="s">
        <v>20</v>
      </c>
      <c r="G525" t="s">
        <v>11884</v>
      </c>
      <c r="H525">
        <v>18.579999999999998</v>
      </c>
      <c r="I525">
        <v>0</v>
      </c>
      <c r="J525">
        <v>0</v>
      </c>
      <c r="K525">
        <v>0</v>
      </c>
      <c r="L525">
        <v>7</v>
      </c>
      <c r="M525">
        <v>5</v>
      </c>
      <c r="O525">
        <v>12</v>
      </c>
      <c r="P525">
        <v>4</v>
      </c>
      <c r="Q525">
        <v>2</v>
      </c>
      <c r="R525">
        <v>36.58</v>
      </c>
      <c r="S525">
        <v>5</v>
      </c>
      <c r="T525">
        <v>5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5</v>
      </c>
      <c r="AB525">
        <v>0</v>
      </c>
      <c r="AC525">
        <v>0</v>
      </c>
      <c r="AG525" t="s">
        <v>130</v>
      </c>
      <c r="AH525">
        <v>41.58</v>
      </c>
    </row>
    <row r="526" spans="1:34" x14ac:dyDescent="0.3">
      <c r="A526" s="4">
        <v>704</v>
      </c>
      <c r="B526" s="5">
        <v>519</v>
      </c>
      <c r="C526">
        <v>2257</v>
      </c>
      <c r="D526" t="s">
        <v>11885</v>
      </c>
      <c r="E526" t="s">
        <v>117</v>
      </c>
      <c r="F526" t="s">
        <v>1450</v>
      </c>
      <c r="G526" t="s">
        <v>11886</v>
      </c>
      <c r="H526">
        <v>18.649999999999999</v>
      </c>
      <c r="I526">
        <v>0</v>
      </c>
      <c r="J526">
        <v>0</v>
      </c>
      <c r="K526">
        <v>0</v>
      </c>
      <c r="N526">
        <v>3</v>
      </c>
      <c r="O526">
        <v>3</v>
      </c>
      <c r="P526">
        <v>4</v>
      </c>
      <c r="Q526">
        <v>0</v>
      </c>
      <c r="R526">
        <v>25.65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G526" t="s">
        <v>130</v>
      </c>
      <c r="AH526">
        <v>25.65</v>
      </c>
    </row>
    <row r="527" spans="1:34" x14ac:dyDescent="0.3">
      <c r="A527" s="4">
        <v>706</v>
      </c>
      <c r="B527" s="5">
        <v>520</v>
      </c>
      <c r="C527">
        <v>6567</v>
      </c>
      <c r="D527" t="s">
        <v>11888</v>
      </c>
      <c r="E527" t="s">
        <v>243</v>
      </c>
      <c r="F527" t="s">
        <v>136</v>
      </c>
      <c r="G527" t="s">
        <v>11889</v>
      </c>
      <c r="H527">
        <v>22.28</v>
      </c>
      <c r="I527">
        <v>7</v>
      </c>
      <c r="J527">
        <v>40</v>
      </c>
      <c r="K527">
        <v>28</v>
      </c>
      <c r="L527">
        <v>14</v>
      </c>
      <c r="O527">
        <v>14</v>
      </c>
      <c r="P527">
        <v>4</v>
      </c>
      <c r="Q527">
        <v>0</v>
      </c>
      <c r="R527">
        <v>115.28</v>
      </c>
      <c r="S527">
        <v>22</v>
      </c>
      <c r="T527">
        <v>22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22</v>
      </c>
      <c r="AB527">
        <v>0</v>
      </c>
      <c r="AC527">
        <v>0</v>
      </c>
      <c r="AF527" t="s">
        <v>130</v>
      </c>
      <c r="AH527">
        <v>137.28</v>
      </c>
    </row>
    <row r="528" spans="1:34" x14ac:dyDescent="0.3">
      <c r="A528" s="4">
        <v>707</v>
      </c>
      <c r="B528" s="5">
        <v>521</v>
      </c>
      <c r="C528">
        <v>3003</v>
      </c>
      <c r="D528" t="s">
        <v>3849</v>
      </c>
      <c r="E528" t="s">
        <v>29</v>
      </c>
      <c r="F528" t="s">
        <v>801</v>
      </c>
      <c r="G528" t="s">
        <v>11890</v>
      </c>
      <c r="H528">
        <v>18.329999999999998</v>
      </c>
      <c r="I528">
        <v>0</v>
      </c>
      <c r="J528">
        <v>0</v>
      </c>
      <c r="K528">
        <v>28</v>
      </c>
      <c r="L528">
        <v>14</v>
      </c>
      <c r="O528">
        <v>14</v>
      </c>
      <c r="P528">
        <v>4</v>
      </c>
      <c r="Q528">
        <v>2</v>
      </c>
      <c r="R528">
        <v>66.33</v>
      </c>
      <c r="S528">
        <v>65</v>
      </c>
      <c r="T528">
        <v>65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65</v>
      </c>
      <c r="AB528">
        <v>0</v>
      </c>
      <c r="AC528">
        <v>0</v>
      </c>
      <c r="AF528" t="s">
        <v>130</v>
      </c>
      <c r="AH528">
        <v>131.33000000000001</v>
      </c>
    </row>
    <row r="529" spans="1:34" x14ac:dyDescent="0.3">
      <c r="A529" s="7">
        <v>708</v>
      </c>
      <c r="B529" s="5">
        <v>522</v>
      </c>
      <c r="C529" s="2">
        <v>9633</v>
      </c>
      <c r="D529" s="2" t="s">
        <v>387</v>
      </c>
      <c r="E529" s="2" t="s">
        <v>516</v>
      </c>
      <c r="F529" s="2" t="s">
        <v>328</v>
      </c>
      <c r="G529" s="2" t="s">
        <v>11891</v>
      </c>
      <c r="H529" s="2">
        <v>12.5</v>
      </c>
      <c r="I529" s="2">
        <v>0</v>
      </c>
      <c r="J529" s="2">
        <v>40</v>
      </c>
      <c r="K529" s="2">
        <v>20</v>
      </c>
      <c r="L529" s="2">
        <v>14</v>
      </c>
      <c r="M529" s="2"/>
      <c r="N529" s="2"/>
      <c r="O529" s="2">
        <v>14</v>
      </c>
      <c r="P529" s="2">
        <v>4</v>
      </c>
      <c r="Q529" s="2">
        <v>0</v>
      </c>
      <c r="R529" s="2">
        <v>90.5</v>
      </c>
      <c r="S529" s="2">
        <v>35</v>
      </c>
      <c r="T529" s="2">
        <v>35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35</v>
      </c>
      <c r="AB529" s="2">
        <v>0</v>
      </c>
      <c r="AC529" s="2">
        <v>0</v>
      </c>
      <c r="AD529" s="2"/>
      <c r="AE529" s="2"/>
      <c r="AF529" s="2" t="s">
        <v>130</v>
      </c>
      <c r="AG529" s="2"/>
      <c r="AH529" s="2">
        <v>125.5</v>
      </c>
    </row>
    <row r="530" spans="1:34" x14ac:dyDescent="0.3">
      <c r="A530" s="4">
        <v>709</v>
      </c>
      <c r="B530" s="5">
        <v>523</v>
      </c>
      <c r="C530">
        <v>12919</v>
      </c>
      <c r="D530" t="s">
        <v>3181</v>
      </c>
      <c r="E530" t="s">
        <v>178</v>
      </c>
      <c r="F530" t="s">
        <v>3439</v>
      </c>
      <c r="G530" t="s">
        <v>11892</v>
      </c>
      <c r="H530">
        <v>17.53</v>
      </c>
      <c r="I530">
        <v>0</v>
      </c>
      <c r="J530">
        <v>40</v>
      </c>
      <c r="K530">
        <v>20</v>
      </c>
      <c r="L530">
        <v>7</v>
      </c>
      <c r="N530">
        <v>3</v>
      </c>
      <c r="O530">
        <v>10</v>
      </c>
      <c r="P530">
        <v>4</v>
      </c>
      <c r="Q530">
        <v>0</v>
      </c>
      <c r="R530">
        <v>91.53</v>
      </c>
      <c r="S530">
        <v>33</v>
      </c>
      <c r="T530">
        <v>33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33</v>
      </c>
      <c r="AB530">
        <v>0</v>
      </c>
      <c r="AC530">
        <v>0</v>
      </c>
      <c r="AD530" t="s">
        <v>130</v>
      </c>
      <c r="AF530" t="s">
        <v>130</v>
      </c>
      <c r="AH530">
        <v>124.53</v>
      </c>
    </row>
    <row r="531" spans="1:34" x14ac:dyDescent="0.3">
      <c r="A531" s="4">
        <v>710</v>
      </c>
      <c r="B531" s="5">
        <v>524</v>
      </c>
      <c r="C531">
        <v>4686</v>
      </c>
      <c r="D531" t="s">
        <v>4723</v>
      </c>
      <c r="E531" t="s">
        <v>1474</v>
      </c>
      <c r="F531" t="s">
        <v>17</v>
      </c>
      <c r="G531" t="s">
        <v>11893</v>
      </c>
      <c r="H531">
        <v>19</v>
      </c>
      <c r="I531">
        <v>0</v>
      </c>
      <c r="J531">
        <v>0</v>
      </c>
      <c r="K531">
        <v>28</v>
      </c>
      <c r="L531">
        <v>14</v>
      </c>
      <c r="O531">
        <v>14</v>
      </c>
      <c r="P531">
        <v>4</v>
      </c>
      <c r="Q531">
        <v>0</v>
      </c>
      <c r="R531">
        <v>65</v>
      </c>
      <c r="S531">
        <v>18</v>
      </c>
      <c r="T531">
        <v>18</v>
      </c>
      <c r="U531">
        <v>18</v>
      </c>
      <c r="V531">
        <v>36</v>
      </c>
      <c r="W531">
        <v>0</v>
      </c>
      <c r="X531">
        <v>0</v>
      </c>
      <c r="Y531">
        <v>0</v>
      </c>
      <c r="Z531">
        <v>0</v>
      </c>
      <c r="AA531">
        <v>54</v>
      </c>
      <c r="AB531">
        <v>0</v>
      </c>
      <c r="AC531">
        <v>0</v>
      </c>
      <c r="AF531" t="s">
        <v>130</v>
      </c>
      <c r="AH531">
        <v>119</v>
      </c>
    </row>
    <row r="532" spans="1:34" x14ac:dyDescent="0.3">
      <c r="A532" s="4">
        <v>711</v>
      </c>
      <c r="B532" s="5">
        <v>525</v>
      </c>
      <c r="C532">
        <v>5167</v>
      </c>
      <c r="D532" t="s">
        <v>11894</v>
      </c>
      <c r="E532" t="s">
        <v>41</v>
      </c>
      <c r="F532" t="s">
        <v>190</v>
      </c>
      <c r="G532" t="s">
        <v>11895</v>
      </c>
      <c r="H532">
        <v>21.25</v>
      </c>
      <c r="I532">
        <v>7</v>
      </c>
      <c r="J532">
        <v>0</v>
      </c>
      <c r="K532">
        <v>20</v>
      </c>
      <c r="L532">
        <v>7</v>
      </c>
      <c r="M532">
        <v>5</v>
      </c>
      <c r="O532">
        <v>12</v>
      </c>
      <c r="P532">
        <v>4</v>
      </c>
      <c r="Q532">
        <v>2</v>
      </c>
      <c r="R532">
        <v>66.25</v>
      </c>
      <c r="S532">
        <v>48</v>
      </c>
      <c r="T532">
        <v>48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48</v>
      </c>
      <c r="AB532">
        <v>3</v>
      </c>
      <c r="AC532">
        <v>0</v>
      </c>
      <c r="AF532" t="s">
        <v>130</v>
      </c>
      <c r="AH532">
        <v>117.25</v>
      </c>
    </row>
    <row r="533" spans="1:34" x14ac:dyDescent="0.3">
      <c r="A533" s="4">
        <v>713</v>
      </c>
      <c r="B533" s="5">
        <v>526</v>
      </c>
      <c r="C533">
        <v>568</v>
      </c>
      <c r="D533" t="s">
        <v>11896</v>
      </c>
      <c r="E533" t="s">
        <v>29</v>
      </c>
      <c r="F533" t="s">
        <v>158</v>
      </c>
      <c r="G533" t="s">
        <v>11897</v>
      </c>
      <c r="H533">
        <v>16</v>
      </c>
      <c r="I533">
        <v>0</v>
      </c>
      <c r="J533">
        <v>0</v>
      </c>
      <c r="K533">
        <v>28</v>
      </c>
      <c r="L533">
        <v>7</v>
      </c>
      <c r="N533">
        <v>3</v>
      </c>
      <c r="O533">
        <v>10</v>
      </c>
      <c r="P533">
        <v>4</v>
      </c>
      <c r="Q533">
        <v>2</v>
      </c>
      <c r="R533">
        <v>60</v>
      </c>
      <c r="S533">
        <v>36</v>
      </c>
      <c r="T533">
        <v>36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36</v>
      </c>
      <c r="AB533">
        <v>0</v>
      </c>
      <c r="AC533">
        <v>20</v>
      </c>
      <c r="AD533" t="s">
        <v>130</v>
      </c>
      <c r="AF533" t="s">
        <v>130</v>
      </c>
      <c r="AH533">
        <v>116</v>
      </c>
    </row>
    <row r="534" spans="1:34" x14ac:dyDescent="0.3">
      <c r="A534" s="4">
        <v>714</v>
      </c>
      <c r="B534" s="5">
        <v>527</v>
      </c>
      <c r="C534">
        <v>3183</v>
      </c>
      <c r="D534" t="s">
        <v>3179</v>
      </c>
      <c r="E534" t="s">
        <v>22</v>
      </c>
      <c r="F534" t="s">
        <v>30</v>
      </c>
      <c r="G534" t="s">
        <v>11898</v>
      </c>
      <c r="H534">
        <v>21.5</v>
      </c>
      <c r="I534">
        <v>7</v>
      </c>
      <c r="J534">
        <v>0</v>
      </c>
      <c r="K534">
        <v>28</v>
      </c>
      <c r="L534">
        <v>7</v>
      </c>
      <c r="O534">
        <v>7</v>
      </c>
      <c r="P534">
        <v>4</v>
      </c>
      <c r="Q534">
        <v>2</v>
      </c>
      <c r="R534">
        <v>69.5</v>
      </c>
      <c r="S534">
        <v>46</v>
      </c>
      <c r="T534">
        <v>46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46</v>
      </c>
      <c r="AB534">
        <v>0</v>
      </c>
      <c r="AC534">
        <v>0</v>
      </c>
      <c r="AF534" t="s">
        <v>130</v>
      </c>
      <c r="AH534">
        <v>115.5</v>
      </c>
    </row>
    <row r="535" spans="1:34" x14ac:dyDescent="0.3">
      <c r="A535" s="4">
        <v>715</v>
      </c>
      <c r="B535" s="5">
        <v>528</v>
      </c>
      <c r="C535">
        <v>6580</v>
      </c>
      <c r="D535" t="s">
        <v>11899</v>
      </c>
      <c r="E535" t="s">
        <v>26</v>
      </c>
      <c r="F535" t="s">
        <v>238</v>
      </c>
      <c r="G535" t="s">
        <v>11900</v>
      </c>
      <c r="H535">
        <v>17.329999999999998</v>
      </c>
      <c r="I535">
        <v>0</v>
      </c>
      <c r="J535">
        <v>0</v>
      </c>
      <c r="K535">
        <v>20</v>
      </c>
      <c r="L535">
        <v>14</v>
      </c>
      <c r="O535">
        <v>14</v>
      </c>
      <c r="P535">
        <v>4</v>
      </c>
      <c r="Q535">
        <v>2</v>
      </c>
      <c r="R535">
        <v>57.33</v>
      </c>
      <c r="S535">
        <v>51</v>
      </c>
      <c r="T535">
        <v>51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51</v>
      </c>
      <c r="AB535">
        <v>6</v>
      </c>
      <c r="AC535">
        <v>0</v>
      </c>
      <c r="AF535" t="s">
        <v>130</v>
      </c>
      <c r="AH535">
        <v>114.33</v>
      </c>
    </row>
    <row r="536" spans="1:34" x14ac:dyDescent="0.3">
      <c r="A536" s="4">
        <v>716</v>
      </c>
      <c r="B536" s="5">
        <v>529</v>
      </c>
      <c r="C536">
        <v>5495</v>
      </c>
      <c r="D536" t="s">
        <v>2498</v>
      </c>
      <c r="E536" t="s">
        <v>29</v>
      </c>
      <c r="F536" t="s">
        <v>124</v>
      </c>
      <c r="G536" t="s">
        <v>11901</v>
      </c>
      <c r="H536">
        <v>22.08</v>
      </c>
      <c r="I536">
        <v>7</v>
      </c>
      <c r="J536">
        <v>40</v>
      </c>
      <c r="K536">
        <v>20</v>
      </c>
      <c r="L536">
        <v>14</v>
      </c>
      <c r="O536">
        <v>14</v>
      </c>
      <c r="P536">
        <v>4</v>
      </c>
      <c r="Q536">
        <v>0</v>
      </c>
      <c r="R536">
        <v>107.08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6</v>
      </c>
      <c r="AC536">
        <v>0</v>
      </c>
      <c r="AF536" t="s">
        <v>130</v>
      </c>
      <c r="AH536">
        <v>113.08</v>
      </c>
    </row>
    <row r="537" spans="1:34" x14ac:dyDescent="0.3">
      <c r="A537" s="4">
        <v>717</v>
      </c>
      <c r="B537" s="5">
        <v>530</v>
      </c>
      <c r="C537">
        <v>3123</v>
      </c>
      <c r="D537" t="s">
        <v>11902</v>
      </c>
      <c r="E537" t="s">
        <v>182</v>
      </c>
      <c r="F537" t="s">
        <v>38</v>
      </c>
      <c r="G537" t="s">
        <v>11903</v>
      </c>
      <c r="H537">
        <v>18.350000000000001</v>
      </c>
      <c r="I537">
        <v>7</v>
      </c>
      <c r="J537">
        <v>0</v>
      </c>
      <c r="K537">
        <v>20</v>
      </c>
      <c r="N537">
        <v>6</v>
      </c>
      <c r="O537">
        <v>6</v>
      </c>
      <c r="P537">
        <v>4</v>
      </c>
      <c r="Q537">
        <v>2</v>
      </c>
      <c r="R537">
        <v>57.35</v>
      </c>
      <c r="S537">
        <v>18</v>
      </c>
      <c r="T537">
        <v>18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18</v>
      </c>
      <c r="AB537">
        <v>3</v>
      </c>
      <c r="AC537">
        <v>32</v>
      </c>
      <c r="AF537" t="s">
        <v>130</v>
      </c>
      <c r="AH537">
        <v>110.35</v>
      </c>
    </row>
    <row r="538" spans="1:34" x14ac:dyDescent="0.3">
      <c r="A538" s="4">
        <v>718</v>
      </c>
      <c r="B538" s="5">
        <v>531</v>
      </c>
      <c r="C538">
        <v>13497</v>
      </c>
      <c r="D538" t="s">
        <v>11904</v>
      </c>
      <c r="E538" t="s">
        <v>816</v>
      </c>
      <c r="F538" t="s">
        <v>81</v>
      </c>
      <c r="G538" t="s">
        <v>32001</v>
      </c>
      <c r="H538">
        <v>17.2</v>
      </c>
      <c r="I538">
        <v>0</v>
      </c>
      <c r="J538">
        <v>0</v>
      </c>
      <c r="K538">
        <v>28</v>
      </c>
      <c r="L538">
        <v>7</v>
      </c>
      <c r="M538">
        <v>5</v>
      </c>
      <c r="O538">
        <v>12</v>
      </c>
      <c r="P538">
        <v>4</v>
      </c>
      <c r="Q538">
        <v>2</v>
      </c>
      <c r="R538">
        <v>63.2</v>
      </c>
      <c r="S538">
        <v>47</v>
      </c>
      <c r="T538">
        <v>47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47</v>
      </c>
      <c r="AB538">
        <v>0</v>
      </c>
      <c r="AC538">
        <v>0</v>
      </c>
      <c r="AD538" t="s">
        <v>130</v>
      </c>
      <c r="AF538" t="s">
        <v>130</v>
      </c>
      <c r="AH538">
        <v>110.2</v>
      </c>
    </row>
    <row r="539" spans="1:34" x14ac:dyDescent="0.3">
      <c r="A539" s="4">
        <v>719</v>
      </c>
      <c r="B539" s="5">
        <v>532</v>
      </c>
      <c r="C539">
        <v>2025</v>
      </c>
      <c r="D539" t="s">
        <v>11905</v>
      </c>
      <c r="E539" t="s">
        <v>188</v>
      </c>
      <c r="F539" t="s">
        <v>17</v>
      </c>
      <c r="G539" t="s">
        <v>11906</v>
      </c>
      <c r="H539">
        <v>24.93</v>
      </c>
      <c r="I539">
        <v>7</v>
      </c>
      <c r="J539">
        <v>0</v>
      </c>
      <c r="K539">
        <v>20</v>
      </c>
      <c r="N539">
        <v>3</v>
      </c>
      <c r="O539">
        <v>3</v>
      </c>
      <c r="P539">
        <v>4</v>
      </c>
      <c r="Q539">
        <v>2</v>
      </c>
      <c r="R539">
        <v>60.93</v>
      </c>
      <c r="S539">
        <v>48</v>
      </c>
      <c r="T539">
        <v>48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48</v>
      </c>
      <c r="AB539">
        <v>0</v>
      </c>
      <c r="AC539">
        <v>0</v>
      </c>
      <c r="AF539" t="s">
        <v>130</v>
      </c>
      <c r="AH539">
        <v>108.93</v>
      </c>
    </row>
    <row r="540" spans="1:34" x14ac:dyDescent="0.3">
      <c r="A540" s="4">
        <v>720</v>
      </c>
      <c r="B540" s="5">
        <v>533</v>
      </c>
      <c r="C540">
        <v>3496</v>
      </c>
      <c r="D540" t="s">
        <v>11907</v>
      </c>
      <c r="E540" t="s">
        <v>170</v>
      </c>
      <c r="F540" t="s">
        <v>230</v>
      </c>
      <c r="G540" t="s">
        <v>11908</v>
      </c>
      <c r="H540">
        <v>18.95</v>
      </c>
      <c r="I540">
        <v>0</v>
      </c>
      <c r="J540">
        <v>0</v>
      </c>
      <c r="K540">
        <v>20</v>
      </c>
      <c r="L540">
        <v>7</v>
      </c>
      <c r="N540">
        <v>3</v>
      </c>
      <c r="O540">
        <v>10</v>
      </c>
      <c r="P540">
        <v>4</v>
      </c>
      <c r="Q540">
        <v>2</v>
      </c>
      <c r="R540">
        <v>54.95</v>
      </c>
      <c r="S540">
        <v>45</v>
      </c>
      <c r="T540">
        <v>45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45</v>
      </c>
      <c r="AB540">
        <v>6</v>
      </c>
      <c r="AC540">
        <v>0</v>
      </c>
      <c r="AF540" t="s">
        <v>130</v>
      </c>
      <c r="AH540">
        <v>105.95</v>
      </c>
    </row>
    <row r="541" spans="1:34" x14ac:dyDescent="0.3">
      <c r="A541" s="4">
        <v>721</v>
      </c>
      <c r="B541" s="5">
        <v>534</v>
      </c>
      <c r="C541">
        <v>5676</v>
      </c>
      <c r="D541" t="s">
        <v>11909</v>
      </c>
      <c r="E541" t="s">
        <v>1140</v>
      </c>
      <c r="F541" t="s">
        <v>457</v>
      </c>
      <c r="G541" t="s">
        <v>11910</v>
      </c>
      <c r="H541">
        <v>18.53</v>
      </c>
      <c r="I541">
        <v>7</v>
      </c>
      <c r="J541">
        <v>0</v>
      </c>
      <c r="K541">
        <v>20</v>
      </c>
      <c r="L541">
        <v>7</v>
      </c>
      <c r="M541">
        <v>5</v>
      </c>
      <c r="O541">
        <v>12</v>
      </c>
      <c r="P541">
        <v>4</v>
      </c>
      <c r="Q541">
        <v>2</v>
      </c>
      <c r="R541">
        <v>63.53</v>
      </c>
      <c r="S541">
        <v>35</v>
      </c>
      <c r="T541">
        <v>35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35</v>
      </c>
      <c r="AB541">
        <v>6</v>
      </c>
      <c r="AC541">
        <v>0</v>
      </c>
      <c r="AF541" t="s">
        <v>130</v>
      </c>
      <c r="AH541">
        <v>104.53</v>
      </c>
    </row>
    <row r="542" spans="1:34" x14ac:dyDescent="0.3">
      <c r="A542" s="4">
        <v>722</v>
      </c>
      <c r="B542" s="5">
        <v>535</v>
      </c>
      <c r="C542">
        <v>13401</v>
      </c>
      <c r="D542" t="s">
        <v>2008</v>
      </c>
      <c r="E542" t="s">
        <v>255</v>
      </c>
      <c r="F542" t="s">
        <v>81</v>
      </c>
      <c r="G542" t="s">
        <v>11911</v>
      </c>
      <c r="H542">
        <v>15.9</v>
      </c>
      <c r="I542">
        <v>0</v>
      </c>
      <c r="J542">
        <v>0</v>
      </c>
      <c r="K542">
        <v>20</v>
      </c>
      <c r="L542">
        <v>14</v>
      </c>
      <c r="O542">
        <v>14</v>
      </c>
      <c r="P542">
        <v>4</v>
      </c>
      <c r="Q542">
        <v>2</v>
      </c>
      <c r="R542">
        <v>55.9</v>
      </c>
      <c r="S542">
        <v>48</v>
      </c>
      <c r="T542">
        <v>48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48</v>
      </c>
      <c r="AB542">
        <v>0</v>
      </c>
      <c r="AC542">
        <v>0</v>
      </c>
      <c r="AF542" t="s">
        <v>130</v>
      </c>
      <c r="AH542">
        <v>103.9</v>
      </c>
    </row>
    <row r="543" spans="1:34" x14ac:dyDescent="0.3">
      <c r="A543" s="4">
        <v>724</v>
      </c>
      <c r="B543" s="5">
        <v>536</v>
      </c>
      <c r="C543">
        <v>2401</v>
      </c>
      <c r="D543" t="s">
        <v>1950</v>
      </c>
      <c r="E543" t="s">
        <v>29</v>
      </c>
      <c r="F543" t="s">
        <v>62</v>
      </c>
      <c r="G543" t="s">
        <v>11913</v>
      </c>
      <c r="H543">
        <v>21.4</v>
      </c>
      <c r="I543">
        <v>0</v>
      </c>
      <c r="J543">
        <v>0</v>
      </c>
      <c r="K543">
        <v>20</v>
      </c>
      <c r="L543">
        <v>7</v>
      </c>
      <c r="O543">
        <v>7</v>
      </c>
      <c r="P543">
        <v>4</v>
      </c>
      <c r="Q543">
        <v>2</v>
      </c>
      <c r="R543">
        <v>54.4</v>
      </c>
      <c r="S543">
        <v>27</v>
      </c>
      <c r="T543">
        <v>27</v>
      </c>
      <c r="U543">
        <v>7</v>
      </c>
      <c r="V543">
        <v>14</v>
      </c>
      <c r="W543">
        <v>0</v>
      </c>
      <c r="X543">
        <v>0</v>
      </c>
      <c r="Y543">
        <v>0</v>
      </c>
      <c r="Z543">
        <v>0</v>
      </c>
      <c r="AA543">
        <v>41</v>
      </c>
      <c r="AB543">
        <v>6</v>
      </c>
      <c r="AC543">
        <v>0</v>
      </c>
      <c r="AF543" t="s">
        <v>130</v>
      </c>
      <c r="AH543">
        <v>101.4</v>
      </c>
    </row>
    <row r="544" spans="1:34" x14ac:dyDescent="0.3">
      <c r="A544" s="4">
        <v>725</v>
      </c>
      <c r="B544" s="5">
        <v>537</v>
      </c>
      <c r="C544">
        <v>2891</v>
      </c>
      <c r="D544" t="s">
        <v>11914</v>
      </c>
      <c r="E544" t="s">
        <v>161</v>
      </c>
      <c r="F544" t="s">
        <v>385</v>
      </c>
      <c r="G544" t="s">
        <v>11915</v>
      </c>
      <c r="H544">
        <v>21.88</v>
      </c>
      <c r="I544">
        <v>7</v>
      </c>
      <c r="J544">
        <v>0</v>
      </c>
      <c r="K544">
        <v>0</v>
      </c>
      <c r="N544">
        <v>3</v>
      </c>
      <c r="O544">
        <v>3</v>
      </c>
      <c r="P544">
        <v>4</v>
      </c>
      <c r="Q544">
        <v>2</v>
      </c>
      <c r="R544">
        <v>37.880000000000003</v>
      </c>
      <c r="S544">
        <v>57</v>
      </c>
      <c r="T544">
        <v>57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57</v>
      </c>
      <c r="AB544">
        <v>6</v>
      </c>
      <c r="AC544">
        <v>0</v>
      </c>
      <c r="AF544" t="s">
        <v>130</v>
      </c>
      <c r="AH544">
        <v>100.88</v>
      </c>
    </row>
    <row r="545" spans="1:34" x14ac:dyDescent="0.3">
      <c r="A545" s="4">
        <v>726</v>
      </c>
      <c r="B545" s="5">
        <v>538</v>
      </c>
      <c r="C545">
        <v>1368</v>
      </c>
      <c r="D545" t="s">
        <v>11916</v>
      </c>
      <c r="E545" t="s">
        <v>11917</v>
      </c>
      <c r="F545" t="s">
        <v>38</v>
      </c>
      <c r="G545" t="s">
        <v>11918</v>
      </c>
      <c r="H545">
        <v>19.829999999999998</v>
      </c>
      <c r="I545">
        <v>0</v>
      </c>
      <c r="J545">
        <v>0</v>
      </c>
      <c r="K545">
        <v>20</v>
      </c>
      <c r="L545">
        <v>7</v>
      </c>
      <c r="N545">
        <v>3</v>
      </c>
      <c r="O545">
        <v>10</v>
      </c>
      <c r="P545">
        <v>4</v>
      </c>
      <c r="Q545">
        <v>2</v>
      </c>
      <c r="R545">
        <v>55.83</v>
      </c>
      <c r="S545">
        <v>42</v>
      </c>
      <c r="T545">
        <v>42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42</v>
      </c>
      <c r="AB545">
        <v>3</v>
      </c>
      <c r="AC545">
        <v>0</v>
      </c>
      <c r="AF545" t="s">
        <v>130</v>
      </c>
      <c r="AH545">
        <v>100.83</v>
      </c>
    </row>
    <row r="546" spans="1:34" x14ac:dyDescent="0.3">
      <c r="A546" s="4">
        <v>727</v>
      </c>
      <c r="B546" s="5">
        <v>539</v>
      </c>
      <c r="C546">
        <v>3119</v>
      </c>
      <c r="D546" t="s">
        <v>11919</v>
      </c>
      <c r="E546" t="s">
        <v>54</v>
      </c>
      <c r="F546" t="s">
        <v>3439</v>
      </c>
      <c r="G546" t="s">
        <v>11920</v>
      </c>
      <c r="H546">
        <v>17.7</v>
      </c>
      <c r="I546">
        <v>0</v>
      </c>
      <c r="J546">
        <v>0</v>
      </c>
      <c r="K546">
        <v>20</v>
      </c>
      <c r="L546">
        <v>7</v>
      </c>
      <c r="O546">
        <v>7</v>
      </c>
      <c r="P546">
        <v>4</v>
      </c>
      <c r="Q546">
        <v>2</v>
      </c>
      <c r="R546">
        <v>50.7</v>
      </c>
      <c r="S546">
        <v>46</v>
      </c>
      <c r="T546">
        <v>46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46</v>
      </c>
      <c r="AB546">
        <v>3</v>
      </c>
      <c r="AC546">
        <v>0</v>
      </c>
      <c r="AD546" t="s">
        <v>130</v>
      </c>
      <c r="AE546" t="s">
        <v>130</v>
      </c>
      <c r="AF546" t="s">
        <v>130</v>
      </c>
      <c r="AH546">
        <v>99.7</v>
      </c>
    </row>
    <row r="547" spans="1:34" x14ac:dyDescent="0.3">
      <c r="A547" s="4">
        <v>728</v>
      </c>
      <c r="B547" s="5">
        <v>540</v>
      </c>
      <c r="C547">
        <v>8113</v>
      </c>
      <c r="D547" t="s">
        <v>2484</v>
      </c>
      <c r="E547" t="s">
        <v>161</v>
      </c>
      <c r="F547" t="s">
        <v>782</v>
      </c>
      <c r="G547" t="s">
        <v>11921</v>
      </c>
      <c r="H547">
        <v>21.33</v>
      </c>
      <c r="I547">
        <v>0</v>
      </c>
      <c r="J547">
        <v>0</v>
      </c>
      <c r="K547">
        <v>20</v>
      </c>
      <c r="L547">
        <v>7</v>
      </c>
      <c r="N547">
        <v>3</v>
      </c>
      <c r="O547">
        <v>10</v>
      </c>
      <c r="P547">
        <v>4</v>
      </c>
      <c r="Q547">
        <v>0</v>
      </c>
      <c r="R547">
        <v>55.33</v>
      </c>
      <c r="S547">
        <v>40</v>
      </c>
      <c r="T547">
        <v>40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40</v>
      </c>
      <c r="AB547">
        <v>3</v>
      </c>
      <c r="AC547">
        <v>0</v>
      </c>
      <c r="AF547" t="s">
        <v>130</v>
      </c>
      <c r="AH547">
        <v>98.33</v>
      </c>
    </row>
    <row r="548" spans="1:34" x14ac:dyDescent="0.3">
      <c r="A548" s="4">
        <v>729</v>
      </c>
      <c r="B548" s="5">
        <v>541</v>
      </c>
      <c r="C548">
        <v>943</v>
      </c>
      <c r="D548" t="s">
        <v>11922</v>
      </c>
      <c r="E548" t="s">
        <v>81</v>
      </c>
      <c r="F548" t="s">
        <v>11923</v>
      </c>
      <c r="G548" t="s">
        <v>11924</v>
      </c>
      <c r="H548">
        <v>19.100000000000001</v>
      </c>
      <c r="I548">
        <v>7</v>
      </c>
      <c r="J548">
        <v>40</v>
      </c>
      <c r="K548">
        <v>20</v>
      </c>
      <c r="L548">
        <v>7</v>
      </c>
      <c r="O548">
        <v>7</v>
      </c>
      <c r="P548">
        <v>4</v>
      </c>
      <c r="Q548">
        <v>0</v>
      </c>
      <c r="R548">
        <v>97.1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F548" t="s">
        <v>130</v>
      </c>
      <c r="AH548">
        <v>97.1</v>
      </c>
    </row>
    <row r="549" spans="1:34" x14ac:dyDescent="0.3">
      <c r="A549" s="4">
        <v>730</v>
      </c>
      <c r="B549" s="5">
        <v>542</v>
      </c>
      <c r="C549">
        <v>985</v>
      </c>
      <c r="D549" t="s">
        <v>11925</v>
      </c>
      <c r="E549" t="s">
        <v>37</v>
      </c>
      <c r="F549" t="s">
        <v>91</v>
      </c>
      <c r="G549" t="s">
        <v>11926</v>
      </c>
      <c r="H549">
        <v>17.8</v>
      </c>
      <c r="I549">
        <v>0</v>
      </c>
      <c r="J549">
        <v>0</v>
      </c>
      <c r="K549">
        <v>20</v>
      </c>
      <c r="L549">
        <v>14</v>
      </c>
      <c r="O549">
        <v>14</v>
      </c>
      <c r="P549">
        <v>4</v>
      </c>
      <c r="Q549">
        <v>2</v>
      </c>
      <c r="R549">
        <v>57.8</v>
      </c>
      <c r="S549">
        <v>39</v>
      </c>
      <c r="T549">
        <v>39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39</v>
      </c>
      <c r="AB549">
        <v>0</v>
      </c>
      <c r="AC549">
        <v>0</v>
      </c>
      <c r="AD549" t="s">
        <v>130</v>
      </c>
      <c r="AF549" t="s">
        <v>130</v>
      </c>
      <c r="AH549">
        <v>96.8</v>
      </c>
    </row>
    <row r="550" spans="1:34" x14ac:dyDescent="0.3">
      <c r="A550" s="4">
        <v>731</v>
      </c>
      <c r="B550" s="5">
        <v>543</v>
      </c>
      <c r="C550">
        <v>12648</v>
      </c>
      <c r="D550" t="s">
        <v>11927</v>
      </c>
      <c r="E550" t="s">
        <v>139</v>
      </c>
      <c r="F550" t="s">
        <v>158</v>
      </c>
      <c r="G550" t="s">
        <v>11928</v>
      </c>
      <c r="H550">
        <v>19.38</v>
      </c>
      <c r="I550">
        <v>7</v>
      </c>
      <c r="J550">
        <v>0</v>
      </c>
      <c r="K550">
        <v>20</v>
      </c>
      <c r="L550">
        <v>7</v>
      </c>
      <c r="N550">
        <v>3</v>
      </c>
      <c r="O550">
        <v>10</v>
      </c>
      <c r="P550">
        <v>4</v>
      </c>
      <c r="Q550">
        <v>2</v>
      </c>
      <c r="R550">
        <v>62.38</v>
      </c>
      <c r="S550">
        <v>34</v>
      </c>
      <c r="T550">
        <v>34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34</v>
      </c>
      <c r="AB550">
        <v>0</v>
      </c>
      <c r="AC550">
        <v>0</v>
      </c>
      <c r="AD550" t="s">
        <v>130</v>
      </c>
      <c r="AF550" t="s">
        <v>130</v>
      </c>
      <c r="AH550">
        <v>96.38</v>
      </c>
    </row>
    <row r="551" spans="1:34" x14ac:dyDescent="0.3">
      <c r="A551" s="4">
        <v>732</v>
      </c>
      <c r="B551" s="5">
        <v>544</v>
      </c>
      <c r="C551">
        <v>5578</v>
      </c>
      <c r="D551" t="s">
        <v>11929</v>
      </c>
      <c r="E551" t="s">
        <v>100</v>
      </c>
      <c r="F551" t="s">
        <v>1265</v>
      </c>
      <c r="G551" t="s">
        <v>11930</v>
      </c>
      <c r="H551">
        <v>16.850000000000001</v>
      </c>
      <c r="I551">
        <v>0</v>
      </c>
      <c r="J551">
        <v>40</v>
      </c>
      <c r="K551">
        <v>20</v>
      </c>
      <c r="L551">
        <v>7</v>
      </c>
      <c r="O551">
        <v>7</v>
      </c>
      <c r="P551">
        <v>4</v>
      </c>
      <c r="Q551">
        <v>2</v>
      </c>
      <c r="R551">
        <v>89.85</v>
      </c>
      <c r="S551">
        <v>6</v>
      </c>
      <c r="T551">
        <v>6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6</v>
      </c>
      <c r="AB551">
        <v>0</v>
      </c>
      <c r="AC551">
        <v>0</v>
      </c>
      <c r="AF551" t="s">
        <v>130</v>
      </c>
      <c r="AH551">
        <v>95.85</v>
      </c>
    </row>
    <row r="552" spans="1:34" x14ac:dyDescent="0.3">
      <c r="A552" s="4">
        <v>733</v>
      </c>
      <c r="B552" s="5">
        <v>545</v>
      </c>
      <c r="C552">
        <v>512</v>
      </c>
      <c r="D552" t="s">
        <v>11590</v>
      </c>
      <c r="E552" t="s">
        <v>29</v>
      </c>
      <c r="F552" t="s">
        <v>909</v>
      </c>
      <c r="G552" t="s">
        <v>11931</v>
      </c>
      <c r="H552">
        <v>20.079999999999998</v>
      </c>
      <c r="I552">
        <v>0</v>
      </c>
      <c r="J552">
        <v>0</v>
      </c>
      <c r="K552">
        <v>20</v>
      </c>
      <c r="L552">
        <v>7</v>
      </c>
      <c r="M552">
        <v>5</v>
      </c>
      <c r="O552">
        <v>12</v>
      </c>
      <c r="P552">
        <v>4</v>
      </c>
      <c r="Q552">
        <v>2</v>
      </c>
      <c r="R552">
        <v>58.08</v>
      </c>
      <c r="S552">
        <v>34</v>
      </c>
      <c r="T552">
        <v>34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34</v>
      </c>
      <c r="AB552">
        <v>3</v>
      </c>
      <c r="AC552">
        <v>0</v>
      </c>
      <c r="AD552" t="s">
        <v>130</v>
      </c>
      <c r="AF552" t="s">
        <v>130</v>
      </c>
      <c r="AH552">
        <v>95.08</v>
      </c>
    </row>
    <row r="553" spans="1:34" x14ac:dyDescent="0.3">
      <c r="A553" s="4">
        <v>734</v>
      </c>
      <c r="B553" s="5">
        <v>546</v>
      </c>
      <c r="C553">
        <v>5341</v>
      </c>
      <c r="D553" t="s">
        <v>60</v>
      </c>
      <c r="E553" t="s">
        <v>403</v>
      </c>
      <c r="F553" t="s">
        <v>30</v>
      </c>
      <c r="G553" t="s">
        <v>11932</v>
      </c>
      <c r="H553">
        <v>16.03</v>
      </c>
      <c r="I553">
        <v>0</v>
      </c>
      <c r="J553">
        <v>0</v>
      </c>
      <c r="K553">
        <v>20</v>
      </c>
      <c r="N553">
        <v>3</v>
      </c>
      <c r="O553">
        <v>3</v>
      </c>
      <c r="P553">
        <v>4</v>
      </c>
      <c r="Q553">
        <v>0</v>
      </c>
      <c r="R553">
        <v>43.03</v>
      </c>
      <c r="S553">
        <v>52</v>
      </c>
      <c r="T553">
        <v>52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52</v>
      </c>
      <c r="AB553">
        <v>0</v>
      </c>
      <c r="AC553">
        <v>0</v>
      </c>
      <c r="AF553" t="s">
        <v>130</v>
      </c>
      <c r="AH553">
        <v>95.03</v>
      </c>
    </row>
    <row r="554" spans="1:34" x14ac:dyDescent="0.3">
      <c r="A554" s="4">
        <v>735</v>
      </c>
      <c r="B554" s="5">
        <v>547</v>
      </c>
      <c r="C554">
        <v>8444</v>
      </c>
      <c r="D554" t="s">
        <v>6061</v>
      </c>
      <c r="E554" t="s">
        <v>100</v>
      </c>
      <c r="F554" t="s">
        <v>81</v>
      </c>
      <c r="G554" t="s">
        <v>11933</v>
      </c>
      <c r="H554">
        <v>20.350000000000001</v>
      </c>
      <c r="I554">
        <v>7</v>
      </c>
      <c r="J554">
        <v>40</v>
      </c>
      <c r="K554">
        <v>20</v>
      </c>
      <c r="N554">
        <v>3</v>
      </c>
      <c r="O554">
        <v>3</v>
      </c>
      <c r="P554">
        <v>4</v>
      </c>
      <c r="Q554">
        <v>0</v>
      </c>
      <c r="R554">
        <v>94.35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F554" t="s">
        <v>130</v>
      </c>
      <c r="AH554">
        <v>94.35</v>
      </c>
    </row>
    <row r="555" spans="1:34" x14ac:dyDescent="0.3">
      <c r="A555" s="4">
        <v>736</v>
      </c>
      <c r="B555" s="5">
        <v>548</v>
      </c>
      <c r="C555">
        <v>921</v>
      </c>
      <c r="D555" t="s">
        <v>5284</v>
      </c>
      <c r="E555" t="s">
        <v>789</v>
      </c>
      <c r="F555" t="s">
        <v>117</v>
      </c>
      <c r="G555" t="s">
        <v>11934</v>
      </c>
      <c r="H555">
        <v>15.78</v>
      </c>
      <c r="I555">
        <v>7</v>
      </c>
      <c r="J555">
        <v>0</v>
      </c>
      <c r="K555">
        <v>28</v>
      </c>
      <c r="L555">
        <v>7</v>
      </c>
      <c r="O555">
        <v>7</v>
      </c>
      <c r="P555">
        <v>4</v>
      </c>
      <c r="Q555">
        <v>2</v>
      </c>
      <c r="R555">
        <v>63.78</v>
      </c>
      <c r="S555">
        <v>30</v>
      </c>
      <c r="T555">
        <v>30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30</v>
      </c>
      <c r="AB555">
        <v>0</v>
      </c>
      <c r="AC555">
        <v>0</v>
      </c>
      <c r="AF555" t="s">
        <v>130</v>
      </c>
      <c r="AH555">
        <v>93.78</v>
      </c>
    </row>
    <row r="556" spans="1:34" x14ac:dyDescent="0.3">
      <c r="A556" s="4">
        <v>737</v>
      </c>
      <c r="B556" s="5">
        <v>549</v>
      </c>
      <c r="C556">
        <v>11967</v>
      </c>
      <c r="D556" t="s">
        <v>6423</v>
      </c>
      <c r="E556" t="s">
        <v>54</v>
      </c>
      <c r="F556" t="s">
        <v>11935</v>
      </c>
      <c r="G556" t="s">
        <v>11936</v>
      </c>
      <c r="H556">
        <v>20.55</v>
      </c>
      <c r="I556">
        <v>7</v>
      </c>
      <c r="J556">
        <v>0</v>
      </c>
      <c r="K556">
        <v>20</v>
      </c>
      <c r="L556">
        <v>14</v>
      </c>
      <c r="O556">
        <v>14</v>
      </c>
      <c r="P556">
        <v>4</v>
      </c>
      <c r="Q556">
        <v>2</v>
      </c>
      <c r="R556">
        <v>67.55</v>
      </c>
      <c r="S556">
        <v>26</v>
      </c>
      <c r="T556">
        <v>26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26</v>
      </c>
      <c r="AB556">
        <v>0</v>
      </c>
      <c r="AC556">
        <v>0</v>
      </c>
      <c r="AD556" t="s">
        <v>130</v>
      </c>
      <c r="AF556" t="s">
        <v>130</v>
      </c>
      <c r="AH556">
        <v>93.55</v>
      </c>
    </row>
    <row r="557" spans="1:34" x14ac:dyDescent="0.3">
      <c r="A557" s="4">
        <v>738</v>
      </c>
      <c r="B557" s="5">
        <v>550</v>
      </c>
      <c r="C557">
        <v>13280</v>
      </c>
      <c r="D557" t="s">
        <v>11937</v>
      </c>
      <c r="E557" t="s">
        <v>29</v>
      </c>
      <c r="F557" t="s">
        <v>52</v>
      </c>
      <c r="G557" t="s">
        <v>11938</v>
      </c>
      <c r="H557">
        <v>19.18</v>
      </c>
      <c r="I557">
        <v>0</v>
      </c>
      <c r="J557">
        <v>0</v>
      </c>
      <c r="K557">
        <v>20</v>
      </c>
      <c r="L557">
        <v>7</v>
      </c>
      <c r="O557">
        <v>7</v>
      </c>
      <c r="P557">
        <v>4</v>
      </c>
      <c r="Q557">
        <v>2</v>
      </c>
      <c r="R557">
        <v>52.18</v>
      </c>
      <c r="S557">
        <v>41</v>
      </c>
      <c r="T557">
        <v>41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41</v>
      </c>
      <c r="AB557">
        <v>0</v>
      </c>
      <c r="AC557">
        <v>0</v>
      </c>
      <c r="AF557" t="s">
        <v>130</v>
      </c>
      <c r="AH557">
        <v>93.18</v>
      </c>
    </row>
    <row r="558" spans="1:34" x14ac:dyDescent="0.3">
      <c r="A558" s="4">
        <v>739</v>
      </c>
      <c r="B558" s="5">
        <v>551</v>
      </c>
      <c r="C558">
        <v>11947</v>
      </c>
      <c r="D558" t="s">
        <v>2008</v>
      </c>
      <c r="E558" t="s">
        <v>964</v>
      </c>
      <c r="F558" t="s">
        <v>62</v>
      </c>
      <c r="G558" t="s">
        <v>11939</v>
      </c>
      <c r="H558">
        <v>14.98</v>
      </c>
      <c r="I558">
        <v>0</v>
      </c>
      <c r="J558">
        <v>0</v>
      </c>
      <c r="K558">
        <v>20</v>
      </c>
      <c r="L558">
        <v>7</v>
      </c>
      <c r="O558">
        <v>7</v>
      </c>
      <c r="P558">
        <v>4</v>
      </c>
      <c r="Q558">
        <v>2</v>
      </c>
      <c r="R558">
        <v>47.98</v>
      </c>
      <c r="S558">
        <v>39</v>
      </c>
      <c r="T558">
        <v>39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39</v>
      </c>
      <c r="AB558">
        <v>6</v>
      </c>
      <c r="AC558">
        <v>0</v>
      </c>
      <c r="AF558" t="s">
        <v>130</v>
      </c>
      <c r="AH558">
        <v>92.98</v>
      </c>
    </row>
    <row r="559" spans="1:34" x14ac:dyDescent="0.3">
      <c r="A559" s="4">
        <v>740</v>
      </c>
      <c r="B559" s="5">
        <v>552</v>
      </c>
      <c r="C559">
        <v>10297</v>
      </c>
      <c r="D559" t="s">
        <v>11940</v>
      </c>
      <c r="E559" t="s">
        <v>9299</v>
      </c>
      <c r="F559" t="s">
        <v>4680</v>
      </c>
      <c r="G559" t="s">
        <v>11941</v>
      </c>
      <c r="H559">
        <v>17.78</v>
      </c>
      <c r="I559">
        <v>0</v>
      </c>
      <c r="J559">
        <v>40</v>
      </c>
      <c r="K559">
        <v>20</v>
      </c>
      <c r="L559">
        <v>7</v>
      </c>
      <c r="O559">
        <v>7</v>
      </c>
      <c r="P559">
        <v>0</v>
      </c>
      <c r="Q559">
        <v>2</v>
      </c>
      <c r="R559">
        <v>86.78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6</v>
      </c>
      <c r="AC559">
        <v>0</v>
      </c>
      <c r="AF559" t="s">
        <v>130</v>
      </c>
      <c r="AH559">
        <v>92.78</v>
      </c>
    </row>
    <row r="560" spans="1:34" x14ac:dyDescent="0.3">
      <c r="A560" s="4">
        <v>741</v>
      </c>
      <c r="B560" s="5">
        <v>553</v>
      </c>
      <c r="C560">
        <v>3187</v>
      </c>
      <c r="D560" t="s">
        <v>11942</v>
      </c>
      <c r="E560" t="s">
        <v>744</v>
      </c>
      <c r="F560" t="s">
        <v>11943</v>
      </c>
      <c r="G560" t="s">
        <v>11944</v>
      </c>
      <c r="H560">
        <v>19.78</v>
      </c>
      <c r="I560">
        <v>7</v>
      </c>
      <c r="J560">
        <v>0</v>
      </c>
      <c r="K560">
        <v>0</v>
      </c>
      <c r="L560">
        <v>7</v>
      </c>
      <c r="O560">
        <v>7</v>
      </c>
      <c r="P560">
        <v>0</v>
      </c>
      <c r="Q560">
        <v>0</v>
      </c>
      <c r="R560">
        <v>33.78</v>
      </c>
      <c r="S560">
        <v>29</v>
      </c>
      <c r="T560">
        <v>29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29</v>
      </c>
      <c r="AB560">
        <v>3</v>
      </c>
      <c r="AC560">
        <v>26.8</v>
      </c>
      <c r="AF560" t="s">
        <v>130</v>
      </c>
      <c r="AH560">
        <v>92.58</v>
      </c>
    </row>
    <row r="561" spans="1:34" x14ac:dyDescent="0.3">
      <c r="A561" s="4">
        <v>742</v>
      </c>
      <c r="B561" s="5">
        <v>554</v>
      </c>
      <c r="C561">
        <v>5113</v>
      </c>
      <c r="D561" t="s">
        <v>11945</v>
      </c>
      <c r="E561" t="s">
        <v>29</v>
      </c>
      <c r="F561" t="s">
        <v>38</v>
      </c>
      <c r="G561" t="s">
        <v>11946</v>
      </c>
      <c r="H561">
        <v>19.25</v>
      </c>
      <c r="I561">
        <v>0</v>
      </c>
      <c r="J561">
        <v>0</v>
      </c>
      <c r="K561">
        <v>28</v>
      </c>
      <c r="L561">
        <v>7</v>
      </c>
      <c r="M561">
        <v>5</v>
      </c>
      <c r="O561">
        <v>12</v>
      </c>
      <c r="P561">
        <v>4</v>
      </c>
      <c r="Q561">
        <v>2</v>
      </c>
      <c r="R561">
        <v>65.25</v>
      </c>
      <c r="S561">
        <v>15</v>
      </c>
      <c r="T561">
        <v>15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15</v>
      </c>
      <c r="AB561">
        <v>12</v>
      </c>
      <c r="AC561">
        <v>0</v>
      </c>
      <c r="AD561" t="s">
        <v>130</v>
      </c>
      <c r="AF561" t="s">
        <v>130</v>
      </c>
      <c r="AH561">
        <v>92.25</v>
      </c>
    </row>
    <row r="562" spans="1:34" x14ac:dyDescent="0.3">
      <c r="A562" s="4">
        <v>743</v>
      </c>
      <c r="B562" s="5">
        <v>555</v>
      </c>
      <c r="C562">
        <v>10848</v>
      </c>
      <c r="D562" t="s">
        <v>5006</v>
      </c>
      <c r="E562" t="s">
        <v>283</v>
      </c>
      <c r="F562" t="s">
        <v>892</v>
      </c>
      <c r="G562" t="s">
        <v>11947</v>
      </c>
      <c r="H562">
        <v>19.079999999999998</v>
      </c>
      <c r="I562">
        <v>7</v>
      </c>
      <c r="J562">
        <v>0</v>
      </c>
      <c r="K562">
        <v>20</v>
      </c>
      <c r="N562">
        <v>3</v>
      </c>
      <c r="O562">
        <v>3</v>
      </c>
      <c r="P562">
        <v>4</v>
      </c>
      <c r="Q562">
        <v>2</v>
      </c>
      <c r="R562">
        <v>55.08</v>
      </c>
      <c r="S562">
        <v>36</v>
      </c>
      <c r="T562">
        <v>36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36</v>
      </c>
      <c r="AB562">
        <v>0</v>
      </c>
      <c r="AC562">
        <v>0</v>
      </c>
      <c r="AF562" t="s">
        <v>130</v>
      </c>
      <c r="AH562">
        <v>91.08</v>
      </c>
    </row>
    <row r="563" spans="1:34" x14ac:dyDescent="0.3">
      <c r="A563" s="4">
        <v>744</v>
      </c>
      <c r="B563" s="5">
        <v>556</v>
      </c>
      <c r="C563">
        <v>11670</v>
      </c>
      <c r="D563" t="s">
        <v>9461</v>
      </c>
      <c r="E563" t="s">
        <v>139</v>
      </c>
      <c r="F563" t="s">
        <v>117</v>
      </c>
      <c r="G563" t="s">
        <v>11948</v>
      </c>
      <c r="H563">
        <v>15.85</v>
      </c>
      <c r="I563">
        <v>0</v>
      </c>
      <c r="J563">
        <v>0</v>
      </c>
      <c r="K563">
        <v>20</v>
      </c>
      <c r="L563">
        <v>7</v>
      </c>
      <c r="M563">
        <v>5</v>
      </c>
      <c r="O563">
        <v>12</v>
      </c>
      <c r="P563">
        <v>4</v>
      </c>
      <c r="Q563">
        <v>2</v>
      </c>
      <c r="R563">
        <v>53.85</v>
      </c>
      <c r="S563">
        <v>31</v>
      </c>
      <c r="T563">
        <v>31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31</v>
      </c>
      <c r="AB563">
        <v>6</v>
      </c>
      <c r="AC563">
        <v>0</v>
      </c>
      <c r="AF563" t="s">
        <v>130</v>
      </c>
      <c r="AH563">
        <v>90.85</v>
      </c>
    </row>
    <row r="564" spans="1:34" x14ac:dyDescent="0.3">
      <c r="A564" s="4">
        <v>745</v>
      </c>
      <c r="B564" s="5">
        <v>557</v>
      </c>
      <c r="C564">
        <v>1615</v>
      </c>
      <c r="D564" t="s">
        <v>11949</v>
      </c>
      <c r="E564" t="s">
        <v>6578</v>
      </c>
      <c r="F564" t="s">
        <v>136</v>
      </c>
      <c r="G564" t="s">
        <v>11950</v>
      </c>
      <c r="H564">
        <v>21.45</v>
      </c>
      <c r="I564">
        <v>7</v>
      </c>
      <c r="J564">
        <v>0</v>
      </c>
      <c r="K564">
        <v>20</v>
      </c>
      <c r="N564">
        <v>3</v>
      </c>
      <c r="O564">
        <v>3</v>
      </c>
      <c r="P564">
        <v>4</v>
      </c>
      <c r="Q564">
        <v>2</v>
      </c>
      <c r="R564">
        <v>57.45</v>
      </c>
      <c r="S564">
        <v>30</v>
      </c>
      <c r="T564">
        <v>30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30</v>
      </c>
      <c r="AB564">
        <v>3</v>
      </c>
      <c r="AC564">
        <v>0</v>
      </c>
      <c r="AF564" t="s">
        <v>130</v>
      </c>
      <c r="AH564">
        <v>90.45</v>
      </c>
    </row>
    <row r="565" spans="1:34" x14ac:dyDescent="0.3">
      <c r="A565" s="4">
        <v>746</v>
      </c>
      <c r="B565" s="5">
        <v>558</v>
      </c>
      <c r="C565">
        <v>911</v>
      </c>
      <c r="D565" t="s">
        <v>2605</v>
      </c>
      <c r="E565" t="s">
        <v>255</v>
      </c>
      <c r="F565" t="s">
        <v>20</v>
      </c>
      <c r="G565" t="s">
        <v>11951</v>
      </c>
      <c r="H565">
        <v>17.2</v>
      </c>
      <c r="I565">
        <v>7</v>
      </c>
      <c r="J565">
        <v>0</v>
      </c>
      <c r="K565">
        <v>28</v>
      </c>
      <c r="L565">
        <v>14</v>
      </c>
      <c r="O565">
        <v>14</v>
      </c>
      <c r="P565">
        <v>4</v>
      </c>
      <c r="Q565">
        <v>2</v>
      </c>
      <c r="R565">
        <v>72.2</v>
      </c>
      <c r="S565">
        <v>18</v>
      </c>
      <c r="T565">
        <v>18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18</v>
      </c>
      <c r="AB565">
        <v>0</v>
      </c>
      <c r="AC565">
        <v>0</v>
      </c>
      <c r="AF565" t="s">
        <v>130</v>
      </c>
      <c r="AH565">
        <v>90.2</v>
      </c>
    </row>
    <row r="566" spans="1:34" x14ac:dyDescent="0.3">
      <c r="A566" s="4">
        <v>747</v>
      </c>
      <c r="B566" s="5">
        <v>559</v>
      </c>
      <c r="C566">
        <v>9687</v>
      </c>
      <c r="D566" t="s">
        <v>11952</v>
      </c>
      <c r="E566" t="s">
        <v>4236</v>
      </c>
      <c r="F566" t="s">
        <v>30</v>
      </c>
      <c r="G566" t="s">
        <v>11953</v>
      </c>
      <c r="H566">
        <v>18.079999999999998</v>
      </c>
      <c r="I566">
        <v>0</v>
      </c>
      <c r="J566">
        <v>0</v>
      </c>
      <c r="K566">
        <v>20</v>
      </c>
      <c r="L566">
        <v>7</v>
      </c>
      <c r="N566">
        <v>3</v>
      </c>
      <c r="O566">
        <v>10</v>
      </c>
      <c r="P566">
        <v>4</v>
      </c>
      <c r="Q566">
        <v>2</v>
      </c>
      <c r="R566">
        <v>54.08</v>
      </c>
      <c r="S566">
        <v>36</v>
      </c>
      <c r="T566">
        <v>36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36</v>
      </c>
      <c r="AB566">
        <v>0</v>
      </c>
      <c r="AC566">
        <v>0</v>
      </c>
      <c r="AD566" t="s">
        <v>130</v>
      </c>
      <c r="AE566" t="s">
        <v>130</v>
      </c>
      <c r="AF566" t="s">
        <v>130</v>
      </c>
      <c r="AH566">
        <v>90.08</v>
      </c>
    </row>
    <row r="567" spans="1:34" x14ac:dyDescent="0.3">
      <c r="A567" s="4">
        <v>749</v>
      </c>
      <c r="B567" s="5">
        <v>560</v>
      </c>
      <c r="C567">
        <v>8390</v>
      </c>
      <c r="D567" t="s">
        <v>11954</v>
      </c>
      <c r="E567" t="s">
        <v>100</v>
      </c>
      <c r="F567" t="s">
        <v>52</v>
      </c>
      <c r="G567" t="s">
        <v>11955</v>
      </c>
      <c r="H567">
        <v>17.8</v>
      </c>
      <c r="I567">
        <v>0</v>
      </c>
      <c r="J567">
        <v>0</v>
      </c>
      <c r="K567">
        <v>20</v>
      </c>
      <c r="N567">
        <v>3</v>
      </c>
      <c r="O567">
        <v>3</v>
      </c>
      <c r="P567">
        <v>4</v>
      </c>
      <c r="Q567">
        <v>2</v>
      </c>
      <c r="R567">
        <v>46.8</v>
      </c>
      <c r="S567">
        <v>14</v>
      </c>
      <c r="T567">
        <v>14</v>
      </c>
      <c r="U567">
        <v>14</v>
      </c>
      <c r="V567">
        <v>28</v>
      </c>
      <c r="W567">
        <v>0</v>
      </c>
      <c r="X567">
        <v>0</v>
      </c>
      <c r="Y567">
        <v>0</v>
      </c>
      <c r="Z567">
        <v>0</v>
      </c>
      <c r="AA567">
        <v>42</v>
      </c>
      <c r="AB567">
        <v>0</v>
      </c>
      <c r="AC567">
        <v>0</v>
      </c>
      <c r="AF567" t="s">
        <v>130</v>
      </c>
      <c r="AH567">
        <v>88.8</v>
      </c>
    </row>
    <row r="568" spans="1:34" x14ac:dyDescent="0.3">
      <c r="A568" s="4">
        <v>751</v>
      </c>
      <c r="B568" s="5">
        <v>561</v>
      </c>
      <c r="C568">
        <v>13535</v>
      </c>
      <c r="D568" t="s">
        <v>1565</v>
      </c>
      <c r="E568" t="s">
        <v>587</v>
      </c>
      <c r="F568" t="s">
        <v>158</v>
      </c>
      <c r="G568" t="s">
        <v>11957</v>
      </c>
      <c r="H568">
        <v>19.329999999999998</v>
      </c>
      <c r="I568">
        <v>0</v>
      </c>
      <c r="J568">
        <v>0</v>
      </c>
      <c r="K568">
        <v>20</v>
      </c>
      <c r="L568">
        <v>7</v>
      </c>
      <c r="O568">
        <v>7</v>
      </c>
      <c r="P568">
        <v>4</v>
      </c>
      <c r="Q568">
        <v>2</v>
      </c>
      <c r="R568">
        <v>52.33</v>
      </c>
      <c r="S568">
        <v>36</v>
      </c>
      <c r="T568">
        <v>36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36</v>
      </c>
      <c r="AB568">
        <v>0</v>
      </c>
      <c r="AC568">
        <v>0</v>
      </c>
      <c r="AF568" t="s">
        <v>130</v>
      </c>
      <c r="AH568">
        <v>88.33</v>
      </c>
    </row>
    <row r="569" spans="1:34" x14ac:dyDescent="0.3">
      <c r="A569" s="4">
        <v>752</v>
      </c>
      <c r="B569" s="5">
        <v>562</v>
      </c>
      <c r="C569">
        <v>2967</v>
      </c>
      <c r="D569" t="s">
        <v>11958</v>
      </c>
      <c r="E569" t="s">
        <v>54</v>
      </c>
      <c r="F569" t="s">
        <v>52</v>
      </c>
      <c r="G569" t="s">
        <v>11959</v>
      </c>
      <c r="H569">
        <v>19.149999999999999</v>
      </c>
      <c r="I569">
        <v>0</v>
      </c>
      <c r="J569">
        <v>0</v>
      </c>
      <c r="K569">
        <v>20</v>
      </c>
      <c r="L569">
        <v>7</v>
      </c>
      <c r="N569">
        <v>3</v>
      </c>
      <c r="O569">
        <v>10</v>
      </c>
      <c r="P569">
        <v>4</v>
      </c>
      <c r="Q569">
        <v>0</v>
      </c>
      <c r="R569">
        <v>53.15</v>
      </c>
      <c r="S569">
        <v>32</v>
      </c>
      <c r="T569">
        <v>32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32</v>
      </c>
      <c r="AB569">
        <v>3</v>
      </c>
      <c r="AC569">
        <v>0</v>
      </c>
      <c r="AF569" t="s">
        <v>130</v>
      </c>
      <c r="AH569">
        <v>88.15</v>
      </c>
    </row>
    <row r="570" spans="1:34" x14ac:dyDescent="0.3">
      <c r="A570" s="4">
        <v>753</v>
      </c>
      <c r="B570" s="5">
        <v>563</v>
      </c>
      <c r="C570">
        <v>8671</v>
      </c>
      <c r="D570" t="s">
        <v>5359</v>
      </c>
      <c r="E570" t="s">
        <v>29</v>
      </c>
      <c r="F570" t="s">
        <v>652</v>
      </c>
      <c r="G570" t="s">
        <v>11960</v>
      </c>
      <c r="H570">
        <v>23.08</v>
      </c>
      <c r="I570">
        <v>7</v>
      </c>
      <c r="J570">
        <v>0</v>
      </c>
      <c r="K570">
        <v>20</v>
      </c>
      <c r="L570">
        <v>7</v>
      </c>
      <c r="M570">
        <v>5</v>
      </c>
      <c r="O570">
        <v>12</v>
      </c>
      <c r="P570">
        <v>4</v>
      </c>
      <c r="Q570">
        <v>2</v>
      </c>
      <c r="R570">
        <v>68.08</v>
      </c>
      <c r="S570">
        <v>17</v>
      </c>
      <c r="T570">
        <v>17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17</v>
      </c>
      <c r="AB570">
        <v>3</v>
      </c>
      <c r="AC570">
        <v>0</v>
      </c>
      <c r="AF570" t="s">
        <v>130</v>
      </c>
      <c r="AH570">
        <v>88.08</v>
      </c>
    </row>
    <row r="571" spans="1:34" x14ac:dyDescent="0.3">
      <c r="A571" s="4">
        <v>754</v>
      </c>
      <c r="B571" s="5">
        <v>564</v>
      </c>
      <c r="C571">
        <v>9962</v>
      </c>
      <c r="D571" t="s">
        <v>929</v>
      </c>
      <c r="E571" t="s">
        <v>54</v>
      </c>
      <c r="F571" t="s">
        <v>117</v>
      </c>
      <c r="G571" t="s">
        <v>11961</v>
      </c>
      <c r="H571">
        <v>18.03</v>
      </c>
      <c r="I571">
        <v>0</v>
      </c>
      <c r="J571">
        <v>0</v>
      </c>
      <c r="K571">
        <v>20</v>
      </c>
      <c r="L571">
        <v>7</v>
      </c>
      <c r="O571">
        <v>7</v>
      </c>
      <c r="P571">
        <v>4</v>
      </c>
      <c r="Q571">
        <v>2</v>
      </c>
      <c r="R571">
        <v>51.03</v>
      </c>
      <c r="S571">
        <v>36</v>
      </c>
      <c r="T571">
        <v>36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36</v>
      </c>
      <c r="AB571">
        <v>0</v>
      </c>
      <c r="AC571">
        <v>0</v>
      </c>
      <c r="AF571" t="s">
        <v>130</v>
      </c>
      <c r="AH571">
        <v>87.03</v>
      </c>
    </row>
    <row r="572" spans="1:34" x14ac:dyDescent="0.3">
      <c r="A572" s="4">
        <v>755</v>
      </c>
      <c r="B572" s="5">
        <v>565</v>
      </c>
      <c r="C572">
        <v>8256</v>
      </c>
      <c r="D572" t="s">
        <v>2554</v>
      </c>
      <c r="E572" t="s">
        <v>29</v>
      </c>
      <c r="F572" t="s">
        <v>136</v>
      </c>
      <c r="G572" t="s">
        <v>11962</v>
      </c>
      <c r="H572">
        <v>19.38</v>
      </c>
      <c r="I572">
        <v>0</v>
      </c>
      <c r="J572">
        <v>0</v>
      </c>
      <c r="K572">
        <v>20</v>
      </c>
      <c r="L572">
        <v>14</v>
      </c>
      <c r="O572">
        <v>14</v>
      </c>
      <c r="P572">
        <v>0</v>
      </c>
      <c r="Q572">
        <v>0</v>
      </c>
      <c r="R572">
        <v>53.38</v>
      </c>
      <c r="S572">
        <v>33</v>
      </c>
      <c r="T572">
        <v>33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33</v>
      </c>
      <c r="AB572">
        <v>0</v>
      </c>
      <c r="AC572">
        <v>0</v>
      </c>
      <c r="AF572" t="s">
        <v>130</v>
      </c>
      <c r="AH572">
        <v>86.38</v>
      </c>
    </row>
    <row r="573" spans="1:34" x14ac:dyDescent="0.3">
      <c r="A573" s="4">
        <v>756</v>
      </c>
      <c r="B573" s="5">
        <v>566</v>
      </c>
      <c r="C573">
        <v>3923</v>
      </c>
      <c r="D573" t="s">
        <v>11963</v>
      </c>
      <c r="E573" t="s">
        <v>190</v>
      </c>
      <c r="F573" t="s">
        <v>136</v>
      </c>
      <c r="G573" t="s">
        <v>11964</v>
      </c>
      <c r="H573">
        <v>21.28</v>
      </c>
      <c r="I573">
        <v>0</v>
      </c>
      <c r="J573">
        <v>0</v>
      </c>
      <c r="K573">
        <v>20</v>
      </c>
      <c r="N573">
        <v>3</v>
      </c>
      <c r="O573">
        <v>3</v>
      </c>
      <c r="P573">
        <v>4</v>
      </c>
      <c r="Q573">
        <v>0</v>
      </c>
      <c r="R573">
        <v>48.28</v>
      </c>
      <c r="S573">
        <v>35</v>
      </c>
      <c r="T573">
        <v>35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35</v>
      </c>
      <c r="AB573">
        <v>3</v>
      </c>
      <c r="AC573">
        <v>0</v>
      </c>
      <c r="AF573" t="s">
        <v>130</v>
      </c>
      <c r="AH573">
        <v>86.28</v>
      </c>
    </row>
    <row r="574" spans="1:34" x14ac:dyDescent="0.3">
      <c r="A574" s="4">
        <v>757</v>
      </c>
      <c r="B574" s="5">
        <v>567</v>
      </c>
      <c r="C574">
        <v>6932</v>
      </c>
      <c r="D574" t="s">
        <v>11965</v>
      </c>
      <c r="E574" t="s">
        <v>88</v>
      </c>
      <c r="F574" t="s">
        <v>30</v>
      </c>
      <c r="G574" t="s">
        <v>11966</v>
      </c>
      <c r="H574">
        <v>18.100000000000001</v>
      </c>
      <c r="I574">
        <v>0</v>
      </c>
      <c r="J574">
        <v>0</v>
      </c>
      <c r="K574">
        <v>20</v>
      </c>
      <c r="L574">
        <v>7</v>
      </c>
      <c r="O574">
        <v>7</v>
      </c>
      <c r="P574">
        <v>4</v>
      </c>
      <c r="Q574">
        <v>2</v>
      </c>
      <c r="R574">
        <v>51.1</v>
      </c>
      <c r="S574">
        <v>29</v>
      </c>
      <c r="T574">
        <v>29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29</v>
      </c>
      <c r="AB574">
        <v>6</v>
      </c>
      <c r="AC574">
        <v>0</v>
      </c>
      <c r="AF574" t="s">
        <v>130</v>
      </c>
      <c r="AH574">
        <v>86.1</v>
      </c>
    </row>
    <row r="575" spans="1:34" x14ac:dyDescent="0.3">
      <c r="A575" s="4">
        <v>758</v>
      </c>
      <c r="B575" s="5">
        <v>568</v>
      </c>
      <c r="C575">
        <v>10110</v>
      </c>
      <c r="D575" t="s">
        <v>3147</v>
      </c>
      <c r="E575" t="s">
        <v>29</v>
      </c>
      <c r="F575" t="s">
        <v>909</v>
      </c>
      <c r="G575" t="s">
        <v>11967</v>
      </c>
      <c r="H575">
        <v>17.78</v>
      </c>
      <c r="I575">
        <v>7</v>
      </c>
      <c r="J575">
        <v>0</v>
      </c>
      <c r="K575">
        <v>20</v>
      </c>
      <c r="N575">
        <v>3</v>
      </c>
      <c r="O575">
        <v>3</v>
      </c>
      <c r="P575">
        <v>4</v>
      </c>
      <c r="Q575">
        <v>2</v>
      </c>
      <c r="R575">
        <v>53.78</v>
      </c>
      <c r="S575">
        <v>29</v>
      </c>
      <c r="T575">
        <v>29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29</v>
      </c>
      <c r="AB575">
        <v>3</v>
      </c>
      <c r="AC575">
        <v>0</v>
      </c>
      <c r="AF575" t="s">
        <v>130</v>
      </c>
      <c r="AH575">
        <v>85.78</v>
      </c>
    </row>
    <row r="576" spans="1:34" x14ac:dyDescent="0.3">
      <c r="A576" s="4">
        <v>759</v>
      </c>
      <c r="B576" s="5">
        <v>569</v>
      </c>
      <c r="C576">
        <v>10468</v>
      </c>
      <c r="D576" t="s">
        <v>11968</v>
      </c>
      <c r="E576" t="s">
        <v>100</v>
      </c>
      <c r="F576" t="s">
        <v>17</v>
      </c>
      <c r="G576" t="s">
        <v>11969</v>
      </c>
      <c r="H576">
        <v>17.63</v>
      </c>
      <c r="I576">
        <v>0</v>
      </c>
      <c r="J576">
        <v>0</v>
      </c>
      <c r="K576">
        <v>28</v>
      </c>
      <c r="L576">
        <v>7</v>
      </c>
      <c r="O576">
        <v>7</v>
      </c>
      <c r="P576">
        <v>4</v>
      </c>
      <c r="Q576">
        <v>2</v>
      </c>
      <c r="R576">
        <v>58.63</v>
      </c>
      <c r="S576">
        <v>27</v>
      </c>
      <c r="T576">
        <v>27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27</v>
      </c>
      <c r="AB576">
        <v>0</v>
      </c>
      <c r="AC576">
        <v>0</v>
      </c>
      <c r="AF576" t="s">
        <v>130</v>
      </c>
      <c r="AH576">
        <v>85.63</v>
      </c>
    </row>
    <row r="577" spans="1:34" x14ac:dyDescent="0.3">
      <c r="A577" s="4">
        <v>760</v>
      </c>
      <c r="B577" s="5">
        <v>570</v>
      </c>
      <c r="C577">
        <v>13256</v>
      </c>
      <c r="D577" t="s">
        <v>2824</v>
      </c>
      <c r="E577" t="s">
        <v>1168</v>
      </c>
      <c r="F577" t="s">
        <v>68</v>
      </c>
      <c r="G577" t="s">
        <v>11970</v>
      </c>
      <c r="H577">
        <v>21.43</v>
      </c>
      <c r="I577">
        <v>7</v>
      </c>
      <c r="J577">
        <v>0</v>
      </c>
      <c r="K577">
        <v>20</v>
      </c>
      <c r="L577">
        <v>14</v>
      </c>
      <c r="O577">
        <v>14</v>
      </c>
      <c r="P577">
        <v>4</v>
      </c>
      <c r="Q577">
        <v>2</v>
      </c>
      <c r="R577">
        <v>68.430000000000007</v>
      </c>
      <c r="S577">
        <v>17</v>
      </c>
      <c r="T577">
        <v>17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17</v>
      </c>
      <c r="AB577">
        <v>0</v>
      </c>
      <c r="AC577">
        <v>0</v>
      </c>
      <c r="AF577" t="s">
        <v>130</v>
      </c>
      <c r="AH577">
        <v>85.43</v>
      </c>
    </row>
    <row r="578" spans="1:34" x14ac:dyDescent="0.3">
      <c r="A578" s="4">
        <v>761</v>
      </c>
      <c r="B578" s="5">
        <v>571</v>
      </c>
      <c r="C578">
        <v>4090</v>
      </c>
      <c r="D578" t="s">
        <v>3889</v>
      </c>
      <c r="E578" t="s">
        <v>283</v>
      </c>
      <c r="F578" t="s">
        <v>38</v>
      </c>
      <c r="G578" t="s">
        <v>11971</v>
      </c>
      <c r="H578">
        <v>20.149999999999999</v>
      </c>
      <c r="I578">
        <v>0</v>
      </c>
      <c r="J578">
        <v>0</v>
      </c>
      <c r="K578">
        <v>20</v>
      </c>
      <c r="L578">
        <v>7</v>
      </c>
      <c r="M578">
        <v>5</v>
      </c>
      <c r="O578">
        <v>12</v>
      </c>
      <c r="P578">
        <v>4</v>
      </c>
      <c r="Q578">
        <v>2</v>
      </c>
      <c r="R578">
        <v>58.15</v>
      </c>
      <c r="S578">
        <v>21</v>
      </c>
      <c r="T578">
        <v>21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21</v>
      </c>
      <c r="AB578">
        <v>6</v>
      </c>
      <c r="AC578">
        <v>0</v>
      </c>
      <c r="AF578" t="s">
        <v>130</v>
      </c>
      <c r="AH578">
        <v>85.15</v>
      </c>
    </row>
    <row r="579" spans="1:34" x14ac:dyDescent="0.3">
      <c r="A579" s="4">
        <v>762</v>
      </c>
      <c r="B579" s="5">
        <v>572</v>
      </c>
      <c r="C579">
        <v>8646</v>
      </c>
      <c r="D579" t="s">
        <v>5094</v>
      </c>
      <c r="E579" t="s">
        <v>188</v>
      </c>
      <c r="F579" t="s">
        <v>30</v>
      </c>
      <c r="G579" t="s">
        <v>11972</v>
      </c>
      <c r="H579">
        <v>17</v>
      </c>
      <c r="I579">
        <v>7</v>
      </c>
      <c r="J579">
        <v>0</v>
      </c>
      <c r="K579">
        <v>0</v>
      </c>
      <c r="L579">
        <v>14</v>
      </c>
      <c r="O579">
        <v>14</v>
      </c>
      <c r="P579">
        <v>4</v>
      </c>
      <c r="Q579">
        <v>2</v>
      </c>
      <c r="R579">
        <v>44</v>
      </c>
      <c r="S579">
        <v>41</v>
      </c>
      <c r="T579">
        <v>41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41</v>
      </c>
      <c r="AB579">
        <v>0</v>
      </c>
      <c r="AC579">
        <v>0</v>
      </c>
      <c r="AF579" t="s">
        <v>130</v>
      </c>
      <c r="AH579">
        <v>85</v>
      </c>
    </row>
    <row r="580" spans="1:34" x14ac:dyDescent="0.3">
      <c r="A580" s="4">
        <v>763</v>
      </c>
      <c r="B580" s="5">
        <v>573</v>
      </c>
      <c r="C580">
        <v>4614</v>
      </c>
      <c r="D580" t="s">
        <v>2113</v>
      </c>
      <c r="E580" t="s">
        <v>1743</v>
      </c>
      <c r="F580" t="s">
        <v>38</v>
      </c>
      <c r="G580" t="s">
        <v>11973</v>
      </c>
      <c r="H580">
        <v>17.28</v>
      </c>
      <c r="I580">
        <v>0</v>
      </c>
      <c r="J580">
        <v>0</v>
      </c>
      <c r="K580">
        <v>20</v>
      </c>
      <c r="L580">
        <v>7</v>
      </c>
      <c r="O580">
        <v>7</v>
      </c>
      <c r="P580">
        <v>4</v>
      </c>
      <c r="Q580">
        <v>2</v>
      </c>
      <c r="R580">
        <v>50.28</v>
      </c>
      <c r="S580">
        <v>31</v>
      </c>
      <c r="T580">
        <v>31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31</v>
      </c>
      <c r="AB580">
        <v>3</v>
      </c>
      <c r="AC580">
        <v>0</v>
      </c>
      <c r="AF580" t="s">
        <v>130</v>
      </c>
      <c r="AH580">
        <v>84.28</v>
      </c>
    </row>
    <row r="581" spans="1:34" x14ac:dyDescent="0.3">
      <c r="A581" s="4">
        <v>764</v>
      </c>
      <c r="B581" s="5">
        <v>574</v>
      </c>
      <c r="C581">
        <v>5319</v>
      </c>
      <c r="D581" t="s">
        <v>11974</v>
      </c>
      <c r="E581" t="s">
        <v>7941</v>
      </c>
      <c r="F581" t="s">
        <v>81</v>
      </c>
      <c r="G581" t="s">
        <v>11975</v>
      </c>
      <c r="H581">
        <v>17.649999999999999</v>
      </c>
      <c r="I581">
        <v>7</v>
      </c>
      <c r="J581">
        <v>0</v>
      </c>
      <c r="K581">
        <v>20</v>
      </c>
      <c r="L581">
        <v>7</v>
      </c>
      <c r="O581">
        <v>7</v>
      </c>
      <c r="P581">
        <v>4</v>
      </c>
      <c r="Q581">
        <v>2</v>
      </c>
      <c r="R581">
        <v>57.65</v>
      </c>
      <c r="S581">
        <v>26</v>
      </c>
      <c r="T581">
        <v>26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26</v>
      </c>
      <c r="AB581">
        <v>0</v>
      </c>
      <c r="AC581">
        <v>0</v>
      </c>
      <c r="AF581" t="s">
        <v>130</v>
      </c>
      <c r="AH581">
        <v>83.65</v>
      </c>
    </row>
    <row r="582" spans="1:34" x14ac:dyDescent="0.3">
      <c r="A582" s="4">
        <v>765</v>
      </c>
      <c r="B582" s="5">
        <v>575</v>
      </c>
      <c r="C582">
        <v>5363</v>
      </c>
      <c r="D582" t="s">
        <v>784</v>
      </c>
      <c r="E582" t="s">
        <v>29</v>
      </c>
      <c r="F582" t="s">
        <v>20</v>
      </c>
      <c r="G582" t="s">
        <v>11976</v>
      </c>
      <c r="H582">
        <v>16.579999999999998</v>
      </c>
      <c r="I582">
        <v>0</v>
      </c>
      <c r="J582">
        <v>0</v>
      </c>
      <c r="K582">
        <v>28</v>
      </c>
      <c r="L582">
        <v>7</v>
      </c>
      <c r="O582">
        <v>7</v>
      </c>
      <c r="P582">
        <v>4</v>
      </c>
      <c r="Q582">
        <v>2</v>
      </c>
      <c r="R582">
        <v>57.58</v>
      </c>
      <c r="S582">
        <v>17</v>
      </c>
      <c r="T582">
        <v>17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17</v>
      </c>
      <c r="AB582">
        <v>9</v>
      </c>
      <c r="AC582">
        <v>0</v>
      </c>
      <c r="AF582" t="s">
        <v>130</v>
      </c>
      <c r="AH582">
        <v>83.58</v>
      </c>
    </row>
    <row r="583" spans="1:34" x14ac:dyDescent="0.3">
      <c r="A583" s="4">
        <v>766</v>
      </c>
      <c r="B583" s="5">
        <v>576</v>
      </c>
      <c r="C583">
        <v>10200</v>
      </c>
      <c r="D583" t="s">
        <v>10845</v>
      </c>
      <c r="E583" t="s">
        <v>454</v>
      </c>
      <c r="F583" t="s">
        <v>124</v>
      </c>
      <c r="G583" t="s">
        <v>11977</v>
      </c>
      <c r="H583">
        <v>21.18</v>
      </c>
      <c r="I583">
        <v>7</v>
      </c>
      <c r="J583">
        <v>0</v>
      </c>
      <c r="K583">
        <v>20</v>
      </c>
      <c r="L583">
        <v>14</v>
      </c>
      <c r="O583">
        <v>14</v>
      </c>
      <c r="P583">
        <v>4</v>
      </c>
      <c r="Q583">
        <v>2</v>
      </c>
      <c r="R583">
        <v>68.180000000000007</v>
      </c>
      <c r="S583">
        <v>15</v>
      </c>
      <c r="T583">
        <v>15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15</v>
      </c>
      <c r="AB583">
        <v>0</v>
      </c>
      <c r="AC583">
        <v>0</v>
      </c>
      <c r="AD583" t="s">
        <v>130</v>
      </c>
      <c r="AF583" t="s">
        <v>130</v>
      </c>
      <c r="AH583">
        <v>83.18</v>
      </c>
    </row>
    <row r="584" spans="1:34" x14ac:dyDescent="0.3">
      <c r="A584" s="4">
        <v>767</v>
      </c>
      <c r="B584" s="5">
        <v>577</v>
      </c>
      <c r="C584">
        <v>3643</v>
      </c>
      <c r="D584" t="s">
        <v>11180</v>
      </c>
      <c r="E584" t="s">
        <v>166</v>
      </c>
      <c r="F584" t="s">
        <v>91</v>
      </c>
      <c r="G584" t="s">
        <v>11978</v>
      </c>
      <c r="H584">
        <v>17.48</v>
      </c>
      <c r="I584">
        <v>0</v>
      </c>
      <c r="J584">
        <v>0</v>
      </c>
      <c r="K584">
        <v>20</v>
      </c>
      <c r="N584">
        <v>3</v>
      </c>
      <c r="O584">
        <v>3</v>
      </c>
      <c r="P584">
        <v>4</v>
      </c>
      <c r="Q584">
        <v>2</v>
      </c>
      <c r="R584">
        <v>46.48</v>
      </c>
      <c r="S584">
        <v>33</v>
      </c>
      <c r="T584">
        <v>33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33</v>
      </c>
      <c r="AB584">
        <v>3</v>
      </c>
      <c r="AC584">
        <v>0</v>
      </c>
      <c r="AF584" t="s">
        <v>130</v>
      </c>
      <c r="AH584">
        <v>82.48</v>
      </c>
    </row>
    <row r="585" spans="1:34" x14ac:dyDescent="0.3">
      <c r="A585" s="4">
        <v>768</v>
      </c>
      <c r="B585" s="5">
        <v>578</v>
      </c>
      <c r="C585">
        <v>11843</v>
      </c>
      <c r="D585" t="s">
        <v>11979</v>
      </c>
      <c r="E585" t="s">
        <v>22</v>
      </c>
      <c r="F585" t="s">
        <v>343</v>
      </c>
      <c r="G585" t="s">
        <v>11980</v>
      </c>
      <c r="H585">
        <v>19.329999999999998</v>
      </c>
      <c r="I585">
        <v>7</v>
      </c>
      <c r="J585">
        <v>0</v>
      </c>
      <c r="K585">
        <v>20</v>
      </c>
      <c r="L585">
        <v>7</v>
      </c>
      <c r="O585">
        <v>7</v>
      </c>
      <c r="P585">
        <v>4</v>
      </c>
      <c r="Q585">
        <v>0</v>
      </c>
      <c r="R585">
        <v>57.33</v>
      </c>
      <c r="S585">
        <v>25</v>
      </c>
      <c r="T585">
        <v>25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25</v>
      </c>
      <c r="AB585">
        <v>0</v>
      </c>
      <c r="AC585">
        <v>0</v>
      </c>
      <c r="AD585" t="s">
        <v>130</v>
      </c>
      <c r="AF585" t="s">
        <v>130</v>
      </c>
      <c r="AH585">
        <v>82.33</v>
      </c>
    </row>
    <row r="586" spans="1:34" x14ac:dyDescent="0.3">
      <c r="A586" s="4">
        <v>769</v>
      </c>
      <c r="B586" s="5">
        <v>579</v>
      </c>
      <c r="C586">
        <v>7685</v>
      </c>
      <c r="D586" t="s">
        <v>11981</v>
      </c>
      <c r="E586" t="s">
        <v>6346</v>
      </c>
      <c r="F586" t="s">
        <v>11982</v>
      </c>
      <c r="G586" t="s">
        <v>11983</v>
      </c>
      <c r="H586">
        <v>19.25</v>
      </c>
      <c r="I586">
        <v>7</v>
      </c>
      <c r="J586">
        <v>0</v>
      </c>
      <c r="K586">
        <v>20</v>
      </c>
      <c r="L586">
        <v>14</v>
      </c>
      <c r="O586">
        <v>14</v>
      </c>
      <c r="P586">
        <v>4</v>
      </c>
      <c r="Q586">
        <v>2</v>
      </c>
      <c r="R586">
        <v>66.25</v>
      </c>
      <c r="S586">
        <v>16</v>
      </c>
      <c r="T586">
        <v>16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16</v>
      </c>
      <c r="AB586">
        <v>0</v>
      </c>
      <c r="AC586">
        <v>0</v>
      </c>
      <c r="AF586" t="s">
        <v>130</v>
      </c>
      <c r="AH586">
        <v>82.25</v>
      </c>
    </row>
    <row r="587" spans="1:34" x14ac:dyDescent="0.3">
      <c r="A587" s="4">
        <v>770</v>
      </c>
      <c r="B587" s="5">
        <v>580</v>
      </c>
      <c r="C587">
        <v>6071</v>
      </c>
      <c r="D587" t="s">
        <v>11984</v>
      </c>
      <c r="E587" t="s">
        <v>3793</v>
      </c>
      <c r="F587" t="s">
        <v>17</v>
      </c>
      <c r="G587" t="s">
        <v>11985</v>
      </c>
      <c r="H587">
        <v>16</v>
      </c>
      <c r="I587">
        <v>0</v>
      </c>
      <c r="J587">
        <v>0</v>
      </c>
      <c r="K587">
        <v>20</v>
      </c>
      <c r="L587">
        <v>7</v>
      </c>
      <c r="O587">
        <v>7</v>
      </c>
      <c r="P587">
        <v>4</v>
      </c>
      <c r="Q587">
        <v>0</v>
      </c>
      <c r="R587">
        <v>47</v>
      </c>
      <c r="S587">
        <v>29</v>
      </c>
      <c r="T587">
        <v>29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29</v>
      </c>
      <c r="AB587">
        <v>6</v>
      </c>
      <c r="AC587">
        <v>0</v>
      </c>
      <c r="AF587" t="s">
        <v>130</v>
      </c>
      <c r="AH587">
        <v>82</v>
      </c>
    </row>
    <row r="588" spans="1:34" x14ac:dyDescent="0.3">
      <c r="A588" s="4">
        <v>772</v>
      </c>
      <c r="B588" s="5">
        <v>581</v>
      </c>
      <c r="C588">
        <v>6283</v>
      </c>
      <c r="D588" t="s">
        <v>3033</v>
      </c>
      <c r="E588" t="s">
        <v>320</v>
      </c>
      <c r="F588" t="s">
        <v>68</v>
      </c>
      <c r="G588" t="s">
        <v>11986</v>
      </c>
      <c r="H588">
        <v>21.6</v>
      </c>
      <c r="I588">
        <v>7</v>
      </c>
      <c r="J588">
        <v>0</v>
      </c>
      <c r="K588">
        <v>20</v>
      </c>
      <c r="L588">
        <v>7</v>
      </c>
      <c r="O588">
        <v>7</v>
      </c>
      <c r="P588">
        <v>4</v>
      </c>
      <c r="Q588">
        <v>2</v>
      </c>
      <c r="R588">
        <v>61.6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20</v>
      </c>
      <c r="AF588" t="s">
        <v>130</v>
      </c>
      <c r="AH588">
        <v>81.599999999999994</v>
      </c>
    </row>
    <row r="589" spans="1:34" x14ac:dyDescent="0.3">
      <c r="A589" s="4">
        <v>773</v>
      </c>
      <c r="B589" s="5">
        <v>582</v>
      </c>
      <c r="C589">
        <v>10393</v>
      </c>
      <c r="D589" t="s">
        <v>717</v>
      </c>
      <c r="E589" t="s">
        <v>54</v>
      </c>
      <c r="F589" t="s">
        <v>230</v>
      </c>
      <c r="G589" t="s">
        <v>11987</v>
      </c>
      <c r="H589">
        <v>17.3</v>
      </c>
      <c r="I589">
        <v>0</v>
      </c>
      <c r="J589">
        <v>0</v>
      </c>
      <c r="K589">
        <v>20</v>
      </c>
      <c r="L589">
        <v>7</v>
      </c>
      <c r="M589">
        <v>5</v>
      </c>
      <c r="O589">
        <v>12</v>
      </c>
      <c r="P589">
        <v>4</v>
      </c>
      <c r="Q589">
        <v>2</v>
      </c>
      <c r="R589">
        <v>55.3</v>
      </c>
      <c r="S589">
        <v>17</v>
      </c>
      <c r="T589">
        <v>17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17</v>
      </c>
      <c r="AB589">
        <v>9</v>
      </c>
      <c r="AC589">
        <v>0</v>
      </c>
      <c r="AD589" t="s">
        <v>130</v>
      </c>
      <c r="AF589" t="s">
        <v>130</v>
      </c>
      <c r="AH589">
        <v>81.3</v>
      </c>
    </row>
    <row r="590" spans="1:34" x14ac:dyDescent="0.3">
      <c r="A590" s="4">
        <v>774</v>
      </c>
      <c r="B590" s="5">
        <v>583</v>
      </c>
      <c r="C590">
        <v>4965</v>
      </c>
      <c r="D590" t="s">
        <v>11988</v>
      </c>
      <c r="E590" t="s">
        <v>2758</v>
      </c>
      <c r="F590" t="s">
        <v>167</v>
      </c>
      <c r="G590" t="s">
        <v>11989</v>
      </c>
      <c r="H590">
        <v>22</v>
      </c>
      <c r="I590">
        <v>7</v>
      </c>
      <c r="J590">
        <v>0</v>
      </c>
      <c r="K590">
        <v>28</v>
      </c>
      <c r="L590">
        <v>7</v>
      </c>
      <c r="N590">
        <v>3</v>
      </c>
      <c r="O590">
        <v>10</v>
      </c>
      <c r="P590">
        <v>4</v>
      </c>
      <c r="Q590">
        <v>0</v>
      </c>
      <c r="R590">
        <v>71</v>
      </c>
      <c r="S590">
        <v>10</v>
      </c>
      <c r="T590">
        <v>10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10</v>
      </c>
      <c r="AB590">
        <v>0</v>
      </c>
      <c r="AC590">
        <v>0</v>
      </c>
      <c r="AF590" t="s">
        <v>130</v>
      </c>
      <c r="AH590">
        <v>81</v>
      </c>
    </row>
    <row r="591" spans="1:34" x14ac:dyDescent="0.3">
      <c r="A591" s="4">
        <v>775</v>
      </c>
      <c r="B591" s="5">
        <v>584</v>
      </c>
      <c r="C591">
        <v>8894</v>
      </c>
      <c r="D591" t="s">
        <v>9223</v>
      </c>
      <c r="E591" t="s">
        <v>132</v>
      </c>
      <c r="F591" t="s">
        <v>30</v>
      </c>
      <c r="G591" t="s">
        <v>11990</v>
      </c>
      <c r="H591">
        <v>18.73</v>
      </c>
      <c r="I591">
        <v>0</v>
      </c>
      <c r="J591">
        <v>0</v>
      </c>
      <c r="K591">
        <v>20</v>
      </c>
      <c r="L591">
        <v>7</v>
      </c>
      <c r="O591">
        <v>7</v>
      </c>
      <c r="P591">
        <v>4</v>
      </c>
      <c r="Q591">
        <v>2</v>
      </c>
      <c r="R591">
        <v>51.73</v>
      </c>
      <c r="S591">
        <v>29</v>
      </c>
      <c r="T591">
        <v>29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29</v>
      </c>
      <c r="AB591">
        <v>0</v>
      </c>
      <c r="AC591">
        <v>0</v>
      </c>
      <c r="AD591" t="s">
        <v>130</v>
      </c>
      <c r="AF591" t="s">
        <v>130</v>
      </c>
      <c r="AH591">
        <v>80.73</v>
      </c>
    </row>
    <row r="592" spans="1:34" x14ac:dyDescent="0.3">
      <c r="A592" s="4">
        <v>776</v>
      </c>
      <c r="B592" s="5">
        <v>585</v>
      </c>
      <c r="C592">
        <v>13060</v>
      </c>
      <c r="D592" t="s">
        <v>5512</v>
      </c>
      <c r="E592" t="s">
        <v>188</v>
      </c>
      <c r="F592" t="s">
        <v>230</v>
      </c>
      <c r="G592" t="s">
        <v>11991</v>
      </c>
      <c r="H592">
        <v>19.53</v>
      </c>
      <c r="I592">
        <v>0</v>
      </c>
      <c r="J592">
        <v>0</v>
      </c>
      <c r="K592">
        <v>20</v>
      </c>
      <c r="L592">
        <v>7</v>
      </c>
      <c r="N592">
        <v>3</v>
      </c>
      <c r="O592">
        <v>10</v>
      </c>
      <c r="P592">
        <v>4</v>
      </c>
      <c r="Q592">
        <v>0</v>
      </c>
      <c r="R592">
        <v>53.53</v>
      </c>
      <c r="S592">
        <v>24</v>
      </c>
      <c r="T592">
        <v>24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24</v>
      </c>
      <c r="AB592">
        <v>3</v>
      </c>
      <c r="AC592">
        <v>0</v>
      </c>
      <c r="AD592" t="s">
        <v>130</v>
      </c>
      <c r="AF592" t="s">
        <v>130</v>
      </c>
      <c r="AH592">
        <v>80.53</v>
      </c>
    </row>
    <row r="593" spans="1:34" x14ac:dyDescent="0.3">
      <c r="A593" s="4">
        <v>777</v>
      </c>
      <c r="B593" s="5">
        <v>586</v>
      </c>
      <c r="C593">
        <v>9524</v>
      </c>
      <c r="D593" t="s">
        <v>7108</v>
      </c>
      <c r="E593" t="s">
        <v>143</v>
      </c>
      <c r="F593" t="s">
        <v>1566</v>
      </c>
      <c r="G593" t="s">
        <v>11992</v>
      </c>
      <c r="H593">
        <v>15.33</v>
      </c>
      <c r="I593">
        <v>0</v>
      </c>
      <c r="J593">
        <v>0</v>
      </c>
      <c r="K593">
        <v>20</v>
      </c>
      <c r="L593">
        <v>7</v>
      </c>
      <c r="O593">
        <v>7</v>
      </c>
      <c r="P593">
        <v>4</v>
      </c>
      <c r="Q593">
        <v>2</v>
      </c>
      <c r="R593">
        <v>48.33</v>
      </c>
      <c r="S593">
        <v>32</v>
      </c>
      <c r="T593">
        <v>32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32</v>
      </c>
      <c r="AB593">
        <v>0</v>
      </c>
      <c r="AC593">
        <v>0</v>
      </c>
      <c r="AD593" t="s">
        <v>130</v>
      </c>
      <c r="AF593" t="s">
        <v>130</v>
      </c>
      <c r="AH593">
        <v>80.33</v>
      </c>
    </row>
    <row r="594" spans="1:34" x14ac:dyDescent="0.3">
      <c r="A594" s="4">
        <v>778</v>
      </c>
      <c r="B594" s="5">
        <v>587</v>
      </c>
      <c r="C594">
        <v>1557</v>
      </c>
      <c r="D594" t="s">
        <v>7825</v>
      </c>
      <c r="E594" t="s">
        <v>100</v>
      </c>
      <c r="F594" t="s">
        <v>30</v>
      </c>
      <c r="G594" t="s">
        <v>11993</v>
      </c>
      <c r="H594">
        <v>19.8</v>
      </c>
      <c r="I594">
        <v>7</v>
      </c>
      <c r="J594">
        <v>0</v>
      </c>
      <c r="K594">
        <v>20</v>
      </c>
      <c r="L594">
        <v>7</v>
      </c>
      <c r="N594">
        <v>3</v>
      </c>
      <c r="O594">
        <v>10</v>
      </c>
      <c r="P594">
        <v>4</v>
      </c>
      <c r="Q594">
        <v>2</v>
      </c>
      <c r="R594">
        <v>62.8</v>
      </c>
      <c r="S594">
        <v>17</v>
      </c>
      <c r="T594">
        <v>17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17</v>
      </c>
      <c r="AB594">
        <v>0</v>
      </c>
      <c r="AC594">
        <v>0</v>
      </c>
      <c r="AF594" t="s">
        <v>130</v>
      </c>
      <c r="AH594">
        <v>79.8</v>
      </c>
    </row>
    <row r="595" spans="1:34" x14ac:dyDescent="0.3">
      <c r="A595" s="4">
        <v>779</v>
      </c>
      <c r="B595" s="5">
        <v>588</v>
      </c>
      <c r="C595">
        <v>13001</v>
      </c>
      <c r="D595" t="s">
        <v>5357</v>
      </c>
      <c r="E595" t="s">
        <v>26</v>
      </c>
      <c r="F595" t="s">
        <v>20</v>
      </c>
      <c r="G595" t="s">
        <v>11994</v>
      </c>
      <c r="H595">
        <v>18.38</v>
      </c>
      <c r="I595">
        <v>0</v>
      </c>
      <c r="J595">
        <v>0</v>
      </c>
      <c r="K595">
        <v>28</v>
      </c>
      <c r="L595">
        <v>7</v>
      </c>
      <c r="N595">
        <v>3</v>
      </c>
      <c r="O595">
        <v>10</v>
      </c>
      <c r="P595">
        <v>4</v>
      </c>
      <c r="Q595">
        <v>2</v>
      </c>
      <c r="R595">
        <v>62.38</v>
      </c>
      <c r="S595">
        <v>17</v>
      </c>
      <c r="T595">
        <v>17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17</v>
      </c>
      <c r="AB595">
        <v>0</v>
      </c>
      <c r="AC595">
        <v>0</v>
      </c>
      <c r="AF595" t="s">
        <v>130</v>
      </c>
      <c r="AH595">
        <v>79.38</v>
      </c>
    </row>
    <row r="596" spans="1:34" x14ac:dyDescent="0.3">
      <c r="A596" s="4">
        <v>780</v>
      </c>
      <c r="B596" s="5">
        <v>589</v>
      </c>
      <c r="C596">
        <v>1312</v>
      </c>
      <c r="D596" t="s">
        <v>11995</v>
      </c>
      <c r="E596" t="s">
        <v>54</v>
      </c>
      <c r="F596" t="s">
        <v>68</v>
      </c>
      <c r="G596" t="s">
        <v>11996</v>
      </c>
      <c r="H596">
        <v>18.75</v>
      </c>
      <c r="I596">
        <v>0</v>
      </c>
      <c r="J596">
        <v>0</v>
      </c>
      <c r="K596">
        <v>20</v>
      </c>
      <c r="M596">
        <v>5</v>
      </c>
      <c r="O596">
        <v>5</v>
      </c>
      <c r="P596">
        <v>4</v>
      </c>
      <c r="Q596">
        <v>2</v>
      </c>
      <c r="R596">
        <v>49.75</v>
      </c>
      <c r="S596">
        <v>23</v>
      </c>
      <c r="T596">
        <v>23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23</v>
      </c>
      <c r="AB596">
        <v>6</v>
      </c>
      <c r="AC596">
        <v>0</v>
      </c>
      <c r="AF596" t="s">
        <v>130</v>
      </c>
      <c r="AH596">
        <v>78.75</v>
      </c>
    </row>
    <row r="597" spans="1:34" x14ac:dyDescent="0.3">
      <c r="A597" s="4">
        <v>781</v>
      </c>
      <c r="B597" s="5">
        <v>590</v>
      </c>
      <c r="C597">
        <v>3968</v>
      </c>
      <c r="D597" t="s">
        <v>3447</v>
      </c>
      <c r="E597" t="s">
        <v>2843</v>
      </c>
      <c r="F597" t="s">
        <v>81</v>
      </c>
      <c r="G597" t="s">
        <v>8511</v>
      </c>
      <c r="H597">
        <v>16.329999999999998</v>
      </c>
      <c r="I597">
        <v>7</v>
      </c>
      <c r="J597">
        <v>0</v>
      </c>
      <c r="K597">
        <v>28</v>
      </c>
      <c r="L597">
        <v>7</v>
      </c>
      <c r="N597">
        <v>3</v>
      </c>
      <c r="O597">
        <v>10</v>
      </c>
      <c r="P597">
        <v>4</v>
      </c>
      <c r="Q597">
        <v>2</v>
      </c>
      <c r="R597">
        <v>67.33</v>
      </c>
      <c r="S597">
        <v>8</v>
      </c>
      <c r="T597">
        <v>8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8</v>
      </c>
      <c r="AB597">
        <v>3</v>
      </c>
      <c r="AC597">
        <v>0</v>
      </c>
      <c r="AF597" t="s">
        <v>130</v>
      </c>
      <c r="AH597">
        <v>78.33</v>
      </c>
    </row>
    <row r="598" spans="1:34" x14ac:dyDescent="0.3">
      <c r="A598" s="4">
        <v>782</v>
      </c>
      <c r="B598" s="5">
        <v>591</v>
      </c>
      <c r="C598">
        <v>9070</v>
      </c>
      <c r="D598" t="s">
        <v>3802</v>
      </c>
      <c r="E598" t="s">
        <v>283</v>
      </c>
      <c r="F598" t="s">
        <v>17</v>
      </c>
      <c r="G598" t="s">
        <v>11997</v>
      </c>
      <c r="H598">
        <v>20.28</v>
      </c>
      <c r="I598">
        <v>7</v>
      </c>
      <c r="J598">
        <v>0</v>
      </c>
      <c r="K598">
        <v>0</v>
      </c>
      <c r="L598">
        <v>7</v>
      </c>
      <c r="O598">
        <v>7</v>
      </c>
      <c r="P598">
        <v>4</v>
      </c>
      <c r="Q598">
        <v>2</v>
      </c>
      <c r="R598">
        <v>40.28</v>
      </c>
      <c r="S598">
        <v>29</v>
      </c>
      <c r="T598">
        <v>29</v>
      </c>
      <c r="U598">
        <v>3</v>
      </c>
      <c r="V598">
        <v>6</v>
      </c>
      <c r="W598">
        <v>0</v>
      </c>
      <c r="X598">
        <v>0</v>
      </c>
      <c r="Y598">
        <v>0</v>
      </c>
      <c r="Z598">
        <v>0</v>
      </c>
      <c r="AA598">
        <v>35</v>
      </c>
      <c r="AB598">
        <v>3</v>
      </c>
      <c r="AC598">
        <v>0</v>
      </c>
      <c r="AF598" t="s">
        <v>130</v>
      </c>
      <c r="AH598">
        <v>78.28</v>
      </c>
    </row>
    <row r="599" spans="1:34" x14ac:dyDescent="0.3">
      <c r="A599" s="4">
        <v>783</v>
      </c>
      <c r="B599" s="5">
        <v>592</v>
      </c>
      <c r="C599">
        <v>1455</v>
      </c>
      <c r="D599" t="s">
        <v>11998</v>
      </c>
      <c r="E599" t="s">
        <v>41</v>
      </c>
      <c r="F599" t="s">
        <v>38</v>
      </c>
      <c r="G599" t="s">
        <v>11999</v>
      </c>
      <c r="H599">
        <v>15.13</v>
      </c>
      <c r="I599">
        <v>7</v>
      </c>
      <c r="J599">
        <v>0</v>
      </c>
      <c r="K599">
        <v>20</v>
      </c>
      <c r="L599">
        <v>14</v>
      </c>
      <c r="O599">
        <v>14</v>
      </c>
      <c r="P599">
        <v>4</v>
      </c>
      <c r="Q599">
        <v>0</v>
      </c>
      <c r="R599">
        <v>60.13</v>
      </c>
      <c r="S599">
        <v>15</v>
      </c>
      <c r="T599">
        <v>15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15</v>
      </c>
      <c r="AB599">
        <v>3</v>
      </c>
      <c r="AC599">
        <v>0</v>
      </c>
      <c r="AF599" t="s">
        <v>130</v>
      </c>
      <c r="AH599">
        <v>78.13</v>
      </c>
    </row>
    <row r="600" spans="1:34" x14ac:dyDescent="0.3">
      <c r="A600" s="4">
        <v>785</v>
      </c>
      <c r="B600" s="5">
        <v>593</v>
      </c>
      <c r="C600">
        <v>2480</v>
      </c>
      <c r="D600" t="s">
        <v>12000</v>
      </c>
      <c r="E600" t="s">
        <v>166</v>
      </c>
      <c r="F600" t="s">
        <v>167</v>
      </c>
      <c r="G600" t="s">
        <v>12001</v>
      </c>
      <c r="H600">
        <v>18.73</v>
      </c>
      <c r="I600">
        <v>0</v>
      </c>
      <c r="J600">
        <v>0</v>
      </c>
      <c r="K600">
        <v>28</v>
      </c>
      <c r="L600">
        <v>7</v>
      </c>
      <c r="O600">
        <v>7</v>
      </c>
      <c r="P600">
        <v>4</v>
      </c>
      <c r="Q600">
        <v>2</v>
      </c>
      <c r="R600">
        <v>59.73</v>
      </c>
      <c r="S600">
        <v>18</v>
      </c>
      <c r="T600">
        <v>18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18</v>
      </c>
      <c r="AB600">
        <v>0</v>
      </c>
      <c r="AC600">
        <v>0</v>
      </c>
      <c r="AF600" t="s">
        <v>130</v>
      </c>
      <c r="AH600">
        <v>77.73</v>
      </c>
    </row>
    <row r="601" spans="1:34" x14ac:dyDescent="0.3">
      <c r="A601" s="4">
        <v>786</v>
      </c>
      <c r="B601" s="5">
        <v>594</v>
      </c>
      <c r="C601">
        <v>60</v>
      </c>
      <c r="D601" t="s">
        <v>2881</v>
      </c>
      <c r="E601" t="s">
        <v>29</v>
      </c>
      <c r="F601" t="s">
        <v>158</v>
      </c>
      <c r="G601" t="s">
        <v>12002</v>
      </c>
      <c r="H601">
        <v>15.65</v>
      </c>
      <c r="I601">
        <v>7</v>
      </c>
      <c r="J601">
        <v>0</v>
      </c>
      <c r="K601">
        <v>28</v>
      </c>
      <c r="L601">
        <v>14</v>
      </c>
      <c r="O601">
        <v>14</v>
      </c>
      <c r="P601">
        <v>4</v>
      </c>
      <c r="Q601">
        <v>2</v>
      </c>
      <c r="R601">
        <v>70.650000000000006</v>
      </c>
      <c r="S601">
        <v>7</v>
      </c>
      <c r="T601">
        <v>7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7</v>
      </c>
      <c r="AB601">
        <v>0</v>
      </c>
      <c r="AC601">
        <v>0</v>
      </c>
      <c r="AF601" t="s">
        <v>130</v>
      </c>
      <c r="AH601">
        <v>77.650000000000006</v>
      </c>
    </row>
    <row r="602" spans="1:34" x14ac:dyDescent="0.3">
      <c r="A602" s="4">
        <v>787</v>
      </c>
      <c r="B602" s="5">
        <v>595</v>
      </c>
      <c r="C602">
        <v>339</v>
      </c>
      <c r="D602" t="s">
        <v>675</v>
      </c>
      <c r="E602" t="s">
        <v>338</v>
      </c>
      <c r="F602" t="s">
        <v>52</v>
      </c>
      <c r="G602" t="s">
        <v>12003</v>
      </c>
      <c r="H602">
        <v>21.43</v>
      </c>
      <c r="I602">
        <v>0</v>
      </c>
      <c r="J602">
        <v>0</v>
      </c>
      <c r="K602">
        <v>20</v>
      </c>
      <c r="N602">
        <v>6</v>
      </c>
      <c r="O602">
        <v>6</v>
      </c>
      <c r="P602">
        <v>4</v>
      </c>
      <c r="Q602">
        <v>2</v>
      </c>
      <c r="R602">
        <v>53.43</v>
      </c>
      <c r="S602">
        <v>8</v>
      </c>
      <c r="T602">
        <v>8</v>
      </c>
      <c r="U602">
        <v>0</v>
      </c>
      <c r="V602">
        <v>0</v>
      </c>
      <c r="W602">
        <v>7</v>
      </c>
      <c r="X602">
        <v>10</v>
      </c>
      <c r="Y602">
        <v>0</v>
      </c>
      <c r="Z602">
        <v>0</v>
      </c>
      <c r="AA602">
        <v>18</v>
      </c>
      <c r="AB602">
        <v>6</v>
      </c>
      <c r="AC602">
        <v>0</v>
      </c>
      <c r="AF602" t="s">
        <v>130</v>
      </c>
      <c r="AH602">
        <v>77.430000000000007</v>
      </c>
    </row>
    <row r="603" spans="1:34" x14ac:dyDescent="0.3">
      <c r="A603" s="4">
        <v>788</v>
      </c>
      <c r="B603" s="5">
        <v>596</v>
      </c>
      <c r="C603">
        <v>6882</v>
      </c>
      <c r="D603" t="s">
        <v>12004</v>
      </c>
      <c r="E603" t="s">
        <v>115</v>
      </c>
      <c r="F603" t="s">
        <v>38</v>
      </c>
      <c r="G603" t="s">
        <v>12005</v>
      </c>
      <c r="H603">
        <v>18.43</v>
      </c>
      <c r="I603">
        <v>7</v>
      </c>
      <c r="J603">
        <v>0</v>
      </c>
      <c r="K603">
        <v>20</v>
      </c>
      <c r="L603">
        <v>7</v>
      </c>
      <c r="M603">
        <v>5</v>
      </c>
      <c r="O603">
        <v>12</v>
      </c>
      <c r="P603">
        <v>4</v>
      </c>
      <c r="Q603">
        <v>2</v>
      </c>
      <c r="R603">
        <v>63.43</v>
      </c>
      <c r="S603">
        <v>11</v>
      </c>
      <c r="T603">
        <v>11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11</v>
      </c>
      <c r="AB603">
        <v>3</v>
      </c>
      <c r="AC603">
        <v>0</v>
      </c>
      <c r="AF603" t="s">
        <v>130</v>
      </c>
      <c r="AH603">
        <v>77.430000000000007</v>
      </c>
    </row>
    <row r="604" spans="1:34" x14ac:dyDescent="0.3">
      <c r="A604" s="4">
        <v>789</v>
      </c>
      <c r="B604" s="5">
        <v>597</v>
      </c>
      <c r="C604">
        <v>447</v>
      </c>
      <c r="D604" t="s">
        <v>3628</v>
      </c>
      <c r="E604" t="s">
        <v>26</v>
      </c>
      <c r="F604" t="s">
        <v>12006</v>
      </c>
      <c r="G604" t="s">
        <v>12007</v>
      </c>
      <c r="H604">
        <v>18.25</v>
      </c>
      <c r="I604">
        <v>0</v>
      </c>
      <c r="J604">
        <v>0</v>
      </c>
      <c r="K604">
        <v>20</v>
      </c>
      <c r="L604">
        <v>7</v>
      </c>
      <c r="O604">
        <v>7</v>
      </c>
      <c r="P604">
        <v>4</v>
      </c>
      <c r="Q604">
        <v>2</v>
      </c>
      <c r="R604">
        <v>51.25</v>
      </c>
      <c r="S604">
        <v>26</v>
      </c>
      <c r="T604">
        <v>26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26</v>
      </c>
      <c r="AB604">
        <v>0</v>
      </c>
      <c r="AC604">
        <v>0</v>
      </c>
      <c r="AF604" t="s">
        <v>130</v>
      </c>
      <c r="AH604">
        <v>77.25</v>
      </c>
    </row>
    <row r="605" spans="1:34" x14ac:dyDescent="0.3">
      <c r="A605" s="4">
        <v>790</v>
      </c>
      <c r="B605" s="5">
        <v>598</v>
      </c>
      <c r="C605">
        <v>9066</v>
      </c>
      <c r="D605" t="s">
        <v>3542</v>
      </c>
      <c r="E605" t="s">
        <v>12008</v>
      </c>
      <c r="F605" t="s">
        <v>909</v>
      </c>
      <c r="G605" t="s">
        <v>12009</v>
      </c>
      <c r="H605">
        <v>17.2</v>
      </c>
      <c r="I605">
        <v>0</v>
      </c>
      <c r="J605">
        <v>0</v>
      </c>
      <c r="K605">
        <v>20</v>
      </c>
      <c r="L605">
        <v>7</v>
      </c>
      <c r="O605">
        <v>7</v>
      </c>
      <c r="P605">
        <v>4</v>
      </c>
      <c r="Q605">
        <v>0</v>
      </c>
      <c r="R605">
        <v>48.2</v>
      </c>
      <c r="S605">
        <v>23</v>
      </c>
      <c r="T605">
        <v>23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23</v>
      </c>
      <c r="AB605">
        <v>6</v>
      </c>
      <c r="AC605">
        <v>0</v>
      </c>
      <c r="AF605" t="s">
        <v>130</v>
      </c>
      <c r="AH605">
        <v>77.2</v>
      </c>
    </row>
    <row r="606" spans="1:34" x14ac:dyDescent="0.3">
      <c r="A606" s="4">
        <v>792</v>
      </c>
      <c r="B606" s="5">
        <v>599</v>
      </c>
      <c r="C606">
        <v>2738</v>
      </c>
      <c r="D606" t="s">
        <v>3487</v>
      </c>
      <c r="E606" t="s">
        <v>1426</v>
      </c>
      <c r="F606" t="s">
        <v>81</v>
      </c>
      <c r="G606" t="s">
        <v>12010</v>
      </c>
      <c r="H606">
        <v>21.83</v>
      </c>
      <c r="I606">
        <v>7</v>
      </c>
      <c r="J606">
        <v>0</v>
      </c>
      <c r="K606">
        <v>20</v>
      </c>
      <c r="L606">
        <v>7</v>
      </c>
      <c r="N606">
        <v>3</v>
      </c>
      <c r="O606">
        <v>10</v>
      </c>
      <c r="P606">
        <v>4</v>
      </c>
      <c r="Q606">
        <v>0</v>
      </c>
      <c r="R606">
        <v>62.83</v>
      </c>
      <c r="S606">
        <v>13</v>
      </c>
      <c r="T606">
        <v>13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13</v>
      </c>
      <c r="AB606">
        <v>0</v>
      </c>
      <c r="AC606">
        <v>0</v>
      </c>
      <c r="AF606" t="s">
        <v>130</v>
      </c>
      <c r="AH606">
        <v>75.83</v>
      </c>
    </row>
    <row r="607" spans="1:34" x14ac:dyDescent="0.3">
      <c r="A607" s="4">
        <v>793</v>
      </c>
      <c r="B607" s="5">
        <v>600</v>
      </c>
      <c r="C607">
        <v>2954</v>
      </c>
      <c r="D607" t="s">
        <v>3858</v>
      </c>
      <c r="E607" t="s">
        <v>789</v>
      </c>
      <c r="F607" t="s">
        <v>1581</v>
      </c>
      <c r="G607" t="s">
        <v>12011</v>
      </c>
      <c r="H607">
        <v>22.8</v>
      </c>
      <c r="I607">
        <v>0</v>
      </c>
      <c r="J607">
        <v>0</v>
      </c>
      <c r="K607">
        <v>20</v>
      </c>
      <c r="L607">
        <v>7</v>
      </c>
      <c r="O607">
        <v>7</v>
      </c>
      <c r="P607">
        <v>4</v>
      </c>
      <c r="Q607">
        <v>2</v>
      </c>
      <c r="R607">
        <v>55.8</v>
      </c>
      <c r="S607">
        <v>14</v>
      </c>
      <c r="T607">
        <v>14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14</v>
      </c>
      <c r="AB607">
        <v>6</v>
      </c>
      <c r="AC607">
        <v>0</v>
      </c>
      <c r="AF607" t="s">
        <v>130</v>
      </c>
      <c r="AH607">
        <v>75.8</v>
      </c>
    </row>
    <row r="608" spans="1:34" x14ac:dyDescent="0.3">
      <c r="A608" s="4">
        <v>794</v>
      </c>
      <c r="B608" s="5">
        <v>601</v>
      </c>
      <c r="C608">
        <v>1872</v>
      </c>
      <c r="D608" t="s">
        <v>860</v>
      </c>
      <c r="E608" t="s">
        <v>789</v>
      </c>
      <c r="F608" t="s">
        <v>81</v>
      </c>
      <c r="G608" t="s">
        <v>12012</v>
      </c>
      <c r="H608">
        <v>17.649999999999999</v>
      </c>
      <c r="I608">
        <v>0</v>
      </c>
      <c r="J608">
        <v>0</v>
      </c>
      <c r="K608">
        <v>20</v>
      </c>
      <c r="L608">
        <v>7</v>
      </c>
      <c r="O608">
        <v>7</v>
      </c>
      <c r="P608">
        <v>4</v>
      </c>
      <c r="Q608">
        <v>0</v>
      </c>
      <c r="R608">
        <v>48.65</v>
      </c>
      <c r="S608">
        <v>27</v>
      </c>
      <c r="T608">
        <v>27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27</v>
      </c>
      <c r="AB608">
        <v>0</v>
      </c>
      <c r="AC608">
        <v>0</v>
      </c>
      <c r="AF608" t="s">
        <v>130</v>
      </c>
      <c r="AH608">
        <v>75.650000000000006</v>
      </c>
    </row>
    <row r="609" spans="1:34" x14ac:dyDescent="0.3">
      <c r="A609" s="4">
        <v>795</v>
      </c>
      <c r="B609" s="5">
        <v>602</v>
      </c>
      <c r="C609">
        <v>295</v>
      </c>
      <c r="D609" t="s">
        <v>12013</v>
      </c>
      <c r="E609" t="s">
        <v>12014</v>
      </c>
      <c r="F609" t="s">
        <v>62</v>
      </c>
      <c r="G609" t="s">
        <v>12015</v>
      </c>
      <c r="H609">
        <v>17.48</v>
      </c>
      <c r="I609">
        <v>0</v>
      </c>
      <c r="J609">
        <v>0</v>
      </c>
      <c r="K609">
        <v>20</v>
      </c>
      <c r="L609">
        <v>7</v>
      </c>
      <c r="M609">
        <v>5</v>
      </c>
      <c r="O609">
        <v>12</v>
      </c>
      <c r="P609">
        <v>4</v>
      </c>
      <c r="Q609">
        <v>0</v>
      </c>
      <c r="R609">
        <v>53.48</v>
      </c>
      <c r="S609">
        <v>22</v>
      </c>
      <c r="T609">
        <v>22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22</v>
      </c>
      <c r="AB609">
        <v>0</v>
      </c>
      <c r="AC609">
        <v>0</v>
      </c>
      <c r="AF609" t="s">
        <v>130</v>
      </c>
      <c r="AH609">
        <v>75.48</v>
      </c>
    </row>
    <row r="610" spans="1:34" x14ac:dyDescent="0.3">
      <c r="A610" s="4">
        <v>796</v>
      </c>
      <c r="B610" s="5">
        <v>603</v>
      </c>
      <c r="C610">
        <v>357</v>
      </c>
      <c r="D610" t="s">
        <v>9064</v>
      </c>
      <c r="E610" t="s">
        <v>12016</v>
      </c>
      <c r="F610" t="s">
        <v>20</v>
      </c>
      <c r="G610" t="s">
        <v>12017</v>
      </c>
      <c r="H610">
        <v>21.25</v>
      </c>
      <c r="I610">
        <v>0</v>
      </c>
      <c r="J610">
        <v>0</v>
      </c>
      <c r="K610">
        <v>0</v>
      </c>
      <c r="N610">
        <v>3</v>
      </c>
      <c r="O610">
        <v>3</v>
      </c>
      <c r="P610">
        <v>4</v>
      </c>
      <c r="Q610">
        <v>2</v>
      </c>
      <c r="R610">
        <v>30.25</v>
      </c>
      <c r="S610">
        <v>36</v>
      </c>
      <c r="T610">
        <v>36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36</v>
      </c>
      <c r="AB610">
        <v>9</v>
      </c>
      <c r="AC610">
        <v>0</v>
      </c>
      <c r="AF610" t="s">
        <v>130</v>
      </c>
      <c r="AH610">
        <v>75.25</v>
      </c>
    </row>
    <row r="611" spans="1:34" x14ac:dyDescent="0.3">
      <c r="A611" s="4">
        <v>797</v>
      </c>
      <c r="B611" s="5">
        <v>604</v>
      </c>
      <c r="C611">
        <v>8287</v>
      </c>
      <c r="D611" t="s">
        <v>12018</v>
      </c>
      <c r="E611" t="s">
        <v>188</v>
      </c>
      <c r="F611" t="s">
        <v>17</v>
      </c>
      <c r="G611" t="s">
        <v>12019</v>
      </c>
      <c r="H611">
        <v>17.95</v>
      </c>
      <c r="I611">
        <v>0</v>
      </c>
      <c r="J611">
        <v>0</v>
      </c>
      <c r="K611">
        <v>20</v>
      </c>
      <c r="L611">
        <v>7</v>
      </c>
      <c r="O611">
        <v>7</v>
      </c>
      <c r="P611">
        <v>4</v>
      </c>
      <c r="Q611">
        <v>2</v>
      </c>
      <c r="R611">
        <v>50.95</v>
      </c>
      <c r="S611">
        <v>21</v>
      </c>
      <c r="T611">
        <v>21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21</v>
      </c>
      <c r="AB611">
        <v>3</v>
      </c>
      <c r="AC611">
        <v>0</v>
      </c>
      <c r="AF611" t="s">
        <v>130</v>
      </c>
      <c r="AH611">
        <v>74.95</v>
      </c>
    </row>
    <row r="612" spans="1:34" x14ac:dyDescent="0.3">
      <c r="A612" s="4">
        <v>798</v>
      </c>
      <c r="B612" s="5">
        <v>605</v>
      </c>
      <c r="C612">
        <v>3161</v>
      </c>
      <c r="D612" t="s">
        <v>12020</v>
      </c>
      <c r="E612" t="s">
        <v>41</v>
      </c>
      <c r="F612" t="s">
        <v>243</v>
      </c>
      <c r="G612" t="s">
        <v>12021</v>
      </c>
      <c r="H612">
        <v>17.579999999999998</v>
      </c>
      <c r="I612">
        <v>7</v>
      </c>
      <c r="J612">
        <v>0</v>
      </c>
      <c r="K612">
        <v>20</v>
      </c>
      <c r="L612">
        <v>14</v>
      </c>
      <c r="O612">
        <v>14</v>
      </c>
      <c r="P612">
        <v>4</v>
      </c>
      <c r="Q612">
        <v>2</v>
      </c>
      <c r="R612">
        <v>64.58</v>
      </c>
      <c r="S612">
        <v>7</v>
      </c>
      <c r="T612">
        <v>7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7</v>
      </c>
      <c r="AB612">
        <v>3</v>
      </c>
      <c r="AC612">
        <v>0</v>
      </c>
      <c r="AD612" t="s">
        <v>130</v>
      </c>
      <c r="AF612" t="s">
        <v>130</v>
      </c>
      <c r="AH612">
        <v>74.58</v>
      </c>
    </row>
    <row r="613" spans="1:34" x14ac:dyDescent="0.3">
      <c r="A613" s="4">
        <v>799</v>
      </c>
      <c r="B613" s="5">
        <v>606</v>
      </c>
      <c r="C613">
        <v>6186</v>
      </c>
      <c r="D613" t="s">
        <v>7429</v>
      </c>
      <c r="E613" t="s">
        <v>29</v>
      </c>
      <c r="F613" t="s">
        <v>117</v>
      </c>
      <c r="G613" t="s">
        <v>12022</v>
      </c>
      <c r="H613">
        <v>19.43</v>
      </c>
      <c r="I613">
        <v>0</v>
      </c>
      <c r="J613">
        <v>0</v>
      </c>
      <c r="K613">
        <v>28</v>
      </c>
      <c r="N613">
        <v>3</v>
      </c>
      <c r="O613">
        <v>3</v>
      </c>
      <c r="P613">
        <v>4</v>
      </c>
      <c r="Q613">
        <v>2</v>
      </c>
      <c r="R613">
        <v>56.43</v>
      </c>
      <c r="S613">
        <v>18</v>
      </c>
      <c r="T613">
        <v>18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18</v>
      </c>
      <c r="AB613">
        <v>0</v>
      </c>
      <c r="AC613">
        <v>0</v>
      </c>
      <c r="AD613" t="s">
        <v>130</v>
      </c>
      <c r="AE613" t="s">
        <v>130</v>
      </c>
      <c r="AF613" t="s">
        <v>130</v>
      </c>
      <c r="AH613">
        <v>74.430000000000007</v>
      </c>
    </row>
    <row r="614" spans="1:34" x14ac:dyDescent="0.3">
      <c r="A614" s="4">
        <v>800</v>
      </c>
      <c r="B614" s="5">
        <v>607</v>
      </c>
      <c r="C614">
        <v>578</v>
      </c>
      <c r="D614" t="s">
        <v>12023</v>
      </c>
      <c r="E614" t="s">
        <v>41</v>
      </c>
      <c r="F614" t="s">
        <v>124</v>
      </c>
      <c r="G614" t="s">
        <v>12024</v>
      </c>
      <c r="H614">
        <v>18.38</v>
      </c>
      <c r="I614">
        <v>0</v>
      </c>
      <c r="J614">
        <v>0</v>
      </c>
      <c r="K614">
        <v>20</v>
      </c>
      <c r="L614">
        <v>7</v>
      </c>
      <c r="O614">
        <v>7</v>
      </c>
      <c r="P614">
        <v>4</v>
      </c>
      <c r="Q614">
        <v>2</v>
      </c>
      <c r="R614">
        <v>51.38</v>
      </c>
      <c r="S614">
        <v>17</v>
      </c>
      <c r="T614">
        <v>17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17</v>
      </c>
      <c r="AB614">
        <v>6</v>
      </c>
      <c r="AC614">
        <v>0</v>
      </c>
      <c r="AD614" t="s">
        <v>130</v>
      </c>
      <c r="AF614" t="s">
        <v>130</v>
      </c>
      <c r="AH614">
        <v>74.38</v>
      </c>
    </row>
    <row r="615" spans="1:34" x14ac:dyDescent="0.3">
      <c r="A615" s="4">
        <v>801</v>
      </c>
      <c r="B615" s="5">
        <v>608</v>
      </c>
      <c r="C615">
        <v>3924</v>
      </c>
      <c r="D615" t="s">
        <v>12025</v>
      </c>
      <c r="E615" t="s">
        <v>166</v>
      </c>
      <c r="F615" t="s">
        <v>6216</v>
      </c>
      <c r="G615" t="s">
        <v>12026</v>
      </c>
      <c r="H615">
        <v>16.03</v>
      </c>
      <c r="I615">
        <v>7</v>
      </c>
      <c r="J615">
        <v>0</v>
      </c>
      <c r="K615">
        <v>20</v>
      </c>
      <c r="L615">
        <v>7</v>
      </c>
      <c r="N615">
        <v>3</v>
      </c>
      <c r="O615">
        <v>10</v>
      </c>
      <c r="P615">
        <v>4</v>
      </c>
      <c r="Q615">
        <v>2</v>
      </c>
      <c r="R615">
        <v>59.03</v>
      </c>
      <c r="S615">
        <v>15</v>
      </c>
      <c r="T615">
        <v>15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15</v>
      </c>
      <c r="AB615">
        <v>0</v>
      </c>
      <c r="AC615">
        <v>0</v>
      </c>
      <c r="AF615" t="s">
        <v>130</v>
      </c>
      <c r="AH615">
        <v>74.03</v>
      </c>
    </row>
    <row r="616" spans="1:34" x14ac:dyDescent="0.3">
      <c r="A616" s="4">
        <v>802</v>
      </c>
      <c r="B616" s="5">
        <v>609</v>
      </c>
      <c r="C616">
        <v>4113</v>
      </c>
      <c r="D616" t="s">
        <v>1299</v>
      </c>
      <c r="E616" t="s">
        <v>29</v>
      </c>
      <c r="F616" t="s">
        <v>17</v>
      </c>
      <c r="G616" t="s">
        <v>12027</v>
      </c>
      <c r="H616">
        <v>22.93</v>
      </c>
      <c r="I616">
        <v>7</v>
      </c>
      <c r="J616">
        <v>0</v>
      </c>
      <c r="K616">
        <v>28</v>
      </c>
      <c r="L616">
        <v>7</v>
      </c>
      <c r="O616">
        <v>7</v>
      </c>
      <c r="P616">
        <v>0</v>
      </c>
      <c r="Q616">
        <v>0</v>
      </c>
      <c r="R616">
        <v>64.930000000000007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9</v>
      </c>
      <c r="AC616">
        <v>0</v>
      </c>
      <c r="AF616" t="s">
        <v>130</v>
      </c>
      <c r="AH616">
        <v>73.930000000000007</v>
      </c>
    </row>
    <row r="617" spans="1:34" x14ac:dyDescent="0.3">
      <c r="A617" s="4">
        <v>803</v>
      </c>
      <c r="B617" s="5">
        <v>610</v>
      </c>
      <c r="C617">
        <v>5538</v>
      </c>
      <c r="D617" t="s">
        <v>1078</v>
      </c>
      <c r="E617" t="s">
        <v>110</v>
      </c>
      <c r="F617" t="s">
        <v>12028</v>
      </c>
      <c r="G617" t="s">
        <v>12029</v>
      </c>
      <c r="H617">
        <v>17.7</v>
      </c>
      <c r="I617">
        <v>7</v>
      </c>
      <c r="J617">
        <v>0</v>
      </c>
      <c r="K617">
        <v>20</v>
      </c>
      <c r="L617">
        <v>7</v>
      </c>
      <c r="O617">
        <v>7</v>
      </c>
      <c r="P617">
        <v>4</v>
      </c>
      <c r="Q617">
        <v>0</v>
      </c>
      <c r="R617">
        <v>55.7</v>
      </c>
      <c r="S617">
        <v>8</v>
      </c>
      <c r="T617">
        <v>8</v>
      </c>
      <c r="U617">
        <v>0</v>
      </c>
      <c r="V617">
        <v>0</v>
      </c>
      <c r="W617">
        <v>7</v>
      </c>
      <c r="X617">
        <v>10</v>
      </c>
      <c r="Y617">
        <v>0</v>
      </c>
      <c r="Z617">
        <v>0</v>
      </c>
      <c r="AA617">
        <v>18</v>
      </c>
      <c r="AB617">
        <v>0</v>
      </c>
      <c r="AC617">
        <v>0</v>
      </c>
      <c r="AF617" t="s">
        <v>130</v>
      </c>
      <c r="AH617">
        <v>73.7</v>
      </c>
    </row>
    <row r="618" spans="1:34" x14ac:dyDescent="0.3">
      <c r="A618" s="4">
        <v>804</v>
      </c>
      <c r="B618" s="5">
        <v>611</v>
      </c>
      <c r="C618">
        <v>2866</v>
      </c>
      <c r="D618" t="s">
        <v>12030</v>
      </c>
      <c r="E618" t="s">
        <v>1171</v>
      </c>
      <c r="F618" t="s">
        <v>30</v>
      </c>
      <c r="G618" t="s">
        <v>12031</v>
      </c>
      <c r="H618">
        <v>19.45</v>
      </c>
      <c r="I618">
        <v>0</v>
      </c>
      <c r="J618">
        <v>0</v>
      </c>
      <c r="K618">
        <v>20</v>
      </c>
      <c r="L618">
        <v>7</v>
      </c>
      <c r="O618">
        <v>7</v>
      </c>
      <c r="P618">
        <v>4</v>
      </c>
      <c r="Q618">
        <v>2</v>
      </c>
      <c r="R618">
        <v>52.45</v>
      </c>
      <c r="S618">
        <v>15</v>
      </c>
      <c r="T618">
        <v>15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15</v>
      </c>
      <c r="AB618">
        <v>6</v>
      </c>
      <c r="AC618">
        <v>0</v>
      </c>
      <c r="AF618" t="s">
        <v>130</v>
      </c>
      <c r="AH618">
        <v>73.45</v>
      </c>
    </row>
    <row r="619" spans="1:34" x14ac:dyDescent="0.3">
      <c r="A619" s="4">
        <v>805</v>
      </c>
      <c r="B619" s="5">
        <v>612</v>
      </c>
      <c r="C619">
        <v>10974</v>
      </c>
      <c r="D619" t="s">
        <v>754</v>
      </c>
      <c r="E619" t="s">
        <v>33</v>
      </c>
      <c r="F619" t="s">
        <v>20</v>
      </c>
      <c r="G619" t="s">
        <v>12032</v>
      </c>
      <c r="H619">
        <v>19.3</v>
      </c>
      <c r="I619">
        <v>7</v>
      </c>
      <c r="J619">
        <v>0</v>
      </c>
      <c r="K619">
        <v>0</v>
      </c>
      <c r="M619">
        <v>5</v>
      </c>
      <c r="O619">
        <v>5</v>
      </c>
      <c r="P619">
        <v>4</v>
      </c>
      <c r="Q619">
        <v>2</v>
      </c>
      <c r="R619">
        <v>37.299999999999997</v>
      </c>
      <c r="S619">
        <v>36</v>
      </c>
      <c r="T619">
        <v>36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36</v>
      </c>
      <c r="AB619">
        <v>0</v>
      </c>
      <c r="AC619">
        <v>0</v>
      </c>
      <c r="AF619" t="s">
        <v>130</v>
      </c>
      <c r="AH619">
        <v>73.3</v>
      </c>
    </row>
    <row r="620" spans="1:34" x14ac:dyDescent="0.3">
      <c r="A620" s="4">
        <v>806</v>
      </c>
      <c r="B620" s="5">
        <v>613</v>
      </c>
      <c r="C620">
        <v>5705</v>
      </c>
      <c r="D620" t="s">
        <v>12033</v>
      </c>
      <c r="E620" t="s">
        <v>81</v>
      </c>
      <c r="F620" t="s">
        <v>136</v>
      </c>
      <c r="G620" t="s">
        <v>12034</v>
      </c>
      <c r="H620">
        <v>18.03</v>
      </c>
      <c r="I620">
        <v>0</v>
      </c>
      <c r="J620">
        <v>0</v>
      </c>
      <c r="K620">
        <v>28</v>
      </c>
      <c r="L620">
        <v>7</v>
      </c>
      <c r="N620">
        <v>3</v>
      </c>
      <c r="O620">
        <v>10</v>
      </c>
      <c r="P620">
        <v>4</v>
      </c>
      <c r="Q620">
        <v>2</v>
      </c>
      <c r="R620">
        <v>62.03</v>
      </c>
      <c r="S620">
        <v>11</v>
      </c>
      <c r="T620">
        <v>11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11</v>
      </c>
      <c r="AB620">
        <v>0</v>
      </c>
      <c r="AC620">
        <v>0</v>
      </c>
      <c r="AF620" t="s">
        <v>130</v>
      </c>
      <c r="AH620">
        <v>73.03</v>
      </c>
    </row>
    <row r="621" spans="1:34" x14ac:dyDescent="0.3">
      <c r="A621" s="4">
        <v>808</v>
      </c>
      <c r="B621" s="5">
        <v>614</v>
      </c>
      <c r="C621">
        <v>3771</v>
      </c>
      <c r="D621" t="s">
        <v>6547</v>
      </c>
      <c r="E621" t="s">
        <v>471</v>
      </c>
      <c r="F621" t="s">
        <v>14</v>
      </c>
      <c r="G621" t="s">
        <v>12035</v>
      </c>
      <c r="H621">
        <v>21.53</v>
      </c>
      <c r="I621">
        <v>7</v>
      </c>
      <c r="J621">
        <v>0</v>
      </c>
      <c r="K621">
        <v>20</v>
      </c>
      <c r="L621">
        <v>7</v>
      </c>
      <c r="N621">
        <v>3</v>
      </c>
      <c r="O621">
        <v>10</v>
      </c>
      <c r="P621">
        <v>4</v>
      </c>
      <c r="Q621">
        <v>0</v>
      </c>
      <c r="R621">
        <v>62.53</v>
      </c>
      <c r="S621">
        <v>7</v>
      </c>
      <c r="T621">
        <v>7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7</v>
      </c>
      <c r="AB621">
        <v>3</v>
      </c>
      <c r="AC621">
        <v>0</v>
      </c>
      <c r="AF621" t="s">
        <v>130</v>
      </c>
      <c r="AH621">
        <v>72.53</v>
      </c>
    </row>
    <row r="622" spans="1:34" x14ac:dyDescent="0.3">
      <c r="A622" s="4">
        <v>809</v>
      </c>
      <c r="B622" s="5">
        <v>615</v>
      </c>
      <c r="C622">
        <v>11459</v>
      </c>
      <c r="D622" t="s">
        <v>294</v>
      </c>
      <c r="E622" t="s">
        <v>1542</v>
      </c>
      <c r="F622" t="s">
        <v>17</v>
      </c>
      <c r="G622" t="s">
        <v>12036</v>
      </c>
      <c r="H622">
        <v>18.23</v>
      </c>
      <c r="I622">
        <v>0</v>
      </c>
      <c r="J622">
        <v>0</v>
      </c>
      <c r="K622">
        <v>20</v>
      </c>
      <c r="L622">
        <v>7</v>
      </c>
      <c r="O622">
        <v>7</v>
      </c>
      <c r="P622">
        <v>4</v>
      </c>
      <c r="Q622">
        <v>2</v>
      </c>
      <c r="R622">
        <v>51.23</v>
      </c>
      <c r="S622">
        <v>18</v>
      </c>
      <c r="T622">
        <v>18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18</v>
      </c>
      <c r="AB622">
        <v>3</v>
      </c>
      <c r="AC622">
        <v>0</v>
      </c>
      <c r="AF622" t="s">
        <v>130</v>
      </c>
      <c r="AH622">
        <v>72.23</v>
      </c>
    </row>
    <row r="623" spans="1:34" x14ac:dyDescent="0.3">
      <c r="A623" s="4">
        <v>810</v>
      </c>
      <c r="B623" s="5">
        <v>616</v>
      </c>
      <c r="C623">
        <v>12726</v>
      </c>
      <c r="D623" t="s">
        <v>2786</v>
      </c>
      <c r="E623" t="s">
        <v>132</v>
      </c>
      <c r="F623" t="s">
        <v>20</v>
      </c>
      <c r="G623" t="s">
        <v>12037</v>
      </c>
      <c r="H623">
        <v>21.2</v>
      </c>
      <c r="I623">
        <v>7</v>
      </c>
      <c r="J623">
        <v>0</v>
      </c>
      <c r="K623">
        <v>20</v>
      </c>
      <c r="L623">
        <v>14</v>
      </c>
      <c r="O623">
        <v>14</v>
      </c>
      <c r="P623">
        <v>4</v>
      </c>
      <c r="Q623">
        <v>0</v>
      </c>
      <c r="R623">
        <v>66.2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6</v>
      </c>
      <c r="AC623">
        <v>0</v>
      </c>
      <c r="AF623" t="s">
        <v>130</v>
      </c>
      <c r="AH623">
        <v>72.2</v>
      </c>
    </row>
    <row r="624" spans="1:34" x14ac:dyDescent="0.3">
      <c r="A624" s="4">
        <v>811</v>
      </c>
      <c r="B624" s="5">
        <v>617</v>
      </c>
      <c r="C624">
        <v>3761</v>
      </c>
      <c r="D624" t="s">
        <v>12038</v>
      </c>
      <c r="E624" t="s">
        <v>136</v>
      </c>
      <c r="F624" t="s">
        <v>20</v>
      </c>
      <c r="G624" t="s">
        <v>12039</v>
      </c>
      <c r="H624">
        <v>18.100000000000001</v>
      </c>
      <c r="I624">
        <v>7</v>
      </c>
      <c r="J624">
        <v>0</v>
      </c>
      <c r="K624">
        <v>28</v>
      </c>
      <c r="L624">
        <v>7</v>
      </c>
      <c r="N624">
        <v>3</v>
      </c>
      <c r="O624">
        <v>10</v>
      </c>
      <c r="P624">
        <v>4</v>
      </c>
      <c r="Q624">
        <v>0</v>
      </c>
      <c r="R624">
        <v>67.099999999999994</v>
      </c>
      <c r="S624">
        <v>5</v>
      </c>
      <c r="T624">
        <v>5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5</v>
      </c>
      <c r="AB624">
        <v>0</v>
      </c>
      <c r="AC624">
        <v>0</v>
      </c>
      <c r="AF624" t="s">
        <v>130</v>
      </c>
      <c r="AH624">
        <v>72.099999999999994</v>
      </c>
    </row>
    <row r="625" spans="1:34" x14ac:dyDescent="0.3">
      <c r="A625" s="4">
        <v>812</v>
      </c>
      <c r="B625" s="5">
        <v>618</v>
      </c>
      <c r="C625">
        <v>7888</v>
      </c>
      <c r="D625" t="s">
        <v>12040</v>
      </c>
      <c r="E625" t="s">
        <v>837</v>
      </c>
      <c r="F625" t="s">
        <v>136</v>
      </c>
      <c r="G625" t="s">
        <v>12041</v>
      </c>
      <c r="H625">
        <v>17.850000000000001</v>
      </c>
      <c r="I625">
        <v>0</v>
      </c>
      <c r="J625">
        <v>0</v>
      </c>
      <c r="K625">
        <v>20</v>
      </c>
      <c r="L625">
        <v>7</v>
      </c>
      <c r="O625">
        <v>7</v>
      </c>
      <c r="P625">
        <v>4</v>
      </c>
      <c r="Q625">
        <v>0</v>
      </c>
      <c r="R625">
        <v>48.85</v>
      </c>
      <c r="S625">
        <v>23</v>
      </c>
      <c r="T625">
        <v>23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23</v>
      </c>
      <c r="AB625">
        <v>0</v>
      </c>
      <c r="AC625">
        <v>0</v>
      </c>
      <c r="AF625" t="s">
        <v>130</v>
      </c>
      <c r="AH625">
        <v>71.849999999999994</v>
      </c>
    </row>
    <row r="626" spans="1:34" x14ac:dyDescent="0.3">
      <c r="A626" s="4">
        <v>813</v>
      </c>
      <c r="B626" s="5">
        <v>619</v>
      </c>
      <c r="C626">
        <v>9164</v>
      </c>
      <c r="D626" t="s">
        <v>3072</v>
      </c>
      <c r="E626" t="s">
        <v>110</v>
      </c>
      <c r="F626" t="s">
        <v>81</v>
      </c>
      <c r="G626" t="s">
        <v>12042</v>
      </c>
      <c r="H626">
        <v>18.7</v>
      </c>
      <c r="I626">
        <v>0</v>
      </c>
      <c r="J626">
        <v>0</v>
      </c>
      <c r="K626">
        <v>20</v>
      </c>
      <c r="L626">
        <v>7</v>
      </c>
      <c r="O626">
        <v>7</v>
      </c>
      <c r="P626">
        <v>4</v>
      </c>
      <c r="Q626">
        <v>2</v>
      </c>
      <c r="R626">
        <v>51.7</v>
      </c>
      <c r="S626">
        <v>17</v>
      </c>
      <c r="T626">
        <v>17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17</v>
      </c>
      <c r="AB626">
        <v>3</v>
      </c>
      <c r="AC626">
        <v>0</v>
      </c>
      <c r="AF626" t="s">
        <v>130</v>
      </c>
      <c r="AH626">
        <v>71.7</v>
      </c>
    </row>
    <row r="627" spans="1:34" x14ac:dyDescent="0.3">
      <c r="A627" s="4">
        <v>814</v>
      </c>
      <c r="B627" s="5">
        <v>620</v>
      </c>
      <c r="C627">
        <v>1494</v>
      </c>
      <c r="D627" t="s">
        <v>12043</v>
      </c>
      <c r="E627" t="s">
        <v>48</v>
      </c>
      <c r="F627" t="s">
        <v>30</v>
      </c>
      <c r="G627" t="s">
        <v>12044</v>
      </c>
      <c r="H627">
        <v>18.5</v>
      </c>
      <c r="I627">
        <v>0</v>
      </c>
      <c r="J627">
        <v>0</v>
      </c>
      <c r="K627">
        <v>20</v>
      </c>
      <c r="N627">
        <v>6</v>
      </c>
      <c r="O627">
        <v>6</v>
      </c>
      <c r="P627">
        <v>4</v>
      </c>
      <c r="Q627">
        <v>0</v>
      </c>
      <c r="R627">
        <v>48.5</v>
      </c>
      <c r="S627">
        <v>23</v>
      </c>
      <c r="T627">
        <v>23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23</v>
      </c>
      <c r="AB627">
        <v>0</v>
      </c>
      <c r="AC627">
        <v>0</v>
      </c>
      <c r="AF627" t="s">
        <v>130</v>
      </c>
      <c r="AH627">
        <v>71.5</v>
      </c>
    </row>
    <row r="628" spans="1:34" x14ac:dyDescent="0.3">
      <c r="A628" s="4">
        <v>815</v>
      </c>
      <c r="B628" s="5">
        <v>621</v>
      </c>
      <c r="C628">
        <v>9686</v>
      </c>
      <c r="D628" t="s">
        <v>12045</v>
      </c>
      <c r="E628" t="s">
        <v>1327</v>
      </c>
      <c r="F628" t="s">
        <v>81</v>
      </c>
      <c r="G628" t="s">
        <v>12046</v>
      </c>
      <c r="H628">
        <v>19.329999999999998</v>
      </c>
      <c r="I628">
        <v>0</v>
      </c>
      <c r="J628">
        <v>0</v>
      </c>
      <c r="K628">
        <v>20</v>
      </c>
      <c r="L628">
        <v>7</v>
      </c>
      <c r="N628">
        <v>3</v>
      </c>
      <c r="O628">
        <v>10</v>
      </c>
      <c r="P628">
        <v>4</v>
      </c>
      <c r="Q628">
        <v>2</v>
      </c>
      <c r="R628">
        <v>55.33</v>
      </c>
      <c r="S628">
        <v>16</v>
      </c>
      <c r="T628">
        <v>16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16</v>
      </c>
      <c r="AB628">
        <v>0</v>
      </c>
      <c r="AC628">
        <v>0</v>
      </c>
      <c r="AF628" t="s">
        <v>130</v>
      </c>
      <c r="AH628">
        <v>71.33</v>
      </c>
    </row>
    <row r="629" spans="1:34" x14ac:dyDescent="0.3">
      <c r="A629" s="4">
        <v>816</v>
      </c>
      <c r="B629" s="5">
        <v>622</v>
      </c>
      <c r="C629">
        <v>7804</v>
      </c>
      <c r="D629" t="s">
        <v>12047</v>
      </c>
      <c r="E629" t="s">
        <v>68</v>
      </c>
      <c r="F629" t="s">
        <v>238</v>
      </c>
      <c r="G629" t="s">
        <v>12048</v>
      </c>
      <c r="H629">
        <v>19.63</v>
      </c>
      <c r="I629">
        <v>7</v>
      </c>
      <c r="J629">
        <v>0</v>
      </c>
      <c r="K629">
        <v>20</v>
      </c>
      <c r="L629">
        <v>7</v>
      </c>
      <c r="O629">
        <v>7</v>
      </c>
      <c r="P629">
        <v>4</v>
      </c>
      <c r="Q629">
        <v>2</v>
      </c>
      <c r="R629">
        <v>59.63</v>
      </c>
      <c r="S629">
        <v>11</v>
      </c>
      <c r="T629">
        <v>11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11</v>
      </c>
      <c r="AB629">
        <v>0</v>
      </c>
      <c r="AC629">
        <v>0</v>
      </c>
      <c r="AF629" t="s">
        <v>130</v>
      </c>
      <c r="AH629">
        <v>70.63</v>
      </c>
    </row>
    <row r="630" spans="1:34" x14ac:dyDescent="0.3">
      <c r="A630" s="4">
        <v>817</v>
      </c>
      <c r="B630" s="5">
        <v>623</v>
      </c>
      <c r="C630">
        <v>3920</v>
      </c>
      <c r="D630" t="s">
        <v>12049</v>
      </c>
      <c r="E630" t="s">
        <v>110</v>
      </c>
      <c r="F630" t="s">
        <v>68</v>
      </c>
      <c r="G630" t="s">
        <v>12050</v>
      </c>
      <c r="H630">
        <v>19.53</v>
      </c>
      <c r="I630">
        <v>0</v>
      </c>
      <c r="J630">
        <v>0</v>
      </c>
      <c r="K630">
        <v>20</v>
      </c>
      <c r="L630">
        <v>7</v>
      </c>
      <c r="N630">
        <v>3</v>
      </c>
      <c r="O630">
        <v>10</v>
      </c>
      <c r="P630">
        <v>4</v>
      </c>
      <c r="Q630">
        <v>2</v>
      </c>
      <c r="R630">
        <v>55.53</v>
      </c>
      <c r="S630">
        <v>15</v>
      </c>
      <c r="T630">
        <v>15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15</v>
      </c>
      <c r="AB630">
        <v>0</v>
      </c>
      <c r="AC630">
        <v>0</v>
      </c>
      <c r="AF630" t="s">
        <v>130</v>
      </c>
      <c r="AH630">
        <v>70.53</v>
      </c>
    </row>
    <row r="631" spans="1:34" x14ac:dyDescent="0.3">
      <c r="A631" s="4">
        <v>818</v>
      </c>
      <c r="B631" s="5">
        <v>624</v>
      </c>
      <c r="C631">
        <v>2501</v>
      </c>
      <c r="D631" t="s">
        <v>12051</v>
      </c>
      <c r="E631" t="s">
        <v>117</v>
      </c>
      <c r="F631" t="s">
        <v>79</v>
      </c>
      <c r="G631" t="s">
        <v>12052</v>
      </c>
      <c r="H631">
        <v>19.53</v>
      </c>
      <c r="I631">
        <v>7</v>
      </c>
      <c r="J631">
        <v>0</v>
      </c>
      <c r="K631">
        <v>20</v>
      </c>
      <c r="N631">
        <v>3</v>
      </c>
      <c r="O631">
        <v>3</v>
      </c>
      <c r="P631">
        <v>4</v>
      </c>
      <c r="Q631">
        <v>0</v>
      </c>
      <c r="R631">
        <v>53.53</v>
      </c>
      <c r="S631">
        <v>7</v>
      </c>
      <c r="T631">
        <v>7</v>
      </c>
      <c r="U631">
        <v>0</v>
      </c>
      <c r="V631">
        <v>0</v>
      </c>
      <c r="W631">
        <v>7</v>
      </c>
      <c r="X631">
        <v>10</v>
      </c>
      <c r="Y631">
        <v>0</v>
      </c>
      <c r="Z631">
        <v>0</v>
      </c>
      <c r="AA631">
        <v>17</v>
      </c>
      <c r="AB631">
        <v>0</v>
      </c>
      <c r="AC631">
        <v>0</v>
      </c>
      <c r="AF631" t="s">
        <v>130</v>
      </c>
      <c r="AH631">
        <v>70.53</v>
      </c>
    </row>
    <row r="632" spans="1:34" x14ac:dyDescent="0.3">
      <c r="A632" s="4">
        <v>819</v>
      </c>
      <c r="B632" s="5">
        <v>625</v>
      </c>
      <c r="C632">
        <v>6032</v>
      </c>
      <c r="D632" t="s">
        <v>3075</v>
      </c>
      <c r="E632" t="s">
        <v>349</v>
      </c>
      <c r="F632" t="s">
        <v>1161</v>
      </c>
      <c r="G632" t="s">
        <v>12053</v>
      </c>
      <c r="H632">
        <v>22.45</v>
      </c>
      <c r="I632">
        <v>7</v>
      </c>
      <c r="J632">
        <v>0</v>
      </c>
      <c r="K632">
        <v>0</v>
      </c>
      <c r="N632">
        <v>3</v>
      </c>
      <c r="O632">
        <v>3</v>
      </c>
      <c r="P632">
        <v>4</v>
      </c>
      <c r="Q632">
        <v>2</v>
      </c>
      <c r="R632">
        <v>38.450000000000003</v>
      </c>
      <c r="S632">
        <v>32</v>
      </c>
      <c r="T632">
        <v>32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32</v>
      </c>
      <c r="AB632">
        <v>0</v>
      </c>
      <c r="AC632">
        <v>0</v>
      </c>
      <c r="AF632" t="s">
        <v>130</v>
      </c>
      <c r="AH632">
        <v>70.45</v>
      </c>
    </row>
    <row r="633" spans="1:34" x14ac:dyDescent="0.3">
      <c r="A633" s="4">
        <v>820</v>
      </c>
      <c r="B633" s="5">
        <v>626</v>
      </c>
      <c r="C633">
        <v>10280</v>
      </c>
      <c r="D633" t="s">
        <v>12054</v>
      </c>
      <c r="E633" t="s">
        <v>161</v>
      </c>
      <c r="F633" t="s">
        <v>909</v>
      </c>
      <c r="G633" t="s">
        <v>12055</v>
      </c>
      <c r="H633">
        <v>18.3</v>
      </c>
      <c r="I633">
        <v>0</v>
      </c>
      <c r="J633">
        <v>0</v>
      </c>
      <c r="K633">
        <v>20</v>
      </c>
      <c r="L633">
        <v>7</v>
      </c>
      <c r="N633">
        <v>3</v>
      </c>
      <c r="O633">
        <v>10</v>
      </c>
      <c r="P633">
        <v>4</v>
      </c>
      <c r="Q633">
        <v>0</v>
      </c>
      <c r="R633">
        <v>52.3</v>
      </c>
      <c r="S633">
        <v>18</v>
      </c>
      <c r="T633">
        <v>18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18</v>
      </c>
      <c r="AB633">
        <v>0</v>
      </c>
      <c r="AC633">
        <v>0</v>
      </c>
      <c r="AD633" t="s">
        <v>130</v>
      </c>
      <c r="AF633" t="s">
        <v>130</v>
      </c>
      <c r="AH633">
        <v>70.3</v>
      </c>
    </row>
    <row r="634" spans="1:34" x14ac:dyDescent="0.3">
      <c r="A634" s="4">
        <v>821</v>
      </c>
      <c r="B634" s="5">
        <v>627</v>
      </c>
      <c r="C634">
        <v>2959</v>
      </c>
      <c r="D634" t="s">
        <v>6218</v>
      </c>
      <c r="E634" t="s">
        <v>132</v>
      </c>
      <c r="F634" t="s">
        <v>117</v>
      </c>
      <c r="G634" t="s">
        <v>12056</v>
      </c>
      <c r="H634">
        <v>22.13</v>
      </c>
      <c r="I634">
        <v>7</v>
      </c>
      <c r="J634">
        <v>0</v>
      </c>
      <c r="K634">
        <v>20</v>
      </c>
      <c r="L634">
        <v>7</v>
      </c>
      <c r="M634">
        <v>5</v>
      </c>
      <c r="O634">
        <v>12</v>
      </c>
      <c r="P634">
        <v>4</v>
      </c>
      <c r="Q634">
        <v>2</v>
      </c>
      <c r="R634">
        <v>67.13</v>
      </c>
      <c r="S634">
        <v>3</v>
      </c>
      <c r="T634">
        <v>3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3</v>
      </c>
      <c r="AB634">
        <v>0</v>
      </c>
      <c r="AC634">
        <v>0</v>
      </c>
      <c r="AF634" t="s">
        <v>130</v>
      </c>
      <c r="AH634">
        <v>70.13</v>
      </c>
    </row>
    <row r="635" spans="1:34" x14ac:dyDescent="0.3">
      <c r="A635" s="4">
        <v>822</v>
      </c>
      <c r="B635" s="5">
        <v>628</v>
      </c>
      <c r="C635">
        <v>9481</v>
      </c>
      <c r="D635" t="s">
        <v>3309</v>
      </c>
      <c r="E635" t="s">
        <v>33</v>
      </c>
      <c r="F635" t="s">
        <v>649</v>
      </c>
      <c r="G635" t="s">
        <v>12057</v>
      </c>
      <c r="H635">
        <v>24.63</v>
      </c>
      <c r="I635">
        <v>7</v>
      </c>
      <c r="J635">
        <v>0</v>
      </c>
      <c r="K635">
        <v>20</v>
      </c>
      <c r="L635">
        <v>7</v>
      </c>
      <c r="M635">
        <v>5</v>
      </c>
      <c r="O635">
        <v>12</v>
      </c>
      <c r="P635">
        <v>4</v>
      </c>
      <c r="Q635">
        <v>2</v>
      </c>
      <c r="R635">
        <v>69.63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F635" t="s">
        <v>130</v>
      </c>
      <c r="AH635">
        <v>69.63</v>
      </c>
    </row>
    <row r="636" spans="1:34" x14ac:dyDescent="0.3">
      <c r="A636" s="4">
        <v>823</v>
      </c>
      <c r="B636" s="5">
        <v>629</v>
      </c>
      <c r="C636">
        <v>5916</v>
      </c>
      <c r="D636" t="s">
        <v>12058</v>
      </c>
      <c r="E636" t="s">
        <v>88</v>
      </c>
      <c r="F636" t="s">
        <v>81</v>
      </c>
      <c r="G636" t="s">
        <v>12059</v>
      </c>
      <c r="H636">
        <v>17.55</v>
      </c>
      <c r="I636">
        <v>7</v>
      </c>
      <c r="J636">
        <v>0</v>
      </c>
      <c r="K636">
        <v>20</v>
      </c>
      <c r="L636">
        <v>7</v>
      </c>
      <c r="O636">
        <v>7</v>
      </c>
      <c r="P636">
        <v>4</v>
      </c>
      <c r="Q636">
        <v>0</v>
      </c>
      <c r="R636">
        <v>55.55</v>
      </c>
      <c r="S636">
        <v>8</v>
      </c>
      <c r="T636">
        <v>8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8</v>
      </c>
      <c r="AB636">
        <v>6</v>
      </c>
      <c r="AC636">
        <v>0</v>
      </c>
      <c r="AE636" t="s">
        <v>130</v>
      </c>
      <c r="AF636" t="s">
        <v>130</v>
      </c>
      <c r="AH636">
        <v>69.55</v>
      </c>
    </row>
    <row r="637" spans="1:34" x14ac:dyDescent="0.3">
      <c r="A637" s="4">
        <v>824</v>
      </c>
      <c r="B637" s="5">
        <v>630</v>
      </c>
      <c r="C637">
        <v>10872</v>
      </c>
      <c r="D637" t="s">
        <v>12060</v>
      </c>
      <c r="E637" t="s">
        <v>161</v>
      </c>
      <c r="F637" t="s">
        <v>190</v>
      </c>
      <c r="G637" t="s">
        <v>12061</v>
      </c>
      <c r="H637">
        <v>17.03</v>
      </c>
      <c r="I637">
        <v>0</v>
      </c>
      <c r="J637">
        <v>0</v>
      </c>
      <c r="K637">
        <v>20</v>
      </c>
      <c r="N637">
        <v>3</v>
      </c>
      <c r="O637">
        <v>3</v>
      </c>
      <c r="P637">
        <v>4</v>
      </c>
      <c r="Q637">
        <v>2</v>
      </c>
      <c r="R637">
        <v>46.03</v>
      </c>
      <c r="S637">
        <v>14</v>
      </c>
      <c r="T637">
        <v>14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14</v>
      </c>
      <c r="AB637">
        <v>9</v>
      </c>
      <c r="AC637">
        <v>0</v>
      </c>
      <c r="AD637" t="s">
        <v>130</v>
      </c>
      <c r="AF637" t="s">
        <v>130</v>
      </c>
      <c r="AH637">
        <v>69.03</v>
      </c>
    </row>
    <row r="638" spans="1:34" x14ac:dyDescent="0.3">
      <c r="A638" s="4">
        <v>826</v>
      </c>
      <c r="B638" s="5">
        <v>631</v>
      </c>
      <c r="C638">
        <v>7812</v>
      </c>
      <c r="D638" t="s">
        <v>12062</v>
      </c>
      <c r="E638" t="s">
        <v>12063</v>
      </c>
      <c r="F638" t="s">
        <v>782</v>
      </c>
      <c r="G638" t="s">
        <v>12064</v>
      </c>
      <c r="H638">
        <v>17.98</v>
      </c>
      <c r="I638">
        <v>0</v>
      </c>
      <c r="J638">
        <v>0</v>
      </c>
      <c r="K638">
        <v>20</v>
      </c>
      <c r="L638">
        <v>7</v>
      </c>
      <c r="N638">
        <v>3</v>
      </c>
      <c r="O638">
        <v>10</v>
      </c>
      <c r="P638">
        <v>4</v>
      </c>
      <c r="Q638">
        <v>2</v>
      </c>
      <c r="R638">
        <v>53.98</v>
      </c>
      <c r="S638">
        <v>15</v>
      </c>
      <c r="T638">
        <v>15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15</v>
      </c>
      <c r="AB638">
        <v>0</v>
      </c>
      <c r="AC638">
        <v>0</v>
      </c>
      <c r="AD638" t="s">
        <v>130</v>
      </c>
      <c r="AF638" t="s">
        <v>130</v>
      </c>
      <c r="AH638">
        <v>68.98</v>
      </c>
    </row>
    <row r="639" spans="1:34" x14ac:dyDescent="0.3">
      <c r="A639" s="4">
        <v>827</v>
      </c>
      <c r="B639" s="5">
        <v>632</v>
      </c>
      <c r="C639">
        <v>13351</v>
      </c>
      <c r="D639" t="s">
        <v>6061</v>
      </c>
      <c r="E639" t="s">
        <v>219</v>
      </c>
      <c r="F639" t="s">
        <v>38</v>
      </c>
      <c r="G639" t="s">
        <v>12065</v>
      </c>
      <c r="H639">
        <v>19.100000000000001</v>
      </c>
      <c r="I639">
        <v>7</v>
      </c>
      <c r="J639">
        <v>0</v>
      </c>
      <c r="K639">
        <v>0</v>
      </c>
      <c r="N639">
        <v>3</v>
      </c>
      <c r="O639">
        <v>3</v>
      </c>
      <c r="P639">
        <v>4</v>
      </c>
      <c r="Q639">
        <v>0</v>
      </c>
      <c r="R639">
        <v>33.1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9</v>
      </c>
      <c r="AC639">
        <v>26.8</v>
      </c>
      <c r="AF639" t="s">
        <v>130</v>
      </c>
      <c r="AH639">
        <v>68.900000000000006</v>
      </c>
    </row>
    <row r="640" spans="1:34" x14ac:dyDescent="0.3">
      <c r="A640" s="4">
        <v>828</v>
      </c>
      <c r="B640" s="5">
        <v>633</v>
      </c>
      <c r="C640">
        <v>3625</v>
      </c>
      <c r="D640" t="s">
        <v>12066</v>
      </c>
      <c r="E640" t="s">
        <v>789</v>
      </c>
      <c r="F640" t="s">
        <v>167</v>
      </c>
      <c r="G640" t="s">
        <v>12067</v>
      </c>
      <c r="H640">
        <v>17.7</v>
      </c>
      <c r="I640">
        <v>0</v>
      </c>
      <c r="J640">
        <v>0</v>
      </c>
      <c r="K640">
        <v>20</v>
      </c>
      <c r="N640">
        <v>3</v>
      </c>
      <c r="O640">
        <v>3</v>
      </c>
      <c r="P640">
        <v>4</v>
      </c>
      <c r="Q640">
        <v>0</v>
      </c>
      <c r="R640">
        <v>44.7</v>
      </c>
      <c r="S640">
        <v>18</v>
      </c>
      <c r="T640">
        <v>18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18</v>
      </c>
      <c r="AB640">
        <v>6</v>
      </c>
      <c r="AC640">
        <v>0</v>
      </c>
      <c r="AF640" t="s">
        <v>130</v>
      </c>
      <c r="AH640">
        <v>68.7</v>
      </c>
    </row>
    <row r="641" spans="1:34" x14ac:dyDescent="0.3">
      <c r="A641" s="4">
        <v>830</v>
      </c>
      <c r="B641" s="5">
        <v>634</v>
      </c>
      <c r="C641">
        <v>3532</v>
      </c>
      <c r="D641" t="s">
        <v>1736</v>
      </c>
      <c r="E641" t="s">
        <v>54</v>
      </c>
      <c r="F641" t="s">
        <v>1998</v>
      </c>
      <c r="G641" t="s">
        <v>12068</v>
      </c>
      <c r="H641">
        <v>20.5</v>
      </c>
      <c r="I641">
        <v>7</v>
      </c>
      <c r="J641">
        <v>0</v>
      </c>
      <c r="K641">
        <v>28</v>
      </c>
      <c r="L641">
        <v>7</v>
      </c>
      <c r="O641">
        <v>7</v>
      </c>
      <c r="P641">
        <v>4</v>
      </c>
      <c r="Q641">
        <v>2</v>
      </c>
      <c r="R641">
        <v>68.5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 t="s">
        <v>130</v>
      </c>
      <c r="AF641" t="s">
        <v>130</v>
      </c>
      <c r="AH641">
        <v>68.5</v>
      </c>
    </row>
    <row r="642" spans="1:34" x14ac:dyDescent="0.3">
      <c r="A642" s="4">
        <v>831</v>
      </c>
      <c r="B642" s="5">
        <v>635</v>
      </c>
      <c r="C642">
        <v>1015</v>
      </c>
      <c r="D642" t="s">
        <v>3033</v>
      </c>
      <c r="E642" t="s">
        <v>161</v>
      </c>
      <c r="F642" t="s">
        <v>81</v>
      </c>
      <c r="G642" t="s">
        <v>12069</v>
      </c>
      <c r="H642">
        <v>17.38</v>
      </c>
      <c r="I642">
        <v>0</v>
      </c>
      <c r="J642">
        <v>0</v>
      </c>
      <c r="K642">
        <v>20</v>
      </c>
      <c r="L642">
        <v>7</v>
      </c>
      <c r="O642">
        <v>7</v>
      </c>
      <c r="P642">
        <v>4</v>
      </c>
      <c r="Q642">
        <v>2</v>
      </c>
      <c r="R642">
        <v>50.38</v>
      </c>
      <c r="S642">
        <v>18</v>
      </c>
      <c r="T642">
        <v>18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18</v>
      </c>
      <c r="AB642">
        <v>0</v>
      </c>
      <c r="AC642">
        <v>0</v>
      </c>
      <c r="AE642" t="s">
        <v>130</v>
      </c>
      <c r="AF642" t="s">
        <v>130</v>
      </c>
      <c r="AH642">
        <v>68.38</v>
      </c>
    </row>
    <row r="643" spans="1:34" x14ac:dyDescent="0.3">
      <c r="A643" s="4">
        <v>832</v>
      </c>
      <c r="B643" s="5">
        <v>636</v>
      </c>
      <c r="C643">
        <v>10996</v>
      </c>
      <c r="D643" t="s">
        <v>9098</v>
      </c>
      <c r="E643" t="s">
        <v>439</v>
      </c>
      <c r="F643" t="s">
        <v>1806</v>
      </c>
      <c r="G643" t="s">
        <v>12070</v>
      </c>
      <c r="H643">
        <v>18.329999999999998</v>
      </c>
      <c r="I643">
        <v>0</v>
      </c>
      <c r="J643">
        <v>0</v>
      </c>
      <c r="K643">
        <v>20</v>
      </c>
      <c r="L643">
        <v>7</v>
      </c>
      <c r="O643">
        <v>7</v>
      </c>
      <c r="P643">
        <v>4</v>
      </c>
      <c r="Q643">
        <v>2</v>
      </c>
      <c r="R643">
        <v>51.33</v>
      </c>
      <c r="S643">
        <v>14</v>
      </c>
      <c r="T643">
        <v>14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14</v>
      </c>
      <c r="AB643">
        <v>3</v>
      </c>
      <c r="AC643">
        <v>0</v>
      </c>
      <c r="AF643" t="s">
        <v>130</v>
      </c>
      <c r="AH643">
        <v>68.33</v>
      </c>
    </row>
    <row r="644" spans="1:34" x14ac:dyDescent="0.3">
      <c r="A644" s="4">
        <v>833</v>
      </c>
      <c r="B644" s="5">
        <v>637</v>
      </c>
      <c r="C644">
        <v>8954</v>
      </c>
      <c r="D644" t="s">
        <v>12071</v>
      </c>
      <c r="E644" t="s">
        <v>166</v>
      </c>
      <c r="F644" t="s">
        <v>81</v>
      </c>
      <c r="G644" t="s">
        <v>12072</v>
      </c>
      <c r="H644">
        <v>17.3</v>
      </c>
      <c r="I644">
        <v>0</v>
      </c>
      <c r="J644">
        <v>0</v>
      </c>
      <c r="K644">
        <v>20</v>
      </c>
      <c r="L644">
        <v>14</v>
      </c>
      <c r="O644">
        <v>14</v>
      </c>
      <c r="P644">
        <v>4</v>
      </c>
      <c r="Q644">
        <v>0</v>
      </c>
      <c r="R644">
        <v>55.3</v>
      </c>
      <c r="S644">
        <v>13</v>
      </c>
      <c r="T644">
        <v>13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13</v>
      </c>
      <c r="AB644">
        <v>0</v>
      </c>
      <c r="AC644">
        <v>0</v>
      </c>
      <c r="AF644" t="s">
        <v>130</v>
      </c>
      <c r="AH644">
        <v>68.3</v>
      </c>
    </row>
    <row r="645" spans="1:34" x14ac:dyDescent="0.3">
      <c r="A645" s="4">
        <v>834</v>
      </c>
      <c r="B645" s="5">
        <v>638</v>
      </c>
      <c r="C645">
        <v>162</v>
      </c>
      <c r="D645" t="s">
        <v>12073</v>
      </c>
      <c r="E645" t="s">
        <v>22</v>
      </c>
      <c r="F645" t="s">
        <v>20</v>
      </c>
      <c r="G645" t="s">
        <v>12074</v>
      </c>
      <c r="H645">
        <v>17.25</v>
      </c>
      <c r="I645">
        <v>0</v>
      </c>
      <c r="J645">
        <v>0</v>
      </c>
      <c r="K645">
        <v>20</v>
      </c>
      <c r="L645">
        <v>7</v>
      </c>
      <c r="O645">
        <v>7</v>
      </c>
      <c r="P645">
        <v>4</v>
      </c>
      <c r="Q645">
        <v>2</v>
      </c>
      <c r="R645">
        <v>50.25</v>
      </c>
      <c r="S645">
        <v>18</v>
      </c>
      <c r="T645">
        <v>18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18</v>
      </c>
      <c r="AB645">
        <v>0</v>
      </c>
      <c r="AC645">
        <v>0</v>
      </c>
      <c r="AF645" t="s">
        <v>130</v>
      </c>
      <c r="AH645">
        <v>68.25</v>
      </c>
    </row>
    <row r="646" spans="1:34" x14ac:dyDescent="0.3">
      <c r="A646" s="4">
        <v>835</v>
      </c>
      <c r="B646" s="5">
        <v>639</v>
      </c>
      <c r="C646">
        <v>4350</v>
      </c>
      <c r="D646" t="s">
        <v>5989</v>
      </c>
      <c r="E646" t="s">
        <v>12075</v>
      </c>
      <c r="F646" t="s">
        <v>442</v>
      </c>
      <c r="G646" t="s">
        <v>12076</v>
      </c>
      <c r="H646">
        <v>22.18</v>
      </c>
      <c r="I646">
        <v>7</v>
      </c>
      <c r="J646">
        <v>0</v>
      </c>
      <c r="K646">
        <v>20</v>
      </c>
      <c r="L646">
        <v>7</v>
      </c>
      <c r="O646">
        <v>7</v>
      </c>
      <c r="P646">
        <v>4</v>
      </c>
      <c r="Q646">
        <v>2</v>
      </c>
      <c r="R646">
        <v>62.18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6</v>
      </c>
      <c r="AC646">
        <v>0</v>
      </c>
      <c r="AF646" t="s">
        <v>130</v>
      </c>
      <c r="AH646">
        <v>68.180000000000007</v>
      </c>
    </row>
    <row r="647" spans="1:34" x14ac:dyDescent="0.3">
      <c r="A647" s="4">
        <v>836</v>
      </c>
      <c r="B647" s="5">
        <v>640</v>
      </c>
      <c r="C647">
        <v>11450</v>
      </c>
      <c r="D647" t="s">
        <v>1340</v>
      </c>
      <c r="E647" t="s">
        <v>54</v>
      </c>
      <c r="F647" t="s">
        <v>328</v>
      </c>
      <c r="G647" t="s">
        <v>12077</v>
      </c>
      <c r="H647">
        <v>20.149999999999999</v>
      </c>
      <c r="I647">
        <v>0</v>
      </c>
      <c r="J647">
        <v>0</v>
      </c>
      <c r="K647">
        <v>28</v>
      </c>
      <c r="L647">
        <v>7</v>
      </c>
      <c r="O647">
        <v>7</v>
      </c>
      <c r="P647">
        <v>4</v>
      </c>
      <c r="Q647">
        <v>0</v>
      </c>
      <c r="R647">
        <v>59.15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9</v>
      </c>
      <c r="AC647">
        <v>0</v>
      </c>
      <c r="AF647" t="s">
        <v>130</v>
      </c>
      <c r="AH647">
        <v>68.150000000000006</v>
      </c>
    </row>
    <row r="648" spans="1:34" x14ac:dyDescent="0.3">
      <c r="A648" s="4">
        <v>838</v>
      </c>
      <c r="B648" s="5">
        <v>641</v>
      </c>
      <c r="C648">
        <v>7766</v>
      </c>
      <c r="D648" t="s">
        <v>12078</v>
      </c>
      <c r="E648" t="s">
        <v>88</v>
      </c>
      <c r="F648" t="s">
        <v>136</v>
      </c>
      <c r="G648" t="s">
        <v>12079</v>
      </c>
      <c r="H648">
        <v>23.15</v>
      </c>
      <c r="I648">
        <v>7</v>
      </c>
      <c r="J648">
        <v>0</v>
      </c>
      <c r="K648">
        <v>20</v>
      </c>
      <c r="N648">
        <v>3</v>
      </c>
      <c r="O648">
        <v>3</v>
      </c>
      <c r="P648">
        <v>4</v>
      </c>
      <c r="Q648">
        <v>0</v>
      </c>
      <c r="R648">
        <v>57.15</v>
      </c>
      <c r="S648">
        <v>8</v>
      </c>
      <c r="T648">
        <v>8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8</v>
      </c>
      <c r="AB648">
        <v>3</v>
      </c>
      <c r="AC648">
        <v>0</v>
      </c>
      <c r="AF648" t="s">
        <v>130</v>
      </c>
      <c r="AH648">
        <v>68.150000000000006</v>
      </c>
    </row>
    <row r="649" spans="1:34" x14ac:dyDescent="0.3">
      <c r="A649" s="4">
        <v>839</v>
      </c>
      <c r="B649" s="5">
        <v>642</v>
      </c>
      <c r="C649">
        <v>3364</v>
      </c>
      <c r="D649" t="s">
        <v>12080</v>
      </c>
      <c r="E649" t="s">
        <v>208</v>
      </c>
      <c r="F649" t="s">
        <v>298</v>
      </c>
      <c r="G649" t="s">
        <v>12081</v>
      </c>
      <c r="H649">
        <v>21.8</v>
      </c>
      <c r="I649">
        <v>7</v>
      </c>
      <c r="J649">
        <v>0</v>
      </c>
      <c r="K649">
        <v>20</v>
      </c>
      <c r="L649">
        <v>7</v>
      </c>
      <c r="M649">
        <v>5</v>
      </c>
      <c r="O649">
        <v>12</v>
      </c>
      <c r="P649">
        <v>4</v>
      </c>
      <c r="Q649">
        <v>0</v>
      </c>
      <c r="R649">
        <v>64.8</v>
      </c>
      <c r="S649">
        <v>3</v>
      </c>
      <c r="T649">
        <v>3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3</v>
      </c>
      <c r="AB649">
        <v>0</v>
      </c>
      <c r="AC649">
        <v>0</v>
      </c>
      <c r="AF649" t="s">
        <v>130</v>
      </c>
      <c r="AH649">
        <v>67.8</v>
      </c>
    </row>
    <row r="650" spans="1:34" x14ac:dyDescent="0.3">
      <c r="A650" s="4">
        <v>841</v>
      </c>
      <c r="B650" s="5">
        <v>643</v>
      </c>
      <c r="C650">
        <v>8331</v>
      </c>
      <c r="D650" t="s">
        <v>93</v>
      </c>
      <c r="E650" t="s">
        <v>19</v>
      </c>
      <c r="F650" t="s">
        <v>68</v>
      </c>
      <c r="G650" t="s">
        <v>12082</v>
      </c>
      <c r="H650">
        <v>19.649999999999999</v>
      </c>
      <c r="I650">
        <v>0</v>
      </c>
      <c r="J650">
        <v>0</v>
      </c>
      <c r="K650">
        <v>20</v>
      </c>
      <c r="L650">
        <v>7</v>
      </c>
      <c r="O650">
        <v>7</v>
      </c>
      <c r="P650">
        <v>4</v>
      </c>
      <c r="Q650">
        <v>2</v>
      </c>
      <c r="R650">
        <v>52.65</v>
      </c>
      <c r="S650">
        <v>15</v>
      </c>
      <c r="T650">
        <v>15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15</v>
      </c>
      <c r="AB650">
        <v>0</v>
      </c>
      <c r="AC650">
        <v>0</v>
      </c>
      <c r="AF650" t="s">
        <v>130</v>
      </c>
      <c r="AH650">
        <v>67.650000000000006</v>
      </c>
    </row>
    <row r="651" spans="1:34" x14ac:dyDescent="0.3">
      <c r="A651" s="4">
        <v>842</v>
      </c>
      <c r="B651" s="5">
        <v>644</v>
      </c>
      <c r="C651">
        <v>15493</v>
      </c>
      <c r="D651" t="s">
        <v>12083</v>
      </c>
      <c r="E651" t="s">
        <v>29</v>
      </c>
      <c r="F651" t="s">
        <v>649</v>
      </c>
      <c r="G651" t="s">
        <v>12084</v>
      </c>
      <c r="H651">
        <v>18.23</v>
      </c>
      <c r="I651">
        <v>0</v>
      </c>
      <c r="J651">
        <v>0</v>
      </c>
      <c r="K651">
        <v>20</v>
      </c>
      <c r="L651">
        <v>7</v>
      </c>
      <c r="O651">
        <v>7</v>
      </c>
      <c r="P651">
        <v>4</v>
      </c>
      <c r="Q651">
        <v>0</v>
      </c>
      <c r="R651">
        <v>49.23</v>
      </c>
      <c r="S651">
        <v>18</v>
      </c>
      <c r="T651">
        <v>18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18</v>
      </c>
      <c r="AB651">
        <v>0</v>
      </c>
      <c r="AC651">
        <v>0</v>
      </c>
      <c r="AF651" t="s">
        <v>130</v>
      </c>
      <c r="AH651">
        <v>67.23</v>
      </c>
    </row>
    <row r="652" spans="1:34" x14ac:dyDescent="0.3">
      <c r="A652" s="4">
        <v>843</v>
      </c>
      <c r="B652" s="5">
        <v>645</v>
      </c>
      <c r="C652">
        <v>1681</v>
      </c>
      <c r="D652" t="s">
        <v>12085</v>
      </c>
      <c r="E652" t="s">
        <v>283</v>
      </c>
      <c r="F652" t="s">
        <v>81</v>
      </c>
      <c r="G652" t="s">
        <v>12086</v>
      </c>
      <c r="H652">
        <v>21.15</v>
      </c>
      <c r="I652">
        <v>7</v>
      </c>
      <c r="J652">
        <v>0</v>
      </c>
      <c r="K652">
        <v>20</v>
      </c>
      <c r="L652">
        <v>7</v>
      </c>
      <c r="O652">
        <v>7</v>
      </c>
      <c r="P652">
        <v>4</v>
      </c>
      <c r="Q652">
        <v>0</v>
      </c>
      <c r="R652">
        <v>59.15</v>
      </c>
      <c r="S652">
        <v>8</v>
      </c>
      <c r="T652">
        <v>8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8</v>
      </c>
      <c r="AB652">
        <v>0</v>
      </c>
      <c r="AC652">
        <v>0</v>
      </c>
      <c r="AF652" t="s">
        <v>130</v>
      </c>
      <c r="AH652">
        <v>67.150000000000006</v>
      </c>
    </row>
    <row r="653" spans="1:34" x14ac:dyDescent="0.3">
      <c r="A653" s="4">
        <v>844</v>
      </c>
      <c r="B653" s="5">
        <v>646</v>
      </c>
      <c r="C653">
        <v>3791</v>
      </c>
      <c r="D653" t="s">
        <v>12087</v>
      </c>
      <c r="E653" t="s">
        <v>29</v>
      </c>
      <c r="F653" t="s">
        <v>158</v>
      </c>
      <c r="G653" t="s">
        <v>12088</v>
      </c>
      <c r="H653">
        <v>18.079999999999998</v>
      </c>
      <c r="I653">
        <v>7</v>
      </c>
      <c r="J653">
        <v>0</v>
      </c>
      <c r="K653">
        <v>20</v>
      </c>
      <c r="L653">
        <v>7</v>
      </c>
      <c r="M653">
        <v>5</v>
      </c>
      <c r="O653">
        <v>12</v>
      </c>
      <c r="P653">
        <v>4</v>
      </c>
      <c r="Q653">
        <v>0</v>
      </c>
      <c r="R653">
        <v>61.08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6</v>
      </c>
      <c r="AC653">
        <v>0</v>
      </c>
      <c r="AF653" t="s">
        <v>130</v>
      </c>
      <c r="AH653">
        <v>67.08</v>
      </c>
    </row>
    <row r="654" spans="1:34" x14ac:dyDescent="0.3">
      <c r="A654" s="4">
        <v>845</v>
      </c>
      <c r="B654" s="5">
        <v>647</v>
      </c>
      <c r="C654">
        <v>15668</v>
      </c>
      <c r="D654" t="s">
        <v>717</v>
      </c>
      <c r="E654" t="s">
        <v>173</v>
      </c>
      <c r="F654" t="s">
        <v>68</v>
      </c>
      <c r="G654" t="s">
        <v>12089</v>
      </c>
      <c r="H654">
        <v>22.98</v>
      </c>
      <c r="I654">
        <v>7</v>
      </c>
      <c r="J654">
        <v>0</v>
      </c>
      <c r="K654">
        <v>20</v>
      </c>
      <c r="L654">
        <v>7</v>
      </c>
      <c r="O654">
        <v>7</v>
      </c>
      <c r="P654">
        <v>4</v>
      </c>
      <c r="Q654">
        <v>0</v>
      </c>
      <c r="R654">
        <v>60.98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6</v>
      </c>
      <c r="AC654">
        <v>0</v>
      </c>
      <c r="AF654" t="s">
        <v>130</v>
      </c>
      <c r="AH654">
        <v>66.98</v>
      </c>
    </row>
    <row r="655" spans="1:34" x14ac:dyDescent="0.3">
      <c r="A655" s="4">
        <v>846</v>
      </c>
      <c r="B655" s="5">
        <v>648</v>
      </c>
      <c r="C655">
        <v>5807</v>
      </c>
      <c r="D655" t="s">
        <v>12090</v>
      </c>
      <c r="E655" t="s">
        <v>166</v>
      </c>
      <c r="F655" t="s">
        <v>34</v>
      </c>
      <c r="G655" t="s">
        <v>12091</v>
      </c>
      <c r="H655">
        <v>21.9</v>
      </c>
      <c r="I655">
        <v>7</v>
      </c>
      <c r="J655">
        <v>0</v>
      </c>
      <c r="K655">
        <v>20</v>
      </c>
      <c r="L655">
        <v>14</v>
      </c>
      <c r="O655">
        <v>14</v>
      </c>
      <c r="P655">
        <v>4</v>
      </c>
      <c r="Q655">
        <v>0</v>
      </c>
      <c r="R655">
        <v>66.900000000000006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F655" t="s">
        <v>130</v>
      </c>
      <c r="AH655">
        <v>66.900000000000006</v>
      </c>
    </row>
    <row r="656" spans="1:34" x14ac:dyDescent="0.3">
      <c r="A656" s="4">
        <v>847</v>
      </c>
      <c r="B656" s="5">
        <v>649</v>
      </c>
      <c r="C656">
        <v>6687</v>
      </c>
      <c r="D656" t="s">
        <v>60</v>
      </c>
      <c r="E656" t="s">
        <v>12092</v>
      </c>
      <c r="F656" t="s">
        <v>30</v>
      </c>
      <c r="G656" t="s">
        <v>12093</v>
      </c>
      <c r="H656">
        <v>18.88</v>
      </c>
      <c r="I656">
        <v>7</v>
      </c>
      <c r="J656">
        <v>0</v>
      </c>
      <c r="K656">
        <v>28</v>
      </c>
      <c r="L656">
        <v>7</v>
      </c>
      <c r="O656">
        <v>7</v>
      </c>
      <c r="P656">
        <v>4</v>
      </c>
      <c r="Q656">
        <v>2</v>
      </c>
      <c r="R656">
        <v>66.88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F656" t="s">
        <v>130</v>
      </c>
      <c r="AH656">
        <v>66.88</v>
      </c>
    </row>
    <row r="657" spans="1:34" x14ac:dyDescent="0.3">
      <c r="A657" s="4">
        <v>848</v>
      </c>
      <c r="B657" s="5">
        <v>650</v>
      </c>
      <c r="C657">
        <v>14255</v>
      </c>
      <c r="D657" t="s">
        <v>12094</v>
      </c>
      <c r="E657" t="s">
        <v>12095</v>
      </c>
      <c r="F657" t="s">
        <v>20</v>
      </c>
      <c r="G657" t="s">
        <v>12096</v>
      </c>
      <c r="H657">
        <v>19.78</v>
      </c>
      <c r="I657">
        <v>0</v>
      </c>
      <c r="J657">
        <v>0</v>
      </c>
      <c r="K657">
        <v>20</v>
      </c>
      <c r="L657">
        <v>14</v>
      </c>
      <c r="O657">
        <v>14</v>
      </c>
      <c r="P657">
        <v>4</v>
      </c>
      <c r="Q657">
        <v>2</v>
      </c>
      <c r="R657">
        <v>59.78</v>
      </c>
      <c r="S657">
        <v>4</v>
      </c>
      <c r="T657">
        <v>4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4</v>
      </c>
      <c r="AB657">
        <v>3</v>
      </c>
      <c r="AC657">
        <v>0</v>
      </c>
      <c r="AF657" t="s">
        <v>130</v>
      </c>
      <c r="AH657">
        <v>66.78</v>
      </c>
    </row>
    <row r="658" spans="1:34" x14ac:dyDescent="0.3">
      <c r="A658" s="4">
        <v>849</v>
      </c>
      <c r="B658" s="5">
        <v>651</v>
      </c>
      <c r="C658">
        <v>13258</v>
      </c>
      <c r="D658" t="s">
        <v>12097</v>
      </c>
      <c r="E658" t="s">
        <v>29</v>
      </c>
      <c r="F658" t="s">
        <v>117</v>
      </c>
      <c r="G658" t="s">
        <v>12098</v>
      </c>
      <c r="H658">
        <v>18.73</v>
      </c>
      <c r="I658">
        <v>0</v>
      </c>
      <c r="J658">
        <v>0</v>
      </c>
      <c r="K658">
        <v>20</v>
      </c>
      <c r="L658">
        <v>7</v>
      </c>
      <c r="N658">
        <v>3</v>
      </c>
      <c r="O658">
        <v>10</v>
      </c>
      <c r="P658">
        <v>4</v>
      </c>
      <c r="Q658">
        <v>0</v>
      </c>
      <c r="R658">
        <v>52.73</v>
      </c>
      <c r="S658">
        <v>8</v>
      </c>
      <c r="T658">
        <v>8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8</v>
      </c>
      <c r="AB658">
        <v>6</v>
      </c>
      <c r="AC658">
        <v>0</v>
      </c>
      <c r="AD658" t="s">
        <v>130</v>
      </c>
      <c r="AF658" t="s">
        <v>130</v>
      </c>
      <c r="AH658">
        <v>66.73</v>
      </c>
    </row>
    <row r="659" spans="1:34" x14ac:dyDescent="0.3">
      <c r="A659" s="4">
        <v>851</v>
      </c>
      <c r="B659" s="5">
        <v>652</v>
      </c>
      <c r="C659">
        <v>1997</v>
      </c>
      <c r="D659" t="s">
        <v>12099</v>
      </c>
      <c r="E659" t="s">
        <v>4935</v>
      </c>
      <c r="F659" t="s">
        <v>136</v>
      </c>
      <c r="G659" t="s">
        <v>12100</v>
      </c>
      <c r="H659">
        <v>16.579999999999998</v>
      </c>
      <c r="I659">
        <v>0</v>
      </c>
      <c r="J659">
        <v>0</v>
      </c>
      <c r="K659">
        <v>20</v>
      </c>
      <c r="L659">
        <v>7</v>
      </c>
      <c r="N659">
        <v>3</v>
      </c>
      <c r="O659">
        <v>10</v>
      </c>
      <c r="P659">
        <v>4</v>
      </c>
      <c r="Q659">
        <v>2</v>
      </c>
      <c r="R659">
        <v>52.58</v>
      </c>
      <c r="S659">
        <v>14</v>
      </c>
      <c r="T659">
        <v>14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14</v>
      </c>
      <c r="AB659">
        <v>0</v>
      </c>
      <c r="AC659">
        <v>0</v>
      </c>
      <c r="AF659" t="s">
        <v>130</v>
      </c>
      <c r="AH659">
        <v>66.58</v>
      </c>
    </row>
    <row r="660" spans="1:34" x14ac:dyDescent="0.3">
      <c r="A660" s="4">
        <v>852</v>
      </c>
      <c r="B660" s="5">
        <v>653</v>
      </c>
      <c r="C660">
        <v>2456</v>
      </c>
      <c r="D660" t="s">
        <v>7371</v>
      </c>
      <c r="E660" t="s">
        <v>1694</v>
      </c>
      <c r="F660" t="s">
        <v>68</v>
      </c>
      <c r="G660" t="s">
        <v>12101</v>
      </c>
      <c r="H660">
        <v>16.48</v>
      </c>
      <c r="I660">
        <v>0</v>
      </c>
      <c r="J660">
        <v>0</v>
      </c>
      <c r="K660">
        <v>20</v>
      </c>
      <c r="N660">
        <v>3</v>
      </c>
      <c r="O660">
        <v>3</v>
      </c>
      <c r="P660">
        <v>4</v>
      </c>
      <c r="Q660">
        <v>2</v>
      </c>
      <c r="R660">
        <v>45.48</v>
      </c>
      <c r="S660">
        <v>21</v>
      </c>
      <c r="T660">
        <v>21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21</v>
      </c>
      <c r="AB660">
        <v>0</v>
      </c>
      <c r="AC660">
        <v>0</v>
      </c>
      <c r="AD660" t="s">
        <v>130</v>
      </c>
      <c r="AF660" t="s">
        <v>130</v>
      </c>
      <c r="AH660">
        <v>66.48</v>
      </c>
    </row>
    <row r="661" spans="1:34" x14ac:dyDescent="0.3">
      <c r="A661" s="4">
        <v>853</v>
      </c>
      <c r="B661" s="5">
        <v>654</v>
      </c>
      <c r="C661">
        <v>3134</v>
      </c>
      <c r="D661" t="s">
        <v>12102</v>
      </c>
      <c r="E661" t="s">
        <v>178</v>
      </c>
      <c r="F661" t="s">
        <v>17</v>
      </c>
      <c r="G661" t="s">
        <v>12103</v>
      </c>
      <c r="H661">
        <v>20.38</v>
      </c>
      <c r="I661">
        <v>7</v>
      </c>
      <c r="J661">
        <v>0</v>
      </c>
      <c r="K661">
        <v>28</v>
      </c>
      <c r="L661">
        <v>7</v>
      </c>
      <c r="O661">
        <v>7</v>
      </c>
      <c r="P661">
        <v>4</v>
      </c>
      <c r="Q661">
        <v>0</v>
      </c>
      <c r="R661">
        <v>66.38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F661" t="s">
        <v>130</v>
      </c>
      <c r="AH661">
        <v>66.38</v>
      </c>
    </row>
    <row r="662" spans="1:34" x14ac:dyDescent="0.3">
      <c r="A662" s="4">
        <v>855</v>
      </c>
      <c r="B662" s="5">
        <v>655</v>
      </c>
      <c r="C662">
        <v>4721</v>
      </c>
      <c r="D662" t="s">
        <v>4820</v>
      </c>
      <c r="E662" t="s">
        <v>12105</v>
      </c>
      <c r="F662" t="s">
        <v>570</v>
      </c>
      <c r="G662" t="s">
        <v>12106</v>
      </c>
      <c r="H662">
        <v>18.18</v>
      </c>
      <c r="I662">
        <v>0</v>
      </c>
      <c r="J662">
        <v>0</v>
      </c>
      <c r="K662">
        <v>20</v>
      </c>
      <c r="L662">
        <v>7</v>
      </c>
      <c r="O662">
        <v>7</v>
      </c>
      <c r="P662">
        <v>4</v>
      </c>
      <c r="Q662">
        <v>2</v>
      </c>
      <c r="R662">
        <v>51.18</v>
      </c>
      <c r="S662">
        <v>12</v>
      </c>
      <c r="T662">
        <v>12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12</v>
      </c>
      <c r="AB662">
        <v>3</v>
      </c>
      <c r="AC662">
        <v>0</v>
      </c>
      <c r="AF662" t="s">
        <v>130</v>
      </c>
      <c r="AH662">
        <v>66.180000000000007</v>
      </c>
    </row>
    <row r="663" spans="1:34" x14ac:dyDescent="0.3">
      <c r="A663" s="4">
        <v>856</v>
      </c>
      <c r="B663" s="5">
        <v>656</v>
      </c>
      <c r="C663">
        <v>9088</v>
      </c>
      <c r="D663" t="s">
        <v>12107</v>
      </c>
      <c r="E663" t="s">
        <v>273</v>
      </c>
      <c r="F663" t="s">
        <v>801</v>
      </c>
      <c r="G663" t="s">
        <v>12108</v>
      </c>
      <c r="H663">
        <v>19.8</v>
      </c>
      <c r="I663">
        <v>0</v>
      </c>
      <c r="J663">
        <v>0</v>
      </c>
      <c r="K663">
        <v>28</v>
      </c>
      <c r="L663">
        <v>14</v>
      </c>
      <c r="O663">
        <v>14</v>
      </c>
      <c r="P663">
        <v>4</v>
      </c>
      <c r="Q663">
        <v>0</v>
      </c>
      <c r="R663">
        <v>65.8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 t="s">
        <v>130</v>
      </c>
      <c r="AF663" t="s">
        <v>130</v>
      </c>
      <c r="AH663">
        <v>65.8</v>
      </c>
    </row>
    <row r="664" spans="1:34" x14ac:dyDescent="0.3">
      <c r="A664" s="4">
        <v>857</v>
      </c>
      <c r="B664" s="5">
        <v>657</v>
      </c>
      <c r="C664">
        <v>7319</v>
      </c>
      <c r="D664" t="s">
        <v>9067</v>
      </c>
      <c r="E664" t="s">
        <v>143</v>
      </c>
      <c r="F664" t="s">
        <v>124</v>
      </c>
      <c r="G664" t="s">
        <v>12109</v>
      </c>
      <c r="H664">
        <v>18.53</v>
      </c>
      <c r="I664">
        <v>0</v>
      </c>
      <c r="J664">
        <v>0</v>
      </c>
      <c r="K664">
        <v>20</v>
      </c>
      <c r="L664">
        <v>7</v>
      </c>
      <c r="O664">
        <v>7</v>
      </c>
      <c r="P664">
        <v>4</v>
      </c>
      <c r="Q664">
        <v>2</v>
      </c>
      <c r="R664">
        <v>51.53</v>
      </c>
      <c r="S664">
        <v>14</v>
      </c>
      <c r="T664">
        <v>14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14</v>
      </c>
      <c r="AB664">
        <v>0</v>
      </c>
      <c r="AC664">
        <v>0</v>
      </c>
      <c r="AD664" t="s">
        <v>130</v>
      </c>
      <c r="AF664" t="s">
        <v>130</v>
      </c>
      <c r="AH664">
        <v>65.53</v>
      </c>
    </row>
    <row r="665" spans="1:34" x14ac:dyDescent="0.3">
      <c r="A665" s="4">
        <v>858</v>
      </c>
      <c r="B665" s="5">
        <v>658</v>
      </c>
      <c r="C665">
        <v>2497</v>
      </c>
      <c r="D665" t="s">
        <v>1613</v>
      </c>
      <c r="E665" t="s">
        <v>149</v>
      </c>
      <c r="F665" t="s">
        <v>1526</v>
      </c>
      <c r="G665" t="s">
        <v>12110</v>
      </c>
      <c r="H665">
        <v>20.23</v>
      </c>
      <c r="I665">
        <v>0</v>
      </c>
      <c r="J665">
        <v>0</v>
      </c>
      <c r="K665">
        <v>28</v>
      </c>
      <c r="L665">
        <v>7</v>
      </c>
      <c r="O665">
        <v>7</v>
      </c>
      <c r="P665">
        <v>4</v>
      </c>
      <c r="Q665">
        <v>0</v>
      </c>
      <c r="R665">
        <v>59.23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6</v>
      </c>
      <c r="AC665">
        <v>0</v>
      </c>
      <c r="AF665" t="s">
        <v>130</v>
      </c>
      <c r="AH665">
        <v>65.23</v>
      </c>
    </row>
    <row r="666" spans="1:34" x14ac:dyDescent="0.3">
      <c r="A666" s="4">
        <v>860</v>
      </c>
      <c r="B666" s="5">
        <v>659</v>
      </c>
      <c r="C666">
        <v>10175</v>
      </c>
      <c r="D666" t="s">
        <v>6432</v>
      </c>
      <c r="E666" t="s">
        <v>166</v>
      </c>
      <c r="F666" t="s">
        <v>158</v>
      </c>
      <c r="G666" t="s">
        <v>12111</v>
      </c>
      <c r="H666">
        <v>17.079999999999998</v>
      </c>
      <c r="I666">
        <v>0</v>
      </c>
      <c r="J666">
        <v>0</v>
      </c>
      <c r="K666">
        <v>20</v>
      </c>
      <c r="L666">
        <v>7</v>
      </c>
      <c r="N666">
        <v>3</v>
      </c>
      <c r="O666">
        <v>10</v>
      </c>
      <c r="P666">
        <v>4</v>
      </c>
      <c r="Q666">
        <v>2</v>
      </c>
      <c r="R666">
        <v>53.08</v>
      </c>
      <c r="S666">
        <v>12</v>
      </c>
      <c r="T666">
        <v>12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12</v>
      </c>
      <c r="AB666">
        <v>0</v>
      </c>
      <c r="AC666">
        <v>0</v>
      </c>
      <c r="AF666" t="s">
        <v>130</v>
      </c>
      <c r="AH666">
        <v>65.08</v>
      </c>
    </row>
    <row r="667" spans="1:34" x14ac:dyDescent="0.3">
      <c r="A667" s="4">
        <v>861</v>
      </c>
      <c r="B667" s="5">
        <v>660</v>
      </c>
      <c r="C667">
        <v>14602</v>
      </c>
      <c r="D667" t="s">
        <v>6012</v>
      </c>
      <c r="E667" t="s">
        <v>161</v>
      </c>
      <c r="F667" t="s">
        <v>488</v>
      </c>
      <c r="G667" t="s">
        <v>12112</v>
      </c>
      <c r="H667">
        <v>17.93</v>
      </c>
      <c r="I667">
        <v>7</v>
      </c>
      <c r="J667">
        <v>0</v>
      </c>
      <c r="K667">
        <v>20</v>
      </c>
      <c r="L667">
        <v>7</v>
      </c>
      <c r="O667">
        <v>7</v>
      </c>
      <c r="P667">
        <v>4</v>
      </c>
      <c r="Q667">
        <v>0</v>
      </c>
      <c r="R667">
        <v>55.93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9</v>
      </c>
      <c r="AC667">
        <v>0</v>
      </c>
      <c r="AF667" t="s">
        <v>130</v>
      </c>
      <c r="AH667">
        <v>64.930000000000007</v>
      </c>
    </row>
    <row r="668" spans="1:34" x14ac:dyDescent="0.3">
      <c r="A668" s="4">
        <v>862</v>
      </c>
      <c r="B668" s="5">
        <v>661</v>
      </c>
      <c r="C668">
        <v>5584</v>
      </c>
      <c r="D668" t="s">
        <v>12113</v>
      </c>
      <c r="E668" t="s">
        <v>166</v>
      </c>
      <c r="F668" t="s">
        <v>12114</v>
      </c>
      <c r="G668" t="s">
        <v>12115</v>
      </c>
      <c r="H668">
        <v>18.899999999999999</v>
      </c>
      <c r="I668">
        <v>0</v>
      </c>
      <c r="J668">
        <v>0</v>
      </c>
      <c r="K668">
        <v>20</v>
      </c>
      <c r="N668">
        <v>3</v>
      </c>
      <c r="O668">
        <v>3</v>
      </c>
      <c r="P668">
        <v>4</v>
      </c>
      <c r="Q668">
        <v>2</v>
      </c>
      <c r="R668">
        <v>47.9</v>
      </c>
      <c r="S668">
        <v>11</v>
      </c>
      <c r="T668">
        <v>11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11</v>
      </c>
      <c r="AB668">
        <v>6</v>
      </c>
      <c r="AC668">
        <v>0</v>
      </c>
      <c r="AF668" t="s">
        <v>130</v>
      </c>
      <c r="AH668">
        <v>64.900000000000006</v>
      </c>
    </row>
    <row r="669" spans="1:34" x14ac:dyDescent="0.3">
      <c r="A669" s="4">
        <v>863</v>
      </c>
      <c r="B669" s="5">
        <v>662</v>
      </c>
      <c r="C669">
        <v>4915</v>
      </c>
      <c r="D669" t="s">
        <v>12116</v>
      </c>
      <c r="E669" t="s">
        <v>2044</v>
      </c>
      <c r="F669" t="s">
        <v>117</v>
      </c>
      <c r="G669" t="s">
        <v>12117</v>
      </c>
      <c r="H669">
        <v>21.75</v>
      </c>
      <c r="I669">
        <v>7</v>
      </c>
      <c r="J669">
        <v>0</v>
      </c>
      <c r="K669">
        <v>20</v>
      </c>
      <c r="L669">
        <v>7</v>
      </c>
      <c r="N669">
        <v>3</v>
      </c>
      <c r="O669">
        <v>10</v>
      </c>
      <c r="P669">
        <v>4</v>
      </c>
      <c r="Q669">
        <v>2</v>
      </c>
      <c r="R669">
        <v>64.75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F669" t="s">
        <v>130</v>
      </c>
      <c r="AH669">
        <v>64.75</v>
      </c>
    </row>
    <row r="670" spans="1:34" x14ac:dyDescent="0.3">
      <c r="A670" s="4">
        <v>864</v>
      </c>
      <c r="B670" s="5">
        <v>663</v>
      </c>
      <c r="C670">
        <v>831</v>
      </c>
      <c r="D670" t="s">
        <v>12118</v>
      </c>
      <c r="E670" t="s">
        <v>26</v>
      </c>
      <c r="F670" t="s">
        <v>136</v>
      </c>
      <c r="G670" t="s">
        <v>12119</v>
      </c>
      <c r="H670">
        <v>18.68</v>
      </c>
      <c r="I670">
        <v>0</v>
      </c>
      <c r="J670">
        <v>0</v>
      </c>
      <c r="K670">
        <v>20</v>
      </c>
      <c r="L670">
        <v>14</v>
      </c>
      <c r="O670">
        <v>14</v>
      </c>
      <c r="P670">
        <v>4</v>
      </c>
      <c r="Q670">
        <v>2</v>
      </c>
      <c r="R670">
        <v>58.68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6</v>
      </c>
      <c r="AC670">
        <v>0</v>
      </c>
      <c r="AF670" t="s">
        <v>130</v>
      </c>
      <c r="AH670">
        <v>64.680000000000007</v>
      </c>
    </row>
    <row r="671" spans="1:34" x14ac:dyDescent="0.3">
      <c r="A671" s="4">
        <v>865</v>
      </c>
      <c r="B671" s="5">
        <v>664</v>
      </c>
      <c r="C671">
        <v>7254</v>
      </c>
      <c r="D671" t="s">
        <v>3454</v>
      </c>
      <c r="E671" t="s">
        <v>100</v>
      </c>
      <c r="F671" t="s">
        <v>81</v>
      </c>
      <c r="G671" t="s">
        <v>12120</v>
      </c>
      <c r="H671">
        <v>18.399999999999999</v>
      </c>
      <c r="I671">
        <v>7</v>
      </c>
      <c r="J671">
        <v>0</v>
      </c>
      <c r="K671">
        <v>20</v>
      </c>
      <c r="L671">
        <v>7</v>
      </c>
      <c r="O671">
        <v>7</v>
      </c>
      <c r="P671">
        <v>4</v>
      </c>
      <c r="Q671">
        <v>2</v>
      </c>
      <c r="R671">
        <v>58.4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6</v>
      </c>
      <c r="AC671">
        <v>0</v>
      </c>
      <c r="AF671" t="s">
        <v>130</v>
      </c>
      <c r="AH671">
        <v>64.400000000000006</v>
      </c>
    </row>
    <row r="672" spans="1:34" x14ac:dyDescent="0.3">
      <c r="A672" s="4">
        <v>866</v>
      </c>
      <c r="B672" s="5">
        <v>665</v>
      </c>
      <c r="C672">
        <v>584</v>
      </c>
      <c r="D672" t="s">
        <v>12121</v>
      </c>
      <c r="E672" t="s">
        <v>161</v>
      </c>
      <c r="F672" t="s">
        <v>124</v>
      </c>
      <c r="G672" t="s">
        <v>12122</v>
      </c>
      <c r="H672">
        <v>21.38</v>
      </c>
      <c r="I672">
        <v>7</v>
      </c>
      <c r="J672">
        <v>0</v>
      </c>
      <c r="K672">
        <v>20</v>
      </c>
      <c r="L672">
        <v>7</v>
      </c>
      <c r="N672">
        <v>3</v>
      </c>
      <c r="O672">
        <v>10</v>
      </c>
      <c r="P672">
        <v>4</v>
      </c>
      <c r="Q672">
        <v>2</v>
      </c>
      <c r="R672">
        <v>64.38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F672" t="s">
        <v>130</v>
      </c>
      <c r="AH672">
        <v>64.38</v>
      </c>
    </row>
    <row r="673" spans="1:34" x14ac:dyDescent="0.3">
      <c r="A673" s="4">
        <v>867</v>
      </c>
      <c r="B673" s="5">
        <v>666</v>
      </c>
      <c r="C673">
        <v>4240</v>
      </c>
      <c r="D673" t="s">
        <v>11144</v>
      </c>
      <c r="E673" t="s">
        <v>268</v>
      </c>
      <c r="F673" t="s">
        <v>3968</v>
      </c>
      <c r="G673" t="s">
        <v>12123</v>
      </c>
      <c r="H673">
        <v>18.23</v>
      </c>
      <c r="I673">
        <v>7</v>
      </c>
      <c r="J673">
        <v>0</v>
      </c>
      <c r="K673">
        <v>0</v>
      </c>
      <c r="L673">
        <v>7</v>
      </c>
      <c r="O673">
        <v>7</v>
      </c>
      <c r="P673">
        <v>4</v>
      </c>
      <c r="Q673">
        <v>2</v>
      </c>
      <c r="R673">
        <v>38.229999999999997</v>
      </c>
      <c r="S673">
        <v>8</v>
      </c>
      <c r="T673">
        <v>8</v>
      </c>
      <c r="U673">
        <v>6</v>
      </c>
      <c r="V673">
        <v>12</v>
      </c>
      <c r="W673">
        <v>0</v>
      </c>
      <c r="X673">
        <v>0</v>
      </c>
      <c r="Y673">
        <v>0</v>
      </c>
      <c r="Z673">
        <v>0</v>
      </c>
      <c r="AA673">
        <v>20</v>
      </c>
      <c r="AB673">
        <v>6</v>
      </c>
      <c r="AC673">
        <v>0</v>
      </c>
      <c r="AF673" t="s">
        <v>130</v>
      </c>
      <c r="AH673">
        <v>64.23</v>
      </c>
    </row>
    <row r="674" spans="1:34" x14ac:dyDescent="0.3">
      <c r="A674" s="4">
        <v>868</v>
      </c>
      <c r="B674" s="5">
        <v>667</v>
      </c>
      <c r="C674">
        <v>13111</v>
      </c>
      <c r="D674" t="s">
        <v>2132</v>
      </c>
      <c r="E674" t="s">
        <v>41</v>
      </c>
      <c r="F674" t="s">
        <v>230</v>
      </c>
      <c r="G674" t="s">
        <v>12124</v>
      </c>
      <c r="H674">
        <v>20.13</v>
      </c>
      <c r="I674">
        <v>0</v>
      </c>
      <c r="J674">
        <v>0</v>
      </c>
      <c r="K674">
        <v>20</v>
      </c>
      <c r="L674">
        <v>7</v>
      </c>
      <c r="N674">
        <v>3</v>
      </c>
      <c r="O674">
        <v>10</v>
      </c>
      <c r="P674">
        <v>0</v>
      </c>
      <c r="Q674">
        <v>2</v>
      </c>
      <c r="R674">
        <v>52.13</v>
      </c>
      <c r="S674">
        <v>12</v>
      </c>
      <c r="T674">
        <v>12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12</v>
      </c>
      <c r="AB674">
        <v>0</v>
      </c>
      <c r="AC674">
        <v>0</v>
      </c>
      <c r="AF674" t="s">
        <v>130</v>
      </c>
      <c r="AH674">
        <v>64.13</v>
      </c>
    </row>
    <row r="675" spans="1:34" x14ac:dyDescent="0.3">
      <c r="A675" s="4">
        <v>870</v>
      </c>
      <c r="B675" s="5">
        <v>668</v>
      </c>
      <c r="C675">
        <v>10307</v>
      </c>
      <c r="D675" t="s">
        <v>12125</v>
      </c>
      <c r="E675" t="s">
        <v>166</v>
      </c>
      <c r="F675" t="s">
        <v>416</v>
      </c>
      <c r="G675" t="s">
        <v>12126</v>
      </c>
      <c r="H675">
        <v>22.05</v>
      </c>
      <c r="I675">
        <v>0</v>
      </c>
      <c r="J675">
        <v>0</v>
      </c>
      <c r="K675">
        <v>20</v>
      </c>
      <c r="L675">
        <v>7</v>
      </c>
      <c r="O675">
        <v>7</v>
      </c>
      <c r="P675">
        <v>4</v>
      </c>
      <c r="Q675">
        <v>0</v>
      </c>
      <c r="R675">
        <v>53.05</v>
      </c>
      <c r="S675">
        <v>11</v>
      </c>
      <c r="T675">
        <v>11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11</v>
      </c>
      <c r="AB675">
        <v>0</v>
      </c>
      <c r="AC675">
        <v>0</v>
      </c>
      <c r="AF675" t="s">
        <v>130</v>
      </c>
      <c r="AH675">
        <v>64.05</v>
      </c>
    </row>
    <row r="676" spans="1:34" x14ac:dyDescent="0.3">
      <c r="A676" s="4">
        <v>872</v>
      </c>
      <c r="B676" s="5">
        <v>669</v>
      </c>
      <c r="C676">
        <v>6831</v>
      </c>
      <c r="D676" t="s">
        <v>12127</v>
      </c>
      <c r="E676" t="s">
        <v>12128</v>
      </c>
      <c r="F676" t="s">
        <v>38</v>
      </c>
      <c r="G676" t="s">
        <v>12129</v>
      </c>
      <c r="H676">
        <v>18.93</v>
      </c>
      <c r="I676">
        <v>7</v>
      </c>
      <c r="J676">
        <v>0</v>
      </c>
      <c r="K676">
        <v>20</v>
      </c>
      <c r="N676">
        <v>6</v>
      </c>
      <c r="O676">
        <v>6</v>
      </c>
      <c r="P676">
        <v>4</v>
      </c>
      <c r="Q676">
        <v>2</v>
      </c>
      <c r="R676">
        <v>57.93</v>
      </c>
      <c r="S676">
        <v>6</v>
      </c>
      <c r="T676">
        <v>6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6</v>
      </c>
      <c r="AB676">
        <v>0</v>
      </c>
      <c r="AC676">
        <v>0</v>
      </c>
      <c r="AF676" t="s">
        <v>130</v>
      </c>
      <c r="AH676">
        <v>63.93</v>
      </c>
    </row>
    <row r="677" spans="1:34" x14ac:dyDescent="0.3">
      <c r="A677" s="4">
        <v>873</v>
      </c>
      <c r="B677" s="5">
        <v>670</v>
      </c>
      <c r="C677">
        <v>15165</v>
      </c>
      <c r="D677" t="s">
        <v>4879</v>
      </c>
      <c r="E677" t="s">
        <v>22</v>
      </c>
      <c r="F677" t="s">
        <v>68</v>
      </c>
      <c r="G677" t="s">
        <v>12130</v>
      </c>
      <c r="H677">
        <v>18.88</v>
      </c>
      <c r="I677">
        <v>0</v>
      </c>
      <c r="J677">
        <v>0</v>
      </c>
      <c r="K677">
        <v>0</v>
      </c>
      <c r="L677">
        <v>7</v>
      </c>
      <c r="O677">
        <v>7</v>
      </c>
      <c r="P677">
        <v>4</v>
      </c>
      <c r="Q677">
        <v>2</v>
      </c>
      <c r="R677">
        <v>31.88</v>
      </c>
      <c r="S677">
        <v>29</v>
      </c>
      <c r="T677">
        <v>29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29</v>
      </c>
      <c r="AB677">
        <v>3</v>
      </c>
      <c r="AC677">
        <v>0</v>
      </c>
      <c r="AF677" t="s">
        <v>130</v>
      </c>
      <c r="AH677">
        <v>63.88</v>
      </c>
    </row>
    <row r="678" spans="1:34" x14ac:dyDescent="0.3">
      <c r="A678" s="4">
        <v>874</v>
      </c>
      <c r="B678" s="5">
        <v>671</v>
      </c>
      <c r="C678">
        <v>1904</v>
      </c>
      <c r="D678" t="s">
        <v>12131</v>
      </c>
      <c r="E678" t="s">
        <v>54</v>
      </c>
      <c r="F678" t="s">
        <v>5614</v>
      </c>
      <c r="G678" t="s">
        <v>12132</v>
      </c>
      <c r="H678">
        <v>22.78</v>
      </c>
      <c r="I678">
        <v>7</v>
      </c>
      <c r="J678">
        <v>0</v>
      </c>
      <c r="K678">
        <v>20</v>
      </c>
      <c r="L678">
        <v>7</v>
      </c>
      <c r="N678">
        <v>3</v>
      </c>
      <c r="O678">
        <v>10</v>
      </c>
      <c r="P678">
        <v>4</v>
      </c>
      <c r="Q678">
        <v>0</v>
      </c>
      <c r="R678">
        <v>63.78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F678" t="s">
        <v>130</v>
      </c>
      <c r="AH678">
        <v>63.78</v>
      </c>
    </row>
    <row r="679" spans="1:34" x14ac:dyDescent="0.3">
      <c r="A679" s="4">
        <v>875</v>
      </c>
      <c r="B679" s="5">
        <v>672</v>
      </c>
      <c r="C679">
        <v>5130</v>
      </c>
      <c r="D679" t="s">
        <v>4051</v>
      </c>
      <c r="E679" t="s">
        <v>307</v>
      </c>
      <c r="F679" t="s">
        <v>385</v>
      </c>
      <c r="G679" t="s">
        <v>12133</v>
      </c>
      <c r="H679">
        <v>20.53</v>
      </c>
      <c r="I679">
        <v>0</v>
      </c>
      <c r="J679">
        <v>0</v>
      </c>
      <c r="K679">
        <v>20</v>
      </c>
      <c r="L679">
        <v>14</v>
      </c>
      <c r="O679">
        <v>14</v>
      </c>
      <c r="P679">
        <v>4</v>
      </c>
      <c r="Q679">
        <v>2</v>
      </c>
      <c r="R679">
        <v>60.53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3</v>
      </c>
      <c r="AC679">
        <v>0</v>
      </c>
      <c r="AD679" t="s">
        <v>130</v>
      </c>
      <c r="AF679" t="s">
        <v>130</v>
      </c>
      <c r="AH679">
        <v>63.53</v>
      </c>
    </row>
    <row r="680" spans="1:34" x14ac:dyDescent="0.3">
      <c r="A680" s="4">
        <v>876</v>
      </c>
      <c r="B680" s="5">
        <v>673</v>
      </c>
      <c r="C680">
        <v>10847</v>
      </c>
      <c r="D680" t="s">
        <v>7020</v>
      </c>
      <c r="E680" t="s">
        <v>259</v>
      </c>
      <c r="F680" t="s">
        <v>81</v>
      </c>
      <c r="G680" t="s">
        <v>12134</v>
      </c>
      <c r="H680">
        <v>12.5</v>
      </c>
      <c r="I680">
        <v>7</v>
      </c>
      <c r="J680">
        <v>0</v>
      </c>
      <c r="K680">
        <v>28</v>
      </c>
      <c r="L680">
        <v>7</v>
      </c>
      <c r="M680">
        <v>5</v>
      </c>
      <c r="O680">
        <v>12</v>
      </c>
      <c r="P680">
        <v>4</v>
      </c>
      <c r="Q680">
        <v>0</v>
      </c>
      <c r="R680">
        <v>63.5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 t="s">
        <v>130</v>
      </c>
      <c r="AF680" t="s">
        <v>130</v>
      </c>
      <c r="AH680">
        <v>63.5</v>
      </c>
    </row>
    <row r="681" spans="1:34" x14ac:dyDescent="0.3">
      <c r="A681" s="4">
        <v>877</v>
      </c>
      <c r="B681" s="5">
        <v>674</v>
      </c>
      <c r="C681">
        <v>14789</v>
      </c>
      <c r="D681" t="s">
        <v>12135</v>
      </c>
      <c r="E681" t="s">
        <v>100</v>
      </c>
      <c r="F681" t="s">
        <v>136</v>
      </c>
      <c r="G681" t="s">
        <v>12136</v>
      </c>
      <c r="H681">
        <v>19.399999999999999</v>
      </c>
      <c r="I681">
        <v>7</v>
      </c>
      <c r="J681">
        <v>0</v>
      </c>
      <c r="K681">
        <v>20</v>
      </c>
      <c r="L681">
        <v>7</v>
      </c>
      <c r="N681">
        <v>3</v>
      </c>
      <c r="O681">
        <v>10</v>
      </c>
      <c r="P681">
        <v>4</v>
      </c>
      <c r="Q681">
        <v>0</v>
      </c>
      <c r="R681">
        <v>60.4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3</v>
      </c>
      <c r="AC681">
        <v>0</v>
      </c>
      <c r="AF681" t="s">
        <v>130</v>
      </c>
      <c r="AH681">
        <v>63.4</v>
      </c>
    </row>
    <row r="682" spans="1:34" x14ac:dyDescent="0.3">
      <c r="A682" s="4">
        <v>878</v>
      </c>
      <c r="B682" s="5">
        <v>675</v>
      </c>
      <c r="C682">
        <v>9477</v>
      </c>
      <c r="D682" t="s">
        <v>11101</v>
      </c>
      <c r="E682" t="s">
        <v>5949</v>
      </c>
      <c r="F682" t="s">
        <v>17</v>
      </c>
      <c r="G682" t="s">
        <v>12137</v>
      </c>
      <c r="H682">
        <v>21.4</v>
      </c>
      <c r="I682">
        <v>0</v>
      </c>
      <c r="J682">
        <v>0</v>
      </c>
      <c r="K682">
        <v>20</v>
      </c>
      <c r="L682">
        <v>7</v>
      </c>
      <c r="O682">
        <v>7</v>
      </c>
      <c r="P682">
        <v>4</v>
      </c>
      <c r="Q682">
        <v>0</v>
      </c>
      <c r="R682">
        <v>52.4</v>
      </c>
      <c r="S682">
        <v>11</v>
      </c>
      <c r="T682">
        <v>11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11</v>
      </c>
      <c r="AB682">
        <v>0</v>
      </c>
      <c r="AC682">
        <v>0</v>
      </c>
      <c r="AF682" t="s">
        <v>130</v>
      </c>
      <c r="AH682">
        <v>63.4</v>
      </c>
    </row>
    <row r="683" spans="1:34" x14ac:dyDescent="0.3">
      <c r="A683" s="4">
        <v>879</v>
      </c>
      <c r="B683" s="5">
        <v>676</v>
      </c>
      <c r="C683">
        <v>274</v>
      </c>
      <c r="D683" t="s">
        <v>12138</v>
      </c>
      <c r="E683" t="s">
        <v>2643</v>
      </c>
      <c r="F683" t="s">
        <v>17</v>
      </c>
      <c r="G683" t="s">
        <v>12139</v>
      </c>
      <c r="H683">
        <v>15.3</v>
      </c>
      <c r="I683">
        <v>7</v>
      </c>
      <c r="J683">
        <v>0</v>
      </c>
      <c r="K683">
        <v>20</v>
      </c>
      <c r="L683">
        <v>14</v>
      </c>
      <c r="O683">
        <v>14</v>
      </c>
      <c r="P683">
        <v>4</v>
      </c>
      <c r="Q683">
        <v>0</v>
      </c>
      <c r="R683">
        <v>60.3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3</v>
      </c>
      <c r="AC683">
        <v>0</v>
      </c>
      <c r="AF683" t="s">
        <v>130</v>
      </c>
      <c r="AH683">
        <v>63.3</v>
      </c>
    </row>
    <row r="684" spans="1:34" x14ac:dyDescent="0.3">
      <c r="A684" s="4">
        <v>880</v>
      </c>
      <c r="B684" s="5">
        <v>677</v>
      </c>
      <c r="C684">
        <v>15360</v>
      </c>
      <c r="D684" t="s">
        <v>12140</v>
      </c>
      <c r="E684" t="s">
        <v>29</v>
      </c>
      <c r="F684" t="s">
        <v>30</v>
      </c>
      <c r="G684" t="s">
        <v>12141</v>
      </c>
      <c r="H684">
        <v>20.13</v>
      </c>
      <c r="I684">
        <v>7</v>
      </c>
      <c r="J684">
        <v>0</v>
      </c>
      <c r="K684">
        <v>20</v>
      </c>
      <c r="N684">
        <v>6</v>
      </c>
      <c r="O684">
        <v>6</v>
      </c>
      <c r="P684">
        <v>4</v>
      </c>
      <c r="Q684">
        <v>0</v>
      </c>
      <c r="R684">
        <v>57.13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6</v>
      </c>
      <c r="AC684">
        <v>0</v>
      </c>
      <c r="AF684" t="s">
        <v>130</v>
      </c>
      <c r="AH684">
        <v>63.13</v>
      </c>
    </row>
    <row r="685" spans="1:34" x14ac:dyDescent="0.3">
      <c r="A685" s="4">
        <v>881</v>
      </c>
      <c r="B685" s="5">
        <v>678</v>
      </c>
      <c r="C685">
        <v>3508</v>
      </c>
      <c r="D685" t="s">
        <v>10061</v>
      </c>
      <c r="E685" t="s">
        <v>178</v>
      </c>
      <c r="F685" t="s">
        <v>81</v>
      </c>
      <c r="G685" t="s">
        <v>12142</v>
      </c>
      <c r="H685">
        <v>16.05</v>
      </c>
      <c r="I685">
        <v>0</v>
      </c>
      <c r="J685">
        <v>0</v>
      </c>
      <c r="K685">
        <v>20</v>
      </c>
      <c r="N685">
        <v>3</v>
      </c>
      <c r="O685">
        <v>3</v>
      </c>
      <c r="P685">
        <v>4</v>
      </c>
      <c r="Q685">
        <v>2</v>
      </c>
      <c r="R685">
        <v>45.05</v>
      </c>
      <c r="S685">
        <v>15</v>
      </c>
      <c r="T685">
        <v>15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15</v>
      </c>
      <c r="AB685">
        <v>3</v>
      </c>
      <c r="AC685">
        <v>0</v>
      </c>
      <c r="AF685" t="s">
        <v>130</v>
      </c>
      <c r="AH685">
        <v>63.05</v>
      </c>
    </row>
    <row r="686" spans="1:34" x14ac:dyDescent="0.3">
      <c r="A686" s="4">
        <v>882</v>
      </c>
      <c r="B686" s="5">
        <v>679</v>
      </c>
      <c r="C686">
        <v>13416</v>
      </c>
      <c r="D686" t="s">
        <v>5097</v>
      </c>
      <c r="E686" t="s">
        <v>26</v>
      </c>
      <c r="F686" t="s">
        <v>17</v>
      </c>
      <c r="G686" t="s">
        <v>12143</v>
      </c>
      <c r="H686">
        <v>21.68</v>
      </c>
      <c r="I686">
        <v>0</v>
      </c>
      <c r="J686">
        <v>0</v>
      </c>
      <c r="K686">
        <v>20</v>
      </c>
      <c r="L686">
        <v>7</v>
      </c>
      <c r="O686">
        <v>7</v>
      </c>
      <c r="P686">
        <v>4</v>
      </c>
      <c r="Q686">
        <v>0</v>
      </c>
      <c r="R686">
        <v>52.68</v>
      </c>
      <c r="S686">
        <v>10</v>
      </c>
      <c r="T686">
        <v>10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10</v>
      </c>
      <c r="AB686">
        <v>0</v>
      </c>
      <c r="AC686">
        <v>0</v>
      </c>
      <c r="AF686" t="s">
        <v>130</v>
      </c>
      <c r="AH686">
        <v>62.68</v>
      </c>
    </row>
    <row r="687" spans="1:34" x14ac:dyDescent="0.3">
      <c r="A687" s="4">
        <v>883</v>
      </c>
      <c r="B687" s="5">
        <v>680</v>
      </c>
      <c r="C687">
        <v>9828</v>
      </c>
      <c r="D687" t="s">
        <v>12144</v>
      </c>
      <c r="E687" t="s">
        <v>12145</v>
      </c>
      <c r="F687" t="s">
        <v>12146</v>
      </c>
      <c r="G687" t="s">
        <v>12147</v>
      </c>
      <c r="H687">
        <v>17.649999999999999</v>
      </c>
      <c r="I687">
        <v>0</v>
      </c>
      <c r="J687">
        <v>0</v>
      </c>
      <c r="K687">
        <v>20</v>
      </c>
      <c r="N687">
        <v>6</v>
      </c>
      <c r="O687">
        <v>6</v>
      </c>
      <c r="P687">
        <v>4</v>
      </c>
      <c r="Q687">
        <v>0</v>
      </c>
      <c r="R687">
        <v>47.65</v>
      </c>
      <c r="S687">
        <v>15</v>
      </c>
      <c r="T687">
        <v>15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15</v>
      </c>
      <c r="AB687">
        <v>0</v>
      </c>
      <c r="AC687">
        <v>0</v>
      </c>
      <c r="AD687" t="s">
        <v>130</v>
      </c>
      <c r="AF687" t="s">
        <v>130</v>
      </c>
      <c r="AH687">
        <v>62.65</v>
      </c>
    </row>
    <row r="688" spans="1:34" x14ac:dyDescent="0.3">
      <c r="A688" s="4">
        <v>884</v>
      </c>
      <c r="B688" s="5">
        <v>681</v>
      </c>
      <c r="C688">
        <v>3749</v>
      </c>
      <c r="D688" t="s">
        <v>9088</v>
      </c>
      <c r="E688" t="s">
        <v>100</v>
      </c>
      <c r="F688" t="s">
        <v>375</v>
      </c>
      <c r="G688" t="s">
        <v>12148</v>
      </c>
      <c r="H688">
        <v>17.5</v>
      </c>
      <c r="I688">
        <v>0</v>
      </c>
      <c r="J688">
        <v>0</v>
      </c>
      <c r="K688">
        <v>20</v>
      </c>
      <c r="L688">
        <v>7</v>
      </c>
      <c r="O688">
        <v>7</v>
      </c>
      <c r="P688">
        <v>4</v>
      </c>
      <c r="Q688">
        <v>0</v>
      </c>
      <c r="R688">
        <v>48.5</v>
      </c>
      <c r="S688">
        <v>11</v>
      </c>
      <c r="T688">
        <v>11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11</v>
      </c>
      <c r="AB688">
        <v>3</v>
      </c>
      <c r="AC688">
        <v>0</v>
      </c>
      <c r="AD688" t="s">
        <v>130</v>
      </c>
      <c r="AF688" t="s">
        <v>130</v>
      </c>
      <c r="AH688">
        <v>62.5</v>
      </c>
    </row>
    <row r="689" spans="1:34" x14ac:dyDescent="0.3">
      <c r="A689" s="4">
        <v>885</v>
      </c>
      <c r="B689" s="5">
        <v>682</v>
      </c>
      <c r="C689">
        <v>11381</v>
      </c>
      <c r="D689" t="s">
        <v>3432</v>
      </c>
      <c r="E689" t="s">
        <v>71</v>
      </c>
      <c r="F689" t="s">
        <v>17</v>
      </c>
      <c r="G689" t="s">
        <v>12149</v>
      </c>
      <c r="H689">
        <v>21.35</v>
      </c>
      <c r="I689">
        <v>7</v>
      </c>
      <c r="J689">
        <v>0</v>
      </c>
      <c r="K689">
        <v>20</v>
      </c>
      <c r="L689">
        <v>7</v>
      </c>
      <c r="N689">
        <v>3</v>
      </c>
      <c r="O689">
        <v>10</v>
      </c>
      <c r="P689">
        <v>4</v>
      </c>
      <c r="Q689">
        <v>0</v>
      </c>
      <c r="R689">
        <v>62.35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F689" t="s">
        <v>130</v>
      </c>
      <c r="AH689">
        <v>62.35</v>
      </c>
    </row>
    <row r="690" spans="1:34" x14ac:dyDescent="0.3">
      <c r="A690" s="4">
        <v>886</v>
      </c>
      <c r="B690" s="5">
        <v>683</v>
      </c>
      <c r="C690">
        <v>10176</v>
      </c>
      <c r="D690" t="s">
        <v>7144</v>
      </c>
      <c r="E690" t="s">
        <v>1659</v>
      </c>
      <c r="F690" t="s">
        <v>117</v>
      </c>
      <c r="G690" t="s">
        <v>12150</v>
      </c>
      <c r="H690">
        <v>19.3</v>
      </c>
      <c r="I690">
        <v>7</v>
      </c>
      <c r="J690">
        <v>0</v>
      </c>
      <c r="K690">
        <v>20</v>
      </c>
      <c r="L690">
        <v>7</v>
      </c>
      <c r="N690">
        <v>3</v>
      </c>
      <c r="O690">
        <v>10</v>
      </c>
      <c r="P690">
        <v>4</v>
      </c>
      <c r="Q690">
        <v>2</v>
      </c>
      <c r="R690">
        <v>62.3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F690" t="s">
        <v>130</v>
      </c>
      <c r="AH690">
        <v>62.3</v>
      </c>
    </row>
    <row r="691" spans="1:34" x14ac:dyDescent="0.3">
      <c r="A691" s="4">
        <v>887</v>
      </c>
      <c r="B691" s="5">
        <v>684</v>
      </c>
      <c r="C691">
        <v>3120</v>
      </c>
      <c r="D691" t="s">
        <v>7011</v>
      </c>
      <c r="E691" t="s">
        <v>41</v>
      </c>
      <c r="F691" t="s">
        <v>81</v>
      </c>
      <c r="G691" t="s">
        <v>12151</v>
      </c>
      <c r="H691">
        <v>13.28</v>
      </c>
      <c r="I691">
        <v>0</v>
      </c>
      <c r="J691">
        <v>0</v>
      </c>
      <c r="K691">
        <v>20</v>
      </c>
      <c r="L691">
        <v>7</v>
      </c>
      <c r="O691">
        <v>7</v>
      </c>
      <c r="P691">
        <v>4</v>
      </c>
      <c r="Q691">
        <v>2</v>
      </c>
      <c r="R691">
        <v>46.28</v>
      </c>
      <c r="S691">
        <v>16</v>
      </c>
      <c r="T691">
        <v>16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16</v>
      </c>
      <c r="AB691">
        <v>0</v>
      </c>
      <c r="AC691">
        <v>0</v>
      </c>
      <c r="AF691" t="s">
        <v>130</v>
      </c>
      <c r="AH691">
        <v>62.28</v>
      </c>
    </row>
    <row r="692" spans="1:34" x14ac:dyDescent="0.3">
      <c r="A692" s="4">
        <v>888</v>
      </c>
      <c r="B692" s="5">
        <v>685</v>
      </c>
      <c r="C692">
        <v>10660</v>
      </c>
      <c r="D692" t="s">
        <v>1133</v>
      </c>
      <c r="E692" t="s">
        <v>10838</v>
      </c>
      <c r="F692" t="s">
        <v>38</v>
      </c>
      <c r="G692" t="s">
        <v>12152</v>
      </c>
      <c r="H692">
        <v>21.18</v>
      </c>
      <c r="I692">
        <v>7</v>
      </c>
      <c r="J692">
        <v>0</v>
      </c>
      <c r="K692">
        <v>20</v>
      </c>
      <c r="M692">
        <v>5</v>
      </c>
      <c r="O692">
        <v>5</v>
      </c>
      <c r="P692">
        <v>4</v>
      </c>
      <c r="Q692">
        <v>2</v>
      </c>
      <c r="R692">
        <v>59.18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3</v>
      </c>
      <c r="AC692">
        <v>0</v>
      </c>
      <c r="AF692" t="s">
        <v>130</v>
      </c>
      <c r="AH692">
        <v>62.18</v>
      </c>
    </row>
    <row r="693" spans="1:34" x14ac:dyDescent="0.3">
      <c r="A693" s="4">
        <v>889</v>
      </c>
      <c r="B693" s="5">
        <v>686</v>
      </c>
      <c r="C693">
        <v>10478</v>
      </c>
      <c r="D693" t="s">
        <v>9046</v>
      </c>
      <c r="E693" t="s">
        <v>126</v>
      </c>
      <c r="F693" t="s">
        <v>52</v>
      </c>
      <c r="G693" t="s">
        <v>12153</v>
      </c>
      <c r="H693">
        <v>19.13</v>
      </c>
      <c r="I693">
        <v>7</v>
      </c>
      <c r="J693">
        <v>0</v>
      </c>
      <c r="K693">
        <v>20</v>
      </c>
      <c r="L693">
        <v>7</v>
      </c>
      <c r="O693">
        <v>7</v>
      </c>
      <c r="P693">
        <v>4</v>
      </c>
      <c r="Q693">
        <v>2</v>
      </c>
      <c r="R693">
        <v>59.13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3</v>
      </c>
      <c r="AC693">
        <v>0</v>
      </c>
      <c r="AF693" t="s">
        <v>130</v>
      </c>
      <c r="AH693">
        <v>62.13</v>
      </c>
    </row>
    <row r="694" spans="1:34" x14ac:dyDescent="0.3">
      <c r="A694" s="4">
        <v>890</v>
      </c>
      <c r="B694" s="5">
        <v>687</v>
      </c>
      <c r="C694">
        <v>402</v>
      </c>
      <c r="D694" t="s">
        <v>9800</v>
      </c>
      <c r="E694" t="s">
        <v>424</v>
      </c>
      <c r="F694" t="s">
        <v>1076</v>
      </c>
      <c r="G694" t="s">
        <v>12154</v>
      </c>
      <c r="H694">
        <v>16.03</v>
      </c>
      <c r="I694">
        <v>0</v>
      </c>
      <c r="J694">
        <v>0</v>
      </c>
      <c r="K694">
        <v>20</v>
      </c>
      <c r="N694">
        <v>3</v>
      </c>
      <c r="O694">
        <v>3</v>
      </c>
      <c r="P694">
        <v>4</v>
      </c>
      <c r="Q694">
        <v>2</v>
      </c>
      <c r="R694">
        <v>45.03</v>
      </c>
      <c r="S694">
        <v>11</v>
      </c>
      <c r="T694">
        <v>11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11</v>
      </c>
      <c r="AB694">
        <v>6</v>
      </c>
      <c r="AC694">
        <v>0</v>
      </c>
      <c r="AF694" t="s">
        <v>130</v>
      </c>
      <c r="AH694">
        <v>62.03</v>
      </c>
    </row>
    <row r="695" spans="1:34" x14ac:dyDescent="0.3">
      <c r="A695" s="4">
        <v>891</v>
      </c>
      <c r="B695" s="5">
        <v>688</v>
      </c>
      <c r="C695">
        <v>2029</v>
      </c>
      <c r="D695" t="s">
        <v>1337</v>
      </c>
      <c r="E695" t="s">
        <v>3803</v>
      </c>
      <c r="F695" t="s">
        <v>68</v>
      </c>
      <c r="G695" t="s">
        <v>12155</v>
      </c>
      <c r="H695">
        <v>19.03</v>
      </c>
      <c r="I695">
        <v>7</v>
      </c>
      <c r="J695">
        <v>0</v>
      </c>
      <c r="K695">
        <v>20</v>
      </c>
      <c r="L695">
        <v>7</v>
      </c>
      <c r="N695">
        <v>3</v>
      </c>
      <c r="O695">
        <v>10</v>
      </c>
      <c r="P695">
        <v>4</v>
      </c>
      <c r="Q695">
        <v>2</v>
      </c>
      <c r="R695">
        <v>62.03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F695" t="s">
        <v>130</v>
      </c>
      <c r="AH695">
        <v>62.03</v>
      </c>
    </row>
    <row r="696" spans="1:34" x14ac:dyDescent="0.3">
      <c r="A696" s="4">
        <v>892</v>
      </c>
      <c r="B696" s="5">
        <v>689</v>
      </c>
      <c r="C696">
        <v>981</v>
      </c>
      <c r="D696" t="s">
        <v>1296</v>
      </c>
      <c r="E696" t="s">
        <v>471</v>
      </c>
      <c r="F696" t="s">
        <v>91</v>
      </c>
      <c r="G696" t="s">
        <v>12156</v>
      </c>
      <c r="H696">
        <v>18</v>
      </c>
      <c r="I696">
        <v>0</v>
      </c>
      <c r="J696">
        <v>0</v>
      </c>
      <c r="K696">
        <v>20</v>
      </c>
      <c r="L696">
        <v>7</v>
      </c>
      <c r="O696">
        <v>7</v>
      </c>
      <c r="P696">
        <v>4</v>
      </c>
      <c r="Q696">
        <v>0</v>
      </c>
      <c r="R696">
        <v>49</v>
      </c>
      <c r="S696">
        <v>13</v>
      </c>
      <c r="T696">
        <v>13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13</v>
      </c>
      <c r="AB696">
        <v>0</v>
      </c>
      <c r="AC696">
        <v>0</v>
      </c>
      <c r="AF696" t="s">
        <v>130</v>
      </c>
      <c r="AH696">
        <v>62</v>
      </c>
    </row>
    <row r="697" spans="1:34" x14ac:dyDescent="0.3">
      <c r="A697" s="4">
        <v>893</v>
      </c>
      <c r="B697" s="5">
        <v>690</v>
      </c>
      <c r="C697">
        <v>8569</v>
      </c>
      <c r="D697" t="s">
        <v>12157</v>
      </c>
      <c r="E697" t="s">
        <v>100</v>
      </c>
      <c r="F697" t="s">
        <v>328</v>
      </c>
      <c r="G697" t="s">
        <v>12158</v>
      </c>
      <c r="H697">
        <v>15.9</v>
      </c>
      <c r="I697">
        <v>0</v>
      </c>
      <c r="J697">
        <v>0</v>
      </c>
      <c r="K697">
        <v>20</v>
      </c>
      <c r="L697">
        <v>7</v>
      </c>
      <c r="N697">
        <v>3</v>
      </c>
      <c r="O697">
        <v>10</v>
      </c>
      <c r="P697">
        <v>4</v>
      </c>
      <c r="Q697">
        <v>0</v>
      </c>
      <c r="R697">
        <v>49.9</v>
      </c>
      <c r="S697">
        <v>6</v>
      </c>
      <c r="T697">
        <v>6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6</v>
      </c>
      <c r="AB697">
        <v>6</v>
      </c>
      <c r="AC697">
        <v>0</v>
      </c>
      <c r="AF697" t="s">
        <v>130</v>
      </c>
      <c r="AH697">
        <v>61.9</v>
      </c>
    </row>
    <row r="698" spans="1:34" x14ac:dyDescent="0.3">
      <c r="A698" s="4">
        <v>894</v>
      </c>
      <c r="B698" s="5">
        <v>691</v>
      </c>
      <c r="C698">
        <v>275</v>
      </c>
      <c r="D698" t="s">
        <v>12159</v>
      </c>
      <c r="E698" t="s">
        <v>12160</v>
      </c>
      <c r="F698" t="s">
        <v>158</v>
      </c>
      <c r="G698" t="s">
        <v>12161</v>
      </c>
      <c r="H698">
        <v>20.65</v>
      </c>
      <c r="I698">
        <v>0</v>
      </c>
      <c r="J698">
        <v>0</v>
      </c>
      <c r="K698">
        <v>20</v>
      </c>
      <c r="L698">
        <v>14</v>
      </c>
      <c r="O698">
        <v>14</v>
      </c>
      <c r="P698">
        <v>4</v>
      </c>
      <c r="Q698">
        <v>0</v>
      </c>
      <c r="R698">
        <v>58.65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3</v>
      </c>
      <c r="AC698">
        <v>0</v>
      </c>
      <c r="AD698" t="s">
        <v>130</v>
      </c>
      <c r="AF698" t="s">
        <v>130</v>
      </c>
      <c r="AH698">
        <v>61.65</v>
      </c>
    </row>
    <row r="699" spans="1:34" x14ac:dyDescent="0.3">
      <c r="A699" s="4">
        <v>895</v>
      </c>
      <c r="B699" s="5">
        <v>692</v>
      </c>
      <c r="C699">
        <v>1179</v>
      </c>
      <c r="D699" t="s">
        <v>12162</v>
      </c>
      <c r="E699" t="s">
        <v>22</v>
      </c>
      <c r="F699" t="s">
        <v>12163</v>
      </c>
      <c r="G699" t="s">
        <v>12164</v>
      </c>
      <c r="H699">
        <v>23.45</v>
      </c>
      <c r="I699">
        <v>7</v>
      </c>
      <c r="J699">
        <v>0</v>
      </c>
      <c r="K699">
        <v>20</v>
      </c>
      <c r="L699">
        <v>7</v>
      </c>
      <c r="O699">
        <v>7</v>
      </c>
      <c r="P699">
        <v>4</v>
      </c>
      <c r="Q699">
        <v>0</v>
      </c>
      <c r="R699">
        <v>61.45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F699" t="s">
        <v>130</v>
      </c>
      <c r="AH699">
        <v>61.45</v>
      </c>
    </row>
    <row r="700" spans="1:34" x14ac:dyDescent="0.3">
      <c r="A700" s="4">
        <v>896</v>
      </c>
      <c r="B700" s="5">
        <v>693</v>
      </c>
      <c r="C700">
        <v>8977</v>
      </c>
      <c r="D700" t="s">
        <v>363</v>
      </c>
      <c r="E700" t="s">
        <v>29</v>
      </c>
      <c r="F700" t="s">
        <v>62</v>
      </c>
      <c r="G700" t="s">
        <v>12165</v>
      </c>
      <c r="H700">
        <v>20.38</v>
      </c>
      <c r="I700">
        <v>7</v>
      </c>
      <c r="J700">
        <v>0</v>
      </c>
      <c r="K700">
        <v>20</v>
      </c>
      <c r="L700">
        <v>7</v>
      </c>
      <c r="O700">
        <v>7</v>
      </c>
      <c r="P700">
        <v>4</v>
      </c>
      <c r="Q700">
        <v>0</v>
      </c>
      <c r="R700">
        <v>58.38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3</v>
      </c>
      <c r="AC700">
        <v>0</v>
      </c>
      <c r="AF700" t="s">
        <v>130</v>
      </c>
      <c r="AH700">
        <v>61.38</v>
      </c>
    </row>
    <row r="701" spans="1:34" x14ac:dyDescent="0.3">
      <c r="A701" s="4">
        <v>897</v>
      </c>
      <c r="B701" s="5">
        <v>694</v>
      </c>
      <c r="C701">
        <v>2056</v>
      </c>
      <c r="D701" t="s">
        <v>6423</v>
      </c>
      <c r="E701" t="s">
        <v>170</v>
      </c>
      <c r="F701" t="s">
        <v>20</v>
      </c>
      <c r="G701" t="s">
        <v>12166</v>
      </c>
      <c r="H701">
        <v>16.350000000000001</v>
      </c>
      <c r="I701">
        <v>0</v>
      </c>
      <c r="J701">
        <v>0</v>
      </c>
      <c r="K701">
        <v>28</v>
      </c>
      <c r="L701">
        <v>7</v>
      </c>
      <c r="O701">
        <v>7</v>
      </c>
      <c r="P701">
        <v>4</v>
      </c>
      <c r="Q701">
        <v>2</v>
      </c>
      <c r="R701">
        <v>57.35</v>
      </c>
      <c r="S701">
        <v>4</v>
      </c>
      <c r="T701">
        <v>4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4</v>
      </c>
      <c r="AB701">
        <v>0</v>
      </c>
      <c r="AC701">
        <v>0</v>
      </c>
      <c r="AF701" t="s">
        <v>130</v>
      </c>
      <c r="AH701">
        <v>61.35</v>
      </c>
    </row>
    <row r="702" spans="1:34" x14ac:dyDescent="0.3">
      <c r="A702" s="4">
        <v>898</v>
      </c>
      <c r="B702" s="5">
        <v>695</v>
      </c>
      <c r="C702">
        <v>10825</v>
      </c>
      <c r="D702" t="s">
        <v>12167</v>
      </c>
      <c r="E702" t="s">
        <v>33</v>
      </c>
      <c r="F702" t="s">
        <v>81</v>
      </c>
      <c r="G702" t="s">
        <v>12168</v>
      </c>
      <c r="H702">
        <v>23.25</v>
      </c>
      <c r="I702">
        <v>7</v>
      </c>
      <c r="J702">
        <v>0</v>
      </c>
      <c r="K702">
        <v>20</v>
      </c>
      <c r="L702">
        <v>7</v>
      </c>
      <c r="O702">
        <v>7</v>
      </c>
      <c r="P702">
        <v>4</v>
      </c>
      <c r="Q702">
        <v>0</v>
      </c>
      <c r="R702">
        <v>61.25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F702" t="s">
        <v>130</v>
      </c>
      <c r="AH702">
        <v>61.25</v>
      </c>
    </row>
    <row r="703" spans="1:34" x14ac:dyDescent="0.3">
      <c r="A703" s="4">
        <v>899</v>
      </c>
      <c r="B703" s="5">
        <v>696</v>
      </c>
      <c r="C703">
        <v>12584</v>
      </c>
      <c r="D703" t="s">
        <v>1907</v>
      </c>
      <c r="E703" t="s">
        <v>816</v>
      </c>
      <c r="F703" t="s">
        <v>136</v>
      </c>
      <c r="G703" t="s">
        <v>12169</v>
      </c>
      <c r="H703">
        <v>17.149999999999999</v>
      </c>
      <c r="I703">
        <v>0</v>
      </c>
      <c r="J703">
        <v>0</v>
      </c>
      <c r="K703">
        <v>20</v>
      </c>
      <c r="N703">
        <v>6</v>
      </c>
      <c r="O703">
        <v>6</v>
      </c>
      <c r="P703">
        <v>4</v>
      </c>
      <c r="Q703">
        <v>0</v>
      </c>
      <c r="R703">
        <v>47.15</v>
      </c>
      <c r="S703">
        <v>11</v>
      </c>
      <c r="T703">
        <v>11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11</v>
      </c>
      <c r="AB703">
        <v>3</v>
      </c>
      <c r="AC703">
        <v>0</v>
      </c>
      <c r="AF703" t="s">
        <v>130</v>
      </c>
      <c r="AH703">
        <v>61.15</v>
      </c>
    </row>
    <row r="704" spans="1:34" x14ac:dyDescent="0.3">
      <c r="A704" s="4">
        <v>900</v>
      </c>
      <c r="B704" s="5">
        <v>697</v>
      </c>
      <c r="C704">
        <v>4842</v>
      </c>
      <c r="D704" t="s">
        <v>2651</v>
      </c>
      <c r="E704" t="s">
        <v>471</v>
      </c>
      <c r="F704" t="s">
        <v>117</v>
      </c>
      <c r="G704" t="s">
        <v>12170</v>
      </c>
      <c r="H704">
        <v>22.05</v>
      </c>
      <c r="I704">
        <v>0</v>
      </c>
      <c r="J704">
        <v>0</v>
      </c>
      <c r="K704">
        <v>20</v>
      </c>
      <c r="L704">
        <v>7</v>
      </c>
      <c r="N704">
        <v>3</v>
      </c>
      <c r="O704">
        <v>10</v>
      </c>
      <c r="P704">
        <v>4</v>
      </c>
      <c r="Q704">
        <v>2</v>
      </c>
      <c r="R704">
        <v>58.05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3</v>
      </c>
      <c r="AC704">
        <v>0</v>
      </c>
      <c r="AF704" t="s">
        <v>130</v>
      </c>
      <c r="AH704">
        <v>61.05</v>
      </c>
    </row>
    <row r="705" spans="1:34" x14ac:dyDescent="0.3">
      <c r="A705" s="4">
        <v>902</v>
      </c>
      <c r="B705" s="5">
        <v>698</v>
      </c>
      <c r="C705">
        <v>14740</v>
      </c>
      <c r="D705" t="s">
        <v>12171</v>
      </c>
      <c r="E705" t="s">
        <v>12172</v>
      </c>
      <c r="F705" t="s">
        <v>62</v>
      </c>
      <c r="G705" t="s">
        <v>12173</v>
      </c>
      <c r="H705">
        <v>15.85</v>
      </c>
      <c r="I705">
        <v>7</v>
      </c>
      <c r="J705">
        <v>0</v>
      </c>
      <c r="K705">
        <v>20</v>
      </c>
      <c r="L705">
        <v>7</v>
      </c>
      <c r="N705">
        <v>3</v>
      </c>
      <c r="O705">
        <v>10</v>
      </c>
      <c r="P705">
        <v>0</v>
      </c>
      <c r="Q705">
        <v>2</v>
      </c>
      <c r="R705">
        <v>54.85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6</v>
      </c>
      <c r="AC705">
        <v>0</v>
      </c>
      <c r="AF705" t="s">
        <v>130</v>
      </c>
      <c r="AH705">
        <v>60.85</v>
      </c>
    </row>
    <row r="706" spans="1:34" x14ac:dyDescent="0.3">
      <c r="A706" s="4">
        <v>903</v>
      </c>
      <c r="B706" s="5">
        <v>699</v>
      </c>
      <c r="C706">
        <v>3777</v>
      </c>
      <c r="D706" t="s">
        <v>12174</v>
      </c>
      <c r="E706" t="s">
        <v>12175</v>
      </c>
      <c r="F706" t="s">
        <v>81</v>
      </c>
      <c r="G706" t="s">
        <v>12176</v>
      </c>
      <c r="H706">
        <v>17.829999999999998</v>
      </c>
      <c r="I706">
        <v>7</v>
      </c>
      <c r="J706">
        <v>0</v>
      </c>
      <c r="K706">
        <v>20</v>
      </c>
      <c r="L706">
        <v>7</v>
      </c>
      <c r="N706">
        <v>3</v>
      </c>
      <c r="O706">
        <v>10</v>
      </c>
      <c r="P706">
        <v>4</v>
      </c>
      <c r="Q706">
        <v>2</v>
      </c>
      <c r="R706">
        <v>60.83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F706" t="s">
        <v>130</v>
      </c>
      <c r="AH706">
        <v>60.83</v>
      </c>
    </row>
    <row r="707" spans="1:34" x14ac:dyDescent="0.3">
      <c r="A707" s="4">
        <v>904</v>
      </c>
      <c r="B707" s="5">
        <v>700</v>
      </c>
      <c r="C707">
        <v>2444</v>
      </c>
      <c r="D707" t="s">
        <v>12177</v>
      </c>
      <c r="E707" t="s">
        <v>17</v>
      </c>
      <c r="F707" t="s">
        <v>652</v>
      </c>
      <c r="G707" t="s">
        <v>12178</v>
      </c>
      <c r="H707">
        <v>16.75</v>
      </c>
      <c r="I707">
        <v>0</v>
      </c>
      <c r="J707">
        <v>0</v>
      </c>
      <c r="K707">
        <v>20</v>
      </c>
      <c r="L707">
        <v>14</v>
      </c>
      <c r="O707">
        <v>14</v>
      </c>
      <c r="P707">
        <v>4</v>
      </c>
      <c r="Q707">
        <v>0</v>
      </c>
      <c r="R707">
        <v>54.75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6</v>
      </c>
      <c r="AC707">
        <v>0</v>
      </c>
      <c r="AF707" t="s">
        <v>130</v>
      </c>
      <c r="AH707">
        <v>60.75</v>
      </c>
    </row>
    <row r="708" spans="1:34" x14ac:dyDescent="0.3">
      <c r="A708" s="4">
        <v>905</v>
      </c>
      <c r="B708" s="5">
        <v>701</v>
      </c>
      <c r="C708">
        <v>12325</v>
      </c>
      <c r="D708" t="s">
        <v>12179</v>
      </c>
      <c r="E708" t="s">
        <v>1189</v>
      </c>
      <c r="F708" t="s">
        <v>14</v>
      </c>
      <c r="G708" t="s">
        <v>12180</v>
      </c>
      <c r="H708">
        <v>20.63</v>
      </c>
      <c r="I708">
        <v>7</v>
      </c>
      <c r="J708">
        <v>0</v>
      </c>
      <c r="K708">
        <v>20</v>
      </c>
      <c r="L708">
        <v>7</v>
      </c>
      <c r="O708">
        <v>7</v>
      </c>
      <c r="P708">
        <v>4</v>
      </c>
      <c r="Q708">
        <v>2</v>
      </c>
      <c r="R708">
        <v>60.63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F708" t="s">
        <v>130</v>
      </c>
      <c r="AH708">
        <v>60.63</v>
      </c>
    </row>
    <row r="709" spans="1:34" x14ac:dyDescent="0.3">
      <c r="A709" s="4">
        <v>907</v>
      </c>
      <c r="B709" s="5">
        <v>702</v>
      </c>
      <c r="C709">
        <v>1310</v>
      </c>
      <c r="D709" t="s">
        <v>12181</v>
      </c>
      <c r="E709" t="s">
        <v>173</v>
      </c>
      <c r="F709" t="s">
        <v>81</v>
      </c>
      <c r="G709" t="s">
        <v>12182</v>
      </c>
      <c r="H709">
        <v>20.58</v>
      </c>
      <c r="I709">
        <v>7</v>
      </c>
      <c r="J709">
        <v>0</v>
      </c>
      <c r="K709">
        <v>20</v>
      </c>
      <c r="L709">
        <v>7</v>
      </c>
      <c r="O709">
        <v>7</v>
      </c>
      <c r="P709">
        <v>4</v>
      </c>
      <c r="Q709">
        <v>2</v>
      </c>
      <c r="R709">
        <v>60.58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F709" t="s">
        <v>130</v>
      </c>
      <c r="AH709">
        <v>60.58</v>
      </c>
    </row>
    <row r="710" spans="1:34" x14ac:dyDescent="0.3">
      <c r="A710" s="4">
        <v>908</v>
      </c>
      <c r="B710" s="5">
        <v>703</v>
      </c>
      <c r="C710">
        <v>4198</v>
      </c>
      <c r="D710" t="s">
        <v>12183</v>
      </c>
      <c r="E710" t="s">
        <v>38</v>
      </c>
      <c r="F710" t="s">
        <v>62</v>
      </c>
      <c r="G710" t="s">
        <v>12184</v>
      </c>
      <c r="H710">
        <v>20.53</v>
      </c>
      <c r="I710">
        <v>7</v>
      </c>
      <c r="J710">
        <v>0</v>
      </c>
      <c r="K710">
        <v>20</v>
      </c>
      <c r="L710">
        <v>7</v>
      </c>
      <c r="O710">
        <v>7</v>
      </c>
      <c r="P710">
        <v>4</v>
      </c>
      <c r="Q710">
        <v>2</v>
      </c>
      <c r="R710">
        <v>60.53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 t="s">
        <v>130</v>
      </c>
      <c r="AF710" t="s">
        <v>130</v>
      </c>
      <c r="AH710">
        <v>60.53</v>
      </c>
    </row>
    <row r="711" spans="1:34" x14ac:dyDescent="0.3">
      <c r="A711" s="4">
        <v>909</v>
      </c>
      <c r="B711" s="5">
        <v>704</v>
      </c>
      <c r="C711">
        <v>6365</v>
      </c>
      <c r="D711" t="s">
        <v>10409</v>
      </c>
      <c r="E711" t="s">
        <v>406</v>
      </c>
      <c r="F711" t="s">
        <v>68</v>
      </c>
      <c r="G711" t="s">
        <v>12185</v>
      </c>
      <c r="H711">
        <v>20.38</v>
      </c>
      <c r="I711">
        <v>7</v>
      </c>
      <c r="J711">
        <v>0</v>
      </c>
      <c r="K711">
        <v>20</v>
      </c>
      <c r="L711">
        <v>7</v>
      </c>
      <c r="O711">
        <v>7</v>
      </c>
      <c r="P711">
        <v>4</v>
      </c>
      <c r="Q711">
        <v>2</v>
      </c>
      <c r="R711">
        <v>60.38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F711" t="s">
        <v>130</v>
      </c>
      <c r="AH711">
        <v>60.38</v>
      </c>
    </row>
    <row r="712" spans="1:34" x14ac:dyDescent="0.3">
      <c r="A712" s="4">
        <v>910</v>
      </c>
      <c r="B712" s="5">
        <v>705</v>
      </c>
      <c r="C712">
        <v>1848</v>
      </c>
      <c r="D712" t="s">
        <v>12186</v>
      </c>
      <c r="E712" t="s">
        <v>1511</v>
      </c>
      <c r="F712" t="s">
        <v>136</v>
      </c>
      <c r="G712" t="s">
        <v>12187</v>
      </c>
      <c r="H712">
        <v>21.38</v>
      </c>
      <c r="I712">
        <v>7</v>
      </c>
      <c r="J712">
        <v>0</v>
      </c>
      <c r="K712">
        <v>20</v>
      </c>
      <c r="N712">
        <v>3</v>
      </c>
      <c r="O712">
        <v>3</v>
      </c>
      <c r="P712">
        <v>4</v>
      </c>
      <c r="Q712">
        <v>0</v>
      </c>
      <c r="R712">
        <v>55.38</v>
      </c>
      <c r="S712">
        <v>5</v>
      </c>
      <c r="T712">
        <v>5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5</v>
      </c>
      <c r="AB712">
        <v>0</v>
      </c>
      <c r="AC712">
        <v>0</v>
      </c>
      <c r="AF712" t="s">
        <v>130</v>
      </c>
      <c r="AH712">
        <v>60.38</v>
      </c>
    </row>
    <row r="713" spans="1:34" x14ac:dyDescent="0.3">
      <c r="A713" s="4">
        <v>911</v>
      </c>
      <c r="B713" s="5">
        <v>706</v>
      </c>
      <c r="C713">
        <v>12374</v>
      </c>
      <c r="D713" t="s">
        <v>4536</v>
      </c>
      <c r="E713" t="s">
        <v>935</v>
      </c>
      <c r="F713" t="s">
        <v>425</v>
      </c>
      <c r="G713" t="s">
        <v>12188</v>
      </c>
      <c r="H713">
        <v>20.28</v>
      </c>
      <c r="I713">
        <v>7</v>
      </c>
      <c r="J713">
        <v>0</v>
      </c>
      <c r="K713">
        <v>20</v>
      </c>
      <c r="L713">
        <v>7</v>
      </c>
      <c r="O713">
        <v>7</v>
      </c>
      <c r="P713">
        <v>4</v>
      </c>
      <c r="Q713">
        <v>2</v>
      </c>
      <c r="R713">
        <v>60.28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F713" t="s">
        <v>130</v>
      </c>
      <c r="AH713">
        <v>60.28</v>
      </c>
    </row>
    <row r="714" spans="1:34" x14ac:dyDescent="0.3">
      <c r="A714" s="4">
        <v>913</v>
      </c>
      <c r="B714" s="5">
        <v>707</v>
      </c>
      <c r="C714">
        <v>5682</v>
      </c>
      <c r="D714" t="s">
        <v>12189</v>
      </c>
      <c r="E714" t="s">
        <v>190</v>
      </c>
      <c r="F714" t="s">
        <v>243</v>
      </c>
      <c r="G714" t="s">
        <v>12190</v>
      </c>
      <c r="H714">
        <v>21.9</v>
      </c>
      <c r="I714">
        <v>7</v>
      </c>
      <c r="J714">
        <v>0</v>
      </c>
      <c r="K714">
        <v>20</v>
      </c>
      <c r="L714">
        <v>7</v>
      </c>
      <c r="O714">
        <v>7</v>
      </c>
      <c r="P714">
        <v>4</v>
      </c>
      <c r="Q714">
        <v>0</v>
      </c>
      <c r="R714">
        <v>59.9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F714" t="s">
        <v>130</v>
      </c>
      <c r="AH714">
        <v>59.9</v>
      </c>
    </row>
    <row r="715" spans="1:34" x14ac:dyDescent="0.3">
      <c r="A715" s="4">
        <v>914</v>
      </c>
      <c r="B715" s="5">
        <v>708</v>
      </c>
      <c r="C715">
        <v>4896</v>
      </c>
      <c r="D715" t="s">
        <v>12191</v>
      </c>
      <c r="E715" t="s">
        <v>88</v>
      </c>
      <c r="F715" t="s">
        <v>243</v>
      </c>
      <c r="G715" t="s">
        <v>12192</v>
      </c>
      <c r="H715">
        <v>18.68</v>
      </c>
      <c r="I715">
        <v>7</v>
      </c>
      <c r="J715">
        <v>0</v>
      </c>
      <c r="K715">
        <v>20</v>
      </c>
      <c r="L715">
        <v>7</v>
      </c>
      <c r="O715">
        <v>7</v>
      </c>
      <c r="P715">
        <v>4</v>
      </c>
      <c r="Q715">
        <v>0</v>
      </c>
      <c r="R715">
        <v>56.68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3</v>
      </c>
      <c r="AC715">
        <v>0</v>
      </c>
      <c r="AD715" t="s">
        <v>130</v>
      </c>
      <c r="AF715" t="s">
        <v>130</v>
      </c>
      <c r="AH715">
        <v>59.68</v>
      </c>
    </row>
    <row r="716" spans="1:34" x14ac:dyDescent="0.3">
      <c r="A716" s="4">
        <v>915</v>
      </c>
      <c r="B716" s="5">
        <v>709</v>
      </c>
      <c r="C716">
        <v>1911</v>
      </c>
      <c r="D716" t="s">
        <v>3587</v>
      </c>
      <c r="E716" t="s">
        <v>213</v>
      </c>
      <c r="F716" t="s">
        <v>17</v>
      </c>
      <c r="G716" t="s">
        <v>12193</v>
      </c>
      <c r="H716">
        <v>17.63</v>
      </c>
      <c r="I716">
        <v>0</v>
      </c>
      <c r="J716">
        <v>0</v>
      </c>
      <c r="K716">
        <v>20</v>
      </c>
      <c r="L716">
        <v>7</v>
      </c>
      <c r="O716">
        <v>7</v>
      </c>
      <c r="P716">
        <v>4</v>
      </c>
      <c r="Q716">
        <v>2</v>
      </c>
      <c r="R716">
        <v>50.63</v>
      </c>
      <c r="S716">
        <v>9</v>
      </c>
      <c r="T716">
        <v>9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9</v>
      </c>
      <c r="AB716">
        <v>0</v>
      </c>
      <c r="AC716">
        <v>0</v>
      </c>
      <c r="AF716" t="s">
        <v>130</v>
      </c>
      <c r="AH716">
        <v>59.63</v>
      </c>
    </row>
    <row r="717" spans="1:34" x14ac:dyDescent="0.3">
      <c r="A717" s="4">
        <v>917</v>
      </c>
      <c r="B717" s="5">
        <v>710</v>
      </c>
      <c r="C717">
        <v>6529</v>
      </c>
      <c r="D717" t="s">
        <v>12194</v>
      </c>
      <c r="E717" t="s">
        <v>147</v>
      </c>
      <c r="F717" t="s">
        <v>20</v>
      </c>
      <c r="G717" t="s">
        <v>12195</v>
      </c>
      <c r="H717">
        <v>12.5</v>
      </c>
      <c r="I717">
        <v>7</v>
      </c>
      <c r="J717">
        <v>0</v>
      </c>
      <c r="K717">
        <v>20</v>
      </c>
      <c r="L717">
        <v>14</v>
      </c>
      <c r="O717">
        <v>14</v>
      </c>
      <c r="P717">
        <v>4</v>
      </c>
      <c r="Q717">
        <v>2</v>
      </c>
      <c r="R717">
        <v>59.5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F717" t="s">
        <v>130</v>
      </c>
      <c r="AH717">
        <v>59.5</v>
      </c>
    </row>
    <row r="718" spans="1:34" x14ac:dyDescent="0.3">
      <c r="A718" s="4">
        <v>918</v>
      </c>
      <c r="B718" s="5">
        <v>711</v>
      </c>
      <c r="C718">
        <v>13201</v>
      </c>
      <c r="D718" t="s">
        <v>731</v>
      </c>
      <c r="E718" t="s">
        <v>12196</v>
      </c>
      <c r="F718" t="s">
        <v>68</v>
      </c>
      <c r="G718" t="s">
        <v>12197</v>
      </c>
      <c r="H718">
        <v>20.45</v>
      </c>
      <c r="I718">
        <v>0</v>
      </c>
      <c r="J718">
        <v>0</v>
      </c>
      <c r="K718">
        <v>20</v>
      </c>
      <c r="L718">
        <v>7</v>
      </c>
      <c r="N718">
        <v>3</v>
      </c>
      <c r="O718">
        <v>10</v>
      </c>
      <c r="P718">
        <v>4</v>
      </c>
      <c r="Q718">
        <v>2</v>
      </c>
      <c r="R718">
        <v>56.45</v>
      </c>
      <c r="S718">
        <v>3</v>
      </c>
      <c r="T718">
        <v>3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3</v>
      </c>
      <c r="AB718">
        <v>0</v>
      </c>
      <c r="AC718">
        <v>0</v>
      </c>
      <c r="AF718" t="s">
        <v>130</v>
      </c>
      <c r="AH718">
        <v>59.45</v>
      </c>
    </row>
    <row r="719" spans="1:34" x14ac:dyDescent="0.3">
      <c r="A719" s="4">
        <v>919</v>
      </c>
      <c r="B719" s="5">
        <v>712</v>
      </c>
      <c r="C719">
        <v>15547</v>
      </c>
      <c r="D719" t="s">
        <v>12198</v>
      </c>
      <c r="E719" t="s">
        <v>100</v>
      </c>
      <c r="F719" t="s">
        <v>117</v>
      </c>
      <c r="G719" t="s">
        <v>12199</v>
      </c>
      <c r="H719">
        <v>19.23</v>
      </c>
      <c r="I719">
        <v>7</v>
      </c>
      <c r="J719">
        <v>0</v>
      </c>
      <c r="K719">
        <v>20</v>
      </c>
      <c r="L719">
        <v>7</v>
      </c>
      <c r="O719">
        <v>7</v>
      </c>
      <c r="P719">
        <v>4</v>
      </c>
      <c r="Q719">
        <v>2</v>
      </c>
      <c r="R719">
        <v>59.23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F719" t="s">
        <v>130</v>
      </c>
      <c r="AH719">
        <v>59.23</v>
      </c>
    </row>
    <row r="720" spans="1:34" x14ac:dyDescent="0.3">
      <c r="A720" s="4">
        <v>920</v>
      </c>
      <c r="B720" s="5">
        <v>713</v>
      </c>
      <c r="C720">
        <v>4377</v>
      </c>
      <c r="D720" t="s">
        <v>342</v>
      </c>
      <c r="E720" t="s">
        <v>3181</v>
      </c>
      <c r="F720" t="s">
        <v>81</v>
      </c>
      <c r="G720" t="s">
        <v>12200</v>
      </c>
      <c r="H720">
        <v>17.100000000000001</v>
      </c>
      <c r="I720">
        <v>0</v>
      </c>
      <c r="J720">
        <v>0</v>
      </c>
      <c r="K720">
        <v>20</v>
      </c>
      <c r="L720">
        <v>7</v>
      </c>
      <c r="O720">
        <v>7</v>
      </c>
      <c r="P720">
        <v>4</v>
      </c>
      <c r="Q720">
        <v>0</v>
      </c>
      <c r="R720">
        <v>48.1</v>
      </c>
      <c r="S720">
        <v>11</v>
      </c>
      <c r="T720">
        <v>11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11</v>
      </c>
      <c r="AB720">
        <v>0</v>
      </c>
      <c r="AC720">
        <v>0</v>
      </c>
      <c r="AF720" t="s">
        <v>130</v>
      </c>
      <c r="AH720">
        <v>59.1</v>
      </c>
    </row>
    <row r="721" spans="1:34" x14ac:dyDescent="0.3">
      <c r="A721" s="4">
        <v>921</v>
      </c>
      <c r="B721" s="5">
        <v>714</v>
      </c>
      <c r="C721">
        <v>678</v>
      </c>
      <c r="D721" t="s">
        <v>2867</v>
      </c>
      <c r="E721" t="s">
        <v>12201</v>
      </c>
      <c r="F721" t="s">
        <v>20</v>
      </c>
      <c r="G721" t="s">
        <v>12202</v>
      </c>
      <c r="H721">
        <v>15.93</v>
      </c>
      <c r="I721">
        <v>7</v>
      </c>
      <c r="J721">
        <v>0</v>
      </c>
      <c r="K721">
        <v>20</v>
      </c>
      <c r="L721">
        <v>7</v>
      </c>
      <c r="O721">
        <v>7</v>
      </c>
      <c r="P721">
        <v>4</v>
      </c>
      <c r="Q721">
        <v>2</v>
      </c>
      <c r="R721">
        <v>55.93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3</v>
      </c>
      <c r="AC721">
        <v>0</v>
      </c>
      <c r="AD721" t="s">
        <v>130</v>
      </c>
      <c r="AF721" t="s">
        <v>130</v>
      </c>
      <c r="AH721">
        <v>58.93</v>
      </c>
    </row>
    <row r="722" spans="1:34" x14ac:dyDescent="0.3">
      <c r="A722" s="4">
        <v>922</v>
      </c>
      <c r="B722" s="5">
        <v>715</v>
      </c>
      <c r="C722">
        <v>6413</v>
      </c>
      <c r="D722" t="s">
        <v>1296</v>
      </c>
      <c r="E722" t="s">
        <v>37</v>
      </c>
      <c r="F722" t="s">
        <v>30</v>
      </c>
      <c r="G722" t="s">
        <v>12203</v>
      </c>
      <c r="H722">
        <v>20.88</v>
      </c>
      <c r="I722">
        <v>7</v>
      </c>
      <c r="J722">
        <v>0</v>
      </c>
      <c r="K722">
        <v>20</v>
      </c>
      <c r="M722">
        <v>5</v>
      </c>
      <c r="O722">
        <v>5</v>
      </c>
      <c r="P722">
        <v>4</v>
      </c>
      <c r="Q722">
        <v>2</v>
      </c>
      <c r="R722">
        <v>58.88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F722" t="s">
        <v>130</v>
      </c>
      <c r="AH722">
        <v>58.88</v>
      </c>
    </row>
    <row r="723" spans="1:34" x14ac:dyDescent="0.3">
      <c r="A723" s="4">
        <v>923</v>
      </c>
      <c r="B723" s="5">
        <v>716</v>
      </c>
      <c r="C723">
        <v>3382</v>
      </c>
      <c r="D723" t="s">
        <v>10688</v>
      </c>
      <c r="E723" t="s">
        <v>17</v>
      </c>
      <c r="F723" t="s">
        <v>20</v>
      </c>
      <c r="G723" t="s">
        <v>12204</v>
      </c>
      <c r="H723">
        <v>18.88</v>
      </c>
      <c r="I723">
        <v>7</v>
      </c>
      <c r="J723">
        <v>0</v>
      </c>
      <c r="K723">
        <v>28</v>
      </c>
      <c r="M723">
        <v>5</v>
      </c>
      <c r="O723">
        <v>5</v>
      </c>
      <c r="P723">
        <v>0</v>
      </c>
      <c r="Q723">
        <v>0</v>
      </c>
      <c r="R723">
        <v>58.88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F723" t="s">
        <v>130</v>
      </c>
      <c r="AH723">
        <v>58.88</v>
      </c>
    </row>
    <row r="724" spans="1:34" x14ac:dyDescent="0.3">
      <c r="A724" s="4">
        <v>924</v>
      </c>
      <c r="B724" s="5">
        <v>717</v>
      </c>
      <c r="C724">
        <v>7660</v>
      </c>
      <c r="D724" t="s">
        <v>6906</v>
      </c>
      <c r="E724" t="s">
        <v>161</v>
      </c>
      <c r="F724" t="s">
        <v>81</v>
      </c>
      <c r="G724" t="s">
        <v>12205</v>
      </c>
      <c r="H724">
        <v>20.73</v>
      </c>
      <c r="I724">
        <v>0</v>
      </c>
      <c r="J724">
        <v>0</v>
      </c>
      <c r="K724">
        <v>20</v>
      </c>
      <c r="N724">
        <v>6</v>
      </c>
      <c r="O724">
        <v>6</v>
      </c>
      <c r="P724">
        <v>4</v>
      </c>
      <c r="Q724">
        <v>2</v>
      </c>
      <c r="R724">
        <v>52.73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6</v>
      </c>
      <c r="AC724">
        <v>0</v>
      </c>
      <c r="AF724" t="s">
        <v>130</v>
      </c>
      <c r="AH724">
        <v>58.73</v>
      </c>
    </row>
    <row r="725" spans="1:34" x14ac:dyDescent="0.3">
      <c r="A725" s="4">
        <v>925</v>
      </c>
      <c r="B725" s="5">
        <v>718</v>
      </c>
      <c r="C725">
        <v>4625</v>
      </c>
      <c r="D725" t="s">
        <v>9312</v>
      </c>
      <c r="E725" t="s">
        <v>33</v>
      </c>
      <c r="F725" t="s">
        <v>91</v>
      </c>
      <c r="G725" t="s">
        <v>12206</v>
      </c>
      <c r="H725">
        <v>23.7</v>
      </c>
      <c r="I725">
        <v>7</v>
      </c>
      <c r="J725">
        <v>0</v>
      </c>
      <c r="K725">
        <v>20</v>
      </c>
      <c r="N725">
        <v>3</v>
      </c>
      <c r="O725">
        <v>3</v>
      </c>
      <c r="P725">
        <v>0</v>
      </c>
      <c r="Q725">
        <v>2</v>
      </c>
      <c r="R725">
        <v>55.7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3</v>
      </c>
      <c r="AC725">
        <v>0</v>
      </c>
      <c r="AF725" t="s">
        <v>130</v>
      </c>
      <c r="AH725">
        <v>58.7</v>
      </c>
    </row>
    <row r="726" spans="1:34" x14ac:dyDescent="0.3">
      <c r="A726" s="4">
        <v>926</v>
      </c>
      <c r="B726" s="5">
        <v>719</v>
      </c>
      <c r="C726">
        <v>4756</v>
      </c>
      <c r="D726" t="s">
        <v>12207</v>
      </c>
      <c r="E726" t="s">
        <v>178</v>
      </c>
      <c r="F726" t="s">
        <v>12208</v>
      </c>
      <c r="G726" t="s">
        <v>12209</v>
      </c>
      <c r="H726">
        <v>20.55</v>
      </c>
      <c r="I726">
        <v>0</v>
      </c>
      <c r="J726">
        <v>0</v>
      </c>
      <c r="K726">
        <v>20</v>
      </c>
      <c r="M726">
        <v>5</v>
      </c>
      <c r="N726">
        <v>3</v>
      </c>
      <c r="O726">
        <v>8</v>
      </c>
      <c r="P726">
        <v>4</v>
      </c>
      <c r="Q726">
        <v>0</v>
      </c>
      <c r="R726">
        <v>52.55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6</v>
      </c>
      <c r="AC726">
        <v>0</v>
      </c>
      <c r="AF726" t="s">
        <v>130</v>
      </c>
      <c r="AH726">
        <v>58.55</v>
      </c>
    </row>
    <row r="727" spans="1:34" x14ac:dyDescent="0.3">
      <c r="A727" s="4">
        <v>927</v>
      </c>
      <c r="B727" s="5">
        <v>720</v>
      </c>
      <c r="C727">
        <v>8335</v>
      </c>
      <c r="D727" t="s">
        <v>12210</v>
      </c>
      <c r="E727" t="s">
        <v>29</v>
      </c>
      <c r="F727" t="s">
        <v>158</v>
      </c>
      <c r="G727" t="s">
        <v>12211</v>
      </c>
      <c r="H727">
        <v>21.35</v>
      </c>
      <c r="I727">
        <v>7</v>
      </c>
      <c r="J727">
        <v>0</v>
      </c>
      <c r="K727">
        <v>0</v>
      </c>
      <c r="L727">
        <v>7</v>
      </c>
      <c r="N727">
        <v>3</v>
      </c>
      <c r="O727">
        <v>10</v>
      </c>
      <c r="P727">
        <v>4</v>
      </c>
      <c r="Q727">
        <v>2</v>
      </c>
      <c r="R727">
        <v>44.35</v>
      </c>
      <c r="S727">
        <v>14</v>
      </c>
      <c r="T727">
        <v>14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14</v>
      </c>
      <c r="AB727">
        <v>0</v>
      </c>
      <c r="AC727">
        <v>0</v>
      </c>
      <c r="AF727" t="s">
        <v>130</v>
      </c>
      <c r="AH727">
        <v>58.35</v>
      </c>
    </row>
    <row r="728" spans="1:34" x14ac:dyDescent="0.3">
      <c r="A728" s="4">
        <v>928</v>
      </c>
      <c r="B728" s="5">
        <v>721</v>
      </c>
      <c r="C728">
        <v>3502</v>
      </c>
      <c r="D728" t="s">
        <v>1133</v>
      </c>
      <c r="E728" t="s">
        <v>29</v>
      </c>
      <c r="F728" t="s">
        <v>782</v>
      </c>
      <c r="G728" t="s">
        <v>12212</v>
      </c>
      <c r="H728">
        <v>19.28</v>
      </c>
      <c r="I728">
        <v>7</v>
      </c>
      <c r="J728">
        <v>0</v>
      </c>
      <c r="K728">
        <v>20</v>
      </c>
      <c r="N728">
        <v>6</v>
      </c>
      <c r="O728">
        <v>6</v>
      </c>
      <c r="P728">
        <v>4</v>
      </c>
      <c r="Q728">
        <v>2</v>
      </c>
      <c r="R728">
        <v>58.28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F728" t="s">
        <v>130</v>
      </c>
      <c r="AH728">
        <v>58.28</v>
      </c>
    </row>
    <row r="729" spans="1:34" x14ac:dyDescent="0.3">
      <c r="A729" s="4">
        <v>930</v>
      </c>
      <c r="B729" s="5">
        <v>722</v>
      </c>
      <c r="C729">
        <v>1196</v>
      </c>
      <c r="D729" t="s">
        <v>12213</v>
      </c>
      <c r="E729" t="s">
        <v>117</v>
      </c>
      <c r="F729" t="s">
        <v>38</v>
      </c>
      <c r="G729">
        <v>1793</v>
      </c>
      <c r="H729">
        <v>20</v>
      </c>
      <c r="I729">
        <v>7</v>
      </c>
      <c r="J729">
        <v>0</v>
      </c>
      <c r="K729">
        <v>20</v>
      </c>
      <c r="L729">
        <v>7</v>
      </c>
      <c r="O729">
        <v>7</v>
      </c>
      <c r="P729">
        <v>4</v>
      </c>
      <c r="Q729">
        <v>0</v>
      </c>
      <c r="R729">
        <v>58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F729" t="s">
        <v>130</v>
      </c>
      <c r="AH729">
        <v>58</v>
      </c>
    </row>
    <row r="730" spans="1:34" x14ac:dyDescent="0.3">
      <c r="A730" s="4">
        <v>931</v>
      </c>
      <c r="B730" s="5">
        <v>723</v>
      </c>
      <c r="C730">
        <v>1711</v>
      </c>
      <c r="D730" t="s">
        <v>12214</v>
      </c>
      <c r="E730" t="s">
        <v>12215</v>
      </c>
      <c r="F730" t="s">
        <v>38</v>
      </c>
      <c r="G730" t="s">
        <v>12216</v>
      </c>
      <c r="H730">
        <v>20.7</v>
      </c>
      <c r="I730">
        <v>0</v>
      </c>
      <c r="J730">
        <v>0</v>
      </c>
      <c r="K730">
        <v>20</v>
      </c>
      <c r="L730">
        <v>7</v>
      </c>
      <c r="N730">
        <v>3</v>
      </c>
      <c r="O730">
        <v>10</v>
      </c>
      <c r="P730">
        <v>4</v>
      </c>
      <c r="Q730">
        <v>0</v>
      </c>
      <c r="R730">
        <v>54.7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3</v>
      </c>
      <c r="AC730">
        <v>0</v>
      </c>
      <c r="AF730" t="s">
        <v>130</v>
      </c>
      <c r="AH730">
        <v>57.7</v>
      </c>
    </row>
    <row r="731" spans="1:34" x14ac:dyDescent="0.3">
      <c r="A731" s="4">
        <v>933</v>
      </c>
      <c r="B731" s="5">
        <v>724</v>
      </c>
      <c r="C731">
        <v>13363</v>
      </c>
      <c r="D731" t="s">
        <v>8684</v>
      </c>
      <c r="E731" t="s">
        <v>161</v>
      </c>
      <c r="F731" t="s">
        <v>20</v>
      </c>
      <c r="G731" t="s">
        <v>8685</v>
      </c>
      <c r="H731">
        <v>17.579999999999998</v>
      </c>
      <c r="I731">
        <v>7</v>
      </c>
      <c r="J731">
        <v>0</v>
      </c>
      <c r="K731">
        <v>20</v>
      </c>
      <c r="L731">
        <v>7</v>
      </c>
      <c r="O731">
        <v>7</v>
      </c>
      <c r="P731">
        <v>4</v>
      </c>
      <c r="Q731">
        <v>2</v>
      </c>
      <c r="R731">
        <v>57.58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 t="s">
        <v>130</v>
      </c>
      <c r="AF731" t="s">
        <v>130</v>
      </c>
      <c r="AH731">
        <v>57.58</v>
      </c>
    </row>
    <row r="732" spans="1:34" x14ac:dyDescent="0.3">
      <c r="A732" s="4">
        <v>934</v>
      </c>
      <c r="B732" s="5">
        <v>725</v>
      </c>
      <c r="C732">
        <v>1743</v>
      </c>
      <c r="D732" t="s">
        <v>3091</v>
      </c>
      <c r="E732" t="s">
        <v>161</v>
      </c>
      <c r="F732" t="s">
        <v>17</v>
      </c>
      <c r="G732" t="s">
        <v>12217</v>
      </c>
      <c r="H732">
        <v>16.53</v>
      </c>
      <c r="I732">
        <v>0</v>
      </c>
      <c r="J732">
        <v>0</v>
      </c>
      <c r="K732">
        <v>28</v>
      </c>
      <c r="L732">
        <v>7</v>
      </c>
      <c r="O732">
        <v>7</v>
      </c>
      <c r="P732">
        <v>4</v>
      </c>
      <c r="Q732">
        <v>2</v>
      </c>
      <c r="R732">
        <v>57.53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F732" t="s">
        <v>130</v>
      </c>
      <c r="AH732">
        <v>57.53</v>
      </c>
    </row>
    <row r="733" spans="1:34" x14ac:dyDescent="0.3">
      <c r="A733" s="4">
        <v>935</v>
      </c>
      <c r="B733" s="5">
        <v>726</v>
      </c>
      <c r="C733">
        <v>8724</v>
      </c>
      <c r="D733" t="s">
        <v>3587</v>
      </c>
      <c r="E733" t="s">
        <v>41</v>
      </c>
      <c r="F733" t="s">
        <v>343</v>
      </c>
      <c r="G733" t="s">
        <v>12218</v>
      </c>
      <c r="H733">
        <v>21.48</v>
      </c>
      <c r="I733">
        <v>0</v>
      </c>
      <c r="J733">
        <v>0</v>
      </c>
      <c r="K733">
        <v>20</v>
      </c>
      <c r="L733">
        <v>7</v>
      </c>
      <c r="N733">
        <v>3</v>
      </c>
      <c r="O733">
        <v>10</v>
      </c>
      <c r="P733">
        <v>4</v>
      </c>
      <c r="Q733">
        <v>2</v>
      </c>
      <c r="R733">
        <v>57.48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F733" t="s">
        <v>130</v>
      </c>
      <c r="AH733">
        <v>57.48</v>
      </c>
    </row>
    <row r="734" spans="1:34" x14ac:dyDescent="0.3">
      <c r="A734" s="4">
        <v>936</v>
      </c>
      <c r="B734" s="5">
        <v>727</v>
      </c>
      <c r="C734">
        <v>11201</v>
      </c>
      <c r="D734" t="s">
        <v>12219</v>
      </c>
      <c r="E734" t="s">
        <v>88</v>
      </c>
      <c r="F734" t="s">
        <v>81</v>
      </c>
      <c r="G734" t="s">
        <v>12220</v>
      </c>
      <c r="H734">
        <v>21.35</v>
      </c>
      <c r="I734">
        <v>7</v>
      </c>
      <c r="J734">
        <v>0</v>
      </c>
      <c r="K734">
        <v>0</v>
      </c>
      <c r="L734">
        <v>7</v>
      </c>
      <c r="N734">
        <v>3</v>
      </c>
      <c r="O734">
        <v>10</v>
      </c>
      <c r="P734">
        <v>4</v>
      </c>
      <c r="Q734">
        <v>0</v>
      </c>
      <c r="R734">
        <v>42.35</v>
      </c>
      <c r="S734">
        <v>15</v>
      </c>
      <c r="T734">
        <v>15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15</v>
      </c>
      <c r="AB734">
        <v>0</v>
      </c>
      <c r="AC734">
        <v>0</v>
      </c>
      <c r="AF734" t="s">
        <v>130</v>
      </c>
      <c r="AH734">
        <v>57.35</v>
      </c>
    </row>
    <row r="735" spans="1:34" x14ac:dyDescent="0.3">
      <c r="A735" s="4">
        <v>937</v>
      </c>
      <c r="B735" s="5">
        <v>728</v>
      </c>
      <c r="C735">
        <v>7717</v>
      </c>
      <c r="D735" t="s">
        <v>12221</v>
      </c>
      <c r="E735" t="s">
        <v>1997</v>
      </c>
      <c r="F735" t="s">
        <v>167</v>
      </c>
      <c r="G735" t="s">
        <v>12222</v>
      </c>
      <c r="H735">
        <v>17.329999999999998</v>
      </c>
      <c r="I735">
        <v>0</v>
      </c>
      <c r="J735">
        <v>0</v>
      </c>
      <c r="K735">
        <v>20</v>
      </c>
      <c r="N735">
        <v>3</v>
      </c>
      <c r="O735">
        <v>3</v>
      </c>
      <c r="P735">
        <v>4</v>
      </c>
      <c r="Q735">
        <v>0</v>
      </c>
      <c r="R735">
        <v>44.33</v>
      </c>
      <c r="S735">
        <v>10</v>
      </c>
      <c r="T735">
        <v>10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10</v>
      </c>
      <c r="AB735">
        <v>3</v>
      </c>
      <c r="AC735">
        <v>0</v>
      </c>
      <c r="AF735" t="s">
        <v>130</v>
      </c>
      <c r="AH735">
        <v>57.33</v>
      </c>
    </row>
    <row r="736" spans="1:34" x14ac:dyDescent="0.3">
      <c r="A736" s="4">
        <v>938</v>
      </c>
      <c r="B736" s="5">
        <v>729</v>
      </c>
      <c r="C736">
        <v>15075</v>
      </c>
      <c r="D736" t="s">
        <v>10584</v>
      </c>
      <c r="E736" t="s">
        <v>88</v>
      </c>
      <c r="F736" t="s">
        <v>30</v>
      </c>
      <c r="G736" t="s">
        <v>12223</v>
      </c>
      <c r="H736">
        <v>19.329999999999998</v>
      </c>
      <c r="I736">
        <v>7</v>
      </c>
      <c r="J736">
        <v>0</v>
      </c>
      <c r="K736">
        <v>20</v>
      </c>
      <c r="L736">
        <v>7</v>
      </c>
      <c r="O736">
        <v>7</v>
      </c>
      <c r="P736">
        <v>4</v>
      </c>
      <c r="Q736">
        <v>0</v>
      </c>
      <c r="R736">
        <v>57.33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F736" t="s">
        <v>130</v>
      </c>
      <c r="AH736">
        <v>57.33</v>
      </c>
    </row>
    <row r="737" spans="1:34" x14ac:dyDescent="0.3">
      <c r="A737" s="4">
        <v>939</v>
      </c>
      <c r="B737" s="5">
        <v>730</v>
      </c>
      <c r="C737">
        <v>9838</v>
      </c>
      <c r="D737" t="s">
        <v>12224</v>
      </c>
      <c r="E737" t="s">
        <v>29</v>
      </c>
      <c r="F737" t="s">
        <v>17</v>
      </c>
      <c r="G737" t="s">
        <v>12225</v>
      </c>
      <c r="H737">
        <v>17.25</v>
      </c>
      <c r="I737">
        <v>0</v>
      </c>
      <c r="J737">
        <v>0</v>
      </c>
      <c r="K737">
        <v>20</v>
      </c>
      <c r="L737">
        <v>7</v>
      </c>
      <c r="O737">
        <v>7</v>
      </c>
      <c r="P737">
        <v>4</v>
      </c>
      <c r="Q737">
        <v>0</v>
      </c>
      <c r="R737">
        <v>48.25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9</v>
      </c>
      <c r="AC737">
        <v>0</v>
      </c>
      <c r="AF737" t="s">
        <v>130</v>
      </c>
      <c r="AH737">
        <v>57.25</v>
      </c>
    </row>
    <row r="738" spans="1:34" x14ac:dyDescent="0.3">
      <c r="A738" s="4">
        <v>940</v>
      </c>
      <c r="B738" s="5">
        <v>731</v>
      </c>
      <c r="C738">
        <v>1508</v>
      </c>
      <c r="D738" t="s">
        <v>12226</v>
      </c>
      <c r="E738" t="s">
        <v>667</v>
      </c>
      <c r="F738" t="s">
        <v>30</v>
      </c>
      <c r="G738" t="s">
        <v>12227</v>
      </c>
      <c r="H738">
        <v>17.23</v>
      </c>
      <c r="I738">
        <v>0</v>
      </c>
      <c r="J738">
        <v>0</v>
      </c>
      <c r="K738">
        <v>0</v>
      </c>
      <c r="L738">
        <v>7</v>
      </c>
      <c r="O738">
        <v>7</v>
      </c>
      <c r="P738">
        <v>4</v>
      </c>
      <c r="Q738">
        <v>2</v>
      </c>
      <c r="R738">
        <v>30.23</v>
      </c>
      <c r="S738">
        <v>11</v>
      </c>
      <c r="T738">
        <v>11</v>
      </c>
      <c r="U738">
        <v>8</v>
      </c>
      <c r="V738">
        <v>16</v>
      </c>
      <c r="W738">
        <v>0</v>
      </c>
      <c r="X738">
        <v>0</v>
      </c>
      <c r="Y738">
        <v>0</v>
      </c>
      <c r="Z738">
        <v>0</v>
      </c>
      <c r="AA738">
        <v>27</v>
      </c>
      <c r="AB738">
        <v>0</v>
      </c>
      <c r="AC738">
        <v>0</v>
      </c>
      <c r="AF738" t="s">
        <v>130</v>
      </c>
      <c r="AH738">
        <v>57.23</v>
      </c>
    </row>
    <row r="739" spans="1:34" x14ac:dyDescent="0.3">
      <c r="A739" s="4">
        <v>941</v>
      </c>
      <c r="B739" s="5">
        <v>732</v>
      </c>
      <c r="C739">
        <v>4079</v>
      </c>
      <c r="D739" t="s">
        <v>12228</v>
      </c>
      <c r="E739" t="s">
        <v>62</v>
      </c>
      <c r="F739" t="s">
        <v>158</v>
      </c>
      <c r="G739" t="s">
        <v>12229</v>
      </c>
      <c r="H739">
        <v>17.2</v>
      </c>
      <c r="I739">
        <v>7</v>
      </c>
      <c r="J739">
        <v>0</v>
      </c>
      <c r="K739">
        <v>20</v>
      </c>
      <c r="L739">
        <v>7</v>
      </c>
      <c r="O739">
        <v>7</v>
      </c>
      <c r="P739">
        <v>0</v>
      </c>
      <c r="Q739">
        <v>0</v>
      </c>
      <c r="R739">
        <v>51.2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6</v>
      </c>
      <c r="AC739">
        <v>0</v>
      </c>
      <c r="AF739" t="s">
        <v>130</v>
      </c>
      <c r="AH739">
        <v>57.2</v>
      </c>
    </row>
    <row r="740" spans="1:34" x14ac:dyDescent="0.3">
      <c r="A740" s="4">
        <v>942</v>
      </c>
      <c r="B740" s="5">
        <v>733</v>
      </c>
      <c r="C740">
        <v>10960</v>
      </c>
      <c r="D740" t="s">
        <v>2024</v>
      </c>
      <c r="E740" t="s">
        <v>19</v>
      </c>
      <c r="F740" t="s">
        <v>81</v>
      </c>
      <c r="G740" t="s">
        <v>12230</v>
      </c>
      <c r="H740">
        <v>17.18</v>
      </c>
      <c r="I740">
        <v>7</v>
      </c>
      <c r="J740">
        <v>0</v>
      </c>
      <c r="K740">
        <v>20</v>
      </c>
      <c r="L740">
        <v>7</v>
      </c>
      <c r="O740">
        <v>7</v>
      </c>
      <c r="P740">
        <v>4</v>
      </c>
      <c r="Q740">
        <v>2</v>
      </c>
      <c r="R740">
        <v>57.18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 t="s">
        <v>130</v>
      </c>
      <c r="AF740" t="s">
        <v>130</v>
      </c>
      <c r="AH740">
        <v>57.18</v>
      </c>
    </row>
    <row r="741" spans="1:34" x14ac:dyDescent="0.3">
      <c r="A741" s="4">
        <v>945</v>
      </c>
      <c r="B741" s="5">
        <v>734</v>
      </c>
      <c r="C741">
        <v>8488</v>
      </c>
      <c r="D741" t="s">
        <v>3181</v>
      </c>
      <c r="E741" t="s">
        <v>2481</v>
      </c>
      <c r="F741" t="s">
        <v>328</v>
      </c>
      <c r="G741" t="s">
        <v>12231</v>
      </c>
      <c r="H741">
        <v>17.95</v>
      </c>
      <c r="I741">
        <v>0</v>
      </c>
      <c r="J741">
        <v>0</v>
      </c>
      <c r="K741">
        <v>20</v>
      </c>
      <c r="L741">
        <v>7</v>
      </c>
      <c r="N741">
        <v>3</v>
      </c>
      <c r="O741">
        <v>10</v>
      </c>
      <c r="P741">
        <v>4</v>
      </c>
      <c r="Q741">
        <v>2</v>
      </c>
      <c r="R741">
        <v>53.95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3</v>
      </c>
      <c r="AC741">
        <v>0</v>
      </c>
      <c r="AF741" t="s">
        <v>130</v>
      </c>
      <c r="AH741">
        <v>56.95</v>
      </c>
    </row>
    <row r="742" spans="1:34" x14ac:dyDescent="0.3">
      <c r="A742" s="4">
        <v>946</v>
      </c>
      <c r="B742" s="5">
        <v>735</v>
      </c>
      <c r="C742">
        <v>4904</v>
      </c>
      <c r="D742" t="s">
        <v>2113</v>
      </c>
      <c r="E742" t="s">
        <v>789</v>
      </c>
      <c r="F742" t="s">
        <v>375</v>
      </c>
      <c r="G742" t="s">
        <v>12232</v>
      </c>
      <c r="H742">
        <v>17.93</v>
      </c>
      <c r="I742">
        <v>0</v>
      </c>
      <c r="J742">
        <v>0</v>
      </c>
      <c r="K742">
        <v>20</v>
      </c>
      <c r="L742">
        <v>7</v>
      </c>
      <c r="O742">
        <v>7</v>
      </c>
      <c r="P742">
        <v>4</v>
      </c>
      <c r="Q742">
        <v>0</v>
      </c>
      <c r="R742">
        <v>48.93</v>
      </c>
      <c r="S742">
        <v>8</v>
      </c>
      <c r="T742">
        <v>8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8</v>
      </c>
      <c r="AB742">
        <v>0</v>
      </c>
      <c r="AC742">
        <v>0</v>
      </c>
      <c r="AF742" t="s">
        <v>130</v>
      </c>
      <c r="AH742">
        <v>56.93</v>
      </c>
    </row>
    <row r="743" spans="1:34" x14ac:dyDescent="0.3">
      <c r="A743" s="4">
        <v>947</v>
      </c>
      <c r="B743" s="5">
        <v>736</v>
      </c>
      <c r="C743">
        <v>14380</v>
      </c>
      <c r="D743" t="s">
        <v>12233</v>
      </c>
      <c r="E743" t="s">
        <v>8150</v>
      </c>
      <c r="F743" t="s">
        <v>81</v>
      </c>
      <c r="G743" t="s">
        <v>12234</v>
      </c>
      <c r="H743">
        <v>19.88</v>
      </c>
      <c r="I743">
        <v>0</v>
      </c>
      <c r="J743">
        <v>0</v>
      </c>
      <c r="K743">
        <v>20</v>
      </c>
      <c r="L743">
        <v>7</v>
      </c>
      <c r="O743">
        <v>7</v>
      </c>
      <c r="P743">
        <v>4</v>
      </c>
      <c r="Q743">
        <v>0</v>
      </c>
      <c r="R743">
        <v>50.88</v>
      </c>
      <c r="S743">
        <v>6</v>
      </c>
      <c r="T743">
        <v>6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6</v>
      </c>
      <c r="AB743">
        <v>0</v>
      </c>
      <c r="AC743">
        <v>0</v>
      </c>
      <c r="AF743" t="s">
        <v>130</v>
      </c>
      <c r="AH743">
        <v>56.88</v>
      </c>
    </row>
    <row r="744" spans="1:34" x14ac:dyDescent="0.3">
      <c r="A744" s="4">
        <v>948</v>
      </c>
      <c r="B744" s="5">
        <v>737</v>
      </c>
      <c r="C744">
        <v>2560</v>
      </c>
      <c r="D744" t="s">
        <v>3434</v>
      </c>
      <c r="E744" t="s">
        <v>57</v>
      </c>
      <c r="F744" t="s">
        <v>6216</v>
      </c>
      <c r="G744" t="s">
        <v>12235</v>
      </c>
      <c r="H744">
        <v>17.75</v>
      </c>
      <c r="I744">
        <v>0</v>
      </c>
      <c r="J744">
        <v>0</v>
      </c>
      <c r="K744">
        <v>20</v>
      </c>
      <c r="L744">
        <v>7</v>
      </c>
      <c r="N744">
        <v>3</v>
      </c>
      <c r="O744">
        <v>10</v>
      </c>
      <c r="P744">
        <v>4</v>
      </c>
      <c r="Q744">
        <v>0</v>
      </c>
      <c r="R744">
        <v>51.75</v>
      </c>
      <c r="S744">
        <v>5</v>
      </c>
      <c r="T744">
        <v>5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5</v>
      </c>
      <c r="AB744">
        <v>0</v>
      </c>
      <c r="AC744">
        <v>0</v>
      </c>
      <c r="AF744" t="s">
        <v>130</v>
      </c>
      <c r="AH744">
        <v>56.75</v>
      </c>
    </row>
    <row r="745" spans="1:34" x14ac:dyDescent="0.3">
      <c r="A745" s="4">
        <v>949</v>
      </c>
      <c r="B745" s="5">
        <v>738</v>
      </c>
      <c r="C745">
        <v>10833</v>
      </c>
      <c r="D745" t="s">
        <v>12236</v>
      </c>
      <c r="E745" t="s">
        <v>136</v>
      </c>
      <c r="F745" t="s">
        <v>30</v>
      </c>
      <c r="G745" t="s">
        <v>12237</v>
      </c>
      <c r="H745">
        <v>16.7</v>
      </c>
      <c r="I745">
        <v>7</v>
      </c>
      <c r="J745">
        <v>0</v>
      </c>
      <c r="K745">
        <v>28</v>
      </c>
      <c r="O745">
        <v>0</v>
      </c>
      <c r="P745">
        <v>4</v>
      </c>
      <c r="Q745">
        <v>0</v>
      </c>
      <c r="R745">
        <v>55.7</v>
      </c>
      <c r="S745">
        <v>1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1</v>
      </c>
      <c r="AB745">
        <v>0</v>
      </c>
      <c r="AC745">
        <v>0</v>
      </c>
      <c r="AF745" t="s">
        <v>130</v>
      </c>
      <c r="AH745">
        <v>56.7</v>
      </c>
    </row>
    <row r="746" spans="1:34" x14ac:dyDescent="0.3">
      <c r="A746" s="4">
        <v>950</v>
      </c>
      <c r="B746" s="5">
        <v>739</v>
      </c>
      <c r="C746">
        <v>922</v>
      </c>
      <c r="D746" t="s">
        <v>12238</v>
      </c>
      <c r="E746" t="s">
        <v>135</v>
      </c>
      <c r="F746" t="s">
        <v>81</v>
      </c>
      <c r="G746" t="s">
        <v>12239</v>
      </c>
      <c r="H746">
        <v>12.5</v>
      </c>
      <c r="I746">
        <v>7</v>
      </c>
      <c r="J746">
        <v>0</v>
      </c>
      <c r="K746">
        <v>20</v>
      </c>
      <c r="L746">
        <v>7</v>
      </c>
      <c r="M746">
        <v>5</v>
      </c>
      <c r="O746">
        <v>12</v>
      </c>
      <c r="P746">
        <v>0</v>
      </c>
      <c r="Q746">
        <v>2</v>
      </c>
      <c r="R746">
        <v>53.5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3</v>
      </c>
      <c r="AC746">
        <v>0</v>
      </c>
      <c r="AF746" t="s">
        <v>130</v>
      </c>
      <c r="AH746">
        <v>56.5</v>
      </c>
    </row>
    <row r="747" spans="1:34" x14ac:dyDescent="0.3">
      <c r="A747" s="4">
        <v>951</v>
      </c>
      <c r="B747" s="5">
        <v>740</v>
      </c>
      <c r="C747">
        <v>6229</v>
      </c>
      <c r="D747" t="s">
        <v>6738</v>
      </c>
      <c r="E747" t="s">
        <v>1576</v>
      </c>
      <c r="F747" t="s">
        <v>91</v>
      </c>
      <c r="G747" t="s">
        <v>12240</v>
      </c>
      <c r="H747">
        <v>17.43</v>
      </c>
      <c r="I747">
        <v>7</v>
      </c>
      <c r="J747">
        <v>0</v>
      </c>
      <c r="K747">
        <v>0</v>
      </c>
      <c r="M747">
        <v>5</v>
      </c>
      <c r="N747">
        <v>3</v>
      </c>
      <c r="O747">
        <v>8</v>
      </c>
      <c r="P747">
        <v>4</v>
      </c>
      <c r="Q747">
        <v>2</v>
      </c>
      <c r="R747">
        <v>38.43</v>
      </c>
      <c r="S747">
        <v>18</v>
      </c>
      <c r="T747">
        <v>18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18</v>
      </c>
      <c r="AB747">
        <v>0</v>
      </c>
      <c r="AC747">
        <v>0</v>
      </c>
      <c r="AF747" t="s">
        <v>130</v>
      </c>
      <c r="AH747">
        <v>56.43</v>
      </c>
    </row>
    <row r="748" spans="1:34" x14ac:dyDescent="0.3">
      <c r="A748" s="4">
        <v>952</v>
      </c>
      <c r="B748" s="5">
        <v>741</v>
      </c>
      <c r="C748">
        <v>555</v>
      </c>
      <c r="D748" t="s">
        <v>3181</v>
      </c>
      <c r="E748" t="s">
        <v>41</v>
      </c>
      <c r="F748" t="s">
        <v>81</v>
      </c>
      <c r="G748" t="s">
        <v>12241</v>
      </c>
      <c r="H748">
        <v>17.38</v>
      </c>
      <c r="I748">
        <v>0</v>
      </c>
      <c r="J748">
        <v>0</v>
      </c>
      <c r="K748">
        <v>20</v>
      </c>
      <c r="L748">
        <v>7</v>
      </c>
      <c r="O748">
        <v>7</v>
      </c>
      <c r="P748">
        <v>4</v>
      </c>
      <c r="Q748">
        <v>2</v>
      </c>
      <c r="R748">
        <v>50.38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6</v>
      </c>
      <c r="AC748">
        <v>0</v>
      </c>
      <c r="AF748" t="s">
        <v>130</v>
      </c>
      <c r="AH748">
        <v>56.38</v>
      </c>
    </row>
    <row r="749" spans="1:34" x14ac:dyDescent="0.3">
      <c r="A749" s="4">
        <v>953</v>
      </c>
      <c r="B749" s="5">
        <v>742</v>
      </c>
      <c r="C749">
        <v>4481</v>
      </c>
      <c r="D749" t="s">
        <v>12242</v>
      </c>
      <c r="E749" t="s">
        <v>1371</v>
      </c>
      <c r="F749" t="s">
        <v>117</v>
      </c>
      <c r="G749" t="s">
        <v>12243</v>
      </c>
      <c r="H749">
        <v>17.23</v>
      </c>
      <c r="I749">
        <v>0</v>
      </c>
      <c r="J749">
        <v>0</v>
      </c>
      <c r="K749">
        <v>20</v>
      </c>
      <c r="L749">
        <v>7</v>
      </c>
      <c r="O749">
        <v>7</v>
      </c>
      <c r="P749">
        <v>4</v>
      </c>
      <c r="Q749">
        <v>2</v>
      </c>
      <c r="R749">
        <v>50.23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6</v>
      </c>
      <c r="AC749">
        <v>0</v>
      </c>
      <c r="AD749" t="s">
        <v>130</v>
      </c>
      <c r="AF749" t="s">
        <v>130</v>
      </c>
      <c r="AH749">
        <v>56.23</v>
      </c>
    </row>
    <row r="750" spans="1:34" x14ac:dyDescent="0.3">
      <c r="A750" s="4">
        <v>954</v>
      </c>
      <c r="B750" s="5">
        <v>743</v>
      </c>
      <c r="C750">
        <v>4845</v>
      </c>
      <c r="D750" t="s">
        <v>12244</v>
      </c>
      <c r="E750" t="s">
        <v>255</v>
      </c>
      <c r="F750" t="s">
        <v>17</v>
      </c>
      <c r="G750" t="s">
        <v>12245</v>
      </c>
      <c r="H750">
        <v>20.18</v>
      </c>
      <c r="I750">
        <v>7</v>
      </c>
      <c r="J750">
        <v>0</v>
      </c>
      <c r="K750">
        <v>0</v>
      </c>
      <c r="L750">
        <v>7</v>
      </c>
      <c r="N750">
        <v>3</v>
      </c>
      <c r="O750">
        <v>10</v>
      </c>
      <c r="P750">
        <v>4</v>
      </c>
      <c r="Q750">
        <v>0</v>
      </c>
      <c r="R750">
        <v>41.18</v>
      </c>
      <c r="S750">
        <v>6</v>
      </c>
      <c r="T750">
        <v>6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6</v>
      </c>
      <c r="AB750">
        <v>9</v>
      </c>
      <c r="AC750">
        <v>0</v>
      </c>
      <c r="AF750" t="s">
        <v>130</v>
      </c>
      <c r="AH750">
        <v>56.18</v>
      </c>
    </row>
    <row r="751" spans="1:34" x14ac:dyDescent="0.3">
      <c r="A751" s="4">
        <v>955</v>
      </c>
      <c r="B751" s="5">
        <v>744</v>
      </c>
      <c r="C751">
        <v>9256</v>
      </c>
      <c r="D751" t="s">
        <v>6264</v>
      </c>
      <c r="E751" t="s">
        <v>166</v>
      </c>
      <c r="F751" t="s">
        <v>17</v>
      </c>
      <c r="G751" t="s">
        <v>12246</v>
      </c>
      <c r="H751">
        <v>12.5</v>
      </c>
      <c r="I751">
        <v>7</v>
      </c>
      <c r="J751">
        <v>0</v>
      </c>
      <c r="K751">
        <v>20</v>
      </c>
      <c r="L751">
        <v>7</v>
      </c>
      <c r="M751">
        <v>5</v>
      </c>
      <c r="O751">
        <v>12</v>
      </c>
      <c r="P751">
        <v>4</v>
      </c>
      <c r="Q751">
        <v>0</v>
      </c>
      <c r="R751">
        <v>55.5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F751" t="s">
        <v>130</v>
      </c>
      <c r="AH751">
        <v>55.5</v>
      </c>
    </row>
    <row r="752" spans="1:34" x14ac:dyDescent="0.3">
      <c r="A752" s="4">
        <v>956</v>
      </c>
      <c r="B752" s="5">
        <v>745</v>
      </c>
      <c r="C752">
        <v>8106</v>
      </c>
      <c r="D752" t="s">
        <v>12247</v>
      </c>
      <c r="E752" t="s">
        <v>516</v>
      </c>
      <c r="F752" t="s">
        <v>30</v>
      </c>
      <c r="G752" t="s">
        <v>12248</v>
      </c>
      <c r="H752">
        <v>18.329999999999998</v>
      </c>
      <c r="I752">
        <v>7</v>
      </c>
      <c r="J752">
        <v>0</v>
      </c>
      <c r="K752">
        <v>20</v>
      </c>
      <c r="N752">
        <v>6</v>
      </c>
      <c r="O752">
        <v>6</v>
      </c>
      <c r="P752">
        <v>4</v>
      </c>
      <c r="Q752">
        <v>0</v>
      </c>
      <c r="R752">
        <v>55.33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F752" t="s">
        <v>130</v>
      </c>
      <c r="AH752">
        <v>55.33</v>
      </c>
    </row>
    <row r="753" spans="1:34" x14ac:dyDescent="0.3">
      <c r="A753" s="4">
        <v>957</v>
      </c>
      <c r="B753" s="5">
        <v>746</v>
      </c>
      <c r="C753">
        <v>715</v>
      </c>
      <c r="D753" t="s">
        <v>1422</v>
      </c>
      <c r="E753" t="s">
        <v>283</v>
      </c>
      <c r="F753" t="s">
        <v>124</v>
      </c>
      <c r="G753" t="s">
        <v>12249</v>
      </c>
      <c r="H753">
        <v>18.18</v>
      </c>
      <c r="I753">
        <v>0</v>
      </c>
      <c r="J753">
        <v>0</v>
      </c>
      <c r="K753">
        <v>20</v>
      </c>
      <c r="L753">
        <v>7</v>
      </c>
      <c r="O753">
        <v>7</v>
      </c>
      <c r="P753">
        <v>4</v>
      </c>
      <c r="Q753">
        <v>0</v>
      </c>
      <c r="R753">
        <v>49.18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6</v>
      </c>
      <c r="AC753">
        <v>0</v>
      </c>
      <c r="AF753" t="s">
        <v>130</v>
      </c>
      <c r="AH753">
        <v>55.18</v>
      </c>
    </row>
    <row r="754" spans="1:34" x14ac:dyDescent="0.3">
      <c r="A754" s="4">
        <v>958</v>
      </c>
      <c r="B754" s="5">
        <v>747</v>
      </c>
      <c r="C754">
        <v>11731</v>
      </c>
      <c r="D754" t="s">
        <v>12250</v>
      </c>
      <c r="E754" t="s">
        <v>1053</v>
      </c>
      <c r="F754" t="s">
        <v>230</v>
      </c>
      <c r="G754" t="s">
        <v>12251</v>
      </c>
      <c r="H754">
        <v>16.18</v>
      </c>
      <c r="I754">
        <v>0</v>
      </c>
      <c r="J754">
        <v>0</v>
      </c>
      <c r="K754">
        <v>20</v>
      </c>
      <c r="L754">
        <v>7</v>
      </c>
      <c r="O754">
        <v>7</v>
      </c>
      <c r="P754">
        <v>4</v>
      </c>
      <c r="Q754">
        <v>0</v>
      </c>
      <c r="R754">
        <v>47.18</v>
      </c>
      <c r="S754">
        <v>8</v>
      </c>
      <c r="T754">
        <v>8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8</v>
      </c>
      <c r="AB754">
        <v>0</v>
      </c>
      <c r="AC754">
        <v>0</v>
      </c>
      <c r="AF754" t="s">
        <v>130</v>
      </c>
      <c r="AH754">
        <v>55.18</v>
      </c>
    </row>
    <row r="755" spans="1:34" x14ac:dyDescent="0.3">
      <c r="A755" s="4">
        <v>959</v>
      </c>
      <c r="B755" s="5">
        <v>748</v>
      </c>
      <c r="C755">
        <v>10747</v>
      </c>
      <c r="D755" t="s">
        <v>12252</v>
      </c>
      <c r="E755" t="s">
        <v>258</v>
      </c>
      <c r="F755" t="s">
        <v>5304</v>
      </c>
      <c r="G755" t="s">
        <v>12253</v>
      </c>
      <c r="H755">
        <v>19.100000000000001</v>
      </c>
      <c r="I755">
        <v>7</v>
      </c>
      <c r="J755">
        <v>0</v>
      </c>
      <c r="K755">
        <v>20</v>
      </c>
      <c r="L755">
        <v>7</v>
      </c>
      <c r="O755">
        <v>7</v>
      </c>
      <c r="P755">
        <v>0</v>
      </c>
      <c r="Q755">
        <v>2</v>
      </c>
      <c r="R755">
        <v>55.1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F755" t="s">
        <v>130</v>
      </c>
      <c r="AH755">
        <v>55.1</v>
      </c>
    </row>
    <row r="756" spans="1:34" x14ac:dyDescent="0.3">
      <c r="A756" s="4">
        <v>960</v>
      </c>
      <c r="B756" s="5">
        <v>749</v>
      </c>
      <c r="C756">
        <v>6218</v>
      </c>
      <c r="D756" t="s">
        <v>9797</v>
      </c>
      <c r="E756" t="s">
        <v>170</v>
      </c>
      <c r="F756" t="s">
        <v>101</v>
      </c>
      <c r="G756" t="s">
        <v>12254</v>
      </c>
      <c r="H756">
        <v>18.05</v>
      </c>
      <c r="I756">
        <v>0</v>
      </c>
      <c r="J756">
        <v>0</v>
      </c>
      <c r="K756">
        <v>20</v>
      </c>
      <c r="L756">
        <v>7</v>
      </c>
      <c r="N756">
        <v>3</v>
      </c>
      <c r="O756">
        <v>10</v>
      </c>
      <c r="P756">
        <v>4</v>
      </c>
      <c r="Q756">
        <v>0</v>
      </c>
      <c r="R756">
        <v>52.05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3</v>
      </c>
      <c r="AC756">
        <v>0</v>
      </c>
      <c r="AF756" t="s">
        <v>130</v>
      </c>
      <c r="AH756">
        <v>55.05</v>
      </c>
    </row>
    <row r="757" spans="1:34" x14ac:dyDescent="0.3">
      <c r="A757" s="4">
        <v>961</v>
      </c>
      <c r="B757" s="5">
        <v>750</v>
      </c>
      <c r="C757">
        <v>10859</v>
      </c>
      <c r="D757" t="s">
        <v>12255</v>
      </c>
      <c r="E757" t="s">
        <v>5537</v>
      </c>
      <c r="F757" t="s">
        <v>782</v>
      </c>
      <c r="G757" t="s">
        <v>12256</v>
      </c>
      <c r="H757">
        <v>17.88</v>
      </c>
      <c r="I757">
        <v>0</v>
      </c>
      <c r="J757">
        <v>0</v>
      </c>
      <c r="K757">
        <v>20</v>
      </c>
      <c r="L757">
        <v>7</v>
      </c>
      <c r="N757">
        <v>3</v>
      </c>
      <c r="O757">
        <v>10</v>
      </c>
      <c r="P757">
        <v>4</v>
      </c>
      <c r="Q757">
        <v>0</v>
      </c>
      <c r="R757">
        <v>51.88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3</v>
      </c>
      <c r="AC757">
        <v>0</v>
      </c>
      <c r="AF757" t="s">
        <v>130</v>
      </c>
      <c r="AH757">
        <v>54.88</v>
      </c>
    </row>
    <row r="758" spans="1:34" x14ac:dyDescent="0.3">
      <c r="A758" s="4">
        <v>962</v>
      </c>
      <c r="B758" s="5">
        <v>751</v>
      </c>
      <c r="C758">
        <v>15237</v>
      </c>
      <c r="D758" t="s">
        <v>4332</v>
      </c>
      <c r="E758" t="s">
        <v>54</v>
      </c>
      <c r="F758" t="s">
        <v>20</v>
      </c>
      <c r="G758" t="s">
        <v>12257</v>
      </c>
      <c r="H758">
        <v>18.63</v>
      </c>
      <c r="I758">
        <v>0</v>
      </c>
      <c r="J758">
        <v>0</v>
      </c>
      <c r="K758">
        <v>20</v>
      </c>
      <c r="N758">
        <v>3</v>
      </c>
      <c r="O758">
        <v>3</v>
      </c>
      <c r="P758">
        <v>4</v>
      </c>
      <c r="Q758">
        <v>0</v>
      </c>
      <c r="R758">
        <v>45.63</v>
      </c>
      <c r="S758">
        <v>6</v>
      </c>
      <c r="T758">
        <v>6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6</v>
      </c>
      <c r="AB758">
        <v>3</v>
      </c>
      <c r="AC758">
        <v>0</v>
      </c>
      <c r="AF758" t="s">
        <v>130</v>
      </c>
      <c r="AH758">
        <v>54.63</v>
      </c>
    </row>
    <row r="759" spans="1:34" x14ac:dyDescent="0.3">
      <c r="A759" s="4">
        <v>963</v>
      </c>
      <c r="B759" s="5">
        <v>752</v>
      </c>
      <c r="C759">
        <v>11626</v>
      </c>
      <c r="D759" t="s">
        <v>8796</v>
      </c>
      <c r="E759" t="s">
        <v>104</v>
      </c>
      <c r="F759" t="s">
        <v>30</v>
      </c>
      <c r="G759" t="s">
        <v>12258</v>
      </c>
      <c r="H759">
        <v>15.6</v>
      </c>
      <c r="I759">
        <v>0</v>
      </c>
      <c r="J759">
        <v>0</v>
      </c>
      <c r="K759">
        <v>20</v>
      </c>
      <c r="L759">
        <v>7</v>
      </c>
      <c r="O759">
        <v>7</v>
      </c>
      <c r="P759">
        <v>4</v>
      </c>
      <c r="Q759">
        <v>2</v>
      </c>
      <c r="R759">
        <v>48.6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6</v>
      </c>
      <c r="AC759">
        <v>0</v>
      </c>
      <c r="AF759" t="s">
        <v>130</v>
      </c>
      <c r="AH759">
        <v>54.6</v>
      </c>
    </row>
    <row r="760" spans="1:34" x14ac:dyDescent="0.3">
      <c r="A760" s="4">
        <v>964</v>
      </c>
      <c r="B760" s="5">
        <v>753</v>
      </c>
      <c r="C760">
        <v>6139</v>
      </c>
      <c r="D760" t="s">
        <v>9802</v>
      </c>
      <c r="E760" t="s">
        <v>161</v>
      </c>
      <c r="F760" t="s">
        <v>30</v>
      </c>
      <c r="G760" t="s">
        <v>12259</v>
      </c>
      <c r="H760">
        <v>20.58</v>
      </c>
      <c r="I760">
        <v>7</v>
      </c>
      <c r="J760">
        <v>0</v>
      </c>
      <c r="K760">
        <v>0</v>
      </c>
      <c r="O760">
        <v>0</v>
      </c>
      <c r="P760">
        <v>4</v>
      </c>
      <c r="Q760">
        <v>0</v>
      </c>
      <c r="R760">
        <v>31.58</v>
      </c>
      <c r="S760">
        <v>23</v>
      </c>
      <c r="T760">
        <v>23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23</v>
      </c>
      <c r="AB760">
        <v>0</v>
      </c>
      <c r="AC760">
        <v>0</v>
      </c>
      <c r="AF760" t="s">
        <v>130</v>
      </c>
      <c r="AH760">
        <v>54.58</v>
      </c>
    </row>
    <row r="761" spans="1:34" x14ac:dyDescent="0.3">
      <c r="A761" s="4">
        <v>965</v>
      </c>
      <c r="B761" s="5">
        <v>754</v>
      </c>
      <c r="C761">
        <v>10020</v>
      </c>
      <c r="D761" t="s">
        <v>12260</v>
      </c>
      <c r="E761" t="s">
        <v>54</v>
      </c>
      <c r="F761" t="s">
        <v>136</v>
      </c>
      <c r="G761" t="s">
        <v>12261</v>
      </c>
      <c r="H761">
        <v>15.55</v>
      </c>
      <c r="I761">
        <v>0</v>
      </c>
      <c r="J761">
        <v>0</v>
      </c>
      <c r="K761">
        <v>20</v>
      </c>
      <c r="L761">
        <v>7</v>
      </c>
      <c r="M761">
        <v>5</v>
      </c>
      <c r="O761">
        <v>12</v>
      </c>
      <c r="P761">
        <v>4</v>
      </c>
      <c r="Q761">
        <v>0</v>
      </c>
      <c r="R761">
        <v>51.55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3</v>
      </c>
      <c r="AC761">
        <v>0</v>
      </c>
      <c r="AF761" t="s">
        <v>130</v>
      </c>
      <c r="AH761">
        <v>54.55</v>
      </c>
    </row>
    <row r="762" spans="1:34" x14ac:dyDescent="0.3">
      <c r="A762" s="4">
        <v>966</v>
      </c>
      <c r="B762" s="5">
        <v>755</v>
      </c>
      <c r="C762">
        <v>2247</v>
      </c>
      <c r="D762" t="s">
        <v>12262</v>
      </c>
      <c r="E762" t="s">
        <v>789</v>
      </c>
      <c r="F762" t="s">
        <v>38</v>
      </c>
      <c r="G762" t="s">
        <v>12263</v>
      </c>
      <c r="H762">
        <v>12.5</v>
      </c>
      <c r="I762">
        <v>7</v>
      </c>
      <c r="J762">
        <v>0</v>
      </c>
      <c r="K762">
        <v>20</v>
      </c>
      <c r="M762">
        <v>5</v>
      </c>
      <c r="O762">
        <v>5</v>
      </c>
      <c r="P762">
        <v>4</v>
      </c>
      <c r="Q762">
        <v>0</v>
      </c>
      <c r="R762">
        <v>48.5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6</v>
      </c>
      <c r="AC762">
        <v>0</v>
      </c>
      <c r="AF762" t="s">
        <v>130</v>
      </c>
      <c r="AH762">
        <v>54.5</v>
      </c>
    </row>
    <row r="763" spans="1:34" x14ac:dyDescent="0.3">
      <c r="A763" s="4">
        <v>967</v>
      </c>
      <c r="B763" s="5">
        <v>756</v>
      </c>
      <c r="C763">
        <v>8568</v>
      </c>
      <c r="D763" t="s">
        <v>12264</v>
      </c>
      <c r="E763" t="s">
        <v>5505</v>
      </c>
      <c r="F763" t="s">
        <v>14</v>
      </c>
      <c r="G763" t="s">
        <v>12265</v>
      </c>
      <c r="H763">
        <v>18.399999999999999</v>
      </c>
      <c r="I763">
        <v>0</v>
      </c>
      <c r="J763">
        <v>0</v>
      </c>
      <c r="K763">
        <v>20</v>
      </c>
      <c r="L763">
        <v>7</v>
      </c>
      <c r="O763">
        <v>7</v>
      </c>
      <c r="P763">
        <v>4</v>
      </c>
      <c r="Q763">
        <v>2</v>
      </c>
      <c r="R763">
        <v>51.4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3</v>
      </c>
      <c r="AC763">
        <v>0</v>
      </c>
      <c r="AF763" t="s">
        <v>130</v>
      </c>
      <c r="AH763">
        <v>54.4</v>
      </c>
    </row>
    <row r="764" spans="1:34" x14ac:dyDescent="0.3">
      <c r="A764" s="4">
        <v>969</v>
      </c>
      <c r="B764" s="5">
        <v>757</v>
      </c>
      <c r="C764">
        <v>8935</v>
      </c>
      <c r="D764" t="s">
        <v>12266</v>
      </c>
      <c r="E764" t="s">
        <v>1280</v>
      </c>
      <c r="F764" t="s">
        <v>819</v>
      </c>
      <c r="G764" t="s">
        <v>12267</v>
      </c>
      <c r="H764">
        <v>17.329999999999998</v>
      </c>
      <c r="I764">
        <v>7</v>
      </c>
      <c r="J764">
        <v>0</v>
      </c>
      <c r="K764">
        <v>20</v>
      </c>
      <c r="N764">
        <v>3</v>
      </c>
      <c r="O764">
        <v>3</v>
      </c>
      <c r="P764">
        <v>4</v>
      </c>
      <c r="Q764">
        <v>0</v>
      </c>
      <c r="R764">
        <v>51.33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3</v>
      </c>
      <c r="AC764">
        <v>0</v>
      </c>
      <c r="AF764" t="s">
        <v>130</v>
      </c>
      <c r="AH764">
        <v>54.33</v>
      </c>
    </row>
    <row r="765" spans="1:34" x14ac:dyDescent="0.3">
      <c r="A765" s="4">
        <v>970</v>
      </c>
      <c r="B765" s="5">
        <v>758</v>
      </c>
      <c r="C765">
        <v>8185</v>
      </c>
      <c r="D765" t="s">
        <v>12268</v>
      </c>
      <c r="E765" t="s">
        <v>158</v>
      </c>
      <c r="F765" t="s">
        <v>892</v>
      </c>
      <c r="G765" t="s">
        <v>12269</v>
      </c>
      <c r="H765">
        <v>20.13</v>
      </c>
      <c r="I765">
        <v>0</v>
      </c>
      <c r="J765">
        <v>0</v>
      </c>
      <c r="K765">
        <v>20</v>
      </c>
      <c r="L765">
        <v>7</v>
      </c>
      <c r="O765">
        <v>7</v>
      </c>
      <c r="P765">
        <v>4</v>
      </c>
      <c r="Q765">
        <v>0</v>
      </c>
      <c r="R765">
        <v>51.13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3</v>
      </c>
      <c r="AC765">
        <v>0</v>
      </c>
      <c r="AF765" t="s">
        <v>130</v>
      </c>
      <c r="AH765">
        <v>54.13</v>
      </c>
    </row>
    <row r="766" spans="1:34" x14ac:dyDescent="0.3">
      <c r="A766" s="4">
        <v>971</v>
      </c>
      <c r="B766" s="5">
        <v>759</v>
      </c>
      <c r="C766">
        <v>1471</v>
      </c>
      <c r="D766" t="s">
        <v>317</v>
      </c>
      <c r="E766" t="s">
        <v>342</v>
      </c>
      <c r="F766" t="s">
        <v>652</v>
      </c>
      <c r="G766" t="s">
        <v>12270</v>
      </c>
      <c r="H766">
        <v>21.13</v>
      </c>
      <c r="I766">
        <v>7</v>
      </c>
      <c r="J766">
        <v>0</v>
      </c>
      <c r="K766">
        <v>0</v>
      </c>
      <c r="N766">
        <v>3</v>
      </c>
      <c r="O766">
        <v>3</v>
      </c>
      <c r="P766">
        <v>4</v>
      </c>
      <c r="Q766">
        <v>2</v>
      </c>
      <c r="R766">
        <v>37.130000000000003</v>
      </c>
      <c r="S766">
        <v>17</v>
      </c>
      <c r="T766">
        <v>17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17</v>
      </c>
      <c r="AB766">
        <v>0</v>
      </c>
      <c r="AC766">
        <v>0</v>
      </c>
      <c r="AF766" t="s">
        <v>130</v>
      </c>
      <c r="AH766">
        <v>54.13</v>
      </c>
    </row>
    <row r="767" spans="1:34" x14ac:dyDescent="0.3">
      <c r="A767" s="4">
        <v>972</v>
      </c>
      <c r="B767" s="5">
        <v>760</v>
      </c>
      <c r="C767">
        <v>11554</v>
      </c>
      <c r="D767" t="s">
        <v>5046</v>
      </c>
      <c r="E767" t="s">
        <v>26</v>
      </c>
      <c r="F767" t="s">
        <v>38</v>
      </c>
      <c r="G767" t="s">
        <v>5047</v>
      </c>
      <c r="H767">
        <v>17.05</v>
      </c>
      <c r="I767">
        <v>0</v>
      </c>
      <c r="J767">
        <v>0</v>
      </c>
      <c r="K767">
        <v>20</v>
      </c>
      <c r="N767">
        <v>3</v>
      </c>
      <c r="O767">
        <v>3</v>
      </c>
      <c r="P767">
        <v>4</v>
      </c>
      <c r="Q767">
        <v>2</v>
      </c>
      <c r="R767">
        <v>46.05</v>
      </c>
      <c r="S767">
        <v>5</v>
      </c>
      <c r="T767">
        <v>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5</v>
      </c>
      <c r="AB767">
        <v>3</v>
      </c>
      <c r="AC767">
        <v>0</v>
      </c>
      <c r="AF767" t="s">
        <v>130</v>
      </c>
      <c r="AH767">
        <v>54.05</v>
      </c>
    </row>
    <row r="768" spans="1:34" x14ac:dyDescent="0.3">
      <c r="A768" s="4">
        <v>973</v>
      </c>
      <c r="B768" s="5">
        <v>761</v>
      </c>
      <c r="C768">
        <v>8938</v>
      </c>
      <c r="D768" t="s">
        <v>12271</v>
      </c>
      <c r="E768" t="s">
        <v>29</v>
      </c>
      <c r="F768" t="s">
        <v>20</v>
      </c>
      <c r="G768" t="s">
        <v>12272</v>
      </c>
      <c r="H768">
        <v>18.05</v>
      </c>
      <c r="I768">
        <v>0</v>
      </c>
      <c r="J768">
        <v>0</v>
      </c>
      <c r="K768">
        <v>20</v>
      </c>
      <c r="L768">
        <v>7</v>
      </c>
      <c r="M768">
        <v>5</v>
      </c>
      <c r="O768">
        <v>12</v>
      </c>
      <c r="P768">
        <v>4</v>
      </c>
      <c r="Q768">
        <v>0</v>
      </c>
      <c r="R768">
        <v>54.05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F768" t="s">
        <v>130</v>
      </c>
      <c r="AH768">
        <v>54.05</v>
      </c>
    </row>
    <row r="769" spans="1:34" x14ac:dyDescent="0.3">
      <c r="A769" s="4">
        <v>974</v>
      </c>
      <c r="B769" s="5">
        <v>762</v>
      </c>
      <c r="C769">
        <v>1233</v>
      </c>
      <c r="D769" t="s">
        <v>12273</v>
      </c>
      <c r="E769" t="s">
        <v>12274</v>
      </c>
      <c r="F769" t="s">
        <v>343</v>
      </c>
      <c r="G769" t="s">
        <v>12275</v>
      </c>
      <c r="H769">
        <v>19.03</v>
      </c>
      <c r="I769">
        <v>0</v>
      </c>
      <c r="J769">
        <v>0</v>
      </c>
      <c r="K769">
        <v>20</v>
      </c>
      <c r="M769">
        <v>5</v>
      </c>
      <c r="N769">
        <v>3</v>
      </c>
      <c r="O769">
        <v>8</v>
      </c>
      <c r="P769">
        <v>4</v>
      </c>
      <c r="Q769">
        <v>0</v>
      </c>
      <c r="R769">
        <v>51.03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3</v>
      </c>
      <c r="AC769">
        <v>0</v>
      </c>
      <c r="AE769" t="s">
        <v>130</v>
      </c>
      <c r="AF769" t="s">
        <v>130</v>
      </c>
      <c r="AH769">
        <v>54.03</v>
      </c>
    </row>
    <row r="770" spans="1:34" x14ac:dyDescent="0.3">
      <c r="A770" s="4">
        <v>975</v>
      </c>
      <c r="B770" s="5">
        <v>763</v>
      </c>
      <c r="C770">
        <v>10633</v>
      </c>
      <c r="D770" t="s">
        <v>2670</v>
      </c>
      <c r="E770" t="s">
        <v>26</v>
      </c>
      <c r="F770" t="s">
        <v>81</v>
      </c>
      <c r="G770" t="s">
        <v>12276</v>
      </c>
      <c r="H770">
        <v>15.98</v>
      </c>
      <c r="I770">
        <v>0</v>
      </c>
      <c r="J770">
        <v>0</v>
      </c>
      <c r="K770">
        <v>28</v>
      </c>
      <c r="N770">
        <v>6</v>
      </c>
      <c r="O770">
        <v>6</v>
      </c>
      <c r="P770">
        <v>4</v>
      </c>
      <c r="Q770">
        <v>0</v>
      </c>
      <c r="R770">
        <v>53.98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F770" t="s">
        <v>130</v>
      </c>
      <c r="AH770">
        <v>53.98</v>
      </c>
    </row>
    <row r="771" spans="1:34" x14ac:dyDescent="0.3">
      <c r="A771" s="4">
        <v>976</v>
      </c>
      <c r="B771" s="5">
        <v>764</v>
      </c>
      <c r="C771">
        <v>4727</v>
      </c>
      <c r="D771" t="s">
        <v>12277</v>
      </c>
      <c r="E771" t="s">
        <v>41</v>
      </c>
      <c r="F771" t="s">
        <v>17</v>
      </c>
      <c r="G771" t="s">
        <v>12278</v>
      </c>
      <c r="H771">
        <v>18.93</v>
      </c>
      <c r="I771">
        <v>7</v>
      </c>
      <c r="J771">
        <v>0</v>
      </c>
      <c r="K771">
        <v>0</v>
      </c>
      <c r="L771">
        <v>7</v>
      </c>
      <c r="O771">
        <v>7</v>
      </c>
      <c r="P771">
        <v>4</v>
      </c>
      <c r="Q771">
        <v>2</v>
      </c>
      <c r="R771">
        <v>38.93</v>
      </c>
      <c r="S771">
        <v>15</v>
      </c>
      <c r="T771">
        <v>15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15</v>
      </c>
      <c r="AB771">
        <v>0</v>
      </c>
      <c r="AC771">
        <v>0</v>
      </c>
      <c r="AF771" t="s">
        <v>130</v>
      </c>
      <c r="AH771">
        <v>53.93</v>
      </c>
    </row>
    <row r="772" spans="1:34" x14ac:dyDescent="0.3">
      <c r="A772" s="4">
        <v>977</v>
      </c>
      <c r="B772" s="5">
        <v>765</v>
      </c>
      <c r="C772">
        <v>4554</v>
      </c>
      <c r="D772" t="s">
        <v>12279</v>
      </c>
      <c r="E772" t="s">
        <v>782</v>
      </c>
      <c r="F772" t="s">
        <v>117</v>
      </c>
      <c r="G772" t="s">
        <v>12280</v>
      </c>
      <c r="H772">
        <v>17.829999999999998</v>
      </c>
      <c r="I772">
        <v>0</v>
      </c>
      <c r="J772">
        <v>0</v>
      </c>
      <c r="K772">
        <v>20</v>
      </c>
      <c r="L772">
        <v>7</v>
      </c>
      <c r="N772">
        <v>3</v>
      </c>
      <c r="O772">
        <v>10</v>
      </c>
      <c r="P772">
        <v>4</v>
      </c>
      <c r="Q772">
        <v>2</v>
      </c>
      <c r="R772">
        <v>53.83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F772" t="s">
        <v>130</v>
      </c>
      <c r="AH772">
        <v>53.83</v>
      </c>
    </row>
    <row r="773" spans="1:34" x14ac:dyDescent="0.3">
      <c r="A773" s="4">
        <v>980</v>
      </c>
      <c r="B773" s="5">
        <v>766</v>
      </c>
      <c r="C773">
        <v>4086</v>
      </c>
      <c r="D773" t="s">
        <v>12281</v>
      </c>
      <c r="E773" t="s">
        <v>29</v>
      </c>
      <c r="F773" t="s">
        <v>136</v>
      </c>
      <c r="G773" t="s">
        <v>12282</v>
      </c>
      <c r="H773">
        <v>18.43</v>
      </c>
      <c r="I773">
        <v>7</v>
      </c>
      <c r="J773">
        <v>0</v>
      </c>
      <c r="K773">
        <v>0</v>
      </c>
      <c r="L773">
        <v>7</v>
      </c>
      <c r="O773">
        <v>7</v>
      </c>
      <c r="P773">
        <v>4</v>
      </c>
      <c r="Q773">
        <v>0</v>
      </c>
      <c r="R773">
        <v>36.43</v>
      </c>
      <c r="S773">
        <v>17</v>
      </c>
      <c r="T773">
        <v>17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17</v>
      </c>
      <c r="AB773">
        <v>0</v>
      </c>
      <c r="AC773">
        <v>0</v>
      </c>
      <c r="AF773" t="s">
        <v>130</v>
      </c>
      <c r="AH773">
        <v>53.43</v>
      </c>
    </row>
    <row r="774" spans="1:34" x14ac:dyDescent="0.3">
      <c r="A774" s="4">
        <v>981</v>
      </c>
      <c r="B774" s="5">
        <v>767</v>
      </c>
      <c r="C774">
        <v>9626</v>
      </c>
      <c r="D774" t="s">
        <v>12283</v>
      </c>
      <c r="E774" t="s">
        <v>479</v>
      </c>
      <c r="F774" t="s">
        <v>30</v>
      </c>
      <c r="G774" t="s">
        <v>12284</v>
      </c>
      <c r="H774">
        <v>17.350000000000001</v>
      </c>
      <c r="I774">
        <v>0</v>
      </c>
      <c r="J774">
        <v>0</v>
      </c>
      <c r="K774">
        <v>20</v>
      </c>
      <c r="L774">
        <v>7</v>
      </c>
      <c r="O774">
        <v>7</v>
      </c>
      <c r="P774">
        <v>4</v>
      </c>
      <c r="Q774">
        <v>2</v>
      </c>
      <c r="R774">
        <v>50.35</v>
      </c>
      <c r="S774">
        <v>3</v>
      </c>
      <c r="T774">
        <v>3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3</v>
      </c>
      <c r="AB774">
        <v>0</v>
      </c>
      <c r="AC774">
        <v>0</v>
      </c>
      <c r="AF774" t="s">
        <v>130</v>
      </c>
      <c r="AH774">
        <v>53.35</v>
      </c>
    </row>
    <row r="775" spans="1:34" x14ac:dyDescent="0.3">
      <c r="A775" s="4">
        <v>982</v>
      </c>
      <c r="B775" s="5">
        <v>768</v>
      </c>
      <c r="C775">
        <v>8958</v>
      </c>
      <c r="D775" t="s">
        <v>4980</v>
      </c>
      <c r="E775" t="s">
        <v>139</v>
      </c>
      <c r="F775" t="s">
        <v>539</v>
      </c>
      <c r="G775" t="s">
        <v>12285</v>
      </c>
      <c r="H775">
        <v>17.25</v>
      </c>
      <c r="I775">
        <v>0</v>
      </c>
      <c r="J775">
        <v>0</v>
      </c>
      <c r="K775">
        <v>20</v>
      </c>
      <c r="L775">
        <v>7</v>
      </c>
      <c r="O775">
        <v>7</v>
      </c>
      <c r="P775">
        <v>4</v>
      </c>
      <c r="Q775">
        <v>2</v>
      </c>
      <c r="R775">
        <v>50.25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3</v>
      </c>
      <c r="AC775">
        <v>0</v>
      </c>
      <c r="AF775" t="s">
        <v>130</v>
      </c>
      <c r="AH775">
        <v>53.25</v>
      </c>
    </row>
    <row r="776" spans="1:34" x14ac:dyDescent="0.3">
      <c r="A776" s="4">
        <v>983</v>
      </c>
      <c r="B776" s="5">
        <v>769</v>
      </c>
      <c r="C776">
        <v>40</v>
      </c>
      <c r="D776" t="s">
        <v>12286</v>
      </c>
      <c r="E776" t="s">
        <v>1331</v>
      </c>
      <c r="F776" t="s">
        <v>52</v>
      </c>
      <c r="G776" t="s">
        <v>12287</v>
      </c>
      <c r="H776">
        <v>19.25</v>
      </c>
      <c r="I776">
        <v>0</v>
      </c>
      <c r="J776">
        <v>0</v>
      </c>
      <c r="K776">
        <v>20</v>
      </c>
      <c r="L776">
        <v>7</v>
      </c>
      <c r="O776">
        <v>7</v>
      </c>
      <c r="P776">
        <v>4</v>
      </c>
      <c r="Q776">
        <v>2</v>
      </c>
      <c r="R776">
        <v>52.25</v>
      </c>
      <c r="S776">
        <v>1</v>
      </c>
      <c r="T776">
        <v>1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1</v>
      </c>
      <c r="AB776">
        <v>0</v>
      </c>
      <c r="AC776">
        <v>0</v>
      </c>
      <c r="AF776" t="s">
        <v>130</v>
      </c>
      <c r="AH776">
        <v>53.25</v>
      </c>
    </row>
    <row r="777" spans="1:34" x14ac:dyDescent="0.3">
      <c r="A777" s="4">
        <v>984</v>
      </c>
      <c r="B777" s="5">
        <v>770</v>
      </c>
      <c r="C777">
        <v>2614</v>
      </c>
      <c r="D777" t="s">
        <v>12288</v>
      </c>
      <c r="E777" t="s">
        <v>255</v>
      </c>
      <c r="F777" t="s">
        <v>243</v>
      </c>
      <c r="G777" t="s">
        <v>12289</v>
      </c>
      <c r="H777">
        <v>22.25</v>
      </c>
      <c r="I777">
        <v>0</v>
      </c>
      <c r="J777">
        <v>0</v>
      </c>
      <c r="K777">
        <v>0</v>
      </c>
      <c r="L777">
        <v>7</v>
      </c>
      <c r="O777">
        <v>7</v>
      </c>
      <c r="P777">
        <v>4</v>
      </c>
      <c r="Q777">
        <v>2</v>
      </c>
      <c r="R777">
        <v>35.25</v>
      </c>
      <c r="S777">
        <v>18</v>
      </c>
      <c r="T777">
        <v>18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18</v>
      </c>
      <c r="AB777">
        <v>0</v>
      </c>
      <c r="AC777">
        <v>0</v>
      </c>
      <c r="AF777" t="s">
        <v>130</v>
      </c>
      <c r="AH777">
        <v>53.25</v>
      </c>
    </row>
    <row r="778" spans="1:34" x14ac:dyDescent="0.3">
      <c r="A778" s="4">
        <v>985</v>
      </c>
      <c r="B778" s="5">
        <v>771</v>
      </c>
      <c r="C778">
        <v>9708</v>
      </c>
      <c r="D778" t="s">
        <v>12290</v>
      </c>
      <c r="E778" t="s">
        <v>283</v>
      </c>
      <c r="F778" t="s">
        <v>1023</v>
      </c>
      <c r="G778" t="s">
        <v>12291</v>
      </c>
      <c r="H778">
        <v>19.079999999999998</v>
      </c>
      <c r="I778">
        <v>7</v>
      </c>
      <c r="J778">
        <v>0</v>
      </c>
      <c r="K778">
        <v>20</v>
      </c>
      <c r="L778">
        <v>7</v>
      </c>
      <c r="O778">
        <v>7</v>
      </c>
      <c r="P778">
        <v>0</v>
      </c>
      <c r="Q778">
        <v>0</v>
      </c>
      <c r="R778">
        <v>53.08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F778" t="s">
        <v>130</v>
      </c>
      <c r="AH778">
        <v>53.08</v>
      </c>
    </row>
    <row r="779" spans="1:34" x14ac:dyDescent="0.3">
      <c r="A779" s="4">
        <v>986</v>
      </c>
      <c r="B779" s="5">
        <v>772</v>
      </c>
      <c r="C779">
        <v>5697</v>
      </c>
      <c r="D779" t="s">
        <v>12292</v>
      </c>
      <c r="E779" t="s">
        <v>48</v>
      </c>
      <c r="F779" t="s">
        <v>38</v>
      </c>
      <c r="G779" t="s">
        <v>12293</v>
      </c>
      <c r="H779">
        <v>19.98</v>
      </c>
      <c r="I779">
        <v>0</v>
      </c>
      <c r="J779">
        <v>0</v>
      </c>
      <c r="K779">
        <v>20</v>
      </c>
      <c r="L779">
        <v>7</v>
      </c>
      <c r="O779">
        <v>7</v>
      </c>
      <c r="P779">
        <v>4</v>
      </c>
      <c r="Q779">
        <v>2</v>
      </c>
      <c r="R779">
        <v>52.98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 t="s">
        <v>130</v>
      </c>
      <c r="AF779" t="s">
        <v>130</v>
      </c>
      <c r="AH779">
        <v>52.98</v>
      </c>
    </row>
    <row r="780" spans="1:34" x14ac:dyDescent="0.3">
      <c r="A780" s="4">
        <v>987</v>
      </c>
      <c r="B780" s="5">
        <v>773</v>
      </c>
      <c r="C780">
        <v>2692</v>
      </c>
      <c r="D780" t="s">
        <v>12294</v>
      </c>
      <c r="E780" t="s">
        <v>54</v>
      </c>
      <c r="F780" t="s">
        <v>243</v>
      </c>
      <c r="G780" t="s">
        <v>12295</v>
      </c>
      <c r="H780">
        <v>18.95</v>
      </c>
      <c r="I780">
        <v>0</v>
      </c>
      <c r="J780">
        <v>0</v>
      </c>
      <c r="K780">
        <v>20</v>
      </c>
      <c r="L780">
        <v>7</v>
      </c>
      <c r="N780">
        <v>3</v>
      </c>
      <c r="O780">
        <v>10</v>
      </c>
      <c r="P780">
        <v>4</v>
      </c>
      <c r="Q780">
        <v>0</v>
      </c>
      <c r="R780">
        <v>52.95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F780" t="s">
        <v>130</v>
      </c>
      <c r="AH780">
        <v>52.95</v>
      </c>
    </row>
    <row r="781" spans="1:34" x14ac:dyDescent="0.3">
      <c r="A781" s="4">
        <v>988</v>
      </c>
      <c r="B781" s="5">
        <v>774</v>
      </c>
      <c r="C781">
        <v>12710</v>
      </c>
      <c r="D781" t="s">
        <v>1707</v>
      </c>
      <c r="E781" t="s">
        <v>258</v>
      </c>
      <c r="F781" t="s">
        <v>20</v>
      </c>
      <c r="G781" t="s">
        <v>12296</v>
      </c>
      <c r="H781">
        <v>18.8</v>
      </c>
      <c r="I781">
        <v>7</v>
      </c>
      <c r="J781">
        <v>0</v>
      </c>
      <c r="K781">
        <v>20</v>
      </c>
      <c r="N781">
        <v>3</v>
      </c>
      <c r="O781">
        <v>3</v>
      </c>
      <c r="P781">
        <v>4</v>
      </c>
      <c r="Q781">
        <v>0</v>
      </c>
      <c r="R781">
        <v>52.8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F781" t="s">
        <v>130</v>
      </c>
      <c r="AH781">
        <v>52.8</v>
      </c>
    </row>
    <row r="782" spans="1:34" x14ac:dyDescent="0.3">
      <c r="A782" s="4">
        <v>989</v>
      </c>
      <c r="B782" s="5">
        <v>775</v>
      </c>
      <c r="C782">
        <v>2515</v>
      </c>
      <c r="D782" t="s">
        <v>12297</v>
      </c>
      <c r="E782" t="s">
        <v>338</v>
      </c>
      <c r="F782" t="s">
        <v>17</v>
      </c>
      <c r="G782" t="s">
        <v>12298</v>
      </c>
      <c r="H782">
        <v>12.5</v>
      </c>
      <c r="I782">
        <v>7</v>
      </c>
      <c r="J782">
        <v>0</v>
      </c>
      <c r="K782">
        <v>20</v>
      </c>
      <c r="L782">
        <v>7</v>
      </c>
      <c r="O782">
        <v>7</v>
      </c>
      <c r="P782">
        <v>4</v>
      </c>
      <c r="Q782">
        <v>2</v>
      </c>
      <c r="R782">
        <v>52.5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 t="s">
        <v>130</v>
      </c>
      <c r="AF782" t="s">
        <v>130</v>
      </c>
      <c r="AH782">
        <v>52.5</v>
      </c>
    </row>
    <row r="783" spans="1:34" x14ac:dyDescent="0.3">
      <c r="A783" s="4">
        <v>990</v>
      </c>
      <c r="B783" s="5">
        <v>776</v>
      </c>
      <c r="C783">
        <v>3562</v>
      </c>
      <c r="D783" t="s">
        <v>12299</v>
      </c>
      <c r="E783" t="s">
        <v>2758</v>
      </c>
      <c r="F783" t="s">
        <v>38</v>
      </c>
      <c r="G783" t="s">
        <v>12300</v>
      </c>
      <c r="H783">
        <v>19.399999999999999</v>
      </c>
      <c r="I783">
        <v>0</v>
      </c>
      <c r="J783">
        <v>0</v>
      </c>
      <c r="K783">
        <v>20</v>
      </c>
      <c r="L783">
        <v>7</v>
      </c>
      <c r="O783">
        <v>7</v>
      </c>
      <c r="P783">
        <v>4</v>
      </c>
      <c r="Q783">
        <v>2</v>
      </c>
      <c r="R783">
        <v>52.4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F783" t="s">
        <v>130</v>
      </c>
      <c r="AH783">
        <v>52.4</v>
      </c>
    </row>
    <row r="784" spans="1:34" x14ac:dyDescent="0.3">
      <c r="A784" s="4">
        <v>991</v>
      </c>
      <c r="B784" s="5">
        <v>777</v>
      </c>
      <c r="C784">
        <v>3048</v>
      </c>
      <c r="D784" t="s">
        <v>2609</v>
      </c>
      <c r="E784" t="s">
        <v>268</v>
      </c>
      <c r="F784" t="s">
        <v>12301</v>
      </c>
      <c r="G784" t="s">
        <v>12302</v>
      </c>
      <c r="H784">
        <v>21.25</v>
      </c>
      <c r="I784">
        <v>0</v>
      </c>
      <c r="J784">
        <v>0</v>
      </c>
      <c r="K784">
        <v>20</v>
      </c>
      <c r="L784">
        <v>7</v>
      </c>
      <c r="O784">
        <v>7</v>
      </c>
      <c r="P784">
        <v>4</v>
      </c>
      <c r="Q784">
        <v>0</v>
      </c>
      <c r="R784">
        <v>52.25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F784" t="s">
        <v>130</v>
      </c>
      <c r="AH784">
        <v>52.25</v>
      </c>
    </row>
    <row r="785" spans="1:34" x14ac:dyDescent="0.3">
      <c r="A785" s="4">
        <v>992</v>
      </c>
      <c r="B785" s="5">
        <v>778</v>
      </c>
      <c r="C785">
        <v>1065</v>
      </c>
      <c r="D785" t="s">
        <v>2052</v>
      </c>
      <c r="E785" t="s">
        <v>178</v>
      </c>
      <c r="F785" t="s">
        <v>52</v>
      </c>
      <c r="G785" t="s">
        <v>12303</v>
      </c>
      <c r="H785">
        <v>19.25</v>
      </c>
      <c r="I785">
        <v>0</v>
      </c>
      <c r="J785">
        <v>0</v>
      </c>
      <c r="K785">
        <v>20</v>
      </c>
      <c r="L785">
        <v>7</v>
      </c>
      <c r="O785">
        <v>7</v>
      </c>
      <c r="P785">
        <v>4</v>
      </c>
      <c r="Q785">
        <v>2</v>
      </c>
      <c r="R785">
        <v>52.25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F785" t="s">
        <v>130</v>
      </c>
      <c r="AH785">
        <v>52.25</v>
      </c>
    </row>
    <row r="786" spans="1:34" x14ac:dyDescent="0.3">
      <c r="A786" s="4">
        <v>993</v>
      </c>
      <c r="B786" s="5">
        <v>779</v>
      </c>
      <c r="C786">
        <v>5293</v>
      </c>
      <c r="D786" t="s">
        <v>12304</v>
      </c>
      <c r="E786" t="s">
        <v>1171</v>
      </c>
      <c r="F786" t="s">
        <v>442</v>
      </c>
      <c r="H786">
        <v>21.18</v>
      </c>
      <c r="I786">
        <v>7</v>
      </c>
      <c r="J786">
        <v>0</v>
      </c>
      <c r="K786">
        <v>0</v>
      </c>
      <c r="L786">
        <v>7</v>
      </c>
      <c r="N786">
        <v>3</v>
      </c>
      <c r="O786">
        <v>10</v>
      </c>
      <c r="P786">
        <v>4</v>
      </c>
      <c r="Q786">
        <v>2</v>
      </c>
      <c r="R786">
        <v>44.18</v>
      </c>
      <c r="S786">
        <v>8</v>
      </c>
      <c r="T786">
        <v>8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8</v>
      </c>
      <c r="AB786">
        <v>0</v>
      </c>
      <c r="AC786">
        <v>0</v>
      </c>
      <c r="AF786" t="s">
        <v>130</v>
      </c>
      <c r="AH786">
        <v>52.18</v>
      </c>
    </row>
    <row r="787" spans="1:34" x14ac:dyDescent="0.3">
      <c r="A787" s="4">
        <v>994</v>
      </c>
      <c r="B787" s="5">
        <v>780</v>
      </c>
      <c r="C787">
        <v>7845</v>
      </c>
      <c r="D787" t="s">
        <v>28</v>
      </c>
      <c r="E787" t="s">
        <v>88</v>
      </c>
      <c r="F787" t="s">
        <v>158</v>
      </c>
      <c r="G787" t="s">
        <v>12305</v>
      </c>
      <c r="H787">
        <v>17.03</v>
      </c>
      <c r="I787">
        <v>0</v>
      </c>
      <c r="J787">
        <v>0</v>
      </c>
      <c r="K787">
        <v>20</v>
      </c>
      <c r="N787">
        <v>3</v>
      </c>
      <c r="O787">
        <v>3</v>
      </c>
      <c r="P787">
        <v>4</v>
      </c>
      <c r="Q787">
        <v>2</v>
      </c>
      <c r="R787">
        <v>46.03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6</v>
      </c>
      <c r="AC787">
        <v>0</v>
      </c>
      <c r="AD787" t="s">
        <v>130</v>
      </c>
      <c r="AF787" t="s">
        <v>130</v>
      </c>
      <c r="AH787">
        <v>52.03</v>
      </c>
    </row>
    <row r="788" spans="1:34" x14ac:dyDescent="0.3">
      <c r="A788" s="4">
        <v>995</v>
      </c>
      <c r="B788" s="5">
        <v>781</v>
      </c>
      <c r="C788">
        <v>11530</v>
      </c>
      <c r="D788" t="s">
        <v>12306</v>
      </c>
      <c r="E788" t="s">
        <v>17</v>
      </c>
      <c r="F788" t="s">
        <v>20</v>
      </c>
      <c r="G788" t="s">
        <v>12307</v>
      </c>
      <c r="H788">
        <v>17.98</v>
      </c>
      <c r="I788">
        <v>0</v>
      </c>
      <c r="J788">
        <v>0</v>
      </c>
      <c r="K788">
        <v>20</v>
      </c>
      <c r="L788">
        <v>7</v>
      </c>
      <c r="N788">
        <v>3</v>
      </c>
      <c r="O788">
        <v>10</v>
      </c>
      <c r="P788">
        <v>4</v>
      </c>
      <c r="Q788">
        <v>0</v>
      </c>
      <c r="R788">
        <v>51.98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F788" t="s">
        <v>130</v>
      </c>
      <c r="AH788">
        <v>51.98</v>
      </c>
    </row>
    <row r="789" spans="1:34" x14ac:dyDescent="0.3">
      <c r="A789" s="4">
        <v>996</v>
      </c>
      <c r="B789" s="5">
        <v>782</v>
      </c>
      <c r="C789">
        <v>4745</v>
      </c>
      <c r="D789" t="s">
        <v>4607</v>
      </c>
      <c r="E789" t="s">
        <v>100</v>
      </c>
      <c r="F789" t="s">
        <v>136</v>
      </c>
      <c r="G789" t="s">
        <v>12308</v>
      </c>
      <c r="H789">
        <v>17.850000000000001</v>
      </c>
      <c r="I789">
        <v>7</v>
      </c>
      <c r="J789">
        <v>0</v>
      </c>
      <c r="K789">
        <v>20</v>
      </c>
      <c r="N789">
        <v>3</v>
      </c>
      <c r="O789">
        <v>3</v>
      </c>
      <c r="P789">
        <v>4</v>
      </c>
      <c r="Q789">
        <v>0</v>
      </c>
      <c r="R789">
        <v>51.85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F789" t="s">
        <v>130</v>
      </c>
      <c r="AH789">
        <v>51.85</v>
      </c>
    </row>
    <row r="790" spans="1:34" x14ac:dyDescent="0.3">
      <c r="A790" s="4">
        <v>997</v>
      </c>
      <c r="B790" s="5">
        <v>783</v>
      </c>
      <c r="C790">
        <v>2364</v>
      </c>
      <c r="D790" t="s">
        <v>12309</v>
      </c>
      <c r="E790" t="s">
        <v>54</v>
      </c>
      <c r="F790" t="s">
        <v>238</v>
      </c>
      <c r="G790" t="s">
        <v>12310</v>
      </c>
      <c r="H790">
        <v>17.55</v>
      </c>
      <c r="I790">
        <v>0</v>
      </c>
      <c r="J790">
        <v>0</v>
      </c>
      <c r="K790">
        <v>0</v>
      </c>
      <c r="N790">
        <v>3</v>
      </c>
      <c r="O790">
        <v>3</v>
      </c>
      <c r="P790">
        <v>0</v>
      </c>
      <c r="Q790">
        <v>2</v>
      </c>
      <c r="R790">
        <v>22.55</v>
      </c>
      <c r="S790">
        <v>23</v>
      </c>
      <c r="T790">
        <v>23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23</v>
      </c>
      <c r="AB790">
        <v>6</v>
      </c>
      <c r="AC790">
        <v>0</v>
      </c>
      <c r="AD790" t="s">
        <v>130</v>
      </c>
      <c r="AF790" t="s">
        <v>130</v>
      </c>
      <c r="AH790">
        <v>51.55</v>
      </c>
    </row>
    <row r="791" spans="1:34" x14ac:dyDescent="0.3">
      <c r="A791" s="4">
        <v>998</v>
      </c>
      <c r="B791" s="5">
        <v>784</v>
      </c>
      <c r="C791">
        <v>6948</v>
      </c>
      <c r="D791" t="s">
        <v>12030</v>
      </c>
      <c r="E791" t="s">
        <v>22</v>
      </c>
      <c r="F791" t="s">
        <v>259</v>
      </c>
      <c r="G791" t="s">
        <v>12311</v>
      </c>
      <c r="H791">
        <v>18.53</v>
      </c>
      <c r="I791">
        <v>0</v>
      </c>
      <c r="J791">
        <v>0</v>
      </c>
      <c r="K791">
        <v>20</v>
      </c>
      <c r="L791">
        <v>7</v>
      </c>
      <c r="O791">
        <v>7</v>
      </c>
      <c r="P791">
        <v>4</v>
      </c>
      <c r="Q791">
        <v>2</v>
      </c>
      <c r="R791">
        <v>51.53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F791" t="s">
        <v>130</v>
      </c>
      <c r="AH791">
        <v>51.53</v>
      </c>
    </row>
    <row r="792" spans="1:34" x14ac:dyDescent="0.3">
      <c r="A792" s="4">
        <v>999</v>
      </c>
      <c r="B792" s="5">
        <v>785</v>
      </c>
      <c r="C792">
        <v>13635</v>
      </c>
      <c r="D792" t="s">
        <v>12312</v>
      </c>
      <c r="E792" t="s">
        <v>12313</v>
      </c>
      <c r="F792" t="s">
        <v>2855</v>
      </c>
      <c r="G792" t="s">
        <v>12314</v>
      </c>
      <c r="H792">
        <v>12.5</v>
      </c>
      <c r="I792">
        <v>0</v>
      </c>
      <c r="J792">
        <v>0</v>
      </c>
      <c r="K792">
        <v>28</v>
      </c>
      <c r="L792">
        <v>7</v>
      </c>
      <c r="O792">
        <v>7</v>
      </c>
      <c r="P792">
        <v>4</v>
      </c>
      <c r="Q792">
        <v>0</v>
      </c>
      <c r="R792">
        <v>51.5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F792" t="s">
        <v>130</v>
      </c>
      <c r="AH792">
        <v>51.5</v>
      </c>
    </row>
    <row r="793" spans="1:34" x14ac:dyDescent="0.3">
      <c r="A793" s="4">
        <v>1000</v>
      </c>
      <c r="B793" s="5">
        <v>786</v>
      </c>
      <c r="C793">
        <v>7012</v>
      </c>
      <c r="D793" t="s">
        <v>12315</v>
      </c>
      <c r="E793" t="s">
        <v>219</v>
      </c>
      <c r="F793" t="s">
        <v>243</v>
      </c>
      <c r="G793" t="s">
        <v>12316</v>
      </c>
      <c r="H793">
        <v>18.38</v>
      </c>
      <c r="I793">
        <v>0</v>
      </c>
      <c r="J793">
        <v>0</v>
      </c>
      <c r="K793">
        <v>20</v>
      </c>
      <c r="N793">
        <v>3</v>
      </c>
      <c r="O793">
        <v>3</v>
      </c>
      <c r="P793">
        <v>4</v>
      </c>
      <c r="Q793">
        <v>0</v>
      </c>
      <c r="R793">
        <v>45.38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6</v>
      </c>
      <c r="AC793">
        <v>0</v>
      </c>
      <c r="AF793" t="s">
        <v>130</v>
      </c>
      <c r="AH793">
        <v>51.38</v>
      </c>
    </row>
    <row r="794" spans="1:34" x14ac:dyDescent="0.3">
      <c r="A794" s="4">
        <v>1001</v>
      </c>
      <c r="B794" s="5">
        <v>787</v>
      </c>
      <c r="C794">
        <v>13757</v>
      </c>
      <c r="D794" t="s">
        <v>3762</v>
      </c>
      <c r="E794" t="s">
        <v>957</v>
      </c>
      <c r="F794" t="s">
        <v>20</v>
      </c>
      <c r="G794" t="s">
        <v>12317</v>
      </c>
      <c r="H794">
        <v>19.329999999999998</v>
      </c>
      <c r="I794">
        <v>7</v>
      </c>
      <c r="J794">
        <v>0</v>
      </c>
      <c r="K794">
        <v>0</v>
      </c>
      <c r="O794">
        <v>0</v>
      </c>
      <c r="P794">
        <v>4</v>
      </c>
      <c r="Q794">
        <v>0</v>
      </c>
      <c r="R794">
        <v>30.33</v>
      </c>
      <c r="S794">
        <v>18</v>
      </c>
      <c r="T794">
        <v>18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18</v>
      </c>
      <c r="AB794">
        <v>3</v>
      </c>
      <c r="AC794">
        <v>0</v>
      </c>
      <c r="AF794" t="s">
        <v>130</v>
      </c>
      <c r="AH794">
        <v>51.33</v>
      </c>
    </row>
    <row r="795" spans="1:34" x14ac:dyDescent="0.3">
      <c r="A795" s="4">
        <v>1002</v>
      </c>
      <c r="B795" s="5">
        <v>788</v>
      </c>
      <c r="C795">
        <v>4072</v>
      </c>
      <c r="D795" t="s">
        <v>12318</v>
      </c>
      <c r="E795" t="s">
        <v>12319</v>
      </c>
      <c r="F795" t="s">
        <v>158</v>
      </c>
      <c r="G795" t="s">
        <v>12320</v>
      </c>
      <c r="H795">
        <v>18.329999999999998</v>
      </c>
      <c r="I795">
        <v>7</v>
      </c>
      <c r="J795">
        <v>0</v>
      </c>
      <c r="K795">
        <v>0</v>
      </c>
      <c r="L795">
        <v>7</v>
      </c>
      <c r="M795">
        <v>5</v>
      </c>
      <c r="O795">
        <v>12</v>
      </c>
      <c r="P795">
        <v>4</v>
      </c>
      <c r="Q795">
        <v>0</v>
      </c>
      <c r="R795">
        <v>41.33</v>
      </c>
      <c r="S795">
        <v>10</v>
      </c>
      <c r="T795">
        <v>10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10</v>
      </c>
      <c r="AB795">
        <v>0</v>
      </c>
      <c r="AC795">
        <v>0</v>
      </c>
      <c r="AF795" t="s">
        <v>130</v>
      </c>
      <c r="AH795">
        <v>51.33</v>
      </c>
    </row>
    <row r="796" spans="1:34" x14ac:dyDescent="0.3">
      <c r="A796" s="4">
        <v>1003</v>
      </c>
      <c r="B796" s="5">
        <v>789</v>
      </c>
      <c r="C796">
        <v>1582</v>
      </c>
      <c r="D796" t="s">
        <v>12321</v>
      </c>
      <c r="E796" t="s">
        <v>238</v>
      </c>
      <c r="F796" t="s">
        <v>62</v>
      </c>
      <c r="G796" t="s">
        <v>12322</v>
      </c>
      <c r="H796">
        <v>16.25</v>
      </c>
      <c r="I796">
        <v>0</v>
      </c>
      <c r="J796">
        <v>0</v>
      </c>
      <c r="K796">
        <v>20</v>
      </c>
      <c r="N796">
        <v>3</v>
      </c>
      <c r="O796">
        <v>3</v>
      </c>
      <c r="P796">
        <v>4</v>
      </c>
      <c r="Q796">
        <v>2</v>
      </c>
      <c r="R796">
        <v>45.25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6</v>
      </c>
      <c r="AC796">
        <v>0</v>
      </c>
      <c r="AF796" t="s">
        <v>130</v>
      </c>
      <c r="AH796">
        <v>51.25</v>
      </c>
    </row>
    <row r="797" spans="1:34" x14ac:dyDescent="0.3">
      <c r="A797" s="4">
        <v>1004</v>
      </c>
      <c r="B797" s="5">
        <v>790</v>
      </c>
      <c r="C797">
        <v>356</v>
      </c>
      <c r="D797" t="s">
        <v>12323</v>
      </c>
      <c r="E797" t="s">
        <v>128</v>
      </c>
      <c r="F797" t="s">
        <v>1174</v>
      </c>
      <c r="G797" t="s">
        <v>12324</v>
      </c>
      <c r="H797">
        <v>19.18</v>
      </c>
      <c r="I797">
        <v>7</v>
      </c>
      <c r="J797">
        <v>0</v>
      </c>
      <c r="K797">
        <v>0</v>
      </c>
      <c r="N797">
        <v>6</v>
      </c>
      <c r="O797">
        <v>6</v>
      </c>
      <c r="P797">
        <v>4</v>
      </c>
      <c r="Q797">
        <v>0</v>
      </c>
      <c r="R797">
        <v>36.18</v>
      </c>
      <c r="S797">
        <v>3</v>
      </c>
      <c r="T797">
        <v>3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3</v>
      </c>
      <c r="AB797">
        <v>12</v>
      </c>
      <c r="AC797">
        <v>0</v>
      </c>
      <c r="AF797" t="s">
        <v>130</v>
      </c>
      <c r="AH797">
        <v>51.18</v>
      </c>
    </row>
    <row r="798" spans="1:34" x14ac:dyDescent="0.3">
      <c r="A798" s="4">
        <v>1005</v>
      </c>
      <c r="B798" s="5">
        <v>791</v>
      </c>
      <c r="C798">
        <v>2316</v>
      </c>
      <c r="D798" t="s">
        <v>12325</v>
      </c>
      <c r="E798" t="s">
        <v>161</v>
      </c>
      <c r="F798" t="s">
        <v>62</v>
      </c>
      <c r="G798" t="s">
        <v>12326</v>
      </c>
      <c r="H798">
        <v>12.5</v>
      </c>
      <c r="I798">
        <v>7</v>
      </c>
      <c r="J798">
        <v>0</v>
      </c>
      <c r="K798">
        <v>20</v>
      </c>
      <c r="L798">
        <v>7</v>
      </c>
      <c r="O798">
        <v>7</v>
      </c>
      <c r="P798">
        <v>4</v>
      </c>
      <c r="Q798">
        <v>0</v>
      </c>
      <c r="R798">
        <v>50.5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F798" t="s">
        <v>130</v>
      </c>
      <c r="AH798">
        <v>50.5</v>
      </c>
    </row>
    <row r="799" spans="1:34" x14ac:dyDescent="0.3">
      <c r="A799" s="4">
        <v>1006</v>
      </c>
      <c r="B799" s="5">
        <v>792</v>
      </c>
      <c r="C799">
        <v>12229</v>
      </c>
      <c r="D799" t="s">
        <v>12327</v>
      </c>
      <c r="E799" t="s">
        <v>375</v>
      </c>
      <c r="F799" t="s">
        <v>17</v>
      </c>
      <c r="G799" t="s">
        <v>12328</v>
      </c>
      <c r="H799">
        <v>18.350000000000001</v>
      </c>
      <c r="I799">
        <v>7</v>
      </c>
      <c r="J799">
        <v>0</v>
      </c>
      <c r="K799">
        <v>20</v>
      </c>
      <c r="M799">
        <v>5</v>
      </c>
      <c r="O799">
        <v>5</v>
      </c>
      <c r="P799">
        <v>0</v>
      </c>
      <c r="Q799">
        <v>0</v>
      </c>
      <c r="R799">
        <v>50.35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F799" t="s">
        <v>130</v>
      </c>
      <c r="AH799">
        <v>50.35</v>
      </c>
    </row>
    <row r="800" spans="1:34" x14ac:dyDescent="0.3">
      <c r="A800" s="4">
        <v>1007</v>
      </c>
      <c r="B800" s="5">
        <v>793</v>
      </c>
      <c r="C800">
        <v>8997</v>
      </c>
      <c r="D800" t="s">
        <v>12329</v>
      </c>
      <c r="E800" t="s">
        <v>29</v>
      </c>
      <c r="F800" t="s">
        <v>81</v>
      </c>
      <c r="G800" t="s">
        <v>12330</v>
      </c>
      <c r="H800">
        <v>19.28</v>
      </c>
      <c r="I800">
        <v>7</v>
      </c>
      <c r="J800">
        <v>0</v>
      </c>
      <c r="K800">
        <v>0</v>
      </c>
      <c r="L800">
        <v>14</v>
      </c>
      <c r="O800">
        <v>14</v>
      </c>
      <c r="P800">
        <v>4</v>
      </c>
      <c r="Q800">
        <v>0</v>
      </c>
      <c r="R800">
        <v>44.28</v>
      </c>
      <c r="S800">
        <v>6</v>
      </c>
      <c r="T800">
        <v>6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6</v>
      </c>
      <c r="AB800">
        <v>0</v>
      </c>
      <c r="AC800">
        <v>0</v>
      </c>
      <c r="AD800" t="s">
        <v>130</v>
      </c>
      <c r="AF800" t="s">
        <v>130</v>
      </c>
      <c r="AH800">
        <v>50.28</v>
      </c>
    </row>
    <row r="801" spans="1:34" x14ac:dyDescent="0.3">
      <c r="A801" s="4">
        <v>1008</v>
      </c>
      <c r="B801" s="5">
        <v>794</v>
      </c>
      <c r="C801">
        <v>10202</v>
      </c>
      <c r="D801" t="s">
        <v>12331</v>
      </c>
      <c r="E801" t="s">
        <v>29</v>
      </c>
      <c r="F801" t="s">
        <v>81</v>
      </c>
      <c r="G801" t="s">
        <v>12332</v>
      </c>
      <c r="H801">
        <v>19.23</v>
      </c>
      <c r="I801">
        <v>0</v>
      </c>
      <c r="J801">
        <v>0</v>
      </c>
      <c r="K801">
        <v>20</v>
      </c>
      <c r="L801">
        <v>7</v>
      </c>
      <c r="O801">
        <v>7</v>
      </c>
      <c r="P801">
        <v>4</v>
      </c>
      <c r="Q801">
        <v>0</v>
      </c>
      <c r="R801">
        <v>50.23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F801" t="s">
        <v>130</v>
      </c>
      <c r="AH801">
        <v>50.23</v>
      </c>
    </row>
    <row r="802" spans="1:34" x14ac:dyDescent="0.3">
      <c r="A802" s="4">
        <v>1009</v>
      </c>
      <c r="B802" s="5">
        <v>795</v>
      </c>
      <c r="C802">
        <v>11892</v>
      </c>
      <c r="D802" t="s">
        <v>10230</v>
      </c>
      <c r="E802" t="s">
        <v>54</v>
      </c>
      <c r="F802" t="s">
        <v>38</v>
      </c>
      <c r="G802" t="s">
        <v>12333</v>
      </c>
      <c r="H802">
        <v>18.079999999999998</v>
      </c>
      <c r="I802">
        <v>0</v>
      </c>
      <c r="J802">
        <v>0</v>
      </c>
      <c r="K802">
        <v>20</v>
      </c>
      <c r="L802">
        <v>7</v>
      </c>
      <c r="N802">
        <v>3</v>
      </c>
      <c r="O802">
        <v>10</v>
      </c>
      <c r="P802">
        <v>0</v>
      </c>
      <c r="Q802">
        <v>2</v>
      </c>
      <c r="R802">
        <v>50.08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F802" t="s">
        <v>130</v>
      </c>
      <c r="AH802">
        <v>50.08</v>
      </c>
    </row>
    <row r="803" spans="1:34" x14ac:dyDescent="0.3">
      <c r="A803" s="4">
        <v>1010</v>
      </c>
      <c r="B803" s="5">
        <v>796</v>
      </c>
      <c r="C803">
        <v>3881</v>
      </c>
      <c r="D803" t="s">
        <v>5357</v>
      </c>
      <c r="E803" t="s">
        <v>5237</v>
      </c>
      <c r="F803" t="s">
        <v>81</v>
      </c>
      <c r="G803" t="s">
        <v>12334</v>
      </c>
      <c r="H803">
        <v>18</v>
      </c>
      <c r="I803">
        <v>0</v>
      </c>
      <c r="J803">
        <v>0</v>
      </c>
      <c r="K803">
        <v>20</v>
      </c>
      <c r="N803">
        <v>3</v>
      </c>
      <c r="O803">
        <v>3</v>
      </c>
      <c r="P803">
        <v>4</v>
      </c>
      <c r="Q803">
        <v>0</v>
      </c>
      <c r="R803">
        <v>45</v>
      </c>
      <c r="S803">
        <v>5</v>
      </c>
      <c r="T803">
        <v>5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5</v>
      </c>
      <c r="AB803">
        <v>0</v>
      </c>
      <c r="AC803">
        <v>0</v>
      </c>
      <c r="AF803" t="s">
        <v>130</v>
      </c>
      <c r="AH803">
        <v>50</v>
      </c>
    </row>
    <row r="804" spans="1:34" x14ac:dyDescent="0.3">
      <c r="A804" s="4">
        <v>1011</v>
      </c>
      <c r="B804" s="5">
        <v>797</v>
      </c>
      <c r="C804">
        <v>2118</v>
      </c>
      <c r="D804" t="s">
        <v>5697</v>
      </c>
      <c r="E804" t="s">
        <v>4695</v>
      </c>
      <c r="F804" t="s">
        <v>972</v>
      </c>
      <c r="G804" t="s">
        <v>12335</v>
      </c>
      <c r="H804">
        <v>16.95</v>
      </c>
      <c r="I804">
        <v>0</v>
      </c>
      <c r="J804">
        <v>0</v>
      </c>
      <c r="K804">
        <v>20</v>
      </c>
      <c r="N804">
        <v>3</v>
      </c>
      <c r="O804">
        <v>3</v>
      </c>
      <c r="P804">
        <v>4</v>
      </c>
      <c r="Q804">
        <v>2</v>
      </c>
      <c r="R804">
        <v>45.95</v>
      </c>
      <c r="S804">
        <v>4</v>
      </c>
      <c r="T804">
        <v>4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4</v>
      </c>
      <c r="AB804">
        <v>0</v>
      </c>
      <c r="AC804">
        <v>0</v>
      </c>
      <c r="AF804" t="s">
        <v>130</v>
      </c>
      <c r="AH804">
        <v>49.95</v>
      </c>
    </row>
    <row r="805" spans="1:34" x14ac:dyDescent="0.3">
      <c r="A805" s="4">
        <v>1012</v>
      </c>
      <c r="B805" s="5">
        <v>798</v>
      </c>
      <c r="C805">
        <v>3856</v>
      </c>
      <c r="D805" t="s">
        <v>12336</v>
      </c>
      <c r="E805" t="s">
        <v>55</v>
      </c>
      <c r="F805" t="s">
        <v>20</v>
      </c>
      <c r="G805" t="s">
        <v>12337</v>
      </c>
      <c r="H805">
        <v>16.93</v>
      </c>
      <c r="I805">
        <v>0</v>
      </c>
      <c r="J805">
        <v>0</v>
      </c>
      <c r="K805">
        <v>20</v>
      </c>
      <c r="L805">
        <v>7</v>
      </c>
      <c r="O805">
        <v>7</v>
      </c>
      <c r="P805">
        <v>4</v>
      </c>
      <c r="Q805">
        <v>2</v>
      </c>
      <c r="R805">
        <v>49.93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F805" t="s">
        <v>130</v>
      </c>
      <c r="AH805">
        <v>49.93</v>
      </c>
    </row>
    <row r="806" spans="1:34" x14ac:dyDescent="0.3">
      <c r="A806" s="4">
        <v>1013</v>
      </c>
      <c r="B806" s="5">
        <v>799</v>
      </c>
      <c r="C806">
        <v>4494</v>
      </c>
      <c r="D806" t="s">
        <v>12338</v>
      </c>
      <c r="E806" t="s">
        <v>219</v>
      </c>
      <c r="F806" t="s">
        <v>4370</v>
      </c>
      <c r="G806" t="s">
        <v>12339</v>
      </c>
      <c r="H806">
        <v>16.829999999999998</v>
      </c>
      <c r="I806">
        <v>7</v>
      </c>
      <c r="J806">
        <v>0</v>
      </c>
      <c r="K806">
        <v>0</v>
      </c>
      <c r="L806">
        <v>7</v>
      </c>
      <c r="M806">
        <v>5</v>
      </c>
      <c r="O806">
        <v>12</v>
      </c>
      <c r="P806">
        <v>4</v>
      </c>
      <c r="Q806">
        <v>0</v>
      </c>
      <c r="R806">
        <v>39.83</v>
      </c>
      <c r="S806">
        <v>10</v>
      </c>
      <c r="T806">
        <v>10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10</v>
      </c>
      <c r="AB806">
        <v>0</v>
      </c>
      <c r="AC806">
        <v>0</v>
      </c>
      <c r="AF806" t="s">
        <v>130</v>
      </c>
      <c r="AH806">
        <v>49.83</v>
      </c>
    </row>
    <row r="807" spans="1:34" x14ac:dyDescent="0.3">
      <c r="A807" s="4">
        <v>1014</v>
      </c>
      <c r="B807" s="5">
        <v>800</v>
      </c>
      <c r="C807">
        <v>9906</v>
      </c>
      <c r="D807" t="s">
        <v>12340</v>
      </c>
      <c r="E807" t="s">
        <v>54</v>
      </c>
      <c r="F807" t="s">
        <v>38</v>
      </c>
      <c r="G807" t="s">
        <v>12341</v>
      </c>
      <c r="H807">
        <v>16.8</v>
      </c>
      <c r="I807">
        <v>7</v>
      </c>
      <c r="J807">
        <v>0</v>
      </c>
      <c r="K807">
        <v>0</v>
      </c>
      <c r="L807">
        <v>7</v>
      </c>
      <c r="O807">
        <v>7</v>
      </c>
      <c r="P807">
        <v>4</v>
      </c>
      <c r="Q807">
        <v>2</v>
      </c>
      <c r="R807">
        <v>36.799999999999997</v>
      </c>
      <c r="S807">
        <v>10</v>
      </c>
      <c r="T807">
        <v>10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10</v>
      </c>
      <c r="AB807">
        <v>3</v>
      </c>
      <c r="AC807">
        <v>0</v>
      </c>
      <c r="AF807" t="s">
        <v>130</v>
      </c>
      <c r="AH807">
        <v>49.8</v>
      </c>
    </row>
    <row r="808" spans="1:34" x14ac:dyDescent="0.3">
      <c r="A808" s="4">
        <v>1015</v>
      </c>
      <c r="B808" s="5">
        <v>801</v>
      </c>
      <c r="C808">
        <v>5905</v>
      </c>
      <c r="D808" t="s">
        <v>12342</v>
      </c>
      <c r="E808" t="s">
        <v>97</v>
      </c>
      <c r="F808" t="s">
        <v>570</v>
      </c>
      <c r="G808" t="s">
        <v>12343</v>
      </c>
      <c r="H808">
        <v>12.5</v>
      </c>
      <c r="I808">
        <v>7</v>
      </c>
      <c r="J808">
        <v>0</v>
      </c>
      <c r="K808">
        <v>20</v>
      </c>
      <c r="N808">
        <v>3</v>
      </c>
      <c r="O808">
        <v>3</v>
      </c>
      <c r="P808">
        <v>4</v>
      </c>
      <c r="Q808">
        <v>2</v>
      </c>
      <c r="R808">
        <v>48.5</v>
      </c>
      <c r="S808">
        <v>1</v>
      </c>
      <c r="T808">
        <v>1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1</v>
      </c>
      <c r="AB808">
        <v>0</v>
      </c>
      <c r="AC808">
        <v>0</v>
      </c>
      <c r="AF808" t="s">
        <v>130</v>
      </c>
      <c r="AH808">
        <v>49.5</v>
      </c>
    </row>
    <row r="809" spans="1:34" x14ac:dyDescent="0.3">
      <c r="A809" s="4">
        <v>1016</v>
      </c>
      <c r="B809" s="5">
        <v>802</v>
      </c>
      <c r="C809">
        <v>2960</v>
      </c>
      <c r="D809" t="s">
        <v>12344</v>
      </c>
      <c r="E809" t="s">
        <v>110</v>
      </c>
      <c r="F809" t="s">
        <v>238</v>
      </c>
      <c r="G809" t="s">
        <v>12345</v>
      </c>
      <c r="H809">
        <v>22.45</v>
      </c>
      <c r="I809">
        <v>7</v>
      </c>
      <c r="J809">
        <v>0</v>
      </c>
      <c r="K809">
        <v>0</v>
      </c>
      <c r="M809">
        <v>5</v>
      </c>
      <c r="N809">
        <v>3</v>
      </c>
      <c r="O809">
        <v>8</v>
      </c>
      <c r="P809">
        <v>4</v>
      </c>
      <c r="Q809">
        <v>2</v>
      </c>
      <c r="R809">
        <v>43.45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6</v>
      </c>
      <c r="AC809">
        <v>0</v>
      </c>
      <c r="AD809" t="s">
        <v>130</v>
      </c>
      <c r="AF809" t="s">
        <v>130</v>
      </c>
      <c r="AH809">
        <v>49.45</v>
      </c>
    </row>
    <row r="810" spans="1:34" x14ac:dyDescent="0.3">
      <c r="A810" s="4">
        <v>1017</v>
      </c>
      <c r="B810" s="5">
        <v>803</v>
      </c>
      <c r="C810">
        <v>9303</v>
      </c>
      <c r="D810" t="s">
        <v>12346</v>
      </c>
      <c r="E810" t="s">
        <v>12347</v>
      </c>
      <c r="F810" t="s">
        <v>81</v>
      </c>
      <c r="G810" t="s">
        <v>12348</v>
      </c>
      <c r="H810">
        <v>18.329999999999998</v>
      </c>
      <c r="I810">
        <v>0</v>
      </c>
      <c r="J810">
        <v>0</v>
      </c>
      <c r="K810">
        <v>20</v>
      </c>
      <c r="L810">
        <v>7</v>
      </c>
      <c r="O810">
        <v>7</v>
      </c>
      <c r="P810">
        <v>4</v>
      </c>
      <c r="Q810">
        <v>0</v>
      </c>
      <c r="R810">
        <v>49.33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F810" t="s">
        <v>130</v>
      </c>
      <c r="AH810">
        <v>49.33</v>
      </c>
    </row>
    <row r="811" spans="1:34" x14ac:dyDescent="0.3">
      <c r="A811" s="4">
        <v>1018</v>
      </c>
      <c r="B811" s="5">
        <v>804</v>
      </c>
      <c r="C811">
        <v>398</v>
      </c>
      <c r="D811" t="s">
        <v>12349</v>
      </c>
      <c r="E811" t="s">
        <v>29</v>
      </c>
      <c r="F811" t="s">
        <v>17</v>
      </c>
      <c r="G811" t="s">
        <v>12350</v>
      </c>
      <c r="H811">
        <v>18.2</v>
      </c>
      <c r="I811">
        <v>0</v>
      </c>
      <c r="J811">
        <v>0</v>
      </c>
      <c r="K811">
        <v>20</v>
      </c>
      <c r="L811">
        <v>7</v>
      </c>
      <c r="O811">
        <v>7</v>
      </c>
      <c r="P811">
        <v>4</v>
      </c>
      <c r="Q811">
        <v>0</v>
      </c>
      <c r="R811">
        <v>49.2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F811" t="s">
        <v>130</v>
      </c>
      <c r="AH811">
        <v>49.2</v>
      </c>
    </row>
    <row r="812" spans="1:34" x14ac:dyDescent="0.3">
      <c r="A812" s="4">
        <v>1019</v>
      </c>
      <c r="B812" s="5">
        <v>805</v>
      </c>
      <c r="C812">
        <v>8264</v>
      </c>
      <c r="D812" t="s">
        <v>12351</v>
      </c>
      <c r="E812" t="s">
        <v>4855</v>
      </c>
      <c r="F812" t="s">
        <v>892</v>
      </c>
      <c r="G812" t="s">
        <v>12352</v>
      </c>
      <c r="H812">
        <v>18.2</v>
      </c>
      <c r="I812">
        <v>0</v>
      </c>
      <c r="J812">
        <v>0</v>
      </c>
      <c r="K812">
        <v>20</v>
      </c>
      <c r="L812">
        <v>7</v>
      </c>
      <c r="O812">
        <v>7</v>
      </c>
      <c r="P812">
        <v>4</v>
      </c>
      <c r="Q812">
        <v>0</v>
      </c>
      <c r="R812">
        <v>49.2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F812" t="s">
        <v>130</v>
      </c>
      <c r="AH812">
        <v>49.2</v>
      </c>
    </row>
    <row r="813" spans="1:34" x14ac:dyDescent="0.3">
      <c r="A813" s="4">
        <v>1020</v>
      </c>
      <c r="B813" s="5">
        <v>806</v>
      </c>
      <c r="C813">
        <v>15570</v>
      </c>
      <c r="D813" t="s">
        <v>5094</v>
      </c>
      <c r="E813" t="s">
        <v>41</v>
      </c>
      <c r="F813" t="s">
        <v>117</v>
      </c>
      <c r="G813" t="s">
        <v>12353</v>
      </c>
      <c r="H813">
        <v>25</v>
      </c>
      <c r="I813">
        <v>7</v>
      </c>
      <c r="J813">
        <v>0</v>
      </c>
      <c r="K813">
        <v>0</v>
      </c>
      <c r="L813">
        <v>7</v>
      </c>
      <c r="O813">
        <v>7</v>
      </c>
      <c r="P813">
        <v>4</v>
      </c>
      <c r="Q813">
        <v>0</v>
      </c>
      <c r="R813">
        <v>43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6</v>
      </c>
      <c r="AC813">
        <v>0</v>
      </c>
      <c r="AF813" t="s">
        <v>130</v>
      </c>
      <c r="AH813">
        <v>49</v>
      </c>
    </row>
    <row r="814" spans="1:34" x14ac:dyDescent="0.3">
      <c r="A814" s="4">
        <v>1021</v>
      </c>
      <c r="B814" s="5">
        <v>807</v>
      </c>
      <c r="C814">
        <v>12971</v>
      </c>
      <c r="D814" t="s">
        <v>944</v>
      </c>
      <c r="E814" t="s">
        <v>789</v>
      </c>
      <c r="F814" t="s">
        <v>20</v>
      </c>
      <c r="G814" t="s">
        <v>12354</v>
      </c>
      <c r="H814">
        <v>19.95</v>
      </c>
      <c r="I814">
        <v>0</v>
      </c>
      <c r="J814">
        <v>0</v>
      </c>
      <c r="K814">
        <v>0</v>
      </c>
      <c r="N814">
        <v>6</v>
      </c>
      <c r="O814">
        <v>6</v>
      </c>
      <c r="P814">
        <v>4</v>
      </c>
      <c r="Q814">
        <v>2</v>
      </c>
      <c r="R814">
        <v>31.95</v>
      </c>
      <c r="S814">
        <v>17</v>
      </c>
      <c r="T814">
        <v>17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17</v>
      </c>
      <c r="AB814">
        <v>0</v>
      </c>
      <c r="AC814">
        <v>0</v>
      </c>
      <c r="AF814" t="s">
        <v>130</v>
      </c>
      <c r="AH814">
        <v>48.95</v>
      </c>
    </row>
    <row r="815" spans="1:34" x14ac:dyDescent="0.3">
      <c r="A815" s="4">
        <v>1022</v>
      </c>
      <c r="B815" s="5">
        <v>808</v>
      </c>
      <c r="C815">
        <v>1594</v>
      </c>
      <c r="D815" t="s">
        <v>12355</v>
      </c>
      <c r="E815" t="s">
        <v>161</v>
      </c>
      <c r="F815" t="s">
        <v>81</v>
      </c>
      <c r="G815" t="s">
        <v>12356</v>
      </c>
      <c r="H815">
        <v>19.850000000000001</v>
      </c>
      <c r="I815">
        <v>7</v>
      </c>
      <c r="J815">
        <v>0</v>
      </c>
      <c r="K815">
        <v>0</v>
      </c>
      <c r="L815">
        <v>7</v>
      </c>
      <c r="N815">
        <v>3</v>
      </c>
      <c r="O815">
        <v>10</v>
      </c>
      <c r="P815">
        <v>4</v>
      </c>
      <c r="Q815">
        <v>2</v>
      </c>
      <c r="R815">
        <v>42.85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6</v>
      </c>
      <c r="AC815">
        <v>0</v>
      </c>
      <c r="AF815" t="s">
        <v>130</v>
      </c>
      <c r="AH815">
        <v>48.85</v>
      </c>
    </row>
    <row r="816" spans="1:34" x14ac:dyDescent="0.3">
      <c r="A816" s="4">
        <v>1023</v>
      </c>
      <c r="B816" s="5">
        <v>809</v>
      </c>
      <c r="C816">
        <v>15606</v>
      </c>
      <c r="D816" t="s">
        <v>3072</v>
      </c>
      <c r="E816" t="s">
        <v>48</v>
      </c>
      <c r="F816" t="s">
        <v>466</v>
      </c>
      <c r="G816" t="s">
        <v>12357</v>
      </c>
      <c r="H816">
        <v>19.850000000000001</v>
      </c>
      <c r="I816">
        <v>0</v>
      </c>
      <c r="J816">
        <v>0</v>
      </c>
      <c r="K816">
        <v>20</v>
      </c>
      <c r="N816">
        <v>6</v>
      </c>
      <c r="O816">
        <v>6</v>
      </c>
      <c r="P816">
        <v>0</v>
      </c>
      <c r="Q816">
        <v>0</v>
      </c>
      <c r="R816">
        <v>45.85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3</v>
      </c>
      <c r="AC816">
        <v>0</v>
      </c>
      <c r="AF816" t="s">
        <v>130</v>
      </c>
      <c r="AH816">
        <v>48.85</v>
      </c>
    </row>
    <row r="817" spans="1:34" x14ac:dyDescent="0.3">
      <c r="A817" s="4">
        <v>1024</v>
      </c>
      <c r="B817" s="5">
        <v>810</v>
      </c>
      <c r="C817">
        <v>1027</v>
      </c>
      <c r="D817" t="s">
        <v>8292</v>
      </c>
      <c r="E817" t="s">
        <v>188</v>
      </c>
      <c r="F817" t="s">
        <v>62</v>
      </c>
      <c r="G817" t="s">
        <v>12358</v>
      </c>
      <c r="H817">
        <v>12.5</v>
      </c>
      <c r="I817">
        <v>7</v>
      </c>
      <c r="J817">
        <v>0</v>
      </c>
      <c r="K817">
        <v>20</v>
      </c>
      <c r="O817">
        <v>0</v>
      </c>
      <c r="P817">
        <v>4</v>
      </c>
      <c r="Q817">
        <v>2</v>
      </c>
      <c r="R817">
        <v>45.5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3</v>
      </c>
      <c r="AC817">
        <v>0</v>
      </c>
      <c r="AF817" t="s">
        <v>130</v>
      </c>
      <c r="AH817">
        <v>48.5</v>
      </c>
    </row>
    <row r="818" spans="1:34" x14ac:dyDescent="0.3">
      <c r="A818" s="4">
        <v>1025</v>
      </c>
      <c r="B818" s="5">
        <v>811</v>
      </c>
      <c r="C818">
        <v>12675</v>
      </c>
      <c r="D818" t="s">
        <v>459</v>
      </c>
      <c r="E818" t="s">
        <v>166</v>
      </c>
      <c r="F818" t="s">
        <v>81</v>
      </c>
      <c r="G818" t="s">
        <v>12359</v>
      </c>
      <c r="H818">
        <v>18.399999999999999</v>
      </c>
      <c r="I818">
        <v>0</v>
      </c>
      <c r="J818">
        <v>0</v>
      </c>
      <c r="K818">
        <v>20</v>
      </c>
      <c r="N818">
        <v>3</v>
      </c>
      <c r="O818">
        <v>3</v>
      </c>
      <c r="P818">
        <v>0</v>
      </c>
      <c r="Q818">
        <v>2</v>
      </c>
      <c r="R818">
        <v>43.4</v>
      </c>
      <c r="S818">
        <v>5</v>
      </c>
      <c r="T818">
        <v>5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5</v>
      </c>
      <c r="AB818">
        <v>0</v>
      </c>
      <c r="AC818">
        <v>0</v>
      </c>
      <c r="AF818" t="s">
        <v>130</v>
      </c>
      <c r="AH818">
        <v>48.4</v>
      </c>
    </row>
    <row r="819" spans="1:34" x14ac:dyDescent="0.3">
      <c r="A819" s="4">
        <v>1026</v>
      </c>
      <c r="B819" s="5">
        <v>812</v>
      </c>
      <c r="C819">
        <v>3127</v>
      </c>
      <c r="D819" t="s">
        <v>12360</v>
      </c>
      <c r="E819" t="s">
        <v>749</v>
      </c>
      <c r="F819" t="s">
        <v>17</v>
      </c>
      <c r="G819" t="s">
        <v>12361</v>
      </c>
      <c r="H819">
        <v>19.3</v>
      </c>
      <c r="I819">
        <v>0</v>
      </c>
      <c r="J819">
        <v>0</v>
      </c>
      <c r="K819">
        <v>20</v>
      </c>
      <c r="M819">
        <v>5</v>
      </c>
      <c r="O819">
        <v>5</v>
      </c>
      <c r="P819">
        <v>4</v>
      </c>
      <c r="Q819">
        <v>0</v>
      </c>
      <c r="R819">
        <v>48.3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F819" t="s">
        <v>130</v>
      </c>
      <c r="AH819">
        <v>48.3</v>
      </c>
    </row>
    <row r="820" spans="1:34" x14ac:dyDescent="0.3">
      <c r="A820" s="4">
        <v>1027</v>
      </c>
      <c r="B820" s="5">
        <v>813</v>
      </c>
      <c r="C820">
        <v>6264</v>
      </c>
      <c r="D820" t="s">
        <v>12362</v>
      </c>
      <c r="E820" t="s">
        <v>54</v>
      </c>
      <c r="F820" t="s">
        <v>17</v>
      </c>
      <c r="G820" t="s">
        <v>12363</v>
      </c>
      <c r="H820">
        <v>19.28</v>
      </c>
      <c r="I820">
        <v>0</v>
      </c>
      <c r="J820">
        <v>0</v>
      </c>
      <c r="K820">
        <v>20</v>
      </c>
      <c r="L820">
        <v>7</v>
      </c>
      <c r="O820">
        <v>7</v>
      </c>
      <c r="P820">
        <v>0</v>
      </c>
      <c r="Q820">
        <v>2</v>
      </c>
      <c r="R820">
        <v>48.28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F820" t="s">
        <v>130</v>
      </c>
      <c r="AH820">
        <v>48.28</v>
      </c>
    </row>
    <row r="821" spans="1:34" x14ac:dyDescent="0.3">
      <c r="A821" s="4">
        <v>1028</v>
      </c>
      <c r="B821" s="5">
        <v>814</v>
      </c>
      <c r="C821">
        <v>9025</v>
      </c>
      <c r="D821" t="s">
        <v>4593</v>
      </c>
      <c r="E821" t="s">
        <v>182</v>
      </c>
      <c r="F821" t="s">
        <v>136</v>
      </c>
      <c r="G821" t="s">
        <v>12364</v>
      </c>
      <c r="H821">
        <v>18.13</v>
      </c>
      <c r="I821">
        <v>0</v>
      </c>
      <c r="J821">
        <v>0</v>
      </c>
      <c r="K821">
        <v>20</v>
      </c>
      <c r="N821">
        <v>3</v>
      </c>
      <c r="O821">
        <v>3</v>
      </c>
      <c r="P821">
        <v>4</v>
      </c>
      <c r="Q821">
        <v>0</v>
      </c>
      <c r="R821">
        <v>45.13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3</v>
      </c>
      <c r="AC821">
        <v>0</v>
      </c>
      <c r="AF821" t="s">
        <v>130</v>
      </c>
      <c r="AH821">
        <v>48.13</v>
      </c>
    </row>
    <row r="822" spans="1:34" x14ac:dyDescent="0.3">
      <c r="A822" s="4">
        <v>1029</v>
      </c>
      <c r="B822" s="5">
        <v>815</v>
      </c>
      <c r="C822">
        <v>5523</v>
      </c>
      <c r="D822" t="s">
        <v>12365</v>
      </c>
      <c r="E822" t="s">
        <v>213</v>
      </c>
      <c r="F822" t="s">
        <v>343</v>
      </c>
      <c r="G822" t="s">
        <v>12366</v>
      </c>
      <c r="H822">
        <v>19.079999999999998</v>
      </c>
      <c r="I822">
        <v>0</v>
      </c>
      <c r="J822">
        <v>0</v>
      </c>
      <c r="K822">
        <v>20</v>
      </c>
      <c r="N822">
        <v>3</v>
      </c>
      <c r="O822">
        <v>3</v>
      </c>
      <c r="P822">
        <v>0</v>
      </c>
      <c r="Q822">
        <v>0</v>
      </c>
      <c r="R822">
        <v>42.08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6</v>
      </c>
      <c r="AC822">
        <v>0</v>
      </c>
      <c r="AF822" t="s">
        <v>130</v>
      </c>
      <c r="AH822">
        <v>48.08</v>
      </c>
    </row>
    <row r="823" spans="1:34" x14ac:dyDescent="0.3">
      <c r="A823" s="4">
        <v>1030</v>
      </c>
      <c r="B823" s="5">
        <v>816</v>
      </c>
      <c r="C823">
        <v>9785</v>
      </c>
      <c r="D823" t="s">
        <v>12367</v>
      </c>
      <c r="E823" t="s">
        <v>1694</v>
      </c>
      <c r="F823" t="s">
        <v>81</v>
      </c>
      <c r="G823" t="s">
        <v>12368</v>
      </c>
      <c r="H823">
        <v>17</v>
      </c>
      <c r="I823">
        <v>0</v>
      </c>
      <c r="J823">
        <v>0</v>
      </c>
      <c r="K823">
        <v>20</v>
      </c>
      <c r="L823">
        <v>7</v>
      </c>
      <c r="O823">
        <v>7</v>
      </c>
      <c r="P823">
        <v>4</v>
      </c>
      <c r="Q823">
        <v>0</v>
      </c>
      <c r="R823">
        <v>48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F823" t="s">
        <v>130</v>
      </c>
      <c r="AH823">
        <v>48</v>
      </c>
    </row>
    <row r="824" spans="1:34" x14ac:dyDescent="0.3">
      <c r="A824" s="4">
        <v>1031</v>
      </c>
      <c r="B824" s="5">
        <v>817</v>
      </c>
      <c r="C824">
        <v>8895</v>
      </c>
      <c r="D824" t="s">
        <v>1340</v>
      </c>
      <c r="E824" t="s">
        <v>29</v>
      </c>
      <c r="F824" t="s">
        <v>30</v>
      </c>
      <c r="G824" t="s">
        <v>12369</v>
      </c>
      <c r="H824">
        <v>18.98</v>
      </c>
      <c r="I824">
        <v>0</v>
      </c>
      <c r="J824">
        <v>0</v>
      </c>
      <c r="K824">
        <v>20</v>
      </c>
      <c r="N824">
        <v>3</v>
      </c>
      <c r="O824">
        <v>3</v>
      </c>
      <c r="P824">
        <v>4</v>
      </c>
      <c r="Q824">
        <v>2</v>
      </c>
      <c r="R824">
        <v>47.98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F824" t="s">
        <v>130</v>
      </c>
      <c r="AH824">
        <v>47.98</v>
      </c>
    </row>
    <row r="825" spans="1:34" x14ac:dyDescent="0.3">
      <c r="A825" s="4">
        <v>1032</v>
      </c>
      <c r="B825" s="5">
        <v>818</v>
      </c>
      <c r="C825">
        <v>3212</v>
      </c>
      <c r="D825" t="s">
        <v>12370</v>
      </c>
      <c r="E825" t="s">
        <v>188</v>
      </c>
      <c r="F825" t="s">
        <v>81</v>
      </c>
      <c r="G825" t="s">
        <v>12371</v>
      </c>
      <c r="H825">
        <v>18.23</v>
      </c>
      <c r="I825">
        <v>0</v>
      </c>
      <c r="J825">
        <v>0</v>
      </c>
      <c r="K825">
        <v>20</v>
      </c>
      <c r="N825">
        <v>3</v>
      </c>
      <c r="O825">
        <v>3</v>
      </c>
      <c r="P825">
        <v>4</v>
      </c>
      <c r="Q825">
        <v>2</v>
      </c>
      <c r="R825">
        <v>47.23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F825" t="s">
        <v>130</v>
      </c>
      <c r="AH825">
        <v>47.23</v>
      </c>
    </row>
    <row r="826" spans="1:34" x14ac:dyDescent="0.3">
      <c r="A826" s="4">
        <v>1033</v>
      </c>
      <c r="B826" s="5">
        <v>819</v>
      </c>
      <c r="C826">
        <v>11715</v>
      </c>
      <c r="D826" t="s">
        <v>12372</v>
      </c>
      <c r="E826" t="s">
        <v>54</v>
      </c>
      <c r="F826" t="s">
        <v>124</v>
      </c>
      <c r="G826" t="s">
        <v>12373</v>
      </c>
      <c r="H826">
        <v>20.079999999999998</v>
      </c>
      <c r="I826">
        <v>0</v>
      </c>
      <c r="J826">
        <v>0</v>
      </c>
      <c r="K826">
        <v>20</v>
      </c>
      <c r="N826">
        <v>3</v>
      </c>
      <c r="O826">
        <v>3</v>
      </c>
      <c r="P826">
        <v>4</v>
      </c>
      <c r="Q826">
        <v>0</v>
      </c>
      <c r="R826">
        <v>47.08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F826" t="s">
        <v>130</v>
      </c>
      <c r="AH826">
        <v>47.08</v>
      </c>
    </row>
    <row r="827" spans="1:34" x14ac:dyDescent="0.3">
      <c r="A827" s="4">
        <v>1034</v>
      </c>
      <c r="B827" s="5">
        <v>820</v>
      </c>
      <c r="C827">
        <v>3891</v>
      </c>
      <c r="D827" t="s">
        <v>12374</v>
      </c>
      <c r="E827" t="s">
        <v>283</v>
      </c>
      <c r="F827" t="s">
        <v>652</v>
      </c>
      <c r="G827" t="s">
        <v>12375</v>
      </c>
      <c r="H827">
        <v>16.98</v>
      </c>
      <c r="I827">
        <v>0</v>
      </c>
      <c r="J827">
        <v>0</v>
      </c>
      <c r="K827">
        <v>0</v>
      </c>
      <c r="L827">
        <v>7</v>
      </c>
      <c r="O827">
        <v>7</v>
      </c>
      <c r="P827">
        <v>4</v>
      </c>
      <c r="Q827">
        <v>2</v>
      </c>
      <c r="R827">
        <v>29.98</v>
      </c>
      <c r="S827">
        <v>17</v>
      </c>
      <c r="T827">
        <v>17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17</v>
      </c>
      <c r="AB827">
        <v>0</v>
      </c>
      <c r="AC827">
        <v>0</v>
      </c>
      <c r="AD827" t="s">
        <v>130</v>
      </c>
      <c r="AF827" t="s">
        <v>130</v>
      </c>
      <c r="AH827">
        <v>46.98</v>
      </c>
    </row>
    <row r="828" spans="1:34" x14ac:dyDescent="0.3">
      <c r="A828" s="4">
        <v>1035</v>
      </c>
      <c r="B828" s="5">
        <v>821</v>
      </c>
      <c r="C828">
        <v>2239</v>
      </c>
      <c r="D828" t="s">
        <v>12376</v>
      </c>
      <c r="E828" t="s">
        <v>110</v>
      </c>
      <c r="F828" t="s">
        <v>38</v>
      </c>
      <c r="G828" t="s">
        <v>12377</v>
      </c>
      <c r="H828">
        <v>22.83</v>
      </c>
      <c r="I828">
        <v>7</v>
      </c>
      <c r="J828">
        <v>0</v>
      </c>
      <c r="K828">
        <v>0</v>
      </c>
      <c r="M828">
        <v>5</v>
      </c>
      <c r="O828">
        <v>5</v>
      </c>
      <c r="P828">
        <v>4</v>
      </c>
      <c r="Q828">
        <v>2</v>
      </c>
      <c r="R828">
        <v>40.83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6</v>
      </c>
      <c r="AC828">
        <v>0</v>
      </c>
      <c r="AF828" t="s">
        <v>130</v>
      </c>
      <c r="AH828">
        <v>46.83</v>
      </c>
    </row>
    <row r="829" spans="1:34" x14ac:dyDescent="0.3">
      <c r="A829" s="4">
        <v>1036</v>
      </c>
      <c r="B829" s="5">
        <v>822</v>
      </c>
      <c r="C829">
        <v>9320</v>
      </c>
      <c r="D829" t="s">
        <v>4051</v>
      </c>
      <c r="E829" t="s">
        <v>12378</v>
      </c>
      <c r="F829" t="s">
        <v>416</v>
      </c>
      <c r="G829" t="s">
        <v>12379</v>
      </c>
      <c r="H829">
        <v>15.5</v>
      </c>
      <c r="I829">
        <v>0</v>
      </c>
      <c r="J829">
        <v>0</v>
      </c>
      <c r="K829">
        <v>20</v>
      </c>
      <c r="L829">
        <v>7</v>
      </c>
      <c r="O829">
        <v>7</v>
      </c>
      <c r="P829">
        <v>4</v>
      </c>
      <c r="Q829">
        <v>0</v>
      </c>
      <c r="R829">
        <v>46.5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F829" t="s">
        <v>130</v>
      </c>
      <c r="AH829">
        <v>46.5</v>
      </c>
    </row>
    <row r="830" spans="1:34" x14ac:dyDescent="0.3">
      <c r="A830" s="4">
        <v>1037</v>
      </c>
      <c r="B830" s="5">
        <v>823</v>
      </c>
      <c r="C830">
        <v>2771</v>
      </c>
      <c r="D830" t="s">
        <v>12380</v>
      </c>
      <c r="E830" t="s">
        <v>117</v>
      </c>
      <c r="F830" t="s">
        <v>158</v>
      </c>
      <c r="G830" t="s">
        <v>12381</v>
      </c>
      <c r="H830">
        <v>12.5</v>
      </c>
      <c r="I830">
        <v>7</v>
      </c>
      <c r="J830">
        <v>0</v>
      </c>
      <c r="K830">
        <v>20</v>
      </c>
      <c r="N830">
        <v>3</v>
      </c>
      <c r="O830">
        <v>3</v>
      </c>
      <c r="P830">
        <v>4</v>
      </c>
      <c r="Q830">
        <v>0</v>
      </c>
      <c r="R830">
        <v>46.5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F830" t="s">
        <v>130</v>
      </c>
      <c r="AH830">
        <v>46.5</v>
      </c>
    </row>
    <row r="831" spans="1:34" x14ac:dyDescent="0.3">
      <c r="A831" s="4">
        <v>1038</v>
      </c>
      <c r="B831" s="5">
        <v>824</v>
      </c>
      <c r="C831">
        <v>3236</v>
      </c>
      <c r="D831" t="s">
        <v>3340</v>
      </c>
      <c r="E831" t="s">
        <v>178</v>
      </c>
      <c r="F831" t="s">
        <v>20</v>
      </c>
      <c r="G831" t="s">
        <v>12382</v>
      </c>
      <c r="H831">
        <v>12.5</v>
      </c>
      <c r="I831">
        <v>7</v>
      </c>
      <c r="J831">
        <v>0</v>
      </c>
      <c r="K831">
        <v>20</v>
      </c>
      <c r="N831">
        <v>3</v>
      </c>
      <c r="O831">
        <v>3</v>
      </c>
      <c r="P831">
        <v>4</v>
      </c>
      <c r="Q831">
        <v>0</v>
      </c>
      <c r="R831">
        <v>46.5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 t="s">
        <v>130</v>
      </c>
      <c r="AF831" t="s">
        <v>130</v>
      </c>
      <c r="AH831">
        <v>46.5</v>
      </c>
    </row>
    <row r="832" spans="1:34" x14ac:dyDescent="0.3">
      <c r="A832" s="4">
        <v>1039</v>
      </c>
      <c r="B832" s="5">
        <v>825</v>
      </c>
      <c r="C832">
        <v>14311</v>
      </c>
      <c r="D832" t="s">
        <v>12383</v>
      </c>
      <c r="E832" t="s">
        <v>219</v>
      </c>
      <c r="F832" t="s">
        <v>81</v>
      </c>
      <c r="G832" t="s">
        <v>12384</v>
      </c>
      <c r="H832">
        <v>17.43</v>
      </c>
      <c r="I832">
        <v>0</v>
      </c>
      <c r="J832">
        <v>0</v>
      </c>
      <c r="K832">
        <v>0</v>
      </c>
      <c r="N832">
        <v>3</v>
      </c>
      <c r="O832">
        <v>3</v>
      </c>
      <c r="P832">
        <v>4</v>
      </c>
      <c r="Q832">
        <v>2</v>
      </c>
      <c r="R832">
        <v>26.43</v>
      </c>
      <c r="S832">
        <v>4</v>
      </c>
      <c r="T832">
        <v>4</v>
      </c>
      <c r="U832">
        <v>3</v>
      </c>
      <c r="V832">
        <v>6</v>
      </c>
      <c r="W832">
        <v>7</v>
      </c>
      <c r="X832">
        <v>10</v>
      </c>
      <c r="Y832">
        <v>0</v>
      </c>
      <c r="Z832">
        <v>0</v>
      </c>
      <c r="AA832">
        <v>20</v>
      </c>
      <c r="AB832">
        <v>0</v>
      </c>
      <c r="AC832">
        <v>0</v>
      </c>
      <c r="AF832" t="s">
        <v>130</v>
      </c>
      <c r="AH832">
        <v>46.43</v>
      </c>
    </row>
    <row r="833" spans="1:34" x14ac:dyDescent="0.3">
      <c r="A833" s="4">
        <v>1040</v>
      </c>
      <c r="B833" s="5">
        <v>826</v>
      </c>
      <c r="C833">
        <v>440</v>
      </c>
      <c r="D833" t="s">
        <v>7774</v>
      </c>
      <c r="E833" t="s">
        <v>307</v>
      </c>
      <c r="F833" t="s">
        <v>20</v>
      </c>
      <c r="G833" t="s">
        <v>12385</v>
      </c>
      <c r="H833">
        <v>16.25</v>
      </c>
      <c r="I833">
        <v>0</v>
      </c>
      <c r="J833">
        <v>0</v>
      </c>
      <c r="K833">
        <v>20</v>
      </c>
      <c r="N833">
        <v>6</v>
      </c>
      <c r="O833">
        <v>6</v>
      </c>
      <c r="P833">
        <v>4</v>
      </c>
      <c r="Q833">
        <v>0</v>
      </c>
      <c r="R833">
        <v>46.25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F833" t="s">
        <v>130</v>
      </c>
      <c r="AH833">
        <v>46.25</v>
      </c>
    </row>
    <row r="834" spans="1:34" x14ac:dyDescent="0.3">
      <c r="A834" s="4">
        <v>1041</v>
      </c>
      <c r="B834" s="5">
        <v>827</v>
      </c>
      <c r="C834">
        <v>6236</v>
      </c>
      <c r="D834" t="s">
        <v>1742</v>
      </c>
      <c r="E834" t="s">
        <v>780</v>
      </c>
      <c r="F834" t="s">
        <v>117</v>
      </c>
      <c r="G834" t="s">
        <v>12386</v>
      </c>
      <c r="H834">
        <v>17.25</v>
      </c>
      <c r="I834">
        <v>7</v>
      </c>
      <c r="J834">
        <v>0</v>
      </c>
      <c r="K834">
        <v>0</v>
      </c>
      <c r="L834">
        <v>14</v>
      </c>
      <c r="O834">
        <v>14</v>
      </c>
      <c r="P834">
        <v>4</v>
      </c>
      <c r="Q834">
        <v>0</v>
      </c>
      <c r="R834">
        <v>42.25</v>
      </c>
      <c r="S834">
        <v>4</v>
      </c>
      <c r="T834">
        <v>4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4</v>
      </c>
      <c r="AB834">
        <v>0</v>
      </c>
      <c r="AC834">
        <v>0</v>
      </c>
      <c r="AF834" t="s">
        <v>130</v>
      </c>
      <c r="AH834">
        <v>46.25</v>
      </c>
    </row>
    <row r="835" spans="1:34" x14ac:dyDescent="0.3">
      <c r="A835" s="4">
        <v>1042</v>
      </c>
      <c r="B835" s="5">
        <v>828</v>
      </c>
      <c r="C835">
        <v>2506</v>
      </c>
      <c r="D835" t="s">
        <v>12387</v>
      </c>
      <c r="E835" t="s">
        <v>789</v>
      </c>
      <c r="F835" t="s">
        <v>570</v>
      </c>
      <c r="G835" t="s">
        <v>12388</v>
      </c>
      <c r="H835">
        <v>13.15</v>
      </c>
      <c r="I835">
        <v>0</v>
      </c>
      <c r="J835">
        <v>0</v>
      </c>
      <c r="K835">
        <v>20</v>
      </c>
      <c r="L835">
        <v>7</v>
      </c>
      <c r="O835">
        <v>7</v>
      </c>
      <c r="P835">
        <v>4</v>
      </c>
      <c r="Q835">
        <v>2</v>
      </c>
      <c r="R835">
        <v>46.15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F835" t="s">
        <v>130</v>
      </c>
      <c r="AH835">
        <v>46.15</v>
      </c>
    </row>
    <row r="836" spans="1:34" x14ac:dyDescent="0.3">
      <c r="A836" s="4">
        <v>1043</v>
      </c>
      <c r="B836" s="5">
        <v>829</v>
      </c>
      <c r="C836">
        <v>2284</v>
      </c>
      <c r="D836" t="s">
        <v>12389</v>
      </c>
      <c r="E836" t="s">
        <v>12390</v>
      </c>
      <c r="F836" t="s">
        <v>12391</v>
      </c>
      <c r="G836" t="s">
        <v>12392</v>
      </c>
      <c r="H836">
        <v>19.079999999999998</v>
      </c>
      <c r="I836">
        <v>0</v>
      </c>
      <c r="J836">
        <v>0</v>
      </c>
      <c r="K836">
        <v>20</v>
      </c>
      <c r="L836">
        <v>7</v>
      </c>
      <c r="O836">
        <v>7</v>
      </c>
      <c r="P836">
        <v>0</v>
      </c>
      <c r="Q836">
        <v>0</v>
      </c>
      <c r="R836">
        <v>46.08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F836" t="s">
        <v>130</v>
      </c>
      <c r="AH836">
        <v>46.08</v>
      </c>
    </row>
    <row r="837" spans="1:34" x14ac:dyDescent="0.3">
      <c r="A837" s="4">
        <v>1044</v>
      </c>
      <c r="B837" s="5">
        <v>830</v>
      </c>
      <c r="C837">
        <v>1784</v>
      </c>
      <c r="D837" t="s">
        <v>1907</v>
      </c>
      <c r="E837" t="s">
        <v>161</v>
      </c>
      <c r="F837" t="s">
        <v>17</v>
      </c>
      <c r="G837" t="s">
        <v>12393</v>
      </c>
      <c r="H837">
        <v>18.78</v>
      </c>
      <c r="I837">
        <v>0</v>
      </c>
      <c r="J837">
        <v>0</v>
      </c>
      <c r="K837">
        <v>20</v>
      </c>
      <c r="N837">
        <v>3</v>
      </c>
      <c r="O837">
        <v>3</v>
      </c>
      <c r="P837">
        <v>4</v>
      </c>
      <c r="Q837">
        <v>0</v>
      </c>
      <c r="R837">
        <v>45.78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F837" t="s">
        <v>130</v>
      </c>
      <c r="AH837">
        <v>45.78</v>
      </c>
    </row>
    <row r="838" spans="1:34" x14ac:dyDescent="0.3">
      <c r="A838" s="4">
        <v>1045</v>
      </c>
      <c r="B838" s="5">
        <v>831</v>
      </c>
      <c r="C838">
        <v>12136</v>
      </c>
      <c r="D838" t="s">
        <v>12394</v>
      </c>
      <c r="E838" t="s">
        <v>550</v>
      </c>
      <c r="F838" t="s">
        <v>1526</v>
      </c>
      <c r="G838" t="s">
        <v>12395</v>
      </c>
      <c r="H838">
        <v>15.25</v>
      </c>
      <c r="I838">
        <v>0</v>
      </c>
      <c r="J838">
        <v>0</v>
      </c>
      <c r="K838">
        <v>20</v>
      </c>
      <c r="O838">
        <v>0</v>
      </c>
      <c r="P838">
        <v>4</v>
      </c>
      <c r="Q838">
        <v>0</v>
      </c>
      <c r="R838">
        <v>39.25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6</v>
      </c>
      <c r="AC838">
        <v>0</v>
      </c>
      <c r="AF838" t="s">
        <v>130</v>
      </c>
      <c r="AH838">
        <v>45.25</v>
      </c>
    </row>
    <row r="839" spans="1:34" x14ac:dyDescent="0.3">
      <c r="A839" s="4">
        <v>1046</v>
      </c>
      <c r="B839" s="5">
        <v>832</v>
      </c>
      <c r="C839">
        <v>2135</v>
      </c>
      <c r="D839" t="s">
        <v>12396</v>
      </c>
      <c r="E839" t="s">
        <v>188</v>
      </c>
      <c r="F839" t="s">
        <v>81</v>
      </c>
      <c r="G839" t="s">
        <v>12397</v>
      </c>
      <c r="H839">
        <v>18.13</v>
      </c>
      <c r="I839">
        <v>0</v>
      </c>
      <c r="J839">
        <v>0</v>
      </c>
      <c r="K839">
        <v>20</v>
      </c>
      <c r="N839">
        <v>3</v>
      </c>
      <c r="O839">
        <v>3</v>
      </c>
      <c r="P839">
        <v>4</v>
      </c>
      <c r="Q839">
        <v>0</v>
      </c>
      <c r="R839">
        <v>45.13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F839" t="s">
        <v>130</v>
      </c>
      <c r="AH839">
        <v>45.13</v>
      </c>
    </row>
    <row r="840" spans="1:34" x14ac:dyDescent="0.3">
      <c r="A840" s="4">
        <v>1047</v>
      </c>
      <c r="B840" s="5">
        <v>833</v>
      </c>
      <c r="C840">
        <v>12481</v>
      </c>
      <c r="D840" t="s">
        <v>12398</v>
      </c>
      <c r="E840" t="s">
        <v>283</v>
      </c>
      <c r="F840" t="s">
        <v>20</v>
      </c>
      <c r="G840" t="s">
        <v>12399</v>
      </c>
      <c r="H840">
        <v>19.03</v>
      </c>
      <c r="I840">
        <v>7</v>
      </c>
      <c r="J840">
        <v>0</v>
      </c>
      <c r="K840">
        <v>0</v>
      </c>
      <c r="N840">
        <v>3</v>
      </c>
      <c r="O840">
        <v>3</v>
      </c>
      <c r="P840">
        <v>4</v>
      </c>
      <c r="Q840">
        <v>2</v>
      </c>
      <c r="R840">
        <v>35.03</v>
      </c>
      <c r="S840">
        <v>10</v>
      </c>
      <c r="T840">
        <v>10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10</v>
      </c>
      <c r="AB840">
        <v>0</v>
      </c>
      <c r="AC840">
        <v>0</v>
      </c>
      <c r="AF840" t="s">
        <v>130</v>
      </c>
      <c r="AH840">
        <v>45.03</v>
      </c>
    </row>
    <row r="841" spans="1:34" x14ac:dyDescent="0.3">
      <c r="A841" s="4">
        <v>1048</v>
      </c>
      <c r="B841" s="5">
        <v>834</v>
      </c>
      <c r="C841">
        <v>4138</v>
      </c>
      <c r="D841" t="s">
        <v>12400</v>
      </c>
      <c r="E841" t="s">
        <v>4801</v>
      </c>
      <c r="F841" t="s">
        <v>1023</v>
      </c>
      <c r="G841" t="s">
        <v>12401</v>
      </c>
      <c r="H841">
        <v>21.68</v>
      </c>
      <c r="I841">
        <v>7</v>
      </c>
      <c r="J841">
        <v>0</v>
      </c>
      <c r="K841">
        <v>0</v>
      </c>
      <c r="L841">
        <v>7</v>
      </c>
      <c r="N841">
        <v>3</v>
      </c>
      <c r="O841">
        <v>10</v>
      </c>
      <c r="P841">
        <v>4</v>
      </c>
      <c r="Q841">
        <v>2</v>
      </c>
      <c r="R841">
        <v>44.68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 t="s">
        <v>130</v>
      </c>
      <c r="AF841" t="s">
        <v>130</v>
      </c>
      <c r="AH841">
        <v>44.68</v>
      </c>
    </row>
    <row r="842" spans="1:34" x14ac:dyDescent="0.3">
      <c r="A842" s="4">
        <v>1049</v>
      </c>
      <c r="B842" s="5">
        <v>835</v>
      </c>
      <c r="C842">
        <v>5831</v>
      </c>
      <c r="D842" t="s">
        <v>12402</v>
      </c>
      <c r="E842" t="s">
        <v>100</v>
      </c>
      <c r="F842" t="s">
        <v>117</v>
      </c>
      <c r="G842" t="s">
        <v>12403</v>
      </c>
      <c r="H842">
        <v>19.28</v>
      </c>
      <c r="I842">
        <v>0</v>
      </c>
      <c r="J842">
        <v>0</v>
      </c>
      <c r="K842">
        <v>20</v>
      </c>
      <c r="O842">
        <v>0</v>
      </c>
      <c r="P842">
        <v>0</v>
      </c>
      <c r="Q842">
        <v>2</v>
      </c>
      <c r="R842">
        <v>41.28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3</v>
      </c>
      <c r="AC842">
        <v>0</v>
      </c>
      <c r="AF842" t="s">
        <v>130</v>
      </c>
      <c r="AH842">
        <v>44.28</v>
      </c>
    </row>
    <row r="843" spans="1:34" x14ac:dyDescent="0.3">
      <c r="A843" s="4">
        <v>1050</v>
      </c>
      <c r="B843" s="5">
        <v>836</v>
      </c>
      <c r="C843">
        <v>14090</v>
      </c>
      <c r="D843" t="s">
        <v>12404</v>
      </c>
      <c r="E843" t="s">
        <v>26</v>
      </c>
      <c r="F843" t="s">
        <v>17</v>
      </c>
      <c r="G843" t="s">
        <v>12405</v>
      </c>
      <c r="H843">
        <v>17.05</v>
      </c>
      <c r="I843">
        <v>0</v>
      </c>
      <c r="J843">
        <v>0</v>
      </c>
      <c r="K843">
        <v>20</v>
      </c>
      <c r="M843">
        <v>5</v>
      </c>
      <c r="O843">
        <v>5</v>
      </c>
      <c r="P843">
        <v>0</v>
      </c>
      <c r="Q843">
        <v>2</v>
      </c>
      <c r="R843">
        <v>44.05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F843" t="s">
        <v>130</v>
      </c>
      <c r="AH843">
        <v>44.05</v>
      </c>
    </row>
    <row r="844" spans="1:34" x14ac:dyDescent="0.3">
      <c r="A844" s="4">
        <v>1051</v>
      </c>
      <c r="B844" s="5">
        <v>837</v>
      </c>
      <c r="C844">
        <v>11374</v>
      </c>
      <c r="D844" t="s">
        <v>775</v>
      </c>
      <c r="E844" t="s">
        <v>22</v>
      </c>
      <c r="F844" t="s">
        <v>2513</v>
      </c>
      <c r="G844" t="s">
        <v>12406</v>
      </c>
      <c r="H844">
        <v>21.03</v>
      </c>
      <c r="I844">
        <v>7</v>
      </c>
      <c r="J844">
        <v>0</v>
      </c>
      <c r="K844">
        <v>0</v>
      </c>
      <c r="O844">
        <v>0</v>
      </c>
      <c r="P844">
        <v>4</v>
      </c>
      <c r="Q844">
        <v>2</v>
      </c>
      <c r="R844">
        <v>34.03</v>
      </c>
      <c r="S844">
        <v>10</v>
      </c>
      <c r="T844">
        <v>10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10</v>
      </c>
      <c r="AB844">
        <v>0</v>
      </c>
      <c r="AC844">
        <v>0</v>
      </c>
      <c r="AF844" t="s">
        <v>130</v>
      </c>
      <c r="AH844">
        <v>44.03</v>
      </c>
    </row>
    <row r="845" spans="1:34" x14ac:dyDescent="0.3">
      <c r="A845" s="4">
        <v>1052</v>
      </c>
      <c r="B845" s="5">
        <v>838</v>
      </c>
      <c r="C845">
        <v>9286</v>
      </c>
      <c r="D845" t="s">
        <v>12407</v>
      </c>
      <c r="E845" t="s">
        <v>41</v>
      </c>
      <c r="F845" t="s">
        <v>91</v>
      </c>
      <c r="G845" t="s">
        <v>12408</v>
      </c>
      <c r="H845">
        <v>18.93</v>
      </c>
      <c r="I845">
        <v>7</v>
      </c>
      <c r="J845">
        <v>0</v>
      </c>
      <c r="K845">
        <v>0</v>
      </c>
      <c r="L845">
        <v>14</v>
      </c>
      <c r="O845">
        <v>14</v>
      </c>
      <c r="P845">
        <v>4</v>
      </c>
      <c r="Q845">
        <v>0</v>
      </c>
      <c r="R845">
        <v>43.93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F845" t="s">
        <v>130</v>
      </c>
      <c r="AH845">
        <v>43.93</v>
      </c>
    </row>
    <row r="846" spans="1:34" x14ac:dyDescent="0.3">
      <c r="A846" s="4">
        <v>1054</v>
      </c>
      <c r="B846" s="5">
        <v>839</v>
      </c>
      <c r="C846">
        <v>12162</v>
      </c>
      <c r="D846" t="s">
        <v>9146</v>
      </c>
      <c r="E846" t="s">
        <v>147</v>
      </c>
      <c r="F846" t="s">
        <v>12409</v>
      </c>
      <c r="G846" t="s">
        <v>12410</v>
      </c>
      <c r="H846">
        <v>17.579999999999998</v>
      </c>
      <c r="I846">
        <v>7</v>
      </c>
      <c r="J846">
        <v>0</v>
      </c>
      <c r="K846">
        <v>0</v>
      </c>
      <c r="M846">
        <v>5</v>
      </c>
      <c r="N846">
        <v>3</v>
      </c>
      <c r="O846">
        <v>8</v>
      </c>
      <c r="P846">
        <v>4</v>
      </c>
      <c r="Q846">
        <v>0</v>
      </c>
      <c r="R846">
        <v>36.58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6</v>
      </c>
      <c r="AC846">
        <v>0</v>
      </c>
      <c r="AF846" t="s">
        <v>130</v>
      </c>
      <c r="AH846">
        <v>42.58</v>
      </c>
    </row>
    <row r="847" spans="1:34" x14ac:dyDescent="0.3">
      <c r="A847" s="4">
        <v>1055</v>
      </c>
      <c r="B847" s="5">
        <v>840</v>
      </c>
      <c r="C847">
        <v>8338</v>
      </c>
      <c r="D847" t="s">
        <v>2797</v>
      </c>
      <c r="E847" t="s">
        <v>33</v>
      </c>
      <c r="F847" t="s">
        <v>158</v>
      </c>
      <c r="G847" t="s">
        <v>12411</v>
      </c>
      <c r="H847">
        <v>19.579999999999998</v>
      </c>
      <c r="I847">
        <v>0</v>
      </c>
      <c r="J847">
        <v>0</v>
      </c>
      <c r="K847">
        <v>20</v>
      </c>
      <c r="N847">
        <v>3</v>
      </c>
      <c r="O847">
        <v>3</v>
      </c>
      <c r="P847">
        <v>0</v>
      </c>
      <c r="Q847">
        <v>0</v>
      </c>
      <c r="R847">
        <v>42.58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F847" t="s">
        <v>130</v>
      </c>
      <c r="AH847">
        <v>42.58</v>
      </c>
    </row>
    <row r="848" spans="1:34" x14ac:dyDescent="0.3">
      <c r="A848" s="4">
        <v>1056</v>
      </c>
      <c r="B848" s="5">
        <v>841</v>
      </c>
      <c r="C848">
        <v>2015</v>
      </c>
      <c r="D848" t="s">
        <v>12412</v>
      </c>
      <c r="E848" t="s">
        <v>33</v>
      </c>
      <c r="F848" t="s">
        <v>30</v>
      </c>
      <c r="G848" t="s">
        <v>12413</v>
      </c>
      <c r="H848">
        <v>20.45</v>
      </c>
      <c r="I848">
        <v>7</v>
      </c>
      <c r="J848">
        <v>0</v>
      </c>
      <c r="K848">
        <v>0</v>
      </c>
      <c r="N848">
        <v>3</v>
      </c>
      <c r="O848">
        <v>3</v>
      </c>
      <c r="P848">
        <v>4</v>
      </c>
      <c r="Q848">
        <v>2</v>
      </c>
      <c r="R848">
        <v>36.450000000000003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6</v>
      </c>
      <c r="AC848">
        <v>0</v>
      </c>
      <c r="AF848" t="s">
        <v>130</v>
      </c>
      <c r="AH848">
        <v>42.45</v>
      </c>
    </row>
    <row r="849" spans="1:34" x14ac:dyDescent="0.3">
      <c r="A849" s="4">
        <v>1057</v>
      </c>
      <c r="B849" s="5">
        <v>842</v>
      </c>
      <c r="C849">
        <v>11109</v>
      </c>
      <c r="D849" t="s">
        <v>5220</v>
      </c>
      <c r="E849" t="s">
        <v>161</v>
      </c>
      <c r="F849" t="s">
        <v>243</v>
      </c>
      <c r="G849" t="s">
        <v>12414</v>
      </c>
      <c r="H849">
        <v>20.43</v>
      </c>
      <c r="I849">
        <v>7</v>
      </c>
      <c r="J849">
        <v>0</v>
      </c>
      <c r="K849">
        <v>0</v>
      </c>
      <c r="N849">
        <v>3</v>
      </c>
      <c r="O849">
        <v>3</v>
      </c>
      <c r="P849">
        <v>4</v>
      </c>
      <c r="Q849">
        <v>2</v>
      </c>
      <c r="R849">
        <v>36.43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6</v>
      </c>
      <c r="AC849">
        <v>0</v>
      </c>
      <c r="AF849" t="s">
        <v>130</v>
      </c>
      <c r="AH849">
        <v>42.43</v>
      </c>
    </row>
    <row r="850" spans="1:34" x14ac:dyDescent="0.3">
      <c r="A850" s="4">
        <v>1058</v>
      </c>
      <c r="B850" s="5">
        <v>843</v>
      </c>
      <c r="C850">
        <v>9581</v>
      </c>
      <c r="D850" t="s">
        <v>12415</v>
      </c>
      <c r="E850" t="s">
        <v>29</v>
      </c>
      <c r="F850" t="s">
        <v>81</v>
      </c>
      <c r="G850" t="s">
        <v>12416</v>
      </c>
      <c r="H850">
        <v>21.4</v>
      </c>
      <c r="I850">
        <v>7</v>
      </c>
      <c r="J850">
        <v>0</v>
      </c>
      <c r="K850">
        <v>0</v>
      </c>
      <c r="L850">
        <v>7</v>
      </c>
      <c r="O850">
        <v>7</v>
      </c>
      <c r="P850">
        <v>4</v>
      </c>
      <c r="Q850">
        <v>0</v>
      </c>
      <c r="R850">
        <v>39.4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3</v>
      </c>
      <c r="AC850">
        <v>0</v>
      </c>
      <c r="AF850" t="s">
        <v>130</v>
      </c>
      <c r="AH850">
        <v>42.4</v>
      </c>
    </row>
    <row r="851" spans="1:34" x14ac:dyDescent="0.3">
      <c r="A851" s="4">
        <v>1059</v>
      </c>
      <c r="B851" s="5">
        <v>844</v>
      </c>
      <c r="C851">
        <v>8869</v>
      </c>
      <c r="D851" t="s">
        <v>12417</v>
      </c>
      <c r="E851" t="s">
        <v>88</v>
      </c>
      <c r="F851" t="s">
        <v>81</v>
      </c>
      <c r="G851" t="s">
        <v>12418</v>
      </c>
      <c r="H851">
        <v>19.329999999999998</v>
      </c>
      <c r="I851">
        <v>7</v>
      </c>
      <c r="J851">
        <v>0</v>
      </c>
      <c r="K851">
        <v>0</v>
      </c>
      <c r="N851">
        <v>6</v>
      </c>
      <c r="O851">
        <v>6</v>
      </c>
      <c r="P851">
        <v>4</v>
      </c>
      <c r="Q851">
        <v>0</v>
      </c>
      <c r="R851">
        <v>36.33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6</v>
      </c>
      <c r="AC851">
        <v>0</v>
      </c>
      <c r="AF851" t="s">
        <v>130</v>
      </c>
      <c r="AH851">
        <v>42.33</v>
      </c>
    </row>
    <row r="852" spans="1:34" x14ac:dyDescent="0.3">
      <c r="A852" s="4">
        <v>1060</v>
      </c>
      <c r="B852" s="5">
        <v>845</v>
      </c>
      <c r="C852">
        <v>2716</v>
      </c>
      <c r="D852" t="s">
        <v>1604</v>
      </c>
      <c r="E852" t="s">
        <v>8652</v>
      </c>
      <c r="F852" t="s">
        <v>12419</v>
      </c>
      <c r="G852" t="s">
        <v>12420</v>
      </c>
      <c r="H852">
        <v>23.33</v>
      </c>
      <c r="I852">
        <v>7</v>
      </c>
      <c r="J852">
        <v>0</v>
      </c>
      <c r="K852">
        <v>0</v>
      </c>
      <c r="N852">
        <v>6</v>
      </c>
      <c r="O852">
        <v>6</v>
      </c>
      <c r="P852">
        <v>4</v>
      </c>
      <c r="Q852">
        <v>2</v>
      </c>
      <c r="R852">
        <v>42.33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F852" t="s">
        <v>130</v>
      </c>
      <c r="AH852">
        <v>42.33</v>
      </c>
    </row>
    <row r="853" spans="1:34" x14ac:dyDescent="0.3">
      <c r="A853" s="4">
        <v>1061</v>
      </c>
      <c r="B853" s="5">
        <v>846</v>
      </c>
      <c r="C853">
        <v>582</v>
      </c>
      <c r="D853" t="s">
        <v>12421</v>
      </c>
      <c r="E853" t="s">
        <v>594</v>
      </c>
      <c r="F853" t="s">
        <v>1090</v>
      </c>
      <c r="G853" t="s">
        <v>12422</v>
      </c>
      <c r="H853">
        <v>15</v>
      </c>
      <c r="I853">
        <v>7</v>
      </c>
      <c r="J853">
        <v>0</v>
      </c>
      <c r="K853">
        <v>0</v>
      </c>
      <c r="L853">
        <v>14</v>
      </c>
      <c r="O853">
        <v>14</v>
      </c>
      <c r="P853">
        <v>4</v>
      </c>
      <c r="Q853">
        <v>2</v>
      </c>
      <c r="R853">
        <v>42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F853" t="s">
        <v>130</v>
      </c>
      <c r="AH853">
        <v>42</v>
      </c>
    </row>
    <row r="854" spans="1:34" x14ac:dyDescent="0.3">
      <c r="A854" s="4">
        <v>1062</v>
      </c>
      <c r="B854" s="5">
        <v>847</v>
      </c>
      <c r="C854">
        <v>12343</v>
      </c>
      <c r="D854" t="s">
        <v>10990</v>
      </c>
      <c r="E854" t="s">
        <v>22</v>
      </c>
      <c r="F854" t="s">
        <v>79</v>
      </c>
      <c r="G854" t="s">
        <v>12423</v>
      </c>
      <c r="H854">
        <v>22.75</v>
      </c>
      <c r="I854">
        <v>7</v>
      </c>
      <c r="J854">
        <v>0</v>
      </c>
      <c r="K854">
        <v>0</v>
      </c>
      <c r="N854">
        <v>6</v>
      </c>
      <c r="O854">
        <v>6</v>
      </c>
      <c r="P854">
        <v>4</v>
      </c>
      <c r="Q854">
        <v>2</v>
      </c>
      <c r="R854">
        <v>41.75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 t="s">
        <v>130</v>
      </c>
      <c r="AF854" t="s">
        <v>130</v>
      </c>
      <c r="AH854">
        <v>41.75</v>
      </c>
    </row>
    <row r="855" spans="1:34" x14ac:dyDescent="0.3">
      <c r="A855" s="4">
        <v>1063</v>
      </c>
      <c r="B855" s="5">
        <v>848</v>
      </c>
      <c r="C855">
        <v>4823</v>
      </c>
      <c r="D855" t="s">
        <v>12424</v>
      </c>
      <c r="E855" t="s">
        <v>12425</v>
      </c>
      <c r="F855" t="s">
        <v>136</v>
      </c>
      <c r="G855" t="s">
        <v>12426</v>
      </c>
      <c r="H855">
        <v>22.53</v>
      </c>
      <c r="I855">
        <v>7</v>
      </c>
      <c r="J855">
        <v>0</v>
      </c>
      <c r="K855">
        <v>0</v>
      </c>
      <c r="L855">
        <v>7</v>
      </c>
      <c r="M855">
        <v>5</v>
      </c>
      <c r="O855">
        <v>12</v>
      </c>
      <c r="P855">
        <v>0</v>
      </c>
      <c r="Q855">
        <v>0</v>
      </c>
      <c r="R855">
        <v>41.53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F855" t="s">
        <v>130</v>
      </c>
      <c r="AH855">
        <v>41.53</v>
      </c>
    </row>
    <row r="856" spans="1:34" x14ac:dyDescent="0.3">
      <c r="A856" s="4">
        <v>1064</v>
      </c>
      <c r="B856" s="5">
        <v>849</v>
      </c>
      <c r="C856">
        <v>5393</v>
      </c>
      <c r="D856" t="s">
        <v>12427</v>
      </c>
      <c r="E856" t="s">
        <v>38</v>
      </c>
      <c r="F856" t="s">
        <v>20</v>
      </c>
      <c r="G856" t="s">
        <v>12428</v>
      </c>
      <c r="H856">
        <v>20.53</v>
      </c>
      <c r="I856">
        <v>7</v>
      </c>
      <c r="J856">
        <v>0</v>
      </c>
      <c r="K856">
        <v>0</v>
      </c>
      <c r="L856">
        <v>7</v>
      </c>
      <c r="N856">
        <v>3</v>
      </c>
      <c r="O856">
        <v>10</v>
      </c>
      <c r="P856">
        <v>4</v>
      </c>
      <c r="Q856">
        <v>0</v>
      </c>
      <c r="R856">
        <v>41.53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F856" t="s">
        <v>130</v>
      </c>
      <c r="AH856">
        <v>41.53</v>
      </c>
    </row>
    <row r="857" spans="1:34" x14ac:dyDescent="0.3">
      <c r="A857" s="4">
        <v>1065</v>
      </c>
      <c r="B857" s="5">
        <v>850</v>
      </c>
      <c r="C857">
        <v>3806</v>
      </c>
      <c r="D857" t="s">
        <v>12429</v>
      </c>
      <c r="E857" t="s">
        <v>54</v>
      </c>
      <c r="F857" t="s">
        <v>328</v>
      </c>
      <c r="G857" t="s">
        <v>12430</v>
      </c>
      <c r="H857">
        <v>21.48</v>
      </c>
      <c r="I857">
        <v>7</v>
      </c>
      <c r="J857">
        <v>0</v>
      </c>
      <c r="K857">
        <v>0</v>
      </c>
      <c r="L857">
        <v>7</v>
      </c>
      <c r="O857">
        <v>7</v>
      </c>
      <c r="P857">
        <v>4</v>
      </c>
      <c r="Q857">
        <v>2</v>
      </c>
      <c r="R857">
        <v>41.48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F857" t="s">
        <v>130</v>
      </c>
      <c r="AH857">
        <v>41.48</v>
      </c>
    </row>
    <row r="858" spans="1:34" x14ac:dyDescent="0.3">
      <c r="A858" s="4">
        <v>1067</v>
      </c>
      <c r="B858" s="5">
        <v>851</v>
      </c>
      <c r="C858">
        <v>15368</v>
      </c>
      <c r="D858" t="s">
        <v>12431</v>
      </c>
      <c r="E858" t="s">
        <v>301</v>
      </c>
      <c r="F858" t="s">
        <v>62</v>
      </c>
      <c r="G858" t="s">
        <v>32051</v>
      </c>
      <c r="H858">
        <v>18.329999999999998</v>
      </c>
      <c r="I858">
        <v>7</v>
      </c>
      <c r="J858">
        <v>0</v>
      </c>
      <c r="K858">
        <v>0</v>
      </c>
      <c r="N858">
        <v>3</v>
      </c>
      <c r="O858">
        <v>3</v>
      </c>
      <c r="P858">
        <v>4</v>
      </c>
      <c r="Q858">
        <v>0</v>
      </c>
      <c r="R858">
        <v>32.33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9</v>
      </c>
      <c r="AC858">
        <v>0</v>
      </c>
      <c r="AF858" t="s">
        <v>130</v>
      </c>
      <c r="AH858">
        <v>41.33</v>
      </c>
    </row>
    <row r="859" spans="1:34" x14ac:dyDescent="0.3">
      <c r="A859" s="4">
        <v>1068</v>
      </c>
      <c r="B859" s="5">
        <v>852</v>
      </c>
      <c r="C859">
        <v>3578</v>
      </c>
      <c r="D859" t="s">
        <v>12432</v>
      </c>
      <c r="E859" t="s">
        <v>54</v>
      </c>
      <c r="F859" t="s">
        <v>68</v>
      </c>
      <c r="G859" t="s">
        <v>12433</v>
      </c>
      <c r="H859">
        <v>22.33</v>
      </c>
      <c r="I859">
        <v>7</v>
      </c>
      <c r="J859">
        <v>0</v>
      </c>
      <c r="K859">
        <v>0</v>
      </c>
      <c r="N859">
        <v>3</v>
      </c>
      <c r="O859">
        <v>3</v>
      </c>
      <c r="P859">
        <v>4</v>
      </c>
      <c r="Q859">
        <v>2</v>
      </c>
      <c r="R859">
        <v>38.33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3</v>
      </c>
      <c r="AC859">
        <v>0</v>
      </c>
      <c r="AF859" t="s">
        <v>130</v>
      </c>
      <c r="AH859">
        <v>41.33</v>
      </c>
    </row>
    <row r="860" spans="1:34" x14ac:dyDescent="0.3">
      <c r="A860" s="4">
        <v>1069</v>
      </c>
      <c r="B860" s="5">
        <v>853</v>
      </c>
      <c r="C860">
        <v>9580</v>
      </c>
      <c r="D860" t="s">
        <v>12434</v>
      </c>
      <c r="E860" t="s">
        <v>8570</v>
      </c>
      <c r="F860" t="s">
        <v>17</v>
      </c>
      <c r="G860" t="s">
        <v>12435</v>
      </c>
      <c r="H860">
        <v>16.25</v>
      </c>
      <c r="I860">
        <v>0</v>
      </c>
      <c r="J860">
        <v>0</v>
      </c>
      <c r="K860">
        <v>20</v>
      </c>
      <c r="M860">
        <v>5</v>
      </c>
      <c r="O860">
        <v>5</v>
      </c>
      <c r="P860">
        <v>0</v>
      </c>
      <c r="Q860">
        <v>0</v>
      </c>
      <c r="R860">
        <v>41.25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F860" t="s">
        <v>130</v>
      </c>
      <c r="AH860">
        <v>41.25</v>
      </c>
    </row>
    <row r="861" spans="1:34" x14ac:dyDescent="0.3">
      <c r="A861" s="4">
        <v>1070</v>
      </c>
      <c r="B861" s="5">
        <v>854</v>
      </c>
      <c r="C861">
        <v>13098</v>
      </c>
      <c r="D861" t="s">
        <v>12436</v>
      </c>
      <c r="E861" t="s">
        <v>22</v>
      </c>
      <c r="F861" t="s">
        <v>328</v>
      </c>
      <c r="G861" t="s">
        <v>12437</v>
      </c>
      <c r="H861">
        <v>23.18</v>
      </c>
      <c r="I861">
        <v>7</v>
      </c>
      <c r="J861">
        <v>0</v>
      </c>
      <c r="K861">
        <v>0</v>
      </c>
      <c r="L861">
        <v>7</v>
      </c>
      <c r="O861">
        <v>7</v>
      </c>
      <c r="P861">
        <v>4</v>
      </c>
      <c r="Q861">
        <v>0</v>
      </c>
      <c r="R861">
        <v>41.18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F861" t="s">
        <v>130</v>
      </c>
      <c r="AH861">
        <v>41.18</v>
      </c>
    </row>
    <row r="862" spans="1:34" x14ac:dyDescent="0.3">
      <c r="A862" s="4">
        <v>1071</v>
      </c>
      <c r="B862" s="5">
        <v>855</v>
      </c>
      <c r="C862">
        <v>10626</v>
      </c>
      <c r="D862" t="s">
        <v>12438</v>
      </c>
      <c r="E862" t="s">
        <v>68</v>
      </c>
      <c r="F862" t="s">
        <v>81</v>
      </c>
      <c r="G862" t="s">
        <v>12439</v>
      </c>
      <c r="H862">
        <v>18.079999999999998</v>
      </c>
      <c r="I862">
        <v>7</v>
      </c>
      <c r="J862">
        <v>0</v>
      </c>
      <c r="K862">
        <v>0</v>
      </c>
      <c r="L862">
        <v>7</v>
      </c>
      <c r="N862">
        <v>3</v>
      </c>
      <c r="O862">
        <v>10</v>
      </c>
      <c r="P862">
        <v>4</v>
      </c>
      <c r="Q862">
        <v>2</v>
      </c>
      <c r="R862">
        <v>41.08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F862" t="s">
        <v>130</v>
      </c>
      <c r="AH862">
        <v>41.08</v>
      </c>
    </row>
    <row r="863" spans="1:34" x14ac:dyDescent="0.3">
      <c r="A863" s="4">
        <v>1072</v>
      </c>
      <c r="B863" s="5">
        <v>856</v>
      </c>
      <c r="C863">
        <v>9454</v>
      </c>
      <c r="D863" t="s">
        <v>12440</v>
      </c>
      <c r="E863" t="s">
        <v>81</v>
      </c>
      <c r="F863" t="s">
        <v>1622</v>
      </c>
      <c r="G863" t="s">
        <v>12441</v>
      </c>
      <c r="H863">
        <v>21</v>
      </c>
      <c r="I863">
        <v>7</v>
      </c>
      <c r="J863">
        <v>0</v>
      </c>
      <c r="K863">
        <v>0</v>
      </c>
      <c r="N863">
        <v>3</v>
      </c>
      <c r="O863">
        <v>3</v>
      </c>
      <c r="P863">
        <v>4</v>
      </c>
      <c r="Q863">
        <v>0</v>
      </c>
      <c r="R863">
        <v>35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6</v>
      </c>
      <c r="AC863">
        <v>0</v>
      </c>
      <c r="AF863" t="s">
        <v>130</v>
      </c>
      <c r="AH863">
        <v>41</v>
      </c>
    </row>
    <row r="864" spans="1:34" x14ac:dyDescent="0.3">
      <c r="A864" s="4">
        <v>1073</v>
      </c>
      <c r="B864" s="5">
        <v>857</v>
      </c>
      <c r="C864">
        <v>1341</v>
      </c>
      <c r="D864" t="s">
        <v>267</v>
      </c>
      <c r="E864" t="s">
        <v>26</v>
      </c>
      <c r="F864" t="s">
        <v>81</v>
      </c>
      <c r="G864" t="s">
        <v>12442</v>
      </c>
      <c r="H864">
        <v>20</v>
      </c>
      <c r="I864">
        <v>7</v>
      </c>
      <c r="J864">
        <v>0</v>
      </c>
      <c r="K864">
        <v>0</v>
      </c>
      <c r="L864">
        <v>7</v>
      </c>
      <c r="N864">
        <v>3</v>
      </c>
      <c r="O864">
        <v>10</v>
      </c>
      <c r="P864">
        <v>4</v>
      </c>
      <c r="Q864">
        <v>0</v>
      </c>
      <c r="R864">
        <v>41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F864" t="s">
        <v>130</v>
      </c>
      <c r="AH864">
        <v>41</v>
      </c>
    </row>
    <row r="865" spans="1:34" x14ac:dyDescent="0.3">
      <c r="A865" s="4">
        <v>1074</v>
      </c>
      <c r="B865" s="5">
        <v>858</v>
      </c>
      <c r="C865">
        <v>6022</v>
      </c>
      <c r="D865" t="s">
        <v>12443</v>
      </c>
      <c r="E865" t="s">
        <v>147</v>
      </c>
      <c r="F865" t="s">
        <v>20</v>
      </c>
      <c r="G865" t="s">
        <v>12444</v>
      </c>
      <c r="H865">
        <v>18.53</v>
      </c>
      <c r="I865">
        <v>7</v>
      </c>
      <c r="J865">
        <v>0</v>
      </c>
      <c r="K865">
        <v>0</v>
      </c>
      <c r="M865">
        <v>5</v>
      </c>
      <c r="O865">
        <v>5</v>
      </c>
      <c r="P865">
        <v>4</v>
      </c>
      <c r="Q865">
        <v>0</v>
      </c>
      <c r="R865">
        <v>34.53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6</v>
      </c>
      <c r="AC865">
        <v>0</v>
      </c>
      <c r="AF865" t="s">
        <v>130</v>
      </c>
      <c r="AH865">
        <v>40.53</v>
      </c>
    </row>
    <row r="866" spans="1:34" x14ac:dyDescent="0.3">
      <c r="A866" s="4">
        <v>1075</v>
      </c>
      <c r="B866" s="5">
        <v>859</v>
      </c>
      <c r="C866">
        <v>12420</v>
      </c>
      <c r="D866" t="s">
        <v>12138</v>
      </c>
      <c r="E866" t="s">
        <v>54</v>
      </c>
      <c r="F866" t="s">
        <v>343</v>
      </c>
      <c r="G866" t="s">
        <v>12445</v>
      </c>
      <c r="H866">
        <v>20.3</v>
      </c>
      <c r="I866">
        <v>7</v>
      </c>
      <c r="J866">
        <v>0</v>
      </c>
      <c r="K866">
        <v>0</v>
      </c>
      <c r="L866">
        <v>7</v>
      </c>
      <c r="O866">
        <v>7</v>
      </c>
      <c r="P866">
        <v>4</v>
      </c>
      <c r="Q866">
        <v>0</v>
      </c>
      <c r="R866">
        <v>38.299999999999997</v>
      </c>
      <c r="S866">
        <v>2</v>
      </c>
      <c r="T866">
        <v>2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2</v>
      </c>
      <c r="AB866">
        <v>0</v>
      </c>
      <c r="AC866">
        <v>0</v>
      </c>
      <c r="AF866" t="s">
        <v>130</v>
      </c>
      <c r="AH866">
        <v>40.299999999999997</v>
      </c>
    </row>
    <row r="867" spans="1:34" x14ac:dyDescent="0.3">
      <c r="A867" s="4">
        <v>1076</v>
      </c>
      <c r="B867" s="5">
        <v>860</v>
      </c>
      <c r="C867">
        <v>15195</v>
      </c>
      <c r="D867" t="s">
        <v>12446</v>
      </c>
      <c r="E867" t="s">
        <v>12447</v>
      </c>
      <c r="F867" t="s">
        <v>17</v>
      </c>
      <c r="G867" t="s">
        <v>12448</v>
      </c>
      <c r="H867">
        <v>21.25</v>
      </c>
      <c r="I867">
        <v>7</v>
      </c>
      <c r="J867">
        <v>0</v>
      </c>
      <c r="K867">
        <v>0</v>
      </c>
      <c r="N867">
        <v>3</v>
      </c>
      <c r="O867">
        <v>3</v>
      </c>
      <c r="P867">
        <v>4</v>
      </c>
      <c r="Q867">
        <v>2</v>
      </c>
      <c r="R867">
        <v>37.25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3</v>
      </c>
      <c r="AC867">
        <v>0</v>
      </c>
      <c r="AF867" t="s">
        <v>130</v>
      </c>
      <c r="AH867">
        <v>40.25</v>
      </c>
    </row>
    <row r="868" spans="1:34" x14ac:dyDescent="0.3">
      <c r="A868" s="4">
        <v>1077</v>
      </c>
      <c r="B868" s="5">
        <v>861</v>
      </c>
      <c r="C868">
        <v>2216</v>
      </c>
      <c r="D868" t="s">
        <v>6312</v>
      </c>
      <c r="E868" t="s">
        <v>403</v>
      </c>
      <c r="F868" t="s">
        <v>243</v>
      </c>
      <c r="G868" t="s">
        <v>12449</v>
      </c>
      <c r="H868">
        <v>14.25</v>
      </c>
      <c r="I868">
        <v>7</v>
      </c>
      <c r="J868">
        <v>0</v>
      </c>
      <c r="K868">
        <v>0</v>
      </c>
      <c r="L868">
        <v>7</v>
      </c>
      <c r="N868">
        <v>3</v>
      </c>
      <c r="O868">
        <v>10</v>
      </c>
      <c r="P868">
        <v>4</v>
      </c>
      <c r="Q868">
        <v>2</v>
      </c>
      <c r="R868">
        <v>37.25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3</v>
      </c>
      <c r="AC868">
        <v>0</v>
      </c>
      <c r="AF868" t="s">
        <v>130</v>
      </c>
      <c r="AH868">
        <v>40.25</v>
      </c>
    </row>
    <row r="869" spans="1:34" x14ac:dyDescent="0.3">
      <c r="A869" s="4">
        <v>1079</v>
      </c>
      <c r="B869" s="5">
        <v>862</v>
      </c>
      <c r="C869">
        <v>15386</v>
      </c>
      <c r="D869" t="s">
        <v>784</v>
      </c>
      <c r="E869" t="s">
        <v>10838</v>
      </c>
      <c r="F869" t="s">
        <v>81</v>
      </c>
      <c r="G869" t="s">
        <v>12450</v>
      </c>
      <c r="H869">
        <v>22.2</v>
      </c>
      <c r="I869">
        <v>7</v>
      </c>
      <c r="J869">
        <v>0</v>
      </c>
      <c r="K869">
        <v>0</v>
      </c>
      <c r="L869">
        <v>7</v>
      </c>
      <c r="O869">
        <v>7</v>
      </c>
      <c r="P869">
        <v>4</v>
      </c>
      <c r="Q869">
        <v>0</v>
      </c>
      <c r="R869">
        <v>40.200000000000003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F869" t="s">
        <v>130</v>
      </c>
      <c r="AH869">
        <v>40.200000000000003</v>
      </c>
    </row>
    <row r="870" spans="1:34" x14ac:dyDescent="0.3">
      <c r="A870" s="4">
        <v>1080</v>
      </c>
      <c r="B870" s="5">
        <v>863</v>
      </c>
      <c r="C870">
        <v>7322</v>
      </c>
      <c r="D870" t="s">
        <v>12451</v>
      </c>
      <c r="E870" t="s">
        <v>208</v>
      </c>
      <c r="F870" t="s">
        <v>20</v>
      </c>
      <c r="G870" t="s">
        <v>12452</v>
      </c>
      <c r="H870">
        <v>22</v>
      </c>
      <c r="I870">
        <v>7</v>
      </c>
      <c r="J870">
        <v>0</v>
      </c>
      <c r="K870">
        <v>0</v>
      </c>
      <c r="L870">
        <v>7</v>
      </c>
      <c r="O870">
        <v>7</v>
      </c>
      <c r="P870">
        <v>4</v>
      </c>
      <c r="Q870">
        <v>0</v>
      </c>
      <c r="R870">
        <v>40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F870" t="s">
        <v>130</v>
      </c>
      <c r="AH870">
        <v>40</v>
      </c>
    </row>
    <row r="871" spans="1:34" x14ac:dyDescent="0.3">
      <c r="A871" s="4">
        <v>1081</v>
      </c>
      <c r="B871" s="5">
        <v>864</v>
      </c>
      <c r="C871">
        <v>1299</v>
      </c>
      <c r="D871" t="s">
        <v>3434</v>
      </c>
      <c r="E871" t="s">
        <v>166</v>
      </c>
      <c r="F871" t="s">
        <v>238</v>
      </c>
      <c r="G871" t="s">
        <v>12453</v>
      </c>
      <c r="H871">
        <v>17</v>
      </c>
      <c r="I871">
        <v>7</v>
      </c>
      <c r="J871">
        <v>0</v>
      </c>
      <c r="K871">
        <v>0</v>
      </c>
      <c r="L871">
        <v>7</v>
      </c>
      <c r="N871">
        <v>3</v>
      </c>
      <c r="O871">
        <v>10</v>
      </c>
      <c r="P871">
        <v>4</v>
      </c>
      <c r="Q871">
        <v>2</v>
      </c>
      <c r="R871">
        <v>40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F871" t="s">
        <v>130</v>
      </c>
      <c r="AH871">
        <v>40</v>
      </c>
    </row>
    <row r="872" spans="1:34" x14ac:dyDescent="0.3">
      <c r="A872" s="4">
        <v>1082</v>
      </c>
      <c r="B872" s="5">
        <v>865</v>
      </c>
      <c r="C872">
        <v>12757</v>
      </c>
      <c r="D872" t="s">
        <v>12454</v>
      </c>
      <c r="E872" t="s">
        <v>29</v>
      </c>
      <c r="F872" t="s">
        <v>62</v>
      </c>
      <c r="G872" t="s">
        <v>12455</v>
      </c>
      <c r="H872">
        <v>19.829999999999998</v>
      </c>
      <c r="I872">
        <v>7</v>
      </c>
      <c r="J872">
        <v>0</v>
      </c>
      <c r="K872">
        <v>0</v>
      </c>
      <c r="L872">
        <v>7</v>
      </c>
      <c r="O872">
        <v>7</v>
      </c>
      <c r="P872">
        <v>4</v>
      </c>
      <c r="Q872">
        <v>2</v>
      </c>
      <c r="R872">
        <v>39.83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 t="s">
        <v>130</v>
      </c>
      <c r="AF872" t="s">
        <v>130</v>
      </c>
      <c r="AH872">
        <v>39.83</v>
      </c>
    </row>
    <row r="873" spans="1:34" x14ac:dyDescent="0.3">
      <c r="A873" s="4">
        <v>1083</v>
      </c>
      <c r="B873" s="5">
        <v>866</v>
      </c>
      <c r="C873">
        <v>10837</v>
      </c>
      <c r="D873" t="s">
        <v>1337</v>
      </c>
      <c r="E873" t="s">
        <v>2011</v>
      </c>
      <c r="F873" t="s">
        <v>136</v>
      </c>
      <c r="G873" t="s">
        <v>12456</v>
      </c>
      <c r="H873">
        <v>19.55</v>
      </c>
      <c r="I873">
        <v>7</v>
      </c>
      <c r="J873">
        <v>0</v>
      </c>
      <c r="K873">
        <v>0</v>
      </c>
      <c r="L873">
        <v>7</v>
      </c>
      <c r="O873">
        <v>7</v>
      </c>
      <c r="P873">
        <v>4</v>
      </c>
      <c r="Q873">
        <v>2</v>
      </c>
      <c r="R873">
        <v>39.549999999999997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F873" t="s">
        <v>130</v>
      </c>
      <c r="AH873">
        <v>39.549999999999997</v>
      </c>
    </row>
    <row r="874" spans="1:34" x14ac:dyDescent="0.3">
      <c r="A874" s="4">
        <v>1084</v>
      </c>
      <c r="B874" s="5">
        <v>867</v>
      </c>
      <c r="C874">
        <v>12727</v>
      </c>
      <c r="D874" t="s">
        <v>12457</v>
      </c>
      <c r="E874" t="s">
        <v>166</v>
      </c>
      <c r="F874" t="s">
        <v>20</v>
      </c>
      <c r="G874" t="s">
        <v>12458</v>
      </c>
      <c r="H874">
        <v>19.18</v>
      </c>
      <c r="I874">
        <v>7</v>
      </c>
      <c r="J874">
        <v>0</v>
      </c>
      <c r="K874">
        <v>0</v>
      </c>
      <c r="L874">
        <v>7</v>
      </c>
      <c r="O874">
        <v>7</v>
      </c>
      <c r="P874">
        <v>4</v>
      </c>
      <c r="Q874">
        <v>2</v>
      </c>
      <c r="R874">
        <v>39.18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F874" t="s">
        <v>130</v>
      </c>
      <c r="AH874">
        <v>39.18</v>
      </c>
    </row>
    <row r="875" spans="1:34" x14ac:dyDescent="0.3">
      <c r="A875" s="4">
        <v>1085</v>
      </c>
      <c r="B875" s="5">
        <v>868</v>
      </c>
      <c r="C875">
        <v>4286</v>
      </c>
      <c r="D875" t="s">
        <v>12459</v>
      </c>
      <c r="E875" t="s">
        <v>173</v>
      </c>
      <c r="F875" t="s">
        <v>167</v>
      </c>
      <c r="G875" t="s">
        <v>12460</v>
      </c>
      <c r="H875">
        <v>21.13</v>
      </c>
      <c r="I875">
        <v>7</v>
      </c>
      <c r="J875">
        <v>0</v>
      </c>
      <c r="K875">
        <v>0</v>
      </c>
      <c r="L875">
        <v>7</v>
      </c>
      <c r="O875">
        <v>7</v>
      </c>
      <c r="P875">
        <v>4</v>
      </c>
      <c r="Q875">
        <v>0</v>
      </c>
      <c r="R875">
        <v>39.130000000000003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F875" t="s">
        <v>130</v>
      </c>
      <c r="AH875">
        <v>39.130000000000003</v>
      </c>
    </row>
    <row r="876" spans="1:34" x14ac:dyDescent="0.3">
      <c r="A876" s="4">
        <v>1086</v>
      </c>
      <c r="B876" s="5">
        <v>869</v>
      </c>
      <c r="C876">
        <v>372</v>
      </c>
      <c r="D876" t="s">
        <v>12461</v>
      </c>
      <c r="E876" t="s">
        <v>2758</v>
      </c>
      <c r="F876" t="s">
        <v>6216</v>
      </c>
      <c r="G876" t="s">
        <v>12462</v>
      </c>
      <c r="H876">
        <v>18.600000000000001</v>
      </c>
      <c r="I876">
        <v>7</v>
      </c>
      <c r="J876">
        <v>0</v>
      </c>
      <c r="K876">
        <v>0</v>
      </c>
      <c r="L876">
        <v>7</v>
      </c>
      <c r="O876">
        <v>7</v>
      </c>
      <c r="P876">
        <v>4</v>
      </c>
      <c r="Q876">
        <v>2</v>
      </c>
      <c r="R876">
        <v>38.6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F876" t="s">
        <v>130</v>
      </c>
      <c r="AH876">
        <v>38.6</v>
      </c>
    </row>
    <row r="877" spans="1:34" x14ac:dyDescent="0.3">
      <c r="A877" s="4">
        <v>1087</v>
      </c>
      <c r="B877" s="5">
        <v>870</v>
      </c>
      <c r="C877">
        <v>2461</v>
      </c>
      <c r="D877" t="s">
        <v>12463</v>
      </c>
      <c r="E877" t="s">
        <v>749</v>
      </c>
      <c r="F877" t="s">
        <v>30</v>
      </c>
      <c r="G877" t="s">
        <v>12464</v>
      </c>
      <c r="H877">
        <v>17.5</v>
      </c>
      <c r="I877">
        <v>7</v>
      </c>
      <c r="J877">
        <v>0</v>
      </c>
      <c r="K877">
        <v>0</v>
      </c>
      <c r="L877">
        <v>7</v>
      </c>
      <c r="O877">
        <v>7</v>
      </c>
      <c r="P877">
        <v>4</v>
      </c>
      <c r="Q877">
        <v>0</v>
      </c>
      <c r="R877">
        <v>35.5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3</v>
      </c>
      <c r="AC877">
        <v>0</v>
      </c>
      <c r="AF877" t="s">
        <v>130</v>
      </c>
      <c r="AH877">
        <v>38.5</v>
      </c>
    </row>
    <row r="878" spans="1:34" x14ac:dyDescent="0.3">
      <c r="A878" s="4">
        <v>1088</v>
      </c>
      <c r="B878" s="5">
        <v>871</v>
      </c>
      <c r="C878">
        <v>11604</v>
      </c>
      <c r="D878" t="s">
        <v>12465</v>
      </c>
      <c r="E878" t="s">
        <v>967</v>
      </c>
      <c r="F878" t="s">
        <v>190</v>
      </c>
      <c r="G878" t="s">
        <v>12466</v>
      </c>
      <c r="H878">
        <v>12.5</v>
      </c>
      <c r="I878">
        <v>7</v>
      </c>
      <c r="J878">
        <v>0</v>
      </c>
      <c r="K878">
        <v>0</v>
      </c>
      <c r="L878">
        <v>14</v>
      </c>
      <c r="O878">
        <v>14</v>
      </c>
      <c r="P878">
        <v>0</v>
      </c>
      <c r="Q878">
        <v>2</v>
      </c>
      <c r="R878">
        <v>35.5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3</v>
      </c>
      <c r="AC878">
        <v>0</v>
      </c>
      <c r="AF878" t="s">
        <v>130</v>
      </c>
      <c r="AH878">
        <v>38.5</v>
      </c>
    </row>
    <row r="879" spans="1:34" x14ac:dyDescent="0.3">
      <c r="A879" s="4">
        <v>1089</v>
      </c>
      <c r="B879" s="5">
        <v>872</v>
      </c>
      <c r="C879">
        <v>4701</v>
      </c>
      <c r="D879" t="s">
        <v>12467</v>
      </c>
      <c r="E879" t="s">
        <v>652</v>
      </c>
      <c r="F879" t="s">
        <v>17</v>
      </c>
      <c r="G879" t="s">
        <v>12468</v>
      </c>
      <c r="H879">
        <v>18.38</v>
      </c>
      <c r="I879">
        <v>7</v>
      </c>
      <c r="J879">
        <v>0</v>
      </c>
      <c r="K879">
        <v>0</v>
      </c>
      <c r="L879">
        <v>7</v>
      </c>
      <c r="O879">
        <v>7</v>
      </c>
      <c r="P879">
        <v>4</v>
      </c>
      <c r="Q879">
        <v>2</v>
      </c>
      <c r="R879">
        <v>38.380000000000003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F879" t="s">
        <v>130</v>
      </c>
      <c r="AH879">
        <v>38.380000000000003</v>
      </c>
    </row>
    <row r="880" spans="1:34" x14ac:dyDescent="0.3">
      <c r="A880" s="4">
        <v>1090</v>
      </c>
      <c r="B880" s="5">
        <v>873</v>
      </c>
      <c r="C880">
        <v>10472</v>
      </c>
      <c r="D880" t="s">
        <v>12469</v>
      </c>
      <c r="E880" t="s">
        <v>12470</v>
      </c>
      <c r="F880" t="s">
        <v>91</v>
      </c>
      <c r="G880" t="s">
        <v>12471</v>
      </c>
      <c r="H880">
        <v>15.33</v>
      </c>
      <c r="I880">
        <v>7</v>
      </c>
      <c r="J880">
        <v>0</v>
      </c>
      <c r="K880">
        <v>0</v>
      </c>
      <c r="L880">
        <v>7</v>
      </c>
      <c r="M880">
        <v>5</v>
      </c>
      <c r="O880">
        <v>12</v>
      </c>
      <c r="P880">
        <v>4</v>
      </c>
      <c r="Q880">
        <v>0</v>
      </c>
      <c r="R880">
        <v>38.33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F880" t="s">
        <v>130</v>
      </c>
      <c r="AH880">
        <v>38.33</v>
      </c>
    </row>
    <row r="881" spans="1:34" x14ac:dyDescent="0.3">
      <c r="A881" s="4">
        <v>1091</v>
      </c>
      <c r="B881" s="5">
        <v>874</v>
      </c>
      <c r="C881">
        <v>3181</v>
      </c>
      <c r="D881" t="s">
        <v>11324</v>
      </c>
      <c r="E881" t="s">
        <v>12472</v>
      </c>
      <c r="F881" t="s">
        <v>570</v>
      </c>
      <c r="G881" t="s">
        <v>12473</v>
      </c>
      <c r="H881">
        <v>19.98</v>
      </c>
      <c r="I881">
        <v>7</v>
      </c>
      <c r="J881">
        <v>0</v>
      </c>
      <c r="K881">
        <v>0</v>
      </c>
      <c r="L881">
        <v>7</v>
      </c>
      <c r="O881">
        <v>7</v>
      </c>
      <c r="P881">
        <v>4</v>
      </c>
      <c r="Q881">
        <v>0</v>
      </c>
      <c r="R881">
        <v>37.979999999999997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F881" t="s">
        <v>130</v>
      </c>
      <c r="AH881">
        <v>37.979999999999997</v>
      </c>
    </row>
    <row r="882" spans="1:34" x14ac:dyDescent="0.3">
      <c r="A882" s="4">
        <v>1092</v>
      </c>
      <c r="B882" s="5">
        <v>875</v>
      </c>
      <c r="C882">
        <v>7682</v>
      </c>
      <c r="D882" t="s">
        <v>12474</v>
      </c>
      <c r="E882" t="s">
        <v>1152</v>
      </c>
      <c r="F882" t="s">
        <v>2237</v>
      </c>
      <c r="G882" t="s">
        <v>12475</v>
      </c>
      <c r="H882">
        <v>17.98</v>
      </c>
      <c r="I882">
        <v>7</v>
      </c>
      <c r="J882">
        <v>0</v>
      </c>
      <c r="K882">
        <v>0</v>
      </c>
      <c r="L882">
        <v>7</v>
      </c>
      <c r="O882">
        <v>7</v>
      </c>
      <c r="P882">
        <v>4</v>
      </c>
      <c r="Q882">
        <v>2</v>
      </c>
      <c r="R882">
        <v>37.979999999999997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F882" t="s">
        <v>130</v>
      </c>
      <c r="AH882">
        <v>37.979999999999997</v>
      </c>
    </row>
    <row r="883" spans="1:34" x14ac:dyDescent="0.3">
      <c r="A883" s="4">
        <v>1093</v>
      </c>
      <c r="B883" s="5">
        <v>876</v>
      </c>
      <c r="C883">
        <v>6880</v>
      </c>
      <c r="D883" t="s">
        <v>12476</v>
      </c>
      <c r="E883" t="s">
        <v>208</v>
      </c>
      <c r="F883" t="s">
        <v>30</v>
      </c>
      <c r="G883" t="s">
        <v>12477</v>
      </c>
      <c r="H883">
        <v>18.93</v>
      </c>
      <c r="I883">
        <v>7</v>
      </c>
      <c r="J883">
        <v>0</v>
      </c>
      <c r="K883">
        <v>0</v>
      </c>
      <c r="N883">
        <v>3</v>
      </c>
      <c r="O883">
        <v>3</v>
      </c>
      <c r="P883">
        <v>4</v>
      </c>
      <c r="Q883">
        <v>2</v>
      </c>
      <c r="R883">
        <v>34.93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3</v>
      </c>
      <c r="AC883">
        <v>0</v>
      </c>
      <c r="AF883" t="s">
        <v>130</v>
      </c>
      <c r="AH883">
        <v>37.93</v>
      </c>
    </row>
    <row r="884" spans="1:34" x14ac:dyDescent="0.3">
      <c r="A884" s="4">
        <v>1094</v>
      </c>
      <c r="B884" s="5">
        <v>877</v>
      </c>
      <c r="C884">
        <v>6301</v>
      </c>
      <c r="D884" t="s">
        <v>5917</v>
      </c>
      <c r="E884" t="s">
        <v>29</v>
      </c>
      <c r="F884" t="s">
        <v>38</v>
      </c>
      <c r="G884" t="s">
        <v>12478</v>
      </c>
      <c r="H884">
        <v>17.899999999999999</v>
      </c>
      <c r="I884">
        <v>0</v>
      </c>
      <c r="J884">
        <v>0</v>
      </c>
      <c r="K884">
        <v>0</v>
      </c>
      <c r="L884">
        <v>7</v>
      </c>
      <c r="N884">
        <v>3</v>
      </c>
      <c r="O884">
        <v>10</v>
      </c>
      <c r="P884">
        <v>4</v>
      </c>
      <c r="Q884">
        <v>0</v>
      </c>
      <c r="R884">
        <v>31.9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6</v>
      </c>
      <c r="AC884">
        <v>0</v>
      </c>
      <c r="AF884" t="s">
        <v>130</v>
      </c>
      <c r="AH884">
        <v>37.9</v>
      </c>
    </row>
    <row r="885" spans="1:34" x14ac:dyDescent="0.3">
      <c r="A885" s="4">
        <v>1095</v>
      </c>
      <c r="B885" s="5">
        <v>878</v>
      </c>
      <c r="C885">
        <v>7341</v>
      </c>
      <c r="D885" t="s">
        <v>1279</v>
      </c>
      <c r="E885" t="s">
        <v>258</v>
      </c>
      <c r="F885" t="s">
        <v>325</v>
      </c>
      <c r="G885" t="s">
        <v>12479</v>
      </c>
      <c r="H885">
        <v>17.7</v>
      </c>
      <c r="I885">
        <v>7</v>
      </c>
      <c r="J885">
        <v>0</v>
      </c>
      <c r="K885">
        <v>0</v>
      </c>
      <c r="L885">
        <v>7</v>
      </c>
      <c r="O885">
        <v>7</v>
      </c>
      <c r="P885">
        <v>4</v>
      </c>
      <c r="Q885">
        <v>2</v>
      </c>
      <c r="R885">
        <v>37.700000000000003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F885" t="s">
        <v>130</v>
      </c>
      <c r="AH885">
        <v>37.700000000000003</v>
      </c>
    </row>
    <row r="886" spans="1:34" x14ac:dyDescent="0.3">
      <c r="A886" s="4">
        <v>1096</v>
      </c>
      <c r="B886" s="5">
        <v>879</v>
      </c>
      <c r="C886">
        <v>14275</v>
      </c>
      <c r="D886" t="s">
        <v>8769</v>
      </c>
      <c r="E886" t="s">
        <v>54</v>
      </c>
      <c r="F886" t="s">
        <v>243</v>
      </c>
      <c r="G886" t="s">
        <v>12480</v>
      </c>
      <c r="H886">
        <v>12.5</v>
      </c>
      <c r="I886">
        <v>7</v>
      </c>
      <c r="J886">
        <v>0</v>
      </c>
      <c r="K886">
        <v>0</v>
      </c>
      <c r="L886">
        <v>7</v>
      </c>
      <c r="M886">
        <v>5</v>
      </c>
      <c r="O886">
        <v>12</v>
      </c>
      <c r="P886">
        <v>4</v>
      </c>
      <c r="Q886">
        <v>2</v>
      </c>
      <c r="R886">
        <v>37.5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F886" t="s">
        <v>130</v>
      </c>
      <c r="AH886">
        <v>37.5</v>
      </c>
    </row>
    <row r="887" spans="1:34" x14ac:dyDescent="0.3">
      <c r="A887" s="4">
        <v>1097</v>
      </c>
      <c r="B887" s="5">
        <v>880</v>
      </c>
      <c r="C887">
        <v>9312</v>
      </c>
      <c r="D887" t="s">
        <v>12481</v>
      </c>
      <c r="E887" t="s">
        <v>10187</v>
      </c>
      <c r="F887" t="s">
        <v>539</v>
      </c>
      <c r="G887" t="s">
        <v>12482</v>
      </c>
      <c r="H887">
        <v>12.5</v>
      </c>
      <c r="I887">
        <v>7</v>
      </c>
      <c r="J887">
        <v>0</v>
      </c>
      <c r="K887">
        <v>0</v>
      </c>
      <c r="L887">
        <v>14</v>
      </c>
      <c r="O887">
        <v>14</v>
      </c>
      <c r="P887">
        <v>4</v>
      </c>
      <c r="Q887">
        <v>0</v>
      </c>
      <c r="R887">
        <v>37.5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F887" t="s">
        <v>130</v>
      </c>
      <c r="AH887">
        <v>37.5</v>
      </c>
    </row>
    <row r="888" spans="1:34" x14ac:dyDescent="0.3">
      <c r="A888" s="4">
        <v>1098</v>
      </c>
      <c r="B888" s="5">
        <v>881</v>
      </c>
      <c r="C888">
        <v>13122</v>
      </c>
      <c r="D888" t="s">
        <v>12483</v>
      </c>
      <c r="E888" t="s">
        <v>219</v>
      </c>
      <c r="F888" t="s">
        <v>12484</v>
      </c>
      <c r="G888" t="s">
        <v>12485</v>
      </c>
      <c r="H888">
        <v>21.25</v>
      </c>
      <c r="I888">
        <v>7</v>
      </c>
      <c r="J888">
        <v>0</v>
      </c>
      <c r="K888">
        <v>0</v>
      </c>
      <c r="L888">
        <v>7</v>
      </c>
      <c r="O888">
        <v>7</v>
      </c>
      <c r="P888">
        <v>0</v>
      </c>
      <c r="Q888">
        <v>2</v>
      </c>
      <c r="R888">
        <v>37.25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F888" t="s">
        <v>130</v>
      </c>
      <c r="AH888">
        <v>37.25</v>
      </c>
    </row>
    <row r="889" spans="1:34" x14ac:dyDescent="0.3">
      <c r="A889" s="4">
        <v>1099</v>
      </c>
      <c r="B889" s="5">
        <v>882</v>
      </c>
      <c r="C889">
        <v>1234</v>
      </c>
      <c r="D889" t="s">
        <v>12486</v>
      </c>
      <c r="E889" t="s">
        <v>68</v>
      </c>
      <c r="F889" t="s">
        <v>190</v>
      </c>
      <c r="G889" t="s">
        <v>12487</v>
      </c>
      <c r="H889">
        <v>20.75</v>
      </c>
      <c r="I889">
        <v>7</v>
      </c>
      <c r="J889">
        <v>0</v>
      </c>
      <c r="K889">
        <v>0</v>
      </c>
      <c r="L889">
        <v>7</v>
      </c>
      <c r="O889">
        <v>7</v>
      </c>
      <c r="P889">
        <v>0</v>
      </c>
      <c r="Q889">
        <v>2</v>
      </c>
      <c r="R889">
        <v>36.75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F889" t="s">
        <v>130</v>
      </c>
      <c r="AH889">
        <v>36.75</v>
      </c>
    </row>
    <row r="890" spans="1:34" x14ac:dyDescent="0.3">
      <c r="A890" s="4">
        <v>1100</v>
      </c>
      <c r="B890" s="5">
        <v>883</v>
      </c>
      <c r="C890">
        <v>9536</v>
      </c>
      <c r="D890" t="s">
        <v>12488</v>
      </c>
      <c r="E890" t="s">
        <v>380</v>
      </c>
      <c r="F890" t="s">
        <v>832</v>
      </c>
      <c r="G890" t="s">
        <v>12489</v>
      </c>
      <c r="H890">
        <v>20.55</v>
      </c>
      <c r="I890">
        <v>7</v>
      </c>
      <c r="J890">
        <v>0</v>
      </c>
      <c r="K890">
        <v>0</v>
      </c>
      <c r="N890">
        <v>3</v>
      </c>
      <c r="O890">
        <v>3</v>
      </c>
      <c r="P890">
        <v>4</v>
      </c>
      <c r="Q890">
        <v>2</v>
      </c>
      <c r="R890">
        <v>36.549999999999997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F890" t="s">
        <v>130</v>
      </c>
      <c r="AH890">
        <v>36.549999999999997</v>
      </c>
    </row>
    <row r="891" spans="1:34" x14ac:dyDescent="0.3">
      <c r="A891" s="4">
        <v>1101</v>
      </c>
      <c r="B891" s="5">
        <v>884</v>
      </c>
      <c r="C891">
        <v>8697</v>
      </c>
      <c r="D891" t="s">
        <v>549</v>
      </c>
      <c r="E891" t="s">
        <v>161</v>
      </c>
      <c r="F891" t="s">
        <v>1511</v>
      </c>
      <c r="G891" t="s">
        <v>12490</v>
      </c>
      <c r="H891">
        <v>12.5</v>
      </c>
      <c r="I891">
        <v>7</v>
      </c>
      <c r="J891">
        <v>0</v>
      </c>
      <c r="K891">
        <v>0</v>
      </c>
      <c r="L891">
        <v>7</v>
      </c>
      <c r="O891">
        <v>7</v>
      </c>
      <c r="P891">
        <v>4</v>
      </c>
      <c r="Q891">
        <v>0</v>
      </c>
      <c r="R891">
        <v>30.5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6</v>
      </c>
      <c r="AC891">
        <v>0</v>
      </c>
      <c r="AF891" t="s">
        <v>130</v>
      </c>
      <c r="AH891">
        <v>36.5</v>
      </c>
    </row>
    <row r="892" spans="1:34" x14ac:dyDescent="0.3">
      <c r="A892" s="4">
        <v>1102</v>
      </c>
      <c r="B892" s="5">
        <v>885</v>
      </c>
      <c r="C892">
        <v>13509</v>
      </c>
      <c r="D892" t="s">
        <v>12491</v>
      </c>
      <c r="E892" t="s">
        <v>54</v>
      </c>
      <c r="F892" t="s">
        <v>68</v>
      </c>
      <c r="G892" t="s">
        <v>12492</v>
      </c>
      <c r="H892">
        <v>12.5</v>
      </c>
      <c r="I892">
        <v>7</v>
      </c>
      <c r="J892">
        <v>0</v>
      </c>
      <c r="K892">
        <v>0</v>
      </c>
      <c r="L892">
        <v>7</v>
      </c>
      <c r="O892">
        <v>7</v>
      </c>
      <c r="P892">
        <v>4</v>
      </c>
      <c r="Q892">
        <v>0</v>
      </c>
      <c r="R892">
        <v>30.5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6</v>
      </c>
      <c r="AC892">
        <v>0</v>
      </c>
      <c r="AD892" t="s">
        <v>130</v>
      </c>
      <c r="AF892" t="s">
        <v>130</v>
      </c>
      <c r="AH892">
        <v>36.5</v>
      </c>
    </row>
    <row r="893" spans="1:34" x14ac:dyDescent="0.3">
      <c r="A893" s="4">
        <v>1103</v>
      </c>
      <c r="B893" s="5">
        <v>886</v>
      </c>
      <c r="C893">
        <v>13233</v>
      </c>
      <c r="D893" t="s">
        <v>12493</v>
      </c>
      <c r="E893" t="s">
        <v>454</v>
      </c>
      <c r="F893" t="s">
        <v>259</v>
      </c>
      <c r="G893" t="s">
        <v>12494</v>
      </c>
      <c r="H893">
        <v>22.43</v>
      </c>
      <c r="I893">
        <v>7</v>
      </c>
      <c r="J893">
        <v>0</v>
      </c>
      <c r="K893">
        <v>0</v>
      </c>
      <c r="N893">
        <v>3</v>
      </c>
      <c r="O893">
        <v>3</v>
      </c>
      <c r="P893">
        <v>4</v>
      </c>
      <c r="Q893">
        <v>0</v>
      </c>
      <c r="R893">
        <v>36.43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F893" t="s">
        <v>130</v>
      </c>
      <c r="AH893">
        <v>36.43</v>
      </c>
    </row>
    <row r="894" spans="1:34" x14ac:dyDescent="0.3">
      <c r="A894" s="4">
        <v>1104</v>
      </c>
      <c r="B894" s="5">
        <v>887</v>
      </c>
      <c r="C894">
        <v>2349</v>
      </c>
      <c r="D894" t="s">
        <v>12495</v>
      </c>
      <c r="E894" t="s">
        <v>550</v>
      </c>
      <c r="F894" t="s">
        <v>62</v>
      </c>
      <c r="G894" t="s">
        <v>12496</v>
      </c>
      <c r="H894">
        <v>20.05</v>
      </c>
      <c r="I894">
        <v>7</v>
      </c>
      <c r="J894">
        <v>0</v>
      </c>
      <c r="K894">
        <v>0</v>
      </c>
      <c r="N894">
        <v>3</v>
      </c>
      <c r="O894">
        <v>3</v>
      </c>
      <c r="P894">
        <v>4</v>
      </c>
      <c r="Q894">
        <v>2</v>
      </c>
      <c r="R894">
        <v>36.049999999999997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F894" t="s">
        <v>130</v>
      </c>
      <c r="AH894">
        <v>36.049999999999997</v>
      </c>
    </row>
    <row r="895" spans="1:34" x14ac:dyDescent="0.3">
      <c r="A895" s="4">
        <v>1105</v>
      </c>
      <c r="B895" s="5">
        <v>888</v>
      </c>
      <c r="C895">
        <v>6197</v>
      </c>
      <c r="D895" t="s">
        <v>12497</v>
      </c>
      <c r="E895" t="s">
        <v>12498</v>
      </c>
      <c r="F895" t="s">
        <v>68</v>
      </c>
      <c r="G895" t="s">
        <v>12499</v>
      </c>
      <c r="H895">
        <v>16.75</v>
      </c>
      <c r="I895">
        <v>7</v>
      </c>
      <c r="J895">
        <v>0</v>
      </c>
      <c r="K895">
        <v>0</v>
      </c>
      <c r="N895">
        <v>3</v>
      </c>
      <c r="O895">
        <v>3</v>
      </c>
      <c r="P895">
        <v>4</v>
      </c>
      <c r="Q895">
        <v>2</v>
      </c>
      <c r="R895">
        <v>32.75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3</v>
      </c>
      <c r="AC895">
        <v>0</v>
      </c>
      <c r="AF895" t="s">
        <v>130</v>
      </c>
      <c r="AH895">
        <v>35.75</v>
      </c>
    </row>
    <row r="896" spans="1:34" x14ac:dyDescent="0.3">
      <c r="A896" s="4">
        <v>1106</v>
      </c>
      <c r="B896" s="5">
        <v>889</v>
      </c>
      <c r="C896">
        <v>7657</v>
      </c>
      <c r="D896" t="s">
        <v>181</v>
      </c>
      <c r="E896" t="s">
        <v>170</v>
      </c>
      <c r="F896" t="s">
        <v>55</v>
      </c>
      <c r="G896" t="s">
        <v>12500</v>
      </c>
      <c r="H896">
        <v>21.4</v>
      </c>
      <c r="I896">
        <v>7</v>
      </c>
      <c r="J896">
        <v>0</v>
      </c>
      <c r="K896">
        <v>0</v>
      </c>
      <c r="N896">
        <v>3</v>
      </c>
      <c r="O896">
        <v>3</v>
      </c>
      <c r="P896">
        <v>4</v>
      </c>
      <c r="Q896">
        <v>0</v>
      </c>
      <c r="R896">
        <v>35.4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F896" t="s">
        <v>130</v>
      </c>
      <c r="AH896">
        <v>35.4</v>
      </c>
    </row>
    <row r="897" spans="1:34" x14ac:dyDescent="0.3">
      <c r="A897" s="4">
        <v>1107</v>
      </c>
      <c r="B897" s="5">
        <v>890</v>
      </c>
      <c r="C897">
        <v>6811</v>
      </c>
      <c r="D897" t="s">
        <v>12501</v>
      </c>
      <c r="E897" t="s">
        <v>744</v>
      </c>
      <c r="F897" t="s">
        <v>328</v>
      </c>
      <c r="G897" t="s">
        <v>12502</v>
      </c>
      <c r="H897">
        <v>21.25</v>
      </c>
      <c r="I897">
        <v>7</v>
      </c>
      <c r="J897">
        <v>0</v>
      </c>
      <c r="K897">
        <v>0</v>
      </c>
      <c r="L897">
        <v>7</v>
      </c>
      <c r="O897">
        <v>7</v>
      </c>
      <c r="P897">
        <v>0</v>
      </c>
      <c r="Q897">
        <v>0</v>
      </c>
      <c r="R897">
        <v>35.25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F897" t="s">
        <v>130</v>
      </c>
      <c r="AH897">
        <v>35.25</v>
      </c>
    </row>
    <row r="898" spans="1:34" x14ac:dyDescent="0.3">
      <c r="A898" s="4">
        <v>1108</v>
      </c>
      <c r="B898" s="5">
        <v>891</v>
      </c>
      <c r="C898">
        <v>2412</v>
      </c>
      <c r="D898" t="s">
        <v>12503</v>
      </c>
      <c r="E898" t="s">
        <v>54</v>
      </c>
      <c r="F898" t="s">
        <v>12504</v>
      </c>
      <c r="G898" t="s">
        <v>12505</v>
      </c>
      <c r="H898">
        <v>15.68</v>
      </c>
      <c r="I898">
        <v>7</v>
      </c>
      <c r="J898">
        <v>0</v>
      </c>
      <c r="K898">
        <v>0</v>
      </c>
      <c r="N898">
        <v>6</v>
      </c>
      <c r="O898">
        <v>6</v>
      </c>
      <c r="P898">
        <v>4</v>
      </c>
      <c r="Q898">
        <v>2</v>
      </c>
      <c r="R898">
        <v>34.68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 t="s">
        <v>130</v>
      </c>
      <c r="AF898" t="s">
        <v>130</v>
      </c>
      <c r="AH898">
        <v>34.68</v>
      </c>
    </row>
    <row r="899" spans="1:34" x14ac:dyDescent="0.3">
      <c r="A899" s="4">
        <v>1109</v>
      </c>
      <c r="B899" s="5">
        <v>892</v>
      </c>
      <c r="C899">
        <v>12164</v>
      </c>
      <c r="D899" t="s">
        <v>12506</v>
      </c>
      <c r="E899" t="s">
        <v>208</v>
      </c>
      <c r="F899" t="s">
        <v>5741</v>
      </c>
      <c r="G899">
        <v>571487</v>
      </c>
      <c r="H899">
        <v>20.65</v>
      </c>
      <c r="I899">
        <v>7</v>
      </c>
      <c r="J899">
        <v>0</v>
      </c>
      <c r="K899">
        <v>0</v>
      </c>
      <c r="N899">
        <v>3</v>
      </c>
      <c r="O899">
        <v>3</v>
      </c>
      <c r="P899">
        <v>4</v>
      </c>
      <c r="Q899">
        <v>0</v>
      </c>
      <c r="R899">
        <v>34.65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F899" t="s">
        <v>130</v>
      </c>
      <c r="AH899">
        <v>34.65</v>
      </c>
    </row>
    <row r="900" spans="1:34" x14ac:dyDescent="0.3">
      <c r="A900" s="4">
        <v>1110</v>
      </c>
      <c r="B900" s="5">
        <v>893</v>
      </c>
      <c r="C900">
        <v>14931</v>
      </c>
      <c r="D900" t="s">
        <v>12507</v>
      </c>
      <c r="E900" t="s">
        <v>54</v>
      </c>
      <c r="F900" t="s">
        <v>17</v>
      </c>
      <c r="G900" t="s">
        <v>12508</v>
      </c>
      <c r="H900">
        <v>16.25</v>
      </c>
      <c r="I900">
        <v>7</v>
      </c>
      <c r="J900">
        <v>0</v>
      </c>
      <c r="K900">
        <v>0</v>
      </c>
      <c r="L900">
        <v>7</v>
      </c>
      <c r="O900">
        <v>7</v>
      </c>
      <c r="P900">
        <v>4</v>
      </c>
      <c r="Q900">
        <v>0</v>
      </c>
      <c r="R900">
        <v>34.25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F900" t="s">
        <v>130</v>
      </c>
      <c r="AH900">
        <v>34.25</v>
      </c>
    </row>
    <row r="901" spans="1:34" x14ac:dyDescent="0.3">
      <c r="A901" s="4">
        <v>1112</v>
      </c>
      <c r="B901" s="5">
        <v>894</v>
      </c>
      <c r="C901">
        <v>12274</v>
      </c>
      <c r="D901" t="s">
        <v>12509</v>
      </c>
      <c r="E901" t="s">
        <v>12510</v>
      </c>
      <c r="F901" t="s">
        <v>101</v>
      </c>
      <c r="G901" t="s">
        <v>12511</v>
      </c>
      <c r="H901">
        <v>13.1</v>
      </c>
      <c r="I901">
        <v>7</v>
      </c>
      <c r="J901">
        <v>0</v>
      </c>
      <c r="K901">
        <v>0</v>
      </c>
      <c r="L901">
        <v>7</v>
      </c>
      <c r="N901">
        <v>3</v>
      </c>
      <c r="O901">
        <v>10</v>
      </c>
      <c r="P901">
        <v>4</v>
      </c>
      <c r="Q901">
        <v>0</v>
      </c>
      <c r="R901">
        <v>34.1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F901" t="s">
        <v>130</v>
      </c>
      <c r="AH901">
        <v>34.1</v>
      </c>
    </row>
    <row r="902" spans="1:34" x14ac:dyDescent="0.3">
      <c r="A902" s="4">
        <v>1113</v>
      </c>
      <c r="B902" s="5">
        <v>895</v>
      </c>
      <c r="C902">
        <v>9756</v>
      </c>
      <c r="D902" t="s">
        <v>8546</v>
      </c>
      <c r="E902" t="s">
        <v>12512</v>
      </c>
      <c r="F902" t="s">
        <v>17</v>
      </c>
      <c r="G902" t="s">
        <v>12513</v>
      </c>
      <c r="H902">
        <v>16.850000000000001</v>
      </c>
      <c r="I902">
        <v>7</v>
      </c>
      <c r="J902">
        <v>0</v>
      </c>
      <c r="K902">
        <v>0</v>
      </c>
      <c r="L902">
        <v>7</v>
      </c>
      <c r="O902">
        <v>7</v>
      </c>
      <c r="P902">
        <v>0</v>
      </c>
      <c r="Q902">
        <v>0</v>
      </c>
      <c r="R902">
        <v>30.85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3</v>
      </c>
      <c r="AC902">
        <v>0</v>
      </c>
      <c r="AF902" t="s">
        <v>130</v>
      </c>
      <c r="AH902">
        <v>33.85</v>
      </c>
    </row>
    <row r="903" spans="1:34" x14ac:dyDescent="0.3">
      <c r="A903" s="4">
        <v>1114</v>
      </c>
      <c r="B903" s="5">
        <v>896</v>
      </c>
      <c r="C903">
        <v>6321</v>
      </c>
      <c r="D903" t="s">
        <v>12514</v>
      </c>
      <c r="E903" t="s">
        <v>88</v>
      </c>
      <c r="F903" t="s">
        <v>227</v>
      </c>
      <c r="G903" t="s">
        <v>12515</v>
      </c>
      <c r="H903">
        <v>17.78</v>
      </c>
      <c r="I903">
        <v>0</v>
      </c>
      <c r="J903">
        <v>0</v>
      </c>
      <c r="K903">
        <v>0</v>
      </c>
      <c r="L903">
        <v>7</v>
      </c>
      <c r="O903">
        <v>7</v>
      </c>
      <c r="P903">
        <v>4</v>
      </c>
      <c r="Q903">
        <v>2</v>
      </c>
      <c r="R903">
        <v>30.78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3</v>
      </c>
      <c r="AC903">
        <v>0</v>
      </c>
      <c r="AF903" t="s">
        <v>130</v>
      </c>
      <c r="AH903">
        <v>33.78</v>
      </c>
    </row>
    <row r="904" spans="1:34" x14ac:dyDescent="0.3">
      <c r="A904" s="4">
        <v>1115</v>
      </c>
      <c r="B904" s="5">
        <v>897</v>
      </c>
      <c r="C904">
        <v>3801</v>
      </c>
      <c r="D904" t="s">
        <v>12516</v>
      </c>
      <c r="E904" t="s">
        <v>12517</v>
      </c>
      <c r="F904" t="s">
        <v>12518</v>
      </c>
      <c r="G904">
        <v>650334526</v>
      </c>
      <c r="H904">
        <v>17.75</v>
      </c>
      <c r="I904">
        <v>7</v>
      </c>
      <c r="J904">
        <v>0</v>
      </c>
      <c r="K904">
        <v>0</v>
      </c>
      <c r="N904">
        <v>3</v>
      </c>
      <c r="O904">
        <v>3</v>
      </c>
      <c r="P904">
        <v>4</v>
      </c>
      <c r="Q904">
        <v>2</v>
      </c>
      <c r="R904">
        <v>33.75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F904" t="s">
        <v>130</v>
      </c>
      <c r="AH904">
        <v>33.75</v>
      </c>
    </row>
    <row r="905" spans="1:34" x14ac:dyDescent="0.3">
      <c r="A905" s="4">
        <v>1116</v>
      </c>
      <c r="B905" s="5">
        <v>898</v>
      </c>
      <c r="C905">
        <v>10114</v>
      </c>
      <c r="D905" t="s">
        <v>12519</v>
      </c>
      <c r="E905" t="s">
        <v>41</v>
      </c>
      <c r="F905" t="s">
        <v>117</v>
      </c>
      <c r="G905" t="s">
        <v>12520</v>
      </c>
      <c r="H905">
        <v>12.5</v>
      </c>
      <c r="I905">
        <v>7</v>
      </c>
      <c r="J905">
        <v>0</v>
      </c>
      <c r="K905">
        <v>0</v>
      </c>
      <c r="L905">
        <v>14</v>
      </c>
      <c r="O905">
        <v>14</v>
      </c>
      <c r="P905">
        <v>0</v>
      </c>
      <c r="Q905">
        <v>0</v>
      </c>
      <c r="R905">
        <v>33.5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F905" t="s">
        <v>130</v>
      </c>
      <c r="AH905">
        <v>33.5</v>
      </c>
    </row>
    <row r="906" spans="1:34" x14ac:dyDescent="0.3">
      <c r="A906" s="4">
        <v>1117</v>
      </c>
      <c r="B906" s="5">
        <v>899</v>
      </c>
      <c r="C906">
        <v>3672</v>
      </c>
      <c r="D906" t="s">
        <v>2036</v>
      </c>
      <c r="E906" t="s">
        <v>26</v>
      </c>
      <c r="F906" t="s">
        <v>136</v>
      </c>
      <c r="G906" t="s">
        <v>12521</v>
      </c>
      <c r="H906">
        <v>19.399999999999999</v>
      </c>
      <c r="I906">
        <v>7</v>
      </c>
      <c r="J906">
        <v>0</v>
      </c>
      <c r="K906">
        <v>0</v>
      </c>
      <c r="L906">
        <v>7</v>
      </c>
      <c r="O906">
        <v>7</v>
      </c>
      <c r="P906">
        <v>0</v>
      </c>
      <c r="Q906">
        <v>0</v>
      </c>
      <c r="R906">
        <v>33.4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F906" t="s">
        <v>130</v>
      </c>
      <c r="AH906">
        <v>33.4</v>
      </c>
    </row>
    <row r="907" spans="1:34" x14ac:dyDescent="0.3">
      <c r="A907" s="4">
        <v>1118</v>
      </c>
      <c r="B907" s="5">
        <v>900</v>
      </c>
      <c r="C907">
        <v>5876</v>
      </c>
      <c r="D907" t="s">
        <v>12522</v>
      </c>
      <c r="E907" t="s">
        <v>38</v>
      </c>
      <c r="F907" t="s">
        <v>124</v>
      </c>
      <c r="G907" t="s">
        <v>12523</v>
      </c>
      <c r="H907">
        <v>16.25</v>
      </c>
      <c r="I907">
        <v>7</v>
      </c>
      <c r="J907">
        <v>0</v>
      </c>
      <c r="K907">
        <v>0</v>
      </c>
      <c r="L907">
        <v>7</v>
      </c>
      <c r="O907">
        <v>7</v>
      </c>
      <c r="P907">
        <v>0</v>
      </c>
      <c r="Q907">
        <v>0</v>
      </c>
      <c r="R907">
        <v>30.25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3</v>
      </c>
      <c r="AC907">
        <v>0</v>
      </c>
      <c r="AF907" t="s">
        <v>130</v>
      </c>
      <c r="AH907">
        <v>33.25</v>
      </c>
    </row>
    <row r="908" spans="1:34" x14ac:dyDescent="0.3">
      <c r="A908" s="4">
        <v>1119</v>
      </c>
      <c r="B908" s="5">
        <v>901</v>
      </c>
      <c r="C908">
        <v>3091</v>
      </c>
      <c r="D908" t="s">
        <v>12524</v>
      </c>
      <c r="E908" t="s">
        <v>33</v>
      </c>
      <c r="F908" t="s">
        <v>62</v>
      </c>
      <c r="G908" t="s">
        <v>32052</v>
      </c>
      <c r="H908">
        <v>23</v>
      </c>
      <c r="I908">
        <v>7</v>
      </c>
      <c r="J908">
        <v>0</v>
      </c>
      <c r="K908">
        <v>0</v>
      </c>
      <c r="N908">
        <v>3</v>
      </c>
      <c r="O908">
        <v>3</v>
      </c>
      <c r="P908">
        <v>0</v>
      </c>
      <c r="Q908">
        <v>0</v>
      </c>
      <c r="R908">
        <v>33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F908" t="s">
        <v>130</v>
      </c>
      <c r="AH908">
        <v>33</v>
      </c>
    </row>
    <row r="909" spans="1:34" x14ac:dyDescent="0.3">
      <c r="A909" s="4">
        <v>1120</v>
      </c>
      <c r="B909" s="5">
        <v>902</v>
      </c>
      <c r="C909">
        <v>2064</v>
      </c>
      <c r="D909" t="s">
        <v>3406</v>
      </c>
      <c r="E909" t="s">
        <v>12525</v>
      </c>
      <c r="F909" t="s">
        <v>17</v>
      </c>
      <c r="G909" t="s">
        <v>12526</v>
      </c>
      <c r="H909">
        <v>18.88</v>
      </c>
      <c r="I909">
        <v>7</v>
      </c>
      <c r="J909">
        <v>0</v>
      </c>
      <c r="K909">
        <v>0</v>
      </c>
      <c r="N909">
        <v>3</v>
      </c>
      <c r="O909">
        <v>3</v>
      </c>
      <c r="P909">
        <v>4</v>
      </c>
      <c r="Q909">
        <v>0</v>
      </c>
      <c r="R909">
        <v>32.880000000000003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F909" t="s">
        <v>130</v>
      </c>
      <c r="AH909">
        <v>32.880000000000003</v>
      </c>
    </row>
    <row r="910" spans="1:34" x14ac:dyDescent="0.3">
      <c r="A910" s="4">
        <v>1121</v>
      </c>
      <c r="B910" s="5">
        <v>903</v>
      </c>
      <c r="C910">
        <v>10007</v>
      </c>
      <c r="D910" t="s">
        <v>3266</v>
      </c>
      <c r="E910" t="s">
        <v>29</v>
      </c>
      <c r="F910" t="s">
        <v>117</v>
      </c>
      <c r="G910" t="s">
        <v>12527</v>
      </c>
      <c r="H910">
        <v>22.63</v>
      </c>
      <c r="I910">
        <v>7</v>
      </c>
      <c r="J910">
        <v>0</v>
      </c>
      <c r="K910">
        <v>0</v>
      </c>
      <c r="N910">
        <v>3</v>
      </c>
      <c r="O910">
        <v>3</v>
      </c>
      <c r="P910">
        <v>0</v>
      </c>
      <c r="Q910">
        <v>0</v>
      </c>
      <c r="R910">
        <v>32.630000000000003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 t="s">
        <v>130</v>
      </c>
      <c r="AF910" t="s">
        <v>130</v>
      </c>
      <c r="AH910">
        <v>32.630000000000003</v>
      </c>
    </row>
    <row r="911" spans="1:34" x14ac:dyDescent="0.3">
      <c r="A911" s="4">
        <v>1122</v>
      </c>
      <c r="B911" s="5">
        <v>904</v>
      </c>
      <c r="C911">
        <v>14557</v>
      </c>
      <c r="D911" t="s">
        <v>12528</v>
      </c>
      <c r="E911" t="s">
        <v>117</v>
      </c>
      <c r="F911" t="s">
        <v>385</v>
      </c>
      <c r="G911" t="s">
        <v>12529</v>
      </c>
      <c r="H911">
        <v>18.53</v>
      </c>
      <c r="I911">
        <v>7</v>
      </c>
      <c r="J911">
        <v>0</v>
      </c>
      <c r="K911">
        <v>0</v>
      </c>
      <c r="N911">
        <v>3</v>
      </c>
      <c r="O911">
        <v>3</v>
      </c>
      <c r="P911">
        <v>4</v>
      </c>
      <c r="Q911">
        <v>0</v>
      </c>
      <c r="R911">
        <v>32.53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F911" t="s">
        <v>130</v>
      </c>
      <c r="AH911">
        <v>32.53</v>
      </c>
    </row>
    <row r="912" spans="1:34" x14ac:dyDescent="0.3">
      <c r="A912" s="4">
        <v>1123</v>
      </c>
      <c r="B912" s="5">
        <v>905</v>
      </c>
      <c r="C912">
        <v>15663</v>
      </c>
      <c r="D912" t="s">
        <v>12530</v>
      </c>
      <c r="E912" t="s">
        <v>825</v>
      </c>
      <c r="F912" t="s">
        <v>68</v>
      </c>
      <c r="G912" t="s">
        <v>12531</v>
      </c>
      <c r="H912">
        <v>12.5</v>
      </c>
      <c r="I912">
        <v>7</v>
      </c>
      <c r="J912">
        <v>0</v>
      </c>
      <c r="K912">
        <v>0</v>
      </c>
      <c r="L912">
        <v>7</v>
      </c>
      <c r="O912">
        <v>7</v>
      </c>
      <c r="P912">
        <v>4</v>
      </c>
      <c r="Q912">
        <v>2</v>
      </c>
      <c r="R912">
        <v>32.5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F912" t="s">
        <v>130</v>
      </c>
      <c r="AH912">
        <v>32.5</v>
      </c>
    </row>
    <row r="913" spans="1:34" x14ac:dyDescent="0.3">
      <c r="A913" s="4">
        <v>1124</v>
      </c>
      <c r="B913" s="5">
        <v>906</v>
      </c>
      <c r="C913">
        <v>5462</v>
      </c>
      <c r="D913" t="s">
        <v>6980</v>
      </c>
      <c r="E913" t="s">
        <v>166</v>
      </c>
      <c r="F913" t="s">
        <v>17</v>
      </c>
      <c r="G913" t="s">
        <v>32053</v>
      </c>
      <c r="H913">
        <v>16.95</v>
      </c>
      <c r="I913">
        <v>0</v>
      </c>
      <c r="J913">
        <v>0</v>
      </c>
      <c r="K913">
        <v>0</v>
      </c>
      <c r="L913">
        <v>7</v>
      </c>
      <c r="N913">
        <v>3</v>
      </c>
      <c r="O913">
        <v>10</v>
      </c>
      <c r="P913">
        <v>4</v>
      </c>
      <c r="Q913">
        <v>0</v>
      </c>
      <c r="R913">
        <v>30.95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F913" t="s">
        <v>130</v>
      </c>
      <c r="AH913">
        <v>30.95</v>
      </c>
    </row>
    <row r="914" spans="1:34" x14ac:dyDescent="0.3">
      <c r="A914" s="4">
        <v>1125</v>
      </c>
      <c r="B914" s="5">
        <v>907</v>
      </c>
      <c r="C914">
        <v>12139</v>
      </c>
      <c r="D914" t="s">
        <v>12532</v>
      </c>
      <c r="E914" t="s">
        <v>789</v>
      </c>
      <c r="F914" t="s">
        <v>81</v>
      </c>
      <c r="G914" t="s">
        <v>12533</v>
      </c>
      <c r="H914">
        <v>12.5</v>
      </c>
      <c r="I914">
        <v>7</v>
      </c>
      <c r="J914">
        <v>0</v>
      </c>
      <c r="K914">
        <v>0</v>
      </c>
      <c r="M914">
        <v>5</v>
      </c>
      <c r="O914">
        <v>5</v>
      </c>
      <c r="P914">
        <v>4</v>
      </c>
      <c r="Q914">
        <v>2</v>
      </c>
      <c r="R914">
        <v>30.5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F914" t="s">
        <v>130</v>
      </c>
      <c r="AH914">
        <v>30.5</v>
      </c>
    </row>
    <row r="915" spans="1:34" x14ac:dyDescent="0.3">
      <c r="A915" s="4">
        <v>1126</v>
      </c>
      <c r="B915" s="5">
        <v>908</v>
      </c>
      <c r="C915">
        <v>15293</v>
      </c>
      <c r="D915" t="s">
        <v>3181</v>
      </c>
      <c r="E915" t="s">
        <v>29</v>
      </c>
      <c r="F915" t="s">
        <v>416</v>
      </c>
      <c r="G915" t="s">
        <v>12534</v>
      </c>
      <c r="H915">
        <v>12.5</v>
      </c>
      <c r="I915">
        <v>7</v>
      </c>
      <c r="J915">
        <v>0</v>
      </c>
      <c r="K915">
        <v>0</v>
      </c>
      <c r="L915">
        <v>7</v>
      </c>
      <c r="O915">
        <v>7</v>
      </c>
      <c r="P915">
        <v>4</v>
      </c>
      <c r="Q915">
        <v>0</v>
      </c>
      <c r="R915">
        <v>30.5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 t="s">
        <v>130</v>
      </c>
      <c r="AF915" t="s">
        <v>130</v>
      </c>
      <c r="AH915">
        <v>30.5</v>
      </c>
    </row>
    <row r="916" spans="1:34" x14ac:dyDescent="0.3">
      <c r="A916" s="4">
        <v>1127</v>
      </c>
      <c r="B916" s="5">
        <v>909</v>
      </c>
      <c r="C916">
        <v>6591</v>
      </c>
      <c r="D916" t="s">
        <v>12535</v>
      </c>
      <c r="E916" t="s">
        <v>12536</v>
      </c>
      <c r="F916" t="s">
        <v>12537</v>
      </c>
      <c r="G916" t="s">
        <v>12538</v>
      </c>
      <c r="H916">
        <v>18.8</v>
      </c>
      <c r="I916">
        <v>0</v>
      </c>
      <c r="J916">
        <v>0</v>
      </c>
      <c r="K916">
        <v>0</v>
      </c>
      <c r="N916">
        <v>3</v>
      </c>
      <c r="O916">
        <v>3</v>
      </c>
      <c r="P916">
        <v>4</v>
      </c>
      <c r="Q916">
        <v>2</v>
      </c>
      <c r="R916">
        <v>27.8</v>
      </c>
      <c r="S916">
        <v>2</v>
      </c>
      <c r="T916">
        <v>2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2</v>
      </c>
      <c r="AB916">
        <v>0</v>
      </c>
      <c r="AC916">
        <v>0</v>
      </c>
      <c r="AF916" t="s">
        <v>130</v>
      </c>
      <c r="AH916">
        <v>29.8</v>
      </c>
    </row>
    <row r="917" spans="1:34" x14ac:dyDescent="0.3">
      <c r="A917" s="4">
        <v>1128</v>
      </c>
      <c r="B917" s="5">
        <v>910</v>
      </c>
      <c r="C917">
        <v>14927</v>
      </c>
      <c r="D917" t="s">
        <v>11615</v>
      </c>
      <c r="E917" t="s">
        <v>41</v>
      </c>
      <c r="F917" t="s">
        <v>6208</v>
      </c>
      <c r="G917" t="s">
        <v>12539</v>
      </c>
      <c r="H917">
        <v>16.7</v>
      </c>
      <c r="I917">
        <v>7</v>
      </c>
      <c r="J917">
        <v>0</v>
      </c>
      <c r="K917">
        <v>0</v>
      </c>
      <c r="N917">
        <v>3</v>
      </c>
      <c r="O917">
        <v>3</v>
      </c>
      <c r="P917">
        <v>0</v>
      </c>
      <c r="Q917">
        <v>0</v>
      </c>
      <c r="R917">
        <v>26.7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3</v>
      </c>
      <c r="AC917">
        <v>0</v>
      </c>
      <c r="AF917" t="s">
        <v>130</v>
      </c>
      <c r="AH917">
        <v>29.7</v>
      </c>
    </row>
    <row r="918" spans="1:34" x14ac:dyDescent="0.3">
      <c r="A918" s="4">
        <v>1129</v>
      </c>
      <c r="B918" s="5">
        <v>911</v>
      </c>
      <c r="C918">
        <v>14908</v>
      </c>
      <c r="D918" t="s">
        <v>12540</v>
      </c>
      <c r="E918" t="s">
        <v>81</v>
      </c>
      <c r="F918" t="s">
        <v>38</v>
      </c>
      <c r="G918" t="s">
        <v>12541</v>
      </c>
      <c r="H918">
        <v>15.38</v>
      </c>
      <c r="I918">
        <v>7</v>
      </c>
      <c r="J918">
        <v>0</v>
      </c>
      <c r="K918">
        <v>0</v>
      </c>
      <c r="N918">
        <v>3</v>
      </c>
      <c r="O918">
        <v>3</v>
      </c>
      <c r="P918">
        <v>4</v>
      </c>
      <c r="Q918">
        <v>0</v>
      </c>
      <c r="R918">
        <v>29.38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F918" t="s">
        <v>130</v>
      </c>
      <c r="AH918">
        <v>29.38</v>
      </c>
    </row>
    <row r="919" spans="1:34" x14ac:dyDescent="0.3">
      <c r="A919" s="4">
        <v>1130</v>
      </c>
      <c r="B919" s="5">
        <v>912</v>
      </c>
      <c r="C919">
        <v>1502</v>
      </c>
      <c r="D919" t="s">
        <v>12542</v>
      </c>
      <c r="E919" t="s">
        <v>188</v>
      </c>
      <c r="F919" t="s">
        <v>38</v>
      </c>
      <c r="G919" t="s">
        <v>12543</v>
      </c>
      <c r="H919">
        <v>18.13</v>
      </c>
      <c r="I919">
        <v>0</v>
      </c>
      <c r="J919">
        <v>0</v>
      </c>
      <c r="K919">
        <v>0</v>
      </c>
      <c r="L919">
        <v>7</v>
      </c>
      <c r="O919">
        <v>7</v>
      </c>
      <c r="P919">
        <v>4</v>
      </c>
      <c r="Q919">
        <v>0</v>
      </c>
      <c r="R919">
        <v>29.13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F919" t="s">
        <v>130</v>
      </c>
      <c r="AH919">
        <v>29.13</v>
      </c>
    </row>
    <row r="920" spans="1:34" x14ac:dyDescent="0.3">
      <c r="A920" s="4">
        <v>1131</v>
      </c>
      <c r="B920" s="5">
        <v>913</v>
      </c>
      <c r="C920">
        <v>1799</v>
      </c>
      <c r="D920" t="s">
        <v>577</v>
      </c>
      <c r="E920" t="s">
        <v>2643</v>
      </c>
      <c r="F920" t="s">
        <v>68</v>
      </c>
      <c r="G920" t="s">
        <v>12544</v>
      </c>
      <c r="H920">
        <v>12.5</v>
      </c>
      <c r="I920">
        <v>7</v>
      </c>
      <c r="J920">
        <v>0</v>
      </c>
      <c r="K920">
        <v>0</v>
      </c>
      <c r="N920">
        <v>3</v>
      </c>
      <c r="O920">
        <v>3</v>
      </c>
      <c r="P920">
        <v>4</v>
      </c>
      <c r="Q920">
        <v>2</v>
      </c>
      <c r="R920">
        <v>28.5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F920" t="s">
        <v>130</v>
      </c>
      <c r="AH920">
        <v>28.5</v>
      </c>
    </row>
    <row r="921" spans="1:34" x14ac:dyDescent="0.3">
      <c r="A921" s="4">
        <v>1132</v>
      </c>
      <c r="B921" s="5">
        <v>914</v>
      </c>
      <c r="C921">
        <v>14139</v>
      </c>
      <c r="D921" t="s">
        <v>7920</v>
      </c>
      <c r="E921" t="s">
        <v>132</v>
      </c>
      <c r="F921" t="s">
        <v>17</v>
      </c>
      <c r="G921" t="s">
        <v>12545</v>
      </c>
      <c r="H921">
        <v>12.5</v>
      </c>
      <c r="I921">
        <v>7</v>
      </c>
      <c r="J921">
        <v>0</v>
      </c>
      <c r="K921">
        <v>0</v>
      </c>
      <c r="L921">
        <v>7</v>
      </c>
      <c r="O921">
        <v>7</v>
      </c>
      <c r="P921">
        <v>0</v>
      </c>
      <c r="Q921">
        <v>2</v>
      </c>
      <c r="R921">
        <v>28.5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 t="s">
        <v>130</v>
      </c>
      <c r="AF921" t="s">
        <v>130</v>
      </c>
      <c r="AH921">
        <v>28.5</v>
      </c>
    </row>
    <row r="922" spans="1:34" x14ac:dyDescent="0.3">
      <c r="A922" s="4">
        <v>1133</v>
      </c>
      <c r="B922" s="5">
        <v>915</v>
      </c>
      <c r="C922">
        <v>7655</v>
      </c>
      <c r="D922" t="s">
        <v>12546</v>
      </c>
      <c r="E922" t="s">
        <v>12547</v>
      </c>
      <c r="F922" t="s">
        <v>81</v>
      </c>
      <c r="G922" t="s">
        <v>12548</v>
      </c>
      <c r="H922">
        <v>12.5</v>
      </c>
      <c r="I922">
        <v>7</v>
      </c>
      <c r="J922">
        <v>0</v>
      </c>
      <c r="K922">
        <v>0</v>
      </c>
      <c r="L922">
        <v>7</v>
      </c>
      <c r="O922">
        <v>7</v>
      </c>
      <c r="P922">
        <v>0</v>
      </c>
      <c r="Q922">
        <v>2</v>
      </c>
      <c r="R922">
        <v>28.5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 t="s">
        <v>130</v>
      </c>
      <c r="AF922" t="s">
        <v>130</v>
      </c>
      <c r="AH922">
        <v>28.5</v>
      </c>
    </row>
    <row r="923" spans="1:34" x14ac:dyDescent="0.3">
      <c r="A923" s="4">
        <v>1134</v>
      </c>
      <c r="B923" s="5">
        <v>916</v>
      </c>
      <c r="C923">
        <v>1798</v>
      </c>
      <c r="D923" t="s">
        <v>8621</v>
      </c>
      <c r="E923" t="s">
        <v>1576</v>
      </c>
      <c r="F923" t="s">
        <v>136</v>
      </c>
      <c r="G923" t="s">
        <v>12549</v>
      </c>
      <c r="H923">
        <v>18.45</v>
      </c>
      <c r="I923">
        <v>7</v>
      </c>
      <c r="J923">
        <v>0</v>
      </c>
      <c r="K923">
        <v>0</v>
      </c>
      <c r="O923">
        <v>0</v>
      </c>
      <c r="P923">
        <v>0</v>
      </c>
      <c r="Q923">
        <v>0</v>
      </c>
      <c r="R923">
        <v>25.45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3</v>
      </c>
      <c r="AC923">
        <v>0</v>
      </c>
      <c r="AF923" t="s">
        <v>130</v>
      </c>
      <c r="AH923">
        <v>28.45</v>
      </c>
    </row>
    <row r="924" spans="1:34" x14ac:dyDescent="0.3">
      <c r="A924" s="4">
        <v>1135</v>
      </c>
      <c r="B924" s="5">
        <v>917</v>
      </c>
      <c r="C924">
        <v>14481</v>
      </c>
      <c r="D924" t="s">
        <v>12550</v>
      </c>
      <c r="E924" t="s">
        <v>12551</v>
      </c>
      <c r="F924" t="s">
        <v>782</v>
      </c>
      <c r="G924" t="s">
        <v>12552</v>
      </c>
      <c r="H924">
        <v>14.38</v>
      </c>
      <c r="I924">
        <v>7</v>
      </c>
      <c r="J924">
        <v>0</v>
      </c>
      <c r="K924">
        <v>0</v>
      </c>
      <c r="L924">
        <v>7</v>
      </c>
      <c r="O924">
        <v>7</v>
      </c>
      <c r="P924">
        <v>0</v>
      </c>
      <c r="Q924">
        <v>0</v>
      </c>
      <c r="R924">
        <v>28.38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F924" t="s">
        <v>130</v>
      </c>
      <c r="AH924">
        <v>28.38</v>
      </c>
    </row>
    <row r="925" spans="1:34" x14ac:dyDescent="0.3">
      <c r="A925" s="4">
        <v>1136</v>
      </c>
      <c r="B925" s="5">
        <v>918</v>
      </c>
      <c r="C925">
        <v>10741</v>
      </c>
      <c r="D925" t="s">
        <v>12553</v>
      </c>
      <c r="E925" t="s">
        <v>166</v>
      </c>
      <c r="F925" t="s">
        <v>158</v>
      </c>
      <c r="G925" t="s">
        <v>12554</v>
      </c>
      <c r="H925">
        <v>16.25</v>
      </c>
      <c r="I925">
        <v>7</v>
      </c>
      <c r="J925">
        <v>0</v>
      </c>
      <c r="K925">
        <v>0</v>
      </c>
      <c r="M925">
        <v>5</v>
      </c>
      <c r="O925">
        <v>5</v>
      </c>
      <c r="P925">
        <v>0</v>
      </c>
      <c r="Q925">
        <v>0</v>
      </c>
      <c r="R925">
        <v>28.25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F925" t="s">
        <v>130</v>
      </c>
      <c r="AH925">
        <v>28.25</v>
      </c>
    </row>
    <row r="926" spans="1:34" x14ac:dyDescent="0.3">
      <c r="A926" s="4">
        <v>1137</v>
      </c>
      <c r="B926" s="5">
        <v>919</v>
      </c>
      <c r="C926">
        <v>645</v>
      </c>
      <c r="D926" t="s">
        <v>717</v>
      </c>
      <c r="E926" t="s">
        <v>132</v>
      </c>
      <c r="F926" t="s">
        <v>328</v>
      </c>
      <c r="G926" t="s">
        <v>12555</v>
      </c>
      <c r="H926">
        <v>12.5</v>
      </c>
      <c r="I926">
        <v>7</v>
      </c>
      <c r="J926">
        <v>0</v>
      </c>
      <c r="K926">
        <v>0</v>
      </c>
      <c r="L926">
        <v>7</v>
      </c>
      <c r="O926">
        <v>7</v>
      </c>
      <c r="P926">
        <v>0</v>
      </c>
      <c r="Q926">
        <v>0</v>
      </c>
      <c r="R926">
        <v>26.5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F926" t="s">
        <v>130</v>
      </c>
      <c r="AH926">
        <v>26.5</v>
      </c>
    </row>
    <row r="927" spans="1:34" x14ac:dyDescent="0.3">
      <c r="A927" s="4">
        <v>1138</v>
      </c>
      <c r="B927" s="5">
        <v>920</v>
      </c>
      <c r="C927">
        <v>7701</v>
      </c>
      <c r="D927" t="s">
        <v>12556</v>
      </c>
      <c r="E927" t="s">
        <v>20</v>
      </c>
      <c r="F927" t="s">
        <v>1566</v>
      </c>
      <c r="G927" t="s">
        <v>12557</v>
      </c>
      <c r="H927">
        <v>19.05</v>
      </c>
      <c r="I927">
        <v>7</v>
      </c>
      <c r="J927">
        <v>0</v>
      </c>
      <c r="K927">
        <v>0</v>
      </c>
      <c r="O927">
        <v>0</v>
      </c>
      <c r="P927">
        <v>0</v>
      </c>
      <c r="Q927">
        <v>0</v>
      </c>
      <c r="R927">
        <v>26.05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F927" t="s">
        <v>130</v>
      </c>
      <c r="AH927">
        <v>26.05</v>
      </c>
    </row>
    <row r="928" spans="1:34" x14ac:dyDescent="0.3">
      <c r="A928" s="4">
        <v>1139</v>
      </c>
      <c r="B928" s="5">
        <v>921</v>
      </c>
      <c r="C928">
        <v>7863</v>
      </c>
      <c r="D928" t="s">
        <v>12558</v>
      </c>
      <c r="E928" t="s">
        <v>161</v>
      </c>
      <c r="F928" t="s">
        <v>158</v>
      </c>
      <c r="G928" t="s">
        <v>12559</v>
      </c>
      <c r="H928">
        <v>18.93</v>
      </c>
      <c r="I928">
        <v>0</v>
      </c>
      <c r="J928">
        <v>0</v>
      </c>
      <c r="K928">
        <v>0</v>
      </c>
      <c r="N928">
        <v>3</v>
      </c>
      <c r="O928">
        <v>3</v>
      </c>
      <c r="P928">
        <v>4</v>
      </c>
      <c r="Q928">
        <v>0</v>
      </c>
      <c r="R928">
        <v>25.93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F928" t="s">
        <v>130</v>
      </c>
      <c r="AH928">
        <v>25.93</v>
      </c>
    </row>
    <row r="929" spans="1:34" x14ac:dyDescent="0.3">
      <c r="A929" s="4">
        <v>1140</v>
      </c>
      <c r="B929" s="5">
        <v>922</v>
      </c>
      <c r="C929">
        <v>14116</v>
      </c>
      <c r="D929" t="s">
        <v>12560</v>
      </c>
      <c r="E929" t="s">
        <v>38</v>
      </c>
      <c r="F929" t="s">
        <v>190</v>
      </c>
      <c r="G929" t="s">
        <v>12561</v>
      </c>
      <c r="H929">
        <v>17.649999999999999</v>
      </c>
      <c r="I929">
        <v>7</v>
      </c>
      <c r="J929">
        <v>0</v>
      </c>
      <c r="K929">
        <v>0</v>
      </c>
      <c r="O929">
        <v>0</v>
      </c>
      <c r="P929">
        <v>0</v>
      </c>
      <c r="Q929">
        <v>0</v>
      </c>
      <c r="R929">
        <v>24.65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F929" t="s">
        <v>130</v>
      </c>
      <c r="AH929">
        <v>24.65</v>
      </c>
    </row>
    <row r="930" spans="1:34" x14ac:dyDescent="0.3">
      <c r="A930" s="4">
        <v>1141</v>
      </c>
      <c r="B930" s="5">
        <v>923</v>
      </c>
      <c r="C930">
        <v>6556</v>
      </c>
      <c r="D930" t="s">
        <v>12562</v>
      </c>
      <c r="E930" t="s">
        <v>7689</v>
      </c>
      <c r="F930" t="s">
        <v>52</v>
      </c>
      <c r="G930" t="s">
        <v>12563</v>
      </c>
      <c r="H930">
        <v>12.5</v>
      </c>
      <c r="I930">
        <v>7</v>
      </c>
      <c r="J930">
        <v>0</v>
      </c>
      <c r="K930">
        <v>0</v>
      </c>
      <c r="N930">
        <v>3</v>
      </c>
      <c r="O930">
        <v>3</v>
      </c>
      <c r="P930">
        <v>0</v>
      </c>
      <c r="Q930">
        <v>2</v>
      </c>
      <c r="R930">
        <v>24.5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F930" t="s">
        <v>130</v>
      </c>
      <c r="AH930">
        <v>24.5</v>
      </c>
    </row>
    <row r="931" spans="1:34" x14ac:dyDescent="0.3">
      <c r="A931" s="4">
        <v>1142</v>
      </c>
      <c r="B931" s="5">
        <v>924</v>
      </c>
      <c r="C931">
        <v>2793</v>
      </c>
      <c r="D931" t="s">
        <v>12564</v>
      </c>
      <c r="E931" t="s">
        <v>1117</v>
      </c>
      <c r="F931" t="s">
        <v>17</v>
      </c>
      <c r="G931" t="s">
        <v>12565</v>
      </c>
      <c r="H931">
        <v>22.45</v>
      </c>
      <c r="I931">
        <v>0</v>
      </c>
      <c r="J931">
        <v>0</v>
      </c>
      <c r="K931">
        <v>20</v>
      </c>
      <c r="L931">
        <v>7</v>
      </c>
      <c r="O931">
        <v>7</v>
      </c>
      <c r="P931">
        <v>4</v>
      </c>
      <c r="Q931">
        <v>2</v>
      </c>
      <c r="R931">
        <v>55.45</v>
      </c>
      <c r="S931">
        <v>53</v>
      </c>
      <c r="T931">
        <v>53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53</v>
      </c>
      <c r="AB931">
        <v>9</v>
      </c>
      <c r="AC931">
        <v>38</v>
      </c>
      <c r="AD931" t="s">
        <v>130</v>
      </c>
      <c r="AH931">
        <v>155.44999999999999</v>
      </c>
    </row>
    <row r="932" spans="1:34" x14ac:dyDescent="0.3">
      <c r="A932" s="4">
        <v>1143</v>
      </c>
      <c r="B932" s="5">
        <v>925</v>
      </c>
      <c r="C932">
        <v>2981</v>
      </c>
      <c r="D932" t="s">
        <v>2416</v>
      </c>
      <c r="E932" t="s">
        <v>41</v>
      </c>
      <c r="F932" t="s">
        <v>20</v>
      </c>
      <c r="G932" t="s">
        <v>12566</v>
      </c>
      <c r="H932">
        <v>20</v>
      </c>
      <c r="I932">
        <v>0</v>
      </c>
      <c r="J932">
        <v>40</v>
      </c>
      <c r="K932">
        <v>20</v>
      </c>
      <c r="L932">
        <v>14</v>
      </c>
      <c r="O932">
        <v>14</v>
      </c>
      <c r="P932">
        <v>4</v>
      </c>
      <c r="Q932">
        <v>0</v>
      </c>
      <c r="R932">
        <v>98</v>
      </c>
      <c r="S932">
        <v>40</v>
      </c>
      <c r="T932">
        <v>40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40</v>
      </c>
      <c r="AB932">
        <v>9</v>
      </c>
      <c r="AC932">
        <v>0</v>
      </c>
      <c r="AH932">
        <v>147</v>
      </c>
    </row>
    <row r="933" spans="1:34" x14ac:dyDescent="0.3">
      <c r="A933" s="4">
        <v>1144</v>
      </c>
      <c r="B933" s="5">
        <v>926</v>
      </c>
      <c r="C933">
        <v>133</v>
      </c>
      <c r="D933" t="s">
        <v>12567</v>
      </c>
      <c r="E933" t="s">
        <v>34</v>
      </c>
      <c r="F933" t="s">
        <v>17</v>
      </c>
      <c r="G933" t="s">
        <v>12568</v>
      </c>
      <c r="H933">
        <v>18.55</v>
      </c>
      <c r="I933">
        <v>0</v>
      </c>
      <c r="J933">
        <v>0</v>
      </c>
      <c r="K933">
        <v>20</v>
      </c>
      <c r="L933">
        <v>7</v>
      </c>
      <c r="O933">
        <v>7</v>
      </c>
      <c r="P933">
        <v>4</v>
      </c>
      <c r="Q933">
        <v>0</v>
      </c>
      <c r="R933">
        <v>49.55</v>
      </c>
      <c r="S933">
        <v>54</v>
      </c>
      <c r="T933">
        <v>54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54</v>
      </c>
      <c r="AB933">
        <v>3</v>
      </c>
      <c r="AC933">
        <v>40</v>
      </c>
      <c r="AH933">
        <v>146.55000000000001</v>
      </c>
    </row>
    <row r="934" spans="1:34" x14ac:dyDescent="0.3">
      <c r="A934" s="4">
        <v>1145</v>
      </c>
      <c r="B934" s="5">
        <v>927</v>
      </c>
      <c r="C934">
        <v>829</v>
      </c>
      <c r="D934" t="s">
        <v>12090</v>
      </c>
      <c r="E934" t="s">
        <v>255</v>
      </c>
      <c r="F934" t="s">
        <v>81</v>
      </c>
      <c r="G934" t="s">
        <v>12569</v>
      </c>
      <c r="H934">
        <v>19.55</v>
      </c>
      <c r="I934">
        <v>0</v>
      </c>
      <c r="J934">
        <v>40</v>
      </c>
      <c r="K934">
        <v>20</v>
      </c>
      <c r="L934">
        <v>7</v>
      </c>
      <c r="M934">
        <v>5</v>
      </c>
      <c r="O934">
        <v>12</v>
      </c>
      <c r="P934">
        <v>4</v>
      </c>
      <c r="Q934">
        <v>0</v>
      </c>
      <c r="R934">
        <v>95.55</v>
      </c>
      <c r="S934">
        <v>46</v>
      </c>
      <c r="T934">
        <v>46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46</v>
      </c>
      <c r="AB934">
        <v>3</v>
      </c>
      <c r="AC934">
        <v>0</v>
      </c>
      <c r="AH934">
        <v>144.55000000000001</v>
      </c>
    </row>
    <row r="935" spans="1:34" x14ac:dyDescent="0.3">
      <c r="A935" s="4">
        <v>1146</v>
      </c>
      <c r="B935" s="5">
        <v>928</v>
      </c>
      <c r="C935">
        <v>13336</v>
      </c>
      <c r="D935" t="s">
        <v>12349</v>
      </c>
      <c r="E935" t="s">
        <v>4391</v>
      </c>
      <c r="F935" t="s">
        <v>81</v>
      </c>
      <c r="G935" t="s">
        <v>12570</v>
      </c>
      <c r="H935">
        <v>20.28</v>
      </c>
      <c r="I935">
        <v>0</v>
      </c>
      <c r="J935">
        <v>0</v>
      </c>
      <c r="K935">
        <v>20</v>
      </c>
      <c r="L935">
        <v>7</v>
      </c>
      <c r="O935">
        <v>7</v>
      </c>
      <c r="P935">
        <v>4</v>
      </c>
      <c r="Q935">
        <v>2</v>
      </c>
      <c r="R935">
        <v>53.28</v>
      </c>
      <c r="S935">
        <v>47</v>
      </c>
      <c r="T935">
        <v>47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47</v>
      </c>
      <c r="AB935">
        <v>3</v>
      </c>
      <c r="AC935">
        <v>26.8</v>
      </c>
      <c r="AH935">
        <v>130.08000000000001</v>
      </c>
    </row>
    <row r="936" spans="1:34" x14ac:dyDescent="0.3">
      <c r="A936" s="4">
        <v>1147</v>
      </c>
      <c r="B936" s="5">
        <v>929</v>
      </c>
      <c r="C936">
        <v>11526</v>
      </c>
      <c r="D936" t="s">
        <v>12571</v>
      </c>
      <c r="E936" t="s">
        <v>54</v>
      </c>
      <c r="F936" t="s">
        <v>346</v>
      </c>
      <c r="G936" t="s">
        <v>12572</v>
      </c>
      <c r="H936">
        <v>16.350000000000001</v>
      </c>
      <c r="I936">
        <v>0</v>
      </c>
      <c r="J936">
        <v>0</v>
      </c>
      <c r="K936">
        <v>20</v>
      </c>
      <c r="L936">
        <v>7</v>
      </c>
      <c r="N936">
        <v>3</v>
      </c>
      <c r="O936">
        <v>10</v>
      </c>
      <c r="P936">
        <v>4</v>
      </c>
      <c r="Q936">
        <v>2</v>
      </c>
      <c r="R936">
        <v>52.35</v>
      </c>
      <c r="S936">
        <v>63</v>
      </c>
      <c r="T936">
        <v>63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63</v>
      </c>
      <c r="AB936">
        <v>9</v>
      </c>
      <c r="AC936">
        <v>0</v>
      </c>
      <c r="AH936">
        <v>124.35</v>
      </c>
    </row>
    <row r="937" spans="1:34" x14ac:dyDescent="0.3">
      <c r="A937" s="4">
        <v>1148</v>
      </c>
      <c r="B937" s="5">
        <v>930</v>
      </c>
      <c r="C937">
        <v>10281</v>
      </c>
      <c r="D937" t="s">
        <v>775</v>
      </c>
      <c r="E937" t="s">
        <v>586</v>
      </c>
      <c r="F937" t="s">
        <v>136</v>
      </c>
      <c r="G937" t="s">
        <v>12573</v>
      </c>
      <c r="H937">
        <v>18.850000000000001</v>
      </c>
      <c r="I937">
        <v>0</v>
      </c>
      <c r="J937">
        <v>0</v>
      </c>
      <c r="K937">
        <v>20</v>
      </c>
      <c r="L937">
        <v>7</v>
      </c>
      <c r="O937">
        <v>7</v>
      </c>
      <c r="P937">
        <v>0</v>
      </c>
      <c r="Q937">
        <v>2</v>
      </c>
      <c r="R937">
        <v>47.85</v>
      </c>
      <c r="S937">
        <v>43</v>
      </c>
      <c r="T937">
        <v>43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43</v>
      </c>
      <c r="AB937">
        <v>6</v>
      </c>
      <c r="AC937">
        <v>26.8</v>
      </c>
      <c r="AH937">
        <v>123.65</v>
      </c>
    </row>
    <row r="938" spans="1:34" x14ac:dyDescent="0.3">
      <c r="A938" s="4">
        <v>1149</v>
      </c>
      <c r="B938" s="5">
        <v>931</v>
      </c>
      <c r="C938">
        <v>3939</v>
      </c>
      <c r="D938" t="s">
        <v>12574</v>
      </c>
      <c r="E938" t="s">
        <v>110</v>
      </c>
      <c r="F938" t="s">
        <v>117</v>
      </c>
      <c r="G938" t="s">
        <v>12575</v>
      </c>
      <c r="H938">
        <v>20.23</v>
      </c>
      <c r="I938">
        <v>0</v>
      </c>
      <c r="J938">
        <v>0</v>
      </c>
      <c r="K938">
        <v>20</v>
      </c>
      <c r="L938">
        <v>7</v>
      </c>
      <c r="N938">
        <v>3</v>
      </c>
      <c r="O938">
        <v>10</v>
      </c>
      <c r="P938">
        <v>4</v>
      </c>
      <c r="Q938">
        <v>0</v>
      </c>
      <c r="R938">
        <v>54.23</v>
      </c>
      <c r="S938">
        <v>62</v>
      </c>
      <c r="T938">
        <v>62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62</v>
      </c>
      <c r="AB938">
        <v>3</v>
      </c>
      <c r="AC938">
        <v>0</v>
      </c>
      <c r="AH938">
        <v>119.23</v>
      </c>
    </row>
    <row r="939" spans="1:34" x14ac:dyDescent="0.3">
      <c r="A939" s="4">
        <v>1150</v>
      </c>
      <c r="B939" s="5">
        <v>932</v>
      </c>
      <c r="C939">
        <v>9391</v>
      </c>
      <c r="D939" t="s">
        <v>4937</v>
      </c>
      <c r="E939" t="s">
        <v>957</v>
      </c>
      <c r="F939" t="s">
        <v>38</v>
      </c>
      <c r="G939" t="s">
        <v>12576</v>
      </c>
      <c r="H939">
        <v>18.25</v>
      </c>
      <c r="I939">
        <v>0</v>
      </c>
      <c r="J939">
        <v>40</v>
      </c>
      <c r="K939">
        <v>20</v>
      </c>
      <c r="O939">
        <v>0</v>
      </c>
      <c r="P939">
        <v>4</v>
      </c>
      <c r="Q939">
        <v>0</v>
      </c>
      <c r="R939">
        <v>82.25</v>
      </c>
      <c r="S939">
        <v>35</v>
      </c>
      <c r="T939">
        <v>35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35</v>
      </c>
      <c r="AB939">
        <v>0</v>
      </c>
      <c r="AC939">
        <v>0</v>
      </c>
      <c r="AD939" t="s">
        <v>130</v>
      </c>
      <c r="AH939">
        <v>117.25</v>
      </c>
    </row>
    <row r="940" spans="1:34" x14ac:dyDescent="0.3">
      <c r="A940" s="4">
        <v>1151</v>
      </c>
      <c r="B940" s="5">
        <v>933</v>
      </c>
      <c r="C940">
        <v>8771</v>
      </c>
      <c r="D940" t="s">
        <v>12577</v>
      </c>
      <c r="E940" t="s">
        <v>243</v>
      </c>
      <c r="F940" t="s">
        <v>343</v>
      </c>
      <c r="G940" t="s">
        <v>12578</v>
      </c>
      <c r="H940">
        <v>19.43</v>
      </c>
      <c r="I940">
        <v>0</v>
      </c>
      <c r="J940">
        <v>0</v>
      </c>
      <c r="K940">
        <v>20</v>
      </c>
      <c r="N940">
        <v>3</v>
      </c>
      <c r="O940">
        <v>3</v>
      </c>
      <c r="P940">
        <v>4</v>
      </c>
      <c r="Q940">
        <v>0</v>
      </c>
      <c r="R940">
        <v>46.43</v>
      </c>
      <c r="S940">
        <v>69</v>
      </c>
      <c r="T940">
        <v>69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69</v>
      </c>
      <c r="AB940">
        <v>0</v>
      </c>
      <c r="AC940">
        <v>0</v>
      </c>
      <c r="AH940">
        <v>115.43</v>
      </c>
    </row>
    <row r="941" spans="1:34" x14ac:dyDescent="0.3">
      <c r="A941" s="4">
        <v>1152</v>
      </c>
      <c r="B941" s="5">
        <v>934</v>
      </c>
      <c r="C941">
        <v>7689</v>
      </c>
      <c r="D941" t="s">
        <v>10069</v>
      </c>
      <c r="E941" t="s">
        <v>88</v>
      </c>
      <c r="F941" t="s">
        <v>30</v>
      </c>
      <c r="G941" t="s">
        <v>12579</v>
      </c>
      <c r="H941">
        <v>15.8</v>
      </c>
      <c r="I941">
        <v>0</v>
      </c>
      <c r="J941">
        <v>0</v>
      </c>
      <c r="K941">
        <v>20</v>
      </c>
      <c r="N941">
        <v>3</v>
      </c>
      <c r="O941">
        <v>3</v>
      </c>
      <c r="P941">
        <v>4</v>
      </c>
      <c r="Q941">
        <v>2</v>
      </c>
      <c r="R941">
        <v>44.8</v>
      </c>
      <c r="S941">
        <v>43</v>
      </c>
      <c r="T941">
        <v>43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43</v>
      </c>
      <c r="AB941">
        <v>0</v>
      </c>
      <c r="AC941">
        <v>26.8</v>
      </c>
      <c r="AH941">
        <v>114.6</v>
      </c>
    </row>
    <row r="942" spans="1:34" x14ac:dyDescent="0.3">
      <c r="A942" s="4">
        <v>1153</v>
      </c>
      <c r="B942" s="5">
        <v>935</v>
      </c>
      <c r="C942">
        <v>11475</v>
      </c>
      <c r="D942" t="s">
        <v>8108</v>
      </c>
      <c r="E942" t="s">
        <v>178</v>
      </c>
      <c r="F942" t="s">
        <v>328</v>
      </c>
      <c r="G942" t="s">
        <v>12580</v>
      </c>
      <c r="H942">
        <v>15.93</v>
      </c>
      <c r="I942">
        <v>0</v>
      </c>
      <c r="J942">
        <v>0</v>
      </c>
      <c r="K942">
        <v>0</v>
      </c>
      <c r="N942">
        <v>3</v>
      </c>
      <c r="O942">
        <v>3</v>
      </c>
      <c r="P942">
        <v>4</v>
      </c>
      <c r="Q942">
        <v>0</v>
      </c>
      <c r="R942">
        <v>22.93</v>
      </c>
      <c r="S942">
        <v>59</v>
      </c>
      <c r="T942">
        <v>59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59</v>
      </c>
      <c r="AB942">
        <v>0</v>
      </c>
      <c r="AC942">
        <v>32</v>
      </c>
      <c r="AH942">
        <v>113.93</v>
      </c>
    </row>
    <row r="943" spans="1:34" x14ac:dyDescent="0.3">
      <c r="A943" s="4">
        <v>1154</v>
      </c>
      <c r="B943" s="5">
        <v>936</v>
      </c>
      <c r="C943">
        <v>5798</v>
      </c>
      <c r="D943" t="s">
        <v>12581</v>
      </c>
      <c r="E943" t="s">
        <v>166</v>
      </c>
      <c r="F943" t="s">
        <v>892</v>
      </c>
      <c r="G943" t="s">
        <v>12582</v>
      </c>
      <c r="H943">
        <v>18.38</v>
      </c>
      <c r="I943">
        <v>0</v>
      </c>
      <c r="J943">
        <v>40</v>
      </c>
      <c r="K943">
        <v>0</v>
      </c>
      <c r="N943">
        <v>3</v>
      </c>
      <c r="O943">
        <v>3</v>
      </c>
      <c r="P943">
        <v>4</v>
      </c>
      <c r="Q943">
        <v>2</v>
      </c>
      <c r="R943">
        <v>67.38</v>
      </c>
      <c r="S943">
        <v>38</v>
      </c>
      <c r="T943">
        <v>38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38</v>
      </c>
      <c r="AB943">
        <v>6</v>
      </c>
      <c r="AC943">
        <v>0</v>
      </c>
      <c r="AH943">
        <v>111.38</v>
      </c>
    </row>
    <row r="944" spans="1:34" x14ac:dyDescent="0.3">
      <c r="A944" s="4">
        <v>1155</v>
      </c>
      <c r="B944" s="5">
        <v>937</v>
      </c>
      <c r="C944">
        <v>5425</v>
      </c>
      <c r="D944" t="s">
        <v>3009</v>
      </c>
      <c r="E944" t="s">
        <v>149</v>
      </c>
      <c r="F944" t="s">
        <v>81</v>
      </c>
      <c r="G944" t="s">
        <v>12583</v>
      </c>
      <c r="H944">
        <v>17.98</v>
      </c>
      <c r="I944">
        <v>0</v>
      </c>
      <c r="J944">
        <v>0</v>
      </c>
      <c r="K944">
        <v>20</v>
      </c>
      <c r="L944">
        <v>7</v>
      </c>
      <c r="N944">
        <v>3</v>
      </c>
      <c r="O944">
        <v>10</v>
      </c>
      <c r="P944">
        <v>4</v>
      </c>
      <c r="Q944">
        <v>2</v>
      </c>
      <c r="R944">
        <v>53.98</v>
      </c>
      <c r="S944">
        <v>45</v>
      </c>
      <c r="T944">
        <v>45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45</v>
      </c>
      <c r="AB944">
        <v>12</v>
      </c>
      <c r="AC944">
        <v>0</v>
      </c>
      <c r="AH944">
        <v>110.98</v>
      </c>
    </row>
    <row r="945" spans="1:34" x14ac:dyDescent="0.3">
      <c r="A945" s="4">
        <v>1156</v>
      </c>
      <c r="B945" s="5">
        <v>938</v>
      </c>
      <c r="C945">
        <v>5010</v>
      </c>
      <c r="D945" t="s">
        <v>9328</v>
      </c>
      <c r="E945" t="s">
        <v>29</v>
      </c>
      <c r="F945" t="s">
        <v>381</v>
      </c>
      <c r="G945" t="s">
        <v>9329</v>
      </c>
      <c r="H945">
        <v>19.63</v>
      </c>
      <c r="I945">
        <v>7</v>
      </c>
      <c r="J945">
        <v>40</v>
      </c>
      <c r="K945">
        <v>20</v>
      </c>
      <c r="L945">
        <v>7</v>
      </c>
      <c r="O945">
        <v>7</v>
      </c>
      <c r="P945">
        <v>4</v>
      </c>
      <c r="Q945">
        <v>0</v>
      </c>
      <c r="R945">
        <v>97.63</v>
      </c>
      <c r="S945">
        <v>7</v>
      </c>
      <c r="T945">
        <v>7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7</v>
      </c>
      <c r="AB945">
        <v>6</v>
      </c>
      <c r="AC945">
        <v>0</v>
      </c>
      <c r="AH945">
        <v>110.63</v>
      </c>
    </row>
    <row r="946" spans="1:34" x14ac:dyDescent="0.3">
      <c r="A946" s="4">
        <v>1157</v>
      </c>
      <c r="B946" s="5">
        <v>939</v>
      </c>
      <c r="C946">
        <v>14919</v>
      </c>
      <c r="D946" t="s">
        <v>12584</v>
      </c>
      <c r="E946" t="s">
        <v>190</v>
      </c>
      <c r="F946" t="s">
        <v>81</v>
      </c>
      <c r="G946" t="s">
        <v>12585</v>
      </c>
      <c r="H946">
        <v>20.3</v>
      </c>
      <c r="I946">
        <v>0</v>
      </c>
      <c r="J946">
        <v>0</v>
      </c>
      <c r="K946">
        <v>20</v>
      </c>
      <c r="L946">
        <v>7</v>
      </c>
      <c r="N946">
        <v>3</v>
      </c>
      <c r="O946">
        <v>10</v>
      </c>
      <c r="P946">
        <v>4</v>
      </c>
      <c r="Q946">
        <v>0</v>
      </c>
      <c r="R946">
        <v>54.3</v>
      </c>
      <c r="S946">
        <v>19</v>
      </c>
      <c r="T946">
        <v>19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19</v>
      </c>
      <c r="AB946">
        <v>3</v>
      </c>
      <c r="AC946">
        <v>34</v>
      </c>
      <c r="AH946">
        <v>110.3</v>
      </c>
    </row>
    <row r="947" spans="1:34" x14ac:dyDescent="0.3">
      <c r="A947" s="4">
        <v>1158</v>
      </c>
      <c r="B947" s="5">
        <v>940</v>
      </c>
      <c r="C947">
        <v>4064</v>
      </c>
      <c r="D947" t="s">
        <v>12586</v>
      </c>
      <c r="E947" t="s">
        <v>54</v>
      </c>
      <c r="F947" t="s">
        <v>124</v>
      </c>
      <c r="G947" t="s">
        <v>12587</v>
      </c>
      <c r="H947">
        <v>18.48</v>
      </c>
      <c r="I947">
        <v>0</v>
      </c>
      <c r="J947">
        <v>0</v>
      </c>
      <c r="K947">
        <v>20</v>
      </c>
      <c r="L947">
        <v>7</v>
      </c>
      <c r="O947">
        <v>7</v>
      </c>
      <c r="P947">
        <v>4</v>
      </c>
      <c r="Q947">
        <v>0</v>
      </c>
      <c r="R947">
        <v>49.48</v>
      </c>
      <c r="S947">
        <v>54</v>
      </c>
      <c r="T947">
        <v>54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54</v>
      </c>
      <c r="AB947">
        <v>6</v>
      </c>
      <c r="AC947">
        <v>0</v>
      </c>
      <c r="AH947">
        <v>109.48</v>
      </c>
    </row>
    <row r="948" spans="1:34" x14ac:dyDescent="0.3">
      <c r="A948" s="4">
        <v>1159</v>
      </c>
      <c r="B948" s="5">
        <v>941</v>
      </c>
      <c r="C948">
        <v>15577</v>
      </c>
      <c r="D948" t="s">
        <v>12588</v>
      </c>
      <c r="E948" t="s">
        <v>126</v>
      </c>
      <c r="F948" t="s">
        <v>17</v>
      </c>
      <c r="G948" t="s">
        <v>12589</v>
      </c>
      <c r="H948">
        <v>22.18</v>
      </c>
      <c r="I948">
        <v>0</v>
      </c>
      <c r="J948">
        <v>40</v>
      </c>
      <c r="K948">
        <v>28</v>
      </c>
      <c r="L948">
        <v>14</v>
      </c>
      <c r="O948">
        <v>14</v>
      </c>
      <c r="P948">
        <v>4</v>
      </c>
      <c r="Q948">
        <v>0</v>
      </c>
      <c r="R948">
        <v>108.18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H948">
        <v>108.18</v>
      </c>
    </row>
    <row r="949" spans="1:34" x14ac:dyDescent="0.3">
      <c r="A949" s="4">
        <v>1160</v>
      </c>
      <c r="B949" s="5">
        <v>942</v>
      </c>
      <c r="C949">
        <v>7732</v>
      </c>
      <c r="D949" t="s">
        <v>12590</v>
      </c>
      <c r="E949" t="s">
        <v>100</v>
      </c>
      <c r="F949" t="s">
        <v>20</v>
      </c>
      <c r="G949" t="s">
        <v>12591</v>
      </c>
      <c r="H949">
        <v>18.850000000000001</v>
      </c>
      <c r="I949">
        <v>0</v>
      </c>
      <c r="J949">
        <v>0</v>
      </c>
      <c r="K949">
        <v>28</v>
      </c>
      <c r="L949">
        <v>7</v>
      </c>
      <c r="O949">
        <v>7</v>
      </c>
      <c r="P949">
        <v>4</v>
      </c>
      <c r="Q949">
        <v>2</v>
      </c>
      <c r="R949">
        <v>59.85</v>
      </c>
      <c r="S949">
        <v>48</v>
      </c>
      <c r="T949">
        <v>48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48</v>
      </c>
      <c r="AB949">
        <v>0</v>
      </c>
      <c r="AC949">
        <v>0</v>
      </c>
      <c r="AD949" t="s">
        <v>130</v>
      </c>
      <c r="AH949">
        <v>107.85</v>
      </c>
    </row>
    <row r="950" spans="1:34" x14ac:dyDescent="0.3">
      <c r="A950" s="4">
        <v>1161</v>
      </c>
      <c r="B950" s="5">
        <v>943</v>
      </c>
      <c r="C950">
        <v>14648</v>
      </c>
      <c r="D950" t="s">
        <v>10165</v>
      </c>
      <c r="E950" t="s">
        <v>115</v>
      </c>
      <c r="F950" t="s">
        <v>328</v>
      </c>
      <c r="G950" t="s">
        <v>12592</v>
      </c>
      <c r="H950">
        <v>19.68</v>
      </c>
      <c r="I950">
        <v>0</v>
      </c>
      <c r="J950">
        <v>0</v>
      </c>
      <c r="K950">
        <v>20</v>
      </c>
      <c r="L950">
        <v>7</v>
      </c>
      <c r="M950">
        <v>5</v>
      </c>
      <c r="O950">
        <v>12</v>
      </c>
      <c r="P950">
        <v>4</v>
      </c>
      <c r="Q950">
        <v>0</v>
      </c>
      <c r="R950">
        <v>55.68</v>
      </c>
      <c r="S950">
        <v>46</v>
      </c>
      <c r="T950">
        <v>46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46</v>
      </c>
      <c r="AB950">
        <v>6</v>
      </c>
      <c r="AC950">
        <v>0</v>
      </c>
      <c r="AH950">
        <v>107.68</v>
      </c>
    </row>
    <row r="951" spans="1:34" x14ac:dyDescent="0.3">
      <c r="A951" s="4">
        <v>1162</v>
      </c>
      <c r="B951" s="5">
        <v>944</v>
      </c>
      <c r="C951">
        <v>8790</v>
      </c>
      <c r="D951" t="s">
        <v>12593</v>
      </c>
      <c r="E951" t="s">
        <v>355</v>
      </c>
      <c r="F951" t="s">
        <v>193</v>
      </c>
      <c r="G951" t="s">
        <v>12594</v>
      </c>
      <c r="H951">
        <v>16.329999999999998</v>
      </c>
      <c r="I951">
        <v>0</v>
      </c>
      <c r="J951">
        <v>40</v>
      </c>
      <c r="K951">
        <v>20</v>
      </c>
      <c r="L951">
        <v>7</v>
      </c>
      <c r="N951">
        <v>3</v>
      </c>
      <c r="O951">
        <v>10</v>
      </c>
      <c r="P951">
        <v>4</v>
      </c>
      <c r="Q951">
        <v>0</v>
      </c>
      <c r="R951">
        <v>90.33</v>
      </c>
      <c r="S951">
        <v>14</v>
      </c>
      <c r="T951">
        <v>14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14</v>
      </c>
      <c r="AB951">
        <v>3</v>
      </c>
      <c r="AC951">
        <v>0</v>
      </c>
      <c r="AD951" t="s">
        <v>130</v>
      </c>
      <c r="AH951">
        <v>107.33</v>
      </c>
    </row>
    <row r="952" spans="1:34" x14ac:dyDescent="0.3">
      <c r="A952" s="4">
        <v>1163</v>
      </c>
      <c r="B952" s="5">
        <v>945</v>
      </c>
      <c r="C952">
        <v>1394</v>
      </c>
      <c r="D952" t="s">
        <v>10574</v>
      </c>
      <c r="E952" t="s">
        <v>37</v>
      </c>
      <c r="F952" t="s">
        <v>136</v>
      </c>
      <c r="G952" t="s">
        <v>12595</v>
      </c>
      <c r="H952">
        <v>22.08</v>
      </c>
      <c r="I952">
        <v>7</v>
      </c>
      <c r="J952">
        <v>0</v>
      </c>
      <c r="K952">
        <v>28</v>
      </c>
      <c r="L952">
        <v>7</v>
      </c>
      <c r="N952">
        <v>3</v>
      </c>
      <c r="O952">
        <v>10</v>
      </c>
      <c r="P952">
        <v>4</v>
      </c>
      <c r="Q952">
        <v>0</v>
      </c>
      <c r="R952">
        <v>71.08</v>
      </c>
      <c r="S952">
        <v>36</v>
      </c>
      <c r="T952">
        <v>36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36</v>
      </c>
      <c r="AB952">
        <v>0</v>
      </c>
      <c r="AC952">
        <v>0</v>
      </c>
      <c r="AH952">
        <v>107.08</v>
      </c>
    </row>
    <row r="953" spans="1:34" x14ac:dyDescent="0.3">
      <c r="A953" s="4">
        <v>1164</v>
      </c>
      <c r="B953" s="5">
        <v>946</v>
      </c>
      <c r="C953">
        <v>12620</v>
      </c>
      <c r="D953" t="s">
        <v>12596</v>
      </c>
      <c r="E953" t="s">
        <v>219</v>
      </c>
      <c r="F953" t="s">
        <v>91</v>
      </c>
      <c r="G953" t="s">
        <v>12597</v>
      </c>
      <c r="H953">
        <v>20.329999999999998</v>
      </c>
      <c r="I953">
        <v>0</v>
      </c>
      <c r="J953">
        <v>0</v>
      </c>
      <c r="K953">
        <v>20</v>
      </c>
      <c r="L953">
        <v>7</v>
      </c>
      <c r="O953">
        <v>7</v>
      </c>
      <c r="P953">
        <v>4</v>
      </c>
      <c r="Q953">
        <v>2</v>
      </c>
      <c r="R953">
        <v>53.33</v>
      </c>
      <c r="S953">
        <v>47</v>
      </c>
      <c r="T953">
        <v>47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47</v>
      </c>
      <c r="AB953">
        <v>6</v>
      </c>
      <c r="AC953">
        <v>0</v>
      </c>
      <c r="AH953">
        <v>106.33</v>
      </c>
    </row>
    <row r="954" spans="1:34" x14ac:dyDescent="0.3">
      <c r="A954" s="4">
        <v>1165</v>
      </c>
      <c r="B954" s="5">
        <v>947</v>
      </c>
      <c r="C954">
        <v>2637</v>
      </c>
      <c r="D954" t="s">
        <v>994</v>
      </c>
      <c r="E954" t="s">
        <v>594</v>
      </c>
      <c r="F954" t="s">
        <v>62</v>
      </c>
      <c r="G954" t="s">
        <v>12598</v>
      </c>
      <c r="H954">
        <v>21.18</v>
      </c>
      <c r="I954">
        <v>0</v>
      </c>
      <c r="J954">
        <v>40</v>
      </c>
      <c r="K954">
        <v>28</v>
      </c>
      <c r="L954">
        <v>7</v>
      </c>
      <c r="O954">
        <v>7</v>
      </c>
      <c r="P954">
        <v>4</v>
      </c>
      <c r="Q954">
        <v>0</v>
      </c>
      <c r="R954">
        <v>100.18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6</v>
      </c>
      <c r="AC954">
        <v>0</v>
      </c>
      <c r="AH954">
        <v>106.18</v>
      </c>
    </row>
    <row r="955" spans="1:34" x14ac:dyDescent="0.3">
      <c r="A955" s="4">
        <v>1166</v>
      </c>
      <c r="B955" s="5">
        <v>948</v>
      </c>
      <c r="C955">
        <v>3832</v>
      </c>
      <c r="D955" t="s">
        <v>12599</v>
      </c>
      <c r="E955" t="s">
        <v>41</v>
      </c>
      <c r="F955" t="s">
        <v>81</v>
      </c>
      <c r="G955" t="s">
        <v>12600</v>
      </c>
      <c r="H955">
        <v>17.38</v>
      </c>
      <c r="I955">
        <v>0</v>
      </c>
      <c r="J955">
        <v>0</v>
      </c>
      <c r="K955">
        <v>20</v>
      </c>
      <c r="L955">
        <v>7</v>
      </c>
      <c r="M955">
        <v>5</v>
      </c>
      <c r="O955">
        <v>12</v>
      </c>
      <c r="P955">
        <v>4</v>
      </c>
      <c r="Q955">
        <v>0</v>
      </c>
      <c r="R955">
        <v>53.38</v>
      </c>
      <c r="S955">
        <v>43</v>
      </c>
      <c r="T955">
        <v>43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43</v>
      </c>
      <c r="AB955">
        <v>9</v>
      </c>
      <c r="AC955">
        <v>0</v>
      </c>
      <c r="AH955">
        <v>105.38</v>
      </c>
    </row>
    <row r="956" spans="1:34" x14ac:dyDescent="0.3">
      <c r="A956" s="4">
        <v>1167</v>
      </c>
      <c r="B956" s="5">
        <v>949</v>
      </c>
      <c r="C956">
        <v>9874</v>
      </c>
      <c r="D956" t="s">
        <v>12601</v>
      </c>
      <c r="E956" t="s">
        <v>12602</v>
      </c>
      <c r="F956" t="s">
        <v>12603</v>
      </c>
      <c r="G956" t="s">
        <v>12604</v>
      </c>
      <c r="H956">
        <v>17.53</v>
      </c>
      <c r="I956">
        <v>0</v>
      </c>
      <c r="J956">
        <v>0</v>
      </c>
      <c r="K956">
        <v>20</v>
      </c>
      <c r="N956">
        <v>3</v>
      </c>
      <c r="O956">
        <v>3</v>
      </c>
      <c r="P956">
        <v>4</v>
      </c>
      <c r="Q956">
        <v>0</v>
      </c>
      <c r="R956">
        <v>44.53</v>
      </c>
      <c r="S956">
        <v>28</v>
      </c>
      <c r="T956">
        <v>28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28</v>
      </c>
      <c r="AB956">
        <v>6</v>
      </c>
      <c r="AC956">
        <v>26.8</v>
      </c>
      <c r="AH956">
        <v>105.33</v>
      </c>
    </row>
    <row r="957" spans="1:34" x14ac:dyDescent="0.3">
      <c r="A957" s="4">
        <v>1168</v>
      </c>
      <c r="B957" s="5">
        <v>950</v>
      </c>
      <c r="C957">
        <v>8472</v>
      </c>
      <c r="D957" t="s">
        <v>752</v>
      </c>
      <c r="E957" t="s">
        <v>54</v>
      </c>
      <c r="F957" t="s">
        <v>30</v>
      </c>
      <c r="G957" t="s">
        <v>12605</v>
      </c>
      <c r="H957">
        <v>18.28</v>
      </c>
      <c r="I957">
        <v>7</v>
      </c>
      <c r="J957">
        <v>0</v>
      </c>
      <c r="K957">
        <v>20</v>
      </c>
      <c r="L957">
        <v>7</v>
      </c>
      <c r="N957">
        <v>3</v>
      </c>
      <c r="O957">
        <v>10</v>
      </c>
      <c r="P957">
        <v>4</v>
      </c>
      <c r="Q957">
        <v>2</v>
      </c>
      <c r="R957">
        <v>61.28</v>
      </c>
      <c r="S957">
        <v>38</v>
      </c>
      <c r="T957">
        <v>38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38</v>
      </c>
      <c r="AB957">
        <v>6</v>
      </c>
      <c r="AC957">
        <v>0</v>
      </c>
      <c r="AD957" t="s">
        <v>130</v>
      </c>
      <c r="AH957">
        <v>105.28</v>
      </c>
    </row>
    <row r="958" spans="1:34" x14ac:dyDescent="0.3">
      <c r="A958" s="4">
        <v>1169</v>
      </c>
      <c r="B958" s="5">
        <v>951</v>
      </c>
      <c r="C958">
        <v>1887</v>
      </c>
      <c r="D958" t="s">
        <v>2666</v>
      </c>
      <c r="E958" t="s">
        <v>124</v>
      </c>
      <c r="F958" t="s">
        <v>68</v>
      </c>
      <c r="G958" t="s">
        <v>12606</v>
      </c>
      <c r="H958">
        <v>18.149999999999999</v>
      </c>
      <c r="I958">
        <v>0</v>
      </c>
      <c r="J958">
        <v>40</v>
      </c>
      <c r="K958">
        <v>0</v>
      </c>
      <c r="M958">
        <v>5</v>
      </c>
      <c r="O958">
        <v>5</v>
      </c>
      <c r="P958">
        <v>4</v>
      </c>
      <c r="Q958">
        <v>0</v>
      </c>
      <c r="R958">
        <v>67.150000000000006</v>
      </c>
      <c r="S958">
        <v>38</v>
      </c>
      <c r="T958">
        <v>38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38</v>
      </c>
      <c r="AB958">
        <v>0</v>
      </c>
      <c r="AC958">
        <v>0</v>
      </c>
      <c r="AH958">
        <v>105.15</v>
      </c>
    </row>
    <row r="959" spans="1:34" x14ac:dyDescent="0.3">
      <c r="A959" s="4">
        <v>1170</v>
      </c>
      <c r="B959" s="5">
        <v>952</v>
      </c>
      <c r="C959">
        <v>15189</v>
      </c>
      <c r="D959" t="s">
        <v>2154</v>
      </c>
      <c r="E959" t="s">
        <v>97</v>
      </c>
      <c r="F959" t="s">
        <v>38</v>
      </c>
      <c r="G959" t="s">
        <v>12607</v>
      </c>
      <c r="H959">
        <v>21.15</v>
      </c>
      <c r="I959">
        <v>0</v>
      </c>
      <c r="J959">
        <v>0</v>
      </c>
      <c r="K959">
        <v>28</v>
      </c>
      <c r="L959">
        <v>7</v>
      </c>
      <c r="O959">
        <v>7</v>
      </c>
      <c r="P959">
        <v>4</v>
      </c>
      <c r="Q959">
        <v>0</v>
      </c>
      <c r="R959">
        <v>60.15</v>
      </c>
      <c r="S959">
        <v>45</v>
      </c>
      <c r="T959">
        <v>45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45</v>
      </c>
      <c r="AB959">
        <v>0</v>
      </c>
      <c r="AC959">
        <v>0</v>
      </c>
      <c r="AH959">
        <v>105.15</v>
      </c>
    </row>
    <row r="960" spans="1:34" x14ac:dyDescent="0.3">
      <c r="A960" s="4">
        <v>1171</v>
      </c>
      <c r="B960" s="5">
        <v>953</v>
      </c>
      <c r="C960">
        <v>9034</v>
      </c>
      <c r="D960" t="s">
        <v>12608</v>
      </c>
      <c r="E960" t="s">
        <v>104</v>
      </c>
      <c r="F960" t="s">
        <v>259</v>
      </c>
      <c r="G960" t="s">
        <v>12609</v>
      </c>
      <c r="H960">
        <v>16.23</v>
      </c>
      <c r="I960">
        <v>0</v>
      </c>
      <c r="J960">
        <v>0</v>
      </c>
      <c r="K960">
        <v>0</v>
      </c>
      <c r="N960">
        <v>3</v>
      </c>
      <c r="O960">
        <v>3</v>
      </c>
      <c r="P960">
        <v>0</v>
      </c>
      <c r="Q960">
        <v>2</v>
      </c>
      <c r="R960">
        <v>21.23</v>
      </c>
      <c r="S960">
        <v>54</v>
      </c>
      <c r="T960">
        <v>54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54</v>
      </c>
      <c r="AB960">
        <v>3</v>
      </c>
      <c r="AC960">
        <v>26.8</v>
      </c>
      <c r="AH960">
        <v>105.03</v>
      </c>
    </row>
    <row r="961" spans="1:34" x14ac:dyDescent="0.3">
      <c r="A961" s="4">
        <v>1172</v>
      </c>
      <c r="B961" s="5">
        <v>954</v>
      </c>
      <c r="C961">
        <v>13438</v>
      </c>
      <c r="D961" t="s">
        <v>12610</v>
      </c>
      <c r="E961" t="s">
        <v>29</v>
      </c>
      <c r="F961" t="s">
        <v>12611</v>
      </c>
      <c r="G961" t="s">
        <v>12612</v>
      </c>
      <c r="H961">
        <v>16.03</v>
      </c>
      <c r="I961">
        <v>0</v>
      </c>
      <c r="J961">
        <v>0</v>
      </c>
      <c r="K961">
        <v>0</v>
      </c>
      <c r="N961">
        <v>3</v>
      </c>
      <c r="O961">
        <v>3</v>
      </c>
      <c r="P961">
        <v>4</v>
      </c>
      <c r="Q961">
        <v>2</v>
      </c>
      <c r="R961">
        <v>25.03</v>
      </c>
      <c r="S961">
        <v>45</v>
      </c>
      <c r="T961">
        <v>45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45</v>
      </c>
      <c r="AB961">
        <v>3</v>
      </c>
      <c r="AC961">
        <v>32</v>
      </c>
      <c r="AH961">
        <v>105.03</v>
      </c>
    </row>
    <row r="962" spans="1:34" x14ac:dyDescent="0.3">
      <c r="A962" s="4">
        <v>1173</v>
      </c>
      <c r="B962" s="5">
        <v>955</v>
      </c>
      <c r="C962">
        <v>9913</v>
      </c>
      <c r="D962" t="s">
        <v>12613</v>
      </c>
      <c r="E962" t="s">
        <v>54</v>
      </c>
      <c r="F962" t="s">
        <v>158</v>
      </c>
      <c r="G962" t="s">
        <v>12614</v>
      </c>
      <c r="H962">
        <v>17.899999999999999</v>
      </c>
      <c r="I962">
        <v>0</v>
      </c>
      <c r="J962">
        <v>0</v>
      </c>
      <c r="K962">
        <v>20</v>
      </c>
      <c r="L962">
        <v>14</v>
      </c>
      <c r="O962">
        <v>14</v>
      </c>
      <c r="P962">
        <v>4</v>
      </c>
      <c r="Q962">
        <v>0</v>
      </c>
      <c r="R962">
        <v>55.9</v>
      </c>
      <c r="S962">
        <v>40</v>
      </c>
      <c r="T962">
        <v>40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40</v>
      </c>
      <c r="AB962">
        <v>9</v>
      </c>
      <c r="AC962">
        <v>0</v>
      </c>
      <c r="AH962">
        <v>104.9</v>
      </c>
    </row>
    <row r="963" spans="1:34" x14ac:dyDescent="0.3">
      <c r="A963" s="4">
        <v>1174</v>
      </c>
      <c r="B963" s="5">
        <v>956</v>
      </c>
      <c r="C963">
        <v>1448</v>
      </c>
      <c r="D963" t="s">
        <v>1742</v>
      </c>
      <c r="E963" t="s">
        <v>41</v>
      </c>
      <c r="F963" t="s">
        <v>11853</v>
      </c>
      <c r="G963" t="s">
        <v>12615</v>
      </c>
      <c r="H963">
        <v>19.8</v>
      </c>
      <c r="I963">
        <v>0</v>
      </c>
      <c r="J963">
        <v>0</v>
      </c>
      <c r="K963">
        <v>20</v>
      </c>
      <c r="L963">
        <v>7</v>
      </c>
      <c r="O963">
        <v>7</v>
      </c>
      <c r="P963">
        <v>4</v>
      </c>
      <c r="Q963">
        <v>2</v>
      </c>
      <c r="R963">
        <v>52.8</v>
      </c>
      <c r="S963">
        <v>46</v>
      </c>
      <c r="T963">
        <v>46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46</v>
      </c>
      <c r="AB963">
        <v>6</v>
      </c>
      <c r="AC963">
        <v>0</v>
      </c>
      <c r="AH963">
        <v>104.8</v>
      </c>
    </row>
    <row r="964" spans="1:34" x14ac:dyDescent="0.3">
      <c r="A964" s="4">
        <v>1175</v>
      </c>
      <c r="B964" s="5">
        <v>957</v>
      </c>
      <c r="C964">
        <v>13161</v>
      </c>
      <c r="D964" t="s">
        <v>665</v>
      </c>
      <c r="E964" t="s">
        <v>1189</v>
      </c>
      <c r="F964" t="s">
        <v>117</v>
      </c>
      <c r="G964" t="s">
        <v>12616</v>
      </c>
      <c r="H964">
        <v>21.25</v>
      </c>
      <c r="I964">
        <v>0</v>
      </c>
      <c r="J964">
        <v>40</v>
      </c>
      <c r="K964">
        <v>20</v>
      </c>
      <c r="L964">
        <v>7</v>
      </c>
      <c r="O964">
        <v>7</v>
      </c>
      <c r="P964">
        <v>4</v>
      </c>
      <c r="Q964">
        <v>0</v>
      </c>
      <c r="R964">
        <v>92.25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12</v>
      </c>
      <c r="AC964">
        <v>0</v>
      </c>
      <c r="AH964">
        <v>104.25</v>
      </c>
    </row>
    <row r="965" spans="1:34" x14ac:dyDescent="0.3">
      <c r="A965" s="4">
        <v>1176</v>
      </c>
      <c r="B965" s="5">
        <v>958</v>
      </c>
      <c r="C965">
        <v>6653</v>
      </c>
      <c r="D965" t="s">
        <v>6336</v>
      </c>
      <c r="E965" t="s">
        <v>33</v>
      </c>
      <c r="F965" t="s">
        <v>17</v>
      </c>
      <c r="G965" t="s">
        <v>12617</v>
      </c>
      <c r="H965">
        <v>21.9</v>
      </c>
      <c r="I965">
        <v>0</v>
      </c>
      <c r="J965">
        <v>40</v>
      </c>
      <c r="K965">
        <v>20</v>
      </c>
      <c r="L965">
        <v>7</v>
      </c>
      <c r="M965">
        <v>5</v>
      </c>
      <c r="O965">
        <v>12</v>
      </c>
      <c r="P965">
        <v>4</v>
      </c>
      <c r="Q965">
        <v>0</v>
      </c>
      <c r="R965">
        <v>97.9</v>
      </c>
      <c r="S965">
        <v>5</v>
      </c>
      <c r="T965">
        <v>5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5</v>
      </c>
      <c r="AB965">
        <v>0</v>
      </c>
      <c r="AC965">
        <v>0</v>
      </c>
      <c r="AH965">
        <v>102.9</v>
      </c>
    </row>
    <row r="966" spans="1:34" x14ac:dyDescent="0.3">
      <c r="A966" s="4">
        <v>1177</v>
      </c>
      <c r="B966" s="5">
        <v>959</v>
      </c>
      <c r="C966">
        <v>12425</v>
      </c>
      <c r="D966" t="s">
        <v>12618</v>
      </c>
      <c r="E966" t="s">
        <v>166</v>
      </c>
      <c r="F966" t="s">
        <v>570</v>
      </c>
      <c r="G966" t="s">
        <v>12619</v>
      </c>
      <c r="H966">
        <v>20.75</v>
      </c>
      <c r="I966">
        <v>0</v>
      </c>
      <c r="J966">
        <v>0</v>
      </c>
      <c r="K966">
        <v>28</v>
      </c>
      <c r="L966">
        <v>14</v>
      </c>
      <c r="O966">
        <v>14</v>
      </c>
      <c r="P966">
        <v>4</v>
      </c>
      <c r="Q966">
        <v>2</v>
      </c>
      <c r="R966">
        <v>68.75</v>
      </c>
      <c r="S966">
        <v>28</v>
      </c>
      <c r="T966">
        <v>28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28</v>
      </c>
      <c r="AB966">
        <v>6</v>
      </c>
      <c r="AC966">
        <v>0</v>
      </c>
      <c r="AH966">
        <v>102.75</v>
      </c>
    </row>
    <row r="967" spans="1:34" x14ac:dyDescent="0.3">
      <c r="A967" s="4">
        <v>1178</v>
      </c>
      <c r="B967" s="5">
        <v>960</v>
      </c>
      <c r="C967">
        <v>7272</v>
      </c>
      <c r="D967" t="s">
        <v>4038</v>
      </c>
      <c r="E967" t="s">
        <v>100</v>
      </c>
      <c r="F967" t="s">
        <v>570</v>
      </c>
      <c r="G967" t="s">
        <v>12620</v>
      </c>
      <c r="H967">
        <v>20.2</v>
      </c>
      <c r="I967">
        <v>0</v>
      </c>
      <c r="J967">
        <v>40</v>
      </c>
      <c r="K967">
        <v>20</v>
      </c>
      <c r="L967">
        <v>7</v>
      </c>
      <c r="M967">
        <v>5</v>
      </c>
      <c r="O967">
        <v>12</v>
      </c>
      <c r="P967">
        <v>4</v>
      </c>
      <c r="Q967">
        <v>0</v>
      </c>
      <c r="R967">
        <v>96.2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6</v>
      </c>
      <c r="AC967">
        <v>0</v>
      </c>
      <c r="AH967">
        <v>102.2</v>
      </c>
    </row>
    <row r="968" spans="1:34" x14ac:dyDescent="0.3">
      <c r="A968" s="4">
        <v>1179</v>
      </c>
      <c r="B968" s="5">
        <v>961</v>
      </c>
      <c r="C968">
        <v>11829</v>
      </c>
      <c r="D968" t="s">
        <v>12621</v>
      </c>
      <c r="E968" t="s">
        <v>3948</v>
      </c>
      <c r="F968" t="s">
        <v>587</v>
      </c>
      <c r="G968" t="s">
        <v>12622</v>
      </c>
      <c r="H968">
        <v>17.079999999999998</v>
      </c>
      <c r="I968">
        <v>0</v>
      </c>
      <c r="J968">
        <v>0</v>
      </c>
      <c r="K968">
        <v>28</v>
      </c>
      <c r="L968">
        <v>7</v>
      </c>
      <c r="N968">
        <v>3</v>
      </c>
      <c r="O968">
        <v>10</v>
      </c>
      <c r="P968">
        <v>4</v>
      </c>
      <c r="Q968">
        <v>2</v>
      </c>
      <c r="R968">
        <v>61.08</v>
      </c>
      <c r="S968">
        <v>35</v>
      </c>
      <c r="T968">
        <v>35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35</v>
      </c>
      <c r="AB968">
        <v>6</v>
      </c>
      <c r="AC968">
        <v>0</v>
      </c>
      <c r="AD968" t="s">
        <v>130</v>
      </c>
      <c r="AH968">
        <v>102.08</v>
      </c>
    </row>
    <row r="969" spans="1:34" x14ac:dyDescent="0.3">
      <c r="A969" s="4">
        <v>1180</v>
      </c>
      <c r="B969" s="5">
        <v>962</v>
      </c>
      <c r="C969">
        <v>5350</v>
      </c>
      <c r="D969" t="s">
        <v>12342</v>
      </c>
      <c r="E969" t="s">
        <v>12623</v>
      </c>
      <c r="F969" t="s">
        <v>81</v>
      </c>
      <c r="G969" t="s">
        <v>12624</v>
      </c>
      <c r="H969">
        <v>18.55</v>
      </c>
      <c r="I969">
        <v>0</v>
      </c>
      <c r="J969">
        <v>0</v>
      </c>
      <c r="K969">
        <v>20</v>
      </c>
      <c r="L969">
        <v>14</v>
      </c>
      <c r="O969">
        <v>14</v>
      </c>
      <c r="P969">
        <v>4</v>
      </c>
      <c r="Q969">
        <v>0</v>
      </c>
      <c r="R969">
        <v>56.55</v>
      </c>
      <c r="S969">
        <v>45</v>
      </c>
      <c r="T969">
        <v>45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45</v>
      </c>
      <c r="AB969">
        <v>0</v>
      </c>
      <c r="AC969">
        <v>0</v>
      </c>
      <c r="AH969">
        <v>101.55</v>
      </c>
    </row>
    <row r="970" spans="1:34" x14ac:dyDescent="0.3">
      <c r="A970" s="4">
        <v>1181</v>
      </c>
      <c r="B970" s="5">
        <v>963</v>
      </c>
      <c r="C970">
        <v>4414</v>
      </c>
      <c r="D970" t="s">
        <v>12625</v>
      </c>
      <c r="E970" t="s">
        <v>29</v>
      </c>
      <c r="F970" t="s">
        <v>81</v>
      </c>
      <c r="G970" t="s">
        <v>12626</v>
      </c>
      <c r="H970">
        <v>16.5</v>
      </c>
      <c r="I970">
        <v>0</v>
      </c>
      <c r="J970">
        <v>0</v>
      </c>
      <c r="K970">
        <v>28</v>
      </c>
      <c r="N970">
        <v>3</v>
      </c>
      <c r="O970">
        <v>3</v>
      </c>
      <c r="P970">
        <v>4</v>
      </c>
      <c r="Q970">
        <v>2</v>
      </c>
      <c r="R970">
        <v>53.5</v>
      </c>
      <c r="S970">
        <v>42</v>
      </c>
      <c r="T970">
        <v>42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42</v>
      </c>
      <c r="AB970">
        <v>6</v>
      </c>
      <c r="AC970">
        <v>0</v>
      </c>
      <c r="AH970">
        <v>101.5</v>
      </c>
    </row>
    <row r="971" spans="1:34" x14ac:dyDescent="0.3">
      <c r="A971" s="4">
        <v>1182</v>
      </c>
      <c r="B971" s="5">
        <v>964</v>
      </c>
      <c r="C971">
        <v>642</v>
      </c>
      <c r="D971" t="s">
        <v>114</v>
      </c>
      <c r="E971" t="s">
        <v>54</v>
      </c>
      <c r="F971" t="s">
        <v>892</v>
      </c>
      <c r="G971" t="s">
        <v>12627</v>
      </c>
      <c r="H971">
        <v>18.329999999999998</v>
      </c>
      <c r="I971">
        <v>0</v>
      </c>
      <c r="J971">
        <v>0</v>
      </c>
      <c r="K971">
        <v>20</v>
      </c>
      <c r="L971">
        <v>7</v>
      </c>
      <c r="O971">
        <v>7</v>
      </c>
      <c r="P971">
        <v>4</v>
      </c>
      <c r="Q971">
        <v>0</v>
      </c>
      <c r="R971">
        <v>49.33</v>
      </c>
      <c r="S971">
        <v>49</v>
      </c>
      <c r="T971">
        <v>49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49</v>
      </c>
      <c r="AB971">
        <v>3</v>
      </c>
      <c r="AC971">
        <v>0</v>
      </c>
      <c r="AH971">
        <v>101.33</v>
      </c>
    </row>
    <row r="972" spans="1:34" x14ac:dyDescent="0.3">
      <c r="A972" s="4">
        <v>1183</v>
      </c>
      <c r="B972" s="5">
        <v>965</v>
      </c>
      <c r="C972">
        <v>12202</v>
      </c>
      <c r="D972" t="s">
        <v>12628</v>
      </c>
      <c r="E972" t="s">
        <v>273</v>
      </c>
      <c r="F972" t="s">
        <v>17</v>
      </c>
      <c r="G972" t="s">
        <v>12629</v>
      </c>
      <c r="H972">
        <v>23.28</v>
      </c>
      <c r="I972">
        <v>0</v>
      </c>
      <c r="J972">
        <v>40</v>
      </c>
      <c r="K972">
        <v>20</v>
      </c>
      <c r="L972">
        <v>14</v>
      </c>
      <c r="O972">
        <v>14</v>
      </c>
      <c r="P972">
        <v>4</v>
      </c>
      <c r="Q972">
        <v>0</v>
      </c>
      <c r="R972">
        <v>101.28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H972">
        <v>101.28</v>
      </c>
    </row>
    <row r="973" spans="1:34" x14ac:dyDescent="0.3">
      <c r="A973" s="4">
        <v>1184</v>
      </c>
      <c r="B973" s="5">
        <v>966</v>
      </c>
      <c r="C973">
        <v>7859</v>
      </c>
      <c r="D973" t="s">
        <v>12630</v>
      </c>
      <c r="E973" t="s">
        <v>136</v>
      </c>
      <c r="F973" t="s">
        <v>30</v>
      </c>
      <c r="G973" t="s">
        <v>12631</v>
      </c>
      <c r="H973">
        <v>17.5</v>
      </c>
      <c r="I973">
        <v>0</v>
      </c>
      <c r="J973">
        <v>0</v>
      </c>
      <c r="K973">
        <v>20</v>
      </c>
      <c r="L973">
        <v>7</v>
      </c>
      <c r="N973">
        <v>3</v>
      </c>
      <c r="O973">
        <v>10</v>
      </c>
      <c r="P973">
        <v>4</v>
      </c>
      <c r="Q973">
        <v>2</v>
      </c>
      <c r="R973">
        <v>53.5</v>
      </c>
      <c r="S973">
        <v>47</v>
      </c>
      <c r="T973">
        <v>47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47</v>
      </c>
      <c r="AB973">
        <v>0</v>
      </c>
      <c r="AC973">
        <v>0</v>
      </c>
      <c r="AH973">
        <v>100.5</v>
      </c>
    </row>
    <row r="974" spans="1:34" x14ac:dyDescent="0.3">
      <c r="A974" s="4">
        <v>1185</v>
      </c>
      <c r="B974" s="5">
        <v>967</v>
      </c>
      <c r="C974">
        <v>9304</v>
      </c>
      <c r="D974" t="s">
        <v>12632</v>
      </c>
      <c r="E974" t="s">
        <v>10782</v>
      </c>
      <c r="F974" t="s">
        <v>38</v>
      </c>
      <c r="G974" t="s">
        <v>12633</v>
      </c>
      <c r="H974">
        <v>21.43</v>
      </c>
      <c r="I974">
        <v>0</v>
      </c>
      <c r="J974">
        <v>0</v>
      </c>
      <c r="K974">
        <v>20</v>
      </c>
      <c r="M974">
        <v>10</v>
      </c>
      <c r="O974">
        <v>10</v>
      </c>
      <c r="P974">
        <v>4</v>
      </c>
      <c r="Q974">
        <v>2</v>
      </c>
      <c r="R974">
        <v>57.43</v>
      </c>
      <c r="S974">
        <v>40</v>
      </c>
      <c r="T974">
        <v>40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40</v>
      </c>
      <c r="AB974">
        <v>3</v>
      </c>
      <c r="AC974">
        <v>0</v>
      </c>
      <c r="AH974">
        <v>100.43</v>
      </c>
    </row>
    <row r="975" spans="1:34" x14ac:dyDescent="0.3">
      <c r="A975" s="4">
        <v>1186</v>
      </c>
      <c r="B975" s="5">
        <v>968</v>
      </c>
      <c r="C975">
        <v>4324</v>
      </c>
      <c r="D975" t="s">
        <v>7155</v>
      </c>
      <c r="E975" t="s">
        <v>173</v>
      </c>
      <c r="F975" t="s">
        <v>81</v>
      </c>
      <c r="G975" t="s">
        <v>12634</v>
      </c>
      <c r="H975">
        <v>18.100000000000001</v>
      </c>
      <c r="I975">
        <v>0</v>
      </c>
      <c r="J975">
        <v>40</v>
      </c>
      <c r="K975">
        <v>28</v>
      </c>
      <c r="L975">
        <v>7</v>
      </c>
      <c r="N975">
        <v>3</v>
      </c>
      <c r="O975">
        <v>10</v>
      </c>
      <c r="P975">
        <v>4</v>
      </c>
      <c r="Q975">
        <v>0</v>
      </c>
      <c r="R975">
        <v>100.1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H975">
        <v>100.1</v>
      </c>
    </row>
    <row r="976" spans="1:34" x14ac:dyDescent="0.3">
      <c r="A976" s="4">
        <v>1187</v>
      </c>
      <c r="B976" s="5">
        <v>969</v>
      </c>
      <c r="C976">
        <v>5517</v>
      </c>
      <c r="D976" t="s">
        <v>12635</v>
      </c>
      <c r="E976" t="s">
        <v>161</v>
      </c>
      <c r="F976" t="s">
        <v>2408</v>
      </c>
      <c r="G976" t="s">
        <v>12636</v>
      </c>
      <c r="H976">
        <v>17.75</v>
      </c>
      <c r="I976">
        <v>0</v>
      </c>
      <c r="J976">
        <v>0</v>
      </c>
      <c r="K976">
        <v>28</v>
      </c>
      <c r="L976">
        <v>7</v>
      </c>
      <c r="N976">
        <v>3</v>
      </c>
      <c r="O976">
        <v>10</v>
      </c>
      <c r="P976">
        <v>4</v>
      </c>
      <c r="Q976">
        <v>2</v>
      </c>
      <c r="R976">
        <v>61.75</v>
      </c>
      <c r="S976">
        <v>35</v>
      </c>
      <c r="T976">
        <v>35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35</v>
      </c>
      <c r="AB976">
        <v>3</v>
      </c>
      <c r="AC976">
        <v>0</v>
      </c>
      <c r="AH976">
        <v>99.75</v>
      </c>
    </row>
    <row r="977" spans="1:34" x14ac:dyDescent="0.3">
      <c r="A977" s="4">
        <v>1188</v>
      </c>
      <c r="B977" s="5">
        <v>970</v>
      </c>
      <c r="C977">
        <v>815</v>
      </c>
      <c r="D977" t="s">
        <v>12637</v>
      </c>
      <c r="E977" t="s">
        <v>667</v>
      </c>
      <c r="F977" t="s">
        <v>167</v>
      </c>
      <c r="G977" t="s">
        <v>12638</v>
      </c>
      <c r="H977">
        <v>20.38</v>
      </c>
      <c r="I977">
        <v>0</v>
      </c>
      <c r="J977">
        <v>0</v>
      </c>
      <c r="K977">
        <v>20</v>
      </c>
      <c r="L977">
        <v>14</v>
      </c>
      <c r="O977">
        <v>14</v>
      </c>
      <c r="P977">
        <v>4</v>
      </c>
      <c r="Q977">
        <v>2</v>
      </c>
      <c r="R977">
        <v>60.38</v>
      </c>
      <c r="S977">
        <v>39</v>
      </c>
      <c r="T977">
        <v>39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39</v>
      </c>
      <c r="AB977">
        <v>0</v>
      </c>
      <c r="AC977">
        <v>0</v>
      </c>
      <c r="AH977">
        <v>99.38</v>
      </c>
    </row>
    <row r="978" spans="1:34" x14ac:dyDescent="0.3">
      <c r="A978" s="4">
        <v>1189</v>
      </c>
      <c r="B978" s="5">
        <v>971</v>
      </c>
      <c r="C978">
        <v>5644</v>
      </c>
      <c r="D978" t="s">
        <v>12639</v>
      </c>
      <c r="E978" t="s">
        <v>5009</v>
      </c>
      <c r="F978" t="s">
        <v>343</v>
      </c>
      <c r="G978" t="s">
        <v>12640</v>
      </c>
      <c r="H978">
        <v>19.88</v>
      </c>
      <c r="I978">
        <v>0</v>
      </c>
      <c r="J978">
        <v>0</v>
      </c>
      <c r="K978">
        <v>20</v>
      </c>
      <c r="L978">
        <v>14</v>
      </c>
      <c r="O978">
        <v>14</v>
      </c>
      <c r="P978">
        <v>4</v>
      </c>
      <c r="Q978">
        <v>2</v>
      </c>
      <c r="R978">
        <v>59.88</v>
      </c>
      <c r="S978">
        <v>39</v>
      </c>
      <c r="T978">
        <v>39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39</v>
      </c>
      <c r="AB978">
        <v>0</v>
      </c>
      <c r="AC978">
        <v>0</v>
      </c>
      <c r="AH978">
        <v>98.88</v>
      </c>
    </row>
    <row r="979" spans="1:34" x14ac:dyDescent="0.3">
      <c r="A979" s="4">
        <v>1190</v>
      </c>
      <c r="B979" s="5">
        <v>972</v>
      </c>
      <c r="C979">
        <v>5605</v>
      </c>
      <c r="D979" t="s">
        <v>12641</v>
      </c>
      <c r="E979" t="s">
        <v>188</v>
      </c>
      <c r="F979" t="s">
        <v>81</v>
      </c>
      <c r="G979" t="s">
        <v>12642</v>
      </c>
      <c r="H979">
        <v>19.149999999999999</v>
      </c>
      <c r="I979">
        <v>0</v>
      </c>
      <c r="J979">
        <v>0</v>
      </c>
      <c r="K979">
        <v>20</v>
      </c>
      <c r="N979">
        <v>3</v>
      </c>
      <c r="O979">
        <v>3</v>
      </c>
      <c r="P979">
        <v>4</v>
      </c>
      <c r="Q979">
        <v>0</v>
      </c>
      <c r="R979">
        <v>46.15</v>
      </c>
      <c r="S979">
        <v>46</v>
      </c>
      <c r="T979">
        <v>46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46</v>
      </c>
      <c r="AB979">
        <v>6</v>
      </c>
      <c r="AC979">
        <v>0</v>
      </c>
      <c r="AD979" t="s">
        <v>130</v>
      </c>
      <c r="AH979">
        <v>98.15</v>
      </c>
    </row>
    <row r="980" spans="1:34" x14ac:dyDescent="0.3">
      <c r="A980" s="4">
        <v>1191</v>
      </c>
      <c r="B980" s="5">
        <v>973</v>
      </c>
      <c r="C980">
        <v>7712</v>
      </c>
      <c r="D980" t="s">
        <v>2162</v>
      </c>
      <c r="E980" t="s">
        <v>12643</v>
      </c>
      <c r="F980" t="s">
        <v>20</v>
      </c>
      <c r="G980" t="s">
        <v>12644</v>
      </c>
      <c r="H980">
        <v>18.079999999999998</v>
      </c>
      <c r="I980">
        <v>0</v>
      </c>
      <c r="J980">
        <v>40</v>
      </c>
      <c r="K980">
        <v>0</v>
      </c>
      <c r="L980">
        <v>7</v>
      </c>
      <c r="N980">
        <v>3</v>
      </c>
      <c r="O980">
        <v>10</v>
      </c>
      <c r="P980">
        <v>4</v>
      </c>
      <c r="Q980">
        <v>0</v>
      </c>
      <c r="R980">
        <v>72.08</v>
      </c>
      <c r="S980">
        <v>23</v>
      </c>
      <c r="T980">
        <v>23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23</v>
      </c>
      <c r="AB980">
        <v>3</v>
      </c>
      <c r="AC980">
        <v>0</v>
      </c>
      <c r="AH980">
        <v>98.08</v>
      </c>
    </row>
    <row r="981" spans="1:34" x14ac:dyDescent="0.3">
      <c r="A981" s="4">
        <v>1192</v>
      </c>
      <c r="B981" s="5">
        <v>974</v>
      </c>
      <c r="C981">
        <v>12003</v>
      </c>
      <c r="D981" t="s">
        <v>12645</v>
      </c>
      <c r="E981" t="s">
        <v>12646</v>
      </c>
      <c r="F981" t="s">
        <v>20</v>
      </c>
      <c r="G981" t="s">
        <v>12647</v>
      </c>
      <c r="H981">
        <v>18.079999999999998</v>
      </c>
      <c r="I981">
        <v>7</v>
      </c>
      <c r="J981">
        <v>0</v>
      </c>
      <c r="K981">
        <v>20</v>
      </c>
      <c r="L981">
        <v>7</v>
      </c>
      <c r="O981">
        <v>7</v>
      </c>
      <c r="P981">
        <v>4</v>
      </c>
      <c r="Q981">
        <v>2</v>
      </c>
      <c r="R981">
        <v>58.08</v>
      </c>
      <c r="S981">
        <v>40</v>
      </c>
      <c r="T981">
        <v>40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40</v>
      </c>
      <c r="AB981">
        <v>0</v>
      </c>
      <c r="AC981">
        <v>0</v>
      </c>
      <c r="AH981">
        <v>98.08</v>
      </c>
    </row>
    <row r="982" spans="1:34" x14ac:dyDescent="0.3">
      <c r="A982" s="4">
        <v>1193</v>
      </c>
      <c r="B982" s="5">
        <v>975</v>
      </c>
      <c r="C982">
        <v>12628</v>
      </c>
      <c r="D982" t="s">
        <v>12648</v>
      </c>
      <c r="E982" t="s">
        <v>100</v>
      </c>
      <c r="F982" t="s">
        <v>243</v>
      </c>
      <c r="G982" t="s">
        <v>12649</v>
      </c>
      <c r="H982">
        <v>18.75</v>
      </c>
      <c r="I982">
        <v>0</v>
      </c>
      <c r="J982">
        <v>0</v>
      </c>
      <c r="K982">
        <v>20</v>
      </c>
      <c r="L982">
        <v>7</v>
      </c>
      <c r="O982">
        <v>7</v>
      </c>
      <c r="P982">
        <v>4</v>
      </c>
      <c r="Q982">
        <v>0</v>
      </c>
      <c r="R982">
        <v>49.75</v>
      </c>
      <c r="S982">
        <v>42</v>
      </c>
      <c r="T982">
        <v>42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42</v>
      </c>
      <c r="AB982">
        <v>6</v>
      </c>
      <c r="AC982">
        <v>0</v>
      </c>
      <c r="AH982">
        <v>97.75</v>
      </c>
    </row>
    <row r="983" spans="1:34" x14ac:dyDescent="0.3">
      <c r="A983" s="4">
        <v>1194</v>
      </c>
      <c r="B983" s="5">
        <v>976</v>
      </c>
      <c r="C983">
        <v>4858</v>
      </c>
      <c r="D983" t="s">
        <v>3200</v>
      </c>
      <c r="E983" t="s">
        <v>29</v>
      </c>
      <c r="F983" t="s">
        <v>52</v>
      </c>
      <c r="G983" t="s">
        <v>12650</v>
      </c>
      <c r="H983">
        <v>19.63</v>
      </c>
      <c r="I983">
        <v>0</v>
      </c>
      <c r="J983">
        <v>0</v>
      </c>
      <c r="K983">
        <v>20</v>
      </c>
      <c r="L983">
        <v>7</v>
      </c>
      <c r="M983">
        <v>5</v>
      </c>
      <c r="O983">
        <v>12</v>
      </c>
      <c r="P983">
        <v>4</v>
      </c>
      <c r="Q983">
        <v>2</v>
      </c>
      <c r="R983">
        <v>57.63</v>
      </c>
      <c r="S983">
        <v>37</v>
      </c>
      <c r="T983">
        <v>37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37</v>
      </c>
      <c r="AB983">
        <v>3</v>
      </c>
      <c r="AC983">
        <v>0</v>
      </c>
      <c r="AH983">
        <v>97.63</v>
      </c>
    </row>
    <row r="984" spans="1:34" x14ac:dyDescent="0.3">
      <c r="A984" s="4">
        <v>1195</v>
      </c>
      <c r="B984" s="5">
        <v>977</v>
      </c>
      <c r="C984">
        <v>10447</v>
      </c>
      <c r="D984" t="s">
        <v>12651</v>
      </c>
      <c r="E984" t="s">
        <v>117</v>
      </c>
      <c r="F984" t="s">
        <v>68</v>
      </c>
      <c r="G984" t="s">
        <v>12652</v>
      </c>
      <c r="H984">
        <v>18.53</v>
      </c>
      <c r="I984">
        <v>0</v>
      </c>
      <c r="J984">
        <v>0</v>
      </c>
      <c r="K984">
        <v>28</v>
      </c>
      <c r="L984">
        <v>7</v>
      </c>
      <c r="O984">
        <v>7</v>
      </c>
      <c r="P984">
        <v>4</v>
      </c>
      <c r="Q984">
        <v>2</v>
      </c>
      <c r="R984">
        <v>59.53</v>
      </c>
      <c r="S984">
        <v>38</v>
      </c>
      <c r="T984">
        <v>38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38</v>
      </c>
      <c r="AB984">
        <v>0</v>
      </c>
      <c r="AC984">
        <v>0</v>
      </c>
      <c r="AH984">
        <v>97.53</v>
      </c>
    </row>
    <row r="985" spans="1:34" x14ac:dyDescent="0.3">
      <c r="A985" s="4">
        <v>1196</v>
      </c>
      <c r="B985" s="5">
        <v>978</v>
      </c>
      <c r="C985">
        <v>5801</v>
      </c>
      <c r="D985" t="s">
        <v>12653</v>
      </c>
      <c r="E985" t="s">
        <v>54</v>
      </c>
      <c r="F985" t="s">
        <v>20</v>
      </c>
      <c r="G985" t="s">
        <v>12654</v>
      </c>
      <c r="H985">
        <v>16.43</v>
      </c>
      <c r="I985">
        <v>0</v>
      </c>
      <c r="J985">
        <v>40</v>
      </c>
      <c r="K985">
        <v>20</v>
      </c>
      <c r="N985">
        <v>3</v>
      </c>
      <c r="O985">
        <v>3</v>
      </c>
      <c r="P985">
        <v>4</v>
      </c>
      <c r="Q985">
        <v>0</v>
      </c>
      <c r="R985">
        <v>83.43</v>
      </c>
      <c r="S985">
        <v>8</v>
      </c>
      <c r="T985">
        <v>8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8</v>
      </c>
      <c r="AB985">
        <v>6</v>
      </c>
      <c r="AC985">
        <v>0</v>
      </c>
      <c r="AH985">
        <v>97.43</v>
      </c>
    </row>
    <row r="986" spans="1:34" x14ac:dyDescent="0.3">
      <c r="A986" s="4">
        <v>1197</v>
      </c>
      <c r="B986" s="5">
        <v>979</v>
      </c>
      <c r="C986">
        <v>573</v>
      </c>
      <c r="D986" t="s">
        <v>5088</v>
      </c>
      <c r="E986" t="s">
        <v>88</v>
      </c>
      <c r="F986" t="s">
        <v>38</v>
      </c>
      <c r="G986" t="s">
        <v>12655</v>
      </c>
      <c r="H986">
        <v>18.399999999999999</v>
      </c>
      <c r="I986">
        <v>0</v>
      </c>
      <c r="J986">
        <v>0</v>
      </c>
      <c r="K986">
        <v>20</v>
      </c>
      <c r="L986">
        <v>7</v>
      </c>
      <c r="M986">
        <v>5</v>
      </c>
      <c r="O986">
        <v>12</v>
      </c>
      <c r="P986">
        <v>4</v>
      </c>
      <c r="Q986">
        <v>2</v>
      </c>
      <c r="R986">
        <v>56.4</v>
      </c>
      <c r="S986">
        <v>41</v>
      </c>
      <c r="T986">
        <v>41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41</v>
      </c>
      <c r="AB986">
        <v>0</v>
      </c>
      <c r="AC986">
        <v>0</v>
      </c>
      <c r="AH986">
        <v>97.4</v>
      </c>
    </row>
    <row r="987" spans="1:34" x14ac:dyDescent="0.3">
      <c r="A987" s="4">
        <v>1198</v>
      </c>
      <c r="B987" s="5">
        <v>980</v>
      </c>
      <c r="C987">
        <v>13522</v>
      </c>
      <c r="D987" t="s">
        <v>12656</v>
      </c>
      <c r="E987" t="s">
        <v>88</v>
      </c>
      <c r="F987" t="s">
        <v>20</v>
      </c>
      <c r="G987" t="s">
        <v>12657</v>
      </c>
      <c r="H987">
        <v>17.38</v>
      </c>
      <c r="I987">
        <v>0</v>
      </c>
      <c r="J987">
        <v>0</v>
      </c>
      <c r="K987">
        <v>20</v>
      </c>
      <c r="M987">
        <v>5</v>
      </c>
      <c r="N987">
        <v>3</v>
      </c>
      <c r="O987">
        <v>8</v>
      </c>
      <c r="P987">
        <v>4</v>
      </c>
      <c r="Q987">
        <v>2</v>
      </c>
      <c r="R987">
        <v>51.38</v>
      </c>
      <c r="S987">
        <v>43</v>
      </c>
      <c r="T987">
        <v>43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43</v>
      </c>
      <c r="AB987">
        <v>3</v>
      </c>
      <c r="AC987">
        <v>0</v>
      </c>
      <c r="AH987">
        <v>97.38</v>
      </c>
    </row>
    <row r="988" spans="1:34" x14ac:dyDescent="0.3">
      <c r="A988" s="4">
        <v>1199</v>
      </c>
      <c r="B988" s="5">
        <v>981</v>
      </c>
      <c r="C988">
        <v>4783</v>
      </c>
      <c r="D988" t="s">
        <v>12658</v>
      </c>
      <c r="E988" t="s">
        <v>29</v>
      </c>
      <c r="F988" t="s">
        <v>38</v>
      </c>
      <c r="G988" t="s">
        <v>12659</v>
      </c>
      <c r="H988">
        <v>18.350000000000001</v>
      </c>
      <c r="I988">
        <v>0</v>
      </c>
      <c r="J988">
        <v>0</v>
      </c>
      <c r="K988">
        <v>20</v>
      </c>
      <c r="M988">
        <v>5</v>
      </c>
      <c r="O988">
        <v>5</v>
      </c>
      <c r="P988">
        <v>4</v>
      </c>
      <c r="Q988">
        <v>2</v>
      </c>
      <c r="R988">
        <v>49.35</v>
      </c>
      <c r="S988">
        <v>32</v>
      </c>
      <c r="T988">
        <v>32</v>
      </c>
      <c r="U988">
        <v>8</v>
      </c>
      <c r="V988">
        <v>16</v>
      </c>
      <c r="W988">
        <v>0</v>
      </c>
      <c r="X988">
        <v>0</v>
      </c>
      <c r="Y988">
        <v>0</v>
      </c>
      <c r="Z988">
        <v>0</v>
      </c>
      <c r="AA988">
        <v>48</v>
      </c>
      <c r="AB988">
        <v>0</v>
      </c>
      <c r="AC988">
        <v>0</v>
      </c>
      <c r="AD988" t="s">
        <v>130</v>
      </c>
      <c r="AH988">
        <v>97.35</v>
      </c>
    </row>
    <row r="989" spans="1:34" x14ac:dyDescent="0.3">
      <c r="A989" s="4">
        <v>1200</v>
      </c>
      <c r="B989" s="5">
        <v>982</v>
      </c>
      <c r="C989">
        <v>11131</v>
      </c>
      <c r="D989" t="s">
        <v>12660</v>
      </c>
      <c r="E989" t="s">
        <v>166</v>
      </c>
      <c r="F989" t="s">
        <v>158</v>
      </c>
      <c r="G989" t="s">
        <v>12661</v>
      </c>
      <c r="H989">
        <v>16.329999999999998</v>
      </c>
      <c r="I989">
        <v>0</v>
      </c>
      <c r="J989">
        <v>40</v>
      </c>
      <c r="K989">
        <v>20</v>
      </c>
      <c r="L989">
        <v>7</v>
      </c>
      <c r="N989">
        <v>3</v>
      </c>
      <c r="O989">
        <v>10</v>
      </c>
      <c r="P989">
        <v>0</v>
      </c>
      <c r="Q989">
        <v>0</v>
      </c>
      <c r="R989">
        <v>86.33</v>
      </c>
      <c r="S989">
        <v>11</v>
      </c>
      <c r="T989">
        <v>11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11</v>
      </c>
      <c r="AB989">
        <v>0</v>
      </c>
      <c r="AC989">
        <v>0</v>
      </c>
      <c r="AH989">
        <v>97.33</v>
      </c>
    </row>
    <row r="990" spans="1:34" x14ac:dyDescent="0.3">
      <c r="A990" s="4">
        <v>1201</v>
      </c>
      <c r="B990" s="5">
        <v>983</v>
      </c>
      <c r="C990">
        <v>7471</v>
      </c>
      <c r="D990" t="s">
        <v>8006</v>
      </c>
      <c r="E990" t="s">
        <v>54</v>
      </c>
      <c r="F990" t="s">
        <v>3711</v>
      </c>
      <c r="G990" t="s">
        <v>12662</v>
      </c>
      <c r="H990">
        <v>16.25</v>
      </c>
      <c r="I990">
        <v>0</v>
      </c>
      <c r="J990">
        <v>0</v>
      </c>
      <c r="K990">
        <v>20</v>
      </c>
      <c r="L990">
        <v>14</v>
      </c>
      <c r="O990">
        <v>14</v>
      </c>
      <c r="P990">
        <v>4</v>
      </c>
      <c r="Q990">
        <v>0</v>
      </c>
      <c r="R990">
        <v>54.25</v>
      </c>
      <c r="S990">
        <v>40</v>
      </c>
      <c r="T990">
        <v>40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40</v>
      </c>
      <c r="AB990">
        <v>3</v>
      </c>
      <c r="AC990">
        <v>0</v>
      </c>
      <c r="AH990">
        <v>97.25</v>
      </c>
    </row>
    <row r="991" spans="1:34" x14ac:dyDescent="0.3">
      <c r="A991" s="4">
        <v>1202</v>
      </c>
      <c r="B991" s="5">
        <v>984</v>
      </c>
      <c r="C991">
        <v>15128</v>
      </c>
      <c r="D991" t="s">
        <v>12663</v>
      </c>
      <c r="E991" t="s">
        <v>12664</v>
      </c>
      <c r="F991" t="s">
        <v>81</v>
      </c>
      <c r="G991" t="s">
        <v>12665</v>
      </c>
      <c r="H991">
        <v>17.95</v>
      </c>
      <c r="I991">
        <v>0</v>
      </c>
      <c r="J991">
        <v>0</v>
      </c>
      <c r="K991">
        <v>28</v>
      </c>
      <c r="L991">
        <v>7</v>
      </c>
      <c r="O991">
        <v>7</v>
      </c>
      <c r="P991">
        <v>4</v>
      </c>
      <c r="Q991">
        <v>2</v>
      </c>
      <c r="R991">
        <v>58.95</v>
      </c>
      <c r="S991">
        <v>38</v>
      </c>
      <c r="T991">
        <v>38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38</v>
      </c>
      <c r="AB991">
        <v>0</v>
      </c>
      <c r="AC991">
        <v>0</v>
      </c>
      <c r="AD991" t="s">
        <v>130</v>
      </c>
      <c r="AH991">
        <v>96.95</v>
      </c>
    </row>
    <row r="992" spans="1:34" x14ac:dyDescent="0.3">
      <c r="A992" s="4">
        <v>1203</v>
      </c>
      <c r="B992" s="5">
        <v>985</v>
      </c>
      <c r="C992">
        <v>7483</v>
      </c>
      <c r="D992" t="s">
        <v>12666</v>
      </c>
      <c r="E992" t="s">
        <v>789</v>
      </c>
      <c r="F992" t="s">
        <v>136</v>
      </c>
      <c r="G992" t="s">
        <v>12667</v>
      </c>
      <c r="H992">
        <v>16.73</v>
      </c>
      <c r="I992">
        <v>0</v>
      </c>
      <c r="J992">
        <v>0</v>
      </c>
      <c r="K992">
        <v>20</v>
      </c>
      <c r="L992">
        <v>14</v>
      </c>
      <c r="O992">
        <v>14</v>
      </c>
      <c r="P992">
        <v>4</v>
      </c>
      <c r="Q992">
        <v>2</v>
      </c>
      <c r="R992">
        <v>56.73</v>
      </c>
      <c r="S992">
        <v>40</v>
      </c>
      <c r="T992">
        <v>40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40</v>
      </c>
      <c r="AB992">
        <v>0</v>
      </c>
      <c r="AC992">
        <v>0</v>
      </c>
      <c r="AH992">
        <v>96.73</v>
      </c>
    </row>
    <row r="993" spans="1:34" x14ac:dyDescent="0.3">
      <c r="A993" s="4">
        <v>1204</v>
      </c>
      <c r="B993" s="5">
        <v>986</v>
      </c>
      <c r="C993">
        <v>5925</v>
      </c>
      <c r="D993" t="s">
        <v>2132</v>
      </c>
      <c r="E993" t="s">
        <v>12668</v>
      </c>
      <c r="F993" t="s">
        <v>17</v>
      </c>
      <c r="G993" t="s">
        <v>12669</v>
      </c>
      <c r="H993">
        <v>19.88</v>
      </c>
      <c r="I993">
        <v>0</v>
      </c>
      <c r="J993">
        <v>0</v>
      </c>
      <c r="K993">
        <v>20</v>
      </c>
      <c r="M993">
        <v>5</v>
      </c>
      <c r="N993">
        <v>3</v>
      </c>
      <c r="O993">
        <v>8</v>
      </c>
      <c r="P993">
        <v>4</v>
      </c>
      <c r="Q993">
        <v>2</v>
      </c>
      <c r="R993">
        <v>53.88</v>
      </c>
      <c r="S993">
        <v>16</v>
      </c>
      <c r="T993">
        <v>16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16</v>
      </c>
      <c r="AB993">
        <v>0</v>
      </c>
      <c r="AC993">
        <v>26.8</v>
      </c>
      <c r="AH993">
        <v>96.68</v>
      </c>
    </row>
    <row r="994" spans="1:34" x14ac:dyDescent="0.3">
      <c r="A994" s="4">
        <v>1205</v>
      </c>
      <c r="B994" s="5">
        <v>987</v>
      </c>
      <c r="C994">
        <v>11939</v>
      </c>
      <c r="D994" t="s">
        <v>12670</v>
      </c>
      <c r="E994" t="s">
        <v>54</v>
      </c>
      <c r="F994" t="s">
        <v>38</v>
      </c>
      <c r="G994" t="s">
        <v>12671</v>
      </c>
      <c r="H994">
        <v>16.53</v>
      </c>
      <c r="I994">
        <v>0</v>
      </c>
      <c r="J994">
        <v>40</v>
      </c>
      <c r="K994">
        <v>20</v>
      </c>
      <c r="L994">
        <v>7</v>
      </c>
      <c r="N994">
        <v>3</v>
      </c>
      <c r="O994">
        <v>10</v>
      </c>
      <c r="P994">
        <v>4</v>
      </c>
      <c r="Q994">
        <v>0</v>
      </c>
      <c r="R994">
        <v>90.53</v>
      </c>
      <c r="S994">
        <v>3</v>
      </c>
      <c r="T994">
        <v>3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3</v>
      </c>
      <c r="AB994">
        <v>3</v>
      </c>
      <c r="AC994">
        <v>0</v>
      </c>
      <c r="AH994">
        <v>96.53</v>
      </c>
    </row>
    <row r="995" spans="1:34" x14ac:dyDescent="0.3">
      <c r="A995" s="4">
        <v>1206</v>
      </c>
      <c r="B995" s="5">
        <v>988</v>
      </c>
      <c r="C995">
        <v>9644</v>
      </c>
      <c r="D995" t="s">
        <v>12672</v>
      </c>
      <c r="E995" t="s">
        <v>100</v>
      </c>
      <c r="F995" t="s">
        <v>124</v>
      </c>
      <c r="G995" t="s">
        <v>12673</v>
      </c>
      <c r="H995">
        <v>21.25</v>
      </c>
      <c r="I995">
        <v>0</v>
      </c>
      <c r="J995">
        <v>0</v>
      </c>
      <c r="K995">
        <v>0</v>
      </c>
      <c r="L995">
        <v>7</v>
      </c>
      <c r="O995">
        <v>7</v>
      </c>
      <c r="P995">
        <v>4</v>
      </c>
      <c r="Q995">
        <v>2</v>
      </c>
      <c r="R995">
        <v>34.25</v>
      </c>
      <c r="S995">
        <v>27</v>
      </c>
      <c r="T995">
        <v>27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27</v>
      </c>
      <c r="AB995">
        <v>3</v>
      </c>
      <c r="AC995">
        <v>32</v>
      </c>
      <c r="AH995">
        <v>96.25</v>
      </c>
    </row>
    <row r="996" spans="1:34" x14ac:dyDescent="0.3">
      <c r="A996" s="4">
        <v>1207</v>
      </c>
      <c r="B996" s="5">
        <v>989</v>
      </c>
      <c r="C996">
        <v>9774</v>
      </c>
      <c r="D996" t="s">
        <v>12674</v>
      </c>
      <c r="E996" t="s">
        <v>29</v>
      </c>
      <c r="F996" t="s">
        <v>238</v>
      </c>
      <c r="G996" t="s">
        <v>12675</v>
      </c>
      <c r="H996">
        <v>20.05</v>
      </c>
      <c r="I996">
        <v>0</v>
      </c>
      <c r="J996">
        <v>0</v>
      </c>
      <c r="K996">
        <v>20</v>
      </c>
      <c r="L996">
        <v>7</v>
      </c>
      <c r="O996">
        <v>7</v>
      </c>
      <c r="P996">
        <v>4</v>
      </c>
      <c r="Q996">
        <v>0</v>
      </c>
      <c r="R996">
        <v>51.05</v>
      </c>
      <c r="S996">
        <v>42</v>
      </c>
      <c r="T996">
        <v>42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42</v>
      </c>
      <c r="AB996">
        <v>3</v>
      </c>
      <c r="AC996">
        <v>0</v>
      </c>
      <c r="AH996">
        <v>96.05</v>
      </c>
    </row>
    <row r="997" spans="1:34" x14ac:dyDescent="0.3">
      <c r="A997" s="4">
        <v>1208</v>
      </c>
      <c r="B997" s="5">
        <v>990</v>
      </c>
      <c r="C997">
        <v>4728</v>
      </c>
      <c r="D997" t="s">
        <v>12676</v>
      </c>
      <c r="E997" t="s">
        <v>139</v>
      </c>
      <c r="F997" t="s">
        <v>38</v>
      </c>
      <c r="G997" t="s">
        <v>12677</v>
      </c>
      <c r="H997">
        <v>20</v>
      </c>
      <c r="I997">
        <v>0</v>
      </c>
      <c r="J997">
        <v>0</v>
      </c>
      <c r="K997">
        <v>20</v>
      </c>
      <c r="L997">
        <v>7</v>
      </c>
      <c r="N997">
        <v>3</v>
      </c>
      <c r="O997">
        <v>10</v>
      </c>
      <c r="P997">
        <v>4</v>
      </c>
      <c r="Q997">
        <v>2</v>
      </c>
      <c r="R997">
        <v>56</v>
      </c>
      <c r="S997">
        <v>37</v>
      </c>
      <c r="T997">
        <v>37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37</v>
      </c>
      <c r="AB997">
        <v>3</v>
      </c>
      <c r="AC997">
        <v>0</v>
      </c>
      <c r="AH997">
        <v>96</v>
      </c>
    </row>
    <row r="998" spans="1:34" x14ac:dyDescent="0.3">
      <c r="A998" s="4">
        <v>1209</v>
      </c>
      <c r="B998" s="5">
        <v>991</v>
      </c>
      <c r="C998">
        <v>12358</v>
      </c>
      <c r="D998" t="s">
        <v>3309</v>
      </c>
      <c r="E998" t="s">
        <v>12678</v>
      </c>
      <c r="F998" t="s">
        <v>17</v>
      </c>
      <c r="G998" t="s">
        <v>12679</v>
      </c>
      <c r="H998">
        <v>17.600000000000001</v>
      </c>
      <c r="I998">
        <v>0</v>
      </c>
      <c r="J998">
        <v>0</v>
      </c>
      <c r="K998">
        <v>20</v>
      </c>
      <c r="L998">
        <v>14</v>
      </c>
      <c r="O998">
        <v>14</v>
      </c>
      <c r="P998">
        <v>4</v>
      </c>
      <c r="Q998">
        <v>0</v>
      </c>
      <c r="R998">
        <v>55.6</v>
      </c>
      <c r="S998">
        <v>40</v>
      </c>
      <c r="T998">
        <v>40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40</v>
      </c>
      <c r="AB998">
        <v>0</v>
      </c>
      <c r="AC998">
        <v>0</v>
      </c>
      <c r="AH998">
        <v>95.6</v>
      </c>
    </row>
    <row r="999" spans="1:34" x14ac:dyDescent="0.3">
      <c r="A999" s="4">
        <v>1210</v>
      </c>
      <c r="B999" s="5">
        <v>992</v>
      </c>
      <c r="C999">
        <v>3387</v>
      </c>
      <c r="D999" t="s">
        <v>12680</v>
      </c>
      <c r="E999" t="s">
        <v>283</v>
      </c>
      <c r="F999" t="s">
        <v>442</v>
      </c>
      <c r="G999" t="s">
        <v>12681</v>
      </c>
      <c r="H999">
        <v>19.350000000000001</v>
      </c>
      <c r="I999">
        <v>0</v>
      </c>
      <c r="J999">
        <v>40</v>
      </c>
      <c r="K999">
        <v>20</v>
      </c>
      <c r="L999">
        <v>7</v>
      </c>
      <c r="O999">
        <v>7</v>
      </c>
      <c r="P999">
        <v>4</v>
      </c>
      <c r="Q999">
        <v>2</v>
      </c>
      <c r="R999">
        <v>92.35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3</v>
      </c>
      <c r="AC999">
        <v>0</v>
      </c>
      <c r="AH999">
        <v>95.35</v>
      </c>
    </row>
    <row r="1000" spans="1:34" x14ac:dyDescent="0.3">
      <c r="A1000" s="4">
        <v>1211</v>
      </c>
      <c r="B1000" s="5">
        <v>993</v>
      </c>
      <c r="C1000">
        <v>14473</v>
      </c>
      <c r="D1000" t="s">
        <v>12682</v>
      </c>
      <c r="E1000" t="s">
        <v>575</v>
      </c>
      <c r="F1000" t="s">
        <v>38</v>
      </c>
      <c r="G1000" t="s">
        <v>12683</v>
      </c>
      <c r="H1000">
        <v>21.28</v>
      </c>
      <c r="I1000">
        <v>0</v>
      </c>
      <c r="J1000">
        <v>40</v>
      </c>
      <c r="K1000">
        <v>20</v>
      </c>
      <c r="M1000">
        <v>10</v>
      </c>
      <c r="O1000">
        <v>10</v>
      </c>
      <c r="P1000">
        <v>4</v>
      </c>
      <c r="Q1000">
        <v>0</v>
      </c>
      <c r="R1000">
        <v>95.28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H1000">
        <v>95.28</v>
      </c>
    </row>
    <row r="1001" spans="1:34" x14ac:dyDescent="0.3">
      <c r="A1001" s="4">
        <v>1212</v>
      </c>
      <c r="B1001" s="5">
        <v>994</v>
      </c>
      <c r="C1001">
        <v>15365</v>
      </c>
      <c r="D1001" t="s">
        <v>12684</v>
      </c>
      <c r="E1001" t="s">
        <v>29</v>
      </c>
      <c r="F1001" t="s">
        <v>34</v>
      </c>
      <c r="G1001" t="s">
        <v>12685</v>
      </c>
      <c r="H1001">
        <v>23.38</v>
      </c>
      <c r="I1001">
        <v>0</v>
      </c>
      <c r="J1001">
        <v>0</v>
      </c>
      <c r="K1001">
        <v>0</v>
      </c>
      <c r="N1001">
        <v>3</v>
      </c>
      <c r="O1001">
        <v>3</v>
      </c>
      <c r="P1001">
        <v>4</v>
      </c>
      <c r="Q1001">
        <v>0</v>
      </c>
      <c r="R1001">
        <v>30.38</v>
      </c>
      <c r="S1001">
        <v>35</v>
      </c>
      <c r="T1001">
        <v>35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35</v>
      </c>
      <c r="AB1001">
        <v>3</v>
      </c>
      <c r="AC1001">
        <v>26.8</v>
      </c>
      <c r="AH1001">
        <v>95.18</v>
      </c>
    </row>
    <row r="1002" spans="1:34" x14ac:dyDescent="0.3">
      <c r="A1002" s="4">
        <v>1213</v>
      </c>
      <c r="B1002" s="5">
        <v>995</v>
      </c>
      <c r="C1002">
        <v>11807</v>
      </c>
      <c r="D1002" t="s">
        <v>12686</v>
      </c>
      <c r="E1002" t="s">
        <v>37</v>
      </c>
      <c r="F1002" t="s">
        <v>750</v>
      </c>
      <c r="G1002" t="s">
        <v>12687</v>
      </c>
      <c r="H1002">
        <v>21.03</v>
      </c>
      <c r="I1002">
        <v>0</v>
      </c>
      <c r="J1002">
        <v>40</v>
      </c>
      <c r="K1002">
        <v>20</v>
      </c>
      <c r="L1002">
        <v>7</v>
      </c>
      <c r="O1002">
        <v>7</v>
      </c>
      <c r="P1002">
        <v>4</v>
      </c>
      <c r="Q1002">
        <v>0</v>
      </c>
      <c r="R1002">
        <v>92.03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3</v>
      </c>
      <c r="AC1002">
        <v>0</v>
      </c>
      <c r="AH1002">
        <v>95.03</v>
      </c>
    </row>
    <row r="1003" spans="1:34" x14ac:dyDescent="0.3">
      <c r="A1003" s="4">
        <v>1214</v>
      </c>
      <c r="B1003" s="5">
        <v>996</v>
      </c>
      <c r="C1003">
        <v>5151</v>
      </c>
      <c r="D1003" t="s">
        <v>12688</v>
      </c>
      <c r="E1003" t="s">
        <v>54</v>
      </c>
      <c r="F1003" t="s">
        <v>81</v>
      </c>
      <c r="G1003" t="s">
        <v>12689</v>
      </c>
      <c r="H1003">
        <v>18.75</v>
      </c>
      <c r="I1003">
        <v>0</v>
      </c>
      <c r="J1003">
        <v>0</v>
      </c>
      <c r="K1003">
        <v>20</v>
      </c>
      <c r="L1003">
        <v>7</v>
      </c>
      <c r="O1003">
        <v>7</v>
      </c>
      <c r="P1003">
        <v>4</v>
      </c>
      <c r="Q1003">
        <v>2</v>
      </c>
      <c r="R1003">
        <v>51.75</v>
      </c>
      <c r="S1003">
        <v>43</v>
      </c>
      <c r="T1003">
        <v>43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43</v>
      </c>
      <c r="AB1003">
        <v>0</v>
      </c>
      <c r="AC1003">
        <v>0</v>
      </c>
      <c r="AH1003">
        <v>94.75</v>
      </c>
    </row>
    <row r="1004" spans="1:34" x14ac:dyDescent="0.3">
      <c r="A1004" s="4">
        <v>1215</v>
      </c>
      <c r="B1004" s="5">
        <v>997</v>
      </c>
      <c r="C1004">
        <v>9736</v>
      </c>
      <c r="D1004" t="s">
        <v>1430</v>
      </c>
      <c r="E1004" t="s">
        <v>12690</v>
      </c>
      <c r="F1004" t="s">
        <v>2101</v>
      </c>
      <c r="G1004" t="s">
        <v>12691</v>
      </c>
      <c r="H1004">
        <v>20.68</v>
      </c>
      <c r="I1004">
        <v>0</v>
      </c>
      <c r="J1004">
        <v>0</v>
      </c>
      <c r="K1004">
        <v>20</v>
      </c>
      <c r="L1004">
        <v>7</v>
      </c>
      <c r="M1004">
        <v>5</v>
      </c>
      <c r="O1004">
        <v>12</v>
      </c>
      <c r="P1004">
        <v>4</v>
      </c>
      <c r="Q1004">
        <v>2</v>
      </c>
      <c r="R1004">
        <v>58.68</v>
      </c>
      <c r="S1004">
        <v>0</v>
      </c>
      <c r="T1004">
        <v>0</v>
      </c>
      <c r="U1004">
        <v>18</v>
      </c>
      <c r="V1004">
        <v>36</v>
      </c>
      <c r="W1004">
        <v>0</v>
      </c>
      <c r="X1004">
        <v>0</v>
      </c>
      <c r="Y1004">
        <v>0</v>
      </c>
      <c r="Z1004">
        <v>0</v>
      </c>
      <c r="AA1004">
        <v>36</v>
      </c>
      <c r="AB1004">
        <v>0</v>
      </c>
      <c r="AC1004">
        <v>0</v>
      </c>
      <c r="AH1004">
        <v>94.68</v>
      </c>
    </row>
    <row r="1005" spans="1:34" x14ac:dyDescent="0.3">
      <c r="A1005" s="4">
        <v>1216</v>
      </c>
      <c r="B1005" s="5">
        <v>998</v>
      </c>
      <c r="C1005">
        <v>14728</v>
      </c>
      <c r="D1005" t="s">
        <v>12443</v>
      </c>
      <c r="E1005" t="s">
        <v>188</v>
      </c>
      <c r="F1005" t="s">
        <v>12692</v>
      </c>
      <c r="G1005" t="s">
        <v>12693</v>
      </c>
      <c r="H1005">
        <v>21.25</v>
      </c>
      <c r="I1005">
        <v>0</v>
      </c>
      <c r="J1005">
        <v>40</v>
      </c>
      <c r="K1005">
        <v>20</v>
      </c>
      <c r="L1005">
        <v>7</v>
      </c>
      <c r="N1005">
        <v>3</v>
      </c>
      <c r="O1005">
        <v>10</v>
      </c>
      <c r="P1005">
        <v>0</v>
      </c>
      <c r="Q1005">
        <v>0</v>
      </c>
      <c r="R1005">
        <v>91.25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3</v>
      </c>
      <c r="AC1005">
        <v>0</v>
      </c>
      <c r="AH1005">
        <v>94.25</v>
      </c>
    </row>
    <row r="1006" spans="1:34" x14ac:dyDescent="0.3">
      <c r="A1006" s="4">
        <v>1217</v>
      </c>
      <c r="B1006" s="5">
        <v>999</v>
      </c>
      <c r="C1006">
        <v>15476</v>
      </c>
      <c r="D1006" t="s">
        <v>12694</v>
      </c>
      <c r="E1006" t="s">
        <v>22</v>
      </c>
      <c r="F1006" t="s">
        <v>79</v>
      </c>
      <c r="G1006" t="s">
        <v>12695</v>
      </c>
      <c r="H1006">
        <v>18.23</v>
      </c>
      <c r="I1006">
        <v>0</v>
      </c>
      <c r="J1006">
        <v>40</v>
      </c>
      <c r="K1006">
        <v>0</v>
      </c>
      <c r="L1006">
        <v>7</v>
      </c>
      <c r="N1006">
        <v>3</v>
      </c>
      <c r="O1006">
        <v>10</v>
      </c>
      <c r="P1006">
        <v>4</v>
      </c>
      <c r="Q1006">
        <v>2</v>
      </c>
      <c r="R1006">
        <v>74.23</v>
      </c>
      <c r="S1006">
        <v>14</v>
      </c>
      <c r="T1006">
        <v>14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14</v>
      </c>
      <c r="AB1006">
        <v>6</v>
      </c>
      <c r="AC1006">
        <v>0</v>
      </c>
      <c r="AH1006">
        <v>94.23</v>
      </c>
    </row>
    <row r="1007" spans="1:34" x14ac:dyDescent="0.3">
      <c r="A1007" s="4">
        <v>1218</v>
      </c>
      <c r="B1007" s="5">
        <v>1000</v>
      </c>
      <c r="C1007">
        <v>2624</v>
      </c>
      <c r="D1007" t="s">
        <v>12696</v>
      </c>
      <c r="E1007" t="s">
        <v>88</v>
      </c>
      <c r="F1007" t="s">
        <v>68</v>
      </c>
      <c r="G1007" t="s">
        <v>12697</v>
      </c>
      <c r="H1007">
        <v>17.2</v>
      </c>
      <c r="I1007">
        <v>0</v>
      </c>
      <c r="J1007">
        <v>0</v>
      </c>
      <c r="K1007">
        <v>20</v>
      </c>
      <c r="L1007">
        <v>7</v>
      </c>
      <c r="O1007">
        <v>7</v>
      </c>
      <c r="P1007">
        <v>4</v>
      </c>
      <c r="Q1007">
        <v>2</v>
      </c>
      <c r="R1007">
        <v>50.2</v>
      </c>
      <c r="S1007">
        <v>44</v>
      </c>
      <c r="T1007">
        <v>44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44</v>
      </c>
      <c r="AB1007">
        <v>0</v>
      </c>
      <c r="AC1007">
        <v>0</v>
      </c>
      <c r="AH1007">
        <v>94.2</v>
      </c>
    </row>
    <row r="1008" spans="1:34" x14ac:dyDescent="0.3">
      <c r="A1008" s="4">
        <v>1219</v>
      </c>
      <c r="B1008" s="5">
        <v>1001</v>
      </c>
      <c r="C1008">
        <v>1987</v>
      </c>
      <c r="D1008" t="s">
        <v>12698</v>
      </c>
      <c r="E1008" t="s">
        <v>12699</v>
      </c>
      <c r="F1008" t="s">
        <v>17</v>
      </c>
      <c r="G1008" t="s">
        <v>12700</v>
      </c>
      <c r="H1008">
        <v>19.03</v>
      </c>
      <c r="I1008">
        <v>0</v>
      </c>
      <c r="J1008">
        <v>40</v>
      </c>
      <c r="K1008">
        <v>20</v>
      </c>
      <c r="M1008">
        <v>5</v>
      </c>
      <c r="O1008">
        <v>5</v>
      </c>
      <c r="P1008">
        <v>4</v>
      </c>
      <c r="Q1008">
        <v>0</v>
      </c>
      <c r="R1008">
        <v>88.03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6</v>
      </c>
      <c r="AC1008">
        <v>0</v>
      </c>
      <c r="AH1008">
        <v>94.03</v>
      </c>
    </row>
    <row r="1009" spans="1:34" x14ac:dyDescent="0.3">
      <c r="A1009" s="4">
        <v>1220</v>
      </c>
      <c r="B1009" s="5">
        <v>1002</v>
      </c>
      <c r="C1009">
        <v>4207</v>
      </c>
      <c r="D1009" t="s">
        <v>12701</v>
      </c>
      <c r="E1009" t="s">
        <v>100</v>
      </c>
      <c r="F1009" t="s">
        <v>117</v>
      </c>
      <c r="G1009" t="s">
        <v>12702</v>
      </c>
      <c r="H1009">
        <v>18</v>
      </c>
      <c r="I1009">
        <v>0</v>
      </c>
      <c r="J1009">
        <v>0</v>
      </c>
      <c r="K1009">
        <v>20</v>
      </c>
      <c r="L1009">
        <v>7</v>
      </c>
      <c r="O1009">
        <v>7</v>
      </c>
      <c r="P1009">
        <v>4</v>
      </c>
      <c r="Q1009">
        <v>2</v>
      </c>
      <c r="R1009">
        <v>51</v>
      </c>
      <c r="S1009">
        <v>25</v>
      </c>
      <c r="T1009">
        <v>25</v>
      </c>
      <c r="U1009">
        <v>9</v>
      </c>
      <c r="V1009">
        <v>18</v>
      </c>
      <c r="W1009">
        <v>0</v>
      </c>
      <c r="X1009">
        <v>0</v>
      </c>
      <c r="Y1009">
        <v>0</v>
      </c>
      <c r="Z1009">
        <v>0</v>
      </c>
      <c r="AA1009">
        <v>43</v>
      </c>
      <c r="AB1009">
        <v>0</v>
      </c>
      <c r="AC1009">
        <v>0</v>
      </c>
      <c r="AD1009" t="s">
        <v>130</v>
      </c>
      <c r="AH1009">
        <v>94</v>
      </c>
    </row>
    <row r="1010" spans="1:34" x14ac:dyDescent="0.3">
      <c r="A1010" s="4">
        <v>1221</v>
      </c>
      <c r="B1010" s="5">
        <v>1003</v>
      </c>
      <c r="C1010">
        <v>13904</v>
      </c>
      <c r="D1010" t="s">
        <v>12703</v>
      </c>
      <c r="E1010" t="s">
        <v>132</v>
      </c>
      <c r="F1010" t="s">
        <v>38</v>
      </c>
      <c r="G1010" t="s">
        <v>12704</v>
      </c>
      <c r="H1010">
        <v>19.98</v>
      </c>
      <c r="I1010">
        <v>0</v>
      </c>
      <c r="J1010">
        <v>0</v>
      </c>
      <c r="K1010">
        <v>20</v>
      </c>
      <c r="L1010">
        <v>7</v>
      </c>
      <c r="M1010">
        <v>5</v>
      </c>
      <c r="O1010">
        <v>12</v>
      </c>
      <c r="P1010">
        <v>4</v>
      </c>
      <c r="Q1010">
        <v>2</v>
      </c>
      <c r="R1010">
        <v>57.98</v>
      </c>
      <c r="S1010">
        <v>36</v>
      </c>
      <c r="T1010">
        <v>36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36</v>
      </c>
      <c r="AB1010">
        <v>0</v>
      </c>
      <c r="AC1010">
        <v>0</v>
      </c>
      <c r="AH1010">
        <v>93.98</v>
      </c>
    </row>
    <row r="1011" spans="1:34" x14ac:dyDescent="0.3">
      <c r="A1011" s="4">
        <v>1222</v>
      </c>
      <c r="B1011" s="5">
        <v>1004</v>
      </c>
      <c r="C1011">
        <v>8341</v>
      </c>
      <c r="D1011" t="s">
        <v>12705</v>
      </c>
      <c r="E1011" t="s">
        <v>178</v>
      </c>
      <c r="F1011" t="s">
        <v>117</v>
      </c>
      <c r="G1011" t="s">
        <v>12706</v>
      </c>
      <c r="H1011">
        <v>16.899999999999999</v>
      </c>
      <c r="I1011">
        <v>0</v>
      </c>
      <c r="J1011">
        <v>0</v>
      </c>
      <c r="K1011">
        <v>0</v>
      </c>
      <c r="N1011">
        <v>3</v>
      </c>
      <c r="O1011">
        <v>3</v>
      </c>
      <c r="P1011">
        <v>4</v>
      </c>
      <c r="Q1011">
        <v>0</v>
      </c>
      <c r="R1011">
        <v>23.9</v>
      </c>
      <c r="S1011">
        <v>64</v>
      </c>
      <c r="T1011">
        <v>64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64</v>
      </c>
      <c r="AB1011">
        <v>6</v>
      </c>
      <c r="AC1011">
        <v>0</v>
      </c>
      <c r="AH1011">
        <v>93.9</v>
      </c>
    </row>
    <row r="1012" spans="1:34" x14ac:dyDescent="0.3">
      <c r="A1012" s="4">
        <v>1223</v>
      </c>
      <c r="B1012" s="5">
        <v>1005</v>
      </c>
      <c r="C1012">
        <v>5890</v>
      </c>
      <c r="D1012" t="s">
        <v>3534</v>
      </c>
      <c r="E1012" t="s">
        <v>41</v>
      </c>
      <c r="F1012" t="s">
        <v>9547</v>
      </c>
      <c r="G1012" t="s">
        <v>12707</v>
      </c>
      <c r="H1012">
        <v>16.63</v>
      </c>
      <c r="I1012">
        <v>0</v>
      </c>
      <c r="J1012">
        <v>0</v>
      </c>
      <c r="K1012">
        <v>0</v>
      </c>
      <c r="L1012">
        <v>7</v>
      </c>
      <c r="O1012">
        <v>7</v>
      </c>
      <c r="P1012">
        <v>0</v>
      </c>
      <c r="Q1012">
        <v>0</v>
      </c>
      <c r="R1012">
        <v>23.63</v>
      </c>
      <c r="S1012">
        <v>40</v>
      </c>
      <c r="T1012">
        <v>40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40</v>
      </c>
      <c r="AB1012">
        <v>3</v>
      </c>
      <c r="AC1012">
        <v>27.2</v>
      </c>
      <c r="AH1012">
        <v>93.83</v>
      </c>
    </row>
    <row r="1013" spans="1:34" x14ac:dyDescent="0.3">
      <c r="A1013" s="4">
        <v>1224</v>
      </c>
      <c r="B1013" s="5">
        <v>1006</v>
      </c>
      <c r="C1013">
        <v>546</v>
      </c>
      <c r="D1013" t="s">
        <v>12708</v>
      </c>
      <c r="E1013" t="s">
        <v>81</v>
      </c>
      <c r="F1013" t="s">
        <v>328</v>
      </c>
      <c r="G1013" t="s">
        <v>12709</v>
      </c>
      <c r="H1013">
        <v>19.600000000000001</v>
      </c>
      <c r="I1013">
        <v>0</v>
      </c>
      <c r="J1013">
        <v>40</v>
      </c>
      <c r="K1013">
        <v>20</v>
      </c>
      <c r="L1013">
        <v>7</v>
      </c>
      <c r="N1013">
        <v>3</v>
      </c>
      <c r="O1013">
        <v>10</v>
      </c>
      <c r="P1013">
        <v>4</v>
      </c>
      <c r="Q1013">
        <v>0</v>
      </c>
      <c r="R1013">
        <v>93.6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H1013">
        <v>93.6</v>
      </c>
    </row>
    <row r="1014" spans="1:34" x14ac:dyDescent="0.3">
      <c r="A1014" s="4">
        <v>1225</v>
      </c>
      <c r="B1014" s="5">
        <v>1007</v>
      </c>
      <c r="C1014">
        <v>10885</v>
      </c>
      <c r="D1014" t="s">
        <v>12710</v>
      </c>
      <c r="E1014" t="s">
        <v>208</v>
      </c>
      <c r="F1014" t="s">
        <v>34</v>
      </c>
      <c r="G1014" t="s">
        <v>12711</v>
      </c>
      <c r="H1014">
        <v>20.25</v>
      </c>
      <c r="I1014">
        <v>0</v>
      </c>
      <c r="J1014">
        <v>0</v>
      </c>
      <c r="K1014">
        <v>20</v>
      </c>
      <c r="L1014">
        <v>7</v>
      </c>
      <c r="O1014">
        <v>7</v>
      </c>
      <c r="P1014">
        <v>0</v>
      </c>
      <c r="Q1014">
        <v>2</v>
      </c>
      <c r="R1014">
        <v>49.25</v>
      </c>
      <c r="S1014">
        <v>44</v>
      </c>
      <c r="T1014">
        <v>44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44</v>
      </c>
      <c r="AB1014">
        <v>0</v>
      </c>
      <c r="AC1014">
        <v>0</v>
      </c>
      <c r="AE1014" t="s">
        <v>130</v>
      </c>
      <c r="AH1014">
        <v>93.25</v>
      </c>
    </row>
    <row r="1015" spans="1:34" x14ac:dyDescent="0.3">
      <c r="A1015" s="4">
        <v>1226</v>
      </c>
      <c r="B1015" s="5">
        <v>1008</v>
      </c>
      <c r="C1015">
        <v>10583</v>
      </c>
      <c r="D1015" t="s">
        <v>4454</v>
      </c>
      <c r="E1015" t="s">
        <v>12712</v>
      </c>
      <c r="F1015" t="s">
        <v>68</v>
      </c>
      <c r="G1015" t="s">
        <v>12713</v>
      </c>
      <c r="H1015">
        <v>20.13</v>
      </c>
      <c r="I1015">
        <v>0</v>
      </c>
      <c r="J1015">
        <v>0</v>
      </c>
      <c r="K1015">
        <v>20</v>
      </c>
      <c r="L1015">
        <v>7</v>
      </c>
      <c r="N1015">
        <v>3</v>
      </c>
      <c r="O1015">
        <v>10</v>
      </c>
      <c r="P1015">
        <v>4</v>
      </c>
      <c r="Q1015">
        <v>2</v>
      </c>
      <c r="R1015">
        <v>56.13</v>
      </c>
      <c r="S1015">
        <v>37</v>
      </c>
      <c r="T1015">
        <v>37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37</v>
      </c>
      <c r="AB1015">
        <v>0</v>
      </c>
      <c r="AC1015">
        <v>0</v>
      </c>
      <c r="AH1015">
        <v>93.13</v>
      </c>
    </row>
    <row r="1016" spans="1:34" x14ac:dyDescent="0.3">
      <c r="A1016" s="4">
        <v>1227</v>
      </c>
      <c r="B1016" s="5">
        <v>1009</v>
      </c>
      <c r="C1016">
        <v>6772</v>
      </c>
      <c r="D1016" t="s">
        <v>6492</v>
      </c>
      <c r="E1016" t="s">
        <v>166</v>
      </c>
      <c r="F1016" t="s">
        <v>81</v>
      </c>
      <c r="G1016" t="s">
        <v>12714</v>
      </c>
      <c r="H1016">
        <v>20.100000000000001</v>
      </c>
      <c r="I1016">
        <v>0</v>
      </c>
      <c r="J1016">
        <v>0</v>
      </c>
      <c r="K1016">
        <v>20</v>
      </c>
      <c r="L1016">
        <v>7</v>
      </c>
      <c r="M1016">
        <v>5</v>
      </c>
      <c r="O1016">
        <v>12</v>
      </c>
      <c r="P1016">
        <v>4</v>
      </c>
      <c r="Q1016">
        <v>2</v>
      </c>
      <c r="R1016">
        <v>58.1</v>
      </c>
      <c r="S1016">
        <v>35</v>
      </c>
      <c r="T1016">
        <v>35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35</v>
      </c>
      <c r="AB1016">
        <v>0</v>
      </c>
      <c r="AC1016">
        <v>0</v>
      </c>
      <c r="AH1016">
        <v>93.1</v>
      </c>
    </row>
    <row r="1017" spans="1:34" x14ac:dyDescent="0.3">
      <c r="A1017" s="4">
        <v>1228</v>
      </c>
      <c r="B1017" s="5">
        <v>1010</v>
      </c>
      <c r="C1017">
        <v>4884</v>
      </c>
      <c r="D1017" t="s">
        <v>12715</v>
      </c>
      <c r="E1017" t="s">
        <v>12716</v>
      </c>
      <c r="F1017" t="s">
        <v>124</v>
      </c>
      <c r="G1017" t="s">
        <v>12717</v>
      </c>
      <c r="H1017">
        <v>18.98</v>
      </c>
      <c r="I1017">
        <v>0</v>
      </c>
      <c r="J1017">
        <v>0</v>
      </c>
      <c r="K1017">
        <v>28</v>
      </c>
      <c r="N1017">
        <v>3</v>
      </c>
      <c r="O1017">
        <v>3</v>
      </c>
      <c r="P1017">
        <v>4</v>
      </c>
      <c r="Q1017">
        <v>2</v>
      </c>
      <c r="R1017">
        <v>55.98</v>
      </c>
      <c r="S1017">
        <v>37</v>
      </c>
      <c r="T1017">
        <v>37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37</v>
      </c>
      <c r="AB1017">
        <v>0</v>
      </c>
      <c r="AC1017">
        <v>0</v>
      </c>
      <c r="AH1017">
        <v>92.98</v>
      </c>
    </row>
    <row r="1018" spans="1:34" x14ac:dyDescent="0.3">
      <c r="A1018" s="4">
        <v>1229</v>
      </c>
      <c r="B1018" s="5">
        <v>1011</v>
      </c>
      <c r="C1018">
        <v>12619</v>
      </c>
      <c r="D1018" t="s">
        <v>769</v>
      </c>
      <c r="E1018" t="s">
        <v>88</v>
      </c>
      <c r="F1018" t="s">
        <v>892</v>
      </c>
      <c r="G1018" t="s">
        <v>12718</v>
      </c>
      <c r="H1018">
        <v>17.829999999999998</v>
      </c>
      <c r="I1018">
        <v>0</v>
      </c>
      <c r="J1018">
        <v>0</v>
      </c>
      <c r="K1018">
        <v>20</v>
      </c>
      <c r="L1018">
        <v>7</v>
      </c>
      <c r="O1018">
        <v>7</v>
      </c>
      <c r="P1018">
        <v>4</v>
      </c>
      <c r="Q1018">
        <v>2</v>
      </c>
      <c r="R1018">
        <v>50.83</v>
      </c>
      <c r="S1018">
        <v>42</v>
      </c>
      <c r="T1018">
        <v>42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42</v>
      </c>
      <c r="AB1018">
        <v>0</v>
      </c>
      <c r="AC1018">
        <v>0</v>
      </c>
      <c r="AH1018">
        <v>92.83</v>
      </c>
    </row>
    <row r="1019" spans="1:34" x14ac:dyDescent="0.3">
      <c r="A1019" s="4">
        <v>1230</v>
      </c>
      <c r="B1019" s="5">
        <v>1012</v>
      </c>
      <c r="C1019">
        <v>5931</v>
      </c>
      <c r="D1019" t="s">
        <v>12719</v>
      </c>
      <c r="E1019" t="s">
        <v>12720</v>
      </c>
      <c r="F1019" t="s">
        <v>17</v>
      </c>
      <c r="G1019" t="s">
        <v>12721</v>
      </c>
      <c r="H1019">
        <v>18.78</v>
      </c>
      <c r="I1019">
        <v>0</v>
      </c>
      <c r="J1019">
        <v>0</v>
      </c>
      <c r="K1019">
        <v>20</v>
      </c>
      <c r="L1019">
        <v>7</v>
      </c>
      <c r="M1019">
        <v>5</v>
      </c>
      <c r="O1019">
        <v>12</v>
      </c>
      <c r="P1019">
        <v>4</v>
      </c>
      <c r="Q1019">
        <v>0</v>
      </c>
      <c r="R1019">
        <v>54.78</v>
      </c>
      <c r="S1019">
        <v>38</v>
      </c>
      <c r="T1019">
        <v>38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38</v>
      </c>
      <c r="AB1019">
        <v>0</v>
      </c>
      <c r="AC1019">
        <v>0</v>
      </c>
      <c r="AH1019">
        <v>92.78</v>
      </c>
    </row>
    <row r="1020" spans="1:34" x14ac:dyDescent="0.3">
      <c r="A1020" s="4">
        <v>1231</v>
      </c>
      <c r="B1020" s="5">
        <v>1013</v>
      </c>
      <c r="C1020">
        <v>9866</v>
      </c>
      <c r="D1020" t="s">
        <v>12722</v>
      </c>
      <c r="E1020" t="s">
        <v>20</v>
      </c>
      <c r="F1020" t="s">
        <v>17</v>
      </c>
      <c r="G1020" t="s">
        <v>12723</v>
      </c>
      <c r="H1020">
        <v>16.5</v>
      </c>
      <c r="I1020">
        <v>0</v>
      </c>
      <c r="J1020">
        <v>0</v>
      </c>
      <c r="K1020">
        <v>20</v>
      </c>
      <c r="N1020">
        <v>3</v>
      </c>
      <c r="O1020">
        <v>3</v>
      </c>
      <c r="P1020">
        <v>4</v>
      </c>
      <c r="Q1020">
        <v>0</v>
      </c>
      <c r="R1020">
        <v>43.5</v>
      </c>
      <c r="S1020">
        <v>46</v>
      </c>
      <c r="T1020">
        <v>46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46</v>
      </c>
      <c r="AB1020">
        <v>3</v>
      </c>
      <c r="AC1020">
        <v>0</v>
      </c>
      <c r="AH1020">
        <v>92.5</v>
      </c>
    </row>
    <row r="1021" spans="1:34" x14ac:dyDescent="0.3">
      <c r="A1021" s="4">
        <v>1232</v>
      </c>
      <c r="B1021" s="5">
        <v>1014</v>
      </c>
      <c r="C1021">
        <v>5534</v>
      </c>
      <c r="D1021" t="s">
        <v>2672</v>
      </c>
      <c r="E1021" t="s">
        <v>132</v>
      </c>
      <c r="F1021" t="s">
        <v>652</v>
      </c>
      <c r="G1021" t="s">
        <v>12724</v>
      </c>
      <c r="H1021">
        <v>21.48</v>
      </c>
      <c r="I1021">
        <v>0</v>
      </c>
      <c r="J1021">
        <v>40</v>
      </c>
      <c r="K1021">
        <v>20</v>
      </c>
      <c r="L1021">
        <v>7</v>
      </c>
      <c r="O1021">
        <v>7</v>
      </c>
      <c r="P1021">
        <v>4</v>
      </c>
      <c r="Q1021">
        <v>0</v>
      </c>
      <c r="R1021">
        <v>92.48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H1021">
        <v>92.48</v>
      </c>
    </row>
    <row r="1022" spans="1:34" x14ac:dyDescent="0.3">
      <c r="A1022" s="4">
        <v>1233</v>
      </c>
      <c r="B1022" s="5">
        <v>1015</v>
      </c>
      <c r="C1022">
        <v>11122</v>
      </c>
      <c r="D1022" t="s">
        <v>12725</v>
      </c>
      <c r="E1022" t="s">
        <v>29</v>
      </c>
      <c r="F1022" t="s">
        <v>20</v>
      </c>
      <c r="G1022" t="s">
        <v>12726</v>
      </c>
      <c r="H1022">
        <v>20.38</v>
      </c>
      <c r="I1022">
        <v>0</v>
      </c>
      <c r="J1022">
        <v>0</v>
      </c>
      <c r="K1022">
        <v>20</v>
      </c>
      <c r="L1022">
        <v>7</v>
      </c>
      <c r="N1022">
        <v>3</v>
      </c>
      <c r="O1022">
        <v>10</v>
      </c>
      <c r="P1022">
        <v>4</v>
      </c>
      <c r="Q1022">
        <v>0</v>
      </c>
      <c r="R1022">
        <v>54.38</v>
      </c>
      <c r="S1022">
        <v>29</v>
      </c>
      <c r="T1022">
        <v>29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29</v>
      </c>
      <c r="AB1022">
        <v>9</v>
      </c>
      <c r="AC1022">
        <v>0</v>
      </c>
      <c r="AH1022">
        <v>92.38</v>
      </c>
    </row>
    <row r="1023" spans="1:34" x14ac:dyDescent="0.3">
      <c r="A1023" s="4">
        <v>1234</v>
      </c>
      <c r="B1023" s="5">
        <v>1016</v>
      </c>
      <c r="C1023">
        <v>3568</v>
      </c>
      <c r="D1023" t="s">
        <v>12727</v>
      </c>
      <c r="E1023" t="s">
        <v>161</v>
      </c>
      <c r="F1023" t="s">
        <v>587</v>
      </c>
      <c r="G1023" t="s">
        <v>12728</v>
      </c>
      <c r="H1023">
        <v>17.329999999999998</v>
      </c>
      <c r="I1023">
        <v>0</v>
      </c>
      <c r="J1023">
        <v>0</v>
      </c>
      <c r="K1023">
        <v>20</v>
      </c>
      <c r="N1023">
        <v>6</v>
      </c>
      <c r="O1023">
        <v>6</v>
      </c>
      <c r="P1023">
        <v>4</v>
      </c>
      <c r="Q1023">
        <v>2</v>
      </c>
      <c r="R1023">
        <v>49.33</v>
      </c>
      <c r="S1023">
        <v>40</v>
      </c>
      <c r="T1023">
        <v>40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40</v>
      </c>
      <c r="AB1023">
        <v>3</v>
      </c>
      <c r="AC1023">
        <v>0</v>
      </c>
      <c r="AH1023">
        <v>92.33</v>
      </c>
    </row>
    <row r="1024" spans="1:34" x14ac:dyDescent="0.3">
      <c r="A1024" s="4">
        <v>1235</v>
      </c>
      <c r="B1024" s="5">
        <v>1017</v>
      </c>
      <c r="C1024">
        <v>337</v>
      </c>
      <c r="D1024" t="s">
        <v>1827</v>
      </c>
      <c r="E1024" t="s">
        <v>110</v>
      </c>
      <c r="F1024" t="s">
        <v>136</v>
      </c>
      <c r="G1024" t="s">
        <v>12729</v>
      </c>
      <c r="H1024">
        <v>19.23</v>
      </c>
      <c r="I1024">
        <v>0</v>
      </c>
      <c r="J1024">
        <v>0</v>
      </c>
      <c r="K1024">
        <v>20</v>
      </c>
      <c r="L1024">
        <v>14</v>
      </c>
      <c r="O1024">
        <v>14</v>
      </c>
      <c r="P1024">
        <v>4</v>
      </c>
      <c r="Q1024">
        <v>0</v>
      </c>
      <c r="R1024">
        <v>57.23</v>
      </c>
      <c r="S1024">
        <v>35</v>
      </c>
      <c r="T1024">
        <v>35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35</v>
      </c>
      <c r="AB1024">
        <v>0</v>
      </c>
      <c r="AC1024">
        <v>0</v>
      </c>
      <c r="AH1024">
        <v>92.23</v>
      </c>
    </row>
    <row r="1025" spans="1:34" x14ac:dyDescent="0.3">
      <c r="A1025" s="4">
        <v>1236</v>
      </c>
      <c r="B1025" s="5">
        <v>1018</v>
      </c>
      <c r="C1025">
        <v>6608</v>
      </c>
      <c r="D1025" t="s">
        <v>12730</v>
      </c>
      <c r="E1025" t="s">
        <v>575</v>
      </c>
      <c r="F1025" t="s">
        <v>38</v>
      </c>
      <c r="G1025" t="s">
        <v>12731</v>
      </c>
      <c r="H1025">
        <v>18.05</v>
      </c>
      <c r="I1025">
        <v>0</v>
      </c>
      <c r="J1025">
        <v>0</v>
      </c>
      <c r="K1025">
        <v>20</v>
      </c>
      <c r="L1025">
        <v>7</v>
      </c>
      <c r="O1025">
        <v>7</v>
      </c>
      <c r="P1025">
        <v>4</v>
      </c>
      <c r="Q1025">
        <v>2</v>
      </c>
      <c r="R1025">
        <v>51.05</v>
      </c>
      <c r="S1025">
        <v>41</v>
      </c>
      <c r="T1025">
        <v>41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41</v>
      </c>
      <c r="AB1025">
        <v>0</v>
      </c>
      <c r="AC1025">
        <v>0</v>
      </c>
      <c r="AD1025" t="s">
        <v>130</v>
      </c>
      <c r="AH1025">
        <v>92.05</v>
      </c>
    </row>
    <row r="1026" spans="1:34" x14ac:dyDescent="0.3">
      <c r="A1026" s="4">
        <v>1237</v>
      </c>
      <c r="B1026" s="5">
        <v>1019</v>
      </c>
      <c r="C1026">
        <v>5171</v>
      </c>
      <c r="D1026" t="s">
        <v>12732</v>
      </c>
      <c r="E1026" t="s">
        <v>22</v>
      </c>
      <c r="F1026" t="s">
        <v>81</v>
      </c>
      <c r="G1026" t="s">
        <v>12733</v>
      </c>
      <c r="H1026">
        <v>19.03</v>
      </c>
      <c r="I1026">
        <v>0</v>
      </c>
      <c r="J1026">
        <v>40</v>
      </c>
      <c r="K1026">
        <v>20</v>
      </c>
      <c r="N1026">
        <v>3</v>
      </c>
      <c r="O1026">
        <v>3</v>
      </c>
      <c r="P1026">
        <v>4</v>
      </c>
      <c r="Q1026">
        <v>0</v>
      </c>
      <c r="R1026">
        <v>86.03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6</v>
      </c>
      <c r="AC1026">
        <v>0</v>
      </c>
      <c r="AH1026">
        <v>92.03</v>
      </c>
    </row>
    <row r="1027" spans="1:34" x14ac:dyDescent="0.3">
      <c r="A1027" s="4">
        <v>1238</v>
      </c>
      <c r="B1027" s="5">
        <v>1020</v>
      </c>
      <c r="C1027">
        <v>5359</v>
      </c>
      <c r="D1027" t="s">
        <v>12734</v>
      </c>
      <c r="E1027" t="s">
        <v>5447</v>
      </c>
      <c r="F1027" t="s">
        <v>5304</v>
      </c>
      <c r="G1027" t="s">
        <v>12735</v>
      </c>
      <c r="H1027">
        <v>18.8</v>
      </c>
      <c r="I1027">
        <v>0</v>
      </c>
      <c r="J1027">
        <v>0</v>
      </c>
      <c r="K1027">
        <v>20</v>
      </c>
      <c r="L1027">
        <v>7</v>
      </c>
      <c r="O1027">
        <v>7</v>
      </c>
      <c r="P1027">
        <v>4</v>
      </c>
      <c r="Q1027">
        <v>0</v>
      </c>
      <c r="R1027">
        <v>49.8</v>
      </c>
      <c r="S1027">
        <v>36</v>
      </c>
      <c r="T1027">
        <v>36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36</v>
      </c>
      <c r="AB1027">
        <v>6</v>
      </c>
      <c r="AC1027">
        <v>0</v>
      </c>
      <c r="AH1027">
        <v>91.8</v>
      </c>
    </row>
    <row r="1028" spans="1:34" x14ac:dyDescent="0.3">
      <c r="A1028" s="4">
        <v>1239</v>
      </c>
      <c r="B1028" s="5">
        <v>1021</v>
      </c>
      <c r="C1028">
        <v>1369</v>
      </c>
      <c r="D1028" t="s">
        <v>5985</v>
      </c>
      <c r="E1028" t="s">
        <v>12736</v>
      </c>
      <c r="F1028" t="s">
        <v>11853</v>
      </c>
      <c r="G1028" t="s">
        <v>12737</v>
      </c>
      <c r="H1028">
        <v>17.73</v>
      </c>
      <c r="I1028">
        <v>0</v>
      </c>
      <c r="J1028">
        <v>0</v>
      </c>
      <c r="K1028">
        <v>20</v>
      </c>
      <c r="M1028">
        <v>5</v>
      </c>
      <c r="N1028">
        <v>3</v>
      </c>
      <c r="O1028">
        <v>8</v>
      </c>
      <c r="P1028">
        <v>4</v>
      </c>
      <c r="Q1028">
        <v>0</v>
      </c>
      <c r="R1028">
        <v>49.73</v>
      </c>
      <c r="S1028">
        <v>22</v>
      </c>
      <c r="T1028">
        <v>22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22</v>
      </c>
      <c r="AB1028">
        <v>0</v>
      </c>
      <c r="AC1028">
        <v>20</v>
      </c>
      <c r="AH1028">
        <v>91.73</v>
      </c>
    </row>
    <row r="1029" spans="1:34" x14ac:dyDescent="0.3">
      <c r="A1029" s="4">
        <v>1240</v>
      </c>
      <c r="B1029" s="5">
        <v>1022</v>
      </c>
      <c r="C1029">
        <v>9779</v>
      </c>
      <c r="D1029" t="s">
        <v>4355</v>
      </c>
      <c r="E1029" t="s">
        <v>12738</v>
      </c>
      <c r="F1029" t="s">
        <v>167</v>
      </c>
      <c r="G1029" t="s">
        <v>12739</v>
      </c>
      <c r="H1029">
        <v>18.7</v>
      </c>
      <c r="I1029">
        <v>0</v>
      </c>
      <c r="J1029">
        <v>0</v>
      </c>
      <c r="K1029">
        <v>0</v>
      </c>
      <c r="L1029">
        <v>7</v>
      </c>
      <c r="O1029">
        <v>7</v>
      </c>
      <c r="P1029">
        <v>4</v>
      </c>
      <c r="Q1029">
        <v>2</v>
      </c>
      <c r="R1029">
        <v>31.7</v>
      </c>
      <c r="S1029">
        <v>54</v>
      </c>
      <c r="T1029">
        <v>54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54</v>
      </c>
      <c r="AB1029">
        <v>6</v>
      </c>
      <c r="AC1029">
        <v>0</v>
      </c>
      <c r="AH1029">
        <v>91.7</v>
      </c>
    </row>
    <row r="1030" spans="1:34" x14ac:dyDescent="0.3">
      <c r="A1030" s="4">
        <v>1241</v>
      </c>
      <c r="B1030" s="5">
        <v>1023</v>
      </c>
      <c r="C1030">
        <v>12038</v>
      </c>
      <c r="D1030" t="s">
        <v>12740</v>
      </c>
      <c r="E1030" t="s">
        <v>5850</v>
      </c>
      <c r="F1030" t="s">
        <v>117</v>
      </c>
      <c r="G1030" t="s">
        <v>12741</v>
      </c>
      <c r="H1030">
        <v>16.53</v>
      </c>
      <c r="I1030">
        <v>0</v>
      </c>
      <c r="J1030">
        <v>0</v>
      </c>
      <c r="K1030">
        <v>20</v>
      </c>
      <c r="N1030">
        <v>6</v>
      </c>
      <c r="O1030">
        <v>6</v>
      </c>
      <c r="P1030">
        <v>4</v>
      </c>
      <c r="Q1030">
        <v>0</v>
      </c>
      <c r="R1030">
        <v>46.53</v>
      </c>
      <c r="S1030">
        <v>36</v>
      </c>
      <c r="T1030">
        <v>36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36</v>
      </c>
      <c r="AB1030">
        <v>9</v>
      </c>
      <c r="AC1030">
        <v>0</v>
      </c>
      <c r="AH1030">
        <v>91.53</v>
      </c>
    </row>
    <row r="1031" spans="1:34" x14ac:dyDescent="0.3">
      <c r="A1031" s="4">
        <v>1242</v>
      </c>
      <c r="B1031" s="5">
        <v>1024</v>
      </c>
      <c r="C1031">
        <v>11650</v>
      </c>
      <c r="D1031" t="s">
        <v>3079</v>
      </c>
      <c r="E1031" t="s">
        <v>273</v>
      </c>
      <c r="F1031" t="s">
        <v>136</v>
      </c>
      <c r="G1031" t="s">
        <v>12742</v>
      </c>
      <c r="H1031">
        <v>18.53</v>
      </c>
      <c r="I1031">
        <v>0</v>
      </c>
      <c r="J1031">
        <v>40</v>
      </c>
      <c r="K1031">
        <v>0</v>
      </c>
      <c r="L1031">
        <v>7</v>
      </c>
      <c r="N1031">
        <v>3</v>
      </c>
      <c r="O1031">
        <v>10</v>
      </c>
      <c r="P1031">
        <v>4</v>
      </c>
      <c r="Q1031">
        <v>2</v>
      </c>
      <c r="R1031">
        <v>74.53</v>
      </c>
      <c r="S1031">
        <v>17</v>
      </c>
      <c r="T1031">
        <v>17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17</v>
      </c>
      <c r="AB1031">
        <v>0</v>
      </c>
      <c r="AC1031">
        <v>0</v>
      </c>
      <c r="AH1031">
        <v>91.53</v>
      </c>
    </row>
    <row r="1032" spans="1:34" x14ac:dyDescent="0.3">
      <c r="A1032" s="4">
        <v>1243</v>
      </c>
      <c r="B1032" s="5">
        <v>1025</v>
      </c>
      <c r="C1032">
        <v>10897</v>
      </c>
      <c r="D1032" t="s">
        <v>12743</v>
      </c>
      <c r="E1032" t="s">
        <v>789</v>
      </c>
      <c r="F1032" t="s">
        <v>17</v>
      </c>
      <c r="G1032" t="s">
        <v>12744</v>
      </c>
      <c r="H1032">
        <v>17.5</v>
      </c>
      <c r="I1032">
        <v>0</v>
      </c>
      <c r="J1032">
        <v>0</v>
      </c>
      <c r="K1032">
        <v>20</v>
      </c>
      <c r="L1032">
        <v>7</v>
      </c>
      <c r="M1032">
        <v>5</v>
      </c>
      <c r="O1032">
        <v>12</v>
      </c>
      <c r="P1032">
        <v>4</v>
      </c>
      <c r="Q1032">
        <v>0</v>
      </c>
      <c r="R1032">
        <v>53.5</v>
      </c>
      <c r="S1032">
        <v>35</v>
      </c>
      <c r="T1032">
        <v>35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35</v>
      </c>
      <c r="AB1032">
        <v>3</v>
      </c>
      <c r="AC1032">
        <v>0</v>
      </c>
      <c r="AH1032">
        <v>91.5</v>
      </c>
    </row>
    <row r="1033" spans="1:34" x14ac:dyDescent="0.3">
      <c r="A1033" s="4">
        <v>1244</v>
      </c>
      <c r="B1033" s="5">
        <v>1026</v>
      </c>
      <c r="C1033">
        <v>7818</v>
      </c>
      <c r="D1033" t="s">
        <v>12745</v>
      </c>
      <c r="E1033" t="s">
        <v>41</v>
      </c>
      <c r="F1033" t="s">
        <v>488</v>
      </c>
      <c r="G1033" t="s">
        <v>12746</v>
      </c>
      <c r="H1033">
        <v>19.329999999999998</v>
      </c>
      <c r="I1033">
        <v>0</v>
      </c>
      <c r="J1033">
        <v>0</v>
      </c>
      <c r="K1033">
        <v>20</v>
      </c>
      <c r="M1033">
        <v>5</v>
      </c>
      <c r="N1033">
        <v>3</v>
      </c>
      <c r="O1033">
        <v>8</v>
      </c>
      <c r="P1033">
        <v>4</v>
      </c>
      <c r="Q1033">
        <v>0</v>
      </c>
      <c r="R1033">
        <v>51.33</v>
      </c>
      <c r="S1033">
        <v>37</v>
      </c>
      <c r="T1033">
        <v>37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37</v>
      </c>
      <c r="AB1033">
        <v>3</v>
      </c>
      <c r="AC1033">
        <v>0</v>
      </c>
      <c r="AH1033">
        <v>91.33</v>
      </c>
    </row>
    <row r="1034" spans="1:34" x14ac:dyDescent="0.3">
      <c r="A1034" s="4">
        <v>1245</v>
      </c>
      <c r="B1034" s="5">
        <v>1027</v>
      </c>
      <c r="C1034">
        <v>7839</v>
      </c>
      <c r="D1034" t="s">
        <v>2365</v>
      </c>
      <c r="E1034" t="s">
        <v>935</v>
      </c>
      <c r="F1034" t="s">
        <v>38</v>
      </c>
      <c r="G1034" t="s">
        <v>12747</v>
      </c>
      <c r="H1034">
        <v>17.25</v>
      </c>
      <c r="I1034">
        <v>0</v>
      </c>
      <c r="J1034">
        <v>0</v>
      </c>
      <c r="K1034">
        <v>20</v>
      </c>
      <c r="L1034">
        <v>7</v>
      </c>
      <c r="M1034">
        <v>5</v>
      </c>
      <c r="O1034">
        <v>12</v>
      </c>
      <c r="P1034">
        <v>4</v>
      </c>
      <c r="Q1034">
        <v>0</v>
      </c>
      <c r="R1034">
        <v>53.25</v>
      </c>
      <c r="S1034">
        <v>38</v>
      </c>
      <c r="T1034">
        <v>38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38</v>
      </c>
      <c r="AB1034">
        <v>0</v>
      </c>
      <c r="AC1034">
        <v>0</v>
      </c>
      <c r="AH1034">
        <v>91.25</v>
      </c>
    </row>
    <row r="1035" spans="1:34" x14ac:dyDescent="0.3">
      <c r="A1035" s="4">
        <v>1246</v>
      </c>
      <c r="B1035" s="5">
        <v>1028</v>
      </c>
      <c r="C1035">
        <v>6447</v>
      </c>
      <c r="D1035" t="s">
        <v>12748</v>
      </c>
      <c r="E1035" t="s">
        <v>136</v>
      </c>
      <c r="F1035" t="s">
        <v>20</v>
      </c>
      <c r="G1035" t="s">
        <v>12749</v>
      </c>
      <c r="H1035">
        <v>19.95</v>
      </c>
      <c r="I1035">
        <v>0</v>
      </c>
      <c r="J1035">
        <v>0</v>
      </c>
      <c r="K1035">
        <v>20</v>
      </c>
      <c r="N1035">
        <v>3</v>
      </c>
      <c r="O1035">
        <v>3</v>
      </c>
      <c r="P1035">
        <v>4</v>
      </c>
      <c r="Q1035">
        <v>0</v>
      </c>
      <c r="R1035">
        <v>46.95</v>
      </c>
      <c r="S1035">
        <v>44</v>
      </c>
      <c r="T1035">
        <v>44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44</v>
      </c>
      <c r="AB1035">
        <v>0</v>
      </c>
      <c r="AC1035">
        <v>0</v>
      </c>
      <c r="AH1035">
        <v>90.95</v>
      </c>
    </row>
    <row r="1036" spans="1:34" x14ac:dyDescent="0.3">
      <c r="A1036" s="4">
        <v>1247</v>
      </c>
      <c r="B1036" s="5">
        <v>1029</v>
      </c>
      <c r="C1036">
        <v>5241</v>
      </c>
      <c r="D1036" t="s">
        <v>12750</v>
      </c>
      <c r="E1036" t="s">
        <v>38</v>
      </c>
      <c r="F1036" t="s">
        <v>58</v>
      </c>
      <c r="G1036" t="s">
        <v>12751</v>
      </c>
      <c r="H1036">
        <v>18.78</v>
      </c>
      <c r="I1036">
        <v>0</v>
      </c>
      <c r="J1036">
        <v>40</v>
      </c>
      <c r="K1036">
        <v>20</v>
      </c>
      <c r="L1036">
        <v>7</v>
      </c>
      <c r="O1036">
        <v>7</v>
      </c>
      <c r="P1036">
        <v>0</v>
      </c>
      <c r="Q1036">
        <v>2</v>
      </c>
      <c r="R1036">
        <v>87.78</v>
      </c>
      <c r="S1036">
        <v>3</v>
      </c>
      <c r="T1036">
        <v>3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3</v>
      </c>
      <c r="AB1036">
        <v>0</v>
      </c>
      <c r="AC1036">
        <v>0</v>
      </c>
      <c r="AH1036">
        <v>90.78</v>
      </c>
    </row>
    <row r="1037" spans="1:34" x14ac:dyDescent="0.3">
      <c r="A1037" s="4">
        <v>1248</v>
      </c>
      <c r="B1037" s="5">
        <v>1030</v>
      </c>
      <c r="C1037">
        <v>5767</v>
      </c>
      <c r="D1037" t="s">
        <v>12752</v>
      </c>
      <c r="E1037" t="s">
        <v>161</v>
      </c>
      <c r="F1037" t="s">
        <v>442</v>
      </c>
      <c r="G1037" t="s">
        <v>12753</v>
      </c>
      <c r="H1037">
        <v>20.68</v>
      </c>
      <c r="I1037">
        <v>0</v>
      </c>
      <c r="J1037">
        <v>0</v>
      </c>
      <c r="K1037">
        <v>0</v>
      </c>
      <c r="N1037">
        <v>6</v>
      </c>
      <c r="O1037">
        <v>6</v>
      </c>
      <c r="P1037">
        <v>4</v>
      </c>
      <c r="Q1037">
        <v>0</v>
      </c>
      <c r="R1037">
        <v>30.68</v>
      </c>
      <c r="S1037">
        <v>60</v>
      </c>
      <c r="T1037">
        <v>60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60</v>
      </c>
      <c r="AB1037">
        <v>0</v>
      </c>
      <c r="AC1037">
        <v>0</v>
      </c>
      <c r="AH1037">
        <v>90.68</v>
      </c>
    </row>
    <row r="1038" spans="1:34" x14ac:dyDescent="0.3">
      <c r="A1038" s="4">
        <v>1249</v>
      </c>
      <c r="B1038" s="5">
        <v>1031</v>
      </c>
      <c r="C1038">
        <v>9805</v>
      </c>
      <c r="D1038" t="s">
        <v>12754</v>
      </c>
      <c r="E1038" t="s">
        <v>29</v>
      </c>
      <c r="F1038" t="s">
        <v>20</v>
      </c>
      <c r="G1038" t="s">
        <v>12755</v>
      </c>
      <c r="H1038">
        <v>19.45</v>
      </c>
      <c r="I1038">
        <v>0</v>
      </c>
      <c r="J1038">
        <v>0</v>
      </c>
      <c r="K1038">
        <v>20</v>
      </c>
      <c r="M1038">
        <v>5</v>
      </c>
      <c r="N1038">
        <v>3</v>
      </c>
      <c r="O1038">
        <v>8</v>
      </c>
      <c r="P1038">
        <v>4</v>
      </c>
      <c r="Q1038">
        <v>2</v>
      </c>
      <c r="R1038">
        <v>53.45</v>
      </c>
      <c r="S1038">
        <v>31</v>
      </c>
      <c r="T1038">
        <v>31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31</v>
      </c>
      <c r="AB1038">
        <v>6</v>
      </c>
      <c r="AC1038">
        <v>0</v>
      </c>
      <c r="AD1038" t="s">
        <v>130</v>
      </c>
      <c r="AH1038">
        <v>90.45</v>
      </c>
    </row>
    <row r="1039" spans="1:34" x14ac:dyDescent="0.3">
      <c r="A1039" s="4">
        <v>1250</v>
      </c>
      <c r="B1039" s="5">
        <v>1032</v>
      </c>
      <c r="C1039">
        <v>11644</v>
      </c>
      <c r="D1039" t="s">
        <v>3724</v>
      </c>
      <c r="E1039" t="s">
        <v>1168</v>
      </c>
      <c r="F1039" t="s">
        <v>158</v>
      </c>
      <c r="G1039" t="s">
        <v>12756</v>
      </c>
      <c r="H1039">
        <v>19.25</v>
      </c>
      <c r="I1039">
        <v>0</v>
      </c>
      <c r="J1039">
        <v>0</v>
      </c>
      <c r="K1039">
        <v>20</v>
      </c>
      <c r="L1039">
        <v>7</v>
      </c>
      <c r="O1039">
        <v>7</v>
      </c>
      <c r="P1039">
        <v>4</v>
      </c>
      <c r="Q1039">
        <v>2</v>
      </c>
      <c r="R1039">
        <v>52.25</v>
      </c>
      <c r="S1039">
        <v>32</v>
      </c>
      <c r="T1039">
        <v>32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32</v>
      </c>
      <c r="AB1039">
        <v>6</v>
      </c>
      <c r="AC1039">
        <v>0</v>
      </c>
      <c r="AH1039">
        <v>90.25</v>
      </c>
    </row>
    <row r="1040" spans="1:34" x14ac:dyDescent="0.3">
      <c r="A1040" s="4">
        <v>1251</v>
      </c>
      <c r="B1040" s="5">
        <v>1033</v>
      </c>
      <c r="C1040">
        <v>4544</v>
      </c>
      <c r="D1040" t="s">
        <v>12757</v>
      </c>
      <c r="E1040" t="s">
        <v>170</v>
      </c>
      <c r="F1040" t="s">
        <v>91</v>
      </c>
      <c r="G1040" t="s">
        <v>12758</v>
      </c>
      <c r="H1040">
        <v>20.05</v>
      </c>
      <c r="I1040">
        <v>0</v>
      </c>
      <c r="J1040">
        <v>0</v>
      </c>
      <c r="K1040">
        <v>20</v>
      </c>
      <c r="L1040">
        <v>7</v>
      </c>
      <c r="N1040">
        <v>3</v>
      </c>
      <c r="O1040">
        <v>10</v>
      </c>
      <c r="P1040">
        <v>4</v>
      </c>
      <c r="Q1040">
        <v>0</v>
      </c>
      <c r="R1040">
        <v>54.05</v>
      </c>
      <c r="S1040">
        <v>33</v>
      </c>
      <c r="T1040">
        <v>33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33</v>
      </c>
      <c r="AB1040">
        <v>3</v>
      </c>
      <c r="AC1040">
        <v>0</v>
      </c>
      <c r="AH1040">
        <v>90.05</v>
      </c>
    </row>
    <row r="1041" spans="1:34" x14ac:dyDescent="0.3">
      <c r="A1041" s="4">
        <v>1252</v>
      </c>
      <c r="B1041" s="5">
        <v>1034</v>
      </c>
      <c r="C1041">
        <v>11135</v>
      </c>
      <c r="D1041" t="s">
        <v>4814</v>
      </c>
      <c r="E1041" t="s">
        <v>789</v>
      </c>
      <c r="F1041" t="s">
        <v>17</v>
      </c>
      <c r="G1041" t="s">
        <v>12759</v>
      </c>
      <c r="H1041">
        <v>20.05</v>
      </c>
      <c r="I1041">
        <v>0</v>
      </c>
      <c r="J1041">
        <v>0</v>
      </c>
      <c r="K1041">
        <v>20</v>
      </c>
      <c r="N1041">
        <v>3</v>
      </c>
      <c r="O1041">
        <v>3</v>
      </c>
      <c r="P1041">
        <v>4</v>
      </c>
      <c r="Q1041">
        <v>2</v>
      </c>
      <c r="R1041">
        <v>49.05</v>
      </c>
      <c r="S1041">
        <v>41</v>
      </c>
      <c r="T1041">
        <v>41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41</v>
      </c>
      <c r="AB1041">
        <v>0</v>
      </c>
      <c r="AC1041">
        <v>0</v>
      </c>
      <c r="AH1041">
        <v>90.05</v>
      </c>
    </row>
    <row r="1042" spans="1:34" x14ac:dyDescent="0.3">
      <c r="A1042" s="4">
        <v>1253</v>
      </c>
      <c r="B1042" s="5">
        <v>1035</v>
      </c>
      <c r="C1042">
        <v>9363</v>
      </c>
      <c r="D1042" t="s">
        <v>9709</v>
      </c>
      <c r="E1042" t="s">
        <v>41</v>
      </c>
      <c r="F1042" t="s">
        <v>927</v>
      </c>
      <c r="G1042" t="s">
        <v>12760</v>
      </c>
      <c r="H1042">
        <v>16.93</v>
      </c>
      <c r="I1042">
        <v>0</v>
      </c>
      <c r="J1042">
        <v>0</v>
      </c>
      <c r="K1042">
        <v>20</v>
      </c>
      <c r="M1042">
        <v>5</v>
      </c>
      <c r="O1042">
        <v>5</v>
      </c>
      <c r="P1042">
        <v>4</v>
      </c>
      <c r="Q1042">
        <v>2</v>
      </c>
      <c r="R1042">
        <v>47.93</v>
      </c>
      <c r="S1042">
        <v>42</v>
      </c>
      <c r="T1042">
        <v>42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42</v>
      </c>
      <c r="AB1042">
        <v>0</v>
      </c>
      <c r="AC1042">
        <v>0</v>
      </c>
      <c r="AD1042" t="s">
        <v>130</v>
      </c>
      <c r="AH1042">
        <v>89.93</v>
      </c>
    </row>
    <row r="1043" spans="1:34" x14ac:dyDescent="0.3">
      <c r="A1043" s="4">
        <v>1254</v>
      </c>
      <c r="B1043" s="5">
        <v>1036</v>
      </c>
      <c r="C1043">
        <v>5818</v>
      </c>
      <c r="D1043" t="s">
        <v>5646</v>
      </c>
      <c r="E1043" t="s">
        <v>12608</v>
      </c>
      <c r="F1043" t="s">
        <v>124</v>
      </c>
      <c r="G1043" t="s">
        <v>12761</v>
      </c>
      <c r="H1043">
        <v>19.350000000000001</v>
      </c>
      <c r="I1043">
        <v>0</v>
      </c>
      <c r="J1043">
        <v>0</v>
      </c>
      <c r="K1043">
        <v>20</v>
      </c>
      <c r="L1043">
        <v>7</v>
      </c>
      <c r="M1043">
        <v>5</v>
      </c>
      <c r="O1043">
        <v>12</v>
      </c>
      <c r="P1043">
        <v>4</v>
      </c>
      <c r="Q1043">
        <v>0</v>
      </c>
      <c r="R1043">
        <v>55.35</v>
      </c>
      <c r="S1043">
        <v>31</v>
      </c>
      <c r="T1043">
        <v>31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31</v>
      </c>
      <c r="AB1043">
        <v>3</v>
      </c>
      <c r="AC1043">
        <v>0</v>
      </c>
      <c r="AH1043">
        <v>89.35</v>
      </c>
    </row>
    <row r="1044" spans="1:34" x14ac:dyDescent="0.3">
      <c r="A1044" s="4">
        <v>1255</v>
      </c>
      <c r="B1044" s="5">
        <v>1037</v>
      </c>
      <c r="C1044">
        <v>9326</v>
      </c>
      <c r="D1044" t="s">
        <v>12762</v>
      </c>
      <c r="E1044" t="s">
        <v>26</v>
      </c>
      <c r="F1044" t="s">
        <v>20</v>
      </c>
      <c r="G1044" t="s">
        <v>12763</v>
      </c>
      <c r="H1044">
        <v>17.05</v>
      </c>
      <c r="I1044">
        <v>0</v>
      </c>
      <c r="J1044">
        <v>0</v>
      </c>
      <c r="K1044">
        <v>28</v>
      </c>
      <c r="L1044">
        <v>7</v>
      </c>
      <c r="O1044">
        <v>7</v>
      </c>
      <c r="P1044">
        <v>4</v>
      </c>
      <c r="Q1044">
        <v>2</v>
      </c>
      <c r="R1044">
        <v>58.05</v>
      </c>
      <c r="S1044">
        <v>31</v>
      </c>
      <c r="T1044">
        <v>31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31</v>
      </c>
      <c r="AB1044">
        <v>0</v>
      </c>
      <c r="AC1044">
        <v>0</v>
      </c>
      <c r="AH1044">
        <v>89.05</v>
      </c>
    </row>
    <row r="1045" spans="1:34" x14ac:dyDescent="0.3">
      <c r="A1045" s="4">
        <v>1256</v>
      </c>
      <c r="B1045" s="5">
        <v>1038</v>
      </c>
      <c r="C1045">
        <v>14523</v>
      </c>
      <c r="D1045" t="s">
        <v>3091</v>
      </c>
      <c r="E1045" t="s">
        <v>166</v>
      </c>
      <c r="F1045" t="s">
        <v>20</v>
      </c>
      <c r="G1045" t="s">
        <v>12764</v>
      </c>
      <c r="H1045">
        <v>17.03</v>
      </c>
      <c r="I1045">
        <v>0</v>
      </c>
      <c r="J1045">
        <v>0</v>
      </c>
      <c r="K1045">
        <v>20</v>
      </c>
      <c r="L1045">
        <v>7</v>
      </c>
      <c r="O1045">
        <v>7</v>
      </c>
      <c r="P1045">
        <v>4</v>
      </c>
      <c r="Q1045">
        <v>2</v>
      </c>
      <c r="R1045">
        <v>50.03</v>
      </c>
      <c r="S1045">
        <v>33</v>
      </c>
      <c r="T1045">
        <v>33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33</v>
      </c>
      <c r="AB1045">
        <v>6</v>
      </c>
      <c r="AC1045">
        <v>0</v>
      </c>
      <c r="AH1045">
        <v>89.03</v>
      </c>
    </row>
    <row r="1046" spans="1:34" x14ac:dyDescent="0.3">
      <c r="A1046" s="4">
        <v>1257</v>
      </c>
      <c r="B1046" s="5">
        <v>1039</v>
      </c>
      <c r="C1046">
        <v>631</v>
      </c>
      <c r="D1046" t="s">
        <v>12765</v>
      </c>
      <c r="E1046" t="s">
        <v>738</v>
      </c>
      <c r="F1046" t="s">
        <v>12766</v>
      </c>
      <c r="G1046" t="s">
        <v>12767</v>
      </c>
      <c r="H1046">
        <v>16.850000000000001</v>
      </c>
      <c r="I1046">
        <v>0</v>
      </c>
      <c r="J1046">
        <v>0</v>
      </c>
      <c r="K1046">
        <v>20</v>
      </c>
      <c r="L1046">
        <v>7</v>
      </c>
      <c r="O1046">
        <v>7</v>
      </c>
      <c r="P1046">
        <v>4</v>
      </c>
      <c r="Q1046">
        <v>2</v>
      </c>
      <c r="R1046">
        <v>49.85</v>
      </c>
      <c r="S1046">
        <v>39</v>
      </c>
      <c r="T1046">
        <v>39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39</v>
      </c>
      <c r="AB1046">
        <v>0</v>
      </c>
      <c r="AC1046">
        <v>0</v>
      </c>
      <c r="AH1046">
        <v>88.85</v>
      </c>
    </row>
    <row r="1047" spans="1:34" x14ac:dyDescent="0.3">
      <c r="A1047" s="4">
        <v>1258</v>
      </c>
      <c r="B1047" s="5">
        <v>1040</v>
      </c>
      <c r="C1047">
        <v>111</v>
      </c>
      <c r="D1047" t="s">
        <v>5251</v>
      </c>
      <c r="E1047" t="s">
        <v>1716</v>
      </c>
      <c r="F1047" t="s">
        <v>17</v>
      </c>
      <c r="G1047" t="s">
        <v>12768</v>
      </c>
      <c r="H1047">
        <v>19.829999999999998</v>
      </c>
      <c r="I1047">
        <v>0</v>
      </c>
      <c r="J1047">
        <v>0</v>
      </c>
      <c r="K1047">
        <v>20</v>
      </c>
      <c r="L1047">
        <v>7</v>
      </c>
      <c r="O1047">
        <v>7</v>
      </c>
      <c r="P1047">
        <v>4</v>
      </c>
      <c r="Q1047">
        <v>2</v>
      </c>
      <c r="R1047">
        <v>52.83</v>
      </c>
      <c r="S1047">
        <v>30</v>
      </c>
      <c r="T1047">
        <v>30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30</v>
      </c>
      <c r="AB1047">
        <v>6</v>
      </c>
      <c r="AC1047">
        <v>0</v>
      </c>
      <c r="AH1047">
        <v>88.83</v>
      </c>
    </row>
    <row r="1048" spans="1:34" x14ac:dyDescent="0.3">
      <c r="A1048" s="4">
        <v>1259</v>
      </c>
      <c r="B1048" s="5">
        <v>1041</v>
      </c>
      <c r="C1048">
        <v>2549</v>
      </c>
      <c r="D1048" t="s">
        <v>74</v>
      </c>
      <c r="E1048" t="s">
        <v>22</v>
      </c>
      <c r="F1048" t="s">
        <v>81</v>
      </c>
      <c r="G1048" t="s">
        <v>12769</v>
      </c>
      <c r="H1048">
        <v>16.829999999999998</v>
      </c>
      <c r="I1048">
        <v>0</v>
      </c>
      <c r="J1048">
        <v>0</v>
      </c>
      <c r="K1048">
        <v>20</v>
      </c>
      <c r="L1048">
        <v>7</v>
      </c>
      <c r="O1048">
        <v>7</v>
      </c>
      <c r="P1048">
        <v>4</v>
      </c>
      <c r="Q1048">
        <v>2</v>
      </c>
      <c r="R1048">
        <v>49.83</v>
      </c>
      <c r="S1048">
        <v>36</v>
      </c>
      <c r="T1048">
        <v>36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36</v>
      </c>
      <c r="AB1048">
        <v>3</v>
      </c>
      <c r="AC1048">
        <v>0</v>
      </c>
      <c r="AH1048">
        <v>88.83</v>
      </c>
    </row>
    <row r="1049" spans="1:34" x14ac:dyDescent="0.3">
      <c r="A1049" s="4">
        <v>1260</v>
      </c>
      <c r="B1049" s="5">
        <v>1042</v>
      </c>
      <c r="C1049">
        <v>13772</v>
      </c>
      <c r="D1049" t="s">
        <v>12770</v>
      </c>
      <c r="E1049" t="s">
        <v>173</v>
      </c>
      <c r="F1049" t="s">
        <v>58</v>
      </c>
      <c r="G1049" t="s">
        <v>12771</v>
      </c>
      <c r="H1049">
        <v>18.829999999999998</v>
      </c>
      <c r="I1049">
        <v>0</v>
      </c>
      <c r="J1049">
        <v>0</v>
      </c>
      <c r="K1049">
        <v>20</v>
      </c>
      <c r="L1049">
        <v>7</v>
      </c>
      <c r="N1049">
        <v>3</v>
      </c>
      <c r="O1049">
        <v>10</v>
      </c>
      <c r="P1049">
        <v>4</v>
      </c>
      <c r="Q1049">
        <v>2</v>
      </c>
      <c r="R1049">
        <v>54.83</v>
      </c>
      <c r="S1049">
        <v>34</v>
      </c>
      <c r="T1049">
        <v>34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34</v>
      </c>
      <c r="AB1049">
        <v>0</v>
      </c>
      <c r="AC1049">
        <v>0</v>
      </c>
      <c r="AH1049">
        <v>88.83</v>
      </c>
    </row>
    <row r="1050" spans="1:34" x14ac:dyDescent="0.3">
      <c r="A1050" s="4">
        <v>1261</v>
      </c>
      <c r="B1050" s="5">
        <v>1043</v>
      </c>
      <c r="C1050">
        <v>3446</v>
      </c>
      <c r="D1050" t="s">
        <v>11370</v>
      </c>
      <c r="E1050" t="s">
        <v>2843</v>
      </c>
      <c r="F1050" t="s">
        <v>20</v>
      </c>
      <c r="G1050" t="s">
        <v>12772</v>
      </c>
      <c r="H1050">
        <v>19.75</v>
      </c>
      <c r="I1050">
        <v>0</v>
      </c>
      <c r="J1050">
        <v>0</v>
      </c>
      <c r="K1050">
        <v>20</v>
      </c>
      <c r="N1050">
        <v>3</v>
      </c>
      <c r="O1050">
        <v>3</v>
      </c>
      <c r="P1050">
        <v>4</v>
      </c>
      <c r="Q1050">
        <v>0</v>
      </c>
      <c r="R1050">
        <v>46.75</v>
      </c>
      <c r="S1050">
        <v>42</v>
      </c>
      <c r="T1050">
        <v>42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42</v>
      </c>
      <c r="AB1050">
        <v>0</v>
      </c>
      <c r="AC1050">
        <v>0</v>
      </c>
      <c r="AH1050">
        <v>88.75</v>
      </c>
    </row>
    <row r="1051" spans="1:34" x14ac:dyDescent="0.3">
      <c r="A1051" s="4">
        <v>1262</v>
      </c>
      <c r="B1051" s="5">
        <v>1044</v>
      </c>
      <c r="C1051">
        <v>8189</v>
      </c>
      <c r="D1051" t="s">
        <v>12773</v>
      </c>
      <c r="E1051" t="s">
        <v>149</v>
      </c>
      <c r="F1051" t="s">
        <v>17</v>
      </c>
      <c r="G1051" t="s">
        <v>12774</v>
      </c>
      <c r="H1051">
        <v>23.68</v>
      </c>
      <c r="I1051">
        <v>0</v>
      </c>
      <c r="J1051">
        <v>0</v>
      </c>
      <c r="K1051">
        <v>20</v>
      </c>
      <c r="L1051">
        <v>7</v>
      </c>
      <c r="N1051">
        <v>3</v>
      </c>
      <c r="O1051">
        <v>10</v>
      </c>
      <c r="P1051">
        <v>4</v>
      </c>
      <c r="Q1051">
        <v>0</v>
      </c>
      <c r="R1051">
        <v>57.68</v>
      </c>
      <c r="S1051">
        <v>31</v>
      </c>
      <c r="T1051">
        <v>31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31</v>
      </c>
      <c r="AB1051">
        <v>0</v>
      </c>
      <c r="AC1051">
        <v>0</v>
      </c>
      <c r="AH1051">
        <v>88.68</v>
      </c>
    </row>
    <row r="1052" spans="1:34" x14ac:dyDescent="0.3">
      <c r="A1052" s="4">
        <v>1263</v>
      </c>
      <c r="B1052" s="5">
        <v>1045</v>
      </c>
      <c r="C1052">
        <v>8117</v>
      </c>
      <c r="D1052" t="s">
        <v>12775</v>
      </c>
      <c r="E1052" t="s">
        <v>88</v>
      </c>
      <c r="F1052" t="s">
        <v>17</v>
      </c>
      <c r="G1052" t="s">
        <v>32054</v>
      </c>
      <c r="H1052">
        <v>20.65</v>
      </c>
      <c r="I1052">
        <v>0</v>
      </c>
      <c r="J1052">
        <v>0</v>
      </c>
      <c r="K1052">
        <v>20</v>
      </c>
      <c r="L1052">
        <v>7</v>
      </c>
      <c r="N1052">
        <v>3</v>
      </c>
      <c r="O1052">
        <v>10</v>
      </c>
      <c r="P1052">
        <v>4</v>
      </c>
      <c r="Q1052">
        <v>2</v>
      </c>
      <c r="R1052">
        <v>56.65</v>
      </c>
      <c r="S1052">
        <v>29</v>
      </c>
      <c r="T1052">
        <v>29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29</v>
      </c>
      <c r="AB1052">
        <v>3</v>
      </c>
      <c r="AC1052">
        <v>0</v>
      </c>
      <c r="AH1052">
        <v>88.65</v>
      </c>
    </row>
    <row r="1053" spans="1:34" x14ac:dyDescent="0.3">
      <c r="A1053" s="4">
        <v>1264</v>
      </c>
      <c r="B1053" s="5">
        <v>1046</v>
      </c>
      <c r="C1053">
        <v>6302</v>
      </c>
      <c r="D1053" t="s">
        <v>12776</v>
      </c>
      <c r="E1053" t="s">
        <v>12777</v>
      </c>
      <c r="F1053" t="s">
        <v>649</v>
      </c>
      <c r="G1053" t="s">
        <v>12778</v>
      </c>
      <c r="H1053">
        <v>20.329999999999998</v>
      </c>
      <c r="I1053">
        <v>0</v>
      </c>
      <c r="J1053">
        <v>0</v>
      </c>
      <c r="K1053">
        <v>20</v>
      </c>
      <c r="L1053">
        <v>7</v>
      </c>
      <c r="O1053">
        <v>7</v>
      </c>
      <c r="P1053">
        <v>4</v>
      </c>
      <c r="Q1053">
        <v>2</v>
      </c>
      <c r="R1053">
        <v>53.33</v>
      </c>
      <c r="S1053">
        <v>35</v>
      </c>
      <c r="T1053">
        <v>35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35</v>
      </c>
      <c r="AB1053">
        <v>0</v>
      </c>
      <c r="AC1053">
        <v>0</v>
      </c>
      <c r="AH1053">
        <v>88.33</v>
      </c>
    </row>
    <row r="1054" spans="1:34" x14ac:dyDescent="0.3">
      <c r="A1054" s="4">
        <v>1265</v>
      </c>
      <c r="B1054" s="5">
        <v>1047</v>
      </c>
      <c r="C1054">
        <v>13137</v>
      </c>
      <c r="D1054" t="s">
        <v>12779</v>
      </c>
      <c r="E1054" t="s">
        <v>5767</v>
      </c>
      <c r="F1054" t="s">
        <v>81</v>
      </c>
      <c r="G1054" t="s">
        <v>12780</v>
      </c>
      <c r="H1054">
        <v>19.13</v>
      </c>
      <c r="I1054">
        <v>0</v>
      </c>
      <c r="J1054">
        <v>0</v>
      </c>
      <c r="K1054">
        <v>20</v>
      </c>
      <c r="N1054">
        <v>3</v>
      </c>
      <c r="O1054">
        <v>3</v>
      </c>
      <c r="P1054">
        <v>4</v>
      </c>
      <c r="Q1054">
        <v>2</v>
      </c>
      <c r="R1054">
        <v>48.13</v>
      </c>
      <c r="S1054">
        <v>34</v>
      </c>
      <c r="T1054">
        <v>34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34</v>
      </c>
      <c r="AB1054">
        <v>6</v>
      </c>
      <c r="AC1054">
        <v>0</v>
      </c>
      <c r="AH1054">
        <v>88.13</v>
      </c>
    </row>
    <row r="1055" spans="1:34" x14ac:dyDescent="0.3">
      <c r="A1055" s="4">
        <v>1266</v>
      </c>
      <c r="B1055" s="5">
        <v>1048</v>
      </c>
      <c r="C1055">
        <v>7141</v>
      </c>
      <c r="D1055" t="s">
        <v>12781</v>
      </c>
      <c r="E1055" t="s">
        <v>147</v>
      </c>
      <c r="F1055" t="s">
        <v>5807</v>
      </c>
      <c r="G1055" t="s">
        <v>12782</v>
      </c>
      <c r="H1055">
        <v>17.05</v>
      </c>
      <c r="I1055">
        <v>0</v>
      </c>
      <c r="J1055">
        <v>0</v>
      </c>
      <c r="K1055">
        <v>20</v>
      </c>
      <c r="L1055">
        <v>7</v>
      </c>
      <c r="O1055">
        <v>7</v>
      </c>
      <c r="P1055">
        <v>4</v>
      </c>
      <c r="Q1055">
        <v>2</v>
      </c>
      <c r="R1055">
        <v>50.05</v>
      </c>
      <c r="S1055">
        <v>18</v>
      </c>
      <c r="T1055">
        <v>18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18</v>
      </c>
      <c r="AB1055">
        <v>0</v>
      </c>
      <c r="AC1055">
        <v>20</v>
      </c>
      <c r="AH1055">
        <v>88.05</v>
      </c>
    </row>
    <row r="1056" spans="1:34" x14ac:dyDescent="0.3">
      <c r="A1056" s="4">
        <v>1267</v>
      </c>
      <c r="B1056" s="5">
        <v>1049</v>
      </c>
      <c r="C1056">
        <v>2903</v>
      </c>
      <c r="D1056" t="s">
        <v>12783</v>
      </c>
      <c r="E1056" t="s">
        <v>26</v>
      </c>
      <c r="F1056" t="s">
        <v>30</v>
      </c>
      <c r="G1056" t="s">
        <v>12784</v>
      </c>
      <c r="H1056">
        <v>19.03</v>
      </c>
      <c r="I1056">
        <v>0</v>
      </c>
      <c r="J1056">
        <v>0</v>
      </c>
      <c r="K1056">
        <v>20</v>
      </c>
      <c r="L1056">
        <v>7</v>
      </c>
      <c r="O1056">
        <v>7</v>
      </c>
      <c r="P1056">
        <v>4</v>
      </c>
      <c r="Q1056">
        <v>0</v>
      </c>
      <c r="R1056">
        <v>50.03</v>
      </c>
      <c r="S1056">
        <v>32</v>
      </c>
      <c r="T1056">
        <v>32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32</v>
      </c>
      <c r="AB1056">
        <v>6</v>
      </c>
      <c r="AC1056">
        <v>0</v>
      </c>
      <c r="AD1056" t="s">
        <v>130</v>
      </c>
      <c r="AH1056">
        <v>88.03</v>
      </c>
    </row>
    <row r="1057" spans="1:34" x14ac:dyDescent="0.3">
      <c r="A1057" s="4">
        <v>1268</v>
      </c>
      <c r="B1057" s="5">
        <v>1050</v>
      </c>
      <c r="C1057">
        <v>10479</v>
      </c>
      <c r="D1057" t="s">
        <v>12785</v>
      </c>
      <c r="E1057" t="s">
        <v>349</v>
      </c>
      <c r="F1057" t="s">
        <v>38</v>
      </c>
      <c r="G1057" t="s">
        <v>12786</v>
      </c>
      <c r="H1057">
        <v>16.03</v>
      </c>
      <c r="I1057">
        <v>0</v>
      </c>
      <c r="J1057">
        <v>0</v>
      </c>
      <c r="K1057">
        <v>20</v>
      </c>
      <c r="L1057">
        <v>7</v>
      </c>
      <c r="O1057">
        <v>7</v>
      </c>
      <c r="P1057">
        <v>4</v>
      </c>
      <c r="Q1057">
        <v>0</v>
      </c>
      <c r="R1057">
        <v>47.03</v>
      </c>
      <c r="S1057">
        <v>35</v>
      </c>
      <c r="T1057">
        <v>35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35</v>
      </c>
      <c r="AB1057">
        <v>6</v>
      </c>
      <c r="AC1057">
        <v>0</v>
      </c>
      <c r="AH1057">
        <v>88.03</v>
      </c>
    </row>
    <row r="1058" spans="1:34" x14ac:dyDescent="0.3">
      <c r="A1058" s="4">
        <v>1269</v>
      </c>
      <c r="B1058" s="5">
        <v>1051</v>
      </c>
      <c r="C1058">
        <v>13300</v>
      </c>
      <c r="D1058" t="s">
        <v>12787</v>
      </c>
      <c r="E1058" t="s">
        <v>161</v>
      </c>
      <c r="F1058" t="s">
        <v>30</v>
      </c>
      <c r="G1058" t="s">
        <v>12788</v>
      </c>
      <c r="H1058">
        <v>14.93</v>
      </c>
      <c r="I1058">
        <v>0</v>
      </c>
      <c r="J1058">
        <v>0</v>
      </c>
      <c r="K1058">
        <v>20</v>
      </c>
      <c r="L1058">
        <v>7</v>
      </c>
      <c r="O1058">
        <v>7</v>
      </c>
      <c r="P1058">
        <v>4</v>
      </c>
      <c r="Q1058">
        <v>0</v>
      </c>
      <c r="R1058">
        <v>45.93</v>
      </c>
      <c r="S1058">
        <v>42</v>
      </c>
      <c r="T1058">
        <v>42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42</v>
      </c>
      <c r="AB1058">
        <v>0</v>
      </c>
      <c r="AC1058">
        <v>0</v>
      </c>
      <c r="AH1058">
        <v>87.93</v>
      </c>
    </row>
    <row r="1059" spans="1:34" x14ac:dyDescent="0.3">
      <c r="A1059" s="4">
        <v>1270</v>
      </c>
      <c r="B1059" s="5">
        <v>1052</v>
      </c>
      <c r="C1059">
        <v>9841</v>
      </c>
      <c r="D1059" t="s">
        <v>12789</v>
      </c>
      <c r="E1059" t="s">
        <v>182</v>
      </c>
      <c r="F1059" t="s">
        <v>1090</v>
      </c>
      <c r="G1059" t="s">
        <v>12790</v>
      </c>
      <c r="H1059">
        <v>17.88</v>
      </c>
      <c r="I1059">
        <v>0</v>
      </c>
      <c r="J1059">
        <v>0</v>
      </c>
      <c r="K1059">
        <v>0</v>
      </c>
      <c r="N1059">
        <v>3</v>
      </c>
      <c r="O1059">
        <v>3</v>
      </c>
      <c r="P1059">
        <v>4</v>
      </c>
      <c r="Q1059">
        <v>0</v>
      </c>
      <c r="R1059">
        <v>24.88</v>
      </c>
      <c r="S1059">
        <v>63</v>
      </c>
      <c r="T1059">
        <v>63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63</v>
      </c>
      <c r="AB1059">
        <v>0</v>
      </c>
      <c r="AC1059">
        <v>0</v>
      </c>
      <c r="AH1059">
        <v>87.88</v>
      </c>
    </row>
    <row r="1060" spans="1:34" x14ac:dyDescent="0.3">
      <c r="A1060" s="4">
        <v>1271</v>
      </c>
      <c r="B1060" s="5">
        <v>1053</v>
      </c>
      <c r="C1060">
        <v>1589</v>
      </c>
      <c r="D1060" t="s">
        <v>12791</v>
      </c>
      <c r="E1060" t="s">
        <v>166</v>
      </c>
      <c r="F1060" t="s">
        <v>385</v>
      </c>
      <c r="G1060" t="s">
        <v>12792</v>
      </c>
      <c r="H1060">
        <v>17.579999999999998</v>
      </c>
      <c r="I1060">
        <v>0</v>
      </c>
      <c r="J1060">
        <v>0</v>
      </c>
      <c r="K1060">
        <v>20</v>
      </c>
      <c r="L1060">
        <v>7</v>
      </c>
      <c r="O1060">
        <v>7</v>
      </c>
      <c r="P1060">
        <v>4</v>
      </c>
      <c r="Q1060">
        <v>0</v>
      </c>
      <c r="R1060">
        <v>48.58</v>
      </c>
      <c r="S1060">
        <v>36</v>
      </c>
      <c r="T1060">
        <v>36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36</v>
      </c>
      <c r="AB1060">
        <v>3</v>
      </c>
      <c r="AC1060">
        <v>0</v>
      </c>
      <c r="AH1060">
        <v>87.58</v>
      </c>
    </row>
    <row r="1061" spans="1:34" x14ac:dyDescent="0.3">
      <c r="A1061" s="4">
        <v>1272</v>
      </c>
      <c r="B1061" s="5">
        <v>1054</v>
      </c>
      <c r="C1061">
        <v>8258</v>
      </c>
      <c r="D1061" t="s">
        <v>12793</v>
      </c>
      <c r="E1061" t="s">
        <v>132</v>
      </c>
      <c r="F1061" t="s">
        <v>243</v>
      </c>
      <c r="G1061" t="s">
        <v>12794</v>
      </c>
      <c r="H1061">
        <v>22.5</v>
      </c>
      <c r="I1061">
        <v>0</v>
      </c>
      <c r="J1061">
        <v>0</v>
      </c>
      <c r="K1061">
        <v>20</v>
      </c>
      <c r="L1061">
        <v>7</v>
      </c>
      <c r="O1061">
        <v>7</v>
      </c>
      <c r="P1061">
        <v>4</v>
      </c>
      <c r="Q1061">
        <v>0</v>
      </c>
      <c r="R1061">
        <v>53.5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34</v>
      </c>
      <c r="AH1061">
        <v>87.5</v>
      </c>
    </row>
    <row r="1062" spans="1:34" x14ac:dyDescent="0.3">
      <c r="A1062" s="4">
        <v>1273</v>
      </c>
      <c r="B1062" s="5">
        <v>1055</v>
      </c>
      <c r="C1062">
        <v>6690</v>
      </c>
      <c r="D1062" t="s">
        <v>12795</v>
      </c>
      <c r="E1062" t="s">
        <v>1426</v>
      </c>
      <c r="F1062" t="s">
        <v>20</v>
      </c>
      <c r="G1062" t="s">
        <v>12796</v>
      </c>
      <c r="H1062">
        <v>17.5</v>
      </c>
      <c r="I1062">
        <v>0</v>
      </c>
      <c r="J1062">
        <v>0</v>
      </c>
      <c r="K1062">
        <v>20</v>
      </c>
      <c r="L1062">
        <v>14</v>
      </c>
      <c r="O1062">
        <v>14</v>
      </c>
      <c r="P1062">
        <v>4</v>
      </c>
      <c r="Q1062">
        <v>0</v>
      </c>
      <c r="R1062">
        <v>55.5</v>
      </c>
      <c r="S1062">
        <v>32</v>
      </c>
      <c r="T1062">
        <v>32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32</v>
      </c>
      <c r="AB1062">
        <v>0</v>
      </c>
      <c r="AC1062">
        <v>0</v>
      </c>
      <c r="AH1062">
        <v>87.5</v>
      </c>
    </row>
    <row r="1063" spans="1:34" x14ac:dyDescent="0.3">
      <c r="A1063" s="4">
        <v>1274</v>
      </c>
      <c r="B1063" s="5">
        <v>1056</v>
      </c>
      <c r="C1063">
        <v>15480</v>
      </c>
      <c r="D1063" t="s">
        <v>12797</v>
      </c>
      <c r="E1063" t="s">
        <v>12798</v>
      </c>
      <c r="F1063" t="s">
        <v>1526</v>
      </c>
      <c r="G1063" t="s">
        <v>12799</v>
      </c>
      <c r="H1063">
        <v>20.5</v>
      </c>
      <c r="I1063">
        <v>0</v>
      </c>
      <c r="J1063">
        <v>0</v>
      </c>
      <c r="K1063">
        <v>20</v>
      </c>
      <c r="L1063">
        <v>7</v>
      </c>
      <c r="O1063">
        <v>7</v>
      </c>
      <c r="P1063">
        <v>4</v>
      </c>
      <c r="Q1063">
        <v>0</v>
      </c>
      <c r="R1063">
        <v>51.5</v>
      </c>
      <c r="S1063">
        <v>36</v>
      </c>
      <c r="T1063">
        <v>36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36</v>
      </c>
      <c r="AB1063">
        <v>0</v>
      </c>
      <c r="AC1063">
        <v>0</v>
      </c>
      <c r="AH1063">
        <v>87.5</v>
      </c>
    </row>
    <row r="1064" spans="1:34" x14ac:dyDescent="0.3">
      <c r="A1064" s="4">
        <v>1275</v>
      </c>
      <c r="B1064" s="5">
        <v>1057</v>
      </c>
      <c r="C1064">
        <v>14041</v>
      </c>
      <c r="D1064" t="s">
        <v>12800</v>
      </c>
      <c r="E1064" t="s">
        <v>41</v>
      </c>
      <c r="F1064" t="s">
        <v>17</v>
      </c>
      <c r="G1064" t="s">
        <v>12801</v>
      </c>
      <c r="H1064">
        <v>20.45</v>
      </c>
      <c r="I1064">
        <v>0</v>
      </c>
      <c r="J1064">
        <v>0</v>
      </c>
      <c r="K1064">
        <v>20</v>
      </c>
      <c r="L1064">
        <v>7</v>
      </c>
      <c r="N1064">
        <v>3</v>
      </c>
      <c r="O1064">
        <v>10</v>
      </c>
      <c r="P1064">
        <v>4</v>
      </c>
      <c r="Q1064">
        <v>0</v>
      </c>
      <c r="R1064">
        <v>54.45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3</v>
      </c>
      <c r="AC1064">
        <v>30</v>
      </c>
      <c r="AH1064">
        <v>87.45</v>
      </c>
    </row>
    <row r="1065" spans="1:34" x14ac:dyDescent="0.3">
      <c r="A1065" s="4">
        <v>1276</v>
      </c>
      <c r="B1065" s="5">
        <v>1058</v>
      </c>
      <c r="C1065">
        <v>11531</v>
      </c>
      <c r="D1065" t="s">
        <v>12802</v>
      </c>
      <c r="E1065" t="s">
        <v>740</v>
      </c>
      <c r="F1065" t="s">
        <v>14</v>
      </c>
      <c r="G1065" t="s">
        <v>12803</v>
      </c>
      <c r="H1065">
        <v>18.45</v>
      </c>
      <c r="I1065">
        <v>0</v>
      </c>
      <c r="J1065">
        <v>0</v>
      </c>
      <c r="K1065">
        <v>20</v>
      </c>
      <c r="N1065">
        <v>3</v>
      </c>
      <c r="O1065">
        <v>3</v>
      </c>
      <c r="P1065">
        <v>4</v>
      </c>
      <c r="Q1065">
        <v>2</v>
      </c>
      <c r="R1065">
        <v>47.45</v>
      </c>
      <c r="S1065">
        <v>40</v>
      </c>
      <c r="T1065">
        <v>40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40</v>
      </c>
      <c r="AB1065">
        <v>0</v>
      </c>
      <c r="AC1065">
        <v>0</v>
      </c>
      <c r="AH1065">
        <v>87.45</v>
      </c>
    </row>
    <row r="1066" spans="1:34" x14ac:dyDescent="0.3">
      <c r="A1066" s="4">
        <v>1277</v>
      </c>
      <c r="B1066" s="5">
        <v>1059</v>
      </c>
      <c r="C1066">
        <v>12056</v>
      </c>
      <c r="D1066" t="s">
        <v>12804</v>
      </c>
      <c r="E1066" t="s">
        <v>100</v>
      </c>
      <c r="F1066" t="s">
        <v>81</v>
      </c>
      <c r="G1066" t="s">
        <v>12805</v>
      </c>
      <c r="H1066">
        <v>17.350000000000001</v>
      </c>
      <c r="I1066">
        <v>0</v>
      </c>
      <c r="J1066">
        <v>0</v>
      </c>
      <c r="K1066">
        <v>20</v>
      </c>
      <c r="L1066">
        <v>7</v>
      </c>
      <c r="O1066">
        <v>7</v>
      </c>
      <c r="P1066">
        <v>4</v>
      </c>
      <c r="Q1066">
        <v>2</v>
      </c>
      <c r="R1066">
        <v>50.35</v>
      </c>
      <c r="S1066">
        <v>37</v>
      </c>
      <c r="T1066">
        <v>37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37</v>
      </c>
      <c r="AB1066">
        <v>0</v>
      </c>
      <c r="AC1066">
        <v>0</v>
      </c>
      <c r="AH1066">
        <v>87.35</v>
      </c>
    </row>
    <row r="1067" spans="1:34" x14ac:dyDescent="0.3">
      <c r="A1067" s="4">
        <v>1278</v>
      </c>
      <c r="B1067" s="5">
        <v>1060</v>
      </c>
      <c r="C1067">
        <v>1456</v>
      </c>
      <c r="D1067" t="s">
        <v>12806</v>
      </c>
      <c r="E1067" t="s">
        <v>166</v>
      </c>
      <c r="F1067" t="s">
        <v>158</v>
      </c>
      <c r="G1067" t="s">
        <v>12807</v>
      </c>
      <c r="H1067">
        <v>18.28</v>
      </c>
      <c r="I1067">
        <v>0</v>
      </c>
      <c r="J1067">
        <v>0</v>
      </c>
      <c r="K1067">
        <v>20</v>
      </c>
      <c r="L1067">
        <v>7</v>
      </c>
      <c r="M1067">
        <v>5</v>
      </c>
      <c r="O1067">
        <v>12</v>
      </c>
      <c r="P1067">
        <v>4</v>
      </c>
      <c r="Q1067">
        <v>2</v>
      </c>
      <c r="R1067">
        <v>56.28</v>
      </c>
      <c r="S1067">
        <v>31</v>
      </c>
      <c r="T1067">
        <v>31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31</v>
      </c>
      <c r="AB1067">
        <v>0</v>
      </c>
      <c r="AC1067">
        <v>0</v>
      </c>
      <c r="AD1067" t="s">
        <v>130</v>
      </c>
      <c r="AH1067">
        <v>87.28</v>
      </c>
    </row>
    <row r="1068" spans="1:34" x14ac:dyDescent="0.3">
      <c r="A1068" s="4">
        <v>1279</v>
      </c>
      <c r="B1068" s="5">
        <v>1061</v>
      </c>
      <c r="C1068">
        <v>6023</v>
      </c>
      <c r="D1068" t="s">
        <v>3266</v>
      </c>
      <c r="E1068" t="s">
        <v>613</v>
      </c>
      <c r="F1068" t="s">
        <v>38</v>
      </c>
      <c r="G1068" t="s">
        <v>12808</v>
      </c>
      <c r="H1068">
        <v>16.18</v>
      </c>
      <c r="I1068">
        <v>0</v>
      </c>
      <c r="J1068">
        <v>0</v>
      </c>
      <c r="K1068">
        <v>0</v>
      </c>
      <c r="L1068">
        <v>7</v>
      </c>
      <c r="O1068">
        <v>7</v>
      </c>
      <c r="P1068">
        <v>4</v>
      </c>
      <c r="Q1068">
        <v>0</v>
      </c>
      <c r="R1068">
        <v>27.18</v>
      </c>
      <c r="S1068">
        <v>48</v>
      </c>
      <c r="T1068">
        <v>48</v>
      </c>
      <c r="U1068">
        <v>3</v>
      </c>
      <c r="V1068">
        <v>6</v>
      </c>
      <c r="W1068">
        <v>0</v>
      </c>
      <c r="X1068">
        <v>0</v>
      </c>
      <c r="Y1068">
        <v>0</v>
      </c>
      <c r="Z1068">
        <v>0</v>
      </c>
      <c r="AA1068">
        <v>54</v>
      </c>
      <c r="AB1068">
        <v>6</v>
      </c>
      <c r="AC1068">
        <v>0</v>
      </c>
      <c r="AH1068">
        <v>87.18</v>
      </c>
    </row>
    <row r="1069" spans="1:34" x14ac:dyDescent="0.3">
      <c r="A1069" s="4">
        <v>1280</v>
      </c>
      <c r="B1069" s="5">
        <v>1062</v>
      </c>
      <c r="C1069">
        <v>9679</v>
      </c>
      <c r="D1069" t="s">
        <v>12809</v>
      </c>
      <c r="E1069" t="s">
        <v>54</v>
      </c>
      <c r="F1069" t="s">
        <v>136</v>
      </c>
      <c r="G1069" t="s">
        <v>12810</v>
      </c>
      <c r="H1069">
        <v>19.149999999999999</v>
      </c>
      <c r="I1069">
        <v>0</v>
      </c>
      <c r="J1069">
        <v>0</v>
      </c>
      <c r="K1069">
        <v>20</v>
      </c>
      <c r="L1069">
        <v>7</v>
      </c>
      <c r="O1069">
        <v>7</v>
      </c>
      <c r="P1069">
        <v>4</v>
      </c>
      <c r="Q1069">
        <v>2</v>
      </c>
      <c r="R1069">
        <v>52.15</v>
      </c>
      <c r="S1069">
        <v>32</v>
      </c>
      <c r="T1069">
        <v>32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32</v>
      </c>
      <c r="AB1069">
        <v>3</v>
      </c>
      <c r="AC1069">
        <v>0</v>
      </c>
      <c r="AH1069">
        <v>87.15</v>
      </c>
    </row>
    <row r="1070" spans="1:34" x14ac:dyDescent="0.3">
      <c r="A1070" s="4">
        <v>1281</v>
      </c>
      <c r="B1070" s="5">
        <v>1063</v>
      </c>
      <c r="C1070">
        <v>12055</v>
      </c>
      <c r="D1070" t="s">
        <v>226</v>
      </c>
      <c r="E1070" t="s">
        <v>12811</v>
      </c>
      <c r="F1070" t="s">
        <v>442</v>
      </c>
      <c r="G1070" t="s">
        <v>12812</v>
      </c>
      <c r="H1070">
        <v>18</v>
      </c>
      <c r="I1070">
        <v>0</v>
      </c>
      <c r="J1070">
        <v>0</v>
      </c>
      <c r="K1070">
        <v>20</v>
      </c>
      <c r="L1070">
        <v>7</v>
      </c>
      <c r="O1070">
        <v>7</v>
      </c>
      <c r="P1070">
        <v>4</v>
      </c>
      <c r="Q1070">
        <v>2</v>
      </c>
      <c r="R1070">
        <v>51</v>
      </c>
      <c r="S1070">
        <v>33</v>
      </c>
      <c r="T1070">
        <v>33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33</v>
      </c>
      <c r="AB1070">
        <v>3</v>
      </c>
      <c r="AC1070">
        <v>0</v>
      </c>
      <c r="AH1070">
        <v>87</v>
      </c>
    </row>
    <row r="1071" spans="1:34" x14ac:dyDescent="0.3">
      <c r="A1071" s="4">
        <v>1282</v>
      </c>
      <c r="B1071" s="5">
        <v>1064</v>
      </c>
      <c r="C1071">
        <v>423</v>
      </c>
      <c r="D1071" t="s">
        <v>12813</v>
      </c>
      <c r="E1071" t="s">
        <v>12814</v>
      </c>
      <c r="F1071" t="s">
        <v>20</v>
      </c>
      <c r="G1071" t="s">
        <v>12815</v>
      </c>
      <c r="H1071">
        <v>21.73</v>
      </c>
      <c r="I1071">
        <v>0</v>
      </c>
      <c r="J1071">
        <v>0</v>
      </c>
      <c r="K1071">
        <v>20</v>
      </c>
      <c r="L1071">
        <v>7</v>
      </c>
      <c r="O1071">
        <v>7</v>
      </c>
      <c r="P1071">
        <v>4</v>
      </c>
      <c r="Q1071">
        <v>2</v>
      </c>
      <c r="R1071">
        <v>54.73</v>
      </c>
      <c r="S1071">
        <v>26</v>
      </c>
      <c r="T1071">
        <v>26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26</v>
      </c>
      <c r="AB1071">
        <v>6</v>
      </c>
      <c r="AC1071">
        <v>0</v>
      </c>
      <c r="AH1071">
        <v>86.73</v>
      </c>
    </row>
    <row r="1072" spans="1:34" x14ac:dyDescent="0.3">
      <c r="A1072" s="4">
        <v>1283</v>
      </c>
      <c r="B1072" s="5">
        <v>1065</v>
      </c>
      <c r="C1072">
        <v>7502</v>
      </c>
      <c r="D1072" t="s">
        <v>12816</v>
      </c>
      <c r="E1072" t="s">
        <v>161</v>
      </c>
      <c r="F1072" t="s">
        <v>38</v>
      </c>
      <c r="G1072" t="s">
        <v>12817</v>
      </c>
      <c r="H1072">
        <v>19.73</v>
      </c>
      <c r="I1072">
        <v>0</v>
      </c>
      <c r="J1072">
        <v>0</v>
      </c>
      <c r="K1072">
        <v>20</v>
      </c>
      <c r="L1072">
        <v>14</v>
      </c>
      <c r="O1072">
        <v>14</v>
      </c>
      <c r="P1072">
        <v>4</v>
      </c>
      <c r="Q1072">
        <v>2</v>
      </c>
      <c r="R1072">
        <v>59.73</v>
      </c>
      <c r="S1072">
        <v>27</v>
      </c>
      <c r="T1072">
        <v>27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27</v>
      </c>
      <c r="AB1072">
        <v>0</v>
      </c>
      <c r="AC1072">
        <v>0</v>
      </c>
      <c r="AE1072" t="s">
        <v>130</v>
      </c>
      <c r="AH1072">
        <v>86.73</v>
      </c>
    </row>
    <row r="1073" spans="1:34" x14ac:dyDescent="0.3">
      <c r="A1073" s="4">
        <v>1284</v>
      </c>
      <c r="B1073" s="5">
        <v>1066</v>
      </c>
      <c r="C1073">
        <v>10286</v>
      </c>
      <c r="D1073" t="s">
        <v>468</v>
      </c>
      <c r="E1073" t="s">
        <v>613</v>
      </c>
      <c r="F1073" t="s">
        <v>17</v>
      </c>
      <c r="G1073" t="s">
        <v>12818</v>
      </c>
      <c r="H1073">
        <v>19.73</v>
      </c>
      <c r="I1073">
        <v>0</v>
      </c>
      <c r="J1073">
        <v>0</v>
      </c>
      <c r="K1073">
        <v>20</v>
      </c>
      <c r="L1073">
        <v>7</v>
      </c>
      <c r="M1073">
        <v>5</v>
      </c>
      <c r="O1073">
        <v>12</v>
      </c>
      <c r="P1073">
        <v>4</v>
      </c>
      <c r="Q1073">
        <v>2</v>
      </c>
      <c r="R1073">
        <v>57.73</v>
      </c>
      <c r="S1073">
        <v>29</v>
      </c>
      <c r="T1073">
        <v>29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29</v>
      </c>
      <c r="AB1073">
        <v>0</v>
      </c>
      <c r="AC1073">
        <v>0</v>
      </c>
      <c r="AH1073">
        <v>86.73</v>
      </c>
    </row>
    <row r="1074" spans="1:34" x14ac:dyDescent="0.3">
      <c r="A1074" s="4">
        <v>1285</v>
      </c>
      <c r="B1074" s="5">
        <v>1067</v>
      </c>
      <c r="C1074">
        <v>8166</v>
      </c>
      <c r="D1074" t="s">
        <v>12819</v>
      </c>
      <c r="E1074" t="s">
        <v>12820</v>
      </c>
      <c r="F1074" t="s">
        <v>259</v>
      </c>
      <c r="G1074" t="s">
        <v>12821</v>
      </c>
      <c r="H1074">
        <v>19.45</v>
      </c>
      <c r="I1074">
        <v>0</v>
      </c>
      <c r="J1074">
        <v>40</v>
      </c>
      <c r="K1074">
        <v>20</v>
      </c>
      <c r="L1074">
        <v>7</v>
      </c>
      <c r="O1074">
        <v>7</v>
      </c>
      <c r="P1074">
        <v>0</v>
      </c>
      <c r="Q1074">
        <v>0</v>
      </c>
      <c r="R1074">
        <v>86.45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H1074">
        <v>86.45</v>
      </c>
    </row>
    <row r="1075" spans="1:34" x14ac:dyDescent="0.3">
      <c r="A1075" s="4">
        <v>1286</v>
      </c>
      <c r="B1075" s="5">
        <v>1068</v>
      </c>
      <c r="C1075">
        <v>12898</v>
      </c>
      <c r="D1075" t="s">
        <v>12822</v>
      </c>
      <c r="E1075" t="s">
        <v>12075</v>
      </c>
      <c r="F1075" t="s">
        <v>124</v>
      </c>
      <c r="G1075" t="s">
        <v>12823</v>
      </c>
      <c r="H1075">
        <v>21.28</v>
      </c>
      <c r="I1075">
        <v>0</v>
      </c>
      <c r="J1075">
        <v>0</v>
      </c>
      <c r="K1075">
        <v>20</v>
      </c>
      <c r="L1075">
        <v>14</v>
      </c>
      <c r="O1075">
        <v>14</v>
      </c>
      <c r="P1075">
        <v>4</v>
      </c>
      <c r="Q1075">
        <v>0</v>
      </c>
      <c r="R1075">
        <v>59.28</v>
      </c>
      <c r="S1075">
        <v>1</v>
      </c>
      <c r="T1075">
        <v>1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1</v>
      </c>
      <c r="AB1075">
        <v>6</v>
      </c>
      <c r="AC1075">
        <v>20</v>
      </c>
      <c r="AH1075">
        <v>86.28</v>
      </c>
    </row>
    <row r="1076" spans="1:34" x14ac:dyDescent="0.3">
      <c r="A1076" s="4">
        <v>1287</v>
      </c>
      <c r="B1076" s="5">
        <v>1069</v>
      </c>
      <c r="C1076">
        <v>1726</v>
      </c>
      <c r="D1076" t="s">
        <v>12824</v>
      </c>
      <c r="E1076" t="s">
        <v>88</v>
      </c>
      <c r="F1076" t="s">
        <v>38</v>
      </c>
      <c r="G1076" t="s">
        <v>12825</v>
      </c>
      <c r="H1076">
        <v>16.23</v>
      </c>
      <c r="I1076">
        <v>0</v>
      </c>
      <c r="J1076">
        <v>0</v>
      </c>
      <c r="K1076">
        <v>28</v>
      </c>
      <c r="L1076">
        <v>7</v>
      </c>
      <c r="N1076">
        <v>3</v>
      </c>
      <c r="O1076">
        <v>10</v>
      </c>
      <c r="P1076">
        <v>4</v>
      </c>
      <c r="Q1076">
        <v>0</v>
      </c>
      <c r="R1076">
        <v>58.23</v>
      </c>
      <c r="S1076">
        <v>22</v>
      </c>
      <c r="T1076">
        <v>22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22</v>
      </c>
      <c r="AB1076">
        <v>6</v>
      </c>
      <c r="AC1076">
        <v>0</v>
      </c>
      <c r="AH1076">
        <v>86.23</v>
      </c>
    </row>
    <row r="1077" spans="1:34" x14ac:dyDescent="0.3">
      <c r="A1077" s="4">
        <v>1288</v>
      </c>
      <c r="B1077" s="5">
        <v>1070</v>
      </c>
      <c r="C1077">
        <v>2366</v>
      </c>
      <c r="D1077" t="s">
        <v>12826</v>
      </c>
      <c r="E1077" t="s">
        <v>3331</v>
      </c>
      <c r="F1077" t="s">
        <v>626</v>
      </c>
      <c r="G1077" t="s">
        <v>12827</v>
      </c>
      <c r="H1077">
        <v>17.23</v>
      </c>
      <c r="I1077">
        <v>0</v>
      </c>
      <c r="J1077">
        <v>0</v>
      </c>
      <c r="K1077">
        <v>0</v>
      </c>
      <c r="L1077">
        <v>7</v>
      </c>
      <c r="N1077">
        <v>3</v>
      </c>
      <c r="O1077">
        <v>10</v>
      </c>
      <c r="P1077">
        <v>4</v>
      </c>
      <c r="Q1077">
        <v>0</v>
      </c>
      <c r="R1077">
        <v>31.23</v>
      </c>
      <c r="S1077">
        <v>49</v>
      </c>
      <c r="T1077">
        <v>49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49</v>
      </c>
      <c r="AB1077">
        <v>6</v>
      </c>
      <c r="AC1077">
        <v>0</v>
      </c>
      <c r="AH1077">
        <v>86.23</v>
      </c>
    </row>
    <row r="1078" spans="1:34" x14ac:dyDescent="0.3">
      <c r="A1078" s="4">
        <v>1289</v>
      </c>
      <c r="B1078" s="5">
        <v>1071</v>
      </c>
      <c r="C1078">
        <v>12390</v>
      </c>
      <c r="D1078" t="s">
        <v>12828</v>
      </c>
      <c r="E1078" t="s">
        <v>12829</v>
      </c>
      <c r="F1078" t="s">
        <v>892</v>
      </c>
      <c r="G1078" t="s">
        <v>12830</v>
      </c>
      <c r="H1078">
        <v>18.13</v>
      </c>
      <c r="I1078">
        <v>0</v>
      </c>
      <c r="J1078">
        <v>0</v>
      </c>
      <c r="K1078">
        <v>20</v>
      </c>
      <c r="L1078">
        <v>7</v>
      </c>
      <c r="O1078">
        <v>7</v>
      </c>
      <c r="P1078">
        <v>4</v>
      </c>
      <c r="Q1078">
        <v>2</v>
      </c>
      <c r="R1078">
        <v>51.13</v>
      </c>
      <c r="S1078">
        <v>29</v>
      </c>
      <c r="T1078">
        <v>29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29</v>
      </c>
      <c r="AB1078">
        <v>6</v>
      </c>
      <c r="AC1078">
        <v>0</v>
      </c>
      <c r="AD1078" t="s">
        <v>130</v>
      </c>
      <c r="AH1078">
        <v>86.13</v>
      </c>
    </row>
    <row r="1079" spans="1:34" x14ac:dyDescent="0.3">
      <c r="A1079" s="4">
        <v>1290</v>
      </c>
      <c r="B1079" s="5">
        <v>1072</v>
      </c>
      <c r="C1079">
        <v>5059</v>
      </c>
      <c r="D1079" t="s">
        <v>12831</v>
      </c>
      <c r="E1079" t="s">
        <v>12832</v>
      </c>
      <c r="F1079" t="s">
        <v>136</v>
      </c>
      <c r="G1079" t="s">
        <v>12833</v>
      </c>
      <c r="H1079">
        <v>22.05</v>
      </c>
      <c r="I1079">
        <v>0</v>
      </c>
      <c r="J1079">
        <v>0</v>
      </c>
      <c r="K1079">
        <v>20</v>
      </c>
      <c r="N1079">
        <v>6</v>
      </c>
      <c r="O1079">
        <v>6</v>
      </c>
      <c r="P1079">
        <v>4</v>
      </c>
      <c r="Q1079">
        <v>2</v>
      </c>
      <c r="R1079">
        <v>54.05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32</v>
      </c>
      <c r="AH1079">
        <v>86.05</v>
      </c>
    </row>
    <row r="1080" spans="1:34" x14ac:dyDescent="0.3">
      <c r="A1080" s="4">
        <v>1291</v>
      </c>
      <c r="B1080" s="5">
        <v>1073</v>
      </c>
      <c r="C1080">
        <v>8547</v>
      </c>
      <c r="D1080" t="s">
        <v>12834</v>
      </c>
      <c r="E1080" t="s">
        <v>10375</v>
      </c>
      <c r="F1080" t="s">
        <v>30</v>
      </c>
      <c r="G1080" t="s">
        <v>12835</v>
      </c>
      <c r="H1080">
        <v>18.05</v>
      </c>
      <c r="I1080">
        <v>0</v>
      </c>
      <c r="J1080">
        <v>0</v>
      </c>
      <c r="K1080">
        <v>20</v>
      </c>
      <c r="L1080">
        <v>7</v>
      </c>
      <c r="O1080">
        <v>7</v>
      </c>
      <c r="P1080">
        <v>4</v>
      </c>
      <c r="Q1080">
        <v>2</v>
      </c>
      <c r="R1080">
        <v>51.05</v>
      </c>
      <c r="S1080">
        <v>32</v>
      </c>
      <c r="T1080">
        <v>32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32</v>
      </c>
      <c r="AB1080">
        <v>3</v>
      </c>
      <c r="AC1080">
        <v>0</v>
      </c>
      <c r="AH1080">
        <v>86.05</v>
      </c>
    </row>
    <row r="1081" spans="1:34" x14ac:dyDescent="0.3">
      <c r="A1081" s="4">
        <v>1292</v>
      </c>
      <c r="B1081" s="5">
        <v>1074</v>
      </c>
      <c r="C1081">
        <v>6610</v>
      </c>
      <c r="D1081" t="s">
        <v>12836</v>
      </c>
      <c r="E1081" t="s">
        <v>2157</v>
      </c>
      <c r="F1081" t="s">
        <v>17</v>
      </c>
      <c r="G1081" t="s">
        <v>12837</v>
      </c>
      <c r="H1081">
        <v>18.03</v>
      </c>
      <c r="I1081">
        <v>0</v>
      </c>
      <c r="J1081">
        <v>0</v>
      </c>
      <c r="K1081">
        <v>0</v>
      </c>
      <c r="N1081">
        <v>3</v>
      </c>
      <c r="O1081">
        <v>3</v>
      </c>
      <c r="P1081">
        <v>4</v>
      </c>
      <c r="Q1081">
        <v>2</v>
      </c>
      <c r="R1081">
        <v>27.03</v>
      </c>
      <c r="S1081">
        <v>23</v>
      </c>
      <c r="T1081">
        <v>23</v>
      </c>
      <c r="U1081">
        <v>18</v>
      </c>
      <c r="V1081">
        <v>36</v>
      </c>
      <c r="W1081">
        <v>0</v>
      </c>
      <c r="X1081">
        <v>0</v>
      </c>
      <c r="Y1081">
        <v>0</v>
      </c>
      <c r="Z1081">
        <v>0</v>
      </c>
      <c r="AA1081">
        <v>59</v>
      </c>
      <c r="AB1081">
        <v>0</v>
      </c>
      <c r="AC1081">
        <v>0</v>
      </c>
      <c r="AH1081">
        <v>86.03</v>
      </c>
    </row>
    <row r="1082" spans="1:34" x14ac:dyDescent="0.3">
      <c r="A1082" s="4">
        <v>1293</v>
      </c>
      <c r="B1082" s="5">
        <v>1075</v>
      </c>
      <c r="C1082">
        <v>9450</v>
      </c>
      <c r="D1082" t="s">
        <v>12838</v>
      </c>
      <c r="E1082" t="s">
        <v>33</v>
      </c>
      <c r="F1082" t="s">
        <v>167</v>
      </c>
      <c r="G1082" t="s">
        <v>12839</v>
      </c>
      <c r="H1082">
        <v>18</v>
      </c>
      <c r="I1082">
        <v>7</v>
      </c>
      <c r="J1082">
        <v>0</v>
      </c>
      <c r="K1082">
        <v>0</v>
      </c>
      <c r="L1082">
        <v>7</v>
      </c>
      <c r="O1082">
        <v>7</v>
      </c>
      <c r="P1082">
        <v>4</v>
      </c>
      <c r="Q1082">
        <v>2</v>
      </c>
      <c r="R1082">
        <v>38</v>
      </c>
      <c r="S1082">
        <v>48</v>
      </c>
      <c r="T1082">
        <v>48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48</v>
      </c>
      <c r="AB1082">
        <v>0</v>
      </c>
      <c r="AC1082">
        <v>0</v>
      </c>
      <c r="AH1082">
        <v>86</v>
      </c>
    </row>
    <row r="1083" spans="1:34" x14ac:dyDescent="0.3">
      <c r="A1083" s="4">
        <v>1294</v>
      </c>
      <c r="B1083" s="5">
        <v>1076</v>
      </c>
      <c r="C1083">
        <v>7698</v>
      </c>
      <c r="D1083" t="s">
        <v>7825</v>
      </c>
      <c r="E1083" t="s">
        <v>54</v>
      </c>
      <c r="F1083" t="s">
        <v>52</v>
      </c>
      <c r="G1083" t="s">
        <v>12840</v>
      </c>
      <c r="H1083">
        <v>21</v>
      </c>
      <c r="I1083">
        <v>7</v>
      </c>
      <c r="J1083">
        <v>0</v>
      </c>
      <c r="K1083">
        <v>0</v>
      </c>
      <c r="N1083">
        <v>3</v>
      </c>
      <c r="O1083">
        <v>3</v>
      </c>
      <c r="P1083">
        <v>4</v>
      </c>
      <c r="Q1083">
        <v>2</v>
      </c>
      <c r="R1083">
        <v>37</v>
      </c>
      <c r="S1083">
        <v>33</v>
      </c>
      <c r="T1083">
        <v>33</v>
      </c>
      <c r="U1083">
        <v>8</v>
      </c>
      <c r="V1083">
        <v>16</v>
      </c>
      <c r="W1083">
        <v>0</v>
      </c>
      <c r="X1083">
        <v>0</v>
      </c>
      <c r="Y1083">
        <v>0</v>
      </c>
      <c r="Z1083">
        <v>0</v>
      </c>
      <c r="AA1083">
        <v>49</v>
      </c>
      <c r="AB1083">
        <v>0</v>
      </c>
      <c r="AC1083">
        <v>0</v>
      </c>
      <c r="AH1083">
        <v>86</v>
      </c>
    </row>
    <row r="1084" spans="1:34" x14ac:dyDescent="0.3">
      <c r="A1084" s="4">
        <v>1295</v>
      </c>
      <c r="B1084" s="5">
        <v>1077</v>
      </c>
      <c r="C1084">
        <v>9211</v>
      </c>
      <c r="D1084" t="s">
        <v>12841</v>
      </c>
      <c r="E1084" t="s">
        <v>12842</v>
      </c>
      <c r="F1084" t="s">
        <v>227</v>
      </c>
      <c r="G1084" t="s">
        <v>12843</v>
      </c>
      <c r="H1084">
        <v>19.079999999999998</v>
      </c>
      <c r="I1084">
        <v>0</v>
      </c>
      <c r="J1084">
        <v>0</v>
      </c>
      <c r="K1084">
        <v>20</v>
      </c>
      <c r="L1084">
        <v>7</v>
      </c>
      <c r="O1084">
        <v>7</v>
      </c>
      <c r="P1084">
        <v>4</v>
      </c>
      <c r="Q1084">
        <v>0</v>
      </c>
      <c r="R1084">
        <v>50.08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9</v>
      </c>
      <c r="AC1084">
        <v>26.8</v>
      </c>
      <c r="AH1084">
        <v>85.88</v>
      </c>
    </row>
    <row r="1085" spans="1:34" x14ac:dyDescent="0.3">
      <c r="A1085" s="4">
        <v>1296</v>
      </c>
      <c r="B1085" s="5">
        <v>1078</v>
      </c>
      <c r="C1085">
        <v>6221</v>
      </c>
      <c r="D1085" t="s">
        <v>12844</v>
      </c>
      <c r="E1085" t="s">
        <v>54</v>
      </c>
      <c r="F1085" t="s">
        <v>81</v>
      </c>
      <c r="G1085" t="s">
        <v>12845</v>
      </c>
      <c r="H1085">
        <v>20.83</v>
      </c>
      <c r="I1085">
        <v>0</v>
      </c>
      <c r="J1085">
        <v>0</v>
      </c>
      <c r="K1085">
        <v>28</v>
      </c>
      <c r="L1085">
        <v>7</v>
      </c>
      <c r="O1085">
        <v>7</v>
      </c>
      <c r="P1085">
        <v>4</v>
      </c>
      <c r="Q1085">
        <v>2</v>
      </c>
      <c r="R1085">
        <v>61.83</v>
      </c>
      <c r="S1085">
        <v>18</v>
      </c>
      <c r="T1085">
        <v>18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18</v>
      </c>
      <c r="AB1085">
        <v>6</v>
      </c>
      <c r="AC1085">
        <v>0</v>
      </c>
      <c r="AH1085">
        <v>85.83</v>
      </c>
    </row>
    <row r="1086" spans="1:34" x14ac:dyDescent="0.3">
      <c r="A1086" s="4">
        <v>1297</v>
      </c>
      <c r="B1086" s="5">
        <v>1079</v>
      </c>
      <c r="C1086">
        <v>9001</v>
      </c>
      <c r="D1086" t="s">
        <v>7475</v>
      </c>
      <c r="E1086" t="s">
        <v>97</v>
      </c>
      <c r="F1086" t="s">
        <v>117</v>
      </c>
      <c r="G1086" t="s">
        <v>12846</v>
      </c>
      <c r="H1086">
        <v>18.75</v>
      </c>
      <c r="I1086">
        <v>0</v>
      </c>
      <c r="J1086">
        <v>0</v>
      </c>
      <c r="K1086">
        <v>20</v>
      </c>
      <c r="L1086">
        <v>7</v>
      </c>
      <c r="O1086">
        <v>7</v>
      </c>
      <c r="P1086">
        <v>4</v>
      </c>
      <c r="Q1086">
        <v>2</v>
      </c>
      <c r="R1086">
        <v>51.75</v>
      </c>
      <c r="S1086">
        <v>34</v>
      </c>
      <c r="T1086">
        <v>34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34</v>
      </c>
      <c r="AB1086">
        <v>0</v>
      </c>
      <c r="AC1086">
        <v>0</v>
      </c>
      <c r="AH1086">
        <v>85.75</v>
      </c>
    </row>
    <row r="1087" spans="1:34" x14ac:dyDescent="0.3">
      <c r="A1087" s="4">
        <v>1298</v>
      </c>
      <c r="B1087" s="5">
        <v>1080</v>
      </c>
      <c r="C1087">
        <v>2082</v>
      </c>
      <c r="D1087" t="s">
        <v>12847</v>
      </c>
      <c r="E1087" t="s">
        <v>9592</v>
      </c>
      <c r="F1087" t="s">
        <v>136</v>
      </c>
      <c r="G1087" t="s">
        <v>12848</v>
      </c>
      <c r="H1087">
        <v>18.73</v>
      </c>
      <c r="I1087">
        <v>0</v>
      </c>
      <c r="J1087">
        <v>0</v>
      </c>
      <c r="K1087">
        <v>0</v>
      </c>
      <c r="N1087">
        <v>3</v>
      </c>
      <c r="O1087">
        <v>3</v>
      </c>
      <c r="P1087">
        <v>4</v>
      </c>
      <c r="Q1087">
        <v>2</v>
      </c>
      <c r="R1087">
        <v>27.73</v>
      </c>
      <c r="S1087">
        <v>18</v>
      </c>
      <c r="T1087">
        <v>18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18</v>
      </c>
      <c r="AB1087">
        <v>0</v>
      </c>
      <c r="AC1087">
        <v>40</v>
      </c>
      <c r="AH1087">
        <v>85.73</v>
      </c>
    </row>
    <row r="1088" spans="1:34" x14ac:dyDescent="0.3">
      <c r="A1088" s="4">
        <v>1299</v>
      </c>
      <c r="B1088" s="5">
        <v>1081</v>
      </c>
      <c r="C1088">
        <v>15318</v>
      </c>
      <c r="D1088" t="s">
        <v>12849</v>
      </c>
      <c r="E1088" t="s">
        <v>110</v>
      </c>
      <c r="F1088" t="s">
        <v>17</v>
      </c>
      <c r="G1088" t="s">
        <v>12850</v>
      </c>
      <c r="H1088">
        <v>16.63</v>
      </c>
      <c r="I1088">
        <v>0</v>
      </c>
      <c r="J1088">
        <v>0</v>
      </c>
      <c r="K1088">
        <v>20</v>
      </c>
      <c r="L1088">
        <v>7</v>
      </c>
      <c r="N1088">
        <v>3</v>
      </c>
      <c r="O1088">
        <v>10</v>
      </c>
      <c r="P1088">
        <v>4</v>
      </c>
      <c r="Q1088">
        <v>2</v>
      </c>
      <c r="R1088">
        <v>52.63</v>
      </c>
      <c r="S1088">
        <v>27</v>
      </c>
      <c r="T1088">
        <v>27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27</v>
      </c>
      <c r="AB1088">
        <v>6</v>
      </c>
      <c r="AC1088">
        <v>0</v>
      </c>
      <c r="AH1088">
        <v>85.63</v>
      </c>
    </row>
    <row r="1089" spans="1:34" x14ac:dyDescent="0.3">
      <c r="A1089" s="4">
        <v>1300</v>
      </c>
      <c r="B1089" s="5">
        <v>1082</v>
      </c>
      <c r="C1089">
        <v>9019</v>
      </c>
      <c r="D1089" t="s">
        <v>12851</v>
      </c>
      <c r="E1089" t="s">
        <v>471</v>
      </c>
      <c r="F1089" t="s">
        <v>20</v>
      </c>
      <c r="G1089" t="s">
        <v>12852</v>
      </c>
      <c r="H1089">
        <v>19.579999999999998</v>
      </c>
      <c r="I1089">
        <v>0</v>
      </c>
      <c r="J1089">
        <v>0</v>
      </c>
      <c r="K1089">
        <v>20</v>
      </c>
      <c r="L1089">
        <v>7</v>
      </c>
      <c r="O1089">
        <v>7</v>
      </c>
      <c r="P1089">
        <v>4</v>
      </c>
      <c r="Q1089">
        <v>2</v>
      </c>
      <c r="R1089">
        <v>52.58</v>
      </c>
      <c r="S1089">
        <v>33</v>
      </c>
      <c r="T1089">
        <v>33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33</v>
      </c>
      <c r="AB1089">
        <v>0</v>
      </c>
      <c r="AC1089">
        <v>0</v>
      </c>
      <c r="AH1089">
        <v>85.58</v>
      </c>
    </row>
    <row r="1090" spans="1:34" x14ac:dyDescent="0.3">
      <c r="A1090" s="4">
        <v>1301</v>
      </c>
      <c r="B1090" s="5">
        <v>1083</v>
      </c>
      <c r="C1090">
        <v>8068</v>
      </c>
      <c r="D1090" t="s">
        <v>12853</v>
      </c>
      <c r="E1090" t="s">
        <v>219</v>
      </c>
      <c r="F1090" t="s">
        <v>34</v>
      </c>
      <c r="G1090" t="s">
        <v>12854</v>
      </c>
      <c r="H1090">
        <v>16.5</v>
      </c>
      <c r="I1090">
        <v>0</v>
      </c>
      <c r="J1090">
        <v>0</v>
      </c>
      <c r="K1090">
        <v>20</v>
      </c>
      <c r="L1090">
        <v>7</v>
      </c>
      <c r="N1090">
        <v>3</v>
      </c>
      <c r="O1090">
        <v>10</v>
      </c>
      <c r="P1090">
        <v>0</v>
      </c>
      <c r="Q1090">
        <v>2</v>
      </c>
      <c r="R1090">
        <v>48.5</v>
      </c>
      <c r="S1090">
        <v>37</v>
      </c>
      <c r="T1090">
        <v>37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37</v>
      </c>
      <c r="AB1090">
        <v>0</v>
      </c>
      <c r="AC1090">
        <v>0</v>
      </c>
      <c r="AH1090">
        <v>85.5</v>
      </c>
    </row>
    <row r="1091" spans="1:34" x14ac:dyDescent="0.3">
      <c r="A1091" s="4">
        <v>1302</v>
      </c>
      <c r="B1091" s="5">
        <v>1084</v>
      </c>
      <c r="C1091">
        <v>5926</v>
      </c>
      <c r="D1091" t="s">
        <v>4912</v>
      </c>
      <c r="E1091" t="s">
        <v>139</v>
      </c>
      <c r="F1091" t="s">
        <v>167</v>
      </c>
      <c r="G1091" t="s">
        <v>12855</v>
      </c>
      <c r="H1091">
        <v>22.35</v>
      </c>
      <c r="I1091">
        <v>0</v>
      </c>
      <c r="J1091">
        <v>0</v>
      </c>
      <c r="K1091">
        <v>0</v>
      </c>
      <c r="L1091">
        <v>7</v>
      </c>
      <c r="O1091">
        <v>7</v>
      </c>
      <c r="P1091">
        <v>4</v>
      </c>
      <c r="Q1091">
        <v>2</v>
      </c>
      <c r="R1091">
        <v>35.35</v>
      </c>
      <c r="S1091">
        <v>47</v>
      </c>
      <c r="T1091">
        <v>47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47</v>
      </c>
      <c r="AB1091">
        <v>3</v>
      </c>
      <c r="AC1091">
        <v>0</v>
      </c>
      <c r="AH1091">
        <v>85.35</v>
      </c>
    </row>
    <row r="1092" spans="1:34" x14ac:dyDescent="0.3">
      <c r="A1092" s="4">
        <v>1303</v>
      </c>
      <c r="B1092" s="5">
        <v>1085</v>
      </c>
      <c r="C1092">
        <v>11344</v>
      </c>
      <c r="D1092" t="s">
        <v>1129</v>
      </c>
      <c r="E1092" t="s">
        <v>375</v>
      </c>
      <c r="F1092" t="s">
        <v>38</v>
      </c>
      <c r="G1092" t="s">
        <v>12856</v>
      </c>
      <c r="H1092">
        <v>16.329999999999998</v>
      </c>
      <c r="I1092">
        <v>0</v>
      </c>
      <c r="J1092">
        <v>0</v>
      </c>
      <c r="K1092">
        <v>0</v>
      </c>
      <c r="L1092">
        <v>7</v>
      </c>
      <c r="O1092">
        <v>7</v>
      </c>
      <c r="P1092">
        <v>4</v>
      </c>
      <c r="Q1092">
        <v>2</v>
      </c>
      <c r="R1092">
        <v>29.33</v>
      </c>
      <c r="S1092">
        <v>16</v>
      </c>
      <c r="T1092">
        <v>16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16</v>
      </c>
      <c r="AB1092">
        <v>0</v>
      </c>
      <c r="AC1092">
        <v>40</v>
      </c>
      <c r="AD1092" t="s">
        <v>130</v>
      </c>
      <c r="AH1092">
        <v>85.33</v>
      </c>
    </row>
    <row r="1093" spans="1:34" x14ac:dyDescent="0.3">
      <c r="A1093" s="4">
        <v>1304</v>
      </c>
      <c r="B1093" s="5">
        <v>1086</v>
      </c>
      <c r="C1093">
        <v>1537</v>
      </c>
      <c r="D1093" t="s">
        <v>12857</v>
      </c>
      <c r="E1093" t="s">
        <v>12858</v>
      </c>
      <c r="F1093" t="s">
        <v>12859</v>
      </c>
      <c r="G1093" t="s">
        <v>12860</v>
      </c>
      <c r="H1093">
        <v>19.28</v>
      </c>
      <c r="I1093">
        <v>0</v>
      </c>
      <c r="J1093">
        <v>0</v>
      </c>
      <c r="K1093">
        <v>20</v>
      </c>
      <c r="L1093">
        <v>7</v>
      </c>
      <c r="N1093">
        <v>3</v>
      </c>
      <c r="O1093">
        <v>10</v>
      </c>
      <c r="P1093">
        <v>4</v>
      </c>
      <c r="Q1093">
        <v>2</v>
      </c>
      <c r="R1093">
        <v>55.28</v>
      </c>
      <c r="S1093">
        <v>27</v>
      </c>
      <c r="T1093">
        <v>27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27</v>
      </c>
      <c r="AB1093">
        <v>3</v>
      </c>
      <c r="AC1093">
        <v>0</v>
      </c>
      <c r="AH1093">
        <v>85.28</v>
      </c>
    </row>
    <row r="1094" spans="1:34" x14ac:dyDescent="0.3">
      <c r="A1094" s="4">
        <v>1305</v>
      </c>
      <c r="B1094" s="5">
        <v>1087</v>
      </c>
      <c r="C1094">
        <v>14159</v>
      </c>
      <c r="D1094" t="s">
        <v>12861</v>
      </c>
      <c r="E1094" t="s">
        <v>12862</v>
      </c>
      <c r="F1094" t="s">
        <v>68</v>
      </c>
      <c r="G1094" t="s">
        <v>12863</v>
      </c>
      <c r="H1094">
        <v>18.829999999999998</v>
      </c>
      <c r="I1094">
        <v>0</v>
      </c>
      <c r="J1094">
        <v>0</v>
      </c>
      <c r="K1094">
        <v>20</v>
      </c>
      <c r="L1094">
        <v>7</v>
      </c>
      <c r="M1094">
        <v>5</v>
      </c>
      <c r="O1094">
        <v>12</v>
      </c>
      <c r="P1094">
        <v>4</v>
      </c>
      <c r="Q1094">
        <v>2</v>
      </c>
      <c r="R1094">
        <v>56.83</v>
      </c>
      <c r="S1094">
        <v>28</v>
      </c>
      <c r="T1094">
        <v>28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28</v>
      </c>
      <c r="AB1094">
        <v>0</v>
      </c>
      <c r="AC1094">
        <v>0</v>
      </c>
      <c r="AH1094">
        <v>84.83</v>
      </c>
    </row>
    <row r="1095" spans="1:34" x14ac:dyDescent="0.3">
      <c r="A1095" s="4">
        <v>1306</v>
      </c>
      <c r="B1095" s="5">
        <v>1088</v>
      </c>
      <c r="C1095">
        <v>14317</v>
      </c>
      <c r="D1095" t="s">
        <v>12864</v>
      </c>
      <c r="E1095" t="s">
        <v>26</v>
      </c>
      <c r="F1095" t="s">
        <v>81</v>
      </c>
      <c r="G1095" t="s">
        <v>12865</v>
      </c>
      <c r="H1095">
        <v>17.78</v>
      </c>
      <c r="I1095">
        <v>0</v>
      </c>
      <c r="J1095">
        <v>0</v>
      </c>
      <c r="K1095">
        <v>20</v>
      </c>
      <c r="L1095">
        <v>7</v>
      </c>
      <c r="O1095">
        <v>7</v>
      </c>
      <c r="P1095">
        <v>4</v>
      </c>
      <c r="Q1095">
        <v>2</v>
      </c>
      <c r="R1095">
        <v>50.78</v>
      </c>
      <c r="S1095">
        <v>31</v>
      </c>
      <c r="T1095">
        <v>31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31</v>
      </c>
      <c r="AB1095">
        <v>3</v>
      </c>
      <c r="AC1095">
        <v>0</v>
      </c>
      <c r="AH1095">
        <v>84.78</v>
      </c>
    </row>
    <row r="1096" spans="1:34" x14ac:dyDescent="0.3">
      <c r="A1096" s="4">
        <v>1307</v>
      </c>
      <c r="B1096" s="5">
        <v>1089</v>
      </c>
      <c r="C1096">
        <v>8584</v>
      </c>
      <c r="D1096" t="s">
        <v>12866</v>
      </c>
      <c r="E1096" t="s">
        <v>100</v>
      </c>
      <c r="F1096" t="s">
        <v>425</v>
      </c>
      <c r="G1096" t="s">
        <v>12867</v>
      </c>
      <c r="H1096">
        <v>17.649999999999999</v>
      </c>
      <c r="I1096">
        <v>7</v>
      </c>
      <c r="J1096">
        <v>0</v>
      </c>
      <c r="K1096">
        <v>0</v>
      </c>
      <c r="L1096">
        <v>7</v>
      </c>
      <c r="O1096">
        <v>7</v>
      </c>
      <c r="P1096">
        <v>4</v>
      </c>
      <c r="Q1096">
        <v>2</v>
      </c>
      <c r="R1096">
        <v>37.65</v>
      </c>
      <c r="S1096">
        <v>41</v>
      </c>
      <c r="T1096">
        <v>41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41</v>
      </c>
      <c r="AB1096">
        <v>6</v>
      </c>
      <c r="AC1096">
        <v>0</v>
      </c>
      <c r="AH1096">
        <v>84.65</v>
      </c>
    </row>
    <row r="1097" spans="1:34" x14ac:dyDescent="0.3">
      <c r="A1097" s="4">
        <v>1308</v>
      </c>
      <c r="B1097" s="5">
        <v>1090</v>
      </c>
      <c r="C1097">
        <v>7497</v>
      </c>
      <c r="D1097" t="s">
        <v>12868</v>
      </c>
      <c r="E1097" t="s">
        <v>88</v>
      </c>
      <c r="F1097" t="s">
        <v>136</v>
      </c>
      <c r="G1097" t="s">
        <v>12869</v>
      </c>
      <c r="H1097">
        <v>20.43</v>
      </c>
      <c r="I1097">
        <v>0</v>
      </c>
      <c r="J1097">
        <v>0</v>
      </c>
      <c r="K1097">
        <v>20</v>
      </c>
      <c r="L1097">
        <v>7</v>
      </c>
      <c r="O1097">
        <v>7</v>
      </c>
      <c r="P1097">
        <v>4</v>
      </c>
      <c r="Q1097">
        <v>0</v>
      </c>
      <c r="R1097">
        <v>51.43</v>
      </c>
      <c r="S1097">
        <v>33</v>
      </c>
      <c r="T1097">
        <v>33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33</v>
      </c>
      <c r="AB1097">
        <v>0</v>
      </c>
      <c r="AC1097">
        <v>0</v>
      </c>
      <c r="AH1097">
        <v>84.43</v>
      </c>
    </row>
    <row r="1098" spans="1:34" x14ac:dyDescent="0.3">
      <c r="A1098" s="4">
        <v>1309</v>
      </c>
      <c r="B1098" s="5">
        <v>1091</v>
      </c>
      <c r="C1098">
        <v>7901</v>
      </c>
      <c r="D1098" t="s">
        <v>181</v>
      </c>
      <c r="E1098" t="s">
        <v>12870</v>
      </c>
      <c r="F1098" t="s">
        <v>81</v>
      </c>
      <c r="G1098" t="s">
        <v>12871</v>
      </c>
      <c r="H1098">
        <v>18.2</v>
      </c>
      <c r="I1098">
        <v>0</v>
      </c>
      <c r="J1098">
        <v>0</v>
      </c>
      <c r="K1098">
        <v>20</v>
      </c>
      <c r="L1098">
        <v>14</v>
      </c>
      <c r="O1098">
        <v>14</v>
      </c>
      <c r="P1098">
        <v>4</v>
      </c>
      <c r="Q1098">
        <v>0</v>
      </c>
      <c r="R1098">
        <v>56.2</v>
      </c>
      <c r="S1098">
        <v>0</v>
      </c>
      <c r="T1098">
        <v>0</v>
      </c>
      <c r="U1098">
        <v>14</v>
      </c>
      <c r="V1098">
        <v>28</v>
      </c>
      <c r="W1098">
        <v>0</v>
      </c>
      <c r="X1098">
        <v>0</v>
      </c>
      <c r="Y1098">
        <v>0</v>
      </c>
      <c r="Z1098">
        <v>0</v>
      </c>
      <c r="AA1098">
        <v>28</v>
      </c>
      <c r="AB1098">
        <v>0</v>
      </c>
      <c r="AC1098">
        <v>0</v>
      </c>
      <c r="AH1098">
        <v>84.2</v>
      </c>
    </row>
    <row r="1099" spans="1:34" x14ac:dyDescent="0.3">
      <c r="A1099" s="4">
        <v>1310</v>
      </c>
      <c r="B1099" s="5">
        <v>1092</v>
      </c>
      <c r="C1099">
        <v>1344</v>
      </c>
      <c r="D1099" t="s">
        <v>12872</v>
      </c>
      <c r="E1099" t="s">
        <v>12873</v>
      </c>
      <c r="F1099" t="s">
        <v>5060</v>
      </c>
      <c r="G1099" t="s">
        <v>12874</v>
      </c>
      <c r="H1099">
        <v>21.13</v>
      </c>
      <c r="I1099">
        <v>0</v>
      </c>
      <c r="J1099">
        <v>0</v>
      </c>
      <c r="K1099">
        <v>20</v>
      </c>
      <c r="L1099">
        <v>14</v>
      </c>
      <c r="O1099">
        <v>14</v>
      </c>
      <c r="P1099">
        <v>4</v>
      </c>
      <c r="Q1099">
        <v>2</v>
      </c>
      <c r="R1099">
        <v>61.13</v>
      </c>
      <c r="S1099">
        <v>13</v>
      </c>
      <c r="T1099">
        <v>13</v>
      </c>
      <c r="U1099">
        <v>0</v>
      </c>
      <c r="V1099">
        <v>0</v>
      </c>
      <c r="W1099">
        <v>7</v>
      </c>
      <c r="X1099">
        <v>10</v>
      </c>
      <c r="Y1099">
        <v>0</v>
      </c>
      <c r="Z1099">
        <v>0</v>
      </c>
      <c r="AA1099">
        <v>23</v>
      </c>
      <c r="AB1099">
        <v>0</v>
      </c>
      <c r="AC1099">
        <v>0</v>
      </c>
      <c r="AD1099" t="s">
        <v>130</v>
      </c>
      <c r="AH1099">
        <v>84.13</v>
      </c>
    </row>
    <row r="1100" spans="1:34" x14ac:dyDescent="0.3">
      <c r="A1100" s="4">
        <v>1311</v>
      </c>
      <c r="B1100" s="5">
        <v>1093</v>
      </c>
      <c r="C1100">
        <v>3711</v>
      </c>
      <c r="D1100" t="s">
        <v>3002</v>
      </c>
      <c r="E1100" t="s">
        <v>255</v>
      </c>
      <c r="F1100" t="s">
        <v>892</v>
      </c>
      <c r="G1100" t="s">
        <v>12875</v>
      </c>
      <c r="H1100">
        <v>21.1</v>
      </c>
      <c r="I1100">
        <v>0</v>
      </c>
      <c r="J1100">
        <v>0</v>
      </c>
      <c r="K1100">
        <v>20</v>
      </c>
      <c r="M1100">
        <v>5</v>
      </c>
      <c r="O1100">
        <v>5</v>
      </c>
      <c r="P1100">
        <v>4</v>
      </c>
      <c r="Q1100">
        <v>2</v>
      </c>
      <c r="R1100">
        <v>52.1</v>
      </c>
      <c r="S1100">
        <v>32</v>
      </c>
      <c r="T1100">
        <v>32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32</v>
      </c>
      <c r="AB1100">
        <v>0</v>
      </c>
      <c r="AC1100">
        <v>0</v>
      </c>
      <c r="AH1100">
        <v>84.1</v>
      </c>
    </row>
    <row r="1101" spans="1:34" x14ac:dyDescent="0.3">
      <c r="A1101" s="4">
        <v>1312</v>
      </c>
      <c r="B1101" s="5">
        <v>1094</v>
      </c>
      <c r="C1101">
        <v>9240</v>
      </c>
      <c r="D1101" t="s">
        <v>12876</v>
      </c>
      <c r="E1101" t="s">
        <v>789</v>
      </c>
      <c r="F1101" t="s">
        <v>17</v>
      </c>
      <c r="G1101" t="s">
        <v>12877</v>
      </c>
      <c r="H1101">
        <v>21.08</v>
      </c>
      <c r="I1101">
        <v>0</v>
      </c>
      <c r="J1101">
        <v>0</v>
      </c>
      <c r="K1101">
        <v>20</v>
      </c>
      <c r="L1101">
        <v>7</v>
      </c>
      <c r="N1101">
        <v>3</v>
      </c>
      <c r="O1101">
        <v>10</v>
      </c>
      <c r="P1101">
        <v>4</v>
      </c>
      <c r="Q1101">
        <v>0</v>
      </c>
      <c r="R1101">
        <v>55.08</v>
      </c>
      <c r="S1101">
        <v>23</v>
      </c>
      <c r="T1101">
        <v>23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23</v>
      </c>
      <c r="AB1101">
        <v>6</v>
      </c>
      <c r="AC1101">
        <v>0</v>
      </c>
      <c r="AH1101">
        <v>84.08</v>
      </c>
    </row>
    <row r="1102" spans="1:34" x14ac:dyDescent="0.3">
      <c r="A1102" s="4">
        <v>1313</v>
      </c>
      <c r="B1102" s="5">
        <v>1095</v>
      </c>
      <c r="C1102">
        <v>3694</v>
      </c>
      <c r="D1102" t="s">
        <v>1248</v>
      </c>
      <c r="E1102" t="s">
        <v>12878</v>
      </c>
      <c r="F1102" t="s">
        <v>1854</v>
      </c>
      <c r="G1102" t="s">
        <v>12879</v>
      </c>
      <c r="H1102">
        <v>16.93</v>
      </c>
      <c r="I1102">
        <v>0</v>
      </c>
      <c r="J1102">
        <v>40</v>
      </c>
      <c r="K1102">
        <v>20</v>
      </c>
      <c r="L1102">
        <v>7</v>
      </c>
      <c r="O1102">
        <v>7</v>
      </c>
      <c r="P1102">
        <v>0</v>
      </c>
      <c r="Q1102">
        <v>0</v>
      </c>
      <c r="R1102">
        <v>83.93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H1102">
        <v>83.93</v>
      </c>
    </row>
    <row r="1103" spans="1:34" x14ac:dyDescent="0.3">
      <c r="A1103" s="4">
        <v>1314</v>
      </c>
      <c r="B1103" s="5">
        <v>1096</v>
      </c>
      <c r="C1103">
        <v>8679</v>
      </c>
      <c r="D1103" t="s">
        <v>4051</v>
      </c>
      <c r="E1103" t="s">
        <v>2843</v>
      </c>
      <c r="F1103" t="s">
        <v>81</v>
      </c>
      <c r="G1103" t="s">
        <v>12880</v>
      </c>
      <c r="H1103">
        <v>17.93</v>
      </c>
      <c r="I1103">
        <v>0</v>
      </c>
      <c r="J1103">
        <v>0</v>
      </c>
      <c r="K1103">
        <v>20</v>
      </c>
      <c r="L1103">
        <v>7</v>
      </c>
      <c r="O1103">
        <v>7</v>
      </c>
      <c r="P1103">
        <v>4</v>
      </c>
      <c r="Q1103">
        <v>2</v>
      </c>
      <c r="R1103">
        <v>50.93</v>
      </c>
      <c r="S1103">
        <v>33</v>
      </c>
      <c r="T1103">
        <v>33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33</v>
      </c>
      <c r="AB1103">
        <v>0</v>
      </c>
      <c r="AC1103">
        <v>0</v>
      </c>
      <c r="AH1103">
        <v>83.93</v>
      </c>
    </row>
    <row r="1104" spans="1:34" x14ac:dyDescent="0.3">
      <c r="A1104" s="4">
        <v>1315</v>
      </c>
      <c r="B1104" s="5">
        <v>1097</v>
      </c>
      <c r="C1104">
        <v>2067</v>
      </c>
      <c r="D1104" t="s">
        <v>12881</v>
      </c>
      <c r="E1104" t="s">
        <v>2271</v>
      </c>
      <c r="F1104" t="s">
        <v>17</v>
      </c>
      <c r="G1104" t="s">
        <v>12882</v>
      </c>
      <c r="H1104">
        <v>17.68</v>
      </c>
      <c r="I1104">
        <v>0</v>
      </c>
      <c r="J1104">
        <v>0</v>
      </c>
      <c r="K1104">
        <v>20</v>
      </c>
      <c r="L1104">
        <v>7</v>
      </c>
      <c r="N1104">
        <v>3</v>
      </c>
      <c r="O1104">
        <v>10</v>
      </c>
      <c r="P1104">
        <v>4</v>
      </c>
      <c r="Q1104">
        <v>2</v>
      </c>
      <c r="R1104">
        <v>53.68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3</v>
      </c>
      <c r="AC1104">
        <v>27.2</v>
      </c>
      <c r="AH1104">
        <v>83.88</v>
      </c>
    </row>
    <row r="1105" spans="1:34" x14ac:dyDescent="0.3">
      <c r="A1105" s="4">
        <v>1316</v>
      </c>
      <c r="B1105" s="5">
        <v>1098</v>
      </c>
      <c r="C1105">
        <v>10091</v>
      </c>
      <c r="D1105" t="s">
        <v>12883</v>
      </c>
      <c r="E1105" t="s">
        <v>88</v>
      </c>
      <c r="F1105" t="s">
        <v>55</v>
      </c>
      <c r="G1105" t="s">
        <v>12884</v>
      </c>
      <c r="H1105">
        <v>18.38</v>
      </c>
      <c r="I1105">
        <v>0</v>
      </c>
      <c r="J1105">
        <v>0</v>
      </c>
      <c r="K1105">
        <v>20</v>
      </c>
      <c r="L1105">
        <v>7</v>
      </c>
      <c r="O1105">
        <v>7</v>
      </c>
      <c r="P1105">
        <v>4</v>
      </c>
      <c r="Q1105">
        <v>2</v>
      </c>
      <c r="R1105">
        <v>51.38</v>
      </c>
      <c r="S1105">
        <v>32</v>
      </c>
      <c r="T1105">
        <v>32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32</v>
      </c>
      <c r="AB1105">
        <v>0</v>
      </c>
      <c r="AC1105">
        <v>0</v>
      </c>
      <c r="AH1105">
        <v>83.38</v>
      </c>
    </row>
    <row r="1106" spans="1:34" x14ac:dyDescent="0.3">
      <c r="A1106" s="4">
        <v>1317</v>
      </c>
      <c r="B1106" s="5">
        <v>1099</v>
      </c>
      <c r="C1106">
        <v>5691</v>
      </c>
      <c r="D1106" t="s">
        <v>12885</v>
      </c>
      <c r="E1106" t="s">
        <v>17</v>
      </c>
      <c r="F1106" t="s">
        <v>55</v>
      </c>
      <c r="G1106" t="s">
        <v>12886</v>
      </c>
      <c r="H1106">
        <v>15.3</v>
      </c>
      <c r="I1106">
        <v>0</v>
      </c>
      <c r="J1106">
        <v>0</v>
      </c>
      <c r="K1106">
        <v>20</v>
      </c>
      <c r="L1106">
        <v>7</v>
      </c>
      <c r="O1106">
        <v>7</v>
      </c>
      <c r="P1106">
        <v>4</v>
      </c>
      <c r="Q1106">
        <v>2</v>
      </c>
      <c r="R1106">
        <v>48.3</v>
      </c>
      <c r="S1106">
        <v>35</v>
      </c>
      <c r="T1106">
        <v>35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35</v>
      </c>
      <c r="AB1106">
        <v>0</v>
      </c>
      <c r="AC1106">
        <v>0</v>
      </c>
      <c r="AH1106">
        <v>83.3</v>
      </c>
    </row>
    <row r="1107" spans="1:34" x14ac:dyDescent="0.3">
      <c r="A1107" s="4">
        <v>1318</v>
      </c>
      <c r="B1107" s="5">
        <v>1100</v>
      </c>
      <c r="C1107">
        <v>3193</v>
      </c>
      <c r="D1107" t="s">
        <v>12887</v>
      </c>
      <c r="E1107" t="s">
        <v>147</v>
      </c>
      <c r="F1107" t="s">
        <v>190</v>
      </c>
      <c r="G1107" t="s">
        <v>12888</v>
      </c>
      <c r="H1107">
        <v>20.25</v>
      </c>
      <c r="I1107">
        <v>7</v>
      </c>
      <c r="J1107">
        <v>0</v>
      </c>
      <c r="K1107">
        <v>20</v>
      </c>
      <c r="L1107">
        <v>7</v>
      </c>
      <c r="O1107">
        <v>7</v>
      </c>
      <c r="P1107">
        <v>4</v>
      </c>
      <c r="Q1107">
        <v>2</v>
      </c>
      <c r="R1107">
        <v>60.25</v>
      </c>
      <c r="S1107">
        <v>23</v>
      </c>
      <c r="T1107">
        <v>23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23</v>
      </c>
      <c r="AB1107">
        <v>0</v>
      </c>
      <c r="AC1107">
        <v>0</v>
      </c>
      <c r="AH1107">
        <v>83.25</v>
      </c>
    </row>
    <row r="1108" spans="1:34" x14ac:dyDescent="0.3">
      <c r="A1108" s="4">
        <v>1319</v>
      </c>
      <c r="B1108" s="5">
        <v>1101</v>
      </c>
      <c r="C1108">
        <v>11606</v>
      </c>
      <c r="D1108" t="s">
        <v>12889</v>
      </c>
      <c r="E1108" t="s">
        <v>208</v>
      </c>
      <c r="F1108" t="s">
        <v>12890</v>
      </c>
      <c r="G1108" t="s">
        <v>12891</v>
      </c>
      <c r="H1108">
        <v>17.8</v>
      </c>
      <c r="I1108">
        <v>0</v>
      </c>
      <c r="J1108">
        <v>0</v>
      </c>
      <c r="K1108">
        <v>20</v>
      </c>
      <c r="L1108">
        <v>7</v>
      </c>
      <c r="N1108">
        <v>3</v>
      </c>
      <c r="O1108">
        <v>10</v>
      </c>
      <c r="P1108">
        <v>4</v>
      </c>
      <c r="Q1108">
        <v>0</v>
      </c>
      <c r="R1108">
        <v>51.8</v>
      </c>
      <c r="S1108">
        <v>31</v>
      </c>
      <c r="T1108">
        <v>31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31</v>
      </c>
      <c r="AB1108">
        <v>0</v>
      </c>
      <c r="AC1108">
        <v>0</v>
      </c>
      <c r="AH1108">
        <v>82.8</v>
      </c>
    </row>
    <row r="1109" spans="1:34" x14ac:dyDescent="0.3">
      <c r="A1109" s="4">
        <v>1320</v>
      </c>
      <c r="B1109" s="5">
        <v>1102</v>
      </c>
      <c r="C1109">
        <v>11521</v>
      </c>
      <c r="D1109" t="s">
        <v>1770</v>
      </c>
      <c r="E1109" t="s">
        <v>12892</v>
      </c>
      <c r="F1109" t="s">
        <v>7769</v>
      </c>
      <c r="G1109" t="s">
        <v>12893</v>
      </c>
      <c r="H1109">
        <v>19.7</v>
      </c>
      <c r="I1109">
        <v>0</v>
      </c>
      <c r="J1109">
        <v>0</v>
      </c>
      <c r="K1109">
        <v>20</v>
      </c>
      <c r="L1109">
        <v>7</v>
      </c>
      <c r="N1109">
        <v>3</v>
      </c>
      <c r="O1109">
        <v>10</v>
      </c>
      <c r="P1109">
        <v>4</v>
      </c>
      <c r="Q1109">
        <v>0</v>
      </c>
      <c r="R1109">
        <v>53.7</v>
      </c>
      <c r="S1109">
        <v>29</v>
      </c>
      <c r="T1109">
        <v>29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29</v>
      </c>
      <c r="AB1109">
        <v>0</v>
      </c>
      <c r="AC1109">
        <v>0</v>
      </c>
      <c r="AH1109">
        <v>82.7</v>
      </c>
    </row>
    <row r="1110" spans="1:34" x14ac:dyDescent="0.3">
      <c r="A1110" s="4">
        <v>1321</v>
      </c>
      <c r="B1110" s="5">
        <v>1103</v>
      </c>
      <c r="C1110">
        <v>2310</v>
      </c>
      <c r="D1110" t="s">
        <v>1973</v>
      </c>
      <c r="E1110" t="s">
        <v>11097</v>
      </c>
      <c r="F1110" t="s">
        <v>30</v>
      </c>
      <c r="G1110" t="s">
        <v>12894</v>
      </c>
      <c r="H1110">
        <v>16.38</v>
      </c>
      <c r="I1110">
        <v>0</v>
      </c>
      <c r="J1110">
        <v>0</v>
      </c>
      <c r="K1110">
        <v>20</v>
      </c>
      <c r="L1110">
        <v>7</v>
      </c>
      <c r="O1110">
        <v>7</v>
      </c>
      <c r="P1110">
        <v>4</v>
      </c>
      <c r="Q1110">
        <v>2</v>
      </c>
      <c r="R1110">
        <v>49.38</v>
      </c>
      <c r="S1110">
        <v>27</v>
      </c>
      <c r="T1110">
        <v>27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27</v>
      </c>
      <c r="AB1110">
        <v>6</v>
      </c>
      <c r="AC1110">
        <v>0</v>
      </c>
      <c r="AD1110" t="s">
        <v>130</v>
      </c>
      <c r="AH1110">
        <v>82.38</v>
      </c>
    </row>
    <row r="1111" spans="1:34" x14ac:dyDescent="0.3">
      <c r="A1111" s="4">
        <v>1322</v>
      </c>
      <c r="B1111" s="5">
        <v>1104</v>
      </c>
      <c r="C1111">
        <v>1099</v>
      </c>
      <c r="D1111" t="s">
        <v>116</v>
      </c>
      <c r="E1111" t="s">
        <v>273</v>
      </c>
      <c r="F1111" t="s">
        <v>136</v>
      </c>
      <c r="G1111" t="s">
        <v>12895</v>
      </c>
      <c r="H1111">
        <v>18.329999999999998</v>
      </c>
      <c r="I1111">
        <v>0</v>
      </c>
      <c r="J1111">
        <v>0</v>
      </c>
      <c r="K1111">
        <v>20</v>
      </c>
      <c r="L1111">
        <v>7</v>
      </c>
      <c r="N1111">
        <v>3</v>
      </c>
      <c r="O1111">
        <v>10</v>
      </c>
      <c r="P1111">
        <v>4</v>
      </c>
      <c r="Q1111">
        <v>2</v>
      </c>
      <c r="R1111">
        <v>54.33</v>
      </c>
      <c r="S1111">
        <v>28</v>
      </c>
      <c r="T1111">
        <v>28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28</v>
      </c>
      <c r="AB1111">
        <v>0</v>
      </c>
      <c r="AC1111">
        <v>0</v>
      </c>
      <c r="AH1111">
        <v>82.33</v>
      </c>
    </row>
    <row r="1112" spans="1:34" x14ac:dyDescent="0.3">
      <c r="A1112" s="4">
        <v>1323</v>
      </c>
      <c r="B1112" s="5">
        <v>1105</v>
      </c>
      <c r="C1112">
        <v>10289</v>
      </c>
      <c r="D1112" t="s">
        <v>7832</v>
      </c>
      <c r="E1112" t="s">
        <v>12896</v>
      </c>
      <c r="F1112" t="s">
        <v>243</v>
      </c>
      <c r="G1112" t="s">
        <v>12897</v>
      </c>
      <c r="H1112">
        <v>16.28</v>
      </c>
      <c r="I1112">
        <v>0</v>
      </c>
      <c r="J1112">
        <v>0</v>
      </c>
      <c r="K1112">
        <v>0</v>
      </c>
      <c r="L1112">
        <v>7</v>
      </c>
      <c r="O1112">
        <v>7</v>
      </c>
      <c r="P1112">
        <v>4</v>
      </c>
      <c r="Q1112">
        <v>2</v>
      </c>
      <c r="R1112">
        <v>29.28</v>
      </c>
      <c r="S1112">
        <v>47</v>
      </c>
      <c r="T1112">
        <v>47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47</v>
      </c>
      <c r="AB1112">
        <v>6</v>
      </c>
      <c r="AC1112">
        <v>0</v>
      </c>
      <c r="AH1112">
        <v>82.28</v>
      </c>
    </row>
    <row r="1113" spans="1:34" x14ac:dyDescent="0.3">
      <c r="A1113" s="4">
        <v>1324</v>
      </c>
      <c r="B1113" s="5">
        <v>1106</v>
      </c>
      <c r="C1113">
        <v>1188</v>
      </c>
      <c r="D1113" t="s">
        <v>3390</v>
      </c>
      <c r="E1113" t="s">
        <v>424</v>
      </c>
      <c r="F1113" t="s">
        <v>81</v>
      </c>
      <c r="G1113" t="s">
        <v>12898</v>
      </c>
      <c r="H1113">
        <v>20.23</v>
      </c>
      <c r="I1113">
        <v>0</v>
      </c>
      <c r="J1113">
        <v>0</v>
      </c>
      <c r="K1113">
        <v>20</v>
      </c>
      <c r="L1113">
        <v>7</v>
      </c>
      <c r="M1113">
        <v>5</v>
      </c>
      <c r="O1113">
        <v>12</v>
      </c>
      <c r="P1113">
        <v>4</v>
      </c>
      <c r="Q1113">
        <v>2</v>
      </c>
      <c r="R1113">
        <v>58.23</v>
      </c>
      <c r="S1113">
        <v>24</v>
      </c>
      <c r="T1113">
        <v>24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24</v>
      </c>
      <c r="AB1113">
        <v>0</v>
      </c>
      <c r="AC1113">
        <v>0</v>
      </c>
      <c r="AD1113" t="s">
        <v>130</v>
      </c>
      <c r="AH1113">
        <v>82.23</v>
      </c>
    </row>
    <row r="1114" spans="1:34" x14ac:dyDescent="0.3">
      <c r="A1114" s="4">
        <v>1325</v>
      </c>
      <c r="B1114" s="5">
        <v>1107</v>
      </c>
      <c r="C1114">
        <v>12159</v>
      </c>
      <c r="D1114" t="s">
        <v>12899</v>
      </c>
      <c r="E1114" t="s">
        <v>22</v>
      </c>
      <c r="F1114" t="s">
        <v>1806</v>
      </c>
      <c r="G1114" t="s">
        <v>12900</v>
      </c>
      <c r="H1114">
        <v>18.13</v>
      </c>
      <c r="I1114">
        <v>0</v>
      </c>
      <c r="J1114">
        <v>0</v>
      </c>
      <c r="K1114">
        <v>20</v>
      </c>
      <c r="L1114">
        <v>7</v>
      </c>
      <c r="N1114">
        <v>3</v>
      </c>
      <c r="O1114">
        <v>10</v>
      </c>
      <c r="P1114">
        <v>4</v>
      </c>
      <c r="Q1114">
        <v>0</v>
      </c>
      <c r="R1114">
        <v>52.13</v>
      </c>
      <c r="S1114">
        <v>27</v>
      </c>
      <c r="T1114">
        <v>27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27</v>
      </c>
      <c r="AB1114">
        <v>3</v>
      </c>
      <c r="AC1114">
        <v>0</v>
      </c>
      <c r="AH1114">
        <v>82.13</v>
      </c>
    </row>
    <row r="1115" spans="1:34" x14ac:dyDescent="0.3">
      <c r="A1115" s="4">
        <v>1326</v>
      </c>
      <c r="B1115" s="5">
        <v>1108</v>
      </c>
      <c r="C1115">
        <v>2218</v>
      </c>
      <c r="D1115" t="s">
        <v>12901</v>
      </c>
      <c r="E1115" t="s">
        <v>213</v>
      </c>
      <c r="F1115" t="s">
        <v>62</v>
      </c>
      <c r="G1115" t="s">
        <v>12902</v>
      </c>
      <c r="H1115">
        <v>18.079999999999998</v>
      </c>
      <c r="I1115">
        <v>0</v>
      </c>
      <c r="J1115">
        <v>0</v>
      </c>
      <c r="K1115">
        <v>20</v>
      </c>
      <c r="L1115">
        <v>7</v>
      </c>
      <c r="O1115">
        <v>7</v>
      </c>
      <c r="P1115">
        <v>0</v>
      </c>
      <c r="Q1115">
        <v>2</v>
      </c>
      <c r="R1115">
        <v>47.08</v>
      </c>
      <c r="S1115">
        <v>29</v>
      </c>
      <c r="T1115">
        <v>29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29</v>
      </c>
      <c r="AB1115">
        <v>6</v>
      </c>
      <c r="AC1115">
        <v>0</v>
      </c>
      <c r="AD1115" t="s">
        <v>130</v>
      </c>
      <c r="AH1115">
        <v>82.08</v>
      </c>
    </row>
    <row r="1116" spans="1:34" x14ac:dyDescent="0.3">
      <c r="A1116" s="4">
        <v>1327</v>
      </c>
      <c r="B1116" s="5">
        <v>1109</v>
      </c>
      <c r="C1116">
        <v>6051</v>
      </c>
      <c r="D1116" t="s">
        <v>1227</v>
      </c>
      <c r="E1116" t="s">
        <v>789</v>
      </c>
      <c r="F1116" t="s">
        <v>7576</v>
      </c>
      <c r="G1116" t="s">
        <v>12903</v>
      </c>
      <c r="H1116">
        <v>17.079999999999998</v>
      </c>
      <c r="I1116">
        <v>0</v>
      </c>
      <c r="J1116">
        <v>0</v>
      </c>
      <c r="K1116">
        <v>20</v>
      </c>
      <c r="N1116">
        <v>3</v>
      </c>
      <c r="O1116">
        <v>3</v>
      </c>
      <c r="P1116">
        <v>0</v>
      </c>
      <c r="Q1116">
        <v>0</v>
      </c>
      <c r="R1116">
        <v>40.08</v>
      </c>
      <c r="S1116">
        <v>42</v>
      </c>
      <c r="T1116">
        <v>42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42</v>
      </c>
      <c r="AB1116">
        <v>0</v>
      </c>
      <c r="AC1116">
        <v>0</v>
      </c>
      <c r="AH1116">
        <v>82.08</v>
      </c>
    </row>
    <row r="1117" spans="1:34" x14ac:dyDescent="0.3">
      <c r="A1117" s="4">
        <v>1328</v>
      </c>
      <c r="B1117" s="5">
        <v>1110</v>
      </c>
      <c r="C1117">
        <v>6867</v>
      </c>
      <c r="D1117" t="s">
        <v>12904</v>
      </c>
      <c r="E1117" t="s">
        <v>692</v>
      </c>
      <c r="F1117" t="s">
        <v>55</v>
      </c>
      <c r="G1117" t="s">
        <v>12905</v>
      </c>
      <c r="H1117">
        <v>18.899999999999999</v>
      </c>
      <c r="I1117">
        <v>0</v>
      </c>
      <c r="J1117">
        <v>0</v>
      </c>
      <c r="K1117">
        <v>28</v>
      </c>
      <c r="L1117">
        <v>7</v>
      </c>
      <c r="N1117">
        <v>3</v>
      </c>
      <c r="O1117">
        <v>10</v>
      </c>
      <c r="P1117">
        <v>4</v>
      </c>
      <c r="Q1117">
        <v>0</v>
      </c>
      <c r="R1117">
        <v>60.9</v>
      </c>
      <c r="S1117">
        <v>21</v>
      </c>
      <c r="T1117">
        <v>21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21</v>
      </c>
      <c r="AB1117">
        <v>0</v>
      </c>
      <c r="AC1117">
        <v>0</v>
      </c>
      <c r="AH1117">
        <v>81.900000000000006</v>
      </c>
    </row>
    <row r="1118" spans="1:34" x14ac:dyDescent="0.3">
      <c r="A1118" s="4">
        <v>1329</v>
      </c>
      <c r="B1118" s="5">
        <v>1111</v>
      </c>
      <c r="C1118">
        <v>11882</v>
      </c>
      <c r="D1118" t="s">
        <v>12906</v>
      </c>
      <c r="E1118" t="s">
        <v>4362</v>
      </c>
      <c r="F1118" t="s">
        <v>3439</v>
      </c>
      <c r="G1118" t="s">
        <v>12907</v>
      </c>
      <c r="H1118">
        <v>20.83</v>
      </c>
      <c r="I1118">
        <v>0</v>
      </c>
      <c r="J1118">
        <v>0</v>
      </c>
      <c r="K1118">
        <v>20</v>
      </c>
      <c r="L1118">
        <v>7</v>
      </c>
      <c r="N1118">
        <v>3</v>
      </c>
      <c r="O1118">
        <v>10</v>
      </c>
      <c r="P1118">
        <v>4</v>
      </c>
      <c r="Q1118">
        <v>2</v>
      </c>
      <c r="R1118">
        <v>56.83</v>
      </c>
      <c r="S1118">
        <v>25</v>
      </c>
      <c r="T1118">
        <v>25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25</v>
      </c>
      <c r="AB1118">
        <v>0</v>
      </c>
      <c r="AC1118">
        <v>0</v>
      </c>
      <c r="AH1118">
        <v>81.83</v>
      </c>
    </row>
    <row r="1119" spans="1:34" x14ac:dyDescent="0.3">
      <c r="A1119" s="4">
        <v>1330</v>
      </c>
      <c r="B1119" s="5">
        <v>1112</v>
      </c>
      <c r="C1119">
        <v>969</v>
      </c>
      <c r="D1119" t="s">
        <v>12908</v>
      </c>
      <c r="E1119" t="s">
        <v>54</v>
      </c>
      <c r="F1119" t="s">
        <v>243</v>
      </c>
      <c r="G1119" t="s">
        <v>12909</v>
      </c>
      <c r="H1119">
        <v>18.829999999999998</v>
      </c>
      <c r="I1119">
        <v>0</v>
      </c>
      <c r="J1119">
        <v>0</v>
      </c>
      <c r="K1119">
        <v>20</v>
      </c>
      <c r="N1119">
        <v>6</v>
      </c>
      <c r="O1119">
        <v>6</v>
      </c>
      <c r="P1119">
        <v>4</v>
      </c>
      <c r="Q1119">
        <v>2</v>
      </c>
      <c r="R1119">
        <v>50.83</v>
      </c>
      <c r="S1119">
        <v>31</v>
      </c>
      <c r="T1119">
        <v>31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31</v>
      </c>
      <c r="AB1119">
        <v>0</v>
      </c>
      <c r="AC1119">
        <v>0</v>
      </c>
      <c r="AH1119">
        <v>81.83</v>
      </c>
    </row>
    <row r="1120" spans="1:34" x14ac:dyDescent="0.3">
      <c r="A1120" s="4">
        <v>1331</v>
      </c>
      <c r="B1120" s="5">
        <v>1113</v>
      </c>
      <c r="C1120">
        <v>14044</v>
      </c>
      <c r="D1120" t="s">
        <v>12910</v>
      </c>
      <c r="E1120" t="s">
        <v>957</v>
      </c>
      <c r="F1120" t="s">
        <v>227</v>
      </c>
      <c r="G1120" t="s">
        <v>12911</v>
      </c>
      <c r="H1120">
        <v>18.78</v>
      </c>
      <c r="I1120">
        <v>0</v>
      </c>
      <c r="J1120">
        <v>0</v>
      </c>
      <c r="K1120">
        <v>20</v>
      </c>
      <c r="L1120">
        <v>7</v>
      </c>
      <c r="N1120">
        <v>3</v>
      </c>
      <c r="O1120">
        <v>10</v>
      </c>
      <c r="P1120">
        <v>4</v>
      </c>
      <c r="Q1120">
        <v>0</v>
      </c>
      <c r="R1120">
        <v>52.78</v>
      </c>
      <c r="S1120">
        <v>29</v>
      </c>
      <c r="T1120">
        <v>29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29</v>
      </c>
      <c r="AB1120">
        <v>0</v>
      </c>
      <c r="AC1120">
        <v>0</v>
      </c>
      <c r="AH1120">
        <v>81.78</v>
      </c>
    </row>
    <row r="1121" spans="1:34" x14ac:dyDescent="0.3">
      <c r="A1121" s="4">
        <v>1332</v>
      </c>
      <c r="B1121" s="5">
        <v>1114</v>
      </c>
      <c r="C1121">
        <v>7632</v>
      </c>
      <c r="D1121" t="s">
        <v>12912</v>
      </c>
      <c r="E1121" t="s">
        <v>283</v>
      </c>
      <c r="F1121" t="s">
        <v>230</v>
      </c>
      <c r="G1121" t="s">
        <v>12913</v>
      </c>
      <c r="H1121">
        <v>16.78</v>
      </c>
      <c r="I1121">
        <v>0</v>
      </c>
      <c r="J1121">
        <v>0</v>
      </c>
      <c r="K1121">
        <v>20</v>
      </c>
      <c r="L1121">
        <v>7</v>
      </c>
      <c r="O1121">
        <v>7</v>
      </c>
      <c r="P1121">
        <v>4</v>
      </c>
      <c r="Q1121">
        <v>2</v>
      </c>
      <c r="R1121">
        <v>49.78</v>
      </c>
      <c r="S1121">
        <v>32</v>
      </c>
      <c r="T1121">
        <v>32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32</v>
      </c>
      <c r="AB1121">
        <v>0</v>
      </c>
      <c r="AC1121">
        <v>0</v>
      </c>
      <c r="AH1121">
        <v>81.78</v>
      </c>
    </row>
    <row r="1122" spans="1:34" x14ac:dyDescent="0.3">
      <c r="A1122" s="4">
        <v>1333</v>
      </c>
      <c r="B1122" s="5">
        <v>1115</v>
      </c>
      <c r="C1122">
        <v>4789</v>
      </c>
      <c r="D1122" t="s">
        <v>12914</v>
      </c>
      <c r="E1122" t="s">
        <v>29</v>
      </c>
      <c r="F1122" t="s">
        <v>38</v>
      </c>
      <c r="G1122" t="s">
        <v>12915</v>
      </c>
      <c r="H1122">
        <v>19.7</v>
      </c>
      <c r="I1122">
        <v>0</v>
      </c>
      <c r="J1122">
        <v>0</v>
      </c>
      <c r="K1122">
        <v>20</v>
      </c>
      <c r="L1122">
        <v>7</v>
      </c>
      <c r="O1122">
        <v>7</v>
      </c>
      <c r="P1122">
        <v>4</v>
      </c>
      <c r="Q1122">
        <v>2</v>
      </c>
      <c r="R1122">
        <v>52.7</v>
      </c>
      <c r="S1122">
        <v>29</v>
      </c>
      <c r="T1122">
        <v>29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29</v>
      </c>
      <c r="AB1122">
        <v>0</v>
      </c>
      <c r="AC1122">
        <v>0</v>
      </c>
      <c r="AH1122">
        <v>81.7</v>
      </c>
    </row>
    <row r="1123" spans="1:34" x14ac:dyDescent="0.3">
      <c r="A1123" s="4">
        <v>1334</v>
      </c>
      <c r="B1123" s="5">
        <v>1116</v>
      </c>
      <c r="C1123">
        <v>12520</v>
      </c>
      <c r="D1123" t="s">
        <v>12916</v>
      </c>
      <c r="E1123" t="s">
        <v>188</v>
      </c>
      <c r="F1123" t="s">
        <v>17</v>
      </c>
      <c r="G1123" t="s">
        <v>12917</v>
      </c>
      <c r="H1123">
        <v>17.600000000000001</v>
      </c>
      <c r="I1123">
        <v>0</v>
      </c>
      <c r="J1123">
        <v>0</v>
      </c>
      <c r="K1123">
        <v>20</v>
      </c>
      <c r="L1123">
        <v>7</v>
      </c>
      <c r="M1123">
        <v>5</v>
      </c>
      <c r="O1123">
        <v>12</v>
      </c>
      <c r="P1123">
        <v>4</v>
      </c>
      <c r="Q1123">
        <v>2</v>
      </c>
      <c r="R1123">
        <v>55.6</v>
      </c>
      <c r="S1123">
        <v>23</v>
      </c>
      <c r="T1123">
        <v>23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23</v>
      </c>
      <c r="AB1123">
        <v>3</v>
      </c>
      <c r="AC1123">
        <v>0</v>
      </c>
      <c r="AH1123">
        <v>81.599999999999994</v>
      </c>
    </row>
    <row r="1124" spans="1:34" x14ac:dyDescent="0.3">
      <c r="A1124" s="4">
        <v>1335</v>
      </c>
      <c r="B1124" s="5">
        <v>1117</v>
      </c>
      <c r="C1124">
        <v>10492</v>
      </c>
      <c r="D1124" t="s">
        <v>12918</v>
      </c>
      <c r="E1124" t="s">
        <v>161</v>
      </c>
      <c r="F1124" t="s">
        <v>17</v>
      </c>
      <c r="G1124" t="s">
        <v>12919</v>
      </c>
      <c r="H1124">
        <v>19.48</v>
      </c>
      <c r="I1124">
        <v>0</v>
      </c>
      <c r="J1124">
        <v>0</v>
      </c>
      <c r="K1124">
        <v>20</v>
      </c>
      <c r="L1124">
        <v>7</v>
      </c>
      <c r="O1124">
        <v>7</v>
      </c>
      <c r="P1124">
        <v>4</v>
      </c>
      <c r="Q1124">
        <v>0</v>
      </c>
      <c r="R1124">
        <v>50.48</v>
      </c>
      <c r="S1124">
        <v>31</v>
      </c>
      <c r="T1124">
        <v>31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31</v>
      </c>
      <c r="AB1124">
        <v>0</v>
      </c>
      <c r="AC1124">
        <v>0</v>
      </c>
      <c r="AH1124">
        <v>81.48</v>
      </c>
    </row>
    <row r="1125" spans="1:34" x14ac:dyDescent="0.3">
      <c r="A1125" s="4">
        <v>1336</v>
      </c>
      <c r="B1125" s="5">
        <v>1118</v>
      </c>
      <c r="C1125">
        <v>3822</v>
      </c>
      <c r="D1125" t="s">
        <v>12920</v>
      </c>
      <c r="E1125" t="s">
        <v>12921</v>
      </c>
      <c r="F1125" t="s">
        <v>38</v>
      </c>
      <c r="G1125" t="s">
        <v>12922</v>
      </c>
      <c r="H1125">
        <v>21.45</v>
      </c>
      <c r="I1125">
        <v>0</v>
      </c>
      <c r="J1125">
        <v>0</v>
      </c>
      <c r="K1125">
        <v>20</v>
      </c>
      <c r="L1125">
        <v>14</v>
      </c>
      <c r="O1125">
        <v>14</v>
      </c>
      <c r="P1125">
        <v>4</v>
      </c>
      <c r="Q1125">
        <v>0</v>
      </c>
      <c r="R1125">
        <v>59.45</v>
      </c>
      <c r="S1125">
        <v>22</v>
      </c>
      <c r="T1125">
        <v>22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22</v>
      </c>
      <c r="AB1125">
        <v>0</v>
      </c>
      <c r="AC1125">
        <v>0</v>
      </c>
      <c r="AH1125">
        <v>81.45</v>
      </c>
    </row>
    <row r="1126" spans="1:34" x14ac:dyDescent="0.3">
      <c r="A1126" s="4">
        <v>1337</v>
      </c>
      <c r="B1126" s="5">
        <v>1119</v>
      </c>
      <c r="C1126">
        <v>1807</v>
      </c>
      <c r="D1126" t="s">
        <v>12696</v>
      </c>
      <c r="E1126" t="s">
        <v>26</v>
      </c>
      <c r="F1126" t="s">
        <v>81</v>
      </c>
      <c r="G1126" t="s">
        <v>12923</v>
      </c>
      <c r="H1126">
        <v>19.38</v>
      </c>
      <c r="I1126">
        <v>0</v>
      </c>
      <c r="J1126">
        <v>0</v>
      </c>
      <c r="K1126">
        <v>20</v>
      </c>
      <c r="L1126">
        <v>7</v>
      </c>
      <c r="O1126">
        <v>7</v>
      </c>
      <c r="P1126">
        <v>4</v>
      </c>
      <c r="Q1126">
        <v>2</v>
      </c>
      <c r="R1126">
        <v>52.38</v>
      </c>
      <c r="S1126">
        <v>29</v>
      </c>
      <c r="T1126">
        <v>29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29</v>
      </c>
      <c r="AB1126">
        <v>0</v>
      </c>
      <c r="AC1126">
        <v>0</v>
      </c>
      <c r="AD1126" t="s">
        <v>130</v>
      </c>
      <c r="AH1126">
        <v>81.38</v>
      </c>
    </row>
    <row r="1127" spans="1:34" x14ac:dyDescent="0.3">
      <c r="A1127" s="4">
        <v>1338</v>
      </c>
      <c r="B1127" s="5">
        <v>1120</v>
      </c>
      <c r="C1127">
        <v>2790</v>
      </c>
      <c r="D1127" t="s">
        <v>12924</v>
      </c>
      <c r="E1127" t="s">
        <v>29</v>
      </c>
      <c r="F1127" t="s">
        <v>62</v>
      </c>
      <c r="G1127" t="s">
        <v>12925</v>
      </c>
      <c r="H1127">
        <v>22.3</v>
      </c>
      <c r="I1127">
        <v>0</v>
      </c>
      <c r="J1127">
        <v>0</v>
      </c>
      <c r="K1127">
        <v>20</v>
      </c>
      <c r="L1127">
        <v>7</v>
      </c>
      <c r="O1127">
        <v>7</v>
      </c>
      <c r="P1127">
        <v>4</v>
      </c>
      <c r="Q1127">
        <v>2</v>
      </c>
      <c r="R1127">
        <v>55.3</v>
      </c>
      <c r="S1127">
        <v>26</v>
      </c>
      <c r="T1127">
        <v>26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26</v>
      </c>
      <c r="AB1127">
        <v>0</v>
      </c>
      <c r="AC1127">
        <v>0</v>
      </c>
      <c r="AH1127">
        <v>81.3</v>
      </c>
    </row>
    <row r="1128" spans="1:34" x14ac:dyDescent="0.3">
      <c r="A1128" s="4">
        <v>1339</v>
      </c>
      <c r="B1128" s="5">
        <v>1121</v>
      </c>
      <c r="C1128">
        <v>15625</v>
      </c>
      <c r="D1128" t="s">
        <v>12926</v>
      </c>
      <c r="E1128" t="s">
        <v>143</v>
      </c>
      <c r="F1128" t="s">
        <v>17</v>
      </c>
      <c r="G1128" t="s">
        <v>12927</v>
      </c>
      <c r="H1128">
        <v>18.05</v>
      </c>
      <c r="I1128">
        <v>0</v>
      </c>
      <c r="J1128">
        <v>0</v>
      </c>
      <c r="K1128">
        <v>20</v>
      </c>
      <c r="M1128">
        <v>5</v>
      </c>
      <c r="O1128">
        <v>5</v>
      </c>
      <c r="P1128">
        <v>4</v>
      </c>
      <c r="Q1128">
        <v>2</v>
      </c>
      <c r="R1128">
        <v>49.05</v>
      </c>
      <c r="S1128">
        <v>0</v>
      </c>
      <c r="T1128">
        <v>0</v>
      </c>
      <c r="U1128">
        <v>13</v>
      </c>
      <c r="V1128">
        <v>26</v>
      </c>
      <c r="W1128">
        <v>0</v>
      </c>
      <c r="X1128">
        <v>0</v>
      </c>
      <c r="Y1128">
        <v>0</v>
      </c>
      <c r="Z1128">
        <v>0</v>
      </c>
      <c r="AA1128">
        <v>26</v>
      </c>
      <c r="AB1128">
        <v>6</v>
      </c>
      <c r="AC1128">
        <v>0</v>
      </c>
      <c r="AH1128">
        <v>81.05</v>
      </c>
    </row>
    <row r="1129" spans="1:34" x14ac:dyDescent="0.3">
      <c r="A1129" s="4">
        <v>1340</v>
      </c>
      <c r="B1129" s="5">
        <v>1122</v>
      </c>
      <c r="C1129">
        <v>14759</v>
      </c>
      <c r="D1129" t="s">
        <v>12928</v>
      </c>
      <c r="E1129" t="s">
        <v>41</v>
      </c>
      <c r="F1129" t="s">
        <v>20</v>
      </c>
      <c r="G1129" t="s">
        <v>12929</v>
      </c>
      <c r="H1129">
        <v>16.850000000000001</v>
      </c>
      <c r="I1129">
        <v>0</v>
      </c>
      <c r="J1129">
        <v>0</v>
      </c>
      <c r="K1129">
        <v>20</v>
      </c>
      <c r="N1129">
        <v>6</v>
      </c>
      <c r="O1129">
        <v>6</v>
      </c>
      <c r="P1129">
        <v>4</v>
      </c>
      <c r="Q1129">
        <v>0</v>
      </c>
      <c r="R1129">
        <v>46.85</v>
      </c>
      <c r="S1129">
        <v>31</v>
      </c>
      <c r="T1129">
        <v>31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31</v>
      </c>
      <c r="AB1129">
        <v>3</v>
      </c>
      <c r="AC1129">
        <v>0</v>
      </c>
      <c r="AH1129">
        <v>80.849999999999994</v>
      </c>
    </row>
    <row r="1130" spans="1:34" x14ac:dyDescent="0.3">
      <c r="A1130" s="4">
        <v>1341</v>
      </c>
      <c r="B1130" s="5">
        <v>1123</v>
      </c>
      <c r="C1130">
        <v>7862</v>
      </c>
      <c r="D1130" t="s">
        <v>4477</v>
      </c>
      <c r="E1130" t="s">
        <v>213</v>
      </c>
      <c r="F1130" t="s">
        <v>190</v>
      </c>
      <c r="G1130" t="s">
        <v>12930</v>
      </c>
      <c r="H1130">
        <v>20.8</v>
      </c>
      <c r="I1130">
        <v>7</v>
      </c>
      <c r="J1130">
        <v>0</v>
      </c>
      <c r="K1130">
        <v>20</v>
      </c>
      <c r="N1130">
        <v>3</v>
      </c>
      <c r="O1130">
        <v>3</v>
      </c>
      <c r="P1130">
        <v>4</v>
      </c>
      <c r="Q1130">
        <v>2</v>
      </c>
      <c r="R1130">
        <v>56.8</v>
      </c>
      <c r="S1130">
        <v>18</v>
      </c>
      <c r="T1130">
        <v>18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18</v>
      </c>
      <c r="AB1130">
        <v>6</v>
      </c>
      <c r="AC1130">
        <v>0</v>
      </c>
      <c r="AH1130">
        <v>80.8</v>
      </c>
    </row>
    <row r="1131" spans="1:34" x14ac:dyDescent="0.3">
      <c r="A1131" s="4">
        <v>1342</v>
      </c>
      <c r="B1131" s="5">
        <v>1124</v>
      </c>
      <c r="C1131">
        <v>4280</v>
      </c>
      <c r="D1131" t="s">
        <v>12931</v>
      </c>
      <c r="E1131" t="s">
        <v>91</v>
      </c>
      <c r="F1131" t="s">
        <v>124</v>
      </c>
      <c r="G1131" t="s">
        <v>12932</v>
      </c>
      <c r="H1131">
        <v>22.75</v>
      </c>
      <c r="I1131">
        <v>7</v>
      </c>
      <c r="J1131">
        <v>0</v>
      </c>
      <c r="K1131">
        <v>20</v>
      </c>
      <c r="L1131">
        <v>7</v>
      </c>
      <c r="O1131">
        <v>7</v>
      </c>
      <c r="P1131">
        <v>4</v>
      </c>
      <c r="Q1131">
        <v>0</v>
      </c>
      <c r="R1131">
        <v>60.75</v>
      </c>
      <c r="S1131">
        <v>14</v>
      </c>
      <c r="T1131">
        <v>14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14</v>
      </c>
      <c r="AB1131">
        <v>6</v>
      </c>
      <c r="AC1131">
        <v>0</v>
      </c>
      <c r="AH1131">
        <v>80.75</v>
      </c>
    </row>
    <row r="1132" spans="1:34" x14ac:dyDescent="0.3">
      <c r="A1132" s="4">
        <v>1343</v>
      </c>
      <c r="B1132" s="5">
        <v>1125</v>
      </c>
      <c r="C1132">
        <v>6961</v>
      </c>
      <c r="D1132" t="s">
        <v>1822</v>
      </c>
      <c r="E1132" t="s">
        <v>37</v>
      </c>
      <c r="F1132" t="s">
        <v>1566</v>
      </c>
      <c r="G1132" t="s">
        <v>12933</v>
      </c>
      <c r="H1132">
        <v>18.68</v>
      </c>
      <c r="I1132">
        <v>0</v>
      </c>
      <c r="J1132">
        <v>0</v>
      </c>
      <c r="K1132">
        <v>20</v>
      </c>
      <c r="L1132">
        <v>7</v>
      </c>
      <c r="O1132">
        <v>7</v>
      </c>
      <c r="P1132">
        <v>4</v>
      </c>
      <c r="Q1132">
        <v>0</v>
      </c>
      <c r="R1132">
        <v>49.68</v>
      </c>
      <c r="S1132">
        <v>31</v>
      </c>
      <c r="T1132">
        <v>31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31</v>
      </c>
      <c r="AB1132">
        <v>0</v>
      </c>
      <c r="AC1132">
        <v>0</v>
      </c>
      <c r="AH1132">
        <v>80.680000000000007</v>
      </c>
    </row>
    <row r="1133" spans="1:34" x14ac:dyDescent="0.3">
      <c r="A1133" s="4">
        <v>1344</v>
      </c>
      <c r="B1133" s="5">
        <v>1126</v>
      </c>
      <c r="C1133">
        <v>388</v>
      </c>
      <c r="D1133" t="s">
        <v>12934</v>
      </c>
      <c r="E1133" t="s">
        <v>158</v>
      </c>
      <c r="F1133" t="s">
        <v>136</v>
      </c>
      <c r="G1133" t="s">
        <v>12935</v>
      </c>
      <c r="H1133">
        <v>15.65</v>
      </c>
      <c r="I1133">
        <v>0</v>
      </c>
      <c r="J1133">
        <v>0</v>
      </c>
      <c r="K1133">
        <v>20</v>
      </c>
      <c r="M1133">
        <v>5</v>
      </c>
      <c r="O1133">
        <v>5</v>
      </c>
      <c r="P1133">
        <v>4</v>
      </c>
      <c r="Q1133">
        <v>2</v>
      </c>
      <c r="R1133">
        <v>46.65</v>
      </c>
      <c r="S1133">
        <v>28</v>
      </c>
      <c r="T1133">
        <v>28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28</v>
      </c>
      <c r="AB1133">
        <v>6</v>
      </c>
      <c r="AC1133">
        <v>0</v>
      </c>
      <c r="AD1133" t="s">
        <v>130</v>
      </c>
      <c r="AH1133">
        <v>80.650000000000006</v>
      </c>
    </row>
    <row r="1134" spans="1:34" x14ac:dyDescent="0.3">
      <c r="A1134" s="4">
        <v>1345</v>
      </c>
      <c r="B1134" s="5">
        <v>1127</v>
      </c>
      <c r="C1134">
        <v>14897</v>
      </c>
      <c r="D1134" t="s">
        <v>12936</v>
      </c>
      <c r="E1134" t="s">
        <v>1043</v>
      </c>
      <c r="F1134" t="s">
        <v>38</v>
      </c>
      <c r="G1134" t="s">
        <v>12937</v>
      </c>
      <c r="H1134">
        <v>19.43</v>
      </c>
      <c r="I1134">
        <v>0</v>
      </c>
      <c r="J1134">
        <v>0</v>
      </c>
      <c r="K1134">
        <v>20</v>
      </c>
      <c r="L1134">
        <v>7</v>
      </c>
      <c r="N1134">
        <v>3</v>
      </c>
      <c r="O1134">
        <v>10</v>
      </c>
      <c r="P1134">
        <v>4</v>
      </c>
      <c r="Q1134">
        <v>0</v>
      </c>
      <c r="R1134">
        <v>53.43</v>
      </c>
      <c r="S1134">
        <v>27</v>
      </c>
      <c r="T1134">
        <v>27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27</v>
      </c>
      <c r="AB1134">
        <v>0</v>
      </c>
      <c r="AC1134">
        <v>0</v>
      </c>
      <c r="AH1134">
        <v>80.430000000000007</v>
      </c>
    </row>
    <row r="1135" spans="1:34" x14ac:dyDescent="0.3">
      <c r="A1135" s="4">
        <v>1346</v>
      </c>
      <c r="B1135" s="5">
        <v>1128</v>
      </c>
      <c r="C1135">
        <v>3338</v>
      </c>
      <c r="D1135" t="s">
        <v>12938</v>
      </c>
      <c r="E1135" t="s">
        <v>166</v>
      </c>
      <c r="F1135" t="s">
        <v>117</v>
      </c>
      <c r="G1135" t="s">
        <v>12939</v>
      </c>
      <c r="H1135">
        <v>19.350000000000001</v>
      </c>
      <c r="I1135">
        <v>0</v>
      </c>
      <c r="J1135">
        <v>0</v>
      </c>
      <c r="K1135">
        <v>28</v>
      </c>
      <c r="L1135">
        <v>7</v>
      </c>
      <c r="O1135">
        <v>7</v>
      </c>
      <c r="P1135">
        <v>4</v>
      </c>
      <c r="Q1135">
        <v>2</v>
      </c>
      <c r="R1135">
        <v>60.35</v>
      </c>
      <c r="S1135">
        <v>20</v>
      </c>
      <c r="T1135">
        <v>20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20</v>
      </c>
      <c r="AB1135">
        <v>0</v>
      </c>
      <c r="AC1135">
        <v>0</v>
      </c>
      <c r="AH1135">
        <v>80.349999999999994</v>
      </c>
    </row>
    <row r="1136" spans="1:34" x14ac:dyDescent="0.3">
      <c r="A1136" s="4">
        <v>1347</v>
      </c>
      <c r="B1136" s="5">
        <v>1129</v>
      </c>
      <c r="C1136">
        <v>11875</v>
      </c>
      <c r="D1136" t="s">
        <v>12940</v>
      </c>
      <c r="E1136" t="s">
        <v>147</v>
      </c>
      <c r="F1136" t="s">
        <v>20</v>
      </c>
      <c r="G1136" t="s">
        <v>12941</v>
      </c>
      <c r="H1136">
        <v>16.28</v>
      </c>
      <c r="I1136">
        <v>0</v>
      </c>
      <c r="J1136">
        <v>0</v>
      </c>
      <c r="K1136">
        <v>20</v>
      </c>
      <c r="M1136">
        <v>5</v>
      </c>
      <c r="N1136">
        <v>3</v>
      </c>
      <c r="O1136">
        <v>8</v>
      </c>
      <c r="P1136">
        <v>4</v>
      </c>
      <c r="Q1136">
        <v>2</v>
      </c>
      <c r="R1136">
        <v>50.28</v>
      </c>
      <c r="S1136">
        <v>16</v>
      </c>
      <c r="T1136">
        <v>16</v>
      </c>
      <c r="U1136">
        <v>7</v>
      </c>
      <c r="V1136">
        <v>14</v>
      </c>
      <c r="W1136">
        <v>0</v>
      </c>
      <c r="X1136">
        <v>0</v>
      </c>
      <c r="Y1136">
        <v>0</v>
      </c>
      <c r="Z1136">
        <v>0</v>
      </c>
      <c r="AA1136">
        <v>30</v>
      </c>
      <c r="AB1136">
        <v>0</v>
      </c>
      <c r="AC1136">
        <v>0</v>
      </c>
      <c r="AH1136">
        <v>80.28</v>
      </c>
    </row>
    <row r="1137" spans="1:34" x14ac:dyDescent="0.3">
      <c r="A1137" s="4">
        <v>1348</v>
      </c>
      <c r="B1137" s="5">
        <v>1130</v>
      </c>
      <c r="C1137">
        <v>13774</v>
      </c>
      <c r="D1137" t="s">
        <v>3340</v>
      </c>
      <c r="E1137" t="s">
        <v>213</v>
      </c>
      <c r="F1137" t="s">
        <v>782</v>
      </c>
      <c r="G1137" t="s">
        <v>12942</v>
      </c>
      <c r="H1137">
        <v>18.25</v>
      </c>
      <c r="I1137">
        <v>0</v>
      </c>
      <c r="J1137">
        <v>0</v>
      </c>
      <c r="K1137">
        <v>20</v>
      </c>
      <c r="L1137">
        <v>7</v>
      </c>
      <c r="M1137">
        <v>5</v>
      </c>
      <c r="O1137">
        <v>12</v>
      </c>
      <c r="P1137">
        <v>4</v>
      </c>
      <c r="Q1137">
        <v>2</v>
      </c>
      <c r="R1137">
        <v>56.25</v>
      </c>
      <c r="S1137">
        <v>18</v>
      </c>
      <c r="T1137">
        <v>18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18</v>
      </c>
      <c r="AB1137">
        <v>6</v>
      </c>
      <c r="AC1137">
        <v>0</v>
      </c>
      <c r="AH1137">
        <v>80.25</v>
      </c>
    </row>
    <row r="1138" spans="1:34" x14ac:dyDescent="0.3">
      <c r="A1138" s="4">
        <v>1349</v>
      </c>
      <c r="B1138" s="5">
        <v>1131</v>
      </c>
      <c r="C1138">
        <v>3317</v>
      </c>
      <c r="D1138" t="s">
        <v>1039</v>
      </c>
      <c r="E1138" t="s">
        <v>29</v>
      </c>
      <c r="F1138" t="s">
        <v>136</v>
      </c>
      <c r="G1138" t="s">
        <v>12943</v>
      </c>
      <c r="H1138">
        <v>19.05</v>
      </c>
      <c r="I1138">
        <v>0</v>
      </c>
      <c r="J1138">
        <v>0</v>
      </c>
      <c r="K1138">
        <v>28</v>
      </c>
      <c r="L1138">
        <v>7</v>
      </c>
      <c r="N1138">
        <v>3</v>
      </c>
      <c r="O1138">
        <v>10</v>
      </c>
      <c r="P1138">
        <v>4</v>
      </c>
      <c r="Q1138">
        <v>2</v>
      </c>
      <c r="R1138">
        <v>63.05</v>
      </c>
      <c r="S1138">
        <v>14</v>
      </c>
      <c r="T1138">
        <v>14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14</v>
      </c>
      <c r="AB1138">
        <v>3</v>
      </c>
      <c r="AC1138">
        <v>0</v>
      </c>
      <c r="AH1138">
        <v>80.05</v>
      </c>
    </row>
    <row r="1139" spans="1:34" x14ac:dyDescent="0.3">
      <c r="A1139" s="4">
        <v>1350</v>
      </c>
      <c r="B1139" s="5">
        <v>1132</v>
      </c>
      <c r="C1139">
        <v>9347</v>
      </c>
      <c r="D1139" t="s">
        <v>12944</v>
      </c>
      <c r="E1139" t="s">
        <v>26</v>
      </c>
      <c r="F1139" t="s">
        <v>243</v>
      </c>
      <c r="G1139" t="s">
        <v>12945</v>
      </c>
      <c r="H1139">
        <v>18.05</v>
      </c>
      <c r="I1139">
        <v>0</v>
      </c>
      <c r="J1139">
        <v>0</v>
      </c>
      <c r="K1139">
        <v>20</v>
      </c>
      <c r="L1139">
        <v>7</v>
      </c>
      <c r="O1139">
        <v>7</v>
      </c>
      <c r="P1139">
        <v>4</v>
      </c>
      <c r="Q1139">
        <v>2</v>
      </c>
      <c r="R1139">
        <v>51.05</v>
      </c>
      <c r="S1139">
        <v>26</v>
      </c>
      <c r="T1139">
        <v>26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26</v>
      </c>
      <c r="AB1139">
        <v>3</v>
      </c>
      <c r="AC1139">
        <v>0</v>
      </c>
      <c r="AH1139">
        <v>80.05</v>
      </c>
    </row>
    <row r="1140" spans="1:34" x14ac:dyDescent="0.3">
      <c r="A1140" s="4">
        <v>1351</v>
      </c>
      <c r="B1140" s="5">
        <v>1133</v>
      </c>
      <c r="C1140">
        <v>6913</v>
      </c>
      <c r="D1140" t="s">
        <v>7480</v>
      </c>
      <c r="E1140" t="s">
        <v>166</v>
      </c>
      <c r="F1140" t="s">
        <v>38</v>
      </c>
      <c r="G1140" t="s">
        <v>12946</v>
      </c>
      <c r="H1140">
        <v>20.03</v>
      </c>
      <c r="I1140">
        <v>0</v>
      </c>
      <c r="J1140">
        <v>0</v>
      </c>
      <c r="K1140">
        <v>20</v>
      </c>
      <c r="L1140">
        <v>14</v>
      </c>
      <c r="O1140">
        <v>14</v>
      </c>
      <c r="P1140">
        <v>4</v>
      </c>
      <c r="Q1140">
        <v>0</v>
      </c>
      <c r="R1140">
        <v>58.03</v>
      </c>
      <c r="S1140">
        <v>19</v>
      </c>
      <c r="T1140">
        <v>19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19</v>
      </c>
      <c r="AB1140">
        <v>3</v>
      </c>
      <c r="AC1140">
        <v>0</v>
      </c>
      <c r="AH1140">
        <v>80.03</v>
      </c>
    </row>
    <row r="1141" spans="1:34" x14ac:dyDescent="0.3">
      <c r="A1141" s="4">
        <v>1352</v>
      </c>
      <c r="B1141" s="5">
        <v>1134</v>
      </c>
      <c r="C1141">
        <v>11263</v>
      </c>
      <c r="D1141" t="s">
        <v>12947</v>
      </c>
      <c r="E1141" t="s">
        <v>117</v>
      </c>
      <c r="F1141" t="s">
        <v>20</v>
      </c>
      <c r="G1141" t="s">
        <v>12948</v>
      </c>
      <c r="H1141">
        <v>17.8</v>
      </c>
      <c r="I1141">
        <v>0</v>
      </c>
      <c r="J1141">
        <v>0</v>
      </c>
      <c r="K1141">
        <v>28</v>
      </c>
      <c r="L1141">
        <v>7</v>
      </c>
      <c r="M1141">
        <v>5</v>
      </c>
      <c r="O1141">
        <v>12</v>
      </c>
      <c r="P1141">
        <v>4</v>
      </c>
      <c r="Q1141">
        <v>0</v>
      </c>
      <c r="R1141">
        <v>61.8</v>
      </c>
      <c r="S1141">
        <v>18</v>
      </c>
      <c r="T1141">
        <v>18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18</v>
      </c>
      <c r="AB1141">
        <v>0</v>
      </c>
      <c r="AC1141">
        <v>0</v>
      </c>
      <c r="AH1141">
        <v>79.8</v>
      </c>
    </row>
    <row r="1142" spans="1:34" x14ac:dyDescent="0.3">
      <c r="A1142" s="4">
        <v>1353</v>
      </c>
      <c r="B1142" s="5">
        <v>1135</v>
      </c>
      <c r="C1142">
        <v>6909</v>
      </c>
      <c r="D1142" t="s">
        <v>5609</v>
      </c>
      <c r="E1142" t="s">
        <v>273</v>
      </c>
      <c r="F1142" t="s">
        <v>20</v>
      </c>
      <c r="G1142" t="s">
        <v>12949</v>
      </c>
      <c r="H1142">
        <v>20.78</v>
      </c>
      <c r="I1142">
        <v>0</v>
      </c>
      <c r="J1142">
        <v>0</v>
      </c>
      <c r="K1142">
        <v>0</v>
      </c>
      <c r="N1142">
        <v>3</v>
      </c>
      <c r="O1142">
        <v>3</v>
      </c>
      <c r="P1142">
        <v>4</v>
      </c>
      <c r="Q1142">
        <v>0</v>
      </c>
      <c r="R1142">
        <v>27.78</v>
      </c>
      <c r="S1142">
        <v>37</v>
      </c>
      <c r="T1142">
        <v>37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37</v>
      </c>
      <c r="AB1142">
        <v>15</v>
      </c>
      <c r="AC1142">
        <v>0</v>
      </c>
      <c r="AH1142">
        <v>79.78</v>
      </c>
    </row>
    <row r="1143" spans="1:34" x14ac:dyDescent="0.3">
      <c r="A1143" s="4">
        <v>1354</v>
      </c>
      <c r="B1143" s="5">
        <v>1136</v>
      </c>
      <c r="C1143">
        <v>3799</v>
      </c>
      <c r="D1143" t="s">
        <v>2052</v>
      </c>
      <c r="E1143" t="s">
        <v>182</v>
      </c>
      <c r="F1143" t="s">
        <v>17</v>
      </c>
      <c r="G1143" t="s">
        <v>12950</v>
      </c>
      <c r="H1143">
        <v>17.48</v>
      </c>
      <c r="I1143">
        <v>0</v>
      </c>
      <c r="J1143">
        <v>0</v>
      </c>
      <c r="K1143">
        <v>20</v>
      </c>
      <c r="L1143">
        <v>7</v>
      </c>
      <c r="O1143">
        <v>7</v>
      </c>
      <c r="P1143">
        <v>4</v>
      </c>
      <c r="Q1143">
        <v>2</v>
      </c>
      <c r="R1143">
        <v>50.48</v>
      </c>
      <c r="S1143">
        <v>20</v>
      </c>
      <c r="T1143">
        <v>20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20</v>
      </c>
      <c r="AB1143">
        <v>9</v>
      </c>
      <c r="AC1143">
        <v>0</v>
      </c>
      <c r="AH1143">
        <v>79.48</v>
      </c>
    </row>
    <row r="1144" spans="1:34" x14ac:dyDescent="0.3">
      <c r="A1144" s="4">
        <v>1355</v>
      </c>
      <c r="B1144" s="5">
        <v>1137</v>
      </c>
      <c r="C1144">
        <v>10315</v>
      </c>
      <c r="D1144" t="s">
        <v>12951</v>
      </c>
      <c r="E1144" t="s">
        <v>967</v>
      </c>
      <c r="F1144" t="s">
        <v>62</v>
      </c>
      <c r="G1144" t="s">
        <v>12952</v>
      </c>
      <c r="H1144">
        <v>20.45</v>
      </c>
      <c r="I1144">
        <v>0</v>
      </c>
      <c r="J1144">
        <v>0</v>
      </c>
      <c r="K1144">
        <v>20</v>
      </c>
      <c r="L1144">
        <v>7</v>
      </c>
      <c r="N1144">
        <v>3</v>
      </c>
      <c r="O1144">
        <v>10</v>
      </c>
      <c r="P1144">
        <v>4</v>
      </c>
      <c r="Q1144">
        <v>0</v>
      </c>
      <c r="R1144">
        <v>54.45</v>
      </c>
      <c r="S1144">
        <v>25</v>
      </c>
      <c r="T1144">
        <v>25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25</v>
      </c>
      <c r="AB1144">
        <v>0</v>
      </c>
      <c r="AC1144">
        <v>0</v>
      </c>
      <c r="AH1144">
        <v>79.45</v>
      </c>
    </row>
    <row r="1145" spans="1:34" x14ac:dyDescent="0.3">
      <c r="A1145" s="4">
        <v>1356</v>
      </c>
      <c r="B1145" s="5">
        <v>1138</v>
      </c>
      <c r="C1145">
        <v>2521</v>
      </c>
      <c r="D1145" t="s">
        <v>12670</v>
      </c>
      <c r="E1145" t="s">
        <v>178</v>
      </c>
      <c r="F1145" t="s">
        <v>17</v>
      </c>
      <c r="G1145" t="s">
        <v>12953</v>
      </c>
      <c r="H1145">
        <v>17.2</v>
      </c>
      <c r="I1145">
        <v>0</v>
      </c>
      <c r="J1145">
        <v>0</v>
      </c>
      <c r="K1145">
        <v>20</v>
      </c>
      <c r="L1145">
        <v>7</v>
      </c>
      <c r="O1145">
        <v>7</v>
      </c>
      <c r="P1145">
        <v>4</v>
      </c>
      <c r="Q1145">
        <v>2</v>
      </c>
      <c r="R1145">
        <v>50.2</v>
      </c>
      <c r="S1145">
        <v>26</v>
      </c>
      <c r="T1145">
        <v>26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26</v>
      </c>
      <c r="AB1145">
        <v>3</v>
      </c>
      <c r="AC1145">
        <v>0</v>
      </c>
      <c r="AH1145">
        <v>79.2</v>
      </c>
    </row>
    <row r="1146" spans="1:34" x14ac:dyDescent="0.3">
      <c r="A1146" s="4">
        <v>1357</v>
      </c>
      <c r="B1146" s="5">
        <v>1139</v>
      </c>
      <c r="C1146">
        <v>11110</v>
      </c>
      <c r="D1146" t="s">
        <v>12954</v>
      </c>
      <c r="E1146" t="s">
        <v>12955</v>
      </c>
      <c r="F1146" t="s">
        <v>124</v>
      </c>
      <c r="G1146" t="s">
        <v>12956</v>
      </c>
      <c r="H1146">
        <v>21.2</v>
      </c>
      <c r="I1146">
        <v>0</v>
      </c>
      <c r="J1146">
        <v>0</v>
      </c>
      <c r="K1146">
        <v>20</v>
      </c>
      <c r="L1146">
        <v>14</v>
      </c>
      <c r="O1146">
        <v>14</v>
      </c>
      <c r="P1146">
        <v>4</v>
      </c>
      <c r="Q1146">
        <v>2</v>
      </c>
      <c r="R1146">
        <v>61.2</v>
      </c>
      <c r="S1146">
        <v>18</v>
      </c>
      <c r="T1146">
        <v>18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18</v>
      </c>
      <c r="AB1146">
        <v>0</v>
      </c>
      <c r="AC1146">
        <v>0</v>
      </c>
      <c r="AH1146">
        <v>79.2</v>
      </c>
    </row>
    <row r="1147" spans="1:34" x14ac:dyDescent="0.3">
      <c r="A1147" s="4">
        <v>1358</v>
      </c>
      <c r="B1147" s="5">
        <v>1140</v>
      </c>
      <c r="C1147">
        <v>5656</v>
      </c>
      <c r="D1147" t="s">
        <v>67</v>
      </c>
      <c r="E1147" t="s">
        <v>29</v>
      </c>
      <c r="F1147" t="s">
        <v>136</v>
      </c>
      <c r="G1147" t="s">
        <v>12957</v>
      </c>
      <c r="H1147">
        <v>18.2</v>
      </c>
      <c r="I1147">
        <v>0</v>
      </c>
      <c r="J1147">
        <v>0</v>
      </c>
      <c r="K1147">
        <v>0</v>
      </c>
      <c r="L1147">
        <v>7</v>
      </c>
      <c r="O1147">
        <v>7</v>
      </c>
      <c r="P1147">
        <v>4</v>
      </c>
      <c r="Q1147">
        <v>2</v>
      </c>
      <c r="R1147">
        <v>31.2</v>
      </c>
      <c r="S1147">
        <v>48</v>
      </c>
      <c r="T1147">
        <v>48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48</v>
      </c>
      <c r="AB1147">
        <v>0</v>
      </c>
      <c r="AC1147">
        <v>0</v>
      </c>
      <c r="AH1147">
        <v>79.2</v>
      </c>
    </row>
    <row r="1148" spans="1:34" x14ac:dyDescent="0.3">
      <c r="A1148" s="4">
        <v>1359</v>
      </c>
      <c r="B1148" s="5">
        <v>1141</v>
      </c>
      <c r="C1148">
        <v>15037</v>
      </c>
      <c r="D1148" t="s">
        <v>12906</v>
      </c>
      <c r="E1148" t="s">
        <v>37</v>
      </c>
      <c r="F1148" t="s">
        <v>3439</v>
      </c>
      <c r="G1148" t="s">
        <v>12958</v>
      </c>
      <c r="H1148">
        <v>20.100000000000001</v>
      </c>
      <c r="I1148">
        <v>0</v>
      </c>
      <c r="J1148">
        <v>0</v>
      </c>
      <c r="K1148">
        <v>20</v>
      </c>
      <c r="L1148">
        <v>7</v>
      </c>
      <c r="N1148">
        <v>3</v>
      </c>
      <c r="O1148">
        <v>10</v>
      </c>
      <c r="P1148">
        <v>4</v>
      </c>
      <c r="Q1148">
        <v>2</v>
      </c>
      <c r="R1148">
        <v>56.1</v>
      </c>
      <c r="S1148">
        <v>23</v>
      </c>
      <c r="T1148">
        <v>23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23</v>
      </c>
      <c r="AB1148">
        <v>0</v>
      </c>
      <c r="AC1148">
        <v>0</v>
      </c>
      <c r="AH1148">
        <v>79.099999999999994</v>
      </c>
    </row>
    <row r="1149" spans="1:34" x14ac:dyDescent="0.3">
      <c r="A1149" s="4">
        <v>1360</v>
      </c>
      <c r="B1149" s="5">
        <v>1142</v>
      </c>
      <c r="C1149">
        <v>10097</v>
      </c>
      <c r="D1149" t="s">
        <v>12959</v>
      </c>
      <c r="E1149" t="s">
        <v>29</v>
      </c>
      <c r="F1149" t="s">
        <v>972</v>
      </c>
      <c r="G1149" t="s">
        <v>12960</v>
      </c>
      <c r="H1149">
        <v>19.05</v>
      </c>
      <c r="I1149">
        <v>0</v>
      </c>
      <c r="J1149">
        <v>0</v>
      </c>
      <c r="K1149">
        <v>20</v>
      </c>
      <c r="L1149">
        <v>7</v>
      </c>
      <c r="O1149">
        <v>7</v>
      </c>
      <c r="P1149">
        <v>4</v>
      </c>
      <c r="Q1149">
        <v>0</v>
      </c>
      <c r="R1149">
        <v>50.05</v>
      </c>
      <c r="S1149">
        <v>29</v>
      </c>
      <c r="T1149">
        <v>29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29</v>
      </c>
      <c r="AB1149">
        <v>0</v>
      </c>
      <c r="AC1149">
        <v>0</v>
      </c>
      <c r="AH1149">
        <v>79.05</v>
      </c>
    </row>
    <row r="1150" spans="1:34" x14ac:dyDescent="0.3">
      <c r="A1150" s="4">
        <v>1361</v>
      </c>
      <c r="B1150" s="5">
        <v>1143</v>
      </c>
      <c r="C1150">
        <v>10716</v>
      </c>
      <c r="D1150" t="s">
        <v>10907</v>
      </c>
      <c r="E1150" t="s">
        <v>100</v>
      </c>
      <c r="F1150" t="s">
        <v>17</v>
      </c>
      <c r="G1150" t="s">
        <v>12961</v>
      </c>
      <c r="H1150">
        <v>21.03</v>
      </c>
      <c r="I1150">
        <v>0</v>
      </c>
      <c r="J1150">
        <v>0</v>
      </c>
      <c r="K1150">
        <v>20</v>
      </c>
      <c r="L1150">
        <v>14</v>
      </c>
      <c r="O1150">
        <v>14</v>
      </c>
      <c r="P1150">
        <v>4</v>
      </c>
      <c r="Q1150">
        <v>0</v>
      </c>
      <c r="R1150">
        <v>59.03</v>
      </c>
      <c r="S1150">
        <v>17</v>
      </c>
      <c r="T1150">
        <v>17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17</v>
      </c>
      <c r="AB1150">
        <v>3</v>
      </c>
      <c r="AC1150">
        <v>0</v>
      </c>
      <c r="AH1150">
        <v>79.03</v>
      </c>
    </row>
    <row r="1151" spans="1:34" x14ac:dyDescent="0.3">
      <c r="A1151" s="4">
        <v>1362</v>
      </c>
      <c r="B1151" s="5">
        <v>1144</v>
      </c>
      <c r="C1151">
        <v>6869</v>
      </c>
      <c r="D1151" t="s">
        <v>12962</v>
      </c>
      <c r="E1151" t="s">
        <v>97</v>
      </c>
      <c r="F1151" t="s">
        <v>30</v>
      </c>
      <c r="G1151" t="s">
        <v>12963</v>
      </c>
      <c r="H1151">
        <v>20.03</v>
      </c>
      <c r="I1151">
        <v>0</v>
      </c>
      <c r="J1151">
        <v>0</v>
      </c>
      <c r="K1151">
        <v>28</v>
      </c>
      <c r="L1151">
        <v>7</v>
      </c>
      <c r="N1151">
        <v>3</v>
      </c>
      <c r="O1151">
        <v>10</v>
      </c>
      <c r="P1151">
        <v>4</v>
      </c>
      <c r="Q1151">
        <v>2</v>
      </c>
      <c r="R1151">
        <v>64.03</v>
      </c>
      <c r="S1151">
        <v>15</v>
      </c>
      <c r="T1151">
        <v>15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15</v>
      </c>
      <c r="AB1151">
        <v>0</v>
      </c>
      <c r="AC1151">
        <v>0</v>
      </c>
      <c r="AH1151">
        <v>79.03</v>
      </c>
    </row>
    <row r="1152" spans="1:34" x14ac:dyDescent="0.3">
      <c r="A1152" s="4">
        <v>1363</v>
      </c>
      <c r="B1152" s="5">
        <v>1145</v>
      </c>
      <c r="C1152">
        <v>10929</v>
      </c>
      <c r="D1152" t="s">
        <v>12964</v>
      </c>
      <c r="E1152" t="s">
        <v>149</v>
      </c>
      <c r="F1152" t="s">
        <v>17</v>
      </c>
      <c r="G1152" t="s">
        <v>12965</v>
      </c>
      <c r="H1152">
        <v>17.95</v>
      </c>
      <c r="I1152">
        <v>0</v>
      </c>
      <c r="J1152">
        <v>0</v>
      </c>
      <c r="K1152">
        <v>28</v>
      </c>
      <c r="L1152">
        <v>7</v>
      </c>
      <c r="O1152">
        <v>7</v>
      </c>
      <c r="P1152">
        <v>0</v>
      </c>
      <c r="Q1152">
        <v>0</v>
      </c>
      <c r="R1152">
        <v>52.95</v>
      </c>
      <c r="S1152">
        <v>26</v>
      </c>
      <c r="T1152">
        <v>26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26</v>
      </c>
      <c r="AB1152">
        <v>0</v>
      </c>
      <c r="AC1152">
        <v>0</v>
      </c>
      <c r="AH1152">
        <v>78.95</v>
      </c>
    </row>
    <row r="1153" spans="1:34" x14ac:dyDescent="0.3">
      <c r="A1153" s="4">
        <v>1364</v>
      </c>
      <c r="B1153" s="5">
        <v>1146</v>
      </c>
      <c r="C1153">
        <v>9423</v>
      </c>
      <c r="D1153" t="s">
        <v>12966</v>
      </c>
      <c r="E1153" t="s">
        <v>442</v>
      </c>
      <c r="F1153" t="s">
        <v>230</v>
      </c>
      <c r="G1153" t="s">
        <v>12967</v>
      </c>
      <c r="H1153">
        <v>16.899999999999999</v>
      </c>
      <c r="I1153">
        <v>0</v>
      </c>
      <c r="J1153">
        <v>0</v>
      </c>
      <c r="K1153">
        <v>20</v>
      </c>
      <c r="L1153">
        <v>7</v>
      </c>
      <c r="M1153">
        <v>5</v>
      </c>
      <c r="O1153">
        <v>12</v>
      </c>
      <c r="P1153">
        <v>4</v>
      </c>
      <c r="Q1153">
        <v>2</v>
      </c>
      <c r="R1153">
        <v>54.9</v>
      </c>
      <c r="S1153">
        <v>24</v>
      </c>
      <c r="T1153">
        <v>24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24</v>
      </c>
      <c r="AB1153">
        <v>0</v>
      </c>
      <c r="AC1153">
        <v>0</v>
      </c>
      <c r="AH1153">
        <v>78.900000000000006</v>
      </c>
    </row>
    <row r="1154" spans="1:34" x14ac:dyDescent="0.3">
      <c r="A1154" s="4">
        <v>1365</v>
      </c>
      <c r="B1154" s="5">
        <v>1147</v>
      </c>
      <c r="C1154">
        <v>3700</v>
      </c>
      <c r="D1154" t="s">
        <v>12968</v>
      </c>
      <c r="E1154" t="s">
        <v>1809</v>
      </c>
      <c r="F1154" t="s">
        <v>17</v>
      </c>
      <c r="G1154" t="s">
        <v>12969</v>
      </c>
      <c r="H1154">
        <v>20.85</v>
      </c>
      <c r="I1154">
        <v>0</v>
      </c>
      <c r="J1154">
        <v>0</v>
      </c>
      <c r="K1154">
        <v>20</v>
      </c>
      <c r="L1154">
        <v>14</v>
      </c>
      <c r="O1154">
        <v>14</v>
      </c>
      <c r="P1154">
        <v>4</v>
      </c>
      <c r="Q1154">
        <v>2</v>
      </c>
      <c r="R1154">
        <v>60.85</v>
      </c>
      <c r="S1154">
        <v>15</v>
      </c>
      <c r="T1154">
        <v>15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15</v>
      </c>
      <c r="AB1154">
        <v>3</v>
      </c>
      <c r="AC1154">
        <v>0</v>
      </c>
      <c r="AH1154">
        <v>78.849999999999994</v>
      </c>
    </row>
    <row r="1155" spans="1:34" x14ac:dyDescent="0.3">
      <c r="A1155" s="4">
        <v>1366</v>
      </c>
      <c r="B1155" s="5">
        <v>1148</v>
      </c>
      <c r="C1155">
        <v>10149</v>
      </c>
      <c r="D1155" t="s">
        <v>12970</v>
      </c>
      <c r="E1155" t="s">
        <v>26</v>
      </c>
      <c r="F1155" t="s">
        <v>167</v>
      </c>
      <c r="G1155" t="s">
        <v>12971</v>
      </c>
      <c r="H1155">
        <v>19.829999999999998</v>
      </c>
      <c r="I1155">
        <v>0</v>
      </c>
      <c r="J1155">
        <v>0</v>
      </c>
      <c r="K1155">
        <v>20</v>
      </c>
      <c r="L1155">
        <v>7</v>
      </c>
      <c r="O1155">
        <v>7</v>
      </c>
      <c r="P1155">
        <v>4</v>
      </c>
      <c r="Q1155">
        <v>2</v>
      </c>
      <c r="R1155">
        <v>52.83</v>
      </c>
      <c r="S1155">
        <v>26</v>
      </c>
      <c r="T1155">
        <v>26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26</v>
      </c>
      <c r="AB1155">
        <v>0</v>
      </c>
      <c r="AC1155">
        <v>0</v>
      </c>
      <c r="AH1155">
        <v>78.83</v>
      </c>
    </row>
    <row r="1156" spans="1:34" x14ac:dyDescent="0.3">
      <c r="A1156" s="4">
        <v>1367</v>
      </c>
      <c r="B1156" s="5">
        <v>1149</v>
      </c>
      <c r="C1156">
        <v>9813</v>
      </c>
      <c r="D1156" t="s">
        <v>12972</v>
      </c>
      <c r="E1156" t="s">
        <v>471</v>
      </c>
      <c r="F1156" t="s">
        <v>38</v>
      </c>
      <c r="G1156" t="s">
        <v>12973</v>
      </c>
      <c r="H1156">
        <v>20.75</v>
      </c>
      <c r="I1156">
        <v>0</v>
      </c>
      <c r="J1156">
        <v>0</v>
      </c>
      <c r="K1156">
        <v>20</v>
      </c>
      <c r="M1156">
        <v>5</v>
      </c>
      <c r="N1156">
        <v>3</v>
      </c>
      <c r="O1156">
        <v>8</v>
      </c>
      <c r="P1156">
        <v>4</v>
      </c>
      <c r="Q1156">
        <v>2</v>
      </c>
      <c r="R1156">
        <v>54.75</v>
      </c>
      <c r="S1156">
        <v>24</v>
      </c>
      <c r="T1156">
        <v>24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24</v>
      </c>
      <c r="AB1156">
        <v>0</v>
      </c>
      <c r="AC1156">
        <v>0</v>
      </c>
      <c r="AH1156">
        <v>78.75</v>
      </c>
    </row>
    <row r="1157" spans="1:34" x14ac:dyDescent="0.3">
      <c r="A1157" s="4">
        <v>1368</v>
      </c>
      <c r="B1157" s="5">
        <v>1150</v>
      </c>
      <c r="C1157">
        <v>11614</v>
      </c>
      <c r="D1157" t="s">
        <v>3223</v>
      </c>
      <c r="E1157" t="s">
        <v>41</v>
      </c>
      <c r="F1157" t="s">
        <v>136</v>
      </c>
      <c r="G1157" t="s">
        <v>12974</v>
      </c>
      <c r="H1157">
        <v>15.7</v>
      </c>
      <c r="I1157">
        <v>0</v>
      </c>
      <c r="J1157">
        <v>0</v>
      </c>
      <c r="K1157">
        <v>20</v>
      </c>
      <c r="L1157">
        <v>7</v>
      </c>
      <c r="O1157">
        <v>7</v>
      </c>
      <c r="P1157">
        <v>4</v>
      </c>
      <c r="Q1157">
        <v>0</v>
      </c>
      <c r="R1157">
        <v>46.7</v>
      </c>
      <c r="S1157">
        <v>32</v>
      </c>
      <c r="T1157">
        <v>32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32</v>
      </c>
      <c r="AB1157">
        <v>0</v>
      </c>
      <c r="AC1157">
        <v>0</v>
      </c>
      <c r="AH1157">
        <v>78.7</v>
      </c>
    </row>
    <row r="1158" spans="1:34" x14ac:dyDescent="0.3">
      <c r="A1158" s="4">
        <v>1369</v>
      </c>
      <c r="B1158" s="5">
        <v>1151</v>
      </c>
      <c r="C1158">
        <v>1728</v>
      </c>
      <c r="D1158" t="s">
        <v>74</v>
      </c>
      <c r="E1158" t="s">
        <v>792</v>
      </c>
      <c r="F1158" t="s">
        <v>7576</v>
      </c>
      <c r="G1158" t="s">
        <v>12975</v>
      </c>
      <c r="H1158">
        <v>19.600000000000001</v>
      </c>
      <c r="I1158">
        <v>0</v>
      </c>
      <c r="J1158">
        <v>0</v>
      </c>
      <c r="K1158">
        <v>20</v>
      </c>
      <c r="N1158">
        <v>3</v>
      </c>
      <c r="O1158">
        <v>3</v>
      </c>
      <c r="P1158">
        <v>4</v>
      </c>
      <c r="Q1158">
        <v>0</v>
      </c>
      <c r="R1158">
        <v>46.6</v>
      </c>
      <c r="S1158">
        <v>32</v>
      </c>
      <c r="T1158">
        <v>32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32</v>
      </c>
      <c r="AB1158">
        <v>0</v>
      </c>
      <c r="AC1158">
        <v>0</v>
      </c>
      <c r="AH1158">
        <v>78.599999999999994</v>
      </c>
    </row>
    <row r="1159" spans="1:34" x14ac:dyDescent="0.3">
      <c r="A1159" s="4">
        <v>1370</v>
      </c>
      <c r="B1159" s="5">
        <v>1152</v>
      </c>
      <c r="C1159">
        <v>10405</v>
      </c>
      <c r="D1159" t="s">
        <v>12976</v>
      </c>
      <c r="E1159" t="s">
        <v>539</v>
      </c>
      <c r="F1159" t="s">
        <v>38</v>
      </c>
      <c r="G1159" t="s">
        <v>12977</v>
      </c>
      <c r="H1159">
        <v>19.55</v>
      </c>
      <c r="I1159">
        <v>0</v>
      </c>
      <c r="J1159">
        <v>0</v>
      </c>
      <c r="K1159">
        <v>20</v>
      </c>
      <c r="L1159">
        <v>7</v>
      </c>
      <c r="O1159">
        <v>7</v>
      </c>
      <c r="P1159">
        <v>4</v>
      </c>
      <c r="Q1159">
        <v>0</v>
      </c>
      <c r="R1159">
        <v>50.55</v>
      </c>
      <c r="S1159">
        <v>8</v>
      </c>
      <c r="T1159">
        <v>8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8</v>
      </c>
      <c r="AB1159">
        <v>0</v>
      </c>
      <c r="AC1159">
        <v>20</v>
      </c>
      <c r="AH1159">
        <v>78.55</v>
      </c>
    </row>
    <row r="1160" spans="1:34" x14ac:dyDescent="0.3">
      <c r="A1160" s="4">
        <v>1371</v>
      </c>
      <c r="B1160" s="5">
        <v>1153</v>
      </c>
      <c r="C1160">
        <v>8398</v>
      </c>
      <c r="D1160" t="s">
        <v>12978</v>
      </c>
      <c r="E1160" t="s">
        <v>41</v>
      </c>
      <c r="F1160" t="s">
        <v>17</v>
      </c>
      <c r="G1160" t="s">
        <v>12979</v>
      </c>
      <c r="H1160">
        <v>20.5</v>
      </c>
      <c r="I1160">
        <v>0</v>
      </c>
      <c r="J1160">
        <v>0</v>
      </c>
      <c r="K1160">
        <v>20</v>
      </c>
      <c r="L1160">
        <v>14</v>
      </c>
      <c r="O1160">
        <v>14</v>
      </c>
      <c r="P1160">
        <v>4</v>
      </c>
      <c r="Q1160">
        <v>2</v>
      </c>
      <c r="R1160">
        <v>60.5</v>
      </c>
      <c r="S1160">
        <v>18</v>
      </c>
      <c r="T1160">
        <v>18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18</v>
      </c>
      <c r="AB1160">
        <v>0</v>
      </c>
      <c r="AC1160">
        <v>0</v>
      </c>
      <c r="AH1160">
        <v>78.5</v>
      </c>
    </row>
    <row r="1161" spans="1:34" x14ac:dyDescent="0.3">
      <c r="A1161" s="4">
        <v>1372</v>
      </c>
      <c r="B1161" s="5">
        <v>1154</v>
      </c>
      <c r="C1161">
        <v>5377</v>
      </c>
      <c r="D1161" t="s">
        <v>5581</v>
      </c>
      <c r="E1161" t="s">
        <v>26</v>
      </c>
      <c r="F1161" t="s">
        <v>12980</v>
      </c>
      <c r="G1161" t="s">
        <v>12981</v>
      </c>
      <c r="H1161">
        <v>18.13</v>
      </c>
      <c r="I1161">
        <v>0</v>
      </c>
      <c r="J1161">
        <v>0</v>
      </c>
      <c r="K1161">
        <v>20</v>
      </c>
      <c r="L1161">
        <v>7</v>
      </c>
      <c r="N1161">
        <v>3</v>
      </c>
      <c r="O1161">
        <v>10</v>
      </c>
      <c r="P1161">
        <v>4</v>
      </c>
      <c r="Q1161">
        <v>0</v>
      </c>
      <c r="R1161">
        <v>52.13</v>
      </c>
      <c r="S1161">
        <v>26</v>
      </c>
      <c r="T1161">
        <v>26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26</v>
      </c>
      <c r="AB1161">
        <v>0</v>
      </c>
      <c r="AC1161">
        <v>0</v>
      </c>
      <c r="AH1161">
        <v>78.13</v>
      </c>
    </row>
    <row r="1162" spans="1:34" x14ac:dyDescent="0.3">
      <c r="A1162" s="4">
        <v>1373</v>
      </c>
      <c r="B1162" s="5">
        <v>1155</v>
      </c>
      <c r="C1162">
        <v>6585</v>
      </c>
      <c r="D1162" t="s">
        <v>12982</v>
      </c>
      <c r="E1162" t="s">
        <v>346</v>
      </c>
      <c r="F1162" t="s">
        <v>38</v>
      </c>
      <c r="G1162" t="s">
        <v>12983</v>
      </c>
      <c r="H1162">
        <v>16.100000000000001</v>
      </c>
      <c r="I1162">
        <v>0</v>
      </c>
      <c r="J1162">
        <v>0</v>
      </c>
      <c r="K1162">
        <v>20</v>
      </c>
      <c r="L1162">
        <v>7</v>
      </c>
      <c r="O1162">
        <v>7</v>
      </c>
      <c r="P1162">
        <v>4</v>
      </c>
      <c r="Q1162">
        <v>2</v>
      </c>
      <c r="R1162">
        <v>49.1</v>
      </c>
      <c r="S1162">
        <v>29</v>
      </c>
      <c r="T1162">
        <v>29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29</v>
      </c>
      <c r="AB1162">
        <v>0</v>
      </c>
      <c r="AC1162">
        <v>0</v>
      </c>
      <c r="AH1162">
        <v>78.099999999999994</v>
      </c>
    </row>
    <row r="1163" spans="1:34" x14ac:dyDescent="0.3">
      <c r="A1163" s="4">
        <v>1374</v>
      </c>
      <c r="B1163" s="5">
        <v>1156</v>
      </c>
      <c r="C1163">
        <v>4305</v>
      </c>
      <c r="D1163" t="s">
        <v>7093</v>
      </c>
      <c r="E1163" t="s">
        <v>71</v>
      </c>
      <c r="F1163" t="s">
        <v>5614</v>
      </c>
      <c r="G1163" t="s">
        <v>12984</v>
      </c>
      <c r="H1163">
        <v>19.079999999999998</v>
      </c>
      <c r="I1163">
        <v>0</v>
      </c>
      <c r="J1163">
        <v>0</v>
      </c>
      <c r="K1163">
        <v>28</v>
      </c>
      <c r="L1163">
        <v>7</v>
      </c>
      <c r="M1163">
        <v>5</v>
      </c>
      <c r="O1163">
        <v>12</v>
      </c>
      <c r="P1163">
        <v>0</v>
      </c>
      <c r="Q1163">
        <v>0</v>
      </c>
      <c r="R1163">
        <v>59.08</v>
      </c>
      <c r="S1163">
        <v>17</v>
      </c>
      <c r="T1163">
        <v>17</v>
      </c>
      <c r="U1163">
        <v>1</v>
      </c>
      <c r="V1163">
        <v>2</v>
      </c>
      <c r="W1163">
        <v>0</v>
      </c>
      <c r="X1163">
        <v>0</v>
      </c>
      <c r="Y1163">
        <v>0</v>
      </c>
      <c r="Z1163">
        <v>0</v>
      </c>
      <c r="AA1163">
        <v>19</v>
      </c>
      <c r="AB1163">
        <v>0</v>
      </c>
      <c r="AC1163">
        <v>0</v>
      </c>
      <c r="AH1163">
        <v>78.08</v>
      </c>
    </row>
    <row r="1164" spans="1:34" x14ac:dyDescent="0.3">
      <c r="A1164" s="4">
        <v>1375</v>
      </c>
      <c r="B1164" s="5">
        <v>1157</v>
      </c>
      <c r="C1164">
        <v>4397</v>
      </c>
      <c r="D1164" t="s">
        <v>12985</v>
      </c>
      <c r="E1164" t="s">
        <v>26</v>
      </c>
      <c r="F1164" t="s">
        <v>17</v>
      </c>
      <c r="G1164" t="s">
        <v>12986</v>
      </c>
      <c r="H1164">
        <v>20.079999999999998</v>
      </c>
      <c r="I1164">
        <v>0</v>
      </c>
      <c r="J1164">
        <v>0</v>
      </c>
      <c r="K1164">
        <v>20</v>
      </c>
      <c r="N1164">
        <v>3</v>
      </c>
      <c r="O1164">
        <v>3</v>
      </c>
      <c r="P1164">
        <v>4</v>
      </c>
      <c r="Q1164">
        <v>2</v>
      </c>
      <c r="R1164">
        <v>49.08</v>
      </c>
      <c r="S1164">
        <v>29</v>
      </c>
      <c r="T1164">
        <v>29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29</v>
      </c>
      <c r="AB1164">
        <v>0</v>
      </c>
      <c r="AC1164">
        <v>0</v>
      </c>
      <c r="AH1164">
        <v>78.08</v>
      </c>
    </row>
    <row r="1165" spans="1:34" x14ac:dyDescent="0.3">
      <c r="A1165" s="4">
        <v>1376</v>
      </c>
      <c r="B1165" s="5">
        <v>1158</v>
      </c>
      <c r="C1165">
        <v>662</v>
      </c>
      <c r="D1165" t="s">
        <v>7270</v>
      </c>
      <c r="E1165" t="s">
        <v>166</v>
      </c>
      <c r="F1165" t="s">
        <v>38</v>
      </c>
      <c r="G1165" t="s">
        <v>12987</v>
      </c>
      <c r="H1165">
        <v>19.98</v>
      </c>
      <c r="I1165">
        <v>0</v>
      </c>
      <c r="J1165">
        <v>0</v>
      </c>
      <c r="K1165">
        <v>0</v>
      </c>
      <c r="M1165">
        <v>5</v>
      </c>
      <c r="O1165">
        <v>5</v>
      </c>
      <c r="P1165">
        <v>4</v>
      </c>
      <c r="Q1165">
        <v>2</v>
      </c>
      <c r="R1165">
        <v>30.98</v>
      </c>
      <c r="S1165">
        <v>47</v>
      </c>
      <c r="T1165">
        <v>47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47</v>
      </c>
      <c r="AB1165">
        <v>0</v>
      </c>
      <c r="AC1165">
        <v>0</v>
      </c>
      <c r="AD1165" t="s">
        <v>130</v>
      </c>
      <c r="AH1165">
        <v>77.98</v>
      </c>
    </row>
    <row r="1166" spans="1:34" x14ac:dyDescent="0.3">
      <c r="A1166" s="4">
        <v>1377</v>
      </c>
      <c r="B1166" s="5">
        <v>1159</v>
      </c>
      <c r="C1166">
        <v>2661</v>
      </c>
      <c r="D1166" t="s">
        <v>12988</v>
      </c>
      <c r="E1166" t="s">
        <v>273</v>
      </c>
      <c r="F1166" t="s">
        <v>12989</v>
      </c>
      <c r="G1166" t="s">
        <v>12990</v>
      </c>
      <c r="H1166">
        <v>19.93</v>
      </c>
      <c r="I1166">
        <v>0</v>
      </c>
      <c r="J1166">
        <v>0</v>
      </c>
      <c r="K1166">
        <v>20</v>
      </c>
      <c r="M1166">
        <v>5</v>
      </c>
      <c r="O1166">
        <v>5</v>
      </c>
      <c r="P1166">
        <v>4</v>
      </c>
      <c r="Q1166">
        <v>2</v>
      </c>
      <c r="R1166">
        <v>50.93</v>
      </c>
      <c r="S1166">
        <v>27</v>
      </c>
      <c r="T1166">
        <v>27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27</v>
      </c>
      <c r="AB1166">
        <v>0</v>
      </c>
      <c r="AC1166">
        <v>0</v>
      </c>
      <c r="AD1166" t="s">
        <v>130</v>
      </c>
      <c r="AH1166">
        <v>77.930000000000007</v>
      </c>
    </row>
    <row r="1167" spans="1:34" x14ac:dyDescent="0.3">
      <c r="A1167" s="4">
        <v>1378</v>
      </c>
      <c r="B1167" s="5">
        <v>1160</v>
      </c>
      <c r="C1167">
        <v>1591</v>
      </c>
      <c r="D1167" t="s">
        <v>1630</v>
      </c>
      <c r="E1167" t="s">
        <v>560</v>
      </c>
      <c r="F1167" t="s">
        <v>2557</v>
      </c>
      <c r="G1167" t="s">
        <v>12991</v>
      </c>
      <c r="H1167">
        <v>16.45</v>
      </c>
      <c r="I1167">
        <v>0</v>
      </c>
      <c r="J1167">
        <v>0</v>
      </c>
      <c r="K1167">
        <v>28</v>
      </c>
      <c r="L1167">
        <v>7</v>
      </c>
      <c r="N1167">
        <v>3</v>
      </c>
      <c r="O1167">
        <v>10</v>
      </c>
      <c r="P1167">
        <v>4</v>
      </c>
      <c r="Q1167">
        <v>2</v>
      </c>
      <c r="R1167">
        <v>60.45</v>
      </c>
      <c r="S1167">
        <v>17</v>
      </c>
      <c r="T1167">
        <v>17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17</v>
      </c>
      <c r="AB1167">
        <v>0</v>
      </c>
      <c r="AC1167">
        <v>0</v>
      </c>
      <c r="AD1167" t="s">
        <v>130</v>
      </c>
      <c r="AE1167" t="s">
        <v>130</v>
      </c>
      <c r="AH1167">
        <v>77.45</v>
      </c>
    </row>
    <row r="1168" spans="1:34" x14ac:dyDescent="0.3">
      <c r="A1168" s="4">
        <v>1379</v>
      </c>
      <c r="B1168" s="5">
        <v>1161</v>
      </c>
      <c r="C1168">
        <v>5471</v>
      </c>
      <c r="D1168" t="s">
        <v>12992</v>
      </c>
      <c r="E1168" t="s">
        <v>161</v>
      </c>
      <c r="F1168" t="s">
        <v>136</v>
      </c>
      <c r="G1168" t="s">
        <v>12993</v>
      </c>
      <c r="H1168">
        <v>16.43</v>
      </c>
      <c r="I1168">
        <v>0</v>
      </c>
      <c r="J1168">
        <v>0</v>
      </c>
      <c r="K1168">
        <v>0</v>
      </c>
      <c r="N1168">
        <v>6</v>
      </c>
      <c r="O1168">
        <v>6</v>
      </c>
      <c r="P1168">
        <v>4</v>
      </c>
      <c r="Q1168">
        <v>2</v>
      </c>
      <c r="R1168">
        <v>28.43</v>
      </c>
      <c r="S1168">
        <v>49</v>
      </c>
      <c r="T1168">
        <v>49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49</v>
      </c>
      <c r="AB1168">
        <v>0</v>
      </c>
      <c r="AC1168">
        <v>0</v>
      </c>
      <c r="AD1168" t="s">
        <v>130</v>
      </c>
      <c r="AH1168">
        <v>77.430000000000007</v>
      </c>
    </row>
    <row r="1169" spans="1:34" x14ac:dyDescent="0.3">
      <c r="A1169" s="4">
        <v>1380</v>
      </c>
      <c r="B1169" s="5">
        <v>1162</v>
      </c>
      <c r="C1169">
        <v>10791</v>
      </c>
      <c r="D1169" t="s">
        <v>12994</v>
      </c>
      <c r="E1169" t="s">
        <v>26</v>
      </c>
      <c r="F1169" t="s">
        <v>17</v>
      </c>
      <c r="G1169" t="s">
        <v>12995</v>
      </c>
      <c r="H1169">
        <v>16.399999999999999</v>
      </c>
      <c r="I1169">
        <v>0</v>
      </c>
      <c r="J1169">
        <v>0</v>
      </c>
      <c r="K1169">
        <v>20</v>
      </c>
      <c r="L1169">
        <v>7</v>
      </c>
      <c r="N1169">
        <v>3</v>
      </c>
      <c r="O1169">
        <v>10</v>
      </c>
      <c r="P1169">
        <v>0</v>
      </c>
      <c r="Q1169">
        <v>0</v>
      </c>
      <c r="R1169">
        <v>46.4</v>
      </c>
      <c r="S1169">
        <v>31</v>
      </c>
      <c r="T1169">
        <v>31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31</v>
      </c>
      <c r="AB1169">
        <v>0</v>
      </c>
      <c r="AC1169">
        <v>0</v>
      </c>
      <c r="AD1169" t="s">
        <v>130</v>
      </c>
      <c r="AH1169">
        <v>77.400000000000006</v>
      </c>
    </row>
    <row r="1170" spans="1:34" x14ac:dyDescent="0.3">
      <c r="A1170" s="4">
        <v>1381</v>
      </c>
      <c r="B1170" s="5">
        <v>1163</v>
      </c>
      <c r="C1170">
        <v>2416</v>
      </c>
      <c r="D1170" t="s">
        <v>12996</v>
      </c>
      <c r="E1170" t="s">
        <v>22</v>
      </c>
      <c r="F1170" t="s">
        <v>117</v>
      </c>
      <c r="G1170" t="s">
        <v>12997</v>
      </c>
      <c r="H1170">
        <v>17.38</v>
      </c>
      <c r="I1170">
        <v>0</v>
      </c>
      <c r="J1170">
        <v>0</v>
      </c>
      <c r="K1170">
        <v>0</v>
      </c>
      <c r="L1170">
        <v>7</v>
      </c>
      <c r="O1170">
        <v>7</v>
      </c>
      <c r="P1170">
        <v>4</v>
      </c>
      <c r="Q1170">
        <v>0</v>
      </c>
      <c r="R1170">
        <v>28.38</v>
      </c>
      <c r="S1170">
        <v>43</v>
      </c>
      <c r="T1170">
        <v>43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43</v>
      </c>
      <c r="AB1170">
        <v>6</v>
      </c>
      <c r="AC1170">
        <v>0</v>
      </c>
      <c r="AH1170">
        <v>77.38</v>
      </c>
    </row>
    <row r="1171" spans="1:34" x14ac:dyDescent="0.3">
      <c r="A1171" s="4">
        <v>1382</v>
      </c>
      <c r="B1171" s="5">
        <v>1164</v>
      </c>
      <c r="C1171">
        <v>3928</v>
      </c>
      <c r="D1171" t="s">
        <v>1611</v>
      </c>
      <c r="E1171" t="s">
        <v>41</v>
      </c>
      <c r="F1171" t="s">
        <v>243</v>
      </c>
      <c r="G1171" t="s">
        <v>12998</v>
      </c>
      <c r="H1171">
        <v>17.48</v>
      </c>
      <c r="I1171">
        <v>0</v>
      </c>
      <c r="J1171">
        <v>0</v>
      </c>
      <c r="K1171">
        <v>20</v>
      </c>
      <c r="L1171">
        <v>7</v>
      </c>
      <c r="O1171">
        <v>7</v>
      </c>
      <c r="P1171">
        <v>4</v>
      </c>
      <c r="Q1171">
        <v>2</v>
      </c>
      <c r="R1171">
        <v>50.48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26.8</v>
      </c>
      <c r="AH1171">
        <v>77.28</v>
      </c>
    </row>
    <row r="1172" spans="1:34" x14ac:dyDescent="0.3">
      <c r="A1172" s="4">
        <v>1383</v>
      </c>
      <c r="B1172" s="5">
        <v>1165</v>
      </c>
      <c r="C1172">
        <v>9230</v>
      </c>
      <c r="D1172" t="s">
        <v>12999</v>
      </c>
      <c r="E1172" t="s">
        <v>935</v>
      </c>
      <c r="F1172" t="s">
        <v>81</v>
      </c>
      <c r="G1172" t="s">
        <v>13000</v>
      </c>
      <c r="H1172">
        <v>18.75</v>
      </c>
      <c r="I1172">
        <v>0</v>
      </c>
      <c r="J1172">
        <v>0</v>
      </c>
      <c r="K1172">
        <v>20</v>
      </c>
      <c r="L1172">
        <v>7</v>
      </c>
      <c r="M1172">
        <v>5</v>
      </c>
      <c r="O1172">
        <v>12</v>
      </c>
      <c r="P1172">
        <v>4</v>
      </c>
      <c r="Q1172">
        <v>2</v>
      </c>
      <c r="R1172">
        <v>56.75</v>
      </c>
      <c r="S1172">
        <v>14</v>
      </c>
      <c r="T1172">
        <v>14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14</v>
      </c>
      <c r="AB1172">
        <v>6</v>
      </c>
      <c r="AC1172">
        <v>0</v>
      </c>
      <c r="AH1172">
        <v>76.75</v>
      </c>
    </row>
    <row r="1173" spans="1:34" x14ac:dyDescent="0.3">
      <c r="A1173" s="4">
        <v>1384</v>
      </c>
      <c r="B1173" s="5">
        <v>1166</v>
      </c>
      <c r="C1173">
        <v>9330</v>
      </c>
      <c r="D1173" t="s">
        <v>3230</v>
      </c>
      <c r="E1173" t="s">
        <v>13001</v>
      </c>
      <c r="F1173" t="s">
        <v>17</v>
      </c>
      <c r="G1173" t="s">
        <v>13002</v>
      </c>
      <c r="H1173">
        <v>16.68</v>
      </c>
      <c r="I1173">
        <v>0</v>
      </c>
      <c r="J1173">
        <v>0</v>
      </c>
      <c r="K1173">
        <v>20</v>
      </c>
      <c r="N1173">
        <v>3</v>
      </c>
      <c r="O1173">
        <v>3</v>
      </c>
      <c r="P1173">
        <v>4</v>
      </c>
      <c r="Q1173">
        <v>2</v>
      </c>
      <c r="R1173">
        <v>45.68</v>
      </c>
      <c r="S1173">
        <v>31</v>
      </c>
      <c r="T1173">
        <v>31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31</v>
      </c>
      <c r="AB1173">
        <v>0</v>
      </c>
      <c r="AC1173">
        <v>0</v>
      </c>
      <c r="AH1173">
        <v>76.680000000000007</v>
      </c>
    </row>
    <row r="1174" spans="1:34" x14ac:dyDescent="0.3">
      <c r="A1174" s="4">
        <v>1385</v>
      </c>
      <c r="B1174" s="5">
        <v>1167</v>
      </c>
      <c r="C1174">
        <v>14291</v>
      </c>
      <c r="D1174" t="s">
        <v>13003</v>
      </c>
      <c r="E1174" t="s">
        <v>9975</v>
      </c>
      <c r="F1174" t="s">
        <v>20</v>
      </c>
      <c r="G1174" t="s">
        <v>13004</v>
      </c>
      <c r="H1174">
        <v>18.95</v>
      </c>
      <c r="I1174">
        <v>0</v>
      </c>
      <c r="J1174">
        <v>0</v>
      </c>
      <c r="K1174">
        <v>20</v>
      </c>
      <c r="N1174">
        <v>3</v>
      </c>
      <c r="O1174">
        <v>3</v>
      </c>
      <c r="P1174">
        <v>4</v>
      </c>
      <c r="Q1174">
        <v>0</v>
      </c>
      <c r="R1174">
        <v>45.95</v>
      </c>
      <c r="S1174">
        <v>26</v>
      </c>
      <c r="T1174">
        <v>26</v>
      </c>
      <c r="U1174">
        <v>0</v>
      </c>
      <c r="V1174">
        <v>0</v>
      </c>
      <c r="W1174">
        <v>3</v>
      </c>
      <c r="X1174">
        <v>4.5</v>
      </c>
      <c r="Y1174">
        <v>0</v>
      </c>
      <c r="Z1174">
        <v>0</v>
      </c>
      <c r="AA1174">
        <v>30.5</v>
      </c>
      <c r="AB1174">
        <v>0</v>
      </c>
      <c r="AC1174">
        <v>0</v>
      </c>
      <c r="AH1174">
        <v>76.45</v>
      </c>
    </row>
    <row r="1175" spans="1:34" x14ac:dyDescent="0.3">
      <c r="A1175" s="4">
        <v>1386</v>
      </c>
      <c r="B1175" s="5">
        <v>1168</v>
      </c>
      <c r="C1175">
        <v>13230</v>
      </c>
      <c r="D1175" t="s">
        <v>3428</v>
      </c>
      <c r="E1175" t="s">
        <v>41</v>
      </c>
      <c r="F1175" t="s">
        <v>117</v>
      </c>
      <c r="G1175" t="s">
        <v>13005</v>
      </c>
      <c r="H1175">
        <v>18.43</v>
      </c>
      <c r="I1175">
        <v>0</v>
      </c>
      <c r="J1175">
        <v>0</v>
      </c>
      <c r="K1175">
        <v>20</v>
      </c>
      <c r="L1175">
        <v>7</v>
      </c>
      <c r="O1175">
        <v>7</v>
      </c>
      <c r="P1175">
        <v>4</v>
      </c>
      <c r="Q1175">
        <v>2</v>
      </c>
      <c r="R1175">
        <v>51.43</v>
      </c>
      <c r="S1175">
        <v>25</v>
      </c>
      <c r="T1175">
        <v>25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25</v>
      </c>
      <c r="AB1175">
        <v>0</v>
      </c>
      <c r="AC1175">
        <v>0</v>
      </c>
      <c r="AH1175">
        <v>76.430000000000007</v>
      </c>
    </row>
    <row r="1176" spans="1:34" x14ac:dyDescent="0.3">
      <c r="A1176" s="4">
        <v>1387</v>
      </c>
      <c r="B1176" s="5">
        <v>1169</v>
      </c>
      <c r="C1176">
        <v>8309</v>
      </c>
      <c r="D1176" t="s">
        <v>13006</v>
      </c>
      <c r="E1176" t="s">
        <v>97</v>
      </c>
      <c r="F1176" t="s">
        <v>30</v>
      </c>
      <c r="G1176" t="s">
        <v>13007</v>
      </c>
      <c r="H1176">
        <v>19.329999999999998</v>
      </c>
      <c r="I1176">
        <v>0</v>
      </c>
      <c r="J1176">
        <v>0</v>
      </c>
      <c r="K1176">
        <v>20</v>
      </c>
      <c r="L1176">
        <v>7</v>
      </c>
      <c r="M1176">
        <v>5</v>
      </c>
      <c r="O1176">
        <v>12</v>
      </c>
      <c r="P1176">
        <v>4</v>
      </c>
      <c r="Q1176">
        <v>2</v>
      </c>
      <c r="R1176">
        <v>57.33</v>
      </c>
      <c r="S1176">
        <v>16</v>
      </c>
      <c r="T1176">
        <v>16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16</v>
      </c>
      <c r="AB1176">
        <v>3</v>
      </c>
      <c r="AC1176">
        <v>0</v>
      </c>
      <c r="AH1176">
        <v>76.33</v>
      </c>
    </row>
    <row r="1177" spans="1:34" x14ac:dyDescent="0.3">
      <c r="A1177" s="4">
        <v>1388</v>
      </c>
      <c r="B1177" s="5">
        <v>1170</v>
      </c>
      <c r="C1177">
        <v>12439</v>
      </c>
      <c r="D1177" t="s">
        <v>1859</v>
      </c>
      <c r="E1177" t="s">
        <v>97</v>
      </c>
      <c r="F1177" t="s">
        <v>79</v>
      </c>
      <c r="G1177" t="s">
        <v>13008</v>
      </c>
      <c r="H1177">
        <v>21.3</v>
      </c>
      <c r="I1177">
        <v>0</v>
      </c>
      <c r="J1177">
        <v>0</v>
      </c>
      <c r="K1177">
        <v>20</v>
      </c>
      <c r="L1177">
        <v>7</v>
      </c>
      <c r="O1177">
        <v>7</v>
      </c>
      <c r="P1177">
        <v>4</v>
      </c>
      <c r="Q1177">
        <v>0</v>
      </c>
      <c r="R1177">
        <v>52.3</v>
      </c>
      <c r="S1177">
        <v>15</v>
      </c>
      <c r="T1177">
        <v>15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15</v>
      </c>
      <c r="AB1177">
        <v>9</v>
      </c>
      <c r="AC1177">
        <v>0</v>
      </c>
      <c r="AH1177">
        <v>76.3</v>
      </c>
    </row>
    <row r="1178" spans="1:34" x14ac:dyDescent="0.3">
      <c r="A1178" s="4">
        <v>1389</v>
      </c>
      <c r="B1178" s="5">
        <v>1171</v>
      </c>
      <c r="C1178">
        <v>3326</v>
      </c>
      <c r="D1178" t="s">
        <v>13009</v>
      </c>
      <c r="E1178" t="s">
        <v>147</v>
      </c>
      <c r="F1178" t="s">
        <v>17</v>
      </c>
      <c r="G1178" t="s">
        <v>13010</v>
      </c>
      <c r="H1178">
        <v>21.28</v>
      </c>
      <c r="I1178">
        <v>0</v>
      </c>
      <c r="J1178">
        <v>0</v>
      </c>
      <c r="K1178">
        <v>20</v>
      </c>
      <c r="L1178">
        <v>14</v>
      </c>
      <c r="O1178">
        <v>14</v>
      </c>
      <c r="P1178">
        <v>4</v>
      </c>
      <c r="Q1178">
        <v>0</v>
      </c>
      <c r="R1178">
        <v>59.28</v>
      </c>
      <c r="S1178">
        <v>17</v>
      </c>
      <c r="T1178">
        <v>17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17</v>
      </c>
      <c r="AB1178">
        <v>0</v>
      </c>
      <c r="AC1178">
        <v>0</v>
      </c>
      <c r="AH1178">
        <v>76.28</v>
      </c>
    </row>
    <row r="1179" spans="1:34" x14ac:dyDescent="0.3">
      <c r="A1179" s="4">
        <v>1390</v>
      </c>
      <c r="B1179" s="5">
        <v>1172</v>
      </c>
      <c r="C1179">
        <v>5392</v>
      </c>
      <c r="D1179" t="s">
        <v>207</v>
      </c>
      <c r="E1179" t="s">
        <v>54</v>
      </c>
      <c r="F1179" t="s">
        <v>972</v>
      </c>
      <c r="G1179" t="s">
        <v>13011</v>
      </c>
      <c r="H1179">
        <v>22.25</v>
      </c>
      <c r="I1179">
        <v>0</v>
      </c>
      <c r="J1179">
        <v>0</v>
      </c>
      <c r="K1179">
        <v>28</v>
      </c>
      <c r="N1179">
        <v>3</v>
      </c>
      <c r="O1179">
        <v>3</v>
      </c>
      <c r="P1179">
        <v>0</v>
      </c>
      <c r="Q1179">
        <v>0</v>
      </c>
      <c r="R1179">
        <v>53.25</v>
      </c>
      <c r="S1179">
        <v>11</v>
      </c>
      <c r="T1179">
        <v>11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11</v>
      </c>
      <c r="AB1179">
        <v>12</v>
      </c>
      <c r="AC1179">
        <v>0</v>
      </c>
      <c r="AH1179">
        <v>76.25</v>
      </c>
    </row>
    <row r="1180" spans="1:34" x14ac:dyDescent="0.3">
      <c r="A1180" s="4">
        <v>1391</v>
      </c>
      <c r="B1180" s="5">
        <v>1173</v>
      </c>
      <c r="C1180">
        <v>8517</v>
      </c>
      <c r="D1180" t="s">
        <v>13012</v>
      </c>
      <c r="E1180" t="s">
        <v>1140</v>
      </c>
      <c r="F1180" t="s">
        <v>892</v>
      </c>
      <c r="G1180" t="s">
        <v>13013</v>
      </c>
      <c r="H1180">
        <v>20.03</v>
      </c>
      <c r="I1180">
        <v>0</v>
      </c>
      <c r="J1180">
        <v>0</v>
      </c>
      <c r="K1180">
        <v>20</v>
      </c>
      <c r="L1180">
        <v>14</v>
      </c>
      <c r="O1180">
        <v>14</v>
      </c>
      <c r="P1180">
        <v>4</v>
      </c>
      <c r="Q1180">
        <v>0</v>
      </c>
      <c r="R1180">
        <v>58.03</v>
      </c>
      <c r="S1180">
        <v>15</v>
      </c>
      <c r="T1180">
        <v>15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15</v>
      </c>
      <c r="AB1180">
        <v>3</v>
      </c>
      <c r="AC1180">
        <v>0</v>
      </c>
      <c r="AH1180">
        <v>76.03</v>
      </c>
    </row>
    <row r="1181" spans="1:34" x14ac:dyDescent="0.3">
      <c r="A1181" s="4">
        <v>1392</v>
      </c>
      <c r="B1181" s="5">
        <v>1174</v>
      </c>
      <c r="C1181">
        <v>8960</v>
      </c>
      <c r="D1181" t="s">
        <v>2132</v>
      </c>
      <c r="E1181" t="s">
        <v>1331</v>
      </c>
      <c r="F1181" t="s">
        <v>343</v>
      </c>
      <c r="G1181" t="s">
        <v>13014</v>
      </c>
      <c r="H1181">
        <v>19.899999999999999</v>
      </c>
      <c r="I1181">
        <v>0</v>
      </c>
      <c r="J1181">
        <v>0</v>
      </c>
      <c r="K1181">
        <v>20</v>
      </c>
      <c r="L1181">
        <v>7</v>
      </c>
      <c r="O1181">
        <v>7</v>
      </c>
      <c r="P1181">
        <v>4</v>
      </c>
      <c r="Q1181">
        <v>0</v>
      </c>
      <c r="R1181">
        <v>50.9</v>
      </c>
      <c r="S1181">
        <v>25</v>
      </c>
      <c r="T1181">
        <v>25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25</v>
      </c>
      <c r="AB1181">
        <v>0</v>
      </c>
      <c r="AC1181">
        <v>0</v>
      </c>
      <c r="AH1181">
        <v>75.900000000000006</v>
      </c>
    </row>
    <row r="1182" spans="1:34" x14ac:dyDescent="0.3">
      <c r="A1182" s="4">
        <v>1393</v>
      </c>
      <c r="B1182" s="5">
        <v>1175</v>
      </c>
      <c r="C1182">
        <v>7847</v>
      </c>
      <c r="D1182" t="s">
        <v>4536</v>
      </c>
      <c r="E1182" t="s">
        <v>182</v>
      </c>
      <c r="F1182" t="s">
        <v>68</v>
      </c>
      <c r="G1182" t="s">
        <v>13015</v>
      </c>
      <c r="H1182">
        <v>23.9</v>
      </c>
      <c r="I1182">
        <v>7</v>
      </c>
      <c r="J1182">
        <v>0</v>
      </c>
      <c r="K1182">
        <v>0</v>
      </c>
      <c r="L1182">
        <v>14</v>
      </c>
      <c r="O1182">
        <v>14</v>
      </c>
      <c r="P1182">
        <v>4</v>
      </c>
      <c r="Q1182">
        <v>0</v>
      </c>
      <c r="R1182">
        <v>48.9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26.8</v>
      </c>
      <c r="AH1182">
        <v>75.7</v>
      </c>
    </row>
    <row r="1183" spans="1:34" x14ac:dyDescent="0.3">
      <c r="A1183" s="4">
        <v>1394</v>
      </c>
      <c r="B1183" s="5">
        <v>1176</v>
      </c>
      <c r="C1183">
        <v>4929</v>
      </c>
      <c r="D1183" t="s">
        <v>1701</v>
      </c>
      <c r="E1183" t="s">
        <v>88</v>
      </c>
      <c r="F1183" t="s">
        <v>68</v>
      </c>
      <c r="G1183" t="s">
        <v>13016</v>
      </c>
      <c r="H1183">
        <v>20.7</v>
      </c>
      <c r="I1183">
        <v>0</v>
      </c>
      <c r="J1183">
        <v>0</v>
      </c>
      <c r="K1183">
        <v>20</v>
      </c>
      <c r="L1183">
        <v>7</v>
      </c>
      <c r="O1183">
        <v>7</v>
      </c>
      <c r="P1183">
        <v>4</v>
      </c>
      <c r="Q1183">
        <v>2</v>
      </c>
      <c r="R1183">
        <v>53.7</v>
      </c>
      <c r="S1183">
        <v>22</v>
      </c>
      <c r="T1183">
        <v>22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22</v>
      </c>
      <c r="AB1183">
        <v>0</v>
      </c>
      <c r="AC1183">
        <v>0</v>
      </c>
      <c r="AH1183">
        <v>75.7</v>
      </c>
    </row>
    <row r="1184" spans="1:34" x14ac:dyDescent="0.3">
      <c r="A1184" s="4">
        <v>1395</v>
      </c>
      <c r="B1184" s="5">
        <v>1177</v>
      </c>
      <c r="C1184">
        <v>7422</v>
      </c>
      <c r="D1184" t="s">
        <v>13017</v>
      </c>
      <c r="E1184" t="s">
        <v>54</v>
      </c>
      <c r="F1184" t="s">
        <v>17</v>
      </c>
      <c r="G1184" t="s">
        <v>13018</v>
      </c>
      <c r="H1184">
        <v>19.68</v>
      </c>
      <c r="I1184">
        <v>0</v>
      </c>
      <c r="J1184">
        <v>0</v>
      </c>
      <c r="K1184">
        <v>20</v>
      </c>
      <c r="L1184">
        <v>7</v>
      </c>
      <c r="O1184">
        <v>7</v>
      </c>
      <c r="P1184">
        <v>4</v>
      </c>
      <c r="Q1184">
        <v>2</v>
      </c>
      <c r="R1184">
        <v>52.68</v>
      </c>
      <c r="S1184">
        <v>23</v>
      </c>
      <c r="T1184">
        <v>23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23</v>
      </c>
      <c r="AB1184">
        <v>0</v>
      </c>
      <c r="AC1184">
        <v>0</v>
      </c>
      <c r="AH1184">
        <v>75.680000000000007</v>
      </c>
    </row>
    <row r="1185" spans="1:34" x14ac:dyDescent="0.3">
      <c r="A1185" s="4">
        <v>1396</v>
      </c>
      <c r="B1185" s="5">
        <v>1178</v>
      </c>
      <c r="C1185">
        <v>11127</v>
      </c>
      <c r="D1185" t="s">
        <v>857</v>
      </c>
      <c r="E1185" t="s">
        <v>132</v>
      </c>
      <c r="F1185" t="s">
        <v>259</v>
      </c>
      <c r="G1185" t="s">
        <v>13019</v>
      </c>
      <c r="H1185">
        <v>18.579999999999998</v>
      </c>
      <c r="I1185">
        <v>0</v>
      </c>
      <c r="J1185">
        <v>0</v>
      </c>
      <c r="K1185">
        <v>20</v>
      </c>
      <c r="N1185">
        <v>3</v>
      </c>
      <c r="O1185">
        <v>3</v>
      </c>
      <c r="P1185">
        <v>4</v>
      </c>
      <c r="Q1185">
        <v>0</v>
      </c>
      <c r="R1185">
        <v>45.58</v>
      </c>
      <c r="S1185">
        <v>27</v>
      </c>
      <c r="T1185">
        <v>27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27</v>
      </c>
      <c r="AB1185">
        <v>3</v>
      </c>
      <c r="AC1185">
        <v>0</v>
      </c>
      <c r="AH1185">
        <v>75.58</v>
      </c>
    </row>
    <row r="1186" spans="1:34" x14ac:dyDescent="0.3">
      <c r="A1186" s="4">
        <v>1397</v>
      </c>
      <c r="B1186" s="5">
        <v>1179</v>
      </c>
      <c r="C1186">
        <v>9460</v>
      </c>
      <c r="D1186" t="s">
        <v>13020</v>
      </c>
      <c r="E1186" t="s">
        <v>13021</v>
      </c>
      <c r="F1186" t="s">
        <v>649</v>
      </c>
      <c r="G1186" t="s">
        <v>13022</v>
      </c>
      <c r="H1186">
        <v>17.5</v>
      </c>
      <c r="I1186">
        <v>0</v>
      </c>
      <c r="J1186">
        <v>0</v>
      </c>
      <c r="K1186">
        <v>20</v>
      </c>
      <c r="L1186">
        <v>14</v>
      </c>
      <c r="O1186">
        <v>14</v>
      </c>
      <c r="P1186">
        <v>4</v>
      </c>
      <c r="Q1186">
        <v>2</v>
      </c>
      <c r="R1186">
        <v>57.5</v>
      </c>
      <c r="S1186">
        <v>18</v>
      </c>
      <c r="T1186">
        <v>18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18</v>
      </c>
      <c r="AB1186">
        <v>0</v>
      </c>
      <c r="AC1186">
        <v>0</v>
      </c>
      <c r="AH1186">
        <v>75.5</v>
      </c>
    </row>
    <row r="1187" spans="1:34" x14ac:dyDescent="0.3">
      <c r="A1187" s="4">
        <v>1398</v>
      </c>
      <c r="B1187" s="5">
        <v>1180</v>
      </c>
      <c r="C1187">
        <v>11484</v>
      </c>
      <c r="D1187" t="s">
        <v>6587</v>
      </c>
      <c r="E1187" t="s">
        <v>255</v>
      </c>
      <c r="F1187" t="s">
        <v>17</v>
      </c>
      <c r="G1187" t="s">
        <v>13023</v>
      </c>
      <c r="H1187">
        <v>16.43</v>
      </c>
      <c r="I1187">
        <v>0</v>
      </c>
      <c r="J1187">
        <v>0</v>
      </c>
      <c r="K1187">
        <v>20</v>
      </c>
      <c r="L1187">
        <v>7</v>
      </c>
      <c r="O1187">
        <v>7</v>
      </c>
      <c r="P1187">
        <v>4</v>
      </c>
      <c r="Q1187">
        <v>0</v>
      </c>
      <c r="R1187">
        <v>47.43</v>
      </c>
      <c r="S1187">
        <v>25</v>
      </c>
      <c r="T1187">
        <v>25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25</v>
      </c>
      <c r="AB1187">
        <v>3</v>
      </c>
      <c r="AC1187">
        <v>0</v>
      </c>
      <c r="AD1187" t="s">
        <v>130</v>
      </c>
      <c r="AH1187">
        <v>75.430000000000007</v>
      </c>
    </row>
    <row r="1188" spans="1:34" x14ac:dyDescent="0.3">
      <c r="A1188" s="4">
        <v>1399</v>
      </c>
      <c r="B1188" s="5">
        <v>1181</v>
      </c>
      <c r="C1188">
        <v>13116</v>
      </c>
      <c r="D1188" t="s">
        <v>13024</v>
      </c>
      <c r="E1188" t="s">
        <v>268</v>
      </c>
      <c r="F1188" t="s">
        <v>243</v>
      </c>
      <c r="G1188" t="s">
        <v>13025</v>
      </c>
      <c r="H1188">
        <v>18.43</v>
      </c>
      <c r="I1188">
        <v>0</v>
      </c>
      <c r="J1188">
        <v>0</v>
      </c>
      <c r="K1188">
        <v>0</v>
      </c>
      <c r="M1188">
        <v>5</v>
      </c>
      <c r="O1188">
        <v>5</v>
      </c>
      <c r="P1188">
        <v>4</v>
      </c>
      <c r="Q1188">
        <v>2</v>
      </c>
      <c r="R1188">
        <v>29.43</v>
      </c>
      <c r="S1188">
        <v>46</v>
      </c>
      <c r="T1188">
        <v>46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46</v>
      </c>
      <c r="AB1188">
        <v>0</v>
      </c>
      <c r="AC1188">
        <v>0</v>
      </c>
      <c r="AH1188">
        <v>75.430000000000007</v>
      </c>
    </row>
    <row r="1189" spans="1:34" x14ac:dyDescent="0.3">
      <c r="A1189" s="4">
        <v>1400</v>
      </c>
      <c r="B1189" s="5">
        <v>1182</v>
      </c>
      <c r="C1189">
        <v>5196</v>
      </c>
      <c r="D1189" t="s">
        <v>13026</v>
      </c>
      <c r="E1189" t="s">
        <v>41</v>
      </c>
      <c r="F1189" t="s">
        <v>20</v>
      </c>
      <c r="G1189" t="s">
        <v>13027</v>
      </c>
      <c r="H1189">
        <v>23.33</v>
      </c>
      <c r="I1189">
        <v>0</v>
      </c>
      <c r="J1189">
        <v>0</v>
      </c>
      <c r="K1189">
        <v>20</v>
      </c>
      <c r="L1189">
        <v>7</v>
      </c>
      <c r="O1189">
        <v>7</v>
      </c>
      <c r="P1189">
        <v>4</v>
      </c>
      <c r="Q1189">
        <v>0</v>
      </c>
      <c r="R1189">
        <v>54.33</v>
      </c>
      <c r="S1189">
        <v>15</v>
      </c>
      <c r="T1189">
        <v>15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15</v>
      </c>
      <c r="AB1189">
        <v>6</v>
      </c>
      <c r="AC1189">
        <v>0</v>
      </c>
      <c r="AH1189">
        <v>75.33</v>
      </c>
    </row>
    <row r="1190" spans="1:34" x14ac:dyDescent="0.3">
      <c r="A1190" s="4">
        <v>1401</v>
      </c>
      <c r="B1190" s="5">
        <v>1183</v>
      </c>
      <c r="C1190">
        <v>2434</v>
      </c>
      <c r="D1190" t="s">
        <v>13028</v>
      </c>
      <c r="E1190" t="s">
        <v>13029</v>
      </c>
      <c r="F1190" t="s">
        <v>652</v>
      </c>
      <c r="G1190" t="s">
        <v>13030</v>
      </c>
      <c r="H1190">
        <v>20.3</v>
      </c>
      <c r="I1190">
        <v>0</v>
      </c>
      <c r="J1190">
        <v>0</v>
      </c>
      <c r="K1190">
        <v>20</v>
      </c>
      <c r="L1190">
        <v>7</v>
      </c>
      <c r="O1190">
        <v>7</v>
      </c>
      <c r="P1190">
        <v>4</v>
      </c>
      <c r="Q1190">
        <v>2</v>
      </c>
      <c r="R1190">
        <v>53.3</v>
      </c>
      <c r="S1190">
        <v>22</v>
      </c>
      <c r="T1190">
        <v>22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22</v>
      </c>
      <c r="AB1190">
        <v>0</v>
      </c>
      <c r="AC1190">
        <v>0</v>
      </c>
      <c r="AH1190">
        <v>75.3</v>
      </c>
    </row>
    <row r="1191" spans="1:34" x14ac:dyDescent="0.3">
      <c r="A1191" s="4">
        <v>1402</v>
      </c>
      <c r="B1191" s="5">
        <v>1184</v>
      </c>
      <c r="C1191">
        <v>8559</v>
      </c>
      <c r="D1191" t="s">
        <v>13031</v>
      </c>
      <c r="E1191" t="s">
        <v>1874</v>
      </c>
      <c r="F1191" t="s">
        <v>4546</v>
      </c>
      <c r="G1191" t="s">
        <v>13032</v>
      </c>
      <c r="H1191">
        <v>21.1</v>
      </c>
      <c r="I1191">
        <v>0</v>
      </c>
      <c r="J1191">
        <v>0</v>
      </c>
      <c r="K1191">
        <v>20</v>
      </c>
      <c r="L1191">
        <v>7</v>
      </c>
      <c r="O1191">
        <v>7</v>
      </c>
      <c r="P1191">
        <v>4</v>
      </c>
      <c r="Q1191">
        <v>0</v>
      </c>
      <c r="R1191">
        <v>52.1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3</v>
      </c>
      <c r="AC1191">
        <v>20</v>
      </c>
      <c r="AH1191">
        <v>75.099999999999994</v>
      </c>
    </row>
    <row r="1192" spans="1:34" x14ac:dyDescent="0.3">
      <c r="A1192" s="4">
        <v>1403</v>
      </c>
      <c r="B1192" s="5">
        <v>1185</v>
      </c>
      <c r="C1192">
        <v>8992</v>
      </c>
      <c r="D1192" t="s">
        <v>13033</v>
      </c>
      <c r="E1192" t="s">
        <v>166</v>
      </c>
      <c r="F1192" t="s">
        <v>81</v>
      </c>
      <c r="G1192" t="s">
        <v>13034</v>
      </c>
      <c r="H1192">
        <v>16.100000000000001</v>
      </c>
      <c r="I1192">
        <v>0</v>
      </c>
      <c r="J1192">
        <v>0</v>
      </c>
      <c r="K1192">
        <v>0</v>
      </c>
      <c r="L1192">
        <v>7</v>
      </c>
      <c r="O1192">
        <v>7</v>
      </c>
      <c r="P1192">
        <v>4</v>
      </c>
      <c r="Q1192">
        <v>2</v>
      </c>
      <c r="R1192">
        <v>29.1</v>
      </c>
      <c r="S1192">
        <v>40</v>
      </c>
      <c r="T1192">
        <v>40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40</v>
      </c>
      <c r="AB1192">
        <v>6</v>
      </c>
      <c r="AC1192">
        <v>0</v>
      </c>
      <c r="AD1192" t="s">
        <v>130</v>
      </c>
      <c r="AH1192">
        <v>75.099999999999994</v>
      </c>
    </row>
    <row r="1193" spans="1:34" x14ac:dyDescent="0.3">
      <c r="A1193" s="4">
        <v>1404</v>
      </c>
      <c r="B1193" s="5">
        <v>1186</v>
      </c>
      <c r="C1193">
        <v>4413</v>
      </c>
      <c r="D1193" t="s">
        <v>13035</v>
      </c>
      <c r="E1193" t="s">
        <v>516</v>
      </c>
      <c r="F1193" t="s">
        <v>38</v>
      </c>
      <c r="G1193" t="s">
        <v>13036</v>
      </c>
      <c r="H1193">
        <v>17.079999999999998</v>
      </c>
      <c r="I1193">
        <v>0</v>
      </c>
      <c r="J1193">
        <v>0</v>
      </c>
      <c r="K1193">
        <v>20</v>
      </c>
      <c r="L1193">
        <v>7</v>
      </c>
      <c r="O1193">
        <v>7</v>
      </c>
      <c r="P1193">
        <v>4</v>
      </c>
      <c r="Q1193">
        <v>0</v>
      </c>
      <c r="R1193">
        <v>48.08</v>
      </c>
      <c r="S1193">
        <v>11</v>
      </c>
      <c r="T1193">
        <v>11</v>
      </c>
      <c r="U1193">
        <v>0</v>
      </c>
      <c r="V1193">
        <v>0</v>
      </c>
      <c r="W1193">
        <v>7</v>
      </c>
      <c r="X1193">
        <v>10</v>
      </c>
      <c r="Y1193">
        <v>0</v>
      </c>
      <c r="Z1193">
        <v>0</v>
      </c>
      <c r="AA1193">
        <v>21</v>
      </c>
      <c r="AB1193">
        <v>6</v>
      </c>
      <c r="AC1193">
        <v>0</v>
      </c>
      <c r="AH1193">
        <v>75.08</v>
      </c>
    </row>
    <row r="1194" spans="1:34" x14ac:dyDescent="0.3">
      <c r="A1194" s="4">
        <v>1405</v>
      </c>
      <c r="B1194" s="5">
        <v>1187</v>
      </c>
      <c r="C1194">
        <v>651</v>
      </c>
      <c r="D1194" t="s">
        <v>10268</v>
      </c>
      <c r="E1194" t="s">
        <v>97</v>
      </c>
      <c r="F1194" t="s">
        <v>30</v>
      </c>
      <c r="G1194" t="s">
        <v>13037</v>
      </c>
      <c r="H1194">
        <v>19.079999999999998</v>
      </c>
      <c r="I1194">
        <v>0</v>
      </c>
      <c r="J1194">
        <v>0</v>
      </c>
      <c r="K1194">
        <v>20</v>
      </c>
      <c r="L1194">
        <v>7</v>
      </c>
      <c r="M1194">
        <v>5</v>
      </c>
      <c r="O1194">
        <v>12</v>
      </c>
      <c r="P1194">
        <v>4</v>
      </c>
      <c r="Q1194">
        <v>2</v>
      </c>
      <c r="R1194">
        <v>57.08</v>
      </c>
      <c r="S1194">
        <v>18</v>
      </c>
      <c r="T1194">
        <v>18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18</v>
      </c>
      <c r="AB1194">
        <v>0</v>
      </c>
      <c r="AC1194">
        <v>0</v>
      </c>
      <c r="AH1194">
        <v>75.08</v>
      </c>
    </row>
    <row r="1195" spans="1:34" x14ac:dyDescent="0.3">
      <c r="A1195" s="4">
        <v>1406</v>
      </c>
      <c r="B1195" s="5">
        <v>1188</v>
      </c>
      <c r="C1195">
        <v>2446</v>
      </c>
      <c r="D1195" t="s">
        <v>13038</v>
      </c>
      <c r="E1195" t="s">
        <v>188</v>
      </c>
      <c r="F1195" t="s">
        <v>38</v>
      </c>
      <c r="G1195" t="s">
        <v>13039</v>
      </c>
      <c r="H1195">
        <v>15.73</v>
      </c>
      <c r="I1195">
        <v>0</v>
      </c>
      <c r="J1195">
        <v>0</v>
      </c>
      <c r="K1195">
        <v>20</v>
      </c>
      <c r="N1195">
        <v>3</v>
      </c>
      <c r="O1195">
        <v>3</v>
      </c>
      <c r="P1195">
        <v>4</v>
      </c>
      <c r="Q1195">
        <v>2</v>
      </c>
      <c r="R1195">
        <v>44.73</v>
      </c>
      <c r="S1195">
        <v>30</v>
      </c>
      <c r="T1195">
        <v>30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30</v>
      </c>
      <c r="AB1195">
        <v>0</v>
      </c>
      <c r="AC1195">
        <v>0</v>
      </c>
      <c r="AH1195">
        <v>74.73</v>
      </c>
    </row>
    <row r="1196" spans="1:34" x14ac:dyDescent="0.3">
      <c r="A1196" s="4">
        <v>1407</v>
      </c>
      <c r="B1196" s="5">
        <v>1189</v>
      </c>
      <c r="C1196">
        <v>10681</v>
      </c>
      <c r="D1196" t="s">
        <v>1911</v>
      </c>
      <c r="E1196" t="s">
        <v>97</v>
      </c>
      <c r="F1196" t="s">
        <v>238</v>
      </c>
      <c r="G1196" t="s">
        <v>13040</v>
      </c>
      <c r="H1196">
        <v>18.7</v>
      </c>
      <c r="I1196">
        <v>0</v>
      </c>
      <c r="J1196">
        <v>0</v>
      </c>
      <c r="K1196">
        <v>20</v>
      </c>
      <c r="L1196">
        <v>7</v>
      </c>
      <c r="O1196">
        <v>7</v>
      </c>
      <c r="P1196">
        <v>4</v>
      </c>
      <c r="Q1196">
        <v>0</v>
      </c>
      <c r="R1196">
        <v>49.7</v>
      </c>
      <c r="S1196">
        <v>19</v>
      </c>
      <c r="T1196">
        <v>19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19</v>
      </c>
      <c r="AB1196">
        <v>6</v>
      </c>
      <c r="AC1196">
        <v>0</v>
      </c>
      <c r="AH1196">
        <v>74.7</v>
      </c>
    </row>
    <row r="1197" spans="1:34" x14ac:dyDescent="0.3">
      <c r="A1197" s="4">
        <v>1408</v>
      </c>
      <c r="B1197" s="5">
        <v>1190</v>
      </c>
      <c r="C1197">
        <v>10675</v>
      </c>
      <c r="D1197" t="s">
        <v>4893</v>
      </c>
      <c r="E1197" t="s">
        <v>166</v>
      </c>
      <c r="F1197" t="s">
        <v>343</v>
      </c>
      <c r="G1197" t="s">
        <v>13041</v>
      </c>
      <c r="H1197">
        <v>20.53</v>
      </c>
      <c r="I1197">
        <v>0</v>
      </c>
      <c r="J1197">
        <v>0</v>
      </c>
      <c r="K1197">
        <v>20</v>
      </c>
      <c r="L1197">
        <v>7</v>
      </c>
      <c r="N1197">
        <v>3</v>
      </c>
      <c r="O1197">
        <v>10</v>
      </c>
      <c r="P1197">
        <v>4</v>
      </c>
      <c r="Q1197">
        <v>0</v>
      </c>
      <c r="R1197">
        <v>54.53</v>
      </c>
      <c r="S1197">
        <v>14</v>
      </c>
      <c r="T1197">
        <v>14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14</v>
      </c>
      <c r="AB1197">
        <v>6</v>
      </c>
      <c r="AC1197">
        <v>0</v>
      </c>
      <c r="AH1197">
        <v>74.53</v>
      </c>
    </row>
    <row r="1198" spans="1:34" x14ac:dyDescent="0.3">
      <c r="A1198" s="4">
        <v>1410</v>
      </c>
      <c r="B1198" s="5">
        <v>1191</v>
      </c>
      <c r="C1198">
        <v>12976</v>
      </c>
      <c r="D1198" t="s">
        <v>8409</v>
      </c>
      <c r="E1198" t="s">
        <v>33</v>
      </c>
      <c r="F1198" t="s">
        <v>190</v>
      </c>
      <c r="G1198" t="s">
        <v>13042</v>
      </c>
      <c r="H1198">
        <v>21.38</v>
      </c>
      <c r="I1198">
        <v>0</v>
      </c>
      <c r="J1198">
        <v>0</v>
      </c>
      <c r="K1198">
        <v>20</v>
      </c>
      <c r="L1198">
        <v>7</v>
      </c>
      <c r="O1198">
        <v>7</v>
      </c>
      <c r="P1198">
        <v>4</v>
      </c>
      <c r="Q1198">
        <v>2</v>
      </c>
      <c r="R1198">
        <v>54.38</v>
      </c>
      <c r="S1198">
        <v>4</v>
      </c>
      <c r="T1198">
        <v>4</v>
      </c>
      <c r="U1198">
        <v>3</v>
      </c>
      <c r="V1198">
        <v>6</v>
      </c>
      <c r="W1198">
        <v>7</v>
      </c>
      <c r="X1198">
        <v>10</v>
      </c>
      <c r="Y1198">
        <v>0</v>
      </c>
      <c r="Z1198">
        <v>0</v>
      </c>
      <c r="AA1198">
        <v>20</v>
      </c>
      <c r="AB1198">
        <v>0</v>
      </c>
      <c r="AC1198">
        <v>0</v>
      </c>
      <c r="AH1198">
        <v>74.38</v>
      </c>
    </row>
    <row r="1199" spans="1:34" x14ac:dyDescent="0.3">
      <c r="A1199" s="4">
        <v>1411</v>
      </c>
      <c r="B1199" s="5">
        <v>1192</v>
      </c>
      <c r="C1199">
        <v>7423</v>
      </c>
      <c r="D1199" t="s">
        <v>4439</v>
      </c>
      <c r="E1199" t="s">
        <v>594</v>
      </c>
      <c r="F1199" t="s">
        <v>1399</v>
      </c>
      <c r="G1199" t="s">
        <v>13043</v>
      </c>
      <c r="H1199">
        <v>19.350000000000001</v>
      </c>
      <c r="I1199">
        <v>0</v>
      </c>
      <c r="J1199">
        <v>0</v>
      </c>
      <c r="K1199">
        <v>20</v>
      </c>
      <c r="L1199">
        <v>7</v>
      </c>
      <c r="O1199">
        <v>7</v>
      </c>
      <c r="P1199">
        <v>4</v>
      </c>
      <c r="Q1199">
        <v>0</v>
      </c>
      <c r="R1199">
        <v>50.35</v>
      </c>
      <c r="S1199">
        <v>18</v>
      </c>
      <c r="T1199">
        <v>18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18</v>
      </c>
      <c r="AB1199">
        <v>6</v>
      </c>
      <c r="AC1199">
        <v>0</v>
      </c>
      <c r="AH1199">
        <v>74.349999999999994</v>
      </c>
    </row>
    <row r="1200" spans="1:34" x14ac:dyDescent="0.3">
      <c r="A1200" s="4">
        <v>1412</v>
      </c>
      <c r="B1200" s="5">
        <v>1193</v>
      </c>
      <c r="C1200">
        <v>5776</v>
      </c>
      <c r="D1200" t="s">
        <v>13044</v>
      </c>
      <c r="E1200" t="s">
        <v>491</v>
      </c>
      <c r="F1200" t="s">
        <v>72</v>
      </c>
      <c r="G1200" t="s">
        <v>13045</v>
      </c>
      <c r="H1200">
        <v>21.38</v>
      </c>
      <c r="I1200">
        <v>0</v>
      </c>
      <c r="J1200">
        <v>0</v>
      </c>
      <c r="K1200">
        <v>0</v>
      </c>
      <c r="L1200">
        <v>7</v>
      </c>
      <c r="O1200">
        <v>7</v>
      </c>
      <c r="P1200">
        <v>4</v>
      </c>
      <c r="Q1200">
        <v>2</v>
      </c>
      <c r="R1200">
        <v>34.380000000000003</v>
      </c>
      <c r="S1200">
        <v>13</v>
      </c>
      <c r="T1200">
        <v>13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13</v>
      </c>
      <c r="AB1200">
        <v>0</v>
      </c>
      <c r="AC1200">
        <v>26.8</v>
      </c>
      <c r="AD1200" t="s">
        <v>130</v>
      </c>
      <c r="AE1200" t="s">
        <v>130</v>
      </c>
      <c r="AH1200">
        <v>74.180000000000007</v>
      </c>
    </row>
    <row r="1201" spans="1:34" x14ac:dyDescent="0.3">
      <c r="A1201" s="4">
        <v>1413</v>
      </c>
      <c r="B1201" s="5">
        <v>1194</v>
      </c>
      <c r="C1201">
        <v>12617</v>
      </c>
      <c r="D1201" t="s">
        <v>13046</v>
      </c>
      <c r="E1201" t="s">
        <v>13047</v>
      </c>
      <c r="F1201" t="s">
        <v>7879</v>
      </c>
      <c r="G1201" t="s">
        <v>13048</v>
      </c>
      <c r="H1201">
        <v>21.13</v>
      </c>
      <c r="I1201">
        <v>0</v>
      </c>
      <c r="J1201">
        <v>0</v>
      </c>
      <c r="K1201">
        <v>0</v>
      </c>
      <c r="L1201">
        <v>14</v>
      </c>
      <c r="O1201">
        <v>14</v>
      </c>
      <c r="P1201">
        <v>4</v>
      </c>
      <c r="Q1201">
        <v>2</v>
      </c>
      <c r="R1201">
        <v>41.13</v>
      </c>
      <c r="S1201">
        <v>33</v>
      </c>
      <c r="T1201">
        <v>33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33</v>
      </c>
      <c r="AB1201">
        <v>0</v>
      </c>
      <c r="AC1201">
        <v>0</v>
      </c>
      <c r="AH1201">
        <v>74.13</v>
      </c>
    </row>
    <row r="1202" spans="1:34" x14ac:dyDescent="0.3">
      <c r="A1202" s="4">
        <v>1414</v>
      </c>
      <c r="B1202" s="5">
        <v>1195</v>
      </c>
      <c r="C1202">
        <v>5907</v>
      </c>
      <c r="D1202" t="s">
        <v>67</v>
      </c>
      <c r="E1202" t="s">
        <v>161</v>
      </c>
      <c r="F1202" t="s">
        <v>91</v>
      </c>
      <c r="G1202" t="s">
        <v>13049</v>
      </c>
      <c r="H1202">
        <v>18.13</v>
      </c>
      <c r="I1202">
        <v>0</v>
      </c>
      <c r="J1202">
        <v>0</v>
      </c>
      <c r="K1202">
        <v>0</v>
      </c>
      <c r="N1202">
        <v>6</v>
      </c>
      <c r="O1202">
        <v>6</v>
      </c>
      <c r="P1202">
        <v>0</v>
      </c>
      <c r="Q1202">
        <v>0</v>
      </c>
      <c r="R1202">
        <v>24.13</v>
      </c>
      <c r="S1202">
        <v>50</v>
      </c>
      <c r="T1202">
        <v>50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50</v>
      </c>
      <c r="AB1202">
        <v>0</v>
      </c>
      <c r="AC1202">
        <v>0</v>
      </c>
      <c r="AH1202">
        <v>74.13</v>
      </c>
    </row>
    <row r="1203" spans="1:34" x14ac:dyDescent="0.3">
      <c r="A1203" s="4">
        <v>1415</v>
      </c>
      <c r="B1203" s="5">
        <v>1196</v>
      </c>
      <c r="C1203">
        <v>6136</v>
      </c>
      <c r="D1203" t="s">
        <v>784</v>
      </c>
      <c r="E1203" t="s">
        <v>13050</v>
      </c>
      <c r="F1203" t="s">
        <v>214</v>
      </c>
      <c r="G1203" t="s">
        <v>13051</v>
      </c>
      <c r="H1203">
        <v>21.05</v>
      </c>
      <c r="I1203">
        <v>0</v>
      </c>
      <c r="J1203">
        <v>0</v>
      </c>
      <c r="K1203">
        <v>20</v>
      </c>
      <c r="L1203">
        <v>7</v>
      </c>
      <c r="O1203">
        <v>7</v>
      </c>
      <c r="P1203">
        <v>4</v>
      </c>
      <c r="Q1203">
        <v>2</v>
      </c>
      <c r="R1203">
        <v>54.05</v>
      </c>
      <c r="S1203">
        <v>20</v>
      </c>
      <c r="T1203">
        <v>20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20</v>
      </c>
      <c r="AB1203">
        <v>0</v>
      </c>
      <c r="AC1203">
        <v>0</v>
      </c>
      <c r="AH1203">
        <v>74.05</v>
      </c>
    </row>
    <row r="1204" spans="1:34" x14ac:dyDescent="0.3">
      <c r="A1204" s="4">
        <v>1416</v>
      </c>
      <c r="B1204" s="5">
        <v>1197</v>
      </c>
      <c r="C1204">
        <v>13040</v>
      </c>
      <c r="D1204" t="s">
        <v>5472</v>
      </c>
      <c r="E1204" t="s">
        <v>3221</v>
      </c>
      <c r="F1204" t="s">
        <v>782</v>
      </c>
      <c r="G1204" t="s">
        <v>13052</v>
      </c>
      <c r="H1204">
        <v>18</v>
      </c>
      <c r="I1204">
        <v>0</v>
      </c>
      <c r="J1204">
        <v>0</v>
      </c>
      <c r="K1204">
        <v>20</v>
      </c>
      <c r="L1204">
        <v>7</v>
      </c>
      <c r="O1204">
        <v>7</v>
      </c>
      <c r="P1204">
        <v>4</v>
      </c>
      <c r="Q1204">
        <v>2</v>
      </c>
      <c r="R1204">
        <v>51</v>
      </c>
      <c r="S1204">
        <v>23</v>
      </c>
      <c r="T1204">
        <v>23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23</v>
      </c>
      <c r="AB1204">
        <v>0</v>
      </c>
      <c r="AC1204">
        <v>0</v>
      </c>
      <c r="AH1204">
        <v>74</v>
      </c>
    </row>
    <row r="1205" spans="1:34" x14ac:dyDescent="0.3">
      <c r="A1205" s="4">
        <v>1417</v>
      </c>
      <c r="B1205" s="5">
        <v>1198</v>
      </c>
      <c r="C1205">
        <v>1568</v>
      </c>
      <c r="D1205" t="s">
        <v>62</v>
      </c>
      <c r="E1205" t="s">
        <v>29</v>
      </c>
      <c r="F1205" t="s">
        <v>62</v>
      </c>
      <c r="G1205" t="s">
        <v>13053</v>
      </c>
      <c r="H1205">
        <v>17.93</v>
      </c>
      <c r="I1205">
        <v>0</v>
      </c>
      <c r="J1205">
        <v>0</v>
      </c>
      <c r="K1205">
        <v>0</v>
      </c>
      <c r="L1205">
        <v>7</v>
      </c>
      <c r="N1205">
        <v>3</v>
      </c>
      <c r="O1205">
        <v>10</v>
      </c>
      <c r="P1205">
        <v>4</v>
      </c>
      <c r="Q1205">
        <v>0</v>
      </c>
      <c r="R1205">
        <v>31.93</v>
      </c>
      <c r="S1205">
        <v>39</v>
      </c>
      <c r="T1205">
        <v>39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39</v>
      </c>
      <c r="AB1205">
        <v>3</v>
      </c>
      <c r="AC1205">
        <v>0</v>
      </c>
      <c r="AH1205">
        <v>73.930000000000007</v>
      </c>
    </row>
    <row r="1206" spans="1:34" x14ac:dyDescent="0.3">
      <c r="A1206" s="4">
        <v>1418</v>
      </c>
      <c r="B1206" s="5">
        <v>1199</v>
      </c>
      <c r="C1206">
        <v>2436</v>
      </c>
      <c r="D1206" t="s">
        <v>13054</v>
      </c>
      <c r="E1206" t="s">
        <v>170</v>
      </c>
      <c r="F1206" t="s">
        <v>13055</v>
      </c>
      <c r="G1206" t="s">
        <v>13056</v>
      </c>
      <c r="H1206">
        <v>18.850000000000001</v>
      </c>
      <c r="I1206">
        <v>0</v>
      </c>
      <c r="J1206">
        <v>0</v>
      </c>
      <c r="K1206">
        <v>20</v>
      </c>
      <c r="L1206">
        <v>7</v>
      </c>
      <c r="O1206">
        <v>7</v>
      </c>
      <c r="P1206">
        <v>4</v>
      </c>
      <c r="Q1206">
        <v>2</v>
      </c>
      <c r="R1206">
        <v>51.85</v>
      </c>
      <c r="S1206">
        <v>22</v>
      </c>
      <c r="T1206">
        <v>22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22</v>
      </c>
      <c r="AB1206">
        <v>0</v>
      </c>
      <c r="AC1206">
        <v>0</v>
      </c>
      <c r="AH1206">
        <v>73.849999999999994</v>
      </c>
    </row>
    <row r="1207" spans="1:34" x14ac:dyDescent="0.3">
      <c r="A1207" s="4">
        <v>1419</v>
      </c>
      <c r="B1207" s="5">
        <v>1200</v>
      </c>
      <c r="C1207">
        <v>3375</v>
      </c>
      <c r="D1207" t="s">
        <v>13057</v>
      </c>
      <c r="E1207" t="s">
        <v>54</v>
      </c>
      <c r="F1207" t="s">
        <v>81</v>
      </c>
      <c r="G1207" t="s">
        <v>13058</v>
      </c>
      <c r="H1207">
        <v>19.8</v>
      </c>
      <c r="I1207">
        <v>7</v>
      </c>
      <c r="J1207">
        <v>0</v>
      </c>
      <c r="K1207">
        <v>20</v>
      </c>
      <c r="L1207">
        <v>14</v>
      </c>
      <c r="O1207">
        <v>14</v>
      </c>
      <c r="P1207">
        <v>4</v>
      </c>
      <c r="Q1207">
        <v>0</v>
      </c>
      <c r="R1207">
        <v>64.8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9</v>
      </c>
      <c r="AC1207">
        <v>0</v>
      </c>
      <c r="AH1207">
        <v>73.8</v>
      </c>
    </row>
    <row r="1208" spans="1:34" x14ac:dyDescent="0.3">
      <c r="A1208" s="4">
        <v>1420</v>
      </c>
      <c r="B1208" s="5">
        <v>1201</v>
      </c>
      <c r="C1208">
        <v>190</v>
      </c>
      <c r="D1208" t="s">
        <v>13059</v>
      </c>
      <c r="E1208" t="s">
        <v>1280</v>
      </c>
      <c r="F1208" t="s">
        <v>52</v>
      </c>
      <c r="G1208" t="s">
        <v>13060</v>
      </c>
      <c r="H1208">
        <v>21.6</v>
      </c>
      <c r="I1208">
        <v>0</v>
      </c>
      <c r="J1208">
        <v>0</v>
      </c>
      <c r="K1208">
        <v>28</v>
      </c>
      <c r="L1208">
        <v>14</v>
      </c>
      <c r="O1208">
        <v>14</v>
      </c>
      <c r="P1208">
        <v>4</v>
      </c>
      <c r="Q1208">
        <v>0</v>
      </c>
      <c r="R1208">
        <v>67.599999999999994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6</v>
      </c>
      <c r="AC1208">
        <v>0</v>
      </c>
      <c r="AH1208">
        <v>73.599999999999994</v>
      </c>
    </row>
    <row r="1209" spans="1:34" x14ac:dyDescent="0.3">
      <c r="A1209" s="4">
        <v>1421</v>
      </c>
      <c r="B1209" s="5">
        <v>1202</v>
      </c>
      <c r="C1209">
        <v>5843</v>
      </c>
      <c r="D1209" t="s">
        <v>7596</v>
      </c>
      <c r="E1209" t="s">
        <v>208</v>
      </c>
      <c r="F1209" t="s">
        <v>167</v>
      </c>
      <c r="G1209" t="s">
        <v>13061</v>
      </c>
      <c r="H1209">
        <v>19.579999999999998</v>
      </c>
      <c r="I1209">
        <v>0</v>
      </c>
      <c r="J1209">
        <v>0</v>
      </c>
      <c r="K1209">
        <v>20</v>
      </c>
      <c r="L1209">
        <v>7</v>
      </c>
      <c r="N1209">
        <v>3</v>
      </c>
      <c r="O1209">
        <v>10</v>
      </c>
      <c r="P1209">
        <v>4</v>
      </c>
      <c r="Q1209">
        <v>2</v>
      </c>
      <c r="R1209">
        <v>55.58</v>
      </c>
      <c r="S1209">
        <v>18</v>
      </c>
      <c r="T1209">
        <v>18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18</v>
      </c>
      <c r="AB1209">
        <v>0</v>
      </c>
      <c r="AC1209">
        <v>0</v>
      </c>
      <c r="AH1209">
        <v>73.58</v>
      </c>
    </row>
    <row r="1210" spans="1:34" x14ac:dyDescent="0.3">
      <c r="A1210" s="4">
        <v>1422</v>
      </c>
      <c r="B1210" s="5">
        <v>1203</v>
      </c>
      <c r="C1210">
        <v>12052</v>
      </c>
      <c r="D1210" t="s">
        <v>11496</v>
      </c>
      <c r="E1210" t="s">
        <v>22</v>
      </c>
      <c r="F1210" t="s">
        <v>136</v>
      </c>
      <c r="G1210" t="s">
        <v>13062</v>
      </c>
      <c r="H1210">
        <v>17.5</v>
      </c>
      <c r="I1210">
        <v>0</v>
      </c>
      <c r="J1210">
        <v>0</v>
      </c>
      <c r="K1210">
        <v>20</v>
      </c>
      <c r="L1210">
        <v>7</v>
      </c>
      <c r="O1210">
        <v>7</v>
      </c>
      <c r="P1210">
        <v>4</v>
      </c>
      <c r="Q1210">
        <v>0</v>
      </c>
      <c r="R1210">
        <v>48.5</v>
      </c>
      <c r="S1210">
        <v>25</v>
      </c>
      <c r="T1210">
        <v>25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25</v>
      </c>
      <c r="AB1210">
        <v>0</v>
      </c>
      <c r="AC1210">
        <v>0</v>
      </c>
      <c r="AH1210">
        <v>73.5</v>
      </c>
    </row>
    <row r="1211" spans="1:34" x14ac:dyDescent="0.3">
      <c r="A1211" s="4">
        <v>1423</v>
      </c>
      <c r="B1211" s="5">
        <v>1204</v>
      </c>
      <c r="C1211">
        <v>14318</v>
      </c>
      <c r="D1211" t="s">
        <v>13063</v>
      </c>
      <c r="E1211" t="s">
        <v>97</v>
      </c>
      <c r="F1211" t="s">
        <v>17</v>
      </c>
      <c r="G1211" t="s">
        <v>13064</v>
      </c>
      <c r="H1211">
        <v>18.45</v>
      </c>
      <c r="I1211">
        <v>0</v>
      </c>
      <c r="J1211">
        <v>0</v>
      </c>
      <c r="K1211">
        <v>0</v>
      </c>
      <c r="L1211">
        <v>7</v>
      </c>
      <c r="M1211">
        <v>5</v>
      </c>
      <c r="O1211">
        <v>12</v>
      </c>
      <c r="P1211">
        <v>4</v>
      </c>
      <c r="Q1211">
        <v>2</v>
      </c>
      <c r="R1211">
        <v>36.450000000000003</v>
      </c>
      <c r="S1211">
        <v>37</v>
      </c>
      <c r="T1211">
        <v>37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37</v>
      </c>
      <c r="AB1211">
        <v>0</v>
      </c>
      <c r="AC1211">
        <v>0</v>
      </c>
      <c r="AH1211">
        <v>73.45</v>
      </c>
    </row>
    <row r="1212" spans="1:34" x14ac:dyDescent="0.3">
      <c r="A1212" s="4">
        <v>1424</v>
      </c>
      <c r="B1212" s="5">
        <v>1205</v>
      </c>
      <c r="C1212">
        <v>3017</v>
      </c>
      <c r="D1212" t="s">
        <v>13065</v>
      </c>
      <c r="E1212" t="s">
        <v>213</v>
      </c>
      <c r="F1212" t="s">
        <v>20</v>
      </c>
      <c r="G1212" t="s">
        <v>13066</v>
      </c>
      <c r="H1212">
        <v>20.18</v>
      </c>
      <c r="I1212">
        <v>0</v>
      </c>
      <c r="J1212">
        <v>0</v>
      </c>
      <c r="K1212">
        <v>0</v>
      </c>
      <c r="N1212">
        <v>6</v>
      </c>
      <c r="O1212">
        <v>6</v>
      </c>
      <c r="P1212">
        <v>4</v>
      </c>
      <c r="Q1212">
        <v>2</v>
      </c>
      <c r="R1212">
        <v>32.18</v>
      </c>
      <c r="S1212">
        <v>5</v>
      </c>
      <c r="T1212">
        <v>5</v>
      </c>
      <c r="U1212">
        <v>18</v>
      </c>
      <c r="V1212">
        <v>36</v>
      </c>
      <c r="W1212">
        <v>0</v>
      </c>
      <c r="X1212">
        <v>0</v>
      </c>
      <c r="Y1212">
        <v>0</v>
      </c>
      <c r="Z1212">
        <v>0</v>
      </c>
      <c r="AA1212">
        <v>41</v>
      </c>
      <c r="AB1212">
        <v>0</v>
      </c>
      <c r="AC1212">
        <v>0</v>
      </c>
      <c r="AH1212">
        <v>73.180000000000007</v>
      </c>
    </row>
    <row r="1213" spans="1:34" x14ac:dyDescent="0.3">
      <c r="A1213" s="4">
        <v>1425</v>
      </c>
      <c r="B1213" s="5">
        <v>1206</v>
      </c>
      <c r="C1213">
        <v>5919</v>
      </c>
      <c r="D1213" t="s">
        <v>442</v>
      </c>
      <c r="E1213" t="s">
        <v>38</v>
      </c>
      <c r="F1213" t="s">
        <v>17</v>
      </c>
      <c r="G1213" t="s">
        <v>13067</v>
      </c>
      <c r="H1213">
        <v>18.079999999999998</v>
      </c>
      <c r="I1213">
        <v>7</v>
      </c>
      <c r="J1213">
        <v>0</v>
      </c>
      <c r="K1213">
        <v>20</v>
      </c>
      <c r="L1213">
        <v>7</v>
      </c>
      <c r="O1213">
        <v>7</v>
      </c>
      <c r="P1213">
        <v>4</v>
      </c>
      <c r="Q1213">
        <v>2</v>
      </c>
      <c r="R1213">
        <v>58.08</v>
      </c>
      <c r="S1213">
        <v>15</v>
      </c>
      <c r="T1213">
        <v>15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15</v>
      </c>
      <c r="AB1213">
        <v>0</v>
      </c>
      <c r="AC1213">
        <v>0</v>
      </c>
      <c r="AH1213">
        <v>73.08</v>
      </c>
    </row>
    <row r="1214" spans="1:34" x14ac:dyDescent="0.3">
      <c r="A1214" s="4">
        <v>1426</v>
      </c>
      <c r="B1214" s="5">
        <v>1207</v>
      </c>
      <c r="C1214">
        <v>2511</v>
      </c>
      <c r="D1214" t="s">
        <v>13068</v>
      </c>
      <c r="E1214" t="s">
        <v>792</v>
      </c>
      <c r="F1214" t="s">
        <v>20</v>
      </c>
      <c r="G1214" t="s">
        <v>13069</v>
      </c>
      <c r="H1214">
        <v>18.05</v>
      </c>
      <c r="I1214">
        <v>0</v>
      </c>
      <c r="J1214">
        <v>0</v>
      </c>
      <c r="K1214">
        <v>20</v>
      </c>
      <c r="M1214">
        <v>5</v>
      </c>
      <c r="O1214">
        <v>5</v>
      </c>
      <c r="P1214">
        <v>4</v>
      </c>
      <c r="Q1214">
        <v>2</v>
      </c>
      <c r="R1214">
        <v>49.05</v>
      </c>
      <c r="S1214">
        <v>8</v>
      </c>
      <c r="T1214">
        <v>8</v>
      </c>
      <c r="U1214">
        <v>8</v>
      </c>
      <c r="V1214">
        <v>16</v>
      </c>
      <c r="W1214">
        <v>0</v>
      </c>
      <c r="X1214">
        <v>0</v>
      </c>
      <c r="Y1214">
        <v>0</v>
      </c>
      <c r="Z1214">
        <v>0</v>
      </c>
      <c r="AA1214">
        <v>24</v>
      </c>
      <c r="AB1214">
        <v>0</v>
      </c>
      <c r="AC1214">
        <v>0</v>
      </c>
      <c r="AH1214">
        <v>73.05</v>
      </c>
    </row>
    <row r="1215" spans="1:34" x14ac:dyDescent="0.3">
      <c r="A1215" s="4">
        <v>1427</v>
      </c>
      <c r="B1215" s="5">
        <v>1208</v>
      </c>
      <c r="C1215">
        <v>4926</v>
      </c>
      <c r="D1215" t="s">
        <v>7123</v>
      </c>
      <c r="E1215" t="s">
        <v>88</v>
      </c>
      <c r="F1215" t="s">
        <v>375</v>
      </c>
      <c r="G1215" t="s">
        <v>13070</v>
      </c>
      <c r="H1215">
        <v>19.2</v>
      </c>
      <c r="I1215">
        <v>7</v>
      </c>
      <c r="J1215">
        <v>0</v>
      </c>
      <c r="K1215">
        <v>0</v>
      </c>
      <c r="M1215">
        <v>5</v>
      </c>
      <c r="N1215">
        <v>3</v>
      </c>
      <c r="O1215">
        <v>8</v>
      </c>
      <c r="P1215">
        <v>4</v>
      </c>
      <c r="Q1215">
        <v>2</v>
      </c>
      <c r="R1215">
        <v>40.200000000000003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6</v>
      </c>
      <c r="AC1215">
        <v>26.8</v>
      </c>
      <c r="AH1215">
        <v>73</v>
      </c>
    </row>
    <row r="1216" spans="1:34" x14ac:dyDescent="0.3">
      <c r="A1216" s="4">
        <v>1428</v>
      </c>
      <c r="B1216" s="5">
        <v>1209</v>
      </c>
      <c r="C1216">
        <v>12725</v>
      </c>
      <c r="D1216" t="s">
        <v>6630</v>
      </c>
      <c r="E1216" t="s">
        <v>10823</v>
      </c>
      <c r="F1216" t="s">
        <v>55</v>
      </c>
      <c r="G1216" t="s">
        <v>10824</v>
      </c>
      <c r="H1216">
        <v>15.83</v>
      </c>
      <c r="I1216">
        <v>7</v>
      </c>
      <c r="J1216">
        <v>0</v>
      </c>
      <c r="K1216">
        <v>28</v>
      </c>
      <c r="L1216">
        <v>7</v>
      </c>
      <c r="O1216">
        <v>7</v>
      </c>
      <c r="P1216">
        <v>4</v>
      </c>
      <c r="Q1216">
        <v>2</v>
      </c>
      <c r="R1216">
        <v>63.83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9</v>
      </c>
      <c r="AC1216">
        <v>0</v>
      </c>
      <c r="AH1216">
        <v>72.83</v>
      </c>
    </row>
    <row r="1217" spans="1:34" x14ac:dyDescent="0.3">
      <c r="A1217" s="4">
        <v>1429</v>
      </c>
      <c r="B1217" s="5">
        <v>1210</v>
      </c>
      <c r="C1217">
        <v>6410</v>
      </c>
      <c r="D1217" t="s">
        <v>13071</v>
      </c>
      <c r="E1217" t="s">
        <v>380</v>
      </c>
      <c r="F1217" t="s">
        <v>81</v>
      </c>
      <c r="G1217" t="s">
        <v>13072</v>
      </c>
      <c r="H1217">
        <v>21.68</v>
      </c>
      <c r="I1217">
        <v>0</v>
      </c>
      <c r="J1217">
        <v>0</v>
      </c>
      <c r="K1217">
        <v>20</v>
      </c>
      <c r="L1217">
        <v>7</v>
      </c>
      <c r="N1217">
        <v>3</v>
      </c>
      <c r="O1217">
        <v>10</v>
      </c>
      <c r="P1217">
        <v>4</v>
      </c>
      <c r="Q1217">
        <v>2</v>
      </c>
      <c r="R1217">
        <v>57.68</v>
      </c>
      <c r="S1217">
        <v>15</v>
      </c>
      <c r="T1217">
        <v>15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15</v>
      </c>
      <c r="AB1217">
        <v>0</v>
      </c>
      <c r="AC1217">
        <v>0</v>
      </c>
      <c r="AH1217">
        <v>72.680000000000007</v>
      </c>
    </row>
    <row r="1218" spans="1:34" x14ac:dyDescent="0.3">
      <c r="A1218" s="4">
        <v>1430</v>
      </c>
      <c r="B1218" s="5">
        <v>1211</v>
      </c>
      <c r="C1218">
        <v>2393</v>
      </c>
      <c r="D1218" t="s">
        <v>1889</v>
      </c>
      <c r="E1218" t="s">
        <v>54</v>
      </c>
      <c r="F1218" t="s">
        <v>587</v>
      </c>
      <c r="G1218" t="s">
        <v>13073</v>
      </c>
      <c r="H1218">
        <v>19.68</v>
      </c>
      <c r="I1218">
        <v>0</v>
      </c>
      <c r="J1218">
        <v>0</v>
      </c>
      <c r="K1218">
        <v>20</v>
      </c>
      <c r="L1218">
        <v>7</v>
      </c>
      <c r="N1218">
        <v>3</v>
      </c>
      <c r="O1218">
        <v>10</v>
      </c>
      <c r="P1218">
        <v>4</v>
      </c>
      <c r="Q1218">
        <v>2</v>
      </c>
      <c r="R1218">
        <v>55.68</v>
      </c>
      <c r="S1218">
        <v>17</v>
      </c>
      <c r="T1218">
        <v>17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17</v>
      </c>
      <c r="AB1218">
        <v>0</v>
      </c>
      <c r="AC1218">
        <v>0</v>
      </c>
      <c r="AH1218">
        <v>72.680000000000007</v>
      </c>
    </row>
    <row r="1219" spans="1:34" x14ac:dyDescent="0.3">
      <c r="A1219" s="4">
        <v>1431</v>
      </c>
      <c r="B1219" s="5">
        <v>1212</v>
      </c>
      <c r="C1219">
        <v>6590</v>
      </c>
      <c r="D1219" t="s">
        <v>13074</v>
      </c>
      <c r="E1219" t="s">
        <v>117</v>
      </c>
      <c r="F1219" t="s">
        <v>136</v>
      </c>
      <c r="G1219" t="s">
        <v>13075</v>
      </c>
      <c r="H1219">
        <v>16.579999999999998</v>
      </c>
      <c r="I1219">
        <v>0</v>
      </c>
      <c r="J1219">
        <v>0</v>
      </c>
      <c r="K1219">
        <v>20</v>
      </c>
      <c r="N1219">
        <v>3</v>
      </c>
      <c r="O1219">
        <v>3</v>
      </c>
      <c r="P1219">
        <v>4</v>
      </c>
      <c r="Q1219">
        <v>0</v>
      </c>
      <c r="R1219">
        <v>43.58</v>
      </c>
      <c r="S1219">
        <v>29</v>
      </c>
      <c r="T1219">
        <v>29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29</v>
      </c>
      <c r="AB1219">
        <v>0</v>
      </c>
      <c r="AC1219">
        <v>0</v>
      </c>
      <c r="AH1219">
        <v>72.58</v>
      </c>
    </row>
    <row r="1220" spans="1:34" x14ac:dyDescent="0.3">
      <c r="A1220" s="4">
        <v>1432</v>
      </c>
      <c r="B1220" s="5">
        <v>1213</v>
      </c>
      <c r="C1220">
        <v>14749</v>
      </c>
      <c r="D1220" t="s">
        <v>13076</v>
      </c>
      <c r="E1220" t="s">
        <v>81</v>
      </c>
      <c r="F1220" t="s">
        <v>38</v>
      </c>
      <c r="G1220" t="s">
        <v>13077</v>
      </c>
      <c r="H1220">
        <v>12.5</v>
      </c>
      <c r="I1220">
        <v>0</v>
      </c>
      <c r="J1220">
        <v>0</v>
      </c>
      <c r="K1220">
        <v>20</v>
      </c>
      <c r="L1220">
        <v>7</v>
      </c>
      <c r="O1220">
        <v>7</v>
      </c>
      <c r="P1220">
        <v>4</v>
      </c>
      <c r="Q1220">
        <v>2</v>
      </c>
      <c r="R1220">
        <v>45.5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26.8</v>
      </c>
      <c r="AH1220">
        <v>72.3</v>
      </c>
    </row>
    <row r="1221" spans="1:34" x14ac:dyDescent="0.3">
      <c r="A1221" s="4">
        <v>1433</v>
      </c>
      <c r="B1221" s="5">
        <v>1214</v>
      </c>
      <c r="C1221">
        <v>8887</v>
      </c>
      <c r="D1221" t="s">
        <v>13078</v>
      </c>
      <c r="E1221" t="s">
        <v>255</v>
      </c>
      <c r="F1221" t="s">
        <v>252</v>
      </c>
      <c r="G1221" t="s">
        <v>13079</v>
      </c>
      <c r="H1221">
        <v>19.2</v>
      </c>
      <c r="I1221">
        <v>0</v>
      </c>
      <c r="J1221">
        <v>0</v>
      </c>
      <c r="K1221">
        <v>20</v>
      </c>
      <c r="L1221">
        <v>7</v>
      </c>
      <c r="N1221">
        <v>3</v>
      </c>
      <c r="O1221">
        <v>10</v>
      </c>
      <c r="P1221">
        <v>4</v>
      </c>
      <c r="Q1221">
        <v>2</v>
      </c>
      <c r="R1221">
        <v>55.2</v>
      </c>
      <c r="S1221">
        <v>14</v>
      </c>
      <c r="T1221">
        <v>14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14</v>
      </c>
      <c r="AB1221">
        <v>3</v>
      </c>
      <c r="AC1221">
        <v>0</v>
      </c>
      <c r="AH1221">
        <v>72.2</v>
      </c>
    </row>
    <row r="1222" spans="1:34" x14ac:dyDescent="0.3">
      <c r="A1222" s="4">
        <v>1434</v>
      </c>
      <c r="B1222" s="5">
        <v>1215</v>
      </c>
      <c r="C1222">
        <v>14439</v>
      </c>
      <c r="D1222" t="s">
        <v>13080</v>
      </c>
      <c r="E1222" t="s">
        <v>30</v>
      </c>
      <c r="F1222" t="s">
        <v>5375</v>
      </c>
      <c r="G1222" t="s">
        <v>13081</v>
      </c>
      <c r="H1222">
        <v>17.2</v>
      </c>
      <c r="I1222">
        <v>0</v>
      </c>
      <c r="J1222">
        <v>0</v>
      </c>
      <c r="K1222">
        <v>20</v>
      </c>
      <c r="N1222">
        <v>3</v>
      </c>
      <c r="O1222">
        <v>3</v>
      </c>
      <c r="P1222">
        <v>4</v>
      </c>
      <c r="Q1222">
        <v>2</v>
      </c>
      <c r="R1222">
        <v>46.2</v>
      </c>
      <c r="S1222">
        <v>26</v>
      </c>
      <c r="T1222">
        <v>26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26</v>
      </c>
      <c r="AB1222">
        <v>0</v>
      </c>
      <c r="AC1222">
        <v>0</v>
      </c>
      <c r="AH1222">
        <v>72.2</v>
      </c>
    </row>
    <row r="1223" spans="1:34" x14ac:dyDescent="0.3">
      <c r="A1223" s="4">
        <v>1435</v>
      </c>
      <c r="B1223" s="5">
        <v>1216</v>
      </c>
      <c r="C1223">
        <v>7688</v>
      </c>
      <c r="D1223" t="s">
        <v>6302</v>
      </c>
      <c r="E1223" t="s">
        <v>5237</v>
      </c>
      <c r="F1223" t="s">
        <v>20</v>
      </c>
      <c r="G1223" t="s">
        <v>13082</v>
      </c>
      <c r="H1223">
        <v>20.13</v>
      </c>
      <c r="I1223">
        <v>0</v>
      </c>
      <c r="J1223">
        <v>0</v>
      </c>
      <c r="K1223">
        <v>20</v>
      </c>
      <c r="L1223">
        <v>7</v>
      </c>
      <c r="O1223">
        <v>7</v>
      </c>
      <c r="P1223">
        <v>4</v>
      </c>
      <c r="Q1223">
        <v>0</v>
      </c>
      <c r="R1223">
        <v>51.13</v>
      </c>
      <c r="S1223">
        <v>15</v>
      </c>
      <c r="T1223">
        <v>15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15</v>
      </c>
      <c r="AB1223">
        <v>6</v>
      </c>
      <c r="AC1223">
        <v>0</v>
      </c>
      <c r="AH1223">
        <v>72.13</v>
      </c>
    </row>
    <row r="1224" spans="1:34" x14ac:dyDescent="0.3">
      <c r="A1224" s="4">
        <v>1436</v>
      </c>
      <c r="B1224" s="5">
        <v>1217</v>
      </c>
      <c r="C1224">
        <v>8589</v>
      </c>
      <c r="D1224" t="s">
        <v>13083</v>
      </c>
      <c r="E1224" t="s">
        <v>54</v>
      </c>
      <c r="F1224" t="s">
        <v>167</v>
      </c>
      <c r="G1224" t="s">
        <v>13084</v>
      </c>
      <c r="H1224">
        <v>17.100000000000001</v>
      </c>
      <c r="I1224">
        <v>0</v>
      </c>
      <c r="J1224">
        <v>0</v>
      </c>
      <c r="K1224">
        <v>20</v>
      </c>
      <c r="L1224">
        <v>7</v>
      </c>
      <c r="N1224">
        <v>3</v>
      </c>
      <c r="O1224">
        <v>10</v>
      </c>
      <c r="P1224">
        <v>4</v>
      </c>
      <c r="Q1224">
        <v>2</v>
      </c>
      <c r="R1224">
        <v>53.1</v>
      </c>
      <c r="S1224">
        <v>19</v>
      </c>
      <c r="T1224">
        <v>19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19</v>
      </c>
      <c r="AB1224">
        <v>0</v>
      </c>
      <c r="AC1224">
        <v>0</v>
      </c>
      <c r="AH1224">
        <v>72.099999999999994</v>
      </c>
    </row>
    <row r="1225" spans="1:34" x14ac:dyDescent="0.3">
      <c r="A1225" s="4">
        <v>1437</v>
      </c>
      <c r="B1225" s="5">
        <v>1218</v>
      </c>
      <c r="C1225">
        <v>13053</v>
      </c>
      <c r="D1225" t="s">
        <v>13085</v>
      </c>
      <c r="E1225" t="s">
        <v>149</v>
      </c>
      <c r="F1225" t="s">
        <v>892</v>
      </c>
      <c r="G1225" t="s">
        <v>13086</v>
      </c>
      <c r="H1225">
        <v>16.95</v>
      </c>
      <c r="I1225">
        <v>0</v>
      </c>
      <c r="J1225">
        <v>0</v>
      </c>
      <c r="K1225">
        <v>20</v>
      </c>
      <c r="L1225">
        <v>7</v>
      </c>
      <c r="O1225">
        <v>7</v>
      </c>
      <c r="P1225">
        <v>4</v>
      </c>
      <c r="Q1225">
        <v>2</v>
      </c>
      <c r="R1225">
        <v>49.95</v>
      </c>
      <c r="S1225">
        <v>22</v>
      </c>
      <c r="T1225">
        <v>22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22</v>
      </c>
      <c r="AB1225">
        <v>0</v>
      </c>
      <c r="AC1225">
        <v>0</v>
      </c>
      <c r="AH1225">
        <v>71.95</v>
      </c>
    </row>
    <row r="1226" spans="1:34" x14ac:dyDescent="0.3">
      <c r="A1226" s="4">
        <v>1438</v>
      </c>
      <c r="B1226" s="5">
        <v>1219</v>
      </c>
      <c r="C1226">
        <v>5733</v>
      </c>
      <c r="D1226" t="s">
        <v>13087</v>
      </c>
      <c r="E1226" t="s">
        <v>22</v>
      </c>
      <c r="F1226" t="s">
        <v>68</v>
      </c>
      <c r="G1226" t="s">
        <v>13088</v>
      </c>
      <c r="H1226">
        <v>17.38</v>
      </c>
      <c r="I1226">
        <v>0</v>
      </c>
      <c r="J1226">
        <v>0</v>
      </c>
      <c r="K1226">
        <v>0</v>
      </c>
      <c r="L1226">
        <v>7</v>
      </c>
      <c r="N1226">
        <v>3</v>
      </c>
      <c r="O1226">
        <v>10</v>
      </c>
      <c r="P1226">
        <v>4</v>
      </c>
      <c r="Q1226">
        <v>2</v>
      </c>
      <c r="R1226">
        <v>33.380000000000003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6</v>
      </c>
      <c r="AC1226">
        <v>32.4</v>
      </c>
      <c r="AH1226">
        <v>71.78</v>
      </c>
    </row>
    <row r="1227" spans="1:34" x14ac:dyDescent="0.3">
      <c r="A1227" s="4">
        <v>1439</v>
      </c>
      <c r="B1227" s="5">
        <v>1220</v>
      </c>
      <c r="C1227">
        <v>13993</v>
      </c>
      <c r="D1227" t="s">
        <v>13089</v>
      </c>
      <c r="E1227" t="s">
        <v>161</v>
      </c>
      <c r="F1227" t="s">
        <v>17</v>
      </c>
      <c r="G1227" t="s">
        <v>13090</v>
      </c>
      <c r="H1227">
        <v>17.7</v>
      </c>
      <c r="I1227">
        <v>0</v>
      </c>
      <c r="J1227">
        <v>0</v>
      </c>
      <c r="K1227">
        <v>20</v>
      </c>
      <c r="L1227">
        <v>14</v>
      </c>
      <c r="O1227">
        <v>14</v>
      </c>
      <c r="P1227">
        <v>4</v>
      </c>
      <c r="Q1227">
        <v>0</v>
      </c>
      <c r="R1227">
        <v>55.7</v>
      </c>
      <c r="S1227">
        <v>10</v>
      </c>
      <c r="T1227">
        <v>10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10</v>
      </c>
      <c r="AB1227">
        <v>6</v>
      </c>
      <c r="AC1227">
        <v>0</v>
      </c>
      <c r="AH1227">
        <v>71.7</v>
      </c>
    </row>
    <row r="1228" spans="1:34" x14ac:dyDescent="0.3">
      <c r="A1228" s="4">
        <v>1440</v>
      </c>
      <c r="B1228" s="5">
        <v>1221</v>
      </c>
      <c r="C1228">
        <v>1771</v>
      </c>
      <c r="D1228" t="s">
        <v>13091</v>
      </c>
      <c r="E1228" t="s">
        <v>166</v>
      </c>
      <c r="F1228" t="s">
        <v>136</v>
      </c>
      <c r="G1228" t="s">
        <v>13092</v>
      </c>
      <c r="H1228">
        <v>15.65</v>
      </c>
      <c r="I1228">
        <v>0</v>
      </c>
      <c r="J1228">
        <v>0</v>
      </c>
      <c r="K1228">
        <v>20</v>
      </c>
      <c r="N1228">
        <v>3</v>
      </c>
      <c r="O1228">
        <v>3</v>
      </c>
      <c r="P1228">
        <v>4</v>
      </c>
      <c r="Q1228">
        <v>2</v>
      </c>
      <c r="R1228">
        <v>44.65</v>
      </c>
      <c r="S1228">
        <v>27</v>
      </c>
      <c r="T1228">
        <v>27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27</v>
      </c>
      <c r="AB1228">
        <v>0</v>
      </c>
      <c r="AC1228">
        <v>0</v>
      </c>
      <c r="AH1228">
        <v>71.650000000000006</v>
      </c>
    </row>
    <row r="1229" spans="1:34" x14ac:dyDescent="0.3">
      <c r="A1229" s="4">
        <v>1441</v>
      </c>
      <c r="B1229" s="5">
        <v>1222</v>
      </c>
      <c r="C1229">
        <v>8339</v>
      </c>
      <c r="D1229" t="s">
        <v>13093</v>
      </c>
      <c r="E1229" t="s">
        <v>400</v>
      </c>
      <c r="F1229" t="s">
        <v>4873</v>
      </c>
      <c r="G1229" t="s">
        <v>13094</v>
      </c>
      <c r="H1229">
        <v>17.63</v>
      </c>
      <c r="I1229">
        <v>0</v>
      </c>
      <c r="J1229">
        <v>0</v>
      </c>
      <c r="K1229">
        <v>20</v>
      </c>
      <c r="L1229">
        <v>7</v>
      </c>
      <c r="N1229">
        <v>3</v>
      </c>
      <c r="O1229">
        <v>10</v>
      </c>
      <c r="P1229">
        <v>4</v>
      </c>
      <c r="Q1229">
        <v>2</v>
      </c>
      <c r="R1229">
        <v>53.63</v>
      </c>
      <c r="S1229">
        <v>15</v>
      </c>
      <c r="T1229">
        <v>15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15</v>
      </c>
      <c r="AB1229">
        <v>3</v>
      </c>
      <c r="AC1229">
        <v>0</v>
      </c>
      <c r="AH1229">
        <v>71.63</v>
      </c>
    </row>
    <row r="1230" spans="1:34" x14ac:dyDescent="0.3">
      <c r="A1230" s="4">
        <v>1442</v>
      </c>
      <c r="B1230" s="5">
        <v>1223</v>
      </c>
      <c r="C1230">
        <v>13756</v>
      </c>
      <c r="D1230" t="s">
        <v>13095</v>
      </c>
      <c r="E1230" t="s">
        <v>1043</v>
      </c>
      <c r="F1230" t="s">
        <v>20</v>
      </c>
      <c r="G1230" t="s">
        <v>13096</v>
      </c>
      <c r="H1230">
        <v>19.5</v>
      </c>
      <c r="I1230">
        <v>0</v>
      </c>
      <c r="J1230">
        <v>0</v>
      </c>
      <c r="K1230">
        <v>20</v>
      </c>
      <c r="L1230">
        <v>7</v>
      </c>
      <c r="N1230">
        <v>3</v>
      </c>
      <c r="O1230">
        <v>10</v>
      </c>
      <c r="P1230">
        <v>4</v>
      </c>
      <c r="Q1230">
        <v>0</v>
      </c>
      <c r="R1230">
        <v>53.5</v>
      </c>
      <c r="S1230">
        <v>15</v>
      </c>
      <c r="T1230">
        <v>15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15</v>
      </c>
      <c r="AB1230">
        <v>3</v>
      </c>
      <c r="AC1230">
        <v>0</v>
      </c>
      <c r="AH1230">
        <v>71.5</v>
      </c>
    </row>
    <row r="1231" spans="1:34" x14ac:dyDescent="0.3">
      <c r="A1231" s="4">
        <v>1443</v>
      </c>
      <c r="B1231" s="5">
        <v>1224</v>
      </c>
      <c r="C1231">
        <v>14834</v>
      </c>
      <c r="D1231" t="s">
        <v>13097</v>
      </c>
      <c r="E1231" t="s">
        <v>29</v>
      </c>
      <c r="F1231" t="s">
        <v>243</v>
      </c>
      <c r="G1231" t="s">
        <v>13098</v>
      </c>
      <c r="H1231">
        <v>20.48</v>
      </c>
      <c r="I1231">
        <v>0</v>
      </c>
      <c r="J1231">
        <v>0</v>
      </c>
      <c r="K1231">
        <v>20</v>
      </c>
      <c r="L1231">
        <v>7</v>
      </c>
      <c r="O1231">
        <v>7</v>
      </c>
      <c r="P1231">
        <v>4</v>
      </c>
      <c r="Q1231">
        <v>2</v>
      </c>
      <c r="R1231">
        <v>53.48</v>
      </c>
      <c r="S1231">
        <v>18</v>
      </c>
      <c r="T1231">
        <v>18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18</v>
      </c>
      <c r="AB1231">
        <v>0</v>
      </c>
      <c r="AC1231">
        <v>0</v>
      </c>
      <c r="AD1231" t="s">
        <v>130</v>
      </c>
      <c r="AH1231">
        <v>71.48</v>
      </c>
    </row>
    <row r="1232" spans="1:34" x14ac:dyDescent="0.3">
      <c r="A1232" s="4">
        <v>1444</v>
      </c>
      <c r="B1232" s="5">
        <v>1225</v>
      </c>
      <c r="C1232">
        <v>11633</v>
      </c>
      <c r="D1232" t="s">
        <v>13099</v>
      </c>
      <c r="E1232" t="s">
        <v>29</v>
      </c>
      <c r="F1232" t="s">
        <v>62</v>
      </c>
      <c r="G1232" t="s">
        <v>13100</v>
      </c>
      <c r="H1232">
        <v>21.45</v>
      </c>
      <c r="I1232">
        <v>0</v>
      </c>
      <c r="J1232">
        <v>40</v>
      </c>
      <c r="K1232">
        <v>0</v>
      </c>
      <c r="N1232">
        <v>3</v>
      </c>
      <c r="O1232">
        <v>3</v>
      </c>
      <c r="P1232">
        <v>4</v>
      </c>
      <c r="Q1232">
        <v>0</v>
      </c>
      <c r="R1232">
        <v>68.45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3</v>
      </c>
      <c r="AC1232">
        <v>0</v>
      </c>
      <c r="AH1232">
        <v>71.45</v>
      </c>
    </row>
    <row r="1233" spans="1:34" x14ac:dyDescent="0.3">
      <c r="A1233" s="4">
        <v>1445</v>
      </c>
      <c r="B1233" s="5">
        <v>1226</v>
      </c>
      <c r="C1233">
        <v>13168</v>
      </c>
      <c r="D1233" t="s">
        <v>13101</v>
      </c>
      <c r="E1233" t="s">
        <v>166</v>
      </c>
      <c r="F1233" t="s">
        <v>30</v>
      </c>
      <c r="G1233" t="s">
        <v>13102</v>
      </c>
      <c r="H1233">
        <v>20.43</v>
      </c>
      <c r="I1233">
        <v>0</v>
      </c>
      <c r="J1233">
        <v>0</v>
      </c>
      <c r="K1233">
        <v>20</v>
      </c>
      <c r="L1233">
        <v>7</v>
      </c>
      <c r="N1233">
        <v>3</v>
      </c>
      <c r="O1233">
        <v>10</v>
      </c>
      <c r="P1233">
        <v>4</v>
      </c>
      <c r="Q1233">
        <v>2</v>
      </c>
      <c r="R1233">
        <v>56.43</v>
      </c>
      <c r="S1233">
        <v>15</v>
      </c>
      <c r="T1233">
        <v>15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15</v>
      </c>
      <c r="AB1233">
        <v>0</v>
      </c>
      <c r="AC1233">
        <v>0</v>
      </c>
      <c r="AH1233">
        <v>71.430000000000007</v>
      </c>
    </row>
    <row r="1234" spans="1:34" x14ac:dyDescent="0.3">
      <c r="A1234" s="4">
        <v>1446</v>
      </c>
      <c r="B1234" s="5">
        <v>1227</v>
      </c>
      <c r="C1234">
        <v>10272</v>
      </c>
      <c r="D1234" t="s">
        <v>13103</v>
      </c>
      <c r="E1234" t="s">
        <v>491</v>
      </c>
      <c r="F1234" t="s">
        <v>34</v>
      </c>
      <c r="G1234" t="s">
        <v>13104</v>
      </c>
      <c r="H1234">
        <v>20.23</v>
      </c>
      <c r="I1234">
        <v>0</v>
      </c>
      <c r="J1234">
        <v>0</v>
      </c>
      <c r="K1234">
        <v>20</v>
      </c>
      <c r="M1234">
        <v>10</v>
      </c>
      <c r="O1234">
        <v>10</v>
      </c>
      <c r="P1234">
        <v>4</v>
      </c>
      <c r="Q1234">
        <v>2</v>
      </c>
      <c r="R1234">
        <v>56.23</v>
      </c>
      <c r="S1234">
        <v>15</v>
      </c>
      <c r="T1234">
        <v>15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15</v>
      </c>
      <c r="AB1234">
        <v>0</v>
      </c>
      <c r="AC1234">
        <v>0</v>
      </c>
      <c r="AH1234">
        <v>71.23</v>
      </c>
    </row>
    <row r="1235" spans="1:34" x14ac:dyDescent="0.3">
      <c r="A1235" s="4">
        <v>1447</v>
      </c>
      <c r="B1235" s="5">
        <v>1228</v>
      </c>
      <c r="C1235">
        <v>14899</v>
      </c>
      <c r="D1235" t="s">
        <v>6336</v>
      </c>
      <c r="E1235" t="s">
        <v>33</v>
      </c>
      <c r="F1235" t="s">
        <v>20</v>
      </c>
      <c r="G1235" t="s">
        <v>13105</v>
      </c>
      <c r="H1235">
        <v>15.13</v>
      </c>
      <c r="I1235">
        <v>0</v>
      </c>
      <c r="J1235">
        <v>0</v>
      </c>
      <c r="K1235">
        <v>20</v>
      </c>
      <c r="L1235">
        <v>7</v>
      </c>
      <c r="O1235">
        <v>7</v>
      </c>
      <c r="P1235">
        <v>4</v>
      </c>
      <c r="Q1235">
        <v>2</v>
      </c>
      <c r="R1235">
        <v>48.13</v>
      </c>
      <c r="S1235">
        <v>17</v>
      </c>
      <c r="T1235">
        <v>17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17</v>
      </c>
      <c r="AB1235">
        <v>6</v>
      </c>
      <c r="AC1235">
        <v>0</v>
      </c>
      <c r="AD1235" t="s">
        <v>130</v>
      </c>
      <c r="AH1235">
        <v>71.13</v>
      </c>
    </row>
    <row r="1236" spans="1:34" x14ac:dyDescent="0.3">
      <c r="A1236" s="4">
        <v>1448</v>
      </c>
      <c r="B1236" s="5">
        <v>1229</v>
      </c>
      <c r="C1236">
        <v>5746</v>
      </c>
      <c r="D1236" t="s">
        <v>13106</v>
      </c>
      <c r="E1236" t="s">
        <v>182</v>
      </c>
      <c r="F1236" t="s">
        <v>17</v>
      </c>
      <c r="G1236" t="s">
        <v>13107</v>
      </c>
      <c r="H1236">
        <v>19.13</v>
      </c>
      <c r="I1236">
        <v>0</v>
      </c>
      <c r="J1236">
        <v>0</v>
      </c>
      <c r="K1236">
        <v>20</v>
      </c>
      <c r="L1236">
        <v>7</v>
      </c>
      <c r="N1236">
        <v>3</v>
      </c>
      <c r="O1236">
        <v>10</v>
      </c>
      <c r="P1236">
        <v>4</v>
      </c>
      <c r="Q1236">
        <v>2</v>
      </c>
      <c r="R1236">
        <v>55.13</v>
      </c>
      <c r="S1236">
        <v>16</v>
      </c>
      <c r="T1236">
        <v>16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16</v>
      </c>
      <c r="AB1236">
        <v>0</v>
      </c>
      <c r="AC1236">
        <v>0</v>
      </c>
      <c r="AH1236">
        <v>71.13</v>
      </c>
    </row>
    <row r="1237" spans="1:34" x14ac:dyDescent="0.3">
      <c r="A1237" s="4">
        <v>1449</v>
      </c>
      <c r="B1237" s="5">
        <v>1230</v>
      </c>
      <c r="C1237">
        <v>4666</v>
      </c>
      <c r="D1237" t="s">
        <v>13108</v>
      </c>
      <c r="E1237" t="s">
        <v>13109</v>
      </c>
      <c r="F1237" t="s">
        <v>17</v>
      </c>
      <c r="G1237" t="s">
        <v>13110</v>
      </c>
      <c r="H1237">
        <v>19.05</v>
      </c>
      <c r="I1237">
        <v>0</v>
      </c>
      <c r="J1237">
        <v>0</v>
      </c>
      <c r="K1237">
        <v>0</v>
      </c>
      <c r="L1237">
        <v>14</v>
      </c>
      <c r="O1237">
        <v>14</v>
      </c>
      <c r="P1237">
        <v>4</v>
      </c>
      <c r="Q1237">
        <v>0</v>
      </c>
      <c r="R1237">
        <v>37.049999999999997</v>
      </c>
      <c r="S1237">
        <v>34</v>
      </c>
      <c r="T1237">
        <v>34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34</v>
      </c>
      <c r="AB1237">
        <v>0</v>
      </c>
      <c r="AC1237">
        <v>0</v>
      </c>
      <c r="AH1237">
        <v>71.05</v>
      </c>
    </row>
    <row r="1238" spans="1:34" x14ac:dyDescent="0.3">
      <c r="A1238" s="4">
        <v>1450</v>
      </c>
      <c r="B1238" s="5">
        <v>1231</v>
      </c>
      <c r="C1238">
        <v>5024</v>
      </c>
      <c r="D1238" t="s">
        <v>389</v>
      </c>
      <c r="E1238" t="s">
        <v>738</v>
      </c>
      <c r="F1238" t="s">
        <v>81</v>
      </c>
      <c r="G1238" t="s">
        <v>13111</v>
      </c>
      <c r="H1238">
        <v>20.03</v>
      </c>
      <c r="I1238">
        <v>0</v>
      </c>
      <c r="J1238">
        <v>0</v>
      </c>
      <c r="K1238">
        <v>20</v>
      </c>
      <c r="L1238">
        <v>7</v>
      </c>
      <c r="O1238">
        <v>7</v>
      </c>
      <c r="P1238">
        <v>4</v>
      </c>
      <c r="Q1238">
        <v>0</v>
      </c>
      <c r="R1238">
        <v>51.03</v>
      </c>
      <c r="S1238">
        <v>14</v>
      </c>
      <c r="T1238">
        <v>14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14</v>
      </c>
      <c r="AB1238">
        <v>6</v>
      </c>
      <c r="AC1238">
        <v>0</v>
      </c>
      <c r="AH1238">
        <v>71.03</v>
      </c>
    </row>
    <row r="1239" spans="1:34" x14ac:dyDescent="0.3">
      <c r="A1239" s="4">
        <v>1451</v>
      </c>
      <c r="B1239" s="5">
        <v>1232</v>
      </c>
      <c r="C1239">
        <v>7871</v>
      </c>
      <c r="D1239" t="s">
        <v>13112</v>
      </c>
      <c r="E1239" t="s">
        <v>161</v>
      </c>
      <c r="F1239" t="s">
        <v>2998</v>
      </c>
      <c r="G1239" t="s">
        <v>13113</v>
      </c>
      <c r="H1239">
        <v>17.03</v>
      </c>
      <c r="I1239">
        <v>0</v>
      </c>
      <c r="J1239">
        <v>0</v>
      </c>
      <c r="K1239">
        <v>20</v>
      </c>
      <c r="L1239">
        <v>7</v>
      </c>
      <c r="N1239">
        <v>3</v>
      </c>
      <c r="O1239">
        <v>10</v>
      </c>
      <c r="P1239">
        <v>4</v>
      </c>
      <c r="Q1239">
        <v>2</v>
      </c>
      <c r="R1239">
        <v>53.03</v>
      </c>
      <c r="S1239">
        <v>15</v>
      </c>
      <c r="T1239">
        <v>15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15</v>
      </c>
      <c r="AB1239">
        <v>3</v>
      </c>
      <c r="AC1239">
        <v>0</v>
      </c>
      <c r="AH1239">
        <v>71.03</v>
      </c>
    </row>
    <row r="1240" spans="1:34" x14ac:dyDescent="0.3">
      <c r="A1240" s="4">
        <v>1452</v>
      </c>
      <c r="B1240" s="5">
        <v>1233</v>
      </c>
      <c r="C1240">
        <v>10462</v>
      </c>
      <c r="D1240" t="s">
        <v>13114</v>
      </c>
      <c r="E1240" t="s">
        <v>166</v>
      </c>
      <c r="F1240" t="s">
        <v>20</v>
      </c>
      <c r="G1240" t="s">
        <v>13115</v>
      </c>
      <c r="H1240">
        <v>17.95</v>
      </c>
      <c r="I1240">
        <v>0</v>
      </c>
      <c r="J1240">
        <v>0</v>
      </c>
      <c r="K1240">
        <v>20</v>
      </c>
      <c r="L1240">
        <v>7</v>
      </c>
      <c r="O1240">
        <v>7</v>
      </c>
      <c r="P1240">
        <v>4</v>
      </c>
      <c r="Q1240">
        <v>2</v>
      </c>
      <c r="R1240">
        <v>50.95</v>
      </c>
      <c r="S1240">
        <v>11</v>
      </c>
      <c r="T1240">
        <v>11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11</v>
      </c>
      <c r="AB1240">
        <v>9</v>
      </c>
      <c r="AC1240">
        <v>0</v>
      </c>
      <c r="AH1240">
        <v>70.95</v>
      </c>
    </row>
    <row r="1241" spans="1:34" x14ac:dyDescent="0.3">
      <c r="A1241" s="4">
        <v>1453</v>
      </c>
      <c r="B1241" s="5">
        <v>1234</v>
      </c>
      <c r="C1241">
        <v>15267</v>
      </c>
      <c r="D1241" t="s">
        <v>13116</v>
      </c>
      <c r="E1241" t="s">
        <v>29</v>
      </c>
      <c r="F1241" t="s">
        <v>20</v>
      </c>
      <c r="G1241" t="s">
        <v>13117</v>
      </c>
      <c r="H1241">
        <v>17.95</v>
      </c>
      <c r="I1241">
        <v>0</v>
      </c>
      <c r="J1241">
        <v>0</v>
      </c>
      <c r="K1241">
        <v>20</v>
      </c>
      <c r="L1241">
        <v>7</v>
      </c>
      <c r="N1241">
        <v>3</v>
      </c>
      <c r="O1241">
        <v>10</v>
      </c>
      <c r="P1241">
        <v>4</v>
      </c>
      <c r="Q1241">
        <v>2</v>
      </c>
      <c r="R1241">
        <v>53.95</v>
      </c>
      <c r="S1241">
        <v>14</v>
      </c>
      <c r="T1241">
        <v>14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14</v>
      </c>
      <c r="AB1241">
        <v>3</v>
      </c>
      <c r="AC1241">
        <v>0</v>
      </c>
      <c r="AH1241">
        <v>70.95</v>
      </c>
    </row>
    <row r="1242" spans="1:34" x14ac:dyDescent="0.3">
      <c r="A1242" s="4">
        <v>1454</v>
      </c>
      <c r="B1242" s="5">
        <v>1235</v>
      </c>
      <c r="C1242">
        <v>2325</v>
      </c>
      <c r="D1242" t="s">
        <v>13118</v>
      </c>
      <c r="E1242" t="s">
        <v>54</v>
      </c>
      <c r="F1242" t="s">
        <v>750</v>
      </c>
      <c r="G1242" t="s">
        <v>13119</v>
      </c>
      <c r="H1242">
        <v>16.88</v>
      </c>
      <c r="I1242">
        <v>0</v>
      </c>
      <c r="J1242">
        <v>0</v>
      </c>
      <c r="K1242">
        <v>20</v>
      </c>
      <c r="L1242">
        <v>7</v>
      </c>
      <c r="N1242">
        <v>3</v>
      </c>
      <c r="O1242">
        <v>10</v>
      </c>
      <c r="P1242">
        <v>4</v>
      </c>
      <c r="Q1242">
        <v>2</v>
      </c>
      <c r="R1242">
        <v>52.88</v>
      </c>
      <c r="S1242">
        <v>18</v>
      </c>
      <c r="T1242">
        <v>18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18</v>
      </c>
      <c r="AB1242">
        <v>0</v>
      </c>
      <c r="AC1242">
        <v>0</v>
      </c>
      <c r="AH1242">
        <v>70.88</v>
      </c>
    </row>
    <row r="1243" spans="1:34" x14ac:dyDescent="0.3">
      <c r="A1243" s="4">
        <v>1455</v>
      </c>
      <c r="B1243" s="5">
        <v>1236</v>
      </c>
      <c r="C1243">
        <v>7007</v>
      </c>
      <c r="D1243" t="s">
        <v>13120</v>
      </c>
      <c r="E1243" t="s">
        <v>13121</v>
      </c>
      <c r="F1243" t="s">
        <v>13122</v>
      </c>
      <c r="G1243">
        <v>800742</v>
      </c>
      <c r="H1243">
        <v>17.88</v>
      </c>
      <c r="I1243">
        <v>0</v>
      </c>
      <c r="J1243">
        <v>0</v>
      </c>
      <c r="K1243">
        <v>20</v>
      </c>
      <c r="N1243">
        <v>6</v>
      </c>
      <c r="O1243">
        <v>6</v>
      </c>
      <c r="P1243">
        <v>4</v>
      </c>
      <c r="Q1243">
        <v>0</v>
      </c>
      <c r="R1243">
        <v>47.88</v>
      </c>
      <c r="S1243">
        <v>23</v>
      </c>
      <c r="T1243">
        <v>23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23</v>
      </c>
      <c r="AB1243">
        <v>0</v>
      </c>
      <c r="AC1243">
        <v>0</v>
      </c>
      <c r="AH1243">
        <v>70.88</v>
      </c>
    </row>
    <row r="1244" spans="1:34" x14ac:dyDescent="0.3">
      <c r="A1244" s="4">
        <v>1456</v>
      </c>
      <c r="B1244" s="5">
        <v>1237</v>
      </c>
      <c r="C1244">
        <v>2856</v>
      </c>
      <c r="D1244" t="s">
        <v>4714</v>
      </c>
      <c r="E1244" t="s">
        <v>88</v>
      </c>
      <c r="F1244" t="s">
        <v>81</v>
      </c>
      <c r="G1244" t="s">
        <v>13123</v>
      </c>
      <c r="H1244">
        <v>18.829999999999998</v>
      </c>
      <c r="I1244">
        <v>0</v>
      </c>
      <c r="J1244">
        <v>0</v>
      </c>
      <c r="K1244">
        <v>20</v>
      </c>
      <c r="L1244">
        <v>7</v>
      </c>
      <c r="O1244">
        <v>7</v>
      </c>
      <c r="P1244">
        <v>4</v>
      </c>
      <c r="Q1244">
        <v>0</v>
      </c>
      <c r="R1244">
        <v>49.83</v>
      </c>
      <c r="S1244">
        <v>15</v>
      </c>
      <c r="T1244">
        <v>15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15</v>
      </c>
      <c r="AB1244">
        <v>6</v>
      </c>
      <c r="AC1244">
        <v>0</v>
      </c>
      <c r="AH1244">
        <v>70.83</v>
      </c>
    </row>
    <row r="1245" spans="1:34" x14ac:dyDescent="0.3">
      <c r="A1245" s="4">
        <v>1457</v>
      </c>
      <c r="B1245" s="5">
        <v>1238</v>
      </c>
      <c r="C1245">
        <v>10811</v>
      </c>
      <c r="D1245" t="s">
        <v>13124</v>
      </c>
      <c r="E1245" t="s">
        <v>188</v>
      </c>
      <c r="F1245" t="s">
        <v>243</v>
      </c>
      <c r="G1245" t="s">
        <v>13125</v>
      </c>
      <c r="H1245">
        <v>18.8</v>
      </c>
      <c r="I1245">
        <v>0</v>
      </c>
      <c r="J1245">
        <v>0</v>
      </c>
      <c r="K1245">
        <v>20</v>
      </c>
      <c r="L1245">
        <v>7</v>
      </c>
      <c r="O1245">
        <v>7</v>
      </c>
      <c r="P1245">
        <v>4</v>
      </c>
      <c r="Q1245">
        <v>0</v>
      </c>
      <c r="R1245">
        <v>49.8</v>
      </c>
      <c r="S1245">
        <v>21</v>
      </c>
      <c r="T1245">
        <v>21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21</v>
      </c>
      <c r="AB1245">
        <v>0</v>
      </c>
      <c r="AC1245">
        <v>0</v>
      </c>
      <c r="AH1245">
        <v>70.8</v>
      </c>
    </row>
    <row r="1246" spans="1:34" x14ac:dyDescent="0.3">
      <c r="A1246" s="4">
        <v>1458</v>
      </c>
      <c r="B1246" s="5">
        <v>1239</v>
      </c>
      <c r="C1246">
        <v>1819</v>
      </c>
      <c r="D1246" t="s">
        <v>13126</v>
      </c>
      <c r="E1246" t="s">
        <v>29</v>
      </c>
      <c r="F1246" t="s">
        <v>20</v>
      </c>
      <c r="G1246" t="s">
        <v>13127</v>
      </c>
      <c r="H1246">
        <v>19.78</v>
      </c>
      <c r="I1246">
        <v>0</v>
      </c>
      <c r="J1246">
        <v>0</v>
      </c>
      <c r="K1246">
        <v>20</v>
      </c>
      <c r="L1246">
        <v>7</v>
      </c>
      <c r="N1246">
        <v>3</v>
      </c>
      <c r="O1246">
        <v>10</v>
      </c>
      <c r="P1246">
        <v>4</v>
      </c>
      <c r="Q1246">
        <v>2</v>
      </c>
      <c r="R1246">
        <v>55.78</v>
      </c>
      <c r="S1246">
        <v>15</v>
      </c>
      <c r="T1246">
        <v>15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15</v>
      </c>
      <c r="AB1246">
        <v>0</v>
      </c>
      <c r="AC1246">
        <v>0</v>
      </c>
      <c r="AH1246">
        <v>70.78</v>
      </c>
    </row>
    <row r="1247" spans="1:34" x14ac:dyDescent="0.3">
      <c r="A1247" s="4">
        <v>1459</v>
      </c>
      <c r="B1247" s="5">
        <v>1240</v>
      </c>
      <c r="C1247">
        <v>10993</v>
      </c>
      <c r="D1247" t="s">
        <v>13128</v>
      </c>
      <c r="E1247" t="s">
        <v>166</v>
      </c>
      <c r="F1247" t="s">
        <v>375</v>
      </c>
      <c r="G1247" t="s">
        <v>13129</v>
      </c>
      <c r="H1247">
        <v>17.600000000000001</v>
      </c>
      <c r="I1247">
        <v>0</v>
      </c>
      <c r="J1247">
        <v>0</v>
      </c>
      <c r="K1247">
        <v>0</v>
      </c>
      <c r="N1247">
        <v>3</v>
      </c>
      <c r="O1247">
        <v>3</v>
      </c>
      <c r="P1247">
        <v>4</v>
      </c>
      <c r="Q1247">
        <v>2</v>
      </c>
      <c r="R1247">
        <v>26.6</v>
      </c>
      <c r="S1247">
        <v>14</v>
      </c>
      <c r="T1247">
        <v>14</v>
      </c>
      <c r="U1247">
        <v>15</v>
      </c>
      <c r="V1247">
        <v>30</v>
      </c>
      <c r="W1247">
        <v>0</v>
      </c>
      <c r="X1247">
        <v>0</v>
      </c>
      <c r="Y1247">
        <v>0</v>
      </c>
      <c r="Z1247">
        <v>0</v>
      </c>
      <c r="AA1247">
        <v>44</v>
      </c>
      <c r="AB1247">
        <v>0</v>
      </c>
      <c r="AC1247">
        <v>0</v>
      </c>
      <c r="AH1247">
        <v>70.599999999999994</v>
      </c>
    </row>
    <row r="1248" spans="1:34" x14ac:dyDescent="0.3">
      <c r="A1248" s="4">
        <v>1460</v>
      </c>
      <c r="B1248" s="5">
        <v>1241</v>
      </c>
      <c r="C1248">
        <v>5888</v>
      </c>
      <c r="D1248" t="s">
        <v>2804</v>
      </c>
      <c r="E1248" t="s">
        <v>3221</v>
      </c>
      <c r="F1248" t="s">
        <v>190</v>
      </c>
      <c r="G1248" t="s">
        <v>13130</v>
      </c>
      <c r="H1248">
        <v>20.58</v>
      </c>
      <c r="I1248">
        <v>0</v>
      </c>
      <c r="J1248">
        <v>0</v>
      </c>
      <c r="K1248">
        <v>20</v>
      </c>
      <c r="L1248">
        <v>7</v>
      </c>
      <c r="M1248">
        <v>5</v>
      </c>
      <c r="O1248">
        <v>12</v>
      </c>
      <c r="P1248">
        <v>4</v>
      </c>
      <c r="Q1248">
        <v>2</v>
      </c>
      <c r="R1248">
        <v>58.58</v>
      </c>
      <c r="S1248">
        <v>6</v>
      </c>
      <c r="T1248">
        <v>6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6</v>
      </c>
      <c r="AB1248">
        <v>6</v>
      </c>
      <c r="AC1248">
        <v>0</v>
      </c>
      <c r="AH1248">
        <v>70.58</v>
      </c>
    </row>
    <row r="1249" spans="1:34" x14ac:dyDescent="0.3">
      <c r="A1249" s="4">
        <v>1461</v>
      </c>
      <c r="B1249" s="5">
        <v>1242</v>
      </c>
      <c r="C1249">
        <v>12989</v>
      </c>
      <c r="D1249" t="s">
        <v>2492</v>
      </c>
      <c r="E1249" t="s">
        <v>13131</v>
      </c>
      <c r="F1249" t="s">
        <v>190</v>
      </c>
      <c r="G1249" t="s">
        <v>13132</v>
      </c>
      <c r="H1249">
        <v>18.579999999999998</v>
      </c>
      <c r="I1249">
        <v>0</v>
      </c>
      <c r="J1249">
        <v>0</v>
      </c>
      <c r="K1249">
        <v>20</v>
      </c>
      <c r="L1249">
        <v>7</v>
      </c>
      <c r="N1249">
        <v>3</v>
      </c>
      <c r="O1249">
        <v>10</v>
      </c>
      <c r="P1249">
        <v>4</v>
      </c>
      <c r="Q1249">
        <v>2</v>
      </c>
      <c r="R1249">
        <v>54.58</v>
      </c>
      <c r="S1249">
        <v>13</v>
      </c>
      <c r="T1249">
        <v>13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13</v>
      </c>
      <c r="AB1249">
        <v>3</v>
      </c>
      <c r="AC1249">
        <v>0</v>
      </c>
      <c r="AD1249" t="s">
        <v>130</v>
      </c>
      <c r="AH1249">
        <v>70.58</v>
      </c>
    </row>
    <row r="1250" spans="1:34" x14ac:dyDescent="0.3">
      <c r="A1250" s="4">
        <v>1462</v>
      </c>
      <c r="B1250" s="5">
        <v>1243</v>
      </c>
      <c r="C1250">
        <v>1542</v>
      </c>
      <c r="D1250" t="s">
        <v>74</v>
      </c>
      <c r="E1250" t="s">
        <v>57</v>
      </c>
      <c r="F1250" t="s">
        <v>14</v>
      </c>
      <c r="G1250" t="s">
        <v>13133</v>
      </c>
      <c r="H1250">
        <v>21.43</v>
      </c>
      <c r="I1250">
        <v>0</v>
      </c>
      <c r="J1250">
        <v>0</v>
      </c>
      <c r="K1250">
        <v>20</v>
      </c>
      <c r="L1250">
        <v>7</v>
      </c>
      <c r="O1250">
        <v>7</v>
      </c>
      <c r="P1250">
        <v>4</v>
      </c>
      <c r="Q1250">
        <v>2</v>
      </c>
      <c r="R1250">
        <v>54.43</v>
      </c>
      <c r="S1250">
        <v>7</v>
      </c>
      <c r="T1250">
        <v>7</v>
      </c>
      <c r="U1250">
        <v>0</v>
      </c>
      <c r="V1250">
        <v>0</v>
      </c>
      <c r="W1250">
        <v>6</v>
      </c>
      <c r="X1250">
        <v>9</v>
      </c>
      <c r="Y1250">
        <v>0</v>
      </c>
      <c r="Z1250">
        <v>0</v>
      </c>
      <c r="AA1250">
        <v>16</v>
      </c>
      <c r="AB1250">
        <v>0</v>
      </c>
      <c r="AC1250">
        <v>0</v>
      </c>
      <c r="AH1250">
        <v>70.430000000000007</v>
      </c>
    </row>
    <row r="1251" spans="1:34" x14ac:dyDescent="0.3">
      <c r="A1251" s="4">
        <v>1463</v>
      </c>
      <c r="B1251" s="5">
        <v>1244</v>
      </c>
      <c r="C1251">
        <v>1077</v>
      </c>
      <c r="D1251" t="s">
        <v>13134</v>
      </c>
      <c r="E1251" t="s">
        <v>37</v>
      </c>
      <c r="F1251" t="s">
        <v>117</v>
      </c>
      <c r="G1251" t="s">
        <v>13135</v>
      </c>
      <c r="H1251">
        <v>17.23</v>
      </c>
      <c r="I1251">
        <v>0</v>
      </c>
      <c r="J1251">
        <v>0</v>
      </c>
      <c r="K1251">
        <v>20</v>
      </c>
      <c r="L1251">
        <v>7</v>
      </c>
      <c r="M1251">
        <v>5</v>
      </c>
      <c r="O1251">
        <v>12</v>
      </c>
      <c r="P1251">
        <v>4</v>
      </c>
      <c r="Q1251">
        <v>0</v>
      </c>
      <c r="R1251">
        <v>53.23</v>
      </c>
      <c r="S1251">
        <v>17</v>
      </c>
      <c r="T1251">
        <v>17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17</v>
      </c>
      <c r="AB1251">
        <v>0</v>
      </c>
      <c r="AC1251">
        <v>0</v>
      </c>
      <c r="AH1251">
        <v>70.23</v>
      </c>
    </row>
    <row r="1252" spans="1:34" x14ac:dyDescent="0.3">
      <c r="A1252" s="4">
        <v>1464</v>
      </c>
      <c r="B1252" s="5">
        <v>1245</v>
      </c>
      <c r="C1252">
        <v>8769</v>
      </c>
      <c r="D1252" t="s">
        <v>13136</v>
      </c>
      <c r="E1252" t="s">
        <v>132</v>
      </c>
      <c r="F1252" t="s">
        <v>3705</v>
      </c>
      <c r="G1252" t="s">
        <v>13137</v>
      </c>
      <c r="H1252">
        <v>16.18</v>
      </c>
      <c r="I1252">
        <v>0</v>
      </c>
      <c r="J1252">
        <v>0</v>
      </c>
      <c r="K1252">
        <v>20</v>
      </c>
      <c r="L1252">
        <v>7</v>
      </c>
      <c r="O1252">
        <v>7</v>
      </c>
      <c r="P1252">
        <v>4</v>
      </c>
      <c r="Q1252">
        <v>0</v>
      </c>
      <c r="R1252">
        <v>47.18</v>
      </c>
      <c r="S1252">
        <v>17</v>
      </c>
      <c r="T1252">
        <v>17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17</v>
      </c>
      <c r="AB1252">
        <v>6</v>
      </c>
      <c r="AC1252">
        <v>0</v>
      </c>
      <c r="AH1252">
        <v>70.180000000000007</v>
      </c>
    </row>
    <row r="1253" spans="1:34" x14ac:dyDescent="0.3">
      <c r="A1253" s="4">
        <v>1465</v>
      </c>
      <c r="B1253" s="5">
        <v>1246</v>
      </c>
      <c r="C1253">
        <v>8491</v>
      </c>
      <c r="D1253" t="s">
        <v>13138</v>
      </c>
      <c r="E1253" t="s">
        <v>471</v>
      </c>
      <c r="F1253" t="s">
        <v>927</v>
      </c>
      <c r="G1253" t="s">
        <v>13139</v>
      </c>
      <c r="H1253">
        <v>17.149999999999999</v>
      </c>
      <c r="I1253">
        <v>0</v>
      </c>
      <c r="J1253">
        <v>0</v>
      </c>
      <c r="K1253">
        <v>0</v>
      </c>
      <c r="M1253">
        <v>5</v>
      </c>
      <c r="N1253">
        <v>3</v>
      </c>
      <c r="O1253">
        <v>8</v>
      </c>
      <c r="P1253">
        <v>4</v>
      </c>
      <c r="Q1253">
        <v>2</v>
      </c>
      <c r="R1253">
        <v>31.15</v>
      </c>
      <c r="S1253">
        <v>33</v>
      </c>
      <c r="T1253">
        <v>33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33</v>
      </c>
      <c r="AB1253">
        <v>6</v>
      </c>
      <c r="AC1253">
        <v>0</v>
      </c>
      <c r="AH1253">
        <v>70.150000000000006</v>
      </c>
    </row>
    <row r="1254" spans="1:34" x14ac:dyDescent="0.3">
      <c r="A1254" s="4">
        <v>1466</v>
      </c>
      <c r="B1254" s="5">
        <v>1247</v>
      </c>
      <c r="C1254">
        <v>13876</v>
      </c>
      <c r="D1254" t="s">
        <v>6377</v>
      </c>
      <c r="E1254" t="s">
        <v>29</v>
      </c>
      <c r="F1254" t="s">
        <v>81</v>
      </c>
      <c r="G1254" t="s">
        <v>13140</v>
      </c>
      <c r="H1254">
        <v>16.149999999999999</v>
      </c>
      <c r="I1254">
        <v>0</v>
      </c>
      <c r="J1254">
        <v>0</v>
      </c>
      <c r="K1254">
        <v>20</v>
      </c>
      <c r="L1254">
        <v>7</v>
      </c>
      <c r="O1254">
        <v>7</v>
      </c>
      <c r="P1254">
        <v>4</v>
      </c>
      <c r="Q1254">
        <v>2</v>
      </c>
      <c r="R1254">
        <v>49.15</v>
      </c>
      <c r="S1254">
        <v>18</v>
      </c>
      <c r="T1254">
        <v>18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18</v>
      </c>
      <c r="AB1254">
        <v>3</v>
      </c>
      <c r="AC1254">
        <v>0</v>
      </c>
      <c r="AH1254">
        <v>70.150000000000006</v>
      </c>
    </row>
    <row r="1255" spans="1:34" x14ac:dyDescent="0.3">
      <c r="A1255" s="4">
        <v>1467</v>
      </c>
      <c r="B1255" s="5">
        <v>1248</v>
      </c>
      <c r="C1255">
        <v>8128</v>
      </c>
      <c r="D1255" t="s">
        <v>3340</v>
      </c>
      <c r="E1255" t="s">
        <v>789</v>
      </c>
      <c r="F1255" t="s">
        <v>38</v>
      </c>
      <c r="G1255" t="s">
        <v>13141</v>
      </c>
      <c r="H1255">
        <v>21.13</v>
      </c>
      <c r="I1255">
        <v>0</v>
      </c>
      <c r="J1255">
        <v>0</v>
      </c>
      <c r="K1255">
        <v>20</v>
      </c>
      <c r="L1255">
        <v>7</v>
      </c>
      <c r="O1255">
        <v>7</v>
      </c>
      <c r="P1255">
        <v>4</v>
      </c>
      <c r="Q1255">
        <v>0</v>
      </c>
      <c r="R1255">
        <v>52.13</v>
      </c>
      <c r="S1255">
        <v>18</v>
      </c>
      <c r="T1255">
        <v>18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18</v>
      </c>
      <c r="AB1255">
        <v>0</v>
      </c>
      <c r="AC1255">
        <v>0</v>
      </c>
      <c r="AH1255">
        <v>70.13</v>
      </c>
    </row>
    <row r="1256" spans="1:34" x14ac:dyDescent="0.3">
      <c r="A1256" s="4">
        <v>1468</v>
      </c>
      <c r="B1256" s="5">
        <v>1249</v>
      </c>
      <c r="C1256">
        <v>3197</v>
      </c>
      <c r="D1256" t="s">
        <v>2666</v>
      </c>
      <c r="E1256" t="s">
        <v>166</v>
      </c>
      <c r="F1256" t="s">
        <v>158</v>
      </c>
      <c r="G1256" t="s">
        <v>13142</v>
      </c>
      <c r="H1256">
        <v>18.05</v>
      </c>
      <c r="I1256">
        <v>0</v>
      </c>
      <c r="J1256">
        <v>0</v>
      </c>
      <c r="K1256">
        <v>20</v>
      </c>
      <c r="L1256">
        <v>7</v>
      </c>
      <c r="O1256">
        <v>7</v>
      </c>
      <c r="P1256">
        <v>4</v>
      </c>
      <c r="Q1256">
        <v>2</v>
      </c>
      <c r="R1256">
        <v>51.05</v>
      </c>
      <c r="S1256">
        <v>13</v>
      </c>
      <c r="T1256">
        <v>13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13</v>
      </c>
      <c r="AB1256">
        <v>6</v>
      </c>
      <c r="AC1256">
        <v>0</v>
      </c>
      <c r="AH1256">
        <v>70.05</v>
      </c>
    </row>
    <row r="1257" spans="1:34" x14ac:dyDescent="0.3">
      <c r="A1257" s="4">
        <v>1469</v>
      </c>
      <c r="B1257" s="5">
        <v>1250</v>
      </c>
      <c r="C1257">
        <v>3305</v>
      </c>
      <c r="D1257" t="s">
        <v>9666</v>
      </c>
      <c r="E1257" t="s">
        <v>13143</v>
      </c>
      <c r="F1257" t="s">
        <v>20</v>
      </c>
      <c r="G1257" t="s">
        <v>13144</v>
      </c>
      <c r="H1257">
        <v>20</v>
      </c>
      <c r="I1257">
        <v>0</v>
      </c>
      <c r="J1257">
        <v>0</v>
      </c>
      <c r="K1257">
        <v>20</v>
      </c>
      <c r="L1257">
        <v>14</v>
      </c>
      <c r="O1257">
        <v>14</v>
      </c>
      <c r="P1257">
        <v>4</v>
      </c>
      <c r="Q1257">
        <v>2</v>
      </c>
      <c r="R1257">
        <v>60</v>
      </c>
      <c r="S1257">
        <v>10</v>
      </c>
      <c r="T1257">
        <v>10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10</v>
      </c>
      <c r="AB1257">
        <v>0</v>
      </c>
      <c r="AC1257">
        <v>0</v>
      </c>
      <c r="AH1257">
        <v>70</v>
      </c>
    </row>
    <row r="1258" spans="1:34" x14ac:dyDescent="0.3">
      <c r="A1258" s="4">
        <v>1470</v>
      </c>
      <c r="B1258" s="5">
        <v>1251</v>
      </c>
      <c r="C1258">
        <v>7823</v>
      </c>
      <c r="D1258" t="s">
        <v>13145</v>
      </c>
      <c r="E1258" t="s">
        <v>273</v>
      </c>
      <c r="F1258" t="s">
        <v>20</v>
      </c>
      <c r="G1258" t="s">
        <v>13146</v>
      </c>
      <c r="H1258">
        <v>18.98</v>
      </c>
      <c r="I1258">
        <v>0</v>
      </c>
      <c r="J1258">
        <v>0</v>
      </c>
      <c r="K1258">
        <v>20</v>
      </c>
      <c r="L1258">
        <v>7</v>
      </c>
      <c r="N1258">
        <v>3</v>
      </c>
      <c r="O1258">
        <v>10</v>
      </c>
      <c r="P1258">
        <v>4</v>
      </c>
      <c r="Q1258">
        <v>0</v>
      </c>
      <c r="R1258">
        <v>52.98</v>
      </c>
      <c r="S1258">
        <v>17</v>
      </c>
      <c r="T1258">
        <v>17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17</v>
      </c>
      <c r="AB1258">
        <v>0</v>
      </c>
      <c r="AC1258">
        <v>0</v>
      </c>
      <c r="AH1258">
        <v>69.98</v>
      </c>
    </row>
    <row r="1259" spans="1:34" x14ac:dyDescent="0.3">
      <c r="A1259" s="4">
        <v>1471</v>
      </c>
      <c r="B1259" s="5">
        <v>1252</v>
      </c>
      <c r="C1259">
        <v>3260</v>
      </c>
      <c r="D1259" t="s">
        <v>13147</v>
      </c>
      <c r="E1259" t="s">
        <v>100</v>
      </c>
      <c r="F1259" t="s">
        <v>343</v>
      </c>
      <c r="G1259" t="s">
        <v>13148</v>
      </c>
      <c r="H1259">
        <v>21.93</v>
      </c>
      <c r="I1259">
        <v>0</v>
      </c>
      <c r="J1259">
        <v>0</v>
      </c>
      <c r="K1259">
        <v>20</v>
      </c>
      <c r="L1259">
        <v>7</v>
      </c>
      <c r="N1259">
        <v>3</v>
      </c>
      <c r="O1259">
        <v>10</v>
      </c>
      <c r="P1259">
        <v>4</v>
      </c>
      <c r="Q1259">
        <v>0</v>
      </c>
      <c r="R1259">
        <v>55.93</v>
      </c>
      <c r="S1259">
        <v>8</v>
      </c>
      <c r="T1259">
        <v>8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8</v>
      </c>
      <c r="AB1259">
        <v>6</v>
      </c>
      <c r="AC1259">
        <v>0</v>
      </c>
      <c r="AH1259">
        <v>69.930000000000007</v>
      </c>
    </row>
    <row r="1260" spans="1:34" x14ac:dyDescent="0.3">
      <c r="A1260" s="4">
        <v>1472</v>
      </c>
      <c r="B1260" s="5">
        <v>1253</v>
      </c>
      <c r="C1260">
        <v>2736</v>
      </c>
      <c r="D1260" t="s">
        <v>13149</v>
      </c>
      <c r="E1260" t="s">
        <v>13150</v>
      </c>
      <c r="F1260" t="s">
        <v>38</v>
      </c>
      <c r="G1260" t="s">
        <v>13151</v>
      </c>
      <c r="H1260">
        <v>19.899999999999999</v>
      </c>
      <c r="I1260">
        <v>0</v>
      </c>
      <c r="J1260">
        <v>0</v>
      </c>
      <c r="K1260">
        <v>20</v>
      </c>
      <c r="L1260">
        <v>7</v>
      </c>
      <c r="O1260">
        <v>7</v>
      </c>
      <c r="P1260">
        <v>4</v>
      </c>
      <c r="Q1260">
        <v>2</v>
      </c>
      <c r="R1260">
        <v>52.9</v>
      </c>
      <c r="S1260">
        <v>14</v>
      </c>
      <c r="T1260">
        <v>14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14</v>
      </c>
      <c r="AB1260">
        <v>3</v>
      </c>
      <c r="AC1260">
        <v>0</v>
      </c>
      <c r="AH1260">
        <v>69.900000000000006</v>
      </c>
    </row>
    <row r="1261" spans="1:34" x14ac:dyDescent="0.3">
      <c r="A1261" s="4">
        <v>1473</v>
      </c>
      <c r="B1261" s="5">
        <v>1254</v>
      </c>
      <c r="C1261">
        <v>12474</v>
      </c>
      <c r="D1261" t="s">
        <v>13152</v>
      </c>
      <c r="E1261" t="s">
        <v>136</v>
      </c>
      <c r="F1261" t="s">
        <v>81</v>
      </c>
      <c r="G1261" t="s">
        <v>13153</v>
      </c>
      <c r="H1261">
        <v>14.88</v>
      </c>
      <c r="I1261">
        <v>0</v>
      </c>
      <c r="J1261">
        <v>0</v>
      </c>
      <c r="K1261">
        <v>0</v>
      </c>
      <c r="L1261">
        <v>7</v>
      </c>
      <c r="O1261">
        <v>7</v>
      </c>
      <c r="P1261">
        <v>4</v>
      </c>
      <c r="Q1261">
        <v>2</v>
      </c>
      <c r="R1261">
        <v>27.88</v>
      </c>
      <c r="S1261">
        <v>26</v>
      </c>
      <c r="T1261">
        <v>26</v>
      </c>
      <c r="U1261">
        <v>8</v>
      </c>
      <c r="V1261">
        <v>16</v>
      </c>
      <c r="W1261">
        <v>0</v>
      </c>
      <c r="X1261">
        <v>0</v>
      </c>
      <c r="Y1261">
        <v>0</v>
      </c>
      <c r="Z1261">
        <v>0</v>
      </c>
      <c r="AA1261">
        <v>42</v>
      </c>
      <c r="AB1261">
        <v>0</v>
      </c>
      <c r="AC1261">
        <v>0</v>
      </c>
      <c r="AH1261">
        <v>69.88</v>
      </c>
    </row>
    <row r="1262" spans="1:34" x14ac:dyDescent="0.3">
      <c r="A1262" s="4">
        <v>1474</v>
      </c>
      <c r="B1262" s="5">
        <v>1255</v>
      </c>
      <c r="C1262">
        <v>15307</v>
      </c>
      <c r="D1262" t="s">
        <v>459</v>
      </c>
      <c r="E1262" t="s">
        <v>13154</v>
      </c>
      <c r="F1262" t="s">
        <v>13155</v>
      </c>
      <c r="G1262" t="s">
        <v>13156</v>
      </c>
      <c r="H1262">
        <v>21.8</v>
      </c>
      <c r="I1262">
        <v>0</v>
      </c>
      <c r="J1262">
        <v>0</v>
      </c>
      <c r="K1262">
        <v>20</v>
      </c>
      <c r="L1262">
        <v>7</v>
      </c>
      <c r="N1262">
        <v>3</v>
      </c>
      <c r="O1262">
        <v>10</v>
      </c>
      <c r="P1262">
        <v>4</v>
      </c>
      <c r="Q1262">
        <v>0</v>
      </c>
      <c r="R1262">
        <v>55.8</v>
      </c>
      <c r="S1262">
        <v>14</v>
      </c>
      <c r="T1262">
        <v>14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14</v>
      </c>
      <c r="AB1262">
        <v>0</v>
      </c>
      <c r="AC1262">
        <v>0</v>
      </c>
      <c r="AH1262">
        <v>69.8</v>
      </c>
    </row>
    <row r="1263" spans="1:34" x14ac:dyDescent="0.3">
      <c r="A1263" s="4">
        <v>1475</v>
      </c>
      <c r="B1263" s="5">
        <v>1256</v>
      </c>
      <c r="C1263">
        <v>14492</v>
      </c>
      <c r="D1263" t="s">
        <v>3017</v>
      </c>
      <c r="E1263" t="s">
        <v>13157</v>
      </c>
      <c r="F1263" t="s">
        <v>343</v>
      </c>
      <c r="G1263" t="s">
        <v>13158</v>
      </c>
      <c r="H1263">
        <v>16.73</v>
      </c>
      <c r="I1263">
        <v>0</v>
      </c>
      <c r="J1263">
        <v>0</v>
      </c>
      <c r="K1263">
        <v>0</v>
      </c>
      <c r="L1263">
        <v>7</v>
      </c>
      <c r="N1263">
        <v>3</v>
      </c>
      <c r="O1263">
        <v>10</v>
      </c>
      <c r="P1263">
        <v>0</v>
      </c>
      <c r="Q1263">
        <v>0</v>
      </c>
      <c r="R1263">
        <v>26.73</v>
      </c>
      <c r="S1263">
        <v>43</v>
      </c>
      <c r="T1263">
        <v>43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43</v>
      </c>
      <c r="AB1263">
        <v>0</v>
      </c>
      <c r="AC1263">
        <v>0</v>
      </c>
      <c r="AD1263" t="s">
        <v>130</v>
      </c>
      <c r="AH1263">
        <v>69.73</v>
      </c>
    </row>
    <row r="1264" spans="1:34" x14ac:dyDescent="0.3">
      <c r="A1264" s="4">
        <v>1476</v>
      </c>
      <c r="B1264" s="5">
        <v>1257</v>
      </c>
      <c r="C1264">
        <v>5119</v>
      </c>
      <c r="D1264" t="s">
        <v>2666</v>
      </c>
      <c r="E1264" t="s">
        <v>13159</v>
      </c>
      <c r="F1264" t="s">
        <v>20</v>
      </c>
      <c r="G1264" t="s">
        <v>13160</v>
      </c>
      <c r="H1264">
        <v>17.649999999999999</v>
      </c>
      <c r="I1264">
        <v>0</v>
      </c>
      <c r="J1264">
        <v>0</v>
      </c>
      <c r="K1264">
        <v>20</v>
      </c>
      <c r="M1264">
        <v>5</v>
      </c>
      <c r="O1264">
        <v>5</v>
      </c>
      <c r="P1264">
        <v>4</v>
      </c>
      <c r="Q1264">
        <v>0</v>
      </c>
      <c r="R1264">
        <v>46.65</v>
      </c>
      <c r="S1264">
        <v>20</v>
      </c>
      <c r="T1264">
        <v>20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20</v>
      </c>
      <c r="AB1264">
        <v>3</v>
      </c>
      <c r="AC1264">
        <v>0</v>
      </c>
      <c r="AH1264">
        <v>69.650000000000006</v>
      </c>
    </row>
    <row r="1265" spans="1:34" x14ac:dyDescent="0.3">
      <c r="A1265" s="4">
        <v>1477</v>
      </c>
      <c r="B1265" s="5">
        <v>1258</v>
      </c>
      <c r="C1265">
        <v>294</v>
      </c>
      <c r="D1265" t="s">
        <v>4607</v>
      </c>
      <c r="E1265" t="s">
        <v>147</v>
      </c>
      <c r="F1265" t="s">
        <v>20</v>
      </c>
      <c r="G1265" t="s">
        <v>13161</v>
      </c>
      <c r="H1265">
        <v>20.65</v>
      </c>
      <c r="I1265">
        <v>0</v>
      </c>
      <c r="J1265">
        <v>0</v>
      </c>
      <c r="K1265">
        <v>20</v>
      </c>
      <c r="L1265">
        <v>7</v>
      </c>
      <c r="O1265">
        <v>7</v>
      </c>
      <c r="P1265">
        <v>4</v>
      </c>
      <c r="Q1265">
        <v>2</v>
      </c>
      <c r="R1265">
        <v>53.65</v>
      </c>
      <c r="S1265">
        <v>16</v>
      </c>
      <c r="T1265">
        <v>16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16</v>
      </c>
      <c r="AB1265">
        <v>0</v>
      </c>
      <c r="AC1265">
        <v>0</v>
      </c>
      <c r="AH1265">
        <v>69.650000000000006</v>
      </c>
    </row>
    <row r="1266" spans="1:34" x14ac:dyDescent="0.3">
      <c r="A1266" s="4">
        <v>1478</v>
      </c>
      <c r="B1266" s="5">
        <v>1259</v>
      </c>
      <c r="C1266">
        <v>6088</v>
      </c>
      <c r="D1266" t="s">
        <v>13162</v>
      </c>
      <c r="E1266" t="s">
        <v>100</v>
      </c>
      <c r="F1266" t="s">
        <v>5060</v>
      </c>
      <c r="G1266" t="s">
        <v>13163</v>
      </c>
      <c r="H1266">
        <v>17.53</v>
      </c>
      <c r="I1266">
        <v>0</v>
      </c>
      <c r="J1266">
        <v>0</v>
      </c>
      <c r="K1266">
        <v>20</v>
      </c>
      <c r="N1266">
        <v>3</v>
      </c>
      <c r="O1266">
        <v>3</v>
      </c>
      <c r="P1266">
        <v>4</v>
      </c>
      <c r="Q1266">
        <v>2</v>
      </c>
      <c r="R1266">
        <v>46.53</v>
      </c>
      <c r="S1266">
        <v>23</v>
      </c>
      <c r="T1266">
        <v>23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23</v>
      </c>
      <c r="AB1266">
        <v>0</v>
      </c>
      <c r="AC1266">
        <v>0</v>
      </c>
      <c r="AH1266">
        <v>69.53</v>
      </c>
    </row>
    <row r="1267" spans="1:34" x14ac:dyDescent="0.3">
      <c r="A1267" s="4">
        <v>1479</v>
      </c>
      <c r="B1267" s="5">
        <v>1260</v>
      </c>
      <c r="C1267">
        <v>1908</v>
      </c>
      <c r="D1267" t="s">
        <v>13164</v>
      </c>
      <c r="E1267" t="s">
        <v>166</v>
      </c>
      <c r="F1267" t="s">
        <v>8147</v>
      </c>
      <c r="G1267" t="s">
        <v>13165</v>
      </c>
      <c r="H1267">
        <v>17.5</v>
      </c>
      <c r="I1267">
        <v>0</v>
      </c>
      <c r="J1267">
        <v>0</v>
      </c>
      <c r="K1267">
        <v>0</v>
      </c>
      <c r="L1267">
        <v>7</v>
      </c>
      <c r="O1267">
        <v>7</v>
      </c>
      <c r="P1267">
        <v>4</v>
      </c>
      <c r="Q1267">
        <v>0</v>
      </c>
      <c r="R1267">
        <v>28.5</v>
      </c>
      <c r="S1267">
        <v>41</v>
      </c>
      <c r="T1267">
        <v>41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41</v>
      </c>
      <c r="AB1267">
        <v>0</v>
      </c>
      <c r="AC1267">
        <v>0</v>
      </c>
      <c r="AH1267">
        <v>69.5</v>
      </c>
    </row>
    <row r="1268" spans="1:34" x14ac:dyDescent="0.3">
      <c r="A1268" s="4">
        <v>1480</v>
      </c>
      <c r="B1268" s="5">
        <v>1261</v>
      </c>
      <c r="C1268">
        <v>12583</v>
      </c>
      <c r="D1268" t="s">
        <v>1822</v>
      </c>
      <c r="E1268" t="s">
        <v>13166</v>
      </c>
      <c r="F1268" t="s">
        <v>52</v>
      </c>
      <c r="G1268" t="s">
        <v>13167</v>
      </c>
      <c r="H1268">
        <v>19.45</v>
      </c>
      <c r="I1268">
        <v>0</v>
      </c>
      <c r="J1268">
        <v>0</v>
      </c>
      <c r="K1268">
        <v>20</v>
      </c>
      <c r="N1268">
        <v>3</v>
      </c>
      <c r="O1268">
        <v>3</v>
      </c>
      <c r="P1268">
        <v>4</v>
      </c>
      <c r="Q1268">
        <v>2</v>
      </c>
      <c r="R1268">
        <v>48.45</v>
      </c>
      <c r="S1268">
        <v>21</v>
      </c>
      <c r="T1268">
        <v>21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21</v>
      </c>
      <c r="AB1268">
        <v>0</v>
      </c>
      <c r="AC1268">
        <v>0</v>
      </c>
      <c r="AH1268">
        <v>69.45</v>
      </c>
    </row>
    <row r="1269" spans="1:34" x14ac:dyDescent="0.3">
      <c r="A1269" s="4">
        <v>1481</v>
      </c>
      <c r="B1269" s="5">
        <v>1262</v>
      </c>
      <c r="C1269">
        <v>13245</v>
      </c>
      <c r="D1269" t="s">
        <v>13168</v>
      </c>
      <c r="E1269" t="s">
        <v>33</v>
      </c>
      <c r="F1269" t="s">
        <v>190</v>
      </c>
      <c r="G1269" t="s">
        <v>13169</v>
      </c>
      <c r="H1269">
        <v>20.43</v>
      </c>
      <c r="I1269">
        <v>0</v>
      </c>
      <c r="J1269">
        <v>0</v>
      </c>
      <c r="K1269">
        <v>0</v>
      </c>
      <c r="N1269">
        <v>3</v>
      </c>
      <c r="O1269">
        <v>3</v>
      </c>
      <c r="P1269">
        <v>4</v>
      </c>
      <c r="Q1269">
        <v>2</v>
      </c>
      <c r="R1269">
        <v>29.43</v>
      </c>
      <c r="S1269">
        <v>37</v>
      </c>
      <c r="T1269">
        <v>37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37</v>
      </c>
      <c r="AB1269">
        <v>3</v>
      </c>
      <c r="AC1269">
        <v>0</v>
      </c>
      <c r="AH1269">
        <v>69.430000000000007</v>
      </c>
    </row>
    <row r="1270" spans="1:34" x14ac:dyDescent="0.3">
      <c r="A1270" s="4">
        <v>1482</v>
      </c>
      <c r="B1270" s="5">
        <v>1263</v>
      </c>
      <c r="C1270">
        <v>8200</v>
      </c>
      <c r="D1270" t="s">
        <v>13170</v>
      </c>
      <c r="E1270" t="s">
        <v>1474</v>
      </c>
      <c r="F1270" t="s">
        <v>13171</v>
      </c>
      <c r="G1270" t="s">
        <v>13172</v>
      </c>
      <c r="H1270">
        <v>16.399999999999999</v>
      </c>
      <c r="I1270">
        <v>0</v>
      </c>
      <c r="J1270">
        <v>0</v>
      </c>
      <c r="K1270">
        <v>20</v>
      </c>
      <c r="N1270">
        <v>3</v>
      </c>
      <c r="O1270">
        <v>3</v>
      </c>
      <c r="P1270">
        <v>4</v>
      </c>
      <c r="Q1270">
        <v>0</v>
      </c>
      <c r="R1270">
        <v>43.4</v>
      </c>
      <c r="S1270">
        <v>23</v>
      </c>
      <c r="T1270">
        <v>23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23</v>
      </c>
      <c r="AB1270">
        <v>3</v>
      </c>
      <c r="AC1270">
        <v>0</v>
      </c>
      <c r="AH1270">
        <v>69.400000000000006</v>
      </c>
    </row>
    <row r="1271" spans="1:34" x14ac:dyDescent="0.3">
      <c r="A1271" s="4">
        <v>1483</v>
      </c>
      <c r="B1271" s="5">
        <v>1264</v>
      </c>
      <c r="C1271">
        <v>9263</v>
      </c>
      <c r="D1271" t="s">
        <v>11804</v>
      </c>
      <c r="E1271" t="s">
        <v>6996</v>
      </c>
      <c r="F1271" t="s">
        <v>892</v>
      </c>
      <c r="G1271" t="s">
        <v>13173</v>
      </c>
      <c r="H1271">
        <v>19.38</v>
      </c>
      <c r="I1271">
        <v>0</v>
      </c>
      <c r="J1271">
        <v>0</v>
      </c>
      <c r="K1271">
        <v>20</v>
      </c>
      <c r="L1271">
        <v>7</v>
      </c>
      <c r="N1271">
        <v>3</v>
      </c>
      <c r="O1271">
        <v>10</v>
      </c>
      <c r="P1271">
        <v>4</v>
      </c>
      <c r="Q1271">
        <v>2</v>
      </c>
      <c r="R1271">
        <v>55.38</v>
      </c>
      <c r="S1271">
        <v>14</v>
      </c>
      <c r="T1271">
        <v>14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14</v>
      </c>
      <c r="AB1271">
        <v>0</v>
      </c>
      <c r="AC1271">
        <v>0</v>
      </c>
      <c r="AH1271">
        <v>69.38</v>
      </c>
    </row>
    <row r="1272" spans="1:34" x14ac:dyDescent="0.3">
      <c r="A1272" s="4">
        <v>1484</v>
      </c>
      <c r="B1272" s="5">
        <v>1265</v>
      </c>
      <c r="C1272">
        <v>7680</v>
      </c>
      <c r="D1272" t="s">
        <v>13174</v>
      </c>
      <c r="E1272" t="s">
        <v>13175</v>
      </c>
      <c r="F1272" t="s">
        <v>38</v>
      </c>
      <c r="G1272" t="s">
        <v>13176</v>
      </c>
      <c r="H1272">
        <v>19.23</v>
      </c>
      <c r="I1272">
        <v>0</v>
      </c>
      <c r="J1272">
        <v>0</v>
      </c>
      <c r="K1272">
        <v>0</v>
      </c>
      <c r="L1272">
        <v>14</v>
      </c>
      <c r="O1272">
        <v>14</v>
      </c>
      <c r="P1272">
        <v>4</v>
      </c>
      <c r="Q1272">
        <v>2</v>
      </c>
      <c r="R1272">
        <v>39.229999999999997</v>
      </c>
      <c r="S1272">
        <v>30</v>
      </c>
      <c r="T1272">
        <v>30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30</v>
      </c>
      <c r="AB1272">
        <v>0</v>
      </c>
      <c r="AC1272">
        <v>0</v>
      </c>
      <c r="AH1272">
        <v>69.23</v>
      </c>
    </row>
    <row r="1273" spans="1:34" x14ac:dyDescent="0.3">
      <c r="A1273" s="4">
        <v>1485</v>
      </c>
      <c r="B1273" s="5">
        <v>1266</v>
      </c>
      <c r="C1273">
        <v>5343</v>
      </c>
      <c r="D1273" t="s">
        <v>4597</v>
      </c>
      <c r="E1273" t="s">
        <v>41</v>
      </c>
      <c r="F1273" t="s">
        <v>68</v>
      </c>
      <c r="G1273" t="s">
        <v>13177</v>
      </c>
      <c r="H1273">
        <v>18.2</v>
      </c>
      <c r="I1273">
        <v>0</v>
      </c>
      <c r="J1273">
        <v>0</v>
      </c>
      <c r="K1273">
        <v>20</v>
      </c>
      <c r="L1273">
        <v>7</v>
      </c>
      <c r="M1273">
        <v>5</v>
      </c>
      <c r="O1273">
        <v>12</v>
      </c>
      <c r="P1273">
        <v>4</v>
      </c>
      <c r="Q1273">
        <v>2</v>
      </c>
      <c r="R1273">
        <v>56.2</v>
      </c>
      <c r="S1273">
        <v>13</v>
      </c>
      <c r="T1273">
        <v>13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13</v>
      </c>
      <c r="AB1273">
        <v>0</v>
      </c>
      <c r="AC1273">
        <v>0</v>
      </c>
      <c r="AH1273">
        <v>69.2</v>
      </c>
    </row>
    <row r="1274" spans="1:34" x14ac:dyDescent="0.3">
      <c r="A1274" s="4">
        <v>1486</v>
      </c>
      <c r="B1274" s="5">
        <v>1267</v>
      </c>
      <c r="C1274">
        <v>2638</v>
      </c>
      <c r="D1274" t="s">
        <v>13178</v>
      </c>
      <c r="E1274" t="s">
        <v>789</v>
      </c>
      <c r="F1274" t="s">
        <v>909</v>
      </c>
      <c r="G1274" t="s">
        <v>13179</v>
      </c>
      <c r="H1274">
        <v>18.13</v>
      </c>
      <c r="I1274">
        <v>0</v>
      </c>
      <c r="J1274">
        <v>0</v>
      </c>
      <c r="K1274">
        <v>20</v>
      </c>
      <c r="L1274">
        <v>7</v>
      </c>
      <c r="M1274">
        <v>5</v>
      </c>
      <c r="O1274">
        <v>12</v>
      </c>
      <c r="P1274">
        <v>4</v>
      </c>
      <c r="Q1274">
        <v>0</v>
      </c>
      <c r="R1274">
        <v>54.13</v>
      </c>
      <c r="S1274">
        <v>15</v>
      </c>
      <c r="T1274">
        <v>15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15</v>
      </c>
      <c r="AB1274">
        <v>0</v>
      </c>
      <c r="AC1274">
        <v>0</v>
      </c>
      <c r="AD1274" t="s">
        <v>130</v>
      </c>
      <c r="AE1274" t="s">
        <v>130</v>
      </c>
      <c r="AH1274">
        <v>69.13</v>
      </c>
    </row>
    <row r="1275" spans="1:34" x14ac:dyDescent="0.3">
      <c r="A1275" s="4">
        <v>1487</v>
      </c>
      <c r="B1275" s="5">
        <v>1268</v>
      </c>
      <c r="C1275">
        <v>13475</v>
      </c>
      <c r="D1275" t="s">
        <v>2210</v>
      </c>
      <c r="E1275" t="s">
        <v>149</v>
      </c>
      <c r="F1275" t="s">
        <v>878</v>
      </c>
      <c r="G1275" t="s">
        <v>13180</v>
      </c>
      <c r="H1275">
        <v>18.3</v>
      </c>
      <c r="I1275">
        <v>0</v>
      </c>
      <c r="J1275">
        <v>0</v>
      </c>
      <c r="K1275">
        <v>0</v>
      </c>
      <c r="L1275">
        <v>7</v>
      </c>
      <c r="O1275">
        <v>7</v>
      </c>
      <c r="P1275">
        <v>4</v>
      </c>
      <c r="Q1275">
        <v>0</v>
      </c>
      <c r="R1275">
        <v>29.3</v>
      </c>
      <c r="S1275">
        <v>13</v>
      </c>
      <c r="T1275">
        <v>13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13</v>
      </c>
      <c r="AB1275">
        <v>0</v>
      </c>
      <c r="AC1275">
        <v>26.8</v>
      </c>
      <c r="AH1275">
        <v>69.099999999999994</v>
      </c>
    </row>
    <row r="1276" spans="1:34" x14ac:dyDescent="0.3">
      <c r="A1276" s="4">
        <v>1488</v>
      </c>
      <c r="B1276" s="5">
        <v>1269</v>
      </c>
      <c r="C1276">
        <v>4452</v>
      </c>
      <c r="D1276" t="s">
        <v>13181</v>
      </c>
      <c r="E1276" t="s">
        <v>4796</v>
      </c>
      <c r="F1276" t="s">
        <v>117</v>
      </c>
      <c r="G1276" t="s">
        <v>13182</v>
      </c>
      <c r="H1276">
        <v>15.05</v>
      </c>
      <c r="I1276">
        <v>0</v>
      </c>
      <c r="J1276">
        <v>0</v>
      </c>
      <c r="K1276">
        <v>0</v>
      </c>
      <c r="L1276">
        <v>7</v>
      </c>
      <c r="N1276">
        <v>3</v>
      </c>
      <c r="O1276">
        <v>10</v>
      </c>
      <c r="P1276">
        <v>4</v>
      </c>
      <c r="Q1276">
        <v>2</v>
      </c>
      <c r="R1276">
        <v>31.05</v>
      </c>
      <c r="S1276">
        <v>38</v>
      </c>
      <c r="T1276">
        <v>38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38</v>
      </c>
      <c r="AB1276">
        <v>0</v>
      </c>
      <c r="AC1276">
        <v>0</v>
      </c>
      <c r="AH1276">
        <v>69.05</v>
      </c>
    </row>
    <row r="1277" spans="1:34" x14ac:dyDescent="0.3">
      <c r="A1277" s="4">
        <v>1489</v>
      </c>
      <c r="B1277" s="5">
        <v>1270</v>
      </c>
      <c r="C1277">
        <v>5580</v>
      </c>
      <c r="D1277" t="s">
        <v>1707</v>
      </c>
      <c r="E1277" t="s">
        <v>29</v>
      </c>
      <c r="F1277" t="s">
        <v>230</v>
      </c>
      <c r="G1277" t="s">
        <v>13183</v>
      </c>
      <c r="H1277">
        <v>15.03</v>
      </c>
      <c r="I1277">
        <v>0</v>
      </c>
      <c r="J1277">
        <v>0</v>
      </c>
      <c r="K1277">
        <v>20</v>
      </c>
      <c r="L1277">
        <v>7</v>
      </c>
      <c r="O1277">
        <v>7</v>
      </c>
      <c r="P1277">
        <v>4</v>
      </c>
      <c r="Q1277">
        <v>0</v>
      </c>
      <c r="R1277">
        <v>46.03</v>
      </c>
      <c r="S1277">
        <v>17</v>
      </c>
      <c r="T1277">
        <v>17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17</v>
      </c>
      <c r="AB1277">
        <v>6</v>
      </c>
      <c r="AC1277">
        <v>0</v>
      </c>
      <c r="AH1277">
        <v>69.03</v>
      </c>
    </row>
    <row r="1278" spans="1:34" x14ac:dyDescent="0.3">
      <c r="A1278" s="4">
        <v>1490</v>
      </c>
      <c r="B1278" s="5">
        <v>1271</v>
      </c>
      <c r="C1278">
        <v>12380</v>
      </c>
      <c r="D1278" t="s">
        <v>13184</v>
      </c>
      <c r="E1278" t="s">
        <v>10969</v>
      </c>
      <c r="F1278" t="s">
        <v>17</v>
      </c>
      <c r="G1278" t="s">
        <v>13185</v>
      </c>
      <c r="H1278">
        <v>18.03</v>
      </c>
      <c r="I1278">
        <v>0</v>
      </c>
      <c r="J1278">
        <v>0</v>
      </c>
      <c r="K1278">
        <v>20</v>
      </c>
      <c r="L1278">
        <v>7</v>
      </c>
      <c r="N1278">
        <v>3</v>
      </c>
      <c r="O1278">
        <v>10</v>
      </c>
      <c r="P1278">
        <v>4</v>
      </c>
      <c r="Q1278">
        <v>2</v>
      </c>
      <c r="R1278">
        <v>54.03</v>
      </c>
      <c r="S1278">
        <v>15</v>
      </c>
      <c r="T1278">
        <v>15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15</v>
      </c>
      <c r="AB1278">
        <v>0</v>
      </c>
      <c r="AC1278">
        <v>0</v>
      </c>
      <c r="AH1278">
        <v>69.03</v>
      </c>
    </row>
    <row r="1279" spans="1:34" x14ac:dyDescent="0.3">
      <c r="A1279" s="4">
        <v>1491</v>
      </c>
      <c r="B1279" s="5">
        <v>1272</v>
      </c>
      <c r="C1279">
        <v>8512</v>
      </c>
      <c r="D1279" t="s">
        <v>165</v>
      </c>
      <c r="E1279" t="s">
        <v>29</v>
      </c>
      <c r="F1279" t="s">
        <v>117</v>
      </c>
      <c r="G1279" t="s">
        <v>13186</v>
      </c>
      <c r="H1279">
        <v>22</v>
      </c>
      <c r="I1279">
        <v>0</v>
      </c>
      <c r="J1279">
        <v>0</v>
      </c>
      <c r="K1279">
        <v>20</v>
      </c>
      <c r="L1279">
        <v>7</v>
      </c>
      <c r="N1279">
        <v>3</v>
      </c>
      <c r="O1279">
        <v>10</v>
      </c>
      <c r="P1279">
        <v>4</v>
      </c>
      <c r="Q1279">
        <v>0</v>
      </c>
      <c r="R1279">
        <v>56</v>
      </c>
      <c r="S1279">
        <v>7</v>
      </c>
      <c r="T1279">
        <v>7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7</v>
      </c>
      <c r="AB1279">
        <v>6</v>
      </c>
      <c r="AC1279">
        <v>0</v>
      </c>
      <c r="AH1279">
        <v>69</v>
      </c>
    </row>
    <row r="1280" spans="1:34" x14ac:dyDescent="0.3">
      <c r="A1280" s="4">
        <v>1492</v>
      </c>
      <c r="B1280" s="5">
        <v>1273</v>
      </c>
      <c r="C1280">
        <v>12338</v>
      </c>
      <c r="D1280" t="s">
        <v>13187</v>
      </c>
      <c r="E1280" t="s">
        <v>178</v>
      </c>
      <c r="F1280" t="s">
        <v>38</v>
      </c>
      <c r="G1280" t="s">
        <v>13188</v>
      </c>
      <c r="H1280">
        <v>17.93</v>
      </c>
      <c r="I1280">
        <v>0</v>
      </c>
      <c r="J1280">
        <v>0</v>
      </c>
      <c r="K1280">
        <v>20</v>
      </c>
      <c r="L1280">
        <v>7</v>
      </c>
      <c r="O1280">
        <v>7</v>
      </c>
      <c r="P1280">
        <v>4</v>
      </c>
      <c r="Q1280">
        <v>2</v>
      </c>
      <c r="R1280">
        <v>50.93</v>
      </c>
      <c r="S1280">
        <v>18</v>
      </c>
      <c r="T1280">
        <v>18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18</v>
      </c>
      <c r="AB1280">
        <v>0</v>
      </c>
      <c r="AC1280">
        <v>0</v>
      </c>
      <c r="AD1280" t="s">
        <v>130</v>
      </c>
      <c r="AH1280">
        <v>68.930000000000007</v>
      </c>
    </row>
    <row r="1281" spans="1:34" x14ac:dyDescent="0.3">
      <c r="A1281" s="4">
        <v>1493</v>
      </c>
      <c r="B1281" s="5">
        <v>1274</v>
      </c>
      <c r="C1281">
        <v>11057</v>
      </c>
      <c r="D1281" t="s">
        <v>13189</v>
      </c>
      <c r="E1281" t="s">
        <v>178</v>
      </c>
      <c r="F1281" t="s">
        <v>927</v>
      </c>
      <c r="G1281" t="s">
        <v>13190</v>
      </c>
      <c r="H1281">
        <v>16.73</v>
      </c>
      <c r="I1281">
        <v>0</v>
      </c>
      <c r="J1281">
        <v>0</v>
      </c>
      <c r="K1281">
        <v>20</v>
      </c>
      <c r="M1281">
        <v>5</v>
      </c>
      <c r="O1281">
        <v>5</v>
      </c>
      <c r="P1281">
        <v>4</v>
      </c>
      <c r="Q1281">
        <v>2</v>
      </c>
      <c r="R1281">
        <v>47.73</v>
      </c>
      <c r="S1281">
        <v>18</v>
      </c>
      <c r="T1281">
        <v>18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18</v>
      </c>
      <c r="AB1281">
        <v>3</v>
      </c>
      <c r="AC1281">
        <v>0</v>
      </c>
      <c r="AH1281">
        <v>68.73</v>
      </c>
    </row>
    <row r="1282" spans="1:34" x14ac:dyDescent="0.3">
      <c r="A1282" s="4">
        <v>1494</v>
      </c>
      <c r="B1282" s="5">
        <v>1275</v>
      </c>
      <c r="C1282">
        <v>14746</v>
      </c>
      <c r="D1282" t="s">
        <v>1340</v>
      </c>
      <c r="E1282" t="s">
        <v>29</v>
      </c>
      <c r="F1282" t="s">
        <v>136</v>
      </c>
      <c r="G1282" t="s">
        <v>13191</v>
      </c>
      <c r="H1282">
        <v>18.7</v>
      </c>
      <c r="I1282">
        <v>0</v>
      </c>
      <c r="J1282">
        <v>0</v>
      </c>
      <c r="K1282">
        <v>0</v>
      </c>
      <c r="N1282">
        <v>3</v>
      </c>
      <c r="O1282">
        <v>3</v>
      </c>
      <c r="P1282">
        <v>4</v>
      </c>
      <c r="Q1282">
        <v>0</v>
      </c>
      <c r="R1282">
        <v>25.7</v>
      </c>
      <c r="S1282">
        <v>43</v>
      </c>
      <c r="T1282">
        <v>43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43</v>
      </c>
      <c r="AB1282">
        <v>0</v>
      </c>
      <c r="AC1282">
        <v>0</v>
      </c>
      <c r="AH1282">
        <v>68.7</v>
      </c>
    </row>
    <row r="1283" spans="1:34" x14ac:dyDescent="0.3">
      <c r="A1283" s="4">
        <v>1495</v>
      </c>
      <c r="B1283" s="5">
        <v>1276</v>
      </c>
      <c r="C1283">
        <v>11285</v>
      </c>
      <c r="D1283" t="s">
        <v>13192</v>
      </c>
      <c r="E1283" t="s">
        <v>33</v>
      </c>
      <c r="F1283" t="s">
        <v>972</v>
      </c>
      <c r="G1283" t="s">
        <v>13193</v>
      </c>
      <c r="H1283">
        <v>17.649999999999999</v>
      </c>
      <c r="I1283">
        <v>0</v>
      </c>
      <c r="J1283">
        <v>0</v>
      </c>
      <c r="K1283">
        <v>20</v>
      </c>
      <c r="M1283">
        <v>10</v>
      </c>
      <c r="O1283">
        <v>10</v>
      </c>
      <c r="P1283">
        <v>4</v>
      </c>
      <c r="Q1283">
        <v>0</v>
      </c>
      <c r="R1283">
        <v>51.65</v>
      </c>
      <c r="S1283">
        <v>11</v>
      </c>
      <c r="T1283">
        <v>11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11</v>
      </c>
      <c r="AB1283">
        <v>6</v>
      </c>
      <c r="AC1283">
        <v>0</v>
      </c>
      <c r="AH1283">
        <v>68.650000000000006</v>
      </c>
    </row>
    <row r="1284" spans="1:34" x14ac:dyDescent="0.3">
      <c r="A1284" s="4">
        <v>1496</v>
      </c>
      <c r="B1284" s="5">
        <v>1277</v>
      </c>
      <c r="C1284">
        <v>12813</v>
      </c>
      <c r="D1284" t="s">
        <v>684</v>
      </c>
      <c r="E1284" t="s">
        <v>648</v>
      </c>
      <c r="F1284" t="s">
        <v>17</v>
      </c>
      <c r="G1284" t="s">
        <v>13194</v>
      </c>
      <c r="H1284">
        <v>17.600000000000001</v>
      </c>
      <c r="I1284">
        <v>0</v>
      </c>
      <c r="J1284">
        <v>0</v>
      </c>
      <c r="K1284">
        <v>20</v>
      </c>
      <c r="L1284">
        <v>7</v>
      </c>
      <c r="N1284">
        <v>3</v>
      </c>
      <c r="O1284">
        <v>10</v>
      </c>
      <c r="P1284">
        <v>4</v>
      </c>
      <c r="Q1284">
        <v>2</v>
      </c>
      <c r="R1284">
        <v>53.6</v>
      </c>
      <c r="S1284">
        <v>15</v>
      </c>
      <c r="T1284">
        <v>15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15</v>
      </c>
      <c r="AB1284">
        <v>0</v>
      </c>
      <c r="AC1284">
        <v>0</v>
      </c>
      <c r="AH1284">
        <v>68.599999999999994</v>
      </c>
    </row>
    <row r="1285" spans="1:34" x14ac:dyDescent="0.3">
      <c r="A1285" s="4">
        <v>1497</v>
      </c>
      <c r="B1285" s="5">
        <v>1278</v>
      </c>
      <c r="C1285">
        <v>10203</v>
      </c>
      <c r="D1285" t="s">
        <v>13195</v>
      </c>
      <c r="E1285" t="s">
        <v>178</v>
      </c>
      <c r="F1285" t="s">
        <v>1000</v>
      </c>
      <c r="G1285" t="s">
        <v>13196</v>
      </c>
      <c r="H1285">
        <v>18.579999999999998</v>
      </c>
      <c r="I1285">
        <v>0</v>
      </c>
      <c r="J1285">
        <v>0</v>
      </c>
      <c r="K1285">
        <v>0</v>
      </c>
      <c r="M1285">
        <v>5</v>
      </c>
      <c r="N1285">
        <v>3</v>
      </c>
      <c r="O1285">
        <v>8</v>
      </c>
      <c r="P1285">
        <v>4</v>
      </c>
      <c r="Q1285">
        <v>2</v>
      </c>
      <c r="R1285">
        <v>32.58</v>
      </c>
      <c r="S1285">
        <v>27</v>
      </c>
      <c r="T1285">
        <v>27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27</v>
      </c>
      <c r="AB1285">
        <v>9</v>
      </c>
      <c r="AC1285">
        <v>0</v>
      </c>
      <c r="AH1285">
        <v>68.58</v>
      </c>
    </row>
    <row r="1286" spans="1:34" x14ac:dyDescent="0.3">
      <c r="A1286" s="4">
        <v>1498</v>
      </c>
      <c r="B1286" s="5">
        <v>1279</v>
      </c>
      <c r="C1286">
        <v>7309</v>
      </c>
      <c r="D1286" t="s">
        <v>13197</v>
      </c>
      <c r="E1286" t="s">
        <v>26</v>
      </c>
      <c r="F1286" t="s">
        <v>9636</v>
      </c>
      <c r="G1286" t="s">
        <v>13198</v>
      </c>
      <c r="H1286">
        <v>18.579999999999998</v>
      </c>
      <c r="I1286">
        <v>0</v>
      </c>
      <c r="J1286">
        <v>0</v>
      </c>
      <c r="K1286">
        <v>0</v>
      </c>
      <c r="L1286">
        <v>7</v>
      </c>
      <c r="O1286">
        <v>7</v>
      </c>
      <c r="P1286">
        <v>4</v>
      </c>
      <c r="Q1286">
        <v>2</v>
      </c>
      <c r="R1286">
        <v>31.58</v>
      </c>
      <c r="S1286">
        <v>31</v>
      </c>
      <c r="T1286">
        <v>31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31</v>
      </c>
      <c r="AB1286">
        <v>6</v>
      </c>
      <c r="AC1286">
        <v>0</v>
      </c>
      <c r="AH1286">
        <v>68.58</v>
      </c>
    </row>
    <row r="1287" spans="1:34" x14ac:dyDescent="0.3">
      <c r="A1287" s="4">
        <v>1499</v>
      </c>
      <c r="B1287" s="5">
        <v>1280</v>
      </c>
      <c r="C1287">
        <v>9941</v>
      </c>
      <c r="D1287" t="s">
        <v>13199</v>
      </c>
      <c r="E1287" t="s">
        <v>13200</v>
      </c>
      <c r="F1287" t="s">
        <v>91</v>
      </c>
      <c r="G1287" t="s">
        <v>13201</v>
      </c>
      <c r="H1287">
        <v>21.58</v>
      </c>
      <c r="I1287">
        <v>0</v>
      </c>
      <c r="J1287">
        <v>0</v>
      </c>
      <c r="K1287">
        <v>20</v>
      </c>
      <c r="L1287">
        <v>7</v>
      </c>
      <c r="O1287">
        <v>7</v>
      </c>
      <c r="P1287">
        <v>4</v>
      </c>
      <c r="Q1287">
        <v>2</v>
      </c>
      <c r="R1287">
        <v>54.58</v>
      </c>
      <c r="S1287">
        <v>14</v>
      </c>
      <c r="T1287">
        <v>14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14</v>
      </c>
      <c r="AB1287">
        <v>0</v>
      </c>
      <c r="AC1287">
        <v>0</v>
      </c>
      <c r="AH1287">
        <v>68.58</v>
      </c>
    </row>
    <row r="1288" spans="1:34" x14ac:dyDescent="0.3">
      <c r="A1288" s="4">
        <v>1500</v>
      </c>
      <c r="B1288" s="5">
        <v>1281</v>
      </c>
      <c r="C1288">
        <v>15242</v>
      </c>
      <c r="D1288" t="s">
        <v>13202</v>
      </c>
      <c r="E1288" t="s">
        <v>22</v>
      </c>
      <c r="F1288" t="s">
        <v>136</v>
      </c>
      <c r="G1288" t="s">
        <v>13203</v>
      </c>
      <c r="H1288">
        <v>22.53</v>
      </c>
      <c r="I1288">
        <v>7</v>
      </c>
      <c r="J1288">
        <v>0</v>
      </c>
      <c r="K1288">
        <v>20</v>
      </c>
      <c r="L1288">
        <v>7</v>
      </c>
      <c r="O1288">
        <v>7</v>
      </c>
      <c r="P1288">
        <v>4</v>
      </c>
      <c r="Q1288">
        <v>2</v>
      </c>
      <c r="R1288">
        <v>62.53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6</v>
      </c>
      <c r="AC1288">
        <v>0</v>
      </c>
      <c r="AH1288">
        <v>68.53</v>
      </c>
    </row>
    <row r="1289" spans="1:34" x14ac:dyDescent="0.3">
      <c r="A1289" s="4">
        <v>1501</v>
      </c>
      <c r="B1289" s="5">
        <v>1282</v>
      </c>
      <c r="C1289">
        <v>3503</v>
      </c>
      <c r="D1289" t="s">
        <v>13204</v>
      </c>
      <c r="E1289" t="s">
        <v>390</v>
      </c>
      <c r="F1289" t="s">
        <v>30</v>
      </c>
      <c r="G1289" t="s">
        <v>13205</v>
      </c>
      <c r="H1289">
        <v>16.53</v>
      </c>
      <c r="I1289">
        <v>0</v>
      </c>
      <c r="J1289">
        <v>0</v>
      </c>
      <c r="K1289">
        <v>20</v>
      </c>
      <c r="L1289">
        <v>7</v>
      </c>
      <c r="O1289">
        <v>7</v>
      </c>
      <c r="P1289">
        <v>4</v>
      </c>
      <c r="Q1289">
        <v>2</v>
      </c>
      <c r="R1289">
        <v>49.53</v>
      </c>
      <c r="S1289">
        <v>13</v>
      </c>
      <c r="T1289">
        <v>13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13</v>
      </c>
      <c r="AB1289">
        <v>6</v>
      </c>
      <c r="AC1289">
        <v>0</v>
      </c>
      <c r="AH1289">
        <v>68.53</v>
      </c>
    </row>
    <row r="1290" spans="1:34" x14ac:dyDescent="0.3">
      <c r="A1290" s="4">
        <v>1502</v>
      </c>
      <c r="B1290" s="5">
        <v>1283</v>
      </c>
      <c r="C1290">
        <v>487</v>
      </c>
      <c r="D1290" t="s">
        <v>13206</v>
      </c>
      <c r="E1290" t="s">
        <v>3948</v>
      </c>
      <c r="F1290" t="s">
        <v>328</v>
      </c>
      <c r="G1290" t="s">
        <v>13207</v>
      </c>
      <c r="H1290">
        <v>18.45</v>
      </c>
      <c r="I1290">
        <v>0</v>
      </c>
      <c r="J1290">
        <v>0</v>
      </c>
      <c r="K1290">
        <v>20</v>
      </c>
      <c r="L1290">
        <v>7</v>
      </c>
      <c r="O1290">
        <v>7</v>
      </c>
      <c r="P1290">
        <v>4</v>
      </c>
      <c r="Q1290">
        <v>2</v>
      </c>
      <c r="R1290">
        <v>51.45</v>
      </c>
      <c r="S1290">
        <v>17</v>
      </c>
      <c r="T1290">
        <v>17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17</v>
      </c>
      <c r="AB1290">
        <v>0</v>
      </c>
      <c r="AC1290">
        <v>0</v>
      </c>
      <c r="AH1290">
        <v>68.45</v>
      </c>
    </row>
    <row r="1291" spans="1:34" x14ac:dyDescent="0.3">
      <c r="A1291" s="4">
        <v>1503</v>
      </c>
      <c r="B1291" s="5">
        <v>1284</v>
      </c>
      <c r="C1291">
        <v>1389</v>
      </c>
      <c r="D1291" t="s">
        <v>5674</v>
      </c>
      <c r="E1291" t="s">
        <v>6121</v>
      </c>
      <c r="F1291" t="s">
        <v>117</v>
      </c>
      <c r="G1291" t="s">
        <v>13208</v>
      </c>
      <c r="H1291">
        <v>18.43</v>
      </c>
      <c r="I1291">
        <v>0</v>
      </c>
      <c r="J1291">
        <v>0</v>
      </c>
      <c r="K1291">
        <v>20</v>
      </c>
      <c r="L1291">
        <v>7</v>
      </c>
      <c r="O1291">
        <v>7</v>
      </c>
      <c r="P1291">
        <v>4</v>
      </c>
      <c r="Q1291">
        <v>2</v>
      </c>
      <c r="R1291">
        <v>51.43</v>
      </c>
      <c r="S1291">
        <v>11</v>
      </c>
      <c r="T1291">
        <v>11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11</v>
      </c>
      <c r="AB1291">
        <v>6</v>
      </c>
      <c r="AC1291">
        <v>0</v>
      </c>
      <c r="AH1291">
        <v>68.430000000000007</v>
      </c>
    </row>
    <row r="1292" spans="1:34" x14ac:dyDescent="0.3">
      <c r="A1292" s="4">
        <v>1504</v>
      </c>
      <c r="B1292" s="5">
        <v>1285</v>
      </c>
      <c r="C1292">
        <v>13342</v>
      </c>
      <c r="D1292" t="s">
        <v>1145</v>
      </c>
      <c r="E1292" t="s">
        <v>182</v>
      </c>
      <c r="F1292" t="s">
        <v>782</v>
      </c>
      <c r="G1292" t="s">
        <v>13209</v>
      </c>
      <c r="H1292">
        <v>21.4</v>
      </c>
      <c r="I1292">
        <v>0</v>
      </c>
      <c r="J1292">
        <v>0</v>
      </c>
      <c r="K1292">
        <v>20</v>
      </c>
      <c r="L1292">
        <v>7</v>
      </c>
      <c r="O1292">
        <v>7</v>
      </c>
      <c r="P1292">
        <v>4</v>
      </c>
      <c r="Q1292">
        <v>2</v>
      </c>
      <c r="R1292">
        <v>54.4</v>
      </c>
      <c r="S1292">
        <v>14</v>
      </c>
      <c r="T1292">
        <v>14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14</v>
      </c>
      <c r="AB1292">
        <v>0</v>
      </c>
      <c r="AC1292">
        <v>0</v>
      </c>
      <c r="AH1292">
        <v>68.400000000000006</v>
      </c>
    </row>
    <row r="1293" spans="1:34" x14ac:dyDescent="0.3">
      <c r="A1293" s="4">
        <v>1505</v>
      </c>
      <c r="B1293" s="5">
        <v>1286</v>
      </c>
      <c r="C1293">
        <v>6755</v>
      </c>
      <c r="D1293" t="s">
        <v>13210</v>
      </c>
      <c r="E1293" t="s">
        <v>17</v>
      </c>
      <c r="F1293" t="s">
        <v>34</v>
      </c>
      <c r="G1293" t="s">
        <v>13211</v>
      </c>
      <c r="H1293">
        <v>17.38</v>
      </c>
      <c r="I1293">
        <v>0</v>
      </c>
      <c r="J1293">
        <v>0</v>
      </c>
      <c r="K1293">
        <v>20</v>
      </c>
      <c r="L1293">
        <v>7</v>
      </c>
      <c r="O1293">
        <v>7</v>
      </c>
      <c r="P1293">
        <v>4</v>
      </c>
      <c r="Q1293">
        <v>2</v>
      </c>
      <c r="R1293">
        <v>50.38</v>
      </c>
      <c r="S1293">
        <v>18</v>
      </c>
      <c r="T1293">
        <v>18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18</v>
      </c>
      <c r="AB1293">
        <v>0</v>
      </c>
      <c r="AC1293">
        <v>0</v>
      </c>
      <c r="AH1293">
        <v>68.38</v>
      </c>
    </row>
    <row r="1294" spans="1:34" x14ac:dyDescent="0.3">
      <c r="A1294" s="4">
        <v>1506</v>
      </c>
      <c r="B1294" s="5">
        <v>1287</v>
      </c>
      <c r="C1294">
        <v>1104</v>
      </c>
      <c r="D1294" t="s">
        <v>169</v>
      </c>
      <c r="E1294" t="s">
        <v>97</v>
      </c>
      <c r="F1294" t="s">
        <v>81</v>
      </c>
      <c r="G1294" t="s">
        <v>13212</v>
      </c>
      <c r="H1294">
        <v>20.3</v>
      </c>
      <c r="I1294">
        <v>0</v>
      </c>
      <c r="J1294">
        <v>0</v>
      </c>
      <c r="K1294">
        <v>20</v>
      </c>
      <c r="L1294">
        <v>7</v>
      </c>
      <c r="O1294">
        <v>7</v>
      </c>
      <c r="P1294">
        <v>4</v>
      </c>
      <c r="Q1294">
        <v>2</v>
      </c>
      <c r="R1294">
        <v>53.3</v>
      </c>
      <c r="S1294">
        <v>15</v>
      </c>
      <c r="T1294">
        <v>15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15</v>
      </c>
      <c r="AB1294">
        <v>0</v>
      </c>
      <c r="AC1294">
        <v>0</v>
      </c>
      <c r="AH1294">
        <v>68.3</v>
      </c>
    </row>
    <row r="1295" spans="1:34" x14ac:dyDescent="0.3">
      <c r="A1295" s="4">
        <v>1507</v>
      </c>
      <c r="B1295" s="5">
        <v>1288</v>
      </c>
      <c r="C1295">
        <v>9135</v>
      </c>
      <c r="D1295" t="s">
        <v>181</v>
      </c>
      <c r="E1295" t="s">
        <v>22</v>
      </c>
      <c r="F1295" t="s">
        <v>17</v>
      </c>
      <c r="G1295" t="s">
        <v>13213</v>
      </c>
      <c r="H1295">
        <v>19.25</v>
      </c>
      <c r="I1295">
        <v>0</v>
      </c>
      <c r="J1295">
        <v>0</v>
      </c>
      <c r="K1295">
        <v>20</v>
      </c>
      <c r="N1295">
        <v>3</v>
      </c>
      <c r="O1295">
        <v>3</v>
      </c>
      <c r="P1295">
        <v>0</v>
      </c>
      <c r="Q1295">
        <v>2</v>
      </c>
      <c r="R1295">
        <v>44.25</v>
      </c>
      <c r="S1295">
        <v>24</v>
      </c>
      <c r="T1295">
        <v>24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24</v>
      </c>
      <c r="AB1295">
        <v>0</v>
      </c>
      <c r="AC1295">
        <v>0</v>
      </c>
      <c r="AH1295">
        <v>68.25</v>
      </c>
    </row>
    <row r="1296" spans="1:34" x14ac:dyDescent="0.3">
      <c r="A1296" s="4">
        <v>1508</v>
      </c>
      <c r="B1296" s="5">
        <v>1289</v>
      </c>
      <c r="C1296">
        <v>7499</v>
      </c>
      <c r="D1296" t="s">
        <v>13214</v>
      </c>
      <c r="E1296" t="s">
        <v>97</v>
      </c>
      <c r="F1296" t="s">
        <v>38</v>
      </c>
      <c r="G1296" t="s">
        <v>13215</v>
      </c>
      <c r="H1296">
        <v>21.18</v>
      </c>
      <c r="I1296">
        <v>0</v>
      </c>
      <c r="J1296">
        <v>0</v>
      </c>
      <c r="K1296">
        <v>28</v>
      </c>
      <c r="L1296">
        <v>7</v>
      </c>
      <c r="N1296">
        <v>3</v>
      </c>
      <c r="O1296">
        <v>10</v>
      </c>
      <c r="P1296">
        <v>4</v>
      </c>
      <c r="Q1296">
        <v>2</v>
      </c>
      <c r="R1296">
        <v>65.180000000000007</v>
      </c>
      <c r="S1296">
        <v>3</v>
      </c>
      <c r="T1296">
        <v>3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3</v>
      </c>
      <c r="AB1296">
        <v>0</v>
      </c>
      <c r="AC1296">
        <v>0</v>
      </c>
      <c r="AH1296">
        <v>68.180000000000007</v>
      </c>
    </row>
    <row r="1297" spans="1:34" x14ac:dyDescent="0.3">
      <c r="A1297" s="4">
        <v>1509</v>
      </c>
      <c r="B1297" s="5">
        <v>1290</v>
      </c>
      <c r="C1297">
        <v>1901</v>
      </c>
      <c r="D1297" t="s">
        <v>13216</v>
      </c>
      <c r="E1297" t="s">
        <v>8185</v>
      </c>
      <c r="F1297" t="s">
        <v>488</v>
      </c>
      <c r="G1297" t="s">
        <v>13217</v>
      </c>
      <c r="H1297">
        <v>18.18</v>
      </c>
      <c r="I1297">
        <v>0</v>
      </c>
      <c r="J1297">
        <v>0</v>
      </c>
      <c r="K1297">
        <v>20</v>
      </c>
      <c r="L1297">
        <v>7</v>
      </c>
      <c r="M1297">
        <v>5</v>
      </c>
      <c r="O1297">
        <v>12</v>
      </c>
      <c r="P1297">
        <v>4</v>
      </c>
      <c r="Q1297">
        <v>0</v>
      </c>
      <c r="R1297">
        <v>54.18</v>
      </c>
      <c r="S1297">
        <v>14</v>
      </c>
      <c r="T1297">
        <v>14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14</v>
      </c>
      <c r="AB1297">
        <v>0</v>
      </c>
      <c r="AC1297">
        <v>0</v>
      </c>
      <c r="AH1297">
        <v>68.180000000000007</v>
      </c>
    </row>
    <row r="1298" spans="1:34" x14ac:dyDescent="0.3">
      <c r="A1298" s="4">
        <v>1510</v>
      </c>
      <c r="B1298" s="5">
        <v>1291</v>
      </c>
      <c r="C1298">
        <v>1961</v>
      </c>
      <c r="D1298" t="s">
        <v>6054</v>
      </c>
      <c r="E1298" t="s">
        <v>1140</v>
      </c>
      <c r="F1298" t="s">
        <v>91</v>
      </c>
      <c r="G1298" t="s">
        <v>13218</v>
      </c>
      <c r="H1298">
        <v>19.13</v>
      </c>
      <c r="I1298">
        <v>0</v>
      </c>
      <c r="J1298">
        <v>0</v>
      </c>
      <c r="K1298">
        <v>20</v>
      </c>
      <c r="L1298">
        <v>7</v>
      </c>
      <c r="N1298">
        <v>3</v>
      </c>
      <c r="O1298">
        <v>10</v>
      </c>
      <c r="P1298">
        <v>4</v>
      </c>
      <c r="Q1298">
        <v>2</v>
      </c>
      <c r="R1298">
        <v>55.13</v>
      </c>
      <c r="S1298">
        <v>13</v>
      </c>
      <c r="T1298">
        <v>13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13</v>
      </c>
      <c r="AB1298">
        <v>0</v>
      </c>
      <c r="AC1298">
        <v>0</v>
      </c>
      <c r="AH1298">
        <v>68.13</v>
      </c>
    </row>
    <row r="1299" spans="1:34" x14ac:dyDescent="0.3">
      <c r="A1299" s="4">
        <v>1511</v>
      </c>
      <c r="B1299" s="5">
        <v>1292</v>
      </c>
      <c r="C1299">
        <v>598</v>
      </c>
      <c r="D1299" t="s">
        <v>1133</v>
      </c>
      <c r="E1299" t="s">
        <v>166</v>
      </c>
      <c r="F1299" t="s">
        <v>17</v>
      </c>
      <c r="G1299" t="s">
        <v>13219</v>
      </c>
      <c r="H1299">
        <v>17.13</v>
      </c>
      <c r="I1299">
        <v>0</v>
      </c>
      <c r="J1299">
        <v>0</v>
      </c>
      <c r="K1299">
        <v>0</v>
      </c>
      <c r="L1299">
        <v>7</v>
      </c>
      <c r="N1299">
        <v>3</v>
      </c>
      <c r="O1299">
        <v>10</v>
      </c>
      <c r="P1299">
        <v>4</v>
      </c>
      <c r="Q1299">
        <v>2</v>
      </c>
      <c r="R1299">
        <v>33.130000000000003</v>
      </c>
      <c r="S1299">
        <v>35</v>
      </c>
      <c r="T1299">
        <v>35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35</v>
      </c>
      <c r="AB1299">
        <v>0</v>
      </c>
      <c r="AC1299">
        <v>0</v>
      </c>
      <c r="AH1299">
        <v>68.13</v>
      </c>
    </row>
    <row r="1300" spans="1:34" x14ac:dyDescent="0.3">
      <c r="A1300" s="4">
        <v>1512</v>
      </c>
      <c r="B1300" s="5">
        <v>1293</v>
      </c>
      <c r="C1300">
        <v>9086</v>
      </c>
      <c r="D1300" t="s">
        <v>190</v>
      </c>
      <c r="E1300" t="s">
        <v>338</v>
      </c>
      <c r="F1300" t="s">
        <v>38</v>
      </c>
      <c r="G1300" t="s">
        <v>13220</v>
      </c>
      <c r="H1300">
        <v>21.08</v>
      </c>
      <c r="I1300">
        <v>0</v>
      </c>
      <c r="J1300">
        <v>0</v>
      </c>
      <c r="K1300">
        <v>20</v>
      </c>
      <c r="L1300">
        <v>7</v>
      </c>
      <c r="O1300">
        <v>7</v>
      </c>
      <c r="P1300">
        <v>4</v>
      </c>
      <c r="Q1300">
        <v>2</v>
      </c>
      <c r="R1300">
        <v>54.08</v>
      </c>
      <c r="S1300">
        <v>14</v>
      </c>
      <c r="T1300">
        <v>14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14</v>
      </c>
      <c r="AB1300">
        <v>0</v>
      </c>
      <c r="AC1300">
        <v>0</v>
      </c>
      <c r="AH1300">
        <v>68.08</v>
      </c>
    </row>
    <row r="1301" spans="1:34" x14ac:dyDescent="0.3">
      <c r="A1301" s="4">
        <v>1513</v>
      </c>
      <c r="B1301" s="5">
        <v>1294</v>
      </c>
      <c r="C1301">
        <v>3320</v>
      </c>
      <c r="D1301" t="s">
        <v>13221</v>
      </c>
      <c r="E1301" t="s">
        <v>1953</v>
      </c>
      <c r="F1301" t="s">
        <v>38</v>
      </c>
      <c r="G1301" t="s">
        <v>13222</v>
      </c>
      <c r="H1301">
        <v>17</v>
      </c>
      <c r="I1301">
        <v>0</v>
      </c>
      <c r="J1301">
        <v>0</v>
      </c>
      <c r="K1301">
        <v>0</v>
      </c>
      <c r="L1301">
        <v>7</v>
      </c>
      <c r="O1301">
        <v>7</v>
      </c>
      <c r="P1301">
        <v>4</v>
      </c>
      <c r="Q1301">
        <v>2</v>
      </c>
      <c r="R1301">
        <v>30</v>
      </c>
      <c r="S1301">
        <v>32</v>
      </c>
      <c r="T1301">
        <v>32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32</v>
      </c>
      <c r="AB1301">
        <v>6</v>
      </c>
      <c r="AC1301">
        <v>0</v>
      </c>
      <c r="AH1301">
        <v>68</v>
      </c>
    </row>
    <row r="1302" spans="1:34" x14ac:dyDescent="0.3">
      <c r="A1302" s="4">
        <v>1514</v>
      </c>
      <c r="B1302" s="5">
        <v>1295</v>
      </c>
      <c r="C1302">
        <v>13327</v>
      </c>
      <c r="D1302" t="s">
        <v>13223</v>
      </c>
      <c r="E1302" t="s">
        <v>208</v>
      </c>
      <c r="F1302" t="s">
        <v>81</v>
      </c>
      <c r="G1302" t="s">
        <v>13224</v>
      </c>
      <c r="H1302">
        <v>19.98</v>
      </c>
      <c r="I1302">
        <v>0</v>
      </c>
      <c r="J1302">
        <v>0</v>
      </c>
      <c r="K1302">
        <v>0</v>
      </c>
      <c r="M1302">
        <v>5</v>
      </c>
      <c r="O1302">
        <v>5</v>
      </c>
      <c r="P1302">
        <v>4</v>
      </c>
      <c r="Q1302">
        <v>2</v>
      </c>
      <c r="R1302">
        <v>30.98</v>
      </c>
      <c r="S1302">
        <v>37</v>
      </c>
      <c r="T1302">
        <v>37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37</v>
      </c>
      <c r="AB1302">
        <v>0</v>
      </c>
      <c r="AC1302">
        <v>0</v>
      </c>
      <c r="AH1302">
        <v>67.98</v>
      </c>
    </row>
    <row r="1303" spans="1:34" x14ac:dyDescent="0.3">
      <c r="A1303" s="4">
        <v>1515</v>
      </c>
      <c r="B1303" s="5">
        <v>1296</v>
      </c>
      <c r="C1303">
        <v>516</v>
      </c>
      <c r="D1303" t="s">
        <v>13225</v>
      </c>
      <c r="E1303" t="s">
        <v>406</v>
      </c>
      <c r="F1303" t="s">
        <v>17</v>
      </c>
      <c r="G1303" t="s">
        <v>13226</v>
      </c>
      <c r="H1303">
        <v>17.93</v>
      </c>
      <c r="I1303">
        <v>0</v>
      </c>
      <c r="J1303">
        <v>0</v>
      </c>
      <c r="K1303">
        <v>20</v>
      </c>
      <c r="L1303">
        <v>7</v>
      </c>
      <c r="N1303">
        <v>3</v>
      </c>
      <c r="O1303">
        <v>10</v>
      </c>
      <c r="P1303">
        <v>4</v>
      </c>
      <c r="Q1303">
        <v>2</v>
      </c>
      <c r="R1303">
        <v>53.93</v>
      </c>
      <c r="S1303">
        <v>14</v>
      </c>
      <c r="T1303">
        <v>14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14</v>
      </c>
      <c r="AB1303">
        <v>0</v>
      </c>
      <c r="AC1303">
        <v>0</v>
      </c>
      <c r="AH1303">
        <v>67.930000000000007</v>
      </c>
    </row>
    <row r="1304" spans="1:34" x14ac:dyDescent="0.3">
      <c r="A1304" s="4">
        <v>1516</v>
      </c>
      <c r="B1304" s="5">
        <v>1297</v>
      </c>
      <c r="C1304">
        <v>4906</v>
      </c>
      <c r="D1304" t="s">
        <v>1661</v>
      </c>
      <c r="E1304" t="s">
        <v>13227</v>
      </c>
      <c r="F1304" t="s">
        <v>13228</v>
      </c>
      <c r="G1304" t="s">
        <v>13229</v>
      </c>
      <c r="H1304">
        <v>19.93</v>
      </c>
      <c r="I1304">
        <v>0</v>
      </c>
      <c r="J1304">
        <v>0</v>
      </c>
      <c r="K1304">
        <v>20</v>
      </c>
      <c r="L1304">
        <v>7</v>
      </c>
      <c r="O1304">
        <v>7</v>
      </c>
      <c r="P1304">
        <v>4</v>
      </c>
      <c r="Q1304">
        <v>2</v>
      </c>
      <c r="R1304">
        <v>52.93</v>
      </c>
      <c r="S1304">
        <v>15</v>
      </c>
      <c r="T1304">
        <v>15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15</v>
      </c>
      <c r="AB1304">
        <v>0</v>
      </c>
      <c r="AC1304">
        <v>0</v>
      </c>
      <c r="AH1304">
        <v>67.930000000000007</v>
      </c>
    </row>
    <row r="1305" spans="1:34" x14ac:dyDescent="0.3">
      <c r="A1305" s="4">
        <v>1517</v>
      </c>
      <c r="B1305" s="5">
        <v>1298</v>
      </c>
      <c r="C1305">
        <v>329</v>
      </c>
      <c r="D1305" t="s">
        <v>13230</v>
      </c>
      <c r="E1305" t="s">
        <v>41</v>
      </c>
      <c r="F1305" t="s">
        <v>81</v>
      </c>
      <c r="G1305" t="s">
        <v>13231</v>
      </c>
      <c r="H1305">
        <v>17.899999999999999</v>
      </c>
      <c r="I1305">
        <v>0</v>
      </c>
      <c r="J1305">
        <v>0</v>
      </c>
      <c r="K1305">
        <v>20</v>
      </c>
      <c r="L1305">
        <v>7</v>
      </c>
      <c r="O1305">
        <v>7</v>
      </c>
      <c r="P1305">
        <v>4</v>
      </c>
      <c r="Q1305">
        <v>2</v>
      </c>
      <c r="R1305">
        <v>50.9</v>
      </c>
      <c r="S1305">
        <v>17</v>
      </c>
      <c r="T1305">
        <v>17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17</v>
      </c>
      <c r="AB1305">
        <v>0</v>
      </c>
      <c r="AC1305">
        <v>0</v>
      </c>
      <c r="AH1305">
        <v>67.900000000000006</v>
      </c>
    </row>
    <row r="1306" spans="1:34" x14ac:dyDescent="0.3">
      <c r="A1306" s="4">
        <v>1518</v>
      </c>
      <c r="B1306" s="5">
        <v>1299</v>
      </c>
      <c r="C1306">
        <v>1010</v>
      </c>
      <c r="D1306" t="s">
        <v>3889</v>
      </c>
      <c r="E1306" t="s">
        <v>33</v>
      </c>
      <c r="F1306" t="s">
        <v>117</v>
      </c>
      <c r="G1306" t="s">
        <v>13232</v>
      </c>
      <c r="H1306">
        <v>21.63</v>
      </c>
      <c r="I1306">
        <v>0</v>
      </c>
      <c r="J1306">
        <v>0</v>
      </c>
      <c r="K1306">
        <v>20</v>
      </c>
      <c r="M1306">
        <v>5</v>
      </c>
      <c r="O1306">
        <v>5</v>
      </c>
      <c r="P1306">
        <v>4</v>
      </c>
      <c r="Q1306">
        <v>0</v>
      </c>
      <c r="R1306">
        <v>50.63</v>
      </c>
      <c r="S1306">
        <v>14</v>
      </c>
      <c r="T1306">
        <v>14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14</v>
      </c>
      <c r="AB1306">
        <v>3</v>
      </c>
      <c r="AC1306">
        <v>0</v>
      </c>
      <c r="AH1306">
        <v>67.63</v>
      </c>
    </row>
    <row r="1307" spans="1:34" x14ac:dyDescent="0.3">
      <c r="A1307" s="4">
        <v>1519</v>
      </c>
      <c r="B1307" s="5">
        <v>1300</v>
      </c>
      <c r="C1307">
        <v>10765</v>
      </c>
      <c r="D1307" t="s">
        <v>13233</v>
      </c>
      <c r="E1307" t="s">
        <v>29</v>
      </c>
      <c r="F1307" t="s">
        <v>3642</v>
      </c>
      <c r="G1307" t="s">
        <v>13234</v>
      </c>
      <c r="H1307">
        <v>18.579999999999998</v>
      </c>
      <c r="I1307">
        <v>0</v>
      </c>
      <c r="J1307">
        <v>0</v>
      </c>
      <c r="K1307">
        <v>20</v>
      </c>
      <c r="L1307">
        <v>7</v>
      </c>
      <c r="O1307">
        <v>7</v>
      </c>
      <c r="P1307">
        <v>4</v>
      </c>
      <c r="Q1307">
        <v>2</v>
      </c>
      <c r="R1307">
        <v>51.58</v>
      </c>
      <c r="S1307">
        <v>13</v>
      </c>
      <c r="T1307">
        <v>13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13</v>
      </c>
      <c r="AB1307">
        <v>3</v>
      </c>
      <c r="AC1307">
        <v>0</v>
      </c>
      <c r="AH1307">
        <v>67.58</v>
      </c>
    </row>
    <row r="1308" spans="1:34" x14ac:dyDescent="0.3">
      <c r="A1308" s="4">
        <v>1520</v>
      </c>
      <c r="B1308" s="5">
        <v>1301</v>
      </c>
      <c r="C1308">
        <v>10917</v>
      </c>
      <c r="D1308" t="s">
        <v>5483</v>
      </c>
      <c r="E1308" t="s">
        <v>166</v>
      </c>
      <c r="F1308" t="s">
        <v>68</v>
      </c>
      <c r="G1308" t="s">
        <v>13235</v>
      </c>
      <c r="H1308">
        <v>20.53</v>
      </c>
      <c r="I1308">
        <v>0</v>
      </c>
      <c r="J1308">
        <v>0</v>
      </c>
      <c r="K1308">
        <v>20</v>
      </c>
      <c r="L1308">
        <v>7</v>
      </c>
      <c r="O1308">
        <v>7</v>
      </c>
      <c r="P1308">
        <v>4</v>
      </c>
      <c r="Q1308">
        <v>2</v>
      </c>
      <c r="R1308">
        <v>53.53</v>
      </c>
      <c r="S1308">
        <v>11</v>
      </c>
      <c r="T1308">
        <v>11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11</v>
      </c>
      <c r="AB1308">
        <v>3</v>
      </c>
      <c r="AC1308">
        <v>0</v>
      </c>
      <c r="AH1308">
        <v>67.53</v>
      </c>
    </row>
    <row r="1309" spans="1:34" x14ac:dyDescent="0.3">
      <c r="A1309" s="4">
        <v>1521</v>
      </c>
      <c r="B1309" s="5">
        <v>1302</v>
      </c>
      <c r="C1309">
        <v>11193</v>
      </c>
      <c r="D1309" t="s">
        <v>10890</v>
      </c>
      <c r="E1309" t="s">
        <v>178</v>
      </c>
      <c r="F1309" t="s">
        <v>587</v>
      </c>
      <c r="G1309" t="s">
        <v>13236</v>
      </c>
      <c r="H1309">
        <v>19.48</v>
      </c>
      <c r="I1309">
        <v>0</v>
      </c>
      <c r="J1309">
        <v>0</v>
      </c>
      <c r="K1309">
        <v>20</v>
      </c>
      <c r="L1309">
        <v>7</v>
      </c>
      <c r="O1309">
        <v>7</v>
      </c>
      <c r="P1309">
        <v>4</v>
      </c>
      <c r="Q1309">
        <v>2</v>
      </c>
      <c r="R1309">
        <v>52.48</v>
      </c>
      <c r="S1309">
        <v>15</v>
      </c>
      <c r="T1309">
        <v>15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15</v>
      </c>
      <c r="AB1309">
        <v>0</v>
      </c>
      <c r="AC1309">
        <v>0</v>
      </c>
      <c r="AH1309">
        <v>67.48</v>
      </c>
    </row>
    <row r="1310" spans="1:34" x14ac:dyDescent="0.3">
      <c r="A1310" s="4">
        <v>1522</v>
      </c>
      <c r="B1310" s="5">
        <v>1303</v>
      </c>
      <c r="C1310">
        <v>10512</v>
      </c>
      <c r="D1310" t="s">
        <v>2064</v>
      </c>
      <c r="E1310" t="s">
        <v>41</v>
      </c>
      <c r="F1310" t="s">
        <v>55</v>
      </c>
      <c r="G1310" t="s">
        <v>13237</v>
      </c>
      <c r="H1310">
        <v>19.48</v>
      </c>
      <c r="I1310">
        <v>0</v>
      </c>
      <c r="J1310">
        <v>0</v>
      </c>
      <c r="K1310">
        <v>20</v>
      </c>
      <c r="L1310">
        <v>7</v>
      </c>
      <c r="O1310">
        <v>7</v>
      </c>
      <c r="P1310">
        <v>4</v>
      </c>
      <c r="Q1310">
        <v>2</v>
      </c>
      <c r="R1310">
        <v>52.48</v>
      </c>
      <c r="S1310">
        <v>15</v>
      </c>
      <c r="T1310">
        <v>15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15</v>
      </c>
      <c r="AB1310">
        <v>0</v>
      </c>
      <c r="AC1310">
        <v>0</v>
      </c>
      <c r="AH1310">
        <v>67.48</v>
      </c>
    </row>
    <row r="1311" spans="1:34" x14ac:dyDescent="0.3">
      <c r="A1311" s="4">
        <v>1523</v>
      </c>
      <c r="B1311" s="5">
        <v>1304</v>
      </c>
      <c r="C1311">
        <v>10634</v>
      </c>
      <c r="D1311" t="s">
        <v>13238</v>
      </c>
      <c r="E1311" t="s">
        <v>29</v>
      </c>
      <c r="F1311" t="s">
        <v>17</v>
      </c>
      <c r="G1311" t="s">
        <v>13239</v>
      </c>
      <c r="H1311">
        <v>17.45</v>
      </c>
      <c r="I1311">
        <v>0</v>
      </c>
      <c r="J1311">
        <v>0</v>
      </c>
      <c r="K1311">
        <v>20</v>
      </c>
      <c r="L1311">
        <v>7</v>
      </c>
      <c r="O1311">
        <v>7</v>
      </c>
      <c r="P1311">
        <v>4</v>
      </c>
      <c r="Q1311">
        <v>2</v>
      </c>
      <c r="R1311">
        <v>50.45</v>
      </c>
      <c r="S1311">
        <v>17</v>
      </c>
      <c r="T1311">
        <v>17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17</v>
      </c>
      <c r="AB1311">
        <v>0</v>
      </c>
      <c r="AC1311">
        <v>0</v>
      </c>
      <c r="AH1311">
        <v>67.45</v>
      </c>
    </row>
    <row r="1312" spans="1:34" x14ac:dyDescent="0.3">
      <c r="A1312" s="4">
        <v>1524</v>
      </c>
      <c r="B1312" s="5">
        <v>1305</v>
      </c>
      <c r="C1312">
        <v>4312</v>
      </c>
      <c r="D1312" t="s">
        <v>13240</v>
      </c>
      <c r="E1312" t="s">
        <v>26</v>
      </c>
      <c r="F1312" t="s">
        <v>38</v>
      </c>
      <c r="G1312" t="s">
        <v>13241</v>
      </c>
      <c r="H1312">
        <v>16.43</v>
      </c>
      <c r="I1312">
        <v>0</v>
      </c>
      <c r="J1312">
        <v>0</v>
      </c>
      <c r="K1312">
        <v>20</v>
      </c>
      <c r="L1312">
        <v>7</v>
      </c>
      <c r="N1312">
        <v>3</v>
      </c>
      <c r="O1312">
        <v>10</v>
      </c>
      <c r="P1312">
        <v>4</v>
      </c>
      <c r="Q1312">
        <v>2</v>
      </c>
      <c r="R1312">
        <v>52.43</v>
      </c>
      <c r="S1312">
        <v>15</v>
      </c>
      <c r="T1312">
        <v>15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15</v>
      </c>
      <c r="AB1312">
        <v>0</v>
      </c>
      <c r="AC1312">
        <v>0</v>
      </c>
      <c r="AD1312" t="s">
        <v>130</v>
      </c>
      <c r="AH1312">
        <v>67.430000000000007</v>
      </c>
    </row>
    <row r="1313" spans="1:34" x14ac:dyDescent="0.3">
      <c r="A1313" s="4">
        <v>1525</v>
      </c>
      <c r="B1313" s="5">
        <v>1306</v>
      </c>
      <c r="C1313">
        <v>5616</v>
      </c>
      <c r="D1313" t="s">
        <v>357</v>
      </c>
      <c r="E1313" t="s">
        <v>37</v>
      </c>
      <c r="F1313" t="s">
        <v>136</v>
      </c>
      <c r="G1313" t="s">
        <v>13242</v>
      </c>
      <c r="H1313">
        <v>21.35</v>
      </c>
      <c r="I1313">
        <v>0</v>
      </c>
      <c r="J1313">
        <v>0</v>
      </c>
      <c r="K1313">
        <v>20</v>
      </c>
      <c r="L1313">
        <v>14</v>
      </c>
      <c r="O1313">
        <v>14</v>
      </c>
      <c r="P1313">
        <v>4</v>
      </c>
      <c r="Q1313">
        <v>2</v>
      </c>
      <c r="R1313">
        <v>61.35</v>
      </c>
      <c r="S1313">
        <v>6</v>
      </c>
      <c r="T1313">
        <v>6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6</v>
      </c>
      <c r="AB1313">
        <v>0</v>
      </c>
      <c r="AC1313">
        <v>0</v>
      </c>
      <c r="AH1313">
        <v>67.349999999999994</v>
      </c>
    </row>
    <row r="1314" spans="1:34" x14ac:dyDescent="0.3">
      <c r="A1314" s="4">
        <v>1526</v>
      </c>
      <c r="B1314" s="5">
        <v>1307</v>
      </c>
      <c r="C1314">
        <v>9553</v>
      </c>
      <c r="D1314" t="s">
        <v>4872</v>
      </c>
      <c r="E1314" t="s">
        <v>13243</v>
      </c>
      <c r="F1314" t="s">
        <v>117</v>
      </c>
      <c r="G1314" t="s">
        <v>13244</v>
      </c>
      <c r="H1314">
        <v>20.350000000000001</v>
      </c>
      <c r="I1314">
        <v>0</v>
      </c>
      <c r="J1314">
        <v>0</v>
      </c>
      <c r="K1314">
        <v>20</v>
      </c>
      <c r="L1314">
        <v>7</v>
      </c>
      <c r="M1314">
        <v>5</v>
      </c>
      <c r="O1314">
        <v>12</v>
      </c>
      <c r="P1314">
        <v>4</v>
      </c>
      <c r="Q1314">
        <v>0</v>
      </c>
      <c r="R1314">
        <v>56.35</v>
      </c>
      <c r="S1314">
        <v>11</v>
      </c>
      <c r="T1314">
        <v>11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11</v>
      </c>
      <c r="AB1314">
        <v>0</v>
      </c>
      <c r="AC1314">
        <v>0</v>
      </c>
      <c r="AH1314">
        <v>67.349999999999994</v>
      </c>
    </row>
    <row r="1315" spans="1:34" x14ac:dyDescent="0.3">
      <c r="A1315" s="4">
        <v>1527</v>
      </c>
      <c r="B1315" s="5">
        <v>1308</v>
      </c>
      <c r="C1315">
        <v>6203</v>
      </c>
      <c r="D1315" t="s">
        <v>13245</v>
      </c>
      <c r="E1315" t="s">
        <v>33</v>
      </c>
      <c r="F1315" t="s">
        <v>13246</v>
      </c>
      <c r="G1315" t="s">
        <v>13247</v>
      </c>
      <c r="H1315">
        <v>22.33</v>
      </c>
      <c r="I1315">
        <v>0</v>
      </c>
      <c r="J1315">
        <v>0</v>
      </c>
      <c r="K1315">
        <v>0</v>
      </c>
      <c r="L1315">
        <v>7</v>
      </c>
      <c r="N1315">
        <v>3</v>
      </c>
      <c r="O1315">
        <v>10</v>
      </c>
      <c r="P1315">
        <v>4</v>
      </c>
      <c r="Q1315">
        <v>2</v>
      </c>
      <c r="R1315">
        <v>38.33</v>
      </c>
      <c r="S1315">
        <v>26</v>
      </c>
      <c r="T1315">
        <v>26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26</v>
      </c>
      <c r="AB1315">
        <v>3</v>
      </c>
      <c r="AC1315">
        <v>0</v>
      </c>
      <c r="AH1315">
        <v>67.33</v>
      </c>
    </row>
    <row r="1316" spans="1:34" x14ac:dyDescent="0.3">
      <c r="A1316" s="4">
        <v>1528</v>
      </c>
      <c r="B1316" s="5">
        <v>1309</v>
      </c>
      <c r="C1316">
        <v>9772</v>
      </c>
      <c r="D1316" t="s">
        <v>5613</v>
      </c>
      <c r="E1316" t="s">
        <v>268</v>
      </c>
      <c r="F1316" t="s">
        <v>136</v>
      </c>
      <c r="G1316" t="s">
        <v>13248</v>
      </c>
      <c r="H1316">
        <v>18.25</v>
      </c>
      <c r="I1316">
        <v>0</v>
      </c>
      <c r="J1316">
        <v>0</v>
      </c>
      <c r="K1316">
        <v>20</v>
      </c>
      <c r="L1316">
        <v>14</v>
      </c>
      <c r="O1316">
        <v>14</v>
      </c>
      <c r="P1316">
        <v>4</v>
      </c>
      <c r="Q1316">
        <v>0</v>
      </c>
      <c r="R1316">
        <v>56.25</v>
      </c>
      <c r="S1316">
        <v>11</v>
      </c>
      <c r="T1316">
        <v>11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11</v>
      </c>
      <c r="AB1316">
        <v>0</v>
      </c>
      <c r="AC1316">
        <v>0</v>
      </c>
      <c r="AH1316">
        <v>67.25</v>
      </c>
    </row>
    <row r="1317" spans="1:34" x14ac:dyDescent="0.3">
      <c r="A1317" s="4">
        <v>1529</v>
      </c>
      <c r="B1317" s="5">
        <v>1310</v>
      </c>
      <c r="C1317">
        <v>3389</v>
      </c>
      <c r="D1317" t="s">
        <v>13249</v>
      </c>
      <c r="E1317" t="s">
        <v>471</v>
      </c>
      <c r="F1317" t="s">
        <v>117</v>
      </c>
      <c r="G1317" t="s">
        <v>13250</v>
      </c>
      <c r="H1317">
        <v>18.079999999999998</v>
      </c>
      <c r="I1317">
        <v>0</v>
      </c>
      <c r="J1317">
        <v>0</v>
      </c>
      <c r="K1317">
        <v>20</v>
      </c>
      <c r="L1317">
        <v>7</v>
      </c>
      <c r="O1317">
        <v>7</v>
      </c>
      <c r="P1317">
        <v>4</v>
      </c>
      <c r="Q1317">
        <v>0</v>
      </c>
      <c r="R1317">
        <v>49.08</v>
      </c>
      <c r="S1317">
        <v>18</v>
      </c>
      <c r="T1317">
        <v>18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18</v>
      </c>
      <c r="AB1317">
        <v>0</v>
      </c>
      <c r="AC1317">
        <v>0</v>
      </c>
      <c r="AH1317">
        <v>67.08</v>
      </c>
    </row>
    <row r="1318" spans="1:34" x14ac:dyDescent="0.3">
      <c r="A1318" s="4">
        <v>1530</v>
      </c>
      <c r="B1318" s="5">
        <v>1311</v>
      </c>
      <c r="C1318">
        <v>3854</v>
      </c>
      <c r="D1318" t="s">
        <v>13251</v>
      </c>
      <c r="E1318" t="s">
        <v>13252</v>
      </c>
      <c r="F1318" t="s">
        <v>68</v>
      </c>
      <c r="G1318" t="s">
        <v>13253</v>
      </c>
      <c r="H1318">
        <v>19</v>
      </c>
      <c r="I1318">
        <v>0</v>
      </c>
      <c r="J1318">
        <v>0</v>
      </c>
      <c r="K1318">
        <v>20</v>
      </c>
      <c r="M1318">
        <v>5</v>
      </c>
      <c r="N1318">
        <v>3</v>
      </c>
      <c r="O1318">
        <v>8</v>
      </c>
      <c r="P1318">
        <v>4</v>
      </c>
      <c r="Q1318">
        <v>2</v>
      </c>
      <c r="R1318">
        <v>53</v>
      </c>
      <c r="S1318">
        <v>14</v>
      </c>
      <c r="T1318">
        <v>14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14</v>
      </c>
      <c r="AB1318">
        <v>0</v>
      </c>
      <c r="AC1318">
        <v>0</v>
      </c>
      <c r="AH1318">
        <v>67</v>
      </c>
    </row>
    <row r="1319" spans="1:34" x14ac:dyDescent="0.3">
      <c r="A1319" s="4">
        <v>1531</v>
      </c>
      <c r="B1319" s="5">
        <v>1312</v>
      </c>
      <c r="C1319">
        <v>11631</v>
      </c>
      <c r="D1319" t="s">
        <v>12404</v>
      </c>
      <c r="E1319" t="s">
        <v>13254</v>
      </c>
      <c r="F1319" t="s">
        <v>13255</v>
      </c>
      <c r="G1319" t="s">
        <v>13256</v>
      </c>
      <c r="H1319">
        <v>21</v>
      </c>
      <c r="I1319">
        <v>0</v>
      </c>
      <c r="J1319">
        <v>0</v>
      </c>
      <c r="K1319">
        <v>20</v>
      </c>
      <c r="L1319">
        <v>7</v>
      </c>
      <c r="O1319">
        <v>7</v>
      </c>
      <c r="P1319">
        <v>4</v>
      </c>
      <c r="Q1319">
        <v>0</v>
      </c>
      <c r="R1319">
        <v>52</v>
      </c>
      <c r="S1319">
        <v>15</v>
      </c>
      <c r="T1319">
        <v>15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15</v>
      </c>
      <c r="AB1319">
        <v>0</v>
      </c>
      <c r="AC1319">
        <v>0</v>
      </c>
      <c r="AH1319">
        <v>67</v>
      </c>
    </row>
    <row r="1320" spans="1:34" x14ac:dyDescent="0.3">
      <c r="A1320" s="4">
        <v>1532</v>
      </c>
      <c r="B1320" s="5">
        <v>1313</v>
      </c>
      <c r="C1320">
        <v>7096</v>
      </c>
      <c r="D1320" t="s">
        <v>13257</v>
      </c>
      <c r="E1320" t="s">
        <v>178</v>
      </c>
      <c r="F1320" t="s">
        <v>17</v>
      </c>
      <c r="G1320" t="s">
        <v>13258</v>
      </c>
      <c r="H1320">
        <v>19.8</v>
      </c>
      <c r="I1320">
        <v>0</v>
      </c>
      <c r="J1320">
        <v>0</v>
      </c>
      <c r="K1320">
        <v>20</v>
      </c>
      <c r="L1320">
        <v>7</v>
      </c>
      <c r="O1320">
        <v>7</v>
      </c>
      <c r="P1320">
        <v>4</v>
      </c>
      <c r="Q1320">
        <v>2</v>
      </c>
      <c r="R1320">
        <v>52.8</v>
      </c>
      <c r="S1320">
        <v>5</v>
      </c>
      <c r="T1320">
        <v>5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5</v>
      </c>
      <c r="AB1320">
        <v>9</v>
      </c>
      <c r="AC1320">
        <v>0</v>
      </c>
      <c r="AD1320" t="s">
        <v>130</v>
      </c>
      <c r="AH1320">
        <v>66.8</v>
      </c>
    </row>
    <row r="1321" spans="1:34" x14ac:dyDescent="0.3">
      <c r="A1321" s="4">
        <v>1533</v>
      </c>
      <c r="B1321" s="5">
        <v>1314</v>
      </c>
      <c r="C1321">
        <v>15349</v>
      </c>
      <c r="D1321" t="s">
        <v>13259</v>
      </c>
      <c r="E1321" t="s">
        <v>816</v>
      </c>
      <c r="F1321" t="s">
        <v>81</v>
      </c>
      <c r="G1321" t="s">
        <v>13260</v>
      </c>
      <c r="H1321">
        <v>17.75</v>
      </c>
      <c r="I1321">
        <v>0</v>
      </c>
      <c r="J1321">
        <v>0</v>
      </c>
      <c r="K1321">
        <v>20</v>
      </c>
      <c r="L1321">
        <v>7</v>
      </c>
      <c r="O1321">
        <v>7</v>
      </c>
      <c r="P1321">
        <v>4</v>
      </c>
      <c r="Q1321">
        <v>2</v>
      </c>
      <c r="R1321">
        <v>50.75</v>
      </c>
      <c r="S1321">
        <v>10</v>
      </c>
      <c r="T1321">
        <v>10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10</v>
      </c>
      <c r="AB1321">
        <v>6</v>
      </c>
      <c r="AC1321">
        <v>0</v>
      </c>
      <c r="AH1321">
        <v>66.75</v>
      </c>
    </row>
    <row r="1322" spans="1:34" x14ac:dyDescent="0.3">
      <c r="A1322" s="4">
        <v>1534</v>
      </c>
      <c r="B1322" s="5">
        <v>1315</v>
      </c>
      <c r="C1322">
        <v>12151</v>
      </c>
      <c r="D1322" t="s">
        <v>3159</v>
      </c>
      <c r="E1322" t="s">
        <v>825</v>
      </c>
      <c r="F1322" t="s">
        <v>34</v>
      </c>
      <c r="G1322" t="s">
        <v>13261</v>
      </c>
      <c r="H1322">
        <v>17.75</v>
      </c>
      <c r="I1322">
        <v>0</v>
      </c>
      <c r="J1322">
        <v>0</v>
      </c>
      <c r="K1322">
        <v>20</v>
      </c>
      <c r="L1322">
        <v>7</v>
      </c>
      <c r="O1322">
        <v>7</v>
      </c>
      <c r="P1322">
        <v>4</v>
      </c>
      <c r="Q1322">
        <v>2</v>
      </c>
      <c r="R1322">
        <v>50.75</v>
      </c>
      <c r="S1322">
        <v>16</v>
      </c>
      <c r="T1322">
        <v>16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16</v>
      </c>
      <c r="AB1322">
        <v>0</v>
      </c>
      <c r="AC1322">
        <v>0</v>
      </c>
      <c r="AH1322">
        <v>66.75</v>
      </c>
    </row>
    <row r="1323" spans="1:34" x14ac:dyDescent="0.3">
      <c r="A1323" s="4">
        <v>1535</v>
      </c>
      <c r="B1323" s="5">
        <v>1316</v>
      </c>
      <c r="C1323">
        <v>9451</v>
      </c>
      <c r="D1323" t="s">
        <v>13262</v>
      </c>
      <c r="E1323" t="s">
        <v>454</v>
      </c>
      <c r="F1323" t="s">
        <v>457</v>
      </c>
      <c r="G1323" t="s">
        <v>13263</v>
      </c>
      <c r="H1323">
        <v>20.75</v>
      </c>
      <c r="I1323">
        <v>0</v>
      </c>
      <c r="J1323">
        <v>0</v>
      </c>
      <c r="K1323">
        <v>0</v>
      </c>
      <c r="L1323">
        <v>7</v>
      </c>
      <c r="N1323">
        <v>3</v>
      </c>
      <c r="O1323">
        <v>10</v>
      </c>
      <c r="P1323">
        <v>4</v>
      </c>
      <c r="Q1323">
        <v>2</v>
      </c>
      <c r="R1323">
        <v>36.75</v>
      </c>
      <c r="S1323">
        <v>30</v>
      </c>
      <c r="T1323">
        <v>30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30</v>
      </c>
      <c r="AB1323">
        <v>0</v>
      </c>
      <c r="AC1323">
        <v>0</v>
      </c>
      <c r="AD1323" t="s">
        <v>130</v>
      </c>
      <c r="AH1323">
        <v>66.75</v>
      </c>
    </row>
    <row r="1324" spans="1:34" x14ac:dyDescent="0.3">
      <c r="A1324" s="4">
        <v>1536</v>
      </c>
      <c r="B1324" s="5">
        <v>1317</v>
      </c>
      <c r="C1324">
        <v>7149</v>
      </c>
      <c r="D1324" t="s">
        <v>116</v>
      </c>
      <c r="E1324" t="s">
        <v>13264</v>
      </c>
      <c r="F1324" t="s">
        <v>17</v>
      </c>
      <c r="G1324" t="s">
        <v>13265</v>
      </c>
      <c r="H1324">
        <v>17.68</v>
      </c>
      <c r="I1324">
        <v>0</v>
      </c>
      <c r="J1324">
        <v>0</v>
      </c>
      <c r="K1324">
        <v>0</v>
      </c>
      <c r="L1324">
        <v>7</v>
      </c>
      <c r="O1324">
        <v>7</v>
      </c>
      <c r="P1324">
        <v>4</v>
      </c>
      <c r="Q1324">
        <v>0</v>
      </c>
      <c r="R1324">
        <v>28.68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38</v>
      </c>
      <c r="AH1324">
        <v>66.680000000000007</v>
      </c>
    </row>
    <row r="1325" spans="1:34" x14ac:dyDescent="0.3">
      <c r="A1325" s="4">
        <v>1537</v>
      </c>
      <c r="B1325" s="5">
        <v>1318</v>
      </c>
      <c r="C1325">
        <v>3944</v>
      </c>
      <c r="D1325" t="s">
        <v>13266</v>
      </c>
      <c r="E1325" t="s">
        <v>972</v>
      </c>
      <c r="F1325" t="s">
        <v>20</v>
      </c>
      <c r="G1325" t="s">
        <v>13267</v>
      </c>
      <c r="H1325">
        <v>17.68</v>
      </c>
      <c r="I1325">
        <v>0</v>
      </c>
      <c r="J1325">
        <v>0</v>
      </c>
      <c r="K1325">
        <v>20</v>
      </c>
      <c r="L1325">
        <v>7</v>
      </c>
      <c r="O1325">
        <v>7</v>
      </c>
      <c r="P1325">
        <v>4</v>
      </c>
      <c r="Q1325">
        <v>0</v>
      </c>
      <c r="R1325">
        <v>48.68</v>
      </c>
      <c r="S1325">
        <v>18</v>
      </c>
      <c r="T1325">
        <v>18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18</v>
      </c>
      <c r="AB1325">
        <v>0</v>
      </c>
      <c r="AC1325">
        <v>0</v>
      </c>
      <c r="AH1325">
        <v>66.680000000000007</v>
      </c>
    </row>
    <row r="1326" spans="1:34" x14ac:dyDescent="0.3">
      <c r="A1326" s="4">
        <v>1538</v>
      </c>
      <c r="B1326" s="5">
        <v>1319</v>
      </c>
      <c r="C1326">
        <v>1412</v>
      </c>
      <c r="D1326" t="s">
        <v>13268</v>
      </c>
      <c r="E1326" t="s">
        <v>33</v>
      </c>
      <c r="F1326" t="s">
        <v>34</v>
      </c>
      <c r="G1326" t="s">
        <v>13269</v>
      </c>
      <c r="H1326">
        <v>21.6</v>
      </c>
      <c r="I1326">
        <v>0</v>
      </c>
      <c r="J1326">
        <v>0</v>
      </c>
      <c r="K1326">
        <v>20</v>
      </c>
      <c r="L1326">
        <v>7</v>
      </c>
      <c r="M1326">
        <v>5</v>
      </c>
      <c r="O1326">
        <v>12</v>
      </c>
      <c r="P1326">
        <v>4</v>
      </c>
      <c r="Q1326">
        <v>0</v>
      </c>
      <c r="R1326">
        <v>57.6</v>
      </c>
      <c r="S1326">
        <v>9</v>
      </c>
      <c r="T1326">
        <v>9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9</v>
      </c>
      <c r="AB1326">
        <v>0</v>
      </c>
      <c r="AC1326">
        <v>0</v>
      </c>
      <c r="AH1326">
        <v>66.599999999999994</v>
      </c>
    </row>
    <row r="1327" spans="1:34" x14ac:dyDescent="0.3">
      <c r="A1327" s="4">
        <v>1539</v>
      </c>
      <c r="B1327" s="5">
        <v>1320</v>
      </c>
      <c r="C1327">
        <v>8825</v>
      </c>
      <c r="D1327" t="s">
        <v>6906</v>
      </c>
      <c r="E1327" t="s">
        <v>3803</v>
      </c>
      <c r="F1327" t="s">
        <v>13270</v>
      </c>
      <c r="G1327" t="s">
        <v>13271</v>
      </c>
      <c r="H1327">
        <v>19.579999999999998</v>
      </c>
      <c r="I1327">
        <v>0</v>
      </c>
      <c r="J1327">
        <v>0</v>
      </c>
      <c r="K1327">
        <v>20</v>
      </c>
      <c r="L1327">
        <v>7</v>
      </c>
      <c r="N1327">
        <v>3</v>
      </c>
      <c r="O1327">
        <v>10</v>
      </c>
      <c r="P1327">
        <v>4</v>
      </c>
      <c r="Q1327">
        <v>0</v>
      </c>
      <c r="R1327">
        <v>53.58</v>
      </c>
      <c r="S1327">
        <v>13</v>
      </c>
      <c r="T1327">
        <v>13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13</v>
      </c>
      <c r="AB1327">
        <v>0</v>
      </c>
      <c r="AC1327">
        <v>0</v>
      </c>
      <c r="AH1327">
        <v>66.58</v>
      </c>
    </row>
    <row r="1328" spans="1:34" x14ac:dyDescent="0.3">
      <c r="A1328" s="4">
        <v>1540</v>
      </c>
      <c r="B1328" s="5">
        <v>1321</v>
      </c>
      <c r="C1328">
        <v>3337</v>
      </c>
      <c r="D1328" t="s">
        <v>8800</v>
      </c>
      <c r="E1328" t="s">
        <v>13272</v>
      </c>
      <c r="F1328" t="s">
        <v>343</v>
      </c>
      <c r="G1328" t="s">
        <v>13273</v>
      </c>
      <c r="H1328">
        <v>16.579999999999998</v>
      </c>
      <c r="I1328">
        <v>0</v>
      </c>
      <c r="J1328">
        <v>0</v>
      </c>
      <c r="K1328">
        <v>0</v>
      </c>
      <c r="L1328">
        <v>7</v>
      </c>
      <c r="M1328">
        <v>5</v>
      </c>
      <c r="O1328">
        <v>12</v>
      </c>
      <c r="P1328">
        <v>4</v>
      </c>
      <c r="Q1328">
        <v>0</v>
      </c>
      <c r="R1328">
        <v>32.58</v>
      </c>
      <c r="S1328">
        <v>34</v>
      </c>
      <c r="T1328">
        <v>34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34</v>
      </c>
      <c r="AB1328">
        <v>0</v>
      </c>
      <c r="AC1328">
        <v>0</v>
      </c>
      <c r="AH1328">
        <v>66.58</v>
      </c>
    </row>
    <row r="1329" spans="1:34" x14ac:dyDescent="0.3">
      <c r="A1329" s="4">
        <v>1541</v>
      </c>
      <c r="B1329" s="5">
        <v>1322</v>
      </c>
      <c r="C1329">
        <v>12493</v>
      </c>
      <c r="D1329" t="s">
        <v>13274</v>
      </c>
      <c r="E1329" t="s">
        <v>13275</v>
      </c>
      <c r="F1329" t="s">
        <v>20</v>
      </c>
      <c r="G1329" t="s">
        <v>13276</v>
      </c>
      <c r="H1329">
        <v>12.5</v>
      </c>
      <c r="I1329">
        <v>0</v>
      </c>
      <c r="J1329">
        <v>0</v>
      </c>
      <c r="K1329">
        <v>20</v>
      </c>
      <c r="O1329">
        <v>0</v>
      </c>
      <c r="P1329">
        <v>4</v>
      </c>
      <c r="Q1329">
        <v>0</v>
      </c>
      <c r="R1329">
        <v>36.5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30</v>
      </c>
      <c r="AH1329">
        <v>66.5</v>
      </c>
    </row>
    <row r="1330" spans="1:34" x14ac:dyDescent="0.3">
      <c r="A1330" s="4">
        <v>1542</v>
      </c>
      <c r="B1330" s="5">
        <v>1323</v>
      </c>
      <c r="C1330">
        <v>2273</v>
      </c>
      <c r="D1330" t="s">
        <v>13277</v>
      </c>
      <c r="E1330" t="s">
        <v>166</v>
      </c>
      <c r="F1330" t="s">
        <v>81</v>
      </c>
      <c r="G1330" t="s">
        <v>13278</v>
      </c>
      <c r="H1330">
        <v>17.48</v>
      </c>
      <c r="I1330">
        <v>0</v>
      </c>
      <c r="J1330">
        <v>0</v>
      </c>
      <c r="K1330">
        <v>28</v>
      </c>
      <c r="L1330">
        <v>7</v>
      </c>
      <c r="O1330">
        <v>7</v>
      </c>
      <c r="P1330">
        <v>4</v>
      </c>
      <c r="Q1330">
        <v>2</v>
      </c>
      <c r="R1330">
        <v>58.48</v>
      </c>
      <c r="S1330">
        <v>8</v>
      </c>
      <c r="T1330">
        <v>8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8</v>
      </c>
      <c r="AB1330">
        <v>0</v>
      </c>
      <c r="AC1330">
        <v>0</v>
      </c>
      <c r="AH1330">
        <v>66.48</v>
      </c>
    </row>
    <row r="1331" spans="1:34" x14ac:dyDescent="0.3">
      <c r="A1331" s="4">
        <v>1543</v>
      </c>
      <c r="B1331" s="5">
        <v>1324</v>
      </c>
      <c r="C1331">
        <v>6513</v>
      </c>
      <c r="D1331" t="s">
        <v>13279</v>
      </c>
      <c r="E1331" t="s">
        <v>173</v>
      </c>
      <c r="F1331" t="s">
        <v>20</v>
      </c>
      <c r="G1331" t="s">
        <v>13280</v>
      </c>
      <c r="H1331">
        <v>16.45</v>
      </c>
      <c r="I1331">
        <v>0</v>
      </c>
      <c r="J1331">
        <v>0</v>
      </c>
      <c r="K1331">
        <v>20</v>
      </c>
      <c r="L1331">
        <v>7</v>
      </c>
      <c r="N1331">
        <v>3</v>
      </c>
      <c r="O1331">
        <v>10</v>
      </c>
      <c r="P1331">
        <v>4</v>
      </c>
      <c r="Q1331">
        <v>0</v>
      </c>
      <c r="R1331">
        <v>50.45</v>
      </c>
      <c r="S1331">
        <v>6</v>
      </c>
      <c r="T1331">
        <v>6</v>
      </c>
      <c r="U1331">
        <v>0</v>
      </c>
      <c r="V1331">
        <v>0</v>
      </c>
      <c r="W1331">
        <v>7</v>
      </c>
      <c r="X1331">
        <v>10</v>
      </c>
      <c r="Y1331">
        <v>0</v>
      </c>
      <c r="Z1331">
        <v>0</v>
      </c>
      <c r="AA1331">
        <v>16</v>
      </c>
      <c r="AB1331">
        <v>0</v>
      </c>
      <c r="AC1331">
        <v>0</v>
      </c>
      <c r="AH1331">
        <v>66.45</v>
      </c>
    </row>
    <row r="1332" spans="1:34" x14ac:dyDescent="0.3">
      <c r="A1332" s="4">
        <v>1544</v>
      </c>
      <c r="B1332" s="5">
        <v>1325</v>
      </c>
      <c r="C1332">
        <v>7105</v>
      </c>
      <c r="D1332" t="s">
        <v>2008</v>
      </c>
      <c r="E1332" t="s">
        <v>29</v>
      </c>
      <c r="F1332" t="s">
        <v>343</v>
      </c>
      <c r="G1332" t="s">
        <v>13281</v>
      </c>
      <c r="H1332">
        <v>17.43</v>
      </c>
      <c r="I1332">
        <v>0</v>
      </c>
      <c r="J1332">
        <v>0</v>
      </c>
      <c r="K1332">
        <v>20</v>
      </c>
      <c r="L1332">
        <v>7</v>
      </c>
      <c r="O1332">
        <v>7</v>
      </c>
      <c r="P1332">
        <v>4</v>
      </c>
      <c r="Q1332">
        <v>2</v>
      </c>
      <c r="R1332">
        <v>50.43</v>
      </c>
      <c r="S1332">
        <v>16</v>
      </c>
      <c r="T1332">
        <v>16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16</v>
      </c>
      <c r="AB1332">
        <v>0</v>
      </c>
      <c r="AC1332">
        <v>0</v>
      </c>
      <c r="AH1332">
        <v>66.430000000000007</v>
      </c>
    </row>
    <row r="1333" spans="1:34" x14ac:dyDescent="0.3">
      <c r="A1333" s="4">
        <v>1545</v>
      </c>
      <c r="B1333" s="5">
        <v>1326</v>
      </c>
      <c r="C1333">
        <v>9131</v>
      </c>
      <c r="D1333" t="s">
        <v>13282</v>
      </c>
      <c r="E1333" t="s">
        <v>13283</v>
      </c>
      <c r="F1333" t="s">
        <v>20</v>
      </c>
      <c r="G1333" t="s">
        <v>13284</v>
      </c>
      <c r="H1333">
        <v>17.399999999999999</v>
      </c>
      <c r="I1333">
        <v>0</v>
      </c>
      <c r="J1333">
        <v>0</v>
      </c>
      <c r="K1333">
        <v>20</v>
      </c>
      <c r="L1333">
        <v>7</v>
      </c>
      <c r="M1333">
        <v>5</v>
      </c>
      <c r="O1333">
        <v>12</v>
      </c>
      <c r="P1333">
        <v>4</v>
      </c>
      <c r="Q1333">
        <v>0</v>
      </c>
      <c r="R1333">
        <v>53.4</v>
      </c>
      <c r="S1333">
        <v>7</v>
      </c>
      <c r="T1333">
        <v>7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7</v>
      </c>
      <c r="AB1333">
        <v>6</v>
      </c>
      <c r="AC1333">
        <v>0</v>
      </c>
      <c r="AH1333">
        <v>66.400000000000006</v>
      </c>
    </row>
    <row r="1334" spans="1:34" x14ac:dyDescent="0.3">
      <c r="A1334" s="4">
        <v>1546</v>
      </c>
      <c r="B1334" s="5">
        <v>1327</v>
      </c>
      <c r="C1334">
        <v>10133</v>
      </c>
      <c r="D1334" t="s">
        <v>8681</v>
      </c>
      <c r="E1334" t="s">
        <v>54</v>
      </c>
      <c r="F1334" t="s">
        <v>34</v>
      </c>
      <c r="G1334" t="s">
        <v>13285</v>
      </c>
      <c r="H1334">
        <v>18.350000000000001</v>
      </c>
      <c r="I1334">
        <v>0</v>
      </c>
      <c r="J1334">
        <v>0</v>
      </c>
      <c r="K1334">
        <v>20</v>
      </c>
      <c r="L1334">
        <v>7</v>
      </c>
      <c r="O1334">
        <v>7</v>
      </c>
      <c r="P1334">
        <v>4</v>
      </c>
      <c r="Q1334">
        <v>2</v>
      </c>
      <c r="R1334">
        <v>51.35</v>
      </c>
      <c r="S1334">
        <v>15</v>
      </c>
      <c r="T1334">
        <v>15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15</v>
      </c>
      <c r="AB1334">
        <v>0</v>
      </c>
      <c r="AC1334">
        <v>0</v>
      </c>
      <c r="AH1334">
        <v>66.349999999999994</v>
      </c>
    </row>
    <row r="1335" spans="1:34" x14ac:dyDescent="0.3">
      <c r="A1335" s="4">
        <v>1547</v>
      </c>
      <c r="B1335" s="5">
        <v>1328</v>
      </c>
      <c r="C1335">
        <v>12687</v>
      </c>
      <c r="D1335" t="s">
        <v>13286</v>
      </c>
      <c r="E1335" t="s">
        <v>789</v>
      </c>
      <c r="F1335" t="s">
        <v>1854</v>
      </c>
      <c r="G1335" t="s">
        <v>13287</v>
      </c>
      <c r="H1335">
        <v>21.28</v>
      </c>
      <c r="I1335">
        <v>0</v>
      </c>
      <c r="J1335">
        <v>0</v>
      </c>
      <c r="K1335">
        <v>20</v>
      </c>
      <c r="M1335">
        <v>5</v>
      </c>
      <c r="N1335">
        <v>3</v>
      </c>
      <c r="O1335">
        <v>8</v>
      </c>
      <c r="P1335">
        <v>4</v>
      </c>
      <c r="Q1335">
        <v>2</v>
      </c>
      <c r="R1335">
        <v>55.28</v>
      </c>
      <c r="S1335">
        <v>11</v>
      </c>
      <c r="T1335">
        <v>11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11</v>
      </c>
      <c r="AB1335">
        <v>0</v>
      </c>
      <c r="AC1335">
        <v>0</v>
      </c>
      <c r="AH1335">
        <v>66.28</v>
      </c>
    </row>
    <row r="1336" spans="1:34" x14ac:dyDescent="0.3">
      <c r="A1336" s="4">
        <v>1548</v>
      </c>
      <c r="B1336" s="5">
        <v>1329</v>
      </c>
      <c r="C1336">
        <v>3205</v>
      </c>
      <c r="D1336" t="s">
        <v>9601</v>
      </c>
      <c r="E1336" t="s">
        <v>143</v>
      </c>
      <c r="F1336" t="s">
        <v>167</v>
      </c>
      <c r="G1336" t="s">
        <v>13288</v>
      </c>
      <c r="H1336">
        <v>21.25</v>
      </c>
      <c r="I1336">
        <v>0</v>
      </c>
      <c r="J1336">
        <v>0</v>
      </c>
      <c r="K1336">
        <v>20</v>
      </c>
      <c r="L1336">
        <v>7</v>
      </c>
      <c r="N1336">
        <v>3</v>
      </c>
      <c r="O1336">
        <v>10</v>
      </c>
      <c r="P1336">
        <v>4</v>
      </c>
      <c r="Q1336">
        <v>0</v>
      </c>
      <c r="R1336">
        <v>55.25</v>
      </c>
      <c r="S1336">
        <v>11</v>
      </c>
      <c r="T1336">
        <v>11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11</v>
      </c>
      <c r="AB1336">
        <v>0</v>
      </c>
      <c r="AC1336">
        <v>0</v>
      </c>
      <c r="AH1336">
        <v>66.25</v>
      </c>
    </row>
    <row r="1337" spans="1:34" x14ac:dyDescent="0.3">
      <c r="A1337" s="4">
        <v>1549</v>
      </c>
      <c r="B1337" s="5">
        <v>1330</v>
      </c>
      <c r="C1337">
        <v>3574</v>
      </c>
      <c r="D1337" t="s">
        <v>13289</v>
      </c>
      <c r="E1337" t="s">
        <v>26</v>
      </c>
      <c r="F1337" t="s">
        <v>158</v>
      </c>
      <c r="G1337" t="s">
        <v>13290</v>
      </c>
      <c r="H1337">
        <v>19.25</v>
      </c>
      <c r="I1337">
        <v>0</v>
      </c>
      <c r="J1337">
        <v>0</v>
      </c>
      <c r="K1337">
        <v>20</v>
      </c>
      <c r="L1337">
        <v>7</v>
      </c>
      <c r="O1337">
        <v>7</v>
      </c>
      <c r="P1337">
        <v>4</v>
      </c>
      <c r="Q1337">
        <v>2</v>
      </c>
      <c r="R1337">
        <v>52.25</v>
      </c>
      <c r="S1337">
        <v>14</v>
      </c>
      <c r="T1337">
        <v>14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14</v>
      </c>
      <c r="AB1337">
        <v>0</v>
      </c>
      <c r="AC1337">
        <v>0</v>
      </c>
      <c r="AH1337">
        <v>66.25</v>
      </c>
    </row>
    <row r="1338" spans="1:34" x14ac:dyDescent="0.3">
      <c r="A1338" s="4">
        <v>1550</v>
      </c>
      <c r="B1338" s="5">
        <v>1331</v>
      </c>
      <c r="C1338">
        <v>3239</v>
      </c>
      <c r="D1338" t="s">
        <v>13291</v>
      </c>
      <c r="E1338" t="s">
        <v>13292</v>
      </c>
      <c r="F1338" t="s">
        <v>20</v>
      </c>
      <c r="G1338" t="s">
        <v>13293</v>
      </c>
      <c r="H1338">
        <v>19.25</v>
      </c>
      <c r="I1338">
        <v>0</v>
      </c>
      <c r="J1338">
        <v>0</v>
      </c>
      <c r="K1338">
        <v>20</v>
      </c>
      <c r="M1338">
        <v>5</v>
      </c>
      <c r="O1338">
        <v>5</v>
      </c>
      <c r="P1338">
        <v>4</v>
      </c>
      <c r="Q1338">
        <v>0</v>
      </c>
      <c r="R1338">
        <v>48.25</v>
      </c>
      <c r="S1338">
        <v>18</v>
      </c>
      <c r="T1338">
        <v>18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18</v>
      </c>
      <c r="AB1338">
        <v>0</v>
      </c>
      <c r="AC1338">
        <v>0</v>
      </c>
      <c r="AH1338">
        <v>66.25</v>
      </c>
    </row>
    <row r="1339" spans="1:34" x14ac:dyDescent="0.3">
      <c r="A1339" s="4">
        <v>1551</v>
      </c>
      <c r="B1339" s="5">
        <v>1332</v>
      </c>
      <c r="C1339">
        <v>9973</v>
      </c>
      <c r="D1339" t="s">
        <v>902</v>
      </c>
      <c r="E1339" t="s">
        <v>4502</v>
      </c>
      <c r="F1339" t="s">
        <v>13294</v>
      </c>
      <c r="G1339" t="s">
        <v>13295</v>
      </c>
      <c r="H1339">
        <v>19.23</v>
      </c>
      <c r="I1339">
        <v>0</v>
      </c>
      <c r="J1339">
        <v>0</v>
      </c>
      <c r="K1339">
        <v>28</v>
      </c>
      <c r="L1339">
        <v>7</v>
      </c>
      <c r="M1339">
        <v>5</v>
      </c>
      <c r="O1339">
        <v>12</v>
      </c>
      <c r="P1339">
        <v>4</v>
      </c>
      <c r="Q1339">
        <v>0</v>
      </c>
      <c r="R1339">
        <v>63.23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3</v>
      </c>
      <c r="AC1339">
        <v>0</v>
      </c>
      <c r="AH1339">
        <v>66.23</v>
      </c>
    </row>
    <row r="1340" spans="1:34" x14ac:dyDescent="0.3">
      <c r="A1340" s="4">
        <v>1552</v>
      </c>
      <c r="B1340" s="5">
        <v>1333</v>
      </c>
      <c r="C1340">
        <v>3993</v>
      </c>
      <c r="D1340" t="s">
        <v>13296</v>
      </c>
      <c r="E1340" t="s">
        <v>29</v>
      </c>
      <c r="F1340" t="s">
        <v>12236</v>
      </c>
      <c r="G1340" t="s">
        <v>13297</v>
      </c>
      <c r="H1340">
        <v>18.2</v>
      </c>
      <c r="I1340">
        <v>0</v>
      </c>
      <c r="J1340">
        <v>0</v>
      </c>
      <c r="K1340">
        <v>20</v>
      </c>
      <c r="L1340">
        <v>7</v>
      </c>
      <c r="M1340">
        <v>5</v>
      </c>
      <c r="O1340">
        <v>12</v>
      </c>
      <c r="P1340">
        <v>4</v>
      </c>
      <c r="Q1340">
        <v>2</v>
      </c>
      <c r="R1340">
        <v>56.2</v>
      </c>
      <c r="S1340">
        <v>4</v>
      </c>
      <c r="T1340">
        <v>4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4</v>
      </c>
      <c r="AB1340">
        <v>6</v>
      </c>
      <c r="AC1340">
        <v>0</v>
      </c>
      <c r="AH1340">
        <v>66.2</v>
      </c>
    </row>
    <row r="1341" spans="1:34" x14ac:dyDescent="0.3">
      <c r="A1341" s="4">
        <v>1553</v>
      </c>
      <c r="B1341" s="5">
        <v>1334</v>
      </c>
      <c r="C1341">
        <v>14132</v>
      </c>
      <c r="D1341" t="s">
        <v>13298</v>
      </c>
      <c r="E1341" t="s">
        <v>29</v>
      </c>
      <c r="F1341" t="s">
        <v>158</v>
      </c>
      <c r="G1341" t="s">
        <v>13299</v>
      </c>
      <c r="H1341">
        <v>22.2</v>
      </c>
      <c r="I1341">
        <v>0</v>
      </c>
      <c r="J1341">
        <v>0</v>
      </c>
      <c r="K1341">
        <v>28</v>
      </c>
      <c r="L1341">
        <v>7</v>
      </c>
      <c r="M1341">
        <v>5</v>
      </c>
      <c r="O1341">
        <v>12</v>
      </c>
      <c r="P1341">
        <v>4</v>
      </c>
      <c r="Q1341">
        <v>0</v>
      </c>
      <c r="R1341">
        <v>66.2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H1341">
        <v>66.2</v>
      </c>
    </row>
    <row r="1342" spans="1:34" x14ac:dyDescent="0.3">
      <c r="A1342" s="4">
        <v>1554</v>
      </c>
      <c r="B1342" s="5">
        <v>1335</v>
      </c>
      <c r="C1342">
        <v>732</v>
      </c>
      <c r="D1342" t="s">
        <v>13300</v>
      </c>
      <c r="E1342" t="s">
        <v>132</v>
      </c>
      <c r="F1342" t="s">
        <v>81</v>
      </c>
      <c r="G1342" t="s">
        <v>13301</v>
      </c>
      <c r="H1342">
        <v>19.2</v>
      </c>
      <c r="I1342">
        <v>0</v>
      </c>
      <c r="J1342">
        <v>0</v>
      </c>
      <c r="K1342">
        <v>20</v>
      </c>
      <c r="L1342">
        <v>7</v>
      </c>
      <c r="O1342">
        <v>7</v>
      </c>
      <c r="P1342">
        <v>4</v>
      </c>
      <c r="Q1342">
        <v>2</v>
      </c>
      <c r="R1342">
        <v>52.2</v>
      </c>
      <c r="S1342">
        <v>14</v>
      </c>
      <c r="T1342">
        <v>14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14</v>
      </c>
      <c r="AB1342">
        <v>0</v>
      </c>
      <c r="AC1342">
        <v>0</v>
      </c>
      <c r="AH1342">
        <v>66.2</v>
      </c>
    </row>
    <row r="1343" spans="1:34" x14ac:dyDescent="0.3">
      <c r="A1343" s="4">
        <v>1555</v>
      </c>
      <c r="B1343" s="5">
        <v>1336</v>
      </c>
      <c r="C1343">
        <v>3278</v>
      </c>
      <c r="D1343" t="s">
        <v>13302</v>
      </c>
      <c r="E1343" t="s">
        <v>1809</v>
      </c>
      <c r="F1343" t="s">
        <v>975</v>
      </c>
      <c r="G1343" t="s">
        <v>13303</v>
      </c>
      <c r="H1343">
        <v>18.18</v>
      </c>
      <c r="I1343">
        <v>0</v>
      </c>
      <c r="J1343">
        <v>0</v>
      </c>
      <c r="K1343">
        <v>20</v>
      </c>
      <c r="L1343">
        <v>7</v>
      </c>
      <c r="O1343">
        <v>7</v>
      </c>
      <c r="P1343">
        <v>4</v>
      </c>
      <c r="Q1343">
        <v>2</v>
      </c>
      <c r="R1343">
        <v>51.18</v>
      </c>
      <c r="S1343">
        <v>15</v>
      </c>
      <c r="T1343">
        <v>15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15</v>
      </c>
      <c r="AB1343">
        <v>0</v>
      </c>
      <c r="AC1343">
        <v>0</v>
      </c>
      <c r="AH1343">
        <v>66.180000000000007</v>
      </c>
    </row>
    <row r="1344" spans="1:34" x14ac:dyDescent="0.3">
      <c r="A1344" s="4">
        <v>1556</v>
      </c>
      <c r="B1344" s="5">
        <v>1337</v>
      </c>
      <c r="C1344">
        <v>11593</v>
      </c>
      <c r="D1344" t="s">
        <v>13304</v>
      </c>
      <c r="E1344" t="s">
        <v>29</v>
      </c>
      <c r="F1344" t="s">
        <v>38</v>
      </c>
      <c r="G1344" t="s">
        <v>13305</v>
      </c>
      <c r="H1344">
        <v>17.149999999999999</v>
      </c>
      <c r="I1344">
        <v>0</v>
      </c>
      <c r="J1344">
        <v>0</v>
      </c>
      <c r="K1344">
        <v>20</v>
      </c>
      <c r="L1344">
        <v>7</v>
      </c>
      <c r="O1344">
        <v>7</v>
      </c>
      <c r="P1344">
        <v>4</v>
      </c>
      <c r="Q1344">
        <v>0</v>
      </c>
      <c r="R1344">
        <v>48.15</v>
      </c>
      <c r="S1344">
        <v>15</v>
      </c>
      <c r="T1344">
        <v>15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15</v>
      </c>
      <c r="AB1344">
        <v>3</v>
      </c>
      <c r="AC1344">
        <v>0</v>
      </c>
      <c r="AD1344" t="s">
        <v>130</v>
      </c>
      <c r="AH1344">
        <v>66.150000000000006</v>
      </c>
    </row>
    <row r="1345" spans="1:34" x14ac:dyDescent="0.3">
      <c r="A1345" s="4">
        <v>1557</v>
      </c>
      <c r="B1345" s="5">
        <v>1338</v>
      </c>
      <c r="C1345">
        <v>9773</v>
      </c>
      <c r="D1345" t="s">
        <v>13306</v>
      </c>
      <c r="E1345" t="s">
        <v>54</v>
      </c>
      <c r="F1345" t="s">
        <v>17</v>
      </c>
      <c r="G1345" t="s">
        <v>13307</v>
      </c>
      <c r="H1345">
        <v>22.15</v>
      </c>
      <c r="I1345">
        <v>0</v>
      </c>
      <c r="J1345">
        <v>0</v>
      </c>
      <c r="K1345">
        <v>20</v>
      </c>
      <c r="L1345">
        <v>7</v>
      </c>
      <c r="O1345">
        <v>7</v>
      </c>
      <c r="P1345">
        <v>4</v>
      </c>
      <c r="Q1345">
        <v>2</v>
      </c>
      <c r="R1345">
        <v>55.15</v>
      </c>
      <c r="S1345">
        <v>11</v>
      </c>
      <c r="T1345">
        <v>11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11</v>
      </c>
      <c r="AB1345">
        <v>0</v>
      </c>
      <c r="AC1345">
        <v>0</v>
      </c>
      <c r="AH1345">
        <v>66.150000000000006</v>
      </c>
    </row>
    <row r="1346" spans="1:34" x14ac:dyDescent="0.3">
      <c r="A1346" s="4">
        <v>1559</v>
      </c>
      <c r="B1346" s="5">
        <v>1339</v>
      </c>
      <c r="C1346">
        <v>8052</v>
      </c>
      <c r="D1346" t="s">
        <v>13308</v>
      </c>
      <c r="E1346" t="s">
        <v>147</v>
      </c>
      <c r="F1346" t="s">
        <v>20</v>
      </c>
      <c r="G1346" t="s">
        <v>13309</v>
      </c>
      <c r="H1346">
        <v>20</v>
      </c>
      <c r="I1346">
        <v>0</v>
      </c>
      <c r="J1346">
        <v>0</v>
      </c>
      <c r="K1346">
        <v>28</v>
      </c>
      <c r="N1346">
        <v>3</v>
      </c>
      <c r="O1346">
        <v>3</v>
      </c>
      <c r="P1346">
        <v>0</v>
      </c>
      <c r="Q1346">
        <v>0</v>
      </c>
      <c r="R1346">
        <v>51</v>
      </c>
      <c r="S1346">
        <v>15</v>
      </c>
      <c r="T1346">
        <v>15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15</v>
      </c>
      <c r="AB1346">
        <v>0</v>
      </c>
      <c r="AC1346">
        <v>0</v>
      </c>
      <c r="AH1346">
        <v>66</v>
      </c>
    </row>
    <row r="1347" spans="1:34" x14ac:dyDescent="0.3">
      <c r="A1347" s="4">
        <v>1560</v>
      </c>
      <c r="B1347" s="5">
        <v>1340</v>
      </c>
      <c r="C1347">
        <v>5889</v>
      </c>
      <c r="D1347" t="s">
        <v>13310</v>
      </c>
      <c r="E1347" t="s">
        <v>7576</v>
      </c>
      <c r="F1347" t="s">
        <v>30</v>
      </c>
      <c r="G1347" t="s">
        <v>13311</v>
      </c>
      <c r="H1347">
        <v>18.98</v>
      </c>
      <c r="I1347">
        <v>7</v>
      </c>
      <c r="J1347">
        <v>0</v>
      </c>
      <c r="K1347">
        <v>20</v>
      </c>
      <c r="L1347">
        <v>7</v>
      </c>
      <c r="N1347">
        <v>3</v>
      </c>
      <c r="O1347">
        <v>10</v>
      </c>
      <c r="P1347">
        <v>0</v>
      </c>
      <c r="Q1347">
        <v>0</v>
      </c>
      <c r="R1347">
        <v>55.98</v>
      </c>
      <c r="S1347">
        <v>4</v>
      </c>
      <c r="T1347">
        <v>4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4</v>
      </c>
      <c r="AB1347">
        <v>6</v>
      </c>
      <c r="AC1347">
        <v>0</v>
      </c>
      <c r="AH1347">
        <v>65.98</v>
      </c>
    </row>
    <row r="1348" spans="1:34" x14ac:dyDescent="0.3">
      <c r="A1348" s="4">
        <v>1561</v>
      </c>
      <c r="B1348" s="5">
        <v>1341</v>
      </c>
      <c r="C1348">
        <v>13508</v>
      </c>
      <c r="D1348" t="s">
        <v>2377</v>
      </c>
      <c r="E1348" t="s">
        <v>3221</v>
      </c>
      <c r="F1348" t="s">
        <v>117</v>
      </c>
      <c r="G1348" t="s">
        <v>13312</v>
      </c>
      <c r="H1348">
        <v>17.93</v>
      </c>
      <c r="I1348">
        <v>0</v>
      </c>
      <c r="J1348">
        <v>0</v>
      </c>
      <c r="K1348">
        <v>0</v>
      </c>
      <c r="L1348">
        <v>7</v>
      </c>
      <c r="N1348">
        <v>3</v>
      </c>
      <c r="O1348">
        <v>10</v>
      </c>
      <c r="P1348">
        <v>4</v>
      </c>
      <c r="Q1348">
        <v>0</v>
      </c>
      <c r="R1348">
        <v>31.93</v>
      </c>
      <c r="S1348">
        <v>34</v>
      </c>
      <c r="T1348">
        <v>34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34</v>
      </c>
      <c r="AB1348">
        <v>0</v>
      </c>
      <c r="AC1348">
        <v>0</v>
      </c>
      <c r="AH1348">
        <v>65.930000000000007</v>
      </c>
    </row>
    <row r="1349" spans="1:34" x14ac:dyDescent="0.3">
      <c r="A1349" s="4">
        <v>1562</v>
      </c>
      <c r="B1349" s="5">
        <v>1342</v>
      </c>
      <c r="C1349">
        <v>11502</v>
      </c>
      <c r="D1349" t="s">
        <v>13313</v>
      </c>
      <c r="E1349" t="s">
        <v>81</v>
      </c>
      <c r="F1349" t="s">
        <v>20</v>
      </c>
      <c r="G1349" t="s">
        <v>13314</v>
      </c>
      <c r="H1349">
        <v>14.9</v>
      </c>
      <c r="I1349">
        <v>0</v>
      </c>
      <c r="J1349">
        <v>40</v>
      </c>
      <c r="K1349">
        <v>0</v>
      </c>
      <c r="L1349">
        <v>7</v>
      </c>
      <c r="O1349">
        <v>7</v>
      </c>
      <c r="P1349">
        <v>4</v>
      </c>
      <c r="Q1349">
        <v>0</v>
      </c>
      <c r="R1349">
        <v>65.900000000000006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H1349">
        <v>65.900000000000006</v>
      </c>
    </row>
    <row r="1350" spans="1:34" x14ac:dyDescent="0.3">
      <c r="A1350" s="4">
        <v>1563</v>
      </c>
      <c r="B1350" s="5">
        <v>1343</v>
      </c>
      <c r="C1350">
        <v>1442</v>
      </c>
      <c r="D1350" t="s">
        <v>13315</v>
      </c>
      <c r="E1350" t="s">
        <v>13316</v>
      </c>
      <c r="F1350" t="s">
        <v>652</v>
      </c>
      <c r="G1350" t="s">
        <v>13317</v>
      </c>
      <c r="H1350">
        <v>16.78</v>
      </c>
      <c r="I1350">
        <v>0</v>
      </c>
      <c r="J1350">
        <v>0</v>
      </c>
      <c r="K1350">
        <v>20</v>
      </c>
      <c r="M1350">
        <v>5</v>
      </c>
      <c r="N1350">
        <v>3</v>
      </c>
      <c r="O1350">
        <v>8</v>
      </c>
      <c r="P1350">
        <v>4</v>
      </c>
      <c r="Q1350">
        <v>2</v>
      </c>
      <c r="R1350">
        <v>50.78</v>
      </c>
      <c r="S1350">
        <v>15</v>
      </c>
      <c r="T1350">
        <v>15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15</v>
      </c>
      <c r="AB1350">
        <v>0</v>
      </c>
      <c r="AC1350">
        <v>0</v>
      </c>
      <c r="AH1350">
        <v>65.78</v>
      </c>
    </row>
    <row r="1351" spans="1:34" x14ac:dyDescent="0.3">
      <c r="A1351" s="4">
        <v>1564</v>
      </c>
      <c r="B1351" s="5">
        <v>1344</v>
      </c>
      <c r="C1351">
        <v>6267</v>
      </c>
      <c r="D1351" t="s">
        <v>8800</v>
      </c>
      <c r="E1351" t="s">
        <v>173</v>
      </c>
      <c r="F1351" t="s">
        <v>343</v>
      </c>
      <c r="G1351" t="s">
        <v>13318</v>
      </c>
      <c r="H1351">
        <v>17.68</v>
      </c>
      <c r="I1351">
        <v>0</v>
      </c>
      <c r="J1351">
        <v>0</v>
      </c>
      <c r="K1351">
        <v>28</v>
      </c>
      <c r="L1351">
        <v>7</v>
      </c>
      <c r="O1351">
        <v>7</v>
      </c>
      <c r="P1351">
        <v>4</v>
      </c>
      <c r="Q1351">
        <v>2</v>
      </c>
      <c r="R1351">
        <v>58.68</v>
      </c>
      <c r="S1351">
        <v>7</v>
      </c>
      <c r="T1351">
        <v>7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7</v>
      </c>
      <c r="AB1351">
        <v>0</v>
      </c>
      <c r="AC1351">
        <v>0</v>
      </c>
      <c r="AH1351">
        <v>65.680000000000007</v>
      </c>
    </row>
    <row r="1352" spans="1:34" x14ac:dyDescent="0.3">
      <c r="A1352" s="4">
        <v>1565</v>
      </c>
      <c r="B1352" s="5">
        <v>1345</v>
      </c>
      <c r="C1352">
        <v>13925</v>
      </c>
      <c r="D1352" t="s">
        <v>13319</v>
      </c>
      <c r="E1352" t="s">
        <v>8982</v>
      </c>
      <c r="F1352" t="s">
        <v>17</v>
      </c>
      <c r="G1352" t="s">
        <v>13320</v>
      </c>
      <c r="H1352">
        <v>18.68</v>
      </c>
      <c r="I1352">
        <v>0</v>
      </c>
      <c r="J1352">
        <v>0</v>
      </c>
      <c r="K1352">
        <v>20</v>
      </c>
      <c r="M1352">
        <v>5</v>
      </c>
      <c r="N1352">
        <v>3</v>
      </c>
      <c r="O1352">
        <v>8</v>
      </c>
      <c r="P1352">
        <v>4</v>
      </c>
      <c r="Q1352">
        <v>2</v>
      </c>
      <c r="R1352">
        <v>52.68</v>
      </c>
      <c r="S1352">
        <v>13</v>
      </c>
      <c r="T1352">
        <v>13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13</v>
      </c>
      <c r="AB1352">
        <v>0</v>
      </c>
      <c r="AC1352">
        <v>0</v>
      </c>
      <c r="AH1352">
        <v>65.680000000000007</v>
      </c>
    </row>
    <row r="1353" spans="1:34" x14ac:dyDescent="0.3">
      <c r="A1353" s="4">
        <v>1566</v>
      </c>
      <c r="B1353" s="5">
        <v>1346</v>
      </c>
      <c r="C1353">
        <v>5638</v>
      </c>
      <c r="D1353" t="s">
        <v>13321</v>
      </c>
      <c r="E1353" t="s">
        <v>54</v>
      </c>
      <c r="F1353" t="s">
        <v>136</v>
      </c>
      <c r="G1353" t="s">
        <v>13322</v>
      </c>
      <c r="H1353">
        <v>17.649999999999999</v>
      </c>
      <c r="I1353">
        <v>0</v>
      </c>
      <c r="J1353">
        <v>0</v>
      </c>
      <c r="K1353">
        <v>20</v>
      </c>
      <c r="L1353">
        <v>7</v>
      </c>
      <c r="O1353">
        <v>7</v>
      </c>
      <c r="P1353">
        <v>4</v>
      </c>
      <c r="Q1353">
        <v>2</v>
      </c>
      <c r="R1353">
        <v>50.65</v>
      </c>
      <c r="S1353">
        <v>15</v>
      </c>
      <c r="T1353">
        <v>15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15</v>
      </c>
      <c r="AB1353">
        <v>0</v>
      </c>
      <c r="AC1353">
        <v>0</v>
      </c>
      <c r="AH1353">
        <v>65.650000000000006</v>
      </c>
    </row>
    <row r="1354" spans="1:34" x14ac:dyDescent="0.3">
      <c r="A1354" s="4">
        <v>1567</v>
      </c>
      <c r="B1354" s="5">
        <v>1347</v>
      </c>
      <c r="C1354">
        <v>374</v>
      </c>
      <c r="D1354" t="s">
        <v>13323</v>
      </c>
      <c r="E1354" t="s">
        <v>283</v>
      </c>
      <c r="F1354" t="s">
        <v>416</v>
      </c>
      <c r="G1354" t="s">
        <v>13324</v>
      </c>
      <c r="H1354">
        <v>21.55</v>
      </c>
      <c r="I1354">
        <v>0</v>
      </c>
      <c r="J1354">
        <v>0</v>
      </c>
      <c r="K1354">
        <v>20</v>
      </c>
      <c r="L1354">
        <v>7</v>
      </c>
      <c r="N1354">
        <v>3</v>
      </c>
      <c r="O1354">
        <v>10</v>
      </c>
      <c r="P1354">
        <v>4</v>
      </c>
      <c r="Q1354">
        <v>2</v>
      </c>
      <c r="R1354">
        <v>57.55</v>
      </c>
      <c r="S1354">
        <v>5</v>
      </c>
      <c r="T1354">
        <v>5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5</v>
      </c>
      <c r="AB1354">
        <v>3</v>
      </c>
      <c r="AC1354">
        <v>0</v>
      </c>
      <c r="AH1354">
        <v>65.55</v>
      </c>
    </row>
    <row r="1355" spans="1:34" x14ac:dyDescent="0.3">
      <c r="A1355" s="4">
        <v>1568</v>
      </c>
      <c r="B1355" s="5">
        <v>1348</v>
      </c>
      <c r="C1355">
        <v>12154</v>
      </c>
      <c r="D1355" t="s">
        <v>165</v>
      </c>
      <c r="E1355" t="s">
        <v>41</v>
      </c>
      <c r="F1355" t="s">
        <v>91</v>
      </c>
      <c r="G1355" t="s">
        <v>13325</v>
      </c>
      <c r="H1355">
        <v>21.55</v>
      </c>
      <c r="I1355">
        <v>0</v>
      </c>
      <c r="J1355">
        <v>0</v>
      </c>
      <c r="K1355">
        <v>20</v>
      </c>
      <c r="N1355">
        <v>3</v>
      </c>
      <c r="O1355">
        <v>3</v>
      </c>
      <c r="P1355">
        <v>4</v>
      </c>
      <c r="Q1355">
        <v>0</v>
      </c>
      <c r="R1355">
        <v>48.55</v>
      </c>
      <c r="S1355">
        <v>17</v>
      </c>
      <c r="T1355">
        <v>17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17</v>
      </c>
      <c r="AB1355">
        <v>0</v>
      </c>
      <c r="AC1355">
        <v>0</v>
      </c>
      <c r="AH1355">
        <v>65.55</v>
      </c>
    </row>
    <row r="1356" spans="1:34" x14ac:dyDescent="0.3">
      <c r="A1356" s="4">
        <v>1569</v>
      </c>
      <c r="B1356" s="5">
        <v>1349</v>
      </c>
      <c r="C1356">
        <v>4337</v>
      </c>
      <c r="D1356" t="s">
        <v>13326</v>
      </c>
      <c r="E1356" t="s">
        <v>6725</v>
      </c>
      <c r="F1356" t="s">
        <v>136</v>
      </c>
      <c r="G1356" t="s">
        <v>13327</v>
      </c>
      <c r="H1356">
        <v>22.43</v>
      </c>
      <c r="I1356">
        <v>0</v>
      </c>
      <c r="J1356">
        <v>0</v>
      </c>
      <c r="K1356">
        <v>20</v>
      </c>
      <c r="L1356">
        <v>7</v>
      </c>
      <c r="O1356">
        <v>7</v>
      </c>
      <c r="P1356">
        <v>4</v>
      </c>
      <c r="Q1356">
        <v>2</v>
      </c>
      <c r="R1356">
        <v>55.43</v>
      </c>
      <c r="S1356">
        <v>10</v>
      </c>
      <c r="T1356">
        <v>10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10</v>
      </c>
      <c r="AB1356">
        <v>0</v>
      </c>
      <c r="AC1356">
        <v>0</v>
      </c>
      <c r="AH1356">
        <v>65.430000000000007</v>
      </c>
    </row>
    <row r="1357" spans="1:34" x14ac:dyDescent="0.3">
      <c r="A1357" s="4">
        <v>1570</v>
      </c>
      <c r="B1357" s="5">
        <v>1350</v>
      </c>
      <c r="C1357">
        <v>83</v>
      </c>
      <c r="D1357" t="s">
        <v>13328</v>
      </c>
      <c r="E1357" t="s">
        <v>255</v>
      </c>
      <c r="F1357" t="s">
        <v>38</v>
      </c>
      <c r="G1357" t="s">
        <v>13329</v>
      </c>
      <c r="H1357">
        <v>17.43</v>
      </c>
      <c r="I1357">
        <v>0</v>
      </c>
      <c r="J1357">
        <v>0</v>
      </c>
      <c r="K1357">
        <v>20</v>
      </c>
      <c r="L1357">
        <v>7</v>
      </c>
      <c r="M1357">
        <v>5</v>
      </c>
      <c r="O1357">
        <v>12</v>
      </c>
      <c r="P1357">
        <v>4</v>
      </c>
      <c r="Q1357">
        <v>2</v>
      </c>
      <c r="R1357">
        <v>55.43</v>
      </c>
      <c r="S1357">
        <v>10</v>
      </c>
      <c r="T1357">
        <v>10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10</v>
      </c>
      <c r="AB1357">
        <v>0</v>
      </c>
      <c r="AC1357">
        <v>0</v>
      </c>
      <c r="AD1357" t="s">
        <v>130</v>
      </c>
      <c r="AH1357">
        <v>65.430000000000007</v>
      </c>
    </row>
    <row r="1358" spans="1:34" x14ac:dyDescent="0.3">
      <c r="A1358" s="4">
        <v>1571</v>
      </c>
      <c r="B1358" s="5">
        <v>1351</v>
      </c>
      <c r="C1358">
        <v>11825</v>
      </c>
      <c r="D1358" t="s">
        <v>799</v>
      </c>
      <c r="E1358" t="s">
        <v>307</v>
      </c>
      <c r="F1358" t="s">
        <v>238</v>
      </c>
      <c r="G1358" t="s">
        <v>13330</v>
      </c>
      <c r="H1358">
        <v>19.43</v>
      </c>
      <c r="I1358">
        <v>0</v>
      </c>
      <c r="J1358">
        <v>0</v>
      </c>
      <c r="K1358">
        <v>20</v>
      </c>
      <c r="L1358">
        <v>7</v>
      </c>
      <c r="O1358">
        <v>7</v>
      </c>
      <c r="P1358">
        <v>4</v>
      </c>
      <c r="Q1358">
        <v>2</v>
      </c>
      <c r="R1358">
        <v>52.43</v>
      </c>
      <c r="S1358">
        <v>13</v>
      </c>
      <c r="T1358">
        <v>13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13</v>
      </c>
      <c r="AB1358">
        <v>0</v>
      </c>
      <c r="AC1358">
        <v>0</v>
      </c>
      <c r="AH1358">
        <v>65.430000000000007</v>
      </c>
    </row>
    <row r="1359" spans="1:34" x14ac:dyDescent="0.3">
      <c r="A1359" s="4">
        <v>1572</v>
      </c>
      <c r="B1359" s="5">
        <v>1352</v>
      </c>
      <c r="C1359">
        <v>5525</v>
      </c>
      <c r="D1359" t="s">
        <v>13331</v>
      </c>
      <c r="E1359" t="s">
        <v>54</v>
      </c>
      <c r="F1359" t="s">
        <v>17</v>
      </c>
      <c r="G1359" t="s">
        <v>13332</v>
      </c>
      <c r="H1359">
        <v>21.35</v>
      </c>
      <c r="I1359">
        <v>0</v>
      </c>
      <c r="J1359">
        <v>0</v>
      </c>
      <c r="K1359">
        <v>20</v>
      </c>
      <c r="L1359">
        <v>7</v>
      </c>
      <c r="O1359">
        <v>7</v>
      </c>
      <c r="P1359">
        <v>4</v>
      </c>
      <c r="Q1359">
        <v>2</v>
      </c>
      <c r="R1359">
        <v>54.35</v>
      </c>
      <c r="S1359">
        <v>11</v>
      </c>
      <c r="T1359">
        <v>11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11</v>
      </c>
      <c r="AB1359">
        <v>0</v>
      </c>
      <c r="AC1359">
        <v>0</v>
      </c>
      <c r="AH1359">
        <v>65.349999999999994</v>
      </c>
    </row>
    <row r="1360" spans="1:34" x14ac:dyDescent="0.3">
      <c r="A1360" s="4">
        <v>1573</v>
      </c>
      <c r="B1360" s="5">
        <v>1353</v>
      </c>
      <c r="C1360">
        <v>13920</v>
      </c>
      <c r="D1360" t="s">
        <v>13333</v>
      </c>
      <c r="E1360" t="s">
        <v>22</v>
      </c>
      <c r="F1360" t="s">
        <v>591</v>
      </c>
      <c r="G1360" t="s">
        <v>13334</v>
      </c>
      <c r="H1360">
        <v>16.3</v>
      </c>
      <c r="I1360">
        <v>0</v>
      </c>
      <c r="J1360">
        <v>0</v>
      </c>
      <c r="K1360">
        <v>20</v>
      </c>
      <c r="L1360">
        <v>7</v>
      </c>
      <c r="M1360">
        <v>5</v>
      </c>
      <c r="O1360">
        <v>12</v>
      </c>
      <c r="P1360">
        <v>4</v>
      </c>
      <c r="Q1360">
        <v>0</v>
      </c>
      <c r="R1360">
        <v>52.3</v>
      </c>
      <c r="S1360">
        <v>13</v>
      </c>
      <c r="T1360">
        <v>13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13</v>
      </c>
      <c r="AB1360">
        <v>0</v>
      </c>
      <c r="AC1360">
        <v>0</v>
      </c>
      <c r="AH1360">
        <v>65.3</v>
      </c>
    </row>
    <row r="1361" spans="1:34" x14ac:dyDescent="0.3">
      <c r="A1361" s="4">
        <v>1574</v>
      </c>
      <c r="B1361" s="5">
        <v>1354</v>
      </c>
      <c r="C1361">
        <v>6958</v>
      </c>
      <c r="D1361" t="s">
        <v>13335</v>
      </c>
      <c r="E1361" t="s">
        <v>13336</v>
      </c>
      <c r="F1361" t="s">
        <v>38</v>
      </c>
      <c r="G1361" t="s">
        <v>13337</v>
      </c>
      <c r="H1361">
        <v>18.25</v>
      </c>
      <c r="I1361">
        <v>0</v>
      </c>
      <c r="J1361">
        <v>0</v>
      </c>
      <c r="K1361">
        <v>20</v>
      </c>
      <c r="L1361">
        <v>7</v>
      </c>
      <c r="O1361">
        <v>7</v>
      </c>
      <c r="P1361">
        <v>4</v>
      </c>
      <c r="Q1361">
        <v>2</v>
      </c>
      <c r="R1361">
        <v>51.25</v>
      </c>
      <c r="S1361">
        <v>11</v>
      </c>
      <c r="T1361">
        <v>11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11</v>
      </c>
      <c r="AB1361">
        <v>3</v>
      </c>
      <c r="AC1361">
        <v>0</v>
      </c>
      <c r="AH1361">
        <v>65.25</v>
      </c>
    </row>
    <row r="1362" spans="1:34" x14ac:dyDescent="0.3">
      <c r="A1362" s="4">
        <v>1575</v>
      </c>
      <c r="B1362" s="5">
        <v>1355</v>
      </c>
      <c r="C1362">
        <v>914</v>
      </c>
      <c r="D1362" t="s">
        <v>2365</v>
      </c>
      <c r="E1362" t="s">
        <v>26</v>
      </c>
      <c r="F1362" t="s">
        <v>17</v>
      </c>
      <c r="G1362" t="s">
        <v>13338</v>
      </c>
      <c r="H1362">
        <v>21.25</v>
      </c>
      <c r="I1362">
        <v>0</v>
      </c>
      <c r="J1362">
        <v>0</v>
      </c>
      <c r="K1362">
        <v>20</v>
      </c>
      <c r="L1362">
        <v>7</v>
      </c>
      <c r="M1362">
        <v>5</v>
      </c>
      <c r="O1362">
        <v>12</v>
      </c>
      <c r="P1362">
        <v>4</v>
      </c>
      <c r="Q1362">
        <v>2</v>
      </c>
      <c r="R1362">
        <v>59.25</v>
      </c>
      <c r="S1362">
        <v>6</v>
      </c>
      <c r="T1362">
        <v>6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6</v>
      </c>
      <c r="AB1362">
        <v>0</v>
      </c>
      <c r="AC1362">
        <v>0</v>
      </c>
      <c r="AH1362">
        <v>65.25</v>
      </c>
    </row>
    <row r="1363" spans="1:34" x14ac:dyDescent="0.3">
      <c r="A1363" s="4">
        <v>1576</v>
      </c>
      <c r="B1363" s="5">
        <v>1356</v>
      </c>
      <c r="C1363">
        <v>4657</v>
      </c>
      <c r="D1363" t="s">
        <v>13339</v>
      </c>
      <c r="E1363" t="s">
        <v>132</v>
      </c>
      <c r="F1363" t="s">
        <v>38</v>
      </c>
      <c r="G1363" t="s">
        <v>13340</v>
      </c>
      <c r="H1363">
        <v>20.25</v>
      </c>
      <c r="I1363">
        <v>0</v>
      </c>
      <c r="J1363">
        <v>0</v>
      </c>
      <c r="K1363">
        <v>20</v>
      </c>
      <c r="L1363">
        <v>7</v>
      </c>
      <c r="N1363">
        <v>3</v>
      </c>
      <c r="O1363">
        <v>10</v>
      </c>
      <c r="P1363">
        <v>4</v>
      </c>
      <c r="Q1363">
        <v>0</v>
      </c>
      <c r="R1363">
        <v>54.25</v>
      </c>
      <c r="S1363">
        <v>11</v>
      </c>
      <c r="T1363">
        <v>11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11</v>
      </c>
      <c r="AB1363">
        <v>0</v>
      </c>
      <c r="AC1363">
        <v>0</v>
      </c>
      <c r="AH1363">
        <v>65.25</v>
      </c>
    </row>
    <row r="1364" spans="1:34" x14ac:dyDescent="0.3">
      <c r="A1364" s="4">
        <v>1577</v>
      </c>
      <c r="B1364" s="5">
        <v>1357</v>
      </c>
      <c r="C1364">
        <v>10322</v>
      </c>
      <c r="D1364" t="s">
        <v>317</v>
      </c>
      <c r="E1364" t="s">
        <v>161</v>
      </c>
      <c r="F1364" t="s">
        <v>298</v>
      </c>
      <c r="G1364" t="s">
        <v>13341</v>
      </c>
      <c r="H1364">
        <v>18.23</v>
      </c>
      <c r="I1364">
        <v>0</v>
      </c>
      <c r="J1364">
        <v>0</v>
      </c>
      <c r="K1364">
        <v>20</v>
      </c>
      <c r="L1364">
        <v>14</v>
      </c>
      <c r="O1364">
        <v>14</v>
      </c>
      <c r="P1364">
        <v>4</v>
      </c>
      <c r="Q1364">
        <v>0</v>
      </c>
      <c r="R1364">
        <v>56.23</v>
      </c>
      <c r="S1364">
        <v>9</v>
      </c>
      <c r="T1364">
        <v>9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9</v>
      </c>
      <c r="AB1364">
        <v>0</v>
      </c>
      <c r="AC1364">
        <v>0</v>
      </c>
      <c r="AH1364">
        <v>65.23</v>
      </c>
    </row>
    <row r="1365" spans="1:34" x14ac:dyDescent="0.3">
      <c r="A1365" s="4">
        <v>1578</v>
      </c>
      <c r="B1365" s="5">
        <v>1358</v>
      </c>
      <c r="C1365">
        <v>6627</v>
      </c>
      <c r="D1365" t="s">
        <v>7020</v>
      </c>
      <c r="E1365" t="s">
        <v>13342</v>
      </c>
      <c r="F1365" t="s">
        <v>117</v>
      </c>
      <c r="G1365" t="s">
        <v>13343</v>
      </c>
      <c r="H1365">
        <v>19.23</v>
      </c>
      <c r="I1365">
        <v>0</v>
      </c>
      <c r="J1365">
        <v>0</v>
      </c>
      <c r="K1365">
        <v>20</v>
      </c>
      <c r="L1365">
        <v>7</v>
      </c>
      <c r="N1365">
        <v>3</v>
      </c>
      <c r="O1365">
        <v>10</v>
      </c>
      <c r="P1365">
        <v>0</v>
      </c>
      <c r="Q1365">
        <v>2</v>
      </c>
      <c r="R1365">
        <v>51.23</v>
      </c>
      <c r="S1365">
        <v>14</v>
      </c>
      <c r="T1365">
        <v>14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14</v>
      </c>
      <c r="AB1365">
        <v>0</v>
      </c>
      <c r="AC1365">
        <v>0</v>
      </c>
      <c r="AH1365">
        <v>65.23</v>
      </c>
    </row>
    <row r="1366" spans="1:34" x14ac:dyDescent="0.3">
      <c r="A1366" s="4">
        <v>1579</v>
      </c>
      <c r="B1366" s="5">
        <v>1359</v>
      </c>
      <c r="C1366">
        <v>531</v>
      </c>
      <c r="D1366" t="s">
        <v>13344</v>
      </c>
      <c r="E1366" t="s">
        <v>41</v>
      </c>
      <c r="F1366" t="s">
        <v>81</v>
      </c>
      <c r="G1366" t="s">
        <v>13345</v>
      </c>
      <c r="H1366">
        <v>18.2</v>
      </c>
      <c r="I1366">
        <v>0</v>
      </c>
      <c r="J1366">
        <v>0</v>
      </c>
      <c r="K1366">
        <v>20</v>
      </c>
      <c r="L1366">
        <v>7</v>
      </c>
      <c r="O1366">
        <v>7</v>
      </c>
      <c r="P1366">
        <v>4</v>
      </c>
      <c r="Q1366">
        <v>2</v>
      </c>
      <c r="R1366">
        <v>51.2</v>
      </c>
      <c r="S1366">
        <v>11</v>
      </c>
      <c r="T1366">
        <v>11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11</v>
      </c>
      <c r="AB1366">
        <v>3</v>
      </c>
      <c r="AC1366">
        <v>0</v>
      </c>
      <c r="AH1366">
        <v>65.2</v>
      </c>
    </row>
    <row r="1367" spans="1:34" x14ac:dyDescent="0.3">
      <c r="A1367" s="4">
        <v>1580</v>
      </c>
      <c r="B1367" s="5">
        <v>1360</v>
      </c>
      <c r="C1367">
        <v>5731</v>
      </c>
      <c r="D1367" t="s">
        <v>13346</v>
      </c>
      <c r="E1367" t="s">
        <v>13347</v>
      </c>
      <c r="F1367" t="s">
        <v>124</v>
      </c>
      <c r="G1367" t="s">
        <v>13348</v>
      </c>
      <c r="H1367">
        <v>19.2</v>
      </c>
      <c r="I1367">
        <v>0</v>
      </c>
      <c r="J1367">
        <v>0</v>
      </c>
      <c r="K1367">
        <v>20</v>
      </c>
      <c r="N1367">
        <v>3</v>
      </c>
      <c r="O1367">
        <v>3</v>
      </c>
      <c r="P1367">
        <v>4</v>
      </c>
      <c r="Q1367">
        <v>0</v>
      </c>
      <c r="R1367">
        <v>46.2</v>
      </c>
      <c r="S1367">
        <v>16</v>
      </c>
      <c r="T1367">
        <v>16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16</v>
      </c>
      <c r="AB1367">
        <v>3</v>
      </c>
      <c r="AC1367">
        <v>0</v>
      </c>
      <c r="AH1367">
        <v>65.2</v>
      </c>
    </row>
    <row r="1368" spans="1:34" x14ac:dyDescent="0.3">
      <c r="A1368" s="4">
        <v>1581</v>
      </c>
      <c r="B1368" s="5">
        <v>1361</v>
      </c>
      <c r="C1368">
        <v>4450</v>
      </c>
      <c r="D1368" t="s">
        <v>13349</v>
      </c>
      <c r="E1368" t="s">
        <v>182</v>
      </c>
      <c r="F1368" t="s">
        <v>68</v>
      </c>
      <c r="G1368" t="s">
        <v>32055</v>
      </c>
      <c r="H1368">
        <v>17.18</v>
      </c>
      <c r="I1368">
        <v>0</v>
      </c>
      <c r="J1368">
        <v>0</v>
      </c>
      <c r="K1368">
        <v>20</v>
      </c>
      <c r="N1368">
        <v>6</v>
      </c>
      <c r="O1368">
        <v>6</v>
      </c>
      <c r="P1368">
        <v>4</v>
      </c>
      <c r="Q1368">
        <v>0</v>
      </c>
      <c r="R1368">
        <v>47.18</v>
      </c>
      <c r="S1368">
        <v>18</v>
      </c>
      <c r="T1368">
        <v>18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18</v>
      </c>
      <c r="AB1368">
        <v>0</v>
      </c>
      <c r="AC1368">
        <v>0</v>
      </c>
      <c r="AH1368">
        <v>65.180000000000007</v>
      </c>
    </row>
    <row r="1369" spans="1:34" x14ac:dyDescent="0.3">
      <c r="A1369" s="4">
        <v>1582</v>
      </c>
      <c r="B1369" s="5">
        <v>1362</v>
      </c>
      <c r="C1369">
        <v>4104</v>
      </c>
      <c r="D1369" t="s">
        <v>9931</v>
      </c>
      <c r="E1369" t="s">
        <v>41</v>
      </c>
      <c r="F1369" t="s">
        <v>442</v>
      </c>
      <c r="G1369" t="s">
        <v>13350</v>
      </c>
      <c r="H1369">
        <v>17.149999999999999</v>
      </c>
      <c r="I1369">
        <v>0</v>
      </c>
      <c r="J1369">
        <v>0</v>
      </c>
      <c r="K1369">
        <v>20</v>
      </c>
      <c r="L1369">
        <v>7</v>
      </c>
      <c r="M1369">
        <v>5</v>
      </c>
      <c r="O1369">
        <v>12</v>
      </c>
      <c r="P1369">
        <v>4</v>
      </c>
      <c r="Q1369">
        <v>2</v>
      </c>
      <c r="R1369">
        <v>55.15</v>
      </c>
      <c r="S1369">
        <v>7</v>
      </c>
      <c r="T1369">
        <v>7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7</v>
      </c>
      <c r="AB1369">
        <v>3</v>
      </c>
      <c r="AC1369">
        <v>0</v>
      </c>
      <c r="AH1369">
        <v>65.150000000000006</v>
      </c>
    </row>
    <row r="1370" spans="1:34" x14ac:dyDescent="0.3">
      <c r="A1370" s="4">
        <v>1583</v>
      </c>
      <c r="B1370" s="5">
        <v>1363</v>
      </c>
      <c r="C1370">
        <v>10921</v>
      </c>
      <c r="D1370" t="s">
        <v>13351</v>
      </c>
      <c r="E1370" t="s">
        <v>2743</v>
      </c>
      <c r="F1370" t="s">
        <v>17</v>
      </c>
      <c r="G1370" t="s">
        <v>32002</v>
      </c>
      <c r="H1370">
        <v>21.1</v>
      </c>
      <c r="I1370">
        <v>0</v>
      </c>
      <c r="J1370">
        <v>0</v>
      </c>
      <c r="K1370">
        <v>20</v>
      </c>
      <c r="L1370">
        <v>7</v>
      </c>
      <c r="O1370">
        <v>7</v>
      </c>
      <c r="P1370">
        <v>4</v>
      </c>
      <c r="Q1370">
        <v>2</v>
      </c>
      <c r="R1370">
        <v>54.1</v>
      </c>
      <c r="S1370">
        <v>11</v>
      </c>
      <c r="T1370">
        <v>11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11</v>
      </c>
      <c r="AB1370">
        <v>0</v>
      </c>
      <c r="AC1370">
        <v>0</v>
      </c>
      <c r="AH1370">
        <v>65.099999999999994</v>
      </c>
    </row>
    <row r="1371" spans="1:34" x14ac:dyDescent="0.3">
      <c r="A1371" s="4">
        <v>1584</v>
      </c>
      <c r="B1371" s="5">
        <v>1364</v>
      </c>
      <c r="C1371">
        <v>744</v>
      </c>
      <c r="D1371" t="s">
        <v>13352</v>
      </c>
      <c r="E1371" t="s">
        <v>13353</v>
      </c>
      <c r="F1371" t="s">
        <v>13354</v>
      </c>
      <c r="G1371" t="s">
        <v>13355</v>
      </c>
      <c r="H1371">
        <v>18.05</v>
      </c>
      <c r="I1371">
        <v>0</v>
      </c>
      <c r="J1371">
        <v>40</v>
      </c>
      <c r="K1371">
        <v>0</v>
      </c>
      <c r="L1371">
        <v>7</v>
      </c>
      <c r="O1371">
        <v>7</v>
      </c>
      <c r="P1371">
        <v>0</v>
      </c>
      <c r="Q1371">
        <v>0</v>
      </c>
      <c r="R1371">
        <v>65.05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H1371">
        <v>65.05</v>
      </c>
    </row>
    <row r="1372" spans="1:34" x14ac:dyDescent="0.3">
      <c r="A1372" s="4">
        <v>1585</v>
      </c>
      <c r="B1372" s="5">
        <v>1365</v>
      </c>
      <c r="C1372">
        <v>5641</v>
      </c>
      <c r="D1372" t="s">
        <v>1827</v>
      </c>
      <c r="E1372" t="s">
        <v>166</v>
      </c>
      <c r="F1372" t="s">
        <v>34</v>
      </c>
      <c r="G1372" t="s">
        <v>13356</v>
      </c>
      <c r="H1372">
        <v>21.03</v>
      </c>
      <c r="I1372">
        <v>0</v>
      </c>
      <c r="J1372">
        <v>0</v>
      </c>
      <c r="K1372">
        <v>20</v>
      </c>
      <c r="L1372">
        <v>7</v>
      </c>
      <c r="O1372">
        <v>7</v>
      </c>
      <c r="P1372">
        <v>4</v>
      </c>
      <c r="Q1372">
        <v>2</v>
      </c>
      <c r="R1372">
        <v>54.03</v>
      </c>
      <c r="S1372">
        <v>11</v>
      </c>
      <c r="T1372">
        <v>11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11</v>
      </c>
      <c r="AB1372">
        <v>0</v>
      </c>
      <c r="AC1372">
        <v>0</v>
      </c>
      <c r="AH1372">
        <v>65.03</v>
      </c>
    </row>
    <row r="1373" spans="1:34" x14ac:dyDescent="0.3">
      <c r="A1373" s="4">
        <v>1586</v>
      </c>
      <c r="B1373" s="5">
        <v>1366</v>
      </c>
      <c r="C1373">
        <v>10882</v>
      </c>
      <c r="D1373" t="s">
        <v>13357</v>
      </c>
      <c r="E1373" t="s">
        <v>286</v>
      </c>
      <c r="F1373" t="s">
        <v>117</v>
      </c>
      <c r="G1373" t="s">
        <v>13358</v>
      </c>
      <c r="H1373">
        <v>17.98</v>
      </c>
      <c r="I1373">
        <v>0</v>
      </c>
      <c r="J1373">
        <v>0</v>
      </c>
      <c r="K1373">
        <v>20</v>
      </c>
      <c r="L1373">
        <v>7</v>
      </c>
      <c r="O1373">
        <v>7</v>
      </c>
      <c r="P1373">
        <v>4</v>
      </c>
      <c r="Q1373">
        <v>2</v>
      </c>
      <c r="R1373">
        <v>50.98</v>
      </c>
      <c r="S1373">
        <v>14</v>
      </c>
      <c r="T1373">
        <v>14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14</v>
      </c>
      <c r="AB1373">
        <v>0</v>
      </c>
      <c r="AC1373">
        <v>0</v>
      </c>
      <c r="AH1373">
        <v>64.98</v>
      </c>
    </row>
    <row r="1374" spans="1:34" x14ac:dyDescent="0.3">
      <c r="A1374" s="4">
        <v>1587</v>
      </c>
      <c r="B1374" s="5">
        <v>1367</v>
      </c>
      <c r="C1374">
        <v>105</v>
      </c>
      <c r="D1374" t="s">
        <v>13359</v>
      </c>
      <c r="E1374" t="s">
        <v>166</v>
      </c>
      <c r="F1374" t="s">
        <v>158</v>
      </c>
      <c r="G1374" t="s">
        <v>13360</v>
      </c>
      <c r="H1374">
        <v>20.88</v>
      </c>
      <c r="I1374">
        <v>0</v>
      </c>
      <c r="J1374">
        <v>0</v>
      </c>
      <c r="K1374">
        <v>20</v>
      </c>
      <c r="L1374">
        <v>7</v>
      </c>
      <c r="O1374">
        <v>7</v>
      </c>
      <c r="P1374">
        <v>4</v>
      </c>
      <c r="Q1374">
        <v>2</v>
      </c>
      <c r="R1374">
        <v>53.88</v>
      </c>
      <c r="S1374">
        <v>11</v>
      </c>
      <c r="T1374">
        <v>11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11</v>
      </c>
      <c r="AB1374">
        <v>0</v>
      </c>
      <c r="AC1374">
        <v>0</v>
      </c>
      <c r="AH1374">
        <v>64.88</v>
      </c>
    </row>
    <row r="1375" spans="1:34" x14ac:dyDescent="0.3">
      <c r="A1375" s="4">
        <v>1588</v>
      </c>
      <c r="B1375" s="5">
        <v>1368</v>
      </c>
      <c r="C1375">
        <v>4370</v>
      </c>
      <c r="D1375" t="s">
        <v>13361</v>
      </c>
      <c r="E1375" t="s">
        <v>1117</v>
      </c>
      <c r="F1375" t="s">
        <v>539</v>
      </c>
      <c r="G1375" t="s">
        <v>13362</v>
      </c>
      <c r="H1375">
        <v>16.829999999999998</v>
      </c>
      <c r="I1375">
        <v>0</v>
      </c>
      <c r="J1375">
        <v>0</v>
      </c>
      <c r="K1375">
        <v>0</v>
      </c>
      <c r="L1375">
        <v>7</v>
      </c>
      <c r="O1375">
        <v>7</v>
      </c>
      <c r="P1375">
        <v>4</v>
      </c>
      <c r="Q1375">
        <v>2</v>
      </c>
      <c r="R1375">
        <v>29.83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3</v>
      </c>
      <c r="AC1375">
        <v>32</v>
      </c>
      <c r="AH1375">
        <v>64.83</v>
      </c>
    </row>
    <row r="1376" spans="1:34" x14ac:dyDescent="0.3">
      <c r="A1376" s="4">
        <v>1589</v>
      </c>
      <c r="B1376" s="5">
        <v>1369</v>
      </c>
      <c r="C1376">
        <v>13802</v>
      </c>
      <c r="D1376" t="s">
        <v>13363</v>
      </c>
      <c r="E1376" t="s">
        <v>13364</v>
      </c>
      <c r="F1376" t="s">
        <v>13365</v>
      </c>
      <c r="G1376" t="s">
        <v>13366</v>
      </c>
      <c r="H1376">
        <v>21.83</v>
      </c>
      <c r="I1376">
        <v>0</v>
      </c>
      <c r="J1376">
        <v>0</v>
      </c>
      <c r="K1376">
        <v>0</v>
      </c>
      <c r="L1376">
        <v>7</v>
      </c>
      <c r="O1376">
        <v>7</v>
      </c>
      <c r="P1376">
        <v>4</v>
      </c>
      <c r="Q1376">
        <v>2</v>
      </c>
      <c r="R1376">
        <v>34.83</v>
      </c>
      <c r="S1376">
        <v>27</v>
      </c>
      <c r="T1376">
        <v>27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27</v>
      </c>
      <c r="AB1376">
        <v>3</v>
      </c>
      <c r="AC1376">
        <v>0</v>
      </c>
      <c r="AH1376">
        <v>64.83</v>
      </c>
    </row>
    <row r="1377" spans="1:34" x14ac:dyDescent="0.3">
      <c r="A1377" s="4">
        <v>1590</v>
      </c>
      <c r="B1377" s="5">
        <v>1370</v>
      </c>
      <c r="C1377">
        <v>726</v>
      </c>
      <c r="D1377" t="s">
        <v>13367</v>
      </c>
      <c r="E1377" t="s">
        <v>29</v>
      </c>
      <c r="F1377" t="s">
        <v>457</v>
      </c>
      <c r="G1377" t="s">
        <v>13368</v>
      </c>
      <c r="H1377">
        <v>17.8</v>
      </c>
      <c r="I1377">
        <v>0</v>
      </c>
      <c r="J1377">
        <v>0</v>
      </c>
      <c r="K1377">
        <v>20</v>
      </c>
      <c r="N1377">
        <v>3</v>
      </c>
      <c r="O1377">
        <v>3</v>
      </c>
      <c r="P1377">
        <v>4</v>
      </c>
      <c r="Q1377">
        <v>2</v>
      </c>
      <c r="R1377">
        <v>46.8</v>
      </c>
      <c r="S1377">
        <v>18</v>
      </c>
      <c r="T1377">
        <v>18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18</v>
      </c>
      <c r="AB1377">
        <v>0</v>
      </c>
      <c r="AC1377">
        <v>0</v>
      </c>
      <c r="AH1377">
        <v>64.8</v>
      </c>
    </row>
    <row r="1378" spans="1:34" x14ac:dyDescent="0.3">
      <c r="A1378" s="4">
        <v>1591</v>
      </c>
      <c r="B1378" s="5">
        <v>1371</v>
      </c>
      <c r="C1378">
        <v>4955</v>
      </c>
      <c r="D1378" t="s">
        <v>13369</v>
      </c>
      <c r="E1378" t="s">
        <v>182</v>
      </c>
      <c r="F1378" t="s">
        <v>343</v>
      </c>
      <c r="G1378" t="s">
        <v>13370</v>
      </c>
      <c r="H1378">
        <v>16.68</v>
      </c>
      <c r="I1378">
        <v>7</v>
      </c>
      <c r="J1378">
        <v>0</v>
      </c>
      <c r="K1378">
        <v>28</v>
      </c>
      <c r="L1378">
        <v>7</v>
      </c>
      <c r="O1378">
        <v>7</v>
      </c>
      <c r="P1378">
        <v>4</v>
      </c>
      <c r="Q1378">
        <v>2</v>
      </c>
      <c r="R1378">
        <v>64.680000000000007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 t="s">
        <v>130</v>
      </c>
      <c r="AH1378">
        <v>64.680000000000007</v>
      </c>
    </row>
    <row r="1379" spans="1:34" x14ac:dyDescent="0.3">
      <c r="A1379" s="4">
        <v>1592</v>
      </c>
      <c r="B1379" s="5">
        <v>1372</v>
      </c>
      <c r="C1379">
        <v>14952</v>
      </c>
      <c r="D1379" t="s">
        <v>3599</v>
      </c>
      <c r="E1379" t="s">
        <v>5505</v>
      </c>
      <c r="F1379" t="s">
        <v>34</v>
      </c>
      <c r="G1379" t="s">
        <v>13371</v>
      </c>
      <c r="H1379">
        <v>20.65</v>
      </c>
      <c r="I1379">
        <v>0</v>
      </c>
      <c r="J1379">
        <v>0</v>
      </c>
      <c r="K1379">
        <v>20</v>
      </c>
      <c r="L1379">
        <v>14</v>
      </c>
      <c r="O1379">
        <v>14</v>
      </c>
      <c r="P1379">
        <v>4</v>
      </c>
      <c r="Q1379">
        <v>0</v>
      </c>
      <c r="R1379">
        <v>58.65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6</v>
      </c>
      <c r="AC1379">
        <v>0</v>
      </c>
      <c r="AH1379">
        <v>64.650000000000006</v>
      </c>
    </row>
    <row r="1380" spans="1:34" x14ac:dyDescent="0.3">
      <c r="A1380" s="4">
        <v>1593</v>
      </c>
      <c r="B1380" s="5">
        <v>1373</v>
      </c>
      <c r="C1380">
        <v>9142</v>
      </c>
      <c r="D1380" t="s">
        <v>7041</v>
      </c>
      <c r="E1380" t="s">
        <v>697</v>
      </c>
      <c r="F1380" t="s">
        <v>81</v>
      </c>
      <c r="G1380" t="s">
        <v>13372</v>
      </c>
      <c r="H1380">
        <v>18.5</v>
      </c>
      <c r="I1380">
        <v>0</v>
      </c>
      <c r="J1380">
        <v>0</v>
      </c>
      <c r="K1380">
        <v>0</v>
      </c>
      <c r="N1380">
        <v>3</v>
      </c>
      <c r="O1380">
        <v>3</v>
      </c>
      <c r="P1380">
        <v>4</v>
      </c>
      <c r="Q1380">
        <v>2</v>
      </c>
      <c r="R1380">
        <v>27.5</v>
      </c>
      <c r="S1380">
        <v>23</v>
      </c>
      <c r="T1380">
        <v>23</v>
      </c>
      <c r="U1380">
        <v>7</v>
      </c>
      <c r="V1380">
        <v>14</v>
      </c>
      <c r="W1380">
        <v>0</v>
      </c>
      <c r="X1380">
        <v>0</v>
      </c>
      <c r="Y1380">
        <v>0</v>
      </c>
      <c r="Z1380">
        <v>0</v>
      </c>
      <c r="AA1380">
        <v>37</v>
      </c>
      <c r="AB1380">
        <v>0</v>
      </c>
      <c r="AC1380">
        <v>0</v>
      </c>
      <c r="AH1380">
        <v>64.5</v>
      </c>
    </row>
    <row r="1381" spans="1:34" x14ac:dyDescent="0.3">
      <c r="A1381" s="4">
        <v>1594</v>
      </c>
      <c r="B1381" s="5">
        <v>1374</v>
      </c>
      <c r="C1381">
        <v>4092</v>
      </c>
      <c r="D1381" t="s">
        <v>2416</v>
      </c>
      <c r="E1381" t="s">
        <v>22</v>
      </c>
      <c r="F1381" t="s">
        <v>626</v>
      </c>
      <c r="G1381" t="s">
        <v>13373</v>
      </c>
      <c r="H1381">
        <v>18.45</v>
      </c>
      <c r="I1381">
        <v>0</v>
      </c>
      <c r="J1381">
        <v>0</v>
      </c>
      <c r="K1381">
        <v>20</v>
      </c>
      <c r="L1381">
        <v>7</v>
      </c>
      <c r="O1381">
        <v>7</v>
      </c>
      <c r="P1381">
        <v>0</v>
      </c>
      <c r="Q1381">
        <v>0</v>
      </c>
      <c r="R1381">
        <v>45.45</v>
      </c>
      <c r="S1381">
        <v>19</v>
      </c>
      <c r="T1381">
        <v>19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19</v>
      </c>
      <c r="AB1381">
        <v>0</v>
      </c>
      <c r="AC1381">
        <v>0</v>
      </c>
      <c r="AH1381">
        <v>64.45</v>
      </c>
    </row>
    <row r="1382" spans="1:34" x14ac:dyDescent="0.3">
      <c r="A1382" s="4">
        <v>1595</v>
      </c>
      <c r="B1382" s="5">
        <v>1375</v>
      </c>
      <c r="C1382">
        <v>4206</v>
      </c>
      <c r="D1382" t="s">
        <v>13374</v>
      </c>
      <c r="E1382" t="s">
        <v>97</v>
      </c>
      <c r="F1382" t="s">
        <v>68</v>
      </c>
      <c r="G1382" t="s">
        <v>13375</v>
      </c>
      <c r="H1382">
        <v>20.43</v>
      </c>
      <c r="I1382">
        <v>0</v>
      </c>
      <c r="J1382">
        <v>0</v>
      </c>
      <c r="K1382">
        <v>20</v>
      </c>
      <c r="L1382">
        <v>7</v>
      </c>
      <c r="N1382">
        <v>3</v>
      </c>
      <c r="O1382">
        <v>10</v>
      </c>
      <c r="P1382">
        <v>4</v>
      </c>
      <c r="Q1382">
        <v>0</v>
      </c>
      <c r="R1382">
        <v>54.43</v>
      </c>
      <c r="S1382">
        <v>10</v>
      </c>
      <c r="T1382">
        <v>10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10</v>
      </c>
      <c r="AB1382">
        <v>0</v>
      </c>
      <c r="AC1382">
        <v>0</v>
      </c>
      <c r="AH1382">
        <v>64.430000000000007</v>
      </c>
    </row>
    <row r="1383" spans="1:34" x14ac:dyDescent="0.3">
      <c r="A1383" s="4">
        <v>1596</v>
      </c>
      <c r="B1383" s="5">
        <v>1376</v>
      </c>
      <c r="C1383">
        <v>13104</v>
      </c>
      <c r="D1383" t="s">
        <v>13376</v>
      </c>
      <c r="E1383" t="s">
        <v>37</v>
      </c>
      <c r="F1383" t="s">
        <v>81</v>
      </c>
      <c r="G1383" t="s">
        <v>13377</v>
      </c>
      <c r="H1383">
        <v>20.43</v>
      </c>
      <c r="I1383">
        <v>0</v>
      </c>
      <c r="J1383">
        <v>0</v>
      </c>
      <c r="K1383">
        <v>20</v>
      </c>
      <c r="L1383">
        <v>7</v>
      </c>
      <c r="O1383">
        <v>7</v>
      </c>
      <c r="P1383">
        <v>4</v>
      </c>
      <c r="Q1383">
        <v>2</v>
      </c>
      <c r="R1383">
        <v>53.43</v>
      </c>
      <c r="S1383">
        <v>11</v>
      </c>
      <c r="T1383">
        <v>11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11</v>
      </c>
      <c r="AB1383">
        <v>0</v>
      </c>
      <c r="AC1383">
        <v>0</v>
      </c>
      <c r="AH1383">
        <v>64.430000000000007</v>
      </c>
    </row>
    <row r="1384" spans="1:34" x14ac:dyDescent="0.3">
      <c r="A1384" s="4">
        <v>1597</v>
      </c>
      <c r="B1384" s="5">
        <v>1377</v>
      </c>
      <c r="C1384">
        <v>1612</v>
      </c>
      <c r="D1384" t="s">
        <v>13378</v>
      </c>
      <c r="E1384" t="s">
        <v>13379</v>
      </c>
      <c r="F1384" t="s">
        <v>17</v>
      </c>
      <c r="G1384" t="s">
        <v>13380</v>
      </c>
      <c r="H1384">
        <v>17.399999999999999</v>
      </c>
      <c r="I1384">
        <v>0</v>
      </c>
      <c r="J1384">
        <v>0</v>
      </c>
      <c r="K1384">
        <v>20</v>
      </c>
      <c r="L1384">
        <v>7</v>
      </c>
      <c r="O1384">
        <v>7</v>
      </c>
      <c r="P1384">
        <v>0</v>
      </c>
      <c r="Q1384">
        <v>2</v>
      </c>
      <c r="R1384">
        <v>46.4</v>
      </c>
      <c r="S1384">
        <v>0</v>
      </c>
      <c r="T1384">
        <v>0</v>
      </c>
      <c r="U1384">
        <v>6</v>
      </c>
      <c r="V1384">
        <v>12</v>
      </c>
      <c r="W1384">
        <v>0</v>
      </c>
      <c r="X1384">
        <v>0</v>
      </c>
      <c r="Y1384">
        <v>0</v>
      </c>
      <c r="Z1384">
        <v>0</v>
      </c>
      <c r="AA1384">
        <v>12</v>
      </c>
      <c r="AB1384">
        <v>6</v>
      </c>
      <c r="AC1384">
        <v>0</v>
      </c>
      <c r="AH1384">
        <v>64.400000000000006</v>
      </c>
    </row>
    <row r="1385" spans="1:34" x14ac:dyDescent="0.3">
      <c r="A1385" s="4">
        <v>1598</v>
      </c>
      <c r="B1385" s="5">
        <v>1378</v>
      </c>
      <c r="C1385">
        <v>4002</v>
      </c>
      <c r="D1385" t="s">
        <v>13381</v>
      </c>
      <c r="E1385" t="s">
        <v>41</v>
      </c>
      <c r="F1385" t="s">
        <v>1748</v>
      </c>
      <c r="G1385" t="s">
        <v>13382</v>
      </c>
      <c r="H1385">
        <v>19.399999999999999</v>
      </c>
      <c r="I1385">
        <v>7</v>
      </c>
      <c r="J1385">
        <v>0</v>
      </c>
      <c r="K1385">
        <v>28</v>
      </c>
      <c r="N1385">
        <v>6</v>
      </c>
      <c r="O1385">
        <v>6</v>
      </c>
      <c r="P1385">
        <v>4</v>
      </c>
      <c r="Q1385">
        <v>0</v>
      </c>
      <c r="R1385">
        <v>64.400000000000006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H1385">
        <v>64.400000000000006</v>
      </c>
    </row>
    <row r="1386" spans="1:34" x14ac:dyDescent="0.3">
      <c r="A1386" s="4">
        <v>1599</v>
      </c>
      <c r="B1386" s="5">
        <v>1379</v>
      </c>
      <c r="C1386">
        <v>11349</v>
      </c>
      <c r="D1386" t="s">
        <v>13383</v>
      </c>
      <c r="E1386" t="s">
        <v>390</v>
      </c>
      <c r="F1386" t="s">
        <v>1806</v>
      </c>
      <c r="G1386" t="s">
        <v>13384</v>
      </c>
      <c r="H1386">
        <v>17.399999999999999</v>
      </c>
      <c r="I1386">
        <v>0</v>
      </c>
      <c r="J1386">
        <v>0</v>
      </c>
      <c r="K1386">
        <v>20</v>
      </c>
      <c r="L1386">
        <v>7</v>
      </c>
      <c r="O1386">
        <v>7</v>
      </c>
      <c r="P1386">
        <v>4</v>
      </c>
      <c r="Q1386">
        <v>2</v>
      </c>
      <c r="R1386">
        <v>50.4</v>
      </c>
      <c r="S1386">
        <v>4</v>
      </c>
      <c r="T1386">
        <v>4</v>
      </c>
      <c r="U1386">
        <v>0</v>
      </c>
      <c r="V1386">
        <v>0</v>
      </c>
      <c r="W1386">
        <v>7</v>
      </c>
      <c r="X1386">
        <v>10</v>
      </c>
      <c r="Y1386">
        <v>0</v>
      </c>
      <c r="Z1386">
        <v>0</v>
      </c>
      <c r="AA1386">
        <v>14</v>
      </c>
      <c r="AB1386">
        <v>0</v>
      </c>
      <c r="AC1386">
        <v>0</v>
      </c>
      <c r="AH1386">
        <v>64.400000000000006</v>
      </c>
    </row>
    <row r="1387" spans="1:34" x14ac:dyDescent="0.3">
      <c r="A1387" s="4">
        <v>1600</v>
      </c>
      <c r="B1387" s="5">
        <v>1380</v>
      </c>
      <c r="C1387">
        <v>8893</v>
      </c>
      <c r="D1387" t="s">
        <v>3401</v>
      </c>
      <c r="E1387" t="s">
        <v>188</v>
      </c>
      <c r="F1387" t="s">
        <v>190</v>
      </c>
      <c r="G1387" t="s">
        <v>13385</v>
      </c>
      <c r="H1387">
        <v>19.38</v>
      </c>
      <c r="I1387">
        <v>0</v>
      </c>
      <c r="J1387">
        <v>0</v>
      </c>
      <c r="K1387">
        <v>20</v>
      </c>
      <c r="L1387">
        <v>7</v>
      </c>
      <c r="O1387">
        <v>7</v>
      </c>
      <c r="P1387">
        <v>4</v>
      </c>
      <c r="Q1387">
        <v>0</v>
      </c>
      <c r="R1387">
        <v>50.38</v>
      </c>
      <c r="S1387">
        <v>11</v>
      </c>
      <c r="T1387">
        <v>11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11</v>
      </c>
      <c r="AB1387">
        <v>3</v>
      </c>
      <c r="AC1387">
        <v>0</v>
      </c>
      <c r="AH1387">
        <v>64.38</v>
      </c>
    </row>
    <row r="1388" spans="1:34" x14ac:dyDescent="0.3">
      <c r="A1388" s="4">
        <v>1601</v>
      </c>
      <c r="B1388" s="5">
        <v>1381</v>
      </c>
      <c r="C1388">
        <v>8270</v>
      </c>
      <c r="D1388" t="s">
        <v>13386</v>
      </c>
      <c r="E1388" t="s">
        <v>439</v>
      </c>
      <c r="F1388" t="s">
        <v>782</v>
      </c>
      <c r="G1388" t="s">
        <v>13387</v>
      </c>
      <c r="H1388">
        <v>20.149999999999999</v>
      </c>
      <c r="I1388">
        <v>0</v>
      </c>
      <c r="J1388">
        <v>0</v>
      </c>
      <c r="K1388">
        <v>20</v>
      </c>
      <c r="L1388">
        <v>7</v>
      </c>
      <c r="O1388">
        <v>7</v>
      </c>
      <c r="P1388">
        <v>4</v>
      </c>
      <c r="Q1388">
        <v>0</v>
      </c>
      <c r="R1388">
        <v>51.15</v>
      </c>
      <c r="S1388">
        <v>13</v>
      </c>
      <c r="T1388">
        <v>13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13</v>
      </c>
      <c r="AB1388">
        <v>0</v>
      </c>
      <c r="AC1388">
        <v>0</v>
      </c>
      <c r="AH1388">
        <v>64.150000000000006</v>
      </c>
    </row>
    <row r="1389" spans="1:34" x14ac:dyDescent="0.3">
      <c r="A1389" s="4">
        <v>1602</v>
      </c>
      <c r="B1389" s="5">
        <v>1382</v>
      </c>
      <c r="C1389">
        <v>10522</v>
      </c>
      <c r="D1389" t="s">
        <v>1033</v>
      </c>
      <c r="E1389" t="s">
        <v>41</v>
      </c>
      <c r="F1389" t="s">
        <v>17</v>
      </c>
      <c r="G1389" t="s">
        <v>13388</v>
      </c>
      <c r="H1389">
        <v>20.13</v>
      </c>
      <c r="I1389">
        <v>0</v>
      </c>
      <c r="J1389">
        <v>0</v>
      </c>
      <c r="K1389">
        <v>0</v>
      </c>
      <c r="N1389">
        <v>6</v>
      </c>
      <c r="O1389">
        <v>6</v>
      </c>
      <c r="P1389">
        <v>4</v>
      </c>
      <c r="Q1389">
        <v>2</v>
      </c>
      <c r="R1389">
        <v>32.130000000000003</v>
      </c>
      <c r="S1389">
        <v>29</v>
      </c>
      <c r="T1389">
        <v>29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29</v>
      </c>
      <c r="AB1389">
        <v>3</v>
      </c>
      <c r="AC1389">
        <v>0</v>
      </c>
      <c r="AH1389">
        <v>64.13</v>
      </c>
    </row>
    <row r="1390" spans="1:34" x14ac:dyDescent="0.3">
      <c r="A1390" s="4">
        <v>1603</v>
      </c>
      <c r="B1390" s="5">
        <v>1383</v>
      </c>
      <c r="C1390">
        <v>13375</v>
      </c>
      <c r="D1390" t="s">
        <v>1923</v>
      </c>
      <c r="E1390" t="s">
        <v>100</v>
      </c>
      <c r="F1390" t="s">
        <v>17</v>
      </c>
      <c r="G1390" t="s">
        <v>13389</v>
      </c>
      <c r="H1390">
        <v>21.13</v>
      </c>
      <c r="I1390">
        <v>0</v>
      </c>
      <c r="J1390">
        <v>0</v>
      </c>
      <c r="K1390">
        <v>0</v>
      </c>
      <c r="L1390">
        <v>7</v>
      </c>
      <c r="O1390">
        <v>7</v>
      </c>
      <c r="P1390">
        <v>4</v>
      </c>
      <c r="Q1390">
        <v>2</v>
      </c>
      <c r="R1390">
        <v>34.130000000000003</v>
      </c>
      <c r="S1390">
        <v>30</v>
      </c>
      <c r="T1390">
        <v>30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30</v>
      </c>
      <c r="AB1390">
        <v>0</v>
      </c>
      <c r="AC1390">
        <v>0</v>
      </c>
      <c r="AH1390">
        <v>64.13</v>
      </c>
    </row>
    <row r="1391" spans="1:34" x14ac:dyDescent="0.3">
      <c r="A1391" s="4">
        <v>1604</v>
      </c>
      <c r="B1391" s="5">
        <v>1384</v>
      </c>
      <c r="C1391">
        <v>12659</v>
      </c>
      <c r="D1391" t="s">
        <v>13390</v>
      </c>
      <c r="E1391" t="s">
        <v>17</v>
      </c>
      <c r="F1391" t="s">
        <v>30</v>
      </c>
      <c r="G1391" t="s">
        <v>13391</v>
      </c>
      <c r="H1391">
        <v>20.100000000000001</v>
      </c>
      <c r="I1391">
        <v>7</v>
      </c>
      <c r="J1391">
        <v>0</v>
      </c>
      <c r="K1391">
        <v>20</v>
      </c>
      <c r="L1391">
        <v>7</v>
      </c>
      <c r="O1391">
        <v>7</v>
      </c>
      <c r="P1391">
        <v>4</v>
      </c>
      <c r="Q1391">
        <v>0</v>
      </c>
      <c r="R1391">
        <v>58.1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6</v>
      </c>
      <c r="AC1391">
        <v>0</v>
      </c>
      <c r="AH1391">
        <v>64.099999999999994</v>
      </c>
    </row>
    <row r="1392" spans="1:34" x14ac:dyDescent="0.3">
      <c r="A1392" s="4">
        <v>1605</v>
      </c>
      <c r="B1392" s="5">
        <v>1385</v>
      </c>
      <c r="C1392">
        <v>3412</v>
      </c>
      <c r="D1392" t="s">
        <v>8885</v>
      </c>
      <c r="E1392" t="s">
        <v>182</v>
      </c>
      <c r="F1392" t="s">
        <v>136</v>
      </c>
      <c r="G1392" t="s">
        <v>13392</v>
      </c>
      <c r="H1392">
        <v>18.100000000000001</v>
      </c>
      <c r="I1392">
        <v>0</v>
      </c>
      <c r="J1392">
        <v>0</v>
      </c>
      <c r="K1392">
        <v>20</v>
      </c>
      <c r="L1392">
        <v>7</v>
      </c>
      <c r="N1392">
        <v>3</v>
      </c>
      <c r="O1392">
        <v>10</v>
      </c>
      <c r="P1392">
        <v>4</v>
      </c>
      <c r="Q1392">
        <v>2</v>
      </c>
      <c r="R1392">
        <v>54.1</v>
      </c>
      <c r="S1392">
        <v>10</v>
      </c>
      <c r="T1392">
        <v>10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10</v>
      </c>
      <c r="AB1392">
        <v>0</v>
      </c>
      <c r="AC1392">
        <v>0</v>
      </c>
      <c r="AH1392">
        <v>64.099999999999994</v>
      </c>
    </row>
    <row r="1393" spans="1:34" x14ac:dyDescent="0.3">
      <c r="A1393" s="4">
        <v>1606</v>
      </c>
      <c r="B1393" s="5">
        <v>1386</v>
      </c>
      <c r="C1393">
        <v>1030</v>
      </c>
      <c r="D1393" t="s">
        <v>6423</v>
      </c>
      <c r="E1393" t="s">
        <v>3364</v>
      </c>
      <c r="F1393" t="s">
        <v>20</v>
      </c>
      <c r="G1393" t="s">
        <v>13393</v>
      </c>
      <c r="H1393">
        <v>18</v>
      </c>
      <c r="I1393">
        <v>0</v>
      </c>
      <c r="J1393">
        <v>0</v>
      </c>
      <c r="K1393">
        <v>28</v>
      </c>
      <c r="L1393">
        <v>7</v>
      </c>
      <c r="O1393">
        <v>7</v>
      </c>
      <c r="P1393">
        <v>4</v>
      </c>
      <c r="Q1393">
        <v>0</v>
      </c>
      <c r="R1393">
        <v>57</v>
      </c>
      <c r="S1393">
        <v>7</v>
      </c>
      <c r="T1393">
        <v>7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7</v>
      </c>
      <c r="AB1393">
        <v>0</v>
      </c>
      <c r="AC1393">
        <v>0</v>
      </c>
      <c r="AH1393">
        <v>64</v>
      </c>
    </row>
    <row r="1394" spans="1:34" x14ac:dyDescent="0.3">
      <c r="A1394" s="4">
        <v>1607</v>
      </c>
      <c r="B1394" s="5">
        <v>1387</v>
      </c>
      <c r="C1394">
        <v>15223</v>
      </c>
      <c r="D1394" t="s">
        <v>13394</v>
      </c>
      <c r="E1394" t="s">
        <v>208</v>
      </c>
      <c r="F1394" t="s">
        <v>17</v>
      </c>
      <c r="G1394" t="s">
        <v>13395</v>
      </c>
      <c r="H1394">
        <v>23</v>
      </c>
      <c r="I1394">
        <v>0</v>
      </c>
      <c r="J1394">
        <v>0</v>
      </c>
      <c r="K1394">
        <v>20</v>
      </c>
      <c r="L1394">
        <v>7</v>
      </c>
      <c r="O1394">
        <v>7</v>
      </c>
      <c r="P1394">
        <v>4</v>
      </c>
      <c r="Q1394">
        <v>0</v>
      </c>
      <c r="R1394">
        <v>54</v>
      </c>
      <c r="S1394">
        <v>10</v>
      </c>
      <c r="T1394">
        <v>10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10</v>
      </c>
      <c r="AB1394">
        <v>0</v>
      </c>
      <c r="AC1394">
        <v>0</v>
      </c>
      <c r="AH1394">
        <v>64</v>
      </c>
    </row>
    <row r="1395" spans="1:34" x14ac:dyDescent="0.3">
      <c r="A1395" s="4">
        <v>1608</v>
      </c>
      <c r="B1395" s="5">
        <v>1388</v>
      </c>
      <c r="C1395">
        <v>13937</v>
      </c>
      <c r="D1395" t="s">
        <v>13396</v>
      </c>
      <c r="E1395" t="s">
        <v>29</v>
      </c>
      <c r="F1395" t="s">
        <v>190</v>
      </c>
      <c r="G1395" t="s">
        <v>13397</v>
      </c>
      <c r="H1395">
        <v>19.98</v>
      </c>
      <c r="I1395">
        <v>7</v>
      </c>
      <c r="J1395">
        <v>0</v>
      </c>
      <c r="K1395">
        <v>20</v>
      </c>
      <c r="L1395">
        <v>14</v>
      </c>
      <c r="O1395">
        <v>14</v>
      </c>
      <c r="P1395">
        <v>0</v>
      </c>
      <c r="Q1395">
        <v>0</v>
      </c>
      <c r="R1395">
        <v>60.98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3</v>
      </c>
      <c r="AC1395">
        <v>0</v>
      </c>
      <c r="AH1395">
        <v>63.98</v>
      </c>
    </row>
    <row r="1396" spans="1:34" x14ac:dyDescent="0.3">
      <c r="A1396" s="4">
        <v>1609</v>
      </c>
      <c r="B1396" s="5">
        <v>1389</v>
      </c>
      <c r="C1396">
        <v>7827</v>
      </c>
      <c r="D1396" t="s">
        <v>13398</v>
      </c>
      <c r="E1396" t="s">
        <v>110</v>
      </c>
      <c r="F1396" t="s">
        <v>328</v>
      </c>
      <c r="G1396" t="s">
        <v>13399</v>
      </c>
      <c r="H1396">
        <v>20.98</v>
      </c>
      <c r="I1396">
        <v>0</v>
      </c>
      <c r="J1396">
        <v>0</v>
      </c>
      <c r="K1396">
        <v>20</v>
      </c>
      <c r="L1396">
        <v>7</v>
      </c>
      <c r="O1396">
        <v>7</v>
      </c>
      <c r="P1396">
        <v>4</v>
      </c>
      <c r="Q1396">
        <v>2</v>
      </c>
      <c r="R1396">
        <v>53.98</v>
      </c>
      <c r="S1396">
        <v>10</v>
      </c>
      <c r="T1396">
        <v>10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10</v>
      </c>
      <c r="AB1396">
        <v>0</v>
      </c>
      <c r="AC1396">
        <v>0</v>
      </c>
      <c r="AH1396">
        <v>63.98</v>
      </c>
    </row>
    <row r="1397" spans="1:34" x14ac:dyDescent="0.3">
      <c r="A1397" s="4">
        <v>1610</v>
      </c>
      <c r="B1397" s="5">
        <v>1390</v>
      </c>
      <c r="C1397">
        <v>1217</v>
      </c>
      <c r="D1397" t="s">
        <v>93</v>
      </c>
      <c r="E1397" t="s">
        <v>19</v>
      </c>
      <c r="F1397" t="s">
        <v>539</v>
      </c>
      <c r="G1397" t="s">
        <v>13400</v>
      </c>
      <c r="H1397">
        <v>19.93</v>
      </c>
      <c r="I1397">
        <v>0</v>
      </c>
      <c r="J1397">
        <v>0</v>
      </c>
      <c r="K1397">
        <v>20</v>
      </c>
      <c r="L1397">
        <v>7</v>
      </c>
      <c r="M1397">
        <v>5</v>
      </c>
      <c r="O1397">
        <v>12</v>
      </c>
      <c r="P1397">
        <v>4</v>
      </c>
      <c r="Q1397">
        <v>2</v>
      </c>
      <c r="R1397">
        <v>57.93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6</v>
      </c>
      <c r="AC1397">
        <v>0</v>
      </c>
      <c r="AH1397">
        <v>63.93</v>
      </c>
    </row>
    <row r="1398" spans="1:34" x14ac:dyDescent="0.3">
      <c r="A1398" s="4">
        <v>1611</v>
      </c>
      <c r="B1398" s="5">
        <v>1391</v>
      </c>
      <c r="C1398">
        <v>9862</v>
      </c>
      <c r="D1398" t="s">
        <v>13401</v>
      </c>
      <c r="E1398" t="s">
        <v>9150</v>
      </c>
      <c r="F1398" t="s">
        <v>385</v>
      </c>
      <c r="G1398" t="s">
        <v>13402</v>
      </c>
      <c r="H1398">
        <v>19.899999999999999</v>
      </c>
      <c r="I1398">
        <v>0</v>
      </c>
      <c r="J1398">
        <v>0</v>
      </c>
      <c r="K1398">
        <v>20</v>
      </c>
      <c r="L1398">
        <v>7</v>
      </c>
      <c r="M1398">
        <v>5</v>
      </c>
      <c r="O1398">
        <v>12</v>
      </c>
      <c r="P1398">
        <v>4</v>
      </c>
      <c r="Q1398">
        <v>2</v>
      </c>
      <c r="R1398">
        <v>57.9</v>
      </c>
      <c r="S1398">
        <v>6</v>
      </c>
      <c r="T1398">
        <v>6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6</v>
      </c>
      <c r="AB1398">
        <v>0</v>
      </c>
      <c r="AC1398">
        <v>0</v>
      </c>
      <c r="AH1398">
        <v>63.9</v>
      </c>
    </row>
    <row r="1399" spans="1:34" x14ac:dyDescent="0.3">
      <c r="A1399" s="4">
        <v>1612</v>
      </c>
      <c r="B1399" s="5">
        <v>1392</v>
      </c>
      <c r="C1399">
        <v>3044</v>
      </c>
      <c r="D1399" t="s">
        <v>2100</v>
      </c>
      <c r="E1399" t="s">
        <v>33</v>
      </c>
      <c r="F1399" t="s">
        <v>20</v>
      </c>
      <c r="G1399" t="s">
        <v>13403</v>
      </c>
      <c r="H1399">
        <v>20.83</v>
      </c>
      <c r="I1399">
        <v>0</v>
      </c>
      <c r="J1399">
        <v>0</v>
      </c>
      <c r="K1399">
        <v>0</v>
      </c>
      <c r="L1399">
        <v>7</v>
      </c>
      <c r="O1399">
        <v>7</v>
      </c>
      <c r="P1399">
        <v>4</v>
      </c>
      <c r="Q1399">
        <v>2</v>
      </c>
      <c r="R1399">
        <v>33.83</v>
      </c>
      <c r="S1399">
        <v>27</v>
      </c>
      <c r="T1399">
        <v>27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27</v>
      </c>
      <c r="AB1399">
        <v>3</v>
      </c>
      <c r="AC1399">
        <v>0</v>
      </c>
      <c r="AH1399">
        <v>63.83</v>
      </c>
    </row>
    <row r="1400" spans="1:34" x14ac:dyDescent="0.3">
      <c r="A1400" s="4">
        <v>1613</v>
      </c>
      <c r="B1400" s="5">
        <v>1393</v>
      </c>
      <c r="C1400">
        <v>8382</v>
      </c>
      <c r="D1400" t="s">
        <v>2085</v>
      </c>
      <c r="E1400" t="s">
        <v>29</v>
      </c>
      <c r="F1400" t="s">
        <v>158</v>
      </c>
      <c r="G1400" t="s">
        <v>13404</v>
      </c>
      <c r="H1400">
        <v>20.83</v>
      </c>
      <c r="I1400">
        <v>0</v>
      </c>
      <c r="J1400">
        <v>0</v>
      </c>
      <c r="K1400">
        <v>0</v>
      </c>
      <c r="L1400">
        <v>7</v>
      </c>
      <c r="O1400">
        <v>7</v>
      </c>
      <c r="P1400">
        <v>4</v>
      </c>
      <c r="Q1400">
        <v>0</v>
      </c>
      <c r="R1400">
        <v>31.83</v>
      </c>
      <c r="S1400">
        <v>32</v>
      </c>
      <c r="T1400">
        <v>32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32</v>
      </c>
      <c r="AB1400">
        <v>0</v>
      </c>
      <c r="AC1400">
        <v>0</v>
      </c>
      <c r="AH1400">
        <v>63.83</v>
      </c>
    </row>
    <row r="1401" spans="1:34" x14ac:dyDescent="0.3">
      <c r="A1401" s="4">
        <v>1614</v>
      </c>
      <c r="B1401" s="5">
        <v>1394</v>
      </c>
      <c r="C1401">
        <v>6538</v>
      </c>
      <c r="D1401" t="s">
        <v>13009</v>
      </c>
      <c r="E1401" t="s">
        <v>289</v>
      </c>
      <c r="F1401" t="s">
        <v>343</v>
      </c>
      <c r="G1401" t="s">
        <v>13405</v>
      </c>
      <c r="H1401">
        <v>20.78</v>
      </c>
      <c r="I1401">
        <v>0</v>
      </c>
      <c r="J1401">
        <v>0</v>
      </c>
      <c r="K1401">
        <v>20</v>
      </c>
      <c r="L1401">
        <v>14</v>
      </c>
      <c r="O1401">
        <v>14</v>
      </c>
      <c r="P1401">
        <v>4</v>
      </c>
      <c r="Q1401">
        <v>0</v>
      </c>
      <c r="R1401">
        <v>58.78</v>
      </c>
      <c r="S1401">
        <v>5</v>
      </c>
      <c r="T1401">
        <v>5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5</v>
      </c>
      <c r="AB1401">
        <v>0</v>
      </c>
      <c r="AC1401">
        <v>0</v>
      </c>
      <c r="AH1401">
        <v>63.78</v>
      </c>
    </row>
    <row r="1402" spans="1:34" x14ac:dyDescent="0.3">
      <c r="A1402" s="4">
        <v>1615</v>
      </c>
      <c r="B1402" s="5">
        <v>1395</v>
      </c>
      <c r="C1402">
        <v>4284</v>
      </c>
      <c r="D1402" t="s">
        <v>13406</v>
      </c>
      <c r="E1402" t="s">
        <v>255</v>
      </c>
      <c r="F1402" t="s">
        <v>587</v>
      </c>
      <c r="G1402" t="s">
        <v>13407</v>
      </c>
      <c r="H1402">
        <v>18.75</v>
      </c>
      <c r="I1402">
        <v>0</v>
      </c>
      <c r="J1402">
        <v>0</v>
      </c>
      <c r="K1402">
        <v>0</v>
      </c>
      <c r="N1402">
        <v>3</v>
      </c>
      <c r="O1402">
        <v>3</v>
      </c>
      <c r="P1402">
        <v>0</v>
      </c>
      <c r="Q1402">
        <v>2</v>
      </c>
      <c r="R1402">
        <v>23.75</v>
      </c>
      <c r="S1402">
        <v>30</v>
      </c>
      <c r="T1402">
        <v>30</v>
      </c>
      <c r="U1402">
        <v>2</v>
      </c>
      <c r="V1402">
        <v>4</v>
      </c>
      <c r="W1402">
        <v>0</v>
      </c>
      <c r="X1402">
        <v>0</v>
      </c>
      <c r="Y1402">
        <v>0</v>
      </c>
      <c r="Z1402">
        <v>0</v>
      </c>
      <c r="AA1402">
        <v>34</v>
      </c>
      <c r="AB1402">
        <v>6</v>
      </c>
      <c r="AC1402">
        <v>0</v>
      </c>
      <c r="AH1402">
        <v>63.75</v>
      </c>
    </row>
    <row r="1403" spans="1:34" x14ac:dyDescent="0.3">
      <c r="A1403" s="4">
        <v>1616</v>
      </c>
      <c r="B1403" s="5">
        <v>1396</v>
      </c>
      <c r="C1403">
        <v>3291</v>
      </c>
      <c r="D1403" t="s">
        <v>13408</v>
      </c>
      <c r="E1403" t="s">
        <v>110</v>
      </c>
      <c r="F1403" t="s">
        <v>20</v>
      </c>
      <c r="G1403" t="s">
        <v>13409</v>
      </c>
      <c r="H1403">
        <v>18.68</v>
      </c>
      <c r="I1403">
        <v>0</v>
      </c>
      <c r="J1403">
        <v>0</v>
      </c>
      <c r="K1403">
        <v>20</v>
      </c>
      <c r="L1403">
        <v>7</v>
      </c>
      <c r="O1403">
        <v>7</v>
      </c>
      <c r="P1403">
        <v>4</v>
      </c>
      <c r="Q1403">
        <v>2</v>
      </c>
      <c r="R1403">
        <v>51.68</v>
      </c>
      <c r="S1403">
        <v>12</v>
      </c>
      <c r="T1403">
        <v>12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12</v>
      </c>
      <c r="AB1403">
        <v>0</v>
      </c>
      <c r="AC1403">
        <v>0</v>
      </c>
      <c r="AH1403">
        <v>63.68</v>
      </c>
    </row>
    <row r="1404" spans="1:34" x14ac:dyDescent="0.3">
      <c r="A1404" s="4">
        <v>1617</v>
      </c>
      <c r="B1404" s="5">
        <v>1397</v>
      </c>
      <c r="C1404">
        <v>9302</v>
      </c>
      <c r="D1404" t="s">
        <v>219</v>
      </c>
      <c r="E1404" t="s">
        <v>13410</v>
      </c>
      <c r="F1404" t="s">
        <v>8814</v>
      </c>
      <c r="G1404" t="s">
        <v>13411</v>
      </c>
      <c r="H1404">
        <v>18.18</v>
      </c>
      <c r="I1404">
        <v>0</v>
      </c>
      <c r="J1404">
        <v>0</v>
      </c>
      <c r="K1404">
        <v>0</v>
      </c>
      <c r="L1404">
        <v>7</v>
      </c>
      <c r="N1404">
        <v>3</v>
      </c>
      <c r="O1404">
        <v>10</v>
      </c>
      <c r="P1404">
        <v>4</v>
      </c>
      <c r="Q1404">
        <v>2</v>
      </c>
      <c r="R1404">
        <v>34.18</v>
      </c>
      <c r="S1404">
        <v>25</v>
      </c>
      <c r="T1404">
        <v>25</v>
      </c>
      <c r="U1404">
        <v>0</v>
      </c>
      <c r="V1404">
        <v>0</v>
      </c>
      <c r="W1404">
        <v>3</v>
      </c>
      <c r="X1404">
        <v>4.5</v>
      </c>
      <c r="Y1404">
        <v>0</v>
      </c>
      <c r="Z1404">
        <v>0</v>
      </c>
      <c r="AA1404">
        <v>29.5</v>
      </c>
      <c r="AB1404">
        <v>0</v>
      </c>
      <c r="AC1404">
        <v>0</v>
      </c>
      <c r="AH1404">
        <v>63.68</v>
      </c>
    </row>
    <row r="1405" spans="1:34" x14ac:dyDescent="0.3">
      <c r="A1405" s="4">
        <v>1618</v>
      </c>
      <c r="B1405" s="5">
        <v>1398</v>
      </c>
      <c r="C1405">
        <v>4694</v>
      </c>
      <c r="D1405" t="s">
        <v>3922</v>
      </c>
      <c r="E1405" t="s">
        <v>26</v>
      </c>
      <c r="F1405" t="s">
        <v>136</v>
      </c>
      <c r="G1405" t="s">
        <v>13412</v>
      </c>
      <c r="H1405">
        <v>18.63</v>
      </c>
      <c r="I1405">
        <v>0</v>
      </c>
      <c r="J1405">
        <v>0</v>
      </c>
      <c r="K1405">
        <v>20</v>
      </c>
      <c r="N1405">
        <v>3</v>
      </c>
      <c r="O1405">
        <v>3</v>
      </c>
      <c r="P1405">
        <v>4</v>
      </c>
      <c r="Q1405">
        <v>0</v>
      </c>
      <c r="R1405">
        <v>45.63</v>
      </c>
      <c r="S1405">
        <v>8</v>
      </c>
      <c r="T1405">
        <v>8</v>
      </c>
      <c r="U1405">
        <v>0</v>
      </c>
      <c r="V1405">
        <v>0</v>
      </c>
      <c r="W1405">
        <v>7</v>
      </c>
      <c r="X1405">
        <v>10</v>
      </c>
      <c r="Y1405">
        <v>0</v>
      </c>
      <c r="Z1405">
        <v>0</v>
      </c>
      <c r="AA1405">
        <v>18</v>
      </c>
      <c r="AB1405">
        <v>0</v>
      </c>
      <c r="AC1405">
        <v>0</v>
      </c>
      <c r="AH1405">
        <v>63.63</v>
      </c>
    </row>
    <row r="1406" spans="1:34" x14ac:dyDescent="0.3">
      <c r="A1406" s="4">
        <v>1619</v>
      </c>
      <c r="B1406" s="5">
        <v>1399</v>
      </c>
      <c r="C1406">
        <v>3391</v>
      </c>
      <c r="D1406" t="s">
        <v>13413</v>
      </c>
      <c r="E1406" t="s">
        <v>13414</v>
      </c>
      <c r="F1406" t="s">
        <v>38</v>
      </c>
      <c r="G1406" t="s">
        <v>13415</v>
      </c>
      <c r="H1406">
        <v>19.53</v>
      </c>
      <c r="I1406">
        <v>0</v>
      </c>
      <c r="J1406">
        <v>0</v>
      </c>
      <c r="K1406">
        <v>20</v>
      </c>
      <c r="L1406">
        <v>7</v>
      </c>
      <c r="O1406">
        <v>7</v>
      </c>
      <c r="P1406">
        <v>4</v>
      </c>
      <c r="Q1406">
        <v>2</v>
      </c>
      <c r="R1406">
        <v>52.53</v>
      </c>
      <c r="S1406">
        <v>11</v>
      </c>
      <c r="T1406">
        <v>11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11</v>
      </c>
      <c r="AB1406">
        <v>0</v>
      </c>
      <c r="AC1406">
        <v>0</v>
      </c>
      <c r="AH1406">
        <v>63.53</v>
      </c>
    </row>
    <row r="1407" spans="1:34" x14ac:dyDescent="0.3">
      <c r="A1407" s="4">
        <v>1620</v>
      </c>
      <c r="B1407" s="5">
        <v>1400</v>
      </c>
      <c r="C1407">
        <v>14296</v>
      </c>
      <c r="D1407" t="s">
        <v>6213</v>
      </c>
      <c r="E1407" t="s">
        <v>13416</v>
      </c>
      <c r="F1407" t="s">
        <v>20</v>
      </c>
      <c r="G1407" t="s">
        <v>13417</v>
      </c>
      <c r="H1407">
        <v>19.5</v>
      </c>
      <c r="I1407">
        <v>0</v>
      </c>
      <c r="J1407">
        <v>0</v>
      </c>
      <c r="K1407">
        <v>20</v>
      </c>
      <c r="L1407">
        <v>7</v>
      </c>
      <c r="O1407">
        <v>7</v>
      </c>
      <c r="P1407">
        <v>4</v>
      </c>
      <c r="Q1407">
        <v>2</v>
      </c>
      <c r="R1407">
        <v>52.5</v>
      </c>
      <c r="S1407">
        <v>11</v>
      </c>
      <c r="T1407">
        <v>11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11</v>
      </c>
      <c r="AB1407">
        <v>0</v>
      </c>
      <c r="AC1407">
        <v>0</v>
      </c>
      <c r="AH1407">
        <v>63.5</v>
      </c>
    </row>
    <row r="1408" spans="1:34" x14ac:dyDescent="0.3">
      <c r="A1408" s="4">
        <v>1621</v>
      </c>
      <c r="B1408" s="5">
        <v>1401</v>
      </c>
      <c r="C1408">
        <v>6451</v>
      </c>
      <c r="D1408" t="s">
        <v>579</v>
      </c>
      <c r="E1408" t="s">
        <v>13418</v>
      </c>
      <c r="F1408" t="s">
        <v>17</v>
      </c>
      <c r="G1408" t="s">
        <v>13419</v>
      </c>
      <c r="H1408">
        <v>19.5</v>
      </c>
      <c r="I1408">
        <v>0</v>
      </c>
      <c r="J1408">
        <v>0</v>
      </c>
      <c r="K1408">
        <v>20</v>
      </c>
      <c r="M1408">
        <v>5</v>
      </c>
      <c r="N1408">
        <v>3</v>
      </c>
      <c r="O1408">
        <v>8</v>
      </c>
      <c r="P1408">
        <v>4</v>
      </c>
      <c r="Q1408">
        <v>0</v>
      </c>
      <c r="R1408">
        <v>51.5</v>
      </c>
      <c r="S1408">
        <v>12</v>
      </c>
      <c r="T1408">
        <v>12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12</v>
      </c>
      <c r="AB1408">
        <v>0</v>
      </c>
      <c r="AC1408">
        <v>0</v>
      </c>
      <c r="AH1408">
        <v>63.5</v>
      </c>
    </row>
    <row r="1409" spans="1:34" x14ac:dyDescent="0.3">
      <c r="A1409" s="4">
        <v>1622</v>
      </c>
      <c r="B1409" s="5">
        <v>1402</v>
      </c>
      <c r="C1409">
        <v>6333</v>
      </c>
      <c r="D1409" t="s">
        <v>6710</v>
      </c>
      <c r="E1409" t="s">
        <v>147</v>
      </c>
      <c r="F1409" t="s">
        <v>38</v>
      </c>
      <c r="G1409" t="s">
        <v>13420</v>
      </c>
      <c r="H1409">
        <v>15.43</v>
      </c>
      <c r="I1409">
        <v>7</v>
      </c>
      <c r="J1409">
        <v>0</v>
      </c>
      <c r="K1409">
        <v>20</v>
      </c>
      <c r="L1409">
        <v>7</v>
      </c>
      <c r="M1409">
        <v>5</v>
      </c>
      <c r="O1409">
        <v>12</v>
      </c>
      <c r="P1409">
        <v>4</v>
      </c>
      <c r="Q1409">
        <v>2</v>
      </c>
      <c r="R1409">
        <v>60.43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3</v>
      </c>
      <c r="AC1409">
        <v>0</v>
      </c>
      <c r="AH1409">
        <v>63.43</v>
      </c>
    </row>
    <row r="1410" spans="1:34" x14ac:dyDescent="0.3">
      <c r="A1410" s="4">
        <v>1623</v>
      </c>
      <c r="B1410" s="5">
        <v>1403</v>
      </c>
      <c r="C1410">
        <v>1780</v>
      </c>
      <c r="D1410" t="s">
        <v>13421</v>
      </c>
      <c r="E1410" t="s">
        <v>41</v>
      </c>
      <c r="F1410" t="s">
        <v>38</v>
      </c>
      <c r="G1410" t="s">
        <v>13422</v>
      </c>
      <c r="H1410">
        <v>20.43</v>
      </c>
      <c r="I1410">
        <v>0</v>
      </c>
      <c r="J1410">
        <v>0</v>
      </c>
      <c r="K1410">
        <v>20</v>
      </c>
      <c r="L1410">
        <v>7</v>
      </c>
      <c r="N1410">
        <v>3</v>
      </c>
      <c r="O1410">
        <v>10</v>
      </c>
      <c r="P1410">
        <v>4</v>
      </c>
      <c r="Q1410">
        <v>0</v>
      </c>
      <c r="R1410">
        <v>54.43</v>
      </c>
      <c r="S1410">
        <v>9</v>
      </c>
      <c r="T1410">
        <v>9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9</v>
      </c>
      <c r="AB1410">
        <v>0</v>
      </c>
      <c r="AC1410">
        <v>0</v>
      </c>
      <c r="AE1410" t="s">
        <v>130</v>
      </c>
      <c r="AH1410">
        <v>63.43</v>
      </c>
    </row>
    <row r="1411" spans="1:34" x14ac:dyDescent="0.3">
      <c r="A1411" s="4">
        <v>1624</v>
      </c>
      <c r="B1411" s="5">
        <v>1404</v>
      </c>
      <c r="C1411">
        <v>14065</v>
      </c>
      <c r="D1411" t="s">
        <v>261</v>
      </c>
      <c r="E1411" t="s">
        <v>1319</v>
      </c>
      <c r="F1411" t="s">
        <v>62</v>
      </c>
      <c r="G1411" t="s">
        <v>13423</v>
      </c>
      <c r="H1411">
        <v>20.399999999999999</v>
      </c>
      <c r="I1411">
        <v>0</v>
      </c>
      <c r="J1411">
        <v>0</v>
      </c>
      <c r="K1411">
        <v>20</v>
      </c>
      <c r="L1411">
        <v>7</v>
      </c>
      <c r="N1411">
        <v>3</v>
      </c>
      <c r="O1411">
        <v>10</v>
      </c>
      <c r="P1411">
        <v>0</v>
      </c>
      <c r="Q1411">
        <v>2</v>
      </c>
      <c r="R1411">
        <v>52.4</v>
      </c>
      <c r="S1411">
        <v>11</v>
      </c>
      <c r="T1411">
        <v>11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11</v>
      </c>
      <c r="AB1411">
        <v>0</v>
      </c>
      <c r="AC1411">
        <v>0</v>
      </c>
      <c r="AH1411">
        <v>63.4</v>
      </c>
    </row>
    <row r="1412" spans="1:34" x14ac:dyDescent="0.3">
      <c r="A1412" s="4">
        <v>1625</v>
      </c>
      <c r="B1412" s="5">
        <v>1405</v>
      </c>
      <c r="C1412">
        <v>13861</v>
      </c>
      <c r="D1412" t="s">
        <v>6747</v>
      </c>
      <c r="E1412" t="s">
        <v>13424</v>
      </c>
      <c r="F1412" t="s">
        <v>17</v>
      </c>
      <c r="G1412" t="s">
        <v>13425</v>
      </c>
      <c r="H1412">
        <v>18.350000000000001</v>
      </c>
      <c r="I1412">
        <v>0</v>
      </c>
      <c r="J1412">
        <v>0</v>
      </c>
      <c r="K1412">
        <v>20</v>
      </c>
      <c r="L1412">
        <v>7</v>
      </c>
      <c r="N1412">
        <v>3</v>
      </c>
      <c r="O1412">
        <v>10</v>
      </c>
      <c r="P1412">
        <v>4</v>
      </c>
      <c r="Q1412">
        <v>0</v>
      </c>
      <c r="R1412">
        <v>52.35</v>
      </c>
      <c r="S1412">
        <v>11</v>
      </c>
      <c r="T1412">
        <v>11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11</v>
      </c>
      <c r="AB1412">
        <v>0</v>
      </c>
      <c r="AC1412">
        <v>0</v>
      </c>
      <c r="AH1412">
        <v>63.35</v>
      </c>
    </row>
    <row r="1413" spans="1:34" x14ac:dyDescent="0.3">
      <c r="A1413" s="4">
        <v>1626</v>
      </c>
      <c r="B1413" s="5">
        <v>1406</v>
      </c>
      <c r="C1413">
        <v>335</v>
      </c>
      <c r="D1413" t="s">
        <v>13426</v>
      </c>
      <c r="E1413" t="s">
        <v>5237</v>
      </c>
      <c r="F1413" t="s">
        <v>190</v>
      </c>
      <c r="G1413" t="s">
        <v>13427</v>
      </c>
      <c r="H1413">
        <v>19.329999999999998</v>
      </c>
      <c r="I1413">
        <v>0</v>
      </c>
      <c r="J1413">
        <v>0</v>
      </c>
      <c r="K1413">
        <v>20</v>
      </c>
      <c r="L1413">
        <v>7</v>
      </c>
      <c r="O1413">
        <v>7</v>
      </c>
      <c r="P1413">
        <v>4</v>
      </c>
      <c r="Q1413">
        <v>2</v>
      </c>
      <c r="R1413">
        <v>52.33</v>
      </c>
      <c r="S1413">
        <v>8</v>
      </c>
      <c r="T1413">
        <v>8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8</v>
      </c>
      <c r="AB1413">
        <v>3</v>
      </c>
      <c r="AC1413">
        <v>0</v>
      </c>
      <c r="AH1413">
        <v>63.33</v>
      </c>
    </row>
    <row r="1414" spans="1:34" x14ac:dyDescent="0.3">
      <c r="A1414" s="4">
        <v>1627</v>
      </c>
      <c r="B1414" s="5">
        <v>1407</v>
      </c>
      <c r="C1414">
        <v>11001</v>
      </c>
      <c r="D1414" t="s">
        <v>2324</v>
      </c>
      <c r="E1414" t="s">
        <v>29</v>
      </c>
      <c r="F1414" t="s">
        <v>136</v>
      </c>
      <c r="G1414" t="s">
        <v>13428</v>
      </c>
      <c r="H1414">
        <v>18.25</v>
      </c>
      <c r="I1414">
        <v>0</v>
      </c>
      <c r="J1414">
        <v>0</v>
      </c>
      <c r="K1414">
        <v>20</v>
      </c>
      <c r="L1414">
        <v>7</v>
      </c>
      <c r="N1414">
        <v>3</v>
      </c>
      <c r="O1414">
        <v>10</v>
      </c>
      <c r="P1414">
        <v>4</v>
      </c>
      <c r="Q1414">
        <v>2</v>
      </c>
      <c r="R1414">
        <v>54.25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9</v>
      </c>
      <c r="AC1414">
        <v>0</v>
      </c>
      <c r="AH1414">
        <v>63.25</v>
      </c>
    </row>
    <row r="1415" spans="1:34" x14ac:dyDescent="0.3">
      <c r="A1415" s="4">
        <v>1628</v>
      </c>
      <c r="B1415" s="5">
        <v>1408</v>
      </c>
      <c r="C1415">
        <v>1451</v>
      </c>
      <c r="D1415" t="s">
        <v>13429</v>
      </c>
      <c r="E1415" t="s">
        <v>4801</v>
      </c>
      <c r="F1415" t="s">
        <v>62</v>
      </c>
      <c r="G1415" t="s">
        <v>13430</v>
      </c>
      <c r="H1415">
        <v>21.25</v>
      </c>
      <c r="I1415">
        <v>0</v>
      </c>
      <c r="J1415">
        <v>0</v>
      </c>
      <c r="K1415">
        <v>20</v>
      </c>
      <c r="L1415">
        <v>7</v>
      </c>
      <c r="N1415">
        <v>3</v>
      </c>
      <c r="O1415">
        <v>10</v>
      </c>
      <c r="P1415">
        <v>4</v>
      </c>
      <c r="Q1415">
        <v>0</v>
      </c>
      <c r="R1415">
        <v>55.25</v>
      </c>
      <c r="S1415">
        <v>8</v>
      </c>
      <c r="T1415">
        <v>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8</v>
      </c>
      <c r="AB1415">
        <v>0</v>
      </c>
      <c r="AC1415">
        <v>0</v>
      </c>
      <c r="AH1415">
        <v>63.25</v>
      </c>
    </row>
    <row r="1416" spans="1:34" x14ac:dyDescent="0.3">
      <c r="A1416" s="4">
        <v>1629</v>
      </c>
      <c r="B1416" s="5">
        <v>1409</v>
      </c>
      <c r="C1416">
        <v>11914</v>
      </c>
      <c r="D1416" t="s">
        <v>1344</v>
      </c>
      <c r="E1416" t="s">
        <v>143</v>
      </c>
      <c r="F1416" t="s">
        <v>91</v>
      </c>
      <c r="G1416" t="s">
        <v>13431</v>
      </c>
      <c r="H1416">
        <v>19.18</v>
      </c>
      <c r="I1416">
        <v>0</v>
      </c>
      <c r="J1416">
        <v>0</v>
      </c>
      <c r="K1416">
        <v>20</v>
      </c>
      <c r="L1416">
        <v>7</v>
      </c>
      <c r="O1416">
        <v>7</v>
      </c>
      <c r="P1416">
        <v>4</v>
      </c>
      <c r="Q1416">
        <v>2</v>
      </c>
      <c r="R1416">
        <v>52.18</v>
      </c>
      <c r="S1416">
        <v>11</v>
      </c>
      <c r="T1416">
        <v>11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11</v>
      </c>
      <c r="AB1416">
        <v>0</v>
      </c>
      <c r="AC1416">
        <v>0</v>
      </c>
      <c r="AH1416">
        <v>63.18</v>
      </c>
    </row>
    <row r="1417" spans="1:34" x14ac:dyDescent="0.3">
      <c r="A1417" s="4">
        <v>1630</v>
      </c>
      <c r="B1417" s="5">
        <v>1410</v>
      </c>
      <c r="C1417">
        <v>13643</v>
      </c>
      <c r="D1417" t="s">
        <v>13432</v>
      </c>
      <c r="E1417" t="s">
        <v>283</v>
      </c>
      <c r="F1417" t="s">
        <v>158</v>
      </c>
      <c r="G1417" t="s">
        <v>13433</v>
      </c>
      <c r="H1417">
        <v>20.100000000000001</v>
      </c>
      <c r="I1417">
        <v>0</v>
      </c>
      <c r="J1417">
        <v>0</v>
      </c>
      <c r="K1417">
        <v>20</v>
      </c>
      <c r="L1417">
        <v>14</v>
      </c>
      <c r="O1417">
        <v>14</v>
      </c>
      <c r="P1417">
        <v>0</v>
      </c>
      <c r="Q1417">
        <v>2</v>
      </c>
      <c r="R1417">
        <v>56.1</v>
      </c>
      <c r="S1417">
        <v>7</v>
      </c>
      <c r="T1417">
        <v>7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7</v>
      </c>
      <c r="AB1417">
        <v>0</v>
      </c>
      <c r="AC1417">
        <v>0</v>
      </c>
      <c r="AH1417">
        <v>63.1</v>
      </c>
    </row>
    <row r="1418" spans="1:34" x14ac:dyDescent="0.3">
      <c r="A1418" s="4">
        <v>1631</v>
      </c>
      <c r="B1418" s="5">
        <v>1411</v>
      </c>
      <c r="C1418">
        <v>4681</v>
      </c>
      <c r="D1418" t="s">
        <v>7463</v>
      </c>
      <c r="E1418" t="s">
        <v>5321</v>
      </c>
      <c r="F1418" t="s">
        <v>34</v>
      </c>
      <c r="G1418" t="s">
        <v>13434</v>
      </c>
      <c r="H1418">
        <v>18.05</v>
      </c>
      <c r="I1418">
        <v>0</v>
      </c>
      <c r="J1418">
        <v>0</v>
      </c>
      <c r="K1418">
        <v>0</v>
      </c>
      <c r="N1418">
        <v>3</v>
      </c>
      <c r="O1418">
        <v>3</v>
      </c>
      <c r="P1418">
        <v>4</v>
      </c>
      <c r="Q1418">
        <v>2</v>
      </c>
      <c r="R1418">
        <v>27.05</v>
      </c>
      <c r="S1418">
        <v>36</v>
      </c>
      <c r="T1418">
        <v>36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36</v>
      </c>
      <c r="AB1418">
        <v>0</v>
      </c>
      <c r="AC1418">
        <v>0</v>
      </c>
      <c r="AH1418">
        <v>63.05</v>
      </c>
    </row>
    <row r="1419" spans="1:34" x14ac:dyDescent="0.3">
      <c r="A1419" s="4">
        <v>1632</v>
      </c>
      <c r="B1419" s="5">
        <v>1412</v>
      </c>
      <c r="C1419">
        <v>2221</v>
      </c>
      <c r="D1419" t="s">
        <v>165</v>
      </c>
      <c r="E1419" t="s">
        <v>100</v>
      </c>
      <c r="F1419" t="s">
        <v>81</v>
      </c>
      <c r="G1419" t="s">
        <v>13435</v>
      </c>
      <c r="H1419">
        <v>18.98</v>
      </c>
      <c r="I1419">
        <v>0</v>
      </c>
      <c r="J1419">
        <v>0</v>
      </c>
      <c r="K1419">
        <v>20</v>
      </c>
      <c r="L1419">
        <v>7</v>
      </c>
      <c r="O1419">
        <v>7</v>
      </c>
      <c r="P1419">
        <v>4</v>
      </c>
      <c r="Q1419">
        <v>2</v>
      </c>
      <c r="R1419">
        <v>51.98</v>
      </c>
      <c r="S1419">
        <v>11</v>
      </c>
      <c r="T1419">
        <v>11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11</v>
      </c>
      <c r="AB1419">
        <v>0</v>
      </c>
      <c r="AC1419">
        <v>0</v>
      </c>
      <c r="AH1419">
        <v>62.98</v>
      </c>
    </row>
    <row r="1420" spans="1:34" x14ac:dyDescent="0.3">
      <c r="A1420" s="4">
        <v>1633</v>
      </c>
      <c r="B1420" s="5">
        <v>1413</v>
      </c>
      <c r="C1420">
        <v>8567</v>
      </c>
      <c r="D1420" t="s">
        <v>7020</v>
      </c>
      <c r="E1420" t="s">
        <v>132</v>
      </c>
      <c r="F1420" t="s">
        <v>38</v>
      </c>
      <c r="G1420" t="s">
        <v>13436</v>
      </c>
      <c r="H1420">
        <v>17.93</v>
      </c>
      <c r="I1420">
        <v>0</v>
      </c>
      <c r="J1420">
        <v>0</v>
      </c>
      <c r="K1420">
        <v>0</v>
      </c>
      <c r="N1420">
        <v>3</v>
      </c>
      <c r="O1420">
        <v>3</v>
      </c>
      <c r="P1420">
        <v>4</v>
      </c>
      <c r="Q1420">
        <v>0</v>
      </c>
      <c r="R1420">
        <v>24.93</v>
      </c>
      <c r="S1420">
        <v>29</v>
      </c>
      <c r="T1420">
        <v>29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29</v>
      </c>
      <c r="AB1420">
        <v>9</v>
      </c>
      <c r="AC1420">
        <v>0</v>
      </c>
      <c r="AH1420">
        <v>62.93</v>
      </c>
    </row>
    <row r="1421" spans="1:34" x14ac:dyDescent="0.3">
      <c r="A1421" s="4">
        <v>1634</v>
      </c>
      <c r="B1421" s="5">
        <v>1414</v>
      </c>
      <c r="C1421">
        <v>8217</v>
      </c>
      <c r="D1421" t="s">
        <v>13437</v>
      </c>
      <c r="E1421" t="s">
        <v>613</v>
      </c>
      <c r="F1421" t="s">
        <v>17</v>
      </c>
      <c r="G1421" t="s">
        <v>13438</v>
      </c>
      <c r="H1421">
        <v>18.899999999999999</v>
      </c>
      <c r="I1421">
        <v>0</v>
      </c>
      <c r="J1421">
        <v>0</v>
      </c>
      <c r="K1421">
        <v>20</v>
      </c>
      <c r="L1421">
        <v>7</v>
      </c>
      <c r="O1421">
        <v>7</v>
      </c>
      <c r="P1421">
        <v>4</v>
      </c>
      <c r="Q1421">
        <v>2</v>
      </c>
      <c r="R1421">
        <v>51.9</v>
      </c>
      <c r="S1421">
        <v>11</v>
      </c>
      <c r="T1421">
        <v>11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11</v>
      </c>
      <c r="AB1421">
        <v>0</v>
      </c>
      <c r="AC1421">
        <v>0</v>
      </c>
      <c r="AH1421">
        <v>62.9</v>
      </c>
    </row>
    <row r="1422" spans="1:34" x14ac:dyDescent="0.3">
      <c r="A1422" s="4">
        <v>1635</v>
      </c>
      <c r="B1422" s="5">
        <v>1415</v>
      </c>
      <c r="C1422">
        <v>6149</v>
      </c>
      <c r="D1422" t="s">
        <v>13439</v>
      </c>
      <c r="E1422" t="s">
        <v>11601</v>
      </c>
      <c r="F1422" t="s">
        <v>55</v>
      </c>
      <c r="G1422" t="s">
        <v>13440</v>
      </c>
      <c r="H1422">
        <v>18.899999999999999</v>
      </c>
      <c r="I1422">
        <v>0</v>
      </c>
      <c r="J1422">
        <v>0</v>
      </c>
      <c r="K1422">
        <v>20</v>
      </c>
      <c r="L1422">
        <v>7</v>
      </c>
      <c r="O1422">
        <v>7</v>
      </c>
      <c r="P1422">
        <v>4</v>
      </c>
      <c r="Q1422">
        <v>2</v>
      </c>
      <c r="R1422">
        <v>51.9</v>
      </c>
      <c r="S1422">
        <v>11</v>
      </c>
      <c r="T1422">
        <v>11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11</v>
      </c>
      <c r="AB1422">
        <v>0</v>
      </c>
      <c r="AC1422">
        <v>0</v>
      </c>
      <c r="AH1422">
        <v>62.9</v>
      </c>
    </row>
    <row r="1423" spans="1:34" x14ac:dyDescent="0.3">
      <c r="A1423" s="4">
        <v>1636</v>
      </c>
      <c r="B1423" s="5">
        <v>1416</v>
      </c>
      <c r="C1423">
        <v>4684</v>
      </c>
      <c r="D1423" t="s">
        <v>13441</v>
      </c>
      <c r="E1423" t="s">
        <v>88</v>
      </c>
      <c r="F1423" t="s">
        <v>20</v>
      </c>
      <c r="G1423" t="s">
        <v>13442</v>
      </c>
      <c r="H1423">
        <v>21.8</v>
      </c>
      <c r="I1423">
        <v>7</v>
      </c>
      <c r="J1423">
        <v>0</v>
      </c>
      <c r="K1423">
        <v>20</v>
      </c>
      <c r="L1423">
        <v>7</v>
      </c>
      <c r="N1423">
        <v>3</v>
      </c>
      <c r="O1423">
        <v>10</v>
      </c>
      <c r="P1423">
        <v>4</v>
      </c>
      <c r="Q1423">
        <v>0</v>
      </c>
      <c r="R1423">
        <v>62.8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H1423">
        <v>62.8</v>
      </c>
    </row>
    <row r="1424" spans="1:34" x14ac:dyDescent="0.3">
      <c r="A1424" s="4">
        <v>1637</v>
      </c>
      <c r="B1424" s="5">
        <v>1417</v>
      </c>
      <c r="C1424">
        <v>4149</v>
      </c>
      <c r="D1424" t="s">
        <v>9884</v>
      </c>
      <c r="E1424" t="s">
        <v>13443</v>
      </c>
      <c r="F1424" t="s">
        <v>13444</v>
      </c>
      <c r="G1424" t="s">
        <v>13445</v>
      </c>
      <c r="H1424">
        <v>14.78</v>
      </c>
      <c r="I1424">
        <v>0</v>
      </c>
      <c r="J1424">
        <v>0</v>
      </c>
      <c r="K1424">
        <v>0</v>
      </c>
      <c r="L1424">
        <v>14</v>
      </c>
      <c r="O1424">
        <v>14</v>
      </c>
      <c r="P1424">
        <v>0</v>
      </c>
      <c r="Q1424">
        <v>0</v>
      </c>
      <c r="R1424">
        <v>28.78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34</v>
      </c>
      <c r="AD1424" t="s">
        <v>130</v>
      </c>
      <c r="AH1424">
        <v>62.78</v>
      </c>
    </row>
    <row r="1425" spans="1:34" x14ac:dyDescent="0.3">
      <c r="A1425" s="4">
        <v>1638</v>
      </c>
      <c r="B1425" s="5">
        <v>1418</v>
      </c>
      <c r="C1425">
        <v>2552</v>
      </c>
      <c r="D1425" t="s">
        <v>13446</v>
      </c>
      <c r="E1425" t="s">
        <v>37</v>
      </c>
      <c r="F1425" t="s">
        <v>17</v>
      </c>
      <c r="G1425" t="s">
        <v>13447</v>
      </c>
      <c r="H1425">
        <v>22.78</v>
      </c>
      <c r="I1425">
        <v>0</v>
      </c>
      <c r="J1425">
        <v>0</v>
      </c>
      <c r="K1425">
        <v>20</v>
      </c>
      <c r="L1425">
        <v>7</v>
      </c>
      <c r="N1425">
        <v>3</v>
      </c>
      <c r="O1425">
        <v>10</v>
      </c>
      <c r="P1425">
        <v>4</v>
      </c>
      <c r="Q1425">
        <v>0</v>
      </c>
      <c r="R1425">
        <v>56.78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6</v>
      </c>
      <c r="AC1425">
        <v>0</v>
      </c>
      <c r="AH1425">
        <v>62.78</v>
      </c>
    </row>
    <row r="1426" spans="1:34" x14ac:dyDescent="0.3">
      <c r="A1426" s="4">
        <v>1639</v>
      </c>
      <c r="B1426" s="5">
        <v>1419</v>
      </c>
      <c r="C1426">
        <v>13005</v>
      </c>
      <c r="D1426" t="s">
        <v>6587</v>
      </c>
      <c r="E1426" t="s">
        <v>29</v>
      </c>
      <c r="F1426" t="s">
        <v>136</v>
      </c>
      <c r="G1426" t="s">
        <v>13448</v>
      </c>
      <c r="H1426">
        <v>21.73</v>
      </c>
      <c r="I1426">
        <v>0</v>
      </c>
      <c r="J1426">
        <v>0</v>
      </c>
      <c r="K1426">
        <v>20</v>
      </c>
      <c r="L1426">
        <v>7</v>
      </c>
      <c r="O1426">
        <v>7</v>
      </c>
      <c r="P1426">
        <v>4</v>
      </c>
      <c r="Q1426">
        <v>0</v>
      </c>
      <c r="R1426">
        <v>52.73</v>
      </c>
      <c r="S1426">
        <v>10</v>
      </c>
      <c r="T1426">
        <v>10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10</v>
      </c>
      <c r="AB1426">
        <v>0</v>
      </c>
      <c r="AC1426">
        <v>0</v>
      </c>
      <c r="AH1426">
        <v>62.73</v>
      </c>
    </row>
    <row r="1427" spans="1:34" x14ac:dyDescent="0.3">
      <c r="A1427" s="4">
        <v>1640</v>
      </c>
      <c r="B1427" s="5">
        <v>1420</v>
      </c>
      <c r="C1427">
        <v>7448</v>
      </c>
      <c r="D1427" t="s">
        <v>198</v>
      </c>
      <c r="E1427" t="s">
        <v>342</v>
      </c>
      <c r="F1427" t="s">
        <v>117</v>
      </c>
      <c r="G1427" t="s">
        <v>13449</v>
      </c>
      <c r="H1427">
        <v>18.7</v>
      </c>
      <c r="I1427">
        <v>0</v>
      </c>
      <c r="J1427">
        <v>0</v>
      </c>
      <c r="K1427">
        <v>20</v>
      </c>
      <c r="L1427">
        <v>14</v>
      </c>
      <c r="O1427">
        <v>14</v>
      </c>
      <c r="P1427">
        <v>4</v>
      </c>
      <c r="Q1427">
        <v>0</v>
      </c>
      <c r="R1427">
        <v>56.7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6</v>
      </c>
      <c r="AC1427">
        <v>0</v>
      </c>
      <c r="AH1427">
        <v>62.7</v>
      </c>
    </row>
    <row r="1428" spans="1:34" x14ac:dyDescent="0.3">
      <c r="A1428" s="4">
        <v>1641</v>
      </c>
      <c r="B1428" s="5">
        <v>1421</v>
      </c>
      <c r="C1428">
        <v>6505</v>
      </c>
      <c r="D1428" t="s">
        <v>13450</v>
      </c>
      <c r="E1428" t="s">
        <v>13451</v>
      </c>
      <c r="F1428" t="s">
        <v>17</v>
      </c>
      <c r="G1428" t="s">
        <v>13452</v>
      </c>
      <c r="H1428">
        <v>14.7</v>
      </c>
      <c r="I1428">
        <v>0</v>
      </c>
      <c r="J1428">
        <v>0</v>
      </c>
      <c r="K1428">
        <v>20</v>
      </c>
      <c r="M1428">
        <v>5</v>
      </c>
      <c r="N1428">
        <v>3</v>
      </c>
      <c r="O1428">
        <v>8</v>
      </c>
      <c r="P1428">
        <v>4</v>
      </c>
      <c r="Q1428">
        <v>2</v>
      </c>
      <c r="R1428">
        <v>48.7</v>
      </c>
      <c r="S1428">
        <v>14</v>
      </c>
      <c r="T1428">
        <v>14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14</v>
      </c>
      <c r="AB1428">
        <v>0</v>
      </c>
      <c r="AC1428">
        <v>0</v>
      </c>
      <c r="AH1428">
        <v>62.7</v>
      </c>
    </row>
    <row r="1429" spans="1:34" x14ac:dyDescent="0.3">
      <c r="A1429" s="4">
        <v>1642</v>
      </c>
      <c r="B1429" s="5">
        <v>1422</v>
      </c>
      <c r="C1429">
        <v>8151</v>
      </c>
      <c r="D1429" t="s">
        <v>2682</v>
      </c>
      <c r="E1429" t="s">
        <v>33</v>
      </c>
      <c r="F1429" t="s">
        <v>91</v>
      </c>
      <c r="G1429" t="s">
        <v>13453</v>
      </c>
      <c r="H1429">
        <v>18.68</v>
      </c>
      <c r="I1429">
        <v>0</v>
      </c>
      <c r="J1429">
        <v>0</v>
      </c>
      <c r="K1429">
        <v>20</v>
      </c>
      <c r="L1429">
        <v>7</v>
      </c>
      <c r="M1429">
        <v>5</v>
      </c>
      <c r="O1429">
        <v>12</v>
      </c>
      <c r="P1429">
        <v>4</v>
      </c>
      <c r="Q1429">
        <v>2</v>
      </c>
      <c r="R1429">
        <v>56.68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6</v>
      </c>
      <c r="AC1429">
        <v>0</v>
      </c>
      <c r="AH1429">
        <v>62.68</v>
      </c>
    </row>
    <row r="1430" spans="1:34" x14ac:dyDescent="0.3">
      <c r="A1430" s="4">
        <v>1643</v>
      </c>
      <c r="B1430" s="5">
        <v>1423</v>
      </c>
      <c r="C1430">
        <v>12505</v>
      </c>
      <c r="D1430" t="s">
        <v>10631</v>
      </c>
      <c r="E1430" t="s">
        <v>1331</v>
      </c>
      <c r="F1430" t="s">
        <v>68</v>
      </c>
      <c r="G1430" t="s">
        <v>13454</v>
      </c>
      <c r="H1430">
        <v>22.68</v>
      </c>
      <c r="I1430">
        <v>7</v>
      </c>
      <c r="J1430">
        <v>0</v>
      </c>
      <c r="K1430">
        <v>20</v>
      </c>
      <c r="L1430">
        <v>7</v>
      </c>
      <c r="O1430">
        <v>7</v>
      </c>
      <c r="P1430">
        <v>4</v>
      </c>
      <c r="Q1430">
        <v>2</v>
      </c>
      <c r="R1430">
        <v>62.68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H1430">
        <v>62.68</v>
      </c>
    </row>
    <row r="1431" spans="1:34" x14ac:dyDescent="0.3">
      <c r="A1431" s="4">
        <v>1644</v>
      </c>
      <c r="B1431" s="5">
        <v>1424</v>
      </c>
      <c r="C1431">
        <v>12965</v>
      </c>
      <c r="D1431" t="s">
        <v>13455</v>
      </c>
      <c r="E1431" t="s">
        <v>1387</v>
      </c>
      <c r="F1431" t="s">
        <v>17</v>
      </c>
      <c r="G1431" t="s">
        <v>13456</v>
      </c>
      <c r="H1431">
        <v>16.649999999999999</v>
      </c>
      <c r="I1431">
        <v>0</v>
      </c>
      <c r="J1431">
        <v>0</v>
      </c>
      <c r="K1431">
        <v>20</v>
      </c>
      <c r="M1431">
        <v>10</v>
      </c>
      <c r="O1431">
        <v>10</v>
      </c>
      <c r="P1431">
        <v>4</v>
      </c>
      <c r="Q1431">
        <v>0</v>
      </c>
      <c r="R1431">
        <v>50.65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12</v>
      </c>
      <c r="AC1431">
        <v>0</v>
      </c>
      <c r="AH1431">
        <v>62.65</v>
      </c>
    </row>
    <row r="1432" spans="1:34" x14ac:dyDescent="0.3">
      <c r="A1432" s="4">
        <v>1645</v>
      </c>
      <c r="B1432" s="5">
        <v>1425</v>
      </c>
      <c r="C1432">
        <v>9119</v>
      </c>
      <c r="D1432" t="s">
        <v>11040</v>
      </c>
      <c r="E1432" t="s">
        <v>13457</v>
      </c>
      <c r="F1432" t="s">
        <v>20</v>
      </c>
      <c r="G1432" t="s">
        <v>13458</v>
      </c>
      <c r="H1432">
        <v>18.649999999999999</v>
      </c>
      <c r="I1432">
        <v>0</v>
      </c>
      <c r="J1432">
        <v>0</v>
      </c>
      <c r="K1432">
        <v>20</v>
      </c>
      <c r="L1432">
        <v>7</v>
      </c>
      <c r="N1432">
        <v>3</v>
      </c>
      <c r="O1432">
        <v>10</v>
      </c>
      <c r="P1432">
        <v>4</v>
      </c>
      <c r="Q1432">
        <v>2</v>
      </c>
      <c r="R1432">
        <v>54.65</v>
      </c>
      <c r="S1432">
        <v>8</v>
      </c>
      <c r="T1432">
        <v>8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8</v>
      </c>
      <c r="AB1432">
        <v>0</v>
      </c>
      <c r="AC1432">
        <v>0</v>
      </c>
      <c r="AD1432" t="s">
        <v>130</v>
      </c>
      <c r="AH1432">
        <v>62.65</v>
      </c>
    </row>
    <row r="1433" spans="1:34" x14ac:dyDescent="0.3">
      <c r="A1433" s="4">
        <v>1646</v>
      </c>
      <c r="B1433" s="5">
        <v>1426</v>
      </c>
      <c r="C1433">
        <v>4709</v>
      </c>
      <c r="D1433" t="s">
        <v>13459</v>
      </c>
      <c r="E1433" t="s">
        <v>13460</v>
      </c>
      <c r="F1433" t="s">
        <v>243</v>
      </c>
      <c r="G1433" t="s">
        <v>13461</v>
      </c>
      <c r="H1433">
        <v>19.600000000000001</v>
      </c>
      <c r="I1433">
        <v>0</v>
      </c>
      <c r="J1433">
        <v>0</v>
      </c>
      <c r="K1433">
        <v>0</v>
      </c>
      <c r="L1433">
        <v>7</v>
      </c>
      <c r="O1433">
        <v>7</v>
      </c>
      <c r="P1433">
        <v>4</v>
      </c>
      <c r="Q1433">
        <v>0</v>
      </c>
      <c r="R1433">
        <v>30.6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32</v>
      </c>
      <c r="AH1433">
        <v>62.6</v>
      </c>
    </row>
    <row r="1434" spans="1:34" x14ac:dyDescent="0.3">
      <c r="A1434" s="4">
        <v>1647</v>
      </c>
      <c r="B1434" s="5">
        <v>1427</v>
      </c>
      <c r="C1434">
        <v>10455</v>
      </c>
      <c r="D1434" t="s">
        <v>13462</v>
      </c>
      <c r="E1434" t="s">
        <v>13463</v>
      </c>
      <c r="F1434" t="s">
        <v>34</v>
      </c>
      <c r="G1434" t="s">
        <v>13464</v>
      </c>
      <c r="H1434">
        <v>18.600000000000001</v>
      </c>
      <c r="I1434">
        <v>0</v>
      </c>
      <c r="J1434">
        <v>0</v>
      </c>
      <c r="K1434">
        <v>20</v>
      </c>
      <c r="L1434">
        <v>7</v>
      </c>
      <c r="M1434">
        <v>5</v>
      </c>
      <c r="O1434">
        <v>12</v>
      </c>
      <c r="P1434">
        <v>4</v>
      </c>
      <c r="Q1434">
        <v>2</v>
      </c>
      <c r="R1434">
        <v>56.6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6</v>
      </c>
      <c r="AC1434">
        <v>0</v>
      </c>
      <c r="AH1434">
        <v>62.6</v>
      </c>
    </row>
    <row r="1435" spans="1:34" x14ac:dyDescent="0.3">
      <c r="A1435" s="4">
        <v>1648</v>
      </c>
      <c r="B1435" s="5">
        <v>1428</v>
      </c>
      <c r="C1435">
        <v>8763</v>
      </c>
      <c r="D1435" t="s">
        <v>13465</v>
      </c>
      <c r="E1435" t="s">
        <v>3313</v>
      </c>
      <c r="F1435" t="s">
        <v>30</v>
      </c>
      <c r="G1435" t="s">
        <v>13466</v>
      </c>
      <c r="H1435">
        <v>18.18</v>
      </c>
      <c r="I1435">
        <v>0</v>
      </c>
      <c r="J1435">
        <v>0</v>
      </c>
      <c r="K1435">
        <v>0</v>
      </c>
      <c r="L1435">
        <v>7</v>
      </c>
      <c r="O1435">
        <v>7</v>
      </c>
      <c r="P1435">
        <v>4</v>
      </c>
      <c r="Q1435">
        <v>0</v>
      </c>
      <c r="R1435">
        <v>29.18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3</v>
      </c>
      <c r="AC1435">
        <v>30.4</v>
      </c>
      <c r="AH1435">
        <v>62.58</v>
      </c>
    </row>
    <row r="1436" spans="1:34" x14ac:dyDescent="0.3">
      <c r="A1436" s="4">
        <v>1649</v>
      </c>
      <c r="B1436" s="5">
        <v>1429</v>
      </c>
      <c r="C1436">
        <v>7922</v>
      </c>
      <c r="D1436" t="s">
        <v>2184</v>
      </c>
      <c r="E1436" t="s">
        <v>5767</v>
      </c>
      <c r="F1436" t="s">
        <v>158</v>
      </c>
      <c r="G1436" t="s">
        <v>13467</v>
      </c>
      <c r="H1436">
        <v>17.53</v>
      </c>
      <c r="I1436">
        <v>0</v>
      </c>
      <c r="J1436">
        <v>0</v>
      </c>
      <c r="K1436">
        <v>20</v>
      </c>
      <c r="L1436">
        <v>7</v>
      </c>
      <c r="O1436">
        <v>7</v>
      </c>
      <c r="P1436">
        <v>4</v>
      </c>
      <c r="Q1436">
        <v>0</v>
      </c>
      <c r="R1436">
        <v>48.53</v>
      </c>
      <c r="S1436">
        <v>14</v>
      </c>
      <c r="T1436">
        <v>14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14</v>
      </c>
      <c r="AB1436">
        <v>0</v>
      </c>
      <c r="AC1436">
        <v>0</v>
      </c>
      <c r="AD1436" t="s">
        <v>130</v>
      </c>
      <c r="AH1436">
        <v>62.53</v>
      </c>
    </row>
    <row r="1437" spans="1:34" x14ac:dyDescent="0.3">
      <c r="A1437" s="4">
        <v>1650</v>
      </c>
      <c r="B1437" s="5">
        <v>1430</v>
      </c>
      <c r="C1437">
        <v>15343</v>
      </c>
      <c r="D1437" t="s">
        <v>5345</v>
      </c>
      <c r="E1437" t="s">
        <v>283</v>
      </c>
      <c r="F1437" t="s">
        <v>30</v>
      </c>
      <c r="G1437" t="s">
        <v>13468</v>
      </c>
      <c r="H1437">
        <v>17.48</v>
      </c>
      <c r="I1437">
        <v>0</v>
      </c>
      <c r="J1437">
        <v>0</v>
      </c>
      <c r="K1437">
        <v>20</v>
      </c>
      <c r="L1437">
        <v>7</v>
      </c>
      <c r="M1437">
        <v>5</v>
      </c>
      <c r="O1437">
        <v>12</v>
      </c>
      <c r="P1437">
        <v>0</v>
      </c>
      <c r="Q1437">
        <v>2</v>
      </c>
      <c r="R1437">
        <v>51.48</v>
      </c>
      <c r="S1437">
        <v>11</v>
      </c>
      <c r="T1437">
        <v>11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11</v>
      </c>
      <c r="AB1437">
        <v>0</v>
      </c>
      <c r="AC1437">
        <v>0</v>
      </c>
      <c r="AH1437">
        <v>62.48</v>
      </c>
    </row>
    <row r="1438" spans="1:34" x14ac:dyDescent="0.3">
      <c r="A1438" s="4">
        <v>1651</v>
      </c>
      <c r="B1438" s="5">
        <v>1431</v>
      </c>
      <c r="C1438">
        <v>1208</v>
      </c>
      <c r="D1438" t="s">
        <v>13469</v>
      </c>
      <c r="E1438" t="s">
        <v>230</v>
      </c>
      <c r="F1438" t="s">
        <v>38</v>
      </c>
      <c r="G1438" t="s">
        <v>13470</v>
      </c>
      <c r="H1438">
        <v>21.45</v>
      </c>
      <c r="I1438">
        <v>0</v>
      </c>
      <c r="J1438">
        <v>0</v>
      </c>
      <c r="K1438">
        <v>20</v>
      </c>
      <c r="L1438">
        <v>7</v>
      </c>
      <c r="O1438">
        <v>7</v>
      </c>
      <c r="P1438">
        <v>4</v>
      </c>
      <c r="Q1438">
        <v>2</v>
      </c>
      <c r="R1438">
        <v>54.45</v>
      </c>
      <c r="S1438">
        <v>8</v>
      </c>
      <c r="T1438">
        <v>8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8</v>
      </c>
      <c r="AB1438">
        <v>0</v>
      </c>
      <c r="AC1438">
        <v>0</v>
      </c>
      <c r="AH1438">
        <v>62.45</v>
      </c>
    </row>
    <row r="1439" spans="1:34" x14ac:dyDescent="0.3">
      <c r="A1439" s="4">
        <v>1652</v>
      </c>
      <c r="B1439" s="5">
        <v>1432</v>
      </c>
      <c r="C1439">
        <v>2902</v>
      </c>
      <c r="D1439" t="s">
        <v>13471</v>
      </c>
      <c r="E1439" t="s">
        <v>13472</v>
      </c>
      <c r="F1439" t="s">
        <v>13473</v>
      </c>
      <c r="G1439" t="s">
        <v>13474</v>
      </c>
      <c r="H1439">
        <v>15.45</v>
      </c>
      <c r="I1439">
        <v>0</v>
      </c>
      <c r="J1439">
        <v>0</v>
      </c>
      <c r="K1439">
        <v>20</v>
      </c>
      <c r="M1439">
        <v>5</v>
      </c>
      <c r="N1439">
        <v>3</v>
      </c>
      <c r="O1439">
        <v>8</v>
      </c>
      <c r="P1439">
        <v>4</v>
      </c>
      <c r="Q1439">
        <v>2</v>
      </c>
      <c r="R1439">
        <v>49.45</v>
      </c>
      <c r="S1439">
        <v>13</v>
      </c>
      <c r="T1439">
        <v>13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13</v>
      </c>
      <c r="AB1439">
        <v>0</v>
      </c>
      <c r="AC1439">
        <v>0</v>
      </c>
      <c r="AH1439">
        <v>62.45</v>
      </c>
    </row>
    <row r="1440" spans="1:34" x14ac:dyDescent="0.3">
      <c r="A1440" s="4">
        <v>1653</v>
      </c>
      <c r="B1440" s="5">
        <v>1433</v>
      </c>
      <c r="C1440">
        <v>152</v>
      </c>
      <c r="D1440" t="s">
        <v>13475</v>
      </c>
      <c r="E1440" t="s">
        <v>54</v>
      </c>
      <c r="F1440" t="s">
        <v>68</v>
      </c>
      <c r="G1440" t="s">
        <v>13476</v>
      </c>
      <c r="H1440">
        <v>18.399999999999999</v>
      </c>
      <c r="I1440">
        <v>0</v>
      </c>
      <c r="J1440">
        <v>0</v>
      </c>
      <c r="K1440">
        <v>20</v>
      </c>
      <c r="N1440">
        <v>3</v>
      </c>
      <c r="O1440">
        <v>3</v>
      </c>
      <c r="P1440">
        <v>4</v>
      </c>
      <c r="Q1440">
        <v>2</v>
      </c>
      <c r="R1440">
        <v>47.4</v>
      </c>
      <c r="S1440">
        <v>15</v>
      </c>
      <c r="T1440">
        <v>15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15</v>
      </c>
      <c r="AB1440">
        <v>0</v>
      </c>
      <c r="AC1440">
        <v>0</v>
      </c>
      <c r="AH1440">
        <v>62.4</v>
      </c>
    </row>
    <row r="1441" spans="1:34" x14ac:dyDescent="0.3">
      <c r="A1441" s="4">
        <v>1654</v>
      </c>
      <c r="B1441" s="5">
        <v>1434</v>
      </c>
      <c r="C1441">
        <v>5603</v>
      </c>
      <c r="D1441" t="s">
        <v>8779</v>
      </c>
      <c r="E1441" t="s">
        <v>10825</v>
      </c>
      <c r="F1441" t="s">
        <v>230</v>
      </c>
      <c r="G1441" t="s">
        <v>10826</v>
      </c>
      <c r="H1441">
        <v>17.350000000000001</v>
      </c>
      <c r="I1441">
        <v>0</v>
      </c>
      <c r="J1441">
        <v>0</v>
      </c>
      <c r="K1441">
        <v>28</v>
      </c>
      <c r="L1441">
        <v>7</v>
      </c>
      <c r="O1441">
        <v>7</v>
      </c>
      <c r="P1441">
        <v>4</v>
      </c>
      <c r="Q1441">
        <v>0</v>
      </c>
      <c r="R1441">
        <v>56.35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6</v>
      </c>
      <c r="AC1441">
        <v>0</v>
      </c>
      <c r="AH1441">
        <v>62.35</v>
      </c>
    </row>
    <row r="1442" spans="1:34" x14ac:dyDescent="0.3">
      <c r="A1442" s="4">
        <v>1655</v>
      </c>
      <c r="B1442" s="5">
        <v>1435</v>
      </c>
      <c r="C1442">
        <v>2223</v>
      </c>
      <c r="D1442" t="s">
        <v>496</v>
      </c>
      <c r="E1442" t="s">
        <v>208</v>
      </c>
      <c r="F1442" t="s">
        <v>17</v>
      </c>
      <c r="G1442" t="s">
        <v>13477</v>
      </c>
      <c r="H1442">
        <v>17.329999999999998</v>
      </c>
      <c r="I1442">
        <v>0</v>
      </c>
      <c r="J1442">
        <v>0</v>
      </c>
      <c r="K1442">
        <v>20</v>
      </c>
      <c r="L1442">
        <v>7</v>
      </c>
      <c r="M1442">
        <v>5</v>
      </c>
      <c r="O1442">
        <v>12</v>
      </c>
      <c r="P1442">
        <v>4</v>
      </c>
      <c r="Q1442">
        <v>2</v>
      </c>
      <c r="R1442">
        <v>55.33</v>
      </c>
      <c r="S1442">
        <v>7</v>
      </c>
      <c r="T1442">
        <v>7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7</v>
      </c>
      <c r="AB1442">
        <v>0</v>
      </c>
      <c r="AC1442">
        <v>0</v>
      </c>
      <c r="AH1442">
        <v>62.33</v>
      </c>
    </row>
    <row r="1443" spans="1:34" x14ac:dyDescent="0.3">
      <c r="A1443" s="4">
        <v>1656</v>
      </c>
      <c r="B1443" s="5">
        <v>1436</v>
      </c>
      <c r="C1443">
        <v>15215</v>
      </c>
      <c r="D1443" t="s">
        <v>13478</v>
      </c>
      <c r="E1443" t="s">
        <v>193</v>
      </c>
      <c r="F1443" t="s">
        <v>1593</v>
      </c>
      <c r="G1443" t="s">
        <v>13479</v>
      </c>
      <c r="H1443">
        <v>18.329999999999998</v>
      </c>
      <c r="I1443">
        <v>0</v>
      </c>
      <c r="J1443">
        <v>0</v>
      </c>
      <c r="K1443">
        <v>20</v>
      </c>
      <c r="L1443">
        <v>7</v>
      </c>
      <c r="O1443">
        <v>7</v>
      </c>
      <c r="P1443">
        <v>4</v>
      </c>
      <c r="Q1443">
        <v>2</v>
      </c>
      <c r="R1443">
        <v>51.33</v>
      </c>
      <c r="S1443">
        <v>11</v>
      </c>
      <c r="T1443">
        <v>11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11</v>
      </c>
      <c r="AB1443">
        <v>0</v>
      </c>
      <c r="AC1443">
        <v>0</v>
      </c>
      <c r="AH1443">
        <v>62.33</v>
      </c>
    </row>
    <row r="1444" spans="1:34" x14ac:dyDescent="0.3">
      <c r="A1444" s="4">
        <v>1657</v>
      </c>
      <c r="B1444" s="5">
        <v>1437</v>
      </c>
      <c r="C1444">
        <v>1328</v>
      </c>
      <c r="D1444" t="s">
        <v>13480</v>
      </c>
      <c r="E1444" t="s">
        <v>161</v>
      </c>
      <c r="F1444" t="s">
        <v>91</v>
      </c>
      <c r="G1444" t="s">
        <v>13481</v>
      </c>
      <c r="H1444">
        <v>16.25</v>
      </c>
      <c r="I1444">
        <v>0</v>
      </c>
      <c r="J1444">
        <v>0</v>
      </c>
      <c r="K1444">
        <v>20</v>
      </c>
      <c r="N1444">
        <v>3</v>
      </c>
      <c r="O1444">
        <v>3</v>
      </c>
      <c r="P1444">
        <v>4</v>
      </c>
      <c r="Q1444">
        <v>0</v>
      </c>
      <c r="R1444">
        <v>43.25</v>
      </c>
      <c r="S1444">
        <v>16</v>
      </c>
      <c r="T1444">
        <v>16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16</v>
      </c>
      <c r="AB1444">
        <v>3</v>
      </c>
      <c r="AC1444">
        <v>0</v>
      </c>
      <c r="AD1444" t="s">
        <v>130</v>
      </c>
      <c r="AH1444">
        <v>62.25</v>
      </c>
    </row>
    <row r="1445" spans="1:34" x14ac:dyDescent="0.3">
      <c r="A1445" s="4">
        <v>1658</v>
      </c>
      <c r="B1445" s="5">
        <v>1438</v>
      </c>
      <c r="C1445">
        <v>10399</v>
      </c>
      <c r="D1445" t="s">
        <v>10428</v>
      </c>
      <c r="E1445" t="s">
        <v>1989</v>
      </c>
      <c r="F1445" t="s">
        <v>310</v>
      </c>
      <c r="G1445" t="s">
        <v>13482</v>
      </c>
      <c r="H1445">
        <v>20.23</v>
      </c>
      <c r="I1445">
        <v>0</v>
      </c>
      <c r="J1445">
        <v>0</v>
      </c>
      <c r="K1445">
        <v>20</v>
      </c>
      <c r="M1445">
        <v>10</v>
      </c>
      <c r="O1445">
        <v>10</v>
      </c>
      <c r="P1445">
        <v>4</v>
      </c>
      <c r="Q1445">
        <v>2</v>
      </c>
      <c r="R1445">
        <v>56.23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6</v>
      </c>
      <c r="AC1445">
        <v>0</v>
      </c>
      <c r="AH1445">
        <v>62.23</v>
      </c>
    </row>
    <row r="1446" spans="1:34" x14ac:dyDescent="0.3">
      <c r="A1446" s="4">
        <v>1659</v>
      </c>
      <c r="B1446" s="5">
        <v>1439</v>
      </c>
      <c r="C1446">
        <v>11665</v>
      </c>
      <c r="D1446" t="s">
        <v>13483</v>
      </c>
      <c r="E1446" t="s">
        <v>170</v>
      </c>
      <c r="F1446" t="s">
        <v>136</v>
      </c>
      <c r="G1446" t="s">
        <v>13484</v>
      </c>
      <c r="H1446">
        <v>18.18</v>
      </c>
      <c r="I1446">
        <v>0</v>
      </c>
      <c r="J1446">
        <v>0</v>
      </c>
      <c r="K1446">
        <v>20</v>
      </c>
      <c r="L1446">
        <v>7</v>
      </c>
      <c r="O1446">
        <v>7</v>
      </c>
      <c r="P1446">
        <v>4</v>
      </c>
      <c r="Q1446">
        <v>0</v>
      </c>
      <c r="R1446">
        <v>49.18</v>
      </c>
      <c r="S1446">
        <v>13</v>
      </c>
      <c r="T1446">
        <v>13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13</v>
      </c>
      <c r="AB1446">
        <v>0</v>
      </c>
      <c r="AC1446">
        <v>0</v>
      </c>
      <c r="AH1446">
        <v>62.18</v>
      </c>
    </row>
    <row r="1447" spans="1:34" x14ac:dyDescent="0.3">
      <c r="A1447" s="4">
        <v>1660</v>
      </c>
      <c r="B1447" s="5">
        <v>1440</v>
      </c>
      <c r="C1447">
        <v>4125</v>
      </c>
      <c r="D1447" t="s">
        <v>13485</v>
      </c>
      <c r="E1447" t="s">
        <v>1576</v>
      </c>
      <c r="F1447" t="s">
        <v>30</v>
      </c>
      <c r="G1447" t="s">
        <v>13486</v>
      </c>
      <c r="H1447">
        <v>20.079999999999998</v>
      </c>
      <c r="I1447">
        <v>0</v>
      </c>
      <c r="J1447">
        <v>0</v>
      </c>
      <c r="K1447">
        <v>0</v>
      </c>
      <c r="L1447">
        <v>7</v>
      </c>
      <c r="N1447">
        <v>3</v>
      </c>
      <c r="O1447">
        <v>10</v>
      </c>
      <c r="P1447">
        <v>4</v>
      </c>
      <c r="Q1447">
        <v>2</v>
      </c>
      <c r="R1447">
        <v>36.08</v>
      </c>
      <c r="S1447">
        <v>6</v>
      </c>
      <c r="T1447">
        <v>6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6</v>
      </c>
      <c r="AB1447">
        <v>0</v>
      </c>
      <c r="AC1447">
        <v>20</v>
      </c>
      <c r="AH1447">
        <v>62.08</v>
      </c>
    </row>
    <row r="1448" spans="1:34" x14ac:dyDescent="0.3">
      <c r="A1448" s="4">
        <v>1661</v>
      </c>
      <c r="B1448" s="5">
        <v>1441</v>
      </c>
      <c r="C1448">
        <v>5868</v>
      </c>
      <c r="D1448" t="s">
        <v>13487</v>
      </c>
      <c r="E1448" t="s">
        <v>29</v>
      </c>
      <c r="F1448" t="s">
        <v>190</v>
      </c>
      <c r="G1448" t="s">
        <v>13488</v>
      </c>
      <c r="H1448">
        <v>18.079999999999998</v>
      </c>
      <c r="I1448">
        <v>0</v>
      </c>
      <c r="J1448">
        <v>0</v>
      </c>
      <c r="K1448">
        <v>28</v>
      </c>
      <c r="L1448">
        <v>7</v>
      </c>
      <c r="O1448">
        <v>7</v>
      </c>
      <c r="P1448">
        <v>4</v>
      </c>
      <c r="Q1448">
        <v>2</v>
      </c>
      <c r="R1448">
        <v>59.08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3</v>
      </c>
      <c r="AC1448">
        <v>0</v>
      </c>
      <c r="AH1448">
        <v>62.08</v>
      </c>
    </row>
    <row r="1449" spans="1:34" x14ac:dyDescent="0.3">
      <c r="A1449" s="4">
        <v>1662</v>
      </c>
      <c r="B1449" s="5">
        <v>1442</v>
      </c>
      <c r="C1449">
        <v>11421</v>
      </c>
      <c r="D1449" t="s">
        <v>8684</v>
      </c>
      <c r="E1449" t="s">
        <v>143</v>
      </c>
      <c r="F1449" t="s">
        <v>117</v>
      </c>
      <c r="G1449" t="s">
        <v>13489</v>
      </c>
      <c r="H1449">
        <v>25</v>
      </c>
      <c r="I1449">
        <v>0</v>
      </c>
      <c r="J1449">
        <v>0</v>
      </c>
      <c r="K1449">
        <v>20</v>
      </c>
      <c r="L1449">
        <v>7</v>
      </c>
      <c r="N1449">
        <v>3</v>
      </c>
      <c r="O1449">
        <v>10</v>
      </c>
      <c r="P1449">
        <v>4</v>
      </c>
      <c r="Q1449">
        <v>0</v>
      </c>
      <c r="R1449">
        <v>59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3</v>
      </c>
      <c r="AC1449">
        <v>0</v>
      </c>
      <c r="AH1449">
        <v>62</v>
      </c>
    </row>
    <row r="1450" spans="1:34" x14ac:dyDescent="0.3">
      <c r="A1450" s="4">
        <v>1663</v>
      </c>
      <c r="B1450" s="5">
        <v>1443</v>
      </c>
      <c r="C1450">
        <v>9487</v>
      </c>
      <c r="D1450" t="s">
        <v>13490</v>
      </c>
      <c r="E1450" t="s">
        <v>424</v>
      </c>
      <c r="F1450" t="s">
        <v>38</v>
      </c>
      <c r="G1450" t="s">
        <v>13491</v>
      </c>
      <c r="H1450">
        <v>16.98</v>
      </c>
      <c r="I1450">
        <v>0</v>
      </c>
      <c r="J1450">
        <v>0</v>
      </c>
      <c r="K1450">
        <v>0</v>
      </c>
      <c r="L1450">
        <v>7</v>
      </c>
      <c r="N1450">
        <v>3</v>
      </c>
      <c r="O1450">
        <v>10</v>
      </c>
      <c r="P1450">
        <v>4</v>
      </c>
      <c r="Q1450">
        <v>0</v>
      </c>
      <c r="R1450">
        <v>30.98</v>
      </c>
      <c r="S1450">
        <v>25</v>
      </c>
      <c r="T1450">
        <v>25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25</v>
      </c>
      <c r="AB1450">
        <v>6</v>
      </c>
      <c r="AC1450">
        <v>0</v>
      </c>
      <c r="AH1450">
        <v>61.98</v>
      </c>
    </row>
    <row r="1451" spans="1:34" x14ac:dyDescent="0.3">
      <c r="A1451" s="4">
        <v>1664</v>
      </c>
      <c r="B1451" s="5">
        <v>1444</v>
      </c>
      <c r="C1451">
        <v>13303</v>
      </c>
      <c r="D1451" t="s">
        <v>1286</v>
      </c>
      <c r="E1451" t="s">
        <v>161</v>
      </c>
      <c r="F1451" t="s">
        <v>782</v>
      </c>
      <c r="G1451" t="s">
        <v>13492</v>
      </c>
      <c r="H1451">
        <v>15.98</v>
      </c>
      <c r="I1451">
        <v>0</v>
      </c>
      <c r="J1451">
        <v>0</v>
      </c>
      <c r="K1451">
        <v>20</v>
      </c>
      <c r="L1451">
        <v>7</v>
      </c>
      <c r="N1451">
        <v>3</v>
      </c>
      <c r="O1451">
        <v>10</v>
      </c>
      <c r="P1451">
        <v>4</v>
      </c>
      <c r="Q1451">
        <v>2</v>
      </c>
      <c r="R1451">
        <v>51.98</v>
      </c>
      <c r="S1451">
        <v>10</v>
      </c>
      <c r="T1451">
        <v>10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10</v>
      </c>
      <c r="AB1451">
        <v>0</v>
      </c>
      <c r="AC1451">
        <v>0</v>
      </c>
      <c r="AH1451">
        <v>61.98</v>
      </c>
    </row>
    <row r="1452" spans="1:34" x14ac:dyDescent="0.3">
      <c r="A1452" s="4">
        <v>1665</v>
      </c>
      <c r="B1452" s="5">
        <v>1445</v>
      </c>
      <c r="C1452">
        <v>4260</v>
      </c>
      <c r="D1452" t="s">
        <v>4887</v>
      </c>
      <c r="E1452" t="s">
        <v>400</v>
      </c>
      <c r="F1452" t="s">
        <v>375</v>
      </c>
      <c r="G1452" t="s">
        <v>13493</v>
      </c>
      <c r="H1452">
        <v>16.98</v>
      </c>
      <c r="I1452">
        <v>0</v>
      </c>
      <c r="J1452">
        <v>0</v>
      </c>
      <c r="K1452">
        <v>20</v>
      </c>
      <c r="L1452">
        <v>7</v>
      </c>
      <c r="O1452">
        <v>7</v>
      </c>
      <c r="P1452">
        <v>4</v>
      </c>
      <c r="Q1452">
        <v>0</v>
      </c>
      <c r="R1452">
        <v>47.98</v>
      </c>
      <c r="S1452">
        <v>14</v>
      </c>
      <c r="T1452">
        <v>14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14</v>
      </c>
      <c r="AB1452">
        <v>0</v>
      </c>
      <c r="AC1452">
        <v>0</v>
      </c>
      <c r="AH1452">
        <v>61.98</v>
      </c>
    </row>
    <row r="1453" spans="1:34" x14ac:dyDescent="0.3">
      <c r="A1453" s="4">
        <v>1666</v>
      </c>
      <c r="B1453" s="5">
        <v>1446</v>
      </c>
      <c r="C1453">
        <v>8500</v>
      </c>
      <c r="D1453" t="s">
        <v>93</v>
      </c>
      <c r="E1453" t="s">
        <v>166</v>
      </c>
      <c r="F1453" t="s">
        <v>38</v>
      </c>
      <c r="G1453" t="s">
        <v>13494</v>
      </c>
      <c r="H1453">
        <v>16.98</v>
      </c>
      <c r="I1453">
        <v>0</v>
      </c>
      <c r="J1453">
        <v>0</v>
      </c>
      <c r="K1453">
        <v>0</v>
      </c>
      <c r="L1453">
        <v>7</v>
      </c>
      <c r="N1453">
        <v>3</v>
      </c>
      <c r="O1453">
        <v>10</v>
      </c>
      <c r="P1453">
        <v>4</v>
      </c>
      <c r="Q1453">
        <v>2</v>
      </c>
      <c r="R1453">
        <v>32.979999999999997</v>
      </c>
      <c r="S1453">
        <v>29</v>
      </c>
      <c r="T1453">
        <v>29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29</v>
      </c>
      <c r="AB1453">
        <v>0</v>
      </c>
      <c r="AC1453">
        <v>0</v>
      </c>
      <c r="AH1453">
        <v>61.98</v>
      </c>
    </row>
    <row r="1454" spans="1:34" x14ac:dyDescent="0.3">
      <c r="A1454" s="4">
        <v>1667</v>
      </c>
      <c r="B1454" s="5">
        <v>1447</v>
      </c>
      <c r="C1454">
        <v>3401</v>
      </c>
      <c r="D1454" t="s">
        <v>5567</v>
      </c>
      <c r="E1454" t="s">
        <v>132</v>
      </c>
      <c r="F1454" t="s">
        <v>17</v>
      </c>
      <c r="G1454" t="s">
        <v>13495</v>
      </c>
      <c r="H1454">
        <v>17.95</v>
      </c>
      <c r="I1454">
        <v>0</v>
      </c>
      <c r="J1454">
        <v>0</v>
      </c>
      <c r="K1454">
        <v>20</v>
      </c>
      <c r="L1454">
        <v>7</v>
      </c>
      <c r="M1454">
        <v>5</v>
      </c>
      <c r="O1454">
        <v>12</v>
      </c>
      <c r="P1454">
        <v>4</v>
      </c>
      <c r="Q1454">
        <v>0</v>
      </c>
      <c r="R1454">
        <v>53.95</v>
      </c>
      <c r="S1454">
        <v>2</v>
      </c>
      <c r="T1454">
        <v>2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2</v>
      </c>
      <c r="AB1454">
        <v>6</v>
      </c>
      <c r="AC1454">
        <v>0</v>
      </c>
      <c r="AD1454" t="s">
        <v>130</v>
      </c>
      <c r="AH1454">
        <v>61.95</v>
      </c>
    </row>
    <row r="1455" spans="1:34" x14ac:dyDescent="0.3">
      <c r="A1455" s="4">
        <v>1668</v>
      </c>
      <c r="B1455" s="5">
        <v>1448</v>
      </c>
      <c r="C1455">
        <v>6337</v>
      </c>
      <c r="D1455" t="s">
        <v>13496</v>
      </c>
      <c r="E1455" t="s">
        <v>17</v>
      </c>
      <c r="F1455" t="s">
        <v>20</v>
      </c>
      <c r="G1455" t="s">
        <v>13497</v>
      </c>
      <c r="H1455">
        <v>22.9</v>
      </c>
      <c r="I1455">
        <v>0</v>
      </c>
      <c r="J1455">
        <v>0</v>
      </c>
      <c r="K1455">
        <v>20</v>
      </c>
      <c r="L1455">
        <v>7</v>
      </c>
      <c r="O1455">
        <v>7</v>
      </c>
      <c r="P1455">
        <v>4</v>
      </c>
      <c r="Q1455">
        <v>2</v>
      </c>
      <c r="R1455">
        <v>55.9</v>
      </c>
      <c r="S1455">
        <v>3</v>
      </c>
      <c r="T1455">
        <v>3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3</v>
      </c>
      <c r="AB1455">
        <v>3</v>
      </c>
      <c r="AC1455">
        <v>0</v>
      </c>
      <c r="AH1455">
        <v>61.9</v>
      </c>
    </row>
    <row r="1456" spans="1:34" x14ac:dyDescent="0.3">
      <c r="A1456" s="4">
        <v>1669</v>
      </c>
      <c r="B1456" s="5">
        <v>1449</v>
      </c>
      <c r="C1456">
        <v>1539</v>
      </c>
      <c r="D1456" t="s">
        <v>13498</v>
      </c>
      <c r="E1456" t="s">
        <v>33</v>
      </c>
      <c r="F1456" t="s">
        <v>38</v>
      </c>
      <c r="G1456" t="s">
        <v>13499</v>
      </c>
      <c r="H1456">
        <v>14.85</v>
      </c>
      <c r="I1456">
        <v>0</v>
      </c>
      <c r="J1456">
        <v>0</v>
      </c>
      <c r="K1456">
        <v>20</v>
      </c>
      <c r="L1456">
        <v>7</v>
      </c>
      <c r="O1456">
        <v>7</v>
      </c>
      <c r="P1456">
        <v>4</v>
      </c>
      <c r="Q1456">
        <v>2</v>
      </c>
      <c r="R1456">
        <v>47.85</v>
      </c>
      <c r="S1456">
        <v>11</v>
      </c>
      <c r="T1456">
        <v>11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11</v>
      </c>
      <c r="AB1456">
        <v>3</v>
      </c>
      <c r="AC1456">
        <v>0</v>
      </c>
      <c r="AH1456">
        <v>61.85</v>
      </c>
    </row>
    <row r="1457" spans="1:34" x14ac:dyDescent="0.3">
      <c r="A1457" s="4">
        <v>1670</v>
      </c>
      <c r="B1457" s="5">
        <v>1450</v>
      </c>
      <c r="C1457">
        <v>13500</v>
      </c>
      <c r="D1457" t="s">
        <v>10440</v>
      </c>
      <c r="E1457" t="s">
        <v>1189</v>
      </c>
      <c r="F1457" t="s">
        <v>259</v>
      </c>
      <c r="G1457" t="s">
        <v>13500</v>
      </c>
      <c r="H1457">
        <v>20.85</v>
      </c>
      <c r="I1457">
        <v>0</v>
      </c>
      <c r="J1457">
        <v>0</v>
      </c>
      <c r="K1457">
        <v>0</v>
      </c>
      <c r="L1457">
        <v>7</v>
      </c>
      <c r="O1457">
        <v>7</v>
      </c>
      <c r="P1457">
        <v>4</v>
      </c>
      <c r="Q1457">
        <v>2</v>
      </c>
      <c r="R1457">
        <v>33.85</v>
      </c>
      <c r="S1457">
        <v>25</v>
      </c>
      <c r="T1457">
        <v>25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25</v>
      </c>
      <c r="AB1457">
        <v>3</v>
      </c>
      <c r="AC1457">
        <v>0</v>
      </c>
      <c r="AH1457">
        <v>61.85</v>
      </c>
    </row>
    <row r="1458" spans="1:34" x14ac:dyDescent="0.3">
      <c r="A1458" s="4">
        <v>1671</v>
      </c>
      <c r="B1458" s="5">
        <v>1451</v>
      </c>
      <c r="C1458">
        <v>3098</v>
      </c>
      <c r="D1458" t="s">
        <v>4454</v>
      </c>
      <c r="E1458" t="s">
        <v>166</v>
      </c>
      <c r="F1458" t="s">
        <v>38</v>
      </c>
      <c r="G1458" t="s">
        <v>13501</v>
      </c>
      <c r="H1458">
        <v>18.829999999999998</v>
      </c>
      <c r="I1458">
        <v>0</v>
      </c>
      <c r="J1458">
        <v>0</v>
      </c>
      <c r="K1458">
        <v>20</v>
      </c>
      <c r="L1458">
        <v>7</v>
      </c>
      <c r="N1458">
        <v>3</v>
      </c>
      <c r="O1458">
        <v>10</v>
      </c>
      <c r="P1458">
        <v>0</v>
      </c>
      <c r="Q1458">
        <v>0</v>
      </c>
      <c r="R1458">
        <v>48.83</v>
      </c>
      <c r="S1458">
        <v>13</v>
      </c>
      <c r="T1458">
        <v>13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13</v>
      </c>
      <c r="AB1458">
        <v>0</v>
      </c>
      <c r="AC1458">
        <v>0</v>
      </c>
      <c r="AH1458">
        <v>61.83</v>
      </c>
    </row>
    <row r="1459" spans="1:34" x14ac:dyDescent="0.3">
      <c r="A1459" s="4">
        <v>1672</v>
      </c>
      <c r="B1459" s="5">
        <v>1452</v>
      </c>
      <c r="C1459">
        <v>15026</v>
      </c>
      <c r="D1459" t="s">
        <v>13502</v>
      </c>
      <c r="E1459" t="s">
        <v>8982</v>
      </c>
      <c r="F1459" t="s">
        <v>91</v>
      </c>
      <c r="G1459" t="s">
        <v>13503</v>
      </c>
      <c r="H1459">
        <v>20.8</v>
      </c>
      <c r="I1459">
        <v>0</v>
      </c>
      <c r="J1459">
        <v>0</v>
      </c>
      <c r="K1459">
        <v>20</v>
      </c>
      <c r="L1459">
        <v>14</v>
      </c>
      <c r="O1459">
        <v>14</v>
      </c>
      <c r="P1459">
        <v>4</v>
      </c>
      <c r="Q1459">
        <v>0</v>
      </c>
      <c r="R1459">
        <v>58.8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3</v>
      </c>
      <c r="AC1459">
        <v>0</v>
      </c>
      <c r="AH1459">
        <v>61.8</v>
      </c>
    </row>
    <row r="1460" spans="1:34" x14ac:dyDescent="0.3">
      <c r="A1460" s="4">
        <v>1673</v>
      </c>
      <c r="B1460" s="5">
        <v>1453</v>
      </c>
      <c r="C1460">
        <v>3076</v>
      </c>
      <c r="D1460" t="s">
        <v>6107</v>
      </c>
      <c r="E1460" t="s">
        <v>37</v>
      </c>
      <c r="F1460" t="s">
        <v>158</v>
      </c>
      <c r="G1460" t="s">
        <v>13504</v>
      </c>
      <c r="H1460">
        <v>19.73</v>
      </c>
      <c r="I1460">
        <v>0</v>
      </c>
      <c r="J1460">
        <v>0</v>
      </c>
      <c r="K1460">
        <v>20</v>
      </c>
      <c r="M1460">
        <v>5</v>
      </c>
      <c r="O1460">
        <v>5</v>
      </c>
      <c r="P1460">
        <v>4</v>
      </c>
      <c r="Q1460">
        <v>2</v>
      </c>
      <c r="R1460">
        <v>50.73</v>
      </c>
      <c r="S1460">
        <v>11</v>
      </c>
      <c r="T1460">
        <v>11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11</v>
      </c>
      <c r="AB1460">
        <v>0</v>
      </c>
      <c r="AC1460">
        <v>0</v>
      </c>
      <c r="AH1460">
        <v>61.73</v>
      </c>
    </row>
    <row r="1461" spans="1:34" x14ac:dyDescent="0.3">
      <c r="A1461" s="4">
        <v>1674</v>
      </c>
      <c r="B1461" s="5">
        <v>1454</v>
      </c>
      <c r="C1461">
        <v>3275</v>
      </c>
      <c r="D1461" t="s">
        <v>1129</v>
      </c>
      <c r="E1461" t="s">
        <v>54</v>
      </c>
      <c r="F1461" t="s">
        <v>38</v>
      </c>
      <c r="G1461" t="s">
        <v>13505</v>
      </c>
      <c r="H1461">
        <v>19.649999999999999</v>
      </c>
      <c r="I1461">
        <v>0</v>
      </c>
      <c r="J1461">
        <v>0</v>
      </c>
      <c r="K1461">
        <v>0</v>
      </c>
      <c r="O1461">
        <v>0</v>
      </c>
      <c r="P1461">
        <v>4</v>
      </c>
      <c r="Q1461">
        <v>0</v>
      </c>
      <c r="R1461">
        <v>23.65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38</v>
      </c>
      <c r="AH1461">
        <v>61.65</v>
      </c>
    </row>
    <row r="1462" spans="1:34" x14ac:dyDescent="0.3">
      <c r="A1462" s="4">
        <v>1675</v>
      </c>
      <c r="B1462" s="5">
        <v>1455</v>
      </c>
      <c r="C1462">
        <v>1677</v>
      </c>
      <c r="D1462" t="s">
        <v>1419</v>
      </c>
      <c r="E1462" t="s">
        <v>147</v>
      </c>
      <c r="F1462" t="s">
        <v>381</v>
      </c>
      <c r="G1462" t="s">
        <v>13506</v>
      </c>
      <c r="H1462">
        <v>17.63</v>
      </c>
      <c r="I1462">
        <v>0</v>
      </c>
      <c r="J1462">
        <v>0</v>
      </c>
      <c r="K1462">
        <v>20</v>
      </c>
      <c r="L1462">
        <v>7</v>
      </c>
      <c r="O1462">
        <v>7</v>
      </c>
      <c r="P1462">
        <v>0</v>
      </c>
      <c r="Q1462">
        <v>0</v>
      </c>
      <c r="R1462">
        <v>44.63</v>
      </c>
      <c r="S1462">
        <v>14</v>
      </c>
      <c r="T1462">
        <v>14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14</v>
      </c>
      <c r="AB1462">
        <v>3</v>
      </c>
      <c r="AC1462">
        <v>0</v>
      </c>
      <c r="AH1462">
        <v>61.63</v>
      </c>
    </row>
    <row r="1463" spans="1:34" x14ac:dyDescent="0.3">
      <c r="A1463" s="4">
        <v>1676</v>
      </c>
      <c r="B1463" s="5">
        <v>1456</v>
      </c>
      <c r="C1463">
        <v>14330</v>
      </c>
      <c r="D1463" t="s">
        <v>13507</v>
      </c>
      <c r="E1463" t="s">
        <v>110</v>
      </c>
      <c r="F1463" t="s">
        <v>20</v>
      </c>
      <c r="G1463" t="s">
        <v>13508</v>
      </c>
      <c r="H1463">
        <v>16.399999999999999</v>
      </c>
      <c r="I1463">
        <v>0</v>
      </c>
      <c r="J1463">
        <v>0</v>
      </c>
      <c r="K1463">
        <v>0</v>
      </c>
      <c r="L1463">
        <v>7</v>
      </c>
      <c r="O1463">
        <v>7</v>
      </c>
      <c r="P1463">
        <v>4</v>
      </c>
      <c r="Q1463">
        <v>2</v>
      </c>
      <c r="R1463">
        <v>29.4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3</v>
      </c>
      <c r="AC1463">
        <v>29.2</v>
      </c>
      <c r="AH1463">
        <v>61.6</v>
      </c>
    </row>
    <row r="1464" spans="1:34" x14ac:dyDescent="0.3">
      <c r="A1464" s="4">
        <v>1677</v>
      </c>
      <c r="B1464" s="5">
        <v>1457</v>
      </c>
      <c r="C1464">
        <v>493</v>
      </c>
      <c r="D1464" t="s">
        <v>3487</v>
      </c>
      <c r="E1464" t="s">
        <v>110</v>
      </c>
      <c r="F1464" t="s">
        <v>136</v>
      </c>
      <c r="G1464" t="s">
        <v>13509</v>
      </c>
      <c r="H1464">
        <v>17.579999999999998</v>
      </c>
      <c r="I1464">
        <v>0</v>
      </c>
      <c r="J1464">
        <v>0</v>
      </c>
      <c r="K1464">
        <v>20</v>
      </c>
      <c r="L1464">
        <v>7</v>
      </c>
      <c r="O1464">
        <v>7</v>
      </c>
      <c r="P1464">
        <v>4</v>
      </c>
      <c r="Q1464">
        <v>2</v>
      </c>
      <c r="R1464">
        <v>50.58</v>
      </c>
      <c r="S1464">
        <v>11</v>
      </c>
      <c r="T1464">
        <v>11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11</v>
      </c>
      <c r="AB1464">
        <v>0</v>
      </c>
      <c r="AC1464">
        <v>0</v>
      </c>
      <c r="AH1464">
        <v>61.58</v>
      </c>
    </row>
    <row r="1465" spans="1:34" x14ac:dyDescent="0.3">
      <c r="A1465" s="4">
        <v>1678</v>
      </c>
      <c r="B1465" s="5">
        <v>1458</v>
      </c>
      <c r="C1465">
        <v>10434</v>
      </c>
      <c r="D1465" t="s">
        <v>2786</v>
      </c>
      <c r="E1465" t="s">
        <v>26</v>
      </c>
      <c r="F1465" t="s">
        <v>38</v>
      </c>
      <c r="G1465" t="s">
        <v>13510</v>
      </c>
      <c r="H1465">
        <v>17.579999999999998</v>
      </c>
      <c r="I1465">
        <v>0</v>
      </c>
      <c r="J1465">
        <v>0</v>
      </c>
      <c r="K1465">
        <v>20</v>
      </c>
      <c r="L1465">
        <v>7</v>
      </c>
      <c r="O1465">
        <v>7</v>
      </c>
      <c r="P1465">
        <v>4</v>
      </c>
      <c r="Q1465">
        <v>2</v>
      </c>
      <c r="R1465">
        <v>50.58</v>
      </c>
      <c r="S1465">
        <v>11</v>
      </c>
      <c r="T1465">
        <v>11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11</v>
      </c>
      <c r="AB1465">
        <v>0</v>
      </c>
      <c r="AC1465">
        <v>0</v>
      </c>
      <c r="AH1465">
        <v>61.58</v>
      </c>
    </row>
    <row r="1466" spans="1:34" x14ac:dyDescent="0.3">
      <c r="A1466" s="4">
        <v>1679</v>
      </c>
      <c r="B1466" s="5">
        <v>1459</v>
      </c>
      <c r="C1466">
        <v>672</v>
      </c>
      <c r="D1466" t="s">
        <v>7820</v>
      </c>
      <c r="E1466" t="s">
        <v>97</v>
      </c>
      <c r="F1466" t="s">
        <v>298</v>
      </c>
      <c r="G1466" t="s">
        <v>13511</v>
      </c>
      <c r="H1466">
        <v>19.5</v>
      </c>
      <c r="I1466">
        <v>7</v>
      </c>
      <c r="J1466">
        <v>0</v>
      </c>
      <c r="K1466">
        <v>28</v>
      </c>
      <c r="L1466">
        <v>7</v>
      </c>
      <c r="O1466">
        <v>7</v>
      </c>
      <c r="P1466">
        <v>0</v>
      </c>
      <c r="Q1466">
        <v>0</v>
      </c>
      <c r="R1466">
        <v>61.5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H1466">
        <v>61.5</v>
      </c>
    </row>
    <row r="1467" spans="1:34" x14ac:dyDescent="0.3">
      <c r="A1467" s="4">
        <v>1680</v>
      </c>
      <c r="B1467" s="5">
        <v>1460</v>
      </c>
      <c r="C1467">
        <v>1889</v>
      </c>
      <c r="D1467" t="s">
        <v>267</v>
      </c>
      <c r="E1467" t="s">
        <v>1189</v>
      </c>
      <c r="F1467" t="s">
        <v>17</v>
      </c>
      <c r="G1467" t="s">
        <v>13512</v>
      </c>
      <c r="H1467">
        <v>17.48</v>
      </c>
      <c r="I1467">
        <v>0</v>
      </c>
      <c r="J1467">
        <v>0</v>
      </c>
      <c r="K1467">
        <v>0</v>
      </c>
      <c r="L1467">
        <v>7</v>
      </c>
      <c r="O1467">
        <v>7</v>
      </c>
      <c r="P1467">
        <v>4</v>
      </c>
      <c r="Q1467">
        <v>2</v>
      </c>
      <c r="R1467">
        <v>30.48</v>
      </c>
      <c r="S1467">
        <v>25</v>
      </c>
      <c r="T1467">
        <v>25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25</v>
      </c>
      <c r="AB1467">
        <v>6</v>
      </c>
      <c r="AC1467">
        <v>0</v>
      </c>
      <c r="AH1467">
        <v>61.48</v>
      </c>
    </row>
    <row r="1468" spans="1:34" x14ac:dyDescent="0.3">
      <c r="A1468" s="4">
        <v>1681</v>
      </c>
      <c r="B1468" s="5">
        <v>1461</v>
      </c>
      <c r="C1468">
        <v>15498</v>
      </c>
      <c r="D1468" t="s">
        <v>13513</v>
      </c>
      <c r="E1468" t="s">
        <v>166</v>
      </c>
      <c r="F1468" t="s">
        <v>13514</v>
      </c>
      <c r="G1468" t="s">
        <v>13515</v>
      </c>
      <c r="H1468">
        <v>17.45</v>
      </c>
      <c r="I1468">
        <v>0</v>
      </c>
      <c r="J1468">
        <v>0</v>
      </c>
      <c r="K1468">
        <v>0</v>
      </c>
      <c r="N1468">
        <v>3</v>
      </c>
      <c r="O1468">
        <v>3</v>
      </c>
      <c r="P1468">
        <v>4</v>
      </c>
      <c r="Q1468">
        <v>2</v>
      </c>
      <c r="R1468">
        <v>26.45</v>
      </c>
      <c r="S1468">
        <v>29</v>
      </c>
      <c r="T1468">
        <v>29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29</v>
      </c>
      <c r="AB1468">
        <v>6</v>
      </c>
      <c r="AC1468">
        <v>0</v>
      </c>
      <c r="AH1468">
        <v>61.45</v>
      </c>
    </row>
    <row r="1469" spans="1:34" x14ac:dyDescent="0.3">
      <c r="A1469" s="4">
        <v>1682</v>
      </c>
      <c r="B1469" s="5">
        <v>1462</v>
      </c>
      <c r="C1469">
        <v>5968</v>
      </c>
      <c r="D1469" t="s">
        <v>13516</v>
      </c>
      <c r="E1469" t="s">
        <v>54</v>
      </c>
      <c r="F1469" t="s">
        <v>38</v>
      </c>
      <c r="G1469" t="s">
        <v>13517</v>
      </c>
      <c r="H1469">
        <v>15.4</v>
      </c>
      <c r="I1469">
        <v>0</v>
      </c>
      <c r="J1469">
        <v>40</v>
      </c>
      <c r="K1469">
        <v>0</v>
      </c>
      <c r="O1469">
        <v>0</v>
      </c>
      <c r="P1469">
        <v>0</v>
      </c>
      <c r="Q1469">
        <v>0</v>
      </c>
      <c r="R1469">
        <v>55.4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6</v>
      </c>
      <c r="AC1469">
        <v>0</v>
      </c>
      <c r="AH1469">
        <v>61.4</v>
      </c>
    </row>
    <row r="1470" spans="1:34" x14ac:dyDescent="0.3">
      <c r="A1470" s="4">
        <v>1683</v>
      </c>
      <c r="B1470" s="5">
        <v>1463</v>
      </c>
      <c r="C1470">
        <v>1737</v>
      </c>
      <c r="D1470" t="s">
        <v>3487</v>
      </c>
      <c r="E1470" t="s">
        <v>13518</v>
      </c>
      <c r="F1470" t="s">
        <v>343</v>
      </c>
      <c r="G1470" t="s">
        <v>13519</v>
      </c>
      <c r="H1470">
        <v>17.399999999999999</v>
      </c>
      <c r="I1470">
        <v>0</v>
      </c>
      <c r="J1470">
        <v>0</v>
      </c>
      <c r="K1470">
        <v>20</v>
      </c>
      <c r="L1470">
        <v>7</v>
      </c>
      <c r="O1470">
        <v>7</v>
      </c>
      <c r="P1470">
        <v>4</v>
      </c>
      <c r="Q1470">
        <v>0</v>
      </c>
      <c r="R1470">
        <v>48.4</v>
      </c>
      <c r="S1470">
        <v>13</v>
      </c>
      <c r="T1470">
        <v>13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13</v>
      </c>
      <c r="AB1470">
        <v>0</v>
      </c>
      <c r="AC1470">
        <v>0</v>
      </c>
      <c r="AD1470" t="s">
        <v>130</v>
      </c>
      <c r="AH1470">
        <v>61.4</v>
      </c>
    </row>
    <row r="1471" spans="1:34" x14ac:dyDescent="0.3">
      <c r="A1471" s="4">
        <v>1684</v>
      </c>
      <c r="B1471" s="5">
        <v>1464</v>
      </c>
      <c r="C1471">
        <v>3744</v>
      </c>
      <c r="D1471" t="s">
        <v>13520</v>
      </c>
      <c r="E1471" t="s">
        <v>457</v>
      </c>
      <c r="F1471" t="s">
        <v>38</v>
      </c>
      <c r="G1471" t="s">
        <v>13521</v>
      </c>
      <c r="H1471">
        <v>19.399999999999999</v>
      </c>
      <c r="I1471">
        <v>0</v>
      </c>
      <c r="J1471">
        <v>0</v>
      </c>
      <c r="K1471">
        <v>0</v>
      </c>
      <c r="M1471">
        <v>5</v>
      </c>
      <c r="O1471">
        <v>5</v>
      </c>
      <c r="P1471">
        <v>4</v>
      </c>
      <c r="Q1471">
        <v>0</v>
      </c>
      <c r="R1471">
        <v>28.4</v>
      </c>
      <c r="S1471">
        <v>33</v>
      </c>
      <c r="T1471">
        <v>33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33</v>
      </c>
      <c r="AB1471">
        <v>0</v>
      </c>
      <c r="AC1471">
        <v>0</v>
      </c>
      <c r="AH1471">
        <v>61.4</v>
      </c>
    </row>
    <row r="1472" spans="1:34" x14ac:dyDescent="0.3">
      <c r="A1472" s="4">
        <v>1685</v>
      </c>
      <c r="B1472" s="5">
        <v>1465</v>
      </c>
      <c r="C1472">
        <v>3825</v>
      </c>
      <c r="D1472" t="s">
        <v>3091</v>
      </c>
      <c r="E1472" t="s">
        <v>110</v>
      </c>
      <c r="F1472" t="s">
        <v>158</v>
      </c>
      <c r="G1472" t="s">
        <v>13522</v>
      </c>
      <c r="H1472">
        <v>17.329999999999998</v>
      </c>
      <c r="I1472">
        <v>0</v>
      </c>
      <c r="J1472">
        <v>0</v>
      </c>
      <c r="K1472">
        <v>28</v>
      </c>
      <c r="L1472">
        <v>7</v>
      </c>
      <c r="M1472">
        <v>5</v>
      </c>
      <c r="O1472">
        <v>12</v>
      </c>
      <c r="P1472">
        <v>4</v>
      </c>
      <c r="Q1472">
        <v>0</v>
      </c>
      <c r="R1472">
        <v>61.33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H1472">
        <v>61.33</v>
      </c>
    </row>
    <row r="1473" spans="1:34" x14ac:dyDescent="0.3">
      <c r="A1473" s="4">
        <v>1686</v>
      </c>
      <c r="B1473" s="5">
        <v>1466</v>
      </c>
      <c r="C1473">
        <v>1218</v>
      </c>
      <c r="D1473" t="s">
        <v>13523</v>
      </c>
      <c r="E1473" t="s">
        <v>117</v>
      </c>
      <c r="F1473" t="s">
        <v>81</v>
      </c>
      <c r="G1473" t="s">
        <v>13524</v>
      </c>
      <c r="H1473">
        <v>17.25</v>
      </c>
      <c r="I1473">
        <v>0</v>
      </c>
      <c r="J1473">
        <v>0</v>
      </c>
      <c r="K1473">
        <v>20</v>
      </c>
      <c r="L1473">
        <v>7</v>
      </c>
      <c r="O1473">
        <v>7</v>
      </c>
      <c r="P1473">
        <v>4</v>
      </c>
      <c r="Q1473">
        <v>2</v>
      </c>
      <c r="R1473">
        <v>50.25</v>
      </c>
      <c r="S1473">
        <v>5</v>
      </c>
      <c r="T1473">
        <v>5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5</v>
      </c>
      <c r="AB1473">
        <v>6</v>
      </c>
      <c r="AC1473">
        <v>0</v>
      </c>
      <c r="AD1473" t="s">
        <v>130</v>
      </c>
      <c r="AH1473">
        <v>61.25</v>
      </c>
    </row>
    <row r="1474" spans="1:34" x14ac:dyDescent="0.3">
      <c r="A1474" s="4">
        <v>1687</v>
      </c>
      <c r="B1474" s="5">
        <v>1467</v>
      </c>
      <c r="C1474">
        <v>5870</v>
      </c>
      <c r="D1474" t="s">
        <v>13525</v>
      </c>
      <c r="E1474" t="s">
        <v>13526</v>
      </c>
      <c r="F1474" t="s">
        <v>30</v>
      </c>
      <c r="G1474" t="s">
        <v>13527</v>
      </c>
      <c r="H1474">
        <v>16.25</v>
      </c>
      <c r="I1474">
        <v>0</v>
      </c>
      <c r="J1474">
        <v>0</v>
      </c>
      <c r="K1474">
        <v>20</v>
      </c>
      <c r="L1474">
        <v>7</v>
      </c>
      <c r="M1474">
        <v>5</v>
      </c>
      <c r="O1474">
        <v>12</v>
      </c>
      <c r="P1474">
        <v>4</v>
      </c>
      <c r="Q1474">
        <v>2</v>
      </c>
      <c r="R1474">
        <v>54.25</v>
      </c>
      <c r="S1474">
        <v>4</v>
      </c>
      <c r="T1474">
        <v>4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4</v>
      </c>
      <c r="AB1474">
        <v>3</v>
      </c>
      <c r="AC1474">
        <v>0</v>
      </c>
      <c r="AH1474">
        <v>61.25</v>
      </c>
    </row>
    <row r="1475" spans="1:34" x14ac:dyDescent="0.3">
      <c r="A1475" s="4">
        <v>1688</v>
      </c>
      <c r="B1475" s="5">
        <v>1468</v>
      </c>
      <c r="C1475">
        <v>15559</v>
      </c>
      <c r="D1475" t="s">
        <v>13528</v>
      </c>
      <c r="E1475" t="s">
        <v>19</v>
      </c>
      <c r="F1475" t="s">
        <v>117</v>
      </c>
      <c r="G1475" t="s">
        <v>13529</v>
      </c>
      <c r="H1475">
        <v>20.23</v>
      </c>
      <c r="I1475">
        <v>0</v>
      </c>
      <c r="J1475">
        <v>0</v>
      </c>
      <c r="K1475">
        <v>20</v>
      </c>
      <c r="L1475">
        <v>7</v>
      </c>
      <c r="N1475">
        <v>3</v>
      </c>
      <c r="O1475">
        <v>10</v>
      </c>
      <c r="P1475">
        <v>0</v>
      </c>
      <c r="Q1475">
        <v>2</v>
      </c>
      <c r="R1475">
        <v>52.23</v>
      </c>
      <c r="S1475">
        <v>6</v>
      </c>
      <c r="T1475">
        <v>6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6</v>
      </c>
      <c r="AB1475">
        <v>3</v>
      </c>
      <c r="AC1475">
        <v>0</v>
      </c>
      <c r="AH1475">
        <v>61.23</v>
      </c>
    </row>
    <row r="1476" spans="1:34" x14ac:dyDescent="0.3">
      <c r="A1476" s="4">
        <v>1689</v>
      </c>
      <c r="B1476" s="5">
        <v>1469</v>
      </c>
      <c r="C1476">
        <v>6371</v>
      </c>
      <c r="D1476" t="s">
        <v>13530</v>
      </c>
      <c r="E1476" t="s">
        <v>161</v>
      </c>
      <c r="F1476" t="s">
        <v>20</v>
      </c>
      <c r="G1476" t="s">
        <v>13531</v>
      </c>
      <c r="H1476">
        <v>20.23</v>
      </c>
      <c r="I1476">
        <v>0</v>
      </c>
      <c r="J1476">
        <v>0</v>
      </c>
      <c r="K1476">
        <v>20</v>
      </c>
      <c r="L1476">
        <v>7</v>
      </c>
      <c r="O1476">
        <v>7</v>
      </c>
      <c r="P1476">
        <v>4</v>
      </c>
      <c r="Q1476">
        <v>2</v>
      </c>
      <c r="R1476">
        <v>53.23</v>
      </c>
      <c r="S1476">
        <v>8</v>
      </c>
      <c r="T1476">
        <v>8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8</v>
      </c>
      <c r="AB1476">
        <v>0</v>
      </c>
      <c r="AC1476">
        <v>0</v>
      </c>
      <c r="AD1476" t="s">
        <v>130</v>
      </c>
      <c r="AH1476">
        <v>61.23</v>
      </c>
    </row>
    <row r="1477" spans="1:34" x14ac:dyDescent="0.3">
      <c r="A1477" s="4">
        <v>1690</v>
      </c>
      <c r="B1477" s="5">
        <v>1470</v>
      </c>
      <c r="C1477">
        <v>2567</v>
      </c>
      <c r="D1477" t="s">
        <v>13532</v>
      </c>
      <c r="E1477" t="s">
        <v>1874</v>
      </c>
      <c r="F1477" t="s">
        <v>2370</v>
      </c>
      <c r="G1477" t="s">
        <v>13533</v>
      </c>
      <c r="H1477">
        <v>19.18</v>
      </c>
      <c r="I1477">
        <v>0</v>
      </c>
      <c r="J1477">
        <v>0</v>
      </c>
      <c r="K1477">
        <v>20</v>
      </c>
      <c r="L1477">
        <v>7</v>
      </c>
      <c r="O1477">
        <v>7</v>
      </c>
      <c r="P1477">
        <v>4</v>
      </c>
      <c r="Q1477">
        <v>0</v>
      </c>
      <c r="R1477">
        <v>50.18</v>
      </c>
      <c r="S1477">
        <v>11</v>
      </c>
      <c r="T1477">
        <v>11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11</v>
      </c>
      <c r="AB1477">
        <v>0</v>
      </c>
      <c r="AC1477">
        <v>0</v>
      </c>
      <c r="AH1477">
        <v>61.18</v>
      </c>
    </row>
    <row r="1478" spans="1:34" x14ac:dyDescent="0.3">
      <c r="A1478" s="4">
        <v>1691</v>
      </c>
      <c r="B1478" s="5">
        <v>1471</v>
      </c>
      <c r="C1478">
        <v>2212</v>
      </c>
      <c r="D1478" t="s">
        <v>13181</v>
      </c>
      <c r="E1478" t="s">
        <v>13534</v>
      </c>
      <c r="F1478" t="s">
        <v>117</v>
      </c>
      <c r="G1478" t="s">
        <v>13535</v>
      </c>
      <c r="H1478">
        <v>17.18</v>
      </c>
      <c r="I1478">
        <v>0</v>
      </c>
      <c r="J1478">
        <v>0</v>
      </c>
      <c r="K1478">
        <v>20</v>
      </c>
      <c r="L1478">
        <v>7</v>
      </c>
      <c r="O1478">
        <v>7</v>
      </c>
      <c r="P1478">
        <v>4</v>
      </c>
      <c r="Q1478">
        <v>2</v>
      </c>
      <c r="R1478">
        <v>50.18</v>
      </c>
      <c r="S1478">
        <v>11</v>
      </c>
      <c r="T1478">
        <v>11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11</v>
      </c>
      <c r="AB1478">
        <v>0</v>
      </c>
      <c r="AC1478">
        <v>0</v>
      </c>
      <c r="AH1478">
        <v>61.18</v>
      </c>
    </row>
    <row r="1479" spans="1:34" x14ac:dyDescent="0.3">
      <c r="A1479" s="4">
        <v>1692</v>
      </c>
      <c r="B1479" s="5">
        <v>1472</v>
      </c>
      <c r="C1479">
        <v>12436</v>
      </c>
      <c r="D1479" t="s">
        <v>2208</v>
      </c>
      <c r="E1479" t="s">
        <v>471</v>
      </c>
      <c r="F1479" t="s">
        <v>136</v>
      </c>
      <c r="G1479" t="s">
        <v>13536</v>
      </c>
      <c r="H1479">
        <v>17.149999999999999</v>
      </c>
      <c r="I1479">
        <v>0</v>
      </c>
      <c r="J1479">
        <v>0</v>
      </c>
      <c r="K1479">
        <v>0</v>
      </c>
      <c r="L1479">
        <v>7</v>
      </c>
      <c r="M1479">
        <v>5</v>
      </c>
      <c r="O1479">
        <v>12</v>
      </c>
      <c r="P1479">
        <v>4</v>
      </c>
      <c r="Q1479">
        <v>2</v>
      </c>
      <c r="R1479">
        <v>35.15</v>
      </c>
      <c r="S1479">
        <v>26</v>
      </c>
      <c r="T1479">
        <v>26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26</v>
      </c>
      <c r="AB1479">
        <v>0</v>
      </c>
      <c r="AC1479">
        <v>0</v>
      </c>
      <c r="AH1479">
        <v>61.15</v>
      </c>
    </row>
    <row r="1480" spans="1:34" x14ac:dyDescent="0.3">
      <c r="A1480" s="4">
        <v>1693</v>
      </c>
      <c r="B1480" s="5">
        <v>1473</v>
      </c>
      <c r="C1480">
        <v>8403</v>
      </c>
      <c r="D1480" t="s">
        <v>13537</v>
      </c>
      <c r="E1480" t="s">
        <v>97</v>
      </c>
      <c r="F1480" t="s">
        <v>91</v>
      </c>
      <c r="G1480" t="s">
        <v>13538</v>
      </c>
      <c r="H1480">
        <v>18.13</v>
      </c>
      <c r="I1480">
        <v>0</v>
      </c>
      <c r="J1480">
        <v>0</v>
      </c>
      <c r="K1480">
        <v>0</v>
      </c>
      <c r="L1480">
        <v>7</v>
      </c>
      <c r="O1480">
        <v>7</v>
      </c>
      <c r="P1480">
        <v>4</v>
      </c>
      <c r="Q1480">
        <v>0</v>
      </c>
      <c r="R1480">
        <v>29.13</v>
      </c>
      <c r="S1480">
        <v>32</v>
      </c>
      <c r="T1480">
        <v>32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32</v>
      </c>
      <c r="AB1480">
        <v>0</v>
      </c>
      <c r="AC1480">
        <v>0</v>
      </c>
      <c r="AH1480">
        <v>61.13</v>
      </c>
    </row>
    <row r="1481" spans="1:34" x14ac:dyDescent="0.3">
      <c r="A1481" s="4">
        <v>1694</v>
      </c>
      <c r="B1481" s="5">
        <v>1474</v>
      </c>
      <c r="C1481">
        <v>6030</v>
      </c>
      <c r="D1481" t="s">
        <v>3382</v>
      </c>
      <c r="E1481" t="s">
        <v>1019</v>
      </c>
      <c r="F1481" t="s">
        <v>972</v>
      </c>
      <c r="G1481" t="s">
        <v>13539</v>
      </c>
      <c r="H1481">
        <v>17.079999999999998</v>
      </c>
      <c r="I1481">
        <v>0</v>
      </c>
      <c r="J1481">
        <v>0</v>
      </c>
      <c r="K1481">
        <v>20</v>
      </c>
      <c r="L1481">
        <v>7</v>
      </c>
      <c r="O1481">
        <v>7</v>
      </c>
      <c r="P1481">
        <v>4</v>
      </c>
      <c r="Q1481">
        <v>0</v>
      </c>
      <c r="R1481">
        <v>48.08</v>
      </c>
      <c r="S1481">
        <v>4</v>
      </c>
      <c r="T1481">
        <v>4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4</v>
      </c>
      <c r="AB1481">
        <v>9</v>
      </c>
      <c r="AC1481">
        <v>0</v>
      </c>
      <c r="AH1481">
        <v>61.08</v>
      </c>
    </row>
    <row r="1482" spans="1:34" x14ac:dyDescent="0.3">
      <c r="A1482" s="4">
        <v>1695</v>
      </c>
      <c r="B1482" s="5">
        <v>1475</v>
      </c>
      <c r="C1482">
        <v>9039</v>
      </c>
      <c r="D1482" t="s">
        <v>2486</v>
      </c>
      <c r="E1482" t="s">
        <v>100</v>
      </c>
      <c r="F1482" t="s">
        <v>117</v>
      </c>
      <c r="G1482" t="s">
        <v>13540</v>
      </c>
      <c r="H1482">
        <v>19.079999999999998</v>
      </c>
      <c r="I1482">
        <v>0</v>
      </c>
      <c r="J1482">
        <v>0</v>
      </c>
      <c r="K1482">
        <v>20</v>
      </c>
      <c r="L1482">
        <v>7</v>
      </c>
      <c r="O1482">
        <v>7</v>
      </c>
      <c r="P1482">
        <v>4</v>
      </c>
      <c r="Q1482">
        <v>0</v>
      </c>
      <c r="R1482">
        <v>50.08</v>
      </c>
      <c r="S1482">
        <v>11</v>
      </c>
      <c r="T1482">
        <v>11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11</v>
      </c>
      <c r="AB1482">
        <v>0</v>
      </c>
      <c r="AC1482">
        <v>0</v>
      </c>
      <c r="AH1482">
        <v>61.08</v>
      </c>
    </row>
    <row r="1483" spans="1:34" x14ac:dyDescent="0.3">
      <c r="A1483" s="4">
        <v>1696</v>
      </c>
      <c r="B1483" s="5">
        <v>1476</v>
      </c>
      <c r="C1483">
        <v>9318</v>
      </c>
      <c r="D1483" t="s">
        <v>13541</v>
      </c>
      <c r="E1483" t="s">
        <v>13542</v>
      </c>
      <c r="F1483" t="s">
        <v>652</v>
      </c>
      <c r="G1483" t="s">
        <v>13543</v>
      </c>
      <c r="H1483">
        <v>21.03</v>
      </c>
      <c r="I1483">
        <v>0</v>
      </c>
      <c r="J1483">
        <v>0</v>
      </c>
      <c r="K1483">
        <v>20</v>
      </c>
      <c r="L1483">
        <v>7</v>
      </c>
      <c r="N1483">
        <v>3</v>
      </c>
      <c r="O1483">
        <v>10</v>
      </c>
      <c r="P1483">
        <v>4</v>
      </c>
      <c r="Q1483">
        <v>0</v>
      </c>
      <c r="R1483">
        <v>55.03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6</v>
      </c>
      <c r="AC1483">
        <v>0</v>
      </c>
      <c r="AH1483">
        <v>61.03</v>
      </c>
    </row>
    <row r="1484" spans="1:34" x14ac:dyDescent="0.3">
      <c r="A1484" s="4">
        <v>1697</v>
      </c>
      <c r="B1484" s="5">
        <v>1477</v>
      </c>
      <c r="C1484">
        <v>9028</v>
      </c>
      <c r="D1484" t="s">
        <v>13544</v>
      </c>
      <c r="E1484" t="s">
        <v>117</v>
      </c>
      <c r="F1484" t="s">
        <v>3236</v>
      </c>
      <c r="G1484" t="s">
        <v>13545</v>
      </c>
      <c r="H1484">
        <v>20</v>
      </c>
      <c r="I1484">
        <v>7</v>
      </c>
      <c r="J1484">
        <v>0</v>
      </c>
      <c r="K1484">
        <v>20</v>
      </c>
      <c r="L1484">
        <v>7</v>
      </c>
      <c r="O1484">
        <v>7</v>
      </c>
      <c r="P1484">
        <v>4</v>
      </c>
      <c r="Q1484">
        <v>0</v>
      </c>
      <c r="R1484">
        <v>58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3</v>
      </c>
      <c r="AC1484">
        <v>0</v>
      </c>
      <c r="AH1484">
        <v>61</v>
      </c>
    </row>
    <row r="1485" spans="1:34" x14ac:dyDescent="0.3">
      <c r="A1485" s="4">
        <v>1698</v>
      </c>
      <c r="B1485" s="5">
        <v>1478</v>
      </c>
      <c r="C1485">
        <v>11106</v>
      </c>
      <c r="D1485" t="s">
        <v>13546</v>
      </c>
      <c r="E1485" t="s">
        <v>124</v>
      </c>
      <c r="F1485" t="s">
        <v>62</v>
      </c>
      <c r="G1485" t="s">
        <v>13547</v>
      </c>
      <c r="H1485">
        <v>17.18</v>
      </c>
      <c r="I1485">
        <v>0</v>
      </c>
      <c r="J1485">
        <v>0</v>
      </c>
      <c r="K1485">
        <v>0</v>
      </c>
      <c r="O1485">
        <v>0</v>
      </c>
      <c r="P1485">
        <v>0</v>
      </c>
      <c r="Q1485">
        <v>2</v>
      </c>
      <c r="R1485">
        <v>19.18</v>
      </c>
      <c r="S1485">
        <v>15</v>
      </c>
      <c r="T1485">
        <v>15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15</v>
      </c>
      <c r="AB1485">
        <v>0</v>
      </c>
      <c r="AC1485">
        <v>26.8</v>
      </c>
      <c r="AH1485">
        <v>60.98</v>
      </c>
    </row>
    <row r="1486" spans="1:34" x14ac:dyDescent="0.3">
      <c r="A1486" s="4">
        <v>1699</v>
      </c>
      <c r="B1486" s="5">
        <v>1479</v>
      </c>
      <c r="C1486">
        <v>353</v>
      </c>
      <c r="D1486" t="s">
        <v>8546</v>
      </c>
      <c r="E1486" t="s">
        <v>143</v>
      </c>
      <c r="F1486" t="s">
        <v>38</v>
      </c>
      <c r="G1486" t="s">
        <v>13548</v>
      </c>
      <c r="H1486">
        <v>22.9</v>
      </c>
      <c r="I1486">
        <v>0</v>
      </c>
      <c r="J1486">
        <v>0</v>
      </c>
      <c r="K1486">
        <v>0</v>
      </c>
      <c r="L1486">
        <v>7</v>
      </c>
      <c r="M1486">
        <v>5</v>
      </c>
      <c r="O1486">
        <v>12</v>
      </c>
      <c r="P1486">
        <v>4</v>
      </c>
      <c r="Q1486">
        <v>2</v>
      </c>
      <c r="R1486">
        <v>40.9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20</v>
      </c>
      <c r="AE1486" t="s">
        <v>130</v>
      </c>
      <c r="AH1486">
        <v>60.9</v>
      </c>
    </row>
    <row r="1487" spans="1:34" x14ac:dyDescent="0.3">
      <c r="A1487" s="4">
        <v>1700</v>
      </c>
      <c r="B1487" s="5">
        <v>1480</v>
      </c>
      <c r="C1487">
        <v>11728</v>
      </c>
      <c r="D1487" t="s">
        <v>13549</v>
      </c>
      <c r="E1487" t="s">
        <v>41</v>
      </c>
      <c r="F1487" t="s">
        <v>782</v>
      </c>
      <c r="G1487" t="s">
        <v>13550</v>
      </c>
      <c r="H1487">
        <v>17.88</v>
      </c>
      <c r="I1487">
        <v>0</v>
      </c>
      <c r="J1487">
        <v>0</v>
      </c>
      <c r="K1487">
        <v>20</v>
      </c>
      <c r="L1487">
        <v>7</v>
      </c>
      <c r="O1487">
        <v>7</v>
      </c>
      <c r="P1487">
        <v>4</v>
      </c>
      <c r="Q1487">
        <v>2</v>
      </c>
      <c r="R1487">
        <v>50.88</v>
      </c>
      <c r="S1487">
        <v>4</v>
      </c>
      <c r="T1487">
        <v>4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4</v>
      </c>
      <c r="AB1487">
        <v>6</v>
      </c>
      <c r="AC1487">
        <v>0</v>
      </c>
      <c r="AH1487">
        <v>60.88</v>
      </c>
    </row>
    <row r="1488" spans="1:34" x14ac:dyDescent="0.3">
      <c r="A1488" s="4">
        <v>1701</v>
      </c>
      <c r="B1488" s="5">
        <v>1481</v>
      </c>
      <c r="C1488">
        <v>3047</v>
      </c>
      <c r="D1488" t="s">
        <v>13551</v>
      </c>
      <c r="E1488" t="s">
        <v>8982</v>
      </c>
      <c r="F1488" t="s">
        <v>136</v>
      </c>
      <c r="G1488" t="s">
        <v>13552</v>
      </c>
      <c r="H1488">
        <v>22.88</v>
      </c>
      <c r="I1488">
        <v>0</v>
      </c>
      <c r="J1488">
        <v>0</v>
      </c>
      <c r="K1488">
        <v>20</v>
      </c>
      <c r="L1488">
        <v>14</v>
      </c>
      <c r="O1488">
        <v>14</v>
      </c>
      <c r="P1488">
        <v>4</v>
      </c>
      <c r="Q1488">
        <v>0</v>
      </c>
      <c r="R1488">
        <v>60.88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H1488">
        <v>60.88</v>
      </c>
    </row>
    <row r="1489" spans="1:34" x14ac:dyDescent="0.3">
      <c r="A1489" s="4">
        <v>1702</v>
      </c>
      <c r="B1489" s="5">
        <v>1482</v>
      </c>
      <c r="C1489">
        <v>4275</v>
      </c>
      <c r="D1489" t="s">
        <v>13553</v>
      </c>
      <c r="E1489" t="s">
        <v>29</v>
      </c>
      <c r="F1489" t="s">
        <v>81</v>
      </c>
      <c r="G1489" t="s">
        <v>13554</v>
      </c>
      <c r="H1489">
        <v>18.850000000000001</v>
      </c>
      <c r="I1489">
        <v>0</v>
      </c>
      <c r="J1489">
        <v>0</v>
      </c>
      <c r="K1489">
        <v>20</v>
      </c>
      <c r="L1489">
        <v>7</v>
      </c>
      <c r="M1489">
        <v>5</v>
      </c>
      <c r="O1489">
        <v>12</v>
      </c>
      <c r="P1489">
        <v>4</v>
      </c>
      <c r="Q1489">
        <v>0</v>
      </c>
      <c r="R1489">
        <v>54.85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6</v>
      </c>
      <c r="AC1489">
        <v>0</v>
      </c>
      <c r="AH1489">
        <v>60.85</v>
      </c>
    </row>
    <row r="1490" spans="1:34" x14ac:dyDescent="0.3">
      <c r="A1490" s="4">
        <v>1703</v>
      </c>
      <c r="B1490" s="5">
        <v>1483</v>
      </c>
      <c r="C1490">
        <v>10277</v>
      </c>
      <c r="D1490" t="s">
        <v>13555</v>
      </c>
      <c r="E1490" t="s">
        <v>335</v>
      </c>
      <c r="F1490" t="s">
        <v>55</v>
      </c>
      <c r="G1490" t="s">
        <v>13556</v>
      </c>
      <c r="H1490">
        <v>19.850000000000001</v>
      </c>
      <c r="I1490">
        <v>0</v>
      </c>
      <c r="J1490">
        <v>0</v>
      </c>
      <c r="K1490">
        <v>20</v>
      </c>
      <c r="L1490">
        <v>7</v>
      </c>
      <c r="O1490">
        <v>7</v>
      </c>
      <c r="P1490">
        <v>4</v>
      </c>
      <c r="Q1490">
        <v>0</v>
      </c>
      <c r="R1490">
        <v>50.85</v>
      </c>
      <c r="S1490">
        <v>7</v>
      </c>
      <c r="T1490">
        <v>7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7</v>
      </c>
      <c r="AB1490">
        <v>3</v>
      </c>
      <c r="AC1490">
        <v>0</v>
      </c>
      <c r="AH1490">
        <v>60.85</v>
      </c>
    </row>
    <row r="1491" spans="1:34" x14ac:dyDescent="0.3">
      <c r="A1491" s="4">
        <v>1704</v>
      </c>
      <c r="B1491" s="5">
        <v>1484</v>
      </c>
      <c r="C1491">
        <v>9845</v>
      </c>
      <c r="D1491" t="s">
        <v>13557</v>
      </c>
      <c r="E1491" t="s">
        <v>26</v>
      </c>
      <c r="F1491" t="s">
        <v>81</v>
      </c>
      <c r="G1491" t="s">
        <v>13558</v>
      </c>
      <c r="H1491">
        <v>22.83</v>
      </c>
      <c r="I1491">
        <v>0</v>
      </c>
      <c r="J1491">
        <v>0</v>
      </c>
      <c r="K1491">
        <v>20</v>
      </c>
      <c r="L1491">
        <v>14</v>
      </c>
      <c r="O1491">
        <v>14</v>
      </c>
      <c r="P1491">
        <v>4</v>
      </c>
      <c r="Q1491">
        <v>0</v>
      </c>
      <c r="R1491">
        <v>60.83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H1491">
        <v>60.83</v>
      </c>
    </row>
    <row r="1492" spans="1:34" x14ac:dyDescent="0.3">
      <c r="A1492" s="4">
        <v>1705</v>
      </c>
      <c r="B1492" s="5">
        <v>1485</v>
      </c>
      <c r="C1492">
        <v>1976</v>
      </c>
      <c r="D1492" t="s">
        <v>13559</v>
      </c>
      <c r="E1492" t="s">
        <v>13560</v>
      </c>
      <c r="F1492" t="s">
        <v>5685</v>
      </c>
      <c r="G1492" t="s">
        <v>13561</v>
      </c>
      <c r="H1492">
        <v>16.8</v>
      </c>
      <c r="I1492">
        <v>0</v>
      </c>
      <c r="J1492">
        <v>0</v>
      </c>
      <c r="K1492">
        <v>20</v>
      </c>
      <c r="L1492">
        <v>7</v>
      </c>
      <c r="O1492">
        <v>7</v>
      </c>
      <c r="P1492">
        <v>4</v>
      </c>
      <c r="Q1492">
        <v>2</v>
      </c>
      <c r="R1492">
        <v>49.8</v>
      </c>
      <c r="S1492">
        <v>11</v>
      </c>
      <c r="T1492">
        <v>11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11</v>
      </c>
      <c r="AB1492">
        <v>0</v>
      </c>
      <c r="AC1492">
        <v>0</v>
      </c>
      <c r="AD1492" t="s">
        <v>130</v>
      </c>
      <c r="AE1492" t="s">
        <v>130</v>
      </c>
      <c r="AH1492">
        <v>60.8</v>
      </c>
    </row>
    <row r="1493" spans="1:34" x14ac:dyDescent="0.3">
      <c r="A1493" s="4">
        <v>1706</v>
      </c>
      <c r="B1493" s="5">
        <v>1486</v>
      </c>
      <c r="C1493">
        <v>15317</v>
      </c>
      <c r="D1493" t="s">
        <v>1859</v>
      </c>
      <c r="E1493" t="s">
        <v>6144</v>
      </c>
      <c r="F1493" t="s">
        <v>20</v>
      </c>
      <c r="G1493" t="s">
        <v>13562</v>
      </c>
      <c r="H1493">
        <v>19.78</v>
      </c>
      <c r="I1493">
        <v>0</v>
      </c>
      <c r="J1493">
        <v>0</v>
      </c>
      <c r="K1493">
        <v>20</v>
      </c>
      <c r="L1493">
        <v>7</v>
      </c>
      <c r="M1493">
        <v>5</v>
      </c>
      <c r="O1493">
        <v>12</v>
      </c>
      <c r="P1493">
        <v>4</v>
      </c>
      <c r="Q1493">
        <v>2</v>
      </c>
      <c r="R1493">
        <v>57.78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3</v>
      </c>
      <c r="AC1493">
        <v>0</v>
      </c>
      <c r="AH1493">
        <v>60.78</v>
      </c>
    </row>
    <row r="1494" spans="1:34" x14ac:dyDescent="0.3">
      <c r="A1494" s="4">
        <v>1707</v>
      </c>
      <c r="B1494" s="5">
        <v>1487</v>
      </c>
      <c r="C1494">
        <v>3619</v>
      </c>
      <c r="D1494" t="s">
        <v>2453</v>
      </c>
      <c r="E1494" t="s">
        <v>4717</v>
      </c>
      <c r="F1494" t="s">
        <v>81</v>
      </c>
      <c r="G1494" t="s">
        <v>13563</v>
      </c>
      <c r="H1494">
        <v>18.78</v>
      </c>
      <c r="I1494">
        <v>0</v>
      </c>
      <c r="J1494">
        <v>0</v>
      </c>
      <c r="K1494">
        <v>28</v>
      </c>
      <c r="L1494">
        <v>7</v>
      </c>
      <c r="O1494">
        <v>7</v>
      </c>
      <c r="P1494">
        <v>4</v>
      </c>
      <c r="Q1494">
        <v>0</v>
      </c>
      <c r="R1494">
        <v>57.78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3</v>
      </c>
      <c r="AC1494">
        <v>0</v>
      </c>
      <c r="AH1494">
        <v>60.78</v>
      </c>
    </row>
    <row r="1495" spans="1:34" x14ac:dyDescent="0.3">
      <c r="A1495" s="4">
        <v>1708</v>
      </c>
      <c r="B1495" s="5">
        <v>1488</v>
      </c>
      <c r="C1495">
        <v>10705</v>
      </c>
      <c r="D1495" t="s">
        <v>13564</v>
      </c>
      <c r="E1495" t="s">
        <v>149</v>
      </c>
      <c r="F1495" t="s">
        <v>117</v>
      </c>
      <c r="G1495" t="s">
        <v>13565</v>
      </c>
      <c r="H1495">
        <v>17.73</v>
      </c>
      <c r="I1495">
        <v>0</v>
      </c>
      <c r="J1495">
        <v>0</v>
      </c>
      <c r="K1495">
        <v>0</v>
      </c>
      <c r="L1495">
        <v>7</v>
      </c>
      <c r="N1495">
        <v>3</v>
      </c>
      <c r="O1495">
        <v>10</v>
      </c>
      <c r="P1495">
        <v>4</v>
      </c>
      <c r="Q1495">
        <v>2</v>
      </c>
      <c r="R1495">
        <v>33.729999999999997</v>
      </c>
      <c r="S1495">
        <v>21</v>
      </c>
      <c r="T1495">
        <v>21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21</v>
      </c>
      <c r="AB1495">
        <v>6</v>
      </c>
      <c r="AC1495">
        <v>0</v>
      </c>
      <c r="AH1495">
        <v>60.73</v>
      </c>
    </row>
    <row r="1496" spans="1:34" x14ac:dyDescent="0.3">
      <c r="A1496" s="4">
        <v>1709</v>
      </c>
      <c r="B1496" s="5">
        <v>1489</v>
      </c>
      <c r="C1496">
        <v>5900</v>
      </c>
      <c r="D1496" t="s">
        <v>13566</v>
      </c>
      <c r="E1496" t="s">
        <v>178</v>
      </c>
      <c r="F1496" t="s">
        <v>20</v>
      </c>
      <c r="G1496" t="s">
        <v>13567</v>
      </c>
      <c r="H1496">
        <v>16.73</v>
      </c>
      <c r="I1496">
        <v>0</v>
      </c>
      <c r="J1496">
        <v>0</v>
      </c>
      <c r="K1496">
        <v>20</v>
      </c>
      <c r="L1496">
        <v>7</v>
      </c>
      <c r="N1496">
        <v>3</v>
      </c>
      <c r="O1496">
        <v>10</v>
      </c>
      <c r="P1496">
        <v>4</v>
      </c>
      <c r="Q1496">
        <v>0</v>
      </c>
      <c r="R1496">
        <v>50.73</v>
      </c>
      <c r="S1496">
        <v>10</v>
      </c>
      <c r="T1496">
        <v>10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10</v>
      </c>
      <c r="AB1496">
        <v>0</v>
      </c>
      <c r="AC1496">
        <v>0</v>
      </c>
      <c r="AH1496">
        <v>60.73</v>
      </c>
    </row>
    <row r="1497" spans="1:34" x14ac:dyDescent="0.3">
      <c r="A1497" s="4">
        <v>1710</v>
      </c>
      <c r="B1497" s="5">
        <v>1490</v>
      </c>
      <c r="C1497">
        <v>8971</v>
      </c>
      <c r="D1497" t="s">
        <v>13568</v>
      </c>
      <c r="E1497" t="s">
        <v>1953</v>
      </c>
      <c r="F1497" t="s">
        <v>38</v>
      </c>
      <c r="G1497" t="s">
        <v>13569</v>
      </c>
      <c r="H1497">
        <v>18.7</v>
      </c>
      <c r="I1497">
        <v>0</v>
      </c>
      <c r="J1497">
        <v>0</v>
      </c>
      <c r="K1497">
        <v>20</v>
      </c>
      <c r="L1497">
        <v>7</v>
      </c>
      <c r="O1497">
        <v>7</v>
      </c>
      <c r="P1497">
        <v>0</v>
      </c>
      <c r="Q1497">
        <v>2</v>
      </c>
      <c r="R1497">
        <v>47.7</v>
      </c>
      <c r="S1497">
        <v>13</v>
      </c>
      <c r="T1497">
        <v>13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13</v>
      </c>
      <c r="AB1497">
        <v>0</v>
      </c>
      <c r="AC1497">
        <v>0</v>
      </c>
      <c r="AH1497">
        <v>60.7</v>
      </c>
    </row>
    <row r="1498" spans="1:34" x14ac:dyDescent="0.3">
      <c r="A1498" s="4">
        <v>1711</v>
      </c>
      <c r="B1498" s="5">
        <v>1491</v>
      </c>
      <c r="C1498">
        <v>10318</v>
      </c>
      <c r="D1498" t="s">
        <v>784</v>
      </c>
      <c r="E1498" t="s">
        <v>166</v>
      </c>
      <c r="F1498" t="s">
        <v>878</v>
      </c>
      <c r="G1498" t="s">
        <v>13570</v>
      </c>
      <c r="H1498">
        <v>16.68</v>
      </c>
      <c r="I1498">
        <v>0</v>
      </c>
      <c r="J1498">
        <v>0</v>
      </c>
      <c r="K1498">
        <v>0</v>
      </c>
      <c r="L1498">
        <v>7</v>
      </c>
      <c r="O1498">
        <v>7</v>
      </c>
      <c r="P1498">
        <v>4</v>
      </c>
      <c r="Q1498">
        <v>2</v>
      </c>
      <c r="R1498">
        <v>29.68</v>
      </c>
      <c r="S1498">
        <v>22</v>
      </c>
      <c r="T1498">
        <v>22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22</v>
      </c>
      <c r="AB1498">
        <v>9</v>
      </c>
      <c r="AC1498">
        <v>0</v>
      </c>
      <c r="AH1498">
        <v>60.68</v>
      </c>
    </row>
    <row r="1499" spans="1:34" x14ac:dyDescent="0.3">
      <c r="A1499" s="4">
        <v>1712</v>
      </c>
      <c r="B1499" s="5">
        <v>1492</v>
      </c>
      <c r="C1499">
        <v>14391</v>
      </c>
      <c r="D1499" t="s">
        <v>13571</v>
      </c>
      <c r="E1499" t="s">
        <v>2308</v>
      </c>
      <c r="F1499" t="s">
        <v>117</v>
      </c>
      <c r="G1499" t="s">
        <v>13572</v>
      </c>
      <c r="H1499">
        <v>21.68</v>
      </c>
      <c r="I1499">
        <v>0</v>
      </c>
      <c r="J1499">
        <v>0</v>
      </c>
      <c r="K1499">
        <v>20</v>
      </c>
      <c r="L1499">
        <v>7</v>
      </c>
      <c r="N1499">
        <v>3</v>
      </c>
      <c r="O1499">
        <v>10</v>
      </c>
      <c r="P1499">
        <v>4</v>
      </c>
      <c r="Q1499">
        <v>0</v>
      </c>
      <c r="R1499">
        <v>55.68</v>
      </c>
      <c r="S1499">
        <v>5</v>
      </c>
      <c r="T1499">
        <v>5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5</v>
      </c>
      <c r="AB1499">
        <v>0</v>
      </c>
      <c r="AC1499">
        <v>0</v>
      </c>
      <c r="AH1499">
        <v>60.68</v>
      </c>
    </row>
    <row r="1500" spans="1:34" x14ac:dyDescent="0.3">
      <c r="A1500" s="4">
        <v>1713</v>
      </c>
      <c r="B1500" s="5">
        <v>1493</v>
      </c>
      <c r="C1500">
        <v>1937</v>
      </c>
      <c r="D1500" t="s">
        <v>7596</v>
      </c>
      <c r="E1500" t="s">
        <v>54</v>
      </c>
      <c r="F1500" t="s">
        <v>30</v>
      </c>
      <c r="G1500" t="s">
        <v>13573</v>
      </c>
      <c r="H1500">
        <v>23.68</v>
      </c>
      <c r="I1500">
        <v>0</v>
      </c>
      <c r="J1500">
        <v>0</v>
      </c>
      <c r="K1500">
        <v>20</v>
      </c>
      <c r="L1500">
        <v>7</v>
      </c>
      <c r="O1500">
        <v>7</v>
      </c>
      <c r="P1500">
        <v>4</v>
      </c>
      <c r="Q1500">
        <v>0</v>
      </c>
      <c r="R1500">
        <v>54.68</v>
      </c>
      <c r="S1500">
        <v>6</v>
      </c>
      <c r="T1500">
        <v>6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6</v>
      </c>
      <c r="AB1500">
        <v>0</v>
      </c>
      <c r="AC1500">
        <v>0</v>
      </c>
      <c r="AH1500">
        <v>60.68</v>
      </c>
    </row>
    <row r="1501" spans="1:34" x14ac:dyDescent="0.3">
      <c r="A1501" s="4">
        <v>1714</v>
      </c>
      <c r="B1501" s="5">
        <v>1494</v>
      </c>
      <c r="C1501">
        <v>12937</v>
      </c>
      <c r="D1501" t="s">
        <v>13574</v>
      </c>
      <c r="E1501" t="s">
        <v>110</v>
      </c>
      <c r="F1501" t="s">
        <v>30</v>
      </c>
      <c r="G1501" t="s">
        <v>13575</v>
      </c>
      <c r="H1501">
        <v>20.6</v>
      </c>
      <c r="I1501">
        <v>0</v>
      </c>
      <c r="J1501">
        <v>0</v>
      </c>
      <c r="K1501">
        <v>20</v>
      </c>
      <c r="L1501">
        <v>7</v>
      </c>
      <c r="N1501">
        <v>3</v>
      </c>
      <c r="O1501">
        <v>10</v>
      </c>
      <c r="P1501">
        <v>4</v>
      </c>
      <c r="Q1501">
        <v>0</v>
      </c>
      <c r="R1501">
        <v>54.6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6</v>
      </c>
      <c r="AC1501">
        <v>0</v>
      </c>
      <c r="AH1501">
        <v>60.6</v>
      </c>
    </row>
    <row r="1502" spans="1:34" x14ac:dyDescent="0.3">
      <c r="A1502" s="4">
        <v>1715</v>
      </c>
      <c r="B1502" s="5">
        <v>1495</v>
      </c>
      <c r="C1502">
        <v>10412</v>
      </c>
      <c r="D1502" t="s">
        <v>9009</v>
      </c>
      <c r="E1502" t="s">
        <v>22</v>
      </c>
      <c r="F1502" t="s">
        <v>30</v>
      </c>
      <c r="G1502" t="s">
        <v>13576</v>
      </c>
      <c r="H1502">
        <v>20.55</v>
      </c>
      <c r="I1502">
        <v>0</v>
      </c>
      <c r="J1502">
        <v>0</v>
      </c>
      <c r="K1502">
        <v>20</v>
      </c>
      <c r="L1502">
        <v>14</v>
      </c>
      <c r="O1502">
        <v>14</v>
      </c>
      <c r="P1502">
        <v>4</v>
      </c>
      <c r="Q1502">
        <v>2</v>
      </c>
      <c r="R1502">
        <v>60.55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H1502">
        <v>60.55</v>
      </c>
    </row>
    <row r="1503" spans="1:34" x14ac:dyDescent="0.3">
      <c r="A1503" s="4">
        <v>1716</v>
      </c>
      <c r="B1503" s="5">
        <v>1496</v>
      </c>
      <c r="C1503">
        <v>9056</v>
      </c>
      <c r="D1503" t="s">
        <v>13577</v>
      </c>
      <c r="E1503" t="s">
        <v>17</v>
      </c>
      <c r="F1503" t="s">
        <v>259</v>
      </c>
      <c r="G1503" t="s">
        <v>13578</v>
      </c>
      <c r="H1503">
        <v>18.5</v>
      </c>
      <c r="I1503">
        <v>0</v>
      </c>
      <c r="J1503">
        <v>0</v>
      </c>
      <c r="K1503">
        <v>20</v>
      </c>
      <c r="L1503">
        <v>7</v>
      </c>
      <c r="O1503">
        <v>7</v>
      </c>
      <c r="P1503">
        <v>4</v>
      </c>
      <c r="Q1503">
        <v>0</v>
      </c>
      <c r="R1503">
        <v>49.5</v>
      </c>
      <c r="S1503">
        <v>11</v>
      </c>
      <c r="T1503">
        <v>11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11</v>
      </c>
      <c r="AB1503">
        <v>0</v>
      </c>
      <c r="AC1503">
        <v>0</v>
      </c>
      <c r="AH1503">
        <v>60.5</v>
      </c>
    </row>
    <row r="1504" spans="1:34" x14ac:dyDescent="0.3">
      <c r="A1504" s="4">
        <v>1717</v>
      </c>
      <c r="B1504" s="5">
        <v>1497</v>
      </c>
      <c r="C1504">
        <v>10086</v>
      </c>
      <c r="D1504" t="s">
        <v>13579</v>
      </c>
      <c r="E1504" t="s">
        <v>652</v>
      </c>
      <c r="F1504" t="s">
        <v>230</v>
      </c>
      <c r="G1504" t="s">
        <v>13580</v>
      </c>
      <c r="H1504">
        <v>19.5</v>
      </c>
      <c r="I1504">
        <v>0</v>
      </c>
      <c r="J1504">
        <v>0</v>
      </c>
      <c r="K1504">
        <v>0</v>
      </c>
      <c r="L1504">
        <v>7</v>
      </c>
      <c r="O1504">
        <v>7</v>
      </c>
      <c r="P1504">
        <v>4</v>
      </c>
      <c r="Q1504">
        <v>0</v>
      </c>
      <c r="R1504">
        <v>30.5</v>
      </c>
      <c r="S1504">
        <v>30</v>
      </c>
      <c r="T1504">
        <v>30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30</v>
      </c>
      <c r="AB1504">
        <v>0</v>
      </c>
      <c r="AC1504">
        <v>0</v>
      </c>
      <c r="AH1504">
        <v>60.5</v>
      </c>
    </row>
    <row r="1505" spans="1:34" x14ac:dyDescent="0.3">
      <c r="A1505" s="4">
        <v>1718</v>
      </c>
      <c r="B1505" s="5">
        <v>1498</v>
      </c>
      <c r="C1505">
        <v>14450</v>
      </c>
      <c r="D1505" t="s">
        <v>13581</v>
      </c>
      <c r="E1505" t="s">
        <v>13582</v>
      </c>
      <c r="F1505" t="s">
        <v>136</v>
      </c>
      <c r="G1505" t="s">
        <v>13583</v>
      </c>
      <c r="H1505">
        <v>22.45</v>
      </c>
      <c r="I1505">
        <v>7</v>
      </c>
      <c r="J1505">
        <v>0</v>
      </c>
      <c r="K1505">
        <v>20</v>
      </c>
      <c r="L1505">
        <v>7</v>
      </c>
      <c r="O1505">
        <v>7</v>
      </c>
      <c r="P1505">
        <v>4</v>
      </c>
      <c r="Q1505">
        <v>0</v>
      </c>
      <c r="R1505">
        <v>60.45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H1505">
        <v>60.45</v>
      </c>
    </row>
    <row r="1506" spans="1:34" x14ac:dyDescent="0.3">
      <c r="A1506" s="4">
        <v>1719</v>
      </c>
      <c r="B1506" s="5">
        <v>1499</v>
      </c>
      <c r="C1506">
        <v>5887</v>
      </c>
      <c r="D1506" t="s">
        <v>8937</v>
      </c>
      <c r="E1506" t="s">
        <v>208</v>
      </c>
      <c r="F1506" t="s">
        <v>81</v>
      </c>
      <c r="G1506" t="s">
        <v>13584</v>
      </c>
      <c r="H1506">
        <v>18.43</v>
      </c>
      <c r="I1506">
        <v>0</v>
      </c>
      <c r="J1506">
        <v>0</v>
      </c>
      <c r="K1506">
        <v>20</v>
      </c>
      <c r="L1506">
        <v>7</v>
      </c>
      <c r="N1506">
        <v>3</v>
      </c>
      <c r="O1506">
        <v>10</v>
      </c>
      <c r="P1506">
        <v>4</v>
      </c>
      <c r="Q1506">
        <v>2</v>
      </c>
      <c r="R1506">
        <v>54.43</v>
      </c>
      <c r="S1506">
        <v>6</v>
      </c>
      <c r="T1506">
        <v>6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6</v>
      </c>
      <c r="AB1506">
        <v>0</v>
      </c>
      <c r="AC1506">
        <v>0</v>
      </c>
      <c r="AH1506">
        <v>60.43</v>
      </c>
    </row>
    <row r="1507" spans="1:34" x14ac:dyDescent="0.3">
      <c r="A1507" s="4">
        <v>1720</v>
      </c>
      <c r="B1507" s="5">
        <v>1500</v>
      </c>
      <c r="C1507">
        <v>1333</v>
      </c>
      <c r="D1507" t="s">
        <v>13585</v>
      </c>
      <c r="E1507" t="s">
        <v>161</v>
      </c>
      <c r="F1507" t="s">
        <v>117</v>
      </c>
      <c r="G1507" t="s">
        <v>13586</v>
      </c>
      <c r="H1507">
        <v>18.43</v>
      </c>
      <c r="I1507">
        <v>0</v>
      </c>
      <c r="J1507">
        <v>0</v>
      </c>
      <c r="K1507">
        <v>20</v>
      </c>
      <c r="N1507">
        <v>3</v>
      </c>
      <c r="O1507">
        <v>3</v>
      </c>
      <c r="P1507">
        <v>4</v>
      </c>
      <c r="Q1507">
        <v>2</v>
      </c>
      <c r="R1507">
        <v>47.43</v>
      </c>
      <c r="S1507">
        <v>13</v>
      </c>
      <c r="T1507">
        <v>13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13</v>
      </c>
      <c r="AB1507">
        <v>0</v>
      </c>
      <c r="AC1507">
        <v>0</v>
      </c>
      <c r="AH1507">
        <v>60.43</v>
      </c>
    </row>
    <row r="1508" spans="1:34" x14ac:dyDescent="0.3">
      <c r="A1508" s="4">
        <v>1721</v>
      </c>
      <c r="B1508" s="5">
        <v>1501</v>
      </c>
      <c r="C1508">
        <v>5184</v>
      </c>
      <c r="D1508" t="s">
        <v>13587</v>
      </c>
      <c r="E1508" t="s">
        <v>161</v>
      </c>
      <c r="F1508" t="s">
        <v>81</v>
      </c>
      <c r="G1508" t="s">
        <v>13588</v>
      </c>
      <c r="H1508">
        <v>21.43</v>
      </c>
      <c r="I1508">
        <v>0</v>
      </c>
      <c r="J1508">
        <v>0</v>
      </c>
      <c r="K1508">
        <v>20</v>
      </c>
      <c r="N1508">
        <v>3</v>
      </c>
      <c r="O1508">
        <v>3</v>
      </c>
      <c r="P1508">
        <v>0</v>
      </c>
      <c r="Q1508">
        <v>2</v>
      </c>
      <c r="R1508">
        <v>46.43</v>
      </c>
      <c r="S1508">
        <v>14</v>
      </c>
      <c r="T1508">
        <v>14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14</v>
      </c>
      <c r="AB1508">
        <v>0</v>
      </c>
      <c r="AC1508">
        <v>0</v>
      </c>
      <c r="AH1508">
        <v>60.43</v>
      </c>
    </row>
    <row r="1509" spans="1:34" x14ac:dyDescent="0.3">
      <c r="A1509" s="4">
        <v>1722</v>
      </c>
      <c r="B1509" s="5">
        <v>1502</v>
      </c>
      <c r="C1509">
        <v>9344</v>
      </c>
      <c r="D1509" t="s">
        <v>13589</v>
      </c>
      <c r="E1509" t="s">
        <v>173</v>
      </c>
      <c r="F1509" t="s">
        <v>81</v>
      </c>
      <c r="G1509" t="s">
        <v>13590</v>
      </c>
      <c r="H1509">
        <v>18.350000000000001</v>
      </c>
      <c r="I1509">
        <v>0</v>
      </c>
      <c r="J1509">
        <v>0</v>
      </c>
      <c r="K1509">
        <v>20</v>
      </c>
      <c r="L1509">
        <v>7</v>
      </c>
      <c r="O1509">
        <v>7</v>
      </c>
      <c r="P1509">
        <v>4</v>
      </c>
      <c r="Q1509">
        <v>0</v>
      </c>
      <c r="R1509">
        <v>49.35</v>
      </c>
      <c r="S1509">
        <v>11</v>
      </c>
      <c r="T1509">
        <v>11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11</v>
      </c>
      <c r="AB1509">
        <v>0</v>
      </c>
      <c r="AC1509">
        <v>0</v>
      </c>
      <c r="AH1509">
        <v>60.35</v>
      </c>
    </row>
    <row r="1510" spans="1:34" x14ac:dyDescent="0.3">
      <c r="A1510" s="4">
        <v>1723</v>
      </c>
      <c r="B1510" s="5">
        <v>1503</v>
      </c>
      <c r="C1510">
        <v>3978</v>
      </c>
      <c r="D1510" t="s">
        <v>7889</v>
      </c>
      <c r="E1510" t="s">
        <v>29</v>
      </c>
      <c r="F1510" t="s">
        <v>158</v>
      </c>
      <c r="G1510" t="s">
        <v>13591</v>
      </c>
      <c r="H1510">
        <v>18.25</v>
      </c>
      <c r="I1510">
        <v>0</v>
      </c>
      <c r="J1510">
        <v>0</v>
      </c>
      <c r="K1510">
        <v>20</v>
      </c>
      <c r="L1510">
        <v>7</v>
      </c>
      <c r="O1510">
        <v>7</v>
      </c>
      <c r="P1510">
        <v>4</v>
      </c>
      <c r="Q1510">
        <v>0</v>
      </c>
      <c r="R1510">
        <v>49.25</v>
      </c>
      <c r="S1510">
        <v>11</v>
      </c>
      <c r="T1510">
        <v>11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11</v>
      </c>
      <c r="AB1510">
        <v>0</v>
      </c>
      <c r="AC1510">
        <v>0</v>
      </c>
      <c r="AH1510">
        <v>60.25</v>
      </c>
    </row>
    <row r="1511" spans="1:34" x14ac:dyDescent="0.3">
      <c r="A1511" s="4">
        <v>1724</v>
      </c>
      <c r="B1511" s="5">
        <v>1504</v>
      </c>
      <c r="C1511">
        <v>1313</v>
      </c>
      <c r="D1511" t="s">
        <v>5911</v>
      </c>
      <c r="E1511" t="s">
        <v>789</v>
      </c>
      <c r="F1511" t="s">
        <v>2561</v>
      </c>
      <c r="G1511" t="s">
        <v>13592</v>
      </c>
      <c r="H1511">
        <v>17.23</v>
      </c>
      <c r="I1511">
        <v>0</v>
      </c>
      <c r="J1511">
        <v>0</v>
      </c>
      <c r="K1511">
        <v>0</v>
      </c>
      <c r="L1511">
        <v>7</v>
      </c>
      <c r="N1511">
        <v>3</v>
      </c>
      <c r="O1511">
        <v>10</v>
      </c>
      <c r="P1511">
        <v>4</v>
      </c>
      <c r="Q1511">
        <v>2</v>
      </c>
      <c r="R1511">
        <v>33.229999999999997</v>
      </c>
      <c r="S1511">
        <v>18</v>
      </c>
      <c r="T1511">
        <v>18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18</v>
      </c>
      <c r="AB1511">
        <v>9</v>
      </c>
      <c r="AC1511">
        <v>0</v>
      </c>
      <c r="AE1511" t="s">
        <v>130</v>
      </c>
      <c r="AH1511">
        <v>60.23</v>
      </c>
    </row>
    <row r="1512" spans="1:34" x14ac:dyDescent="0.3">
      <c r="A1512" s="4">
        <v>1725</v>
      </c>
      <c r="B1512" s="5">
        <v>1505</v>
      </c>
      <c r="C1512">
        <v>380</v>
      </c>
      <c r="D1512" t="s">
        <v>13593</v>
      </c>
      <c r="E1512" t="s">
        <v>1152</v>
      </c>
      <c r="F1512" t="s">
        <v>158</v>
      </c>
      <c r="G1512" t="s">
        <v>13594</v>
      </c>
      <c r="H1512">
        <v>17.23</v>
      </c>
      <c r="I1512">
        <v>0</v>
      </c>
      <c r="J1512">
        <v>0</v>
      </c>
      <c r="K1512">
        <v>20</v>
      </c>
      <c r="L1512">
        <v>7</v>
      </c>
      <c r="M1512">
        <v>5</v>
      </c>
      <c r="O1512">
        <v>12</v>
      </c>
      <c r="P1512">
        <v>0</v>
      </c>
      <c r="Q1512">
        <v>0</v>
      </c>
      <c r="R1512">
        <v>49.23</v>
      </c>
      <c r="S1512">
        <v>11</v>
      </c>
      <c r="T1512">
        <v>11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11</v>
      </c>
      <c r="AB1512">
        <v>0</v>
      </c>
      <c r="AC1512">
        <v>0</v>
      </c>
      <c r="AH1512">
        <v>60.23</v>
      </c>
    </row>
    <row r="1513" spans="1:34" x14ac:dyDescent="0.3">
      <c r="A1513" s="4">
        <v>1726</v>
      </c>
      <c r="B1513" s="5">
        <v>1506</v>
      </c>
      <c r="C1513">
        <v>7114</v>
      </c>
      <c r="D1513" t="s">
        <v>1284</v>
      </c>
      <c r="E1513" t="s">
        <v>13595</v>
      </c>
      <c r="F1513" t="s">
        <v>259</v>
      </c>
      <c r="G1513" t="s">
        <v>13596</v>
      </c>
      <c r="H1513">
        <v>19.2</v>
      </c>
      <c r="I1513">
        <v>0</v>
      </c>
      <c r="J1513">
        <v>0</v>
      </c>
      <c r="K1513">
        <v>20</v>
      </c>
      <c r="L1513">
        <v>7</v>
      </c>
      <c r="N1513">
        <v>3</v>
      </c>
      <c r="O1513">
        <v>10</v>
      </c>
      <c r="P1513">
        <v>4</v>
      </c>
      <c r="Q1513">
        <v>2</v>
      </c>
      <c r="R1513">
        <v>55.2</v>
      </c>
      <c r="S1513">
        <v>2</v>
      </c>
      <c r="T1513">
        <v>2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2</v>
      </c>
      <c r="AB1513">
        <v>3</v>
      </c>
      <c r="AC1513">
        <v>0</v>
      </c>
      <c r="AH1513">
        <v>60.2</v>
      </c>
    </row>
    <row r="1514" spans="1:34" x14ac:dyDescent="0.3">
      <c r="A1514" s="4">
        <v>1727</v>
      </c>
      <c r="B1514" s="5">
        <v>1507</v>
      </c>
      <c r="C1514">
        <v>1372</v>
      </c>
      <c r="D1514" t="s">
        <v>13597</v>
      </c>
      <c r="E1514" t="s">
        <v>13598</v>
      </c>
      <c r="F1514" t="s">
        <v>17</v>
      </c>
      <c r="G1514">
        <v>448073</v>
      </c>
      <c r="H1514">
        <v>22.2</v>
      </c>
      <c r="I1514">
        <v>7</v>
      </c>
      <c r="J1514">
        <v>0</v>
      </c>
      <c r="K1514">
        <v>20</v>
      </c>
      <c r="L1514">
        <v>7</v>
      </c>
      <c r="O1514">
        <v>7</v>
      </c>
      <c r="P1514">
        <v>4</v>
      </c>
      <c r="Q1514">
        <v>0</v>
      </c>
      <c r="R1514">
        <v>60.2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H1514">
        <v>60.2</v>
      </c>
    </row>
    <row r="1515" spans="1:34" x14ac:dyDescent="0.3">
      <c r="A1515" s="4">
        <v>1728</v>
      </c>
      <c r="B1515" s="5">
        <v>1508</v>
      </c>
      <c r="C1515">
        <v>10516</v>
      </c>
      <c r="D1515" t="s">
        <v>902</v>
      </c>
      <c r="E1515" t="s">
        <v>132</v>
      </c>
      <c r="F1515" t="s">
        <v>136</v>
      </c>
      <c r="G1515" t="s">
        <v>13599</v>
      </c>
      <c r="H1515">
        <v>18.18</v>
      </c>
      <c r="I1515">
        <v>0</v>
      </c>
      <c r="J1515">
        <v>0</v>
      </c>
      <c r="K1515">
        <v>28</v>
      </c>
      <c r="L1515">
        <v>7</v>
      </c>
      <c r="N1515">
        <v>3</v>
      </c>
      <c r="O1515">
        <v>10</v>
      </c>
      <c r="P1515">
        <v>4</v>
      </c>
      <c r="Q1515">
        <v>0</v>
      </c>
      <c r="R1515">
        <v>60.18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H1515">
        <v>60.18</v>
      </c>
    </row>
    <row r="1516" spans="1:34" x14ac:dyDescent="0.3">
      <c r="A1516" s="4">
        <v>1729</v>
      </c>
      <c r="B1516" s="5">
        <v>1509</v>
      </c>
      <c r="C1516">
        <v>10337</v>
      </c>
      <c r="D1516" t="s">
        <v>13600</v>
      </c>
      <c r="E1516" t="s">
        <v>13601</v>
      </c>
      <c r="F1516" t="s">
        <v>17</v>
      </c>
      <c r="G1516" t="s">
        <v>13602</v>
      </c>
      <c r="H1516">
        <v>19.18</v>
      </c>
      <c r="I1516">
        <v>0</v>
      </c>
      <c r="J1516">
        <v>0</v>
      </c>
      <c r="K1516">
        <v>20</v>
      </c>
      <c r="O1516">
        <v>0</v>
      </c>
      <c r="P1516">
        <v>0</v>
      </c>
      <c r="Q1516">
        <v>0</v>
      </c>
      <c r="R1516">
        <v>39.18</v>
      </c>
      <c r="S1516">
        <v>7</v>
      </c>
      <c r="T1516">
        <v>7</v>
      </c>
      <c r="U1516">
        <v>7</v>
      </c>
      <c r="V1516">
        <v>14</v>
      </c>
      <c r="W1516">
        <v>0</v>
      </c>
      <c r="X1516">
        <v>0</v>
      </c>
      <c r="Y1516">
        <v>0</v>
      </c>
      <c r="Z1516">
        <v>0</v>
      </c>
      <c r="AA1516">
        <v>21</v>
      </c>
      <c r="AB1516">
        <v>0</v>
      </c>
      <c r="AC1516">
        <v>0</v>
      </c>
      <c r="AH1516">
        <v>60.18</v>
      </c>
    </row>
    <row r="1517" spans="1:34" x14ac:dyDescent="0.3">
      <c r="A1517" s="4">
        <v>1730</v>
      </c>
      <c r="B1517" s="5">
        <v>1510</v>
      </c>
      <c r="C1517">
        <v>11029</v>
      </c>
      <c r="D1517" t="s">
        <v>13603</v>
      </c>
      <c r="E1517" t="s">
        <v>255</v>
      </c>
      <c r="F1517" t="s">
        <v>17</v>
      </c>
      <c r="G1517" t="s">
        <v>13604</v>
      </c>
      <c r="H1517">
        <v>19.25</v>
      </c>
      <c r="I1517">
        <v>0</v>
      </c>
      <c r="J1517">
        <v>0</v>
      </c>
      <c r="K1517">
        <v>0</v>
      </c>
      <c r="L1517">
        <v>7</v>
      </c>
      <c r="N1517">
        <v>3</v>
      </c>
      <c r="O1517">
        <v>10</v>
      </c>
      <c r="P1517">
        <v>4</v>
      </c>
      <c r="Q1517">
        <v>0</v>
      </c>
      <c r="R1517">
        <v>33.25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26.8</v>
      </c>
      <c r="AD1517" t="s">
        <v>130</v>
      </c>
      <c r="AH1517">
        <v>60.05</v>
      </c>
    </row>
    <row r="1518" spans="1:34" x14ac:dyDescent="0.3">
      <c r="A1518" s="4">
        <v>1731</v>
      </c>
      <c r="B1518" s="5">
        <v>1511</v>
      </c>
      <c r="C1518">
        <v>836</v>
      </c>
      <c r="D1518" t="s">
        <v>13605</v>
      </c>
      <c r="E1518" t="s">
        <v>100</v>
      </c>
      <c r="F1518" t="s">
        <v>117</v>
      </c>
      <c r="G1518" t="s">
        <v>13606</v>
      </c>
      <c r="H1518">
        <v>17</v>
      </c>
      <c r="I1518">
        <v>0</v>
      </c>
      <c r="J1518">
        <v>0</v>
      </c>
      <c r="K1518">
        <v>20</v>
      </c>
      <c r="L1518">
        <v>7</v>
      </c>
      <c r="M1518">
        <v>5</v>
      </c>
      <c r="O1518">
        <v>12</v>
      </c>
      <c r="P1518">
        <v>4</v>
      </c>
      <c r="Q1518">
        <v>2</v>
      </c>
      <c r="R1518">
        <v>55</v>
      </c>
      <c r="S1518">
        <v>2</v>
      </c>
      <c r="T1518">
        <v>2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2</v>
      </c>
      <c r="AB1518">
        <v>3</v>
      </c>
      <c r="AC1518">
        <v>0</v>
      </c>
      <c r="AH1518">
        <v>60</v>
      </c>
    </row>
    <row r="1519" spans="1:34" x14ac:dyDescent="0.3">
      <c r="A1519" s="4">
        <v>1732</v>
      </c>
      <c r="B1519" s="5">
        <v>1512</v>
      </c>
      <c r="C1519">
        <v>9975</v>
      </c>
      <c r="D1519" t="s">
        <v>13607</v>
      </c>
      <c r="E1519" t="s">
        <v>471</v>
      </c>
      <c r="F1519" t="s">
        <v>5300</v>
      </c>
      <c r="G1519" t="s">
        <v>13608</v>
      </c>
      <c r="H1519">
        <v>19.95</v>
      </c>
      <c r="I1519">
        <v>0</v>
      </c>
      <c r="J1519">
        <v>0</v>
      </c>
      <c r="K1519">
        <v>20</v>
      </c>
      <c r="L1519">
        <v>7</v>
      </c>
      <c r="O1519">
        <v>7</v>
      </c>
      <c r="P1519">
        <v>4</v>
      </c>
      <c r="Q1519">
        <v>2</v>
      </c>
      <c r="R1519">
        <v>52.95</v>
      </c>
      <c r="S1519">
        <v>7</v>
      </c>
      <c r="T1519">
        <v>7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7</v>
      </c>
      <c r="AB1519">
        <v>0</v>
      </c>
      <c r="AC1519">
        <v>0</v>
      </c>
      <c r="AH1519">
        <v>59.95</v>
      </c>
    </row>
    <row r="1520" spans="1:34" x14ac:dyDescent="0.3">
      <c r="A1520" s="4">
        <v>1733</v>
      </c>
      <c r="B1520" s="5">
        <v>1513</v>
      </c>
      <c r="C1520">
        <v>514</v>
      </c>
      <c r="D1520" t="s">
        <v>645</v>
      </c>
      <c r="E1520" t="s">
        <v>182</v>
      </c>
      <c r="F1520" t="s">
        <v>79</v>
      </c>
      <c r="G1520" t="s">
        <v>13609</v>
      </c>
      <c r="H1520">
        <v>20.95</v>
      </c>
      <c r="I1520">
        <v>7</v>
      </c>
      <c r="J1520">
        <v>0</v>
      </c>
      <c r="K1520">
        <v>0</v>
      </c>
      <c r="L1520">
        <v>7</v>
      </c>
      <c r="O1520">
        <v>7</v>
      </c>
      <c r="P1520">
        <v>0</v>
      </c>
      <c r="Q1520">
        <v>0</v>
      </c>
      <c r="R1520">
        <v>34.950000000000003</v>
      </c>
      <c r="S1520">
        <v>25</v>
      </c>
      <c r="T1520">
        <v>25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25</v>
      </c>
      <c r="AB1520">
        <v>0</v>
      </c>
      <c r="AC1520">
        <v>0</v>
      </c>
      <c r="AH1520">
        <v>59.95</v>
      </c>
    </row>
    <row r="1521" spans="1:34" x14ac:dyDescent="0.3">
      <c r="A1521" s="4">
        <v>1734</v>
      </c>
      <c r="B1521" s="5">
        <v>1514</v>
      </c>
      <c r="C1521">
        <v>5833</v>
      </c>
      <c r="D1521" t="s">
        <v>169</v>
      </c>
      <c r="E1521" t="s">
        <v>166</v>
      </c>
      <c r="F1521" t="s">
        <v>17</v>
      </c>
      <c r="G1521" t="s">
        <v>13610</v>
      </c>
      <c r="H1521">
        <v>17.850000000000001</v>
      </c>
      <c r="I1521">
        <v>0</v>
      </c>
      <c r="J1521">
        <v>0</v>
      </c>
      <c r="K1521">
        <v>0</v>
      </c>
      <c r="L1521">
        <v>7</v>
      </c>
      <c r="O1521">
        <v>7</v>
      </c>
      <c r="P1521">
        <v>4</v>
      </c>
      <c r="Q1521">
        <v>2</v>
      </c>
      <c r="R1521">
        <v>30.85</v>
      </c>
      <c r="S1521">
        <v>29</v>
      </c>
      <c r="T1521">
        <v>29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29</v>
      </c>
      <c r="AB1521">
        <v>0</v>
      </c>
      <c r="AC1521">
        <v>0</v>
      </c>
      <c r="AE1521" t="s">
        <v>130</v>
      </c>
      <c r="AH1521">
        <v>59.85</v>
      </c>
    </row>
    <row r="1522" spans="1:34" x14ac:dyDescent="0.3">
      <c r="A1522" s="4">
        <v>1735</v>
      </c>
      <c r="B1522" s="5">
        <v>1515</v>
      </c>
      <c r="C1522">
        <v>8490</v>
      </c>
      <c r="D1522" t="s">
        <v>13611</v>
      </c>
      <c r="E1522" t="s">
        <v>894</v>
      </c>
      <c r="F1522" t="s">
        <v>17</v>
      </c>
      <c r="G1522" t="s">
        <v>13612</v>
      </c>
      <c r="H1522">
        <v>18.829999999999998</v>
      </c>
      <c r="I1522">
        <v>0</v>
      </c>
      <c r="J1522">
        <v>0</v>
      </c>
      <c r="K1522">
        <v>20</v>
      </c>
      <c r="L1522">
        <v>7</v>
      </c>
      <c r="O1522">
        <v>7</v>
      </c>
      <c r="P1522">
        <v>4</v>
      </c>
      <c r="Q1522">
        <v>2</v>
      </c>
      <c r="R1522">
        <v>51.83</v>
      </c>
      <c r="S1522">
        <v>8</v>
      </c>
      <c r="T1522">
        <v>8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8</v>
      </c>
      <c r="AB1522">
        <v>0</v>
      </c>
      <c r="AC1522">
        <v>0</v>
      </c>
      <c r="AD1522" t="s">
        <v>130</v>
      </c>
      <c r="AH1522">
        <v>59.83</v>
      </c>
    </row>
    <row r="1523" spans="1:34" x14ac:dyDescent="0.3">
      <c r="A1523" s="4">
        <v>1736</v>
      </c>
      <c r="B1523" s="5">
        <v>1516</v>
      </c>
      <c r="C1523">
        <v>12670</v>
      </c>
      <c r="D1523" t="s">
        <v>13613</v>
      </c>
      <c r="E1523" t="s">
        <v>33</v>
      </c>
      <c r="F1523" t="s">
        <v>13614</v>
      </c>
      <c r="G1523" t="s">
        <v>13615</v>
      </c>
      <c r="H1523">
        <v>17.8</v>
      </c>
      <c r="I1523">
        <v>0</v>
      </c>
      <c r="J1523">
        <v>0</v>
      </c>
      <c r="K1523">
        <v>20</v>
      </c>
      <c r="L1523">
        <v>7</v>
      </c>
      <c r="N1523">
        <v>3</v>
      </c>
      <c r="O1523">
        <v>10</v>
      </c>
      <c r="P1523">
        <v>4</v>
      </c>
      <c r="Q1523">
        <v>2</v>
      </c>
      <c r="R1523">
        <v>53.8</v>
      </c>
      <c r="S1523">
        <v>3</v>
      </c>
      <c r="T1523">
        <v>3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3</v>
      </c>
      <c r="AB1523">
        <v>3</v>
      </c>
      <c r="AC1523">
        <v>0</v>
      </c>
      <c r="AH1523">
        <v>59.8</v>
      </c>
    </row>
    <row r="1524" spans="1:34" x14ac:dyDescent="0.3">
      <c r="A1524" s="4">
        <v>1737</v>
      </c>
      <c r="B1524" s="5">
        <v>1517</v>
      </c>
      <c r="C1524">
        <v>6018</v>
      </c>
      <c r="D1524" t="s">
        <v>577</v>
      </c>
      <c r="E1524" t="s">
        <v>471</v>
      </c>
      <c r="F1524" t="s">
        <v>81</v>
      </c>
      <c r="G1524" t="s">
        <v>13616</v>
      </c>
      <c r="H1524">
        <v>17.8</v>
      </c>
      <c r="I1524">
        <v>0</v>
      </c>
      <c r="J1524">
        <v>0</v>
      </c>
      <c r="K1524">
        <v>20</v>
      </c>
      <c r="L1524">
        <v>7</v>
      </c>
      <c r="N1524">
        <v>3</v>
      </c>
      <c r="O1524">
        <v>10</v>
      </c>
      <c r="P1524">
        <v>4</v>
      </c>
      <c r="Q1524">
        <v>2</v>
      </c>
      <c r="R1524">
        <v>53.8</v>
      </c>
      <c r="S1524">
        <v>6</v>
      </c>
      <c r="T1524">
        <v>6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6</v>
      </c>
      <c r="AB1524">
        <v>0</v>
      </c>
      <c r="AC1524">
        <v>0</v>
      </c>
      <c r="AH1524">
        <v>59.8</v>
      </c>
    </row>
    <row r="1525" spans="1:34" x14ac:dyDescent="0.3">
      <c r="A1525" s="4">
        <v>1738</v>
      </c>
      <c r="B1525" s="5">
        <v>1518</v>
      </c>
      <c r="C1525">
        <v>8123</v>
      </c>
      <c r="D1525" t="s">
        <v>3783</v>
      </c>
      <c r="E1525" t="s">
        <v>97</v>
      </c>
      <c r="F1525" t="s">
        <v>17</v>
      </c>
      <c r="G1525" t="s">
        <v>13617</v>
      </c>
      <c r="H1525">
        <v>18.75</v>
      </c>
      <c r="I1525">
        <v>0</v>
      </c>
      <c r="J1525">
        <v>0</v>
      </c>
      <c r="K1525">
        <v>28</v>
      </c>
      <c r="L1525">
        <v>7</v>
      </c>
      <c r="O1525">
        <v>7</v>
      </c>
      <c r="P1525">
        <v>4</v>
      </c>
      <c r="Q1525">
        <v>2</v>
      </c>
      <c r="R1525">
        <v>59.75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H1525">
        <v>59.75</v>
      </c>
    </row>
    <row r="1526" spans="1:34" x14ac:dyDescent="0.3">
      <c r="A1526" s="4">
        <v>1739</v>
      </c>
      <c r="B1526" s="5">
        <v>1519</v>
      </c>
      <c r="C1526">
        <v>7093</v>
      </c>
      <c r="D1526" t="s">
        <v>13618</v>
      </c>
      <c r="E1526" t="s">
        <v>892</v>
      </c>
      <c r="F1526" t="s">
        <v>416</v>
      </c>
      <c r="G1526" t="s">
        <v>13619</v>
      </c>
      <c r="H1526">
        <v>16.7</v>
      </c>
      <c r="I1526">
        <v>0</v>
      </c>
      <c r="J1526">
        <v>0</v>
      </c>
      <c r="K1526">
        <v>0</v>
      </c>
      <c r="N1526">
        <v>3</v>
      </c>
      <c r="O1526">
        <v>3</v>
      </c>
      <c r="P1526">
        <v>0</v>
      </c>
      <c r="Q1526">
        <v>0</v>
      </c>
      <c r="R1526">
        <v>19.7</v>
      </c>
      <c r="S1526">
        <v>40</v>
      </c>
      <c r="T1526">
        <v>40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40</v>
      </c>
      <c r="AB1526">
        <v>0</v>
      </c>
      <c r="AC1526">
        <v>0</v>
      </c>
      <c r="AH1526">
        <v>59.7</v>
      </c>
    </row>
    <row r="1527" spans="1:34" x14ac:dyDescent="0.3">
      <c r="A1527" s="4">
        <v>1740</v>
      </c>
      <c r="B1527" s="5">
        <v>1520</v>
      </c>
      <c r="C1527">
        <v>8004</v>
      </c>
      <c r="D1527" t="s">
        <v>11633</v>
      </c>
      <c r="E1527" t="s">
        <v>29</v>
      </c>
      <c r="F1527" t="s">
        <v>6216</v>
      </c>
      <c r="G1527" t="s">
        <v>13620</v>
      </c>
      <c r="H1527">
        <v>19.649999999999999</v>
      </c>
      <c r="I1527">
        <v>0</v>
      </c>
      <c r="J1527">
        <v>0</v>
      </c>
      <c r="K1527">
        <v>20</v>
      </c>
      <c r="L1527">
        <v>7</v>
      </c>
      <c r="N1527">
        <v>3</v>
      </c>
      <c r="O1527">
        <v>10</v>
      </c>
      <c r="P1527">
        <v>0</v>
      </c>
      <c r="Q1527">
        <v>0</v>
      </c>
      <c r="R1527">
        <v>49.65</v>
      </c>
      <c r="S1527">
        <v>10</v>
      </c>
      <c r="T1527">
        <v>10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10</v>
      </c>
      <c r="AB1527">
        <v>0</v>
      </c>
      <c r="AC1527">
        <v>0</v>
      </c>
      <c r="AH1527">
        <v>59.65</v>
      </c>
    </row>
    <row r="1528" spans="1:34" x14ac:dyDescent="0.3">
      <c r="A1528" s="4">
        <v>1741</v>
      </c>
      <c r="B1528" s="5">
        <v>1521</v>
      </c>
      <c r="C1528">
        <v>4219</v>
      </c>
      <c r="D1528" t="s">
        <v>1095</v>
      </c>
      <c r="E1528" t="s">
        <v>54</v>
      </c>
      <c r="F1528" t="s">
        <v>1806</v>
      </c>
      <c r="G1528" t="s">
        <v>13621</v>
      </c>
      <c r="H1528">
        <v>18.649999999999999</v>
      </c>
      <c r="I1528">
        <v>0</v>
      </c>
      <c r="J1528">
        <v>0</v>
      </c>
      <c r="K1528">
        <v>20</v>
      </c>
      <c r="L1528">
        <v>7</v>
      </c>
      <c r="O1528">
        <v>7</v>
      </c>
      <c r="P1528">
        <v>4</v>
      </c>
      <c r="Q1528">
        <v>0</v>
      </c>
      <c r="R1528">
        <v>49.65</v>
      </c>
      <c r="S1528">
        <v>10</v>
      </c>
      <c r="T1528">
        <v>10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10</v>
      </c>
      <c r="AB1528">
        <v>0</v>
      </c>
      <c r="AC1528">
        <v>0</v>
      </c>
      <c r="AH1528">
        <v>59.65</v>
      </c>
    </row>
    <row r="1529" spans="1:34" x14ac:dyDescent="0.3">
      <c r="A1529" s="4">
        <v>1742</v>
      </c>
      <c r="B1529" s="5">
        <v>1522</v>
      </c>
      <c r="C1529">
        <v>13826</v>
      </c>
      <c r="D1529" t="s">
        <v>13622</v>
      </c>
      <c r="E1529" t="s">
        <v>54</v>
      </c>
      <c r="F1529" t="s">
        <v>81</v>
      </c>
      <c r="G1529" t="s">
        <v>13623</v>
      </c>
      <c r="H1529">
        <v>21.58</v>
      </c>
      <c r="I1529">
        <v>0</v>
      </c>
      <c r="J1529">
        <v>0</v>
      </c>
      <c r="K1529">
        <v>20</v>
      </c>
      <c r="L1529">
        <v>7</v>
      </c>
      <c r="O1529">
        <v>7</v>
      </c>
      <c r="P1529">
        <v>4</v>
      </c>
      <c r="Q1529">
        <v>0</v>
      </c>
      <c r="R1529">
        <v>52.58</v>
      </c>
      <c r="S1529">
        <v>7</v>
      </c>
      <c r="T1529">
        <v>7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7</v>
      </c>
      <c r="AB1529">
        <v>0</v>
      </c>
      <c r="AC1529">
        <v>0</v>
      </c>
      <c r="AH1529">
        <v>59.58</v>
      </c>
    </row>
    <row r="1530" spans="1:34" x14ac:dyDescent="0.3">
      <c r="A1530" s="4">
        <v>1743</v>
      </c>
      <c r="B1530" s="5">
        <v>1523</v>
      </c>
      <c r="C1530">
        <v>8572</v>
      </c>
      <c r="D1530" t="s">
        <v>13624</v>
      </c>
      <c r="E1530" t="s">
        <v>110</v>
      </c>
      <c r="F1530" t="s">
        <v>20</v>
      </c>
      <c r="G1530" t="s">
        <v>13625</v>
      </c>
      <c r="H1530">
        <v>18.55</v>
      </c>
      <c r="I1530">
        <v>0</v>
      </c>
      <c r="J1530">
        <v>0</v>
      </c>
      <c r="K1530">
        <v>20</v>
      </c>
      <c r="L1530">
        <v>7</v>
      </c>
      <c r="N1530">
        <v>3</v>
      </c>
      <c r="O1530">
        <v>10</v>
      </c>
      <c r="P1530">
        <v>4</v>
      </c>
      <c r="Q1530">
        <v>0</v>
      </c>
      <c r="R1530">
        <v>52.55</v>
      </c>
      <c r="S1530">
        <v>7</v>
      </c>
      <c r="T1530">
        <v>7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7</v>
      </c>
      <c r="AB1530">
        <v>0</v>
      </c>
      <c r="AC1530">
        <v>0</v>
      </c>
      <c r="AH1530">
        <v>59.55</v>
      </c>
    </row>
    <row r="1531" spans="1:34" x14ac:dyDescent="0.3">
      <c r="A1531" s="4">
        <v>1744</v>
      </c>
      <c r="B1531" s="5">
        <v>1524</v>
      </c>
      <c r="C1531">
        <v>10668</v>
      </c>
      <c r="D1531" t="s">
        <v>13626</v>
      </c>
      <c r="E1531" t="s">
        <v>13627</v>
      </c>
      <c r="F1531" t="s">
        <v>13628</v>
      </c>
      <c r="G1531" t="s">
        <v>13629</v>
      </c>
      <c r="H1531">
        <v>20.53</v>
      </c>
      <c r="I1531">
        <v>0</v>
      </c>
      <c r="J1531">
        <v>0</v>
      </c>
      <c r="K1531">
        <v>20</v>
      </c>
      <c r="L1531">
        <v>14</v>
      </c>
      <c r="O1531">
        <v>14</v>
      </c>
      <c r="P1531">
        <v>0</v>
      </c>
      <c r="Q1531">
        <v>0</v>
      </c>
      <c r="R1531">
        <v>54.53</v>
      </c>
      <c r="S1531">
        <v>5</v>
      </c>
      <c r="T1531">
        <v>5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5</v>
      </c>
      <c r="AB1531">
        <v>0</v>
      </c>
      <c r="AC1531">
        <v>0</v>
      </c>
      <c r="AH1531">
        <v>59.53</v>
      </c>
    </row>
    <row r="1532" spans="1:34" x14ac:dyDescent="0.3">
      <c r="A1532" s="4">
        <v>1745</v>
      </c>
      <c r="B1532" s="5">
        <v>1525</v>
      </c>
      <c r="C1532">
        <v>9231</v>
      </c>
      <c r="D1532" t="s">
        <v>13630</v>
      </c>
      <c r="E1532" t="s">
        <v>170</v>
      </c>
      <c r="F1532" t="s">
        <v>136</v>
      </c>
      <c r="G1532" t="s">
        <v>13631</v>
      </c>
      <c r="H1532">
        <v>20.45</v>
      </c>
      <c r="I1532">
        <v>0</v>
      </c>
      <c r="J1532">
        <v>0</v>
      </c>
      <c r="K1532">
        <v>20</v>
      </c>
      <c r="L1532">
        <v>7</v>
      </c>
      <c r="O1532">
        <v>7</v>
      </c>
      <c r="P1532">
        <v>4</v>
      </c>
      <c r="Q1532">
        <v>2</v>
      </c>
      <c r="R1532">
        <v>53.45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6</v>
      </c>
      <c r="AC1532">
        <v>0</v>
      </c>
      <c r="AH1532">
        <v>59.45</v>
      </c>
    </row>
    <row r="1533" spans="1:34" x14ac:dyDescent="0.3">
      <c r="A1533" s="4">
        <v>1746</v>
      </c>
      <c r="B1533" s="5">
        <v>1526</v>
      </c>
      <c r="C1533">
        <v>6557</v>
      </c>
      <c r="D1533" t="s">
        <v>13632</v>
      </c>
      <c r="E1533" t="s">
        <v>81</v>
      </c>
      <c r="F1533" t="s">
        <v>20</v>
      </c>
      <c r="G1533" t="s">
        <v>13633</v>
      </c>
      <c r="H1533">
        <v>18.350000000000001</v>
      </c>
      <c r="I1533">
        <v>0</v>
      </c>
      <c r="J1533">
        <v>0</v>
      </c>
      <c r="K1533">
        <v>0</v>
      </c>
      <c r="L1533">
        <v>7</v>
      </c>
      <c r="O1533">
        <v>7</v>
      </c>
      <c r="P1533">
        <v>4</v>
      </c>
      <c r="Q1533">
        <v>0</v>
      </c>
      <c r="R1533">
        <v>29.35</v>
      </c>
      <c r="S1533">
        <v>30</v>
      </c>
      <c r="T1533">
        <v>30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30</v>
      </c>
      <c r="AB1533">
        <v>0</v>
      </c>
      <c r="AC1533">
        <v>0</v>
      </c>
      <c r="AH1533">
        <v>59.35</v>
      </c>
    </row>
    <row r="1534" spans="1:34" x14ac:dyDescent="0.3">
      <c r="A1534" s="4">
        <v>1747</v>
      </c>
      <c r="B1534" s="5">
        <v>1527</v>
      </c>
      <c r="C1534">
        <v>5226</v>
      </c>
      <c r="D1534" t="s">
        <v>743</v>
      </c>
      <c r="E1534" t="s">
        <v>13634</v>
      </c>
      <c r="F1534" t="s">
        <v>6192</v>
      </c>
      <c r="H1534">
        <v>17.3</v>
      </c>
      <c r="I1534">
        <v>0</v>
      </c>
      <c r="J1534">
        <v>0</v>
      </c>
      <c r="K1534">
        <v>0</v>
      </c>
      <c r="L1534">
        <v>7</v>
      </c>
      <c r="O1534">
        <v>7</v>
      </c>
      <c r="P1534">
        <v>4</v>
      </c>
      <c r="Q1534">
        <v>2</v>
      </c>
      <c r="R1534">
        <v>30.3</v>
      </c>
      <c r="S1534">
        <v>29</v>
      </c>
      <c r="T1534">
        <v>29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29</v>
      </c>
      <c r="AB1534">
        <v>0</v>
      </c>
      <c r="AC1534">
        <v>0</v>
      </c>
      <c r="AH1534">
        <v>59.3</v>
      </c>
    </row>
    <row r="1535" spans="1:34" x14ac:dyDescent="0.3">
      <c r="A1535" s="4">
        <v>1748</v>
      </c>
      <c r="B1535" s="5">
        <v>1528</v>
      </c>
      <c r="C1535">
        <v>2258</v>
      </c>
      <c r="D1535" t="s">
        <v>10061</v>
      </c>
      <c r="E1535" t="s">
        <v>182</v>
      </c>
      <c r="F1535" t="s">
        <v>2802</v>
      </c>
      <c r="G1535" t="s">
        <v>13635</v>
      </c>
      <c r="H1535">
        <v>18.28</v>
      </c>
      <c r="I1535">
        <v>0</v>
      </c>
      <c r="J1535">
        <v>0</v>
      </c>
      <c r="K1535">
        <v>20</v>
      </c>
      <c r="N1535">
        <v>6</v>
      </c>
      <c r="O1535">
        <v>6</v>
      </c>
      <c r="P1535">
        <v>4</v>
      </c>
      <c r="Q1535">
        <v>2</v>
      </c>
      <c r="R1535">
        <v>50.28</v>
      </c>
      <c r="S1535">
        <v>9</v>
      </c>
      <c r="T1535">
        <v>9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9</v>
      </c>
      <c r="AB1535">
        <v>0</v>
      </c>
      <c r="AC1535">
        <v>0</v>
      </c>
      <c r="AH1535">
        <v>59.28</v>
      </c>
    </row>
    <row r="1536" spans="1:34" x14ac:dyDescent="0.3">
      <c r="A1536" s="4">
        <v>1749</v>
      </c>
      <c r="B1536" s="5">
        <v>1529</v>
      </c>
      <c r="C1536">
        <v>15333</v>
      </c>
      <c r="D1536" t="s">
        <v>3181</v>
      </c>
      <c r="E1536" t="s">
        <v>29</v>
      </c>
      <c r="F1536" t="s">
        <v>652</v>
      </c>
      <c r="G1536" t="s">
        <v>13636</v>
      </c>
      <c r="H1536">
        <v>17.25</v>
      </c>
      <c r="I1536">
        <v>0</v>
      </c>
      <c r="J1536">
        <v>0</v>
      </c>
      <c r="K1536">
        <v>20</v>
      </c>
      <c r="L1536">
        <v>7</v>
      </c>
      <c r="M1536">
        <v>5</v>
      </c>
      <c r="O1536">
        <v>12</v>
      </c>
      <c r="P1536">
        <v>4</v>
      </c>
      <c r="Q1536">
        <v>0</v>
      </c>
      <c r="R1536">
        <v>53.25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6</v>
      </c>
      <c r="AC1536">
        <v>0</v>
      </c>
      <c r="AH1536">
        <v>59.25</v>
      </c>
    </row>
    <row r="1537" spans="1:34" x14ac:dyDescent="0.3">
      <c r="A1537" s="4">
        <v>1750</v>
      </c>
      <c r="B1537" s="5">
        <v>1530</v>
      </c>
      <c r="C1537">
        <v>7361</v>
      </c>
      <c r="D1537" t="s">
        <v>13637</v>
      </c>
      <c r="E1537" t="s">
        <v>1659</v>
      </c>
      <c r="F1537" t="s">
        <v>124</v>
      </c>
      <c r="G1537" t="s">
        <v>13638</v>
      </c>
      <c r="H1537">
        <v>19.25</v>
      </c>
      <c r="I1537">
        <v>0</v>
      </c>
      <c r="J1537">
        <v>0</v>
      </c>
      <c r="K1537">
        <v>20</v>
      </c>
      <c r="L1537">
        <v>7</v>
      </c>
      <c r="N1537">
        <v>3</v>
      </c>
      <c r="O1537">
        <v>10</v>
      </c>
      <c r="P1537">
        <v>0</v>
      </c>
      <c r="Q1537">
        <v>2</v>
      </c>
      <c r="R1537">
        <v>51.25</v>
      </c>
      <c r="S1537">
        <v>5</v>
      </c>
      <c r="T1537">
        <v>5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5</v>
      </c>
      <c r="AB1537">
        <v>3</v>
      </c>
      <c r="AC1537">
        <v>0</v>
      </c>
      <c r="AH1537">
        <v>59.25</v>
      </c>
    </row>
    <row r="1538" spans="1:34" x14ac:dyDescent="0.3">
      <c r="A1538" s="4">
        <v>1751</v>
      </c>
      <c r="B1538" s="5">
        <v>1531</v>
      </c>
      <c r="C1538">
        <v>11275</v>
      </c>
      <c r="D1538" t="s">
        <v>13639</v>
      </c>
      <c r="E1538" t="s">
        <v>143</v>
      </c>
      <c r="F1538" t="s">
        <v>81</v>
      </c>
      <c r="G1538" t="s">
        <v>13640</v>
      </c>
      <c r="H1538">
        <v>18.23</v>
      </c>
      <c r="I1538">
        <v>0</v>
      </c>
      <c r="J1538">
        <v>0</v>
      </c>
      <c r="K1538">
        <v>0</v>
      </c>
      <c r="L1538">
        <v>7</v>
      </c>
      <c r="M1538">
        <v>5</v>
      </c>
      <c r="O1538">
        <v>12</v>
      </c>
      <c r="P1538">
        <v>4</v>
      </c>
      <c r="Q1538">
        <v>2</v>
      </c>
      <c r="R1538">
        <v>36.229999999999997</v>
      </c>
      <c r="S1538">
        <v>17</v>
      </c>
      <c r="T1538">
        <v>17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17</v>
      </c>
      <c r="AB1538">
        <v>6</v>
      </c>
      <c r="AC1538">
        <v>0</v>
      </c>
      <c r="AH1538">
        <v>59.23</v>
      </c>
    </row>
    <row r="1539" spans="1:34" x14ac:dyDescent="0.3">
      <c r="A1539" s="4">
        <v>1752</v>
      </c>
      <c r="B1539" s="5">
        <v>1532</v>
      </c>
      <c r="C1539">
        <v>10627</v>
      </c>
      <c r="D1539" t="s">
        <v>7421</v>
      </c>
      <c r="E1539" t="s">
        <v>173</v>
      </c>
      <c r="F1539" t="s">
        <v>972</v>
      </c>
      <c r="G1539" t="s">
        <v>13641</v>
      </c>
      <c r="H1539">
        <v>19.23</v>
      </c>
      <c r="I1539">
        <v>0</v>
      </c>
      <c r="J1539">
        <v>0</v>
      </c>
      <c r="K1539">
        <v>20</v>
      </c>
      <c r="M1539">
        <v>5</v>
      </c>
      <c r="O1539">
        <v>5</v>
      </c>
      <c r="P1539">
        <v>4</v>
      </c>
      <c r="Q1539">
        <v>0</v>
      </c>
      <c r="R1539">
        <v>48.23</v>
      </c>
      <c r="S1539">
        <v>11</v>
      </c>
      <c r="T1539">
        <v>11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11</v>
      </c>
      <c r="AB1539">
        <v>0</v>
      </c>
      <c r="AC1539">
        <v>0</v>
      </c>
      <c r="AH1539">
        <v>59.23</v>
      </c>
    </row>
    <row r="1540" spans="1:34" x14ac:dyDescent="0.3">
      <c r="A1540" s="4">
        <v>1753</v>
      </c>
      <c r="B1540" s="5">
        <v>1533</v>
      </c>
      <c r="C1540">
        <v>15523</v>
      </c>
      <c r="D1540" t="s">
        <v>2008</v>
      </c>
      <c r="E1540" t="s">
        <v>550</v>
      </c>
      <c r="F1540" t="s">
        <v>38</v>
      </c>
      <c r="G1540" t="s">
        <v>13642</v>
      </c>
      <c r="H1540">
        <v>19.100000000000001</v>
      </c>
      <c r="I1540">
        <v>0</v>
      </c>
      <c r="J1540">
        <v>0</v>
      </c>
      <c r="K1540">
        <v>20</v>
      </c>
      <c r="L1540">
        <v>7</v>
      </c>
      <c r="N1540">
        <v>3</v>
      </c>
      <c r="O1540">
        <v>10</v>
      </c>
      <c r="P1540">
        <v>4</v>
      </c>
      <c r="Q1540">
        <v>0</v>
      </c>
      <c r="R1540">
        <v>53.1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6</v>
      </c>
      <c r="AC1540">
        <v>0</v>
      </c>
      <c r="AH1540">
        <v>59.1</v>
      </c>
    </row>
    <row r="1541" spans="1:34" x14ac:dyDescent="0.3">
      <c r="A1541" s="4">
        <v>1754</v>
      </c>
      <c r="B1541" s="5">
        <v>1534</v>
      </c>
      <c r="C1541">
        <v>2123</v>
      </c>
      <c r="D1541" t="s">
        <v>13643</v>
      </c>
      <c r="E1541" t="s">
        <v>10939</v>
      </c>
      <c r="F1541" t="s">
        <v>14</v>
      </c>
      <c r="G1541" t="s">
        <v>13644</v>
      </c>
      <c r="H1541">
        <v>18.079999999999998</v>
      </c>
      <c r="I1541">
        <v>0</v>
      </c>
      <c r="J1541">
        <v>0</v>
      </c>
      <c r="K1541">
        <v>20</v>
      </c>
      <c r="L1541">
        <v>14</v>
      </c>
      <c r="O1541">
        <v>14</v>
      </c>
      <c r="P1541">
        <v>4</v>
      </c>
      <c r="Q1541">
        <v>0</v>
      </c>
      <c r="R1541">
        <v>56.08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3</v>
      </c>
      <c r="AC1541">
        <v>0</v>
      </c>
      <c r="AH1541">
        <v>59.08</v>
      </c>
    </row>
    <row r="1542" spans="1:34" x14ac:dyDescent="0.3">
      <c r="A1542" s="4">
        <v>1755</v>
      </c>
      <c r="B1542" s="5">
        <v>1535</v>
      </c>
      <c r="C1542">
        <v>183</v>
      </c>
      <c r="D1542" t="s">
        <v>3534</v>
      </c>
      <c r="E1542" t="s">
        <v>104</v>
      </c>
      <c r="F1542" t="s">
        <v>17</v>
      </c>
      <c r="G1542" t="s">
        <v>13645</v>
      </c>
      <c r="H1542">
        <v>21.08</v>
      </c>
      <c r="I1542">
        <v>0</v>
      </c>
      <c r="J1542">
        <v>0</v>
      </c>
      <c r="K1542">
        <v>20</v>
      </c>
      <c r="L1542">
        <v>14</v>
      </c>
      <c r="O1542">
        <v>14</v>
      </c>
      <c r="P1542">
        <v>4</v>
      </c>
      <c r="Q1542">
        <v>0</v>
      </c>
      <c r="R1542">
        <v>59.08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H1542">
        <v>59.08</v>
      </c>
    </row>
    <row r="1543" spans="1:34" x14ac:dyDescent="0.3">
      <c r="A1543" s="4">
        <v>1756</v>
      </c>
      <c r="B1543" s="5">
        <v>1536</v>
      </c>
      <c r="C1543">
        <v>3065</v>
      </c>
      <c r="D1543" t="s">
        <v>181</v>
      </c>
      <c r="E1543" t="s">
        <v>88</v>
      </c>
      <c r="F1543" t="s">
        <v>136</v>
      </c>
      <c r="G1543" t="s">
        <v>13646</v>
      </c>
      <c r="H1543">
        <v>20.079999999999998</v>
      </c>
      <c r="I1543">
        <v>0</v>
      </c>
      <c r="J1543">
        <v>0</v>
      </c>
      <c r="K1543">
        <v>20</v>
      </c>
      <c r="L1543">
        <v>7</v>
      </c>
      <c r="O1543">
        <v>7</v>
      </c>
      <c r="P1543">
        <v>4</v>
      </c>
      <c r="Q1543">
        <v>0</v>
      </c>
      <c r="R1543">
        <v>51.08</v>
      </c>
      <c r="S1543">
        <v>8</v>
      </c>
      <c r="T1543">
        <v>8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8</v>
      </c>
      <c r="AB1543">
        <v>0</v>
      </c>
      <c r="AC1543">
        <v>0</v>
      </c>
      <c r="AH1543">
        <v>59.08</v>
      </c>
    </row>
    <row r="1544" spans="1:34" x14ac:dyDescent="0.3">
      <c r="A1544" s="4">
        <v>1757</v>
      </c>
      <c r="B1544" s="5">
        <v>1537</v>
      </c>
      <c r="C1544">
        <v>7696</v>
      </c>
      <c r="D1544" t="s">
        <v>13647</v>
      </c>
      <c r="E1544" t="s">
        <v>1694</v>
      </c>
      <c r="F1544" t="s">
        <v>20</v>
      </c>
      <c r="G1544" t="s">
        <v>13648</v>
      </c>
      <c r="H1544">
        <v>19</v>
      </c>
      <c r="I1544">
        <v>0</v>
      </c>
      <c r="J1544">
        <v>0</v>
      </c>
      <c r="K1544">
        <v>0</v>
      </c>
      <c r="L1544">
        <v>7</v>
      </c>
      <c r="O1544">
        <v>7</v>
      </c>
      <c r="P1544">
        <v>4</v>
      </c>
      <c r="Q1544">
        <v>2</v>
      </c>
      <c r="R1544">
        <v>32</v>
      </c>
      <c r="S1544">
        <v>27</v>
      </c>
      <c r="T1544">
        <v>27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27</v>
      </c>
      <c r="AB1544">
        <v>0</v>
      </c>
      <c r="AC1544">
        <v>0</v>
      </c>
      <c r="AH1544">
        <v>59</v>
      </c>
    </row>
    <row r="1545" spans="1:34" x14ac:dyDescent="0.3">
      <c r="A1545" s="4">
        <v>1758</v>
      </c>
      <c r="B1545" s="5">
        <v>1538</v>
      </c>
      <c r="C1545">
        <v>13188</v>
      </c>
      <c r="D1545" t="s">
        <v>6835</v>
      </c>
      <c r="E1545" t="s">
        <v>439</v>
      </c>
      <c r="F1545" t="s">
        <v>11853</v>
      </c>
      <c r="G1545" t="s">
        <v>13649</v>
      </c>
      <c r="H1545">
        <v>18.95</v>
      </c>
      <c r="I1545">
        <v>0</v>
      </c>
      <c r="J1545">
        <v>0</v>
      </c>
      <c r="K1545">
        <v>0</v>
      </c>
      <c r="L1545">
        <v>7</v>
      </c>
      <c r="N1545">
        <v>3</v>
      </c>
      <c r="O1545">
        <v>10</v>
      </c>
      <c r="P1545">
        <v>4</v>
      </c>
      <c r="Q1545">
        <v>0</v>
      </c>
      <c r="R1545">
        <v>32.950000000000003</v>
      </c>
      <c r="S1545">
        <v>26</v>
      </c>
      <c r="T1545">
        <v>26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26</v>
      </c>
      <c r="AB1545">
        <v>0</v>
      </c>
      <c r="AC1545">
        <v>0</v>
      </c>
      <c r="AD1545" t="s">
        <v>130</v>
      </c>
      <c r="AH1545">
        <v>58.95</v>
      </c>
    </row>
    <row r="1546" spans="1:34" x14ac:dyDescent="0.3">
      <c r="A1546" s="4">
        <v>1759</v>
      </c>
      <c r="B1546" s="5">
        <v>1539</v>
      </c>
      <c r="C1546">
        <v>13358</v>
      </c>
      <c r="D1546" t="s">
        <v>13650</v>
      </c>
      <c r="E1546" t="s">
        <v>188</v>
      </c>
      <c r="F1546" t="s">
        <v>570</v>
      </c>
      <c r="G1546" t="s">
        <v>13651</v>
      </c>
      <c r="H1546">
        <v>20.9</v>
      </c>
      <c r="I1546">
        <v>0</v>
      </c>
      <c r="J1546">
        <v>0</v>
      </c>
      <c r="K1546">
        <v>20</v>
      </c>
      <c r="L1546">
        <v>7</v>
      </c>
      <c r="M1546">
        <v>5</v>
      </c>
      <c r="O1546">
        <v>12</v>
      </c>
      <c r="P1546">
        <v>4</v>
      </c>
      <c r="Q1546">
        <v>2</v>
      </c>
      <c r="R1546">
        <v>58.9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H1546">
        <v>58.9</v>
      </c>
    </row>
    <row r="1547" spans="1:34" x14ac:dyDescent="0.3">
      <c r="A1547" s="4">
        <v>1760</v>
      </c>
      <c r="B1547" s="5">
        <v>1540</v>
      </c>
      <c r="C1547">
        <v>12033</v>
      </c>
      <c r="D1547" t="s">
        <v>13652</v>
      </c>
      <c r="E1547" t="s">
        <v>29</v>
      </c>
      <c r="F1547" t="s">
        <v>38</v>
      </c>
      <c r="G1547" t="s">
        <v>13653</v>
      </c>
      <c r="H1547">
        <v>16.899999999999999</v>
      </c>
      <c r="I1547">
        <v>0</v>
      </c>
      <c r="J1547">
        <v>0</v>
      </c>
      <c r="K1547">
        <v>20</v>
      </c>
      <c r="L1547">
        <v>7</v>
      </c>
      <c r="N1547">
        <v>3</v>
      </c>
      <c r="O1547">
        <v>10</v>
      </c>
      <c r="P1547">
        <v>4</v>
      </c>
      <c r="Q1547">
        <v>0</v>
      </c>
      <c r="R1547">
        <v>50.9</v>
      </c>
      <c r="S1547">
        <v>8</v>
      </c>
      <c r="T1547">
        <v>8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8</v>
      </c>
      <c r="AB1547">
        <v>0</v>
      </c>
      <c r="AC1547">
        <v>0</v>
      </c>
      <c r="AH1547">
        <v>58.9</v>
      </c>
    </row>
    <row r="1548" spans="1:34" x14ac:dyDescent="0.3">
      <c r="A1548" s="4">
        <v>1761</v>
      </c>
      <c r="B1548" s="5">
        <v>1541</v>
      </c>
      <c r="C1548">
        <v>14611</v>
      </c>
      <c r="D1548" t="s">
        <v>13654</v>
      </c>
      <c r="E1548" t="s">
        <v>100</v>
      </c>
      <c r="F1548" t="s">
        <v>193</v>
      </c>
      <c r="G1548" t="s">
        <v>13655</v>
      </c>
      <c r="H1548">
        <v>17.829999999999998</v>
      </c>
      <c r="I1548">
        <v>0</v>
      </c>
      <c r="J1548">
        <v>0</v>
      </c>
      <c r="K1548">
        <v>20</v>
      </c>
      <c r="L1548">
        <v>7</v>
      </c>
      <c r="O1548">
        <v>7</v>
      </c>
      <c r="P1548">
        <v>4</v>
      </c>
      <c r="Q1548">
        <v>0</v>
      </c>
      <c r="R1548">
        <v>48.83</v>
      </c>
      <c r="S1548">
        <v>10</v>
      </c>
      <c r="T1548">
        <v>10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10</v>
      </c>
      <c r="AB1548">
        <v>0</v>
      </c>
      <c r="AC1548">
        <v>0</v>
      </c>
      <c r="AH1548">
        <v>58.83</v>
      </c>
    </row>
    <row r="1549" spans="1:34" x14ac:dyDescent="0.3">
      <c r="A1549" s="4">
        <v>1762</v>
      </c>
      <c r="B1549" s="5">
        <v>1542</v>
      </c>
      <c r="C1549">
        <v>9695</v>
      </c>
      <c r="D1549" t="s">
        <v>11633</v>
      </c>
      <c r="E1549" t="s">
        <v>33</v>
      </c>
      <c r="F1549" t="s">
        <v>17</v>
      </c>
      <c r="G1549" t="s">
        <v>13656</v>
      </c>
      <c r="H1549">
        <v>21.78</v>
      </c>
      <c r="I1549">
        <v>0</v>
      </c>
      <c r="J1549">
        <v>0</v>
      </c>
      <c r="K1549">
        <v>20</v>
      </c>
      <c r="L1549">
        <v>7</v>
      </c>
      <c r="O1549">
        <v>7</v>
      </c>
      <c r="P1549">
        <v>4</v>
      </c>
      <c r="Q1549">
        <v>0</v>
      </c>
      <c r="R1549">
        <v>52.78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6</v>
      </c>
      <c r="AC1549">
        <v>0</v>
      </c>
      <c r="AH1549">
        <v>58.78</v>
      </c>
    </row>
    <row r="1550" spans="1:34" x14ac:dyDescent="0.3">
      <c r="A1550" s="4">
        <v>1763</v>
      </c>
      <c r="B1550" s="5">
        <v>1543</v>
      </c>
      <c r="C1550">
        <v>9417</v>
      </c>
      <c r="D1550" t="s">
        <v>13657</v>
      </c>
      <c r="E1550" t="s">
        <v>29</v>
      </c>
      <c r="F1550" t="s">
        <v>6071</v>
      </c>
      <c r="G1550" t="s">
        <v>13658</v>
      </c>
      <c r="H1550">
        <v>16.78</v>
      </c>
      <c r="I1550">
        <v>0</v>
      </c>
      <c r="J1550">
        <v>0</v>
      </c>
      <c r="K1550">
        <v>20</v>
      </c>
      <c r="L1550">
        <v>7</v>
      </c>
      <c r="M1550">
        <v>5</v>
      </c>
      <c r="O1550">
        <v>12</v>
      </c>
      <c r="P1550">
        <v>4</v>
      </c>
      <c r="Q1550">
        <v>0</v>
      </c>
      <c r="R1550">
        <v>52.78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6</v>
      </c>
      <c r="AC1550">
        <v>0</v>
      </c>
      <c r="AH1550">
        <v>58.78</v>
      </c>
    </row>
    <row r="1551" spans="1:34" x14ac:dyDescent="0.3">
      <c r="A1551" s="4">
        <v>1764</v>
      </c>
      <c r="B1551" s="5">
        <v>1544</v>
      </c>
      <c r="C1551">
        <v>3031</v>
      </c>
      <c r="D1551" t="s">
        <v>13659</v>
      </c>
      <c r="E1551" t="s">
        <v>13660</v>
      </c>
      <c r="F1551" t="s">
        <v>13661</v>
      </c>
      <c r="G1551" t="s">
        <v>13662</v>
      </c>
      <c r="H1551">
        <v>18.68</v>
      </c>
      <c r="I1551">
        <v>0</v>
      </c>
      <c r="J1551">
        <v>0</v>
      </c>
      <c r="K1551">
        <v>20</v>
      </c>
      <c r="L1551">
        <v>14</v>
      </c>
      <c r="O1551">
        <v>14</v>
      </c>
      <c r="P1551">
        <v>4</v>
      </c>
      <c r="Q1551">
        <v>2</v>
      </c>
      <c r="R1551">
        <v>58.68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H1551">
        <v>58.68</v>
      </c>
    </row>
    <row r="1552" spans="1:34" x14ac:dyDescent="0.3">
      <c r="A1552" s="4">
        <v>1765</v>
      </c>
      <c r="B1552" s="5">
        <v>1545</v>
      </c>
      <c r="C1552">
        <v>4707</v>
      </c>
      <c r="D1552" t="s">
        <v>74</v>
      </c>
      <c r="E1552" t="s">
        <v>161</v>
      </c>
      <c r="F1552" t="s">
        <v>3236</v>
      </c>
      <c r="G1552" t="s">
        <v>13663</v>
      </c>
      <c r="H1552">
        <v>22.65</v>
      </c>
      <c r="I1552">
        <v>7</v>
      </c>
      <c r="J1552">
        <v>0</v>
      </c>
      <c r="K1552">
        <v>20</v>
      </c>
      <c r="M1552">
        <v>5</v>
      </c>
      <c r="O1552">
        <v>5</v>
      </c>
      <c r="P1552">
        <v>4</v>
      </c>
      <c r="Q1552">
        <v>0</v>
      </c>
      <c r="R1552">
        <v>58.65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H1552">
        <v>58.65</v>
      </c>
    </row>
    <row r="1553" spans="1:34" x14ac:dyDescent="0.3">
      <c r="A1553" s="4">
        <v>1766</v>
      </c>
      <c r="B1553" s="5">
        <v>1546</v>
      </c>
      <c r="C1553">
        <v>4616</v>
      </c>
      <c r="D1553" t="s">
        <v>929</v>
      </c>
      <c r="E1553" t="s">
        <v>3948</v>
      </c>
      <c r="F1553" t="s">
        <v>1000</v>
      </c>
      <c r="G1553" t="s">
        <v>13664</v>
      </c>
      <c r="H1553">
        <v>18.63</v>
      </c>
      <c r="I1553">
        <v>0</v>
      </c>
      <c r="J1553">
        <v>0</v>
      </c>
      <c r="K1553">
        <v>20</v>
      </c>
      <c r="L1553">
        <v>14</v>
      </c>
      <c r="O1553">
        <v>14</v>
      </c>
      <c r="P1553">
        <v>4</v>
      </c>
      <c r="Q1553">
        <v>2</v>
      </c>
      <c r="R1553">
        <v>58.63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H1553">
        <v>58.63</v>
      </c>
    </row>
    <row r="1554" spans="1:34" x14ac:dyDescent="0.3">
      <c r="A1554" s="4">
        <v>1767</v>
      </c>
      <c r="B1554" s="5">
        <v>1547</v>
      </c>
      <c r="C1554">
        <v>9171</v>
      </c>
      <c r="D1554" t="s">
        <v>181</v>
      </c>
      <c r="E1554" t="s">
        <v>825</v>
      </c>
      <c r="F1554" t="s">
        <v>17</v>
      </c>
      <c r="G1554" t="s">
        <v>13665</v>
      </c>
      <c r="H1554">
        <v>16.63</v>
      </c>
      <c r="I1554">
        <v>0</v>
      </c>
      <c r="J1554">
        <v>0</v>
      </c>
      <c r="K1554">
        <v>20</v>
      </c>
      <c r="L1554">
        <v>7</v>
      </c>
      <c r="O1554">
        <v>7</v>
      </c>
      <c r="P1554">
        <v>0</v>
      </c>
      <c r="Q1554">
        <v>2</v>
      </c>
      <c r="R1554">
        <v>45.63</v>
      </c>
      <c r="S1554">
        <v>13</v>
      </c>
      <c r="T1554">
        <v>13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13</v>
      </c>
      <c r="AB1554">
        <v>0</v>
      </c>
      <c r="AC1554">
        <v>0</v>
      </c>
      <c r="AH1554">
        <v>58.63</v>
      </c>
    </row>
    <row r="1555" spans="1:34" x14ac:dyDescent="0.3">
      <c r="A1555" s="4">
        <v>1768</v>
      </c>
      <c r="B1555" s="5">
        <v>1548</v>
      </c>
      <c r="C1555">
        <v>8204</v>
      </c>
      <c r="D1555" t="s">
        <v>13666</v>
      </c>
      <c r="E1555" t="s">
        <v>100</v>
      </c>
      <c r="F1555" t="s">
        <v>81</v>
      </c>
      <c r="G1555" t="s">
        <v>13667</v>
      </c>
      <c r="H1555">
        <v>16.63</v>
      </c>
      <c r="I1555">
        <v>0</v>
      </c>
      <c r="J1555">
        <v>0</v>
      </c>
      <c r="K1555">
        <v>0</v>
      </c>
      <c r="L1555">
        <v>7</v>
      </c>
      <c r="O1555">
        <v>7</v>
      </c>
      <c r="P1555">
        <v>4</v>
      </c>
      <c r="Q1555">
        <v>2</v>
      </c>
      <c r="R1555">
        <v>29.63</v>
      </c>
      <c r="S1555">
        <v>29</v>
      </c>
      <c r="T1555">
        <v>29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29</v>
      </c>
      <c r="AB1555">
        <v>0</v>
      </c>
      <c r="AC1555">
        <v>0</v>
      </c>
      <c r="AH1555">
        <v>58.63</v>
      </c>
    </row>
    <row r="1556" spans="1:34" x14ac:dyDescent="0.3">
      <c r="A1556" s="4">
        <v>1769</v>
      </c>
      <c r="B1556" s="5">
        <v>1549</v>
      </c>
      <c r="C1556">
        <v>11316</v>
      </c>
      <c r="D1556" t="s">
        <v>13668</v>
      </c>
      <c r="E1556" t="s">
        <v>188</v>
      </c>
      <c r="F1556" t="s">
        <v>38</v>
      </c>
      <c r="G1556" t="s">
        <v>13669</v>
      </c>
      <c r="H1556">
        <v>16.600000000000001</v>
      </c>
      <c r="I1556">
        <v>0</v>
      </c>
      <c r="J1556">
        <v>0</v>
      </c>
      <c r="K1556">
        <v>20</v>
      </c>
      <c r="L1556">
        <v>7</v>
      </c>
      <c r="O1556">
        <v>7</v>
      </c>
      <c r="P1556">
        <v>4</v>
      </c>
      <c r="Q1556">
        <v>0</v>
      </c>
      <c r="R1556">
        <v>47.6</v>
      </c>
      <c r="S1556">
        <v>8</v>
      </c>
      <c r="T1556">
        <v>8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8</v>
      </c>
      <c r="AB1556">
        <v>3</v>
      </c>
      <c r="AC1556">
        <v>0</v>
      </c>
      <c r="AH1556">
        <v>58.6</v>
      </c>
    </row>
    <row r="1557" spans="1:34" x14ac:dyDescent="0.3">
      <c r="A1557" s="4">
        <v>1770</v>
      </c>
      <c r="B1557" s="5">
        <v>1550</v>
      </c>
      <c r="C1557">
        <v>3557</v>
      </c>
      <c r="D1557" t="s">
        <v>13670</v>
      </c>
      <c r="E1557" t="s">
        <v>161</v>
      </c>
      <c r="F1557" t="s">
        <v>81</v>
      </c>
      <c r="G1557" t="s">
        <v>13671</v>
      </c>
      <c r="H1557">
        <v>20.6</v>
      </c>
      <c r="I1557">
        <v>0</v>
      </c>
      <c r="J1557">
        <v>0</v>
      </c>
      <c r="K1557">
        <v>20</v>
      </c>
      <c r="L1557">
        <v>14</v>
      </c>
      <c r="O1557">
        <v>14</v>
      </c>
      <c r="P1557">
        <v>4</v>
      </c>
      <c r="Q1557">
        <v>0</v>
      </c>
      <c r="R1557">
        <v>58.6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H1557">
        <v>58.6</v>
      </c>
    </row>
    <row r="1558" spans="1:34" x14ac:dyDescent="0.3">
      <c r="A1558" s="4">
        <v>1771</v>
      </c>
      <c r="B1558" s="5">
        <v>1551</v>
      </c>
      <c r="C1558">
        <v>12329</v>
      </c>
      <c r="D1558" t="s">
        <v>13672</v>
      </c>
      <c r="E1558" t="s">
        <v>41</v>
      </c>
      <c r="F1558" t="s">
        <v>13673</v>
      </c>
      <c r="G1558" t="s">
        <v>13674</v>
      </c>
      <c r="H1558">
        <v>21.6</v>
      </c>
      <c r="I1558">
        <v>0</v>
      </c>
      <c r="J1558">
        <v>0</v>
      </c>
      <c r="K1558">
        <v>20</v>
      </c>
      <c r="L1558">
        <v>7</v>
      </c>
      <c r="O1558">
        <v>7</v>
      </c>
      <c r="P1558">
        <v>4</v>
      </c>
      <c r="Q1558">
        <v>0</v>
      </c>
      <c r="R1558">
        <v>52.6</v>
      </c>
      <c r="S1558">
        <v>6</v>
      </c>
      <c r="T1558">
        <v>6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6</v>
      </c>
      <c r="AB1558">
        <v>0</v>
      </c>
      <c r="AC1558">
        <v>0</v>
      </c>
      <c r="AH1558">
        <v>58.6</v>
      </c>
    </row>
    <row r="1559" spans="1:34" x14ac:dyDescent="0.3">
      <c r="A1559" s="4">
        <v>1772</v>
      </c>
      <c r="B1559" s="5">
        <v>1552</v>
      </c>
      <c r="C1559">
        <v>14146</v>
      </c>
      <c r="D1559" t="s">
        <v>6318</v>
      </c>
      <c r="E1559" t="s">
        <v>338</v>
      </c>
      <c r="F1559" t="s">
        <v>17</v>
      </c>
      <c r="G1559" t="s">
        <v>13675</v>
      </c>
      <c r="H1559">
        <v>19.579999999999998</v>
      </c>
      <c r="I1559">
        <v>0</v>
      </c>
      <c r="J1559">
        <v>0</v>
      </c>
      <c r="K1559">
        <v>0</v>
      </c>
      <c r="L1559">
        <v>7</v>
      </c>
      <c r="N1559">
        <v>3</v>
      </c>
      <c r="O1559">
        <v>10</v>
      </c>
      <c r="P1559">
        <v>4</v>
      </c>
      <c r="Q1559">
        <v>2</v>
      </c>
      <c r="R1559">
        <v>35.58</v>
      </c>
      <c r="S1559">
        <v>17</v>
      </c>
      <c r="T1559">
        <v>17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17</v>
      </c>
      <c r="AB1559">
        <v>6</v>
      </c>
      <c r="AC1559">
        <v>0</v>
      </c>
      <c r="AH1559">
        <v>58.58</v>
      </c>
    </row>
    <row r="1560" spans="1:34" x14ac:dyDescent="0.3">
      <c r="A1560" s="4">
        <v>1773</v>
      </c>
      <c r="B1560" s="5">
        <v>1553</v>
      </c>
      <c r="C1560">
        <v>458</v>
      </c>
      <c r="D1560" t="s">
        <v>3487</v>
      </c>
      <c r="E1560" t="s">
        <v>355</v>
      </c>
      <c r="F1560" t="s">
        <v>1274</v>
      </c>
      <c r="G1560" t="s">
        <v>13676</v>
      </c>
      <c r="H1560">
        <v>18.45</v>
      </c>
      <c r="I1560">
        <v>0</v>
      </c>
      <c r="J1560">
        <v>0</v>
      </c>
      <c r="K1560">
        <v>20</v>
      </c>
      <c r="L1560">
        <v>7</v>
      </c>
      <c r="N1560">
        <v>3</v>
      </c>
      <c r="O1560">
        <v>10</v>
      </c>
      <c r="P1560">
        <v>4</v>
      </c>
      <c r="Q1560">
        <v>0</v>
      </c>
      <c r="R1560">
        <v>52.45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6</v>
      </c>
      <c r="AC1560">
        <v>0</v>
      </c>
      <c r="AH1560">
        <v>58.45</v>
      </c>
    </row>
    <row r="1561" spans="1:34" x14ac:dyDescent="0.3">
      <c r="A1561" s="4">
        <v>1774</v>
      </c>
      <c r="B1561" s="5">
        <v>1554</v>
      </c>
      <c r="C1561">
        <v>9191</v>
      </c>
      <c r="D1561" t="s">
        <v>13677</v>
      </c>
      <c r="E1561" t="s">
        <v>166</v>
      </c>
      <c r="F1561" t="s">
        <v>117</v>
      </c>
      <c r="G1561" t="s">
        <v>13678</v>
      </c>
      <c r="H1561">
        <v>16.43</v>
      </c>
      <c r="I1561">
        <v>0</v>
      </c>
      <c r="J1561">
        <v>0</v>
      </c>
      <c r="K1561">
        <v>20</v>
      </c>
      <c r="L1561">
        <v>7</v>
      </c>
      <c r="M1561">
        <v>5</v>
      </c>
      <c r="O1561">
        <v>12</v>
      </c>
      <c r="P1561">
        <v>4</v>
      </c>
      <c r="Q1561">
        <v>0</v>
      </c>
      <c r="R1561">
        <v>52.43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6</v>
      </c>
      <c r="AC1561">
        <v>0</v>
      </c>
      <c r="AH1561">
        <v>58.43</v>
      </c>
    </row>
    <row r="1562" spans="1:34" x14ac:dyDescent="0.3">
      <c r="A1562" s="4">
        <v>1775</v>
      </c>
      <c r="B1562" s="5">
        <v>1555</v>
      </c>
      <c r="C1562">
        <v>5849</v>
      </c>
      <c r="D1562" t="s">
        <v>8549</v>
      </c>
      <c r="E1562" t="s">
        <v>1989</v>
      </c>
      <c r="F1562" t="s">
        <v>124</v>
      </c>
      <c r="G1562" t="s">
        <v>13679</v>
      </c>
      <c r="H1562">
        <v>20.38</v>
      </c>
      <c r="I1562">
        <v>0</v>
      </c>
      <c r="J1562">
        <v>0</v>
      </c>
      <c r="K1562">
        <v>20</v>
      </c>
      <c r="L1562">
        <v>7</v>
      </c>
      <c r="M1562">
        <v>5</v>
      </c>
      <c r="O1562">
        <v>12</v>
      </c>
      <c r="P1562">
        <v>4</v>
      </c>
      <c r="Q1562">
        <v>2</v>
      </c>
      <c r="R1562">
        <v>58.38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H1562">
        <v>58.38</v>
      </c>
    </row>
    <row r="1563" spans="1:34" x14ac:dyDescent="0.3">
      <c r="A1563" s="4">
        <v>1776</v>
      </c>
      <c r="B1563" s="5">
        <v>1556</v>
      </c>
      <c r="C1563">
        <v>3869</v>
      </c>
      <c r="D1563" t="s">
        <v>8998</v>
      </c>
      <c r="E1563" t="s">
        <v>13680</v>
      </c>
      <c r="F1563" t="s">
        <v>214</v>
      </c>
      <c r="G1563" t="s">
        <v>13681</v>
      </c>
      <c r="H1563">
        <v>20.350000000000001</v>
      </c>
      <c r="I1563">
        <v>0</v>
      </c>
      <c r="J1563">
        <v>0</v>
      </c>
      <c r="K1563">
        <v>0</v>
      </c>
      <c r="L1563">
        <v>7</v>
      </c>
      <c r="N1563">
        <v>3</v>
      </c>
      <c r="O1563">
        <v>10</v>
      </c>
      <c r="P1563">
        <v>4</v>
      </c>
      <c r="Q1563">
        <v>2</v>
      </c>
      <c r="R1563">
        <v>36.35</v>
      </c>
      <c r="S1563">
        <v>22</v>
      </c>
      <c r="T1563">
        <v>22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22</v>
      </c>
      <c r="AB1563">
        <v>0</v>
      </c>
      <c r="AC1563">
        <v>0</v>
      </c>
      <c r="AD1563" t="s">
        <v>130</v>
      </c>
      <c r="AH1563">
        <v>58.35</v>
      </c>
    </row>
    <row r="1564" spans="1:34" x14ac:dyDescent="0.3">
      <c r="A1564" s="4">
        <v>1777</v>
      </c>
      <c r="B1564" s="5">
        <v>1557</v>
      </c>
      <c r="C1564">
        <v>7340</v>
      </c>
      <c r="D1564" t="s">
        <v>13682</v>
      </c>
      <c r="E1564" t="s">
        <v>41</v>
      </c>
      <c r="F1564" t="s">
        <v>17</v>
      </c>
      <c r="G1564" t="s">
        <v>13683</v>
      </c>
      <c r="H1564">
        <v>20.329999999999998</v>
      </c>
      <c r="I1564">
        <v>0</v>
      </c>
      <c r="J1564">
        <v>0</v>
      </c>
      <c r="K1564">
        <v>20</v>
      </c>
      <c r="L1564">
        <v>14</v>
      </c>
      <c r="O1564">
        <v>14</v>
      </c>
      <c r="P1564">
        <v>4</v>
      </c>
      <c r="Q1564">
        <v>0</v>
      </c>
      <c r="R1564">
        <v>58.33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H1564">
        <v>58.33</v>
      </c>
    </row>
    <row r="1565" spans="1:34" x14ac:dyDescent="0.3">
      <c r="A1565" s="4">
        <v>1778</v>
      </c>
      <c r="B1565" s="5">
        <v>1558</v>
      </c>
      <c r="C1565">
        <v>2133</v>
      </c>
      <c r="D1565" t="s">
        <v>13684</v>
      </c>
      <c r="E1565" t="s">
        <v>744</v>
      </c>
      <c r="F1565" t="s">
        <v>136</v>
      </c>
      <c r="G1565" t="s">
        <v>13685</v>
      </c>
      <c r="H1565">
        <v>18.28</v>
      </c>
      <c r="I1565">
        <v>0</v>
      </c>
      <c r="J1565">
        <v>0</v>
      </c>
      <c r="K1565">
        <v>20</v>
      </c>
      <c r="L1565">
        <v>7</v>
      </c>
      <c r="O1565">
        <v>7</v>
      </c>
      <c r="P1565">
        <v>4</v>
      </c>
      <c r="Q1565">
        <v>2</v>
      </c>
      <c r="R1565">
        <v>51.28</v>
      </c>
      <c r="S1565">
        <v>7</v>
      </c>
      <c r="T1565">
        <v>7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7</v>
      </c>
      <c r="AB1565">
        <v>0</v>
      </c>
      <c r="AC1565">
        <v>0</v>
      </c>
      <c r="AH1565">
        <v>58.28</v>
      </c>
    </row>
    <row r="1566" spans="1:34" x14ac:dyDescent="0.3">
      <c r="A1566" s="4">
        <v>1779</v>
      </c>
      <c r="B1566" s="5">
        <v>1559</v>
      </c>
      <c r="C1566">
        <v>3595</v>
      </c>
      <c r="D1566" t="s">
        <v>12279</v>
      </c>
      <c r="E1566" t="s">
        <v>158</v>
      </c>
      <c r="F1566" t="s">
        <v>328</v>
      </c>
      <c r="G1566" t="s">
        <v>13686</v>
      </c>
      <c r="H1566">
        <v>19.149999999999999</v>
      </c>
      <c r="I1566">
        <v>0</v>
      </c>
      <c r="J1566">
        <v>0</v>
      </c>
      <c r="K1566">
        <v>20</v>
      </c>
      <c r="N1566">
        <v>3</v>
      </c>
      <c r="O1566">
        <v>3</v>
      </c>
      <c r="P1566">
        <v>4</v>
      </c>
      <c r="Q1566">
        <v>2</v>
      </c>
      <c r="R1566">
        <v>48.15</v>
      </c>
      <c r="S1566">
        <v>10</v>
      </c>
      <c r="T1566">
        <v>10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10</v>
      </c>
      <c r="AB1566">
        <v>0</v>
      </c>
      <c r="AC1566">
        <v>0</v>
      </c>
      <c r="AH1566">
        <v>58.15</v>
      </c>
    </row>
    <row r="1567" spans="1:34" x14ac:dyDescent="0.3">
      <c r="A1567" s="4">
        <v>1780</v>
      </c>
      <c r="B1567" s="5">
        <v>1560</v>
      </c>
      <c r="C1567">
        <v>8323</v>
      </c>
      <c r="D1567" t="s">
        <v>13687</v>
      </c>
      <c r="E1567" t="s">
        <v>208</v>
      </c>
      <c r="F1567" t="s">
        <v>158</v>
      </c>
      <c r="G1567" t="s">
        <v>13688</v>
      </c>
      <c r="H1567">
        <v>20.13</v>
      </c>
      <c r="I1567">
        <v>0</v>
      </c>
      <c r="J1567">
        <v>0</v>
      </c>
      <c r="K1567">
        <v>20</v>
      </c>
      <c r="L1567">
        <v>14</v>
      </c>
      <c r="O1567">
        <v>14</v>
      </c>
      <c r="P1567">
        <v>4</v>
      </c>
      <c r="Q1567">
        <v>0</v>
      </c>
      <c r="R1567">
        <v>58.13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H1567">
        <v>58.13</v>
      </c>
    </row>
    <row r="1568" spans="1:34" x14ac:dyDescent="0.3">
      <c r="A1568" s="4">
        <v>1781</v>
      </c>
      <c r="B1568" s="5">
        <v>1561</v>
      </c>
      <c r="C1568">
        <v>9700</v>
      </c>
      <c r="D1568" t="s">
        <v>13689</v>
      </c>
      <c r="E1568" t="s">
        <v>17</v>
      </c>
      <c r="F1568" t="s">
        <v>832</v>
      </c>
      <c r="G1568" t="s">
        <v>13690</v>
      </c>
      <c r="H1568">
        <v>22.08</v>
      </c>
      <c r="I1568">
        <v>0</v>
      </c>
      <c r="J1568">
        <v>0</v>
      </c>
      <c r="K1568">
        <v>20</v>
      </c>
      <c r="L1568">
        <v>7</v>
      </c>
      <c r="M1568">
        <v>5</v>
      </c>
      <c r="O1568">
        <v>12</v>
      </c>
      <c r="P1568">
        <v>4</v>
      </c>
      <c r="Q1568">
        <v>0</v>
      </c>
      <c r="R1568">
        <v>58.08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H1568">
        <v>58.08</v>
      </c>
    </row>
    <row r="1569" spans="1:34" x14ac:dyDescent="0.3">
      <c r="A1569" s="4">
        <v>1782</v>
      </c>
      <c r="B1569" s="5">
        <v>1562</v>
      </c>
      <c r="C1569">
        <v>6120</v>
      </c>
      <c r="D1569" t="s">
        <v>13691</v>
      </c>
      <c r="E1569" t="s">
        <v>132</v>
      </c>
      <c r="F1569" t="s">
        <v>34</v>
      </c>
      <c r="G1569" t="s">
        <v>13692</v>
      </c>
      <c r="H1569">
        <v>24.05</v>
      </c>
      <c r="I1569">
        <v>0</v>
      </c>
      <c r="J1569">
        <v>0</v>
      </c>
      <c r="K1569">
        <v>20</v>
      </c>
      <c r="L1569">
        <v>7</v>
      </c>
      <c r="N1569">
        <v>3</v>
      </c>
      <c r="O1569">
        <v>10</v>
      </c>
      <c r="P1569">
        <v>4</v>
      </c>
      <c r="Q1569">
        <v>0</v>
      </c>
      <c r="R1569">
        <v>58.05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H1569">
        <v>58.05</v>
      </c>
    </row>
    <row r="1570" spans="1:34" x14ac:dyDescent="0.3">
      <c r="A1570" s="4">
        <v>1783</v>
      </c>
      <c r="B1570" s="5">
        <v>1563</v>
      </c>
      <c r="C1570">
        <v>15438</v>
      </c>
      <c r="D1570" t="s">
        <v>1742</v>
      </c>
      <c r="E1570" t="s">
        <v>342</v>
      </c>
      <c r="F1570" t="s">
        <v>81</v>
      </c>
      <c r="G1570" t="s">
        <v>13693</v>
      </c>
      <c r="H1570">
        <v>19</v>
      </c>
      <c r="I1570">
        <v>0</v>
      </c>
      <c r="J1570">
        <v>0</v>
      </c>
      <c r="K1570">
        <v>20</v>
      </c>
      <c r="L1570">
        <v>7</v>
      </c>
      <c r="N1570">
        <v>3</v>
      </c>
      <c r="O1570">
        <v>10</v>
      </c>
      <c r="P1570">
        <v>4</v>
      </c>
      <c r="Q1570">
        <v>2</v>
      </c>
      <c r="R1570">
        <v>55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3</v>
      </c>
      <c r="AC1570">
        <v>0</v>
      </c>
      <c r="AD1570" t="s">
        <v>130</v>
      </c>
      <c r="AH1570">
        <v>58</v>
      </c>
    </row>
    <row r="1571" spans="1:34" x14ac:dyDescent="0.3">
      <c r="A1571" s="4">
        <v>1784</v>
      </c>
      <c r="B1571" s="5">
        <v>1564</v>
      </c>
      <c r="C1571">
        <v>11052</v>
      </c>
      <c r="D1571" t="s">
        <v>181</v>
      </c>
      <c r="E1571" t="s">
        <v>213</v>
      </c>
      <c r="F1571" t="s">
        <v>38</v>
      </c>
      <c r="G1571" t="s">
        <v>13694</v>
      </c>
      <c r="H1571">
        <v>21</v>
      </c>
      <c r="I1571">
        <v>0</v>
      </c>
      <c r="J1571">
        <v>0</v>
      </c>
      <c r="K1571">
        <v>0</v>
      </c>
      <c r="L1571">
        <v>7</v>
      </c>
      <c r="N1571">
        <v>3</v>
      </c>
      <c r="O1571">
        <v>10</v>
      </c>
      <c r="P1571">
        <v>4</v>
      </c>
      <c r="Q1571">
        <v>2</v>
      </c>
      <c r="R1571">
        <v>37</v>
      </c>
      <c r="S1571">
        <v>12</v>
      </c>
      <c r="T1571">
        <v>12</v>
      </c>
      <c r="U1571">
        <v>0</v>
      </c>
      <c r="V1571">
        <v>0</v>
      </c>
      <c r="W1571">
        <v>6</v>
      </c>
      <c r="X1571">
        <v>9</v>
      </c>
      <c r="Y1571">
        <v>0</v>
      </c>
      <c r="Z1571">
        <v>0</v>
      </c>
      <c r="AA1571">
        <v>21</v>
      </c>
      <c r="AB1571">
        <v>0</v>
      </c>
      <c r="AC1571">
        <v>0</v>
      </c>
      <c r="AH1571">
        <v>58</v>
      </c>
    </row>
    <row r="1572" spans="1:34" x14ac:dyDescent="0.3">
      <c r="A1572" s="4">
        <v>1785</v>
      </c>
      <c r="B1572" s="5">
        <v>1565</v>
      </c>
      <c r="C1572">
        <v>5391</v>
      </c>
      <c r="D1572" t="s">
        <v>13695</v>
      </c>
      <c r="E1572" t="s">
        <v>13696</v>
      </c>
      <c r="F1572" t="s">
        <v>158</v>
      </c>
      <c r="G1572" t="s">
        <v>13697</v>
      </c>
      <c r="H1572">
        <v>20.93</v>
      </c>
      <c r="I1572">
        <v>0</v>
      </c>
      <c r="J1572">
        <v>0</v>
      </c>
      <c r="K1572">
        <v>20</v>
      </c>
      <c r="L1572">
        <v>7</v>
      </c>
      <c r="O1572">
        <v>7</v>
      </c>
      <c r="P1572">
        <v>4</v>
      </c>
      <c r="Q1572">
        <v>2</v>
      </c>
      <c r="R1572">
        <v>53.93</v>
      </c>
      <c r="S1572">
        <v>4</v>
      </c>
      <c r="T1572">
        <v>4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4</v>
      </c>
      <c r="AB1572">
        <v>0</v>
      </c>
      <c r="AC1572">
        <v>0</v>
      </c>
      <c r="AH1572">
        <v>57.93</v>
      </c>
    </row>
    <row r="1573" spans="1:34" x14ac:dyDescent="0.3">
      <c r="A1573" s="4">
        <v>1786</v>
      </c>
      <c r="B1573" s="5">
        <v>1566</v>
      </c>
      <c r="C1573">
        <v>15152</v>
      </c>
      <c r="D1573" t="s">
        <v>13698</v>
      </c>
      <c r="E1573" t="s">
        <v>13699</v>
      </c>
      <c r="F1573" t="s">
        <v>17</v>
      </c>
      <c r="G1573" t="s">
        <v>13700</v>
      </c>
      <c r="H1573">
        <v>18.93</v>
      </c>
      <c r="I1573">
        <v>0</v>
      </c>
      <c r="J1573">
        <v>0</v>
      </c>
      <c r="K1573">
        <v>20</v>
      </c>
      <c r="L1573">
        <v>7</v>
      </c>
      <c r="O1573">
        <v>7</v>
      </c>
      <c r="P1573">
        <v>4</v>
      </c>
      <c r="Q1573">
        <v>2</v>
      </c>
      <c r="R1573">
        <v>51.93</v>
      </c>
      <c r="S1573">
        <v>6</v>
      </c>
      <c r="T1573">
        <v>6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6</v>
      </c>
      <c r="AB1573">
        <v>0</v>
      </c>
      <c r="AC1573">
        <v>0</v>
      </c>
      <c r="AH1573">
        <v>57.93</v>
      </c>
    </row>
    <row r="1574" spans="1:34" x14ac:dyDescent="0.3">
      <c r="A1574" s="4">
        <v>1787</v>
      </c>
      <c r="B1574" s="5">
        <v>1567</v>
      </c>
      <c r="C1574">
        <v>77</v>
      </c>
      <c r="D1574" t="s">
        <v>13701</v>
      </c>
      <c r="E1574" t="s">
        <v>12525</v>
      </c>
      <c r="F1574" t="s">
        <v>17</v>
      </c>
      <c r="G1574" t="s">
        <v>13702</v>
      </c>
      <c r="H1574">
        <v>18.88</v>
      </c>
      <c r="I1574">
        <v>0</v>
      </c>
      <c r="J1574">
        <v>0</v>
      </c>
      <c r="K1574">
        <v>28</v>
      </c>
      <c r="L1574">
        <v>7</v>
      </c>
      <c r="O1574">
        <v>7</v>
      </c>
      <c r="P1574">
        <v>4</v>
      </c>
      <c r="Q1574">
        <v>0</v>
      </c>
      <c r="R1574">
        <v>57.88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H1574">
        <v>57.88</v>
      </c>
    </row>
    <row r="1575" spans="1:34" x14ac:dyDescent="0.3">
      <c r="A1575" s="4">
        <v>1788</v>
      </c>
      <c r="B1575" s="5">
        <v>1568</v>
      </c>
      <c r="C1575">
        <v>1863</v>
      </c>
      <c r="D1575" t="s">
        <v>13703</v>
      </c>
      <c r="E1575" t="s">
        <v>97</v>
      </c>
      <c r="F1575" t="s">
        <v>13704</v>
      </c>
      <c r="G1575" t="s">
        <v>13705</v>
      </c>
      <c r="H1575">
        <v>20.85</v>
      </c>
      <c r="I1575">
        <v>7</v>
      </c>
      <c r="J1575">
        <v>0</v>
      </c>
      <c r="K1575">
        <v>20</v>
      </c>
      <c r="N1575">
        <v>6</v>
      </c>
      <c r="O1575">
        <v>6</v>
      </c>
      <c r="P1575">
        <v>4</v>
      </c>
      <c r="Q1575">
        <v>0</v>
      </c>
      <c r="R1575">
        <v>57.85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H1575">
        <v>57.85</v>
      </c>
    </row>
    <row r="1576" spans="1:34" x14ac:dyDescent="0.3">
      <c r="A1576" s="4">
        <v>1789</v>
      </c>
      <c r="B1576" s="5">
        <v>1569</v>
      </c>
      <c r="C1576">
        <v>2168</v>
      </c>
      <c r="D1576" t="s">
        <v>13706</v>
      </c>
      <c r="E1576" t="s">
        <v>29</v>
      </c>
      <c r="F1576" t="s">
        <v>30</v>
      </c>
      <c r="G1576" t="s">
        <v>13707</v>
      </c>
      <c r="H1576">
        <v>20.83</v>
      </c>
      <c r="I1576">
        <v>0</v>
      </c>
      <c r="J1576">
        <v>0</v>
      </c>
      <c r="K1576">
        <v>20</v>
      </c>
      <c r="L1576">
        <v>7</v>
      </c>
      <c r="O1576">
        <v>7</v>
      </c>
      <c r="P1576">
        <v>4</v>
      </c>
      <c r="Q1576">
        <v>0</v>
      </c>
      <c r="R1576">
        <v>51.83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6</v>
      </c>
      <c r="AC1576">
        <v>0</v>
      </c>
      <c r="AH1576">
        <v>57.83</v>
      </c>
    </row>
    <row r="1577" spans="1:34" x14ac:dyDescent="0.3">
      <c r="A1577" s="4">
        <v>1790</v>
      </c>
      <c r="B1577" s="5">
        <v>1570</v>
      </c>
      <c r="C1577">
        <v>9543</v>
      </c>
      <c r="D1577" t="s">
        <v>13708</v>
      </c>
      <c r="E1577" t="s">
        <v>37</v>
      </c>
      <c r="F1577" t="s">
        <v>101</v>
      </c>
      <c r="G1577" t="s">
        <v>13709</v>
      </c>
      <c r="H1577">
        <v>20.83</v>
      </c>
      <c r="I1577">
        <v>0</v>
      </c>
      <c r="J1577">
        <v>0</v>
      </c>
      <c r="K1577">
        <v>0</v>
      </c>
      <c r="L1577">
        <v>14</v>
      </c>
      <c r="O1577">
        <v>14</v>
      </c>
      <c r="P1577">
        <v>4</v>
      </c>
      <c r="Q1577">
        <v>2</v>
      </c>
      <c r="R1577">
        <v>40.83</v>
      </c>
      <c r="S1577">
        <v>17</v>
      </c>
      <c r="T1577">
        <v>17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17</v>
      </c>
      <c r="AB1577">
        <v>0</v>
      </c>
      <c r="AC1577">
        <v>0</v>
      </c>
      <c r="AH1577">
        <v>57.83</v>
      </c>
    </row>
    <row r="1578" spans="1:34" x14ac:dyDescent="0.3">
      <c r="A1578" s="4">
        <v>1791</v>
      </c>
      <c r="B1578" s="5">
        <v>1571</v>
      </c>
      <c r="C1578">
        <v>1646</v>
      </c>
      <c r="D1578" t="s">
        <v>13710</v>
      </c>
      <c r="E1578" t="s">
        <v>20</v>
      </c>
      <c r="F1578" t="s">
        <v>38</v>
      </c>
      <c r="G1578" t="s">
        <v>13711</v>
      </c>
      <c r="H1578">
        <v>16.75</v>
      </c>
      <c r="I1578">
        <v>0</v>
      </c>
      <c r="J1578">
        <v>0</v>
      </c>
      <c r="K1578">
        <v>28</v>
      </c>
      <c r="L1578">
        <v>7</v>
      </c>
      <c r="O1578">
        <v>7</v>
      </c>
      <c r="P1578">
        <v>4</v>
      </c>
      <c r="Q1578">
        <v>2</v>
      </c>
      <c r="R1578">
        <v>57.75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H1578">
        <v>57.75</v>
      </c>
    </row>
    <row r="1579" spans="1:34" x14ac:dyDescent="0.3">
      <c r="A1579" s="4">
        <v>1792</v>
      </c>
      <c r="B1579" s="5">
        <v>1572</v>
      </c>
      <c r="C1579">
        <v>13270</v>
      </c>
      <c r="D1579" t="s">
        <v>13712</v>
      </c>
      <c r="E1579" t="s">
        <v>17</v>
      </c>
      <c r="F1579" t="s">
        <v>81</v>
      </c>
      <c r="G1579" t="s">
        <v>13713</v>
      </c>
      <c r="H1579">
        <v>19.75</v>
      </c>
      <c r="I1579">
        <v>0</v>
      </c>
      <c r="J1579">
        <v>0</v>
      </c>
      <c r="K1579">
        <v>20</v>
      </c>
      <c r="L1579">
        <v>7</v>
      </c>
      <c r="N1579">
        <v>3</v>
      </c>
      <c r="O1579">
        <v>10</v>
      </c>
      <c r="P1579">
        <v>4</v>
      </c>
      <c r="Q1579">
        <v>0</v>
      </c>
      <c r="R1579">
        <v>53.75</v>
      </c>
      <c r="S1579">
        <v>0</v>
      </c>
      <c r="T1579">
        <v>0</v>
      </c>
      <c r="U1579">
        <v>2</v>
      </c>
      <c r="V1579">
        <v>4</v>
      </c>
      <c r="W1579">
        <v>0</v>
      </c>
      <c r="X1579">
        <v>0</v>
      </c>
      <c r="Y1579">
        <v>0</v>
      </c>
      <c r="Z1579">
        <v>0</v>
      </c>
      <c r="AA1579">
        <v>4</v>
      </c>
      <c r="AB1579">
        <v>0</v>
      </c>
      <c r="AC1579">
        <v>0</v>
      </c>
      <c r="AH1579">
        <v>57.75</v>
      </c>
    </row>
    <row r="1580" spans="1:34" x14ac:dyDescent="0.3">
      <c r="A1580" s="4">
        <v>1793</v>
      </c>
      <c r="B1580" s="5">
        <v>1573</v>
      </c>
      <c r="C1580">
        <v>252</v>
      </c>
      <c r="D1580" t="s">
        <v>12292</v>
      </c>
      <c r="E1580" t="s">
        <v>29</v>
      </c>
      <c r="F1580" t="s">
        <v>570</v>
      </c>
      <c r="G1580" t="s">
        <v>13714</v>
      </c>
      <c r="H1580">
        <v>19.75</v>
      </c>
      <c r="I1580">
        <v>0</v>
      </c>
      <c r="J1580">
        <v>0</v>
      </c>
      <c r="K1580">
        <v>0</v>
      </c>
      <c r="N1580">
        <v>3</v>
      </c>
      <c r="O1580">
        <v>3</v>
      </c>
      <c r="P1580">
        <v>0</v>
      </c>
      <c r="Q1580">
        <v>2</v>
      </c>
      <c r="R1580">
        <v>24.75</v>
      </c>
      <c r="S1580">
        <v>33</v>
      </c>
      <c r="T1580">
        <v>33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33</v>
      </c>
      <c r="AB1580">
        <v>0</v>
      </c>
      <c r="AC1580">
        <v>0</v>
      </c>
      <c r="AH1580">
        <v>57.75</v>
      </c>
    </row>
    <row r="1581" spans="1:34" x14ac:dyDescent="0.3">
      <c r="A1581" s="4">
        <v>1794</v>
      </c>
      <c r="B1581" s="5">
        <v>1574</v>
      </c>
      <c r="C1581">
        <v>12867</v>
      </c>
      <c r="D1581" t="s">
        <v>13715</v>
      </c>
      <c r="E1581" t="s">
        <v>213</v>
      </c>
      <c r="F1581" t="s">
        <v>101</v>
      </c>
      <c r="G1581" t="s">
        <v>13716</v>
      </c>
      <c r="H1581">
        <v>17.68</v>
      </c>
      <c r="I1581">
        <v>0</v>
      </c>
      <c r="J1581">
        <v>0</v>
      </c>
      <c r="K1581">
        <v>20</v>
      </c>
      <c r="N1581">
        <v>3</v>
      </c>
      <c r="O1581">
        <v>3</v>
      </c>
      <c r="P1581">
        <v>4</v>
      </c>
      <c r="Q1581">
        <v>2</v>
      </c>
      <c r="R1581">
        <v>46.68</v>
      </c>
      <c r="S1581">
        <v>11</v>
      </c>
      <c r="T1581">
        <v>11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11</v>
      </c>
      <c r="AB1581">
        <v>0</v>
      </c>
      <c r="AC1581">
        <v>0</v>
      </c>
      <c r="AH1581">
        <v>57.68</v>
      </c>
    </row>
    <row r="1582" spans="1:34" x14ac:dyDescent="0.3">
      <c r="A1582" s="4">
        <v>1795</v>
      </c>
      <c r="B1582" s="5">
        <v>1575</v>
      </c>
      <c r="C1582">
        <v>7705</v>
      </c>
      <c r="D1582" t="s">
        <v>4444</v>
      </c>
      <c r="E1582" t="s">
        <v>219</v>
      </c>
      <c r="F1582" t="s">
        <v>81</v>
      </c>
      <c r="G1582" t="s">
        <v>13717</v>
      </c>
      <c r="H1582">
        <v>19.649999999999999</v>
      </c>
      <c r="I1582">
        <v>0</v>
      </c>
      <c r="J1582">
        <v>0</v>
      </c>
      <c r="K1582">
        <v>20</v>
      </c>
      <c r="L1582">
        <v>7</v>
      </c>
      <c r="O1582">
        <v>7</v>
      </c>
      <c r="P1582">
        <v>4</v>
      </c>
      <c r="Q1582">
        <v>0</v>
      </c>
      <c r="R1582">
        <v>50.65</v>
      </c>
      <c r="S1582">
        <v>7</v>
      </c>
      <c r="T1582">
        <v>7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7</v>
      </c>
      <c r="AB1582">
        <v>0</v>
      </c>
      <c r="AC1582">
        <v>0</v>
      </c>
      <c r="AH1582">
        <v>57.65</v>
      </c>
    </row>
    <row r="1583" spans="1:34" x14ac:dyDescent="0.3">
      <c r="A1583" s="4">
        <v>1796</v>
      </c>
      <c r="B1583" s="5">
        <v>1576</v>
      </c>
      <c r="C1583">
        <v>2271</v>
      </c>
      <c r="D1583" t="s">
        <v>13718</v>
      </c>
      <c r="E1583" t="s">
        <v>2758</v>
      </c>
      <c r="F1583" t="s">
        <v>68</v>
      </c>
      <c r="G1583" t="s">
        <v>13719</v>
      </c>
      <c r="H1583">
        <v>18.649999999999999</v>
      </c>
      <c r="I1583">
        <v>0</v>
      </c>
      <c r="J1583">
        <v>0</v>
      </c>
      <c r="K1583">
        <v>20</v>
      </c>
      <c r="L1583">
        <v>7</v>
      </c>
      <c r="O1583">
        <v>7</v>
      </c>
      <c r="P1583">
        <v>4</v>
      </c>
      <c r="Q1583">
        <v>0</v>
      </c>
      <c r="R1583">
        <v>49.65</v>
      </c>
      <c r="S1583">
        <v>8</v>
      </c>
      <c r="T1583">
        <v>8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8</v>
      </c>
      <c r="AB1583">
        <v>0</v>
      </c>
      <c r="AC1583">
        <v>0</v>
      </c>
      <c r="AH1583">
        <v>57.65</v>
      </c>
    </row>
    <row r="1584" spans="1:34" x14ac:dyDescent="0.3">
      <c r="A1584" s="4">
        <v>1797</v>
      </c>
      <c r="B1584" s="5">
        <v>1577</v>
      </c>
      <c r="C1584">
        <v>6625</v>
      </c>
      <c r="D1584" t="s">
        <v>569</v>
      </c>
      <c r="E1584" t="s">
        <v>2200</v>
      </c>
      <c r="F1584" t="s">
        <v>238</v>
      </c>
      <c r="G1584" t="s">
        <v>13720</v>
      </c>
      <c r="H1584">
        <v>19.63</v>
      </c>
      <c r="I1584">
        <v>0</v>
      </c>
      <c r="J1584">
        <v>0</v>
      </c>
      <c r="K1584">
        <v>20</v>
      </c>
      <c r="L1584">
        <v>7</v>
      </c>
      <c r="M1584">
        <v>5</v>
      </c>
      <c r="O1584">
        <v>12</v>
      </c>
      <c r="P1584">
        <v>4</v>
      </c>
      <c r="Q1584">
        <v>2</v>
      </c>
      <c r="R1584">
        <v>57.63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H1584">
        <v>57.63</v>
      </c>
    </row>
    <row r="1585" spans="1:34" x14ac:dyDescent="0.3">
      <c r="A1585" s="4">
        <v>1798</v>
      </c>
      <c r="B1585" s="5">
        <v>1578</v>
      </c>
      <c r="C1585">
        <v>8670</v>
      </c>
      <c r="D1585" t="s">
        <v>13721</v>
      </c>
      <c r="E1585" t="s">
        <v>2011</v>
      </c>
      <c r="F1585" t="s">
        <v>62</v>
      </c>
      <c r="G1585" t="s">
        <v>13722</v>
      </c>
      <c r="H1585">
        <v>17.63</v>
      </c>
      <c r="I1585">
        <v>0</v>
      </c>
      <c r="J1585">
        <v>0</v>
      </c>
      <c r="K1585">
        <v>20</v>
      </c>
      <c r="L1585">
        <v>7</v>
      </c>
      <c r="N1585">
        <v>3</v>
      </c>
      <c r="O1585">
        <v>10</v>
      </c>
      <c r="P1585">
        <v>4</v>
      </c>
      <c r="Q1585">
        <v>0</v>
      </c>
      <c r="R1585">
        <v>51.63</v>
      </c>
      <c r="S1585">
        <v>6</v>
      </c>
      <c r="T1585">
        <v>6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6</v>
      </c>
      <c r="AB1585">
        <v>0</v>
      </c>
      <c r="AC1585">
        <v>0</v>
      </c>
      <c r="AH1585">
        <v>57.63</v>
      </c>
    </row>
    <row r="1586" spans="1:34" x14ac:dyDescent="0.3">
      <c r="A1586" s="4">
        <v>1799</v>
      </c>
      <c r="B1586" s="5">
        <v>1579</v>
      </c>
      <c r="C1586">
        <v>15061</v>
      </c>
      <c r="D1586" t="s">
        <v>13723</v>
      </c>
      <c r="E1586" t="s">
        <v>166</v>
      </c>
      <c r="F1586" t="s">
        <v>136</v>
      </c>
      <c r="G1586" t="s">
        <v>13724</v>
      </c>
      <c r="H1586">
        <v>16.63</v>
      </c>
      <c r="I1586">
        <v>0</v>
      </c>
      <c r="J1586">
        <v>0</v>
      </c>
      <c r="K1586">
        <v>20</v>
      </c>
      <c r="N1586">
        <v>3</v>
      </c>
      <c r="O1586">
        <v>3</v>
      </c>
      <c r="P1586">
        <v>0</v>
      </c>
      <c r="Q1586">
        <v>2</v>
      </c>
      <c r="R1586">
        <v>41.63</v>
      </c>
      <c r="S1586">
        <v>16</v>
      </c>
      <c r="T1586">
        <v>16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16</v>
      </c>
      <c r="AB1586">
        <v>0</v>
      </c>
      <c r="AC1586">
        <v>0</v>
      </c>
      <c r="AD1586" t="s">
        <v>130</v>
      </c>
      <c r="AH1586">
        <v>57.63</v>
      </c>
    </row>
    <row r="1587" spans="1:34" x14ac:dyDescent="0.3">
      <c r="A1587" s="4">
        <v>1800</v>
      </c>
      <c r="B1587" s="5">
        <v>1580</v>
      </c>
      <c r="C1587">
        <v>15692</v>
      </c>
      <c r="D1587" t="s">
        <v>4332</v>
      </c>
      <c r="E1587" t="s">
        <v>166</v>
      </c>
      <c r="F1587" t="s">
        <v>136</v>
      </c>
      <c r="G1587" t="s">
        <v>13725</v>
      </c>
      <c r="H1587">
        <v>21.6</v>
      </c>
      <c r="I1587">
        <v>0</v>
      </c>
      <c r="J1587">
        <v>0</v>
      </c>
      <c r="K1587">
        <v>20</v>
      </c>
      <c r="L1587">
        <v>7</v>
      </c>
      <c r="M1587">
        <v>5</v>
      </c>
      <c r="O1587">
        <v>12</v>
      </c>
      <c r="P1587">
        <v>4</v>
      </c>
      <c r="Q1587">
        <v>0</v>
      </c>
      <c r="R1587">
        <v>57.6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H1587">
        <v>57.6</v>
      </c>
    </row>
    <row r="1588" spans="1:34" x14ac:dyDescent="0.3">
      <c r="A1588" s="4">
        <v>1801</v>
      </c>
      <c r="B1588" s="5">
        <v>1581</v>
      </c>
      <c r="C1588">
        <v>5333</v>
      </c>
      <c r="D1588" t="s">
        <v>13726</v>
      </c>
      <c r="E1588" t="s">
        <v>208</v>
      </c>
      <c r="F1588" t="s">
        <v>117</v>
      </c>
      <c r="G1588" t="s">
        <v>13727</v>
      </c>
      <c r="H1588">
        <v>18.600000000000001</v>
      </c>
      <c r="I1588">
        <v>0</v>
      </c>
      <c r="J1588">
        <v>0</v>
      </c>
      <c r="K1588">
        <v>28</v>
      </c>
      <c r="L1588">
        <v>7</v>
      </c>
      <c r="O1588">
        <v>7</v>
      </c>
      <c r="P1588">
        <v>4</v>
      </c>
      <c r="Q1588">
        <v>0</v>
      </c>
      <c r="R1588">
        <v>57.6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H1588">
        <v>57.6</v>
      </c>
    </row>
    <row r="1589" spans="1:34" x14ac:dyDescent="0.3">
      <c r="A1589" s="4">
        <v>1802</v>
      </c>
      <c r="B1589" s="5">
        <v>1582</v>
      </c>
      <c r="C1589">
        <v>241</v>
      </c>
      <c r="D1589" t="s">
        <v>13728</v>
      </c>
      <c r="E1589" t="s">
        <v>29</v>
      </c>
      <c r="F1589" t="s">
        <v>136</v>
      </c>
      <c r="G1589" t="s">
        <v>13729</v>
      </c>
      <c r="H1589">
        <v>17.600000000000001</v>
      </c>
      <c r="I1589">
        <v>0</v>
      </c>
      <c r="J1589">
        <v>0</v>
      </c>
      <c r="K1589">
        <v>20</v>
      </c>
      <c r="L1589">
        <v>14</v>
      </c>
      <c r="O1589">
        <v>14</v>
      </c>
      <c r="P1589">
        <v>4</v>
      </c>
      <c r="Q1589">
        <v>2</v>
      </c>
      <c r="R1589">
        <v>57.6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H1589">
        <v>57.6</v>
      </c>
    </row>
    <row r="1590" spans="1:34" x14ac:dyDescent="0.3">
      <c r="A1590" s="4">
        <v>1803</v>
      </c>
      <c r="B1590" s="5">
        <v>1583</v>
      </c>
      <c r="C1590">
        <v>12721</v>
      </c>
      <c r="D1590" t="s">
        <v>13730</v>
      </c>
      <c r="E1590" t="s">
        <v>307</v>
      </c>
      <c r="F1590" t="s">
        <v>124</v>
      </c>
      <c r="G1590" t="s">
        <v>13731</v>
      </c>
      <c r="H1590">
        <v>21.53</v>
      </c>
      <c r="I1590">
        <v>0</v>
      </c>
      <c r="J1590">
        <v>0</v>
      </c>
      <c r="K1590">
        <v>0</v>
      </c>
      <c r="L1590">
        <v>7</v>
      </c>
      <c r="N1590">
        <v>3</v>
      </c>
      <c r="O1590">
        <v>10</v>
      </c>
      <c r="P1590">
        <v>4</v>
      </c>
      <c r="Q1590">
        <v>2</v>
      </c>
      <c r="R1590">
        <v>37.53</v>
      </c>
      <c r="S1590">
        <v>20</v>
      </c>
      <c r="T1590">
        <v>20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20</v>
      </c>
      <c r="AB1590">
        <v>0</v>
      </c>
      <c r="AC1590">
        <v>0</v>
      </c>
      <c r="AH1590">
        <v>57.53</v>
      </c>
    </row>
    <row r="1591" spans="1:34" x14ac:dyDescent="0.3">
      <c r="A1591" s="4">
        <v>1804</v>
      </c>
      <c r="B1591" s="5">
        <v>1584</v>
      </c>
      <c r="C1591">
        <v>7666</v>
      </c>
      <c r="D1591" t="s">
        <v>6275</v>
      </c>
      <c r="E1591" t="s">
        <v>29</v>
      </c>
      <c r="F1591" t="s">
        <v>81</v>
      </c>
      <c r="G1591" t="s">
        <v>13732</v>
      </c>
      <c r="H1591">
        <v>20.53</v>
      </c>
      <c r="I1591">
        <v>0</v>
      </c>
      <c r="J1591">
        <v>0</v>
      </c>
      <c r="K1591">
        <v>0</v>
      </c>
      <c r="L1591">
        <v>7</v>
      </c>
      <c r="N1591">
        <v>3</v>
      </c>
      <c r="O1591">
        <v>10</v>
      </c>
      <c r="P1591">
        <v>4</v>
      </c>
      <c r="Q1591">
        <v>2</v>
      </c>
      <c r="R1591">
        <v>36.53</v>
      </c>
      <c r="S1591">
        <v>7</v>
      </c>
      <c r="T1591">
        <v>7</v>
      </c>
      <c r="U1591">
        <v>7</v>
      </c>
      <c r="V1591">
        <v>14</v>
      </c>
      <c r="W1591">
        <v>0</v>
      </c>
      <c r="X1591">
        <v>0</v>
      </c>
      <c r="Y1591">
        <v>0</v>
      </c>
      <c r="Z1591">
        <v>0</v>
      </c>
      <c r="AA1591">
        <v>21</v>
      </c>
      <c r="AB1591">
        <v>0</v>
      </c>
      <c r="AC1591">
        <v>0</v>
      </c>
      <c r="AH1591">
        <v>57.53</v>
      </c>
    </row>
    <row r="1592" spans="1:34" x14ac:dyDescent="0.3">
      <c r="A1592" s="4">
        <v>1805</v>
      </c>
      <c r="B1592" s="5">
        <v>1585</v>
      </c>
      <c r="C1592">
        <v>1516</v>
      </c>
      <c r="D1592" t="s">
        <v>1693</v>
      </c>
      <c r="E1592" t="s">
        <v>1694</v>
      </c>
      <c r="F1592" t="s">
        <v>416</v>
      </c>
      <c r="G1592" t="s">
        <v>13733</v>
      </c>
      <c r="H1592">
        <v>19.5</v>
      </c>
      <c r="I1592">
        <v>0</v>
      </c>
      <c r="J1592">
        <v>0</v>
      </c>
      <c r="K1592">
        <v>0</v>
      </c>
      <c r="L1592">
        <v>7</v>
      </c>
      <c r="N1592">
        <v>3</v>
      </c>
      <c r="O1592">
        <v>10</v>
      </c>
      <c r="P1592">
        <v>4</v>
      </c>
      <c r="Q1592">
        <v>0</v>
      </c>
      <c r="R1592">
        <v>33.5</v>
      </c>
      <c r="S1592">
        <v>18</v>
      </c>
      <c r="T1592">
        <v>18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18</v>
      </c>
      <c r="AB1592">
        <v>6</v>
      </c>
      <c r="AC1592">
        <v>0</v>
      </c>
      <c r="AH1592">
        <v>57.5</v>
      </c>
    </row>
    <row r="1593" spans="1:34" x14ac:dyDescent="0.3">
      <c r="A1593" s="4">
        <v>1806</v>
      </c>
      <c r="B1593" s="5">
        <v>1586</v>
      </c>
      <c r="C1593">
        <v>15070</v>
      </c>
      <c r="D1593" t="s">
        <v>4603</v>
      </c>
      <c r="E1593" t="s">
        <v>13734</v>
      </c>
      <c r="F1593" t="s">
        <v>81</v>
      </c>
      <c r="G1593" t="s">
        <v>13735</v>
      </c>
      <c r="H1593">
        <v>12.5</v>
      </c>
      <c r="I1593">
        <v>0</v>
      </c>
      <c r="J1593">
        <v>0</v>
      </c>
      <c r="K1593">
        <v>28</v>
      </c>
      <c r="L1593">
        <v>7</v>
      </c>
      <c r="N1593">
        <v>3</v>
      </c>
      <c r="O1593">
        <v>10</v>
      </c>
      <c r="P1593">
        <v>4</v>
      </c>
      <c r="Q1593">
        <v>0</v>
      </c>
      <c r="R1593">
        <v>54.5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3</v>
      </c>
      <c r="AC1593">
        <v>0</v>
      </c>
      <c r="AH1593">
        <v>57.5</v>
      </c>
    </row>
    <row r="1594" spans="1:34" x14ac:dyDescent="0.3">
      <c r="A1594" s="4">
        <v>1807</v>
      </c>
      <c r="B1594" s="5">
        <v>1587</v>
      </c>
      <c r="C1594">
        <v>7377</v>
      </c>
      <c r="D1594" t="s">
        <v>13736</v>
      </c>
      <c r="E1594" t="s">
        <v>29</v>
      </c>
      <c r="F1594" t="s">
        <v>243</v>
      </c>
      <c r="G1594" t="s">
        <v>13737</v>
      </c>
      <c r="H1594">
        <v>21.45</v>
      </c>
      <c r="I1594">
        <v>0</v>
      </c>
      <c r="J1594">
        <v>0</v>
      </c>
      <c r="K1594">
        <v>20</v>
      </c>
      <c r="L1594">
        <v>7</v>
      </c>
      <c r="N1594">
        <v>3</v>
      </c>
      <c r="O1594">
        <v>10</v>
      </c>
      <c r="P1594">
        <v>4</v>
      </c>
      <c r="Q1594">
        <v>2</v>
      </c>
      <c r="R1594">
        <v>57.45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 t="s">
        <v>130</v>
      </c>
      <c r="AH1594">
        <v>57.45</v>
      </c>
    </row>
    <row r="1595" spans="1:34" x14ac:dyDescent="0.3">
      <c r="A1595" s="4">
        <v>1808</v>
      </c>
      <c r="B1595" s="5">
        <v>1588</v>
      </c>
      <c r="C1595">
        <v>7829</v>
      </c>
      <c r="D1595" t="s">
        <v>11037</v>
      </c>
      <c r="E1595" t="s">
        <v>29</v>
      </c>
      <c r="F1595" t="s">
        <v>17</v>
      </c>
      <c r="G1595" t="s">
        <v>13738</v>
      </c>
      <c r="H1595">
        <v>16.399999999999999</v>
      </c>
      <c r="I1595">
        <v>7</v>
      </c>
      <c r="J1595">
        <v>0</v>
      </c>
      <c r="K1595">
        <v>20</v>
      </c>
      <c r="M1595">
        <v>5</v>
      </c>
      <c r="O1595">
        <v>5</v>
      </c>
      <c r="P1595">
        <v>4</v>
      </c>
      <c r="Q1595">
        <v>2</v>
      </c>
      <c r="R1595">
        <v>54.4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3</v>
      </c>
      <c r="AC1595">
        <v>0</v>
      </c>
      <c r="AH1595">
        <v>57.4</v>
      </c>
    </row>
    <row r="1596" spans="1:34" x14ac:dyDescent="0.3">
      <c r="A1596" s="4">
        <v>1809</v>
      </c>
      <c r="B1596" s="5">
        <v>1589</v>
      </c>
      <c r="C1596">
        <v>15633</v>
      </c>
      <c r="D1596" t="s">
        <v>13739</v>
      </c>
      <c r="E1596" t="s">
        <v>258</v>
      </c>
      <c r="F1596" t="s">
        <v>117</v>
      </c>
      <c r="G1596" t="s">
        <v>13740</v>
      </c>
      <c r="H1596">
        <v>21.38</v>
      </c>
      <c r="I1596">
        <v>0</v>
      </c>
      <c r="J1596">
        <v>0</v>
      </c>
      <c r="K1596">
        <v>20</v>
      </c>
      <c r="L1596">
        <v>7</v>
      </c>
      <c r="N1596">
        <v>3</v>
      </c>
      <c r="O1596">
        <v>10</v>
      </c>
      <c r="P1596">
        <v>4</v>
      </c>
      <c r="Q1596">
        <v>2</v>
      </c>
      <c r="R1596">
        <v>57.38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H1596">
        <v>57.38</v>
      </c>
    </row>
    <row r="1597" spans="1:34" x14ac:dyDescent="0.3">
      <c r="A1597" s="4">
        <v>1810</v>
      </c>
      <c r="B1597" s="5">
        <v>1590</v>
      </c>
      <c r="C1597">
        <v>5854</v>
      </c>
      <c r="D1597" t="s">
        <v>13741</v>
      </c>
      <c r="E1597" t="s">
        <v>117</v>
      </c>
      <c r="F1597" t="s">
        <v>1225</v>
      </c>
      <c r="G1597" t="s">
        <v>13742</v>
      </c>
      <c r="H1597">
        <v>18.350000000000001</v>
      </c>
      <c r="I1597">
        <v>0</v>
      </c>
      <c r="J1597">
        <v>0</v>
      </c>
      <c r="K1597">
        <v>28</v>
      </c>
      <c r="L1597">
        <v>7</v>
      </c>
      <c r="O1597">
        <v>7</v>
      </c>
      <c r="P1597">
        <v>4</v>
      </c>
      <c r="Q1597">
        <v>0</v>
      </c>
      <c r="R1597">
        <v>57.35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H1597">
        <v>57.35</v>
      </c>
    </row>
    <row r="1598" spans="1:34" x14ac:dyDescent="0.3">
      <c r="A1598" s="4">
        <v>1811</v>
      </c>
      <c r="B1598" s="5">
        <v>1591</v>
      </c>
      <c r="C1598">
        <v>3416</v>
      </c>
      <c r="D1598" t="s">
        <v>10119</v>
      </c>
      <c r="E1598" t="s">
        <v>780</v>
      </c>
      <c r="F1598" t="s">
        <v>13743</v>
      </c>
      <c r="G1598" t="s">
        <v>13744</v>
      </c>
      <c r="H1598">
        <v>23.3</v>
      </c>
      <c r="I1598">
        <v>0</v>
      </c>
      <c r="J1598">
        <v>0</v>
      </c>
      <c r="K1598">
        <v>20</v>
      </c>
      <c r="L1598">
        <v>7</v>
      </c>
      <c r="N1598">
        <v>3</v>
      </c>
      <c r="O1598">
        <v>10</v>
      </c>
      <c r="P1598">
        <v>4</v>
      </c>
      <c r="Q1598">
        <v>0</v>
      </c>
      <c r="R1598">
        <v>57.3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H1598">
        <v>57.3</v>
      </c>
    </row>
    <row r="1599" spans="1:34" x14ac:dyDescent="0.3">
      <c r="A1599" s="4">
        <v>1812</v>
      </c>
      <c r="B1599" s="5">
        <v>1592</v>
      </c>
      <c r="C1599">
        <v>4922</v>
      </c>
      <c r="D1599" t="s">
        <v>13745</v>
      </c>
      <c r="E1599" t="s">
        <v>13746</v>
      </c>
      <c r="F1599" t="s">
        <v>230</v>
      </c>
      <c r="G1599" t="s">
        <v>13747</v>
      </c>
      <c r="H1599">
        <v>20.28</v>
      </c>
      <c r="I1599">
        <v>0</v>
      </c>
      <c r="J1599">
        <v>0</v>
      </c>
      <c r="K1599">
        <v>0</v>
      </c>
      <c r="L1599">
        <v>7</v>
      </c>
      <c r="O1599">
        <v>7</v>
      </c>
      <c r="P1599">
        <v>4</v>
      </c>
      <c r="Q1599">
        <v>2</v>
      </c>
      <c r="R1599">
        <v>33.28</v>
      </c>
      <c r="S1599">
        <v>4</v>
      </c>
      <c r="T1599">
        <v>4</v>
      </c>
      <c r="U1599">
        <v>10</v>
      </c>
      <c r="V1599">
        <v>20</v>
      </c>
      <c r="W1599">
        <v>0</v>
      </c>
      <c r="X1599">
        <v>0</v>
      </c>
      <c r="Y1599">
        <v>0</v>
      </c>
      <c r="Z1599">
        <v>0</v>
      </c>
      <c r="AA1599">
        <v>24</v>
      </c>
      <c r="AB1599">
        <v>0</v>
      </c>
      <c r="AC1599">
        <v>0</v>
      </c>
      <c r="AH1599">
        <v>57.28</v>
      </c>
    </row>
    <row r="1600" spans="1:34" x14ac:dyDescent="0.3">
      <c r="A1600" s="4">
        <v>1813</v>
      </c>
      <c r="B1600" s="5">
        <v>1593</v>
      </c>
      <c r="C1600">
        <v>3117</v>
      </c>
      <c r="D1600" t="s">
        <v>13748</v>
      </c>
      <c r="E1600" t="s">
        <v>29</v>
      </c>
      <c r="F1600" t="s">
        <v>5060</v>
      </c>
      <c r="G1600" t="s">
        <v>13749</v>
      </c>
      <c r="H1600">
        <v>15.25</v>
      </c>
      <c r="I1600">
        <v>0</v>
      </c>
      <c r="J1600">
        <v>0</v>
      </c>
      <c r="K1600">
        <v>20</v>
      </c>
      <c r="L1600">
        <v>7</v>
      </c>
      <c r="O1600">
        <v>7</v>
      </c>
      <c r="P1600">
        <v>4</v>
      </c>
      <c r="Q1600">
        <v>2</v>
      </c>
      <c r="R1600">
        <v>48.25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9</v>
      </c>
      <c r="AC1600">
        <v>0</v>
      </c>
      <c r="AH1600">
        <v>57.25</v>
      </c>
    </row>
    <row r="1601" spans="1:34" x14ac:dyDescent="0.3">
      <c r="A1601" s="4">
        <v>1814</v>
      </c>
      <c r="B1601" s="5">
        <v>1594</v>
      </c>
      <c r="C1601">
        <v>13668</v>
      </c>
      <c r="D1601" t="s">
        <v>13750</v>
      </c>
      <c r="E1601" t="s">
        <v>41</v>
      </c>
      <c r="F1601" t="s">
        <v>17</v>
      </c>
      <c r="G1601" t="s">
        <v>13751</v>
      </c>
      <c r="H1601">
        <v>21.25</v>
      </c>
      <c r="I1601">
        <v>0</v>
      </c>
      <c r="J1601">
        <v>0</v>
      </c>
      <c r="K1601">
        <v>20</v>
      </c>
      <c r="L1601">
        <v>7</v>
      </c>
      <c r="N1601">
        <v>3</v>
      </c>
      <c r="O1601">
        <v>10</v>
      </c>
      <c r="P1601">
        <v>4</v>
      </c>
      <c r="Q1601">
        <v>2</v>
      </c>
      <c r="R1601">
        <v>57.25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H1601">
        <v>57.25</v>
      </c>
    </row>
    <row r="1602" spans="1:34" x14ac:dyDescent="0.3">
      <c r="A1602" s="4">
        <v>1815</v>
      </c>
      <c r="B1602" s="5">
        <v>1595</v>
      </c>
      <c r="C1602">
        <v>14529</v>
      </c>
      <c r="D1602" t="s">
        <v>13752</v>
      </c>
      <c r="E1602" t="s">
        <v>1189</v>
      </c>
      <c r="F1602" t="s">
        <v>136</v>
      </c>
      <c r="G1602" t="s">
        <v>13753</v>
      </c>
      <c r="H1602">
        <v>21.25</v>
      </c>
      <c r="I1602">
        <v>0</v>
      </c>
      <c r="J1602">
        <v>0</v>
      </c>
      <c r="K1602">
        <v>20</v>
      </c>
      <c r="L1602">
        <v>7</v>
      </c>
      <c r="M1602">
        <v>5</v>
      </c>
      <c r="O1602">
        <v>12</v>
      </c>
      <c r="P1602">
        <v>4</v>
      </c>
      <c r="Q1602">
        <v>0</v>
      </c>
      <c r="R1602">
        <v>57.25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H1602">
        <v>57.25</v>
      </c>
    </row>
    <row r="1603" spans="1:34" x14ac:dyDescent="0.3">
      <c r="A1603" s="4">
        <v>1816</v>
      </c>
      <c r="B1603" s="5">
        <v>1596</v>
      </c>
      <c r="C1603">
        <v>4742</v>
      </c>
      <c r="D1603" t="s">
        <v>13754</v>
      </c>
      <c r="E1603" t="s">
        <v>37</v>
      </c>
      <c r="F1603" t="s">
        <v>117</v>
      </c>
      <c r="G1603" t="s">
        <v>13755</v>
      </c>
      <c r="H1603">
        <v>18.25</v>
      </c>
      <c r="I1603">
        <v>0</v>
      </c>
      <c r="J1603">
        <v>0</v>
      </c>
      <c r="K1603">
        <v>20</v>
      </c>
      <c r="L1603">
        <v>7</v>
      </c>
      <c r="O1603">
        <v>7</v>
      </c>
      <c r="P1603">
        <v>4</v>
      </c>
      <c r="Q1603">
        <v>2</v>
      </c>
      <c r="R1603">
        <v>51.25</v>
      </c>
      <c r="S1603">
        <v>6</v>
      </c>
      <c r="T1603">
        <v>6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6</v>
      </c>
      <c r="AB1603">
        <v>0</v>
      </c>
      <c r="AC1603">
        <v>0</v>
      </c>
      <c r="AH1603">
        <v>57.25</v>
      </c>
    </row>
    <row r="1604" spans="1:34" x14ac:dyDescent="0.3">
      <c r="A1604" s="4">
        <v>1817</v>
      </c>
      <c r="B1604" s="5">
        <v>1597</v>
      </c>
      <c r="C1604">
        <v>5587</v>
      </c>
      <c r="D1604" t="s">
        <v>13756</v>
      </c>
      <c r="E1604" t="s">
        <v>88</v>
      </c>
      <c r="F1604" t="s">
        <v>13757</v>
      </c>
      <c r="G1604" t="s">
        <v>13758</v>
      </c>
      <c r="H1604">
        <v>16.23</v>
      </c>
      <c r="I1604">
        <v>0</v>
      </c>
      <c r="J1604">
        <v>0</v>
      </c>
      <c r="K1604">
        <v>20</v>
      </c>
      <c r="L1604">
        <v>7</v>
      </c>
      <c r="O1604">
        <v>7</v>
      </c>
      <c r="P1604">
        <v>4</v>
      </c>
      <c r="Q1604">
        <v>2</v>
      </c>
      <c r="R1604">
        <v>49.23</v>
      </c>
      <c r="S1604">
        <v>8</v>
      </c>
      <c r="T1604">
        <v>8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8</v>
      </c>
      <c r="AB1604">
        <v>0</v>
      </c>
      <c r="AC1604">
        <v>0</v>
      </c>
      <c r="AH1604">
        <v>57.23</v>
      </c>
    </row>
    <row r="1605" spans="1:34" x14ac:dyDescent="0.3">
      <c r="A1605" s="4">
        <v>1818</v>
      </c>
      <c r="B1605" s="5">
        <v>1598</v>
      </c>
      <c r="C1605">
        <v>13228</v>
      </c>
      <c r="D1605" t="s">
        <v>577</v>
      </c>
      <c r="E1605" t="s">
        <v>1576</v>
      </c>
      <c r="F1605" t="s">
        <v>13759</v>
      </c>
      <c r="G1605" t="s">
        <v>13760</v>
      </c>
      <c r="H1605">
        <v>15.23</v>
      </c>
      <c r="I1605">
        <v>0</v>
      </c>
      <c r="J1605">
        <v>0</v>
      </c>
      <c r="K1605">
        <v>0</v>
      </c>
      <c r="L1605">
        <v>7</v>
      </c>
      <c r="O1605">
        <v>7</v>
      </c>
      <c r="P1605">
        <v>0</v>
      </c>
      <c r="Q1605">
        <v>2</v>
      </c>
      <c r="R1605">
        <v>24.23</v>
      </c>
      <c r="S1605">
        <v>33</v>
      </c>
      <c r="T1605">
        <v>33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33</v>
      </c>
      <c r="AB1605">
        <v>0</v>
      </c>
      <c r="AC1605">
        <v>0</v>
      </c>
      <c r="AH1605">
        <v>57.23</v>
      </c>
    </row>
    <row r="1606" spans="1:34" x14ac:dyDescent="0.3">
      <c r="A1606" s="4">
        <v>1819</v>
      </c>
      <c r="B1606" s="5">
        <v>1599</v>
      </c>
      <c r="C1606">
        <v>11514</v>
      </c>
      <c r="D1606" t="s">
        <v>13761</v>
      </c>
      <c r="E1606" t="s">
        <v>2964</v>
      </c>
      <c r="F1606" t="s">
        <v>20</v>
      </c>
      <c r="G1606" t="s">
        <v>13762</v>
      </c>
      <c r="H1606">
        <v>19.18</v>
      </c>
      <c r="I1606">
        <v>0</v>
      </c>
      <c r="J1606">
        <v>0</v>
      </c>
      <c r="K1606">
        <v>20</v>
      </c>
      <c r="L1606">
        <v>7</v>
      </c>
      <c r="O1606">
        <v>7</v>
      </c>
      <c r="P1606">
        <v>4</v>
      </c>
      <c r="Q1606">
        <v>0</v>
      </c>
      <c r="R1606">
        <v>50.18</v>
      </c>
      <c r="S1606">
        <v>7</v>
      </c>
      <c r="T1606">
        <v>7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7</v>
      </c>
      <c r="AB1606">
        <v>0</v>
      </c>
      <c r="AC1606">
        <v>0</v>
      </c>
      <c r="AD1606" t="s">
        <v>130</v>
      </c>
      <c r="AH1606">
        <v>57.18</v>
      </c>
    </row>
    <row r="1607" spans="1:34" x14ac:dyDescent="0.3">
      <c r="A1607" s="4">
        <v>1820</v>
      </c>
      <c r="B1607" s="5">
        <v>1600</v>
      </c>
      <c r="C1607">
        <v>14126</v>
      </c>
      <c r="D1607" t="s">
        <v>6215</v>
      </c>
      <c r="E1607" t="s">
        <v>13763</v>
      </c>
      <c r="F1607" t="s">
        <v>117</v>
      </c>
      <c r="G1607" t="s">
        <v>13764</v>
      </c>
      <c r="H1607">
        <v>23.08</v>
      </c>
      <c r="I1607">
        <v>0</v>
      </c>
      <c r="J1607">
        <v>0</v>
      </c>
      <c r="K1607">
        <v>20</v>
      </c>
      <c r="L1607">
        <v>7</v>
      </c>
      <c r="N1607">
        <v>3</v>
      </c>
      <c r="O1607">
        <v>10</v>
      </c>
      <c r="P1607">
        <v>4</v>
      </c>
      <c r="Q1607">
        <v>0</v>
      </c>
      <c r="R1607">
        <v>57.08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H1607">
        <v>57.08</v>
      </c>
    </row>
    <row r="1608" spans="1:34" x14ac:dyDescent="0.3">
      <c r="A1608" s="4">
        <v>1821</v>
      </c>
      <c r="B1608" s="5">
        <v>1601</v>
      </c>
      <c r="C1608">
        <v>15539</v>
      </c>
      <c r="D1608" t="s">
        <v>13765</v>
      </c>
      <c r="E1608" t="s">
        <v>55</v>
      </c>
      <c r="F1608" t="s">
        <v>17</v>
      </c>
      <c r="G1608">
        <v>288668021</v>
      </c>
      <c r="H1608">
        <v>19.079999999999998</v>
      </c>
      <c r="I1608">
        <v>7</v>
      </c>
      <c r="J1608">
        <v>0</v>
      </c>
      <c r="K1608">
        <v>20</v>
      </c>
      <c r="L1608">
        <v>7</v>
      </c>
      <c r="O1608">
        <v>7</v>
      </c>
      <c r="P1608">
        <v>4</v>
      </c>
      <c r="Q1608">
        <v>0</v>
      </c>
      <c r="R1608">
        <v>57.08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H1608">
        <v>57.08</v>
      </c>
    </row>
    <row r="1609" spans="1:34" x14ac:dyDescent="0.3">
      <c r="A1609" s="4">
        <v>1822</v>
      </c>
      <c r="B1609" s="5">
        <v>1602</v>
      </c>
      <c r="C1609">
        <v>45</v>
      </c>
      <c r="D1609" t="s">
        <v>13766</v>
      </c>
      <c r="E1609" t="s">
        <v>208</v>
      </c>
      <c r="F1609" t="s">
        <v>34</v>
      </c>
      <c r="G1609" t="s">
        <v>13767</v>
      </c>
      <c r="H1609">
        <v>20.03</v>
      </c>
      <c r="I1609">
        <v>0</v>
      </c>
      <c r="J1609">
        <v>0</v>
      </c>
      <c r="K1609">
        <v>20</v>
      </c>
      <c r="L1609">
        <v>7</v>
      </c>
      <c r="O1609">
        <v>7</v>
      </c>
      <c r="P1609">
        <v>4</v>
      </c>
      <c r="Q1609">
        <v>0</v>
      </c>
      <c r="R1609">
        <v>51.03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6</v>
      </c>
      <c r="AC1609">
        <v>0</v>
      </c>
      <c r="AH1609">
        <v>57.03</v>
      </c>
    </row>
    <row r="1610" spans="1:34" x14ac:dyDescent="0.3">
      <c r="A1610" s="4">
        <v>1823</v>
      </c>
      <c r="B1610" s="5">
        <v>1603</v>
      </c>
      <c r="C1610">
        <v>10725</v>
      </c>
      <c r="D1610" t="s">
        <v>13768</v>
      </c>
      <c r="E1610" t="s">
        <v>7223</v>
      </c>
      <c r="F1610" t="s">
        <v>38</v>
      </c>
      <c r="G1610" t="s">
        <v>13769</v>
      </c>
      <c r="H1610">
        <v>17.03</v>
      </c>
      <c r="I1610">
        <v>0</v>
      </c>
      <c r="J1610">
        <v>0</v>
      </c>
      <c r="K1610">
        <v>20</v>
      </c>
      <c r="N1610">
        <v>3</v>
      </c>
      <c r="O1610">
        <v>3</v>
      </c>
      <c r="P1610">
        <v>4</v>
      </c>
      <c r="Q1610">
        <v>2</v>
      </c>
      <c r="R1610">
        <v>46.03</v>
      </c>
      <c r="S1610">
        <v>11</v>
      </c>
      <c r="T1610">
        <v>11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11</v>
      </c>
      <c r="AB1610">
        <v>0</v>
      </c>
      <c r="AC1610">
        <v>0</v>
      </c>
      <c r="AH1610">
        <v>57.03</v>
      </c>
    </row>
    <row r="1611" spans="1:34" x14ac:dyDescent="0.3">
      <c r="A1611" s="4">
        <v>1824</v>
      </c>
      <c r="B1611" s="5">
        <v>1604</v>
      </c>
      <c r="C1611">
        <v>2467</v>
      </c>
      <c r="D1611" t="s">
        <v>11037</v>
      </c>
      <c r="E1611" t="s">
        <v>1716</v>
      </c>
      <c r="F1611" t="s">
        <v>117</v>
      </c>
      <c r="G1611" t="s">
        <v>13770</v>
      </c>
      <c r="H1611">
        <v>18</v>
      </c>
      <c r="I1611">
        <v>0</v>
      </c>
      <c r="J1611">
        <v>0</v>
      </c>
      <c r="K1611">
        <v>20</v>
      </c>
      <c r="L1611">
        <v>7</v>
      </c>
      <c r="O1611">
        <v>7</v>
      </c>
      <c r="P1611">
        <v>4</v>
      </c>
      <c r="Q1611">
        <v>2</v>
      </c>
      <c r="R1611">
        <v>51</v>
      </c>
      <c r="S1611">
        <v>6</v>
      </c>
      <c r="T1611">
        <v>6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6</v>
      </c>
      <c r="AB1611">
        <v>0</v>
      </c>
      <c r="AC1611">
        <v>0</v>
      </c>
      <c r="AH1611">
        <v>57</v>
      </c>
    </row>
    <row r="1612" spans="1:34" x14ac:dyDescent="0.3">
      <c r="A1612" s="4">
        <v>1825</v>
      </c>
      <c r="B1612" s="5">
        <v>1605</v>
      </c>
      <c r="C1612">
        <v>8546</v>
      </c>
      <c r="D1612" t="s">
        <v>13771</v>
      </c>
      <c r="E1612" t="s">
        <v>12921</v>
      </c>
      <c r="F1612" t="s">
        <v>117</v>
      </c>
      <c r="G1612" t="s">
        <v>13772</v>
      </c>
      <c r="H1612">
        <v>17.98</v>
      </c>
      <c r="I1612">
        <v>0</v>
      </c>
      <c r="J1612">
        <v>0</v>
      </c>
      <c r="K1612">
        <v>20</v>
      </c>
      <c r="L1612">
        <v>7</v>
      </c>
      <c r="N1612">
        <v>3</v>
      </c>
      <c r="O1612">
        <v>10</v>
      </c>
      <c r="P1612">
        <v>4</v>
      </c>
      <c r="Q1612">
        <v>0</v>
      </c>
      <c r="R1612">
        <v>51.98</v>
      </c>
      <c r="S1612">
        <v>5</v>
      </c>
      <c r="T1612">
        <v>5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5</v>
      </c>
      <c r="AB1612">
        <v>0</v>
      </c>
      <c r="AC1612">
        <v>0</v>
      </c>
      <c r="AH1612">
        <v>56.98</v>
      </c>
    </row>
    <row r="1613" spans="1:34" x14ac:dyDescent="0.3">
      <c r="A1613" s="4">
        <v>1826</v>
      </c>
      <c r="B1613" s="5">
        <v>1606</v>
      </c>
      <c r="C1613">
        <v>6616</v>
      </c>
      <c r="D1613" t="s">
        <v>3415</v>
      </c>
      <c r="E1613" t="s">
        <v>100</v>
      </c>
      <c r="F1613" t="s">
        <v>782</v>
      </c>
      <c r="G1613" t="s">
        <v>13773</v>
      </c>
      <c r="H1613">
        <v>16.93</v>
      </c>
      <c r="I1613">
        <v>0</v>
      </c>
      <c r="J1613">
        <v>0</v>
      </c>
      <c r="K1613">
        <v>20</v>
      </c>
      <c r="L1613">
        <v>14</v>
      </c>
      <c r="O1613">
        <v>14</v>
      </c>
      <c r="P1613">
        <v>4</v>
      </c>
      <c r="Q1613">
        <v>2</v>
      </c>
      <c r="R1613">
        <v>56.93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H1613">
        <v>56.93</v>
      </c>
    </row>
    <row r="1614" spans="1:34" x14ac:dyDescent="0.3">
      <c r="A1614" s="4">
        <v>1827</v>
      </c>
      <c r="B1614" s="5">
        <v>1607</v>
      </c>
      <c r="C1614">
        <v>9322</v>
      </c>
      <c r="D1614" t="s">
        <v>13774</v>
      </c>
      <c r="E1614" t="s">
        <v>11035</v>
      </c>
      <c r="F1614" t="s">
        <v>124</v>
      </c>
      <c r="G1614" t="s">
        <v>13775</v>
      </c>
      <c r="H1614">
        <v>18.93</v>
      </c>
      <c r="I1614">
        <v>0</v>
      </c>
      <c r="J1614">
        <v>0</v>
      </c>
      <c r="K1614">
        <v>0</v>
      </c>
      <c r="L1614">
        <v>7</v>
      </c>
      <c r="N1614">
        <v>3</v>
      </c>
      <c r="O1614">
        <v>10</v>
      </c>
      <c r="P1614">
        <v>4</v>
      </c>
      <c r="Q1614">
        <v>2</v>
      </c>
      <c r="R1614">
        <v>34.93</v>
      </c>
      <c r="S1614">
        <v>22</v>
      </c>
      <c r="T1614">
        <v>22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22</v>
      </c>
      <c r="AB1614">
        <v>0</v>
      </c>
      <c r="AC1614">
        <v>0</v>
      </c>
      <c r="AD1614" t="s">
        <v>130</v>
      </c>
      <c r="AH1614">
        <v>56.93</v>
      </c>
    </row>
    <row r="1615" spans="1:34" x14ac:dyDescent="0.3">
      <c r="A1615" s="4">
        <v>1828</v>
      </c>
      <c r="B1615" s="5">
        <v>1608</v>
      </c>
      <c r="C1615">
        <v>11492</v>
      </c>
      <c r="D1615" t="s">
        <v>13776</v>
      </c>
      <c r="E1615" t="s">
        <v>88</v>
      </c>
      <c r="F1615" t="s">
        <v>17</v>
      </c>
      <c r="G1615" t="s">
        <v>13777</v>
      </c>
      <c r="H1615">
        <v>17.899999999999999</v>
      </c>
      <c r="I1615">
        <v>0</v>
      </c>
      <c r="J1615">
        <v>0</v>
      </c>
      <c r="K1615">
        <v>20</v>
      </c>
      <c r="L1615">
        <v>7</v>
      </c>
      <c r="M1615">
        <v>5</v>
      </c>
      <c r="O1615">
        <v>12</v>
      </c>
      <c r="P1615">
        <v>4</v>
      </c>
      <c r="Q1615">
        <v>0</v>
      </c>
      <c r="R1615">
        <v>53.9</v>
      </c>
      <c r="S1615">
        <v>3</v>
      </c>
      <c r="T1615">
        <v>3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3</v>
      </c>
      <c r="AB1615">
        <v>0</v>
      </c>
      <c r="AC1615">
        <v>0</v>
      </c>
      <c r="AH1615">
        <v>56.9</v>
      </c>
    </row>
    <row r="1616" spans="1:34" x14ac:dyDescent="0.3">
      <c r="A1616" s="4">
        <v>1829</v>
      </c>
      <c r="B1616" s="5">
        <v>1609</v>
      </c>
      <c r="C1616">
        <v>3104</v>
      </c>
      <c r="D1616" t="s">
        <v>13778</v>
      </c>
      <c r="E1616" t="s">
        <v>71</v>
      </c>
      <c r="F1616" t="s">
        <v>55</v>
      </c>
      <c r="G1616" t="s">
        <v>13779</v>
      </c>
      <c r="H1616">
        <v>20.88</v>
      </c>
      <c r="I1616">
        <v>0</v>
      </c>
      <c r="J1616">
        <v>0</v>
      </c>
      <c r="K1616">
        <v>20</v>
      </c>
      <c r="L1616">
        <v>7</v>
      </c>
      <c r="N1616">
        <v>3</v>
      </c>
      <c r="O1616">
        <v>10</v>
      </c>
      <c r="P1616">
        <v>4</v>
      </c>
      <c r="Q1616">
        <v>2</v>
      </c>
      <c r="R1616">
        <v>56.88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H1616">
        <v>56.88</v>
      </c>
    </row>
    <row r="1617" spans="1:34" x14ac:dyDescent="0.3">
      <c r="A1617" s="4">
        <v>1830</v>
      </c>
      <c r="B1617" s="5">
        <v>1610</v>
      </c>
      <c r="C1617">
        <v>14551</v>
      </c>
      <c r="D1617" t="s">
        <v>7140</v>
      </c>
      <c r="E1617" t="s">
        <v>188</v>
      </c>
      <c r="F1617" t="s">
        <v>117</v>
      </c>
      <c r="G1617" t="s">
        <v>13780</v>
      </c>
      <c r="H1617">
        <v>20.85</v>
      </c>
      <c r="I1617">
        <v>0</v>
      </c>
      <c r="J1617">
        <v>0</v>
      </c>
      <c r="K1617">
        <v>20</v>
      </c>
      <c r="L1617">
        <v>7</v>
      </c>
      <c r="N1617">
        <v>3</v>
      </c>
      <c r="O1617">
        <v>10</v>
      </c>
      <c r="P1617">
        <v>4</v>
      </c>
      <c r="Q1617">
        <v>2</v>
      </c>
      <c r="R1617">
        <v>56.85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H1617">
        <v>56.85</v>
      </c>
    </row>
    <row r="1618" spans="1:34" x14ac:dyDescent="0.3">
      <c r="A1618" s="4">
        <v>1831</v>
      </c>
      <c r="B1618" s="5">
        <v>1611</v>
      </c>
      <c r="C1618">
        <v>5227</v>
      </c>
      <c r="D1618" t="s">
        <v>13781</v>
      </c>
      <c r="E1618" t="s">
        <v>100</v>
      </c>
      <c r="F1618" t="s">
        <v>23</v>
      </c>
      <c r="G1618" t="s">
        <v>13782</v>
      </c>
      <c r="H1618">
        <v>20.85</v>
      </c>
      <c r="I1618">
        <v>0</v>
      </c>
      <c r="J1618">
        <v>0</v>
      </c>
      <c r="K1618">
        <v>20</v>
      </c>
      <c r="L1618">
        <v>7</v>
      </c>
      <c r="N1618">
        <v>3</v>
      </c>
      <c r="O1618">
        <v>10</v>
      </c>
      <c r="P1618">
        <v>4</v>
      </c>
      <c r="Q1618">
        <v>2</v>
      </c>
      <c r="R1618">
        <v>56.85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H1618">
        <v>56.85</v>
      </c>
    </row>
    <row r="1619" spans="1:34" x14ac:dyDescent="0.3">
      <c r="A1619" s="4">
        <v>1832</v>
      </c>
      <c r="B1619" s="5">
        <v>1612</v>
      </c>
      <c r="C1619">
        <v>15565</v>
      </c>
      <c r="D1619" t="s">
        <v>13783</v>
      </c>
      <c r="E1619" t="s">
        <v>230</v>
      </c>
      <c r="F1619" t="s">
        <v>30</v>
      </c>
      <c r="G1619" t="s">
        <v>13784</v>
      </c>
      <c r="H1619">
        <v>19.829999999999998</v>
      </c>
      <c r="I1619">
        <v>0</v>
      </c>
      <c r="J1619">
        <v>0</v>
      </c>
      <c r="K1619">
        <v>28</v>
      </c>
      <c r="M1619">
        <v>5</v>
      </c>
      <c r="O1619">
        <v>5</v>
      </c>
      <c r="P1619">
        <v>4</v>
      </c>
      <c r="Q1619">
        <v>0</v>
      </c>
      <c r="R1619">
        <v>56.83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H1619">
        <v>56.83</v>
      </c>
    </row>
    <row r="1620" spans="1:34" x14ac:dyDescent="0.3">
      <c r="A1620" s="4">
        <v>1833</v>
      </c>
      <c r="B1620" s="5">
        <v>1613</v>
      </c>
      <c r="C1620">
        <v>134</v>
      </c>
      <c r="D1620" t="s">
        <v>13785</v>
      </c>
      <c r="E1620" t="s">
        <v>13786</v>
      </c>
      <c r="F1620" t="s">
        <v>13787</v>
      </c>
      <c r="G1620" t="s">
        <v>13788</v>
      </c>
      <c r="H1620">
        <v>18.8</v>
      </c>
      <c r="I1620">
        <v>0</v>
      </c>
      <c r="J1620">
        <v>0</v>
      </c>
      <c r="K1620">
        <v>20</v>
      </c>
      <c r="L1620">
        <v>14</v>
      </c>
      <c r="O1620">
        <v>14</v>
      </c>
      <c r="P1620">
        <v>4</v>
      </c>
      <c r="Q1620">
        <v>0</v>
      </c>
      <c r="R1620">
        <v>56.8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H1620">
        <v>56.8</v>
      </c>
    </row>
    <row r="1621" spans="1:34" x14ac:dyDescent="0.3">
      <c r="A1621" s="4">
        <v>1834</v>
      </c>
      <c r="B1621" s="5">
        <v>1614</v>
      </c>
      <c r="C1621">
        <v>9242</v>
      </c>
      <c r="D1621" t="s">
        <v>13789</v>
      </c>
      <c r="E1621" t="s">
        <v>54</v>
      </c>
      <c r="F1621" t="s">
        <v>20</v>
      </c>
      <c r="G1621" t="s">
        <v>13790</v>
      </c>
      <c r="H1621">
        <v>20.78</v>
      </c>
      <c r="I1621">
        <v>0</v>
      </c>
      <c r="J1621">
        <v>0</v>
      </c>
      <c r="K1621">
        <v>20</v>
      </c>
      <c r="L1621">
        <v>7</v>
      </c>
      <c r="M1621">
        <v>5</v>
      </c>
      <c r="O1621">
        <v>12</v>
      </c>
      <c r="P1621">
        <v>4</v>
      </c>
      <c r="Q1621">
        <v>0</v>
      </c>
      <c r="R1621">
        <v>56.78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H1621">
        <v>56.78</v>
      </c>
    </row>
    <row r="1622" spans="1:34" x14ac:dyDescent="0.3">
      <c r="A1622" s="4">
        <v>1835</v>
      </c>
      <c r="B1622" s="5">
        <v>1615</v>
      </c>
      <c r="C1622">
        <v>6849</v>
      </c>
      <c r="D1622" t="s">
        <v>415</v>
      </c>
      <c r="E1622" t="s">
        <v>29</v>
      </c>
      <c r="F1622" t="s">
        <v>2582</v>
      </c>
      <c r="G1622" t="s">
        <v>13791</v>
      </c>
      <c r="H1622">
        <v>19.75</v>
      </c>
      <c r="I1622">
        <v>0</v>
      </c>
      <c r="J1622">
        <v>0</v>
      </c>
      <c r="K1622">
        <v>20</v>
      </c>
      <c r="L1622">
        <v>7</v>
      </c>
      <c r="M1622">
        <v>5</v>
      </c>
      <c r="O1622">
        <v>12</v>
      </c>
      <c r="P1622">
        <v>0</v>
      </c>
      <c r="Q1622">
        <v>2</v>
      </c>
      <c r="R1622">
        <v>53.75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3</v>
      </c>
      <c r="AC1622">
        <v>0</v>
      </c>
      <c r="AD1622" t="s">
        <v>130</v>
      </c>
      <c r="AE1622" t="s">
        <v>130</v>
      </c>
      <c r="AH1622">
        <v>56.75</v>
      </c>
    </row>
    <row r="1623" spans="1:34" x14ac:dyDescent="0.3">
      <c r="A1623" s="4">
        <v>1836</v>
      </c>
      <c r="B1623" s="5">
        <v>1616</v>
      </c>
      <c r="C1623">
        <v>13384</v>
      </c>
      <c r="D1623" t="s">
        <v>12571</v>
      </c>
      <c r="E1623" t="s">
        <v>54</v>
      </c>
      <c r="F1623" t="s">
        <v>20</v>
      </c>
      <c r="G1623" t="s">
        <v>13792</v>
      </c>
      <c r="H1623">
        <v>18.73</v>
      </c>
      <c r="I1623">
        <v>0</v>
      </c>
      <c r="J1623">
        <v>0</v>
      </c>
      <c r="K1623">
        <v>20</v>
      </c>
      <c r="L1623">
        <v>14</v>
      </c>
      <c r="O1623">
        <v>14</v>
      </c>
      <c r="P1623">
        <v>4</v>
      </c>
      <c r="Q1623">
        <v>0</v>
      </c>
      <c r="R1623">
        <v>56.73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H1623">
        <v>56.73</v>
      </c>
    </row>
    <row r="1624" spans="1:34" x14ac:dyDescent="0.3">
      <c r="A1624" s="4">
        <v>1837</v>
      </c>
      <c r="B1624" s="5">
        <v>1617</v>
      </c>
      <c r="C1624">
        <v>7529</v>
      </c>
      <c r="D1624" t="s">
        <v>13793</v>
      </c>
      <c r="E1624" t="s">
        <v>136</v>
      </c>
      <c r="F1624" t="s">
        <v>136</v>
      </c>
      <c r="G1624" t="s">
        <v>13794</v>
      </c>
      <c r="H1624">
        <v>18.7</v>
      </c>
      <c r="I1624">
        <v>0</v>
      </c>
      <c r="J1624">
        <v>0</v>
      </c>
      <c r="K1624">
        <v>20</v>
      </c>
      <c r="L1624">
        <v>14</v>
      </c>
      <c r="O1624">
        <v>14</v>
      </c>
      <c r="P1624">
        <v>4</v>
      </c>
      <c r="Q1624">
        <v>0</v>
      </c>
      <c r="R1624">
        <v>56.7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H1624">
        <v>56.7</v>
      </c>
    </row>
    <row r="1625" spans="1:34" x14ac:dyDescent="0.3">
      <c r="A1625" s="4">
        <v>1838</v>
      </c>
      <c r="B1625" s="5">
        <v>1618</v>
      </c>
      <c r="C1625">
        <v>10509</v>
      </c>
      <c r="D1625" t="s">
        <v>13795</v>
      </c>
      <c r="E1625" t="s">
        <v>964</v>
      </c>
      <c r="F1625" t="s">
        <v>17</v>
      </c>
      <c r="G1625" t="s">
        <v>13796</v>
      </c>
      <c r="H1625">
        <v>20.68</v>
      </c>
      <c r="I1625">
        <v>0</v>
      </c>
      <c r="J1625">
        <v>0</v>
      </c>
      <c r="K1625">
        <v>20</v>
      </c>
      <c r="L1625">
        <v>7</v>
      </c>
      <c r="M1625">
        <v>5</v>
      </c>
      <c r="O1625">
        <v>12</v>
      </c>
      <c r="P1625">
        <v>4</v>
      </c>
      <c r="Q1625">
        <v>0</v>
      </c>
      <c r="R1625">
        <v>56.68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H1625">
        <v>56.68</v>
      </c>
    </row>
    <row r="1626" spans="1:34" x14ac:dyDescent="0.3">
      <c r="A1626" s="4">
        <v>1839</v>
      </c>
      <c r="B1626" s="5">
        <v>1619</v>
      </c>
      <c r="C1626">
        <v>4333</v>
      </c>
      <c r="D1626" t="s">
        <v>13797</v>
      </c>
      <c r="E1626" t="s">
        <v>54</v>
      </c>
      <c r="F1626" t="s">
        <v>136</v>
      </c>
      <c r="G1626" t="s">
        <v>13798</v>
      </c>
      <c r="H1626">
        <v>18.63</v>
      </c>
      <c r="I1626">
        <v>0</v>
      </c>
      <c r="J1626">
        <v>0</v>
      </c>
      <c r="K1626">
        <v>20</v>
      </c>
      <c r="L1626">
        <v>7</v>
      </c>
      <c r="O1626">
        <v>7</v>
      </c>
      <c r="P1626">
        <v>4</v>
      </c>
      <c r="Q1626">
        <v>0</v>
      </c>
      <c r="R1626">
        <v>49.63</v>
      </c>
      <c r="S1626">
        <v>1</v>
      </c>
      <c r="T1626">
        <v>1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1</v>
      </c>
      <c r="AB1626">
        <v>6</v>
      </c>
      <c r="AC1626">
        <v>0</v>
      </c>
      <c r="AH1626">
        <v>56.63</v>
      </c>
    </row>
    <row r="1627" spans="1:34" x14ac:dyDescent="0.3">
      <c r="A1627" s="4">
        <v>1840</v>
      </c>
      <c r="B1627" s="5">
        <v>1620</v>
      </c>
      <c r="C1627">
        <v>9887</v>
      </c>
      <c r="D1627" t="s">
        <v>13799</v>
      </c>
      <c r="E1627" t="s">
        <v>259</v>
      </c>
      <c r="F1627" t="s">
        <v>2237</v>
      </c>
      <c r="G1627" t="s">
        <v>13800</v>
      </c>
      <c r="H1627">
        <v>17.63</v>
      </c>
      <c r="I1627">
        <v>0</v>
      </c>
      <c r="J1627">
        <v>0</v>
      </c>
      <c r="K1627">
        <v>20</v>
      </c>
      <c r="L1627">
        <v>7</v>
      </c>
      <c r="O1627">
        <v>7</v>
      </c>
      <c r="P1627">
        <v>4</v>
      </c>
      <c r="Q1627">
        <v>2</v>
      </c>
      <c r="R1627">
        <v>50.63</v>
      </c>
      <c r="S1627">
        <v>6</v>
      </c>
      <c r="T1627">
        <v>6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6</v>
      </c>
      <c r="AB1627">
        <v>0</v>
      </c>
      <c r="AC1627">
        <v>0</v>
      </c>
      <c r="AH1627">
        <v>56.63</v>
      </c>
    </row>
    <row r="1628" spans="1:34" x14ac:dyDescent="0.3">
      <c r="A1628" s="4">
        <v>1841</v>
      </c>
      <c r="B1628" s="5">
        <v>1621</v>
      </c>
      <c r="C1628">
        <v>12194</v>
      </c>
      <c r="D1628" t="s">
        <v>13801</v>
      </c>
      <c r="E1628" t="s">
        <v>29</v>
      </c>
      <c r="F1628" t="s">
        <v>13802</v>
      </c>
      <c r="G1628" t="s">
        <v>13803</v>
      </c>
      <c r="H1628">
        <v>18.600000000000001</v>
      </c>
      <c r="I1628">
        <v>0</v>
      </c>
      <c r="J1628">
        <v>0</v>
      </c>
      <c r="K1628">
        <v>20</v>
      </c>
      <c r="L1628">
        <v>7</v>
      </c>
      <c r="O1628">
        <v>7</v>
      </c>
      <c r="P1628">
        <v>0</v>
      </c>
      <c r="Q1628">
        <v>0</v>
      </c>
      <c r="R1628">
        <v>45.6</v>
      </c>
      <c r="S1628">
        <v>11</v>
      </c>
      <c r="T1628">
        <v>11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11</v>
      </c>
      <c r="AB1628">
        <v>0</v>
      </c>
      <c r="AC1628">
        <v>0</v>
      </c>
      <c r="AH1628">
        <v>56.6</v>
      </c>
    </row>
    <row r="1629" spans="1:34" x14ac:dyDescent="0.3">
      <c r="A1629" s="4">
        <v>1842</v>
      </c>
      <c r="B1629" s="5">
        <v>1622</v>
      </c>
      <c r="C1629">
        <v>2336</v>
      </c>
      <c r="D1629" t="s">
        <v>13804</v>
      </c>
      <c r="E1629" t="s">
        <v>3948</v>
      </c>
      <c r="F1629" t="s">
        <v>17</v>
      </c>
      <c r="G1629" t="s">
        <v>13805</v>
      </c>
      <c r="H1629">
        <v>20.55</v>
      </c>
      <c r="I1629">
        <v>0</v>
      </c>
      <c r="J1629">
        <v>0</v>
      </c>
      <c r="K1629">
        <v>20</v>
      </c>
      <c r="L1629">
        <v>7</v>
      </c>
      <c r="N1629">
        <v>3</v>
      </c>
      <c r="O1629">
        <v>10</v>
      </c>
      <c r="P1629">
        <v>4</v>
      </c>
      <c r="Q1629">
        <v>2</v>
      </c>
      <c r="R1629">
        <v>56.55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H1629">
        <v>56.55</v>
      </c>
    </row>
    <row r="1630" spans="1:34" x14ac:dyDescent="0.3">
      <c r="A1630" s="4">
        <v>1843</v>
      </c>
      <c r="B1630" s="5">
        <v>1623</v>
      </c>
      <c r="C1630">
        <v>5823</v>
      </c>
      <c r="D1630" t="s">
        <v>13806</v>
      </c>
      <c r="E1630" t="s">
        <v>132</v>
      </c>
      <c r="F1630" t="s">
        <v>68</v>
      </c>
      <c r="G1630" t="s">
        <v>13807</v>
      </c>
      <c r="H1630">
        <v>20.53</v>
      </c>
      <c r="I1630">
        <v>0</v>
      </c>
      <c r="J1630">
        <v>0</v>
      </c>
      <c r="K1630">
        <v>20</v>
      </c>
      <c r="L1630">
        <v>7</v>
      </c>
      <c r="M1630">
        <v>5</v>
      </c>
      <c r="O1630">
        <v>12</v>
      </c>
      <c r="P1630">
        <v>4</v>
      </c>
      <c r="Q1630">
        <v>0</v>
      </c>
      <c r="R1630">
        <v>56.53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H1630">
        <v>56.53</v>
      </c>
    </row>
    <row r="1631" spans="1:34" x14ac:dyDescent="0.3">
      <c r="A1631" s="4">
        <v>1844</v>
      </c>
      <c r="B1631" s="5">
        <v>1624</v>
      </c>
      <c r="C1631">
        <v>3936</v>
      </c>
      <c r="D1631" t="s">
        <v>13808</v>
      </c>
      <c r="E1631" t="s">
        <v>30</v>
      </c>
      <c r="F1631" t="s">
        <v>81</v>
      </c>
      <c r="G1631" t="s">
        <v>13809</v>
      </c>
      <c r="H1631">
        <v>18.53</v>
      </c>
      <c r="I1631">
        <v>0</v>
      </c>
      <c r="J1631">
        <v>0</v>
      </c>
      <c r="K1631">
        <v>20</v>
      </c>
      <c r="L1631">
        <v>14</v>
      </c>
      <c r="O1631">
        <v>14</v>
      </c>
      <c r="P1631">
        <v>4</v>
      </c>
      <c r="Q1631">
        <v>0</v>
      </c>
      <c r="R1631">
        <v>56.53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H1631">
        <v>56.53</v>
      </c>
    </row>
    <row r="1632" spans="1:34" x14ac:dyDescent="0.3">
      <c r="A1632" s="4">
        <v>1845</v>
      </c>
      <c r="B1632" s="5">
        <v>1625</v>
      </c>
      <c r="C1632">
        <v>1285</v>
      </c>
      <c r="D1632" t="s">
        <v>13810</v>
      </c>
      <c r="E1632" t="s">
        <v>132</v>
      </c>
      <c r="F1632" t="s">
        <v>62</v>
      </c>
      <c r="G1632" t="s">
        <v>13811</v>
      </c>
      <c r="H1632">
        <v>20.5</v>
      </c>
      <c r="I1632">
        <v>0</v>
      </c>
      <c r="J1632">
        <v>0</v>
      </c>
      <c r="K1632">
        <v>20</v>
      </c>
      <c r="L1632">
        <v>7</v>
      </c>
      <c r="M1632">
        <v>5</v>
      </c>
      <c r="O1632">
        <v>12</v>
      </c>
      <c r="P1632">
        <v>4</v>
      </c>
      <c r="Q1632">
        <v>0</v>
      </c>
      <c r="R1632">
        <v>56.5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H1632">
        <v>56.5</v>
      </c>
    </row>
    <row r="1633" spans="1:34" x14ac:dyDescent="0.3">
      <c r="A1633" s="4">
        <v>1846</v>
      </c>
      <c r="B1633" s="5">
        <v>1626</v>
      </c>
      <c r="C1633">
        <v>1835</v>
      </c>
      <c r="D1633" t="s">
        <v>13812</v>
      </c>
      <c r="E1633" t="s">
        <v>41</v>
      </c>
      <c r="F1633" t="s">
        <v>52</v>
      </c>
      <c r="G1633" t="s">
        <v>13813</v>
      </c>
      <c r="H1633">
        <v>18.5</v>
      </c>
      <c r="I1633">
        <v>0</v>
      </c>
      <c r="J1633">
        <v>0</v>
      </c>
      <c r="K1633">
        <v>20</v>
      </c>
      <c r="L1633">
        <v>14</v>
      </c>
      <c r="O1633">
        <v>14</v>
      </c>
      <c r="P1633">
        <v>4</v>
      </c>
      <c r="Q1633">
        <v>0</v>
      </c>
      <c r="R1633">
        <v>56.5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H1633">
        <v>56.5</v>
      </c>
    </row>
    <row r="1634" spans="1:34" x14ac:dyDescent="0.3">
      <c r="A1634" s="4">
        <v>1847</v>
      </c>
      <c r="B1634" s="5">
        <v>1627</v>
      </c>
      <c r="C1634">
        <v>1135</v>
      </c>
      <c r="D1634" t="s">
        <v>13814</v>
      </c>
      <c r="E1634" t="s">
        <v>51</v>
      </c>
      <c r="F1634" t="s">
        <v>649</v>
      </c>
      <c r="G1634" t="s">
        <v>13815</v>
      </c>
      <c r="H1634">
        <v>20.48</v>
      </c>
      <c r="I1634">
        <v>0</v>
      </c>
      <c r="J1634">
        <v>0</v>
      </c>
      <c r="K1634">
        <v>0</v>
      </c>
      <c r="M1634">
        <v>5</v>
      </c>
      <c r="O1634">
        <v>5</v>
      </c>
      <c r="P1634">
        <v>4</v>
      </c>
      <c r="Q1634">
        <v>2</v>
      </c>
      <c r="R1634">
        <v>31.48</v>
      </c>
      <c r="S1634">
        <v>25</v>
      </c>
      <c r="T1634">
        <v>25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25</v>
      </c>
      <c r="AB1634">
        <v>0</v>
      </c>
      <c r="AC1634">
        <v>0</v>
      </c>
      <c r="AH1634">
        <v>56.48</v>
      </c>
    </row>
    <row r="1635" spans="1:34" x14ac:dyDescent="0.3">
      <c r="A1635" s="4">
        <v>1848</v>
      </c>
      <c r="B1635" s="5">
        <v>1628</v>
      </c>
      <c r="C1635">
        <v>5062</v>
      </c>
      <c r="D1635" t="s">
        <v>13816</v>
      </c>
      <c r="E1635" t="s">
        <v>167</v>
      </c>
      <c r="F1635" t="s">
        <v>30</v>
      </c>
      <c r="G1635" t="s">
        <v>13817</v>
      </c>
      <c r="H1635">
        <v>17.649999999999999</v>
      </c>
      <c r="I1635">
        <v>0</v>
      </c>
      <c r="J1635">
        <v>0</v>
      </c>
      <c r="K1635">
        <v>0</v>
      </c>
      <c r="M1635">
        <v>5</v>
      </c>
      <c r="N1635">
        <v>3</v>
      </c>
      <c r="O1635">
        <v>8</v>
      </c>
      <c r="P1635">
        <v>4</v>
      </c>
      <c r="Q1635">
        <v>0</v>
      </c>
      <c r="R1635">
        <v>29.65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26.8</v>
      </c>
      <c r="AH1635">
        <v>56.45</v>
      </c>
    </row>
    <row r="1636" spans="1:34" x14ac:dyDescent="0.3">
      <c r="A1636" s="4">
        <v>1849</v>
      </c>
      <c r="B1636" s="5">
        <v>1629</v>
      </c>
      <c r="C1636">
        <v>1197</v>
      </c>
      <c r="D1636" t="s">
        <v>4413</v>
      </c>
      <c r="E1636" t="s">
        <v>13818</v>
      </c>
      <c r="F1636" t="s">
        <v>17</v>
      </c>
      <c r="G1636" t="s">
        <v>13819</v>
      </c>
      <c r="H1636">
        <v>19.45</v>
      </c>
      <c r="I1636">
        <v>0</v>
      </c>
      <c r="J1636">
        <v>0</v>
      </c>
      <c r="K1636">
        <v>0</v>
      </c>
      <c r="N1636">
        <v>3</v>
      </c>
      <c r="O1636">
        <v>3</v>
      </c>
      <c r="P1636">
        <v>0</v>
      </c>
      <c r="Q1636">
        <v>0</v>
      </c>
      <c r="R1636">
        <v>22.45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34</v>
      </c>
      <c r="AH1636">
        <v>56.45</v>
      </c>
    </row>
    <row r="1637" spans="1:34" x14ac:dyDescent="0.3">
      <c r="A1637" s="4">
        <v>1850</v>
      </c>
      <c r="B1637" s="5">
        <v>1630</v>
      </c>
      <c r="C1637">
        <v>9799</v>
      </c>
      <c r="D1637" t="s">
        <v>13820</v>
      </c>
      <c r="E1637" t="s">
        <v>1189</v>
      </c>
      <c r="F1637" t="s">
        <v>117</v>
      </c>
      <c r="G1637" t="s">
        <v>13821</v>
      </c>
      <c r="H1637">
        <v>21.45</v>
      </c>
      <c r="I1637">
        <v>0</v>
      </c>
      <c r="J1637">
        <v>0</v>
      </c>
      <c r="K1637">
        <v>20</v>
      </c>
      <c r="L1637">
        <v>7</v>
      </c>
      <c r="O1637">
        <v>7</v>
      </c>
      <c r="P1637">
        <v>4</v>
      </c>
      <c r="Q1637">
        <v>0</v>
      </c>
      <c r="R1637">
        <v>52.45</v>
      </c>
      <c r="S1637">
        <v>4</v>
      </c>
      <c r="T1637">
        <v>4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4</v>
      </c>
      <c r="AB1637">
        <v>0</v>
      </c>
      <c r="AC1637">
        <v>0</v>
      </c>
      <c r="AH1637">
        <v>56.45</v>
      </c>
    </row>
    <row r="1638" spans="1:34" x14ac:dyDescent="0.3">
      <c r="A1638" s="4">
        <v>1851</v>
      </c>
      <c r="B1638" s="5">
        <v>1631</v>
      </c>
      <c r="C1638">
        <v>1607</v>
      </c>
      <c r="D1638" t="s">
        <v>7920</v>
      </c>
      <c r="E1638" t="s">
        <v>166</v>
      </c>
      <c r="F1638" t="s">
        <v>230</v>
      </c>
      <c r="G1638" t="s">
        <v>13822</v>
      </c>
      <c r="H1638">
        <v>18.38</v>
      </c>
      <c r="I1638">
        <v>0</v>
      </c>
      <c r="J1638">
        <v>0</v>
      </c>
      <c r="K1638">
        <v>20</v>
      </c>
      <c r="L1638">
        <v>14</v>
      </c>
      <c r="O1638">
        <v>14</v>
      </c>
      <c r="P1638">
        <v>4</v>
      </c>
      <c r="Q1638">
        <v>0</v>
      </c>
      <c r="R1638">
        <v>56.38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H1638">
        <v>56.38</v>
      </c>
    </row>
    <row r="1639" spans="1:34" x14ac:dyDescent="0.3">
      <c r="A1639" s="4">
        <v>1852</v>
      </c>
      <c r="B1639" s="5">
        <v>1632</v>
      </c>
      <c r="C1639">
        <v>2743</v>
      </c>
      <c r="D1639" t="s">
        <v>7118</v>
      </c>
      <c r="E1639" t="s">
        <v>213</v>
      </c>
      <c r="F1639" t="s">
        <v>381</v>
      </c>
      <c r="G1639" t="s">
        <v>13823</v>
      </c>
      <c r="H1639">
        <v>16.350000000000001</v>
      </c>
      <c r="I1639">
        <v>7</v>
      </c>
      <c r="J1639">
        <v>0</v>
      </c>
      <c r="K1639">
        <v>20</v>
      </c>
      <c r="M1639">
        <v>5</v>
      </c>
      <c r="N1639">
        <v>3</v>
      </c>
      <c r="O1639">
        <v>8</v>
      </c>
      <c r="P1639">
        <v>4</v>
      </c>
      <c r="Q1639">
        <v>0</v>
      </c>
      <c r="R1639">
        <v>55.35</v>
      </c>
      <c r="S1639">
        <v>1</v>
      </c>
      <c r="T1639">
        <v>1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1</v>
      </c>
      <c r="AB1639">
        <v>0</v>
      </c>
      <c r="AC1639">
        <v>0</v>
      </c>
      <c r="AH1639">
        <v>56.35</v>
      </c>
    </row>
    <row r="1640" spans="1:34" x14ac:dyDescent="0.3">
      <c r="A1640" s="4">
        <v>1853</v>
      </c>
      <c r="B1640" s="5">
        <v>1633</v>
      </c>
      <c r="C1640">
        <v>178</v>
      </c>
      <c r="D1640" t="s">
        <v>13824</v>
      </c>
      <c r="E1640" t="s">
        <v>403</v>
      </c>
      <c r="F1640" t="s">
        <v>17</v>
      </c>
      <c r="G1640" t="s">
        <v>13825</v>
      </c>
      <c r="H1640">
        <v>18.329999999999998</v>
      </c>
      <c r="I1640">
        <v>0</v>
      </c>
      <c r="J1640">
        <v>0</v>
      </c>
      <c r="K1640">
        <v>20</v>
      </c>
      <c r="L1640">
        <v>7</v>
      </c>
      <c r="O1640">
        <v>7</v>
      </c>
      <c r="P1640">
        <v>4</v>
      </c>
      <c r="Q1640">
        <v>0</v>
      </c>
      <c r="R1640">
        <v>49.33</v>
      </c>
      <c r="S1640">
        <v>4</v>
      </c>
      <c r="T1640">
        <v>4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4</v>
      </c>
      <c r="AB1640">
        <v>3</v>
      </c>
      <c r="AC1640">
        <v>0</v>
      </c>
      <c r="AH1640">
        <v>56.33</v>
      </c>
    </row>
    <row r="1641" spans="1:34" x14ac:dyDescent="0.3">
      <c r="A1641" s="4">
        <v>1854</v>
      </c>
      <c r="B1641" s="5">
        <v>1634</v>
      </c>
      <c r="C1641">
        <v>4167</v>
      </c>
      <c r="D1641" t="s">
        <v>13826</v>
      </c>
      <c r="E1641" t="s">
        <v>1426</v>
      </c>
      <c r="F1641" t="s">
        <v>13827</v>
      </c>
      <c r="G1641" t="s">
        <v>13828</v>
      </c>
      <c r="H1641">
        <v>19.329999999999998</v>
      </c>
      <c r="I1641">
        <v>0</v>
      </c>
      <c r="J1641">
        <v>0</v>
      </c>
      <c r="K1641">
        <v>20</v>
      </c>
      <c r="L1641">
        <v>7</v>
      </c>
      <c r="O1641">
        <v>7</v>
      </c>
      <c r="P1641">
        <v>4</v>
      </c>
      <c r="Q1641">
        <v>0</v>
      </c>
      <c r="R1641">
        <v>50.33</v>
      </c>
      <c r="S1641">
        <v>6</v>
      </c>
      <c r="T1641">
        <v>6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6</v>
      </c>
      <c r="AB1641">
        <v>0</v>
      </c>
      <c r="AC1641">
        <v>0</v>
      </c>
      <c r="AH1641">
        <v>56.33</v>
      </c>
    </row>
    <row r="1642" spans="1:34" x14ac:dyDescent="0.3">
      <c r="A1642" s="4">
        <v>1855</v>
      </c>
      <c r="B1642" s="5">
        <v>1635</v>
      </c>
      <c r="C1642">
        <v>7645</v>
      </c>
      <c r="D1642" t="s">
        <v>6767</v>
      </c>
      <c r="E1642" t="s">
        <v>41</v>
      </c>
      <c r="F1642" t="s">
        <v>442</v>
      </c>
      <c r="G1642" t="s">
        <v>13829</v>
      </c>
      <c r="H1642">
        <v>17.3</v>
      </c>
      <c r="I1642">
        <v>0</v>
      </c>
      <c r="J1642">
        <v>0</v>
      </c>
      <c r="K1642">
        <v>20</v>
      </c>
      <c r="O1642">
        <v>0</v>
      </c>
      <c r="P1642">
        <v>4</v>
      </c>
      <c r="Q1642">
        <v>2</v>
      </c>
      <c r="R1642">
        <v>43.3</v>
      </c>
      <c r="S1642">
        <v>13</v>
      </c>
      <c r="T1642">
        <v>13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13</v>
      </c>
      <c r="AB1642">
        <v>0</v>
      </c>
      <c r="AC1642">
        <v>0</v>
      </c>
      <c r="AH1642">
        <v>56.3</v>
      </c>
    </row>
    <row r="1643" spans="1:34" x14ac:dyDescent="0.3">
      <c r="A1643" s="4">
        <v>1856</v>
      </c>
      <c r="B1643" s="5">
        <v>1636</v>
      </c>
      <c r="C1643">
        <v>7611</v>
      </c>
      <c r="D1643" t="s">
        <v>2416</v>
      </c>
      <c r="E1643" t="s">
        <v>789</v>
      </c>
      <c r="F1643" t="s">
        <v>38</v>
      </c>
      <c r="G1643" t="s">
        <v>13830</v>
      </c>
      <c r="H1643">
        <v>22.3</v>
      </c>
      <c r="I1643">
        <v>0</v>
      </c>
      <c r="J1643">
        <v>0</v>
      </c>
      <c r="K1643">
        <v>0</v>
      </c>
      <c r="N1643">
        <v>3</v>
      </c>
      <c r="O1643">
        <v>3</v>
      </c>
      <c r="P1643">
        <v>4</v>
      </c>
      <c r="Q1643">
        <v>2</v>
      </c>
      <c r="R1643">
        <v>31.3</v>
      </c>
      <c r="S1643">
        <v>25</v>
      </c>
      <c r="T1643">
        <v>25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25</v>
      </c>
      <c r="AB1643">
        <v>0</v>
      </c>
      <c r="AC1643">
        <v>0</v>
      </c>
      <c r="AH1643">
        <v>56.3</v>
      </c>
    </row>
    <row r="1644" spans="1:34" x14ac:dyDescent="0.3">
      <c r="A1644" s="4">
        <v>1857</v>
      </c>
      <c r="B1644" s="5">
        <v>1637</v>
      </c>
      <c r="C1644">
        <v>5966</v>
      </c>
      <c r="D1644" t="s">
        <v>13831</v>
      </c>
      <c r="E1644" t="s">
        <v>178</v>
      </c>
      <c r="F1644" t="s">
        <v>136</v>
      </c>
      <c r="G1644" t="s">
        <v>13832</v>
      </c>
      <c r="H1644">
        <v>16.25</v>
      </c>
      <c r="I1644">
        <v>0</v>
      </c>
      <c r="J1644">
        <v>0</v>
      </c>
      <c r="K1644">
        <v>20</v>
      </c>
      <c r="L1644">
        <v>7</v>
      </c>
      <c r="N1644">
        <v>3</v>
      </c>
      <c r="O1644">
        <v>10</v>
      </c>
      <c r="P1644">
        <v>4</v>
      </c>
      <c r="Q1644">
        <v>0</v>
      </c>
      <c r="R1644">
        <v>50.25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6</v>
      </c>
      <c r="AC1644">
        <v>0</v>
      </c>
      <c r="AD1644" t="s">
        <v>130</v>
      </c>
      <c r="AH1644">
        <v>56.25</v>
      </c>
    </row>
    <row r="1645" spans="1:34" x14ac:dyDescent="0.3">
      <c r="A1645" s="4">
        <v>1858</v>
      </c>
      <c r="B1645" s="5">
        <v>1638</v>
      </c>
      <c r="C1645">
        <v>7571</v>
      </c>
      <c r="D1645" t="s">
        <v>13833</v>
      </c>
      <c r="E1645" t="s">
        <v>13834</v>
      </c>
      <c r="F1645" t="s">
        <v>13835</v>
      </c>
      <c r="G1645" t="s">
        <v>13836</v>
      </c>
      <c r="H1645">
        <v>16.25</v>
      </c>
      <c r="I1645">
        <v>0</v>
      </c>
      <c r="J1645">
        <v>0</v>
      </c>
      <c r="K1645">
        <v>0</v>
      </c>
      <c r="L1645">
        <v>7</v>
      </c>
      <c r="O1645">
        <v>7</v>
      </c>
      <c r="P1645">
        <v>4</v>
      </c>
      <c r="Q1645">
        <v>2</v>
      </c>
      <c r="R1645">
        <v>29.25</v>
      </c>
      <c r="S1645">
        <v>21</v>
      </c>
      <c r="T1645">
        <v>21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21</v>
      </c>
      <c r="AB1645">
        <v>6</v>
      </c>
      <c r="AC1645">
        <v>0</v>
      </c>
      <c r="AH1645">
        <v>56.25</v>
      </c>
    </row>
    <row r="1646" spans="1:34" x14ac:dyDescent="0.3">
      <c r="A1646" s="4">
        <v>1859</v>
      </c>
      <c r="B1646" s="5">
        <v>1639</v>
      </c>
      <c r="C1646">
        <v>954</v>
      </c>
      <c r="D1646" t="s">
        <v>10165</v>
      </c>
      <c r="E1646" t="s">
        <v>471</v>
      </c>
      <c r="F1646" t="s">
        <v>1023</v>
      </c>
      <c r="G1646" t="s">
        <v>13837</v>
      </c>
      <c r="H1646">
        <v>16.25</v>
      </c>
      <c r="I1646">
        <v>0</v>
      </c>
      <c r="J1646">
        <v>0</v>
      </c>
      <c r="K1646">
        <v>28</v>
      </c>
      <c r="L1646">
        <v>7</v>
      </c>
      <c r="M1646">
        <v>5</v>
      </c>
      <c r="O1646">
        <v>12</v>
      </c>
      <c r="P1646">
        <v>0</v>
      </c>
      <c r="Q1646">
        <v>0</v>
      </c>
      <c r="R1646">
        <v>56.25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H1646">
        <v>56.25</v>
      </c>
    </row>
    <row r="1647" spans="1:34" x14ac:dyDescent="0.3">
      <c r="A1647" s="4">
        <v>1860</v>
      </c>
      <c r="B1647" s="5">
        <v>1640</v>
      </c>
      <c r="C1647">
        <v>10267</v>
      </c>
      <c r="D1647" t="s">
        <v>9403</v>
      </c>
      <c r="E1647" t="s">
        <v>9404</v>
      </c>
      <c r="F1647" t="s">
        <v>68</v>
      </c>
      <c r="G1647" t="s">
        <v>9405</v>
      </c>
      <c r="H1647">
        <v>16.25</v>
      </c>
      <c r="I1647">
        <v>7</v>
      </c>
      <c r="J1647">
        <v>0</v>
      </c>
      <c r="K1647">
        <v>20</v>
      </c>
      <c r="L1647">
        <v>7</v>
      </c>
      <c r="O1647">
        <v>7</v>
      </c>
      <c r="P1647">
        <v>4</v>
      </c>
      <c r="Q1647">
        <v>2</v>
      </c>
      <c r="R1647">
        <v>56.25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H1647">
        <v>56.25</v>
      </c>
    </row>
    <row r="1648" spans="1:34" x14ac:dyDescent="0.3">
      <c r="A1648" s="4">
        <v>1861</v>
      </c>
      <c r="B1648" s="5">
        <v>1641</v>
      </c>
      <c r="C1648">
        <v>1089</v>
      </c>
      <c r="D1648" t="s">
        <v>13838</v>
      </c>
      <c r="E1648" t="s">
        <v>4963</v>
      </c>
      <c r="F1648" t="s">
        <v>801</v>
      </c>
      <c r="G1648" t="s">
        <v>13839</v>
      </c>
      <c r="H1648">
        <v>19.23</v>
      </c>
      <c r="I1648">
        <v>0</v>
      </c>
      <c r="J1648">
        <v>0</v>
      </c>
      <c r="K1648">
        <v>20</v>
      </c>
      <c r="L1648">
        <v>7</v>
      </c>
      <c r="O1648">
        <v>7</v>
      </c>
      <c r="P1648">
        <v>4</v>
      </c>
      <c r="Q1648">
        <v>0</v>
      </c>
      <c r="R1648">
        <v>50.23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6</v>
      </c>
      <c r="AC1648">
        <v>0</v>
      </c>
      <c r="AH1648">
        <v>56.23</v>
      </c>
    </row>
    <row r="1649" spans="1:34" x14ac:dyDescent="0.3">
      <c r="A1649" s="4">
        <v>1862</v>
      </c>
      <c r="B1649" s="5">
        <v>1642</v>
      </c>
      <c r="C1649">
        <v>1351</v>
      </c>
      <c r="D1649" t="s">
        <v>13840</v>
      </c>
      <c r="E1649" t="s">
        <v>1975</v>
      </c>
      <c r="F1649" t="s">
        <v>117</v>
      </c>
      <c r="G1649" t="s">
        <v>13841</v>
      </c>
      <c r="H1649">
        <v>18.23</v>
      </c>
      <c r="I1649">
        <v>0</v>
      </c>
      <c r="J1649">
        <v>0</v>
      </c>
      <c r="K1649">
        <v>20</v>
      </c>
      <c r="L1649">
        <v>7</v>
      </c>
      <c r="O1649">
        <v>7</v>
      </c>
      <c r="P1649">
        <v>4</v>
      </c>
      <c r="Q1649">
        <v>2</v>
      </c>
      <c r="R1649">
        <v>51.23</v>
      </c>
      <c r="S1649">
        <v>5</v>
      </c>
      <c r="T1649">
        <v>5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5</v>
      </c>
      <c r="AB1649">
        <v>0</v>
      </c>
      <c r="AC1649">
        <v>0</v>
      </c>
      <c r="AH1649">
        <v>56.23</v>
      </c>
    </row>
    <row r="1650" spans="1:34" x14ac:dyDescent="0.3">
      <c r="A1650" s="4">
        <v>1863</v>
      </c>
      <c r="B1650" s="5">
        <v>1643</v>
      </c>
      <c r="C1650">
        <v>9692</v>
      </c>
      <c r="D1650" t="s">
        <v>13842</v>
      </c>
      <c r="E1650" t="s">
        <v>1043</v>
      </c>
      <c r="F1650" t="s">
        <v>158</v>
      </c>
      <c r="G1650" t="s">
        <v>13843</v>
      </c>
      <c r="H1650">
        <v>18.23</v>
      </c>
      <c r="I1650">
        <v>0</v>
      </c>
      <c r="J1650">
        <v>0</v>
      </c>
      <c r="K1650">
        <v>20</v>
      </c>
      <c r="M1650">
        <v>5</v>
      </c>
      <c r="N1650">
        <v>3</v>
      </c>
      <c r="O1650">
        <v>8</v>
      </c>
      <c r="P1650">
        <v>4</v>
      </c>
      <c r="Q1650">
        <v>0</v>
      </c>
      <c r="R1650">
        <v>50.23</v>
      </c>
      <c r="S1650">
        <v>6</v>
      </c>
      <c r="T1650">
        <v>6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6</v>
      </c>
      <c r="AB1650">
        <v>0</v>
      </c>
      <c r="AC1650">
        <v>0</v>
      </c>
      <c r="AH1650">
        <v>56.23</v>
      </c>
    </row>
    <row r="1651" spans="1:34" x14ac:dyDescent="0.3">
      <c r="A1651" s="4">
        <v>1864</v>
      </c>
      <c r="B1651" s="5">
        <v>1644</v>
      </c>
      <c r="C1651">
        <v>11332</v>
      </c>
      <c r="D1651" t="s">
        <v>2772</v>
      </c>
      <c r="E1651" t="s">
        <v>182</v>
      </c>
      <c r="F1651" t="s">
        <v>68</v>
      </c>
      <c r="G1651" t="s">
        <v>13844</v>
      </c>
      <c r="H1651">
        <v>22.2</v>
      </c>
      <c r="I1651">
        <v>0</v>
      </c>
      <c r="J1651">
        <v>0</v>
      </c>
      <c r="K1651">
        <v>20</v>
      </c>
      <c r="L1651">
        <v>7</v>
      </c>
      <c r="N1651">
        <v>3</v>
      </c>
      <c r="O1651">
        <v>10</v>
      </c>
      <c r="P1651">
        <v>4</v>
      </c>
      <c r="Q1651">
        <v>0</v>
      </c>
      <c r="R1651">
        <v>56.2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H1651">
        <v>56.2</v>
      </c>
    </row>
    <row r="1652" spans="1:34" x14ac:dyDescent="0.3">
      <c r="A1652" s="4">
        <v>1865</v>
      </c>
      <c r="B1652" s="5">
        <v>1645</v>
      </c>
      <c r="C1652">
        <v>12361</v>
      </c>
      <c r="D1652" t="s">
        <v>13845</v>
      </c>
      <c r="E1652" t="s">
        <v>157</v>
      </c>
      <c r="F1652" t="s">
        <v>17</v>
      </c>
      <c r="G1652" t="s">
        <v>13846</v>
      </c>
      <c r="H1652">
        <v>20.2</v>
      </c>
      <c r="I1652">
        <v>0</v>
      </c>
      <c r="J1652">
        <v>0</v>
      </c>
      <c r="K1652">
        <v>20</v>
      </c>
      <c r="L1652">
        <v>7</v>
      </c>
      <c r="M1652">
        <v>5</v>
      </c>
      <c r="O1652">
        <v>12</v>
      </c>
      <c r="P1652">
        <v>4</v>
      </c>
      <c r="Q1652">
        <v>0</v>
      </c>
      <c r="R1652">
        <v>56.2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H1652">
        <v>56.2</v>
      </c>
    </row>
    <row r="1653" spans="1:34" x14ac:dyDescent="0.3">
      <c r="A1653" s="4">
        <v>1866</v>
      </c>
      <c r="B1653" s="5">
        <v>1646</v>
      </c>
      <c r="C1653">
        <v>7221</v>
      </c>
      <c r="D1653" t="s">
        <v>2484</v>
      </c>
      <c r="E1653" t="s">
        <v>41</v>
      </c>
      <c r="F1653" t="s">
        <v>539</v>
      </c>
      <c r="G1653" t="s">
        <v>13847</v>
      </c>
      <c r="H1653">
        <v>19.2</v>
      </c>
      <c r="I1653">
        <v>0</v>
      </c>
      <c r="J1653">
        <v>0</v>
      </c>
      <c r="K1653">
        <v>20</v>
      </c>
      <c r="N1653">
        <v>6</v>
      </c>
      <c r="O1653">
        <v>6</v>
      </c>
      <c r="P1653">
        <v>0</v>
      </c>
      <c r="Q1653">
        <v>0</v>
      </c>
      <c r="R1653">
        <v>45.2</v>
      </c>
      <c r="S1653">
        <v>11</v>
      </c>
      <c r="T1653">
        <v>11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11</v>
      </c>
      <c r="AB1653">
        <v>0</v>
      </c>
      <c r="AC1653">
        <v>0</v>
      </c>
      <c r="AH1653">
        <v>56.2</v>
      </c>
    </row>
    <row r="1654" spans="1:34" x14ac:dyDescent="0.3">
      <c r="A1654" s="4">
        <v>1867</v>
      </c>
      <c r="B1654" s="5">
        <v>1647</v>
      </c>
      <c r="C1654">
        <v>14284</v>
      </c>
      <c r="D1654" t="s">
        <v>13848</v>
      </c>
      <c r="E1654" t="s">
        <v>2643</v>
      </c>
      <c r="F1654" t="s">
        <v>20</v>
      </c>
      <c r="G1654" t="s">
        <v>13849</v>
      </c>
      <c r="H1654">
        <v>18.18</v>
      </c>
      <c r="I1654">
        <v>0</v>
      </c>
      <c r="J1654">
        <v>0</v>
      </c>
      <c r="K1654">
        <v>20</v>
      </c>
      <c r="N1654">
        <v>3</v>
      </c>
      <c r="O1654">
        <v>3</v>
      </c>
      <c r="P1654">
        <v>4</v>
      </c>
      <c r="Q1654">
        <v>0</v>
      </c>
      <c r="R1654">
        <v>45.18</v>
      </c>
      <c r="S1654">
        <v>11</v>
      </c>
      <c r="T1654">
        <v>11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11</v>
      </c>
      <c r="AB1654">
        <v>0</v>
      </c>
      <c r="AC1654">
        <v>0</v>
      </c>
      <c r="AH1654">
        <v>56.18</v>
      </c>
    </row>
    <row r="1655" spans="1:34" x14ac:dyDescent="0.3">
      <c r="A1655" s="4">
        <v>1868</v>
      </c>
      <c r="B1655" s="5">
        <v>1648</v>
      </c>
      <c r="C1655">
        <v>9351</v>
      </c>
      <c r="D1655" t="s">
        <v>11984</v>
      </c>
      <c r="E1655" t="s">
        <v>188</v>
      </c>
      <c r="F1655" t="s">
        <v>158</v>
      </c>
      <c r="G1655" t="s">
        <v>13850</v>
      </c>
      <c r="H1655">
        <v>17.18</v>
      </c>
      <c r="I1655">
        <v>0</v>
      </c>
      <c r="J1655">
        <v>0</v>
      </c>
      <c r="K1655">
        <v>0</v>
      </c>
      <c r="L1655">
        <v>7</v>
      </c>
      <c r="O1655">
        <v>7</v>
      </c>
      <c r="P1655">
        <v>4</v>
      </c>
      <c r="Q1655">
        <v>2</v>
      </c>
      <c r="R1655">
        <v>30.18</v>
      </c>
      <c r="S1655">
        <v>0</v>
      </c>
      <c r="T1655">
        <v>0</v>
      </c>
      <c r="U1655">
        <v>13</v>
      </c>
      <c r="V1655">
        <v>26</v>
      </c>
      <c r="W1655">
        <v>0</v>
      </c>
      <c r="X1655">
        <v>0</v>
      </c>
      <c r="Y1655">
        <v>0</v>
      </c>
      <c r="Z1655">
        <v>0</v>
      </c>
      <c r="AA1655">
        <v>26</v>
      </c>
      <c r="AB1655">
        <v>0</v>
      </c>
      <c r="AC1655">
        <v>0</v>
      </c>
      <c r="AH1655">
        <v>56.18</v>
      </c>
    </row>
    <row r="1656" spans="1:34" x14ac:dyDescent="0.3">
      <c r="A1656" s="4">
        <v>1869</v>
      </c>
      <c r="B1656" s="5">
        <v>1649</v>
      </c>
      <c r="C1656">
        <v>13589</v>
      </c>
      <c r="D1656" t="s">
        <v>380</v>
      </c>
      <c r="E1656" t="s">
        <v>33</v>
      </c>
      <c r="F1656" t="s">
        <v>81</v>
      </c>
      <c r="G1656" t="s">
        <v>13851</v>
      </c>
      <c r="H1656">
        <v>17.13</v>
      </c>
      <c r="I1656">
        <v>0</v>
      </c>
      <c r="J1656">
        <v>0</v>
      </c>
      <c r="K1656">
        <v>20</v>
      </c>
      <c r="L1656">
        <v>7</v>
      </c>
      <c r="O1656">
        <v>7</v>
      </c>
      <c r="P1656">
        <v>4</v>
      </c>
      <c r="Q1656">
        <v>2</v>
      </c>
      <c r="R1656">
        <v>50.13</v>
      </c>
      <c r="S1656">
        <v>6</v>
      </c>
      <c r="T1656">
        <v>6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6</v>
      </c>
      <c r="AB1656">
        <v>0</v>
      </c>
      <c r="AC1656">
        <v>0</v>
      </c>
      <c r="AD1656" t="s">
        <v>130</v>
      </c>
      <c r="AH1656">
        <v>56.13</v>
      </c>
    </row>
    <row r="1657" spans="1:34" x14ac:dyDescent="0.3">
      <c r="A1657" s="4">
        <v>1870</v>
      </c>
      <c r="B1657" s="5">
        <v>1650</v>
      </c>
      <c r="C1657">
        <v>1405</v>
      </c>
      <c r="D1657" t="s">
        <v>13852</v>
      </c>
      <c r="E1657" t="s">
        <v>789</v>
      </c>
      <c r="F1657" t="s">
        <v>343</v>
      </c>
      <c r="G1657" t="s">
        <v>13853</v>
      </c>
      <c r="H1657">
        <v>17.13</v>
      </c>
      <c r="I1657">
        <v>0</v>
      </c>
      <c r="J1657">
        <v>0</v>
      </c>
      <c r="K1657">
        <v>0</v>
      </c>
      <c r="L1657">
        <v>7</v>
      </c>
      <c r="M1657">
        <v>5</v>
      </c>
      <c r="O1657">
        <v>12</v>
      </c>
      <c r="P1657">
        <v>4</v>
      </c>
      <c r="Q1657">
        <v>2</v>
      </c>
      <c r="R1657">
        <v>35.130000000000003</v>
      </c>
      <c r="S1657">
        <v>21</v>
      </c>
      <c r="T1657">
        <v>21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21</v>
      </c>
      <c r="AB1657">
        <v>0</v>
      </c>
      <c r="AC1657">
        <v>0</v>
      </c>
      <c r="AH1657">
        <v>56.13</v>
      </c>
    </row>
    <row r="1658" spans="1:34" x14ac:dyDescent="0.3">
      <c r="A1658" s="4">
        <v>1871</v>
      </c>
      <c r="B1658" s="5">
        <v>1651</v>
      </c>
      <c r="C1658">
        <v>7939</v>
      </c>
      <c r="D1658" t="s">
        <v>13854</v>
      </c>
      <c r="E1658" t="s">
        <v>88</v>
      </c>
      <c r="F1658" t="s">
        <v>190</v>
      </c>
      <c r="G1658" t="s">
        <v>13855</v>
      </c>
      <c r="H1658">
        <v>22.1</v>
      </c>
      <c r="I1658">
        <v>0</v>
      </c>
      <c r="J1658">
        <v>0</v>
      </c>
      <c r="K1658">
        <v>20</v>
      </c>
      <c r="L1658">
        <v>7</v>
      </c>
      <c r="M1658">
        <v>5</v>
      </c>
      <c r="O1658">
        <v>12</v>
      </c>
      <c r="P1658">
        <v>0</v>
      </c>
      <c r="Q1658">
        <v>0</v>
      </c>
      <c r="R1658">
        <v>54.1</v>
      </c>
      <c r="S1658">
        <v>2</v>
      </c>
      <c r="T1658">
        <v>2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2</v>
      </c>
      <c r="AB1658">
        <v>0</v>
      </c>
      <c r="AC1658">
        <v>0</v>
      </c>
      <c r="AH1658">
        <v>56.1</v>
      </c>
    </row>
    <row r="1659" spans="1:34" x14ac:dyDescent="0.3">
      <c r="A1659" s="4">
        <v>1872</v>
      </c>
      <c r="B1659" s="5">
        <v>1652</v>
      </c>
      <c r="C1659">
        <v>5667</v>
      </c>
      <c r="D1659" t="s">
        <v>13856</v>
      </c>
      <c r="E1659" t="s">
        <v>54</v>
      </c>
      <c r="F1659" t="s">
        <v>38</v>
      </c>
      <c r="G1659" t="s">
        <v>13857</v>
      </c>
      <c r="H1659">
        <v>16.079999999999998</v>
      </c>
      <c r="I1659">
        <v>0</v>
      </c>
      <c r="J1659">
        <v>0</v>
      </c>
      <c r="K1659">
        <v>0</v>
      </c>
      <c r="L1659">
        <v>7</v>
      </c>
      <c r="N1659">
        <v>3</v>
      </c>
      <c r="O1659">
        <v>10</v>
      </c>
      <c r="P1659">
        <v>4</v>
      </c>
      <c r="Q1659">
        <v>2</v>
      </c>
      <c r="R1659">
        <v>32.08</v>
      </c>
      <c r="S1659">
        <v>18</v>
      </c>
      <c r="T1659">
        <v>18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18</v>
      </c>
      <c r="AB1659">
        <v>6</v>
      </c>
      <c r="AC1659">
        <v>0</v>
      </c>
      <c r="AH1659">
        <v>56.08</v>
      </c>
    </row>
    <row r="1660" spans="1:34" x14ac:dyDescent="0.3">
      <c r="A1660" s="4">
        <v>1873</v>
      </c>
      <c r="B1660" s="5">
        <v>1653</v>
      </c>
      <c r="C1660">
        <v>11508</v>
      </c>
      <c r="D1660" t="s">
        <v>13858</v>
      </c>
      <c r="E1660" t="s">
        <v>3025</v>
      </c>
      <c r="F1660" t="s">
        <v>652</v>
      </c>
      <c r="G1660" t="s">
        <v>13859</v>
      </c>
      <c r="H1660">
        <v>22.08</v>
      </c>
      <c r="I1660">
        <v>0</v>
      </c>
      <c r="J1660">
        <v>0</v>
      </c>
      <c r="K1660">
        <v>0</v>
      </c>
      <c r="N1660">
        <v>3</v>
      </c>
      <c r="O1660">
        <v>3</v>
      </c>
      <c r="P1660">
        <v>4</v>
      </c>
      <c r="Q1660">
        <v>0</v>
      </c>
      <c r="R1660">
        <v>29.08</v>
      </c>
      <c r="S1660">
        <v>21</v>
      </c>
      <c r="T1660">
        <v>21</v>
      </c>
      <c r="U1660">
        <v>3</v>
      </c>
      <c r="V1660">
        <v>6</v>
      </c>
      <c r="W1660">
        <v>0</v>
      </c>
      <c r="X1660">
        <v>0</v>
      </c>
      <c r="Y1660">
        <v>0</v>
      </c>
      <c r="Z1660">
        <v>0</v>
      </c>
      <c r="AA1660">
        <v>27</v>
      </c>
      <c r="AB1660">
        <v>0</v>
      </c>
      <c r="AC1660">
        <v>0</v>
      </c>
      <c r="AH1660">
        <v>56.08</v>
      </c>
    </row>
    <row r="1661" spans="1:34" x14ac:dyDescent="0.3">
      <c r="A1661" s="4">
        <v>1874</v>
      </c>
      <c r="B1661" s="5">
        <v>1654</v>
      </c>
      <c r="C1661">
        <v>7234</v>
      </c>
      <c r="D1661" t="s">
        <v>13860</v>
      </c>
      <c r="E1661" t="s">
        <v>22</v>
      </c>
      <c r="F1661" t="s">
        <v>38</v>
      </c>
      <c r="G1661" t="s">
        <v>13861</v>
      </c>
      <c r="H1661">
        <v>19.03</v>
      </c>
      <c r="I1661">
        <v>0</v>
      </c>
      <c r="J1661">
        <v>0</v>
      </c>
      <c r="K1661">
        <v>20</v>
      </c>
      <c r="L1661">
        <v>7</v>
      </c>
      <c r="O1661">
        <v>7</v>
      </c>
      <c r="P1661">
        <v>4</v>
      </c>
      <c r="Q1661">
        <v>0</v>
      </c>
      <c r="R1661">
        <v>50.03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6</v>
      </c>
      <c r="AC1661">
        <v>0</v>
      </c>
      <c r="AH1661">
        <v>56.03</v>
      </c>
    </row>
    <row r="1662" spans="1:34" x14ac:dyDescent="0.3">
      <c r="A1662" s="4">
        <v>1875</v>
      </c>
      <c r="B1662" s="5">
        <v>1655</v>
      </c>
      <c r="C1662">
        <v>9656</v>
      </c>
      <c r="D1662" t="s">
        <v>13862</v>
      </c>
      <c r="E1662" t="s">
        <v>6225</v>
      </c>
      <c r="F1662" t="s">
        <v>17</v>
      </c>
      <c r="G1662" t="s">
        <v>13863</v>
      </c>
      <c r="H1662">
        <v>22</v>
      </c>
      <c r="I1662">
        <v>0</v>
      </c>
      <c r="J1662">
        <v>0</v>
      </c>
      <c r="K1662">
        <v>20</v>
      </c>
      <c r="L1662">
        <v>7</v>
      </c>
      <c r="N1662">
        <v>3</v>
      </c>
      <c r="O1662">
        <v>10</v>
      </c>
      <c r="P1662">
        <v>4</v>
      </c>
      <c r="Q1662">
        <v>0</v>
      </c>
      <c r="R1662">
        <v>56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H1662">
        <v>56</v>
      </c>
    </row>
    <row r="1663" spans="1:34" x14ac:dyDescent="0.3">
      <c r="A1663" s="4">
        <v>1876</v>
      </c>
      <c r="B1663" s="5">
        <v>1656</v>
      </c>
      <c r="C1663">
        <v>4901</v>
      </c>
      <c r="D1663" t="s">
        <v>11180</v>
      </c>
      <c r="E1663" t="s">
        <v>219</v>
      </c>
      <c r="F1663" t="s">
        <v>20</v>
      </c>
      <c r="G1663" t="s">
        <v>13864</v>
      </c>
      <c r="H1663">
        <v>20</v>
      </c>
      <c r="I1663">
        <v>0</v>
      </c>
      <c r="J1663">
        <v>0</v>
      </c>
      <c r="K1663">
        <v>20</v>
      </c>
      <c r="L1663">
        <v>7</v>
      </c>
      <c r="N1663">
        <v>3</v>
      </c>
      <c r="O1663">
        <v>10</v>
      </c>
      <c r="P1663">
        <v>4</v>
      </c>
      <c r="Q1663">
        <v>2</v>
      </c>
      <c r="R1663">
        <v>56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H1663">
        <v>56</v>
      </c>
    </row>
    <row r="1664" spans="1:34" x14ac:dyDescent="0.3">
      <c r="A1664" s="4">
        <v>1877</v>
      </c>
      <c r="B1664" s="5">
        <v>1657</v>
      </c>
      <c r="C1664">
        <v>11068</v>
      </c>
      <c r="D1664" t="s">
        <v>13865</v>
      </c>
      <c r="E1664" t="s">
        <v>13866</v>
      </c>
      <c r="F1664" t="s">
        <v>20</v>
      </c>
      <c r="G1664" t="s">
        <v>13867</v>
      </c>
      <c r="H1664">
        <v>17.98</v>
      </c>
      <c r="I1664">
        <v>0</v>
      </c>
      <c r="J1664">
        <v>0</v>
      </c>
      <c r="K1664">
        <v>20</v>
      </c>
      <c r="L1664">
        <v>7</v>
      </c>
      <c r="O1664">
        <v>7</v>
      </c>
      <c r="P1664">
        <v>4</v>
      </c>
      <c r="Q1664">
        <v>2</v>
      </c>
      <c r="R1664">
        <v>50.98</v>
      </c>
      <c r="S1664">
        <v>5</v>
      </c>
      <c r="T1664">
        <v>5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5</v>
      </c>
      <c r="AB1664">
        <v>0</v>
      </c>
      <c r="AC1664">
        <v>0</v>
      </c>
      <c r="AH1664">
        <v>55.98</v>
      </c>
    </row>
    <row r="1665" spans="1:34" x14ac:dyDescent="0.3">
      <c r="A1665" s="4">
        <v>1878</v>
      </c>
      <c r="B1665" s="5">
        <v>1658</v>
      </c>
      <c r="C1665">
        <v>13491</v>
      </c>
      <c r="D1665" t="s">
        <v>13868</v>
      </c>
      <c r="E1665" t="s">
        <v>227</v>
      </c>
      <c r="F1665" t="s">
        <v>171</v>
      </c>
      <c r="G1665" t="s">
        <v>13869</v>
      </c>
      <c r="H1665">
        <v>15.98</v>
      </c>
      <c r="I1665">
        <v>0</v>
      </c>
      <c r="J1665">
        <v>0</v>
      </c>
      <c r="K1665">
        <v>0</v>
      </c>
      <c r="N1665">
        <v>3</v>
      </c>
      <c r="O1665">
        <v>3</v>
      </c>
      <c r="P1665">
        <v>4</v>
      </c>
      <c r="Q1665">
        <v>0</v>
      </c>
      <c r="R1665">
        <v>22.98</v>
      </c>
      <c r="S1665">
        <v>9</v>
      </c>
      <c r="T1665">
        <v>9</v>
      </c>
      <c r="U1665">
        <v>7</v>
      </c>
      <c r="V1665">
        <v>14</v>
      </c>
      <c r="W1665">
        <v>7</v>
      </c>
      <c r="X1665">
        <v>10</v>
      </c>
      <c r="Y1665">
        <v>0</v>
      </c>
      <c r="Z1665">
        <v>0</v>
      </c>
      <c r="AA1665">
        <v>33</v>
      </c>
      <c r="AB1665">
        <v>0</v>
      </c>
      <c r="AC1665">
        <v>0</v>
      </c>
      <c r="AH1665">
        <v>55.98</v>
      </c>
    </row>
    <row r="1666" spans="1:34" x14ac:dyDescent="0.3">
      <c r="A1666" s="4">
        <v>1879</v>
      </c>
      <c r="B1666" s="5">
        <v>1659</v>
      </c>
      <c r="C1666">
        <v>658</v>
      </c>
      <c r="D1666" t="s">
        <v>13870</v>
      </c>
      <c r="E1666" t="s">
        <v>1508</v>
      </c>
      <c r="F1666" t="s">
        <v>2598</v>
      </c>
      <c r="G1666" t="s">
        <v>13871</v>
      </c>
      <c r="H1666">
        <v>19.93</v>
      </c>
      <c r="I1666">
        <v>0</v>
      </c>
      <c r="J1666">
        <v>0</v>
      </c>
      <c r="K1666">
        <v>20</v>
      </c>
      <c r="L1666">
        <v>7</v>
      </c>
      <c r="N1666">
        <v>3</v>
      </c>
      <c r="O1666">
        <v>10</v>
      </c>
      <c r="P1666">
        <v>0</v>
      </c>
      <c r="Q1666">
        <v>0</v>
      </c>
      <c r="R1666">
        <v>49.93</v>
      </c>
      <c r="S1666">
        <v>6</v>
      </c>
      <c r="T1666">
        <v>6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6</v>
      </c>
      <c r="AB1666">
        <v>0</v>
      </c>
      <c r="AC1666">
        <v>0</v>
      </c>
      <c r="AH1666">
        <v>55.93</v>
      </c>
    </row>
    <row r="1667" spans="1:34" x14ac:dyDescent="0.3">
      <c r="A1667" s="4">
        <v>1880</v>
      </c>
      <c r="B1667" s="5">
        <v>1660</v>
      </c>
      <c r="C1667">
        <v>8089</v>
      </c>
      <c r="D1667" t="s">
        <v>13872</v>
      </c>
      <c r="E1667" t="s">
        <v>789</v>
      </c>
      <c r="F1667" t="s">
        <v>5060</v>
      </c>
      <c r="G1667" t="s">
        <v>13873</v>
      </c>
      <c r="H1667">
        <v>19.899999999999999</v>
      </c>
      <c r="I1667">
        <v>0</v>
      </c>
      <c r="J1667">
        <v>0</v>
      </c>
      <c r="K1667">
        <v>20</v>
      </c>
      <c r="L1667">
        <v>7</v>
      </c>
      <c r="O1667">
        <v>7</v>
      </c>
      <c r="P1667">
        <v>4</v>
      </c>
      <c r="Q1667">
        <v>2</v>
      </c>
      <c r="R1667">
        <v>52.9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3</v>
      </c>
      <c r="AC1667">
        <v>0</v>
      </c>
      <c r="AH1667">
        <v>55.9</v>
      </c>
    </row>
    <row r="1668" spans="1:34" x14ac:dyDescent="0.3">
      <c r="A1668" s="4">
        <v>1881</v>
      </c>
      <c r="B1668" s="5">
        <v>1661</v>
      </c>
      <c r="C1668">
        <v>15701</v>
      </c>
      <c r="D1668" t="s">
        <v>13874</v>
      </c>
      <c r="E1668" t="s">
        <v>166</v>
      </c>
      <c r="F1668" t="s">
        <v>17</v>
      </c>
      <c r="G1668" t="s">
        <v>13875</v>
      </c>
      <c r="H1668">
        <v>16.899999999999999</v>
      </c>
      <c r="I1668">
        <v>0</v>
      </c>
      <c r="J1668">
        <v>0</v>
      </c>
      <c r="K1668">
        <v>20</v>
      </c>
      <c r="L1668">
        <v>7</v>
      </c>
      <c r="O1668">
        <v>7</v>
      </c>
      <c r="P1668">
        <v>4</v>
      </c>
      <c r="Q1668">
        <v>0</v>
      </c>
      <c r="R1668">
        <v>47.9</v>
      </c>
      <c r="S1668">
        <v>8</v>
      </c>
      <c r="T1668">
        <v>8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8</v>
      </c>
      <c r="AB1668">
        <v>0</v>
      </c>
      <c r="AC1668">
        <v>0</v>
      </c>
      <c r="AH1668">
        <v>55.9</v>
      </c>
    </row>
    <row r="1669" spans="1:34" x14ac:dyDescent="0.3">
      <c r="A1669" s="4">
        <v>1882</v>
      </c>
      <c r="B1669" s="5">
        <v>1662</v>
      </c>
      <c r="C1669">
        <v>6134</v>
      </c>
      <c r="D1669" t="s">
        <v>13876</v>
      </c>
      <c r="E1669" t="s">
        <v>29</v>
      </c>
      <c r="F1669" t="s">
        <v>238</v>
      </c>
      <c r="G1669" t="s">
        <v>13877</v>
      </c>
      <c r="H1669">
        <v>19.899999999999999</v>
      </c>
      <c r="I1669">
        <v>0</v>
      </c>
      <c r="J1669">
        <v>0</v>
      </c>
      <c r="K1669">
        <v>0</v>
      </c>
      <c r="L1669">
        <v>7</v>
      </c>
      <c r="O1669">
        <v>7</v>
      </c>
      <c r="P1669">
        <v>4</v>
      </c>
      <c r="Q1669">
        <v>2</v>
      </c>
      <c r="R1669">
        <v>32.9</v>
      </c>
      <c r="S1669">
        <v>23</v>
      </c>
      <c r="T1669">
        <v>23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23</v>
      </c>
      <c r="AB1669">
        <v>0</v>
      </c>
      <c r="AC1669">
        <v>0</v>
      </c>
      <c r="AH1669">
        <v>55.9</v>
      </c>
    </row>
    <row r="1670" spans="1:34" x14ac:dyDescent="0.3">
      <c r="A1670" s="4">
        <v>1883</v>
      </c>
      <c r="B1670" s="5">
        <v>1663</v>
      </c>
      <c r="C1670">
        <v>147</v>
      </c>
      <c r="D1670" t="s">
        <v>13878</v>
      </c>
      <c r="E1670" t="s">
        <v>41</v>
      </c>
      <c r="F1670" t="s">
        <v>13879</v>
      </c>
      <c r="G1670" t="s">
        <v>13880</v>
      </c>
      <c r="H1670">
        <v>17.88</v>
      </c>
      <c r="I1670">
        <v>0</v>
      </c>
      <c r="J1670">
        <v>0</v>
      </c>
      <c r="K1670">
        <v>20</v>
      </c>
      <c r="L1670">
        <v>14</v>
      </c>
      <c r="O1670">
        <v>14</v>
      </c>
      <c r="P1670">
        <v>4</v>
      </c>
      <c r="Q1670">
        <v>0</v>
      </c>
      <c r="R1670">
        <v>55.88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H1670">
        <v>55.88</v>
      </c>
    </row>
    <row r="1671" spans="1:34" x14ac:dyDescent="0.3">
      <c r="A1671" s="4">
        <v>1884</v>
      </c>
      <c r="B1671" s="5">
        <v>1664</v>
      </c>
      <c r="C1671">
        <v>11543</v>
      </c>
      <c r="D1671" t="s">
        <v>13881</v>
      </c>
      <c r="E1671" t="s">
        <v>13882</v>
      </c>
      <c r="F1671" t="s">
        <v>488</v>
      </c>
      <c r="G1671" t="s">
        <v>13883</v>
      </c>
      <c r="H1671">
        <v>21.85</v>
      </c>
      <c r="I1671">
        <v>0</v>
      </c>
      <c r="J1671">
        <v>0</v>
      </c>
      <c r="K1671">
        <v>20</v>
      </c>
      <c r="L1671">
        <v>7</v>
      </c>
      <c r="N1671">
        <v>3</v>
      </c>
      <c r="O1671">
        <v>10</v>
      </c>
      <c r="P1671">
        <v>4</v>
      </c>
      <c r="Q1671">
        <v>0</v>
      </c>
      <c r="R1671">
        <v>55.85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H1671">
        <v>55.85</v>
      </c>
    </row>
    <row r="1672" spans="1:34" x14ac:dyDescent="0.3">
      <c r="A1672" s="4">
        <v>1885</v>
      </c>
      <c r="B1672" s="5">
        <v>1665</v>
      </c>
      <c r="C1672">
        <v>5365</v>
      </c>
      <c r="D1672" t="s">
        <v>13884</v>
      </c>
      <c r="E1672" t="s">
        <v>161</v>
      </c>
      <c r="F1672" t="s">
        <v>91</v>
      </c>
      <c r="G1672" t="s">
        <v>13885</v>
      </c>
      <c r="H1672">
        <v>21.85</v>
      </c>
      <c r="I1672">
        <v>0</v>
      </c>
      <c r="J1672">
        <v>0</v>
      </c>
      <c r="K1672">
        <v>20</v>
      </c>
      <c r="L1672">
        <v>7</v>
      </c>
      <c r="N1672">
        <v>3</v>
      </c>
      <c r="O1672">
        <v>10</v>
      </c>
      <c r="P1672">
        <v>4</v>
      </c>
      <c r="Q1672">
        <v>0</v>
      </c>
      <c r="R1672">
        <v>55.85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H1672">
        <v>55.85</v>
      </c>
    </row>
    <row r="1673" spans="1:34" x14ac:dyDescent="0.3">
      <c r="A1673" s="4">
        <v>1886</v>
      </c>
      <c r="B1673" s="5">
        <v>1666</v>
      </c>
      <c r="C1673">
        <v>4278</v>
      </c>
      <c r="D1673" t="s">
        <v>13886</v>
      </c>
      <c r="E1673" t="s">
        <v>283</v>
      </c>
      <c r="F1673" t="s">
        <v>328</v>
      </c>
      <c r="G1673" t="s">
        <v>13887</v>
      </c>
      <c r="H1673">
        <v>19.850000000000001</v>
      </c>
      <c r="I1673">
        <v>0</v>
      </c>
      <c r="J1673">
        <v>0</v>
      </c>
      <c r="K1673">
        <v>20</v>
      </c>
      <c r="L1673">
        <v>7</v>
      </c>
      <c r="M1673">
        <v>5</v>
      </c>
      <c r="O1673">
        <v>12</v>
      </c>
      <c r="P1673">
        <v>4</v>
      </c>
      <c r="Q1673">
        <v>0</v>
      </c>
      <c r="R1673">
        <v>55.85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H1673">
        <v>55.85</v>
      </c>
    </row>
    <row r="1674" spans="1:34" x14ac:dyDescent="0.3">
      <c r="A1674" s="4">
        <v>1887</v>
      </c>
      <c r="B1674" s="5">
        <v>1667</v>
      </c>
      <c r="C1674">
        <v>15129</v>
      </c>
      <c r="D1674" t="s">
        <v>11296</v>
      </c>
      <c r="E1674" t="s">
        <v>338</v>
      </c>
      <c r="F1674" t="s">
        <v>972</v>
      </c>
      <c r="G1674" t="s">
        <v>13888</v>
      </c>
      <c r="H1674">
        <v>19.829999999999998</v>
      </c>
      <c r="I1674">
        <v>0</v>
      </c>
      <c r="J1674">
        <v>0</v>
      </c>
      <c r="K1674">
        <v>20</v>
      </c>
      <c r="N1674">
        <v>3</v>
      </c>
      <c r="O1674">
        <v>3</v>
      </c>
      <c r="P1674">
        <v>4</v>
      </c>
      <c r="Q1674">
        <v>0</v>
      </c>
      <c r="R1674">
        <v>46.83</v>
      </c>
      <c r="S1674">
        <v>9</v>
      </c>
      <c r="T1674">
        <v>9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9</v>
      </c>
      <c r="AB1674">
        <v>0</v>
      </c>
      <c r="AC1674">
        <v>0</v>
      </c>
      <c r="AH1674">
        <v>55.83</v>
      </c>
    </row>
    <row r="1675" spans="1:34" x14ac:dyDescent="0.3">
      <c r="A1675" s="4">
        <v>1888</v>
      </c>
      <c r="B1675" s="5">
        <v>1668</v>
      </c>
      <c r="C1675">
        <v>3949</v>
      </c>
      <c r="D1675" t="s">
        <v>7967</v>
      </c>
      <c r="E1675" t="s">
        <v>97</v>
      </c>
      <c r="F1675" t="s">
        <v>13889</v>
      </c>
      <c r="G1675" t="s">
        <v>13890</v>
      </c>
      <c r="H1675">
        <v>17.8</v>
      </c>
      <c r="I1675">
        <v>0</v>
      </c>
      <c r="J1675">
        <v>0</v>
      </c>
      <c r="K1675">
        <v>0</v>
      </c>
      <c r="L1675">
        <v>7</v>
      </c>
      <c r="O1675">
        <v>7</v>
      </c>
      <c r="P1675">
        <v>0</v>
      </c>
      <c r="Q1675">
        <v>0</v>
      </c>
      <c r="R1675">
        <v>24.8</v>
      </c>
      <c r="S1675">
        <v>25</v>
      </c>
      <c r="T1675">
        <v>25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25</v>
      </c>
      <c r="AB1675">
        <v>6</v>
      </c>
      <c r="AC1675">
        <v>0</v>
      </c>
      <c r="AH1675">
        <v>55.8</v>
      </c>
    </row>
    <row r="1676" spans="1:34" x14ac:dyDescent="0.3">
      <c r="A1676" s="4">
        <v>1889</v>
      </c>
      <c r="B1676" s="5">
        <v>1669</v>
      </c>
      <c r="C1676">
        <v>12643</v>
      </c>
      <c r="D1676" t="s">
        <v>7879</v>
      </c>
      <c r="E1676" t="s">
        <v>283</v>
      </c>
      <c r="F1676" t="s">
        <v>328</v>
      </c>
      <c r="G1676" t="s">
        <v>13891</v>
      </c>
      <c r="H1676">
        <v>22.75</v>
      </c>
      <c r="I1676">
        <v>0</v>
      </c>
      <c r="J1676">
        <v>0</v>
      </c>
      <c r="K1676">
        <v>20</v>
      </c>
      <c r="L1676">
        <v>7</v>
      </c>
      <c r="O1676">
        <v>7</v>
      </c>
      <c r="P1676">
        <v>4</v>
      </c>
      <c r="Q1676">
        <v>2</v>
      </c>
      <c r="R1676">
        <v>55.75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H1676">
        <v>55.75</v>
      </c>
    </row>
    <row r="1677" spans="1:34" x14ac:dyDescent="0.3">
      <c r="A1677" s="4">
        <v>1890</v>
      </c>
      <c r="B1677" s="5">
        <v>1670</v>
      </c>
      <c r="C1677">
        <v>10151</v>
      </c>
      <c r="D1677" t="s">
        <v>181</v>
      </c>
      <c r="E1677" t="s">
        <v>7929</v>
      </c>
      <c r="F1677" t="s">
        <v>81</v>
      </c>
      <c r="G1677" t="s">
        <v>13892</v>
      </c>
      <c r="H1677">
        <v>17.73</v>
      </c>
      <c r="I1677">
        <v>0</v>
      </c>
      <c r="J1677">
        <v>0</v>
      </c>
      <c r="K1677">
        <v>20</v>
      </c>
      <c r="O1677">
        <v>0</v>
      </c>
      <c r="P1677">
        <v>4</v>
      </c>
      <c r="Q1677">
        <v>2</v>
      </c>
      <c r="R1677">
        <v>43.73</v>
      </c>
      <c r="S1677">
        <v>9</v>
      </c>
      <c r="T1677">
        <v>9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9</v>
      </c>
      <c r="AB1677">
        <v>3</v>
      </c>
      <c r="AC1677">
        <v>0</v>
      </c>
      <c r="AH1677">
        <v>55.73</v>
      </c>
    </row>
    <row r="1678" spans="1:34" x14ac:dyDescent="0.3">
      <c r="A1678" s="4">
        <v>1891</v>
      </c>
      <c r="B1678" s="5">
        <v>1671</v>
      </c>
      <c r="C1678">
        <v>13672</v>
      </c>
      <c r="D1678" t="s">
        <v>3091</v>
      </c>
      <c r="E1678" t="s">
        <v>13893</v>
      </c>
      <c r="F1678" t="s">
        <v>117</v>
      </c>
      <c r="G1678" t="s">
        <v>13894</v>
      </c>
      <c r="H1678">
        <v>21.68</v>
      </c>
      <c r="I1678">
        <v>0</v>
      </c>
      <c r="J1678">
        <v>0</v>
      </c>
      <c r="K1678">
        <v>20</v>
      </c>
      <c r="L1678">
        <v>7</v>
      </c>
      <c r="O1678">
        <v>7</v>
      </c>
      <c r="P1678">
        <v>4</v>
      </c>
      <c r="Q1678">
        <v>0</v>
      </c>
      <c r="R1678">
        <v>52.68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3</v>
      </c>
      <c r="AC1678">
        <v>0</v>
      </c>
      <c r="AD1678" t="s">
        <v>130</v>
      </c>
      <c r="AH1678">
        <v>55.68</v>
      </c>
    </row>
    <row r="1679" spans="1:34" x14ac:dyDescent="0.3">
      <c r="A1679" s="4">
        <v>1892</v>
      </c>
      <c r="B1679" s="5">
        <v>1672</v>
      </c>
      <c r="C1679">
        <v>8981</v>
      </c>
      <c r="D1679" t="s">
        <v>13895</v>
      </c>
      <c r="E1679" t="s">
        <v>13896</v>
      </c>
      <c r="F1679" t="s">
        <v>62</v>
      </c>
      <c r="G1679">
        <v>410682</v>
      </c>
      <c r="H1679">
        <v>19.649999999999999</v>
      </c>
      <c r="I1679">
        <v>0</v>
      </c>
      <c r="J1679">
        <v>0</v>
      </c>
      <c r="K1679">
        <v>20</v>
      </c>
      <c r="L1679">
        <v>7</v>
      </c>
      <c r="M1679">
        <v>5</v>
      </c>
      <c r="O1679">
        <v>12</v>
      </c>
      <c r="P1679">
        <v>4</v>
      </c>
      <c r="Q1679">
        <v>0</v>
      </c>
      <c r="R1679">
        <v>55.65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E1679" t="s">
        <v>130</v>
      </c>
      <c r="AH1679">
        <v>55.65</v>
      </c>
    </row>
    <row r="1680" spans="1:34" x14ac:dyDescent="0.3">
      <c r="A1680" s="4">
        <v>1893</v>
      </c>
      <c r="B1680" s="5">
        <v>1673</v>
      </c>
      <c r="C1680">
        <v>5047</v>
      </c>
      <c r="D1680" t="s">
        <v>13897</v>
      </c>
      <c r="E1680" t="s">
        <v>22</v>
      </c>
      <c r="F1680" t="s">
        <v>17</v>
      </c>
      <c r="G1680" t="s">
        <v>13898</v>
      </c>
      <c r="H1680">
        <v>18.649999999999999</v>
      </c>
      <c r="I1680">
        <v>0</v>
      </c>
      <c r="J1680">
        <v>0</v>
      </c>
      <c r="K1680">
        <v>20</v>
      </c>
      <c r="L1680">
        <v>7</v>
      </c>
      <c r="O1680">
        <v>7</v>
      </c>
      <c r="P1680">
        <v>4</v>
      </c>
      <c r="Q1680">
        <v>2</v>
      </c>
      <c r="R1680">
        <v>51.65</v>
      </c>
      <c r="S1680">
        <v>4</v>
      </c>
      <c r="T1680">
        <v>4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4</v>
      </c>
      <c r="AB1680">
        <v>0</v>
      </c>
      <c r="AC1680">
        <v>0</v>
      </c>
      <c r="AH1680">
        <v>55.65</v>
      </c>
    </row>
    <row r="1681" spans="1:34" x14ac:dyDescent="0.3">
      <c r="A1681" s="4">
        <v>1894</v>
      </c>
      <c r="B1681" s="5">
        <v>1674</v>
      </c>
      <c r="C1681">
        <v>1052</v>
      </c>
      <c r="D1681" t="s">
        <v>13899</v>
      </c>
      <c r="E1681" t="s">
        <v>81</v>
      </c>
      <c r="F1681" t="s">
        <v>539</v>
      </c>
      <c r="G1681" t="s">
        <v>13900</v>
      </c>
      <c r="H1681">
        <v>17.55</v>
      </c>
      <c r="I1681">
        <v>0</v>
      </c>
      <c r="J1681">
        <v>0</v>
      </c>
      <c r="K1681">
        <v>0</v>
      </c>
      <c r="O1681">
        <v>0</v>
      </c>
      <c r="P1681">
        <v>4</v>
      </c>
      <c r="Q1681">
        <v>2</v>
      </c>
      <c r="R1681">
        <v>23.55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32</v>
      </c>
      <c r="AE1681" t="s">
        <v>130</v>
      </c>
      <c r="AH1681">
        <v>55.55</v>
      </c>
    </row>
    <row r="1682" spans="1:34" x14ac:dyDescent="0.3">
      <c r="A1682" s="4">
        <v>1895</v>
      </c>
      <c r="B1682" s="5">
        <v>1675</v>
      </c>
      <c r="C1682">
        <v>4872</v>
      </c>
      <c r="D1682" t="s">
        <v>13901</v>
      </c>
      <c r="E1682" t="s">
        <v>88</v>
      </c>
      <c r="F1682" t="s">
        <v>3968</v>
      </c>
      <c r="G1682" t="s">
        <v>13902</v>
      </c>
      <c r="H1682">
        <v>21.55</v>
      </c>
      <c r="I1682">
        <v>0</v>
      </c>
      <c r="J1682">
        <v>0</v>
      </c>
      <c r="K1682">
        <v>0</v>
      </c>
      <c r="L1682">
        <v>7</v>
      </c>
      <c r="N1682">
        <v>3</v>
      </c>
      <c r="O1682">
        <v>10</v>
      </c>
      <c r="P1682">
        <v>4</v>
      </c>
      <c r="Q1682">
        <v>0</v>
      </c>
      <c r="R1682">
        <v>35.549999999999997</v>
      </c>
      <c r="S1682">
        <v>14</v>
      </c>
      <c r="T1682">
        <v>14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14</v>
      </c>
      <c r="AB1682">
        <v>6</v>
      </c>
      <c r="AC1682">
        <v>0</v>
      </c>
      <c r="AD1682" t="s">
        <v>130</v>
      </c>
      <c r="AH1682">
        <v>55.55</v>
      </c>
    </row>
    <row r="1683" spans="1:34" x14ac:dyDescent="0.3">
      <c r="A1683" s="4">
        <v>1896</v>
      </c>
      <c r="B1683" s="5">
        <v>1676</v>
      </c>
      <c r="C1683">
        <v>3380</v>
      </c>
      <c r="D1683" t="s">
        <v>13903</v>
      </c>
      <c r="E1683" t="s">
        <v>41</v>
      </c>
      <c r="F1683" t="s">
        <v>3705</v>
      </c>
      <c r="G1683" t="s">
        <v>13904</v>
      </c>
      <c r="H1683">
        <v>16.48</v>
      </c>
      <c r="I1683">
        <v>0</v>
      </c>
      <c r="J1683">
        <v>0</v>
      </c>
      <c r="K1683">
        <v>20</v>
      </c>
      <c r="L1683">
        <v>7</v>
      </c>
      <c r="O1683">
        <v>7</v>
      </c>
      <c r="P1683">
        <v>4</v>
      </c>
      <c r="Q1683">
        <v>2</v>
      </c>
      <c r="R1683">
        <v>49.48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6</v>
      </c>
      <c r="AC1683">
        <v>0</v>
      </c>
      <c r="AH1683">
        <v>55.48</v>
      </c>
    </row>
    <row r="1684" spans="1:34" x14ac:dyDescent="0.3">
      <c r="A1684" s="4">
        <v>1897</v>
      </c>
      <c r="B1684" s="5">
        <v>1677</v>
      </c>
      <c r="C1684">
        <v>2908</v>
      </c>
      <c r="D1684" t="s">
        <v>1304</v>
      </c>
      <c r="E1684" t="s">
        <v>110</v>
      </c>
      <c r="F1684" t="s">
        <v>68</v>
      </c>
      <c r="G1684" t="s">
        <v>13905</v>
      </c>
      <c r="H1684">
        <v>21.48</v>
      </c>
      <c r="I1684">
        <v>0</v>
      </c>
      <c r="J1684">
        <v>0</v>
      </c>
      <c r="K1684">
        <v>20</v>
      </c>
      <c r="L1684">
        <v>7</v>
      </c>
      <c r="N1684">
        <v>3</v>
      </c>
      <c r="O1684">
        <v>10</v>
      </c>
      <c r="P1684">
        <v>4</v>
      </c>
      <c r="Q1684">
        <v>0</v>
      </c>
      <c r="R1684">
        <v>55.48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H1684">
        <v>55.48</v>
      </c>
    </row>
    <row r="1685" spans="1:34" x14ac:dyDescent="0.3">
      <c r="A1685" s="4">
        <v>1898</v>
      </c>
      <c r="B1685" s="5">
        <v>1678</v>
      </c>
      <c r="C1685">
        <v>15350</v>
      </c>
      <c r="D1685" t="s">
        <v>13906</v>
      </c>
      <c r="E1685" t="s">
        <v>54</v>
      </c>
      <c r="F1685" t="s">
        <v>68</v>
      </c>
      <c r="G1685" t="s">
        <v>13907</v>
      </c>
      <c r="H1685">
        <v>21.48</v>
      </c>
      <c r="I1685">
        <v>0</v>
      </c>
      <c r="J1685">
        <v>0</v>
      </c>
      <c r="K1685">
        <v>20</v>
      </c>
      <c r="L1685">
        <v>7</v>
      </c>
      <c r="N1685">
        <v>3</v>
      </c>
      <c r="O1685">
        <v>10</v>
      </c>
      <c r="P1685">
        <v>4</v>
      </c>
      <c r="Q1685">
        <v>0</v>
      </c>
      <c r="R1685">
        <v>55.48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H1685">
        <v>55.48</v>
      </c>
    </row>
    <row r="1686" spans="1:34" x14ac:dyDescent="0.3">
      <c r="A1686" s="4">
        <v>1899</v>
      </c>
      <c r="B1686" s="5">
        <v>1679</v>
      </c>
      <c r="C1686">
        <v>15074</v>
      </c>
      <c r="D1686" t="s">
        <v>7529</v>
      </c>
      <c r="E1686" t="s">
        <v>13908</v>
      </c>
      <c r="F1686" t="s">
        <v>3439</v>
      </c>
      <c r="G1686" t="s">
        <v>13909</v>
      </c>
      <c r="H1686">
        <v>20.45</v>
      </c>
      <c r="I1686">
        <v>0</v>
      </c>
      <c r="J1686">
        <v>0</v>
      </c>
      <c r="K1686">
        <v>0</v>
      </c>
      <c r="L1686">
        <v>7</v>
      </c>
      <c r="O1686">
        <v>7</v>
      </c>
      <c r="P1686">
        <v>4</v>
      </c>
      <c r="Q1686">
        <v>0</v>
      </c>
      <c r="R1686">
        <v>31.45</v>
      </c>
      <c r="S1686">
        <v>24</v>
      </c>
      <c r="T1686">
        <v>24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24</v>
      </c>
      <c r="AB1686">
        <v>0</v>
      </c>
      <c r="AC1686">
        <v>0</v>
      </c>
      <c r="AH1686">
        <v>55.45</v>
      </c>
    </row>
    <row r="1687" spans="1:34" x14ac:dyDescent="0.3">
      <c r="A1687" s="4">
        <v>1900</v>
      </c>
      <c r="B1687" s="5">
        <v>1680</v>
      </c>
      <c r="C1687">
        <v>7120</v>
      </c>
      <c r="D1687" t="s">
        <v>13910</v>
      </c>
      <c r="E1687" t="s">
        <v>12720</v>
      </c>
      <c r="F1687" t="s">
        <v>136</v>
      </c>
      <c r="G1687" t="s">
        <v>13911</v>
      </c>
      <c r="H1687">
        <v>18.43</v>
      </c>
      <c r="I1687">
        <v>0</v>
      </c>
      <c r="J1687">
        <v>0</v>
      </c>
      <c r="K1687">
        <v>20</v>
      </c>
      <c r="L1687">
        <v>7</v>
      </c>
      <c r="O1687">
        <v>7</v>
      </c>
      <c r="P1687">
        <v>4</v>
      </c>
      <c r="Q1687">
        <v>0</v>
      </c>
      <c r="R1687">
        <v>49.43</v>
      </c>
      <c r="S1687">
        <v>6</v>
      </c>
      <c r="T1687">
        <v>6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6</v>
      </c>
      <c r="AB1687">
        <v>0</v>
      </c>
      <c r="AC1687">
        <v>0</v>
      </c>
      <c r="AD1687" t="s">
        <v>130</v>
      </c>
      <c r="AH1687">
        <v>55.43</v>
      </c>
    </row>
    <row r="1688" spans="1:34" x14ac:dyDescent="0.3">
      <c r="A1688" s="4">
        <v>1901</v>
      </c>
      <c r="B1688" s="5">
        <v>1681</v>
      </c>
      <c r="C1688">
        <v>13100</v>
      </c>
      <c r="D1688" t="s">
        <v>13912</v>
      </c>
      <c r="E1688" t="s">
        <v>13913</v>
      </c>
      <c r="F1688" t="s">
        <v>68</v>
      </c>
      <c r="G1688" t="s">
        <v>13914</v>
      </c>
      <c r="H1688">
        <v>16.350000000000001</v>
      </c>
      <c r="I1688">
        <v>0</v>
      </c>
      <c r="J1688">
        <v>0</v>
      </c>
      <c r="K1688">
        <v>20</v>
      </c>
      <c r="N1688">
        <v>6</v>
      </c>
      <c r="O1688">
        <v>6</v>
      </c>
      <c r="P1688">
        <v>4</v>
      </c>
      <c r="Q1688">
        <v>2</v>
      </c>
      <c r="R1688">
        <v>48.35</v>
      </c>
      <c r="S1688">
        <v>1</v>
      </c>
      <c r="T1688">
        <v>1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1</v>
      </c>
      <c r="AB1688">
        <v>6</v>
      </c>
      <c r="AC1688">
        <v>0</v>
      </c>
      <c r="AH1688">
        <v>55.35</v>
      </c>
    </row>
    <row r="1689" spans="1:34" x14ac:dyDescent="0.3">
      <c r="A1689" s="4">
        <v>1902</v>
      </c>
      <c r="B1689" s="5">
        <v>1682</v>
      </c>
      <c r="C1689">
        <v>11699</v>
      </c>
      <c r="D1689" t="s">
        <v>577</v>
      </c>
      <c r="E1689" t="s">
        <v>126</v>
      </c>
      <c r="F1689" t="s">
        <v>20</v>
      </c>
      <c r="G1689" t="s">
        <v>13915</v>
      </c>
      <c r="H1689">
        <v>19.350000000000001</v>
      </c>
      <c r="I1689">
        <v>0</v>
      </c>
      <c r="J1689">
        <v>0</v>
      </c>
      <c r="K1689">
        <v>20</v>
      </c>
      <c r="L1689">
        <v>7</v>
      </c>
      <c r="M1689">
        <v>5</v>
      </c>
      <c r="O1689">
        <v>12</v>
      </c>
      <c r="P1689">
        <v>4</v>
      </c>
      <c r="Q1689">
        <v>0</v>
      </c>
      <c r="R1689">
        <v>55.35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H1689">
        <v>55.35</v>
      </c>
    </row>
    <row r="1690" spans="1:34" x14ac:dyDescent="0.3">
      <c r="A1690" s="4">
        <v>1903</v>
      </c>
      <c r="B1690" s="5">
        <v>1683</v>
      </c>
      <c r="C1690">
        <v>14058</v>
      </c>
      <c r="D1690" t="s">
        <v>13916</v>
      </c>
      <c r="E1690" t="s">
        <v>358</v>
      </c>
      <c r="F1690" t="s">
        <v>328</v>
      </c>
      <c r="G1690" t="s">
        <v>13917</v>
      </c>
      <c r="H1690">
        <v>23.3</v>
      </c>
      <c r="I1690">
        <v>0</v>
      </c>
      <c r="J1690">
        <v>0</v>
      </c>
      <c r="K1690">
        <v>20</v>
      </c>
      <c r="M1690">
        <v>5</v>
      </c>
      <c r="O1690">
        <v>5</v>
      </c>
      <c r="P1690">
        <v>4</v>
      </c>
      <c r="Q1690">
        <v>0</v>
      </c>
      <c r="R1690">
        <v>52.3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3</v>
      </c>
      <c r="AC1690">
        <v>0</v>
      </c>
      <c r="AH1690">
        <v>55.3</v>
      </c>
    </row>
    <row r="1691" spans="1:34" x14ac:dyDescent="0.3">
      <c r="A1691" s="4">
        <v>1904</v>
      </c>
      <c r="B1691" s="5">
        <v>1684</v>
      </c>
      <c r="C1691">
        <v>8371</v>
      </c>
      <c r="D1691" t="s">
        <v>13918</v>
      </c>
      <c r="E1691" t="s">
        <v>230</v>
      </c>
      <c r="F1691" t="s">
        <v>652</v>
      </c>
      <c r="G1691" t="s">
        <v>13919</v>
      </c>
      <c r="H1691">
        <v>16.28</v>
      </c>
      <c r="I1691">
        <v>0</v>
      </c>
      <c r="J1691">
        <v>0</v>
      </c>
      <c r="K1691">
        <v>20</v>
      </c>
      <c r="L1691">
        <v>7</v>
      </c>
      <c r="O1691">
        <v>7</v>
      </c>
      <c r="P1691">
        <v>4</v>
      </c>
      <c r="Q1691">
        <v>2</v>
      </c>
      <c r="R1691">
        <v>49.28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6</v>
      </c>
      <c r="AC1691">
        <v>0</v>
      </c>
      <c r="AH1691">
        <v>55.28</v>
      </c>
    </row>
    <row r="1692" spans="1:34" x14ac:dyDescent="0.3">
      <c r="A1692" s="4">
        <v>1905</v>
      </c>
      <c r="B1692" s="5">
        <v>1685</v>
      </c>
      <c r="C1692">
        <v>15332</v>
      </c>
      <c r="D1692" t="s">
        <v>13920</v>
      </c>
      <c r="E1692" t="s">
        <v>1809</v>
      </c>
      <c r="F1692" t="s">
        <v>117</v>
      </c>
      <c r="G1692" t="s">
        <v>13921</v>
      </c>
      <c r="H1692">
        <v>21.28</v>
      </c>
      <c r="I1692">
        <v>0</v>
      </c>
      <c r="J1692">
        <v>0</v>
      </c>
      <c r="K1692">
        <v>20</v>
      </c>
      <c r="L1692">
        <v>7</v>
      </c>
      <c r="N1692">
        <v>3</v>
      </c>
      <c r="O1692">
        <v>10</v>
      </c>
      <c r="P1692">
        <v>4</v>
      </c>
      <c r="Q1692">
        <v>0</v>
      </c>
      <c r="R1692">
        <v>55.28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H1692">
        <v>55.28</v>
      </c>
    </row>
    <row r="1693" spans="1:34" x14ac:dyDescent="0.3">
      <c r="A1693" s="4">
        <v>1906</v>
      </c>
      <c r="B1693" s="5">
        <v>1686</v>
      </c>
      <c r="C1693">
        <v>3285</v>
      </c>
      <c r="D1693" t="s">
        <v>3119</v>
      </c>
      <c r="E1693" t="s">
        <v>178</v>
      </c>
      <c r="F1693" t="s">
        <v>136</v>
      </c>
      <c r="G1693" t="s">
        <v>13922</v>
      </c>
      <c r="H1693">
        <v>20.25</v>
      </c>
      <c r="I1693">
        <v>0</v>
      </c>
      <c r="J1693">
        <v>0</v>
      </c>
      <c r="K1693">
        <v>20</v>
      </c>
      <c r="N1693">
        <v>6</v>
      </c>
      <c r="O1693">
        <v>6</v>
      </c>
      <c r="P1693">
        <v>4</v>
      </c>
      <c r="Q1693">
        <v>2</v>
      </c>
      <c r="R1693">
        <v>52.25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3</v>
      </c>
      <c r="AC1693">
        <v>0</v>
      </c>
      <c r="AH1693">
        <v>55.25</v>
      </c>
    </row>
    <row r="1694" spans="1:34" x14ac:dyDescent="0.3">
      <c r="A1694" s="4">
        <v>1907</v>
      </c>
      <c r="B1694" s="5">
        <v>1687</v>
      </c>
      <c r="C1694">
        <v>1481</v>
      </c>
      <c r="D1694" t="s">
        <v>13923</v>
      </c>
      <c r="E1694" t="s">
        <v>188</v>
      </c>
      <c r="F1694" t="s">
        <v>38</v>
      </c>
      <c r="G1694" t="s">
        <v>13924</v>
      </c>
      <c r="H1694">
        <v>18.25</v>
      </c>
      <c r="I1694">
        <v>0</v>
      </c>
      <c r="J1694">
        <v>0</v>
      </c>
      <c r="K1694">
        <v>20</v>
      </c>
      <c r="M1694">
        <v>5</v>
      </c>
      <c r="N1694">
        <v>3</v>
      </c>
      <c r="O1694">
        <v>8</v>
      </c>
      <c r="P1694">
        <v>4</v>
      </c>
      <c r="Q1694">
        <v>2</v>
      </c>
      <c r="R1694">
        <v>52.25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3</v>
      </c>
      <c r="AC1694">
        <v>0</v>
      </c>
      <c r="AH1694">
        <v>55.25</v>
      </c>
    </row>
    <row r="1695" spans="1:34" x14ac:dyDescent="0.3">
      <c r="A1695" s="4">
        <v>1908</v>
      </c>
      <c r="B1695" s="5">
        <v>1688</v>
      </c>
      <c r="C1695">
        <v>518</v>
      </c>
      <c r="D1695" t="s">
        <v>13925</v>
      </c>
      <c r="E1695" t="s">
        <v>13926</v>
      </c>
      <c r="F1695" t="s">
        <v>13927</v>
      </c>
      <c r="G1695" t="s">
        <v>13928</v>
      </c>
      <c r="H1695">
        <v>21.25</v>
      </c>
      <c r="I1695">
        <v>0</v>
      </c>
      <c r="J1695">
        <v>0</v>
      </c>
      <c r="K1695">
        <v>20</v>
      </c>
      <c r="L1695">
        <v>14</v>
      </c>
      <c r="O1695">
        <v>14</v>
      </c>
      <c r="P1695">
        <v>0</v>
      </c>
      <c r="Q1695">
        <v>0</v>
      </c>
      <c r="R1695">
        <v>55.25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H1695">
        <v>55.25</v>
      </c>
    </row>
    <row r="1696" spans="1:34" x14ac:dyDescent="0.3">
      <c r="A1696" s="4">
        <v>1909</v>
      </c>
      <c r="B1696" s="5">
        <v>1689</v>
      </c>
      <c r="C1696">
        <v>13928</v>
      </c>
      <c r="D1696" t="s">
        <v>13929</v>
      </c>
      <c r="E1696" t="s">
        <v>3449</v>
      </c>
      <c r="F1696" t="s">
        <v>52</v>
      </c>
      <c r="G1696" t="s">
        <v>13930</v>
      </c>
      <c r="H1696">
        <v>17.23</v>
      </c>
      <c r="I1696">
        <v>0</v>
      </c>
      <c r="J1696">
        <v>0</v>
      </c>
      <c r="K1696">
        <v>20</v>
      </c>
      <c r="N1696">
        <v>3</v>
      </c>
      <c r="O1696">
        <v>3</v>
      </c>
      <c r="P1696">
        <v>4</v>
      </c>
      <c r="Q1696">
        <v>0</v>
      </c>
      <c r="R1696">
        <v>44.23</v>
      </c>
      <c r="S1696">
        <v>11</v>
      </c>
      <c r="T1696">
        <v>11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11</v>
      </c>
      <c r="AB1696">
        <v>0</v>
      </c>
      <c r="AC1696">
        <v>0</v>
      </c>
      <c r="AH1696">
        <v>55.23</v>
      </c>
    </row>
    <row r="1697" spans="1:34" x14ac:dyDescent="0.3">
      <c r="A1697" s="4">
        <v>1910</v>
      </c>
      <c r="B1697" s="5">
        <v>1690</v>
      </c>
      <c r="C1697">
        <v>4341</v>
      </c>
      <c r="D1697" t="s">
        <v>13931</v>
      </c>
      <c r="E1697" t="s">
        <v>29</v>
      </c>
      <c r="F1697" t="s">
        <v>68</v>
      </c>
      <c r="G1697" t="s">
        <v>13932</v>
      </c>
      <c r="H1697">
        <v>18.2</v>
      </c>
      <c r="I1697">
        <v>0</v>
      </c>
      <c r="J1697">
        <v>0</v>
      </c>
      <c r="K1697">
        <v>20</v>
      </c>
      <c r="L1697">
        <v>7</v>
      </c>
      <c r="N1697">
        <v>3</v>
      </c>
      <c r="O1697">
        <v>10</v>
      </c>
      <c r="P1697">
        <v>4</v>
      </c>
      <c r="Q1697">
        <v>0</v>
      </c>
      <c r="R1697">
        <v>52.2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3</v>
      </c>
      <c r="AC1697">
        <v>0</v>
      </c>
      <c r="AH1697">
        <v>55.2</v>
      </c>
    </row>
    <row r="1698" spans="1:34" x14ac:dyDescent="0.3">
      <c r="A1698" s="4">
        <v>1911</v>
      </c>
      <c r="B1698" s="5">
        <v>1691</v>
      </c>
      <c r="C1698">
        <v>8365</v>
      </c>
      <c r="D1698" t="s">
        <v>3802</v>
      </c>
      <c r="E1698" t="s">
        <v>219</v>
      </c>
      <c r="F1698" t="s">
        <v>38</v>
      </c>
      <c r="G1698" t="s">
        <v>13933</v>
      </c>
      <c r="H1698">
        <v>20.2</v>
      </c>
      <c r="I1698">
        <v>0</v>
      </c>
      <c r="J1698">
        <v>0</v>
      </c>
      <c r="K1698">
        <v>0</v>
      </c>
      <c r="N1698">
        <v>6</v>
      </c>
      <c r="O1698">
        <v>6</v>
      </c>
      <c r="P1698">
        <v>4</v>
      </c>
      <c r="Q1698">
        <v>2</v>
      </c>
      <c r="R1698">
        <v>32.200000000000003</v>
      </c>
      <c r="S1698">
        <v>20</v>
      </c>
      <c r="T1698">
        <v>20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20</v>
      </c>
      <c r="AB1698">
        <v>3</v>
      </c>
      <c r="AC1698">
        <v>0</v>
      </c>
      <c r="AH1698">
        <v>55.2</v>
      </c>
    </row>
    <row r="1699" spans="1:34" x14ac:dyDescent="0.3">
      <c r="A1699" s="4">
        <v>1912</v>
      </c>
      <c r="B1699" s="5">
        <v>1692</v>
      </c>
      <c r="C1699">
        <v>9769</v>
      </c>
      <c r="D1699" t="s">
        <v>1287</v>
      </c>
      <c r="E1699" t="s">
        <v>88</v>
      </c>
      <c r="F1699" t="s">
        <v>892</v>
      </c>
      <c r="G1699" t="s">
        <v>13934</v>
      </c>
      <c r="H1699">
        <v>20.2</v>
      </c>
      <c r="I1699">
        <v>0</v>
      </c>
      <c r="J1699">
        <v>0</v>
      </c>
      <c r="K1699">
        <v>0</v>
      </c>
      <c r="N1699">
        <v>3</v>
      </c>
      <c r="O1699">
        <v>3</v>
      </c>
      <c r="P1699">
        <v>4</v>
      </c>
      <c r="Q1699">
        <v>0</v>
      </c>
      <c r="R1699">
        <v>27.2</v>
      </c>
      <c r="S1699">
        <v>25</v>
      </c>
      <c r="T1699">
        <v>25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25</v>
      </c>
      <c r="AB1699">
        <v>3</v>
      </c>
      <c r="AC1699">
        <v>0</v>
      </c>
      <c r="AH1699">
        <v>55.2</v>
      </c>
    </row>
    <row r="1700" spans="1:34" x14ac:dyDescent="0.3">
      <c r="A1700" s="4">
        <v>1913</v>
      </c>
      <c r="B1700" s="5">
        <v>1693</v>
      </c>
      <c r="C1700">
        <v>544</v>
      </c>
      <c r="D1700" t="s">
        <v>13935</v>
      </c>
      <c r="E1700" t="s">
        <v>170</v>
      </c>
      <c r="F1700" t="s">
        <v>124</v>
      </c>
      <c r="G1700" t="s">
        <v>13936</v>
      </c>
      <c r="H1700">
        <v>21.2</v>
      </c>
      <c r="I1700">
        <v>0</v>
      </c>
      <c r="J1700">
        <v>0</v>
      </c>
      <c r="K1700">
        <v>20</v>
      </c>
      <c r="L1700">
        <v>7</v>
      </c>
      <c r="N1700">
        <v>3</v>
      </c>
      <c r="O1700">
        <v>10</v>
      </c>
      <c r="P1700">
        <v>4</v>
      </c>
      <c r="Q1700">
        <v>0</v>
      </c>
      <c r="R1700">
        <v>55.2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H1700">
        <v>55.2</v>
      </c>
    </row>
    <row r="1701" spans="1:34" x14ac:dyDescent="0.3">
      <c r="A1701" s="4">
        <v>1914</v>
      </c>
      <c r="B1701" s="5">
        <v>1694</v>
      </c>
      <c r="C1701">
        <v>8983</v>
      </c>
      <c r="D1701" t="s">
        <v>2695</v>
      </c>
      <c r="E1701" t="s">
        <v>4633</v>
      </c>
      <c r="F1701" t="s">
        <v>2442</v>
      </c>
      <c r="G1701" t="s">
        <v>13937</v>
      </c>
      <c r="H1701">
        <v>18.13</v>
      </c>
      <c r="I1701">
        <v>0</v>
      </c>
      <c r="J1701">
        <v>0</v>
      </c>
      <c r="K1701">
        <v>20</v>
      </c>
      <c r="L1701">
        <v>7</v>
      </c>
      <c r="N1701">
        <v>3</v>
      </c>
      <c r="O1701">
        <v>10</v>
      </c>
      <c r="P1701">
        <v>4</v>
      </c>
      <c r="Q1701">
        <v>0</v>
      </c>
      <c r="R1701">
        <v>52.13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3</v>
      </c>
      <c r="AC1701">
        <v>0</v>
      </c>
      <c r="AH1701">
        <v>55.13</v>
      </c>
    </row>
    <row r="1702" spans="1:34" x14ac:dyDescent="0.3">
      <c r="A1702" s="4">
        <v>1915</v>
      </c>
      <c r="B1702" s="5">
        <v>1695</v>
      </c>
      <c r="C1702">
        <v>10489</v>
      </c>
      <c r="D1702" t="s">
        <v>6061</v>
      </c>
      <c r="E1702" t="s">
        <v>13938</v>
      </c>
      <c r="F1702" t="s">
        <v>17</v>
      </c>
      <c r="G1702" t="s">
        <v>13939</v>
      </c>
      <c r="H1702">
        <v>17.13</v>
      </c>
      <c r="I1702">
        <v>0</v>
      </c>
      <c r="J1702">
        <v>0</v>
      </c>
      <c r="K1702">
        <v>20</v>
      </c>
      <c r="L1702">
        <v>7</v>
      </c>
      <c r="N1702">
        <v>3</v>
      </c>
      <c r="O1702">
        <v>10</v>
      </c>
      <c r="P1702">
        <v>4</v>
      </c>
      <c r="Q1702">
        <v>0</v>
      </c>
      <c r="R1702">
        <v>51.13</v>
      </c>
      <c r="S1702">
        <v>4</v>
      </c>
      <c r="T1702">
        <v>4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4</v>
      </c>
      <c r="AB1702">
        <v>0</v>
      </c>
      <c r="AC1702">
        <v>0</v>
      </c>
      <c r="AH1702">
        <v>55.13</v>
      </c>
    </row>
    <row r="1703" spans="1:34" x14ac:dyDescent="0.3">
      <c r="A1703" s="4">
        <v>1916</v>
      </c>
      <c r="B1703" s="5">
        <v>1696</v>
      </c>
      <c r="C1703">
        <v>2046</v>
      </c>
      <c r="D1703" t="s">
        <v>13940</v>
      </c>
      <c r="E1703" t="s">
        <v>13941</v>
      </c>
      <c r="F1703" t="s">
        <v>190</v>
      </c>
      <c r="G1703" t="s">
        <v>13942</v>
      </c>
      <c r="H1703">
        <v>21.08</v>
      </c>
      <c r="I1703">
        <v>0</v>
      </c>
      <c r="J1703">
        <v>0</v>
      </c>
      <c r="K1703">
        <v>20</v>
      </c>
      <c r="L1703">
        <v>7</v>
      </c>
      <c r="N1703">
        <v>3</v>
      </c>
      <c r="O1703">
        <v>10</v>
      </c>
      <c r="P1703">
        <v>4</v>
      </c>
      <c r="Q1703">
        <v>0</v>
      </c>
      <c r="R1703">
        <v>55.08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H1703">
        <v>55.08</v>
      </c>
    </row>
    <row r="1704" spans="1:34" x14ac:dyDescent="0.3">
      <c r="A1704" s="4">
        <v>1917</v>
      </c>
      <c r="B1704" s="5">
        <v>1697</v>
      </c>
      <c r="C1704">
        <v>8542</v>
      </c>
      <c r="D1704" t="s">
        <v>13943</v>
      </c>
      <c r="E1704" t="s">
        <v>550</v>
      </c>
      <c r="F1704" t="s">
        <v>20</v>
      </c>
      <c r="G1704" t="s">
        <v>13944</v>
      </c>
      <c r="H1704">
        <v>16</v>
      </c>
      <c r="I1704">
        <v>0</v>
      </c>
      <c r="J1704">
        <v>0</v>
      </c>
      <c r="K1704">
        <v>0</v>
      </c>
      <c r="L1704">
        <v>7</v>
      </c>
      <c r="O1704">
        <v>7</v>
      </c>
      <c r="P1704">
        <v>4</v>
      </c>
      <c r="Q1704">
        <v>0</v>
      </c>
      <c r="R1704">
        <v>27</v>
      </c>
      <c r="S1704">
        <v>22</v>
      </c>
      <c r="T1704">
        <v>22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22</v>
      </c>
      <c r="AB1704">
        <v>6</v>
      </c>
      <c r="AC1704">
        <v>0</v>
      </c>
      <c r="AH1704">
        <v>55</v>
      </c>
    </row>
    <row r="1705" spans="1:34" x14ac:dyDescent="0.3">
      <c r="A1705" s="4">
        <v>1918</v>
      </c>
      <c r="B1705" s="5">
        <v>1698</v>
      </c>
      <c r="C1705">
        <v>4453</v>
      </c>
      <c r="D1705" t="s">
        <v>1907</v>
      </c>
      <c r="E1705" t="s">
        <v>97</v>
      </c>
      <c r="F1705" t="s">
        <v>1460</v>
      </c>
      <c r="G1705" t="s">
        <v>13945</v>
      </c>
      <c r="H1705">
        <v>20.98</v>
      </c>
      <c r="I1705">
        <v>0</v>
      </c>
      <c r="J1705">
        <v>0</v>
      </c>
      <c r="K1705">
        <v>20</v>
      </c>
      <c r="L1705">
        <v>7</v>
      </c>
      <c r="O1705">
        <v>7</v>
      </c>
      <c r="P1705">
        <v>4</v>
      </c>
      <c r="Q1705">
        <v>0</v>
      </c>
      <c r="R1705">
        <v>51.98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3</v>
      </c>
      <c r="AC1705">
        <v>0</v>
      </c>
      <c r="AH1705">
        <v>54.98</v>
      </c>
    </row>
    <row r="1706" spans="1:34" x14ac:dyDescent="0.3">
      <c r="A1706" s="4">
        <v>1919</v>
      </c>
      <c r="B1706" s="5">
        <v>1699</v>
      </c>
      <c r="C1706">
        <v>14998</v>
      </c>
      <c r="D1706" t="s">
        <v>5342</v>
      </c>
      <c r="E1706" t="s">
        <v>283</v>
      </c>
      <c r="F1706" t="s">
        <v>1450</v>
      </c>
      <c r="G1706" t="s">
        <v>13946</v>
      </c>
      <c r="H1706">
        <v>20.98</v>
      </c>
      <c r="I1706">
        <v>0</v>
      </c>
      <c r="J1706">
        <v>0</v>
      </c>
      <c r="K1706">
        <v>20</v>
      </c>
      <c r="L1706">
        <v>7</v>
      </c>
      <c r="N1706">
        <v>3</v>
      </c>
      <c r="O1706">
        <v>10</v>
      </c>
      <c r="P1706">
        <v>4</v>
      </c>
      <c r="Q1706">
        <v>0</v>
      </c>
      <c r="R1706">
        <v>54.98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H1706">
        <v>54.98</v>
      </c>
    </row>
    <row r="1707" spans="1:34" x14ac:dyDescent="0.3">
      <c r="A1707" s="4">
        <v>1920</v>
      </c>
      <c r="B1707" s="5">
        <v>1700</v>
      </c>
      <c r="C1707">
        <v>3142</v>
      </c>
      <c r="D1707" t="s">
        <v>13947</v>
      </c>
      <c r="E1707" t="s">
        <v>178</v>
      </c>
      <c r="F1707" t="s">
        <v>972</v>
      </c>
      <c r="G1707" t="s">
        <v>13948</v>
      </c>
      <c r="H1707">
        <v>18.98</v>
      </c>
      <c r="I1707">
        <v>0</v>
      </c>
      <c r="J1707">
        <v>0</v>
      </c>
      <c r="K1707">
        <v>20</v>
      </c>
      <c r="L1707">
        <v>7</v>
      </c>
      <c r="N1707">
        <v>3</v>
      </c>
      <c r="O1707">
        <v>10</v>
      </c>
      <c r="P1707">
        <v>4</v>
      </c>
      <c r="Q1707">
        <v>2</v>
      </c>
      <c r="R1707">
        <v>54.98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H1707">
        <v>54.98</v>
      </c>
    </row>
    <row r="1708" spans="1:34" x14ac:dyDescent="0.3">
      <c r="A1708" s="4">
        <v>1921</v>
      </c>
      <c r="B1708" s="5">
        <v>1701</v>
      </c>
      <c r="C1708">
        <v>8760</v>
      </c>
      <c r="D1708" t="s">
        <v>4597</v>
      </c>
      <c r="E1708" t="s">
        <v>166</v>
      </c>
      <c r="F1708" t="s">
        <v>38</v>
      </c>
      <c r="G1708" t="s">
        <v>4626</v>
      </c>
      <c r="H1708">
        <v>16.98</v>
      </c>
      <c r="I1708">
        <v>0</v>
      </c>
      <c r="J1708">
        <v>0</v>
      </c>
      <c r="K1708">
        <v>0</v>
      </c>
      <c r="M1708">
        <v>5</v>
      </c>
      <c r="N1708">
        <v>3</v>
      </c>
      <c r="O1708">
        <v>8</v>
      </c>
      <c r="P1708">
        <v>4</v>
      </c>
      <c r="Q1708">
        <v>2</v>
      </c>
      <c r="R1708">
        <v>30.98</v>
      </c>
      <c r="S1708">
        <v>24</v>
      </c>
      <c r="T1708">
        <v>24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24</v>
      </c>
      <c r="AB1708">
        <v>0</v>
      </c>
      <c r="AC1708">
        <v>0</v>
      </c>
      <c r="AH1708">
        <v>54.98</v>
      </c>
    </row>
    <row r="1709" spans="1:34" x14ac:dyDescent="0.3">
      <c r="A1709" s="4">
        <v>1922</v>
      </c>
      <c r="B1709" s="5">
        <v>1702</v>
      </c>
      <c r="C1709">
        <v>7809</v>
      </c>
      <c r="D1709" t="s">
        <v>4536</v>
      </c>
      <c r="E1709" t="s">
        <v>132</v>
      </c>
      <c r="F1709" t="s">
        <v>416</v>
      </c>
      <c r="G1709" t="s">
        <v>13949</v>
      </c>
      <c r="H1709">
        <v>17.95</v>
      </c>
      <c r="I1709">
        <v>0</v>
      </c>
      <c r="J1709">
        <v>0</v>
      </c>
      <c r="K1709">
        <v>0</v>
      </c>
      <c r="M1709">
        <v>5</v>
      </c>
      <c r="O1709">
        <v>5</v>
      </c>
      <c r="P1709">
        <v>0</v>
      </c>
      <c r="Q1709">
        <v>0</v>
      </c>
      <c r="R1709">
        <v>22.95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32</v>
      </c>
      <c r="AH1709">
        <v>54.95</v>
      </c>
    </row>
    <row r="1710" spans="1:34" x14ac:dyDescent="0.3">
      <c r="A1710" s="4">
        <v>1923</v>
      </c>
      <c r="B1710" s="5">
        <v>1703</v>
      </c>
      <c r="C1710">
        <v>10604</v>
      </c>
      <c r="D1710" t="s">
        <v>3534</v>
      </c>
      <c r="E1710" t="s">
        <v>13950</v>
      </c>
      <c r="F1710" t="s">
        <v>38</v>
      </c>
      <c r="G1710" t="s">
        <v>13951</v>
      </c>
      <c r="H1710">
        <v>19.93</v>
      </c>
      <c r="I1710">
        <v>0</v>
      </c>
      <c r="J1710">
        <v>0</v>
      </c>
      <c r="K1710">
        <v>20</v>
      </c>
      <c r="M1710">
        <v>5</v>
      </c>
      <c r="N1710">
        <v>3</v>
      </c>
      <c r="O1710">
        <v>8</v>
      </c>
      <c r="P1710">
        <v>4</v>
      </c>
      <c r="Q1710">
        <v>0</v>
      </c>
      <c r="R1710">
        <v>51.93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3</v>
      </c>
      <c r="AC1710">
        <v>0</v>
      </c>
      <c r="AH1710">
        <v>54.93</v>
      </c>
    </row>
    <row r="1711" spans="1:34" x14ac:dyDescent="0.3">
      <c r="A1711" s="4">
        <v>1924</v>
      </c>
      <c r="B1711" s="5">
        <v>1704</v>
      </c>
      <c r="C1711">
        <v>15101</v>
      </c>
      <c r="D1711" t="s">
        <v>9046</v>
      </c>
      <c r="E1711" t="s">
        <v>29</v>
      </c>
      <c r="F1711" t="s">
        <v>117</v>
      </c>
      <c r="G1711" t="s">
        <v>13952</v>
      </c>
      <c r="H1711">
        <v>18.93</v>
      </c>
      <c r="I1711">
        <v>0</v>
      </c>
      <c r="J1711">
        <v>0</v>
      </c>
      <c r="K1711">
        <v>20</v>
      </c>
      <c r="L1711">
        <v>7</v>
      </c>
      <c r="N1711">
        <v>3</v>
      </c>
      <c r="O1711">
        <v>10</v>
      </c>
      <c r="P1711">
        <v>4</v>
      </c>
      <c r="Q1711">
        <v>2</v>
      </c>
      <c r="R1711">
        <v>54.93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H1711">
        <v>54.93</v>
      </c>
    </row>
    <row r="1712" spans="1:34" x14ac:dyDescent="0.3">
      <c r="A1712" s="4">
        <v>1925</v>
      </c>
      <c r="B1712" s="5">
        <v>1705</v>
      </c>
      <c r="C1712">
        <v>955</v>
      </c>
      <c r="D1712" t="s">
        <v>13953</v>
      </c>
      <c r="E1712" t="s">
        <v>54</v>
      </c>
      <c r="F1712" t="s">
        <v>4204</v>
      </c>
      <c r="G1712" t="s">
        <v>13954</v>
      </c>
      <c r="H1712">
        <v>19.899999999999999</v>
      </c>
      <c r="I1712">
        <v>7</v>
      </c>
      <c r="J1712">
        <v>0</v>
      </c>
      <c r="K1712">
        <v>0</v>
      </c>
      <c r="L1712">
        <v>7</v>
      </c>
      <c r="O1712">
        <v>7</v>
      </c>
      <c r="P1712">
        <v>4</v>
      </c>
      <c r="Q1712">
        <v>2</v>
      </c>
      <c r="R1712">
        <v>39.9</v>
      </c>
      <c r="S1712">
        <v>9</v>
      </c>
      <c r="T1712">
        <v>9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9</v>
      </c>
      <c r="AB1712">
        <v>6</v>
      </c>
      <c r="AC1712">
        <v>0</v>
      </c>
      <c r="AH1712">
        <v>54.9</v>
      </c>
    </row>
    <row r="1713" spans="1:34" x14ac:dyDescent="0.3">
      <c r="A1713" s="4">
        <v>1926</v>
      </c>
      <c r="B1713" s="5">
        <v>1706</v>
      </c>
      <c r="C1713">
        <v>8816</v>
      </c>
      <c r="D1713" t="s">
        <v>7382</v>
      </c>
      <c r="E1713" t="s">
        <v>744</v>
      </c>
      <c r="F1713" t="s">
        <v>587</v>
      </c>
      <c r="G1713" t="s">
        <v>13955</v>
      </c>
      <c r="H1713">
        <v>18.88</v>
      </c>
      <c r="I1713">
        <v>0</v>
      </c>
      <c r="J1713">
        <v>0</v>
      </c>
      <c r="K1713">
        <v>20</v>
      </c>
      <c r="L1713">
        <v>7</v>
      </c>
      <c r="O1713">
        <v>7</v>
      </c>
      <c r="P1713">
        <v>4</v>
      </c>
      <c r="Q1713">
        <v>0</v>
      </c>
      <c r="R1713">
        <v>49.88</v>
      </c>
      <c r="S1713">
        <v>5</v>
      </c>
      <c r="T1713">
        <v>5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5</v>
      </c>
      <c r="AB1713">
        <v>0</v>
      </c>
      <c r="AC1713">
        <v>0</v>
      </c>
      <c r="AH1713">
        <v>54.88</v>
      </c>
    </row>
    <row r="1714" spans="1:34" x14ac:dyDescent="0.3">
      <c r="A1714" s="4">
        <v>1927</v>
      </c>
      <c r="B1714" s="5">
        <v>1707</v>
      </c>
      <c r="C1714">
        <v>5979</v>
      </c>
      <c r="D1714" t="s">
        <v>5467</v>
      </c>
      <c r="E1714" t="s">
        <v>29</v>
      </c>
      <c r="F1714" t="s">
        <v>167</v>
      </c>
      <c r="G1714" t="s">
        <v>13956</v>
      </c>
      <c r="H1714">
        <v>19.829999999999998</v>
      </c>
      <c r="I1714">
        <v>0</v>
      </c>
      <c r="J1714">
        <v>0</v>
      </c>
      <c r="K1714">
        <v>20</v>
      </c>
      <c r="L1714">
        <v>7</v>
      </c>
      <c r="O1714">
        <v>7</v>
      </c>
      <c r="P1714">
        <v>4</v>
      </c>
      <c r="Q1714">
        <v>0</v>
      </c>
      <c r="R1714">
        <v>50.83</v>
      </c>
      <c r="S1714">
        <v>4</v>
      </c>
      <c r="T1714">
        <v>4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4</v>
      </c>
      <c r="AB1714">
        <v>0</v>
      </c>
      <c r="AC1714">
        <v>0</v>
      </c>
      <c r="AH1714">
        <v>54.83</v>
      </c>
    </row>
    <row r="1715" spans="1:34" x14ac:dyDescent="0.3">
      <c r="A1715" s="4">
        <v>1928</v>
      </c>
      <c r="B1715" s="5">
        <v>1708</v>
      </c>
      <c r="C1715">
        <v>10926</v>
      </c>
      <c r="D1715" t="s">
        <v>13957</v>
      </c>
      <c r="E1715" t="s">
        <v>255</v>
      </c>
      <c r="F1715" t="s">
        <v>124</v>
      </c>
      <c r="G1715" t="s">
        <v>13958</v>
      </c>
      <c r="H1715">
        <v>18.8</v>
      </c>
      <c r="I1715">
        <v>0</v>
      </c>
      <c r="J1715">
        <v>0</v>
      </c>
      <c r="K1715">
        <v>20</v>
      </c>
      <c r="L1715">
        <v>7</v>
      </c>
      <c r="O1715">
        <v>7</v>
      </c>
      <c r="P1715">
        <v>4</v>
      </c>
      <c r="Q1715">
        <v>2</v>
      </c>
      <c r="R1715">
        <v>51.8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3</v>
      </c>
      <c r="AC1715">
        <v>0</v>
      </c>
      <c r="AH1715">
        <v>54.8</v>
      </c>
    </row>
    <row r="1716" spans="1:34" x14ac:dyDescent="0.3">
      <c r="A1716" s="4">
        <v>1929</v>
      </c>
      <c r="B1716" s="5">
        <v>1709</v>
      </c>
      <c r="C1716">
        <v>9278</v>
      </c>
      <c r="D1716" t="s">
        <v>13959</v>
      </c>
      <c r="E1716" t="s">
        <v>167</v>
      </c>
      <c r="F1716" t="s">
        <v>892</v>
      </c>
      <c r="G1716" t="s">
        <v>13960</v>
      </c>
      <c r="H1716">
        <v>17.78</v>
      </c>
      <c r="I1716">
        <v>0</v>
      </c>
      <c r="J1716">
        <v>0</v>
      </c>
      <c r="K1716">
        <v>0</v>
      </c>
      <c r="L1716">
        <v>7</v>
      </c>
      <c r="O1716">
        <v>7</v>
      </c>
      <c r="P1716">
        <v>4</v>
      </c>
      <c r="Q1716">
        <v>2</v>
      </c>
      <c r="R1716">
        <v>30.78</v>
      </c>
      <c r="S1716">
        <v>24</v>
      </c>
      <c r="T1716">
        <v>24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24</v>
      </c>
      <c r="AB1716">
        <v>0</v>
      </c>
      <c r="AC1716">
        <v>0</v>
      </c>
      <c r="AH1716">
        <v>54.78</v>
      </c>
    </row>
    <row r="1717" spans="1:34" x14ac:dyDescent="0.3">
      <c r="A1717" s="4">
        <v>1930</v>
      </c>
      <c r="B1717" s="5">
        <v>1710</v>
      </c>
      <c r="C1717">
        <v>14934</v>
      </c>
      <c r="D1717" t="s">
        <v>267</v>
      </c>
      <c r="E1717" t="s">
        <v>170</v>
      </c>
      <c r="F1717" t="s">
        <v>259</v>
      </c>
      <c r="G1717" t="s">
        <v>13961</v>
      </c>
      <c r="H1717">
        <v>15.75</v>
      </c>
      <c r="I1717">
        <v>0</v>
      </c>
      <c r="J1717">
        <v>0</v>
      </c>
      <c r="K1717">
        <v>20</v>
      </c>
      <c r="L1717">
        <v>7</v>
      </c>
      <c r="N1717">
        <v>3</v>
      </c>
      <c r="O1717">
        <v>10</v>
      </c>
      <c r="P1717">
        <v>4</v>
      </c>
      <c r="Q1717">
        <v>0</v>
      </c>
      <c r="R1717">
        <v>49.75</v>
      </c>
      <c r="S1717">
        <v>2</v>
      </c>
      <c r="T1717">
        <v>2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2</v>
      </c>
      <c r="AB1717">
        <v>3</v>
      </c>
      <c r="AC1717">
        <v>0</v>
      </c>
      <c r="AH1717">
        <v>54.75</v>
      </c>
    </row>
    <row r="1718" spans="1:34" x14ac:dyDescent="0.3">
      <c r="A1718" s="4">
        <v>1931</v>
      </c>
      <c r="B1718" s="5">
        <v>1711</v>
      </c>
      <c r="C1718">
        <v>2410</v>
      </c>
      <c r="D1718" t="s">
        <v>13962</v>
      </c>
      <c r="E1718" t="s">
        <v>29</v>
      </c>
      <c r="F1718" t="s">
        <v>124</v>
      </c>
      <c r="G1718" t="s">
        <v>13963</v>
      </c>
      <c r="H1718">
        <v>20.73</v>
      </c>
      <c r="I1718">
        <v>0</v>
      </c>
      <c r="J1718">
        <v>0</v>
      </c>
      <c r="K1718">
        <v>20</v>
      </c>
      <c r="L1718">
        <v>7</v>
      </c>
      <c r="O1718">
        <v>7</v>
      </c>
      <c r="P1718">
        <v>4</v>
      </c>
      <c r="Q1718">
        <v>0</v>
      </c>
      <c r="R1718">
        <v>51.73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3</v>
      </c>
      <c r="AC1718">
        <v>0</v>
      </c>
      <c r="AH1718">
        <v>54.73</v>
      </c>
    </row>
    <row r="1719" spans="1:34" x14ac:dyDescent="0.3">
      <c r="A1719" s="4">
        <v>1932</v>
      </c>
      <c r="B1719" s="5">
        <v>1712</v>
      </c>
      <c r="C1719">
        <v>11333</v>
      </c>
      <c r="D1719" t="s">
        <v>13964</v>
      </c>
      <c r="E1719" t="s">
        <v>792</v>
      </c>
      <c r="F1719" t="s">
        <v>81</v>
      </c>
      <c r="G1719" t="s">
        <v>13965</v>
      </c>
      <c r="H1719">
        <v>20.73</v>
      </c>
      <c r="I1719">
        <v>0</v>
      </c>
      <c r="J1719">
        <v>0</v>
      </c>
      <c r="K1719">
        <v>20</v>
      </c>
      <c r="L1719">
        <v>7</v>
      </c>
      <c r="N1719">
        <v>3</v>
      </c>
      <c r="O1719">
        <v>10</v>
      </c>
      <c r="P1719">
        <v>4</v>
      </c>
      <c r="Q1719">
        <v>0</v>
      </c>
      <c r="R1719">
        <v>54.73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H1719">
        <v>54.73</v>
      </c>
    </row>
    <row r="1720" spans="1:34" x14ac:dyDescent="0.3">
      <c r="A1720" s="4">
        <v>1933</v>
      </c>
      <c r="B1720" s="5">
        <v>1713</v>
      </c>
      <c r="C1720">
        <v>12500</v>
      </c>
      <c r="D1720" t="s">
        <v>3309</v>
      </c>
      <c r="E1720" t="s">
        <v>2011</v>
      </c>
      <c r="F1720" t="s">
        <v>17</v>
      </c>
      <c r="G1720" t="s">
        <v>13966</v>
      </c>
      <c r="H1720">
        <v>17.7</v>
      </c>
      <c r="I1720">
        <v>0</v>
      </c>
      <c r="J1720">
        <v>0</v>
      </c>
      <c r="K1720">
        <v>20</v>
      </c>
      <c r="L1720">
        <v>7</v>
      </c>
      <c r="O1720">
        <v>7</v>
      </c>
      <c r="P1720">
        <v>4</v>
      </c>
      <c r="Q1720">
        <v>0</v>
      </c>
      <c r="R1720">
        <v>48.7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6</v>
      </c>
      <c r="AC1720">
        <v>0</v>
      </c>
      <c r="AH1720">
        <v>54.7</v>
      </c>
    </row>
    <row r="1721" spans="1:34" x14ac:dyDescent="0.3">
      <c r="A1721" s="4">
        <v>1934</v>
      </c>
      <c r="B1721" s="5">
        <v>1714</v>
      </c>
      <c r="C1721">
        <v>5428</v>
      </c>
      <c r="D1721" t="s">
        <v>1575</v>
      </c>
      <c r="E1721" t="s">
        <v>255</v>
      </c>
      <c r="F1721" t="s">
        <v>81</v>
      </c>
      <c r="G1721" t="s">
        <v>13967</v>
      </c>
      <c r="H1721">
        <v>20.7</v>
      </c>
      <c r="I1721">
        <v>0</v>
      </c>
      <c r="J1721">
        <v>0</v>
      </c>
      <c r="K1721">
        <v>20</v>
      </c>
      <c r="L1721">
        <v>7</v>
      </c>
      <c r="N1721">
        <v>3</v>
      </c>
      <c r="O1721">
        <v>10</v>
      </c>
      <c r="P1721">
        <v>4</v>
      </c>
      <c r="Q1721">
        <v>0</v>
      </c>
      <c r="R1721">
        <v>54.7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H1721">
        <v>54.7</v>
      </c>
    </row>
    <row r="1722" spans="1:34" x14ac:dyDescent="0.3">
      <c r="A1722" s="4">
        <v>1935</v>
      </c>
      <c r="B1722" s="5">
        <v>1715</v>
      </c>
      <c r="C1722">
        <v>14518</v>
      </c>
      <c r="D1722" t="s">
        <v>13968</v>
      </c>
      <c r="E1722" t="s">
        <v>29</v>
      </c>
      <c r="F1722" t="s">
        <v>81</v>
      </c>
      <c r="G1722" t="s">
        <v>13969</v>
      </c>
      <c r="H1722">
        <v>18.68</v>
      </c>
      <c r="I1722">
        <v>0</v>
      </c>
      <c r="J1722">
        <v>0</v>
      </c>
      <c r="K1722">
        <v>20</v>
      </c>
      <c r="L1722">
        <v>7</v>
      </c>
      <c r="M1722">
        <v>5</v>
      </c>
      <c r="O1722">
        <v>12</v>
      </c>
      <c r="P1722">
        <v>4</v>
      </c>
      <c r="Q1722">
        <v>0</v>
      </c>
      <c r="R1722">
        <v>54.68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H1722">
        <v>54.68</v>
      </c>
    </row>
    <row r="1723" spans="1:34" x14ac:dyDescent="0.3">
      <c r="A1723" s="4">
        <v>1936</v>
      </c>
      <c r="B1723" s="5">
        <v>1716</v>
      </c>
      <c r="C1723">
        <v>14698</v>
      </c>
      <c r="D1723" t="s">
        <v>13970</v>
      </c>
      <c r="E1723" t="s">
        <v>166</v>
      </c>
      <c r="F1723" t="s">
        <v>38</v>
      </c>
      <c r="G1723" t="s">
        <v>13971</v>
      </c>
      <c r="H1723">
        <v>18.649999999999999</v>
      </c>
      <c r="I1723">
        <v>0</v>
      </c>
      <c r="J1723">
        <v>0</v>
      </c>
      <c r="K1723">
        <v>20</v>
      </c>
      <c r="N1723">
        <v>3</v>
      </c>
      <c r="O1723">
        <v>3</v>
      </c>
      <c r="P1723">
        <v>4</v>
      </c>
      <c r="Q1723">
        <v>0</v>
      </c>
      <c r="R1723">
        <v>45.65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9</v>
      </c>
      <c r="AC1723">
        <v>0</v>
      </c>
      <c r="AH1723">
        <v>54.65</v>
      </c>
    </row>
    <row r="1724" spans="1:34" x14ac:dyDescent="0.3">
      <c r="A1724" s="4">
        <v>1937</v>
      </c>
      <c r="B1724" s="5">
        <v>1717</v>
      </c>
      <c r="C1724">
        <v>11264</v>
      </c>
      <c r="D1724" t="s">
        <v>13972</v>
      </c>
      <c r="E1724" t="s">
        <v>41</v>
      </c>
      <c r="F1724" t="s">
        <v>17</v>
      </c>
      <c r="G1724" t="s">
        <v>13973</v>
      </c>
      <c r="H1724">
        <v>19.649999999999999</v>
      </c>
      <c r="I1724">
        <v>0</v>
      </c>
      <c r="J1724">
        <v>0</v>
      </c>
      <c r="K1724">
        <v>20</v>
      </c>
      <c r="M1724">
        <v>5</v>
      </c>
      <c r="O1724">
        <v>5</v>
      </c>
      <c r="P1724">
        <v>0</v>
      </c>
      <c r="Q1724">
        <v>0</v>
      </c>
      <c r="R1724">
        <v>44.65</v>
      </c>
      <c r="S1724">
        <v>10</v>
      </c>
      <c r="T1724">
        <v>10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10</v>
      </c>
      <c r="AB1724">
        <v>0</v>
      </c>
      <c r="AC1724">
        <v>0</v>
      </c>
      <c r="AH1724">
        <v>54.65</v>
      </c>
    </row>
    <row r="1725" spans="1:34" x14ac:dyDescent="0.3">
      <c r="A1725" s="4">
        <v>1938</v>
      </c>
      <c r="B1725" s="5">
        <v>1718</v>
      </c>
      <c r="C1725">
        <v>2493</v>
      </c>
      <c r="D1725" t="s">
        <v>67</v>
      </c>
      <c r="E1725" t="s">
        <v>471</v>
      </c>
      <c r="F1725" t="s">
        <v>259</v>
      </c>
      <c r="G1725" t="s">
        <v>13974</v>
      </c>
      <c r="H1725">
        <v>13.6</v>
      </c>
      <c r="I1725">
        <v>0</v>
      </c>
      <c r="J1725">
        <v>0</v>
      </c>
      <c r="K1725">
        <v>28</v>
      </c>
      <c r="L1725">
        <v>7</v>
      </c>
      <c r="O1725">
        <v>7</v>
      </c>
      <c r="P1725">
        <v>4</v>
      </c>
      <c r="Q1725">
        <v>2</v>
      </c>
      <c r="R1725">
        <v>54.6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H1725">
        <v>54.6</v>
      </c>
    </row>
    <row r="1726" spans="1:34" x14ac:dyDescent="0.3">
      <c r="A1726" s="4">
        <v>1939</v>
      </c>
      <c r="B1726" s="5">
        <v>1719</v>
      </c>
      <c r="C1726">
        <v>4344</v>
      </c>
      <c r="D1726" t="s">
        <v>13975</v>
      </c>
      <c r="E1726" t="s">
        <v>149</v>
      </c>
      <c r="F1726" t="s">
        <v>179</v>
      </c>
      <c r="G1726" t="s">
        <v>13976</v>
      </c>
      <c r="H1726">
        <v>21.58</v>
      </c>
      <c r="I1726">
        <v>0</v>
      </c>
      <c r="J1726">
        <v>0</v>
      </c>
      <c r="K1726">
        <v>20</v>
      </c>
      <c r="L1726">
        <v>7</v>
      </c>
      <c r="O1726">
        <v>7</v>
      </c>
      <c r="P1726">
        <v>4</v>
      </c>
      <c r="Q1726">
        <v>2</v>
      </c>
      <c r="R1726">
        <v>54.58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H1726">
        <v>54.58</v>
      </c>
    </row>
    <row r="1727" spans="1:34" x14ac:dyDescent="0.3">
      <c r="A1727" s="4">
        <v>1940</v>
      </c>
      <c r="B1727" s="5">
        <v>1720</v>
      </c>
      <c r="C1727">
        <v>14656</v>
      </c>
      <c r="D1727" t="s">
        <v>13977</v>
      </c>
      <c r="E1727" t="s">
        <v>13978</v>
      </c>
      <c r="F1727" t="s">
        <v>626</v>
      </c>
      <c r="G1727" t="s">
        <v>13979</v>
      </c>
      <c r="H1727">
        <v>20.55</v>
      </c>
      <c r="I1727">
        <v>0</v>
      </c>
      <c r="J1727">
        <v>0</v>
      </c>
      <c r="K1727">
        <v>20</v>
      </c>
      <c r="L1727">
        <v>7</v>
      </c>
      <c r="N1727">
        <v>3</v>
      </c>
      <c r="O1727">
        <v>10</v>
      </c>
      <c r="P1727">
        <v>4</v>
      </c>
      <c r="Q1727">
        <v>0</v>
      </c>
      <c r="R1727">
        <v>54.55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H1727">
        <v>54.55</v>
      </c>
    </row>
    <row r="1728" spans="1:34" x14ac:dyDescent="0.3">
      <c r="A1728" s="4">
        <v>1941</v>
      </c>
      <c r="B1728" s="5">
        <v>1721</v>
      </c>
      <c r="C1728">
        <v>2801</v>
      </c>
      <c r="D1728" t="s">
        <v>944</v>
      </c>
      <c r="E1728" t="s">
        <v>13980</v>
      </c>
      <c r="F1728" t="s">
        <v>20</v>
      </c>
      <c r="G1728" t="s">
        <v>13981</v>
      </c>
      <c r="H1728">
        <v>20.53</v>
      </c>
      <c r="I1728">
        <v>0</v>
      </c>
      <c r="J1728">
        <v>0</v>
      </c>
      <c r="K1728">
        <v>20</v>
      </c>
      <c r="L1728">
        <v>7</v>
      </c>
      <c r="N1728">
        <v>3</v>
      </c>
      <c r="O1728">
        <v>10</v>
      </c>
      <c r="P1728">
        <v>4</v>
      </c>
      <c r="Q1728">
        <v>0</v>
      </c>
      <c r="R1728">
        <v>54.53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H1728">
        <v>54.53</v>
      </c>
    </row>
    <row r="1729" spans="1:34" x14ac:dyDescent="0.3">
      <c r="A1729" s="4">
        <v>1942</v>
      </c>
      <c r="B1729" s="5">
        <v>1722</v>
      </c>
      <c r="C1729">
        <v>11920</v>
      </c>
      <c r="D1729" t="s">
        <v>1907</v>
      </c>
      <c r="E1729" t="s">
        <v>33</v>
      </c>
      <c r="F1729" t="s">
        <v>136</v>
      </c>
      <c r="G1729" t="s">
        <v>13982</v>
      </c>
      <c r="H1729">
        <v>18.5</v>
      </c>
      <c r="I1729">
        <v>0</v>
      </c>
      <c r="J1729">
        <v>0</v>
      </c>
      <c r="K1729">
        <v>20</v>
      </c>
      <c r="L1729">
        <v>7</v>
      </c>
      <c r="N1729">
        <v>3</v>
      </c>
      <c r="O1729">
        <v>10</v>
      </c>
      <c r="P1729">
        <v>0</v>
      </c>
      <c r="Q1729">
        <v>0</v>
      </c>
      <c r="R1729">
        <v>48.5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6</v>
      </c>
      <c r="AC1729">
        <v>0</v>
      </c>
      <c r="AH1729">
        <v>54.5</v>
      </c>
    </row>
    <row r="1730" spans="1:34" x14ac:dyDescent="0.3">
      <c r="A1730" s="4">
        <v>1943</v>
      </c>
      <c r="B1730" s="5">
        <v>1723</v>
      </c>
      <c r="C1730">
        <v>4303</v>
      </c>
      <c r="D1730" t="s">
        <v>12058</v>
      </c>
      <c r="E1730" t="s">
        <v>11601</v>
      </c>
      <c r="F1730" t="s">
        <v>230</v>
      </c>
      <c r="G1730" t="s">
        <v>13983</v>
      </c>
      <c r="H1730">
        <v>20.5</v>
      </c>
      <c r="I1730">
        <v>0</v>
      </c>
      <c r="J1730">
        <v>0</v>
      </c>
      <c r="K1730">
        <v>20</v>
      </c>
      <c r="L1730">
        <v>7</v>
      </c>
      <c r="N1730">
        <v>3</v>
      </c>
      <c r="O1730">
        <v>10</v>
      </c>
      <c r="P1730">
        <v>4</v>
      </c>
      <c r="Q1730">
        <v>0</v>
      </c>
      <c r="R1730">
        <v>54.5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H1730">
        <v>54.5</v>
      </c>
    </row>
    <row r="1731" spans="1:34" x14ac:dyDescent="0.3">
      <c r="A1731" s="4">
        <v>1944</v>
      </c>
      <c r="B1731" s="5">
        <v>1724</v>
      </c>
      <c r="C1731">
        <v>9521</v>
      </c>
      <c r="D1731" t="s">
        <v>13984</v>
      </c>
      <c r="E1731" t="s">
        <v>258</v>
      </c>
      <c r="F1731" t="s">
        <v>14</v>
      </c>
      <c r="G1731" t="s">
        <v>13985</v>
      </c>
      <c r="H1731">
        <v>18.5</v>
      </c>
      <c r="I1731">
        <v>0</v>
      </c>
      <c r="J1731">
        <v>0</v>
      </c>
      <c r="K1731">
        <v>20</v>
      </c>
      <c r="L1731">
        <v>7</v>
      </c>
      <c r="O1731">
        <v>7</v>
      </c>
      <c r="P1731">
        <v>4</v>
      </c>
      <c r="Q1731">
        <v>2</v>
      </c>
      <c r="R1731">
        <v>51.5</v>
      </c>
      <c r="S1731">
        <v>3</v>
      </c>
      <c r="T1731">
        <v>3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3</v>
      </c>
      <c r="AB1731">
        <v>0</v>
      </c>
      <c r="AC1731">
        <v>0</v>
      </c>
      <c r="AH1731">
        <v>54.5</v>
      </c>
    </row>
    <row r="1732" spans="1:34" x14ac:dyDescent="0.3">
      <c r="A1732" s="4">
        <v>1945</v>
      </c>
      <c r="B1732" s="5">
        <v>1725</v>
      </c>
      <c r="C1732">
        <v>13818</v>
      </c>
      <c r="D1732" t="s">
        <v>389</v>
      </c>
      <c r="E1732" t="s">
        <v>41</v>
      </c>
      <c r="F1732" t="s">
        <v>38</v>
      </c>
      <c r="G1732" t="s">
        <v>13986</v>
      </c>
      <c r="H1732">
        <v>18.48</v>
      </c>
      <c r="I1732">
        <v>0</v>
      </c>
      <c r="J1732">
        <v>0</v>
      </c>
      <c r="K1732">
        <v>20</v>
      </c>
      <c r="L1732">
        <v>7</v>
      </c>
      <c r="N1732">
        <v>3</v>
      </c>
      <c r="O1732">
        <v>10</v>
      </c>
      <c r="P1732">
        <v>4</v>
      </c>
      <c r="Q1732">
        <v>2</v>
      </c>
      <c r="R1732">
        <v>54.48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H1732">
        <v>54.48</v>
      </c>
    </row>
    <row r="1733" spans="1:34" x14ac:dyDescent="0.3">
      <c r="A1733" s="4">
        <v>1946</v>
      </c>
      <c r="B1733" s="5">
        <v>1726</v>
      </c>
      <c r="C1733">
        <v>12566</v>
      </c>
      <c r="D1733" t="s">
        <v>13987</v>
      </c>
      <c r="E1733" t="s">
        <v>166</v>
      </c>
      <c r="F1733" t="s">
        <v>81</v>
      </c>
      <c r="G1733" t="s">
        <v>13988</v>
      </c>
      <c r="H1733">
        <v>19.48</v>
      </c>
      <c r="I1733">
        <v>0</v>
      </c>
      <c r="J1733">
        <v>0</v>
      </c>
      <c r="K1733">
        <v>0</v>
      </c>
      <c r="L1733">
        <v>7</v>
      </c>
      <c r="O1733">
        <v>7</v>
      </c>
      <c r="P1733">
        <v>4</v>
      </c>
      <c r="Q1733">
        <v>2</v>
      </c>
      <c r="R1733">
        <v>32.479999999999997</v>
      </c>
      <c r="S1733">
        <v>22</v>
      </c>
      <c r="T1733">
        <v>22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22</v>
      </c>
      <c r="AB1733">
        <v>0</v>
      </c>
      <c r="AC1733">
        <v>0</v>
      </c>
      <c r="AH1733">
        <v>54.48</v>
      </c>
    </row>
    <row r="1734" spans="1:34" x14ac:dyDescent="0.3">
      <c r="A1734" s="4">
        <v>1947</v>
      </c>
      <c r="B1734" s="5">
        <v>1727</v>
      </c>
      <c r="C1734">
        <v>5879</v>
      </c>
      <c r="D1734" t="s">
        <v>7056</v>
      </c>
      <c r="E1734" t="s">
        <v>161</v>
      </c>
      <c r="F1734" t="s">
        <v>68</v>
      </c>
      <c r="G1734" t="s">
        <v>13989</v>
      </c>
      <c r="H1734">
        <v>19.45</v>
      </c>
      <c r="I1734">
        <v>0</v>
      </c>
      <c r="J1734">
        <v>0</v>
      </c>
      <c r="K1734">
        <v>20</v>
      </c>
      <c r="L1734">
        <v>7</v>
      </c>
      <c r="N1734">
        <v>3</v>
      </c>
      <c r="O1734">
        <v>10</v>
      </c>
      <c r="P1734">
        <v>0</v>
      </c>
      <c r="Q1734">
        <v>2</v>
      </c>
      <c r="R1734">
        <v>51.45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3</v>
      </c>
      <c r="AC1734">
        <v>0</v>
      </c>
      <c r="AH1734">
        <v>54.45</v>
      </c>
    </row>
    <row r="1735" spans="1:34" x14ac:dyDescent="0.3">
      <c r="A1735" s="4">
        <v>1948</v>
      </c>
      <c r="B1735" s="5">
        <v>1728</v>
      </c>
      <c r="C1735">
        <v>1736</v>
      </c>
      <c r="D1735" t="s">
        <v>13990</v>
      </c>
      <c r="E1735" t="s">
        <v>158</v>
      </c>
      <c r="F1735" t="s">
        <v>81</v>
      </c>
      <c r="G1735" t="s">
        <v>13991</v>
      </c>
      <c r="H1735">
        <v>20.45</v>
      </c>
      <c r="I1735">
        <v>0</v>
      </c>
      <c r="J1735">
        <v>0</v>
      </c>
      <c r="K1735">
        <v>20</v>
      </c>
      <c r="L1735">
        <v>7</v>
      </c>
      <c r="N1735">
        <v>3</v>
      </c>
      <c r="O1735">
        <v>10</v>
      </c>
      <c r="P1735">
        <v>4</v>
      </c>
      <c r="Q1735">
        <v>0</v>
      </c>
      <c r="R1735">
        <v>54.45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H1735">
        <v>54.45</v>
      </c>
    </row>
    <row r="1736" spans="1:34" x14ac:dyDescent="0.3">
      <c r="A1736" s="4">
        <v>1949</v>
      </c>
      <c r="B1736" s="5">
        <v>1729</v>
      </c>
      <c r="C1736">
        <v>7210</v>
      </c>
      <c r="D1736" t="s">
        <v>13992</v>
      </c>
      <c r="E1736" t="s">
        <v>54</v>
      </c>
      <c r="F1736" t="s">
        <v>13993</v>
      </c>
      <c r="G1736" t="s">
        <v>13994</v>
      </c>
      <c r="H1736">
        <v>20.45</v>
      </c>
      <c r="I1736">
        <v>0</v>
      </c>
      <c r="J1736">
        <v>0</v>
      </c>
      <c r="K1736">
        <v>0</v>
      </c>
      <c r="L1736">
        <v>7</v>
      </c>
      <c r="O1736">
        <v>7</v>
      </c>
      <c r="P1736">
        <v>4</v>
      </c>
      <c r="Q1736">
        <v>0</v>
      </c>
      <c r="R1736">
        <v>31.45</v>
      </c>
      <c r="S1736">
        <v>23</v>
      </c>
      <c r="T1736">
        <v>23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23</v>
      </c>
      <c r="AB1736">
        <v>0</v>
      </c>
      <c r="AC1736">
        <v>0</v>
      </c>
      <c r="AH1736">
        <v>54.45</v>
      </c>
    </row>
    <row r="1737" spans="1:34" x14ac:dyDescent="0.3">
      <c r="A1737" s="4">
        <v>1950</v>
      </c>
      <c r="B1737" s="5">
        <v>1730</v>
      </c>
      <c r="C1737">
        <v>14011</v>
      </c>
      <c r="D1737" t="s">
        <v>13995</v>
      </c>
      <c r="E1737" t="s">
        <v>188</v>
      </c>
      <c r="F1737" t="s">
        <v>62</v>
      </c>
      <c r="G1737" t="s">
        <v>13996</v>
      </c>
      <c r="H1737">
        <v>20.43</v>
      </c>
      <c r="I1737">
        <v>0</v>
      </c>
      <c r="J1737">
        <v>0</v>
      </c>
      <c r="K1737">
        <v>20</v>
      </c>
      <c r="L1737">
        <v>7</v>
      </c>
      <c r="N1737">
        <v>3</v>
      </c>
      <c r="O1737">
        <v>10</v>
      </c>
      <c r="P1737">
        <v>4</v>
      </c>
      <c r="Q1737">
        <v>0</v>
      </c>
      <c r="R1737">
        <v>54.43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H1737">
        <v>54.43</v>
      </c>
    </row>
    <row r="1738" spans="1:34" x14ac:dyDescent="0.3">
      <c r="A1738" s="4">
        <v>1951</v>
      </c>
      <c r="B1738" s="5">
        <v>1731</v>
      </c>
      <c r="C1738">
        <v>2433</v>
      </c>
      <c r="D1738" t="s">
        <v>13997</v>
      </c>
      <c r="E1738" t="s">
        <v>29</v>
      </c>
      <c r="F1738" t="s">
        <v>165</v>
      </c>
      <c r="G1738" t="s">
        <v>13998</v>
      </c>
      <c r="H1738">
        <v>18.399999999999999</v>
      </c>
      <c r="I1738">
        <v>0</v>
      </c>
      <c r="J1738">
        <v>0</v>
      </c>
      <c r="K1738">
        <v>20</v>
      </c>
      <c r="L1738">
        <v>7</v>
      </c>
      <c r="N1738">
        <v>3</v>
      </c>
      <c r="O1738">
        <v>10</v>
      </c>
      <c r="P1738">
        <v>4</v>
      </c>
      <c r="Q1738">
        <v>2</v>
      </c>
      <c r="R1738">
        <v>54.4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H1738">
        <v>54.4</v>
      </c>
    </row>
    <row r="1739" spans="1:34" x14ac:dyDescent="0.3">
      <c r="A1739" s="4">
        <v>1952</v>
      </c>
      <c r="B1739" s="5">
        <v>1732</v>
      </c>
      <c r="C1739">
        <v>13339</v>
      </c>
      <c r="D1739" t="s">
        <v>10608</v>
      </c>
      <c r="E1739" t="s">
        <v>789</v>
      </c>
      <c r="F1739" t="s">
        <v>20</v>
      </c>
      <c r="G1739" t="s">
        <v>13999</v>
      </c>
      <c r="H1739">
        <v>17.399999999999999</v>
      </c>
      <c r="I1739">
        <v>0</v>
      </c>
      <c r="J1739">
        <v>0</v>
      </c>
      <c r="K1739">
        <v>20</v>
      </c>
      <c r="L1739">
        <v>7</v>
      </c>
      <c r="O1739">
        <v>7</v>
      </c>
      <c r="P1739">
        <v>4</v>
      </c>
      <c r="Q1739">
        <v>0</v>
      </c>
      <c r="R1739">
        <v>48.4</v>
      </c>
      <c r="S1739">
        <v>6</v>
      </c>
      <c r="T1739">
        <v>6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6</v>
      </c>
      <c r="AB1739">
        <v>0</v>
      </c>
      <c r="AC1739">
        <v>0</v>
      </c>
      <c r="AH1739">
        <v>54.4</v>
      </c>
    </row>
    <row r="1740" spans="1:34" x14ac:dyDescent="0.3">
      <c r="A1740" s="4">
        <v>1953</v>
      </c>
      <c r="B1740" s="5">
        <v>1733</v>
      </c>
      <c r="C1740">
        <v>4244</v>
      </c>
      <c r="D1740" t="s">
        <v>14000</v>
      </c>
      <c r="E1740" t="s">
        <v>54</v>
      </c>
      <c r="F1740" t="s">
        <v>136</v>
      </c>
      <c r="G1740" t="s">
        <v>14001</v>
      </c>
      <c r="H1740">
        <v>20.38</v>
      </c>
      <c r="I1740">
        <v>0</v>
      </c>
      <c r="J1740">
        <v>0</v>
      </c>
      <c r="K1740">
        <v>20</v>
      </c>
      <c r="L1740">
        <v>7</v>
      </c>
      <c r="N1740">
        <v>3</v>
      </c>
      <c r="O1740">
        <v>10</v>
      </c>
      <c r="P1740">
        <v>4</v>
      </c>
      <c r="Q1740">
        <v>0</v>
      </c>
      <c r="R1740">
        <v>54.38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H1740">
        <v>54.38</v>
      </c>
    </row>
    <row r="1741" spans="1:34" x14ac:dyDescent="0.3">
      <c r="A1741" s="4">
        <v>1954</v>
      </c>
      <c r="B1741" s="5">
        <v>1734</v>
      </c>
      <c r="C1741">
        <v>6994</v>
      </c>
      <c r="D1741" t="s">
        <v>14002</v>
      </c>
      <c r="E1741" t="s">
        <v>2150</v>
      </c>
      <c r="F1741" t="s">
        <v>339</v>
      </c>
      <c r="G1741" t="s">
        <v>14003</v>
      </c>
      <c r="H1741">
        <v>18.38</v>
      </c>
      <c r="I1741">
        <v>0</v>
      </c>
      <c r="J1741">
        <v>0</v>
      </c>
      <c r="K1741">
        <v>20</v>
      </c>
      <c r="L1741">
        <v>7</v>
      </c>
      <c r="O1741">
        <v>7</v>
      </c>
      <c r="P1741">
        <v>4</v>
      </c>
      <c r="Q1741">
        <v>0</v>
      </c>
      <c r="R1741">
        <v>49.38</v>
      </c>
      <c r="S1741">
        <v>5</v>
      </c>
      <c r="T1741">
        <v>5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5</v>
      </c>
      <c r="AB1741">
        <v>0</v>
      </c>
      <c r="AC1741">
        <v>0</v>
      </c>
      <c r="AH1741">
        <v>54.38</v>
      </c>
    </row>
    <row r="1742" spans="1:34" x14ac:dyDescent="0.3">
      <c r="A1742" s="4">
        <v>1955</v>
      </c>
      <c r="B1742" s="5">
        <v>1735</v>
      </c>
      <c r="C1742">
        <v>10790</v>
      </c>
      <c r="D1742" t="s">
        <v>2416</v>
      </c>
      <c r="E1742" t="s">
        <v>1053</v>
      </c>
      <c r="F1742" t="s">
        <v>38</v>
      </c>
      <c r="G1742" t="s">
        <v>14004</v>
      </c>
      <c r="H1742">
        <v>19.329999999999998</v>
      </c>
      <c r="I1742">
        <v>0</v>
      </c>
      <c r="J1742">
        <v>0</v>
      </c>
      <c r="K1742">
        <v>0</v>
      </c>
      <c r="N1742">
        <v>3</v>
      </c>
      <c r="O1742">
        <v>3</v>
      </c>
      <c r="P1742">
        <v>4</v>
      </c>
      <c r="Q1742">
        <v>0</v>
      </c>
      <c r="R1742">
        <v>26.33</v>
      </c>
      <c r="S1742">
        <v>25</v>
      </c>
      <c r="T1742">
        <v>25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25</v>
      </c>
      <c r="AB1742">
        <v>3</v>
      </c>
      <c r="AC1742">
        <v>0</v>
      </c>
      <c r="AH1742">
        <v>54.33</v>
      </c>
    </row>
    <row r="1743" spans="1:34" x14ac:dyDescent="0.3">
      <c r="A1743" s="4">
        <v>1956</v>
      </c>
      <c r="B1743" s="5">
        <v>1736</v>
      </c>
      <c r="C1743">
        <v>11802</v>
      </c>
      <c r="D1743" t="s">
        <v>14005</v>
      </c>
      <c r="E1743" t="s">
        <v>413</v>
      </c>
      <c r="F1743" t="s">
        <v>570</v>
      </c>
      <c r="G1743" t="s">
        <v>14006</v>
      </c>
      <c r="H1743">
        <v>17.329999999999998</v>
      </c>
      <c r="I1743">
        <v>0</v>
      </c>
      <c r="J1743">
        <v>0</v>
      </c>
      <c r="K1743">
        <v>20</v>
      </c>
      <c r="M1743">
        <v>5</v>
      </c>
      <c r="N1743">
        <v>3</v>
      </c>
      <c r="O1743">
        <v>8</v>
      </c>
      <c r="P1743">
        <v>4</v>
      </c>
      <c r="Q1743">
        <v>0</v>
      </c>
      <c r="R1743">
        <v>49.33</v>
      </c>
      <c r="S1743">
        <v>5</v>
      </c>
      <c r="T1743">
        <v>5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5</v>
      </c>
      <c r="AB1743">
        <v>0</v>
      </c>
      <c r="AC1743">
        <v>0</v>
      </c>
      <c r="AH1743">
        <v>54.33</v>
      </c>
    </row>
    <row r="1744" spans="1:34" x14ac:dyDescent="0.3">
      <c r="A1744" s="4">
        <v>1957</v>
      </c>
      <c r="B1744" s="5">
        <v>1737</v>
      </c>
      <c r="C1744">
        <v>453</v>
      </c>
      <c r="D1744" t="s">
        <v>14007</v>
      </c>
      <c r="E1744" t="s">
        <v>1716</v>
      </c>
      <c r="F1744" t="s">
        <v>626</v>
      </c>
      <c r="G1744" t="s">
        <v>14008</v>
      </c>
      <c r="H1744">
        <v>17.329999999999998</v>
      </c>
      <c r="I1744">
        <v>0</v>
      </c>
      <c r="J1744">
        <v>0</v>
      </c>
      <c r="K1744">
        <v>20</v>
      </c>
      <c r="L1744">
        <v>7</v>
      </c>
      <c r="O1744">
        <v>7</v>
      </c>
      <c r="P1744">
        <v>4</v>
      </c>
      <c r="Q1744">
        <v>0</v>
      </c>
      <c r="R1744">
        <v>48.33</v>
      </c>
      <c r="S1744">
        <v>6</v>
      </c>
      <c r="T1744">
        <v>6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6</v>
      </c>
      <c r="AB1744">
        <v>0</v>
      </c>
      <c r="AC1744">
        <v>0</v>
      </c>
      <c r="AH1744">
        <v>54.33</v>
      </c>
    </row>
    <row r="1745" spans="1:34" x14ac:dyDescent="0.3">
      <c r="A1745" s="4">
        <v>1958</v>
      </c>
      <c r="B1745" s="5">
        <v>1738</v>
      </c>
      <c r="C1745">
        <v>6574</v>
      </c>
      <c r="D1745" t="s">
        <v>6089</v>
      </c>
      <c r="E1745" t="s">
        <v>213</v>
      </c>
      <c r="F1745" t="s">
        <v>343</v>
      </c>
      <c r="G1745" t="s">
        <v>14009</v>
      </c>
      <c r="H1745">
        <v>21.3</v>
      </c>
      <c r="I1745">
        <v>0</v>
      </c>
      <c r="J1745">
        <v>0</v>
      </c>
      <c r="K1745">
        <v>20</v>
      </c>
      <c r="L1745">
        <v>7</v>
      </c>
      <c r="O1745">
        <v>7</v>
      </c>
      <c r="P1745">
        <v>4</v>
      </c>
      <c r="Q1745">
        <v>2</v>
      </c>
      <c r="R1745">
        <v>54.3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H1745">
        <v>54.3</v>
      </c>
    </row>
    <row r="1746" spans="1:34" x14ac:dyDescent="0.3">
      <c r="A1746" s="4">
        <v>1959</v>
      </c>
      <c r="B1746" s="5">
        <v>1739</v>
      </c>
      <c r="C1746">
        <v>2287</v>
      </c>
      <c r="D1746" t="s">
        <v>14010</v>
      </c>
      <c r="E1746" t="s">
        <v>110</v>
      </c>
      <c r="F1746" t="s">
        <v>38</v>
      </c>
      <c r="G1746" t="s">
        <v>14011</v>
      </c>
      <c r="H1746">
        <v>20.3</v>
      </c>
      <c r="I1746">
        <v>0</v>
      </c>
      <c r="J1746">
        <v>0</v>
      </c>
      <c r="K1746">
        <v>20</v>
      </c>
      <c r="L1746">
        <v>7</v>
      </c>
      <c r="N1746">
        <v>3</v>
      </c>
      <c r="O1746">
        <v>10</v>
      </c>
      <c r="P1746">
        <v>4</v>
      </c>
      <c r="Q1746">
        <v>0</v>
      </c>
      <c r="R1746">
        <v>54.3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H1746">
        <v>54.3</v>
      </c>
    </row>
    <row r="1747" spans="1:34" x14ac:dyDescent="0.3">
      <c r="A1747" s="4">
        <v>1960</v>
      </c>
      <c r="B1747" s="5">
        <v>1740</v>
      </c>
      <c r="C1747">
        <v>1422</v>
      </c>
      <c r="D1747" t="s">
        <v>1430</v>
      </c>
      <c r="E1747" t="s">
        <v>147</v>
      </c>
      <c r="F1747" t="s">
        <v>190</v>
      </c>
      <c r="G1747" t="s">
        <v>14012</v>
      </c>
      <c r="H1747">
        <v>18.3</v>
      </c>
      <c r="I1747">
        <v>0</v>
      </c>
      <c r="J1747">
        <v>0</v>
      </c>
      <c r="K1747">
        <v>20</v>
      </c>
      <c r="L1747">
        <v>7</v>
      </c>
      <c r="N1747">
        <v>3</v>
      </c>
      <c r="O1747">
        <v>10</v>
      </c>
      <c r="P1747">
        <v>4</v>
      </c>
      <c r="Q1747">
        <v>2</v>
      </c>
      <c r="R1747">
        <v>54.3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 t="s">
        <v>130</v>
      </c>
      <c r="AH1747">
        <v>54.3</v>
      </c>
    </row>
    <row r="1748" spans="1:34" x14ac:dyDescent="0.3">
      <c r="A1748" s="4">
        <v>1961</v>
      </c>
      <c r="B1748" s="5">
        <v>1741</v>
      </c>
      <c r="C1748">
        <v>3658</v>
      </c>
      <c r="D1748" t="s">
        <v>264</v>
      </c>
      <c r="E1748" t="s">
        <v>166</v>
      </c>
      <c r="F1748" t="s">
        <v>214</v>
      </c>
      <c r="G1748" t="s">
        <v>14013</v>
      </c>
      <c r="H1748">
        <v>18.28</v>
      </c>
      <c r="I1748">
        <v>0</v>
      </c>
      <c r="J1748">
        <v>0</v>
      </c>
      <c r="K1748">
        <v>0</v>
      </c>
      <c r="L1748">
        <v>7</v>
      </c>
      <c r="O1748">
        <v>7</v>
      </c>
      <c r="P1748">
        <v>4</v>
      </c>
      <c r="Q1748">
        <v>2</v>
      </c>
      <c r="R1748">
        <v>31.28</v>
      </c>
      <c r="S1748">
        <v>20</v>
      </c>
      <c r="T1748">
        <v>20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20</v>
      </c>
      <c r="AB1748">
        <v>3</v>
      </c>
      <c r="AC1748">
        <v>0</v>
      </c>
      <c r="AH1748">
        <v>54.28</v>
      </c>
    </row>
    <row r="1749" spans="1:34" x14ac:dyDescent="0.3">
      <c r="A1749" s="4">
        <v>1962</v>
      </c>
      <c r="B1749" s="5">
        <v>1742</v>
      </c>
      <c r="C1749">
        <v>11140</v>
      </c>
      <c r="D1749" t="s">
        <v>4231</v>
      </c>
      <c r="E1749" t="s">
        <v>792</v>
      </c>
      <c r="F1749" t="s">
        <v>62</v>
      </c>
      <c r="G1749" t="s">
        <v>14014</v>
      </c>
      <c r="H1749">
        <v>20.28</v>
      </c>
      <c r="I1749">
        <v>0</v>
      </c>
      <c r="J1749">
        <v>0</v>
      </c>
      <c r="K1749">
        <v>20</v>
      </c>
      <c r="L1749">
        <v>7</v>
      </c>
      <c r="N1749">
        <v>3</v>
      </c>
      <c r="O1749">
        <v>10</v>
      </c>
      <c r="P1749">
        <v>4</v>
      </c>
      <c r="Q1749">
        <v>0</v>
      </c>
      <c r="R1749">
        <v>54.28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H1749">
        <v>54.28</v>
      </c>
    </row>
    <row r="1750" spans="1:34" x14ac:dyDescent="0.3">
      <c r="A1750" s="4">
        <v>1963</v>
      </c>
      <c r="B1750" s="5">
        <v>1743</v>
      </c>
      <c r="C1750">
        <v>9047</v>
      </c>
      <c r="D1750" t="s">
        <v>14015</v>
      </c>
      <c r="E1750" t="s">
        <v>14016</v>
      </c>
      <c r="F1750" t="s">
        <v>81</v>
      </c>
      <c r="G1750" t="s">
        <v>14017</v>
      </c>
      <c r="H1750">
        <v>20.25</v>
      </c>
      <c r="I1750">
        <v>0</v>
      </c>
      <c r="J1750">
        <v>0</v>
      </c>
      <c r="K1750">
        <v>20</v>
      </c>
      <c r="L1750">
        <v>7</v>
      </c>
      <c r="N1750">
        <v>3</v>
      </c>
      <c r="O1750">
        <v>10</v>
      </c>
      <c r="P1750">
        <v>4</v>
      </c>
      <c r="Q1750">
        <v>0</v>
      </c>
      <c r="R1750">
        <v>54.25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H1750">
        <v>54.25</v>
      </c>
    </row>
    <row r="1751" spans="1:34" x14ac:dyDescent="0.3">
      <c r="A1751" s="4">
        <v>1964</v>
      </c>
      <c r="B1751" s="5">
        <v>1744</v>
      </c>
      <c r="C1751">
        <v>14753</v>
      </c>
      <c r="D1751" t="s">
        <v>3404</v>
      </c>
      <c r="E1751" t="s">
        <v>161</v>
      </c>
      <c r="F1751" t="s">
        <v>12028</v>
      </c>
      <c r="G1751" t="s">
        <v>14018</v>
      </c>
      <c r="H1751">
        <v>16.25</v>
      </c>
      <c r="I1751">
        <v>7</v>
      </c>
      <c r="J1751">
        <v>0</v>
      </c>
      <c r="K1751">
        <v>20</v>
      </c>
      <c r="L1751">
        <v>7</v>
      </c>
      <c r="O1751">
        <v>7</v>
      </c>
      <c r="P1751">
        <v>4</v>
      </c>
      <c r="Q1751">
        <v>0</v>
      </c>
      <c r="R1751">
        <v>54.25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H1751">
        <v>54.25</v>
      </c>
    </row>
    <row r="1752" spans="1:34" x14ac:dyDescent="0.3">
      <c r="A1752" s="4">
        <v>1965</v>
      </c>
      <c r="B1752" s="5">
        <v>1745</v>
      </c>
      <c r="C1752">
        <v>15421</v>
      </c>
      <c r="D1752" t="s">
        <v>14019</v>
      </c>
      <c r="E1752" t="s">
        <v>22</v>
      </c>
      <c r="F1752" t="s">
        <v>190</v>
      </c>
      <c r="G1752" t="s">
        <v>14020</v>
      </c>
      <c r="H1752">
        <v>16.25</v>
      </c>
      <c r="I1752">
        <v>0</v>
      </c>
      <c r="J1752">
        <v>0</v>
      </c>
      <c r="K1752">
        <v>20</v>
      </c>
      <c r="L1752">
        <v>14</v>
      </c>
      <c r="O1752">
        <v>14</v>
      </c>
      <c r="P1752">
        <v>4</v>
      </c>
      <c r="Q1752">
        <v>0</v>
      </c>
      <c r="R1752">
        <v>54.25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H1752">
        <v>54.25</v>
      </c>
    </row>
    <row r="1753" spans="1:34" x14ac:dyDescent="0.3">
      <c r="A1753" s="4">
        <v>1966</v>
      </c>
      <c r="B1753" s="5">
        <v>1746</v>
      </c>
      <c r="C1753">
        <v>12802</v>
      </c>
      <c r="D1753" t="s">
        <v>14021</v>
      </c>
      <c r="E1753" t="s">
        <v>283</v>
      </c>
      <c r="F1753" t="s">
        <v>136</v>
      </c>
      <c r="G1753" t="s">
        <v>14022</v>
      </c>
      <c r="H1753">
        <v>18.25</v>
      </c>
      <c r="I1753">
        <v>0</v>
      </c>
      <c r="J1753">
        <v>0</v>
      </c>
      <c r="K1753">
        <v>20</v>
      </c>
      <c r="N1753">
        <v>6</v>
      </c>
      <c r="O1753">
        <v>6</v>
      </c>
      <c r="P1753">
        <v>4</v>
      </c>
      <c r="Q1753">
        <v>0</v>
      </c>
      <c r="R1753">
        <v>48.25</v>
      </c>
      <c r="S1753">
        <v>6</v>
      </c>
      <c r="T1753">
        <v>6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6</v>
      </c>
      <c r="AB1753">
        <v>0</v>
      </c>
      <c r="AC1753">
        <v>0</v>
      </c>
      <c r="AH1753">
        <v>54.25</v>
      </c>
    </row>
    <row r="1754" spans="1:34" x14ac:dyDescent="0.3">
      <c r="A1754" s="4">
        <v>1967</v>
      </c>
      <c r="B1754" s="5">
        <v>1747</v>
      </c>
      <c r="C1754">
        <v>14958</v>
      </c>
      <c r="D1754" t="s">
        <v>441</v>
      </c>
      <c r="E1754" t="s">
        <v>33</v>
      </c>
      <c r="F1754" t="s">
        <v>864</v>
      </c>
      <c r="G1754" t="s">
        <v>14023</v>
      </c>
      <c r="H1754">
        <v>20.23</v>
      </c>
      <c r="I1754">
        <v>0</v>
      </c>
      <c r="J1754">
        <v>0</v>
      </c>
      <c r="K1754">
        <v>0</v>
      </c>
      <c r="L1754">
        <v>7</v>
      </c>
      <c r="N1754">
        <v>3</v>
      </c>
      <c r="O1754">
        <v>10</v>
      </c>
      <c r="P1754">
        <v>4</v>
      </c>
      <c r="Q1754">
        <v>2</v>
      </c>
      <c r="R1754">
        <v>36.229999999999997</v>
      </c>
      <c r="S1754">
        <v>18</v>
      </c>
      <c r="T1754">
        <v>18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18</v>
      </c>
      <c r="AB1754">
        <v>0</v>
      </c>
      <c r="AC1754">
        <v>0</v>
      </c>
      <c r="AH1754">
        <v>54.23</v>
      </c>
    </row>
    <row r="1755" spans="1:34" x14ac:dyDescent="0.3">
      <c r="A1755" s="4">
        <v>1968</v>
      </c>
      <c r="B1755" s="5">
        <v>1748</v>
      </c>
      <c r="C1755">
        <v>13753</v>
      </c>
      <c r="D1755" t="s">
        <v>14024</v>
      </c>
      <c r="E1755" t="s">
        <v>33</v>
      </c>
      <c r="F1755" t="s">
        <v>117</v>
      </c>
      <c r="G1755" t="s">
        <v>14025</v>
      </c>
      <c r="H1755">
        <v>16.2</v>
      </c>
      <c r="I1755">
        <v>0</v>
      </c>
      <c r="J1755">
        <v>0</v>
      </c>
      <c r="K1755">
        <v>20</v>
      </c>
      <c r="N1755">
        <v>3</v>
      </c>
      <c r="O1755">
        <v>3</v>
      </c>
      <c r="P1755">
        <v>4</v>
      </c>
      <c r="Q1755">
        <v>2</v>
      </c>
      <c r="R1755">
        <v>45.2</v>
      </c>
      <c r="S1755">
        <v>6</v>
      </c>
      <c r="T1755">
        <v>6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6</v>
      </c>
      <c r="AB1755">
        <v>3</v>
      </c>
      <c r="AC1755">
        <v>0</v>
      </c>
      <c r="AH1755">
        <v>54.2</v>
      </c>
    </row>
    <row r="1756" spans="1:34" x14ac:dyDescent="0.3">
      <c r="A1756" s="4">
        <v>1969</v>
      </c>
      <c r="B1756" s="5">
        <v>1749</v>
      </c>
      <c r="C1756">
        <v>14301</v>
      </c>
      <c r="D1756" t="s">
        <v>14026</v>
      </c>
      <c r="E1756" t="s">
        <v>38</v>
      </c>
      <c r="F1756" t="s">
        <v>38</v>
      </c>
      <c r="G1756" t="s">
        <v>14027</v>
      </c>
      <c r="H1756">
        <v>20.2</v>
      </c>
      <c r="I1756">
        <v>0</v>
      </c>
      <c r="J1756">
        <v>0</v>
      </c>
      <c r="K1756">
        <v>20</v>
      </c>
      <c r="L1756">
        <v>7</v>
      </c>
      <c r="N1756">
        <v>3</v>
      </c>
      <c r="O1756">
        <v>10</v>
      </c>
      <c r="P1756">
        <v>4</v>
      </c>
      <c r="Q1756">
        <v>0</v>
      </c>
      <c r="R1756">
        <v>54.2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H1756">
        <v>54.2</v>
      </c>
    </row>
    <row r="1757" spans="1:34" x14ac:dyDescent="0.3">
      <c r="A1757" s="4">
        <v>1970</v>
      </c>
      <c r="B1757" s="5">
        <v>1750</v>
      </c>
      <c r="C1757">
        <v>5736</v>
      </c>
      <c r="D1757" t="s">
        <v>6738</v>
      </c>
      <c r="E1757" t="s">
        <v>14028</v>
      </c>
      <c r="F1757" t="s">
        <v>343</v>
      </c>
      <c r="G1757" t="s">
        <v>14029</v>
      </c>
      <c r="H1757">
        <v>20.2</v>
      </c>
      <c r="I1757">
        <v>0</v>
      </c>
      <c r="J1757">
        <v>0</v>
      </c>
      <c r="K1757">
        <v>20</v>
      </c>
      <c r="L1757">
        <v>7</v>
      </c>
      <c r="N1757">
        <v>3</v>
      </c>
      <c r="O1757">
        <v>10</v>
      </c>
      <c r="P1757">
        <v>4</v>
      </c>
      <c r="Q1757">
        <v>0</v>
      </c>
      <c r="R1757">
        <v>54.2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H1757">
        <v>54.2</v>
      </c>
    </row>
    <row r="1758" spans="1:34" x14ac:dyDescent="0.3">
      <c r="A1758" s="4">
        <v>1971</v>
      </c>
      <c r="B1758" s="5">
        <v>1751</v>
      </c>
      <c r="C1758">
        <v>5518</v>
      </c>
      <c r="D1758" t="s">
        <v>4588</v>
      </c>
      <c r="E1758" t="s">
        <v>792</v>
      </c>
      <c r="F1758" t="s">
        <v>17</v>
      </c>
      <c r="G1758" t="s">
        <v>14030</v>
      </c>
      <c r="H1758">
        <v>16.18</v>
      </c>
      <c r="I1758">
        <v>0</v>
      </c>
      <c r="J1758">
        <v>0</v>
      </c>
      <c r="K1758">
        <v>0</v>
      </c>
      <c r="L1758">
        <v>7</v>
      </c>
      <c r="O1758">
        <v>7</v>
      </c>
      <c r="P1758">
        <v>4</v>
      </c>
      <c r="Q1758">
        <v>2</v>
      </c>
      <c r="R1758">
        <v>29.18</v>
      </c>
      <c r="S1758">
        <v>25</v>
      </c>
      <c r="T1758">
        <v>25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25</v>
      </c>
      <c r="AB1758">
        <v>0</v>
      </c>
      <c r="AC1758">
        <v>0</v>
      </c>
      <c r="AH1758">
        <v>54.18</v>
      </c>
    </row>
    <row r="1759" spans="1:34" x14ac:dyDescent="0.3">
      <c r="A1759" s="4">
        <v>1972</v>
      </c>
      <c r="B1759" s="5">
        <v>1752</v>
      </c>
      <c r="C1759">
        <v>1522</v>
      </c>
      <c r="D1759" t="s">
        <v>14031</v>
      </c>
      <c r="E1759" t="s">
        <v>789</v>
      </c>
      <c r="F1759" t="s">
        <v>782</v>
      </c>
      <c r="G1759" t="s">
        <v>14032</v>
      </c>
      <c r="H1759">
        <v>20.149999999999999</v>
      </c>
      <c r="I1759">
        <v>0</v>
      </c>
      <c r="J1759">
        <v>0</v>
      </c>
      <c r="K1759">
        <v>20</v>
      </c>
      <c r="L1759">
        <v>7</v>
      </c>
      <c r="N1759">
        <v>3</v>
      </c>
      <c r="O1759">
        <v>10</v>
      </c>
      <c r="P1759">
        <v>4</v>
      </c>
      <c r="Q1759">
        <v>0</v>
      </c>
      <c r="R1759">
        <v>54.15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H1759">
        <v>54.15</v>
      </c>
    </row>
    <row r="1760" spans="1:34" x14ac:dyDescent="0.3">
      <c r="A1760" s="4">
        <v>1973</v>
      </c>
      <c r="B1760" s="5">
        <v>1753</v>
      </c>
      <c r="C1760">
        <v>1355</v>
      </c>
      <c r="D1760" t="s">
        <v>14033</v>
      </c>
      <c r="E1760" t="s">
        <v>29</v>
      </c>
      <c r="F1760" t="s">
        <v>328</v>
      </c>
      <c r="G1760" t="s">
        <v>14034</v>
      </c>
      <c r="H1760">
        <v>19.149999999999999</v>
      </c>
      <c r="I1760">
        <v>0</v>
      </c>
      <c r="J1760">
        <v>0</v>
      </c>
      <c r="K1760">
        <v>20</v>
      </c>
      <c r="N1760">
        <v>3</v>
      </c>
      <c r="O1760">
        <v>3</v>
      </c>
      <c r="P1760">
        <v>4</v>
      </c>
      <c r="Q1760">
        <v>2</v>
      </c>
      <c r="R1760">
        <v>48.15</v>
      </c>
      <c r="S1760">
        <v>6</v>
      </c>
      <c r="T1760">
        <v>6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6</v>
      </c>
      <c r="AB1760">
        <v>0</v>
      </c>
      <c r="AC1760">
        <v>0</v>
      </c>
      <c r="AH1760">
        <v>54.15</v>
      </c>
    </row>
    <row r="1761" spans="1:34" x14ac:dyDescent="0.3">
      <c r="A1761" s="4">
        <v>1974</v>
      </c>
      <c r="B1761" s="5">
        <v>1754</v>
      </c>
      <c r="C1761">
        <v>7711</v>
      </c>
      <c r="D1761" t="s">
        <v>14035</v>
      </c>
      <c r="E1761" t="s">
        <v>789</v>
      </c>
      <c r="F1761" t="s">
        <v>55</v>
      </c>
      <c r="G1761" t="s">
        <v>14036</v>
      </c>
      <c r="H1761">
        <v>20.13</v>
      </c>
      <c r="I1761">
        <v>0</v>
      </c>
      <c r="J1761">
        <v>0</v>
      </c>
      <c r="K1761">
        <v>20</v>
      </c>
      <c r="L1761">
        <v>7</v>
      </c>
      <c r="N1761">
        <v>3</v>
      </c>
      <c r="O1761">
        <v>10</v>
      </c>
      <c r="P1761">
        <v>4</v>
      </c>
      <c r="Q1761">
        <v>0</v>
      </c>
      <c r="R1761">
        <v>54.13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H1761">
        <v>54.13</v>
      </c>
    </row>
    <row r="1762" spans="1:34" x14ac:dyDescent="0.3">
      <c r="A1762" s="4">
        <v>1975</v>
      </c>
      <c r="B1762" s="5">
        <v>1755</v>
      </c>
      <c r="C1762">
        <v>3533</v>
      </c>
      <c r="D1762" t="s">
        <v>14037</v>
      </c>
      <c r="E1762" t="s">
        <v>400</v>
      </c>
      <c r="F1762" t="s">
        <v>52</v>
      </c>
      <c r="G1762" t="s">
        <v>32003</v>
      </c>
      <c r="H1762">
        <v>17.079999999999998</v>
      </c>
      <c r="I1762">
        <v>0</v>
      </c>
      <c r="J1762">
        <v>0</v>
      </c>
      <c r="K1762">
        <v>20</v>
      </c>
      <c r="L1762">
        <v>7</v>
      </c>
      <c r="O1762">
        <v>7</v>
      </c>
      <c r="P1762">
        <v>4</v>
      </c>
      <c r="Q1762">
        <v>0</v>
      </c>
      <c r="R1762">
        <v>48.08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6</v>
      </c>
      <c r="AC1762">
        <v>0</v>
      </c>
      <c r="AD1762" t="s">
        <v>130</v>
      </c>
      <c r="AH1762">
        <v>54.08</v>
      </c>
    </row>
    <row r="1763" spans="1:34" x14ac:dyDescent="0.3">
      <c r="A1763" s="4">
        <v>1976</v>
      </c>
      <c r="B1763" s="5">
        <v>1756</v>
      </c>
      <c r="C1763">
        <v>4870</v>
      </c>
      <c r="D1763" t="s">
        <v>207</v>
      </c>
      <c r="E1763" t="s">
        <v>88</v>
      </c>
      <c r="F1763" t="s">
        <v>136</v>
      </c>
      <c r="G1763" t="s">
        <v>14038</v>
      </c>
      <c r="H1763">
        <v>21.08</v>
      </c>
      <c r="I1763">
        <v>0</v>
      </c>
      <c r="J1763">
        <v>0</v>
      </c>
      <c r="K1763">
        <v>20</v>
      </c>
      <c r="L1763">
        <v>7</v>
      </c>
      <c r="O1763">
        <v>7</v>
      </c>
      <c r="P1763">
        <v>4</v>
      </c>
      <c r="Q1763">
        <v>2</v>
      </c>
      <c r="R1763">
        <v>54.08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H1763">
        <v>54.08</v>
      </c>
    </row>
    <row r="1764" spans="1:34" x14ac:dyDescent="0.3">
      <c r="A1764" s="4">
        <v>1977</v>
      </c>
      <c r="B1764" s="5">
        <v>1757</v>
      </c>
      <c r="C1764">
        <v>373</v>
      </c>
      <c r="D1764" t="s">
        <v>13152</v>
      </c>
      <c r="E1764" t="s">
        <v>2237</v>
      </c>
      <c r="F1764" t="s">
        <v>238</v>
      </c>
      <c r="G1764" t="s">
        <v>14039</v>
      </c>
      <c r="H1764">
        <v>18.079999999999998</v>
      </c>
      <c r="I1764">
        <v>0</v>
      </c>
      <c r="J1764">
        <v>0</v>
      </c>
      <c r="K1764">
        <v>20</v>
      </c>
      <c r="L1764">
        <v>7</v>
      </c>
      <c r="N1764">
        <v>3</v>
      </c>
      <c r="O1764">
        <v>10</v>
      </c>
      <c r="P1764">
        <v>4</v>
      </c>
      <c r="Q1764">
        <v>2</v>
      </c>
      <c r="R1764">
        <v>54.08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H1764">
        <v>54.08</v>
      </c>
    </row>
    <row r="1765" spans="1:34" x14ac:dyDescent="0.3">
      <c r="A1765" s="4">
        <v>1978</v>
      </c>
      <c r="B1765" s="5">
        <v>1758</v>
      </c>
      <c r="C1765">
        <v>6716</v>
      </c>
      <c r="D1765" t="s">
        <v>3309</v>
      </c>
      <c r="E1765" t="s">
        <v>100</v>
      </c>
      <c r="F1765" t="s">
        <v>892</v>
      </c>
      <c r="G1765" t="s">
        <v>14040</v>
      </c>
      <c r="H1765">
        <v>19.079999999999998</v>
      </c>
      <c r="I1765">
        <v>0</v>
      </c>
      <c r="J1765">
        <v>0</v>
      </c>
      <c r="K1765">
        <v>20</v>
      </c>
      <c r="M1765">
        <v>5</v>
      </c>
      <c r="O1765">
        <v>5</v>
      </c>
      <c r="P1765">
        <v>4</v>
      </c>
      <c r="Q1765">
        <v>0</v>
      </c>
      <c r="R1765">
        <v>48.08</v>
      </c>
      <c r="S1765">
        <v>6</v>
      </c>
      <c r="T1765">
        <v>6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6</v>
      </c>
      <c r="AB1765">
        <v>0</v>
      </c>
      <c r="AC1765">
        <v>0</v>
      </c>
      <c r="AH1765">
        <v>54.08</v>
      </c>
    </row>
    <row r="1766" spans="1:34" x14ac:dyDescent="0.3">
      <c r="A1766" s="4">
        <v>1979</v>
      </c>
      <c r="B1766" s="5">
        <v>1759</v>
      </c>
      <c r="C1766">
        <v>6520</v>
      </c>
      <c r="D1766" t="s">
        <v>14041</v>
      </c>
      <c r="E1766" t="s">
        <v>41</v>
      </c>
      <c r="F1766" t="s">
        <v>328</v>
      </c>
      <c r="G1766" t="s">
        <v>14042</v>
      </c>
      <c r="H1766">
        <v>20.05</v>
      </c>
      <c r="I1766">
        <v>0</v>
      </c>
      <c r="J1766">
        <v>0</v>
      </c>
      <c r="K1766">
        <v>20</v>
      </c>
      <c r="L1766">
        <v>7</v>
      </c>
      <c r="N1766">
        <v>3</v>
      </c>
      <c r="O1766">
        <v>10</v>
      </c>
      <c r="P1766">
        <v>4</v>
      </c>
      <c r="Q1766">
        <v>0</v>
      </c>
      <c r="R1766">
        <v>54.05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H1766">
        <v>54.05</v>
      </c>
    </row>
    <row r="1767" spans="1:34" x14ac:dyDescent="0.3">
      <c r="A1767" s="4">
        <v>1980</v>
      </c>
      <c r="B1767" s="5">
        <v>1760</v>
      </c>
      <c r="C1767">
        <v>4360</v>
      </c>
      <c r="D1767" t="s">
        <v>7140</v>
      </c>
      <c r="E1767" t="s">
        <v>563</v>
      </c>
      <c r="F1767" t="s">
        <v>17</v>
      </c>
      <c r="G1767" t="s">
        <v>14043</v>
      </c>
      <c r="H1767">
        <v>18.05</v>
      </c>
      <c r="I1767">
        <v>0</v>
      </c>
      <c r="J1767">
        <v>0</v>
      </c>
      <c r="K1767">
        <v>20</v>
      </c>
      <c r="L1767">
        <v>7</v>
      </c>
      <c r="M1767">
        <v>5</v>
      </c>
      <c r="O1767">
        <v>12</v>
      </c>
      <c r="P1767">
        <v>4</v>
      </c>
      <c r="Q1767">
        <v>0</v>
      </c>
      <c r="R1767">
        <v>54.05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H1767">
        <v>54.05</v>
      </c>
    </row>
    <row r="1768" spans="1:34" x14ac:dyDescent="0.3">
      <c r="A1768" s="4">
        <v>1981</v>
      </c>
      <c r="B1768" s="5">
        <v>1761</v>
      </c>
      <c r="C1768">
        <v>371</v>
      </c>
      <c r="D1768" t="s">
        <v>14044</v>
      </c>
      <c r="E1768" t="s">
        <v>14045</v>
      </c>
      <c r="F1768" t="s">
        <v>136</v>
      </c>
      <c r="G1768" t="s">
        <v>14046</v>
      </c>
      <c r="H1768">
        <v>21</v>
      </c>
      <c r="I1768">
        <v>0</v>
      </c>
      <c r="J1768">
        <v>0</v>
      </c>
      <c r="K1768">
        <v>20</v>
      </c>
      <c r="L1768">
        <v>7</v>
      </c>
      <c r="O1768">
        <v>7</v>
      </c>
      <c r="P1768">
        <v>4</v>
      </c>
      <c r="Q1768">
        <v>2</v>
      </c>
      <c r="R1768">
        <v>54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H1768">
        <v>54</v>
      </c>
    </row>
    <row r="1769" spans="1:34" x14ac:dyDescent="0.3">
      <c r="A1769" s="4">
        <v>1982</v>
      </c>
      <c r="B1769" s="5">
        <v>1762</v>
      </c>
      <c r="C1769">
        <v>4806</v>
      </c>
      <c r="D1769" t="s">
        <v>181</v>
      </c>
      <c r="E1769" t="s">
        <v>29</v>
      </c>
      <c r="F1769" t="s">
        <v>68</v>
      </c>
      <c r="G1769" t="s">
        <v>10830</v>
      </c>
      <c r="H1769">
        <v>20</v>
      </c>
      <c r="I1769">
        <v>7</v>
      </c>
      <c r="J1769">
        <v>0</v>
      </c>
      <c r="K1769">
        <v>20</v>
      </c>
      <c r="N1769">
        <v>3</v>
      </c>
      <c r="O1769">
        <v>3</v>
      </c>
      <c r="P1769">
        <v>4</v>
      </c>
      <c r="Q1769">
        <v>0</v>
      </c>
      <c r="R1769">
        <v>54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H1769">
        <v>54</v>
      </c>
    </row>
    <row r="1770" spans="1:34" x14ac:dyDescent="0.3">
      <c r="A1770" s="4">
        <v>1983</v>
      </c>
      <c r="B1770" s="5">
        <v>1763</v>
      </c>
      <c r="C1770">
        <v>10100</v>
      </c>
      <c r="D1770" t="s">
        <v>14047</v>
      </c>
      <c r="E1770" t="s">
        <v>7954</v>
      </c>
      <c r="F1770" t="s">
        <v>6216</v>
      </c>
      <c r="G1770" t="s">
        <v>14048</v>
      </c>
      <c r="H1770">
        <v>16.98</v>
      </c>
      <c r="I1770">
        <v>0</v>
      </c>
      <c r="J1770">
        <v>0</v>
      </c>
      <c r="K1770">
        <v>20</v>
      </c>
      <c r="L1770">
        <v>7</v>
      </c>
      <c r="O1770">
        <v>7</v>
      </c>
      <c r="P1770">
        <v>4</v>
      </c>
      <c r="Q1770">
        <v>0</v>
      </c>
      <c r="R1770">
        <v>47.98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6</v>
      </c>
      <c r="AC1770">
        <v>0</v>
      </c>
      <c r="AH1770">
        <v>53.98</v>
      </c>
    </row>
    <row r="1771" spans="1:34" x14ac:dyDescent="0.3">
      <c r="A1771" s="4">
        <v>1984</v>
      </c>
      <c r="B1771" s="5">
        <v>1764</v>
      </c>
      <c r="C1771">
        <v>3677</v>
      </c>
      <c r="D1771" t="s">
        <v>8863</v>
      </c>
      <c r="E1771" t="s">
        <v>29</v>
      </c>
      <c r="F1771" t="s">
        <v>17</v>
      </c>
      <c r="G1771" t="s">
        <v>14049</v>
      </c>
      <c r="H1771">
        <v>20.98</v>
      </c>
      <c r="I1771">
        <v>0</v>
      </c>
      <c r="J1771">
        <v>0</v>
      </c>
      <c r="K1771">
        <v>20</v>
      </c>
      <c r="L1771">
        <v>7</v>
      </c>
      <c r="O1771">
        <v>7</v>
      </c>
      <c r="P1771">
        <v>4</v>
      </c>
      <c r="Q1771">
        <v>2</v>
      </c>
      <c r="R1771">
        <v>53.98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H1771">
        <v>53.98</v>
      </c>
    </row>
    <row r="1772" spans="1:34" x14ac:dyDescent="0.3">
      <c r="A1772" s="4">
        <v>1985</v>
      </c>
      <c r="B1772" s="5">
        <v>1765</v>
      </c>
      <c r="C1772">
        <v>15263</v>
      </c>
      <c r="D1772" t="s">
        <v>9271</v>
      </c>
      <c r="E1772" t="s">
        <v>37</v>
      </c>
      <c r="F1772" t="s">
        <v>30</v>
      </c>
      <c r="G1772" t="s">
        <v>14050</v>
      </c>
      <c r="H1772">
        <v>18.98</v>
      </c>
      <c r="I1772">
        <v>0</v>
      </c>
      <c r="J1772">
        <v>0</v>
      </c>
      <c r="K1772">
        <v>28</v>
      </c>
      <c r="N1772">
        <v>3</v>
      </c>
      <c r="O1772">
        <v>3</v>
      </c>
      <c r="P1772">
        <v>4</v>
      </c>
      <c r="Q1772">
        <v>0</v>
      </c>
      <c r="R1772">
        <v>53.98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H1772">
        <v>53.98</v>
      </c>
    </row>
    <row r="1773" spans="1:34" x14ac:dyDescent="0.3">
      <c r="A1773" s="4">
        <v>1986</v>
      </c>
      <c r="B1773" s="5">
        <v>1766</v>
      </c>
      <c r="C1773">
        <v>10448</v>
      </c>
      <c r="D1773" t="s">
        <v>14051</v>
      </c>
      <c r="E1773" t="s">
        <v>208</v>
      </c>
      <c r="F1773" t="s">
        <v>136</v>
      </c>
      <c r="G1773" t="s">
        <v>14052</v>
      </c>
      <c r="H1773">
        <v>16.98</v>
      </c>
      <c r="I1773">
        <v>0</v>
      </c>
      <c r="J1773">
        <v>0</v>
      </c>
      <c r="K1773">
        <v>20</v>
      </c>
      <c r="L1773">
        <v>7</v>
      </c>
      <c r="O1773">
        <v>7</v>
      </c>
      <c r="P1773">
        <v>4</v>
      </c>
      <c r="Q1773">
        <v>0</v>
      </c>
      <c r="R1773">
        <v>47.98</v>
      </c>
      <c r="S1773">
        <v>6</v>
      </c>
      <c r="T1773">
        <v>6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6</v>
      </c>
      <c r="AB1773">
        <v>0</v>
      </c>
      <c r="AC1773">
        <v>0</v>
      </c>
      <c r="AH1773">
        <v>53.98</v>
      </c>
    </row>
    <row r="1774" spans="1:34" x14ac:dyDescent="0.3">
      <c r="A1774" s="4">
        <v>1987</v>
      </c>
      <c r="B1774" s="5">
        <v>1767</v>
      </c>
      <c r="C1774">
        <v>4373</v>
      </c>
      <c r="D1774" t="s">
        <v>14053</v>
      </c>
      <c r="E1774" t="s">
        <v>71</v>
      </c>
      <c r="F1774" t="s">
        <v>416</v>
      </c>
      <c r="G1774" t="s">
        <v>14054</v>
      </c>
      <c r="H1774">
        <v>16.95</v>
      </c>
      <c r="I1774">
        <v>0</v>
      </c>
      <c r="J1774">
        <v>0</v>
      </c>
      <c r="K1774">
        <v>20</v>
      </c>
      <c r="L1774">
        <v>7</v>
      </c>
      <c r="N1774">
        <v>3</v>
      </c>
      <c r="O1774">
        <v>10</v>
      </c>
      <c r="P1774">
        <v>4</v>
      </c>
      <c r="Q1774">
        <v>0</v>
      </c>
      <c r="R1774">
        <v>50.95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3</v>
      </c>
      <c r="AC1774">
        <v>0</v>
      </c>
      <c r="AH1774">
        <v>53.95</v>
      </c>
    </row>
    <row r="1775" spans="1:34" x14ac:dyDescent="0.3">
      <c r="A1775" s="4">
        <v>1988</v>
      </c>
      <c r="B1775" s="5">
        <v>1768</v>
      </c>
      <c r="C1775">
        <v>2695</v>
      </c>
      <c r="D1775" t="s">
        <v>4893</v>
      </c>
      <c r="E1775" t="s">
        <v>29</v>
      </c>
      <c r="F1775" t="s">
        <v>750</v>
      </c>
      <c r="G1775" t="s">
        <v>14055</v>
      </c>
      <c r="H1775">
        <v>19.95</v>
      </c>
      <c r="I1775">
        <v>0</v>
      </c>
      <c r="J1775">
        <v>0</v>
      </c>
      <c r="K1775">
        <v>20</v>
      </c>
      <c r="L1775">
        <v>7</v>
      </c>
      <c r="N1775">
        <v>3</v>
      </c>
      <c r="O1775">
        <v>10</v>
      </c>
      <c r="P1775">
        <v>4</v>
      </c>
      <c r="Q1775">
        <v>0</v>
      </c>
      <c r="R1775">
        <v>53.95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H1775">
        <v>53.95</v>
      </c>
    </row>
    <row r="1776" spans="1:34" x14ac:dyDescent="0.3">
      <c r="A1776" s="4">
        <v>1989</v>
      </c>
      <c r="B1776" s="5">
        <v>1769</v>
      </c>
      <c r="C1776">
        <v>13829</v>
      </c>
      <c r="D1776" t="s">
        <v>14056</v>
      </c>
      <c r="E1776" t="s">
        <v>1043</v>
      </c>
      <c r="F1776" t="s">
        <v>3130</v>
      </c>
      <c r="G1776" t="s">
        <v>14057</v>
      </c>
      <c r="H1776">
        <v>20.9</v>
      </c>
      <c r="I1776">
        <v>0</v>
      </c>
      <c r="J1776">
        <v>0</v>
      </c>
      <c r="K1776">
        <v>20</v>
      </c>
      <c r="L1776">
        <v>7</v>
      </c>
      <c r="O1776">
        <v>7</v>
      </c>
      <c r="P1776">
        <v>0</v>
      </c>
      <c r="Q1776">
        <v>0</v>
      </c>
      <c r="R1776">
        <v>47.9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6</v>
      </c>
      <c r="AC1776">
        <v>0</v>
      </c>
      <c r="AH1776">
        <v>53.9</v>
      </c>
    </row>
    <row r="1777" spans="1:34" x14ac:dyDescent="0.3">
      <c r="A1777" s="4">
        <v>1990</v>
      </c>
      <c r="B1777" s="5">
        <v>1770</v>
      </c>
      <c r="C1777">
        <v>10269</v>
      </c>
      <c r="D1777" t="s">
        <v>14058</v>
      </c>
      <c r="E1777" t="s">
        <v>1694</v>
      </c>
      <c r="F1777" t="s">
        <v>117</v>
      </c>
      <c r="G1777" t="s">
        <v>14059</v>
      </c>
      <c r="H1777">
        <v>20.079999999999998</v>
      </c>
      <c r="I1777">
        <v>0</v>
      </c>
      <c r="J1777">
        <v>0</v>
      </c>
      <c r="K1777">
        <v>0</v>
      </c>
      <c r="N1777">
        <v>3</v>
      </c>
      <c r="O1777">
        <v>3</v>
      </c>
      <c r="P1777">
        <v>4</v>
      </c>
      <c r="Q1777">
        <v>0</v>
      </c>
      <c r="R1777">
        <v>27.08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26.8</v>
      </c>
      <c r="AH1777">
        <v>53.88</v>
      </c>
    </row>
    <row r="1778" spans="1:34" x14ac:dyDescent="0.3">
      <c r="A1778" s="4">
        <v>1991</v>
      </c>
      <c r="B1778" s="5">
        <v>1771</v>
      </c>
      <c r="C1778">
        <v>4313</v>
      </c>
      <c r="D1778" t="s">
        <v>4355</v>
      </c>
      <c r="E1778" t="s">
        <v>1189</v>
      </c>
      <c r="F1778" t="s">
        <v>55</v>
      </c>
      <c r="G1778" t="s">
        <v>14060</v>
      </c>
      <c r="H1778">
        <v>19.88</v>
      </c>
      <c r="I1778">
        <v>0</v>
      </c>
      <c r="J1778">
        <v>0</v>
      </c>
      <c r="K1778">
        <v>20</v>
      </c>
      <c r="L1778">
        <v>7</v>
      </c>
      <c r="N1778">
        <v>3</v>
      </c>
      <c r="O1778">
        <v>10</v>
      </c>
      <c r="P1778">
        <v>4</v>
      </c>
      <c r="Q1778">
        <v>0</v>
      </c>
      <c r="R1778">
        <v>53.88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E1778" t="s">
        <v>130</v>
      </c>
      <c r="AH1778">
        <v>53.88</v>
      </c>
    </row>
    <row r="1779" spans="1:34" x14ac:dyDescent="0.3">
      <c r="A1779" s="4">
        <v>1992</v>
      </c>
      <c r="B1779" s="5">
        <v>1772</v>
      </c>
      <c r="C1779">
        <v>13909</v>
      </c>
      <c r="D1779" t="s">
        <v>212</v>
      </c>
      <c r="E1779" t="s">
        <v>147</v>
      </c>
      <c r="F1779" t="s">
        <v>136</v>
      </c>
      <c r="G1779" t="s">
        <v>14061</v>
      </c>
      <c r="H1779">
        <v>18.850000000000001</v>
      </c>
      <c r="I1779">
        <v>0</v>
      </c>
      <c r="J1779">
        <v>0</v>
      </c>
      <c r="K1779">
        <v>20</v>
      </c>
      <c r="N1779">
        <v>6</v>
      </c>
      <c r="O1779">
        <v>6</v>
      </c>
      <c r="P1779">
        <v>4</v>
      </c>
      <c r="Q1779">
        <v>2</v>
      </c>
      <c r="R1779">
        <v>50.85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3</v>
      </c>
      <c r="AC1779">
        <v>0</v>
      </c>
      <c r="AH1779">
        <v>53.85</v>
      </c>
    </row>
    <row r="1780" spans="1:34" x14ac:dyDescent="0.3">
      <c r="A1780" s="4">
        <v>1993</v>
      </c>
      <c r="B1780" s="5">
        <v>1773</v>
      </c>
      <c r="C1780">
        <v>6092</v>
      </c>
      <c r="D1780" t="s">
        <v>3752</v>
      </c>
      <c r="E1780" t="s">
        <v>38</v>
      </c>
      <c r="F1780" t="s">
        <v>158</v>
      </c>
      <c r="G1780" t="s">
        <v>14062</v>
      </c>
      <c r="H1780">
        <v>22.83</v>
      </c>
      <c r="I1780">
        <v>0</v>
      </c>
      <c r="J1780">
        <v>0</v>
      </c>
      <c r="K1780">
        <v>20</v>
      </c>
      <c r="L1780">
        <v>7</v>
      </c>
      <c r="O1780">
        <v>7</v>
      </c>
      <c r="P1780">
        <v>4</v>
      </c>
      <c r="Q1780">
        <v>0</v>
      </c>
      <c r="R1780">
        <v>53.83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H1780">
        <v>53.83</v>
      </c>
    </row>
    <row r="1781" spans="1:34" x14ac:dyDescent="0.3">
      <c r="A1781" s="4">
        <v>1994</v>
      </c>
      <c r="B1781" s="5">
        <v>1774</v>
      </c>
      <c r="C1781">
        <v>8677</v>
      </c>
      <c r="D1781" t="s">
        <v>2008</v>
      </c>
      <c r="E1781" t="s">
        <v>188</v>
      </c>
      <c r="F1781" t="s">
        <v>38</v>
      </c>
      <c r="G1781" t="s">
        <v>14063</v>
      </c>
      <c r="H1781">
        <v>19.829999999999998</v>
      </c>
      <c r="I1781">
        <v>0</v>
      </c>
      <c r="J1781">
        <v>0</v>
      </c>
      <c r="K1781">
        <v>0</v>
      </c>
      <c r="L1781">
        <v>7</v>
      </c>
      <c r="O1781">
        <v>7</v>
      </c>
      <c r="P1781">
        <v>4</v>
      </c>
      <c r="Q1781">
        <v>2</v>
      </c>
      <c r="R1781">
        <v>32.83</v>
      </c>
      <c r="S1781">
        <v>21</v>
      </c>
      <c r="T1781">
        <v>21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21</v>
      </c>
      <c r="AB1781">
        <v>0</v>
      </c>
      <c r="AC1781">
        <v>0</v>
      </c>
      <c r="AH1781">
        <v>53.83</v>
      </c>
    </row>
    <row r="1782" spans="1:34" x14ac:dyDescent="0.3">
      <c r="A1782" s="4">
        <v>1995</v>
      </c>
      <c r="B1782" s="5">
        <v>1775</v>
      </c>
      <c r="C1782">
        <v>11019</v>
      </c>
      <c r="D1782" t="s">
        <v>14064</v>
      </c>
      <c r="E1782" t="s">
        <v>4362</v>
      </c>
      <c r="F1782" t="s">
        <v>17</v>
      </c>
      <c r="G1782" t="s">
        <v>14065</v>
      </c>
      <c r="H1782">
        <v>17.8</v>
      </c>
      <c r="I1782">
        <v>0</v>
      </c>
      <c r="J1782">
        <v>0</v>
      </c>
      <c r="K1782">
        <v>20</v>
      </c>
      <c r="L1782">
        <v>7</v>
      </c>
      <c r="M1782">
        <v>5</v>
      </c>
      <c r="O1782">
        <v>12</v>
      </c>
      <c r="P1782">
        <v>4</v>
      </c>
      <c r="Q1782">
        <v>0</v>
      </c>
      <c r="R1782">
        <v>53.8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H1782">
        <v>53.8</v>
      </c>
    </row>
    <row r="1783" spans="1:34" x14ac:dyDescent="0.3">
      <c r="A1783" s="4">
        <v>1996</v>
      </c>
      <c r="B1783" s="5">
        <v>1776</v>
      </c>
      <c r="C1783">
        <v>5991</v>
      </c>
      <c r="D1783" t="s">
        <v>788</v>
      </c>
      <c r="E1783" t="s">
        <v>29</v>
      </c>
      <c r="F1783" t="s">
        <v>328</v>
      </c>
      <c r="G1783" t="s">
        <v>14066</v>
      </c>
      <c r="H1783">
        <v>17.8</v>
      </c>
      <c r="I1783">
        <v>0</v>
      </c>
      <c r="J1783">
        <v>0</v>
      </c>
      <c r="K1783">
        <v>0</v>
      </c>
      <c r="L1783">
        <v>7</v>
      </c>
      <c r="O1783">
        <v>7</v>
      </c>
      <c r="P1783">
        <v>4</v>
      </c>
      <c r="Q1783">
        <v>2</v>
      </c>
      <c r="R1783">
        <v>30.8</v>
      </c>
      <c r="S1783">
        <v>23</v>
      </c>
      <c r="T1783">
        <v>23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23</v>
      </c>
      <c r="AB1783">
        <v>0</v>
      </c>
      <c r="AC1783">
        <v>0</v>
      </c>
      <c r="AD1783" t="s">
        <v>130</v>
      </c>
      <c r="AH1783">
        <v>53.8</v>
      </c>
    </row>
    <row r="1784" spans="1:34" x14ac:dyDescent="0.3">
      <c r="A1784" s="4">
        <v>1997</v>
      </c>
      <c r="B1784" s="5">
        <v>1777</v>
      </c>
      <c r="C1784">
        <v>11426</v>
      </c>
      <c r="D1784" t="s">
        <v>67</v>
      </c>
      <c r="E1784" t="s">
        <v>132</v>
      </c>
      <c r="F1784" t="s">
        <v>878</v>
      </c>
      <c r="G1784" t="s">
        <v>14067</v>
      </c>
      <c r="H1784">
        <v>20.78</v>
      </c>
      <c r="I1784">
        <v>0</v>
      </c>
      <c r="J1784">
        <v>0</v>
      </c>
      <c r="K1784">
        <v>20</v>
      </c>
      <c r="N1784">
        <v>3</v>
      </c>
      <c r="O1784">
        <v>3</v>
      </c>
      <c r="P1784">
        <v>4</v>
      </c>
      <c r="Q1784">
        <v>0</v>
      </c>
      <c r="R1784">
        <v>47.78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6</v>
      </c>
      <c r="AC1784">
        <v>0</v>
      </c>
      <c r="AH1784">
        <v>53.78</v>
      </c>
    </row>
    <row r="1785" spans="1:34" x14ac:dyDescent="0.3">
      <c r="A1785" s="4">
        <v>1998</v>
      </c>
      <c r="B1785" s="5">
        <v>1778</v>
      </c>
      <c r="C1785">
        <v>1685</v>
      </c>
      <c r="D1785" t="s">
        <v>4607</v>
      </c>
      <c r="E1785" t="s">
        <v>406</v>
      </c>
      <c r="F1785" t="s">
        <v>20</v>
      </c>
      <c r="G1785" t="s">
        <v>14068</v>
      </c>
      <c r="H1785">
        <v>17.75</v>
      </c>
      <c r="I1785">
        <v>0</v>
      </c>
      <c r="J1785">
        <v>0</v>
      </c>
      <c r="K1785">
        <v>20</v>
      </c>
      <c r="L1785">
        <v>7</v>
      </c>
      <c r="M1785">
        <v>5</v>
      </c>
      <c r="O1785">
        <v>12</v>
      </c>
      <c r="P1785">
        <v>4</v>
      </c>
      <c r="Q1785">
        <v>0</v>
      </c>
      <c r="R1785">
        <v>53.75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H1785">
        <v>53.75</v>
      </c>
    </row>
    <row r="1786" spans="1:34" x14ac:dyDescent="0.3">
      <c r="A1786" s="4">
        <v>1999</v>
      </c>
      <c r="B1786" s="5">
        <v>1779</v>
      </c>
      <c r="C1786">
        <v>13809</v>
      </c>
      <c r="D1786" t="s">
        <v>14069</v>
      </c>
      <c r="E1786" t="s">
        <v>188</v>
      </c>
      <c r="F1786" t="s">
        <v>124</v>
      </c>
      <c r="G1786" t="s">
        <v>14070</v>
      </c>
      <c r="H1786">
        <v>18.73</v>
      </c>
      <c r="I1786">
        <v>0</v>
      </c>
      <c r="J1786">
        <v>0</v>
      </c>
      <c r="K1786">
        <v>20</v>
      </c>
      <c r="M1786">
        <v>5</v>
      </c>
      <c r="N1786">
        <v>3</v>
      </c>
      <c r="O1786">
        <v>8</v>
      </c>
      <c r="P1786">
        <v>4</v>
      </c>
      <c r="Q1786">
        <v>0</v>
      </c>
      <c r="R1786">
        <v>50.73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3</v>
      </c>
      <c r="AC1786">
        <v>0</v>
      </c>
      <c r="AH1786">
        <v>53.73</v>
      </c>
    </row>
    <row r="1787" spans="1:34" x14ac:dyDescent="0.3">
      <c r="A1787" s="4">
        <v>2000</v>
      </c>
      <c r="B1787" s="5">
        <v>1780</v>
      </c>
      <c r="C1787">
        <v>12054</v>
      </c>
      <c r="D1787" t="s">
        <v>14071</v>
      </c>
      <c r="E1787" t="s">
        <v>104</v>
      </c>
      <c r="F1787" t="s">
        <v>20</v>
      </c>
      <c r="G1787" t="s">
        <v>14072</v>
      </c>
      <c r="H1787">
        <v>19.73</v>
      </c>
      <c r="I1787">
        <v>0</v>
      </c>
      <c r="J1787">
        <v>0</v>
      </c>
      <c r="K1787">
        <v>0</v>
      </c>
      <c r="L1787">
        <v>7</v>
      </c>
      <c r="N1787">
        <v>3</v>
      </c>
      <c r="O1787">
        <v>10</v>
      </c>
      <c r="P1787">
        <v>4</v>
      </c>
      <c r="Q1787">
        <v>2</v>
      </c>
      <c r="R1787">
        <v>35.729999999999997</v>
      </c>
      <c r="S1787">
        <v>18</v>
      </c>
      <c r="T1787">
        <v>18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18</v>
      </c>
      <c r="AB1787">
        <v>0</v>
      </c>
      <c r="AC1787">
        <v>0</v>
      </c>
      <c r="AH1787">
        <v>53.73</v>
      </c>
    </row>
    <row r="1788" spans="1:34" x14ac:dyDescent="0.3">
      <c r="A1788" s="4">
        <v>2001</v>
      </c>
      <c r="B1788" s="5">
        <v>1781</v>
      </c>
      <c r="C1788">
        <v>4233</v>
      </c>
      <c r="D1788" t="s">
        <v>14073</v>
      </c>
      <c r="E1788" t="s">
        <v>26</v>
      </c>
      <c r="F1788" t="s">
        <v>20</v>
      </c>
      <c r="G1788" t="s">
        <v>14074</v>
      </c>
      <c r="H1788">
        <v>17.7</v>
      </c>
      <c r="I1788">
        <v>0</v>
      </c>
      <c r="J1788">
        <v>0</v>
      </c>
      <c r="K1788">
        <v>20</v>
      </c>
      <c r="L1788">
        <v>7</v>
      </c>
      <c r="O1788">
        <v>7</v>
      </c>
      <c r="P1788">
        <v>4</v>
      </c>
      <c r="Q1788">
        <v>2</v>
      </c>
      <c r="R1788">
        <v>50.7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3</v>
      </c>
      <c r="AC1788">
        <v>0</v>
      </c>
      <c r="AH1788">
        <v>53.7</v>
      </c>
    </row>
    <row r="1789" spans="1:34" x14ac:dyDescent="0.3">
      <c r="A1789" s="4">
        <v>2002</v>
      </c>
      <c r="B1789" s="5">
        <v>1782</v>
      </c>
      <c r="C1789">
        <v>1717</v>
      </c>
      <c r="D1789" t="s">
        <v>11767</v>
      </c>
      <c r="E1789" t="s">
        <v>14075</v>
      </c>
      <c r="F1789" t="s">
        <v>343</v>
      </c>
      <c r="G1789" t="s">
        <v>14076</v>
      </c>
      <c r="H1789">
        <v>21.7</v>
      </c>
      <c r="I1789">
        <v>0</v>
      </c>
      <c r="J1789">
        <v>0</v>
      </c>
      <c r="K1789">
        <v>20</v>
      </c>
      <c r="L1789">
        <v>7</v>
      </c>
      <c r="M1789">
        <v>5</v>
      </c>
      <c r="O1789">
        <v>12</v>
      </c>
      <c r="P1789">
        <v>0</v>
      </c>
      <c r="Q1789">
        <v>0</v>
      </c>
      <c r="R1789">
        <v>53.7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H1789">
        <v>53.7</v>
      </c>
    </row>
    <row r="1790" spans="1:34" x14ac:dyDescent="0.3">
      <c r="A1790" s="4">
        <v>2003</v>
      </c>
      <c r="B1790" s="5">
        <v>1783</v>
      </c>
      <c r="C1790">
        <v>6873</v>
      </c>
      <c r="D1790" t="s">
        <v>7280</v>
      </c>
      <c r="E1790" t="s">
        <v>14077</v>
      </c>
      <c r="F1790" t="s">
        <v>117</v>
      </c>
      <c r="G1790" t="s">
        <v>14078</v>
      </c>
      <c r="H1790">
        <v>20.68</v>
      </c>
      <c r="I1790">
        <v>0</v>
      </c>
      <c r="J1790">
        <v>0</v>
      </c>
      <c r="K1790">
        <v>28</v>
      </c>
      <c r="M1790">
        <v>5</v>
      </c>
      <c r="O1790">
        <v>5</v>
      </c>
      <c r="P1790">
        <v>0</v>
      </c>
      <c r="Q1790">
        <v>0</v>
      </c>
      <c r="R1790">
        <v>53.68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H1790">
        <v>53.68</v>
      </c>
    </row>
    <row r="1791" spans="1:34" x14ac:dyDescent="0.3">
      <c r="A1791" s="4">
        <v>2004</v>
      </c>
      <c r="B1791" s="5">
        <v>1784</v>
      </c>
      <c r="C1791">
        <v>7578</v>
      </c>
      <c r="D1791" t="s">
        <v>14079</v>
      </c>
      <c r="E1791" t="s">
        <v>648</v>
      </c>
      <c r="F1791" t="s">
        <v>20</v>
      </c>
      <c r="G1791" t="s">
        <v>14080</v>
      </c>
      <c r="H1791">
        <v>17.68</v>
      </c>
      <c r="I1791">
        <v>0</v>
      </c>
      <c r="J1791">
        <v>0</v>
      </c>
      <c r="K1791">
        <v>20</v>
      </c>
      <c r="N1791">
        <v>3</v>
      </c>
      <c r="O1791">
        <v>3</v>
      </c>
      <c r="P1791">
        <v>4</v>
      </c>
      <c r="Q1791">
        <v>2</v>
      </c>
      <c r="R1791">
        <v>46.68</v>
      </c>
      <c r="S1791">
        <v>7</v>
      </c>
      <c r="T1791">
        <v>7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7</v>
      </c>
      <c r="AB1791">
        <v>0</v>
      </c>
      <c r="AC1791">
        <v>0</v>
      </c>
      <c r="AH1791">
        <v>53.68</v>
      </c>
    </row>
    <row r="1792" spans="1:34" x14ac:dyDescent="0.3">
      <c r="A1792" s="4">
        <v>2005</v>
      </c>
      <c r="B1792" s="5">
        <v>1785</v>
      </c>
      <c r="C1792">
        <v>10084</v>
      </c>
      <c r="D1792" t="s">
        <v>14081</v>
      </c>
      <c r="E1792" t="s">
        <v>17</v>
      </c>
      <c r="F1792" t="s">
        <v>55</v>
      </c>
      <c r="G1792" t="s">
        <v>14082</v>
      </c>
      <c r="H1792">
        <v>21.63</v>
      </c>
      <c r="I1792">
        <v>0</v>
      </c>
      <c r="J1792">
        <v>0</v>
      </c>
      <c r="K1792">
        <v>20</v>
      </c>
      <c r="M1792">
        <v>5</v>
      </c>
      <c r="N1792">
        <v>3</v>
      </c>
      <c r="O1792">
        <v>8</v>
      </c>
      <c r="P1792">
        <v>4</v>
      </c>
      <c r="Q1792">
        <v>0</v>
      </c>
      <c r="R1792">
        <v>53.63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H1792">
        <v>53.63</v>
      </c>
    </row>
    <row r="1793" spans="1:34" x14ac:dyDescent="0.3">
      <c r="A1793" s="4">
        <v>2006</v>
      </c>
      <c r="B1793" s="5">
        <v>1786</v>
      </c>
      <c r="C1793">
        <v>6132</v>
      </c>
      <c r="D1793" t="s">
        <v>1296</v>
      </c>
      <c r="E1793" t="s">
        <v>390</v>
      </c>
      <c r="F1793" t="s">
        <v>38</v>
      </c>
      <c r="G1793" t="s">
        <v>14083</v>
      </c>
      <c r="H1793">
        <v>20.63</v>
      </c>
      <c r="I1793">
        <v>0</v>
      </c>
      <c r="J1793">
        <v>0</v>
      </c>
      <c r="K1793">
        <v>20</v>
      </c>
      <c r="L1793">
        <v>7</v>
      </c>
      <c r="O1793">
        <v>7</v>
      </c>
      <c r="P1793">
        <v>4</v>
      </c>
      <c r="Q1793">
        <v>2</v>
      </c>
      <c r="R1793">
        <v>53.63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H1793">
        <v>53.63</v>
      </c>
    </row>
    <row r="1794" spans="1:34" x14ac:dyDescent="0.3">
      <c r="A1794" s="4">
        <v>2007</v>
      </c>
      <c r="B1794" s="5">
        <v>1787</v>
      </c>
      <c r="C1794">
        <v>12761</v>
      </c>
      <c r="D1794" t="s">
        <v>14084</v>
      </c>
      <c r="E1794" t="s">
        <v>29</v>
      </c>
      <c r="F1794" t="s">
        <v>136</v>
      </c>
      <c r="G1794" t="s">
        <v>14085</v>
      </c>
      <c r="H1794">
        <v>20.63</v>
      </c>
      <c r="I1794">
        <v>0</v>
      </c>
      <c r="J1794">
        <v>0</v>
      </c>
      <c r="K1794">
        <v>20</v>
      </c>
      <c r="L1794">
        <v>7</v>
      </c>
      <c r="O1794">
        <v>7</v>
      </c>
      <c r="P1794">
        <v>4</v>
      </c>
      <c r="Q1794">
        <v>2</v>
      </c>
      <c r="R1794">
        <v>53.63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H1794">
        <v>53.63</v>
      </c>
    </row>
    <row r="1795" spans="1:34" x14ac:dyDescent="0.3">
      <c r="A1795" s="4">
        <v>2008</v>
      </c>
      <c r="B1795" s="5">
        <v>1788</v>
      </c>
      <c r="C1795">
        <v>6406</v>
      </c>
      <c r="D1795" t="s">
        <v>421</v>
      </c>
      <c r="E1795" t="s">
        <v>178</v>
      </c>
      <c r="F1795" t="s">
        <v>442</v>
      </c>
      <c r="G1795" t="s">
        <v>14086</v>
      </c>
      <c r="H1795">
        <v>16.600000000000001</v>
      </c>
      <c r="I1795">
        <v>0</v>
      </c>
      <c r="J1795">
        <v>0</v>
      </c>
      <c r="K1795">
        <v>20</v>
      </c>
      <c r="L1795">
        <v>7</v>
      </c>
      <c r="O1795">
        <v>7</v>
      </c>
      <c r="P1795">
        <v>4</v>
      </c>
      <c r="Q1795">
        <v>0</v>
      </c>
      <c r="R1795">
        <v>47.6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6</v>
      </c>
      <c r="AC1795">
        <v>0</v>
      </c>
      <c r="AH1795">
        <v>53.6</v>
      </c>
    </row>
    <row r="1796" spans="1:34" x14ac:dyDescent="0.3">
      <c r="A1796" s="4">
        <v>2009</v>
      </c>
      <c r="B1796" s="5">
        <v>1789</v>
      </c>
      <c r="C1796">
        <v>468</v>
      </c>
      <c r="D1796" t="s">
        <v>7452</v>
      </c>
      <c r="E1796" t="s">
        <v>390</v>
      </c>
      <c r="F1796" t="s">
        <v>375</v>
      </c>
      <c r="G1796" t="s">
        <v>14087</v>
      </c>
      <c r="H1796">
        <v>19.579999999999998</v>
      </c>
      <c r="I1796">
        <v>0</v>
      </c>
      <c r="J1796">
        <v>0</v>
      </c>
      <c r="K1796">
        <v>20</v>
      </c>
      <c r="L1796">
        <v>7</v>
      </c>
      <c r="N1796">
        <v>3</v>
      </c>
      <c r="O1796">
        <v>10</v>
      </c>
      <c r="P1796">
        <v>4</v>
      </c>
      <c r="Q1796">
        <v>0</v>
      </c>
      <c r="R1796">
        <v>53.58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H1796">
        <v>53.58</v>
      </c>
    </row>
    <row r="1797" spans="1:34" x14ac:dyDescent="0.3">
      <c r="A1797" s="4">
        <v>2010</v>
      </c>
      <c r="B1797" s="5">
        <v>1790</v>
      </c>
      <c r="C1797">
        <v>9037</v>
      </c>
      <c r="D1797" t="s">
        <v>3764</v>
      </c>
      <c r="E1797" t="s">
        <v>41</v>
      </c>
      <c r="F1797" t="s">
        <v>230</v>
      </c>
      <c r="G1797" t="s">
        <v>14088</v>
      </c>
      <c r="H1797">
        <v>19.53</v>
      </c>
      <c r="I1797">
        <v>0</v>
      </c>
      <c r="J1797">
        <v>0</v>
      </c>
      <c r="K1797">
        <v>20</v>
      </c>
      <c r="L1797">
        <v>7</v>
      </c>
      <c r="N1797">
        <v>3</v>
      </c>
      <c r="O1797">
        <v>10</v>
      </c>
      <c r="P1797">
        <v>4</v>
      </c>
      <c r="Q1797">
        <v>0</v>
      </c>
      <c r="R1797">
        <v>53.53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H1797">
        <v>53.53</v>
      </c>
    </row>
    <row r="1798" spans="1:34" x14ac:dyDescent="0.3">
      <c r="A1798" s="4">
        <v>2011</v>
      </c>
      <c r="B1798" s="5">
        <v>1791</v>
      </c>
      <c r="C1798">
        <v>12550</v>
      </c>
      <c r="D1798" t="s">
        <v>14089</v>
      </c>
      <c r="E1798" t="s">
        <v>471</v>
      </c>
      <c r="F1798" t="s">
        <v>259</v>
      </c>
      <c r="G1798" t="s">
        <v>14090</v>
      </c>
      <c r="H1798">
        <v>16.5</v>
      </c>
      <c r="I1798">
        <v>0</v>
      </c>
      <c r="J1798">
        <v>0</v>
      </c>
      <c r="K1798">
        <v>20</v>
      </c>
      <c r="L1798">
        <v>7</v>
      </c>
      <c r="O1798">
        <v>7</v>
      </c>
      <c r="P1798">
        <v>4</v>
      </c>
      <c r="Q1798">
        <v>0</v>
      </c>
      <c r="R1798">
        <v>47.5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6</v>
      </c>
      <c r="AC1798">
        <v>0</v>
      </c>
      <c r="AH1798">
        <v>53.5</v>
      </c>
    </row>
    <row r="1799" spans="1:34" x14ac:dyDescent="0.3">
      <c r="A1799" s="4">
        <v>2012</v>
      </c>
      <c r="B1799" s="5">
        <v>1792</v>
      </c>
      <c r="C1799">
        <v>2244</v>
      </c>
      <c r="D1799" t="s">
        <v>14091</v>
      </c>
      <c r="E1799" t="s">
        <v>692</v>
      </c>
      <c r="F1799" t="s">
        <v>20</v>
      </c>
      <c r="G1799" t="s">
        <v>14092</v>
      </c>
      <c r="H1799">
        <v>12.5</v>
      </c>
      <c r="I1799">
        <v>7</v>
      </c>
      <c r="J1799">
        <v>0</v>
      </c>
      <c r="K1799">
        <v>20</v>
      </c>
      <c r="L1799">
        <v>7</v>
      </c>
      <c r="O1799">
        <v>7</v>
      </c>
      <c r="P1799">
        <v>4</v>
      </c>
      <c r="Q1799">
        <v>0</v>
      </c>
      <c r="R1799">
        <v>50.5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3</v>
      </c>
      <c r="AC1799">
        <v>0</v>
      </c>
      <c r="AH1799">
        <v>53.5</v>
      </c>
    </row>
    <row r="1800" spans="1:34" x14ac:dyDescent="0.3">
      <c r="A1800" s="4">
        <v>2013</v>
      </c>
      <c r="B1800" s="5">
        <v>1793</v>
      </c>
      <c r="C1800">
        <v>10504</v>
      </c>
      <c r="D1800" t="s">
        <v>14093</v>
      </c>
      <c r="E1800" t="s">
        <v>178</v>
      </c>
      <c r="F1800" t="s">
        <v>38</v>
      </c>
      <c r="G1800" t="s">
        <v>14094</v>
      </c>
      <c r="H1800">
        <v>20.5</v>
      </c>
      <c r="I1800">
        <v>0</v>
      </c>
      <c r="J1800">
        <v>0</v>
      </c>
      <c r="K1800">
        <v>20</v>
      </c>
      <c r="L1800">
        <v>7</v>
      </c>
      <c r="O1800">
        <v>7</v>
      </c>
      <c r="P1800">
        <v>4</v>
      </c>
      <c r="Q1800">
        <v>2</v>
      </c>
      <c r="R1800">
        <v>53.5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H1800">
        <v>53.5</v>
      </c>
    </row>
    <row r="1801" spans="1:34" x14ac:dyDescent="0.3">
      <c r="A1801" s="4">
        <v>2014</v>
      </c>
      <c r="B1801" s="5">
        <v>1794</v>
      </c>
      <c r="C1801">
        <v>10183</v>
      </c>
      <c r="D1801" t="s">
        <v>14095</v>
      </c>
      <c r="E1801" t="s">
        <v>29</v>
      </c>
      <c r="F1801" t="s">
        <v>17</v>
      </c>
      <c r="G1801" t="s">
        <v>14096</v>
      </c>
      <c r="H1801">
        <v>19.5</v>
      </c>
      <c r="I1801">
        <v>0</v>
      </c>
      <c r="J1801">
        <v>0</v>
      </c>
      <c r="K1801">
        <v>20</v>
      </c>
      <c r="L1801">
        <v>7</v>
      </c>
      <c r="N1801">
        <v>3</v>
      </c>
      <c r="O1801">
        <v>10</v>
      </c>
      <c r="P1801">
        <v>4</v>
      </c>
      <c r="Q1801">
        <v>0</v>
      </c>
      <c r="R1801">
        <v>53.5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H1801">
        <v>53.5</v>
      </c>
    </row>
    <row r="1802" spans="1:34" x14ac:dyDescent="0.3">
      <c r="A1802" s="4">
        <v>2015</v>
      </c>
      <c r="B1802" s="5">
        <v>1795</v>
      </c>
      <c r="C1802">
        <v>7832</v>
      </c>
      <c r="D1802" t="s">
        <v>10033</v>
      </c>
      <c r="E1802" t="s">
        <v>115</v>
      </c>
      <c r="F1802" t="s">
        <v>117</v>
      </c>
      <c r="G1802" t="s">
        <v>14097</v>
      </c>
      <c r="H1802">
        <v>16.5</v>
      </c>
      <c r="I1802">
        <v>0</v>
      </c>
      <c r="J1802">
        <v>0</v>
      </c>
      <c r="K1802">
        <v>20</v>
      </c>
      <c r="L1802">
        <v>7</v>
      </c>
      <c r="O1802">
        <v>7</v>
      </c>
      <c r="P1802">
        <v>4</v>
      </c>
      <c r="Q1802">
        <v>0</v>
      </c>
      <c r="R1802">
        <v>47.5</v>
      </c>
      <c r="S1802">
        <v>6</v>
      </c>
      <c r="T1802">
        <v>6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6</v>
      </c>
      <c r="AB1802">
        <v>0</v>
      </c>
      <c r="AC1802">
        <v>0</v>
      </c>
      <c r="AH1802">
        <v>53.5</v>
      </c>
    </row>
    <row r="1803" spans="1:34" x14ac:dyDescent="0.3">
      <c r="A1803" s="4">
        <v>2016</v>
      </c>
      <c r="B1803" s="5">
        <v>1796</v>
      </c>
      <c r="C1803">
        <v>5421</v>
      </c>
      <c r="D1803" t="s">
        <v>14098</v>
      </c>
      <c r="E1803" t="s">
        <v>11843</v>
      </c>
      <c r="F1803" t="s">
        <v>227</v>
      </c>
      <c r="G1803" t="s">
        <v>14099</v>
      </c>
      <c r="H1803">
        <v>20.48</v>
      </c>
      <c r="I1803">
        <v>0</v>
      </c>
      <c r="J1803">
        <v>0</v>
      </c>
      <c r="K1803">
        <v>20</v>
      </c>
      <c r="L1803">
        <v>7</v>
      </c>
      <c r="O1803">
        <v>7</v>
      </c>
      <c r="P1803">
        <v>4</v>
      </c>
      <c r="Q1803">
        <v>2</v>
      </c>
      <c r="R1803">
        <v>53.48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H1803">
        <v>53.48</v>
      </c>
    </row>
    <row r="1804" spans="1:34" x14ac:dyDescent="0.3">
      <c r="A1804" s="4">
        <v>2017</v>
      </c>
      <c r="B1804" s="5">
        <v>1797</v>
      </c>
      <c r="C1804">
        <v>3043</v>
      </c>
      <c r="D1804" t="s">
        <v>14100</v>
      </c>
      <c r="E1804" t="s">
        <v>54</v>
      </c>
      <c r="F1804" t="s">
        <v>81</v>
      </c>
      <c r="G1804" t="s">
        <v>14101</v>
      </c>
      <c r="H1804">
        <v>22.43</v>
      </c>
      <c r="I1804">
        <v>0</v>
      </c>
      <c r="J1804">
        <v>0</v>
      </c>
      <c r="K1804">
        <v>20</v>
      </c>
      <c r="L1804">
        <v>7</v>
      </c>
      <c r="O1804">
        <v>7</v>
      </c>
      <c r="P1804">
        <v>4</v>
      </c>
      <c r="Q1804">
        <v>0</v>
      </c>
      <c r="R1804">
        <v>53.43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H1804">
        <v>53.43</v>
      </c>
    </row>
    <row r="1805" spans="1:34" x14ac:dyDescent="0.3">
      <c r="A1805" s="4">
        <v>2018</v>
      </c>
      <c r="B1805" s="5">
        <v>1798</v>
      </c>
      <c r="C1805">
        <v>6964</v>
      </c>
      <c r="D1805" t="s">
        <v>6430</v>
      </c>
      <c r="E1805" t="s">
        <v>41</v>
      </c>
      <c r="F1805" t="s">
        <v>38</v>
      </c>
      <c r="G1805" t="s">
        <v>14102</v>
      </c>
      <c r="H1805">
        <v>19.43</v>
      </c>
      <c r="I1805">
        <v>0</v>
      </c>
      <c r="J1805">
        <v>0</v>
      </c>
      <c r="K1805">
        <v>0</v>
      </c>
      <c r="N1805">
        <v>6</v>
      </c>
      <c r="O1805">
        <v>6</v>
      </c>
      <c r="P1805">
        <v>4</v>
      </c>
      <c r="Q1805">
        <v>0</v>
      </c>
      <c r="R1805">
        <v>29.43</v>
      </c>
      <c r="S1805">
        <v>24</v>
      </c>
      <c r="T1805">
        <v>24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24</v>
      </c>
      <c r="AB1805">
        <v>0</v>
      </c>
      <c r="AC1805">
        <v>0</v>
      </c>
      <c r="AH1805">
        <v>53.43</v>
      </c>
    </row>
    <row r="1806" spans="1:34" x14ac:dyDescent="0.3">
      <c r="A1806" s="4">
        <v>2019</v>
      </c>
      <c r="B1806" s="5">
        <v>1799</v>
      </c>
      <c r="C1806">
        <v>4249</v>
      </c>
      <c r="D1806" t="s">
        <v>14103</v>
      </c>
      <c r="E1806" t="s">
        <v>208</v>
      </c>
      <c r="F1806" t="s">
        <v>81</v>
      </c>
      <c r="G1806" t="s">
        <v>14104</v>
      </c>
      <c r="H1806">
        <v>19.399999999999999</v>
      </c>
      <c r="I1806">
        <v>0</v>
      </c>
      <c r="J1806">
        <v>0</v>
      </c>
      <c r="K1806">
        <v>20</v>
      </c>
      <c r="L1806">
        <v>7</v>
      </c>
      <c r="N1806">
        <v>3</v>
      </c>
      <c r="O1806">
        <v>10</v>
      </c>
      <c r="P1806">
        <v>4</v>
      </c>
      <c r="Q1806">
        <v>0</v>
      </c>
      <c r="R1806">
        <v>53.4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H1806">
        <v>53.4</v>
      </c>
    </row>
    <row r="1807" spans="1:34" x14ac:dyDescent="0.3">
      <c r="A1807" s="4">
        <v>2020</v>
      </c>
      <c r="B1807" s="5">
        <v>1800</v>
      </c>
      <c r="C1807">
        <v>1602</v>
      </c>
      <c r="D1807" t="s">
        <v>6107</v>
      </c>
      <c r="E1807" t="s">
        <v>967</v>
      </c>
      <c r="F1807" t="s">
        <v>17</v>
      </c>
      <c r="G1807" t="s">
        <v>14105</v>
      </c>
      <c r="H1807">
        <v>20.38</v>
      </c>
      <c r="I1807">
        <v>0</v>
      </c>
      <c r="J1807">
        <v>0</v>
      </c>
      <c r="K1807">
        <v>20</v>
      </c>
      <c r="L1807">
        <v>7</v>
      </c>
      <c r="O1807">
        <v>7</v>
      </c>
      <c r="P1807">
        <v>4</v>
      </c>
      <c r="Q1807">
        <v>2</v>
      </c>
      <c r="R1807">
        <v>53.38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H1807">
        <v>53.38</v>
      </c>
    </row>
    <row r="1808" spans="1:34" x14ac:dyDescent="0.3">
      <c r="A1808" s="4">
        <v>2021</v>
      </c>
      <c r="B1808" s="5">
        <v>1801</v>
      </c>
      <c r="C1808">
        <v>2155</v>
      </c>
      <c r="D1808" t="s">
        <v>14106</v>
      </c>
      <c r="E1808" t="s">
        <v>188</v>
      </c>
      <c r="F1808" t="s">
        <v>9636</v>
      </c>
      <c r="G1808" t="s">
        <v>14107</v>
      </c>
      <c r="H1808">
        <v>19.38</v>
      </c>
      <c r="I1808">
        <v>0</v>
      </c>
      <c r="J1808">
        <v>0</v>
      </c>
      <c r="K1808">
        <v>20</v>
      </c>
      <c r="L1808">
        <v>7</v>
      </c>
      <c r="N1808">
        <v>3</v>
      </c>
      <c r="O1808">
        <v>10</v>
      </c>
      <c r="P1808">
        <v>4</v>
      </c>
      <c r="Q1808">
        <v>0</v>
      </c>
      <c r="R1808">
        <v>53.38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H1808">
        <v>53.38</v>
      </c>
    </row>
    <row r="1809" spans="1:34" x14ac:dyDescent="0.3">
      <c r="A1809" s="4">
        <v>2022</v>
      </c>
      <c r="B1809" s="5">
        <v>1802</v>
      </c>
      <c r="C1809">
        <v>1131</v>
      </c>
      <c r="D1809" t="s">
        <v>788</v>
      </c>
      <c r="E1809" t="s">
        <v>390</v>
      </c>
      <c r="F1809" t="s">
        <v>38</v>
      </c>
      <c r="G1809" t="s">
        <v>14108</v>
      </c>
      <c r="H1809">
        <v>19.38</v>
      </c>
      <c r="I1809">
        <v>0</v>
      </c>
      <c r="J1809">
        <v>0</v>
      </c>
      <c r="K1809">
        <v>20</v>
      </c>
      <c r="L1809">
        <v>14</v>
      </c>
      <c r="O1809">
        <v>14</v>
      </c>
      <c r="P1809">
        <v>0</v>
      </c>
      <c r="Q1809">
        <v>0</v>
      </c>
      <c r="R1809">
        <v>53.38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H1809">
        <v>53.38</v>
      </c>
    </row>
    <row r="1810" spans="1:34" x14ac:dyDescent="0.3">
      <c r="A1810" s="4">
        <v>2023</v>
      </c>
      <c r="B1810" s="5">
        <v>1803</v>
      </c>
      <c r="C1810">
        <v>5134</v>
      </c>
      <c r="D1810" t="s">
        <v>14109</v>
      </c>
      <c r="E1810" t="s">
        <v>213</v>
      </c>
      <c r="F1810" t="s">
        <v>81</v>
      </c>
      <c r="G1810" t="s">
        <v>14110</v>
      </c>
      <c r="H1810">
        <v>17.350000000000001</v>
      </c>
      <c r="I1810">
        <v>0</v>
      </c>
      <c r="J1810">
        <v>0</v>
      </c>
      <c r="K1810">
        <v>20</v>
      </c>
      <c r="L1810">
        <v>7</v>
      </c>
      <c r="M1810">
        <v>5</v>
      </c>
      <c r="O1810">
        <v>12</v>
      </c>
      <c r="P1810">
        <v>4</v>
      </c>
      <c r="Q1810">
        <v>0</v>
      </c>
      <c r="R1810">
        <v>53.35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H1810">
        <v>53.35</v>
      </c>
    </row>
    <row r="1811" spans="1:34" x14ac:dyDescent="0.3">
      <c r="A1811" s="4">
        <v>2024</v>
      </c>
      <c r="B1811" s="5">
        <v>1804</v>
      </c>
      <c r="C1811">
        <v>11326</v>
      </c>
      <c r="D1811" t="s">
        <v>14111</v>
      </c>
      <c r="E1811" t="s">
        <v>1016</v>
      </c>
      <c r="F1811" t="s">
        <v>158</v>
      </c>
      <c r="G1811" t="s">
        <v>14112</v>
      </c>
      <c r="H1811">
        <v>20.350000000000001</v>
      </c>
      <c r="I1811">
        <v>0</v>
      </c>
      <c r="J1811">
        <v>0</v>
      </c>
      <c r="K1811">
        <v>0</v>
      </c>
      <c r="L1811">
        <v>7</v>
      </c>
      <c r="N1811">
        <v>3</v>
      </c>
      <c r="O1811">
        <v>10</v>
      </c>
      <c r="P1811">
        <v>4</v>
      </c>
      <c r="Q1811">
        <v>2</v>
      </c>
      <c r="R1811">
        <v>36.35</v>
      </c>
      <c r="S1811">
        <v>17</v>
      </c>
      <c r="T1811">
        <v>17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17</v>
      </c>
      <c r="AB1811">
        <v>0</v>
      </c>
      <c r="AC1811">
        <v>0</v>
      </c>
      <c r="AH1811">
        <v>53.35</v>
      </c>
    </row>
    <row r="1812" spans="1:34" x14ac:dyDescent="0.3">
      <c r="A1812" s="4">
        <v>2025</v>
      </c>
      <c r="B1812" s="5">
        <v>1805</v>
      </c>
      <c r="C1812">
        <v>9925</v>
      </c>
      <c r="D1812" t="s">
        <v>14113</v>
      </c>
      <c r="E1812" t="s">
        <v>14114</v>
      </c>
      <c r="F1812" t="s">
        <v>17</v>
      </c>
      <c r="G1812" t="s">
        <v>14115</v>
      </c>
      <c r="H1812">
        <v>19.329999999999998</v>
      </c>
      <c r="I1812">
        <v>0</v>
      </c>
      <c r="J1812">
        <v>0</v>
      </c>
      <c r="K1812">
        <v>20</v>
      </c>
      <c r="L1812">
        <v>7</v>
      </c>
      <c r="N1812">
        <v>3</v>
      </c>
      <c r="O1812">
        <v>10</v>
      </c>
      <c r="P1812">
        <v>4</v>
      </c>
      <c r="Q1812">
        <v>0</v>
      </c>
      <c r="R1812">
        <v>53.33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H1812">
        <v>53.33</v>
      </c>
    </row>
    <row r="1813" spans="1:34" x14ac:dyDescent="0.3">
      <c r="A1813" s="4">
        <v>2026</v>
      </c>
      <c r="B1813" s="5">
        <v>1806</v>
      </c>
      <c r="C1813">
        <v>14765</v>
      </c>
      <c r="D1813" t="s">
        <v>14116</v>
      </c>
      <c r="E1813" t="s">
        <v>2542</v>
      </c>
      <c r="F1813" t="s">
        <v>782</v>
      </c>
      <c r="G1813" t="s">
        <v>14117</v>
      </c>
      <c r="H1813">
        <v>18.3</v>
      </c>
      <c r="I1813">
        <v>0</v>
      </c>
      <c r="J1813">
        <v>0</v>
      </c>
      <c r="K1813">
        <v>20</v>
      </c>
      <c r="O1813">
        <v>0</v>
      </c>
      <c r="P1813">
        <v>4</v>
      </c>
      <c r="Q1813">
        <v>0</v>
      </c>
      <c r="R1813">
        <v>42.3</v>
      </c>
      <c r="S1813">
        <v>11</v>
      </c>
      <c r="T1813">
        <v>11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11</v>
      </c>
      <c r="AB1813">
        <v>0</v>
      </c>
      <c r="AC1813">
        <v>0</v>
      </c>
      <c r="AH1813">
        <v>53.3</v>
      </c>
    </row>
    <row r="1814" spans="1:34" x14ac:dyDescent="0.3">
      <c r="A1814" s="4">
        <v>2027</v>
      </c>
      <c r="B1814" s="5">
        <v>1807</v>
      </c>
      <c r="C1814">
        <v>1397</v>
      </c>
      <c r="D1814" t="s">
        <v>14118</v>
      </c>
      <c r="E1814" t="s">
        <v>22</v>
      </c>
      <c r="F1814" t="s">
        <v>17</v>
      </c>
      <c r="G1814" t="s">
        <v>14119</v>
      </c>
      <c r="H1814">
        <v>18.28</v>
      </c>
      <c r="I1814">
        <v>0</v>
      </c>
      <c r="J1814">
        <v>0</v>
      </c>
      <c r="K1814">
        <v>20</v>
      </c>
      <c r="M1814">
        <v>5</v>
      </c>
      <c r="N1814">
        <v>3</v>
      </c>
      <c r="O1814">
        <v>8</v>
      </c>
      <c r="P1814">
        <v>4</v>
      </c>
      <c r="Q1814">
        <v>0</v>
      </c>
      <c r="R1814">
        <v>50.28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3</v>
      </c>
      <c r="AC1814">
        <v>0</v>
      </c>
      <c r="AH1814">
        <v>53.28</v>
      </c>
    </row>
    <row r="1815" spans="1:34" x14ac:dyDescent="0.3">
      <c r="A1815" s="4">
        <v>2028</v>
      </c>
      <c r="B1815" s="5">
        <v>1808</v>
      </c>
      <c r="C1815">
        <v>12807</v>
      </c>
      <c r="D1815" t="s">
        <v>14120</v>
      </c>
      <c r="E1815" t="s">
        <v>14121</v>
      </c>
      <c r="F1815" t="s">
        <v>20</v>
      </c>
      <c r="G1815" t="s">
        <v>14122</v>
      </c>
      <c r="H1815">
        <v>20.28</v>
      </c>
      <c r="I1815">
        <v>0</v>
      </c>
      <c r="J1815">
        <v>0</v>
      </c>
      <c r="K1815">
        <v>20</v>
      </c>
      <c r="L1815">
        <v>7</v>
      </c>
      <c r="O1815">
        <v>7</v>
      </c>
      <c r="P1815">
        <v>4</v>
      </c>
      <c r="Q1815">
        <v>2</v>
      </c>
      <c r="R1815">
        <v>53.28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H1815">
        <v>53.28</v>
      </c>
    </row>
    <row r="1816" spans="1:34" x14ac:dyDescent="0.3">
      <c r="A1816" s="4">
        <v>2029</v>
      </c>
      <c r="B1816" s="5">
        <v>1809</v>
      </c>
      <c r="C1816">
        <v>8975</v>
      </c>
      <c r="D1816" t="s">
        <v>14123</v>
      </c>
      <c r="E1816" t="s">
        <v>143</v>
      </c>
      <c r="F1816" t="s">
        <v>158</v>
      </c>
      <c r="G1816" t="s">
        <v>14124</v>
      </c>
      <c r="H1816">
        <v>21.25</v>
      </c>
      <c r="I1816">
        <v>0</v>
      </c>
      <c r="J1816">
        <v>0</v>
      </c>
      <c r="K1816">
        <v>20</v>
      </c>
      <c r="L1816">
        <v>7</v>
      </c>
      <c r="M1816">
        <v>5</v>
      </c>
      <c r="O1816">
        <v>12</v>
      </c>
      <c r="P1816">
        <v>0</v>
      </c>
      <c r="Q1816">
        <v>0</v>
      </c>
      <c r="R1816">
        <v>53.25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H1816">
        <v>53.25</v>
      </c>
    </row>
    <row r="1817" spans="1:34" x14ac:dyDescent="0.3">
      <c r="A1817" s="4">
        <v>2030</v>
      </c>
      <c r="B1817" s="5">
        <v>1810</v>
      </c>
      <c r="C1817">
        <v>4947</v>
      </c>
      <c r="D1817" t="s">
        <v>181</v>
      </c>
      <c r="E1817" t="s">
        <v>342</v>
      </c>
      <c r="F1817" t="s">
        <v>38</v>
      </c>
      <c r="G1817" t="s">
        <v>14125</v>
      </c>
      <c r="H1817">
        <v>21.25</v>
      </c>
      <c r="I1817">
        <v>0</v>
      </c>
      <c r="J1817">
        <v>0</v>
      </c>
      <c r="K1817">
        <v>20</v>
      </c>
      <c r="L1817">
        <v>7</v>
      </c>
      <c r="N1817">
        <v>3</v>
      </c>
      <c r="O1817">
        <v>10</v>
      </c>
      <c r="P1817">
        <v>0</v>
      </c>
      <c r="Q1817">
        <v>2</v>
      </c>
      <c r="R1817">
        <v>53.25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H1817">
        <v>53.25</v>
      </c>
    </row>
    <row r="1818" spans="1:34" x14ac:dyDescent="0.3">
      <c r="A1818" s="4">
        <v>2031</v>
      </c>
      <c r="B1818" s="5">
        <v>1811</v>
      </c>
      <c r="C1818">
        <v>3946</v>
      </c>
      <c r="D1818" t="s">
        <v>14126</v>
      </c>
      <c r="E1818" t="s">
        <v>1694</v>
      </c>
      <c r="F1818" t="s">
        <v>6216</v>
      </c>
      <c r="G1818" t="s">
        <v>14127</v>
      </c>
      <c r="H1818">
        <v>19.25</v>
      </c>
      <c r="I1818">
        <v>0</v>
      </c>
      <c r="J1818">
        <v>0</v>
      </c>
      <c r="K1818">
        <v>20</v>
      </c>
      <c r="L1818">
        <v>7</v>
      </c>
      <c r="N1818">
        <v>3</v>
      </c>
      <c r="O1818">
        <v>10</v>
      </c>
      <c r="P1818">
        <v>4</v>
      </c>
      <c r="Q1818">
        <v>0</v>
      </c>
      <c r="R1818">
        <v>53.25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H1818">
        <v>53.25</v>
      </c>
    </row>
    <row r="1819" spans="1:34" x14ac:dyDescent="0.3">
      <c r="A1819" s="4">
        <v>2032</v>
      </c>
      <c r="B1819" s="5">
        <v>1812</v>
      </c>
      <c r="C1819">
        <v>12734</v>
      </c>
      <c r="D1819" t="s">
        <v>4937</v>
      </c>
      <c r="E1819" t="s">
        <v>439</v>
      </c>
      <c r="F1819" t="s">
        <v>801</v>
      </c>
      <c r="G1819" t="s">
        <v>14128</v>
      </c>
      <c r="H1819">
        <v>20.25</v>
      </c>
      <c r="I1819">
        <v>0</v>
      </c>
      <c r="J1819">
        <v>0</v>
      </c>
      <c r="K1819">
        <v>20</v>
      </c>
      <c r="L1819">
        <v>7</v>
      </c>
      <c r="O1819">
        <v>7</v>
      </c>
      <c r="P1819">
        <v>0</v>
      </c>
      <c r="Q1819">
        <v>0</v>
      </c>
      <c r="R1819">
        <v>47.25</v>
      </c>
      <c r="S1819">
        <v>6</v>
      </c>
      <c r="T1819">
        <v>6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6</v>
      </c>
      <c r="AB1819">
        <v>0</v>
      </c>
      <c r="AC1819">
        <v>0</v>
      </c>
      <c r="AH1819">
        <v>53.25</v>
      </c>
    </row>
    <row r="1820" spans="1:34" x14ac:dyDescent="0.3">
      <c r="A1820" s="4">
        <v>2033</v>
      </c>
      <c r="B1820" s="5">
        <v>1813</v>
      </c>
      <c r="C1820">
        <v>14777</v>
      </c>
      <c r="D1820" t="s">
        <v>14129</v>
      </c>
      <c r="E1820" t="s">
        <v>188</v>
      </c>
      <c r="F1820" t="s">
        <v>652</v>
      </c>
      <c r="G1820" t="s">
        <v>14130</v>
      </c>
      <c r="H1820">
        <v>19.23</v>
      </c>
      <c r="I1820">
        <v>0</v>
      </c>
      <c r="J1820">
        <v>0</v>
      </c>
      <c r="K1820">
        <v>20</v>
      </c>
      <c r="L1820">
        <v>7</v>
      </c>
      <c r="N1820">
        <v>3</v>
      </c>
      <c r="O1820">
        <v>10</v>
      </c>
      <c r="P1820">
        <v>4</v>
      </c>
      <c r="Q1820">
        <v>0</v>
      </c>
      <c r="R1820">
        <v>53.23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H1820">
        <v>53.23</v>
      </c>
    </row>
    <row r="1821" spans="1:34" x14ac:dyDescent="0.3">
      <c r="A1821" s="4">
        <v>2034</v>
      </c>
      <c r="B1821" s="5">
        <v>1814</v>
      </c>
      <c r="C1821">
        <v>9052</v>
      </c>
      <c r="D1821" t="s">
        <v>14131</v>
      </c>
      <c r="E1821" t="s">
        <v>41</v>
      </c>
      <c r="F1821" t="s">
        <v>81</v>
      </c>
      <c r="G1821" t="s">
        <v>14132</v>
      </c>
      <c r="H1821">
        <v>18.2</v>
      </c>
      <c r="I1821">
        <v>0</v>
      </c>
      <c r="J1821">
        <v>0</v>
      </c>
      <c r="K1821">
        <v>20</v>
      </c>
      <c r="L1821">
        <v>7</v>
      </c>
      <c r="M1821">
        <v>5</v>
      </c>
      <c r="O1821">
        <v>12</v>
      </c>
      <c r="P1821">
        <v>0</v>
      </c>
      <c r="Q1821">
        <v>0</v>
      </c>
      <c r="R1821">
        <v>50.2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3</v>
      </c>
      <c r="AC1821">
        <v>0</v>
      </c>
      <c r="AH1821">
        <v>53.2</v>
      </c>
    </row>
    <row r="1822" spans="1:34" x14ac:dyDescent="0.3">
      <c r="A1822" s="4">
        <v>2035</v>
      </c>
      <c r="B1822" s="5">
        <v>1815</v>
      </c>
      <c r="C1822">
        <v>13737</v>
      </c>
      <c r="D1822" t="s">
        <v>3354</v>
      </c>
      <c r="E1822" t="s">
        <v>29</v>
      </c>
      <c r="F1822" t="s">
        <v>81</v>
      </c>
      <c r="G1822" t="s">
        <v>14133</v>
      </c>
      <c r="H1822">
        <v>20.18</v>
      </c>
      <c r="I1822">
        <v>0</v>
      </c>
      <c r="J1822">
        <v>0</v>
      </c>
      <c r="K1822">
        <v>20</v>
      </c>
      <c r="L1822">
        <v>7</v>
      </c>
      <c r="O1822">
        <v>7</v>
      </c>
      <c r="P1822">
        <v>4</v>
      </c>
      <c r="Q1822">
        <v>2</v>
      </c>
      <c r="R1822">
        <v>53.18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H1822">
        <v>53.18</v>
      </c>
    </row>
    <row r="1823" spans="1:34" x14ac:dyDescent="0.3">
      <c r="A1823" s="4">
        <v>2036</v>
      </c>
      <c r="B1823" s="5">
        <v>1816</v>
      </c>
      <c r="C1823">
        <v>1239</v>
      </c>
      <c r="D1823" t="s">
        <v>14134</v>
      </c>
      <c r="E1823" t="s">
        <v>560</v>
      </c>
      <c r="F1823" t="s">
        <v>328</v>
      </c>
      <c r="G1823" t="s">
        <v>14135</v>
      </c>
      <c r="H1823">
        <v>19.18</v>
      </c>
      <c r="I1823">
        <v>0</v>
      </c>
      <c r="J1823">
        <v>0</v>
      </c>
      <c r="K1823">
        <v>20</v>
      </c>
      <c r="L1823">
        <v>7</v>
      </c>
      <c r="N1823">
        <v>3</v>
      </c>
      <c r="O1823">
        <v>10</v>
      </c>
      <c r="P1823">
        <v>4</v>
      </c>
      <c r="Q1823">
        <v>0</v>
      </c>
      <c r="R1823">
        <v>53.18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H1823">
        <v>53.18</v>
      </c>
    </row>
    <row r="1824" spans="1:34" x14ac:dyDescent="0.3">
      <c r="A1824" s="4">
        <v>2037</v>
      </c>
      <c r="B1824" s="5">
        <v>1817</v>
      </c>
      <c r="C1824">
        <v>14322</v>
      </c>
      <c r="D1824" t="s">
        <v>944</v>
      </c>
      <c r="E1824" t="s">
        <v>182</v>
      </c>
      <c r="F1824" t="s">
        <v>136</v>
      </c>
      <c r="G1824" t="s">
        <v>14136</v>
      </c>
      <c r="H1824">
        <v>18.18</v>
      </c>
      <c r="I1824">
        <v>0</v>
      </c>
      <c r="J1824">
        <v>0</v>
      </c>
      <c r="K1824">
        <v>20</v>
      </c>
      <c r="N1824">
        <v>3</v>
      </c>
      <c r="O1824">
        <v>3</v>
      </c>
      <c r="P1824">
        <v>4</v>
      </c>
      <c r="Q1824">
        <v>2</v>
      </c>
      <c r="R1824">
        <v>47.18</v>
      </c>
      <c r="S1824">
        <v>6</v>
      </c>
      <c r="T1824">
        <v>6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6</v>
      </c>
      <c r="AB1824">
        <v>0</v>
      </c>
      <c r="AC1824">
        <v>0</v>
      </c>
      <c r="AH1824">
        <v>53.18</v>
      </c>
    </row>
    <row r="1825" spans="1:34" x14ac:dyDescent="0.3">
      <c r="A1825" s="4">
        <v>2038</v>
      </c>
      <c r="B1825" s="5">
        <v>1818</v>
      </c>
      <c r="C1825">
        <v>8295</v>
      </c>
      <c r="D1825" t="s">
        <v>14137</v>
      </c>
      <c r="E1825" t="s">
        <v>26</v>
      </c>
      <c r="F1825" t="s">
        <v>124</v>
      </c>
      <c r="G1825" t="s">
        <v>14138</v>
      </c>
      <c r="H1825">
        <v>19.149999999999999</v>
      </c>
      <c r="I1825">
        <v>0</v>
      </c>
      <c r="J1825">
        <v>0</v>
      </c>
      <c r="K1825">
        <v>20</v>
      </c>
      <c r="L1825">
        <v>7</v>
      </c>
      <c r="N1825">
        <v>3</v>
      </c>
      <c r="O1825">
        <v>10</v>
      </c>
      <c r="P1825">
        <v>4</v>
      </c>
      <c r="Q1825">
        <v>0</v>
      </c>
      <c r="R1825">
        <v>53.15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H1825">
        <v>53.15</v>
      </c>
    </row>
    <row r="1826" spans="1:34" x14ac:dyDescent="0.3">
      <c r="A1826" s="4">
        <v>2039</v>
      </c>
      <c r="B1826" s="5">
        <v>1819</v>
      </c>
      <c r="C1826">
        <v>12057</v>
      </c>
      <c r="D1826" t="s">
        <v>4601</v>
      </c>
      <c r="E1826" t="s">
        <v>29</v>
      </c>
      <c r="F1826" t="s">
        <v>442</v>
      </c>
      <c r="G1826" t="s">
        <v>14139</v>
      </c>
      <c r="H1826">
        <v>19.13</v>
      </c>
      <c r="I1826">
        <v>0</v>
      </c>
      <c r="J1826">
        <v>0</v>
      </c>
      <c r="K1826">
        <v>20</v>
      </c>
      <c r="L1826">
        <v>7</v>
      </c>
      <c r="N1826">
        <v>3</v>
      </c>
      <c r="O1826">
        <v>10</v>
      </c>
      <c r="P1826">
        <v>4</v>
      </c>
      <c r="Q1826">
        <v>0</v>
      </c>
      <c r="R1826">
        <v>53.13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H1826">
        <v>53.13</v>
      </c>
    </row>
    <row r="1827" spans="1:34" x14ac:dyDescent="0.3">
      <c r="A1827" s="4">
        <v>2040</v>
      </c>
      <c r="B1827" s="5">
        <v>1820</v>
      </c>
      <c r="C1827">
        <v>6785</v>
      </c>
      <c r="D1827" t="s">
        <v>14140</v>
      </c>
      <c r="E1827" t="s">
        <v>208</v>
      </c>
      <c r="F1827" t="s">
        <v>190</v>
      </c>
      <c r="G1827" t="s">
        <v>14141</v>
      </c>
      <c r="H1827">
        <v>20.100000000000001</v>
      </c>
      <c r="I1827">
        <v>0</v>
      </c>
      <c r="J1827">
        <v>0</v>
      </c>
      <c r="K1827">
        <v>20</v>
      </c>
      <c r="L1827">
        <v>7</v>
      </c>
      <c r="O1827">
        <v>7</v>
      </c>
      <c r="P1827">
        <v>4</v>
      </c>
      <c r="Q1827">
        <v>2</v>
      </c>
      <c r="R1827">
        <v>53.1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H1827">
        <v>53.1</v>
      </c>
    </row>
    <row r="1828" spans="1:34" x14ac:dyDescent="0.3">
      <c r="A1828" s="4">
        <v>2041</v>
      </c>
      <c r="B1828" s="5">
        <v>1821</v>
      </c>
      <c r="C1828">
        <v>6868</v>
      </c>
      <c r="D1828" t="s">
        <v>14142</v>
      </c>
      <c r="E1828" t="s">
        <v>54</v>
      </c>
      <c r="F1828" t="s">
        <v>259</v>
      </c>
      <c r="G1828" t="s">
        <v>14143</v>
      </c>
      <c r="H1828">
        <v>19.079999999999998</v>
      </c>
      <c r="I1828">
        <v>0</v>
      </c>
      <c r="J1828">
        <v>0</v>
      </c>
      <c r="K1828">
        <v>20</v>
      </c>
      <c r="L1828">
        <v>7</v>
      </c>
      <c r="N1828">
        <v>3</v>
      </c>
      <c r="O1828">
        <v>10</v>
      </c>
      <c r="P1828">
        <v>4</v>
      </c>
      <c r="Q1828">
        <v>0</v>
      </c>
      <c r="R1828">
        <v>53.08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H1828">
        <v>53.08</v>
      </c>
    </row>
    <row r="1829" spans="1:34" x14ac:dyDescent="0.3">
      <c r="A1829" s="4">
        <v>2042</v>
      </c>
      <c r="B1829" s="5">
        <v>1822</v>
      </c>
      <c r="C1829">
        <v>3895</v>
      </c>
      <c r="D1829" t="s">
        <v>3027</v>
      </c>
      <c r="E1829" t="s">
        <v>22</v>
      </c>
      <c r="F1829" t="s">
        <v>328</v>
      </c>
      <c r="G1829" t="s">
        <v>14144</v>
      </c>
      <c r="H1829">
        <v>19.079999999999998</v>
      </c>
      <c r="I1829">
        <v>0</v>
      </c>
      <c r="J1829">
        <v>0</v>
      </c>
      <c r="K1829">
        <v>20</v>
      </c>
      <c r="L1829">
        <v>7</v>
      </c>
      <c r="N1829">
        <v>3</v>
      </c>
      <c r="O1829">
        <v>10</v>
      </c>
      <c r="P1829">
        <v>4</v>
      </c>
      <c r="Q1829">
        <v>0</v>
      </c>
      <c r="R1829">
        <v>53.08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H1829">
        <v>53.08</v>
      </c>
    </row>
    <row r="1830" spans="1:34" x14ac:dyDescent="0.3">
      <c r="A1830" s="4">
        <v>2043</v>
      </c>
      <c r="B1830" s="5">
        <v>1823</v>
      </c>
      <c r="C1830">
        <v>14923</v>
      </c>
      <c r="D1830" t="s">
        <v>3309</v>
      </c>
      <c r="E1830" t="s">
        <v>100</v>
      </c>
      <c r="F1830" t="s">
        <v>626</v>
      </c>
      <c r="G1830" t="s">
        <v>14145</v>
      </c>
      <c r="H1830">
        <v>19.03</v>
      </c>
      <c r="I1830">
        <v>0</v>
      </c>
      <c r="J1830">
        <v>0</v>
      </c>
      <c r="K1830">
        <v>20</v>
      </c>
      <c r="L1830">
        <v>7</v>
      </c>
      <c r="N1830">
        <v>3</v>
      </c>
      <c r="O1830">
        <v>10</v>
      </c>
      <c r="P1830">
        <v>4</v>
      </c>
      <c r="Q1830">
        <v>0</v>
      </c>
      <c r="R1830">
        <v>53.03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H1830">
        <v>53.03</v>
      </c>
    </row>
    <row r="1831" spans="1:34" x14ac:dyDescent="0.3">
      <c r="A1831" s="4">
        <v>2044</v>
      </c>
      <c r="B1831" s="5">
        <v>1824</v>
      </c>
      <c r="C1831">
        <v>7430</v>
      </c>
      <c r="D1831" t="s">
        <v>1287</v>
      </c>
      <c r="E1831" t="s">
        <v>54</v>
      </c>
      <c r="F1831" t="s">
        <v>68</v>
      </c>
      <c r="G1831" t="s">
        <v>14146</v>
      </c>
      <c r="H1831">
        <v>21.98</v>
      </c>
      <c r="I1831">
        <v>0</v>
      </c>
      <c r="J1831">
        <v>0</v>
      </c>
      <c r="K1831">
        <v>20</v>
      </c>
      <c r="L1831">
        <v>7</v>
      </c>
      <c r="O1831">
        <v>7</v>
      </c>
      <c r="P1831">
        <v>4</v>
      </c>
      <c r="Q1831">
        <v>0</v>
      </c>
      <c r="R1831">
        <v>52.98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H1831">
        <v>52.98</v>
      </c>
    </row>
    <row r="1832" spans="1:34" x14ac:dyDescent="0.3">
      <c r="A1832" s="4">
        <v>2045</v>
      </c>
      <c r="B1832" s="5">
        <v>1825</v>
      </c>
      <c r="C1832">
        <v>14650</v>
      </c>
      <c r="D1832" t="s">
        <v>5892</v>
      </c>
      <c r="E1832" t="s">
        <v>789</v>
      </c>
      <c r="F1832" t="s">
        <v>3359</v>
      </c>
      <c r="G1832" t="s">
        <v>14147</v>
      </c>
      <c r="H1832">
        <v>18.98</v>
      </c>
      <c r="I1832">
        <v>0</v>
      </c>
      <c r="J1832">
        <v>0</v>
      </c>
      <c r="K1832">
        <v>20</v>
      </c>
      <c r="L1832">
        <v>7</v>
      </c>
      <c r="M1832">
        <v>5</v>
      </c>
      <c r="O1832">
        <v>12</v>
      </c>
      <c r="P1832">
        <v>0</v>
      </c>
      <c r="Q1832">
        <v>2</v>
      </c>
      <c r="R1832">
        <v>52.98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H1832">
        <v>52.98</v>
      </c>
    </row>
    <row r="1833" spans="1:34" x14ac:dyDescent="0.3">
      <c r="A1833" s="4">
        <v>2046</v>
      </c>
      <c r="B1833" s="5">
        <v>1826</v>
      </c>
      <c r="C1833">
        <v>11912</v>
      </c>
      <c r="D1833" t="s">
        <v>3704</v>
      </c>
      <c r="E1833" t="s">
        <v>41</v>
      </c>
      <c r="F1833" t="s">
        <v>81</v>
      </c>
      <c r="G1833" t="s">
        <v>14148</v>
      </c>
      <c r="H1833">
        <v>18.98</v>
      </c>
      <c r="I1833">
        <v>0</v>
      </c>
      <c r="J1833">
        <v>0</v>
      </c>
      <c r="K1833">
        <v>20</v>
      </c>
      <c r="L1833">
        <v>7</v>
      </c>
      <c r="N1833">
        <v>3</v>
      </c>
      <c r="O1833">
        <v>10</v>
      </c>
      <c r="P1833">
        <v>4</v>
      </c>
      <c r="Q1833">
        <v>0</v>
      </c>
      <c r="R1833">
        <v>52.98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H1833">
        <v>52.98</v>
      </c>
    </row>
    <row r="1834" spans="1:34" x14ac:dyDescent="0.3">
      <c r="A1834" s="4">
        <v>2047</v>
      </c>
      <c r="B1834" s="5">
        <v>1827</v>
      </c>
      <c r="C1834">
        <v>13367</v>
      </c>
      <c r="D1834" t="s">
        <v>1923</v>
      </c>
      <c r="E1834" t="s">
        <v>33</v>
      </c>
      <c r="F1834" t="s">
        <v>259</v>
      </c>
      <c r="G1834" t="s">
        <v>14149</v>
      </c>
      <c r="H1834">
        <v>17.93</v>
      </c>
      <c r="I1834">
        <v>0</v>
      </c>
      <c r="J1834">
        <v>0</v>
      </c>
      <c r="K1834">
        <v>20</v>
      </c>
      <c r="M1834">
        <v>5</v>
      </c>
      <c r="O1834">
        <v>5</v>
      </c>
      <c r="P1834">
        <v>4</v>
      </c>
      <c r="Q1834">
        <v>0</v>
      </c>
      <c r="R1834">
        <v>46.93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6</v>
      </c>
      <c r="AC1834">
        <v>0</v>
      </c>
      <c r="AH1834">
        <v>52.93</v>
      </c>
    </row>
    <row r="1835" spans="1:34" x14ac:dyDescent="0.3">
      <c r="A1835" s="4">
        <v>2048</v>
      </c>
      <c r="B1835" s="5">
        <v>1828</v>
      </c>
      <c r="C1835">
        <v>4560</v>
      </c>
      <c r="D1835" t="s">
        <v>14150</v>
      </c>
      <c r="E1835" t="s">
        <v>14151</v>
      </c>
      <c r="F1835" t="s">
        <v>10538</v>
      </c>
      <c r="G1835" t="s">
        <v>14152</v>
      </c>
      <c r="H1835">
        <v>18.850000000000001</v>
      </c>
      <c r="I1835">
        <v>0</v>
      </c>
      <c r="J1835">
        <v>0</v>
      </c>
      <c r="K1835">
        <v>20</v>
      </c>
      <c r="L1835">
        <v>7</v>
      </c>
      <c r="N1835">
        <v>3</v>
      </c>
      <c r="O1835">
        <v>10</v>
      </c>
      <c r="P1835">
        <v>4</v>
      </c>
      <c r="Q1835">
        <v>0</v>
      </c>
      <c r="R1835">
        <v>52.85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H1835">
        <v>52.85</v>
      </c>
    </row>
    <row r="1836" spans="1:34" x14ac:dyDescent="0.3">
      <c r="A1836" s="4">
        <v>2049</v>
      </c>
      <c r="B1836" s="5">
        <v>1829</v>
      </c>
      <c r="C1836">
        <v>6216</v>
      </c>
      <c r="D1836" t="s">
        <v>14153</v>
      </c>
      <c r="E1836" t="s">
        <v>243</v>
      </c>
      <c r="F1836" t="s">
        <v>158</v>
      </c>
      <c r="G1836" t="s">
        <v>14154</v>
      </c>
      <c r="H1836">
        <v>17.850000000000001</v>
      </c>
      <c r="I1836">
        <v>0</v>
      </c>
      <c r="J1836">
        <v>0</v>
      </c>
      <c r="K1836">
        <v>28</v>
      </c>
      <c r="N1836">
        <v>3</v>
      </c>
      <c r="O1836">
        <v>3</v>
      </c>
      <c r="P1836">
        <v>4</v>
      </c>
      <c r="Q1836">
        <v>0</v>
      </c>
      <c r="R1836">
        <v>52.85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H1836">
        <v>52.85</v>
      </c>
    </row>
    <row r="1837" spans="1:34" x14ac:dyDescent="0.3">
      <c r="A1837" s="4">
        <v>2050</v>
      </c>
      <c r="B1837" s="5">
        <v>1830</v>
      </c>
      <c r="C1837">
        <v>2274</v>
      </c>
      <c r="D1837" t="s">
        <v>708</v>
      </c>
      <c r="E1837" t="s">
        <v>789</v>
      </c>
      <c r="F1837" t="s">
        <v>30</v>
      </c>
      <c r="G1837" t="s">
        <v>14155</v>
      </c>
      <c r="H1837">
        <v>16.829999999999998</v>
      </c>
      <c r="I1837">
        <v>0</v>
      </c>
      <c r="J1837">
        <v>0</v>
      </c>
      <c r="K1837">
        <v>0</v>
      </c>
      <c r="L1837">
        <v>7</v>
      </c>
      <c r="N1837">
        <v>3</v>
      </c>
      <c r="O1837">
        <v>10</v>
      </c>
      <c r="P1837">
        <v>4</v>
      </c>
      <c r="Q1837">
        <v>2</v>
      </c>
      <c r="R1837">
        <v>32.83</v>
      </c>
      <c r="S1837">
        <v>14</v>
      </c>
      <c r="T1837">
        <v>14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14</v>
      </c>
      <c r="AB1837">
        <v>6</v>
      </c>
      <c r="AC1837">
        <v>0</v>
      </c>
      <c r="AH1837">
        <v>52.83</v>
      </c>
    </row>
    <row r="1838" spans="1:34" x14ac:dyDescent="0.3">
      <c r="A1838" s="4">
        <v>2051</v>
      </c>
      <c r="B1838" s="5">
        <v>1831</v>
      </c>
      <c r="C1838">
        <v>12470</v>
      </c>
      <c r="D1838" t="s">
        <v>8138</v>
      </c>
      <c r="E1838" t="s">
        <v>2743</v>
      </c>
      <c r="F1838" t="s">
        <v>136</v>
      </c>
      <c r="G1838" t="s">
        <v>14156</v>
      </c>
      <c r="H1838">
        <v>17.829999999999998</v>
      </c>
      <c r="I1838">
        <v>0</v>
      </c>
      <c r="J1838">
        <v>0</v>
      </c>
      <c r="K1838">
        <v>0</v>
      </c>
      <c r="L1838">
        <v>7</v>
      </c>
      <c r="O1838">
        <v>7</v>
      </c>
      <c r="P1838">
        <v>4</v>
      </c>
      <c r="Q1838">
        <v>0</v>
      </c>
      <c r="R1838">
        <v>28.83</v>
      </c>
      <c r="S1838">
        <v>18</v>
      </c>
      <c r="T1838">
        <v>18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18</v>
      </c>
      <c r="AB1838">
        <v>6</v>
      </c>
      <c r="AC1838">
        <v>0</v>
      </c>
      <c r="AH1838">
        <v>52.83</v>
      </c>
    </row>
    <row r="1839" spans="1:34" x14ac:dyDescent="0.3">
      <c r="A1839" s="4">
        <v>2052</v>
      </c>
      <c r="B1839" s="5">
        <v>1832</v>
      </c>
      <c r="C1839">
        <v>13979</v>
      </c>
      <c r="D1839" t="s">
        <v>7029</v>
      </c>
      <c r="E1839" t="s">
        <v>14157</v>
      </c>
      <c r="F1839" t="s">
        <v>14158</v>
      </c>
      <c r="G1839" t="s">
        <v>14159</v>
      </c>
      <c r="H1839">
        <v>21.83</v>
      </c>
      <c r="I1839">
        <v>0</v>
      </c>
      <c r="J1839">
        <v>0</v>
      </c>
      <c r="K1839">
        <v>20</v>
      </c>
      <c r="L1839">
        <v>7</v>
      </c>
      <c r="O1839">
        <v>7</v>
      </c>
      <c r="P1839">
        <v>4</v>
      </c>
      <c r="Q1839">
        <v>0</v>
      </c>
      <c r="R1839">
        <v>52.83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H1839">
        <v>52.83</v>
      </c>
    </row>
    <row r="1840" spans="1:34" x14ac:dyDescent="0.3">
      <c r="A1840" s="4">
        <v>2053</v>
      </c>
      <c r="B1840" s="5">
        <v>1833</v>
      </c>
      <c r="C1840">
        <v>11523</v>
      </c>
      <c r="D1840" t="s">
        <v>181</v>
      </c>
      <c r="E1840" t="s">
        <v>967</v>
      </c>
      <c r="F1840" t="s">
        <v>230</v>
      </c>
      <c r="G1840" t="s">
        <v>14160</v>
      </c>
      <c r="H1840">
        <v>18.8</v>
      </c>
      <c r="I1840">
        <v>0</v>
      </c>
      <c r="J1840">
        <v>0</v>
      </c>
      <c r="K1840">
        <v>20</v>
      </c>
      <c r="L1840">
        <v>7</v>
      </c>
      <c r="N1840">
        <v>3</v>
      </c>
      <c r="O1840">
        <v>10</v>
      </c>
      <c r="P1840">
        <v>4</v>
      </c>
      <c r="Q1840">
        <v>0</v>
      </c>
      <c r="R1840">
        <v>52.8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H1840">
        <v>52.8</v>
      </c>
    </row>
    <row r="1841" spans="1:34" x14ac:dyDescent="0.3">
      <c r="A1841" s="4">
        <v>2054</v>
      </c>
      <c r="B1841" s="5">
        <v>1834</v>
      </c>
      <c r="C1841">
        <v>9661</v>
      </c>
      <c r="D1841" t="s">
        <v>847</v>
      </c>
      <c r="E1841" t="s">
        <v>4656</v>
      </c>
      <c r="F1841" t="s">
        <v>17</v>
      </c>
      <c r="G1841" t="s">
        <v>14161</v>
      </c>
      <c r="H1841">
        <v>20.8</v>
      </c>
      <c r="I1841">
        <v>0</v>
      </c>
      <c r="J1841">
        <v>0</v>
      </c>
      <c r="K1841">
        <v>0</v>
      </c>
      <c r="L1841">
        <v>7</v>
      </c>
      <c r="N1841">
        <v>3</v>
      </c>
      <c r="O1841">
        <v>10</v>
      </c>
      <c r="P1841">
        <v>4</v>
      </c>
      <c r="Q1841">
        <v>0</v>
      </c>
      <c r="R1841">
        <v>34.799999999999997</v>
      </c>
      <c r="S1841">
        <v>18</v>
      </c>
      <c r="T1841">
        <v>18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18</v>
      </c>
      <c r="AB1841">
        <v>0</v>
      </c>
      <c r="AC1841">
        <v>0</v>
      </c>
      <c r="AH1841">
        <v>52.8</v>
      </c>
    </row>
    <row r="1842" spans="1:34" x14ac:dyDescent="0.3">
      <c r="A1842" s="4">
        <v>2055</v>
      </c>
      <c r="B1842" s="5">
        <v>1835</v>
      </c>
      <c r="C1842">
        <v>2149</v>
      </c>
      <c r="D1842" t="s">
        <v>14162</v>
      </c>
      <c r="E1842" t="s">
        <v>4033</v>
      </c>
      <c r="F1842" t="s">
        <v>17</v>
      </c>
      <c r="G1842" t="s">
        <v>14163</v>
      </c>
      <c r="H1842">
        <v>18.78</v>
      </c>
      <c r="I1842">
        <v>0</v>
      </c>
      <c r="J1842">
        <v>0</v>
      </c>
      <c r="K1842">
        <v>20</v>
      </c>
      <c r="L1842">
        <v>7</v>
      </c>
      <c r="N1842">
        <v>3</v>
      </c>
      <c r="O1842">
        <v>10</v>
      </c>
      <c r="P1842">
        <v>4</v>
      </c>
      <c r="Q1842">
        <v>0</v>
      </c>
      <c r="R1842">
        <v>52.78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H1842">
        <v>52.78</v>
      </c>
    </row>
    <row r="1843" spans="1:34" x14ac:dyDescent="0.3">
      <c r="A1843" s="4">
        <v>2056</v>
      </c>
      <c r="B1843" s="5">
        <v>1836</v>
      </c>
      <c r="C1843">
        <v>2086</v>
      </c>
      <c r="D1843" t="s">
        <v>14164</v>
      </c>
      <c r="E1843" t="s">
        <v>132</v>
      </c>
      <c r="F1843" t="s">
        <v>2710</v>
      </c>
      <c r="G1843" t="s">
        <v>14165</v>
      </c>
      <c r="H1843">
        <v>18.78</v>
      </c>
      <c r="I1843">
        <v>0</v>
      </c>
      <c r="J1843">
        <v>0</v>
      </c>
      <c r="K1843">
        <v>20</v>
      </c>
      <c r="L1843">
        <v>7</v>
      </c>
      <c r="N1843">
        <v>3</v>
      </c>
      <c r="O1843">
        <v>10</v>
      </c>
      <c r="P1843">
        <v>4</v>
      </c>
      <c r="Q1843">
        <v>0</v>
      </c>
      <c r="R1843">
        <v>52.78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H1843">
        <v>52.78</v>
      </c>
    </row>
    <row r="1844" spans="1:34" x14ac:dyDescent="0.3">
      <c r="A1844" s="4">
        <v>2057</v>
      </c>
      <c r="B1844" s="5">
        <v>1837</v>
      </c>
      <c r="C1844">
        <v>7864</v>
      </c>
      <c r="D1844" t="s">
        <v>2685</v>
      </c>
      <c r="E1844" t="s">
        <v>406</v>
      </c>
      <c r="F1844" t="s">
        <v>38</v>
      </c>
      <c r="G1844" t="s">
        <v>14166</v>
      </c>
      <c r="H1844">
        <v>16.75</v>
      </c>
      <c r="I1844">
        <v>0</v>
      </c>
      <c r="J1844">
        <v>0</v>
      </c>
      <c r="K1844">
        <v>20</v>
      </c>
      <c r="L1844">
        <v>7</v>
      </c>
      <c r="O1844">
        <v>7</v>
      </c>
      <c r="P1844">
        <v>0</v>
      </c>
      <c r="Q1844">
        <v>0</v>
      </c>
      <c r="R1844">
        <v>43.75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9</v>
      </c>
      <c r="AC1844">
        <v>0</v>
      </c>
      <c r="AH1844">
        <v>52.75</v>
      </c>
    </row>
    <row r="1845" spans="1:34" x14ac:dyDescent="0.3">
      <c r="A1845" s="4">
        <v>2058</v>
      </c>
      <c r="B1845" s="5">
        <v>1838</v>
      </c>
      <c r="C1845">
        <v>3707</v>
      </c>
      <c r="D1845" t="s">
        <v>14167</v>
      </c>
      <c r="E1845" t="s">
        <v>14168</v>
      </c>
      <c r="F1845" t="s">
        <v>136</v>
      </c>
      <c r="G1845" t="s">
        <v>14169</v>
      </c>
      <c r="H1845">
        <v>19.75</v>
      </c>
      <c r="I1845">
        <v>0</v>
      </c>
      <c r="J1845">
        <v>0</v>
      </c>
      <c r="K1845">
        <v>20</v>
      </c>
      <c r="L1845">
        <v>7</v>
      </c>
      <c r="O1845">
        <v>7</v>
      </c>
      <c r="P1845">
        <v>4</v>
      </c>
      <c r="Q1845">
        <v>2</v>
      </c>
      <c r="R1845">
        <v>52.75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H1845">
        <v>52.75</v>
      </c>
    </row>
    <row r="1846" spans="1:34" x14ac:dyDescent="0.3">
      <c r="A1846" s="4">
        <v>2059</v>
      </c>
      <c r="B1846" s="5">
        <v>1839</v>
      </c>
      <c r="C1846">
        <v>8328</v>
      </c>
      <c r="D1846" t="s">
        <v>14170</v>
      </c>
      <c r="E1846" t="s">
        <v>1277</v>
      </c>
      <c r="F1846" t="s">
        <v>259</v>
      </c>
      <c r="G1846" t="s">
        <v>14171</v>
      </c>
      <c r="H1846">
        <v>18.75</v>
      </c>
      <c r="I1846">
        <v>0</v>
      </c>
      <c r="J1846">
        <v>0</v>
      </c>
      <c r="K1846">
        <v>20</v>
      </c>
      <c r="L1846">
        <v>7</v>
      </c>
      <c r="N1846">
        <v>3</v>
      </c>
      <c r="O1846">
        <v>10</v>
      </c>
      <c r="P1846">
        <v>4</v>
      </c>
      <c r="Q1846">
        <v>0</v>
      </c>
      <c r="R1846">
        <v>52.75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H1846">
        <v>52.75</v>
      </c>
    </row>
    <row r="1847" spans="1:34" x14ac:dyDescent="0.3">
      <c r="A1847" s="4">
        <v>2060</v>
      </c>
      <c r="B1847" s="5">
        <v>1840</v>
      </c>
      <c r="C1847">
        <v>8615</v>
      </c>
      <c r="D1847" t="s">
        <v>14172</v>
      </c>
      <c r="E1847" t="s">
        <v>161</v>
      </c>
      <c r="F1847" t="s">
        <v>17</v>
      </c>
      <c r="G1847" t="s">
        <v>14173</v>
      </c>
      <c r="H1847">
        <v>18.75</v>
      </c>
      <c r="I1847">
        <v>0</v>
      </c>
      <c r="J1847">
        <v>0</v>
      </c>
      <c r="K1847">
        <v>20</v>
      </c>
      <c r="L1847">
        <v>7</v>
      </c>
      <c r="N1847">
        <v>3</v>
      </c>
      <c r="O1847">
        <v>10</v>
      </c>
      <c r="P1847">
        <v>4</v>
      </c>
      <c r="Q1847">
        <v>0</v>
      </c>
      <c r="R1847">
        <v>52.75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H1847">
        <v>52.75</v>
      </c>
    </row>
    <row r="1848" spans="1:34" x14ac:dyDescent="0.3">
      <c r="A1848" s="4">
        <v>2061</v>
      </c>
      <c r="B1848" s="5">
        <v>1841</v>
      </c>
      <c r="C1848">
        <v>13960</v>
      </c>
      <c r="D1848" t="s">
        <v>14174</v>
      </c>
      <c r="E1848" t="s">
        <v>6618</v>
      </c>
      <c r="F1848" t="s">
        <v>117</v>
      </c>
      <c r="G1848" t="s">
        <v>14175</v>
      </c>
      <c r="H1848">
        <v>21.73</v>
      </c>
      <c r="I1848">
        <v>0</v>
      </c>
      <c r="J1848">
        <v>0</v>
      </c>
      <c r="K1848">
        <v>20</v>
      </c>
      <c r="L1848">
        <v>7</v>
      </c>
      <c r="O1848">
        <v>7</v>
      </c>
      <c r="P1848">
        <v>4</v>
      </c>
      <c r="Q1848">
        <v>0</v>
      </c>
      <c r="R1848">
        <v>52.73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H1848">
        <v>52.73</v>
      </c>
    </row>
    <row r="1849" spans="1:34" x14ac:dyDescent="0.3">
      <c r="A1849" s="4">
        <v>2062</v>
      </c>
      <c r="B1849" s="5">
        <v>1842</v>
      </c>
      <c r="C1849">
        <v>2100</v>
      </c>
      <c r="D1849" t="s">
        <v>11184</v>
      </c>
      <c r="E1849" t="s">
        <v>54</v>
      </c>
      <c r="F1849" t="s">
        <v>1072</v>
      </c>
      <c r="G1849" t="s">
        <v>14176</v>
      </c>
      <c r="H1849">
        <v>19.7</v>
      </c>
      <c r="I1849">
        <v>0</v>
      </c>
      <c r="J1849">
        <v>0</v>
      </c>
      <c r="K1849">
        <v>20</v>
      </c>
      <c r="L1849">
        <v>7</v>
      </c>
      <c r="O1849">
        <v>7</v>
      </c>
      <c r="P1849">
        <v>4</v>
      </c>
      <c r="Q1849">
        <v>2</v>
      </c>
      <c r="R1849">
        <v>52.7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 t="s">
        <v>130</v>
      </c>
      <c r="AH1849">
        <v>52.7</v>
      </c>
    </row>
    <row r="1850" spans="1:34" x14ac:dyDescent="0.3">
      <c r="A1850" s="4">
        <v>2063</v>
      </c>
      <c r="B1850" s="5">
        <v>1843</v>
      </c>
      <c r="C1850">
        <v>3905</v>
      </c>
      <c r="D1850" t="s">
        <v>14177</v>
      </c>
      <c r="E1850" t="s">
        <v>255</v>
      </c>
      <c r="F1850" t="s">
        <v>14178</v>
      </c>
      <c r="G1850" t="s">
        <v>14179</v>
      </c>
      <c r="H1850">
        <v>17.68</v>
      </c>
      <c r="I1850">
        <v>0</v>
      </c>
      <c r="J1850">
        <v>0</v>
      </c>
      <c r="K1850">
        <v>0</v>
      </c>
      <c r="N1850">
        <v>3</v>
      </c>
      <c r="O1850">
        <v>3</v>
      </c>
      <c r="P1850">
        <v>4</v>
      </c>
      <c r="Q1850">
        <v>0</v>
      </c>
      <c r="R1850">
        <v>24.68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6</v>
      </c>
      <c r="AC1850">
        <v>22</v>
      </c>
      <c r="AH1850">
        <v>52.68</v>
      </c>
    </row>
    <row r="1851" spans="1:34" x14ac:dyDescent="0.3">
      <c r="A1851" s="4">
        <v>2064</v>
      </c>
      <c r="B1851" s="5">
        <v>1844</v>
      </c>
      <c r="C1851">
        <v>13383</v>
      </c>
      <c r="D1851" t="s">
        <v>14180</v>
      </c>
      <c r="E1851" t="s">
        <v>213</v>
      </c>
      <c r="F1851" t="s">
        <v>81</v>
      </c>
      <c r="G1851" t="s">
        <v>14181</v>
      </c>
      <c r="H1851">
        <v>18.68</v>
      </c>
      <c r="I1851">
        <v>0</v>
      </c>
      <c r="J1851">
        <v>0</v>
      </c>
      <c r="K1851">
        <v>20</v>
      </c>
      <c r="L1851">
        <v>7</v>
      </c>
      <c r="O1851">
        <v>7</v>
      </c>
      <c r="P1851">
        <v>4</v>
      </c>
      <c r="Q1851">
        <v>0</v>
      </c>
      <c r="R1851">
        <v>49.68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3</v>
      </c>
      <c r="AC1851">
        <v>0</v>
      </c>
      <c r="AH1851">
        <v>52.68</v>
      </c>
    </row>
    <row r="1852" spans="1:34" x14ac:dyDescent="0.3">
      <c r="A1852" s="4">
        <v>2065</v>
      </c>
      <c r="B1852" s="5">
        <v>1845</v>
      </c>
      <c r="C1852">
        <v>3230</v>
      </c>
      <c r="D1852" t="s">
        <v>7169</v>
      </c>
      <c r="E1852" t="s">
        <v>54</v>
      </c>
      <c r="F1852" t="s">
        <v>38</v>
      </c>
      <c r="G1852" t="s">
        <v>14182</v>
      </c>
      <c r="H1852">
        <v>18.68</v>
      </c>
      <c r="I1852">
        <v>0</v>
      </c>
      <c r="J1852">
        <v>0</v>
      </c>
      <c r="K1852">
        <v>20</v>
      </c>
      <c r="L1852">
        <v>7</v>
      </c>
      <c r="N1852">
        <v>3</v>
      </c>
      <c r="O1852">
        <v>10</v>
      </c>
      <c r="P1852">
        <v>4</v>
      </c>
      <c r="Q1852">
        <v>0</v>
      </c>
      <c r="R1852">
        <v>52.68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H1852">
        <v>52.68</v>
      </c>
    </row>
    <row r="1853" spans="1:34" x14ac:dyDescent="0.3">
      <c r="A1853" s="4">
        <v>2066</v>
      </c>
      <c r="B1853" s="5">
        <v>1846</v>
      </c>
      <c r="C1853">
        <v>705</v>
      </c>
      <c r="D1853" t="s">
        <v>14183</v>
      </c>
      <c r="E1853" t="s">
        <v>143</v>
      </c>
      <c r="F1853" t="s">
        <v>20</v>
      </c>
      <c r="G1853" t="s">
        <v>14184</v>
      </c>
      <c r="H1853">
        <v>21.63</v>
      </c>
      <c r="I1853">
        <v>0</v>
      </c>
      <c r="J1853">
        <v>0</v>
      </c>
      <c r="K1853">
        <v>20</v>
      </c>
      <c r="L1853">
        <v>7</v>
      </c>
      <c r="O1853">
        <v>7</v>
      </c>
      <c r="P1853">
        <v>4</v>
      </c>
      <c r="Q1853">
        <v>0</v>
      </c>
      <c r="R1853">
        <v>52.63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H1853">
        <v>52.63</v>
      </c>
    </row>
    <row r="1854" spans="1:34" x14ac:dyDescent="0.3">
      <c r="A1854" s="4">
        <v>2067</v>
      </c>
      <c r="B1854" s="5">
        <v>1847</v>
      </c>
      <c r="C1854">
        <v>14524</v>
      </c>
      <c r="D1854" t="s">
        <v>10788</v>
      </c>
      <c r="E1854" t="s">
        <v>14185</v>
      </c>
      <c r="F1854" t="s">
        <v>892</v>
      </c>
      <c r="G1854" t="s">
        <v>14186</v>
      </c>
      <c r="H1854">
        <v>17.600000000000001</v>
      </c>
      <c r="I1854">
        <v>0</v>
      </c>
      <c r="J1854">
        <v>0</v>
      </c>
      <c r="K1854">
        <v>20</v>
      </c>
      <c r="L1854">
        <v>7</v>
      </c>
      <c r="O1854">
        <v>7</v>
      </c>
      <c r="P1854">
        <v>0</v>
      </c>
      <c r="Q1854">
        <v>2</v>
      </c>
      <c r="R1854">
        <v>46.6</v>
      </c>
      <c r="S1854">
        <v>6</v>
      </c>
      <c r="T1854">
        <v>6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6</v>
      </c>
      <c r="AB1854">
        <v>0</v>
      </c>
      <c r="AC1854">
        <v>0</v>
      </c>
      <c r="AH1854">
        <v>52.6</v>
      </c>
    </row>
    <row r="1855" spans="1:34" x14ac:dyDescent="0.3">
      <c r="A1855" s="4">
        <v>2068</v>
      </c>
      <c r="B1855" s="5">
        <v>1848</v>
      </c>
      <c r="C1855">
        <v>4043</v>
      </c>
      <c r="D1855" t="s">
        <v>5587</v>
      </c>
      <c r="E1855" t="s">
        <v>166</v>
      </c>
      <c r="F1855" t="s">
        <v>17</v>
      </c>
      <c r="G1855" t="s">
        <v>14187</v>
      </c>
      <c r="H1855">
        <v>19.55</v>
      </c>
      <c r="I1855">
        <v>0</v>
      </c>
      <c r="J1855">
        <v>0</v>
      </c>
      <c r="K1855">
        <v>20</v>
      </c>
      <c r="L1855">
        <v>7</v>
      </c>
      <c r="O1855">
        <v>7</v>
      </c>
      <c r="P1855">
        <v>4</v>
      </c>
      <c r="Q1855">
        <v>2</v>
      </c>
      <c r="R1855">
        <v>52.55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H1855">
        <v>52.55</v>
      </c>
    </row>
    <row r="1856" spans="1:34" x14ac:dyDescent="0.3">
      <c r="A1856" s="4">
        <v>2069</v>
      </c>
      <c r="B1856" s="5">
        <v>1849</v>
      </c>
      <c r="C1856">
        <v>11077</v>
      </c>
      <c r="D1856" t="s">
        <v>14188</v>
      </c>
      <c r="E1856" t="s">
        <v>406</v>
      </c>
      <c r="F1856" t="s">
        <v>81</v>
      </c>
      <c r="G1856" t="s">
        <v>14189</v>
      </c>
      <c r="H1856">
        <v>18.55</v>
      </c>
      <c r="I1856">
        <v>0</v>
      </c>
      <c r="J1856">
        <v>0</v>
      </c>
      <c r="K1856">
        <v>20</v>
      </c>
      <c r="L1856">
        <v>7</v>
      </c>
      <c r="N1856">
        <v>3</v>
      </c>
      <c r="O1856">
        <v>10</v>
      </c>
      <c r="P1856">
        <v>4</v>
      </c>
      <c r="Q1856">
        <v>0</v>
      </c>
      <c r="R1856">
        <v>52.55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H1856">
        <v>52.55</v>
      </c>
    </row>
    <row r="1857" spans="1:34" x14ac:dyDescent="0.3">
      <c r="A1857" s="4">
        <v>2070</v>
      </c>
      <c r="B1857" s="5">
        <v>1850</v>
      </c>
      <c r="C1857">
        <v>1929</v>
      </c>
      <c r="D1857" t="s">
        <v>543</v>
      </c>
      <c r="E1857" t="s">
        <v>550</v>
      </c>
      <c r="F1857" t="s">
        <v>457</v>
      </c>
      <c r="G1857" t="s">
        <v>14190</v>
      </c>
      <c r="H1857">
        <v>15.53</v>
      </c>
      <c r="I1857">
        <v>0</v>
      </c>
      <c r="J1857">
        <v>0</v>
      </c>
      <c r="K1857">
        <v>20</v>
      </c>
      <c r="L1857">
        <v>7</v>
      </c>
      <c r="O1857">
        <v>7</v>
      </c>
      <c r="P1857">
        <v>4</v>
      </c>
      <c r="Q1857">
        <v>0</v>
      </c>
      <c r="R1857">
        <v>46.53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6</v>
      </c>
      <c r="AC1857">
        <v>0</v>
      </c>
      <c r="AH1857">
        <v>52.53</v>
      </c>
    </row>
    <row r="1858" spans="1:34" x14ac:dyDescent="0.3">
      <c r="A1858" s="4">
        <v>2071</v>
      </c>
      <c r="B1858" s="5">
        <v>1851</v>
      </c>
      <c r="C1858">
        <v>12684</v>
      </c>
      <c r="D1858" t="s">
        <v>14191</v>
      </c>
      <c r="E1858" t="s">
        <v>161</v>
      </c>
      <c r="F1858" t="s">
        <v>4680</v>
      </c>
      <c r="G1858" t="s">
        <v>14192</v>
      </c>
      <c r="H1858">
        <v>21.53</v>
      </c>
      <c r="I1858">
        <v>0</v>
      </c>
      <c r="J1858">
        <v>0</v>
      </c>
      <c r="K1858">
        <v>20</v>
      </c>
      <c r="L1858">
        <v>7</v>
      </c>
      <c r="O1858">
        <v>7</v>
      </c>
      <c r="P1858">
        <v>4</v>
      </c>
      <c r="Q1858">
        <v>0</v>
      </c>
      <c r="R1858">
        <v>52.53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H1858">
        <v>52.53</v>
      </c>
    </row>
    <row r="1859" spans="1:34" x14ac:dyDescent="0.3">
      <c r="A1859" s="4">
        <v>2072</v>
      </c>
      <c r="B1859" s="5">
        <v>1852</v>
      </c>
      <c r="C1859">
        <v>8801</v>
      </c>
      <c r="D1859" t="s">
        <v>14193</v>
      </c>
      <c r="E1859" t="s">
        <v>307</v>
      </c>
      <c r="F1859" t="s">
        <v>243</v>
      </c>
      <c r="G1859" t="s">
        <v>14194</v>
      </c>
      <c r="H1859">
        <v>21.53</v>
      </c>
      <c r="I1859">
        <v>0</v>
      </c>
      <c r="J1859">
        <v>0</v>
      </c>
      <c r="K1859">
        <v>20</v>
      </c>
      <c r="L1859">
        <v>7</v>
      </c>
      <c r="O1859">
        <v>7</v>
      </c>
      <c r="P1859">
        <v>4</v>
      </c>
      <c r="Q1859">
        <v>0</v>
      </c>
      <c r="R1859">
        <v>52.53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H1859">
        <v>52.53</v>
      </c>
    </row>
    <row r="1860" spans="1:34" x14ac:dyDescent="0.3">
      <c r="A1860" s="4">
        <v>2073</v>
      </c>
      <c r="B1860" s="5">
        <v>1853</v>
      </c>
      <c r="C1860">
        <v>13894</v>
      </c>
      <c r="D1860" t="s">
        <v>1705</v>
      </c>
      <c r="E1860" t="s">
        <v>10228</v>
      </c>
      <c r="F1860" t="s">
        <v>81</v>
      </c>
      <c r="G1860" t="s">
        <v>14195</v>
      </c>
      <c r="H1860">
        <v>18.53</v>
      </c>
      <c r="I1860">
        <v>0</v>
      </c>
      <c r="J1860">
        <v>0</v>
      </c>
      <c r="K1860">
        <v>20</v>
      </c>
      <c r="L1860">
        <v>7</v>
      </c>
      <c r="N1860">
        <v>3</v>
      </c>
      <c r="O1860">
        <v>10</v>
      </c>
      <c r="P1860">
        <v>4</v>
      </c>
      <c r="Q1860">
        <v>0</v>
      </c>
      <c r="R1860">
        <v>52.53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H1860">
        <v>52.53</v>
      </c>
    </row>
    <row r="1861" spans="1:34" x14ac:dyDescent="0.3">
      <c r="A1861" s="4">
        <v>2074</v>
      </c>
      <c r="B1861" s="5">
        <v>1854</v>
      </c>
      <c r="C1861">
        <v>11693</v>
      </c>
      <c r="D1861" t="s">
        <v>14196</v>
      </c>
      <c r="E1861" t="s">
        <v>29</v>
      </c>
      <c r="F1861" t="s">
        <v>20</v>
      </c>
      <c r="G1861" t="s">
        <v>14197</v>
      </c>
      <c r="H1861">
        <v>18.53</v>
      </c>
      <c r="I1861">
        <v>0</v>
      </c>
      <c r="J1861">
        <v>0</v>
      </c>
      <c r="K1861">
        <v>20</v>
      </c>
      <c r="L1861">
        <v>7</v>
      </c>
      <c r="N1861">
        <v>3</v>
      </c>
      <c r="O1861">
        <v>10</v>
      </c>
      <c r="P1861">
        <v>4</v>
      </c>
      <c r="Q1861">
        <v>0</v>
      </c>
      <c r="R1861">
        <v>52.53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H1861">
        <v>52.53</v>
      </c>
    </row>
    <row r="1862" spans="1:34" x14ac:dyDescent="0.3">
      <c r="A1862" s="4">
        <v>2075</v>
      </c>
      <c r="B1862" s="5">
        <v>1855</v>
      </c>
      <c r="C1862">
        <v>10798</v>
      </c>
      <c r="D1862" t="s">
        <v>14198</v>
      </c>
      <c r="E1862" t="s">
        <v>26</v>
      </c>
      <c r="F1862" t="s">
        <v>38</v>
      </c>
      <c r="G1862" t="s">
        <v>14199</v>
      </c>
      <c r="H1862">
        <v>16.53</v>
      </c>
      <c r="I1862">
        <v>0</v>
      </c>
      <c r="J1862">
        <v>0</v>
      </c>
      <c r="K1862">
        <v>20</v>
      </c>
      <c r="L1862">
        <v>7</v>
      </c>
      <c r="M1862">
        <v>5</v>
      </c>
      <c r="O1862">
        <v>12</v>
      </c>
      <c r="P1862">
        <v>4</v>
      </c>
      <c r="Q1862">
        <v>0</v>
      </c>
      <c r="R1862">
        <v>52.53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H1862">
        <v>52.53</v>
      </c>
    </row>
    <row r="1863" spans="1:34" x14ac:dyDescent="0.3">
      <c r="A1863" s="4">
        <v>2076</v>
      </c>
      <c r="B1863" s="5">
        <v>1856</v>
      </c>
      <c r="C1863">
        <v>7634</v>
      </c>
      <c r="D1863" t="s">
        <v>14200</v>
      </c>
      <c r="E1863" t="s">
        <v>8622</v>
      </c>
      <c r="F1863" t="s">
        <v>38</v>
      </c>
      <c r="G1863" t="s">
        <v>14201</v>
      </c>
      <c r="H1863">
        <v>22.5</v>
      </c>
      <c r="I1863">
        <v>0</v>
      </c>
      <c r="J1863">
        <v>0</v>
      </c>
      <c r="K1863">
        <v>20</v>
      </c>
      <c r="L1863">
        <v>7</v>
      </c>
      <c r="N1863">
        <v>3</v>
      </c>
      <c r="O1863">
        <v>10</v>
      </c>
      <c r="P1863">
        <v>0</v>
      </c>
      <c r="Q1863">
        <v>0</v>
      </c>
      <c r="R1863">
        <v>52.5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H1863">
        <v>52.5</v>
      </c>
    </row>
    <row r="1864" spans="1:34" x14ac:dyDescent="0.3">
      <c r="A1864" s="4">
        <v>2077</v>
      </c>
      <c r="B1864" s="5">
        <v>1857</v>
      </c>
      <c r="C1864">
        <v>9223</v>
      </c>
      <c r="D1864" t="s">
        <v>2991</v>
      </c>
      <c r="E1864" t="s">
        <v>143</v>
      </c>
      <c r="F1864" t="s">
        <v>375</v>
      </c>
      <c r="G1864" t="s">
        <v>14202</v>
      </c>
      <c r="H1864">
        <v>21.5</v>
      </c>
      <c r="I1864">
        <v>0</v>
      </c>
      <c r="J1864">
        <v>0</v>
      </c>
      <c r="K1864">
        <v>20</v>
      </c>
      <c r="L1864">
        <v>7</v>
      </c>
      <c r="O1864">
        <v>7</v>
      </c>
      <c r="P1864">
        <v>4</v>
      </c>
      <c r="Q1864">
        <v>0</v>
      </c>
      <c r="R1864">
        <v>52.5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H1864">
        <v>52.5</v>
      </c>
    </row>
    <row r="1865" spans="1:34" x14ac:dyDescent="0.3">
      <c r="A1865" s="4">
        <v>2078</v>
      </c>
      <c r="B1865" s="5">
        <v>1858</v>
      </c>
      <c r="C1865">
        <v>15434</v>
      </c>
      <c r="D1865" t="s">
        <v>14203</v>
      </c>
      <c r="E1865" t="s">
        <v>14204</v>
      </c>
      <c r="F1865" t="s">
        <v>81</v>
      </c>
      <c r="G1865" t="s">
        <v>14205</v>
      </c>
      <c r="H1865">
        <v>18.5</v>
      </c>
      <c r="I1865">
        <v>0</v>
      </c>
      <c r="J1865">
        <v>0</v>
      </c>
      <c r="K1865">
        <v>20</v>
      </c>
      <c r="L1865">
        <v>7</v>
      </c>
      <c r="N1865">
        <v>3</v>
      </c>
      <c r="O1865">
        <v>10</v>
      </c>
      <c r="P1865">
        <v>4</v>
      </c>
      <c r="Q1865">
        <v>0</v>
      </c>
      <c r="R1865">
        <v>52.5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H1865">
        <v>52.5</v>
      </c>
    </row>
    <row r="1866" spans="1:34" x14ac:dyDescent="0.3">
      <c r="A1866" s="4">
        <v>2079</v>
      </c>
      <c r="B1866" s="5">
        <v>1859</v>
      </c>
      <c r="C1866">
        <v>14385</v>
      </c>
      <c r="D1866" t="s">
        <v>1095</v>
      </c>
      <c r="E1866" t="s">
        <v>33</v>
      </c>
      <c r="F1866" t="s">
        <v>17</v>
      </c>
      <c r="G1866" t="s">
        <v>14206</v>
      </c>
      <c r="H1866">
        <v>12.5</v>
      </c>
      <c r="I1866">
        <v>7</v>
      </c>
      <c r="J1866">
        <v>0</v>
      </c>
      <c r="K1866">
        <v>20</v>
      </c>
      <c r="L1866">
        <v>7</v>
      </c>
      <c r="O1866">
        <v>7</v>
      </c>
      <c r="P1866">
        <v>4</v>
      </c>
      <c r="Q1866">
        <v>2</v>
      </c>
      <c r="R1866">
        <v>52.5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H1866">
        <v>52.5</v>
      </c>
    </row>
    <row r="1867" spans="1:34" x14ac:dyDescent="0.3">
      <c r="A1867" s="4">
        <v>2080</v>
      </c>
      <c r="B1867" s="5">
        <v>1860</v>
      </c>
      <c r="C1867">
        <v>1812</v>
      </c>
      <c r="D1867" t="s">
        <v>14207</v>
      </c>
      <c r="E1867" t="s">
        <v>14208</v>
      </c>
      <c r="F1867" t="s">
        <v>14209</v>
      </c>
      <c r="G1867" t="s">
        <v>14210</v>
      </c>
      <c r="H1867">
        <v>19.48</v>
      </c>
      <c r="I1867">
        <v>0</v>
      </c>
      <c r="J1867">
        <v>0</v>
      </c>
      <c r="K1867">
        <v>20</v>
      </c>
      <c r="L1867">
        <v>7</v>
      </c>
      <c r="O1867">
        <v>7</v>
      </c>
      <c r="P1867">
        <v>0</v>
      </c>
      <c r="Q1867">
        <v>0</v>
      </c>
      <c r="R1867">
        <v>46.48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6</v>
      </c>
      <c r="AC1867">
        <v>0</v>
      </c>
      <c r="AH1867">
        <v>52.48</v>
      </c>
    </row>
    <row r="1868" spans="1:34" x14ac:dyDescent="0.3">
      <c r="A1868" s="4">
        <v>2081</v>
      </c>
      <c r="B1868" s="5">
        <v>1861</v>
      </c>
      <c r="C1868">
        <v>5629</v>
      </c>
      <c r="D1868" t="s">
        <v>14211</v>
      </c>
      <c r="E1868" t="s">
        <v>338</v>
      </c>
      <c r="F1868" t="s">
        <v>30</v>
      </c>
      <c r="G1868" t="s">
        <v>14212</v>
      </c>
      <c r="H1868">
        <v>19.48</v>
      </c>
      <c r="I1868">
        <v>0</v>
      </c>
      <c r="J1868">
        <v>0</v>
      </c>
      <c r="K1868">
        <v>20</v>
      </c>
      <c r="L1868">
        <v>7</v>
      </c>
      <c r="O1868">
        <v>7</v>
      </c>
      <c r="P1868">
        <v>4</v>
      </c>
      <c r="Q1868">
        <v>2</v>
      </c>
      <c r="R1868">
        <v>52.48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H1868">
        <v>52.48</v>
      </c>
    </row>
    <row r="1869" spans="1:34" x14ac:dyDescent="0.3">
      <c r="A1869" s="4">
        <v>2082</v>
      </c>
      <c r="B1869" s="5">
        <v>1862</v>
      </c>
      <c r="C1869">
        <v>9186</v>
      </c>
      <c r="D1869" t="s">
        <v>8285</v>
      </c>
      <c r="E1869" t="s">
        <v>54</v>
      </c>
      <c r="F1869" t="s">
        <v>81</v>
      </c>
      <c r="G1869" t="s">
        <v>14213</v>
      </c>
      <c r="H1869">
        <v>18.649999999999999</v>
      </c>
      <c r="I1869">
        <v>0</v>
      </c>
      <c r="J1869">
        <v>0</v>
      </c>
      <c r="K1869">
        <v>0</v>
      </c>
      <c r="N1869">
        <v>3</v>
      </c>
      <c r="O1869">
        <v>3</v>
      </c>
      <c r="P1869">
        <v>4</v>
      </c>
      <c r="Q1869">
        <v>0</v>
      </c>
      <c r="R1869">
        <v>25.65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26.8</v>
      </c>
      <c r="AH1869">
        <v>52.45</v>
      </c>
    </row>
    <row r="1870" spans="1:34" x14ac:dyDescent="0.3">
      <c r="A1870" s="4">
        <v>2083</v>
      </c>
      <c r="B1870" s="5">
        <v>1863</v>
      </c>
      <c r="C1870">
        <v>12287</v>
      </c>
      <c r="D1870" t="s">
        <v>14214</v>
      </c>
      <c r="E1870" t="s">
        <v>17</v>
      </c>
      <c r="F1870" t="s">
        <v>62</v>
      </c>
      <c r="G1870" t="s">
        <v>14215</v>
      </c>
      <c r="H1870">
        <v>16.43</v>
      </c>
      <c r="I1870">
        <v>0</v>
      </c>
      <c r="J1870">
        <v>0</v>
      </c>
      <c r="K1870">
        <v>0</v>
      </c>
      <c r="L1870">
        <v>7</v>
      </c>
      <c r="O1870">
        <v>7</v>
      </c>
      <c r="P1870">
        <v>4</v>
      </c>
      <c r="Q1870">
        <v>2</v>
      </c>
      <c r="R1870">
        <v>29.43</v>
      </c>
      <c r="S1870">
        <v>17</v>
      </c>
      <c r="T1870">
        <v>17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17</v>
      </c>
      <c r="AB1870">
        <v>6</v>
      </c>
      <c r="AC1870">
        <v>0</v>
      </c>
      <c r="AH1870">
        <v>52.43</v>
      </c>
    </row>
    <row r="1871" spans="1:34" x14ac:dyDescent="0.3">
      <c r="A1871" s="4">
        <v>2084</v>
      </c>
      <c r="B1871" s="5">
        <v>1864</v>
      </c>
      <c r="C1871">
        <v>5037</v>
      </c>
      <c r="D1871" t="s">
        <v>14216</v>
      </c>
      <c r="E1871" t="s">
        <v>37</v>
      </c>
      <c r="F1871" t="s">
        <v>190</v>
      </c>
      <c r="G1871" t="s">
        <v>14217</v>
      </c>
      <c r="H1871">
        <v>21.43</v>
      </c>
      <c r="I1871">
        <v>0</v>
      </c>
      <c r="J1871">
        <v>0</v>
      </c>
      <c r="K1871">
        <v>20</v>
      </c>
      <c r="L1871">
        <v>7</v>
      </c>
      <c r="O1871">
        <v>7</v>
      </c>
      <c r="P1871">
        <v>4</v>
      </c>
      <c r="Q1871">
        <v>0</v>
      </c>
      <c r="R1871">
        <v>52.43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H1871">
        <v>52.43</v>
      </c>
    </row>
    <row r="1872" spans="1:34" x14ac:dyDescent="0.3">
      <c r="A1872" s="4">
        <v>2085</v>
      </c>
      <c r="B1872" s="5">
        <v>1865</v>
      </c>
      <c r="C1872">
        <v>8657</v>
      </c>
      <c r="D1872" t="s">
        <v>14218</v>
      </c>
      <c r="E1872" t="s">
        <v>173</v>
      </c>
      <c r="F1872" t="s">
        <v>38</v>
      </c>
      <c r="G1872" t="s">
        <v>14219</v>
      </c>
      <c r="H1872">
        <v>15.43</v>
      </c>
      <c r="I1872">
        <v>0</v>
      </c>
      <c r="J1872">
        <v>0</v>
      </c>
      <c r="K1872">
        <v>20</v>
      </c>
      <c r="L1872">
        <v>7</v>
      </c>
      <c r="N1872">
        <v>3</v>
      </c>
      <c r="O1872">
        <v>10</v>
      </c>
      <c r="P1872">
        <v>0</v>
      </c>
      <c r="Q1872">
        <v>0</v>
      </c>
      <c r="R1872">
        <v>45.43</v>
      </c>
      <c r="S1872">
        <v>7</v>
      </c>
      <c r="T1872">
        <v>7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7</v>
      </c>
      <c r="AB1872">
        <v>0</v>
      </c>
      <c r="AC1872">
        <v>0</v>
      </c>
      <c r="AH1872">
        <v>52.43</v>
      </c>
    </row>
    <row r="1873" spans="1:34" x14ac:dyDescent="0.3">
      <c r="A1873" s="4">
        <v>2086</v>
      </c>
      <c r="B1873" s="5">
        <v>1866</v>
      </c>
      <c r="C1873">
        <v>6122</v>
      </c>
      <c r="D1873" t="s">
        <v>6336</v>
      </c>
      <c r="E1873" t="s">
        <v>132</v>
      </c>
      <c r="F1873" t="s">
        <v>801</v>
      </c>
      <c r="G1873" t="s">
        <v>14220</v>
      </c>
      <c r="H1873">
        <v>22.38</v>
      </c>
      <c r="I1873">
        <v>0</v>
      </c>
      <c r="J1873">
        <v>0</v>
      </c>
      <c r="K1873">
        <v>20</v>
      </c>
      <c r="N1873">
        <v>6</v>
      </c>
      <c r="O1873">
        <v>6</v>
      </c>
      <c r="P1873">
        <v>4</v>
      </c>
      <c r="Q1873">
        <v>0</v>
      </c>
      <c r="R1873">
        <v>52.38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H1873">
        <v>52.38</v>
      </c>
    </row>
    <row r="1874" spans="1:34" x14ac:dyDescent="0.3">
      <c r="A1874" s="4">
        <v>2087</v>
      </c>
      <c r="B1874" s="5">
        <v>1867</v>
      </c>
      <c r="C1874">
        <v>15648</v>
      </c>
      <c r="D1874" t="s">
        <v>14221</v>
      </c>
      <c r="E1874" t="s">
        <v>100</v>
      </c>
      <c r="F1874" t="s">
        <v>117</v>
      </c>
      <c r="G1874" t="s">
        <v>14222</v>
      </c>
      <c r="H1874">
        <v>21.38</v>
      </c>
      <c r="I1874">
        <v>0</v>
      </c>
      <c r="J1874">
        <v>0</v>
      </c>
      <c r="K1874">
        <v>20</v>
      </c>
      <c r="L1874">
        <v>7</v>
      </c>
      <c r="O1874">
        <v>7</v>
      </c>
      <c r="P1874">
        <v>4</v>
      </c>
      <c r="Q1874">
        <v>0</v>
      </c>
      <c r="R1874">
        <v>52.38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H1874">
        <v>52.38</v>
      </c>
    </row>
    <row r="1875" spans="1:34" x14ac:dyDescent="0.3">
      <c r="A1875" s="4">
        <v>2089</v>
      </c>
      <c r="B1875" s="5">
        <v>1868</v>
      </c>
      <c r="C1875">
        <v>11793</v>
      </c>
      <c r="D1875" t="s">
        <v>14223</v>
      </c>
      <c r="E1875" t="s">
        <v>29</v>
      </c>
      <c r="F1875" t="s">
        <v>17</v>
      </c>
      <c r="G1875" t="s">
        <v>14224</v>
      </c>
      <c r="H1875">
        <v>20.38</v>
      </c>
      <c r="I1875">
        <v>0</v>
      </c>
      <c r="J1875">
        <v>0</v>
      </c>
      <c r="K1875">
        <v>0</v>
      </c>
      <c r="L1875">
        <v>7</v>
      </c>
      <c r="O1875">
        <v>7</v>
      </c>
      <c r="P1875">
        <v>4</v>
      </c>
      <c r="Q1875">
        <v>2</v>
      </c>
      <c r="R1875">
        <v>33.380000000000003</v>
      </c>
      <c r="S1875">
        <v>19</v>
      </c>
      <c r="T1875">
        <v>19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19</v>
      </c>
      <c r="AB1875">
        <v>0</v>
      </c>
      <c r="AC1875">
        <v>0</v>
      </c>
      <c r="AH1875">
        <v>52.38</v>
      </c>
    </row>
    <row r="1876" spans="1:34" x14ac:dyDescent="0.3">
      <c r="A1876" s="4">
        <v>2090</v>
      </c>
      <c r="B1876" s="5">
        <v>1869</v>
      </c>
      <c r="C1876">
        <v>11289</v>
      </c>
      <c r="D1876" t="s">
        <v>2462</v>
      </c>
      <c r="E1876" t="s">
        <v>51</v>
      </c>
      <c r="F1876" t="s">
        <v>55</v>
      </c>
      <c r="G1876" t="s">
        <v>14225</v>
      </c>
      <c r="H1876">
        <v>19.350000000000001</v>
      </c>
      <c r="I1876">
        <v>0</v>
      </c>
      <c r="J1876">
        <v>0</v>
      </c>
      <c r="K1876">
        <v>0</v>
      </c>
      <c r="L1876">
        <v>7</v>
      </c>
      <c r="M1876">
        <v>5</v>
      </c>
      <c r="O1876">
        <v>12</v>
      </c>
      <c r="P1876">
        <v>4</v>
      </c>
      <c r="Q1876">
        <v>0</v>
      </c>
      <c r="R1876">
        <v>35.35</v>
      </c>
      <c r="S1876">
        <v>11</v>
      </c>
      <c r="T1876">
        <v>11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11</v>
      </c>
      <c r="AB1876">
        <v>6</v>
      </c>
      <c r="AC1876">
        <v>0</v>
      </c>
      <c r="AH1876">
        <v>52.35</v>
      </c>
    </row>
    <row r="1877" spans="1:34" x14ac:dyDescent="0.3">
      <c r="A1877" s="4">
        <v>2091</v>
      </c>
      <c r="B1877" s="5">
        <v>1870</v>
      </c>
      <c r="C1877">
        <v>1395</v>
      </c>
      <c r="D1877" t="s">
        <v>10369</v>
      </c>
      <c r="E1877" t="s">
        <v>41</v>
      </c>
      <c r="F1877" t="s">
        <v>339</v>
      </c>
      <c r="G1877" t="s">
        <v>14226</v>
      </c>
      <c r="H1877">
        <v>21.35</v>
      </c>
      <c r="I1877">
        <v>0</v>
      </c>
      <c r="J1877">
        <v>0</v>
      </c>
      <c r="K1877">
        <v>20</v>
      </c>
      <c r="L1877">
        <v>7</v>
      </c>
      <c r="O1877">
        <v>7</v>
      </c>
      <c r="P1877">
        <v>4</v>
      </c>
      <c r="Q1877">
        <v>0</v>
      </c>
      <c r="R1877">
        <v>52.35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H1877">
        <v>52.35</v>
      </c>
    </row>
    <row r="1878" spans="1:34" x14ac:dyDescent="0.3">
      <c r="A1878" s="4">
        <v>2092</v>
      </c>
      <c r="B1878" s="5">
        <v>1871</v>
      </c>
      <c r="C1878">
        <v>1806</v>
      </c>
      <c r="D1878" t="s">
        <v>14227</v>
      </c>
      <c r="E1878" t="s">
        <v>68</v>
      </c>
      <c r="F1878" t="s">
        <v>55</v>
      </c>
      <c r="G1878" t="s">
        <v>14228</v>
      </c>
      <c r="H1878">
        <v>18.350000000000001</v>
      </c>
      <c r="I1878">
        <v>0</v>
      </c>
      <c r="J1878">
        <v>0</v>
      </c>
      <c r="K1878">
        <v>20</v>
      </c>
      <c r="L1878">
        <v>7</v>
      </c>
      <c r="N1878">
        <v>3</v>
      </c>
      <c r="O1878">
        <v>10</v>
      </c>
      <c r="P1878">
        <v>4</v>
      </c>
      <c r="Q1878">
        <v>0</v>
      </c>
      <c r="R1878">
        <v>52.35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H1878">
        <v>52.35</v>
      </c>
    </row>
    <row r="1879" spans="1:34" x14ac:dyDescent="0.3">
      <c r="A1879" s="4">
        <v>2093</v>
      </c>
      <c r="B1879" s="5">
        <v>1872</v>
      </c>
      <c r="C1879">
        <v>8132</v>
      </c>
      <c r="D1879" t="s">
        <v>317</v>
      </c>
      <c r="E1879" t="s">
        <v>110</v>
      </c>
      <c r="F1879" t="s">
        <v>158</v>
      </c>
      <c r="G1879" t="s">
        <v>14229</v>
      </c>
      <c r="H1879">
        <v>18.329999999999998</v>
      </c>
      <c r="I1879">
        <v>0</v>
      </c>
      <c r="J1879">
        <v>0</v>
      </c>
      <c r="K1879">
        <v>20</v>
      </c>
      <c r="N1879">
        <v>6</v>
      </c>
      <c r="O1879">
        <v>6</v>
      </c>
      <c r="P1879">
        <v>0</v>
      </c>
      <c r="Q1879">
        <v>0</v>
      </c>
      <c r="R1879">
        <v>44.33</v>
      </c>
      <c r="S1879">
        <v>8</v>
      </c>
      <c r="T1879">
        <v>8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8</v>
      </c>
      <c r="AB1879">
        <v>0</v>
      </c>
      <c r="AC1879">
        <v>0</v>
      </c>
      <c r="AH1879">
        <v>52.33</v>
      </c>
    </row>
    <row r="1880" spans="1:34" x14ac:dyDescent="0.3">
      <c r="A1880" s="4">
        <v>2094</v>
      </c>
      <c r="B1880" s="5">
        <v>1873</v>
      </c>
      <c r="C1880">
        <v>11356</v>
      </c>
      <c r="D1880" t="s">
        <v>14230</v>
      </c>
      <c r="E1880" t="s">
        <v>789</v>
      </c>
      <c r="F1880" t="s">
        <v>17</v>
      </c>
      <c r="G1880" t="s">
        <v>14231</v>
      </c>
      <c r="H1880">
        <v>20.3</v>
      </c>
      <c r="I1880">
        <v>0</v>
      </c>
      <c r="J1880">
        <v>0</v>
      </c>
      <c r="K1880">
        <v>0</v>
      </c>
      <c r="M1880">
        <v>5</v>
      </c>
      <c r="N1880">
        <v>3</v>
      </c>
      <c r="O1880">
        <v>8</v>
      </c>
      <c r="P1880">
        <v>4</v>
      </c>
      <c r="Q1880">
        <v>0</v>
      </c>
      <c r="R1880">
        <v>32.299999999999997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20</v>
      </c>
      <c r="AH1880">
        <v>52.3</v>
      </c>
    </row>
    <row r="1881" spans="1:34" x14ac:dyDescent="0.3">
      <c r="A1881" s="4">
        <v>2095</v>
      </c>
      <c r="B1881" s="5">
        <v>1874</v>
      </c>
      <c r="C1881">
        <v>13953</v>
      </c>
      <c r="D1881" t="s">
        <v>1711</v>
      </c>
      <c r="E1881" t="s">
        <v>173</v>
      </c>
      <c r="F1881" t="s">
        <v>20</v>
      </c>
      <c r="G1881" t="s">
        <v>14232</v>
      </c>
      <c r="H1881">
        <v>18.3</v>
      </c>
      <c r="I1881">
        <v>0</v>
      </c>
      <c r="J1881">
        <v>0</v>
      </c>
      <c r="K1881">
        <v>0</v>
      </c>
      <c r="L1881">
        <v>7</v>
      </c>
      <c r="O1881">
        <v>7</v>
      </c>
      <c r="P1881">
        <v>4</v>
      </c>
      <c r="Q1881">
        <v>2</v>
      </c>
      <c r="R1881">
        <v>31.3</v>
      </c>
      <c r="S1881">
        <v>15</v>
      </c>
      <c r="T1881">
        <v>15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15</v>
      </c>
      <c r="AB1881">
        <v>6</v>
      </c>
      <c r="AC1881">
        <v>0</v>
      </c>
      <c r="AH1881">
        <v>52.3</v>
      </c>
    </row>
    <row r="1882" spans="1:34" x14ac:dyDescent="0.3">
      <c r="A1882" s="4">
        <v>2096</v>
      </c>
      <c r="B1882" s="5">
        <v>1875</v>
      </c>
      <c r="C1882">
        <v>14173</v>
      </c>
      <c r="D1882" t="s">
        <v>14233</v>
      </c>
      <c r="E1882" t="s">
        <v>14234</v>
      </c>
      <c r="F1882" t="s">
        <v>158</v>
      </c>
      <c r="G1882" t="s">
        <v>14235</v>
      </c>
      <c r="H1882">
        <v>18.3</v>
      </c>
      <c r="I1882">
        <v>0</v>
      </c>
      <c r="J1882">
        <v>0</v>
      </c>
      <c r="K1882">
        <v>20</v>
      </c>
      <c r="L1882">
        <v>14</v>
      </c>
      <c r="O1882">
        <v>14</v>
      </c>
      <c r="P1882">
        <v>0</v>
      </c>
      <c r="Q1882">
        <v>0</v>
      </c>
      <c r="R1882">
        <v>52.3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H1882">
        <v>52.3</v>
      </c>
    </row>
    <row r="1883" spans="1:34" x14ac:dyDescent="0.3">
      <c r="A1883" s="4">
        <v>2097</v>
      </c>
      <c r="B1883" s="5">
        <v>1876</v>
      </c>
      <c r="C1883">
        <v>155</v>
      </c>
      <c r="D1883" t="s">
        <v>14236</v>
      </c>
      <c r="E1883" t="s">
        <v>110</v>
      </c>
      <c r="F1883" t="s">
        <v>62</v>
      </c>
      <c r="G1883" t="s">
        <v>14237</v>
      </c>
      <c r="H1883">
        <v>18.28</v>
      </c>
      <c r="I1883">
        <v>0</v>
      </c>
      <c r="J1883">
        <v>0</v>
      </c>
      <c r="K1883">
        <v>20</v>
      </c>
      <c r="M1883">
        <v>5</v>
      </c>
      <c r="O1883">
        <v>5</v>
      </c>
      <c r="P1883">
        <v>4</v>
      </c>
      <c r="Q1883">
        <v>0</v>
      </c>
      <c r="R1883">
        <v>47.28</v>
      </c>
      <c r="S1883">
        <v>5</v>
      </c>
      <c r="T1883">
        <v>5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5</v>
      </c>
      <c r="AB1883">
        <v>0</v>
      </c>
      <c r="AC1883">
        <v>0</v>
      </c>
      <c r="AH1883">
        <v>52.28</v>
      </c>
    </row>
    <row r="1884" spans="1:34" x14ac:dyDescent="0.3">
      <c r="A1884" s="4">
        <v>2098</v>
      </c>
      <c r="B1884" s="5">
        <v>1877</v>
      </c>
      <c r="C1884">
        <v>13095</v>
      </c>
      <c r="D1884" t="s">
        <v>14238</v>
      </c>
      <c r="E1884" t="s">
        <v>14239</v>
      </c>
      <c r="F1884" t="s">
        <v>34</v>
      </c>
      <c r="G1884" t="s">
        <v>14240</v>
      </c>
      <c r="H1884">
        <v>21.25</v>
      </c>
      <c r="I1884">
        <v>0</v>
      </c>
      <c r="J1884">
        <v>0</v>
      </c>
      <c r="K1884">
        <v>20</v>
      </c>
      <c r="L1884">
        <v>7</v>
      </c>
      <c r="O1884">
        <v>7</v>
      </c>
      <c r="P1884">
        <v>4</v>
      </c>
      <c r="Q1884">
        <v>0</v>
      </c>
      <c r="R1884">
        <v>52.25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H1884">
        <v>52.25</v>
      </c>
    </row>
    <row r="1885" spans="1:34" x14ac:dyDescent="0.3">
      <c r="A1885" s="4">
        <v>2099</v>
      </c>
      <c r="B1885" s="5">
        <v>1878</v>
      </c>
      <c r="C1885">
        <v>11055</v>
      </c>
      <c r="D1885" t="s">
        <v>10599</v>
      </c>
      <c r="E1885" t="s">
        <v>166</v>
      </c>
      <c r="F1885" t="s">
        <v>243</v>
      </c>
      <c r="G1885" t="s">
        <v>14241</v>
      </c>
      <c r="H1885">
        <v>16.25</v>
      </c>
      <c r="I1885">
        <v>0</v>
      </c>
      <c r="J1885">
        <v>0</v>
      </c>
      <c r="K1885">
        <v>20</v>
      </c>
      <c r="L1885">
        <v>7</v>
      </c>
      <c r="N1885">
        <v>3</v>
      </c>
      <c r="O1885">
        <v>10</v>
      </c>
      <c r="P1885">
        <v>4</v>
      </c>
      <c r="Q1885">
        <v>2</v>
      </c>
      <c r="R1885">
        <v>52.25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H1885">
        <v>52.25</v>
      </c>
    </row>
    <row r="1886" spans="1:34" x14ac:dyDescent="0.3">
      <c r="A1886" s="4">
        <v>2100</v>
      </c>
      <c r="B1886" s="5">
        <v>1879</v>
      </c>
      <c r="C1886">
        <v>7101</v>
      </c>
      <c r="D1886" t="s">
        <v>14242</v>
      </c>
      <c r="E1886" t="s">
        <v>38</v>
      </c>
      <c r="F1886" t="s">
        <v>190</v>
      </c>
      <c r="G1886" t="s">
        <v>14243</v>
      </c>
      <c r="H1886">
        <v>16.25</v>
      </c>
      <c r="I1886">
        <v>0</v>
      </c>
      <c r="J1886">
        <v>0</v>
      </c>
      <c r="K1886">
        <v>20</v>
      </c>
      <c r="L1886">
        <v>7</v>
      </c>
      <c r="M1886">
        <v>5</v>
      </c>
      <c r="O1886">
        <v>12</v>
      </c>
      <c r="P1886">
        <v>4</v>
      </c>
      <c r="Q1886">
        <v>0</v>
      </c>
      <c r="R1886">
        <v>52.25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H1886">
        <v>52.25</v>
      </c>
    </row>
    <row r="1887" spans="1:34" x14ac:dyDescent="0.3">
      <c r="A1887" s="4">
        <v>2101</v>
      </c>
      <c r="B1887" s="5">
        <v>1880</v>
      </c>
      <c r="C1887">
        <v>14894</v>
      </c>
      <c r="D1887" t="s">
        <v>14244</v>
      </c>
      <c r="E1887" t="s">
        <v>14245</v>
      </c>
      <c r="F1887" t="s">
        <v>539</v>
      </c>
      <c r="G1887" t="s">
        <v>14246</v>
      </c>
      <c r="H1887">
        <v>16.25</v>
      </c>
      <c r="I1887">
        <v>0</v>
      </c>
      <c r="J1887">
        <v>0</v>
      </c>
      <c r="K1887">
        <v>20</v>
      </c>
      <c r="L1887">
        <v>7</v>
      </c>
      <c r="M1887">
        <v>5</v>
      </c>
      <c r="O1887">
        <v>12</v>
      </c>
      <c r="P1887">
        <v>4</v>
      </c>
      <c r="Q1887">
        <v>0</v>
      </c>
      <c r="R1887">
        <v>52.25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H1887">
        <v>52.25</v>
      </c>
    </row>
    <row r="1888" spans="1:34" x14ac:dyDescent="0.3">
      <c r="A1888" s="4">
        <v>2102</v>
      </c>
      <c r="B1888" s="5">
        <v>1881</v>
      </c>
      <c r="C1888">
        <v>12797</v>
      </c>
      <c r="D1888" t="s">
        <v>14247</v>
      </c>
      <c r="E1888" t="s">
        <v>166</v>
      </c>
      <c r="F1888" t="s">
        <v>55</v>
      </c>
      <c r="G1888" t="s">
        <v>14248</v>
      </c>
      <c r="H1888">
        <v>19.23</v>
      </c>
      <c r="I1888">
        <v>0</v>
      </c>
      <c r="J1888">
        <v>0</v>
      </c>
      <c r="K1888">
        <v>0</v>
      </c>
      <c r="L1888">
        <v>7</v>
      </c>
      <c r="O1888">
        <v>7</v>
      </c>
      <c r="P1888">
        <v>4</v>
      </c>
      <c r="Q1888">
        <v>2</v>
      </c>
      <c r="R1888">
        <v>32.229999999999997</v>
      </c>
      <c r="S1888">
        <v>8</v>
      </c>
      <c r="T1888">
        <v>8</v>
      </c>
      <c r="U1888">
        <v>6</v>
      </c>
      <c r="V1888">
        <v>12</v>
      </c>
      <c r="W1888">
        <v>0</v>
      </c>
      <c r="X1888">
        <v>0</v>
      </c>
      <c r="Y1888">
        <v>0</v>
      </c>
      <c r="Z1888">
        <v>0</v>
      </c>
      <c r="AA1888">
        <v>20</v>
      </c>
      <c r="AB1888">
        <v>0</v>
      </c>
      <c r="AC1888">
        <v>0</v>
      </c>
      <c r="AH1888">
        <v>52.23</v>
      </c>
    </row>
    <row r="1889" spans="1:34" x14ac:dyDescent="0.3">
      <c r="A1889" s="4">
        <v>2103</v>
      </c>
      <c r="B1889" s="5">
        <v>1882</v>
      </c>
      <c r="C1889">
        <v>2875</v>
      </c>
      <c r="D1889" t="s">
        <v>14249</v>
      </c>
      <c r="E1889" t="s">
        <v>188</v>
      </c>
      <c r="F1889" t="s">
        <v>14250</v>
      </c>
      <c r="G1889" t="s">
        <v>14251</v>
      </c>
      <c r="H1889">
        <v>18.18</v>
      </c>
      <c r="I1889">
        <v>0</v>
      </c>
      <c r="J1889">
        <v>0</v>
      </c>
      <c r="K1889">
        <v>20</v>
      </c>
      <c r="L1889">
        <v>7</v>
      </c>
      <c r="O1889">
        <v>7</v>
      </c>
      <c r="P1889">
        <v>4</v>
      </c>
      <c r="Q1889">
        <v>0</v>
      </c>
      <c r="R1889">
        <v>49.18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3</v>
      </c>
      <c r="AC1889">
        <v>0</v>
      </c>
      <c r="AH1889">
        <v>52.18</v>
      </c>
    </row>
    <row r="1890" spans="1:34" x14ac:dyDescent="0.3">
      <c r="A1890" s="4">
        <v>2104</v>
      </c>
      <c r="B1890" s="5">
        <v>1883</v>
      </c>
      <c r="C1890">
        <v>1025</v>
      </c>
      <c r="D1890" t="s">
        <v>6744</v>
      </c>
      <c r="E1890" t="s">
        <v>41</v>
      </c>
      <c r="F1890" t="s">
        <v>55</v>
      </c>
      <c r="G1890" t="s">
        <v>14252</v>
      </c>
      <c r="H1890">
        <v>19.18</v>
      </c>
      <c r="I1890">
        <v>0</v>
      </c>
      <c r="J1890">
        <v>0</v>
      </c>
      <c r="K1890">
        <v>20</v>
      </c>
      <c r="L1890">
        <v>7</v>
      </c>
      <c r="O1890">
        <v>7</v>
      </c>
      <c r="P1890">
        <v>4</v>
      </c>
      <c r="Q1890">
        <v>2</v>
      </c>
      <c r="R1890">
        <v>52.18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H1890">
        <v>52.18</v>
      </c>
    </row>
    <row r="1891" spans="1:34" x14ac:dyDescent="0.3">
      <c r="A1891" s="4">
        <v>2105</v>
      </c>
      <c r="B1891" s="5">
        <v>1884</v>
      </c>
      <c r="C1891">
        <v>3741</v>
      </c>
      <c r="D1891" t="s">
        <v>14253</v>
      </c>
      <c r="E1891" t="s">
        <v>14254</v>
      </c>
      <c r="F1891" t="s">
        <v>14255</v>
      </c>
      <c r="G1891" t="s">
        <v>14256</v>
      </c>
      <c r="H1891">
        <v>21.15</v>
      </c>
      <c r="I1891">
        <v>0</v>
      </c>
      <c r="J1891">
        <v>0</v>
      </c>
      <c r="K1891">
        <v>20</v>
      </c>
      <c r="L1891">
        <v>7</v>
      </c>
      <c r="O1891">
        <v>7</v>
      </c>
      <c r="P1891">
        <v>4</v>
      </c>
      <c r="Q1891">
        <v>0</v>
      </c>
      <c r="R1891">
        <v>52.15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H1891">
        <v>52.15</v>
      </c>
    </row>
    <row r="1892" spans="1:34" x14ac:dyDescent="0.3">
      <c r="A1892" s="4">
        <v>2106</v>
      </c>
      <c r="B1892" s="5">
        <v>1885</v>
      </c>
      <c r="C1892">
        <v>2058</v>
      </c>
      <c r="D1892" t="s">
        <v>14257</v>
      </c>
      <c r="E1892" t="s">
        <v>41</v>
      </c>
      <c r="F1892" t="s">
        <v>117</v>
      </c>
      <c r="G1892" t="s">
        <v>14258</v>
      </c>
      <c r="H1892">
        <v>18.13</v>
      </c>
      <c r="I1892">
        <v>0</v>
      </c>
      <c r="J1892">
        <v>0</v>
      </c>
      <c r="K1892">
        <v>20</v>
      </c>
      <c r="L1892">
        <v>7</v>
      </c>
      <c r="N1892">
        <v>3</v>
      </c>
      <c r="O1892">
        <v>10</v>
      </c>
      <c r="P1892">
        <v>4</v>
      </c>
      <c r="Q1892">
        <v>0</v>
      </c>
      <c r="R1892">
        <v>52.13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H1892">
        <v>52.13</v>
      </c>
    </row>
    <row r="1893" spans="1:34" x14ac:dyDescent="0.3">
      <c r="A1893" s="4">
        <v>2107</v>
      </c>
      <c r="B1893" s="5">
        <v>1886</v>
      </c>
      <c r="C1893">
        <v>4248</v>
      </c>
      <c r="D1893" t="s">
        <v>2970</v>
      </c>
      <c r="E1893" t="s">
        <v>1222</v>
      </c>
      <c r="F1893" t="s">
        <v>62</v>
      </c>
      <c r="G1893" t="s">
        <v>14259</v>
      </c>
      <c r="H1893">
        <v>18.13</v>
      </c>
      <c r="I1893">
        <v>0</v>
      </c>
      <c r="J1893">
        <v>0</v>
      </c>
      <c r="K1893">
        <v>20</v>
      </c>
      <c r="L1893">
        <v>7</v>
      </c>
      <c r="N1893">
        <v>3</v>
      </c>
      <c r="O1893">
        <v>10</v>
      </c>
      <c r="P1893">
        <v>4</v>
      </c>
      <c r="Q1893">
        <v>0</v>
      </c>
      <c r="R1893">
        <v>52.13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H1893">
        <v>52.13</v>
      </c>
    </row>
    <row r="1894" spans="1:34" x14ac:dyDescent="0.3">
      <c r="A1894" s="4">
        <v>2108</v>
      </c>
      <c r="B1894" s="5">
        <v>1887</v>
      </c>
      <c r="C1894">
        <v>13884</v>
      </c>
      <c r="D1894" t="s">
        <v>14260</v>
      </c>
      <c r="E1894" t="s">
        <v>419</v>
      </c>
      <c r="F1894" t="s">
        <v>17</v>
      </c>
      <c r="G1894" t="s">
        <v>14261</v>
      </c>
      <c r="H1894">
        <v>21.1</v>
      </c>
      <c r="I1894">
        <v>0</v>
      </c>
      <c r="J1894">
        <v>0</v>
      </c>
      <c r="K1894">
        <v>20</v>
      </c>
      <c r="L1894">
        <v>7</v>
      </c>
      <c r="O1894">
        <v>7</v>
      </c>
      <c r="P1894">
        <v>4</v>
      </c>
      <c r="Q1894">
        <v>0</v>
      </c>
      <c r="R1894">
        <v>52.1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H1894">
        <v>52.1</v>
      </c>
    </row>
    <row r="1895" spans="1:34" x14ac:dyDescent="0.3">
      <c r="A1895" s="4">
        <v>2109</v>
      </c>
      <c r="B1895" s="5">
        <v>1888</v>
      </c>
      <c r="C1895">
        <v>1360</v>
      </c>
      <c r="D1895" t="s">
        <v>14262</v>
      </c>
      <c r="E1895" t="s">
        <v>29</v>
      </c>
      <c r="F1895" t="s">
        <v>892</v>
      </c>
      <c r="G1895" t="s">
        <v>14263</v>
      </c>
      <c r="H1895">
        <v>21.1</v>
      </c>
      <c r="I1895">
        <v>0</v>
      </c>
      <c r="J1895">
        <v>0</v>
      </c>
      <c r="K1895">
        <v>20</v>
      </c>
      <c r="L1895">
        <v>7</v>
      </c>
      <c r="O1895">
        <v>7</v>
      </c>
      <c r="P1895">
        <v>4</v>
      </c>
      <c r="Q1895">
        <v>0</v>
      </c>
      <c r="R1895">
        <v>52.1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H1895">
        <v>52.1</v>
      </c>
    </row>
    <row r="1896" spans="1:34" x14ac:dyDescent="0.3">
      <c r="A1896" s="4">
        <v>2110</v>
      </c>
      <c r="B1896" s="5">
        <v>1889</v>
      </c>
      <c r="C1896">
        <v>9476</v>
      </c>
      <c r="D1896" t="s">
        <v>3415</v>
      </c>
      <c r="E1896" t="s">
        <v>170</v>
      </c>
      <c r="F1896" t="s">
        <v>1854</v>
      </c>
      <c r="G1896" t="s">
        <v>14264</v>
      </c>
      <c r="H1896">
        <v>19.100000000000001</v>
      </c>
      <c r="I1896">
        <v>0</v>
      </c>
      <c r="J1896">
        <v>0</v>
      </c>
      <c r="K1896">
        <v>20</v>
      </c>
      <c r="L1896">
        <v>7</v>
      </c>
      <c r="O1896">
        <v>7</v>
      </c>
      <c r="P1896">
        <v>4</v>
      </c>
      <c r="Q1896">
        <v>2</v>
      </c>
      <c r="R1896">
        <v>52.1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H1896">
        <v>52.1</v>
      </c>
    </row>
    <row r="1897" spans="1:34" x14ac:dyDescent="0.3">
      <c r="A1897" s="4">
        <v>2111</v>
      </c>
      <c r="B1897" s="5">
        <v>1890</v>
      </c>
      <c r="C1897">
        <v>9729</v>
      </c>
      <c r="D1897" t="s">
        <v>8497</v>
      </c>
      <c r="E1897" t="s">
        <v>3680</v>
      </c>
      <c r="F1897" t="s">
        <v>158</v>
      </c>
      <c r="G1897" t="s">
        <v>14265</v>
      </c>
      <c r="H1897">
        <v>21.05</v>
      </c>
      <c r="I1897">
        <v>0</v>
      </c>
      <c r="J1897">
        <v>0</v>
      </c>
      <c r="K1897">
        <v>0</v>
      </c>
      <c r="L1897">
        <v>7</v>
      </c>
      <c r="N1897">
        <v>3</v>
      </c>
      <c r="O1897">
        <v>10</v>
      </c>
      <c r="P1897">
        <v>4</v>
      </c>
      <c r="Q1897">
        <v>0</v>
      </c>
      <c r="R1897">
        <v>35.049999999999997</v>
      </c>
      <c r="S1897">
        <v>14</v>
      </c>
      <c r="T1897">
        <v>14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14</v>
      </c>
      <c r="AB1897">
        <v>3</v>
      </c>
      <c r="AC1897">
        <v>0</v>
      </c>
      <c r="AH1897">
        <v>52.05</v>
      </c>
    </row>
    <row r="1898" spans="1:34" x14ac:dyDescent="0.3">
      <c r="A1898" s="4">
        <v>2112</v>
      </c>
      <c r="B1898" s="5">
        <v>1891</v>
      </c>
      <c r="C1898">
        <v>8623</v>
      </c>
      <c r="D1898" t="s">
        <v>14266</v>
      </c>
      <c r="E1898" t="s">
        <v>188</v>
      </c>
      <c r="F1898" t="s">
        <v>79</v>
      </c>
      <c r="G1898" t="s">
        <v>14267</v>
      </c>
      <c r="H1898">
        <v>18.05</v>
      </c>
      <c r="I1898">
        <v>0</v>
      </c>
      <c r="J1898">
        <v>0</v>
      </c>
      <c r="K1898">
        <v>20</v>
      </c>
      <c r="L1898">
        <v>7</v>
      </c>
      <c r="N1898">
        <v>3</v>
      </c>
      <c r="O1898">
        <v>10</v>
      </c>
      <c r="P1898">
        <v>4</v>
      </c>
      <c r="Q1898">
        <v>0</v>
      </c>
      <c r="R1898">
        <v>52.05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H1898">
        <v>52.05</v>
      </c>
    </row>
    <row r="1899" spans="1:34" x14ac:dyDescent="0.3">
      <c r="A1899" s="4">
        <v>2113</v>
      </c>
      <c r="B1899" s="5">
        <v>1892</v>
      </c>
      <c r="C1899">
        <v>14799</v>
      </c>
      <c r="D1899" t="s">
        <v>14268</v>
      </c>
      <c r="E1899" t="s">
        <v>875</v>
      </c>
      <c r="F1899" t="s">
        <v>17</v>
      </c>
      <c r="G1899" t="s">
        <v>14269</v>
      </c>
      <c r="H1899">
        <v>21.03</v>
      </c>
      <c r="I1899">
        <v>0</v>
      </c>
      <c r="J1899">
        <v>0</v>
      </c>
      <c r="K1899">
        <v>20</v>
      </c>
      <c r="L1899">
        <v>7</v>
      </c>
      <c r="O1899">
        <v>7</v>
      </c>
      <c r="P1899">
        <v>4</v>
      </c>
      <c r="Q1899">
        <v>0</v>
      </c>
      <c r="R1899">
        <v>52.03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H1899">
        <v>52.03</v>
      </c>
    </row>
    <row r="1900" spans="1:34" x14ac:dyDescent="0.3">
      <c r="A1900" s="4">
        <v>2114</v>
      </c>
      <c r="B1900" s="5">
        <v>1893</v>
      </c>
      <c r="C1900">
        <v>12753</v>
      </c>
      <c r="D1900" t="s">
        <v>14270</v>
      </c>
      <c r="E1900" t="s">
        <v>55</v>
      </c>
      <c r="F1900" t="s">
        <v>52</v>
      </c>
      <c r="G1900" t="s">
        <v>14271</v>
      </c>
      <c r="H1900">
        <v>16.600000000000001</v>
      </c>
      <c r="I1900">
        <v>0</v>
      </c>
      <c r="J1900">
        <v>0</v>
      </c>
      <c r="K1900">
        <v>0</v>
      </c>
      <c r="N1900">
        <v>3</v>
      </c>
      <c r="O1900">
        <v>3</v>
      </c>
      <c r="P1900">
        <v>4</v>
      </c>
      <c r="Q1900">
        <v>0</v>
      </c>
      <c r="R1900">
        <v>23.6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28.4</v>
      </c>
      <c r="AH1900">
        <v>52</v>
      </c>
    </row>
    <row r="1901" spans="1:34" x14ac:dyDescent="0.3">
      <c r="A1901" s="4">
        <v>2115</v>
      </c>
      <c r="B1901" s="5">
        <v>1894</v>
      </c>
      <c r="C1901">
        <v>2387</v>
      </c>
      <c r="D1901" t="s">
        <v>10765</v>
      </c>
      <c r="E1901" t="s">
        <v>14272</v>
      </c>
      <c r="F1901" t="s">
        <v>972</v>
      </c>
      <c r="G1901" t="s">
        <v>14273</v>
      </c>
      <c r="H1901">
        <v>21</v>
      </c>
      <c r="I1901">
        <v>0</v>
      </c>
      <c r="J1901">
        <v>0</v>
      </c>
      <c r="K1901">
        <v>20</v>
      </c>
      <c r="L1901">
        <v>7</v>
      </c>
      <c r="O1901">
        <v>7</v>
      </c>
      <c r="P1901">
        <v>4</v>
      </c>
      <c r="Q1901">
        <v>0</v>
      </c>
      <c r="R1901">
        <v>52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H1901">
        <v>52</v>
      </c>
    </row>
    <row r="1902" spans="1:34" x14ac:dyDescent="0.3">
      <c r="A1902" s="4">
        <v>2116</v>
      </c>
      <c r="B1902" s="5">
        <v>1895</v>
      </c>
      <c r="C1902">
        <v>7460</v>
      </c>
      <c r="D1902" t="s">
        <v>14274</v>
      </c>
      <c r="E1902" t="s">
        <v>29</v>
      </c>
      <c r="F1902" t="s">
        <v>117</v>
      </c>
      <c r="G1902" t="s">
        <v>14275</v>
      </c>
      <c r="H1902">
        <v>18</v>
      </c>
      <c r="I1902">
        <v>0</v>
      </c>
      <c r="J1902">
        <v>0</v>
      </c>
      <c r="K1902">
        <v>20</v>
      </c>
      <c r="L1902">
        <v>14</v>
      </c>
      <c r="O1902">
        <v>14</v>
      </c>
      <c r="P1902">
        <v>0</v>
      </c>
      <c r="Q1902">
        <v>0</v>
      </c>
      <c r="R1902">
        <v>52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H1902">
        <v>52</v>
      </c>
    </row>
    <row r="1903" spans="1:34" x14ac:dyDescent="0.3">
      <c r="A1903" s="4">
        <v>2117</v>
      </c>
      <c r="B1903" s="5">
        <v>1896</v>
      </c>
      <c r="C1903">
        <v>13681</v>
      </c>
      <c r="D1903" t="s">
        <v>11313</v>
      </c>
      <c r="E1903" t="s">
        <v>14276</v>
      </c>
      <c r="F1903" t="s">
        <v>81</v>
      </c>
      <c r="G1903" t="s">
        <v>14277</v>
      </c>
      <c r="H1903">
        <v>19</v>
      </c>
      <c r="I1903">
        <v>0</v>
      </c>
      <c r="J1903">
        <v>0</v>
      </c>
      <c r="K1903">
        <v>20</v>
      </c>
      <c r="L1903">
        <v>7</v>
      </c>
      <c r="O1903">
        <v>7</v>
      </c>
      <c r="P1903">
        <v>4</v>
      </c>
      <c r="Q1903">
        <v>0</v>
      </c>
      <c r="R1903">
        <v>50</v>
      </c>
      <c r="S1903">
        <v>2</v>
      </c>
      <c r="T1903">
        <v>2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2</v>
      </c>
      <c r="AB1903">
        <v>0</v>
      </c>
      <c r="AC1903">
        <v>0</v>
      </c>
      <c r="AH1903">
        <v>52</v>
      </c>
    </row>
    <row r="1904" spans="1:34" x14ac:dyDescent="0.3">
      <c r="A1904" s="4">
        <v>2118</v>
      </c>
      <c r="B1904" s="5">
        <v>1897</v>
      </c>
      <c r="C1904">
        <v>10809</v>
      </c>
      <c r="D1904" t="s">
        <v>14278</v>
      </c>
      <c r="E1904" t="s">
        <v>14279</v>
      </c>
      <c r="F1904" t="s">
        <v>30</v>
      </c>
      <c r="G1904" t="s">
        <v>14280</v>
      </c>
      <c r="H1904">
        <v>16.18</v>
      </c>
      <c r="I1904">
        <v>0</v>
      </c>
      <c r="J1904">
        <v>0</v>
      </c>
      <c r="K1904">
        <v>0</v>
      </c>
      <c r="N1904">
        <v>3</v>
      </c>
      <c r="O1904">
        <v>3</v>
      </c>
      <c r="P1904">
        <v>4</v>
      </c>
      <c r="Q1904">
        <v>0</v>
      </c>
      <c r="R1904">
        <v>23.18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28.8</v>
      </c>
      <c r="AH1904">
        <v>51.98</v>
      </c>
    </row>
    <row r="1905" spans="1:34" x14ac:dyDescent="0.3">
      <c r="A1905" s="4">
        <v>2119</v>
      </c>
      <c r="B1905" s="5">
        <v>1898</v>
      </c>
      <c r="C1905">
        <v>6024</v>
      </c>
      <c r="D1905" t="s">
        <v>14281</v>
      </c>
      <c r="E1905" t="s">
        <v>2758</v>
      </c>
      <c r="F1905" t="s">
        <v>343</v>
      </c>
      <c r="G1905" t="s">
        <v>14282</v>
      </c>
      <c r="H1905">
        <v>17.98</v>
      </c>
      <c r="I1905">
        <v>0</v>
      </c>
      <c r="J1905">
        <v>0</v>
      </c>
      <c r="K1905">
        <v>20</v>
      </c>
      <c r="L1905">
        <v>7</v>
      </c>
      <c r="N1905">
        <v>3</v>
      </c>
      <c r="O1905">
        <v>10</v>
      </c>
      <c r="P1905">
        <v>4</v>
      </c>
      <c r="Q1905">
        <v>0</v>
      </c>
      <c r="R1905">
        <v>51.98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H1905">
        <v>51.98</v>
      </c>
    </row>
    <row r="1906" spans="1:34" x14ac:dyDescent="0.3">
      <c r="A1906" s="4">
        <v>2120</v>
      </c>
      <c r="B1906" s="5">
        <v>1899</v>
      </c>
      <c r="C1906">
        <v>3776</v>
      </c>
      <c r="D1906" t="s">
        <v>74</v>
      </c>
      <c r="E1906" t="s">
        <v>14283</v>
      </c>
      <c r="F1906" t="s">
        <v>20</v>
      </c>
      <c r="G1906" t="s">
        <v>14284</v>
      </c>
      <c r="H1906">
        <v>18.98</v>
      </c>
      <c r="I1906">
        <v>0</v>
      </c>
      <c r="J1906">
        <v>0</v>
      </c>
      <c r="K1906">
        <v>0</v>
      </c>
      <c r="L1906">
        <v>7</v>
      </c>
      <c r="M1906">
        <v>5</v>
      </c>
      <c r="O1906">
        <v>12</v>
      </c>
      <c r="P1906">
        <v>4</v>
      </c>
      <c r="Q1906">
        <v>2</v>
      </c>
      <c r="R1906">
        <v>36.979999999999997</v>
      </c>
      <c r="S1906">
        <v>15</v>
      </c>
      <c r="T1906">
        <v>15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15</v>
      </c>
      <c r="AB1906">
        <v>0</v>
      </c>
      <c r="AC1906">
        <v>0</v>
      </c>
      <c r="AD1906" t="s">
        <v>130</v>
      </c>
      <c r="AH1906">
        <v>51.98</v>
      </c>
    </row>
    <row r="1907" spans="1:34" x14ac:dyDescent="0.3">
      <c r="A1907" s="4">
        <v>2121</v>
      </c>
      <c r="B1907" s="5">
        <v>1900</v>
      </c>
      <c r="C1907">
        <v>3257</v>
      </c>
      <c r="D1907" t="s">
        <v>2484</v>
      </c>
      <c r="E1907" t="s">
        <v>97</v>
      </c>
      <c r="F1907" t="s">
        <v>5050</v>
      </c>
      <c r="G1907" t="s">
        <v>14285</v>
      </c>
      <c r="H1907">
        <v>16.149999999999999</v>
      </c>
      <c r="I1907">
        <v>0</v>
      </c>
      <c r="J1907">
        <v>0</v>
      </c>
      <c r="K1907">
        <v>0</v>
      </c>
      <c r="N1907">
        <v>3</v>
      </c>
      <c r="O1907">
        <v>3</v>
      </c>
      <c r="P1907">
        <v>4</v>
      </c>
      <c r="Q1907">
        <v>2</v>
      </c>
      <c r="R1907">
        <v>25.15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26.8</v>
      </c>
      <c r="AH1907">
        <v>51.95</v>
      </c>
    </row>
    <row r="1908" spans="1:34" x14ac:dyDescent="0.3">
      <c r="A1908" s="4">
        <v>2122</v>
      </c>
      <c r="B1908" s="5">
        <v>1901</v>
      </c>
      <c r="C1908">
        <v>66</v>
      </c>
      <c r="D1908" t="s">
        <v>14286</v>
      </c>
      <c r="E1908" t="s">
        <v>1152</v>
      </c>
      <c r="F1908" t="s">
        <v>117</v>
      </c>
      <c r="G1908" t="s">
        <v>14287</v>
      </c>
      <c r="H1908">
        <v>18.95</v>
      </c>
      <c r="I1908">
        <v>0</v>
      </c>
      <c r="J1908">
        <v>0</v>
      </c>
      <c r="K1908">
        <v>20</v>
      </c>
      <c r="L1908">
        <v>7</v>
      </c>
      <c r="O1908">
        <v>7</v>
      </c>
      <c r="P1908">
        <v>4</v>
      </c>
      <c r="Q1908">
        <v>2</v>
      </c>
      <c r="R1908">
        <v>51.95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H1908">
        <v>51.95</v>
      </c>
    </row>
    <row r="1909" spans="1:34" x14ac:dyDescent="0.3">
      <c r="A1909" s="4">
        <v>2123</v>
      </c>
      <c r="B1909" s="5">
        <v>1902</v>
      </c>
      <c r="C1909">
        <v>4297</v>
      </c>
      <c r="D1909" t="s">
        <v>3359</v>
      </c>
      <c r="E1909" t="s">
        <v>3516</v>
      </c>
      <c r="F1909" t="s">
        <v>17</v>
      </c>
      <c r="G1909" t="s">
        <v>14288</v>
      </c>
      <c r="H1909">
        <v>20.93</v>
      </c>
      <c r="I1909">
        <v>0</v>
      </c>
      <c r="J1909">
        <v>0</v>
      </c>
      <c r="K1909">
        <v>20</v>
      </c>
      <c r="L1909">
        <v>7</v>
      </c>
      <c r="O1909">
        <v>7</v>
      </c>
      <c r="P1909">
        <v>4</v>
      </c>
      <c r="Q1909">
        <v>0</v>
      </c>
      <c r="R1909">
        <v>51.93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H1909">
        <v>51.93</v>
      </c>
    </row>
    <row r="1910" spans="1:34" x14ac:dyDescent="0.3">
      <c r="A1910" s="4">
        <v>2124</v>
      </c>
      <c r="B1910" s="5">
        <v>1903</v>
      </c>
      <c r="C1910">
        <v>10430</v>
      </c>
      <c r="D1910" t="s">
        <v>13136</v>
      </c>
      <c r="E1910" t="s">
        <v>29</v>
      </c>
      <c r="F1910" t="s">
        <v>62</v>
      </c>
      <c r="G1910" t="s">
        <v>14289</v>
      </c>
      <c r="H1910">
        <v>18.93</v>
      </c>
      <c r="I1910">
        <v>0</v>
      </c>
      <c r="J1910">
        <v>0</v>
      </c>
      <c r="K1910">
        <v>20</v>
      </c>
      <c r="L1910">
        <v>7</v>
      </c>
      <c r="O1910">
        <v>7</v>
      </c>
      <c r="P1910">
        <v>4</v>
      </c>
      <c r="Q1910">
        <v>2</v>
      </c>
      <c r="R1910">
        <v>51.93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H1910">
        <v>51.93</v>
      </c>
    </row>
    <row r="1911" spans="1:34" x14ac:dyDescent="0.3">
      <c r="A1911" s="4">
        <v>2125</v>
      </c>
      <c r="B1911" s="5">
        <v>1904</v>
      </c>
      <c r="C1911">
        <v>13948</v>
      </c>
      <c r="D1911" t="s">
        <v>1129</v>
      </c>
      <c r="E1911" t="s">
        <v>14290</v>
      </c>
      <c r="F1911" t="s">
        <v>343</v>
      </c>
      <c r="G1911" t="s">
        <v>14291</v>
      </c>
      <c r="H1911">
        <v>17.88</v>
      </c>
      <c r="I1911">
        <v>0</v>
      </c>
      <c r="J1911">
        <v>0</v>
      </c>
      <c r="K1911">
        <v>20</v>
      </c>
      <c r="L1911">
        <v>7</v>
      </c>
      <c r="N1911">
        <v>3</v>
      </c>
      <c r="O1911">
        <v>10</v>
      </c>
      <c r="P1911">
        <v>4</v>
      </c>
      <c r="Q1911">
        <v>0</v>
      </c>
      <c r="R1911">
        <v>51.88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H1911">
        <v>51.88</v>
      </c>
    </row>
    <row r="1912" spans="1:34" x14ac:dyDescent="0.3">
      <c r="A1912" s="4">
        <v>2126</v>
      </c>
      <c r="B1912" s="5">
        <v>1905</v>
      </c>
      <c r="C1912">
        <v>10070</v>
      </c>
      <c r="D1912" t="s">
        <v>14292</v>
      </c>
      <c r="E1912" t="s">
        <v>104</v>
      </c>
      <c r="F1912" t="s">
        <v>652</v>
      </c>
      <c r="G1912" t="s">
        <v>14293</v>
      </c>
      <c r="H1912">
        <v>19.850000000000001</v>
      </c>
      <c r="I1912">
        <v>0</v>
      </c>
      <c r="J1912">
        <v>0</v>
      </c>
      <c r="K1912">
        <v>20</v>
      </c>
      <c r="N1912">
        <v>3</v>
      </c>
      <c r="O1912">
        <v>3</v>
      </c>
      <c r="P1912">
        <v>4</v>
      </c>
      <c r="Q1912">
        <v>2</v>
      </c>
      <c r="R1912">
        <v>48.85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3</v>
      </c>
      <c r="AC1912">
        <v>0</v>
      </c>
      <c r="AH1912">
        <v>51.85</v>
      </c>
    </row>
    <row r="1913" spans="1:34" x14ac:dyDescent="0.3">
      <c r="A1913" s="4">
        <v>2127</v>
      </c>
      <c r="B1913" s="5">
        <v>1906</v>
      </c>
      <c r="C1913">
        <v>14824</v>
      </c>
      <c r="D1913" t="s">
        <v>14294</v>
      </c>
      <c r="E1913" t="s">
        <v>413</v>
      </c>
      <c r="F1913" t="s">
        <v>81</v>
      </c>
      <c r="G1913" t="s">
        <v>14295</v>
      </c>
      <c r="H1913">
        <v>19.850000000000001</v>
      </c>
      <c r="I1913">
        <v>0</v>
      </c>
      <c r="J1913">
        <v>0</v>
      </c>
      <c r="K1913">
        <v>20</v>
      </c>
      <c r="L1913">
        <v>7</v>
      </c>
      <c r="M1913">
        <v>5</v>
      </c>
      <c r="O1913">
        <v>12</v>
      </c>
      <c r="P1913">
        <v>0</v>
      </c>
      <c r="Q1913">
        <v>0</v>
      </c>
      <c r="R1913">
        <v>51.85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H1913">
        <v>51.85</v>
      </c>
    </row>
    <row r="1914" spans="1:34" x14ac:dyDescent="0.3">
      <c r="A1914" s="4">
        <v>2128</v>
      </c>
      <c r="B1914" s="5">
        <v>1907</v>
      </c>
      <c r="C1914">
        <v>15373</v>
      </c>
      <c r="D1914" t="s">
        <v>11021</v>
      </c>
      <c r="E1914" t="s">
        <v>88</v>
      </c>
      <c r="F1914" t="s">
        <v>38</v>
      </c>
      <c r="G1914" t="s">
        <v>14296</v>
      </c>
      <c r="H1914">
        <v>19.829999999999998</v>
      </c>
      <c r="I1914">
        <v>0</v>
      </c>
      <c r="J1914">
        <v>0</v>
      </c>
      <c r="K1914">
        <v>0</v>
      </c>
      <c r="N1914">
        <v>3</v>
      </c>
      <c r="O1914">
        <v>3</v>
      </c>
      <c r="P1914">
        <v>4</v>
      </c>
      <c r="Q1914">
        <v>0</v>
      </c>
      <c r="R1914">
        <v>26.83</v>
      </c>
      <c r="S1914">
        <v>25</v>
      </c>
      <c r="T1914">
        <v>25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25</v>
      </c>
      <c r="AB1914">
        <v>0</v>
      </c>
      <c r="AC1914">
        <v>0</v>
      </c>
      <c r="AH1914">
        <v>51.83</v>
      </c>
    </row>
    <row r="1915" spans="1:34" x14ac:dyDescent="0.3">
      <c r="A1915" s="4">
        <v>2129</v>
      </c>
      <c r="B1915" s="5">
        <v>1908</v>
      </c>
      <c r="C1915">
        <v>9141</v>
      </c>
      <c r="D1915" t="s">
        <v>14297</v>
      </c>
      <c r="E1915" t="s">
        <v>136</v>
      </c>
      <c r="F1915" t="s">
        <v>3968</v>
      </c>
      <c r="G1915" t="s">
        <v>14298</v>
      </c>
      <c r="H1915">
        <v>18</v>
      </c>
      <c r="I1915">
        <v>0</v>
      </c>
      <c r="J1915">
        <v>0</v>
      </c>
      <c r="K1915">
        <v>0</v>
      </c>
      <c r="L1915">
        <v>7</v>
      </c>
      <c r="O1915">
        <v>7</v>
      </c>
      <c r="P1915">
        <v>0</v>
      </c>
      <c r="Q1915">
        <v>0</v>
      </c>
      <c r="R1915">
        <v>25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26.8</v>
      </c>
      <c r="AH1915">
        <v>51.8</v>
      </c>
    </row>
    <row r="1916" spans="1:34" x14ac:dyDescent="0.3">
      <c r="A1916" s="4">
        <v>2130</v>
      </c>
      <c r="B1916" s="5">
        <v>1909</v>
      </c>
      <c r="C1916">
        <v>5944</v>
      </c>
      <c r="D1916" t="s">
        <v>14299</v>
      </c>
      <c r="E1916" t="s">
        <v>79</v>
      </c>
      <c r="F1916" t="s">
        <v>136</v>
      </c>
      <c r="G1916" t="s">
        <v>14300</v>
      </c>
      <c r="H1916">
        <v>20.8</v>
      </c>
      <c r="I1916">
        <v>0</v>
      </c>
      <c r="J1916">
        <v>0</v>
      </c>
      <c r="K1916">
        <v>20</v>
      </c>
      <c r="L1916">
        <v>7</v>
      </c>
      <c r="O1916">
        <v>7</v>
      </c>
      <c r="P1916">
        <v>4</v>
      </c>
      <c r="Q1916">
        <v>0</v>
      </c>
      <c r="R1916">
        <v>51.8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H1916">
        <v>51.8</v>
      </c>
    </row>
    <row r="1917" spans="1:34" x14ac:dyDescent="0.3">
      <c r="A1917" s="4">
        <v>2131</v>
      </c>
      <c r="B1917" s="5">
        <v>1910</v>
      </c>
      <c r="C1917">
        <v>3719</v>
      </c>
      <c r="D1917" t="s">
        <v>14301</v>
      </c>
      <c r="E1917" t="s">
        <v>935</v>
      </c>
      <c r="F1917" t="s">
        <v>230</v>
      </c>
      <c r="G1917" t="s">
        <v>14302</v>
      </c>
      <c r="H1917">
        <v>19.8</v>
      </c>
      <c r="I1917">
        <v>0</v>
      </c>
      <c r="J1917">
        <v>0</v>
      </c>
      <c r="K1917">
        <v>20</v>
      </c>
      <c r="L1917">
        <v>7</v>
      </c>
      <c r="N1917">
        <v>3</v>
      </c>
      <c r="O1917">
        <v>10</v>
      </c>
      <c r="P1917">
        <v>0</v>
      </c>
      <c r="Q1917">
        <v>2</v>
      </c>
      <c r="R1917">
        <v>51.8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H1917">
        <v>51.8</v>
      </c>
    </row>
    <row r="1918" spans="1:34" x14ac:dyDescent="0.3">
      <c r="A1918" s="4">
        <v>2132</v>
      </c>
      <c r="B1918" s="5">
        <v>1911</v>
      </c>
      <c r="C1918">
        <v>5797</v>
      </c>
      <c r="D1918" t="s">
        <v>9601</v>
      </c>
      <c r="E1918" t="s">
        <v>104</v>
      </c>
      <c r="F1918" t="s">
        <v>375</v>
      </c>
      <c r="G1918" t="s">
        <v>14303</v>
      </c>
      <c r="H1918">
        <v>18.8</v>
      </c>
      <c r="I1918">
        <v>0</v>
      </c>
      <c r="J1918">
        <v>0</v>
      </c>
      <c r="K1918">
        <v>20</v>
      </c>
      <c r="L1918">
        <v>7</v>
      </c>
      <c r="O1918">
        <v>7</v>
      </c>
      <c r="P1918">
        <v>4</v>
      </c>
      <c r="Q1918">
        <v>2</v>
      </c>
      <c r="R1918">
        <v>51.8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H1918">
        <v>51.8</v>
      </c>
    </row>
    <row r="1919" spans="1:34" x14ac:dyDescent="0.3">
      <c r="A1919" s="4">
        <v>2133</v>
      </c>
      <c r="B1919" s="5">
        <v>1912</v>
      </c>
      <c r="C1919">
        <v>3095</v>
      </c>
      <c r="D1919" t="s">
        <v>14304</v>
      </c>
      <c r="E1919" t="s">
        <v>14305</v>
      </c>
      <c r="F1919" t="s">
        <v>34</v>
      </c>
      <c r="G1919" t="s">
        <v>14306</v>
      </c>
      <c r="H1919">
        <v>18.8</v>
      </c>
      <c r="I1919">
        <v>0</v>
      </c>
      <c r="J1919">
        <v>0</v>
      </c>
      <c r="K1919">
        <v>20</v>
      </c>
      <c r="L1919">
        <v>7</v>
      </c>
      <c r="O1919">
        <v>7</v>
      </c>
      <c r="P1919">
        <v>4</v>
      </c>
      <c r="Q1919">
        <v>2</v>
      </c>
      <c r="R1919">
        <v>51.8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H1919">
        <v>51.8</v>
      </c>
    </row>
    <row r="1920" spans="1:34" x14ac:dyDescent="0.3">
      <c r="A1920" s="4">
        <v>2134</v>
      </c>
      <c r="B1920" s="5">
        <v>1913</v>
      </c>
      <c r="C1920">
        <v>2492</v>
      </c>
      <c r="D1920" t="s">
        <v>14307</v>
      </c>
      <c r="E1920" t="s">
        <v>33</v>
      </c>
      <c r="F1920" t="s">
        <v>38</v>
      </c>
      <c r="G1920" t="s">
        <v>14308</v>
      </c>
      <c r="H1920">
        <v>20.78</v>
      </c>
      <c r="I1920">
        <v>0</v>
      </c>
      <c r="J1920">
        <v>0</v>
      </c>
      <c r="K1920">
        <v>20</v>
      </c>
      <c r="L1920">
        <v>7</v>
      </c>
      <c r="O1920">
        <v>7</v>
      </c>
      <c r="P1920">
        <v>4</v>
      </c>
      <c r="Q1920">
        <v>0</v>
      </c>
      <c r="R1920">
        <v>51.78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H1920">
        <v>51.78</v>
      </c>
    </row>
    <row r="1921" spans="1:34" x14ac:dyDescent="0.3">
      <c r="A1921" s="4">
        <v>2135</v>
      </c>
      <c r="B1921" s="5">
        <v>1914</v>
      </c>
      <c r="C1921">
        <v>10327</v>
      </c>
      <c r="D1921" t="s">
        <v>14309</v>
      </c>
      <c r="E1921" t="s">
        <v>173</v>
      </c>
      <c r="F1921" t="s">
        <v>238</v>
      </c>
      <c r="G1921" t="s">
        <v>14310</v>
      </c>
      <c r="H1921">
        <v>18.75</v>
      </c>
      <c r="I1921">
        <v>0</v>
      </c>
      <c r="J1921">
        <v>0</v>
      </c>
      <c r="K1921">
        <v>0</v>
      </c>
      <c r="L1921">
        <v>7</v>
      </c>
      <c r="N1921">
        <v>3</v>
      </c>
      <c r="O1921">
        <v>10</v>
      </c>
      <c r="P1921">
        <v>4</v>
      </c>
      <c r="Q1921">
        <v>2</v>
      </c>
      <c r="R1921">
        <v>34.75</v>
      </c>
      <c r="S1921">
        <v>11</v>
      </c>
      <c r="T1921">
        <v>11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11</v>
      </c>
      <c r="AB1921">
        <v>6</v>
      </c>
      <c r="AC1921">
        <v>0</v>
      </c>
      <c r="AH1921">
        <v>51.75</v>
      </c>
    </row>
    <row r="1922" spans="1:34" x14ac:dyDescent="0.3">
      <c r="A1922" s="4">
        <v>2136</v>
      </c>
      <c r="B1922" s="5">
        <v>1915</v>
      </c>
      <c r="C1922">
        <v>10786</v>
      </c>
      <c r="D1922" t="s">
        <v>2416</v>
      </c>
      <c r="E1922" t="s">
        <v>14311</v>
      </c>
      <c r="F1922" t="s">
        <v>117</v>
      </c>
      <c r="G1922" t="s">
        <v>14312</v>
      </c>
      <c r="H1922">
        <v>13.73</v>
      </c>
      <c r="I1922">
        <v>0</v>
      </c>
      <c r="J1922">
        <v>0</v>
      </c>
      <c r="K1922">
        <v>20</v>
      </c>
      <c r="L1922">
        <v>7</v>
      </c>
      <c r="M1922">
        <v>5</v>
      </c>
      <c r="O1922">
        <v>12</v>
      </c>
      <c r="P1922">
        <v>4</v>
      </c>
      <c r="Q1922">
        <v>2</v>
      </c>
      <c r="R1922">
        <v>51.73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H1922">
        <v>51.73</v>
      </c>
    </row>
    <row r="1923" spans="1:34" x14ac:dyDescent="0.3">
      <c r="A1923" s="4">
        <v>2137</v>
      </c>
      <c r="B1923" s="5">
        <v>1916</v>
      </c>
      <c r="C1923">
        <v>4236</v>
      </c>
      <c r="D1923" t="s">
        <v>7452</v>
      </c>
      <c r="E1923" t="s">
        <v>516</v>
      </c>
      <c r="F1923" t="s">
        <v>38</v>
      </c>
      <c r="G1923" t="s">
        <v>14313</v>
      </c>
      <c r="H1923">
        <v>15.7</v>
      </c>
      <c r="I1923">
        <v>0</v>
      </c>
      <c r="J1923">
        <v>0</v>
      </c>
      <c r="K1923">
        <v>20</v>
      </c>
      <c r="L1923">
        <v>7</v>
      </c>
      <c r="O1923">
        <v>7</v>
      </c>
      <c r="P1923">
        <v>4</v>
      </c>
      <c r="Q1923">
        <v>2</v>
      </c>
      <c r="R1923">
        <v>48.7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3</v>
      </c>
      <c r="AC1923">
        <v>0</v>
      </c>
      <c r="AH1923">
        <v>51.7</v>
      </c>
    </row>
    <row r="1924" spans="1:34" x14ac:dyDescent="0.3">
      <c r="A1924" s="4">
        <v>2138</v>
      </c>
      <c r="B1924" s="5">
        <v>1917</v>
      </c>
      <c r="C1924">
        <v>1257</v>
      </c>
      <c r="D1924" t="s">
        <v>14314</v>
      </c>
      <c r="E1924" t="s">
        <v>9456</v>
      </c>
      <c r="F1924" t="s">
        <v>34</v>
      </c>
      <c r="G1924" t="s">
        <v>14315</v>
      </c>
      <c r="H1924">
        <v>18.7</v>
      </c>
      <c r="I1924">
        <v>0</v>
      </c>
      <c r="J1924">
        <v>0</v>
      </c>
      <c r="K1924">
        <v>20</v>
      </c>
      <c r="L1924">
        <v>7</v>
      </c>
      <c r="O1924">
        <v>7</v>
      </c>
      <c r="P1924">
        <v>4</v>
      </c>
      <c r="Q1924">
        <v>2</v>
      </c>
      <c r="R1924">
        <v>51.7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H1924">
        <v>51.7</v>
      </c>
    </row>
    <row r="1925" spans="1:34" x14ac:dyDescent="0.3">
      <c r="A1925" s="4">
        <v>2139</v>
      </c>
      <c r="B1925" s="5">
        <v>1918</v>
      </c>
      <c r="C1925">
        <v>2773</v>
      </c>
      <c r="D1925" t="s">
        <v>28</v>
      </c>
      <c r="E1925" t="s">
        <v>166</v>
      </c>
      <c r="F1925" t="s">
        <v>117</v>
      </c>
      <c r="G1925" t="s">
        <v>14316</v>
      </c>
      <c r="H1925">
        <v>17.7</v>
      </c>
      <c r="I1925">
        <v>0</v>
      </c>
      <c r="J1925">
        <v>0</v>
      </c>
      <c r="K1925">
        <v>20</v>
      </c>
      <c r="L1925">
        <v>7</v>
      </c>
      <c r="N1925">
        <v>3</v>
      </c>
      <c r="O1925">
        <v>10</v>
      </c>
      <c r="P1925">
        <v>4</v>
      </c>
      <c r="Q1925">
        <v>0</v>
      </c>
      <c r="R1925">
        <v>51.7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H1925">
        <v>51.7</v>
      </c>
    </row>
    <row r="1926" spans="1:34" x14ac:dyDescent="0.3">
      <c r="A1926" s="4">
        <v>2140</v>
      </c>
      <c r="B1926" s="5">
        <v>1919</v>
      </c>
      <c r="C1926">
        <v>5640</v>
      </c>
      <c r="D1926" t="s">
        <v>2647</v>
      </c>
      <c r="E1926" t="s">
        <v>5101</v>
      </c>
      <c r="F1926" t="s">
        <v>34</v>
      </c>
      <c r="G1926" t="s">
        <v>14317</v>
      </c>
      <c r="H1926">
        <v>19.7</v>
      </c>
      <c r="I1926">
        <v>0</v>
      </c>
      <c r="J1926">
        <v>0</v>
      </c>
      <c r="K1926">
        <v>20</v>
      </c>
      <c r="L1926">
        <v>7</v>
      </c>
      <c r="O1926">
        <v>7</v>
      </c>
      <c r="P1926">
        <v>4</v>
      </c>
      <c r="Q1926">
        <v>0</v>
      </c>
      <c r="R1926">
        <v>50.7</v>
      </c>
      <c r="S1926">
        <v>1</v>
      </c>
      <c r="T1926">
        <v>1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1</v>
      </c>
      <c r="AB1926">
        <v>0</v>
      </c>
      <c r="AC1926">
        <v>0</v>
      </c>
      <c r="AH1926">
        <v>51.7</v>
      </c>
    </row>
    <row r="1927" spans="1:34" x14ac:dyDescent="0.3">
      <c r="A1927" s="4">
        <v>2141</v>
      </c>
      <c r="B1927" s="5">
        <v>1920</v>
      </c>
      <c r="C1927">
        <v>10829</v>
      </c>
      <c r="D1927" t="s">
        <v>14318</v>
      </c>
      <c r="E1927" t="s">
        <v>594</v>
      </c>
      <c r="F1927" t="s">
        <v>17</v>
      </c>
      <c r="G1927" t="s">
        <v>14319</v>
      </c>
      <c r="H1927">
        <v>15.68</v>
      </c>
      <c r="I1927">
        <v>0</v>
      </c>
      <c r="J1927">
        <v>0</v>
      </c>
      <c r="K1927">
        <v>20</v>
      </c>
      <c r="N1927">
        <v>6</v>
      </c>
      <c r="O1927">
        <v>6</v>
      </c>
      <c r="P1927">
        <v>4</v>
      </c>
      <c r="Q1927">
        <v>0</v>
      </c>
      <c r="R1927">
        <v>45.68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6</v>
      </c>
      <c r="AC1927">
        <v>0</v>
      </c>
      <c r="AH1927">
        <v>51.68</v>
      </c>
    </row>
    <row r="1928" spans="1:34" x14ac:dyDescent="0.3">
      <c r="A1928" s="4">
        <v>2142</v>
      </c>
      <c r="B1928" s="5">
        <v>1921</v>
      </c>
      <c r="C1928">
        <v>3442</v>
      </c>
      <c r="D1928" t="s">
        <v>14320</v>
      </c>
      <c r="E1928" t="s">
        <v>14321</v>
      </c>
      <c r="F1928" t="s">
        <v>81</v>
      </c>
      <c r="G1928" t="s">
        <v>14322</v>
      </c>
      <c r="H1928">
        <v>17.68</v>
      </c>
      <c r="I1928">
        <v>0</v>
      </c>
      <c r="J1928">
        <v>0</v>
      </c>
      <c r="K1928">
        <v>20</v>
      </c>
      <c r="L1928">
        <v>7</v>
      </c>
      <c r="N1928">
        <v>3</v>
      </c>
      <c r="O1928">
        <v>10</v>
      </c>
      <c r="P1928">
        <v>4</v>
      </c>
      <c r="Q1928">
        <v>0</v>
      </c>
      <c r="R1928">
        <v>51.68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H1928">
        <v>51.68</v>
      </c>
    </row>
    <row r="1929" spans="1:34" x14ac:dyDescent="0.3">
      <c r="A1929" s="4">
        <v>2143</v>
      </c>
      <c r="B1929" s="5">
        <v>1922</v>
      </c>
      <c r="C1929">
        <v>13760</v>
      </c>
      <c r="D1929" t="s">
        <v>14323</v>
      </c>
      <c r="E1929" t="s">
        <v>789</v>
      </c>
      <c r="F1929" t="s">
        <v>158</v>
      </c>
      <c r="G1929" t="s">
        <v>14324</v>
      </c>
      <c r="H1929">
        <v>18.63</v>
      </c>
      <c r="I1929">
        <v>0</v>
      </c>
      <c r="J1929">
        <v>0</v>
      </c>
      <c r="K1929">
        <v>20</v>
      </c>
      <c r="L1929">
        <v>7</v>
      </c>
      <c r="O1929">
        <v>7</v>
      </c>
      <c r="P1929">
        <v>4</v>
      </c>
      <c r="Q1929">
        <v>2</v>
      </c>
      <c r="R1929">
        <v>51.63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H1929">
        <v>51.63</v>
      </c>
    </row>
    <row r="1930" spans="1:34" x14ac:dyDescent="0.3">
      <c r="A1930" s="4">
        <v>2144</v>
      </c>
      <c r="B1930" s="5">
        <v>1923</v>
      </c>
      <c r="C1930">
        <v>12368</v>
      </c>
      <c r="D1930" t="s">
        <v>14325</v>
      </c>
      <c r="E1930" t="s">
        <v>166</v>
      </c>
      <c r="F1930" t="s">
        <v>38</v>
      </c>
      <c r="G1930" t="s">
        <v>14326</v>
      </c>
      <c r="H1930">
        <v>20.6</v>
      </c>
      <c r="I1930">
        <v>0</v>
      </c>
      <c r="J1930">
        <v>0</v>
      </c>
      <c r="K1930">
        <v>20</v>
      </c>
      <c r="L1930">
        <v>7</v>
      </c>
      <c r="O1930">
        <v>7</v>
      </c>
      <c r="P1930">
        <v>4</v>
      </c>
      <c r="Q1930">
        <v>0</v>
      </c>
      <c r="R1930">
        <v>51.6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H1930">
        <v>51.6</v>
      </c>
    </row>
    <row r="1931" spans="1:34" x14ac:dyDescent="0.3">
      <c r="A1931" s="4">
        <v>2145</v>
      </c>
      <c r="B1931" s="5">
        <v>1924</v>
      </c>
      <c r="C1931">
        <v>9515</v>
      </c>
      <c r="D1931" t="s">
        <v>7029</v>
      </c>
      <c r="E1931" t="s">
        <v>14327</v>
      </c>
      <c r="F1931" t="s">
        <v>238</v>
      </c>
      <c r="G1931" t="s">
        <v>14328</v>
      </c>
      <c r="H1931">
        <v>15.6</v>
      </c>
      <c r="I1931">
        <v>0</v>
      </c>
      <c r="J1931">
        <v>0</v>
      </c>
      <c r="K1931">
        <v>20</v>
      </c>
      <c r="L1931">
        <v>7</v>
      </c>
      <c r="O1931">
        <v>7</v>
      </c>
      <c r="P1931">
        <v>4</v>
      </c>
      <c r="Q1931">
        <v>0</v>
      </c>
      <c r="R1931">
        <v>46.6</v>
      </c>
      <c r="S1931">
        <v>5</v>
      </c>
      <c r="T1931">
        <v>5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5</v>
      </c>
      <c r="AB1931">
        <v>0</v>
      </c>
      <c r="AC1931">
        <v>0</v>
      </c>
      <c r="AH1931">
        <v>51.6</v>
      </c>
    </row>
    <row r="1932" spans="1:34" x14ac:dyDescent="0.3">
      <c r="A1932" s="4">
        <v>2146</v>
      </c>
      <c r="B1932" s="5">
        <v>1925</v>
      </c>
      <c r="C1932">
        <v>9187</v>
      </c>
      <c r="D1932" t="s">
        <v>122</v>
      </c>
      <c r="E1932" t="s">
        <v>173</v>
      </c>
      <c r="F1932" t="s">
        <v>626</v>
      </c>
      <c r="G1932" t="s">
        <v>14329</v>
      </c>
      <c r="H1932">
        <v>15.58</v>
      </c>
      <c r="I1932">
        <v>0</v>
      </c>
      <c r="J1932">
        <v>0</v>
      </c>
      <c r="K1932">
        <v>0</v>
      </c>
      <c r="N1932">
        <v>3</v>
      </c>
      <c r="O1932">
        <v>3</v>
      </c>
      <c r="P1932">
        <v>0</v>
      </c>
      <c r="Q1932">
        <v>2</v>
      </c>
      <c r="R1932">
        <v>20.58</v>
      </c>
      <c r="S1932">
        <v>25</v>
      </c>
      <c r="T1932">
        <v>25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25</v>
      </c>
      <c r="AB1932">
        <v>6</v>
      </c>
      <c r="AC1932">
        <v>0</v>
      </c>
      <c r="AH1932">
        <v>51.58</v>
      </c>
    </row>
    <row r="1933" spans="1:34" x14ac:dyDescent="0.3">
      <c r="A1933" s="4">
        <v>2147</v>
      </c>
      <c r="B1933" s="5">
        <v>1926</v>
      </c>
      <c r="C1933">
        <v>8016</v>
      </c>
      <c r="D1933" t="s">
        <v>14330</v>
      </c>
      <c r="E1933" t="s">
        <v>14331</v>
      </c>
      <c r="F1933" t="s">
        <v>687</v>
      </c>
      <c r="G1933" t="s">
        <v>14332</v>
      </c>
      <c r="H1933">
        <v>20.58</v>
      </c>
      <c r="I1933">
        <v>0</v>
      </c>
      <c r="J1933">
        <v>0</v>
      </c>
      <c r="K1933">
        <v>20</v>
      </c>
      <c r="L1933">
        <v>7</v>
      </c>
      <c r="O1933">
        <v>7</v>
      </c>
      <c r="P1933">
        <v>4</v>
      </c>
      <c r="Q1933">
        <v>0</v>
      </c>
      <c r="R1933">
        <v>51.58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H1933">
        <v>51.58</v>
      </c>
    </row>
    <row r="1934" spans="1:34" x14ac:dyDescent="0.3">
      <c r="A1934" s="4">
        <v>2148</v>
      </c>
      <c r="B1934" s="5">
        <v>1927</v>
      </c>
      <c r="C1934">
        <v>8588</v>
      </c>
      <c r="D1934" t="s">
        <v>14333</v>
      </c>
      <c r="E1934" t="s">
        <v>3948</v>
      </c>
      <c r="F1934" t="s">
        <v>81</v>
      </c>
      <c r="G1934" t="s">
        <v>14334</v>
      </c>
      <c r="H1934">
        <v>17.579999999999998</v>
      </c>
      <c r="I1934">
        <v>0</v>
      </c>
      <c r="J1934">
        <v>0</v>
      </c>
      <c r="K1934">
        <v>20</v>
      </c>
      <c r="L1934">
        <v>7</v>
      </c>
      <c r="N1934">
        <v>3</v>
      </c>
      <c r="O1934">
        <v>10</v>
      </c>
      <c r="P1934">
        <v>4</v>
      </c>
      <c r="Q1934">
        <v>0</v>
      </c>
      <c r="R1934">
        <v>51.58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H1934">
        <v>51.58</v>
      </c>
    </row>
    <row r="1935" spans="1:34" x14ac:dyDescent="0.3">
      <c r="A1935" s="4">
        <v>2149</v>
      </c>
      <c r="B1935" s="5">
        <v>1928</v>
      </c>
      <c r="C1935">
        <v>9853</v>
      </c>
      <c r="D1935" t="s">
        <v>14335</v>
      </c>
      <c r="E1935" t="s">
        <v>173</v>
      </c>
      <c r="F1935" t="s">
        <v>158</v>
      </c>
      <c r="G1935" t="s">
        <v>14336</v>
      </c>
      <c r="H1935">
        <v>17.579999999999998</v>
      </c>
      <c r="I1935">
        <v>0</v>
      </c>
      <c r="J1935">
        <v>0</v>
      </c>
      <c r="K1935">
        <v>20</v>
      </c>
      <c r="L1935">
        <v>7</v>
      </c>
      <c r="N1935">
        <v>3</v>
      </c>
      <c r="O1935">
        <v>10</v>
      </c>
      <c r="P1935">
        <v>4</v>
      </c>
      <c r="Q1935">
        <v>0</v>
      </c>
      <c r="R1935">
        <v>51.58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H1935">
        <v>51.58</v>
      </c>
    </row>
    <row r="1936" spans="1:34" x14ac:dyDescent="0.3">
      <c r="A1936" s="4">
        <v>2150</v>
      </c>
      <c r="B1936" s="5">
        <v>1929</v>
      </c>
      <c r="C1936">
        <v>1698</v>
      </c>
      <c r="D1936" t="s">
        <v>4332</v>
      </c>
      <c r="E1936" t="s">
        <v>29</v>
      </c>
      <c r="F1936" t="s">
        <v>17</v>
      </c>
      <c r="G1936" t="s">
        <v>14337</v>
      </c>
      <c r="H1936">
        <v>16.579999999999998</v>
      </c>
      <c r="I1936">
        <v>0</v>
      </c>
      <c r="J1936">
        <v>0</v>
      </c>
      <c r="K1936">
        <v>0</v>
      </c>
      <c r="L1936">
        <v>7</v>
      </c>
      <c r="O1936">
        <v>7</v>
      </c>
      <c r="P1936">
        <v>4</v>
      </c>
      <c r="Q1936">
        <v>2</v>
      </c>
      <c r="R1936">
        <v>29.58</v>
      </c>
      <c r="S1936">
        <v>22</v>
      </c>
      <c r="T1936">
        <v>22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22</v>
      </c>
      <c r="AB1936">
        <v>0</v>
      </c>
      <c r="AC1936">
        <v>0</v>
      </c>
      <c r="AH1936">
        <v>51.58</v>
      </c>
    </row>
    <row r="1937" spans="1:34" x14ac:dyDescent="0.3">
      <c r="A1937" s="4">
        <v>2151</v>
      </c>
      <c r="B1937" s="5">
        <v>1930</v>
      </c>
      <c r="C1937">
        <v>11630</v>
      </c>
      <c r="D1937" t="s">
        <v>12370</v>
      </c>
      <c r="E1937" t="s">
        <v>161</v>
      </c>
      <c r="F1937" t="s">
        <v>136</v>
      </c>
      <c r="G1937" t="s">
        <v>14338</v>
      </c>
      <c r="H1937">
        <v>20.55</v>
      </c>
      <c r="I1937">
        <v>0</v>
      </c>
      <c r="J1937">
        <v>0</v>
      </c>
      <c r="K1937">
        <v>20</v>
      </c>
      <c r="L1937">
        <v>7</v>
      </c>
      <c r="O1937">
        <v>7</v>
      </c>
      <c r="P1937">
        <v>4</v>
      </c>
      <c r="Q1937">
        <v>0</v>
      </c>
      <c r="R1937">
        <v>51.55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H1937">
        <v>51.55</v>
      </c>
    </row>
    <row r="1938" spans="1:34" x14ac:dyDescent="0.3">
      <c r="A1938" s="4">
        <v>2152</v>
      </c>
      <c r="B1938" s="5">
        <v>1931</v>
      </c>
      <c r="C1938">
        <v>1734</v>
      </c>
      <c r="D1938" t="s">
        <v>14339</v>
      </c>
      <c r="E1938" t="s">
        <v>149</v>
      </c>
      <c r="F1938" t="s">
        <v>17</v>
      </c>
      <c r="G1938" t="s">
        <v>14340</v>
      </c>
      <c r="H1938">
        <v>15.55</v>
      </c>
      <c r="I1938">
        <v>0</v>
      </c>
      <c r="J1938">
        <v>0</v>
      </c>
      <c r="K1938">
        <v>20</v>
      </c>
      <c r="L1938">
        <v>7</v>
      </c>
      <c r="M1938">
        <v>5</v>
      </c>
      <c r="O1938">
        <v>12</v>
      </c>
      <c r="P1938">
        <v>4</v>
      </c>
      <c r="Q1938">
        <v>0</v>
      </c>
      <c r="R1938">
        <v>51.55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H1938">
        <v>51.55</v>
      </c>
    </row>
    <row r="1939" spans="1:34" x14ac:dyDescent="0.3">
      <c r="A1939" s="4">
        <v>2153</v>
      </c>
      <c r="B1939" s="5">
        <v>1932</v>
      </c>
      <c r="C1939">
        <v>849</v>
      </c>
      <c r="D1939" t="s">
        <v>421</v>
      </c>
      <c r="E1939" t="s">
        <v>14341</v>
      </c>
      <c r="F1939" t="s">
        <v>2427</v>
      </c>
      <c r="G1939" t="s">
        <v>14342</v>
      </c>
      <c r="H1939">
        <v>18.55</v>
      </c>
      <c r="I1939">
        <v>0</v>
      </c>
      <c r="J1939">
        <v>0</v>
      </c>
      <c r="K1939">
        <v>20</v>
      </c>
      <c r="N1939">
        <v>3</v>
      </c>
      <c r="O1939">
        <v>3</v>
      </c>
      <c r="P1939">
        <v>4</v>
      </c>
      <c r="Q1939">
        <v>0</v>
      </c>
      <c r="R1939">
        <v>45.55</v>
      </c>
      <c r="S1939">
        <v>6</v>
      </c>
      <c r="T1939">
        <v>6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6</v>
      </c>
      <c r="AB1939">
        <v>0</v>
      </c>
      <c r="AC1939">
        <v>0</v>
      </c>
      <c r="AH1939">
        <v>51.55</v>
      </c>
    </row>
    <row r="1940" spans="1:34" x14ac:dyDescent="0.3">
      <c r="A1940" s="4">
        <v>2154</v>
      </c>
      <c r="B1940" s="5">
        <v>1933</v>
      </c>
      <c r="C1940">
        <v>6125</v>
      </c>
      <c r="D1940" t="s">
        <v>14343</v>
      </c>
      <c r="E1940" t="s">
        <v>158</v>
      </c>
      <c r="F1940" t="s">
        <v>81</v>
      </c>
      <c r="G1940" t="s">
        <v>14344</v>
      </c>
      <c r="H1940">
        <v>17.53</v>
      </c>
      <c r="I1940">
        <v>0</v>
      </c>
      <c r="J1940">
        <v>0</v>
      </c>
      <c r="K1940">
        <v>20</v>
      </c>
      <c r="L1940">
        <v>7</v>
      </c>
      <c r="N1940">
        <v>3</v>
      </c>
      <c r="O1940">
        <v>10</v>
      </c>
      <c r="P1940">
        <v>4</v>
      </c>
      <c r="Q1940">
        <v>0</v>
      </c>
      <c r="R1940">
        <v>51.53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H1940">
        <v>51.53</v>
      </c>
    </row>
    <row r="1941" spans="1:34" x14ac:dyDescent="0.3">
      <c r="A1941" s="4">
        <v>2155</v>
      </c>
      <c r="B1941" s="5">
        <v>1934</v>
      </c>
      <c r="C1941">
        <v>13590</v>
      </c>
      <c r="D1941" t="s">
        <v>6678</v>
      </c>
      <c r="E1941" t="s">
        <v>97</v>
      </c>
      <c r="F1941" t="s">
        <v>81</v>
      </c>
      <c r="G1941" t="s">
        <v>14345</v>
      </c>
      <c r="H1941">
        <v>17.53</v>
      </c>
      <c r="I1941">
        <v>0</v>
      </c>
      <c r="J1941">
        <v>0</v>
      </c>
      <c r="K1941">
        <v>20</v>
      </c>
      <c r="L1941">
        <v>7</v>
      </c>
      <c r="N1941">
        <v>3</v>
      </c>
      <c r="O1941">
        <v>10</v>
      </c>
      <c r="P1941">
        <v>4</v>
      </c>
      <c r="Q1941">
        <v>0</v>
      </c>
      <c r="R1941">
        <v>51.53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H1941">
        <v>51.53</v>
      </c>
    </row>
    <row r="1942" spans="1:34" x14ac:dyDescent="0.3">
      <c r="A1942" s="4">
        <v>2156</v>
      </c>
      <c r="B1942" s="5">
        <v>1935</v>
      </c>
      <c r="C1942">
        <v>14280</v>
      </c>
      <c r="D1942" t="s">
        <v>14346</v>
      </c>
      <c r="E1942" t="s">
        <v>54</v>
      </c>
      <c r="F1942" t="s">
        <v>81</v>
      </c>
      <c r="G1942" t="s">
        <v>14347</v>
      </c>
      <c r="H1942">
        <v>12.5</v>
      </c>
      <c r="I1942">
        <v>0</v>
      </c>
      <c r="J1942">
        <v>0</v>
      </c>
      <c r="K1942">
        <v>20</v>
      </c>
      <c r="L1942">
        <v>7</v>
      </c>
      <c r="O1942">
        <v>7</v>
      </c>
      <c r="P1942">
        <v>4</v>
      </c>
      <c r="Q1942">
        <v>2</v>
      </c>
      <c r="R1942">
        <v>45.5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6</v>
      </c>
      <c r="AC1942">
        <v>0</v>
      </c>
      <c r="AH1942">
        <v>51.5</v>
      </c>
    </row>
    <row r="1943" spans="1:34" x14ac:dyDescent="0.3">
      <c r="A1943" s="4">
        <v>2157</v>
      </c>
      <c r="B1943" s="5">
        <v>1936</v>
      </c>
      <c r="C1943">
        <v>10638</v>
      </c>
      <c r="D1943" t="s">
        <v>14348</v>
      </c>
      <c r="E1943" t="s">
        <v>14349</v>
      </c>
      <c r="F1943" t="s">
        <v>81</v>
      </c>
      <c r="G1943" t="s">
        <v>14350</v>
      </c>
      <c r="H1943">
        <v>12.5</v>
      </c>
      <c r="I1943">
        <v>0</v>
      </c>
      <c r="J1943">
        <v>0</v>
      </c>
      <c r="K1943">
        <v>20</v>
      </c>
      <c r="L1943">
        <v>7</v>
      </c>
      <c r="N1943">
        <v>3</v>
      </c>
      <c r="O1943">
        <v>10</v>
      </c>
      <c r="P1943">
        <v>4</v>
      </c>
      <c r="Q1943">
        <v>2</v>
      </c>
      <c r="R1943">
        <v>48.5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3</v>
      </c>
      <c r="AC1943">
        <v>0</v>
      </c>
      <c r="AH1943">
        <v>51.5</v>
      </c>
    </row>
    <row r="1944" spans="1:34" x14ac:dyDescent="0.3">
      <c r="A1944" s="4">
        <v>2158</v>
      </c>
      <c r="B1944" s="5">
        <v>1937</v>
      </c>
      <c r="C1944">
        <v>11375</v>
      </c>
      <c r="D1944" t="s">
        <v>14351</v>
      </c>
      <c r="E1944" t="s">
        <v>14352</v>
      </c>
      <c r="F1944" t="s">
        <v>81</v>
      </c>
      <c r="G1944" t="s">
        <v>14353</v>
      </c>
      <c r="H1944">
        <v>20.5</v>
      </c>
      <c r="I1944">
        <v>0</v>
      </c>
      <c r="J1944">
        <v>0</v>
      </c>
      <c r="K1944">
        <v>20</v>
      </c>
      <c r="L1944">
        <v>7</v>
      </c>
      <c r="O1944">
        <v>7</v>
      </c>
      <c r="P1944">
        <v>4</v>
      </c>
      <c r="Q1944">
        <v>0</v>
      </c>
      <c r="R1944">
        <v>51.5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H1944">
        <v>51.5</v>
      </c>
    </row>
    <row r="1945" spans="1:34" x14ac:dyDescent="0.3">
      <c r="A1945" s="4">
        <v>2159</v>
      </c>
      <c r="B1945" s="5">
        <v>1938</v>
      </c>
      <c r="C1945">
        <v>14826</v>
      </c>
      <c r="D1945" t="s">
        <v>14354</v>
      </c>
      <c r="E1945" t="s">
        <v>110</v>
      </c>
      <c r="F1945" t="s">
        <v>14355</v>
      </c>
      <c r="G1945" t="s">
        <v>14356</v>
      </c>
      <c r="H1945">
        <v>20.5</v>
      </c>
      <c r="I1945">
        <v>0</v>
      </c>
      <c r="J1945">
        <v>0</v>
      </c>
      <c r="K1945">
        <v>20</v>
      </c>
      <c r="L1945">
        <v>7</v>
      </c>
      <c r="O1945">
        <v>7</v>
      </c>
      <c r="P1945">
        <v>4</v>
      </c>
      <c r="Q1945">
        <v>0</v>
      </c>
      <c r="R1945">
        <v>51.5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H1945">
        <v>51.5</v>
      </c>
    </row>
    <row r="1946" spans="1:34" x14ac:dyDescent="0.3">
      <c r="A1946" s="4">
        <v>2160</v>
      </c>
      <c r="B1946" s="5">
        <v>1939</v>
      </c>
      <c r="C1946">
        <v>4911</v>
      </c>
      <c r="D1946" t="s">
        <v>14357</v>
      </c>
      <c r="E1946" t="s">
        <v>81</v>
      </c>
      <c r="F1946" t="s">
        <v>81</v>
      </c>
      <c r="G1946" t="s">
        <v>14358</v>
      </c>
      <c r="H1946">
        <v>12.5</v>
      </c>
      <c r="I1946">
        <v>0</v>
      </c>
      <c r="J1946">
        <v>0</v>
      </c>
      <c r="K1946">
        <v>28</v>
      </c>
      <c r="L1946">
        <v>7</v>
      </c>
      <c r="O1946">
        <v>7</v>
      </c>
      <c r="P1946">
        <v>4</v>
      </c>
      <c r="Q1946">
        <v>0</v>
      </c>
      <c r="R1946">
        <v>51.5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H1946">
        <v>51.5</v>
      </c>
    </row>
    <row r="1947" spans="1:34" x14ac:dyDescent="0.3">
      <c r="A1947" s="4">
        <v>2161</v>
      </c>
      <c r="B1947" s="5">
        <v>1940</v>
      </c>
      <c r="C1947">
        <v>6586</v>
      </c>
      <c r="D1947" t="s">
        <v>14359</v>
      </c>
      <c r="E1947" t="s">
        <v>550</v>
      </c>
      <c r="F1947" t="s">
        <v>343</v>
      </c>
      <c r="G1947" t="s">
        <v>14360</v>
      </c>
      <c r="H1947">
        <v>20.45</v>
      </c>
      <c r="I1947">
        <v>0</v>
      </c>
      <c r="J1947">
        <v>0</v>
      </c>
      <c r="K1947">
        <v>20</v>
      </c>
      <c r="L1947">
        <v>7</v>
      </c>
      <c r="O1947">
        <v>7</v>
      </c>
      <c r="P1947">
        <v>4</v>
      </c>
      <c r="Q1947">
        <v>0</v>
      </c>
      <c r="R1947">
        <v>51.45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H1947">
        <v>51.45</v>
      </c>
    </row>
    <row r="1948" spans="1:34" x14ac:dyDescent="0.3">
      <c r="A1948" s="4">
        <v>2162</v>
      </c>
      <c r="B1948" s="5">
        <v>1941</v>
      </c>
      <c r="C1948">
        <v>14845</v>
      </c>
      <c r="D1948" t="s">
        <v>1250</v>
      </c>
      <c r="E1948" t="s">
        <v>29</v>
      </c>
      <c r="F1948" t="s">
        <v>34</v>
      </c>
      <c r="G1948" t="s">
        <v>10834</v>
      </c>
      <c r="H1948">
        <v>20.43</v>
      </c>
      <c r="I1948">
        <v>0</v>
      </c>
      <c r="J1948">
        <v>0</v>
      </c>
      <c r="K1948">
        <v>20</v>
      </c>
      <c r="L1948">
        <v>7</v>
      </c>
      <c r="O1948">
        <v>7</v>
      </c>
      <c r="P1948">
        <v>4</v>
      </c>
      <c r="Q1948">
        <v>0</v>
      </c>
      <c r="R1948">
        <v>51.43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H1948">
        <v>51.43</v>
      </c>
    </row>
    <row r="1949" spans="1:34" x14ac:dyDescent="0.3">
      <c r="A1949" s="4">
        <v>2163</v>
      </c>
      <c r="B1949" s="5">
        <v>1942</v>
      </c>
      <c r="C1949">
        <v>14561</v>
      </c>
      <c r="D1949" t="s">
        <v>14361</v>
      </c>
      <c r="E1949" t="s">
        <v>2150</v>
      </c>
      <c r="F1949" t="s">
        <v>38</v>
      </c>
      <c r="G1949" t="s">
        <v>14362</v>
      </c>
      <c r="H1949">
        <v>20.399999999999999</v>
      </c>
      <c r="I1949">
        <v>0</v>
      </c>
      <c r="J1949">
        <v>0</v>
      </c>
      <c r="K1949">
        <v>20</v>
      </c>
      <c r="L1949">
        <v>7</v>
      </c>
      <c r="O1949">
        <v>7</v>
      </c>
      <c r="P1949">
        <v>4</v>
      </c>
      <c r="Q1949">
        <v>0</v>
      </c>
      <c r="R1949">
        <v>51.4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H1949">
        <v>51.4</v>
      </c>
    </row>
    <row r="1950" spans="1:34" x14ac:dyDescent="0.3">
      <c r="A1950" s="4">
        <v>2164</v>
      </c>
      <c r="B1950" s="5">
        <v>1943</v>
      </c>
      <c r="C1950">
        <v>11730</v>
      </c>
      <c r="D1950" t="s">
        <v>14363</v>
      </c>
      <c r="E1950" t="s">
        <v>17</v>
      </c>
      <c r="F1950" t="s">
        <v>136</v>
      </c>
      <c r="G1950" t="s">
        <v>14364</v>
      </c>
      <c r="H1950">
        <v>20.399999999999999</v>
      </c>
      <c r="I1950">
        <v>0</v>
      </c>
      <c r="J1950">
        <v>0</v>
      </c>
      <c r="K1950">
        <v>20</v>
      </c>
      <c r="L1950">
        <v>7</v>
      </c>
      <c r="O1950">
        <v>7</v>
      </c>
      <c r="P1950">
        <v>4</v>
      </c>
      <c r="Q1950">
        <v>0</v>
      </c>
      <c r="R1950">
        <v>51.4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H1950">
        <v>51.4</v>
      </c>
    </row>
    <row r="1951" spans="1:34" x14ac:dyDescent="0.3">
      <c r="A1951" s="4">
        <v>2165</v>
      </c>
      <c r="B1951" s="5">
        <v>1944</v>
      </c>
      <c r="C1951">
        <v>13349</v>
      </c>
      <c r="D1951" t="s">
        <v>14365</v>
      </c>
      <c r="E1951" t="s">
        <v>97</v>
      </c>
      <c r="F1951" t="s">
        <v>68</v>
      </c>
      <c r="G1951" t="s">
        <v>14366</v>
      </c>
      <c r="H1951">
        <v>18.399999999999999</v>
      </c>
      <c r="I1951">
        <v>0</v>
      </c>
      <c r="J1951">
        <v>0</v>
      </c>
      <c r="K1951">
        <v>20</v>
      </c>
      <c r="L1951">
        <v>7</v>
      </c>
      <c r="O1951">
        <v>7</v>
      </c>
      <c r="P1951">
        <v>4</v>
      </c>
      <c r="Q1951">
        <v>2</v>
      </c>
      <c r="R1951">
        <v>51.4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H1951">
        <v>51.4</v>
      </c>
    </row>
    <row r="1952" spans="1:34" x14ac:dyDescent="0.3">
      <c r="A1952" s="4">
        <v>2166</v>
      </c>
      <c r="B1952" s="5">
        <v>1945</v>
      </c>
      <c r="C1952">
        <v>3331</v>
      </c>
      <c r="D1952" t="s">
        <v>14367</v>
      </c>
      <c r="E1952" t="s">
        <v>14368</v>
      </c>
      <c r="F1952" t="s">
        <v>385</v>
      </c>
      <c r="G1952" t="s">
        <v>14369</v>
      </c>
      <c r="H1952">
        <v>15.38</v>
      </c>
      <c r="I1952">
        <v>0</v>
      </c>
      <c r="J1952">
        <v>0</v>
      </c>
      <c r="K1952">
        <v>20</v>
      </c>
      <c r="L1952">
        <v>7</v>
      </c>
      <c r="N1952">
        <v>3</v>
      </c>
      <c r="O1952">
        <v>10</v>
      </c>
      <c r="P1952">
        <v>0</v>
      </c>
      <c r="Q1952">
        <v>0</v>
      </c>
      <c r="R1952">
        <v>45.38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6</v>
      </c>
      <c r="AC1952">
        <v>0</v>
      </c>
      <c r="AH1952">
        <v>51.38</v>
      </c>
    </row>
    <row r="1953" spans="1:34" x14ac:dyDescent="0.3">
      <c r="A1953" s="4">
        <v>2167</v>
      </c>
      <c r="B1953" s="5">
        <v>1946</v>
      </c>
      <c r="C1953">
        <v>459</v>
      </c>
      <c r="D1953" t="s">
        <v>1530</v>
      </c>
      <c r="E1953" t="s">
        <v>1280</v>
      </c>
      <c r="F1953" t="s">
        <v>381</v>
      </c>
      <c r="G1953" t="s">
        <v>14370</v>
      </c>
      <c r="H1953">
        <v>16.38</v>
      </c>
      <c r="I1953">
        <v>0</v>
      </c>
      <c r="J1953">
        <v>0</v>
      </c>
      <c r="K1953">
        <v>20</v>
      </c>
      <c r="L1953">
        <v>7</v>
      </c>
      <c r="M1953">
        <v>5</v>
      </c>
      <c r="O1953">
        <v>12</v>
      </c>
      <c r="P1953">
        <v>0</v>
      </c>
      <c r="Q1953">
        <v>0</v>
      </c>
      <c r="R1953">
        <v>48.38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3</v>
      </c>
      <c r="AC1953">
        <v>0</v>
      </c>
      <c r="AE1953" t="s">
        <v>130</v>
      </c>
      <c r="AH1953">
        <v>51.38</v>
      </c>
    </row>
    <row r="1954" spans="1:34" x14ac:dyDescent="0.3">
      <c r="A1954" s="4">
        <v>2168</v>
      </c>
      <c r="B1954" s="5">
        <v>1947</v>
      </c>
      <c r="C1954">
        <v>15282</v>
      </c>
      <c r="D1954" t="s">
        <v>14371</v>
      </c>
      <c r="E1954" t="s">
        <v>22</v>
      </c>
      <c r="F1954" t="s">
        <v>539</v>
      </c>
      <c r="G1954" t="s">
        <v>14372</v>
      </c>
      <c r="H1954">
        <v>17.38</v>
      </c>
      <c r="I1954">
        <v>0</v>
      </c>
      <c r="J1954">
        <v>0</v>
      </c>
      <c r="K1954">
        <v>20</v>
      </c>
      <c r="L1954">
        <v>7</v>
      </c>
      <c r="N1954">
        <v>3</v>
      </c>
      <c r="O1954">
        <v>10</v>
      </c>
      <c r="P1954">
        <v>4</v>
      </c>
      <c r="Q1954">
        <v>0</v>
      </c>
      <c r="R1954">
        <v>51.38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H1954">
        <v>51.38</v>
      </c>
    </row>
    <row r="1955" spans="1:34" x14ac:dyDescent="0.3">
      <c r="A1955" s="4">
        <v>2169</v>
      </c>
      <c r="B1955" s="5">
        <v>1948</v>
      </c>
      <c r="C1955">
        <v>6048</v>
      </c>
      <c r="D1955" t="s">
        <v>181</v>
      </c>
      <c r="E1955" t="s">
        <v>14373</v>
      </c>
      <c r="F1955" t="s">
        <v>105</v>
      </c>
      <c r="G1955" t="s">
        <v>14374</v>
      </c>
      <c r="H1955">
        <v>14.35</v>
      </c>
      <c r="I1955">
        <v>0</v>
      </c>
      <c r="J1955">
        <v>0</v>
      </c>
      <c r="K1955">
        <v>20</v>
      </c>
      <c r="O1955">
        <v>0</v>
      </c>
      <c r="P1955">
        <v>4</v>
      </c>
      <c r="Q1955">
        <v>2</v>
      </c>
      <c r="R1955">
        <v>40.35</v>
      </c>
      <c r="S1955">
        <v>5</v>
      </c>
      <c r="T1955">
        <v>5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5</v>
      </c>
      <c r="AB1955">
        <v>6</v>
      </c>
      <c r="AC1955">
        <v>0</v>
      </c>
      <c r="AH1955">
        <v>51.35</v>
      </c>
    </row>
    <row r="1956" spans="1:34" x14ac:dyDescent="0.3">
      <c r="A1956" s="4">
        <v>2170</v>
      </c>
      <c r="B1956" s="5">
        <v>1949</v>
      </c>
      <c r="C1956">
        <v>12249</v>
      </c>
      <c r="D1956" t="s">
        <v>743</v>
      </c>
      <c r="E1956" t="s">
        <v>14375</v>
      </c>
      <c r="F1956" t="s">
        <v>81</v>
      </c>
      <c r="G1956" t="s">
        <v>14376</v>
      </c>
      <c r="H1956">
        <v>17.350000000000001</v>
      </c>
      <c r="I1956">
        <v>0</v>
      </c>
      <c r="J1956">
        <v>0</v>
      </c>
      <c r="K1956">
        <v>0</v>
      </c>
      <c r="L1956">
        <v>7</v>
      </c>
      <c r="O1956">
        <v>7</v>
      </c>
      <c r="P1956">
        <v>4</v>
      </c>
      <c r="Q1956">
        <v>0</v>
      </c>
      <c r="R1956">
        <v>28.35</v>
      </c>
      <c r="S1956">
        <v>20</v>
      </c>
      <c r="T1956">
        <v>20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20</v>
      </c>
      <c r="AB1956">
        <v>3</v>
      </c>
      <c r="AC1956">
        <v>0</v>
      </c>
      <c r="AH1956">
        <v>51.35</v>
      </c>
    </row>
    <row r="1957" spans="1:34" x14ac:dyDescent="0.3">
      <c r="A1957" s="4">
        <v>2171</v>
      </c>
      <c r="B1957" s="5">
        <v>1950</v>
      </c>
      <c r="C1957">
        <v>6297</v>
      </c>
      <c r="D1957" t="s">
        <v>14377</v>
      </c>
      <c r="E1957" t="s">
        <v>149</v>
      </c>
      <c r="F1957" t="s">
        <v>1806</v>
      </c>
      <c r="G1957" t="s">
        <v>14378</v>
      </c>
      <c r="H1957">
        <v>19.3</v>
      </c>
      <c r="I1957">
        <v>0</v>
      </c>
      <c r="J1957">
        <v>0</v>
      </c>
      <c r="K1957">
        <v>20</v>
      </c>
      <c r="M1957">
        <v>5</v>
      </c>
      <c r="N1957">
        <v>3</v>
      </c>
      <c r="O1957">
        <v>8</v>
      </c>
      <c r="P1957">
        <v>4</v>
      </c>
      <c r="Q1957">
        <v>0</v>
      </c>
      <c r="R1957">
        <v>51.3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H1957">
        <v>51.3</v>
      </c>
    </row>
    <row r="1958" spans="1:34" x14ac:dyDescent="0.3">
      <c r="A1958" s="4">
        <v>2172</v>
      </c>
      <c r="B1958" s="5">
        <v>1951</v>
      </c>
      <c r="C1958">
        <v>259</v>
      </c>
      <c r="D1958" t="s">
        <v>14379</v>
      </c>
      <c r="E1958" t="s">
        <v>14380</v>
      </c>
      <c r="F1958" t="s">
        <v>238</v>
      </c>
      <c r="G1958" t="s">
        <v>14381</v>
      </c>
      <c r="H1958">
        <v>21.25</v>
      </c>
      <c r="I1958">
        <v>0</v>
      </c>
      <c r="J1958">
        <v>0</v>
      </c>
      <c r="K1958">
        <v>20</v>
      </c>
      <c r="N1958">
        <v>6</v>
      </c>
      <c r="O1958">
        <v>6</v>
      </c>
      <c r="P1958">
        <v>4</v>
      </c>
      <c r="Q1958">
        <v>0</v>
      </c>
      <c r="R1958">
        <v>51.25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H1958">
        <v>51.25</v>
      </c>
    </row>
    <row r="1959" spans="1:34" x14ac:dyDescent="0.3">
      <c r="A1959" s="4">
        <v>2173</v>
      </c>
      <c r="B1959" s="5">
        <v>1952</v>
      </c>
      <c r="C1959">
        <v>9974</v>
      </c>
      <c r="D1959" t="s">
        <v>3831</v>
      </c>
      <c r="E1959" t="s">
        <v>219</v>
      </c>
      <c r="F1959" t="s">
        <v>136</v>
      </c>
      <c r="G1959" t="s">
        <v>14382</v>
      </c>
      <c r="H1959">
        <v>18.25</v>
      </c>
      <c r="I1959">
        <v>0</v>
      </c>
      <c r="J1959">
        <v>0</v>
      </c>
      <c r="K1959">
        <v>0</v>
      </c>
      <c r="L1959">
        <v>7</v>
      </c>
      <c r="O1959">
        <v>7</v>
      </c>
      <c r="P1959">
        <v>4</v>
      </c>
      <c r="Q1959">
        <v>2</v>
      </c>
      <c r="R1959">
        <v>31.25</v>
      </c>
      <c r="S1959">
        <v>20</v>
      </c>
      <c r="T1959">
        <v>20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20</v>
      </c>
      <c r="AB1959">
        <v>0</v>
      </c>
      <c r="AC1959">
        <v>0</v>
      </c>
      <c r="AH1959">
        <v>51.25</v>
      </c>
    </row>
    <row r="1960" spans="1:34" x14ac:dyDescent="0.3">
      <c r="A1960" s="4">
        <v>2174</v>
      </c>
      <c r="B1960" s="5">
        <v>1953</v>
      </c>
      <c r="C1960">
        <v>9991</v>
      </c>
      <c r="D1960" t="s">
        <v>14383</v>
      </c>
      <c r="E1960" t="s">
        <v>740</v>
      </c>
      <c r="F1960" t="s">
        <v>17</v>
      </c>
      <c r="G1960" t="s">
        <v>14384</v>
      </c>
      <c r="H1960">
        <v>20.23</v>
      </c>
      <c r="I1960">
        <v>0</v>
      </c>
      <c r="J1960">
        <v>0</v>
      </c>
      <c r="K1960">
        <v>20</v>
      </c>
      <c r="L1960">
        <v>7</v>
      </c>
      <c r="O1960">
        <v>7</v>
      </c>
      <c r="P1960">
        <v>4</v>
      </c>
      <c r="Q1960">
        <v>0</v>
      </c>
      <c r="R1960">
        <v>51.23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H1960">
        <v>51.23</v>
      </c>
    </row>
    <row r="1961" spans="1:34" x14ac:dyDescent="0.3">
      <c r="A1961" s="4">
        <v>2175</v>
      </c>
      <c r="B1961" s="5">
        <v>1954</v>
      </c>
      <c r="C1961">
        <v>4517</v>
      </c>
      <c r="D1961" t="s">
        <v>3704</v>
      </c>
      <c r="E1961" t="s">
        <v>166</v>
      </c>
      <c r="F1961" t="s">
        <v>158</v>
      </c>
      <c r="G1961" t="s">
        <v>14385</v>
      </c>
      <c r="H1961">
        <v>18.2</v>
      </c>
      <c r="I1961">
        <v>0</v>
      </c>
      <c r="J1961">
        <v>0</v>
      </c>
      <c r="K1961">
        <v>20</v>
      </c>
      <c r="L1961">
        <v>7</v>
      </c>
      <c r="O1961">
        <v>7</v>
      </c>
      <c r="P1961">
        <v>4</v>
      </c>
      <c r="Q1961">
        <v>2</v>
      </c>
      <c r="R1961">
        <v>51.2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H1961">
        <v>51.2</v>
      </c>
    </row>
    <row r="1962" spans="1:34" x14ac:dyDescent="0.3">
      <c r="A1962" s="4">
        <v>2176</v>
      </c>
      <c r="B1962" s="5">
        <v>1955</v>
      </c>
      <c r="C1962">
        <v>12714</v>
      </c>
      <c r="D1962" t="s">
        <v>14386</v>
      </c>
      <c r="E1962" t="s">
        <v>14387</v>
      </c>
      <c r="F1962" t="s">
        <v>136</v>
      </c>
      <c r="G1962" t="s">
        <v>14388</v>
      </c>
      <c r="H1962">
        <v>18.18</v>
      </c>
      <c r="I1962">
        <v>0</v>
      </c>
      <c r="J1962">
        <v>0</v>
      </c>
      <c r="K1962">
        <v>20</v>
      </c>
      <c r="L1962">
        <v>7</v>
      </c>
      <c r="O1962">
        <v>7</v>
      </c>
      <c r="P1962">
        <v>0</v>
      </c>
      <c r="Q1962">
        <v>0</v>
      </c>
      <c r="R1962">
        <v>45.18</v>
      </c>
      <c r="S1962">
        <v>6</v>
      </c>
      <c r="T1962">
        <v>6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6</v>
      </c>
      <c r="AB1962">
        <v>0</v>
      </c>
      <c r="AC1962">
        <v>0</v>
      </c>
      <c r="AH1962">
        <v>51.18</v>
      </c>
    </row>
    <row r="1963" spans="1:34" x14ac:dyDescent="0.3">
      <c r="A1963" s="4">
        <v>2177</v>
      </c>
      <c r="B1963" s="5">
        <v>1956</v>
      </c>
      <c r="C1963">
        <v>12691</v>
      </c>
      <c r="D1963" t="s">
        <v>14389</v>
      </c>
      <c r="E1963" t="s">
        <v>188</v>
      </c>
      <c r="F1963" t="s">
        <v>38</v>
      </c>
      <c r="G1963" t="s">
        <v>14390</v>
      </c>
      <c r="H1963">
        <v>20.149999999999999</v>
      </c>
      <c r="I1963">
        <v>0</v>
      </c>
      <c r="J1963">
        <v>0</v>
      </c>
      <c r="K1963">
        <v>20</v>
      </c>
      <c r="L1963">
        <v>7</v>
      </c>
      <c r="O1963">
        <v>7</v>
      </c>
      <c r="P1963">
        <v>4</v>
      </c>
      <c r="Q1963">
        <v>0</v>
      </c>
      <c r="R1963">
        <v>51.15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H1963">
        <v>51.15</v>
      </c>
    </row>
    <row r="1964" spans="1:34" x14ac:dyDescent="0.3">
      <c r="A1964" s="4">
        <v>2178</v>
      </c>
      <c r="B1964" s="5">
        <v>1957</v>
      </c>
      <c r="C1964">
        <v>10072</v>
      </c>
      <c r="D1964" t="s">
        <v>1630</v>
      </c>
      <c r="E1964" t="s">
        <v>14391</v>
      </c>
      <c r="F1964" t="s">
        <v>20</v>
      </c>
      <c r="G1964" t="s">
        <v>14392</v>
      </c>
      <c r="H1964">
        <v>19.149999999999999</v>
      </c>
      <c r="I1964">
        <v>0</v>
      </c>
      <c r="J1964">
        <v>0</v>
      </c>
      <c r="K1964">
        <v>20</v>
      </c>
      <c r="M1964">
        <v>5</v>
      </c>
      <c r="N1964">
        <v>3</v>
      </c>
      <c r="O1964">
        <v>8</v>
      </c>
      <c r="P1964">
        <v>4</v>
      </c>
      <c r="Q1964">
        <v>0</v>
      </c>
      <c r="R1964">
        <v>51.15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H1964">
        <v>51.15</v>
      </c>
    </row>
    <row r="1965" spans="1:34" x14ac:dyDescent="0.3">
      <c r="A1965" s="4">
        <v>2179</v>
      </c>
      <c r="B1965" s="5">
        <v>1958</v>
      </c>
      <c r="C1965">
        <v>11649</v>
      </c>
      <c r="D1965" t="s">
        <v>14393</v>
      </c>
      <c r="E1965" t="s">
        <v>550</v>
      </c>
      <c r="F1965" t="s">
        <v>190</v>
      </c>
      <c r="G1965" t="s">
        <v>14394</v>
      </c>
      <c r="H1965">
        <v>20.13</v>
      </c>
      <c r="I1965">
        <v>0</v>
      </c>
      <c r="J1965">
        <v>0</v>
      </c>
      <c r="K1965">
        <v>20</v>
      </c>
      <c r="L1965">
        <v>7</v>
      </c>
      <c r="O1965">
        <v>7</v>
      </c>
      <c r="P1965">
        <v>4</v>
      </c>
      <c r="Q1965">
        <v>0</v>
      </c>
      <c r="R1965">
        <v>51.13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H1965">
        <v>51.13</v>
      </c>
    </row>
    <row r="1966" spans="1:34" x14ac:dyDescent="0.3">
      <c r="A1966" s="4">
        <v>2180</v>
      </c>
      <c r="B1966" s="5">
        <v>1959</v>
      </c>
      <c r="C1966">
        <v>2542</v>
      </c>
      <c r="D1966" t="s">
        <v>14395</v>
      </c>
      <c r="E1966" t="s">
        <v>14396</v>
      </c>
      <c r="F1966" t="s">
        <v>136</v>
      </c>
      <c r="G1966" t="s">
        <v>14397</v>
      </c>
      <c r="H1966">
        <v>17.100000000000001</v>
      </c>
      <c r="I1966">
        <v>0</v>
      </c>
      <c r="J1966">
        <v>0</v>
      </c>
      <c r="K1966">
        <v>20</v>
      </c>
      <c r="L1966">
        <v>7</v>
      </c>
      <c r="O1966">
        <v>7</v>
      </c>
      <c r="P1966">
        <v>4</v>
      </c>
      <c r="Q1966">
        <v>0</v>
      </c>
      <c r="R1966">
        <v>48.1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3</v>
      </c>
      <c r="AC1966">
        <v>0</v>
      </c>
      <c r="AH1966">
        <v>51.1</v>
      </c>
    </row>
    <row r="1967" spans="1:34" x14ac:dyDescent="0.3">
      <c r="A1967" s="4">
        <v>2181</v>
      </c>
      <c r="B1967" s="5">
        <v>1960</v>
      </c>
      <c r="C1967">
        <v>4342</v>
      </c>
      <c r="D1967" t="s">
        <v>14398</v>
      </c>
      <c r="E1967" t="s">
        <v>81</v>
      </c>
      <c r="F1967" t="s">
        <v>190</v>
      </c>
      <c r="G1967" t="s">
        <v>14399</v>
      </c>
      <c r="H1967">
        <v>20.079999999999998</v>
      </c>
      <c r="I1967">
        <v>0</v>
      </c>
      <c r="J1967">
        <v>0</v>
      </c>
      <c r="K1967">
        <v>20</v>
      </c>
      <c r="L1967">
        <v>7</v>
      </c>
      <c r="O1967">
        <v>7</v>
      </c>
      <c r="P1967">
        <v>4</v>
      </c>
      <c r="Q1967">
        <v>0</v>
      </c>
      <c r="R1967">
        <v>51.08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H1967">
        <v>51.08</v>
      </c>
    </row>
    <row r="1968" spans="1:34" x14ac:dyDescent="0.3">
      <c r="A1968" s="4">
        <v>2182</v>
      </c>
      <c r="B1968" s="5">
        <v>1961</v>
      </c>
      <c r="C1968">
        <v>2571</v>
      </c>
      <c r="D1968" t="s">
        <v>7209</v>
      </c>
      <c r="E1968" t="s">
        <v>166</v>
      </c>
      <c r="F1968" t="s">
        <v>136</v>
      </c>
      <c r="G1968" t="s">
        <v>14400</v>
      </c>
      <c r="H1968">
        <v>18.079999999999998</v>
      </c>
      <c r="I1968">
        <v>0</v>
      </c>
      <c r="J1968">
        <v>0</v>
      </c>
      <c r="K1968">
        <v>20</v>
      </c>
      <c r="L1968">
        <v>7</v>
      </c>
      <c r="O1968">
        <v>7</v>
      </c>
      <c r="P1968">
        <v>4</v>
      </c>
      <c r="Q1968">
        <v>2</v>
      </c>
      <c r="R1968">
        <v>51.08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H1968">
        <v>51.08</v>
      </c>
    </row>
    <row r="1969" spans="1:34" x14ac:dyDescent="0.3">
      <c r="A1969" s="4">
        <v>2183</v>
      </c>
      <c r="B1969" s="5">
        <v>1962</v>
      </c>
      <c r="C1969">
        <v>3296</v>
      </c>
      <c r="D1969" t="s">
        <v>11281</v>
      </c>
      <c r="E1969" t="s">
        <v>147</v>
      </c>
      <c r="F1969" t="s">
        <v>238</v>
      </c>
      <c r="H1969">
        <v>19.079999999999998</v>
      </c>
      <c r="I1969">
        <v>0</v>
      </c>
      <c r="J1969">
        <v>0</v>
      </c>
      <c r="K1969">
        <v>0</v>
      </c>
      <c r="N1969">
        <v>3</v>
      </c>
      <c r="O1969">
        <v>3</v>
      </c>
      <c r="P1969">
        <v>4</v>
      </c>
      <c r="Q1969">
        <v>2</v>
      </c>
      <c r="R1969">
        <v>28.08</v>
      </c>
      <c r="S1969">
        <v>23</v>
      </c>
      <c r="T1969">
        <v>23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23</v>
      </c>
      <c r="AB1969">
        <v>0</v>
      </c>
      <c r="AC1969">
        <v>0</v>
      </c>
      <c r="AH1969">
        <v>51.08</v>
      </c>
    </row>
    <row r="1970" spans="1:34" x14ac:dyDescent="0.3">
      <c r="A1970" s="4">
        <v>2184</v>
      </c>
      <c r="B1970" s="5">
        <v>1963</v>
      </c>
      <c r="C1970">
        <v>3009</v>
      </c>
      <c r="D1970" t="s">
        <v>14401</v>
      </c>
      <c r="E1970" t="s">
        <v>1426</v>
      </c>
      <c r="F1970" t="s">
        <v>158</v>
      </c>
      <c r="G1970" t="s">
        <v>14402</v>
      </c>
      <c r="H1970">
        <v>20.05</v>
      </c>
      <c r="I1970">
        <v>0</v>
      </c>
      <c r="J1970">
        <v>0</v>
      </c>
      <c r="K1970">
        <v>20</v>
      </c>
      <c r="L1970">
        <v>7</v>
      </c>
      <c r="O1970">
        <v>7</v>
      </c>
      <c r="P1970">
        <v>4</v>
      </c>
      <c r="Q1970">
        <v>0</v>
      </c>
      <c r="R1970">
        <v>51.05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H1970">
        <v>51.05</v>
      </c>
    </row>
    <row r="1971" spans="1:34" x14ac:dyDescent="0.3">
      <c r="A1971" s="4">
        <v>2185</v>
      </c>
      <c r="B1971" s="5">
        <v>1964</v>
      </c>
      <c r="C1971">
        <v>5371</v>
      </c>
      <c r="D1971" t="s">
        <v>1707</v>
      </c>
      <c r="E1971" t="s">
        <v>149</v>
      </c>
      <c r="F1971" t="s">
        <v>652</v>
      </c>
      <c r="G1971" t="s">
        <v>14403</v>
      </c>
      <c r="H1971">
        <v>21.03</v>
      </c>
      <c r="I1971">
        <v>0</v>
      </c>
      <c r="J1971">
        <v>0</v>
      </c>
      <c r="K1971">
        <v>0</v>
      </c>
      <c r="M1971">
        <v>5</v>
      </c>
      <c r="O1971">
        <v>5</v>
      </c>
      <c r="P1971">
        <v>4</v>
      </c>
      <c r="Q1971">
        <v>0</v>
      </c>
      <c r="R1971">
        <v>30.03</v>
      </c>
      <c r="S1971">
        <v>15</v>
      </c>
      <c r="T1971">
        <v>15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15</v>
      </c>
      <c r="AB1971">
        <v>6</v>
      </c>
      <c r="AC1971">
        <v>0</v>
      </c>
      <c r="AH1971">
        <v>51.03</v>
      </c>
    </row>
    <row r="1972" spans="1:34" x14ac:dyDescent="0.3">
      <c r="A1972" s="4">
        <v>2186</v>
      </c>
      <c r="B1972" s="5">
        <v>1965</v>
      </c>
      <c r="C1972">
        <v>4250</v>
      </c>
      <c r="D1972" t="s">
        <v>11282</v>
      </c>
      <c r="E1972" t="s">
        <v>22</v>
      </c>
      <c r="F1972" t="s">
        <v>3854</v>
      </c>
      <c r="G1972" t="s">
        <v>14404</v>
      </c>
      <c r="H1972">
        <v>16</v>
      </c>
      <c r="I1972">
        <v>0</v>
      </c>
      <c r="J1972">
        <v>0</v>
      </c>
      <c r="K1972">
        <v>20</v>
      </c>
      <c r="M1972">
        <v>5</v>
      </c>
      <c r="O1972">
        <v>5</v>
      </c>
      <c r="P1972">
        <v>4</v>
      </c>
      <c r="Q1972">
        <v>0</v>
      </c>
      <c r="R1972">
        <v>45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6</v>
      </c>
      <c r="AC1972">
        <v>0</v>
      </c>
      <c r="AH1972">
        <v>51</v>
      </c>
    </row>
    <row r="1973" spans="1:34" x14ac:dyDescent="0.3">
      <c r="A1973" s="4">
        <v>2187</v>
      </c>
      <c r="B1973" s="5">
        <v>1966</v>
      </c>
      <c r="C1973">
        <v>5874</v>
      </c>
      <c r="D1973" t="s">
        <v>14405</v>
      </c>
      <c r="E1973" t="s">
        <v>2157</v>
      </c>
      <c r="F1973" t="s">
        <v>343</v>
      </c>
      <c r="G1973" t="s">
        <v>14406</v>
      </c>
      <c r="H1973">
        <v>20</v>
      </c>
      <c r="I1973">
        <v>0</v>
      </c>
      <c r="J1973">
        <v>0</v>
      </c>
      <c r="K1973">
        <v>20</v>
      </c>
      <c r="L1973">
        <v>7</v>
      </c>
      <c r="O1973">
        <v>7</v>
      </c>
      <c r="P1973">
        <v>4</v>
      </c>
      <c r="Q1973">
        <v>0</v>
      </c>
      <c r="R1973">
        <v>51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H1973">
        <v>51</v>
      </c>
    </row>
    <row r="1974" spans="1:34" x14ac:dyDescent="0.3">
      <c r="A1974" s="4">
        <v>2188</v>
      </c>
      <c r="B1974" s="5">
        <v>1967</v>
      </c>
      <c r="C1974">
        <v>9239</v>
      </c>
      <c r="D1974" t="s">
        <v>14407</v>
      </c>
      <c r="E1974" t="s">
        <v>166</v>
      </c>
      <c r="F1974" t="s">
        <v>136</v>
      </c>
      <c r="G1974" t="s">
        <v>14408</v>
      </c>
      <c r="H1974">
        <v>19.98</v>
      </c>
      <c r="I1974">
        <v>0</v>
      </c>
      <c r="J1974">
        <v>0</v>
      </c>
      <c r="K1974">
        <v>20</v>
      </c>
      <c r="L1974">
        <v>7</v>
      </c>
      <c r="O1974">
        <v>7</v>
      </c>
      <c r="P1974">
        <v>4</v>
      </c>
      <c r="Q1974">
        <v>0</v>
      </c>
      <c r="R1974">
        <v>50.98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H1974">
        <v>50.98</v>
      </c>
    </row>
    <row r="1975" spans="1:34" x14ac:dyDescent="0.3">
      <c r="A1975" s="4">
        <v>2189</v>
      </c>
      <c r="B1975" s="5">
        <v>1968</v>
      </c>
      <c r="C1975">
        <v>2205</v>
      </c>
      <c r="D1975" t="s">
        <v>4650</v>
      </c>
      <c r="E1975" t="s">
        <v>29</v>
      </c>
      <c r="F1975" t="s">
        <v>38</v>
      </c>
      <c r="G1975" t="s">
        <v>14409</v>
      </c>
      <c r="H1975">
        <v>16.98</v>
      </c>
      <c r="I1975">
        <v>0</v>
      </c>
      <c r="J1975">
        <v>0</v>
      </c>
      <c r="K1975">
        <v>20</v>
      </c>
      <c r="L1975">
        <v>7</v>
      </c>
      <c r="N1975">
        <v>3</v>
      </c>
      <c r="O1975">
        <v>10</v>
      </c>
      <c r="P1975">
        <v>4</v>
      </c>
      <c r="Q1975">
        <v>0</v>
      </c>
      <c r="R1975">
        <v>50.98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H1975">
        <v>50.98</v>
      </c>
    </row>
    <row r="1976" spans="1:34" x14ac:dyDescent="0.3">
      <c r="A1976" s="4">
        <v>2190</v>
      </c>
      <c r="B1976" s="5">
        <v>1969</v>
      </c>
      <c r="C1976">
        <v>1158</v>
      </c>
      <c r="D1976" t="s">
        <v>14410</v>
      </c>
      <c r="E1976" t="s">
        <v>37</v>
      </c>
      <c r="F1976" t="s">
        <v>81</v>
      </c>
      <c r="G1976" t="s">
        <v>14411</v>
      </c>
      <c r="H1976">
        <v>17.95</v>
      </c>
      <c r="I1976">
        <v>0</v>
      </c>
      <c r="J1976">
        <v>0</v>
      </c>
      <c r="K1976">
        <v>20</v>
      </c>
      <c r="L1976">
        <v>7</v>
      </c>
      <c r="O1976">
        <v>7</v>
      </c>
      <c r="P1976">
        <v>4</v>
      </c>
      <c r="Q1976">
        <v>2</v>
      </c>
      <c r="R1976">
        <v>50.95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H1976">
        <v>50.95</v>
      </c>
    </row>
    <row r="1977" spans="1:34" x14ac:dyDescent="0.3">
      <c r="A1977" s="4">
        <v>2191</v>
      </c>
      <c r="B1977" s="5">
        <v>1970</v>
      </c>
      <c r="C1977">
        <v>14528</v>
      </c>
      <c r="D1977" t="s">
        <v>14412</v>
      </c>
      <c r="E1977" t="s">
        <v>37</v>
      </c>
      <c r="F1977" t="s">
        <v>23</v>
      </c>
      <c r="G1977" t="s">
        <v>14413</v>
      </c>
      <c r="H1977">
        <v>17.95</v>
      </c>
      <c r="I1977">
        <v>0</v>
      </c>
      <c r="J1977">
        <v>0</v>
      </c>
      <c r="K1977">
        <v>20</v>
      </c>
      <c r="L1977">
        <v>7</v>
      </c>
      <c r="O1977">
        <v>7</v>
      </c>
      <c r="P1977">
        <v>4</v>
      </c>
      <c r="Q1977">
        <v>0</v>
      </c>
      <c r="R1977">
        <v>48.95</v>
      </c>
      <c r="S1977">
        <v>2</v>
      </c>
      <c r="T1977">
        <v>2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2</v>
      </c>
      <c r="AB1977">
        <v>0</v>
      </c>
      <c r="AC1977">
        <v>0</v>
      </c>
      <c r="AH1977">
        <v>50.95</v>
      </c>
    </row>
    <row r="1978" spans="1:34" x14ac:dyDescent="0.3">
      <c r="A1978" s="4">
        <v>2192</v>
      </c>
      <c r="B1978" s="5">
        <v>1971</v>
      </c>
      <c r="C1978">
        <v>5543</v>
      </c>
      <c r="D1978" t="s">
        <v>4955</v>
      </c>
      <c r="E1978" t="s">
        <v>88</v>
      </c>
      <c r="F1978" t="s">
        <v>136</v>
      </c>
      <c r="G1978" t="s">
        <v>14414</v>
      </c>
      <c r="H1978">
        <v>19.93</v>
      </c>
      <c r="I1978">
        <v>0</v>
      </c>
      <c r="J1978">
        <v>0</v>
      </c>
      <c r="K1978">
        <v>20</v>
      </c>
      <c r="L1978">
        <v>7</v>
      </c>
      <c r="O1978">
        <v>7</v>
      </c>
      <c r="P1978">
        <v>4</v>
      </c>
      <c r="Q1978">
        <v>0</v>
      </c>
      <c r="R1978">
        <v>50.93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 t="s">
        <v>130</v>
      </c>
      <c r="AH1978">
        <v>50.93</v>
      </c>
    </row>
    <row r="1979" spans="1:34" x14ac:dyDescent="0.3">
      <c r="A1979" s="4">
        <v>2193</v>
      </c>
      <c r="B1979" s="5">
        <v>1972</v>
      </c>
      <c r="C1979">
        <v>7620</v>
      </c>
      <c r="D1979" t="s">
        <v>93</v>
      </c>
      <c r="E1979" t="s">
        <v>147</v>
      </c>
      <c r="F1979" t="s">
        <v>343</v>
      </c>
      <c r="G1979" t="s">
        <v>14415</v>
      </c>
      <c r="H1979">
        <v>18.93</v>
      </c>
      <c r="I1979">
        <v>0</v>
      </c>
      <c r="J1979">
        <v>0</v>
      </c>
      <c r="K1979">
        <v>20</v>
      </c>
      <c r="L1979">
        <v>7</v>
      </c>
      <c r="N1979">
        <v>3</v>
      </c>
      <c r="O1979">
        <v>10</v>
      </c>
      <c r="P1979">
        <v>0</v>
      </c>
      <c r="Q1979">
        <v>2</v>
      </c>
      <c r="R1979">
        <v>50.93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H1979">
        <v>50.93</v>
      </c>
    </row>
    <row r="1980" spans="1:34" x14ac:dyDescent="0.3">
      <c r="A1980" s="4">
        <v>2194</v>
      </c>
      <c r="B1980" s="5">
        <v>1973</v>
      </c>
      <c r="C1980">
        <v>2691</v>
      </c>
      <c r="D1980" t="s">
        <v>14416</v>
      </c>
      <c r="E1980" t="s">
        <v>14417</v>
      </c>
      <c r="F1980" t="s">
        <v>190</v>
      </c>
      <c r="G1980" t="s">
        <v>14418</v>
      </c>
      <c r="H1980">
        <v>19.93</v>
      </c>
      <c r="I1980">
        <v>0</v>
      </c>
      <c r="J1980">
        <v>0</v>
      </c>
      <c r="K1980">
        <v>0</v>
      </c>
      <c r="L1980">
        <v>14</v>
      </c>
      <c r="O1980">
        <v>14</v>
      </c>
      <c r="P1980">
        <v>4</v>
      </c>
      <c r="Q1980">
        <v>0</v>
      </c>
      <c r="R1980">
        <v>37.93</v>
      </c>
      <c r="S1980">
        <v>13</v>
      </c>
      <c r="T1980">
        <v>13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13</v>
      </c>
      <c r="AB1980">
        <v>0</v>
      </c>
      <c r="AC1980">
        <v>0</v>
      </c>
      <c r="AH1980">
        <v>50.93</v>
      </c>
    </row>
    <row r="1981" spans="1:34" x14ac:dyDescent="0.3">
      <c r="A1981" s="4">
        <v>2195</v>
      </c>
      <c r="B1981" s="5">
        <v>1974</v>
      </c>
      <c r="C1981">
        <v>13514</v>
      </c>
      <c r="D1981" t="s">
        <v>14419</v>
      </c>
      <c r="E1981" t="s">
        <v>14420</v>
      </c>
      <c r="F1981" t="s">
        <v>38</v>
      </c>
      <c r="G1981" t="s">
        <v>14421</v>
      </c>
      <c r="H1981">
        <v>19.899999999999999</v>
      </c>
      <c r="I1981">
        <v>0</v>
      </c>
      <c r="J1981">
        <v>0</v>
      </c>
      <c r="K1981">
        <v>20</v>
      </c>
      <c r="L1981">
        <v>7</v>
      </c>
      <c r="O1981">
        <v>7</v>
      </c>
      <c r="P1981">
        <v>4</v>
      </c>
      <c r="Q1981">
        <v>0</v>
      </c>
      <c r="R1981">
        <v>50.9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H1981">
        <v>50.9</v>
      </c>
    </row>
    <row r="1982" spans="1:34" x14ac:dyDescent="0.3">
      <c r="A1982" s="4">
        <v>2196</v>
      </c>
      <c r="B1982" s="5">
        <v>1975</v>
      </c>
      <c r="C1982">
        <v>11850</v>
      </c>
      <c r="D1982" t="s">
        <v>14422</v>
      </c>
      <c r="E1982" t="s">
        <v>81</v>
      </c>
      <c r="F1982" t="s">
        <v>136</v>
      </c>
      <c r="G1982" t="s">
        <v>14423</v>
      </c>
      <c r="H1982">
        <v>16.899999999999999</v>
      </c>
      <c r="I1982">
        <v>0</v>
      </c>
      <c r="J1982">
        <v>0</v>
      </c>
      <c r="K1982">
        <v>20</v>
      </c>
      <c r="L1982">
        <v>7</v>
      </c>
      <c r="N1982">
        <v>3</v>
      </c>
      <c r="O1982">
        <v>10</v>
      </c>
      <c r="P1982">
        <v>4</v>
      </c>
      <c r="Q1982">
        <v>0</v>
      </c>
      <c r="R1982">
        <v>50.9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H1982">
        <v>50.9</v>
      </c>
    </row>
    <row r="1983" spans="1:34" x14ac:dyDescent="0.3">
      <c r="A1983" s="4">
        <v>2197</v>
      </c>
      <c r="B1983" s="5">
        <v>1976</v>
      </c>
      <c r="C1983">
        <v>4736</v>
      </c>
      <c r="D1983" t="s">
        <v>6379</v>
      </c>
      <c r="E1983" t="s">
        <v>29</v>
      </c>
      <c r="F1983" t="s">
        <v>17</v>
      </c>
      <c r="G1983" t="s">
        <v>14424</v>
      </c>
      <c r="H1983">
        <v>20.9</v>
      </c>
      <c r="I1983">
        <v>0</v>
      </c>
      <c r="J1983">
        <v>0</v>
      </c>
      <c r="K1983">
        <v>0</v>
      </c>
      <c r="N1983">
        <v>3</v>
      </c>
      <c r="O1983">
        <v>3</v>
      </c>
      <c r="P1983">
        <v>4</v>
      </c>
      <c r="Q1983">
        <v>2</v>
      </c>
      <c r="R1983">
        <v>29.9</v>
      </c>
      <c r="S1983">
        <v>21</v>
      </c>
      <c r="T1983">
        <v>21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21</v>
      </c>
      <c r="AB1983">
        <v>0</v>
      </c>
      <c r="AC1983">
        <v>0</v>
      </c>
      <c r="AH1983">
        <v>50.9</v>
      </c>
    </row>
    <row r="1984" spans="1:34" x14ac:dyDescent="0.3">
      <c r="A1984" s="4">
        <v>2198</v>
      </c>
      <c r="B1984" s="5">
        <v>1977</v>
      </c>
      <c r="C1984">
        <v>464</v>
      </c>
      <c r="D1984" t="s">
        <v>14425</v>
      </c>
      <c r="E1984" t="s">
        <v>2852</v>
      </c>
      <c r="F1984" t="s">
        <v>328</v>
      </c>
      <c r="G1984" t="s">
        <v>14426</v>
      </c>
      <c r="H1984">
        <v>19.88</v>
      </c>
      <c r="I1984">
        <v>0</v>
      </c>
      <c r="J1984">
        <v>0</v>
      </c>
      <c r="K1984">
        <v>20</v>
      </c>
      <c r="L1984">
        <v>7</v>
      </c>
      <c r="O1984">
        <v>7</v>
      </c>
      <c r="P1984">
        <v>4</v>
      </c>
      <c r="Q1984">
        <v>0</v>
      </c>
      <c r="R1984">
        <v>50.88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H1984">
        <v>50.88</v>
      </c>
    </row>
    <row r="1985" spans="1:34" x14ac:dyDescent="0.3">
      <c r="A1985" s="4">
        <v>2199</v>
      </c>
      <c r="B1985" s="5">
        <v>1978</v>
      </c>
      <c r="C1985">
        <v>9065</v>
      </c>
      <c r="D1985" t="s">
        <v>14427</v>
      </c>
      <c r="E1985" t="s">
        <v>9901</v>
      </c>
      <c r="F1985" t="s">
        <v>91</v>
      </c>
      <c r="G1985" t="s">
        <v>14428</v>
      </c>
      <c r="H1985">
        <v>19.88</v>
      </c>
      <c r="I1985">
        <v>0</v>
      </c>
      <c r="J1985">
        <v>0</v>
      </c>
      <c r="K1985">
        <v>20</v>
      </c>
      <c r="L1985">
        <v>7</v>
      </c>
      <c r="O1985">
        <v>7</v>
      </c>
      <c r="P1985">
        <v>4</v>
      </c>
      <c r="Q1985">
        <v>0</v>
      </c>
      <c r="R1985">
        <v>50.88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H1985">
        <v>50.88</v>
      </c>
    </row>
    <row r="1986" spans="1:34" x14ac:dyDescent="0.3">
      <c r="A1986" s="4">
        <v>2200</v>
      </c>
      <c r="B1986" s="5">
        <v>1979</v>
      </c>
      <c r="C1986">
        <v>8081</v>
      </c>
      <c r="D1986" t="s">
        <v>8895</v>
      </c>
      <c r="E1986" t="s">
        <v>100</v>
      </c>
      <c r="F1986" t="s">
        <v>81</v>
      </c>
      <c r="G1986" t="s">
        <v>14429</v>
      </c>
      <c r="H1986">
        <v>19.850000000000001</v>
      </c>
      <c r="I1986">
        <v>0</v>
      </c>
      <c r="J1986">
        <v>0</v>
      </c>
      <c r="K1986">
        <v>20</v>
      </c>
      <c r="L1986">
        <v>7</v>
      </c>
      <c r="O1986">
        <v>7</v>
      </c>
      <c r="P1986">
        <v>4</v>
      </c>
      <c r="Q1986">
        <v>0</v>
      </c>
      <c r="R1986">
        <v>50.85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H1986">
        <v>50.85</v>
      </c>
    </row>
    <row r="1987" spans="1:34" x14ac:dyDescent="0.3">
      <c r="A1987" s="4">
        <v>2201</v>
      </c>
      <c r="B1987" s="5">
        <v>1980</v>
      </c>
      <c r="C1987">
        <v>3056</v>
      </c>
      <c r="D1987" t="s">
        <v>3401</v>
      </c>
      <c r="E1987" t="s">
        <v>14430</v>
      </c>
      <c r="F1987" t="s">
        <v>81</v>
      </c>
      <c r="G1987" t="s">
        <v>14431</v>
      </c>
      <c r="H1987">
        <v>19.829999999999998</v>
      </c>
      <c r="I1987">
        <v>0</v>
      </c>
      <c r="J1987">
        <v>0</v>
      </c>
      <c r="K1987">
        <v>20</v>
      </c>
      <c r="L1987">
        <v>7</v>
      </c>
      <c r="O1987">
        <v>7</v>
      </c>
      <c r="P1987">
        <v>4</v>
      </c>
      <c r="Q1987">
        <v>0</v>
      </c>
      <c r="R1987">
        <v>50.83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H1987">
        <v>50.83</v>
      </c>
    </row>
    <row r="1988" spans="1:34" x14ac:dyDescent="0.3">
      <c r="A1988" s="4">
        <v>2202</v>
      </c>
      <c r="B1988" s="5">
        <v>1981</v>
      </c>
      <c r="C1988">
        <v>14943</v>
      </c>
      <c r="D1988" t="s">
        <v>421</v>
      </c>
      <c r="E1988" t="s">
        <v>41</v>
      </c>
      <c r="F1988" t="s">
        <v>385</v>
      </c>
      <c r="G1988" t="s">
        <v>14432</v>
      </c>
      <c r="H1988">
        <v>16.8</v>
      </c>
      <c r="I1988">
        <v>0</v>
      </c>
      <c r="J1988">
        <v>0</v>
      </c>
      <c r="K1988">
        <v>20</v>
      </c>
      <c r="L1988">
        <v>7</v>
      </c>
      <c r="N1988">
        <v>3</v>
      </c>
      <c r="O1988">
        <v>10</v>
      </c>
      <c r="P1988">
        <v>4</v>
      </c>
      <c r="Q1988">
        <v>0</v>
      </c>
      <c r="R1988">
        <v>50.8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H1988">
        <v>50.8</v>
      </c>
    </row>
    <row r="1989" spans="1:34" x14ac:dyDescent="0.3">
      <c r="A1989" s="4">
        <v>2203</v>
      </c>
      <c r="B1989" s="5">
        <v>1982</v>
      </c>
      <c r="C1989">
        <v>1366</v>
      </c>
      <c r="D1989" t="s">
        <v>14433</v>
      </c>
      <c r="E1989" t="s">
        <v>1023</v>
      </c>
      <c r="F1989" t="s">
        <v>17</v>
      </c>
      <c r="G1989" t="s">
        <v>14434</v>
      </c>
      <c r="H1989">
        <v>17.8</v>
      </c>
      <c r="I1989">
        <v>0</v>
      </c>
      <c r="J1989">
        <v>0</v>
      </c>
      <c r="K1989">
        <v>0</v>
      </c>
      <c r="L1989">
        <v>7</v>
      </c>
      <c r="N1989">
        <v>3</v>
      </c>
      <c r="O1989">
        <v>10</v>
      </c>
      <c r="P1989">
        <v>4</v>
      </c>
      <c r="Q1989">
        <v>2</v>
      </c>
      <c r="R1989">
        <v>33.799999999999997</v>
      </c>
      <c r="S1989">
        <v>17</v>
      </c>
      <c r="T1989">
        <v>17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17</v>
      </c>
      <c r="AB1989">
        <v>0</v>
      </c>
      <c r="AC1989">
        <v>0</v>
      </c>
      <c r="AH1989">
        <v>50.8</v>
      </c>
    </row>
    <row r="1990" spans="1:34" x14ac:dyDescent="0.3">
      <c r="A1990" s="4">
        <v>2204</v>
      </c>
      <c r="B1990" s="5">
        <v>1983</v>
      </c>
      <c r="C1990">
        <v>4369</v>
      </c>
      <c r="D1990" t="s">
        <v>14435</v>
      </c>
      <c r="E1990" t="s">
        <v>104</v>
      </c>
      <c r="F1990" t="s">
        <v>117</v>
      </c>
      <c r="G1990" t="s">
        <v>14436</v>
      </c>
      <c r="H1990">
        <v>19.8</v>
      </c>
      <c r="I1990">
        <v>0</v>
      </c>
      <c r="J1990">
        <v>0</v>
      </c>
      <c r="K1990">
        <v>0</v>
      </c>
      <c r="L1990">
        <v>7</v>
      </c>
      <c r="O1990">
        <v>7</v>
      </c>
      <c r="P1990">
        <v>4</v>
      </c>
      <c r="Q1990">
        <v>2</v>
      </c>
      <c r="R1990">
        <v>32.799999999999997</v>
      </c>
      <c r="S1990">
        <v>12</v>
      </c>
      <c r="T1990">
        <v>12</v>
      </c>
      <c r="U1990">
        <v>3</v>
      </c>
      <c r="V1990">
        <v>6</v>
      </c>
      <c r="W1990">
        <v>0</v>
      </c>
      <c r="X1990">
        <v>0</v>
      </c>
      <c r="Y1990">
        <v>0</v>
      </c>
      <c r="Z1990">
        <v>0</v>
      </c>
      <c r="AA1990">
        <v>18</v>
      </c>
      <c r="AB1990">
        <v>0</v>
      </c>
      <c r="AC1990">
        <v>0</v>
      </c>
      <c r="AH1990">
        <v>50.8</v>
      </c>
    </row>
    <row r="1991" spans="1:34" x14ac:dyDescent="0.3">
      <c r="A1991" s="4">
        <v>2205</v>
      </c>
      <c r="B1991" s="5">
        <v>1984</v>
      </c>
      <c r="C1991">
        <v>5274</v>
      </c>
      <c r="D1991" t="s">
        <v>14437</v>
      </c>
      <c r="E1991" t="s">
        <v>97</v>
      </c>
      <c r="F1991" t="s">
        <v>38</v>
      </c>
      <c r="G1991" t="s">
        <v>14438</v>
      </c>
      <c r="H1991">
        <v>19.73</v>
      </c>
      <c r="I1991">
        <v>0</v>
      </c>
      <c r="J1991">
        <v>0</v>
      </c>
      <c r="K1991">
        <v>20</v>
      </c>
      <c r="L1991">
        <v>7</v>
      </c>
      <c r="O1991">
        <v>7</v>
      </c>
      <c r="P1991">
        <v>4</v>
      </c>
      <c r="Q1991">
        <v>0</v>
      </c>
      <c r="R1991">
        <v>50.73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H1991">
        <v>50.73</v>
      </c>
    </row>
    <row r="1992" spans="1:34" x14ac:dyDescent="0.3">
      <c r="A1992" s="4">
        <v>2206</v>
      </c>
      <c r="B1992" s="5">
        <v>1985</v>
      </c>
      <c r="C1992">
        <v>6061</v>
      </c>
      <c r="D1992" t="s">
        <v>7098</v>
      </c>
      <c r="E1992" t="s">
        <v>100</v>
      </c>
      <c r="F1992" t="s">
        <v>81</v>
      </c>
      <c r="G1992" t="s">
        <v>14439</v>
      </c>
      <c r="H1992">
        <v>20.7</v>
      </c>
      <c r="I1992">
        <v>0</v>
      </c>
      <c r="J1992">
        <v>0</v>
      </c>
      <c r="K1992">
        <v>20</v>
      </c>
      <c r="N1992">
        <v>3</v>
      </c>
      <c r="O1992">
        <v>3</v>
      </c>
      <c r="P1992">
        <v>4</v>
      </c>
      <c r="Q1992">
        <v>0</v>
      </c>
      <c r="R1992">
        <v>47.7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3</v>
      </c>
      <c r="AC1992">
        <v>0</v>
      </c>
      <c r="AH1992">
        <v>50.7</v>
      </c>
    </row>
    <row r="1993" spans="1:34" x14ac:dyDescent="0.3">
      <c r="A1993" s="4">
        <v>2207</v>
      </c>
      <c r="B1993" s="5">
        <v>1986</v>
      </c>
      <c r="C1993">
        <v>10050</v>
      </c>
      <c r="D1993" t="s">
        <v>14440</v>
      </c>
      <c r="E1993" t="s">
        <v>54</v>
      </c>
      <c r="F1993" t="s">
        <v>587</v>
      </c>
      <c r="G1993" t="s">
        <v>14441</v>
      </c>
      <c r="H1993">
        <v>17.7</v>
      </c>
      <c r="I1993">
        <v>0</v>
      </c>
      <c r="J1993">
        <v>0</v>
      </c>
      <c r="K1993">
        <v>20</v>
      </c>
      <c r="L1993">
        <v>7</v>
      </c>
      <c r="O1993">
        <v>7</v>
      </c>
      <c r="P1993">
        <v>4</v>
      </c>
      <c r="Q1993">
        <v>2</v>
      </c>
      <c r="R1993">
        <v>50.7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 t="s">
        <v>130</v>
      </c>
      <c r="AH1993">
        <v>50.7</v>
      </c>
    </row>
    <row r="1994" spans="1:34" x14ac:dyDescent="0.3">
      <c r="A1994" s="4">
        <v>2208</v>
      </c>
      <c r="B1994" s="5">
        <v>1987</v>
      </c>
      <c r="C1994">
        <v>13421</v>
      </c>
      <c r="D1994" t="s">
        <v>14442</v>
      </c>
      <c r="E1994" t="s">
        <v>667</v>
      </c>
      <c r="F1994" t="s">
        <v>20</v>
      </c>
      <c r="G1994" t="s">
        <v>14443</v>
      </c>
      <c r="H1994">
        <v>19.649999999999999</v>
      </c>
      <c r="I1994">
        <v>0</v>
      </c>
      <c r="J1994">
        <v>0</v>
      </c>
      <c r="K1994">
        <v>20</v>
      </c>
      <c r="L1994">
        <v>7</v>
      </c>
      <c r="O1994">
        <v>7</v>
      </c>
      <c r="P1994">
        <v>4</v>
      </c>
      <c r="Q1994">
        <v>0</v>
      </c>
      <c r="R1994">
        <v>50.65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H1994">
        <v>50.65</v>
      </c>
    </row>
    <row r="1995" spans="1:34" x14ac:dyDescent="0.3">
      <c r="A1995" s="4">
        <v>2209</v>
      </c>
      <c r="B1995" s="5">
        <v>1988</v>
      </c>
      <c r="C1995">
        <v>9871</v>
      </c>
      <c r="D1995" t="s">
        <v>14444</v>
      </c>
      <c r="E1995" t="s">
        <v>213</v>
      </c>
      <c r="F1995" t="s">
        <v>167</v>
      </c>
      <c r="G1995" t="s">
        <v>14445</v>
      </c>
      <c r="H1995">
        <v>21.65</v>
      </c>
      <c r="I1995">
        <v>7</v>
      </c>
      <c r="J1995">
        <v>0</v>
      </c>
      <c r="K1995">
        <v>0</v>
      </c>
      <c r="L1995">
        <v>7</v>
      </c>
      <c r="N1995">
        <v>3</v>
      </c>
      <c r="O1995">
        <v>10</v>
      </c>
      <c r="P1995">
        <v>4</v>
      </c>
      <c r="Q1995">
        <v>2</v>
      </c>
      <c r="R1995">
        <v>44.65</v>
      </c>
      <c r="S1995">
        <v>6</v>
      </c>
      <c r="T1995">
        <v>6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6</v>
      </c>
      <c r="AB1995">
        <v>0</v>
      </c>
      <c r="AC1995">
        <v>0</v>
      </c>
      <c r="AH1995">
        <v>50.65</v>
      </c>
    </row>
    <row r="1996" spans="1:34" x14ac:dyDescent="0.3">
      <c r="A1996" s="4">
        <v>2210</v>
      </c>
      <c r="B1996" s="5">
        <v>1989</v>
      </c>
      <c r="C1996">
        <v>7896</v>
      </c>
      <c r="D1996" t="s">
        <v>5729</v>
      </c>
      <c r="E1996" t="s">
        <v>692</v>
      </c>
      <c r="F1996" t="s">
        <v>38</v>
      </c>
      <c r="G1996" t="s">
        <v>14446</v>
      </c>
      <c r="H1996">
        <v>18.63</v>
      </c>
      <c r="I1996">
        <v>0</v>
      </c>
      <c r="J1996">
        <v>0</v>
      </c>
      <c r="K1996">
        <v>20</v>
      </c>
      <c r="M1996">
        <v>5</v>
      </c>
      <c r="N1996">
        <v>3</v>
      </c>
      <c r="O1996">
        <v>8</v>
      </c>
      <c r="P1996">
        <v>4</v>
      </c>
      <c r="Q1996">
        <v>0</v>
      </c>
      <c r="R1996">
        <v>50.63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H1996">
        <v>50.63</v>
      </c>
    </row>
    <row r="1997" spans="1:34" x14ac:dyDescent="0.3">
      <c r="A1997" s="4">
        <v>2211</v>
      </c>
      <c r="B1997" s="5">
        <v>1990</v>
      </c>
      <c r="C1997">
        <v>6805</v>
      </c>
      <c r="D1997" t="s">
        <v>14447</v>
      </c>
      <c r="E1997" t="s">
        <v>149</v>
      </c>
      <c r="F1997" t="s">
        <v>892</v>
      </c>
      <c r="G1997" t="s">
        <v>14448</v>
      </c>
      <c r="H1997">
        <v>16.600000000000001</v>
      </c>
      <c r="I1997">
        <v>0</v>
      </c>
      <c r="J1997">
        <v>0</v>
      </c>
      <c r="K1997">
        <v>20</v>
      </c>
      <c r="L1997">
        <v>7</v>
      </c>
      <c r="N1997">
        <v>3</v>
      </c>
      <c r="O1997">
        <v>10</v>
      </c>
      <c r="P1997">
        <v>4</v>
      </c>
      <c r="Q1997">
        <v>0</v>
      </c>
      <c r="R1997">
        <v>50.6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H1997">
        <v>50.6</v>
      </c>
    </row>
    <row r="1998" spans="1:34" x14ac:dyDescent="0.3">
      <c r="A1998" s="4">
        <v>2212</v>
      </c>
      <c r="B1998" s="5">
        <v>1991</v>
      </c>
      <c r="C1998">
        <v>15295</v>
      </c>
      <c r="D1998" t="s">
        <v>14449</v>
      </c>
      <c r="E1998" t="s">
        <v>97</v>
      </c>
      <c r="F1998" t="s">
        <v>782</v>
      </c>
      <c r="G1998" t="s">
        <v>14450</v>
      </c>
      <c r="H1998">
        <v>17.55</v>
      </c>
      <c r="I1998">
        <v>0</v>
      </c>
      <c r="J1998">
        <v>0</v>
      </c>
      <c r="K1998">
        <v>20</v>
      </c>
      <c r="L1998">
        <v>7</v>
      </c>
      <c r="O1998">
        <v>7</v>
      </c>
      <c r="P1998">
        <v>4</v>
      </c>
      <c r="Q1998">
        <v>2</v>
      </c>
      <c r="R1998">
        <v>50.55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 t="s">
        <v>130</v>
      </c>
      <c r="AH1998">
        <v>50.55</v>
      </c>
    </row>
    <row r="1999" spans="1:34" x14ac:dyDescent="0.3">
      <c r="A1999" s="4">
        <v>2213</v>
      </c>
      <c r="B1999" s="5">
        <v>1992</v>
      </c>
      <c r="C1999">
        <v>14282</v>
      </c>
      <c r="D1999" t="s">
        <v>14451</v>
      </c>
      <c r="E1999" t="s">
        <v>14452</v>
      </c>
      <c r="F1999" t="s">
        <v>20</v>
      </c>
      <c r="G1999" t="s">
        <v>14453</v>
      </c>
      <c r="H1999">
        <v>18.53</v>
      </c>
      <c r="I1999">
        <v>0</v>
      </c>
      <c r="J1999">
        <v>0</v>
      </c>
      <c r="K1999">
        <v>20</v>
      </c>
      <c r="L1999">
        <v>7</v>
      </c>
      <c r="M1999">
        <v>5</v>
      </c>
      <c r="O1999">
        <v>12</v>
      </c>
      <c r="P1999">
        <v>0</v>
      </c>
      <c r="Q1999">
        <v>0</v>
      </c>
      <c r="R1999">
        <v>50.53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H1999">
        <v>50.53</v>
      </c>
    </row>
    <row r="2000" spans="1:34" x14ac:dyDescent="0.3">
      <c r="A2000" s="4">
        <v>2214</v>
      </c>
      <c r="B2000" s="5">
        <v>1993</v>
      </c>
      <c r="C2000">
        <v>14346</v>
      </c>
      <c r="D2000" t="s">
        <v>6318</v>
      </c>
      <c r="E2000" t="s">
        <v>667</v>
      </c>
      <c r="F2000" t="s">
        <v>38</v>
      </c>
      <c r="G2000" t="s">
        <v>14454</v>
      </c>
      <c r="H2000">
        <v>18.53</v>
      </c>
      <c r="I2000">
        <v>0</v>
      </c>
      <c r="J2000">
        <v>0</v>
      </c>
      <c r="K2000">
        <v>20</v>
      </c>
      <c r="L2000">
        <v>7</v>
      </c>
      <c r="N2000">
        <v>3</v>
      </c>
      <c r="O2000">
        <v>10</v>
      </c>
      <c r="P2000">
        <v>0</v>
      </c>
      <c r="Q2000">
        <v>2</v>
      </c>
      <c r="R2000">
        <v>50.53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H2000">
        <v>50.53</v>
      </c>
    </row>
    <row r="2001" spans="1:34" x14ac:dyDescent="0.3">
      <c r="A2001" s="4">
        <v>2215</v>
      </c>
      <c r="B2001" s="5">
        <v>1994</v>
      </c>
      <c r="C2001">
        <v>3824</v>
      </c>
      <c r="D2001" t="s">
        <v>14455</v>
      </c>
      <c r="E2001" t="s">
        <v>208</v>
      </c>
      <c r="F2001" t="s">
        <v>124</v>
      </c>
      <c r="G2001" t="s">
        <v>14456</v>
      </c>
      <c r="H2001">
        <v>14.7</v>
      </c>
      <c r="I2001">
        <v>0</v>
      </c>
      <c r="J2001">
        <v>0</v>
      </c>
      <c r="K2001">
        <v>0</v>
      </c>
      <c r="O2001">
        <v>0</v>
      </c>
      <c r="P2001">
        <v>4</v>
      </c>
      <c r="Q2001">
        <v>2</v>
      </c>
      <c r="R2001">
        <v>20.7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3</v>
      </c>
      <c r="AC2001">
        <v>26.8</v>
      </c>
      <c r="AH2001">
        <v>50.5</v>
      </c>
    </row>
    <row r="2002" spans="1:34" x14ac:dyDescent="0.3">
      <c r="A2002" s="4">
        <v>2216</v>
      </c>
      <c r="B2002" s="5">
        <v>1995</v>
      </c>
      <c r="C2002">
        <v>8424</v>
      </c>
      <c r="D2002" t="s">
        <v>14457</v>
      </c>
      <c r="E2002" t="s">
        <v>88</v>
      </c>
      <c r="F2002" t="s">
        <v>243</v>
      </c>
      <c r="G2002" t="s">
        <v>14458</v>
      </c>
      <c r="H2002">
        <v>17.5</v>
      </c>
      <c r="I2002">
        <v>0</v>
      </c>
      <c r="J2002">
        <v>0</v>
      </c>
      <c r="K2002">
        <v>20</v>
      </c>
      <c r="N2002">
        <v>3</v>
      </c>
      <c r="O2002">
        <v>3</v>
      </c>
      <c r="P2002">
        <v>4</v>
      </c>
      <c r="Q2002">
        <v>0</v>
      </c>
      <c r="R2002">
        <v>44.5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6</v>
      </c>
      <c r="AC2002">
        <v>0</v>
      </c>
      <c r="AH2002">
        <v>50.5</v>
      </c>
    </row>
    <row r="2003" spans="1:34" x14ac:dyDescent="0.3">
      <c r="A2003" s="4">
        <v>2217</v>
      </c>
      <c r="B2003" s="5">
        <v>1996</v>
      </c>
      <c r="C2003">
        <v>2626</v>
      </c>
      <c r="D2003" t="s">
        <v>8201</v>
      </c>
      <c r="E2003" t="s">
        <v>7864</v>
      </c>
      <c r="F2003" t="s">
        <v>190</v>
      </c>
      <c r="G2003" t="s">
        <v>14459</v>
      </c>
      <c r="H2003">
        <v>18.5</v>
      </c>
      <c r="I2003">
        <v>0</v>
      </c>
      <c r="J2003">
        <v>0</v>
      </c>
      <c r="K2003">
        <v>20</v>
      </c>
      <c r="M2003">
        <v>5</v>
      </c>
      <c r="N2003">
        <v>3</v>
      </c>
      <c r="O2003">
        <v>8</v>
      </c>
      <c r="P2003">
        <v>4</v>
      </c>
      <c r="Q2003">
        <v>0</v>
      </c>
      <c r="R2003">
        <v>50.5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H2003">
        <v>50.5</v>
      </c>
    </row>
    <row r="2004" spans="1:34" x14ac:dyDescent="0.3">
      <c r="A2004" s="4">
        <v>2218</v>
      </c>
      <c r="B2004" s="5">
        <v>1997</v>
      </c>
      <c r="C2004">
        <v>11164</v>
      </c>
      <c r="D2004" t="s">
        <v>3764</v>
      </c>
      <c r="E2004" t="s">
        <v>255</v>
      </c>
      <c r="F2004" t="s">
        <v>79</v>
      </c>
      <c r="G2004" t="s">
        <v>14460</v>
      </c>
      <c r="H2004">
        <v>16.5</v>
      </c>
      <c r="I2004">
        <v>0</v>
      </c>
      <c r="J2004">
        <v>0</v>
      </c>
      <c r="K2004">
        <v>20</v>
      </c>
      <c r="L2004">
        <v>7</v>
      </c>
      <c r="N2004">
        <v>3</v>
      </c>
      <c r="O2004">
        <v>10</v>
      </c>
      <c r="P2004">
        <v>4</v>
      </c>
      <c r="Q2004">
        <v>0</v>
      </c>
      <c r="R2004">
        <v>50.5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H2004">
        <v>50.5</v>
      </c>
    </row>
    <row r="2005" spans="1:34" x14ac:dyDescent="0.3">
      <c r="A2005" s="4">
        <v>2219</v>
      </c>
      <c r="B2005" s="5">
        <v>1998</v>
      </c>
      <c r="C2005">
        <v>6270</v>
      </c>
      <c r="D2005" t="s">
        <v>14461</v>
      </c>
      <c r="E2005" t="s">
        <v>14462</v>
      </c>
      <c r="F2005" t="s">
        <v>14463</v>
      </c>
      <c r="G2005" t="s">
        <v>14464</v>
      </c>
      <c r="H2005">
        <v>14.68</v>
      </c>
      <c r="I2005">
        <v>0</v>
      </c>
      <c r="J2005">
        <v>0</v>
      </c>
      <c r="K2005">
        <v>0</v>
      </c>
      <c r="N2005">
        <v>3</v>
      </c>
      <c r="O2005">
        <v>3</v>
      </c>
      <c r="P2005">
        <v>4</v>
      </c>
      <c r="Q2005">
        <v>2</v>
      </c>
      <c r="R2005">
        <v>23.68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26.8</v>
      </c>
      <c r="AD2005" t="s">
        <v>130</v>
      </c>
      <c r="AH2005">
        <v>50.48</v>
      </c>
    </row>
    <row r="2006" spans="1:34" x14ac:dyDescent="0.3">
      <c r="A2006" s="4">
        <v>2220</v>
      </c>
      <c r="B2006" s="5">
        <v>1999</v>
      </c>
      <c r="C2006">
        <v>2608</v>
      </c>
      <c r="D2006" t="s">
        <v>10903</v>
      </c>
      <c r="E2006" t="s">
        <v>14465</v>
      </c>
      <c r="F2006" t="s">
        <v>62</v>
      </c>
      <c r="G2006" t="s">
        <v>14466</v>
      </c>
      <c r="H2006">
        <v>18.45</v>
      </c>
      <c r="I2006">
        <v>0</v>
      </c>
      <c r="J2006">
        <v>0</v>
      </c>
      <c r="K2006">
        <v>0</v>
      </c>
      <c r="L2006">
        <v>7</v>
      </c>
      <c r="O2006">
        <v>7</v>
      </c>
      <c r="P2006">
        <v>0</v>
      </c>
      <c r="Q2006">
        <v>2</v>
      </c>
      <c r="R2006">
        <v>27.45</v>
      </c>
      <c r="S2006">
        <v>23</v>
      </c>
      <c r="T2006">
        <v>23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23</v>
      </c>
      <c r="AB2006">
        <v>0</v>
      </c>
      <c r="AC2006">
        <v>0</v>
      </c>
      <c r="AH2006">
        <v>50.45</v>
      </c>
    </row>
    <row r="2007" spans="1:34" x14ac:dyDescent="0.3">
      <c r="A2007" s="4">
        <v>2221</v>
      </c>
      <c r="B2007" s="5">
        <v>2000</v>
      </c>
      <c r="C2007">
        <v>7593</v>
      </c>
      <c r="D2007" t="s">
        <v>2416</v>
      </c>
      <c r="E2007" t="s">
        <v>143</v>
      </c>
      <c r="F2007" t="s">
        <v>17</v>
      </c>
      <c r="G2007" t="s">
        <v>14467</v>
      </c>
      <c r="H2007">
        <v>18.43</v>
      </c>
      <c r="I2007">
        <v>0</v>
      </c>
      <c r="J2007">
        <v>0</v>
      </c>
      <c r="K2007">
        <v>20</v>
      </c>
      <c r="L2007">
        <v>7</v>
      </c>
      <c r="O2007">
        <v>7</v>
      </c>
      <c r="P2007">
        <v>0</v>
      </c>
      <c r="Q2007">
        <v>0</v>
      </c>
      <c r="R2007">
        <v>45.43</v>
      </c>
      <c r="S2007">
        <v>5</v>
      </c>
      <c r="T2007">
        <v>5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5</v>
      </c>
      <c r="AB2007">
        <v>0</v>
      </c>
      <c r="AC2007">
        <v>0</v>
      </c>
      <c r="AH2007">
        <v>50.43</v>
      </c>
    </row>
    <row r="2008" spans="1:34" x14ac:dyDescent="0.3">
      <c r="A2008" s="4">
        <v>2222</v>
      </c>
      <c r="B2008" s="5">
        <v>2001</v>
      </c>
      <c r="C2008">
        <v>13366</v>
      </c>
      <c r="D2008" t="s">
        <v>14468</v>
      </c>
      <c r="E2008" t="s">
        <v>100</v>
      </c>
      <c r="F2008" t="s">
        <v>801</v>
      </c>
      <c r="G2008" t="s">
        <v>14469</v>
      </c>
      <c r="H2008">
        <v>17.43</v>
      </c>
      <c r="I2008">
        <v>0</v>
      </c>
      <c r="J2008">
        <v>0</v>
      </c>
      <c r="K2008">
        <v>0</v>
      </c>
      <c r="L2008">
        <v>14</v>
      </c>
      <c r="O2008">
        <v>14</v>
      </c>
      <c r="P2008">
        <v>4</v>
      </c>
      <c r="Q2008">
        <v>0</v>
      </c>
      <c r="R2008">
        <v>35.43</v>
      </c>
      <c r="S2008">
        <v>15</v>
      </c>
      <c r="T2008">
        <v>15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15</v>
      </c>
      <c r="AB2008">
        <v>0</v>
      </c>
      <c r="AC2008">
        <v>0</v>
      </c>
      <c r="AD2008" t="s">
        <v>130</v>
      </c>
      <c r="AE2008" t="s">
        <v>130</v>
      </c>
      <c r="AH2008">
        <v>50.43</v>
      </c>
    </row>
    <row r="2009" spans="1:34" x14ac:dyDescent="0.3">
      <c r="A2009" s="4">
        <v>2223</v>
      </c>
      <c r="B2009" s="5">
        <v>2002</v>
      </c>
      <c r="C2009">
        <v>14387</v>
      </c>
      <c r="D2009" t="s">
        <v>14470</v>
      </c>
      <c r="E2009" t="s">
        <v>161</v>
      </c>
      <c r="F2009" t="s">
        <v>179</v>
      </c>
      <c r="G2009" t="s">
        <v>14471</v>
      </c>
      <c r="H2009">
        <v>19.399999999999999</v>
      </c>
      <c r="I2009">
        <v>0</v>
      </c>
      <c r="J2009">
        <v>0</v>
      </c>
      <c r="K2009">
        <v>20</v>
      </c>
      <c r="L2009">
        <v>7</v>
      </c>
      <c r="O2009">
        <v>7</v>
      </c>
      <c r="P2009">
        <v>4</v>
      </c>
      <c r="Q2009">
        <v>0</v>
      </c>
      <c r="R2009">
        <v>50.4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H2009">
        <v>50.4</v>
      </c>
    </row>
    <row r="2010" spans="1:34" x14ac:dyDescent="0.3">
      <c r="A2010" s="4">
        <v>2224</v>
      </c>
      <c r="B2010" s="5">
        <v>2003</v>
      </c>
      <c r="C2010">
        <v>5373</v>
      </c>
      <c r="D2010" t="s">
        <v>3072</v>
      </c>
      <c r="E2010" t="s">
        <v>406</v>
      </c>
      <c r="F2010" t="s">
        <v>972</v>
      </c>
      <c r="G2010" t="s">
        <v>14472</v>
      </c>
      <c r="H2010">
        <v>19.38</v>
      </c>
      <c r="I2010">
        <v>0</v>
      </c>
      <c r="J2010">
        <v>0</v>
      </c>
      <c r="K2010">
        <v>20</v>
      </c>
      <c r="L2010">
        <v>7</v>
      </c>
      <c r="O2010">
        <v>7</v>
      </c>
      <c r="P2010">
        <v>4</v>
      </c>
      <c r="Q2010">
        <v>0</v>
      </c>
      <c r="R2010">
        <v>50.38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H2010">
        <v>50.38</v>
      </c>
    </row>
    <row r="2011" spans="1:34" x14ac:dyDescent="0.3">
      <c r="A2011" s="4">
        <v>2225</v>
      </c>
      <c r="B2011" s="5">
        <v>2004</v>
      </c>
      <c r="C2011">
        <v>2687</v>
      </c>
      <c r="D2011" t="s">
        <v>14473</v>
      </c>
      <c r="E2011" t="s">
        <v>14474</v>
      </c>
      <c r="F2011" t="s">
        <v>30</v>
      </c>
      <c r="G2011" t="s">
        <v>14475</v>
      </c>
      <c r="H2011">
        <v>17.38</v>
      </c>
      <c r="I2011">
        <v>0</v>
      </c>
      <c r="J2011">
        <v>0</v>
      </c>
      <c r="K2011">
        <v>20</v>
      </c>
      <c r="L2011">
        <v>7</v>
      </c>
      <c r="O2011">
        <v>7</v>
      </c>
      <c r="P2011">
        <v>0</v>
      </c>
      <c r="Q2011">
        <v>0</v>
      </c>
      <c r="R2011">
        <v>44.38</v>
      </c>
      <c r="S2011">
        <v>6</v>
      </c>
      <c r="T2011">
        <v>6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6</v>
      </c>
      <c r="AB2011">
        <v>0</v>
      </c>
      <c r="AC2011">
        <v>0</v>
      </c>
      <c r="AH2011">
        <v>50.38</v>
      </c>
    </row>
    <row r="2012" spans="1:34" x14ac:dyDescent="0.3">
      <c r="A2012" s="4">
        <v>2226</v>
      </c>
      <c r="B2012" s="5">
        <v>2005</v>
      </c>
      <c r="C2012">
        <v>12059</v>
      </c>
      <c r="D2012" t="s">
        <v>14476</v>
      </c>
      <c r="E2012" t="s">
        <v>14477</v>
      </c>
      <c r="F2012" t="s">
        <v>62</v>
      </c>
      <c r="G2012" t="s">
        <v>14478</v>
      </c>
      <c r="H2012">
        <v>16.38</v>
      </c>
      <c r="I2012">
        <v>0</v>
      </c>
      <c r="J2012">
        <v>0</v>
      </c>
      <c r="K2012">
        <v>0</v>
      </c>
      <c r="L2012">
        <v>7</v>
      </c>
      <c r="O2012">
        <v>7</v>
      </c>
      <c r="P2012">
        <v>4</v>
      </c>
      <c r="Q2012">
        <v>2</v>
      </c>
      <c r="R2012">
        <v>29.38</v>
      </c>
      <c r="S2012">
        <v>7</v>
      </c>
      <c r="T2012">
        <v>7</v>
      </c>
      <c r="U2012">
        <v>7</v>
      </c>
      <c r="V2012">
        <v>14</v>
      </c>
      <c r="W2012">
        <v>0</v>
      </c>
      <c r="X2012">
        <v>0</v>
      </c>
      <c r="Y2012">
        <v>0</v>
      </c>
      <c r="Z2012">
        <v>0</v>
      </c>
      <c r="AA2012">
        <v>21</v>
      </c>
      <c r="AB2012">
        <v>0</v>
      </c>
      <c r="AC2012">
        <v>0</v>
      </c>
      <c r="AD2012" t="s">
        <v>130</v>
      </c>
      <c r="AE2012" t="s">
        <v>130</v>
      </c>
      <c r="AH2012">
        <v>50.38</v>
      </c>
    </row>
    <row r="2013" spans="1:34" x14ac:dyDescent="0.3">
      <c r="A2013" s="4">
        <v>2227</v>
      </c>
      <c r="B2013" s="5">
        <v>2006</v>
      </c>
      <c r="C2013">
        <v>4567</v>
      </c>
      <c r="D2013" t="s">
        <v>181</v>
      </c>
      <c r="E2013" t="s">
        <v>166</v>
      </c>
      <c r="F2013" t="s">
        <v>68</v>
      </c>
      <c r="G2013" t="s">
        <v>14479</v>
      </c>
      <c r="H2013">
        <v>23.35</v>
      </c>
      <c r="I2013">
        <v>0</v>
      </c>
      <c r="J2013">
        <v>0</v>
      </c>
      <c r="K2013">
        <v>20</v>
      </c>
      <c r="N2013">
        <v>3</v>
      </c>
      <c r="O2013">
        <v>3</v>
      </c>
      <c r="P2013">
        <v>4</v>
      </c>
      <c r="Q2013">
        <v>0</v>
      </c>
      <c r="R2013">
        <v>50.35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H2013">
        <v>50.35</v>
      </c>
    </row>
    <row r="2014" spans="1:34" x14ac:dyDescent="0.3">
      <c r="A2014" s="4">
        <v>2228</v>
      </c>
      <c r="B2014" s="5">
        <v>2007</v>
      </c>
      <c r="C2014">
        <v>158</v>
      </c>
      <c r="D2014" t="s">
        <v>14480</v>
      </c>
      <c r="E2014" t="s">
        <v>88</v>
      </c>
      <c r="F2014" t="s">
        <v>91</v>
      </c>
      <c r="G2014" t="s">
        <v>14481</v>
      </c>
      <c r="H2014">
        <v>19.350000000000001</v>
      </c>
      <c r="I2014">
        <v>0</v>
      </c>
      <c r="J2014">
        <v>0</v>
      </c>
      <c r="K2014">
        <v>20</v>
      </c>
      <c r="L2014">
        <v>7</v>
      </c>
      <c r="O2014">
        <v>7</v>
      </c>
      <c r="P2014">
        <v>4</v>
      </c>
      <c r="Q2014">
        <v>0</v>
      </c>
      <c r="R2014">
        <v>50.35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H2014">
        <v>50.35</v>
      </c>
    </row>
    <row r="2015" spans="1:34" x14ac:dyDescent="0.3">
      <c r="A2015" s="4">
        <v>2229</v>
      </c>
      <c r="B2015" s="5">
        <v>2008</v>
      </c>
      <c r="C2015">
        <v>9893</v>
      </c>
      <c r="D2015" t="s">
        <v>14482</v>
      </c>
      <c r="E2015" t="s">
        <v>136</v>
      </c>
      <c r="F2015" t="s">
        <v>14</v>
      </c>
      <c r="G2015" t="s">
        <v>14483</v>
      </c>
      <c r="H2015">
        <v>16.329999999999998</v>
      </c>
      <c r="I2015">
        <v>0</v>
      </c>
      <c r="J2015">
        <v>0</v>
      </c>
      <c r="K2015">
        <v>20</v>
      </c>
      <c r="L2015">
        <v>7</v>
      </c>
      <c r="N2015">
        <v>3</v>
      </c>
      <c r="O2015">
        <v>10</v>
      </c>
      <c r="P2015">
        <v>4</v>
      </c>
      <c r="Q2015">
        <v>0</v>
      </c>
      <c r="R2015">
        <v>50.33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H2015">
        <v>50.33</v>
      </c>
    </row>
    <row r="2016" spans="1:34" x14ac:dyDescent="0.3">
      <c r="A2016" s="4">
        <v>2230</v>
      </c>
      <c r="B2016" s="5">
        <v>2009</v>
      </c>
      <c r="C2016">
        <v>3266</v>
      </c>
      <c r="D2016" t="s">
        <v>14484</v>
      </c>
      <c r="E2016" t="s">
        <v>14485</v>
      </c>
      <c r="F2016" t="s">
        <v>14486</v>
      </c>
      <c r="G2016" t="s">
        <v>14487</v>
      </c>
      <c r="H2016">
        <v>17.28</v>
      </c>
      <c r="I2016">
        <v>0</v>
      </c>
      <c r="J2016">
        <v>0</v>
      </c>
      <c r="K2016">
        <v>20</v>
      </c>
      <c r="L2016">
        <v>7</v>
      </c>
      <c r="N2016">
        <v>3</v>
      </c>
      <c r="O2016">
        <v>10</v>
      </c>
      <c r="P2016">
        <v>0</v>
      </c>
      <c r="Q2016">
        <v>0</v>
      </c>
      <c r="R2016">
        <v>47.28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3</v>
      </c>
      <c r="AC2016">
        <v>0</v>
      </c>
      <c r="AH2016">
        <v>50.28</v>
      </c>
    </row>
    <row r="2017" spans="1:34" x14ac:dyDescent="0.3">
      <c r="A2017" s="4">
        <v>2231</v>
      </c>
      <c r="B2017" s="5">
        <v>2010</v>
      </c>
      <c r="C2017">
        <v>11557</v>
      </c>
      <c r="D2017" t="s">
        <v>14488</v>
      </c>
      <c r="E2017" t="s">
        <v>575</v>
      </c>
      <c r="F2017" t="s">
        <v>328</v>
      </c>
      <c r="G2017" t="s">
        <v>14489</v>
      </c>
      <c r="H2017">
        <v>19.28</v>
      </c>
      <c r="I2017">
        <v>0</v>
      </c>
      <c r="J2017">
        <v>0</v>
      </c>
      <c r="K2017">
        <v>20</v>
      </c>
      <c r="L2017">
        <v>7</v>
      </c>
      <c r="O2017">
        <v>7</v>
      </c>
      <c r="P2017">
        <v>4</v>
      </c>
      <c r="Q2017">
        <v>0</v>
      </c>
      <c r="R2017">
        <v>50.28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H2017">
        <v>50.28</v>
      </c>
    </row>
    <row r="2018" spans="1:34" x14ac:dyDescent="0.3">
      <c r="A2018" s="4">
        <v>2232</v>
      </c>
      <c r="B2018" s="5">
        <v>2011</v>
      </c>
      <c r="C2018">
        <v>5115</v>
      </c>
      <c r="D2018" t="s">
        <v>14490</v>
      </c>
      <c r="E2018" t="s">
        <v>132</v>
      </c>
      <c r="F2018" t="s">
        <v>34</v>
      </c>
      <c r="G2018" t="s">
        <v>14491</v>
      </c>
      <c r="H2018">
        <v>18.25</v>
      </c>
      <c r="I2018">
        <v>0</v>
      </c>
      <c r="J2018">
        <v>0</v>
      </c>
      <c r="K2018">
        <v>0</v>
      </c>
      <c r="L2018">
        <v>7</v>
      </c>
      <c r="N2018">
        <v>3</v>
      </c>
      <c r="O2018">
        <v>10</v>
      </c>
      <c r="P2018">
        <v>0</v>
      </c>
      <c r="Q2018">
        <v>0</v>
      </c>
      <c r="R2018">
        <v>28.25</v>
      </c>
      <c r="S2018">
        <v>19</v>
      </c>
      <c r="T2018">
        <v>19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19</v>
      </c>
      <c r="AB2018">
        <v>3</v>
      </c>
      <c r="AC2018">
        <v>0</v>
      </c>
      <c r="AH2018">
        <v>50.25</v>
      </c>
    </row>
    <row r="2019" spans="1:34" x14ac:dyDescent="0.3">
      <c r="A2019" s="4">
        <v>2233</v>
      </c>
      <c r="B2019" s="5">
        <v>2012</v>
      </c>
      <c r="C2019">
        <v>11168</v>
      </c>
      <c r="D2019" t="s">
        <v>14492</v>
      </c>
      <c r="E2019" t="s">
        <v>161</v>
      </c>
      <c r="F2019" t="s">
        <v>81</v>
      </c>
      <c r="G2019" t="s">
        <v>14493</v>
      </c>
      <c r="H2019">
        <v>17.25</v>
      </c>
      <c r="I2019">
        <v>0</v>
      </c>
      <c r="J2019">
        <v>0</v>
      </c>
      <c r="K2019">
        <v>20</v>
      </c>
      <c r="M2019">
        <v>5</v>
      </c>
      <c r="O2019">
        <v>5</v>
      </c>
      <c r="P2019">
        <v>4</v>
      </c>
      <c r="Q2019">
        <v>0</v>
      </c>
      <c r="R2019">
        <v>46.25</v>
      </c>
      <c r="S2019">
        <v>4</v>
      </c>
      <c r="T2019">
        <v>4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4</v>
      </c>
      <c r="AB2019">
        <v>0</v>
      </c>
      <c r="AC2019">
        <v>0</v>
      </c>
      <c r="AH2019">
        <v>50.25</v>
      </c>
    </row>
    <row r="2020" spans="1:34" x14ac:dyDescent="0.3">
      <c r="A2020" s="4">
        <v>2234</v>
      </c>
      <c r="B2020" s="5">
        <v>2013</v>
      </c>
      <c r="C2020">
        <v>1640</v>
      </c>
      <c r="D2020" t="s">
        <v>14494</v>
      </c>
      <c r="E2020" t="s">
        <v>3736</v>
      </c>
      <c r="F2020" t="s">
        <v>30</v>
      </c>
      <c r="G2020" t="s">
        <v>14495</v>
      </c>
      <c r="H2020">
        <v>20.23</v>
      </c>
      <c r="I2020">
        <v>0</v>
      </c>
      <c r="J2020">
        <v>0</v>
      </c>
      <c r="K2020">
        <v>20</v>
      </c>
      <c r="N2020">
        <v>3</v>
      </c>
      <c r="O2020">
        <v>3</v>
      </c>
      <c r="P2020">
        <v>4</v>
      </c>
      <c r="Q2020">
        <v>0</v>
      </c>
      <c r="R2020">
        <v>47.23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3</v>
      </c>
      <c r="AC2020">
        <v>0</v>
      </c>
      <c r="AH2020">
        <v>50.23</v>
      </c>
    </row>
    <row r="2021" spans="1:34" x14ac:dyDescent="0.3">
      <c r="A2021" s="4">
        <v>2235</v>
      </c>
      <c r="B2021" s="5">
        <v>2014</v>
      </c>
      <c r="C2021">
        <v>15381</v>
      </c>
      <c r="D2021" t="s">
        <v>14496</v>
      </c>
      <c r="E2021" t="s">
        <v>29</v>
      </c>
      <c r="F2021" t="s">
        <v>3642</v>
      </c>
      <c r="G2021" t="s">
        <v>14497</v>
      </c>
      <c r="H2021">
        <v>20.23</v>
      </c>
      <c r="I2021">
        <v>0</v>
      </c>
      <c r="J2021">
        <v>0</v>
      </c>
      <c r="K2021">
        <v>20</v>
      </c>
      <c r="N2021">
        <v>6</v>
      </c>
      <c r="O2021">
        <v>6</v>
      </c>
      <c r="P2021">
        <v>4</v>
      </c>
      <c r="Q2021">
        <v>0</v>
      </c>
      <c r="R2021">
        <v>50.23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H2021">
        <v>50.23</v>
      </c>
    </row>
    <row r="2022" spans="1:34" x14ac:dyDescent="0.3">
      <c r="A2022" s="4">
        <v>2236</v>
      </c>
      <c r="B2022" s="5">
        <v>2015</v>
      </c>
      <c r="C2022">
        <v>9321</v>
      </c>
      <c r="D2022" t="s">
        <v>14498</v>
      </c>
      <c r="E2022" t="s">
        <v>1331</v>
      </c>
      <c r="F2022" t="s">
        <v>38</v>
      </c>
      <c r="G2022" t="s">
        <v>14499</v>
      </c>
      <c r="H2022">
        <v>18.2</v>
      </c>
      <c r="I2022">
        <v>0</v>
      </c>
      <c r="J2022">
        <v>0</v>
      </c>
      <c r="K2022">
        <v>20</v>
      </c>
      <c r="M2022">
        <v>5</v>
      </c>
      <c r="N2022">
        <v>3</v>
      </c>
      <c r="O2022">
        <v>8</v>
      </c>
      <c r="P2022">
        <v>4</v>
      </c>
      <c r="Q2022">
        <v>0</v>
      </c>
      <c r="R2022">
        <v>50.2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H2022">
        <v>50.2</v>
      </c>
    </row>
    <row r="2023" spans="1:34" x14ac:dyDescent="0.3">
      <c r="A2023" s="4">
        <v>2237</v>
      </c>
      <c r="B2023" s="5">
        <v>2016</v>
      </c>
      <c r="C2023">
        <v>9777</v>
      </c>
      <c r="D2023" t="s">
        <v>11072</v>
      </c>
      <c r="E2023" t="s">
        <v>3184</v>
      </c>
      <c r="F2023" t="s">
        <v>20</v>
      </c>
      <c r="G2023" t="s">
        <v>14500</v>
      </c>
      <c r="H2023">
        <v>16.18</v>
      </c>
      <c r="I2023">
        <v>0</v>
      </c>
      <c r="J2023">
        <v>0</v>
      </c>
      <c r="K2023">
        <v>20</v>
      </c>
      <c r="L2023">
        <v>7</v>
      </c>
      <c r="O2023">
        <v>7</v>
      </c>
      <c r="P2023">
        <v>4</v>
      </c>
      <c r="Q2023">
        <v>2</v>
      </c>
      <c r="R2023">
        <v>49.18</v>
      </c>
      <c r="S2023">
        <v>1</v>
      </c>
      <c r="T2023">
        <v>1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1</v>
      </c>
      <c r="AB2023">
        <v>0</v>
      </c>
      <c r="AC2023">
        <v>0</v>
      </c>
      <c r="AD2023" t="s">
        <v>130</v>
      </c>
      <c r="AH2023">
        <v>50.18</v>
      </c>
    </row>
    <row r="2024" spans="1:34" x14ac:dyDescent="0.3">
      <c r="A2024" s="4">
        <v>2238</v>
      </c>
      <c r="B2024" s="5">
        <v>2017</v>
      </c>
      <c r="C2024">
        <v>3661</v>
      </c>
      <c r="D2024" t="s">
        <v>14501</v>
      </c>
      <c r="E2024" t="s">
        <v>4855</v>
      </c>
      <c r="F2024" t="s">
        <v>117</v>
      </c>
      <c r="G2024" t="s">
        <v>14502</v>
      </c>
      <c r="H2024">
        <v>17.149999999999999</v>
      </c>
      <c r="I2024">
        <v>0</v>
      </c>
      <c r="J2024">
        <v>0</v>
      </c>
      <c r="K2024">
        <v>0</v>
      </c>
      <c r="L2024">
        <v>7</v>
      </c>
      <c r="O2024">
        <v>7</v>
      </c>
      <c r="P2024">
        <v>4</v>
      </c>
      <c r="Q2024">
        <v>2</v>
      </c>
      <c r="R2024">
        <v>30.15</v>
      </c>
      <c r="S2024">
        <v>14</v>
      </c>
      <c r="T2024">
        <v>14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14</v>
      </c>
      <c r="AB2024">
        <v>6</v>
      </c>
      <c r="AC2024">
        <v>0</v>
      </c>
      <c r="AH2024">
        <v>50.15</v>
      </c>
    </row>
    <row r="2025" spans="1:34" x14ac:dyDescent="0.3">
      <c r="A2025" s="4">
        <v>2239</v>
      </c>
      <c r="B2025" s="5">
        <v>2018</v>
      </c>
      <c r="C2025">
        <v>12901</v>
      </c>
      <c r="D2025" t="s">
        <v>14503</v>
      </c>
      <c r="E2025" t="s">
        <v>14504</v>
      </c>
      <c r="F2025" t="s">
        <v>14505</v>
      </c>
      <c r="G2025" t="s">
        <v>14506</v>
      </c>
      <c r="H2025">
        <v>19.149999999999999</v>
      </c>
      <c r="I2025">
        <v>0</v>
      </c>
      <c r="J2025">
        <v>0</v>
      </c>
      <c r="K2025">
        <v>20</v>
      </c>
      <c r="L2025">
        <v>7</v>
      </c>
      <c r="O2025">
        <v>7</v>
      </c>
      <c r="P2025">
        <v>4</v>
      </c>
      <c r="Q2025">
        <v>0</v>
      </c>
      <c r="R2025">
        <v>50.15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H2025">
        <v>50.15</v>
      </c>
    </row>
    <row r="2026" spans="1:34" x14ac:dyDescent="0.3">
      <c r="A2026" s="4">
        <v>2240</v>
      </c>
      <c r="B2026" s="5">
        <v>2019</v>
      </c>
      <c r="C2026">
        <v>10905</v>
      </c>
      <c r="D2026" t="s">
        <v>14507</v>
      </c>
      <c r="E2026" t="s">
        <v>29</v>
      </c>
      <c r="F2026" t="s">
        <v>38</v>
      </c>
      <c r="G2026" t="s">
        <v>14508</v>
      </c>
      <c r="H2026">
        <v>23.13</v>
      </c>
      <c r="I2026">
        <v>0</v>
      </c>
      <c r="J2026">
        <v>0</v>
      </c>
      <c r="K2026">
        <v>20</v>
      </c>
      <c r="L2026">
        <v>7</v>
      </c>
      <c r="O2026">
        <v>7</v>
      </c>
      <c r="P2026">
        <v>0</v>
      </c>
      <c r="Q2026">
        <v>0</v>
      </c>
      <c r="R2026">
        <v>50.13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H2026">
        <v>50.13</v>
      </c>
    </row>
    <row r="2027" spans="1:34" x14ac:dyDescent="0.3">
      <c r="A2027" s="4">
        <v>2241</v>
      </c>
      <c r="B2027" s="5">
        <v>2020</v>
      </c>
      <c r="C2027">
        <v>15458</v>
      </c>
      <c r="D2027" t="s">
        <v>222</v>
      </c>
      <c r="E2027" t="s">
        <v>30</v>
      </c>
      <c r="F2027" t="s">
        <v>741</v>
      </c>
      <c r="G2027" t="s">
        <v>14509</v>
      </c>
      <c r="H2027">
        <v>18.13</v>
      </c>
      <c r="I2027">
        <v>7</v>
      </c>
      <c r="J2027">
        <v>0</v>
      </c>
      <c r="K2027">
        <v>20</v>
      </c>
      <c r="M2027">
        <v>5</v>
      </c>
      <c r="O2027">
        <v>5</v>
      </c>
      <c r="P2027">
        <v>0</v>
      </c>
      <c r="Q2027">
        <v>0</v>
      </c>
      <c r="R2027">
        <v>50.13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H2027">
        <v>50.13</v>
      </c>
    </row>
    <row r="2028" spans="1:34" x14ac:dyDescent="0.3">
      <c r="A2028" s="4">
        <v>2242</v>
      </c>
      <c r="B2028" s="5">
        <v>2021</v>
      </c>
      <c r="C2028">
        <v>1018</v>
      </c>
      <c r="D2028" t="s">
        <v>14510</v>
      </c>
      <c r="E2028" t="s">
        <v>68</v>
      </c>
      <c r="F2028" t="s">
        <v>38</v>
      </c>
      <c r="G2028" t="s">
        <v>14511</v>
      </c>
      <c r="H2028">
        <v>16.13</v>
      </c>
      <c r="I2028">
        <v>0</v>
      </c>
      <c r="J2028">
        <v>0</v>
      </c>
      <c r="K2028">
        <v>20</v>
      </c>
      <c r="L2028">
        <v>7</v>
      </c>
      <c r="N2028">
        <v>3</v>
      </c>
      <c r="O2028">
        <v>10</v>
      </c>
      <c r="P2028">
        <v>4</v>
      </c>
      <c r="Q2028">
        <v>0</v>
      </c>
      <c r="R2028">
        <v>50.13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H2028">
        <v>50.13</v>
      </c>
    </row>
    <row r="2029" spans="1:34" x14ac:dyDescent="0.3">
      <c r="A2029" s="4">
        <v>2243</v>
      </c>
      <c r="B2029" s="5">
        <v>2022</v>
      </c>
      <c r="C2029">
        <v>9243</v>
      </c>
      <c r="D2029" t="s">
        <v>14512</v>
      </c>
      <c r="E2029" t="s">
        <v>33</v>
      </c>
      <c r="F2029" t="s">
        <v>782</v>
      </c>
      <c r="G2029" t="s">
        <v>14513</v>
      </c>
      <c r="H2029">
        <v>19.100000000000001</v>
      </c>
      <c r="I2029">
        <v>0</v>
      </c>
      <c r="J2029">
        <v>0</v>
      </c>
      <c r="K2029">
        <v>20</v>
      </c>
      <c r="L2029">
        <v>7</v>
      </c>
      <c r="O2029">
        <v>7</v>
      </c>
      <c r="P2029">
        <v>4</v>
      </c>
      <c r="Q2029">
        <v>0</v>
      </c>
      <c r="R2029">
        <v>50.1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H2029">
        <v>50.1</v>
      </c>
    </row>
    <row r="2030" spans="1:34" x14ac:dyDescent="0.3">
      <c r="A2030" s="4">
        <v>2244</v>
      </c>
      <c r="B2030" s="5">
        <v>2023</v>
      </c>
      <c r="C2030">
        <v>3354</v>
      </c>
      <c r="D2030" t="s">
        <v>6423</v>
      </c>
      <c r="E2030" t="s">
        <v>14514</v>
      </c>
      <c r="F2030" t="s">
        <v>30</v>
      </c>
      <c r="G2030" t="s">
        <v>14515</v>
      </c>
      <c r="H2030">
        <v>19.03</v>
      </c>
      <c r="I2030">
        <v>0</v>
      </c>
      <c r="J2030">
        <v>0</v>
      </c>
      <c r="K2030">
        <v>20</v>
      </c>
      <c r="M2030">
        <v>5</v>
      </c>
      <c r="O2030">
        <v>5</v>
      </c>
      <c r="P2030">
        <v>4</v>
      </c>
      <c r="Q2030">
        <v>2</v>
      </c>
      <c r="R2030">
        <v>50.03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H2030">
        <v>50.03</v>
      </c>
    </row>
    <row r="2031" spans="1:34" x14ac:dyDescent="0.3">
      <c r="A2031" s="4">
        <v>2245</v>
      </c>
      <c r="B2031" s="5">
        <v>2024</v>
      </c>
      <c r="C2031">
        <v>6697</v>
      </c>
      <c r="D2031" t="s">
        <v>14516</v>
      </c>
      <c r="E2031" t="s">
        <v>54</v>
      </c>
      <c r="F2031" t="s">
        <v>3705</v>
      </c>
      <c r="G2031" t="s">
        <v>14517</v>
      </c>
      <c r="H2031">
        <v>17.03</v>
      </c>
      <c r="I2031">
        <v>0</v>
      </c>
      <c r="J2031">
        <v>0</v>
      </c>
      <c r="K2031">
        <v>20</v>
      </c>
      <c r="L2031">
        <v>7</v>
      </c>
      <c r="O2031">
        <v>7</v>
      </c>
      <c r="P2031">
        <v>4</v>
      </c>
      <c r="Q2031">
        <v>2</v>
      </c>
      <c r="R2031">
        <v>50.03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H2031">
        <v>50.03</v>
      </c>
    </row>
    <row r="2032" spans="1:34" x14ac:dyDescent="0.3">
      <c r="A2032" s="4">
        <v>2246</v>
      </c>
      <c r="B2032" s="5">
        <v>2025</v>
      </c>
      <c r="C2032">
        <v>119</v>
      </c>
      <c r="D2032" t="s">
        <v>14518</v>
      </c>
      <c r="E2032" t="s">
        <v>182</v>
      </c>
      <c r="F2032" t="s">
        <v>972</v>
      </c>
      <c r="G2032" t="s">
        <v>14519</v>
      </c>
      <c r="H2032">
        <v>19</v>
      </c>
      <c r="I2032">
        <v>0</v>
      </c>
      <c r="J2032">
        <v>0</v>
      </c>
      <c r="K2032">
        <v>20</v>
      </c>
      <c r="L2032">
        <v>7</v>
      </c>
      <c r="O2032">
        <v>7</v>
      </c>
      <c r="P2032">
        <v>4</v>
      </c>
      <c r="Q2032">
        <v>0</v>
      </c>
      <c r="R2032">
        <v>50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H2032">
        <v>50</v>
      </c>
    </row>
    <row r="2033" spans="1:34" x14ac:dyDescent="0.3">
      <c r="A2033" s="4">
        <v>2247</v>
      </c>
      <c r="B2033" s="5">
        <v>2026</v>
      </c>
      <c r="C2033">
        <v>15375</v>
      </c>
      <c r="D2033" t="s">
        <v>7501</v>
      </c>
      <c r="E2033" t="s">
        <v>188</v>
      </c>
      <c r="F2033" t="s">
        <v>14520</v>
      </c>
      <c r="G2033" t="s">
        <v>14521</v>
      </c>
      <c r="H2033">
        <v>19</v>
      </c>
      <c r="I2033">
        <v>0</v>
      </c>
      <c r="J2033">
        <v>0</v>
      </c>
      <c r="K2033">
        <v>20</v>
      </c>
      <c r="M2033">
        <v>5</v>
      </c>
      <c r="O2033">
        <v>5</v>
      </c>
      <c r="P2033">
        <v>4</v>
      </c>
      <c r="Q2033">
        <v>2</v>
      </c>
      <c r="R2033">
        <v>50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H2033">
        <v>50</v>
      </c>
    </row>
    <row r="2034" spans="1:34" x14ac:dyDescent="0.3">
      <c r="A2034" s="4">
        <v>2248</v>
      </c>
      <c r="B2034" s="5">
        <v>2027</v>
      </c>
      <c r="C2034">
        <v>2701</v>
      </c>
      <c r="D2034" t="s">
        <v>6432</v>
      </c>
      <c r="E2034" t="s">
        <v>26</v>
      </c>
      <c r="F2034" t="s">
        <v>55</v>
      </c>
      <c r="G2034" t="s">
        <v>14522</v>
      </c>
      <c r="H2034">
        <v>16.98</v>
      </c>
      <c r="I2034">
        <v>0</v>
      </c>
      <c r="J2034">
        <v>0</v>
      </c>
      <c r="K2034">
        <v>20</v>
      </c>
      <c r="L2034">
        <v>7</v>
      </c>
      <c r="O2034">
        <v>7</v>
      </c>
      <c r="P2034">
        <v>4</v>
      </c>
      <c r="Q2034">
        <v>2</v>
      </c>
      <c r="R2034">
        <v>49.98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H2034">
        <v>49.98</v>
      </c>
    </row>
    <row r="2035" spans="1:34" x14ac:dyDescent="0.3">
      <c r="A2035" s="4">
        <v>2249</v>
      </c>
      <c r="B2035" s="5">
        <v>2028</v>
      </c>
      <c r="C2035">
        <v>15477</v>
      </c>
      <c r="D2035" t="s">
        <v>14523</v>
      </c>
      <c r="E2035" t="s">
        <v>393</v>
      </c>
      <c r="F2035" t="s">
        <v>38</v>
      </c>
      <c r="G2035" t="s">
        <v>14524</v>
      </c>
      <c r="H2035">
        <v>19.95</v>
      </c>
      <c r="I2035">
        <v>0</v>
      </c>
      <c r="J2035">
        <v>0</v>
      </c>
      <c r="K2035">
        <v>20</v>
      </c>
      <c r="L2035">
        <v>7</v>
      </c>
      <c r="N2035">
        <v>3</v>
      </c>
      <c r="O2035">
        <v>10</v>
      </c>
      <c r="P2035">
        <v>0</v>
      </c>
      <c r="Q2035">
        <v>0</v>
      </c>
      <c r="R2035">
        <v>49.95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H2035">
        <v>49.95</v>
      </c>
    </row>
    <row r="2036" spans="1:34" x14ac:dyDescent="0.3">
      <c r="A2036" s="4">
        <v>2250</v>
      </c>
      <c r="B2036" s="5">
        <v>2029</v>
      </c>
      <c r="C2036">
        <v>14987</v>
      </c>
      <c r="D2036" t="s">
        <v>14525</v>
      </c>
      <c r="E2036" t="s">
        <v>29</v>
      </c>
      <c r="F2036" t="s">
        <v>343</v>
      </c>
      <c r="G2036" t="s">
        <v>14526</v>
      </c>
      <c r="H2036">
        <v>18.95</v>
      </c>
      <c r="I2036">
        <v>0</v>
      </c>
      <c r="J2036">
        <v>0</v>
      </c>
      <c r="K2036">
        <v>20</v>
      </c>
      <c r="M2036">
        <v>5</v>
      </c>
      <c r="O2036">
        <v>5</v>
      </c>
      <c r="P2036">
        <v>4</v>
      </c>
      <c r="Q2036">
        <v>2</v>
      </c>
      <c r="R2036">
        <v>49.95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H2036">
        <v>49.95</v>
      </c>
    </row>
    <row r="2037" spans="1:34" x14ac:dyDescent="0.3">
      <c r="A2037" s="4">
        <v>2251</v>
      </c>
      <c r="B2037" s="5">
        <v>2030</v>
      </c>
      <c r="C2037">
        <v>6878</v>
      </c>
      <c r="D2037" t="s">
        <v>14527</v>
      </c>
      <c r="E2037" t="s">
        <v>957</v>
      </c>
      <c r="F2037" t="s">
        <v>68</v>
      </c>
      <c r="G2037" t="s">
        <v>14528</v>
      </c>
      <c r="H2037">
        <v>19.93</v>
      </c>
      <c r="I2037">
        <v>0</v>
      </c>
      <c r="J2037">
        <v>0</v>
      </c>
      <c r="K2037">
        <v>20</v>
      </c>
      <c r="O2037">
        <v>0</v>
      </c>
      <c r="P2037">
        <v>4</v>
      </c>
      <c r="Q2037">
        <v>0</v>
      </c>
      <c r="R2037">
        <v>43.93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6</v>
      </c>
      <c r="AC2037">
        <v>0</v>
      </c>
      <c r="AH2037">
        <v>49.93</v>
      </c>
    </row>
    <row r="2038" spans="1:34" x14ac:dyDescent="0.3">
      <c r="A2038" s="4">
        <v>2252</v>
      </c>
      <c r="B2038" s="5">
        <v>2031</v>
      </c>
      <c r="C2038">
        <v>9373</v>
      </c>
      <c r="D2038" t="s">
        <v>4564</v>
      </c>
      <c r="E2038" t="s">
        <v>1892</v>
      </c>
      <c r="F2038" t="s">
        <v>17</v>
      </c>
      <c r="G2038" t="s">
        <v>14529</v>
      </c>
      <c r="H2038">
        <v>20.93</v>
      </c>
      <c r="I2038">
        <v>0</v>
      </c>
      <c r="J2038">
        <v>0</v>
      </c>
      <c r="K2038">
        <v>20</v>
      </c>
      <c r="L2038">
        <v>7</v>
      </c>
      <c r="O2038">
        <v>7</v>
      </c>
      <c r="P2038">
        <v>0</v>
      </c>
      <c r="Q2038">
        <v>2</v>
      </c>
      <c r="R2038">
        <v>49.93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H2038">
        <v>49.93</v>
      </c>
    </row>
    <row r="2039" spans="1:34" x14ac:dyDescent="0.3">
      <c r="A2039" s="4">
        <v>2253</v>
      </c>
      <c r="B2039" s="5">
        <v>2032</v>
      </c>
      <c r="C2039">
        <v>1965</v>
      </c>
      <c r="D2039" t="s">
        <v>14530</v>
      </c>
      <c r="E2039" t="s">
        <v>10801</v>
      </c>
      <c r="F2039" t="s">
        <v>14531</v>
      </c>
      <c r="G2039" t="s">
        <v>14532</v>
      </c>
      <c r="H2039">
        <v>16.93</v>
      </c>
      <c r="I2039">
        <v>0</v>
      </c>
      <c r="J2039">
        <v>0</v>
      </c>
      <c r="K2039">
        <v>20</v>
      </c>
      <c r="L2039">
        <v>7</v>
      </c>
      <c r="O2039">
        <v>7</v>
      </c>
      <c r="P2039">
        <v>4</v>
      </c>
      <c r="Q2039">
        <v>0</v>
      </c>
      <c r="R2039">
        <v>47.93</v>
      </c>
      <c r="S2039">
        <v>2</v>
      </c>
      <c r="T2039">
        <v>2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2</v>
      </c>
      <c r="AB2039">
        <v>0</v>
      </c>
      <c r="AC2039">
        <v>0</v>
      </c>
      <c r="AH2039">
        <v>49.93</v>
      </c>
    </row>
    <row r="2040" spans="1:34" x14ac:dyDescent="0.3">
      <c r="A2040" s="4">
        <v>2254</v>
      </c>
      <c r="B2040" s="5">
        <v>2033</v>
      </c>
      <c r="C2040">
        <v>4801</v>
      </c>
      <c r="D2040" t="s">
        <v>14533</v>
      </c>
      <c r="E2040" t="s">
        <v>2481</v>
      </c>
      <c r="F2040" t="s">
        <v>38</v>
      </c>
      <c r="G2040" t="s">
        <v>14534</v>
      </c>
      <c r="H2040">
        <v>17.88</v>
      </c>
      <c r="I2040">
        <v>0</v>
      </c>
      <c r="J2040">
        <v>0</v>
      </c>
      <c r="K2040">
        <v>0</v>
      </c>
      <c r="L2040">
        <v>7</v>
      </c>
      <c r="N2040">
        <v>3</v>
      </c>
      <c r="O2040">
        <v>10</v>
      </c>
      <c r="P2040">
        <v>0</v>
      </c>
      <c r="Q2040">
        <v>0</v>
      </c>
      <c r="R2040">
        <v>27.88</v>
      </c>
      <c r="S2040">
        <v>16</v>
      </c>
      <c r="T2040">
        <v>16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16</v>
      </c>
      <c r="AB2040">
        <v>6</v>
      </c>
      <c r="AC2040">
        <v>0</v>
      </c>
      <c r="AH2040">
        <v>49.88</v>
      </c>
    </row>
    <row r="2041" spans="1:34" x14ac:dyDescent="0.3">
      <c r="A2041" s="4">
        <v>2255</v>
      </c>
      <c r="B2041" s="5">
        <v>2034</v>
      </c>
      <c r="C2041">
        <v>5555</v>
      </c>
      <c r="D2041" t="s">
        <v>14535</v>
      </c>
      <c r="E2041" t="s">
        <v>14536</v>
      </c>
      <c r="F2041" t="s">
        <v>570</v>
      </c>
      <c r="G2041" t="s">
        <v>14537</v>
      </c>
      <c r="H2041">
        <v>18.88</v>
      </c>
      <c r="I2041">
        <v>0</v>
      </c>
      <c r="J2041">
        <v>0</v>
      </c>
      <c r="K2041">
        <v>20</v>
      </c>
      <c r="L2041">
        <v>7</v>
      </c>
      <c r="O2041">
        <v>7</v>
      </c>
      <c r="P2041">
        <v>4</v>
      </c>
      <c r="Q2041">
        <v>0</v>
      </c>
      <c r="R2041">
        <v>49.88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H2041">
        <v>49.88</v>
      </c>
    </row>
    <row r="2042" spans="1:34" x14ac:dyDescent="0.3">
      <c r="A2042" s="4">
        <v>2256</v>
      </c>
      <c r="B2042" s="5">
        <v>2035</v>
      </c>
      <c r="C2042">
        <v>4607</v>
      </c>
      <c r="D2042" t="s">
        <v>14538</v>
      </c>
      <c r="E2042" t="s">
        <v>178</v>
      </c>
      <c r="F2042" t="s">
        <v>38</v>
      </c>
      <c r="G2042" t="s">
        <v>14539</v>
      </c>
      <c r="H2042">
        <v>17.88</v>
      </c>
      <c r="I2042">
        <v>0</v>
      </c>
      <c r="J2042">
        <v>0</v>
      </c>
      <c r="K2042">
        <v>20</v>
      </c>
      <c r="L2042">
        <v>7</v>
      </c>
      <c r="M2042">
        <v>5</v>
      </c>
      <c r="O2042">
        <v>12</v>
      </c>
      <c r="P2042">
        <v>0</v>
      </c>
      <c r="Q2042">
        <v>0</v>
      </c>
      <c r="R2042">
        <v>49.88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H2042">
        <v>49.88</v>
      </c>
    </row>
    <row r="2043" spans="1:34" x14ac:dyDescent="0.3">
      <c r="A2043" s="4">
        <v>2257</v>
      </c>
      <c r="B2043" s="5">
        <v>2036</v>
      </c>
      <c r="C2043">
        <v>9185</v>
      </c>
      <c r="D2043" t="s">
        <v>11072</v>
      </c>
      <c r="E2043" t="s">
        <v>213</v>
      </c>
      <c r="F2043" t="s">
        <v>20</v>
      </c>
      <c r="G2043" t="s">
        <v>14540</v>
      </c>
      <c r="H2043">
        <v>15.88</v>
      </c>
      <c r="I2043">
        <v>0</v>
      </c>
      <c r="J2043">
        <v>0</v>
      </c>
      <c r="K2043">
        <v>0</v>
      </c>
      <c r="L2043">
        <v>7</v>
      </c>
      <c r="O2043">
        <v>7</v>
      </c>
      <c r="P2043">
        <v>4</v>
      </c>
      <c r="Q2043">
        <v>0</v>
      </c>
      <c r="R2043">
        <v>26.88</v>
      </c>
      <c r="S2043">
        <v>23</v>
      </c>
      <c r="T2043">
        <v>23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23</v>
      </c>
      <c r="AB2043">
        <v>0</v>
      </c>
      <c r="AC2043">
        <v>0</v>
      </c>
      <c r="AH2043">
        <v>49.88</v>
      </c>
    </row>
    <row r="2044" spans="1:34" x14ac:dyDescent="0.3">
      <c r="A2044" s="4">
        <v>2258</v>
      </c>
      <c r="B2044" s="5">
        <v>2037</v>
      </c>
      <c r="C2044">
        <v>9237</v>
      </c>
      <c r="D2044" t="s">
        <v>14541</v>
      </c>
      <c r="E2044" t="s">
        <v>54</v>
      </c>
      <c r="F2044" t="s">
        <v>227</v>
      </c>
      <c r="G2044" t="s">
        <v>14542</v>
      </c>
      <c r="H2044">
        <v>19.850000000000001</v>
      </c>
      <c r="I2044">
        <v>0</v>
      </c>
      <c r="J2044">
        <v>0</v>
      </c>
      <c r="K2044">
        <v>20</v>
      </c>
      <c r="L2044">
        <v>7</v>
      </c>
      <c r="N2044">
        <v>3</v>
      </c>
      <c r="O2044">
        <v>10</v>
      </c>
      <c r="P2044">
        <v>0</v>
      </c>
      <c r="Q2044">
        <v>0</v>
      </c>
      <c r="R2044">
        <v>49.85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H2044">
        <v>49.85</v>
      </c>
    </row>
    <row r="2045" spans="1:34" x14ac:dyDescent="0.3">
      <c r="A2045" s="4">
        <v>2259</v>
      </c>
      <c r="B2045" s="5">
        <v>2038</v>
      </c>
      <c r="C2045">
        <v>13144</v>
      </c>
      <c r="D2045" t="s">
        <v>14543</v>
      </c>
      <c r="E2045" t="s">
        <v>29</v>
      </c>
      <c r="F2045" t="s">
        <v>230</v>
      </c>
      <c r="G2045" t="s">
        <v>14544</v>
      </c>
      <c r="H2045">
        <v>21.78</v>
      </c>
      <c r="I2045">
        <v>0</v>
      </c>
      <c r="J2045">
        <v>0</v>
      </c>
      <c r="K2045">
        <v>0</v>
      </c>
      <c r="L2045">
        <v>7</v>
      </c>
      <c r="O2045">
        <v>7</v>
      </c>
      <c r="P2045">
        <v>4</v>
      </c>
      <c r="Q2045">
        <v>2</v>
      </c>
      <c r="R2045">
        <v>34.78</v>
      </c>
      <c r="S2045">
        <v>3</v>
      </c>
      <c r="T2045">
        <v>3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3</v>
      </c>
      <c r="AB2045">
        <v>12</v>
      </c>
      <c r="AC2045">
        <v>0</v>
      </c>
      <c r="AH2045">
        <v>49.78</v>
      </c>
    </row>
    <row r="2046" spans="1:34" x14ac:dyDescent="0.3">
      <c r="A2046" s="4">
        <v>2260</v>
      </c>
      <c r="B2046" s="5">
        <v>2039</v>
      </c>
      <c r="C2046">
        <v>4613</v>
      </c>
      <c r="D2046" t="s">
        <v>4294</v>
      </c>
      <c r="E2046" t="s">
        <v>100</v>
      </c>
      <c r="F2046" t="s">
        <v>20</v>
      </c>
      <c r="G2046" t="s">
        <v>14545</v>
      </c>
      <c r="H2046">
        <v>18.75</v>
      </c>
      <c r="I2046">
        <v>0</v>
      </c>
      <c r="J2046">
        <v>0</v>
      </c>
      <c r="K2046">
        <v>20</v>
      </c>
      <c r="L2046">
        <v>7</v>
      </c>
      <c r="O2046">
        <v>7</v>
      </c>
      <c r="P2046">
        <v>4</v>
      </c>
      <c r="Q2046">
        <v>0</v>
      </c>
      <c r="R2046">
        <v>49.75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H2046">
        <v>49.75</v>
      </c>
    </row>
    <row r="2047" spans="1:34" x14ac:dyDescent="0.3">
      <c r="A2047" s="4">
        <v>2261</v>
      </c>
      <c r="B2047" s="5">
        <v>2040</v>
      </c>
      <c r="C2047">
        <v>5020</v>
      </c>
      <c r="D2047" t="s">
        <v>14546</v>
      </c>
      <c r="E2047" t="s">
        <v>372</v>
      </c>
      <c r="F2047" t="s">
        <v>570</v>
      </c>
      <c r="G2047" t="s">
        <v>14547</v>
      </c>
      <c r="H2047">
        <v>17.73</v>
      </c>
      <c r="I2047">
        <v>0</v>
      </c>
      <c r="J2047">
        <v>0</v>
      </c>
      <c r="K2047">
        <v>20</v>
      </c>
      <c r="M2047">
        <v>5</v>
      </c>
      <c r="O2047">
        <v>5</v>
      </c>
      <c r="P2047">
        <v>4</v>
      </c>
      <c r="Q2047">
        <v>0</v>
      </c>
      <c r="R2047">
        <v>46.73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3</v>
      </c>
      <c r="AC2047">
        <v>0</v>
      </c>
      <c r="AD2047" t="s">
        <v>130</v>
      </c>
      <c r="AH2047">
        <v>49.73</v>
      </c>
    </row>
    <row r="2048" spans="1:34" x14ac:dyDescent="0.3">
      <c r="A2048" s="4">
        <v>2262</v>
      </c>
      <c r="B2048" s="5">
        <v>2041</v>
      </c>
      <c r="C2048">
        <v>6512</v>
      </c>
      <c r="D2048" t="s">
        <v>2449</v>
      </c>
      <c r="E2048" t="s">
        <v>1474</v>
      </c>
      <c r="F2048" t="s">
        <v>892</v>
      </c>
      <c r="G2048" t="s">
        <v>14548</v>
      </c>
      <c r="H2048">
        <v>18.68</v>
      </c>
      <c r="I2048">
        <v>0</v>
      </c>
      <c r="J2048">
        <v>0</v>
      </c>
      <c r="K2048">
        <v>20</v>
      </c>
      <c r="L2048">
        <v>7</v>
      </c>
      <c r="O2048">
        <v>7</v>
      </c>
      <c r="P2048">
        <v>4</v>
      </c>
      <c r="Q2048">
        <v>0</v>
      </c>
      <c r="R2048">
        <v>49.68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H2048">
        <v>49.68</v>
      </c>
    </row>
    <row r="2049" spans="1:34" x14ac:dyDescent="0.3">
      <c r="A2049" s="4">
        <v>2263</v>
      </c>
      <c r="B2049" s="5">
        <v>2042</v>
      </c>
      <c r="C2049">
        <v>13026</v>
      </c>
      <c r="D2049" t="s">
        <v>4108</v>
      </c>
      <c r="E2049" t="s">
        <v>9975</v>
      </c>
      <c r="F2049" t="s">
        <v>136</v>
      </c>
      <c r="G2049" t="s">
        <v>14549</v>
      </c>
      <c r="H2049">
        <v>18.68</v>
      </c>
      <c r="I2049">
        <v>0</v>
      </c>
      <c r="J2049">
        <v>0</v>
      </c>
      <c r="K2049">
        <v>20</v>
      </c>
      <c r="L2049">
        <v>7</v>
      </c>
      <c r="O2049">
        <v>7</v>
      </c>
      <c r="P2049">
        <v>4</v>
      </c>
      <c r="Q2049">
        <v>0</v>
      </c>
      <c r="R2049">
        <v>49.68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H2049">
        <v>49.68</v>
      </c>
    </row>
    <row r="2050" spans="1:34" x14ac:dyDescent="0.3">
      <c r="A2050" s="4">
        <v>2264</v>
      </c>
      <c r="B2050" s="5">
        <v>2043</v>
      </c>
      <c r="C2050">
        <v>9180</v>
      </c>
      <c r="D2050" t="s">
        <v>13386</v>
      </c>
      <c r="E2050" t="s">
        <v>7054</v>
      </c>
      <c r="F2050" t="s">
        <v>20</v>
      </c>
      <c r="G2050" t="s">
        <v>14550</v>
      </c>
      <c r="H2050">
        <v>18.63</v>
      </c>
      <c r="I2050">
        <v>0</v>
      </c>
      <c r="J2050">
        <v>0</v>
      </c>
      <c r="K2050">
        <v>20</v>
      </c>
      <c r="L2050">
        <v>7</v>
      </c>
      <c r="O2050">
        <v>7</v>
      </c>
      <c r="P2050">
        <v>4</v>
      </c>
      <c r="Q2050">
        <v>0</v>
      </c>
      <c r="R2050">
        <v>49.63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H2050">
        <v>49.63</v>
      </c>
    </row>
    <row r="2051" spans="1:34" x14ac:dyDescent="0.3">
      <c r="A2051" s="4">
        <v>2265</v>
      </c>
      <c r="B2051" s="5">
        <v>2044</v>
      </c>
      <c r="C2051">
        <v>11695</v>
      </c>
      <c r="D2051" t="s">
        <v>1707</v>
      </c>
      <c r="E2051" t="s">
        <v>97</v>
      </c>
      <c r="F2051" t="s">
        <v>782</v>
      </c>
      <c r="G2051" t="s">
        <v>14551</v>
      </c>
      <c r="H2051">
        <v>18.63</v>
      </c>
      <c r="I2051">
        <v>0</v>
      </c>
      <c r="J2051">
        <v>0</v>
      </c>
      <c r="K2051">
        <v>20</v>
      </c>
      <c r="L2051">
        <v>7</v>
      </c>
      <c r="O2051">
        <v>7</v>
      </c>
      <c r="P2051">
        <v>4</v>
      </c>
      <c r="Q2051">
        <v>0</v>
      </c>
      <c r="R2051">
        <v>49.63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H2051">
        <v>49.63</v>
      </c>
    </row>
    <row r="2052" spans="1:34" x14ac:dyDescent="0.3">
      <c r="A2052" s="4">
        <v>2266</v>
      </c>
      <c r="B2052" s="5">
        <v>2045</v>
      </c>
      <c r="C2052">
        <v>14564</v>
      </c>
      <c r="D2052" t="s">
        <v>2416</v>
      </c>
      <c r="E2052" t="s">
        <v>667</v>
      </c>
      <c r="F2052" t="s">
        <v>20</v>
      </c>
      <c r="G2052" t="s">
        <v>14552</v>
      </c>
      <c r="H2052">
        <v>20.58</v>
      </c>
      <c r="I2052">
        <v>0</v>
      </c>
      <c r="J2052">
        <v>0</v>
      </c>
      <c r="K2052">
        <v>20</v>
      </c>
      <c r="M2052">
        <v>5</v>
      </c>
      <c r="O2052">
        <v>5</v>
      </c>
      <c r="P2052">
        <v>4</v>
      </c>
      <c r="Q2052">
        <v>0</v>
      </c>
      <c r="R2052">
        <v>49.58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H2052">
        <v>49.58</v>
      </c>
    </row>
    <row r="2053" spans="1:34" x14ac:dyDescent="0.3">
      <c r="A2053" s="4">
        <v>2267</v>
      </c>
      <c r="B2053" s="5">
        <v>2046</v>
      </c>
      <c r="C2053">
        <v>8427</v>
      </c>
      <c r="D2053" t="s">
        <v>1525</v>
      </c>
      <c r="E2053" t="s">
        <v>81</v>
      </c>
      <c r="F2053" t="s">
        <v>325</v>
      </c>
      <c r="G2053" t="s">
        <v>14553</v>
      </c>
      <c r="H2053">
        <v>18.579999999999998</v>
      </c>
      <c r="I2053">
        <v>0</v>
      </c>
      <c r="J2053">
        <v>0</v>
      </c>
      <c r="K2053">
        <v>20</v>
      </c>
      <c r="L2053">
        <v>7</v>
      </c>
      <c r="O2053">
        <v>7</v>
      </c>
      <c r="P2053">
        <v>4</v>
      </c>
      <c r="Q2053">
        <v>0</v>
      </c>
      <c r="R2053">
        <v>49.58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H2053">
        <v>49.58</v>
      </c>
    </row>
    <row r="2054" spans="1:34" x14ac:dyDescent="0.3">
      <c r="A2054" s="4">
        <v>2268</v>
      </c>
      <c r="B2054" s="5">
        <v>2047</v>
      </c>
      <c r="C2054">
        <v>6478</v>
      </c>
      <c r="D2054" t="s">
        <v>14554</v>
      </c>
      <c r="E2054" t="s">
        <v>4956</v>
      </c>
      <c r="F2054" t="s">
        <v>2746</v>
      </c>
      <c r="G2054" t="s">
        <v>14555</v>
      </c>
      <c r="H2054">
        <v>17.579999999999998</v>
      </c>
      <c r="I2054">
        <v>0</v>
      </c>
      <c r="J2054">
        <v>0</v>
      </c>
      <c r="K2054">
        <v>20</v>
      </c>
      <c r="M2054">
        <v>5</v>
      </c>
      <c r="N2054">
        <v>3</v>
      </c>
      <c r="O2054">
        <v>8</v>
      </c>
      <c r="P2054">
        <v>4</v>
      </c>
      <c r="Q2054">
        <v>0</v>
      </c>
      <c r="R2054">
        <v>49.58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H2054">
        <v>49.58</v>
      </c>
    </row>
    <row r="2055" spans="1:34" x14ac:dyDescent="0.3">
      <c r="A2055" s="4">
        <v>2269</v>
      </c>
      <c r="B2055" s="5">
        <v>2048</v>
      </c>
      <c r="C2055">
        <v>1954</v>
      </c>
      <c r="D2055" t="s">
        <v>7371</v>
      </c>
      <c r="E2055" t="s">
        <v>14556</v>
      </c>
      <c r="F2055" t="s">
        <v>442</v>
      </c>
      <c r="G2055" t="s">
        <v>14557</v>
      </c>
      <c r="H2055">
        <v>19.55</v>
      </c>
      <c r="I2055">
        <v>0</v>
      </c>
      <c r="J2055">
        <v>0</v>
      </c>
      <c r="K2055">
        <v>20</v>
      </c>
      <c r="N2055">
        <v>3</v>
      </c>
      <c r="O2055">
        <v>3</v>
      </c>
      <c r="P2055">
        <v>4</v>
      </c>
      <c r="Q2055">
        <v>0</v>
      </c>
      <c r="R2055">
        <v>46.55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3</v>
      </c>
      <c r="AC2055">
        <v>0</v>
      </c>
      <c r="AH2055">
        <v>49.55</v>
      </c>
    </row>
    <row r="2056" spans="1:34" x14ac:dyDescent="0.3">
      <c r="A2056" s="4">
        <v>2270</v>
      </c>
      <c r="B2056" s="5">
        <v>2049</v>
      </c>
      <c r="C2056">
        <v>3303</v>
      </c>
      <c r="D2056" t="s">
        <v>14558</v>
      </c>
      <c r="E2056" t="s">
        <v>8000</v>
      </c>
      <c r="F2056" t="s">
        <v>892</v>
      </c>
      <c r="G2056" t="s">
        <v>14559</v>
      </c>
      <c r="H2056">
        <v>18.55</v>
      </c>
      <c r="I2056">
        <v>0</v>
      </c>
      <c r="J2056">
        <v>0</v>
      </c>
      <c r="K2056">
        <v>20</v>
      </c>
      <c r="L2056">
        <v>7</v>
      </c>
      <c r="O2056">
        <v>7</v>
      </c>
      <c r="P2056">
        <v>4</v>
      </c>
      <c r="Q2056">
        <v>0</v>
      </c>
      <c r="R2056">
        <v>49.55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H2056">
        <v>49.55</v>
      </c>
    </row>
    <row r="2057" spans="1:34" x14ac:dyDescent="0.3">
      <c r="A2057" s="4">
        <v>2271</v>
      </c>
      <c r="B2057" s="5">
        <v>2050</v>
      </c>
      <c r="C2057">
        <v>10794</v>
      </c>
      <c r="D2057" t="s">
        <v>496</v>
      </c>
      <c r="E2057" t="s">
        <v>471</v>
      </c>
      <c r="F2057" t="s">
        <v>117</v>
      </c>
      <c r="G2057" t="s">
        <v>14560</v>
      </c>
      <c r="H2057">
        <v>17.53</v>
      </c>
      <c r="I2057">
        <v>0</v>
      </c>
      <c r="J2057">
        <v>0</v>
      </c>
      <c r="K2057">
        <v>20</v>
      </c>
      <c r="N2057">
        <v>3</v>
      </c>
      <c r="O2057">
        <v>3</v>
      </c>
      <c r="P2057">
        <v>4</v>
      </c>
      <c r="Q2057">
        <v>2</v>
      </c>
      <c r="R2057">
        <v>46.53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3</v>
      </c>
      <c r="AC2057">
        <v>0</v>
      </c>
      <c r="AH2057">
        <v>49.53</v>
      </c>
    </row>
    <row r="2058" spans="1:34" x14ac:dyDescent="0.3">
      <c r="A2058" s="4">
        <v>2272</v>
      </c>
      <c r="B2058" s="5">
        <v>2051</v>
      </c>
      <c r="C2058">
        <v>10540</v>
      </c>
      <c r="D2058" t="s">
        <v>4607</v>
      </c>
      <c r="E2058" t="s">
        <v>110</v>
      </c>
      <c r="F2058" t="s">
        <v>68</v>
      </c>
      <c r="G2058" t="s">
        <v>14561</v>
      </c>
      <c r="H2058">
        <v>18.53</v>
      </c>
      <c r="I2058">
        <v>0</v>
      </c>
      <c r="J2058">
        <v>0</v>
      </c>
      <c r="K2058">
        <v>20</v>
      </c>
      <c r="L2058">
        <v>7</v>
      </c>
      <c r="O2058">
        <v>7</v>
      </c>
      <c r="P2058">
        <v>4</v>
      </c>
      <c r="Q2058">
        <v>0</v>
      </c>
      <c r="R2058">
        <v>49.53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H2058">
        <v>49.53</v>
      </c>
    </row>
    <row r="2059" spans="1:34" x14ac:dyDescent="0.3">
      <c r="A2059" s="4">
        <v>2273</v>
      </c>
      <c r="B2059" s="5">
        <v>2052</v>
      </c>
      <c r="C2059">
        <v>12256</v>
      </c>
      <c r="D2059" t="s">
        <v>929</v>
      </c>
      <c r="E2059" t="s">
        <v>29</v>
      </c>
      <c r="F2059" t="s">
        <v>136</v>
      </c>
      <c r="G2059" t="s">
        <v>14562</v>
      </c>
      <c r="H2059">
        <v>18.53</v>
      </c>
      <c r="I2059">
        <v>0</v>
      </c>
      <c r="J2059">
        <v>0</v>
      </c>
      <c r="K2059">
        <v>20</v>
      </c>
      <c r="L2059">
        <v>7</v>
      </c>
      <c r="O2059">
        <v>7</v>
      </c>
      <c r="P2059">
        <v>4</v>
      </c>
      <c r="Q2059">
        <v>0</v>
      </c>
      <c r="R2059">
        <v>49.53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H2059">
        <v>49.53</v>
      </c>
    </row>
    <row r="2060" spans="1:34" x14ac:dyDescent="0.3">
      <c r="A2060" s="4">
        <v>2274</v>
      </c>
      <c r="B2060" s="5">
        <v>2053</v>
      </c>
      <c r="C2060">
        <v>5599</v>
      </c>
      <c r="D2060" t="s">
        <v>14563</v>
      </c>
      <c r="E2060" t="s">
        <v>41</v>
      </c>
      <c r="F2060" t="s">
        <v>1854</v>
      </c>
      <c r="H2060">
        <v>20.53</v>
      </c>
      <c r="I2060">
        <v>0</v>
      </c>
      <c r="J2060">
        <v>0</v>
      </c>
      <c r="K2060">
        <v>0</v>
      </c>
      <c r="L2060">
        <v>7</v>
      </c>
      <c r="N2060">
        <v>3</v>
      </c>
      <c r="O2060">
        <v>10</v>
      </c>
      <c r="P2060">
        <v>4</v>
      </c>
      <c r="Q2060">
        <v>2</v>
      </c>
      <c r="R2060">
        <v>36.53</v>
      </c>
      <c r="S2060">
        <v>13</v>
      </c>
      <c r="T2060">
        <v>13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13</v>
      </c>
      <c r="AB2060">
        <v>0</v>
      </c>
      <c r="AC2060">
        <v>0</v>
      </c>
      <c r="AH2060">
        <v>49.53</v>
      </c>
    </row>
    <row r="2061" spans="1:34" x14ac:dyDescent="0.3">
      <c r="A2061" s="4">
        <v>2275</v>
      </c>
      <c r="B2061" s="5">
        <v>2054</v>
      </c>
      <c r="C2061">
        <v>11069</v>
      </c>
      <c r="D2061" t="s">
        <v>13181</v>
      </c>
      <c r="E2061" t="s">
        <v>178</v>
      </c>
      <c r="F2061" t="s">
        <v>81</v>
      </c>
      <c r="G2061" t="s">
        <v>14564</v>
      </c>
      <c r="H2061">
        <v>16.53</v>
      </c>
      <c r="I2061">
        <v>0</v>
      </c>
      <c r="J2061">
        <v>0</v>
      </c>
      <c r="K2061">
        <v>0</v>
      </c>
      <c r="L2061">
        <v>7</v>
      </c>
      <c r="M2061">
        <v>5</v>
      </c>
      <c r="O2061">
        <v>12</v>
      </c>
      <c r="P2061">
        <v>4</v>
      </c>
      <c r="Q2061">
        <v>2</v>
      </c>
      <c r="R2061">
        <v>34.53</v>
      </c>
      <c r="S2061">
        <v>15</v>
      </c>
      <c r="T2061">
        <v>15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15</v>
      </c>
      <c r="AB2061">
        <v>0</v>
      </c>
      <c r="AC2061">
        <v>0</v>
      </c>
      <c r="AH2061">
        <v>49.53</v>
      </c>
    </row>
    <row r="2062" spans="1:34" x14ac:dyDescent="0.3">
      <c r="A2062" s="4">
        <v>2276</v>
      </c>
      <c r="B2062" s="5">
        <v>2055</v>
      </c>
      <c r="C2062">
        <v>13870</v>
      </c>
      <c r="D2062" t="s">
        <v>11578</v>
      </c>
      <c r="E2062" t="s">
        <v>132</v>
      </c>
      <c r="F2062" t="s">
        <v>124</v>
      </c>
      <c r="G2062" t="s">
        <v>14565</v>
      </c>
      <c r="H2062">
        <v>12.5</v>
      </c>
      <c r="I2062">
        <v>0</v>
      </c>
      <c r="J2062">
        <v>0</v>
      </c>
      <c r="K2062">
        <v>20</v>
      </c>
      <c r="L2062">
        <v>7</v>
      </c>
      <c r="O2062">
        <v>7</v>
      </c>
      <c r="P2062">
        <v>4</v>
      </c>
      <c r="Q2062">
        <v>0</v>
      </c>
      <c r="R2062">
        <v>43.5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6</v>
      </c>
      <c r="AC2062">
        <v>0</v>
      </c>
      <c r="AH2062">
        <v>49.5</v>
      </c>
    </row>
    <row r="2063" spans="1:34" x14ac:dyDescent="0.3">
      <c r="A2063" s="4">
        <v>2277</v>
      </c>
      <c r="B2063" s="5">
        <v>2056</v>
      </c>
      <c r="C2063">
        <v>1820</v>
      </c>
      <c r="D2063" t="s">
        <v>14566</v>
      </c>
      <c r="E2063" t="s">
        <v>17</v>
      </c>
      <c r="F2063" t="s">
        <v>136</v>
      </c>
      <c r="G2063" t="s">
        <v>14567</v>
      </c>
      <c r="H2063">
        <v>18.5</v>
      </c>
      <c r="I2063">
        <v>0</v>
      </c>
      <c r="J2063">
        <v>0</v>
      </c>
      <c r="K2063">
        <v>20</v>
      </c>
      <c r="L2063">
        <v>7</v>
      </c>
      <c r="O2063">
        <v>7</v>
      </c>
      <c r="P2063">
        <v>4</v>
      </c>
      <c r="Q2063">
        <v>0</v>
      </c>
      <c r="R2063">
        <v>49.5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H2063">
        <v>49.5</v>
      </c>
    </row>
    <row r="2064" spans="1:34" x14ac:dyDescent="0.3">
      <c r="A2064" s="4">
        <v>2278</v>
      </c>
      <c r="B2064" s="5">
        <v>2057</v>
      </c>
      <c r="C2064">
        <v>8879</v>
      </c>
      <c r="D2064" t="s">
        <v>14568</v>
      </c>
      <c r="E2064" t="s">
        <v>22</v>
      </c>
      <c r="F2064" t="s">
        <v>136</v>
      </c>
      <c r="G2064" t="s">
        <v>14569</v>
      </c>
      <c r="H2064">
        <v>15.5</v>
      </c>
      <c r="I2064">
        <v>0</v>
      </c>
      <c r="J2064">
        <v>0</v>
      </c>
      <c r="K2064">
        <v>20</v>
      </c>
      <c r="N2064">
        <v>3</v>
      </c>
      <c r="O2064">
        <v>3</v>
      </c>
      <c r="P2064">
        <v>4</v>
      </c>
      <c r="Q2064">
        <v>0</v>
      </c>
      <c r="R2064">
        <v>42.5</v>
      </c>
      <c r="S2064">
        <v>7</v>
      </c>
      <c r="T2064">
        <v>7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7</v>
      </c>
      <c r="AB2064">
        <v>0</v>
      </c>
      <c r="AC2064">
        <v>0</v>
      </c>
      <c r="AH2064">
        <v>49.5</v>
      </c>
    </row>
    <row r="2065" spans="1:34" x14ac:dyDescent="0.3">
      <c r="A2065" s="4">
        <v>2279</v>
      </c>
      <c r="B2065" s="5">
        <v>2058</v>
      </c>
      <c r="C2065">
        <v>10937</v>
      </c>
      <c r="D2065" t="s">
        <v>12985</v>
      </c>
      <c r="E2065" t="s">
        <v>29</v>
      </c>
      <c r="F2065" t="s">
        <v>20</v>
      </c>
      <c r="G2065" t="s">
        <v>14570</v>
      </c>
      <c r="H2065">
        <v>19.5</v>
      </c>
      <c r="I2065">
        <v>0</v>
      </c>
      <c r="J2065">
        <v>0</v>
      </c>
      <c r="K2065">
        <v>0</v>
      </c>
      <c r="N2065">
        <v>3</v>
      </c>
      <c r="O2065">
        <v>3</v>
      </c>
      <c r="P2065">
        <v>0</v>
      </c>
      <c r="Q2065">
        <v>2</v>
      </c>
      <c r="R2065">
        <v>24.5</v>
      </c>
      <c r="S2065">
        <v>25</v>
      </c>
      <c r="T2065">
        <v>25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25</v>
      </c>
      <c r="AB2065">
        <v>0</v>
      </c>
      <c r="AC2065">
        <v>0</v>
      </c>
      <c r="AH2065">
        <v>49.5</v>
      </c>
    </row>
    <row r="2066" spans="1:34" x14ac:dyDescent="0.3">
      <c r="A2066" s="4">
        <v>2280</v>
      </c>
      <c r="B2066" s="5">
        <v>2059</v>
      </c>
      <c r="C2066">
        <v>8520</v>
      </c>
      <c r="D2066" t="s">
        <v>14571</v>
      </c>
      <c r="E2066" t="s">
        <v>789</v>
      </c>
      <c r="F2066" t="s">
        <v>20</v>
      </c>
      <c r="G2066" t="s">
        <v>14572</v>
      </c>
      <c r="H2066">
        <v>19.48</v>
      </c>
      <c r="I2066">
        <v>0</v>
      </c>
      <c r="J2066">
        <v>0</v>
      </c>
      <c r="K2066">
        <v>20</v>
      </c>
      <c r="N2066">
        <v>3</v>
      </c>
      <c r="O2066">
        <v>3</v>
      </c>
      <c r="P2066">
        <v>4</v>
      </c>
      <c r="Q2066">
        <v>0</v>
      </c>
      <c r="R2066">
        <v>46.48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3</v>
      </c>
      <c r="AC2066">
        <v>0</v>
      </c>
      <c r="AH2066">
        <v>49.48</v>
      </c>
    </row>
    <row r="2067" spans="1:34" x14ac:dyDescent="0.3">
      <c r="A2067" s="4">
        <v>2281</v>
      </c>
      <c r="B2067" s="5">
        <v>2060</v>
      </c>
      <c r="C2067">
        <v>806</v>
      </c>
      <c r="D2067" t="s">
        <v>14573</v>
      </c>
      <c r="E2067" t="s">
        <v>213</v>
      </c>
      <c r="F2067" t="s">
        <v>136</v>
      </c>
      <c r="G2067" t="s">
        <v>14574</v>
      </c>
      <c r="H2067">
        <v>17.45</v>
      </c>
      <c r="I2067">
        <v>0</v>
      </c>
      <c r="J2067">
        <v>0</v>
      </c>
      <c r="K2067">
        <v>20</v>
      </c>
      <c r="M2067">
        <v>5</v>
      </c>
      <c r="O2067">
        <v>5</v>
      </c>
      <c r="P2067">
        <v>4</v>
      </c>
      <c r="Q2067">
        <v>0</v>
      </c>
      <c r="R2067">
        <v>46.45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3</v>
      </c>
      <c r="AC2067">
        <v>0</v>
      </c>
      <c r="AH2067">
        <v>49.45</v>
      </c>
    </row>
    <row r="2068" spans="1:34" x14ac:dyDescent="0.3">
      <c r="A2068" s="4">
        <v>2282</v>
      </c>
      <c r="B2068" s="5">
        <v>2061</v>
      </c>
      <c r="C2068">
        <v>7161</v>
      </c>
      <c r="D2068" t="s">
        <v>93</v>
      </c>
      <c r="E2068" t="s">
        <v>182</v>
      </c>
      <c r="F2068" t="s">
        <v>652</v>
      </c>
      <c r="G2068" t="s">
        <v>14575</v>
      </c>
      <c r="H2068">
        <v>17.45</v>
      </c>
      <c r="I2068">
        <v>0</v>
      </c>
      <c r="J2068">
        <v>0</v>
      </c>
      <c r="K2068">
        <v>20</v>
      </c>
      <c r="N2068">
        <v>6</v>
      </c>
      <c r="O2068">
        <v>6</v>
      </c>
      <c r="P2068">
        <v>4</v>
      </c>
      <c r="Q2068">
        <v>2</v>
      </c>
      <c r="R2068">
        <v>49.45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 t="s">
        <v>130</v>
      </c>
      <c r="AH2068">
        <v>49.45</v>
      </c>
    </row>
    <row r="2069" spans="1:34" x14ac:dyDescent="0.3">
      <c r="A2069" s="4">
        <v>2283</v>
      </c>
      <c r="B2069" s="5">
        <v>2062</v>
      </c>
      <c r="C2069">
        <v>310</v>
      </c>
      <c r="D2069" t="s">
        <v>14576</v>
      </c>
      <c r="E2069" t="s">
        <v>136</v>
      </c>
      <c r="F2069" t="s">
        <v>81</v>
      </c>
      <c r="G2069" t="s">
        <v>14577</v>
      </c>
      <c r="H2069">
        <v>18.43</v>
      </c>
      <c r="I2069">
        <v>0</v>
      </c>
      <c r="J2069">
        <v>0</v>
      </c>
      <c r="K2069">
        <v>20</v>
      </c>
      <c r="L2069">
        <v>7</v>
      </c>
      <c r="O2069">
        <v>7</v>
      </c>
      <c r="P2069">
        <v>4</v>
      </c>
      <c r="Q2069">
        <v>0</v>
      </c>
      <c r="R2069">
        <v>49.43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H2069">
        <v>49.43</v>
      </c>
    </row>
    <row r="2070" spans="1:34" x14ac:dyDescent="0.3">
      <c r="A2070" s="4">
        <v>2284</v>
      </c>
      <c r="B2070" s="5">
        <v>2063</v>
      </c>
      <c r="C2070">
        <v>8375</v>
      </c>
      <c r="D2070" t="s">
        <v>14578</v>
      </c>
      <c r="E2070" t="s">
        <v>3750</v>
      </c>
      <c r="F2070" t="s">
        <v>927</v>
      </c>
      <c r="G2070" t="s">
        <v>32004</v>
      </c>
      <c r="H2070">
        <v>18.43</v>
      </c>
      <c r="I2070">
        <v>0</v>
      </c>
      <c r="J2070">
        <v>0</v>
      </c>
      <c r="K2070">
        <v>20</v>
      </c>
      <c r="L2070">
        <v>7</v>
      </c>
      <c r="O2070">
        <v>7</v>
      </c>
      <c r="P2070">
        <v>4</v>
      </c>
      <c r="Q2070">
        <v>0</v>
      </c>
      <c r="R2070">
        <v>49.43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H2070">
        <v>49.43</v>
      </c>
    </row>
    <row r="2071" spans="1:34" x14ac:dyDescent="0.3">
      <c r="A2071" s="4">
        <v>2285</v>
      </c>
      <c r="B2071" s="5">
        <v>2064</v>
      </c>
      <c r="C2071">
        <v>10326</v>
      </c>
      <c r="D2071" t="s">
        <v>5892</v>
      </c>
      <c r="E2071" t="s">
        <v>14579</v>
      </c>
      <c r="F2071" t="s">
        <v>20</v>
      </c>
      <c r="G2071" t="s">
        <v>14580</v>
      </c>
      <c r="H2071">
        <v>19.43</v>
      </c>
      <c r="I2071">
        <v>0</v>
      </c>
      <c r="J2071">
        <v>0</v>
      </c>
      <c r="K2071">
        <v>0</v>
      </c>
      <c r="L2071">
        <v>7</v>
      </c>
      <c r="O2071">
        <v>7</v>
      </c>
      <c r="P2071">
        <v>4</v>
      </c>
      <c r="Q2071">
        <v>0</v>
      </c>
      <c r="R2071">
        <v>30.43</v>
      </c>
      <c r="S2071">
        <v>19</v>
      </c>
      <c r="T2071">
        <v>19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19</v>
      </c>
      <c r="AB2071">
        <v>0</v>
      </c>
      <c r="AC2071">
        <v>0</v>
      </c>
      <c r="AH2071">
        <v>49.43</v>
      </c>
    </row>
    <row r="2072" spans="1:34" x14ac:dyDescent="0.3">
      <c r="A2072" s="4">
        <v>2286</v>
      </c>
      <c r="B2072" s="5">
        <v>2065</v>
      </c>
      <c r="C2072">
        <v>8179</v>
      </c>
      <c r="D2072" t="s">
        <v>1911</v>
      </c>
      <c r="E2072" t="s">
        <v>208</v>
      </c>
      <c r="F2072" t="s">
        <v>81</v>
      </c>
      <c r="G2072" t="s">
        <v>14581</v>
      </c>
      <c r="H2072">
        <v>19.399999999999999</v>
      </c>
      <c r="I2072">
        <v>0</v>
      </c>
      <c r="J2072">
        <v>0</v>
      </c>
      <c r="K2072">
        <v>20</v>
      </c>
      <c r="L2072">
        <v>7</v>
      </c>
      <c r="N2072">
        <v>3</v>
      </c>
      <c r="O2072">
        <v>10</v>
      </c>
      <c r="P2072">
        <v>0</v>
      </c>
      <c r="Q2072">
        <v>0</v>
      </c>
      <c r="R2072">
        <v>49.4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H2072">
        <v>49.4</v>
      </c>
    </row>
    <row r="2073" spans="1:34" x14ac:dyDescent="0.3">
      <c r="A2073" s="4">
        <v>2287</v>
      </c>
      <c r="B2073" s="5">
        <v>2066</v>
      </c>
      <c r="C2073">
        <v>5139</v>
      </c>
      <c r="D2073" t="s">
        <v>14582</v>
      </c>
      <c r="E2073" t="s">
        <v>369</v>
      </c>
      <c r="F2073" t="s">
        <v>190</v>
      </c>
      <c r="G2073" t="s">
        <v>14583</v>
      </c>
      <c r="H2073">
        <v>18.399999999999999</v>
      </c>
      <c r="I2073">
        <v>0</v>
      </c>
      <c r="J2073">
        <v>0</v>
      </c>
      <c r="K2073">
        <v>20</v>
      </c>
      <c r="L2073">
        <v>7</v>
      </c>
      <c r="O2073">
        <v>7</v>
      </c>
      <c r="P2073">
        <v>4</v>
      </c>
      <c r="Q2073">
        <v>0</v>
      </c>
      <c r="R2073">
        <v>49.4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H2073">
        <v>49.4</v>
      </c>
    </row>
    <row r="2074" spans="1:34" x14ac:dyDescent="0.3">
      <c r="A2074" s="4">
        <v>2288</v>
      </c>
      <c r="B2074" s="5">
        <v>2067</v>
      </c>
      <c r="C2074">
        <v>14266</v>
      </c>
      <c r="D2074" t="s">
        <v>181</v>
      </c>
      <c r="E2074" t="s">
        <v>54</v>
      </c>
      <c r="F2074" t="s">
        <v>20</v>
      </c>
      <c r="G2074" t="s">
        <v>14584</v>
      </c>
      <c r="H2074">
        <v>19.38</v>
      </c>
      <c r="I2074">
        <v>0</v>
      </c>
      <c r="J2074">
        <v>0</v>
      </c>
      <c r="K2074">
        <v>20</v>
      </c>
      <c r="M2074">
        <v>5</v>
      </c>
      <c r="N2074">
        <v>3</v>
      </c>
      <c r="O2074">
        <v>8</v>
      </c>
      <c r="P2074">
        <v>0</v>
      </c>
      <c r="Q2074">
        <v>2</v>
      </c>
      <c r="R2074">
        <v>49.38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H2074">
        <v>49.38</v>
      </c>
    </row>
    <row r="2075" spans="1:34" x14ac:dyDescent="0.3">
      <c r="A2075" s="4">
        <v>2289</v>
      </c>
      <c r="B2075" s="5">
        <v>2068</v>
      </c>
      <c r="C2075">
        <v>3953</v>
      </c>
      <c r="D2075" t="s">
        <v>14585</v>
      </c>
      <c r="E2075" t="s">
        <v>14586</v>
      </c>
      <c r="F2075" t="s">
        <v>2582</v>
      </c>
      <c r="G2075" t="s">
        <v>14587</v>
      </c>
      <c r="H2075">
        <v>16.38</v>
      </c>
      <c r="I2075">
        <v>0</v>
      </c>
      <c r="J2075">
        <v>0</v>
      </c>
      <c r="K2075">
        <v>20</v>
      </c>
      <c r="L2075">
        <v>7</v>
      </c>
      <c r="O2075">
        <v>7</v>
      </c>
      <c r="P2075">
        <v>4</v>
      </c>
      <c r="Q2075">
        <v>2</v>
      </c>
      <c r="R2075">
        <v>49.38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H2075">
        <v>49.38</v>
      </c>
    </row>
    <row r="2076" spans="1:34" x14ac:dyDescent="0.3">
      <c r="A2076" s="4">
        <v>2290</v>
      </c>
      <c r="B2076" s="5">
        <v>2069</v>
      </c>
      <c r="C2076">
        <v>4102</v>
      </c>
      <c r="D2076" t="s">
        <v>3181</v>
      </c>
      <c r="E2076" t="s">
        <v>88</v>
      </c>
      <c r="F2076" t="s">
        <v>81</v>
      </c>
      <c r="G2076" t="s">
        <v>14588</v>
      </c>
      <c r="H2076">
        <v>18.38</v>
      </c>
      <c r="I2076">
        <v>7</v>
      </c>
      <c r="J2076">
        <v>0</v>
      </c>
      <c r="K2076">
        <v>0</v>
      </c>
      <c r="M2076">
        <v>5</v>
      </c>
      <c r="O2076">
        <v>5</v>
      </c>
      <c r="P2076">
        <v>4</v>
      </c>
      <c r="Q2076">
        <v>0</v>
      </c>
      <c r="R2076">
        <v>34.380000000000003</v>
      </c>
      <c r="S2076">
        <v>15</v>
      </c>
      <c r="T2076">
        <v>15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15</v>
      </c>
      <c r="AB2076">
        <v>0</v>
      </c>
      <c r="AC2076">
        <v>0</v>
      </c>
      <c r="AD2076" t="s">
        <v>130</v>
      </c>
      <c r="AH2076">
        <v>49.38</v>
      </c>
    </row>
    <row r="2077" spans="1:34" x14ac:dyDescent="0.3">
      <c r="A2077" s="4">
        <v>2291</v>
      </c>
      <c r="B2077" s="5">
        <v>2070</v>
      </c>
      <c r="C2077">
        <v>9629</v>
      </c>
      <c r="D2077" t="s">
        <v>14589</v>
      </c>
      <c r="E2077" t="s">
        <v>2481</v>
      </c>
      <c r="F2077" t="s">
        <v>38</v>
      </c>
      <c r="G2077" t="s">
        <v>14590</v>
      </c>
      <c r="H2077">
        <v>18.38</v>
      </c>
      <c r="I2077">
        <v>0</v>
      </c>
      <c r="J2077">
        <v>0</v>
      </c>
      <c r="K2077">
        <v>0</v>
      </c>
      <c r="L2077">
        <v>7</v>
      </c>
      <c r="O2077">
        <v>7</v>
      </c>
      <c r="P2077">
        <v>4</v>
      </c>
      <c r="Q2077">
        <v>2</v>
      </c>
      <c r="R2077">
        <v>31.38</v>
      </c>
      <c r="S2077">
        <v>14</v>
      </c>
      <c r="T2077">
        <v>14</v>
      </c>
      <c r="U2077">
        <v>2</v>
      </c>
      <c r="V2077">
        <v>4</v>
      </c>
      <c r="W2077">
        <v>0</v>
      </c>
      <c r="X2077">
        <v>0</v>
      </c>
      <c r="Y2077">
        <v>0</v>
      </c>
      <c r="Z2077">
        <v>0</v>
      </c>
      <c r="AA2077">
        <v>18</v>
      </c>
      <c r="AB2077">
        <v>0</v>
      </c>
      <c r="AC2077">
        <v>0</v>
      </c>
      <c r="AD2077" t="s">
        <v>130</v>
      </c>
      <c r="AH2077">
        <v>49.38</v>
      </c>
    </row>
    <row r="2078" spans="1:34" x14ac:dyDescent="0.3">
      <c r="A2078" s="4">
        <v>2292</v>
      </c>
      <c r="B2078" s="5">
        <v>2071</v>
      </c>
      <c r="C2078">
        <v>637</v>
      </c>
      <c r="D2078" t="s">
        <v>14591</v>
      </c>
      <c r="E2078" t="s">
        <v>20</v>
      </c>
      <c r="F2078" t="s">
        <v>17</v>
      </c>
      <c r="G2078" t="s">
        <v>14592</v>
      </c>
      <c r="H2078">
        <v>22.33</v>
      </c>
      <c r="I2078">
        <v>0</v>
      </c>
      <c r="J2078">
        <v>0</v>
      </c>
      <c r="K2078">
        <v>20</v>
      </c>
      <c r="N2078">
        <v>3</v>
      </c>
      <c r="O2078">
        <v>3</v>
      </c>
      <c r="P2078">
        <v>4</v>
      </c>
      <c r="Q2078">
        <v>0</v>
      </c>
      <c r="R2078">
        <v>49.33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H2078">
        <v>49.33</v>
      </c>
    </row>
    <row r="2079" spans="1:34" x14ac:dyDescent="0.3">
      <c r="A2079" s="4">
        <v>2293</v>
      </c>
      <c r="B2079" s="5">
        <v>2072</v>
      </c>
      <c r="C2079">
        <v>5426</v>
      </c>
      <c r="D2079" t="s">
        <v>14593</v>
      </c>
      <c r="E2079" t="s">
        <v>110</v>
      </c>
      <c r="F2079" t="s">
        <v>38</v>
      </c>
      <c r="G2079" t="s">
        <v>14594</v>
      </c>
      <c r="H2079">
        <v>16.25</v>
      </c>
      <c r="I2079">
        <v>0</v>
      </c>
      <c r="J2079">
        <v>0</v>
      </c>
      <c r="K2079">
        <v>20</v>
      </c>
      <c r="N2079">
        <v>3</v>
      </c>
      <c r="O2079">
        <v>3</v>
      </c>
      <c r="P2079">
        <v>4</v>
      </c>
      <c r="Q2079">
        <v>0</v>
      </c>
      <c r="R2079">
        <v>43.25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6</v>
      </c>
      <c r="AC2079">
        <v>0</v>
      </c>
      <c r="AH2079">
        <v>49.25</v>
      </c>
    </row>
    <row r="2080" spans="1:34" x14ac:dyDescent="0.3">
      <c r="A2080" s="4">
        <v>2294</v>
      </c>
      <c r="B2080" s="5">
        <v>2073</v>
      </c>
      <c r="C2080">
        <v>1909</v>
      </c>
      <c r="D2080" t="s">
        <v>3356</v>
      </c>
      <c r="E2080" t="s">
        <v>4695</v>
      </c>
      <c r="F2080" t="s">
        <v>14595</v>
      </c>
      <c r="G2080" t="s">
        <v>14596</v>
      </c>
      <c r="H2080">
        <v>16.25</v>
      </c>
      <c r="I2080">
        <v>0</v>
      </c>
      <c r="J2080">
        <v>0</v>
      </c>
      <c r="K2080">
        <v>20</v>
      </c>
      <c r="L2080">
        <v>7</v>
      </c>
      <c r="O2080">
        <v>7</v>
      </c>
      <c r="P2080">
        <v>4</v>
      </c>
      <c r="Q2080">
        <v>2</v>
      </c>
      <c r="R2080">
        <v>49.25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H2080">
        <v>49.25</v>
      </c>
    </row>
    <row r="2081" spans="1:34" x14ac:dyDescent="0.3">
      <c r="A2081" s="4">
        <v>2295</v>
      </c>
      <c r="B2081" s="5">
        <v>2074</v>
      </c>
      <c r="C2081">
        <v>8638</v>
      </c>
      <c r="D2081" t="s">
        <v>14597</v>
      </c>
      <c r="E2081" t="s">
        <v>136</v>
      </c>
      <c r="F2081" t="s">
        <v>167</v>
      </c>
      <c r="G2081" t="s">
        <v>14598</v>
      </c>
      <c r="H2081">
        <v>18.23</v>
      </c>
      <c r="I2081">
        <v>0</v>
      </c>
      <c r="J2081">
        <v>0</v>
      </c>
      <c r="K2081">
        <v>20</v>
      </c>
      <c r="L2081">
        <v>7</v>
      </c>
      <c r="O2081">
        <v>7</v>
      </c>
      <c r="P2081">
        <v>4</v>
      </c>
      <c r="Q2081">
        <v>0</v>
      </c>
      <c r="R2081">
        <v>49.23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H2081">
        <v>49.23</v>
      </c>
    </row>
    <row r="2082" spans="1:34" x14ac:dyDescent="0.3">
      <c r="A2082" s="4">
        <v>2296</v>
      </c>
      <c r="B2082" s="5">
        <v>2075</v>
      </c>
      <c r="C2082">
        <v>11925</v>
      </c>
      <c r="D2082" t="s">
        <v>1833</v>
      </c>
      <c r="E2082" t="s">
        <v>744</v>
      </c>
      <c r="F2082" t="s">
        <v>17</v>
      </c>
      <c r="G2082" t="s">
        <v>14599</v>
      </c>
      <c r="H2082">
        <v>18.399999999999999</v>
      </c>
      <c r="I2082">
        <v>0</v>
      </c>
      <c r="J2082">
        <v>0</v>
      </c>
      <c r="K2082">
        <v>0</v>
      </c>
      <c r="O2082">
        <v>0</v>
      </c>
      <c r="P2082">
        <v>4</v>
      </c>
      <c r="Q2082">
        <v>0</v>
      </c>
      <c r="R2082">
        <v>22.4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26.8</v>
      </c>
      <c r="AH2082">
        <v>49.2</v>
      </c>
    </row>
    <row r="2083" spans="1:34" x14ac:dyDescent="0.3">
      <c r="A2083" s="4">
        <v>2297</v>
      </c>
      <c r="B2083" s="5">
        <v>2076</v>
      </c>
      <c r="C2083">
        <v>14842</v>
      </c>
      <c r="D2083" t="s">
        <v>14600</v>
      </c>
      <c r="E2083" t="s">
        <v>115</v>
      </c>
      <c r="F2083" t="s">
        <v>30</v>
      </c>
      <c r="G2083" t="s">
        <v>14601</v>
      </c>
      <c r="H2083">
        <v>17.2</v>
      </c>
      <c r="I2083">
        <v>0</v>
      </c>
      <c r="J2083">
        <v>0</v>
      </c>
      <c r="K2083">
        <v>0</v>
      </c>
      <c r="L2083">
        <v>7</v>
      </c>
      <c r="O2083">
        <v>7</v>
      </c>
      <c r="P2083">
        <v>4</v>
      </c>
      <c r="Q2083">
        <v>2</v>
      </c>
      <c r="R2083">
        <v>30.2</v>
      </c>
      <c r="S2083">
        <v>19</v>
      </c>
      <c r="T2083">
        <v>19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19</v>
      </c>
      <c r="AB2083">
        <v>0</v>
      </c>
      <c r="AC2083">
        <v>0</v>
      </c>
      <c r="AH2083">
        <v>49.2</v>
      </c>
    </row>
    <row r="2084" spans="1:34" x14ac:dyDescent="0.3">
      <c r="A2084" s="4">
        <v>2298</v>
      </c>
      <c r="B2084" s="5">
        <v>2077</v>
      </c>
      <c r="C2084">
        <v>8691</v>
      </c>
      <c r="D2084" t="s">
        <v>14602</v>
      </c>
      <c r="E2084" t="s">
        <v>575</v>
      </c>
      <c r="F2084" t="s">
        <v>14603</v>
      </c>
      <c r="G2084" t="s">
        <v>14604</v>
      </c>
      <c r="H2084">
        <v>16.18</v>
      </c>
      <c r="I2084">
        <v>0</v>
      </c>
      <c r="J2084">
        <v>0</v>
      </c>
      <c r="K2084">
        <v>20</v>
      </c>
      <c r="L2084">
        <v>7</v>
      </c>
      <c r="O2084">
        <v>7</v>
      </c>
      <c r="P2084">
        <v>4</v>
      </c>
      <c r="Q2084">
        <v>2</v>
      </c>
      <c r="R2084">
        <v>49.18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H2084">
        <v>49.18</v>
      </c>
    </row>
    <row r="2085" spans="1:34" x14ac:dyDescent="0.3">
      <c r="A2085" s="4">
        <v>2299</v>
      </c>
      <c r="B2085" s="5">
        <v>2078</v>
      </c>
      <c r="C2085">
        <v>3919</v>
      </c>
      <c r="D2085" t="s">
        <v>14605</v>
      </c>
      <c r="E2085" t="s">
        <v>161</v>
      </c>
      <c r="F2085" t="s">
        <v>38</v>
      </c>
      <c r="G2085" t="s">
        <v>14606</v>
      </c>
      <c r="H2085">
        <v>15.18</v>
      </c>
      <c r="I2085">
        <v>0</v>
      </c>
      <c r="J2085">
        <v>0</v>
      </c>
      <c r="K2085">
        <v>20</v>
      </c>
      <c r="L2085">
        <v>7</v>
      </c>
      <c r="N2085">
        <v>3</v>
      </c>
      <c r="O2085">
        <v>10</v>
      </c>
      <c r="P2085">
        <v>4</v>
      </c>
      <c r="Q2085">
        <v>0</v>
      </c>
      <c r="R2085">
        <v>49.18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H2085">
        <v>49.18</v>
      </c>
    </row>
    <row r="2086" spans="1:34" x14ac:dyDescent="0.3">
      <c r="A2086" s="4">
        <v>2300</v>
      </c>
      <c r="B2086" s="5">
        <v>2079</v>
      </c>
      <c r="C2086">
        <v>8376</v>
      </c>
      <c r="D2086" t="s">
        <v>14607</v>
      </c>
      <c r="E2086" t="s">
        <v>14608</v>
      </c>
      <c r="F2086" t="s">
        <v>20</v>
      </c>
      <c r="G2086" t="s">
        <v>14609</v>
      </c>
      <c r="H2086">
        <v>21.18</v>
      </c>
      <c r="I2086">
        <v>0</v>
      </c>
      <c r="J2086">
        <v>0</v>
      </c>
      <c r="K2086">
        <v>0</v>
      </c>
      <c r="L2086">
        <v>7</v>
      </c>
      <c r="O2086">
        <v>7</v>
      </c>
      <c r="P2086">
        <v>4</v>
      </c>
      <c r="Q2086">
        <v>2</v>
      </c>
      <c r="R2086">
        <v>34.18</v>
      </c>
      <c r="S2086">
        <v>15</v>
      </c>
      <c r="T2086">
        <v>15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15</v>
      </c>
      <c r="AB2086">
        <v>0</v>
      </c>
      <c r="AC2086">
        <v>0</v>
      </c>
      <c r="AH2086">
        <v>49.18</v>
      </c>
    </row>
    <row r="2087" spans="1:34" x14ac:dyDescent="0.3">
      <c r="A2087" s="4">
        <v>2301</v>
      </c>
      <c r="B2087" s="5">
        <v>2080</v>
      </c>
      <c r="C2087">
        <v>8235</v>
      </c>
      <c r="D2087" t="s">
        <v>8734</v>
      </c>
      <c r="E2087" t="s">
        <v>37</v>
      </c>
      <c r="F2087" t="s">
        <v>117</v>
      </c>
      <c r="G2087" t="s">
        <v>14610</v>
      </c>
      <c r="H2087">
        <v>18.149999999999999</v>
      </c>
      <c r="I2087">
        <v>0</v>
      </c>
      <c r="J2087">
        <v>0</v>
      </c>
      <c r="K2087">
        <v>20</v>
      </c>
      <c r="L2087">
        <v>7</v>
      </c>
      <c r="O2087">
        <v>7</v>
      </c>
      <c r="P2087">
        <v>4</v>
      </c>
      <c r="Q2087">
        <v>0</v>
      </c>
      <c r="R2087">
        <v>49.15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H2087">
        <v>49.15</v>
      </c>
    </row>
    <row r="2088" spans="1:34" x14ac:dyDescent="0.3">
      <c r="A2088" s="4">
        <v>2302</v>
      </c>
      <c r="B2088" s="5">
        <v>2081</v>
      </c>
      <c r="C2088">
        <v>15048</v>
      </c>
      <c r="D2088" t="s">
        <v>14611</v>
      </c>
      <c r="E2088" t="s">
        <v>143</v>
      </c>
      <c r="F2088" t="s">
        <v>17</v>
      </c>
      <c r="G2088" t="s">
        <v>14612</v>
      </c>
      <c r="H2088">
        <v>19.13</v>
      </c>
      <c r="I2088">
        <v>0</v>
      </c>
      <c r="J2088">
        <v>0</v>
      </c>
      <c r="K2088">
        <v>20</v>
      </c>
      <c r="N2088">
        <v>3</v>
      </c>
      <c r="O2088">
        <v>3</v>
      </c>
      <c r="P2088">
        <v>4</v>
      </c>
      <c r="Q2088">
        <v>0</v>
      </c>
      <c r="R2088">
        <v>46.13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3</v>
      </c>
      <c r="AC2088">
        <v>0</v>
      </c>
      <c r="AH2088">
        <v>49.13</v>
      </c>
    </row>
    <row r="2089" spans="1:34" x14ac:dyDescent="0.3">
      <c r="A2089" s="4">
        <v>2303</v>
      </c>
      <c r="B2089" s="5">
        <v>2082</v>
      </c>
      <c r="C2089">
        <v>11872</v>
      </c>
      <c r="D2089" t="s">
        <v>1287</v>
      </c>
      <c r="E2089" t="s">
        <v>161</v>
      </c>
      <c r="F2089" t="s">
        <v>81</v>
      </c>
      <c r="G2089" t="s">
        <v>14613</v>
      </c>
      <c r="H2089">
        <v>20.100000000000001</v>
      </c>
      <c r="I2089">
        <v>0</v>
      </c>
      <c r="J2089">
        <v>0</v>
      </c>
      <c r="K2089">
        <v>20</v>
      </c>
      <c r="M2089">
        <v>5</v>
      </c>
      <c r="O2089">
        <v>5</v>
      </c>
      <c r="P2089">
        <v>4</v>
      </c>
      <c r="Q2089">
        <v>0</v>
      </c>
      <c r="R2089">
        <v>49.1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H2089">
        <v>49.1</v>
      </c>
    </row>
    <row r="2090" spans="1:34" x14ac:dyDescent="0.3">
      <c r="A2090" s="4">
        <v>2304</v>
      </c>
      <c r="B2090" s="5">
        <v>2083</v>
      </c>
      <c r="C2090">
        <v>11176</v>
      </c>
      <c r="D2090" t="s">
        <v>14614</v>
      </c>
      <c r="E2090" t="s">
        <v>413</v>
      </c>
      <c r="F2090" t="s">
        <v>68</v>
      </c>
      <c r="G2090" t="s">
        <v>14615</v>
      </c>
      <c r="H2090">
        <v>19.100000000000001</v>
      </c>
      <c r="I2090">
        <v>0</v>
      </c>
      <c r="J2090">
        <v>0</v>
      </c>
      <c r="K2090">
        <v>20</v>
      </c>
      <c r="L2090">
        <v>7</v>
      </c>
      <c r="N2090">
        <v>3</v>
      </c>
      <c r="O2090">
        <v>10</v>
      </c>
      <c r="P2090">
        <v>0</v>
      </c>
      <c r="Q2090">
        <v>0</v>
      </c>
      <c r="R2090">
        <v>49.1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H2090">
        <v>49.1</v>
      </c>
    </row>
    <row r="2091" spans="1:34" x14ac:dyDescent="0.3">
      <c r="A2091" s="4">
        <v>2305</v>
      </c>
      <c r="B2091" s="5">
        <v>2084</v>
      </c>
      <c r="C2091">
        <v>7186</v>
      </c>
      <c r="D2091" t="s">
        <v>14616</v>
      </c>
      <c r="E2091" t="s">
        <v>38</v>
      </c>
      <c r="F2091" t="s">
        <v>158</v>
      </c>
      <c r="G2091" t="s">
        <v>14617</v>
      </c>
      <c r="H2091">
        <v>16.100000000000001</v>
      </c>
      <c r="I2091">
        <v>0</v>
      </c>
      <c r="J2091">
        <v>0</v>
      </c>
      <c r="K2091">
        <v>0</v>
      </c>
      <c r="O2091">
        <v>0</v>
      </c>
      <c r="P2091">
        <v>4</v>
      </c>
      <c r="Q2091">
        <v>0</v>
      </c>
      <c r="R2091">
        <v>20.100000000000001</v>
      </c>
      <c r="S2091">
        <v>29</v>
      </c>
      <c r="T2091">
        <v>29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29</v>
      </c>
      <c r="AB2091">
        <v>0</v>
      </c>
      <c r="AC2091">
        <v>0</v>
      </c>
      <c r="AD2091" t="s">
        <v>130</v>
      </c>
      <c r="AH2091">
        <v>49.1</v>
      </c>
    </row>
    <row r="2092" spans="1:34" x14ac:dyDescent="0.3">
      <c r="A2092" s="4">
        <v>2306</v>
      </c>
      <c r="B2092" s="5">
        <v>2085</v>
      </c>
      <c r="C2092">
        <v>1656</v>
      </c>
      <c r="D2092" t="s">
        <v>11552</v>
      </c>
      <c r="E2092" t="s">
        <v>34</v>
      </c>
      <c r="F2092" t="s">
        <v>62</v>
      </c>
      <c r="G2092" t="s">
        <v>14618</v>
      </c>
      <c r="H2092">
        <v>23.05</v>
      </c>
      <c r="I2092">
        <v>0</v>
      </c>
      <c r="J2092">
        <v>0</v>
      </c>
      <c r="K2092">
        <v>20</v>
      </c>
      <c r="O2092">
        <v>0</v>
      </c>
      <c r="P2092">
        <v>4</v>
      </c>
      <c r="Q2092">
        <v>2</v>
      </c>
      <c r="R2092">
        <v>49.05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H2092">
        <v>49.05</v>
      </c>
    </row>
    <row r="2093" spans="1:34" x14ac:dyDescent="0.3">
      <c r="A2093" s="4">
        <v>2307</v>
      </c>
      <c r="B2093" s="5">
        <v>2086</v>
      </c>
      <c r="C2093">
        <v>773</v>
      </c>
      <c r="D2093" t="s">
        <v>11434</v>
      </c>
      <c r="E2093" t="s">
        <v>190</v>
      </c>
      <c r="F2093" t="s">
        <v>1511</v>
      </c>
      <c r="G2093" t="s">
        <v>14619</v>
      </c>
      <c r="H2093">
        <v>22.05</v>
      </c>
      <c r="I2093">
        <v>0</v>
      </c>
      <c r="J2093">
        <v>0</v>
      </c>
      <c r="K2093">
        <v>20</v>
      </c>
      <c r="L2093">
        <v>7</v>
      </c>
      <c r="O2093">
        <v>7</v>
      </c>
      <c r="P2093">
        <v>0</v>
      </c>
      <c r="Q2093">
        <v>0</v>
      </c>
      <c r="R2093">
        <v>49.05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H2093">
        <v>49.05</v>
      </c>
    </row>
    <row r="2094" spans="1:34" x14ac:dyDescent="0.3">
      <c r="A2094" s="4">
        <v>2308</v>
      </c>
      <c r="B2094" s="5">
        <v>2087</v>
      </c>
      <c r="C2094">
        <v>7889</v>
      </c>
      <c r="D2094" t="s">
        <v>14620</v>
      </c>
      <c r="E2094" t="s">
        <v>2122</v>
      </c>
      <c r="F2094" t="s">
        <v>117</v>
      </c>
      <c r="G2094" t="s">
        <v>14621</v>
      </c>
      <c r="H2094">
        <v>18.05</v>
      </c>
      <c r="I2094">
        <v>0</v>
      </c>
      <c r="J2094">
        <v>0</v>
      </c>
      <c r="K2094">
        <v>20</v>
      </c>
      <c r="M2094">
        <v>5</v>
      </c>
      <c r="O2094">
        <v>5</v>
      </c>
      <c r="P2094">
        <v>4</v>
      </c>
      <c r="Q2094">
        <v>2</v>
      </c>
      <c r="R2094">
        <v>49.05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H2094">
        <v>49.05</v>
      </c>
    </row>
    <row r="2095" spans="1:34" x14ac:dyDescent="0.3">
      <c r="A2095" s="4">
        <v>2309</v>
      </c>
      <c r="B2095" s="5">
        <v>2088</v>
      </c>
      <c r="C2095">
        <v>737</v>
      </c>
      <c r="D2095" t="s">
        <v>14622</v>
      </c>
      <c r="E2095" t="s">
        <v>17</v>
      </c>
      <c r="F2095" t="s">
        <v>81</v>
      </c>
      <c r="G2095" t="s">
        <v>14623</v>
      </c>
      <c r="H2095">
        <v>15</v>
      </c>
      <c r="I2095">
        <v>0</v>
      </c>
      <c r="J2095">
        <v>0</v>
      </c>
      <c r="K2095">
        <v>20</v>
      </c>
      <c r="L2095">
        <v>7</v>
      </c>
      <c r="N2095">
        <v>3</v>
      </c>
      <c r="O2095">
        <v>10</v>
      </c>
      <c r="P2095">
        <v>4</v>
      </c>
      <c r="Q2095">
        <v>0</v>
      </c>
      <c r="R2095">
        <v>49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H2095">
        <v>49</v>
      </c>
    </row>
    <row r="2096" spans="1:34" x14ac:dyDescent="0.3">
      <c r="A2096" s="4">
        <v>2310</v>
      </c>
      <c r="B2096" s="5">
        <v>2089</v>
      </c>
      <c r="C2096">
        <v>5622</v>
      </c>
      <c r="D2096" t="s">
        <v>4647</v>
      </c>
      <c r="E2096" t="s">
        <v>173</v>
      </c>
      <c r="F2096" t="s">
        <v>62</v>
      </c>
      <c r="G2096" t="s">
        <v>14624</v>
      </c>
      <c r="H2096">
        <v>17.98</v>
      </c>
      <c r="I2096">
        <v>0</v>
      </c>
      <c r="J2096">
        <v>0</v>
      </c>
      <c r="K2096">
        <v>20</v>
      </c>
      <c r="L2096">
        <v>7</v>
      </c>
      <c r="O2096">
        <v>7</v>
      </c>
      <c r="P2096">
        <v>4</v>
      </c>
      <c r="Q2096">
        <v>0</v>
      </c>
      <c r="R2096">
        <v>48.98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H2096">
        <v>48.98</v>
      </c>
    </row>
    <row r="2097" spans="1:34" x14ac:dyDescent="0.3">
      <c r="A2097" s="4">
        <v>2311</v>
      </c>
      <c r="B2097" s="5">
        <v>2090</v>
      </c>
      <c r="C2097">
        <v>3116</v>
      </c>
      <c r="D2097" t="s">
        <v>187</v>
      </c>
      <c r="E2097" t="s">
        <v>170</v>
      </c>
      <c r="F2097" t="s">
        <v>68</v>
      </c>
      <c r="G2097" t="s">
        <v>14625</v>
      </c>
      <c r="H2097">
        <v>17.93</v>
      </c>
      <c r="I2097">
        <v>0</v>
      </c>
      <c r="J2097">
        <v>0</v>
      </c>
      <c r="K2097">
        <v>20</v>
      </c>
      <c r="L2097">
        <v>7</v>
      </c>
      <c r="O2097">
        <v>7</v>
      </c>
      <c r="P2097">
        <v>4</v>
      </c>
      <c r="Q2097">
        <v>0</v>
      </c>
      <c r="R2097">
        <v>48.93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H2097">
        <v>48.93</v>
      </c>
    </row>
    <row r="2098" spans="1:34" x14ac:dyDescent="0.3">
      <c r="A2098" s="4">
        <v>2312</v>
      </c>
      <c r="B2098" s="5">
        <v>2091</v>
      </c>
      <c r="C2098">
        <v>12318</v>
      </c>
      <c r="D2098" t="s">
        <v>1530</v>
      </c>
      <c r="E2098" t="s">
        <v>110</v>
      </c>
      <c r="F2098" t="s">
        <v>38</v>
      </c>
      <c r="G2098" t="s">
        <v>14626</v>
      </c>
      <c r="H2098">
        <v>19.93</v>
      </c>
      <c r="I2098">
        <v>0</v>
      </c>
      <c r="J2098">
        <v>0</v>
      </c>
      <c r="K2098">
        <v>0</v>
      </c>
      <c r="L2098">
        <v>7</v>
      </c>
      <c r="N2098">
        <v>3</v>
      </c>
      <c r="O2098">
        <v>10</v>
      </c>
      <c r="P2098">
        <v>4</v>
      </c>
      <c r="Q2098">
        <v>0</v>
      </c>
      <c r="R2098">
        <v>33.93</v>
      </c>
      <c r="S2098">
        <v>15</v>
      </c>
      <c r="T2098">
        <v>15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15</v>
      </c>
      <c r="AB2098">
        <v>0</v>
      </c>
      <c r="AC2098">
        <v>0</v>
      </c>
      <c r="AH2098">
        <v>48.93</v>
      </c>
    </row>
    <row r="2099" spans="1:34" x14ac:dyDescent="0.3">
      <c r="A2099" s="4">
        <v>2313</v>
      </c>
      <c r="B2099" s="5">
        <v>2092</v>
      </c>
      <c r="C2099">
        <v>2635</v>
      </c>
      <c r="D2099" t="s">
        <v>14627</v>
      </c>
      <c r="E2099" t="s">
        <v>283</v>
      </c>
      <c r="F2099" t="s">
        <v>328</v>
      </c>
      <c r="G2099" t="s">
        <v>14628</v>
      </c>
      <c r="H2099">
        <v>17.899999999999999</v>
      </c>
      <c r="I2099">
        <v>0</v>
      </c>
      <c r="J2099">
        <v>0</v>
      </c>
      <c r="K2099">
        <v>20</v>
      </c>
      <c r="L2099">
        <v>7</v>
      </c>
      <c r="O2099">
        <v>7</v>
      </c>
      <c r="P2099">
        <v>4</v>
      </c>
      <c r="Q2099">
        <v>0</v>
      </c>
      <c r="R2099">
        <v>48.9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H2099">
        <v>48.9</v>
      </c>
    </row>
    <row r="2100" spans="1:34" x14ac:dyDescent="0.3">
      <c r="A2100" s="4">
        <v>2314</v>
      </c>
      <c r="B2100" s="5">
        <v>2093</v>
      </c>
      <c r="C2100">
        <v>3821</v>
      </c>
      <c r="D2100" t="s">
        <v>14629</v>
      </c>
      <c r="E2100" t="s">
        <v>147</v>
      </c>
      <c r="F2100" t="s">
        <v>34</v>
      </c>
      <c r="G2100" t="s">
        <v>14630</v>
      </c>
      <c r="H2100">
        <v>19.88</v>
      </c>
      <c r="I2100">
        <v>0</v>
      </c>
      <c r="J2100">
        <v>0</v>
      </c>
      <c r="K2100">
        <v>20</v>
      </c>
      <c r="N2100">
        <v>3</v>
      </c>
      <c r="O2100">
        <v>3</v>
      </c>
      <c r="P2100">
        <v>4</v>
      </c>
      <c r="Q2100">
        <v>2</v>
      </c>
      <c r="R2100">
        <v>48.88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H2100">
        <v>48.88</v>
      </c>
    </row>
    <row r="2101" spans="1:34" x14ac:dyDescent="0.3">
      <c r="A2101" s="4">
        <v>2315</v>
      </c>
      <c r="B2101" s="5">
        <v>2094</v>
      </c>
      <c r="C2101">
        <v>11809</v>
      </c>
      <c r="D2101" t="s">
        <v>14631</v>
      </c>
      <c r="E2101" t="s">
        <v>54</v>
      </c>
      <c r="F2101" t="s">
        <v>124</v>
      </c>
      <c r="G2101" t="s">
        <v>14632</v>
      </c>
      <c r="H2101">
        <v>18.850000000000001</v>
      </c>
      <c r="I2101">
        <v>0</v>
      </c>
      <c r="J2101">
        <v>0</v>
      </c>
      <c r="K2101">
        <v>20</v>
      </c>
      <c r="L2101">
        <v>7</v>
      </c>
      <c r="N2101">
        <v>3</v>
      </c>
      <c r="O2101">
        <v>10</v>
      </c>
      <c r="P2101">
        <v>0</v>
      </c>
      <c r="Q2101">
        <v>0</v>
      </c>
      <c r="R2101">
        <v>48.85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H2101">
        <v>48.85</v>
      </c>
    </row>
    <row r="2102" spans="1:34" x14ac:dyDescent="0.3">
      <c r="A2102" s="4">
        <v>2316</v>
      </c>
      <c r="B2102" s="5">
        <v>2095</v>
      </c>
      <c r="C2102">
        <v>12225</v>
      </c>
      <c r="D2102" t="s">
        <v>14633</v>
      </c>
      <c r="E2102" t="s">
        <v>14634</v>
      </c>
      <c r="F2102" t="s">
        <v>124</v>
      </c>
      <c r="G2102" t="s">
        <v>14635</v>
      </c>
      <c r="H2102">
        <v>17.850000000000001</v>
      </c>
      <c r="I2102">
        <v>0</v>
      </c>
      <c r="J2102">
        <v>0</v>
      </c>
      <c r="K2102">
        <v>20</v>
      </c>
      <c r="L2102">
        <v>7</v>
      </c>
      <c r="O2102">
        <v>7</v>
      </c>
      <c r="P2102">
        <v>4</v>
      </c>
      <c r="Q2102">
        <v>0</v>
      </c>
      <c r="R2102">
        <v>48.85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H2102">
        <v>48.85</v>
      </c>
    </row>
    <row r="2103" spans="1:34" x14ac:dyDescent="0.3">
      <c r="A2103" s="4">
        <v>2317</v>
      </c>
      <c r="B2103" s="5">
        <v>2096</v>
      </c>
      <c r="C2103">
        <v>9087</v>
      </c>
      <c r="D2103" t="s">
        <v>5088</v>
      </c>
      <c r="E2103" t="s">
        <v>110</v>
      </c>
      <c r="F2103" t="s">
        <v>38</v>
      </c>
      <c r="G2103" t="s">
        <v>14636</v>
      </c>
      <c r="H2103">
        <v>21.83</v>
      </c>
      <c r="I2103">
        <v>0</v>
      </c>
      <c r="J2103">
        <v>0</v>
      </c>
      <c r="K2103">
        <v>20</v>
      </c>
      <c r="N2103">
        <v>3</v>
      </c>
      <c r="O2103">
        <v>3</v>
      </c>
      <c r="P2103">
        <v>4</v>
      </c>
      <c r="Q2103">
        <v>0</v>
      </c>
      <c r="R2103">
        <v>48.83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H2103">
        <v>48.83</v>
      </c>
    </row>
    <row r="2104" spans="1:34" x14ac:dyDescent="0.3">
      <c r="A2104" s="4">
        <v>2318</v>
      </c>
      <c r="B2104" s="5">
        <v>2097</v>
      </c>
      <c r="C2104">
        <v>7150</v>
      </c>
      <c r="D2104" t="s">
        <v>9857</v>
      </c>
      <c r="E2104" t="s">
        <v>54</v>
      </c>
      <c r="F2104" t="s">
        <v>124</v>
      </c>
      <c r="G2104" t="s">
        <v>14637</v>
      </c>
      <c r="H2104">
        <v>17.8</v>
      </c>
      <c r="I2104">
        <v>0</v>
      </c>
      <c r="J2104">
        <v>0</v>
      </c>
      <c r="K2104">
        <v>20</v>
      </c>
      <c r="L2104">
        <v>7</v>
      </c>
      <c r="O2104">
        <v>7</v>
      </c>
      <c r="P2104">
        <v>4</v>
      </c>
      <c r="Q2104">
        <v>0</v>
      </c>
      <c r="R2104">
        <v>48.8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H2104">
        <v>48.8</v>
      </c>
    </row>
    <row r="2105" spans="1:34" x14ac:dyDescent="0.3">
      <c r="A2105" s="4">
        <v>2319</v>
      </c>
      <c r="B2105" s="5">
        <v>2098</v>
      </c>
      <c r="C2105">
        <v>11207</v>
      </c>
      <c r="D2105" t="s">
        <v>14638</v>
      </c>
      <c r="E2105" t="s">
        <v>219</v>
      </c>
      <c r="F2105" t="s">
        <v>243</v>
      </c>
      <c r="G2105" t="s">
        <v>14639</v>
      </c>
      <c r="H2105">
        <v>14.8</v>
      </c>
      <c r="I2105">
        <v>0</v>
      </c>
      <c r="J2105">
        <v>0</v>
      </c>
      <c r="K2105">
        <v>20</v>
      </c>
      <c r="O2105">
        <v>0</v>
      </c>
      <c r="P2105">
        <v>0</v>
      </c>
      <c r="Q2105">
        <v>0</v>
      </c>
      <c r="R2105">
        <v>34.799999999999997</v>
      </c>
      <c r="S2105">
        <v>14</v>
      </c>
      <c r="T2105">
        <v>14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14</v>
      </c>
      <c r="AB2105">
        <v>0</v>
      </c>
      <c r="AC2105">
        <v>0</v>
      </c>
      <c r="AH2105">
        <v>48.8</v>
      </c>
    </row>
    <row r="2106" spans="1:34" x14ac:dyDescent="0.3">
      <c r="A2106" s="4">
        <v>2320</v>
      </c>
      <c r="B2106" s="5">
        <v>2099</v>
      </c>
      <c r="C2106">
        <v>5165</v>
      </c>
      <c r="D2106" t="s">
        <v>8420</v>
      </c>
      <c r="E2106" t="s">
        <v>14640</v>
      </c>
      <c r="F2106" t="s">
        <v>68</v>
      </c>
      <c r="G2106" t="s">
        <v>14641</v>
      </c>
      <c r="H2106">
        <v>18.78</v>
      </c>
      <c r="I2106">
        <v>0</v>
      </c>
      <c r="J2106">
        <v>0</v>
      </c>
      <c r="K2106">
        <v>20</v>
      </c>
      <c r="L2106">
        <v>7</v>
      </c>
      <c r="O2106">
        <v>7</v>
      </c>
      <c r="P2106">
        <v>0</v>
      </c>
      <c r="Q2106">
        <v>0</v>
      </c>
      <c r="R2106">
        <v>45.78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3</v>
      </c>
      <c r="AC2106">
        <v>0</v>
      </c>
      <c r="AE2106" t="s">
        <v>130</v>
      </c>
      <c r="AH2106">
        <v>48.78</v>
      </c>
    </row>
    <row r="2107" spans="1:34" x14ac:dyDescent="0.3">
      <c r="A2107" s="4">
        <v>2321</v>
      </c>
      <c r="B2107" s="5">
        <v>2100</v>
      </c>
      <c r="C2107">
        <v>12930</v>
      </c>
      <c r="D2107" t="s">
        <v>14642</v>
      </c>
      <c r="E2107" t="s">
        <v>2538</v>
      </c>
      <c r="F2107" t="s">
        <v>20</v>
      </c>
      <c r="G2107" t="s">
        <v>14643</v>
      </c>
      <c r="H2107">
        <v>16.78</v>
      </c>
      <c r="I2107">
        <v>0</v>
      </c>
      <c r="J2107">
        <v>0</v>
      </c>
      <c r="K2107">
        <v>20</v>
      </c>
      <c r="M2107">
        <v>5</v>
      </c>
      <c r="O2107">
        <v>5</v>
      </c>
      <c r="P2107">
        <v>4</v>
      </c>
      <c r="Q2107">
        <v>0</v>
      </c>
      <c r="R2107">
        <v>45.78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3</v>
      </c>
      <c r="AC2107">
        <v>0</v>
      </c>
      <c r="AH2107">
        <v>48.78</v>
      </c>
    </row>
    <row r="2108" spans="1:34" x14ac:dyDescent="0.3">
      <c r="A2108" s="4">
        <v>2322</v>
      </c>
      <c r="B2108" s="5">
        <v>2101</v>
      </c>
      <c r="C2108">
        <v>6135</v>
      </c>
      <c r="D2108" t="s">
        <v>14644</v>
      </c>
      <c r="E2108" t="s">
        <v>88</v>
      </c>
      <c r="F2108" t="s">
        <v>62</v>
      </c>
      <c r="G2108" t="s">
        <v>14645</v>
      </c>
      <c r="H2108">
        <v>16.78</v>
      </c>
      <c r="I2108">
        <v>0</v>
      </c>
      <c r="J2108">
        <v>0</v>
      </c>
      <c r="K2108">
        <v>20</v>
      </c>
      <c r="L2108">
        <v>7</v>
      </c>
      <c r="M2108">
        <v>5</v>
      </c>
      <c r="O2108">
        <v>12</v>
      </c>
      <c r="P2108">
        <v>0</v>
      </c>
      <c r="Q2108">
        <v>0</v>
      </c>
      <c r="R2108">
        <v>48.78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H2108">
        <v>48.78</v>
      </c>
    </row>
    <row r="2109" spans="1:34" x14ac:dyDescent="0.3">
      <c r="A2109" s="4">
        <v>2323</v>
      </c>
      <c r="B2109" s="5">
        <v>2102</v>
      </c>
      <c r="C2109">
        <v>12737</v>
      </c>
      <c r="D2109" t="s">
        <v>14646</v>
      </c>
      <c r="E2109" t="s">
        <v>17</v>
      </c>
      <c r="F2109" t="s">
        <v>20</v>
      </c>
      <c r="G2109" t="s">
        <v>14647</v>
      </c>
      <c r="H2109">
        <v>20.78</v>
      </c>
      <c r="I2109">
        <v>0</v>
      </c>
      <c r="J2109">
        <v>0</v>
      </c>
      <c r="K2109">
        <v>20</v>
      </c>
      <c r="N2109">
        <v>3</v>
      </c>
      <c r="O2109">
        <v>3</v>
      </c>
      <c r="P2109">
        <v>4</v>
      </c>
      <c r="Q2109">
        <v>0</v>
      </c>
      <c r="R2109">
        <v>47.78</v>
      </c>
      <c r="S2109">
        <v>1</v>
      </c>
      <c r="T2109">
        <v>1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1</v>
      </c>
      <c r="AB2109">
        <v>0</v>
      </c>
      <c r="AC2109">
        <v>0</v>
      </c>
      <c r="AH2109">
        <v>48.78</v>
      </c>
    </row>
    <row r="2110" spans="1:34" x14ac:dyDescent="0.3">
      <c r="A2110" s="4">
        <v>2324</v>
      </c>
      <c r="B2110" s="5">
        <v>2103</v>
      </c>
      <c r="C2110">
        <v>5949</v>
      </c>
      <c r="D2110" t="s">
        <v>14648</v>
      </c>
      <c r="E2110" t="s">
        <v>11431</v>
      </c>
      <c r="F2110" t="s">
        <v>20</v>
      </c>
      <c r="G2110" t="s">
        <v>14649</v>
      </c>
      <c r="H2110">
        <v>17.75</v>
      </c>
      <c r="I2110">
        <v>0</v>
      </c>
      <c r="J2110">
        <v>0</v>
      </c>
      <c r="K2110">
        <v>20</v>
      </c>
      <c r="L2110">
        <v>7</v>
      </c>
      <c r="O2110">
        <v>7</v>
      </c>
      <c r="P2110">
        <v>4</v>
      </c>
      <c r="Q2110">
        <v>0</v>
      </c>
      <c r="R2110">
        <v>48.75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H2110">
        <v>48.75</v>
      </c>
    </row>
    <row r="2111" spans="1:34" x14ac:dyDescent="0.3">
      <c r="A2111" s="4">
        <v>2325</v>
      </c>
      <c r="B2111" s="5">
        <v>2104</v>
      </c>
      <c r="C2111">
        <v>1255</v>
      </c>
      <c r="D2111" t="s">
        <v>14650</v>
      </c>
      <c r="E2111" t="s">
        <v>328</v>
      </c>
      <c r="F2111" t="s">
        <v>158</v>
      </c>
      <c r="G2111" t="s">
        <v>14651</v>
      </c>
      <c r="H2111">
        <v>17.75</v>
      </c>
      <c r="I2111">
        <v>0</v>
      </c>
      <c r="J2111">
        <v>0</v>
      </c>
      <c r="K2111">
        <v>20</v>
      </c>
      <c r="L2111">
        <v>7</v>
      </c>
      <c r="O2111">
        <v>7</v>
      </c>
      <c r="P2111">
        <v>4</v>
      </c>
      <c r="Q2111">
        <v>0</v>
      </c>
      <c r="R2111">
        <v>48.75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H2111">
        <v>48.75</v>
      </c>
    </row>
    <row r="2112" spans="1:34" x14ac:dyDescent="0.3">
      <c r="A2112" s="4">
        <v>2326</v>
      </c>
      <c r="B2112" s="5">
        <v>2105</v>
      </c>
      <c r="C2112">
        <v>14756</v>
      </c>
      <c r="D2112" t="s">
        <v>14652</v>
      </c>
      <c r="E2112" t="s">
        <v>3523</v>
      </c>
      <c r="F2112" t="s">
        <v>927</v>
      </c>
      <c r="G2112" t="s">
        <v>14653</v>
      </c>
      <c r="H2112">
        <v>16.68</v>
      </c>
      <c r="I2112">
        <v>0</v>
      </c>
      <c r="J2112">
        <v>0</v>
      </c>
      <c r="K2112">
        <v>20</v>
      </c>
      <c r="L2112">
        <v>7</v>
      </c>
      <c r="N2112">
        <v>3</v>
      </c>
      <c r="O2112">
        <v>10</v>
      </c>
      <c r="P2112">
        <v>0</v>
      </c>
      <c r="Q2112">
        <v>2</v>
      </c>
      <c r="R2112">
        <v>48.68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H2112">
        <v>48.68</v>
      </c>
    </row>
    <row r="2113" spans="1:34" x14ac:dyDescent="0.3">
      <c r="A2113" s="4">
        <v>2327</v>
      </c>
      <c r="B2113" s="5">
        <v>2106</v>
      </c>
      <c r="C2113">
        <v>5192</v>
      </c>
      <c r="D2113" t="s">
        <v>4536</v>
      </c>
      <c r="E2113" t="s">
        <v>238</v>
      </c>
      <c r="F2113" t="s">
        <v>167</v>
      </c>
      <c r="G2113" t="s">
        <v>14654</v>
      </c>
      <c r="H2113">
        <v>16.68</v>
      </c>
      <c r="I2113">
        <v>0</v>
      </c>
      <c r="J2113">
        <v>0</v>
      </c>
      <c r="K2113">
        <v>20</v>
      </c>
      <c r="M2113">
        <v>5</v>
      </c>
      <c r="N2113">
        <v>3</v>
      </c>
      <c r="O2113">
        <v>8</v>
      </c>
      <c r="P2113">
        <v>4</v>
      </c>
      <c r="Q2113">
        <v>0</v>
      </c>
      <c r="R2113">
        <v>48.68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H2113">
        <v>48.68</v>
      </c>
    </row>
    <row r="2114" spans="1:34" x14ac:dyDescent="0.3">
      <c r="A2114" s="4">
        <v>2328</v>
      </c>
      <c r="B2114" s="5">
        <v>2107</v>
      </c>
      <c r="C2114">
        <v>703</v>
      </c>
      <c r="D2114" t="s">
        <v>14655</v>
      </c>
      <c r="E2114" t="s">
        <v>30</v>
      </c>
      <c r="F2114" t="s">
        <v>3439</v>
      </c>
      <c r="G2114" t="s">
        <v>14656</v>
      </c>
      <c r="H2114">
        <v>17.649999999999999</v>
      </c>
      <c r="I2114">
        <v>0</v>
      </c>
      <c r="J2114">
        <v>0</v>
      </c>
      <c r="K2114">
        <v>20</v>
      </c>
      <c r="L2114">
        <v>7</v>
      </c>
      <c r="O2114">
        <v>7</v>
      </c>
      <c r="P2114">
        <v>4</v>
      </c>
      <c r="Q2114">
        <v>0</v>
      </c>
      <c r="R2114">
        <v>48.65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H2114">
        <v>48.65</v>
      </c>
    </row>
    <row r="2115" spans="1:34" x14ac:dyDescent="0.3">
      <c r="A2115" s="4">
        <v>2329</v>
      </c>
      <c r="B2115" s="5">
        <v>2108</v>
      </c>
      <c r="C2115">
        <v>7320</v>
      </c>
      <c r="D2115" t="s">
        <v>4343</v>
      </c>
      <c r="E2115" t="s">
        <v>143</v>
      </c>
      <c r="F2115" t="s">
        <v>30</v>
      </c>
      <c r="G2115" t="s">
        <v>14657</v>
      </c>
      <c r="H2115">
        <v>16.63</v>
      </c>
      <c r="I2115">
        <v>0</v>
      </c>
      <c r="J2115">
        <v>0</v>
      </c>
      <c r="K2115">
        <v>20</v>
      </c>
      <c r="N2115">
        <v>3</v>
      </c>
      <c r="O2115">
        <v>3</v>
      </c>
      <c r="P2115">
        <v>4</v>
      </c>
      <c r="Q2115">
        <v>2</v>
      </c>
      <c r="R2115">
        <v>45.63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3</v>
      </c>
      <c r="AC2115">
        <v>0</v>
      </c>
      <c r="AH2115">
        <v>48.63</v>
      </c>
    </row>
    <row r="2116" spans="1:34" x14ac:dyDescent="0.3">
      <c r="A2116" s="4">
        <v>2330</v>
      </c>
      <c r="B2116" s="5">
        <v>2109</v>
      </c>
      <c r="C2116">
        <v>3366</v>
      </c>
      <c r="D2116" t="s">
        <v>932</v>
      </c>
      <c r="E2116" t="s">
        <v>110</v>
      </c>
      <c r="F2116" t="s">
        <v>17</v>
      </c>
      <c r="G2116" t="s">
        <v>14658</v>
      </c>
      <c r="H2116">
        <v>18.600000000000001</v>
      </c>
      <c r="I2116">
        <v>0</v>
      </c>
      <c r="J2116">
        <v>0</v>
      </c>
      <c r="K2116">
        <v>20</v>
      </c>
      <c r="L2116">
        <v>7</v>
      </c>
      <c r="O2116">
        <v>7</v>
      </c>
      <c r="P2116">
        <v>0</v>
      </c>
      <c r="Q2116">
        <v>0</v>
      </c>
      <c r="R2116">
        <v>45.6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3</v>
      </c>
      <c r="AC2116">
        <v>0</v>
      </c>
      <c r="AH2116">
        <v>48.6</v>
      </c>
    </row>
    <row r="2117" spans="1:34" x14ac:dyDescent="0.3">
      <c r="A2117" s="4">
        <v>2331</v>
      </c>
      <c r="B2117" s="5">
        <v>2110</v>
      </c>
      <c r="C2117">
        <v>10193</v>
      </c>
      <c r="D2117" t="s">
        <v>7029</v>
      </c>
      <c r="E2117" t="s">
        <v>91</v>
      </c>
      <c r="F2117" t="s">
        <v>17</v>
      </c>
      <c r="G2117" t="s">
        <v>14659</v>
      </c>
      <c r="H2117">
        <v>17.600000000000001</v>
      </c>
      <c r="I2117">
        <v>0</v>
      </c>
      <c r="J2117">
        <v>0</v>
      </c>
      <c r="K2117">
        <v>20</v>
      </c>
      <c r="L2117">
        <v>7</v>
      </c>
      <c r="O2117">
        <v>7</v>
      </c>
      <c r="P2117">
        <v>4</v>
      </c>
      <c r="Q2117">
        <v>0</v>
      </c>
      <c r="R2117">
        <v>48.6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H2117">
        <v>48.6</v>
      </c>
    </row>
    <row r="2118" spans="1:34" x14ac:dyDescent="0.3">
      <c r="A2118" s="4">
        <v>2332</v>
      </c>
      <c r="B2118" s="5">
        <v>2111</v>
      </c>
      <c r="C2118">
        <v>3588</v>
      </c>
      <c r="D2118" t="s">
        <v>14660</v>
      </c>
      <c r="E2118" t="s">
        <v>41</v>
      </c>
      <c r="F2118" t="s">
        <v>227</v>
      </c>
      <c r="G2118" t="s">
        <v>14661</v>
      </c>
      <c r="H2118">
        <v>17.600000000000001</v>
      </c>
      <c r="I2118">
        <v>0</v>
      </c>
      <c r="J2118">
        <v>0</v>
      </c>
      <c r="K2118">
        <v>20</v>
      </c>
      <c r="L2118">
        <v>7</v>
      </c>
      <c r="O2118">
        <v>7</v>
      </c>
      <c r="P2118">
        <v>4</v>
      </c>
      <c r="Q2118">
        <v>0</v>
      </c>
      <c r="R2118">
        <v>48.6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H2118">
        <v>48.6</v>
      </c>
    </row>
    <row r="2119" spans="1:34" x14ac:dyDescent="0.3">
      <c r="A2119" s="4">
        <v>2333</v>
      </c>
      <c r="B2119" s="5">
        <v>2112</v>
      </c>
      <c r="C2119">
        <v>15392</v>
      </c>
      <c r="D2119" t="s">
        <v>9175</v>
      </c>
      <c r="E2119" t="s">
        <v>14662</v>
      </c>
      <c r="F2119" t="s">
        <v>190</v>
      </c>
      <c r="G2119" t="s">
        <v>14663</v>
      </c>
      <c r="H2119">
        <v>21.58</v>
      </c>
      <c r="I2119">
        <v>0</v>
      </c>
      <c r="J2119">
        <v>0</v>
      </c>
      <c r="K2119">
        <v>20</v>
      </c>
      <c r="N2119">
        <v>3</v>
      </c>
      <c r="O2119">
        <v>3</v>
      </c>
      <c r="P2119">
        <v>4</v>
      </c>
      <c r="Q2119">
        <v>0</v>
      </c>
      <c r="R2119">
        <v>48.58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H2119">
        <v>48.58</v>
      </c>
    </row>
    <row r="2120" spans="1:34" x14ac:dyDescent="0.3">
      <c r="A2120" s="4">
        <v>2334</v>
      </c>
      <c r="B2120" s="5">
        <v>2113</v>
      </c>
      <c r="C2120">
        <v>4914</v>
      </c>
      <c r="D2120" t="s">
        <v>14664</v>
      </c>
      <c r="E2120" t="s">
        <v>14665</v>
      </c>
      <c r="F2120" t="s">
        <v>38</v>
      </c>
      <c r="G2120" t="s">
        <v>14666</v>
      </c>
      <c r="H2120">
        <v>18.53</v>
      </c>
      <c r="I2120">
        <v>0</v>
      </c>
      <c r="J2120">
        <v>0</v>
      </c>
      <c r="K2120">
        <v>0</v>
      </c>
      <c r="L2120">
        <v>7</v>
      </c>
      <c r="N2120">
        <v>3</v>
      </c>
      <c r="O2120">
        <v>10</v>
      </c>
      <c r="P2120">
        <v>4</v>
      </c>
      <c r="Q2120">
        <v>2</v>
      </c>
      <c r="R2120">
        <v>34.53</v>
      </c>
      <c r="S2120">
        <v>8</v>
      </c>
      <c r="T2120">
        <v>8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8</v>
      </c>
      <c r="AB2120">
        <v>6</v>
      </c>
      <c r="AC2120">
        <v>0</v>
      </c>
      <c r="AD2120" t="s">
        <v>130</v>
      </c>
      <c r="AH2120">
        <v>48.53</v>
      </c>
    </row>
    <row r="2121" spans="1:34" x14ac:dyDescent="0.3">
      <c r="A2121" s="4">
        <v>2335</v>
      </c>
      <c r="B2121" s="5">
        <v>2114</v>
      </c>
      <c r="C2121">
        <v>203</v>
      </c>
      <c r="D2121" t="s">
        <v>14667</v>
      </c>
      <c r="E2121" t="s">
        <v>10189</v>
      </c>
      <c r="F2121" t="s">
        <v>652</v>
      </c>
      <c r="G2121" t="s">
        <v>14668</v>
      </c>
      <c r="H2121">
        <v>12.5</v>
      </c>
      <c r="I2121">
        <v>0</v>
      </c>
      <c r="J2121">
        <v>0</v>
      </c>
      <c r="K2121">
        <v>20</v>
      </c>
      <c r="L2121">
        <v>7</v>
      </c>
      <c r="O2121">
        <v>7</v>
      </c>
      <c r="P2121">
        <v>0</v>
      </c>
      <c r="Q2121">
        <v>0</v>
      </c>
      <c r="R2121">
        <v>39.5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9</v>
      </c>
      <c r="AC2121">
        <v>0</v>
      </c>
      <c r="AH2121">
        <v>48.5</v>
      </c>
    </row>
    <row r="2122" spans="1:34" x14ac:dyDescent="0.3">
      <c r="A2122" s="4">
        <v>2336</v>
      </c>
      <c r="B2122" s="5">
        <v>2115</v>
      </c>
      <c r="C2122">
        <v>12063</v>
      </c>
      <c r="D2122" t="s">
        <v>1822</v>
      </c>
      <c r="E2122" t="s">
        <v>188</v>
      </c>
      <c r="F2122" t="s">
        <v>30</v>
      </c>
      <c r="G2122" t="s">
        <v>14669</v>
      </c>
      <c r="H2122">
        <v>12.5</v>
      </c>
      <c r="I2122">
        <v>0</v>
      </c>
      <c r="J2122">
        <v>0</v>
      </c>
      <c r="K2122">
        <v>20</v>
      </c>
      <c r="L2122">
        <v>7</v>
      </c>
      <c r="O2122">
        <v>7</v>
      </c>
      <c r="P2122">
        <v>4</v>
      </c>
      <c r="Q2122">
        <v>2</v>
      </c>
      <c r="R2122">
        <v>45.5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3</v>
      </c>
      <c r="AC2122">
        <v>0</v>
      </c>
      <c r="AH2122">
        <v>48.5</v>
      </c>
    </row>
    <row r="2123" spans="1:34" x14ac:dyDescent="0.3">
      <c r="A2123" s="4">
        <v>2337</v>
      </c>
      <c r="B2123" s="5">
        <v>2116</v>
      </c>
      <c r="C2123">
        <v>14827</v>
      </c>
      <c r="D2123" t="s">
        <v>14670</v>
      </c>
      <c r="E2123" t="s">
        <v>71</v>
      </c>
      <c r="F2123" t="s">
        <v>190</v>
      </c>
      <c r="G2123" t="s">
        <v>14671</v>
      </c>
      <c r="H2123">
        <v>19.5</v>
      </c>
      <c r="I2123">
        <v>0</v>
      </c>
      <c r="J2123">
        <v>0</v>
      </c>
      <c r="K2123">
        <v>20</v>
      </c>
      <c r="M2123">
        <v>5</v>
      </c>
      <c r="O2123">
        <v>5</v>
      </c>
      <c r="P2123">
        <v>4</v>
      </c>
      <c r="Q2123">
        <v>0</v>
      </c>
      <c r="R2123">
        <v>48.5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H2123">
        <v>48.5</v>
      </c>
    </row>
    <row r="2124" spans="1:34" x14ac:dyDescent="0.3">
      <c r="A2124" s="4">
        <v>2338</v>
      </c>
      <c r="B2124" s="5">
        <v>2117</v>
      </c>
      <c r="C2124">
        <v>1826</v>
      </c>
      <c r="D2124" t="s">
        <v>1133</v>
      </c>
      <c r="E2124" t="s">
        <v>342</v>
      </c>
      <c r="F2124" t="s">
        <v>17</v>
      </c>
      <c r="G2124" t="s">
        <v>14672</v>
      </c>
      <c r="H2124">
        <v>12.5</v>
      </c>
      <c r="I2124">
        <v>0</v>
      </c>
      <c r="J2124">
        <v>0</v>
      </c>
      <c r="K2124">
        <v>20</v>
      </c>
      <c r="L2124">
        <v>7</v>
      </c>
      <c r="M2124">
        <v>5</v>
      </c>
      <c r="O2124">
        <v>12</v>
      </c>
      <c r="P2124">
        <v>4</v>
      </c>
      <c r="Q2124">
        <v>0</v>
      </c>
      <c r="R2124">
        <v>48.5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H2124">
        <v>48.5</v>
      </c>
    </row>
    <row r="2125" spans="1:34" x14ac:dyDescent="0.3">
      <c r="A2125" s="4">
        <v>2339</v>
      </c>
      <c r="B2125" s="5">
        <v>2118</v>
      </c>
      <c r="C2125">
        <v>8207</v>
      </c>
      <c r="D2125" t="s">
        <v>14673</v>
      </c>
      <c r="E2125" t="s">
        <v>4855</v>
      </c>
      <c r="F2125" t="s">
        <v>1806</v>
      </c>
      <c r="G2125" t="s">
        <v>14674</v>
      </c>
      <c r="H2125">
        <v>19.45</v>
      </c>
      <c r="I2125">
        <v>0</v>
      </c>
      <c r="J2125">
        <v>0</v>
      </c>
      <c r="K2125">
        <v>0</v>
      </c>
      <c r="L2125">
        <v>7</v>
      </c>
      <c r="M2125">
        <v>5</v>
      </c>
      <c r="O2125">
        <v>12</v>
      </c>
      <c r="P2125">
        <v>4</v>
      </c>
      <c r="Q2125">
        <v>2</v>
      </c>
      <c r="R2125">
        <v>37.450000000000003</v>
      </c>
      <c r="S2125">
        <v>11</v>
      </c>
      <c r="T2125">
        <v>11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11</v>
      </c>
      <c r="AB2125">
        <v>0</v>
      </c>
      <c r="AC2125">
        <v>0</v>
      </c>
      <c r="AH2125">
        <v>48.45</v>
      </c>
    </row>
    <row r="2126" spans="1:34" x14ac:dyDescent="0.3">
      <c r="A2126" s="4">
        <v>2340</v>
      </c>
      <c r="B2126" s="5">
        <v>2119</v>
      </c>
      <c r="C2126">
        <v>5162</v>
      </c>
      <c r="D2126" t="s">
        <v>14675</v>
      </c>
      <c r="E2126" t="s">
        <v>1426</v>
      </c>
      <c r="F2126" t="s">
        <v>652</v>
      </c>
      <c r="G2126" t="s">
        <v>14676</v>
      </c>
      <c r="H2126">
        <v>20.399999999999999</v>
      </c>
      <c r="I2126">
        <v>7</v>
      </c>
      <c r="J2126">
        <v>0</v>
      </c>
      <c r="K2126">
        <v>0</v>
      </c>
      <c r="M2126">
        <v>5</v>
      </c>
      <c r="N2126">
        <v>3</v>
      </c>
      <c r="O2126">
        <v>8</v>
      </c>
      <c r="P2126">
        <v>4</v>
      </c>
      <c r="Q2126">
        <v>0</v>
      </c>
      <c r="R2126">
        <v>39.4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9</v>
      </c>
      <c r="AC2126">
        <v>0</v>
      </c>
      <c r="AH2126">
        <v>48.4</v>
      </c>
    </row>
    <row r="2127" spans="1:34" x14ac:dyDescent="0.3">
      <c r="A2127" s="4">
        <v>2341</v>
      </c>
      <c r="B2127" s="5">
        <v>2120</v>
      </c>
      <c r="C2127">
        <v>10083</v>
      </c>
      <c r="D2127" t="s">
        <v>14677</v>
      </c>
      <c r="E2127" t="s">
        <v>14678</v>
      </c>
      <c r="F2127" t="s">
        <v>117</v>
      </c>
      <c r="G2127" t="s">
        <v>14679</v>
      </c>
      <c r="H2127">
        <v>17.399999999999999</v>
      </c>
      <c r="I2127">
        <v>0</v>
      </c>
      <c r="J2127">
        <v>0</v>
      </c>
      <c r="K2127">
        <v>20</v>
      </c>
      <c r="L2127">
        <v>7</v>
      </c>
      <c r="O2127">
        <v>7</v>
      </c>
      <c r="P2127">
        <v>4</v>
      </c>
      <c r="Q2127">
        <v>0</v>
      </c>
      <c r="R2127">
        <v>48.4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H2127">
        <v>48.4</v>
      </c>
    </row>
    <row r="2128" spans="1:34" x14ac:dyDescent="0.3">
      <c r="A2128" s="4">
        <v>2342</v>
      </c>
      <c r="B2128" s="5">
        <v>2121</v>
      </c>
      <c r="C2128">
        <v>3249</v>
      </c>
      <c r="D2128" t="s">
        <v>14680</v>
      </c>
      <c r="E2128" t="s">
        <v>143</v>
      </c>
      <c r="F2128" t="s">
        <v>117</v>
      </c>
      <c r="G2128" t="s">
        <v>14681</v>
      </c>
      <c r="H2128">
        <v>18.38</v>
      </c>
      <c r="I2128">
        <v>0</v>
      </c>
      <c r="J2128">
        <v>0</v>
      </c>
      <c r="K2128">
        <v>20</v>
      </c>
      <c r="L2128">
        <v>7</v>
      </c>
      <c r="N2128">
        <v>3</v>
      </c>
      <c r="O2128">
        <v>10</v>
      </c>
      <c r="P2128">
        <v>0</v>
      </c>
      <c r="Q2128">
        <v>0</v>
      </c>
      <c r="R2128">
        <v>48.38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H2128">
        <v>48.38</v>
      </c>
    </row>
    <row r="2129" spans="1:34" x14ac:dyDescent="0.3">
      <c r="A2129" s="4">
        <v>2343</v>
      </c>
      <c r="B2129" s="5">
        <v>2122</v>
      </c>
      <c r="C2129">
        <v>11062</v>
      </c>
      <c r="D2129" t="s">
        <v>2186</v>
      </c>
      <c r="E2129" t="s">
        <v>100</v>
      </c>
      <c r="F2129" t="s">
        <v>52</v>
      </c>
      <c r="G2129" t="s">
        <v>14682</v>
      </c>
      <c r="H2129">
        <v>17.38</v>
      </c>
      <c r="I2129">
        <v>0</v>
      </c>
      <c r="J2129">
        <v>0</v>
      </c>
      <c r="K2129">
        <v>20</v>
      </c>
      <c r="L2129">
        <v>7</v>
      </c>
      <c r="O2129">
        <v>7</v>
      </c>
      <c r="P2129">
        <v>4</v>
      </c>
      <c r="Q2129">
        <v>0</v>
      </c>
      <c r="R2129">
        <v>48.38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 t="s">
        <v>130</v>
      </c>
      <c r="AH2129">
        <v>48.38</v>
      </c>
    </row>
    <row r="2130" spans="1:34" x14ac:dyDescent="0.3">
      <c r="A2130" s="4">
        <v>2344</v>
      </c>
      <c r="B2130" s="5">
        <v>2123</v>
      </c>
      <c r="C2130">
        <v>15576</v>
      </c>
      <c r="D2130" t="s">
        <v>6318</v>
      </c>
      <c r="E2130" t="s">
        <v>289</v>
      </c>
      <c r="F2130" t="s">
        <v>1399</v>
      </c>
      <c r="G2130" t="s">
        <v>14683</v>
      </c>
      <c r="H2130">
        <v>19.38</v>
      </c>
      <c r="I2130">
        <v>0</v>
      </c>
      <c r="J2130">
        <v>0</v>
      </c>
      <c r="K2130">
        <v>0</v>
      </c>
      <c r="L2130">
        <v>7</v>
      </c>
      <c r="N2130">
        <v>3</v>
      </c>
      <c r="O2130">
        <v>10</v>
      </c>
      <c r="P2130">
        <v>4</v>
      </c>
      <c r="Q2130">
        <v>2</v>
      </c>
      <c r="R2130">
        <v>35.380000000000003</v>
      </c>
      <c r="S2130">
        <v>13</v>
      </c>
      <c r="T2130">
        <v>13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13</v>
      </c>
      <c r="AB2130">
        <v>0</v>
      </c>
      <c r="AC2130">
        <v>0</v>
      </c>
      <c r="AH2130">
        <v>48.38</v>
      </c>
    </row>
    <row r="2131" spans="1:34" x14ac:dyDescent="0.3">
      <c r="A2131" s="4">
        <v>2345</v>
      </c>
      <c r="B2131" s="5">
        <v>2124</v>
      </c>
      <c r="C2131">
        <v>9433</v>
      </c>
      <c r="D2131" t="s">
        <v>14684</v>
      </c>
      <c r="E2131" t="s">
        <v>29</v>
      </c>
      <c r="F2131" t="s">
        <v>17</v>
      </c>
      <c r="G2131" t="s">
        <v>14685</v>
      </c>
      <c r="H2131">
        <v>17.350000000000001</v>
      </c>
      <c r="I2131">
        <v>0</v>
      </c>
      <c r="J2131">
        <v>0</v>
      </c>
      <c r="K2131">
        <v>20</v>
      </c>
      <c r="L2131">
        <v>7</v>
      </c>
      <c r="O2131">
        <v>7</v>
      </c>
      <c r="P2131">
        <v>4</v>
      </c>
      <c r="Q2131">
        <v>0</v>
      </c>
      <c r="R2131">
        <v>48.35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H2131">
        <v>48.35</v>
      </c>
    </row>
    <row r="2132" spans="1:34" x14ac:dyDescent="0.3">
      <c r="A2132" s="4">
        <v>2346</v>
      </c>
      <c r="B2132" s="5">
        <v>2125</v>
      </c>
      <c r="C2132">
        <v>3743</v>
      </c>
      <c r="D2132" t="s">
        <v>14686</v>
      </c>
      <c r="E2132" t="s">
        <v>14687</v>
      </c>
      <c r="F2132" t="s">
        <v>81</v>
      </c>
      <c r="G2132" t="s">
        <v>14688</v>
      </c>
      <c r="H2132">
        <v>18.329999999999998</v>
      </c>
      <c r="I2132">
        <v>0</v>
      </c>
      <c r="J2132">
        <v>0</v>
      </c>
      <c r="K2132">
        <v>20</v>
      </c>
      <c r="L2132">
        <v>7</v>
      </c>
      <c r="N2132">
        <v>3</v>
      </c>
      <c r="O2132">
        <v>10</v>
      </c>
      <c r="P2132">
        <v>0</v>
      </c>
      <c r="Q2132">
        <v>0</v>
      </c>
      <c r="R2132">
        <v>48.33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H2132">
        <v>48.33</v>
      </c>
    </row>
    <row r="2133" spans="1:34" x14ac:dyDescent="0.3">
      <c r="A2133" s="4">
        <v>2347</v>
      </c>
      <c r="B2133" s="5">
        <v>2126</v>
      </c>
      <c r="C2133">
        <v>9641</v>
      </c>
      <c r="D2133" t="s">
        <v>12940</v>
      </c>
      <c r="E2133" t="s">
        <v>166</v>
      </c>
      <c r="F2133" t="s">
        <v>136</v>
      </c>
      <c r="G2133" t="s">
        <v>14689</v>
      </c>
      <c r="H2133">
        <v>17.329999999999998</v>
      </c>
      <c r="I2133">
        <v>0</v>
      </c>
      <c r="J2133">
        <v>0</v>
      </c>
      <c r="K2133">
        <v>20</v>
      </c>
      <c r="L2133">
        <v>7</v>
      </c>
      <c r="O2133">
        <v>7</v>
      </c>
      <c r="P2133">
        <v>4</v>
      </c>
      <c r="Q2133">
        <v>0</v>
      </c>
      <c r="R2133">
        <v>48.33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H2133">
        <v>48.33</v>
      </c>
    </row>
    <row r="2134" spans="1:34" x14ac:dyDescent="0.3">
      <c r="A2134" s="4">
        <v>2348</v>
      </c>
      <c r="B2134" s="5">
        <v>2127</v>
      </c>
      <c r="C2134">
        <v>6600</v>
      </c>
      <c r="D2134" t="s">
        <v>14690</v>
      </c>
      <c r="E2134" t="s">
        <v>1474</v>
      </c>
      <c r="F2134" t="s">
        <v>17</v>
      </c>
      <c r="G2134" t="s">
        <v>14691</v>
      </c>
      <c r="H2134">
        <v>18.28</v>
      </c>
      <c r="I2134">
        <v>0</v>
      </c>
      <c r="J2134">
        <v>0</v>
      </c>
      <c r="K2134">
        <v>20</v>
      </c>
      <c r="L2134">
        <v>7</v>
      </c>
      <c r="N2134">
        <v>3</v>
      </c>
      <c r="O2134">
        <v>10</v>
      </c>
      <c r="P2134">
        <v>0</v>
      </c>
      <c r="Q2134">
        <v>0</v>
      </c>
      <c r="R2134">
        <v>48.28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H2134">
        <v>48.28</v>
      </c>
    </row>
    <row r="2135" spans="1:34" x14ac:dyDescent="0.3">
      <c r="A2135" s="4">
        <v>2349</v>
      </c>
      <c r="B2135" s="5">
        <v>2128</v>
      </c>
      <c r="C2135">
        <v>791</v>
      </c>
      <c r="D2135" t="s">
        <v>14692</v>
      </c>
      <c r="E2135" t="s">
        <v>29</v>
      </c>
      <c r="F2135" t="s">
        <v>136</v>
      </c>
      <c r="G2135" t="s">
        <v>14693</v>
      </c>
      <c r="H2135">
        <v>18.28</v>
      </c>
      <c r="I2135">
        <v>0</v>
      </c>
      <c r="J2135">
        <v>0</v>
      </c>
      <c r="K2135">
        <v>0</v>
      </c>
      <c r="M2135">
        <v>5</v>
      </c>
      <c r="N2135">
        <v>3</v>
      </c>
      <c r="O2135">
        <v>8</v>
      </c>
      <c r="P2135">
        <v>0</v>
      </c>
      <c r="Q2135">
        <v>0</v>
      </c>
      <c r="R2135">
        <v>26.28</v>
      </c>
      <c r="S2135">
        <v>22</v>
      </c>
      <c r="T2135">
        <v>22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22</v>
      </c>
      <c r="AB2135">
        <v>0</v>
      </c>
      <c r="AC2135">
        <v>0</v>
      </c>
      <c r="AH2135">
        <v>48.28</v>
      </c>
    </row>
    <row r="2136" spans="1:34" x14ac:dyDescent="0.3">
      <c r="A2136" s="4">
        <v>2350</v>
      </c>
      <c r="B2136" s="5">
        <v>2129</v>
      </c>
      <c r="C2136">
        <v>11539</v>
      </c>
      <c r="D2136" t="s">
        <v>1224</v>
      </c>
      <c r="E2136" t="s">
        <v>14694</v>
      </c>
      <c r="F2136" t="s">
        <v>14695</v>
      </c>
      <c r="G2136" t="s">
        <v>14696</v>
      </c>
      <c r="H2136">
        <v>17.25</v>
      </c>
      <c r="I2136">
        <v>0</v>
      </c>
      <c r="J2136">
        <v>0</v>
      </c>
      <c r="K2136">
        <v>0</v>
      </c>
      <c r="L2136">
        <v>7</v>
      </c>
      <c r="N2136">
        <v>3</v>
      </c>
      <c r="O2136">
        <v>10</v>
      </c>
      <c r="P2136">
        <v>4</v>
      </c>
      <c r="Q2136">
        <v>2</v>
      </c>
      <c r="R2136">
        <v>33.25</v>
      </c>
      <c r="S2136">
        <v>15</v>
      </c>
      <c r="T2136">
        <v>15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15</v>
      </c>
      <c r="AB2136">
        <v>0</v>
      </c>
      <c r="AC2136">
        <v>0</v>
      </c>
      <c r="AH2136">
        <v>48.25</v>
      </c>
    </row>
    <row r="2137" spans="1:34" x14ac:dyDescent="0.3">
      <c r="A2137" s="4">
        <v>2351</v>
      </c>
      <c r="B2137" s="5">
        <v>2130</v>
      </c>
      <c r="C2137">
        <v>14962</v>
      </c>
      <c r="D2137" t="s">
        <v>14697</v>
      </c>
      <c r="E2137" t="s">
        <v>178</v>
      </c>
      <c r="F2137" t="s">
        <v>1460</v>
      </c>
      <c r="G2137" t="s">
        <v>14698</v>
      </c>
      <c r="H2137">
        <v>19.23</v>
      </c>
      <c r="I2137">
        <v>0</v>
      </c>
      <c r="J2137">
        <v>0</v>
      </c>
      <c r="K2137">
        <v>20</v>
      </c>
      <c r="M2137">
        <v>5</v>
      </c>
      <c r="O2137">
        <v>5</v>
      </c>
      <c r="P2137">
        <v>4</v>
      </c>
      <c r="Q2137">
        <v>0</v>
      </c>
      <c r="R2137">
        <v>48.23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H2137">
        <v>48.23</v>
      </c>
    </row>
    <row r="2138" spans="1:34" x14ac:dyDescent="0.3">
      <c r="A2138" s="4">
        <v>2352</v>
      </c>
      <c r="B2138" s="5">
        <v>2131</v>
      </c>
      <c r="C2138">
        <v>169</v>
      </c>
      <c r="D2138" t="s">
        <v>3056</v>
      </c>
      <c r="E2138" t="s">
        <v>29</v>
      </c>
      <c r="F2138" t="s">
        <v>12716</v>
      </c>
      <c r="G2138" t="s">
        <v>14699</v>
      </c>
      <c r="H2138">
        <v>21</v>
      </c>
      <c r="I2138">
        <v>0</v>
      </c>
      <c r="J2138">
        <v>0</v>
      </c>
      <c r="K2138">
        <v>20</v>
      </c>
      <c r="N2138">
        <v>3</v>
      </c>
      <c r="O2138">
        <v>3</v>
      </c>
      <c r="P2138">
        <v>4</v>
      </c>
      <c r="Q2138">
        <v>0</v>
      </c>
      <c r="R2138">
        <v>48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H2138">
        <v>48</v>
      </c>
    </row>
    <row r="2139" spans="1:34" x14ac:dyDescent="0.3">
      <c r="A2139" s="4">
        <v>2353</v>
      </c>
      <c r="B2139" s="5">
        <v>2132</v>
      </c>
      <c r="C2139">
        <v>13697</v>
      </c>
      <c r="D2139" t="s">
        <v>14700</v>
      </c>
      <c r="E2139" t="s">
        <v>22</v>
      </c>
      <c r="F2139" t="s">
        <v>878</v>
      </c>
      <c r="G2139" t="s">
        <v>14701</v>
      </c>
      <c r="H2139">
        <v>17</v>
      </c>
      <c r="I2139">
        <v>0</v>
      </c>
      <c r="J2139">
        <v>0</v>
      </c>
      <c r="K2139">
        <v>20</v>
      </c>
      <c r="L2139">
        <v>7</v>
      </c>
      <c r="O2139">
        <v>7</v>
      </c>
      <c r="P2139">
        <v>4</v>
      </c>
      <c r="Q2139">
        <v>0</v>
      </c>
      <c r="R2139">
        <v>48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H2139">
        <v>48</v>
      </c>
    </row>
    <row r="2140" spans="1:34" x14ac:dyDescent="0.3">
      <c r="A2140" s="4">
        <v>2354</v>
      </c>
      <c r="B2140" s="5">
        <v>2133</v>
      </c>
      <c r="C2140">
        <v>6129</v>
      </c>
      <c r="D2140" t="s">
        <v>10097</v>
      </c>
      <c r="E2140" t="s">
        <v>143</v>
      </c>
      <c r="F2140" t="s">
        <v>158</v>
      </c>
      <c r="G2140" t="s">
        <v>14702</v>
      </c>
      <c r="H2140">
        <v>17</v>
      </c>
      <c r="I2140">
        <v>0</v>
      </c>
      <c r="J2140">
        <v>0</v>
      </c>
      <c r="K2140">
        <v>0</v>
      </c>
      <c r="L2140">
        <v>14</v>
      </c>
      <c r="O2140">
        <v>14</v>
      </c>
      <c r="P2140">
        <v>4</v>
      </c>
      <c r="Q2140">
        <v>0</v>
      </c>
      <c r="R2140">
        <v>35</v>
      </c>
      <c r="S2140">
        <v>13</v>
      </c>
      <c r="T2140">
        <v>13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13</v>
      </c>
      <c r="AB2140">
        <v>0</v>
      </c>
      <c r="AC2140">
        <v>0</v>
      </c>
      <c r="AH2140">
        <v>48</v>
      </c>
    </row>
    <row r="2141" spans="1:34" x14ac:dyDescent="0.3">
      <c r="A2141" s="4">
        <v>2355</v>
      </c>
      <c r="B2141" s="5">
        <v>2134</v>
      </c>
      <c r="C2141">
        <v>13354</v>
      </c>
      <c r="D2141" t="s">
        <v>14703</v>
      </c>
      <c r="E2141" t="s">
        <v>801</v>
      </c>
      <c r="F2141" t="s">
        <v>136</v>
      </c>
      <c r="G2141" t="s">
        <v>14704</v>
      </c>
      <c r="H2141">
        <v>16.98</v>
      </c>
      <c r="I2141">
        <v>0</v>
      </c>
      <c r="J2141">
        <v>0</v>
      </c>
      <c r="K2141">
        <v>20</v>
      </c>
      <c r="L2141">
        <v>7</v>
      </c>
      <c r="O2141">
        <v>7</v>
      </c>
      <c r="P2141">
        <v>4</v>
      </c>
      <c r="Q2141">
        <v>0</v>
      </c>
      <c r="R2141">
        <v>47.98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H2141">
        <v>47.98</v>
      </c>
    </row>
    <row r="2142" spans="1:34" x14ac:dyDescent="0.3">
      <c r="A2142" s="4">
        <v>2356</v>
      </c>
      <c r="B2142" s="5">
        <v>2135</v>
      </c>
      <c r="C2142">
        <v>3868</v>
      </c>
      <c r="D2142" t="s">
        <v>14705</v>
      </c>
      <c r="E2142" t="s">
        <v>51</v>
      </c>
      <c r="F2142" t="s">
        <v>158</v>
      </c>
      <c r="G2142" t="s">
        <v>14706</v>
      </c>
      <c r="H2142">
        <v>16.95</v>
      </c>
      <c r="I2142">
        <v>0</v>
      </c>
      <c r="J2142">
        <v>0</v>
      </c>
      <c r="K2142">
        <v>20</v>
      </c>
      <c r="L2142">
        <v>7</v>
      </c>
      <c r="O2142">
        <v>7</v>
      </c>
      <c r="P2142">
        <v>4</v>
      </c>
      <c r="Q2142">
        <v>0</v>
      </c>
      <c r="R2142">
        <v>47.95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H2142">
        <v>47.95</v>
      </c>
    </row>
    <row r="2143" spans="1:34" x14ac:dyDescent="0.3">
      <c r="A2143" s="4">
        <v>2357</v>
      </c>
      <c r="B2143" s="5">
        <v>2136</v>
      </c>
      <c r="C2143">
        <v>3581</v>
      </c>
      <c r="D2143" t="s">
        <v>14707</v>
      </c>
      <c r="E2143" t="s">
        <v>97</v>
      </c>
      <c r="F2143" t="s">
        <v>81</v>
      </c>
      <c r="G2143" t="s">
        <v>14708</v>
      </c>
      <c r="H2143">
        <v>16.95</v>
      </c>
      <c r="I2143">
        <v>0</v>
      </c>
      <c r="J2143">
        <v>0</v>
      </c>
      <c r="K2143">
        <v>20</v>
      </c>
      <c r="L2143">
        <v>7</v>
      </c>
      <c r="O2143">
        <v>7</v>
      </c>
      <c r="P2143">
        <v>4</v>
      </c>
      <c r="Q2143">
        <v>0</v>
      </c>
      <c r="R2143">
        <v>47.95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H2143">
        <v>47.95</v>
      </c>
    </row>
    <row r="2144" spans="1:34" x14ac:dyDescent="0.3">
      <c r="A2144" s="4">
        <v>2358</v>
      </c>
      <c r="B2144" s="5">
        <v>2137</v>
      </c>
      <c r="C2144">
        <v>927</v>
      </c>
      <c r="D2144" t="s">
        <v>14709</v>
      </c>
      <c r="E2144" t="s">
        <v>143</v>
      </c>
      <c r="F2144" t="s">
        <v>17</v>
      </c>
      <c r="G2144" t="s">
        <v>14710</v>
      </c>
      <c r="H2144">
        <v>16.95</v>
      </c>
      <c r="I2144">
        <v>0</v>
      </c>
      <c r="J2144">
        <v>0</v>
      </c>
      <c r="K2144">
        <v>0</v>
      </c>
      <c r="L2144">
        <v>7</v>
      </c>
      <c r="O2144">
        <v>7</v>
      </c>
      <c r="P2144">
        <v>4</v>
      </c>
      <c r="Q2144">
        <v>2</v>
      </c>
      <c r="R2144">
        <v>29.95</v>
      </c>
      <c r="S2144">
        <v>18</v>
      </c>
      <c r="T2144">
        <v>18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18</v>
      </c>
      <c r="AB2144">
        <v>0</v>
      </c>
      <c r="AC2144">
        <v>0</v>
      </c>
      <c r="AH2144">
        <v>47.95</v>
      </c>
    </row>
    <row r="2145" spans="1:34" x14ac:dyDescent="0.3">
      <c r="A2145" s="4">
        <v>2359</v>
      </c>
      <c r="B2145" s="5">
        <v>2138</v>
      </c>
      <c r="C2145">
        <v>13507</v>
      </c>
      <c r="D2145" t="s">
        <v>9777</v>
      </c>
      <c r="E2145" t="s">
        <v>471</v>
      </c>
      <c r="F2145" t="s">
        <v>81</v>
      </c>
      <c r="G2145" t="s">
        <v>14711</v>
      </c>
      <c r="H2145">
        <v>20.93</v>
      </c>
      <c r="I2145">
        <v>0</v>
      </c>
      <c r="J2145">
        <v>0</v>
      </c>
      <c r="K2145">
        <v>20</v>
      </c>
      <c r="O2145">
        <v>0</v>
      </c>
      <c r="P2145">
        <v>4</v>
      </c>
      <c r="Q2145">
        <v>0</v>
      </c>
      <c r="R2145">
        <v>44.93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3</v>
      </c>
      <c r="AC2145">
        <v>0</v>
      </c>
      <c r="AH2145">
        <v>47.93</v>
      </c>
    </row>
    <row r="2146" spans="1:34" x14ac:dyDescent="0.3">
      <c r="A2146" s="4">
        <v>2360</v>
      </c>
      <c r="B2146" s="5">
        <v>2139</v>
      </c>
      <c r="C2146">
        <v>9051</v>
      </c>
      <c r="D2146" t="s">
        <v>1884</v>
      </c>
      <c r="E2146" t="s">
        <v>283</v>
      </c>
      <c r="F2146" t="s">
        <v>17</v>
      </c>
      <c r="G2146" t="s">
        <v>14712</v>
      </c>
      <c r="H2146">
        <v>17.93</v>
      </c>
      <c r="I2146">
        <v>0</v>
      </c>
      <c r="J2146">
        <v>0</v>
      </c>
      <c r="K2146">
        <v>0</v>
      </c>
      <c r="L2146">
        <v>7</v>
      </c>
      <c r="O2146">
        <v>7</v>
      </c>
      <c r="P2146">
        <v>4</v>
      </c>
      <c r="Q2146">
        <v>2</v>
      </c>
      <c r="R2146">
        <v>30.93</v>
      </c>
      <c r="S2146">
        <v>14</v>
      </c>
      <c r="T2146">
        <v>14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14</v>
      </c>
      <c r="AB2146">
        <v>3</v>
      </c>
      <c r="AC2146">
        <v>0</v>
      </c>
      <c r="AD2146" t="s">
        <v>130</v>
      </c>
      <c r="AH2146">
        <v>47.93</v>
      </c>
    </row>
    <row r="2147" spans="1:34" x14ac:dyDescent="0.3">
      <c r="A2147" s="4">
        <v>2361</v>
      </c>
      <c r="B2147" s="5">
        <v>2140</v>
      </c>
      <c r="C2147">
        <v>1818</v>
      </c>
      <c r="D2147" t="s">
        <v>14713</v>
      </c>
      <c r="E2147" t="s">
        <v>14714</v>
      </c>
      <c r="F2147" t="s">
        <v>238</v>
      </c>
      <c r="G2147" t="s">
        <v>14715</v>
      </c>
      <c r="H2147">
        <v>19.93</v>
      </c>
      <c r="I2147">
        <v>0</v>
      </c>
      <c r="J2147">
        <v>0</v>
      </c>
      <c r="K2147">
        <v>0</v>
      </c>
      <c r="L2147">
        <v>7</v>
      </c>
      <c r="O2147">
        <v>7</v>
      </c>
      <c r="P2147">
        <v>4</v>
      </c>
      <c r="Q2147">
        <v>2</v>
      </c>
      <c r="R2147">
        <v>32.93</v>
      </c>
      <c r="S2147">
        <v>15</v>
      </c>
      <c r="T2147">
        <v>15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15</v>
      </c>
      <c r="AB2147">
        <v>0</v>
      </c>
      <c r="AC2147">
        <v>0</v>
      </c>
      <c r="AH2147">
        <v>47.93</v>
      </c>
    </row>
    <row r="2148" spans="1:34" x14ac:dyDescent="0.3">
      <c r="A2148" s="4">
        <v>2362</v>
      </c>
      <c r="B2148" s="5">
        <v>2141</v>
      </c>
      <c r="C2148">
        <v>13606</v>
      </c>
      <c r="D2148" t="s">
        <v>3718</v>
      </c>
      <c r="E2148" t="s">
        <v>54</v>
      </c>
      <c r="F2148" t="s">
        <v>38</v>
      </c>
      <c r="G2148" t="s">
        <v>14716</v>
      </c>
      <c r="H2148">
        <v>18.93</v>
      </c>
      <c r="I2148">
        <v>0</v>
      </c>
      <c r="J2148">
        <v>0</v>
      </c>
      <c r="K2148">
        <v>0</v>
      </c>
      <c r="N2148">
        <v>6</v>
      </c>
      <c r="O2148">
        <v>6</v>
      </c>
      <c r="P2148">
        <v>4</v>
      </c>
      <c r="Q2148">
        <v>0</v>
      </c>
      <c r="R2148">
        <v>28.93</v>
      </c>
      <c r="S2148">
        <v>19</v>
      </c>
      <c r="T2148">
        <v>19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19</v>
      </c>
      <c r="AB2148">
        <v>0</v>
      </c>
      <c r="AC2148">
        <v>0</v>
      </c>
      <c r="AD2148" t="s">
        <v>130</v>
      </c>
      <c r="AH2148">
        <v>47.93</v>
      </c>
    </row>
    <row r="2149" spans="1:34" x14ac:dyDescent="0.3">
      <c r="A2149" s="4">
        <v>2363</v>
      </c>
      <c r="B2149" s="5">
        <v>2142</v>
      </c>
      <c r="C2149">
        <v>6649</v>
      </c>
      <c r="D2149" t="s">
        <v>834</v>
      </c>
      <c r="E2149" t="s">
        <v>208</v>
      </c>
      <c r="F2149" t="s">
        <v>17</v>
      </c>
      <c r="G2149" t="s">
        <v>14717</v>
      </c>
      <c r="H2149">
        <v>20.88</v>
      </c>
      <c r="I2149">
        <v>0</v>
      </c>
      <c r="J2149">
        <v>0</v>
      </c>
      <c r="K2149">
        <v>0</v>
      </c>
      <c r="L2149">
        <v>14</v>
      </c>
      <c r="O2149">
        <v>14</v>
      </c>
      <c r="P2149">
        <v>4</v>
      </c>
      <c r="Q2149">
        <v>0</v>
      </c>
      <c r="R2149">
        <v>38.880000000000003</v>
      </c>
      <c r="S2149">
        <v>3</v>
      </c>
      <c r="T2149">
        <v>3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3</v>
      </c>
      <c r="AB2149">
        <v>6</v>
      </c>
      <c r="AC2149">
        <v>0</v>
      </c>
      <c r="AH2149">
        <v>47.88</v>
      </c>
    </row>
    <row r="2150" spans="1:34" x14ac:dyDescent="0.3">
      <c r="A2150" s="4">
        <v>2364</v>
      </c>
      <c r="B2150" s="5">
        <v>2143</v>
      </c>
      <c r="C2150">
        <v>9279</v>
      </c>
      <c r="D2150" t="s">
        <v>1923</v>
      </c>
      <c r="E2150" t="s">
        <v>161</v>
      </c>
      <c r="F2150" t="s">
        <v>38</v>
      </c>
      <c r="G2150" t="s">
        <v>14718</v>
      </c>
      <c r="H2150">
        <v>20.88</v>
      </c>
      <c r="I2150">
        <v>0</v>
      </c>
      <c r="J2150">
        <v>0</v>
      </c>
      <c r="K2150">
        <v>20</v>
      </c>
      <c r="N2150">
        <v>3</v>
      </c>
      <c r="O2150">
        <v>3</v>
      </c>
      <c r="P2150">
        <v>4</v>
      </c>
      <c r="Q2150">
        <v>0</v>
      </c>
      <c r="R2150">
        <v>47.88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H2150">
        <v>47.88</v>
      </c>
    </row>
    <row r="2151" spans="1:34" x14ac:dyDescent="0.3">
      <c r="A2151" s="4">
        <v>2365</v>
      </c>
      <c r="B2151" s="5">
        <v>2144</v>
      </c>
      <c r="C2151">
        <v>12681</v>
      </c>
      <c r="D2151" t="s">
        <v>14719</v>
      </c>
      <c r="E2151" t="s">
        <v>29</v>
      </c>
      <c r="F2151" t="s">
        <v>136</v>
      </c>
      <c r="G2151" t="s">
        <v>14720</v>
      </c>
      <c r="H2151">
        <v>17.88</v>
      </c>
      <c r="I2151">
        <v>0</v>
      </c>
      <c r="J2151">
        <v>0</v>
      </c>
      <c r="K2151">
        <v>20</v>
      </c>
      <c r="N2151">
        <v>6</v>
      </c>
      <c r="O2151">
        <v>6</v>
      </c>
      <c r="P2151">
        <v>4</v>
      </c>
      <c r="Q2151">
        <v>0</v>
      </c>
      <c r="R2151">
        <v>47.88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H2151">
        <v>47.88</v>
      </c>
    </row>
    <row r="2152" spans="1:34" x14ac:dyDescent="0.3">
      <c r="A2152" s="4">
        <v>2366</v>
      </c>
      <c r="B2152" s="5">
        <v>2145</v>
      </c>
      <c r="C2152">
        <v>15308</v>
      </c>
      <c r="D2152" t="s">
        <v>14721</v>
      </c>
      <c r="E2152" t="s">
        <v>88</v>
      </c>
      <c r="F2152" t="s">
        <v>972</v>
      </c>
      <c r="G2152" t="s">
        <v>14722</v>
      </c>
      <c r="H2152">
        <v>16.88</v>
      </c>
      <c r="I2152">
        <v>0</v>
      </c>
      <c r="J2152">
        <v>0</v>
      </c>
      <c r="K2152">
        <v>20</v>
      </c>
      <c r="L2152">
        <v>7</v>
      </c>
      <c r="O2152">
        <v>7</v>
      </c>
      <c r="P2152">
        <v>4</v>
      </c>
      <c r="Q2152">
        <v>0</v>
      </c>
      <c r="R2152">
        <v>47.88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H2152">
        <v>47.88</v>
      </c>
    </row>
    <row r="2153" spans="1:34" x14ac:dyDescent="0.3">
      <c r="A2153" s="4">
        <v>2367</v>
      </c>
      <c r="B2153" s="5">
        <v>2146</v>
      </c>
      <c r="C2153">
        <v>7419</v>
      </c>
      <c r="D2153" t="s">
        <v>7356</v>
      </c>
      <c r="E2153" t="s">
        <v>471</v>
      </c>
      <c r="F2153" t="s">
        <v>68</v>
      </c>
      <c r="G2153" t="s">
        <v>14723</v>
      </c>
      <c r="H2153">
        <v>18.850000000000001</v>
      </c>
      <c r="I2153">
        <v>0</v>
      </c>
      <c r="J2153">
        <v>0</v>
      </c>
      <c r="K2153">
        <v>0</v>
      </c>
      <c r="L2153">
        <v>7</v>
      </c>
      <c r="O2153">
        <v>7</v>
      </c>
      <c r="P2153">
        <v>4</v>
      </c>
      <c r="Q2153">
        <v>2</v>
      </c>
      <c r="R2153">
        <v>31.85</v>
      </c>
      <c r="S2153">
        <v>7</v>
      </c>
      <c r="T2153">
        <v>7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7</v>
      </c>
      <c r="AB2153">
        <v>9</v>
      </c>
      <c r="AC2153">
        <v>0</v>
      </c>
      <c r="AH2153">
        <v>47.85</v>
      </c>
    </row>
    <row r="2154" spans="1:34" x14ac:dyDescent="0.3">
      <c r="A2154" s="4">
        <v>2368</v>
      </c>
      <c r="B2154" s="5">
        <v>2147</v>
      </c>
      <c r="C2154">
        <v>9184</v>
      </c>
      <c r="D2154" t="s">
        <v>1565</v>
      </c>
      <c r="E2154" t="s">
        <v>1892</v>
      </c>
      <c r="F2154" t="s">
        <v>68</v>
      </c>
      <c r="G2154" t="s">
        <v>14724</v>
      </c>
      <c r="H2154">
        <v>15.85</v>
      </c>
      <c r="I2154">
        <v>0</v>
      </c>
      <c r="J2154">
        <v>0</v>
      </c>
      <c r="K2154">
        <v>20</v>
      </c>
      <c r="M2154">
        <v>5</v>
      </c>
      <c r="N2154">
        <v>3</v>
      </c>
      <c r="O2154">
        <v>8</v>
      </c>
      <c r="P2154">
        <v>4</v>
      </c>
      <c r="Q2154">
        <v>0</v>
      </c>
      <c r="R2154">
        <v>47.85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H2154">
        <v>47.85</v>
      </c>
    </row>
    <row r="2155" spans="1:34" x14ac:dyDescent="0.3">
      <c r="A2155" s="4">
        <v>2369</v>
      </c>
      <c r="B2155" s="5">
        <v>2148</v>
      </c>
      <c r="C2155">
        <v>7406</v>
      </c>
      <c r="D2155" t="s">
        <v>14725</v>
      </c>
      <c r="E2155" t="s">
        <v>14726</v>
      </c>
      <c r="F2155" t="s">
        <v>68</v>
      </c>
      <c r="G2155" t="s">
        <v>14727</v>
      </c>
      <c r="H2155">
        <v>15.8</v>
      </c>
      <c r="I2155">
        <v>0</v>
      </c>
      <c r="J2155">
        <v>0</v>
      </c>
      <c r="K2155">
        <v>0</v>
      </c>
      <c r="L2155">
        <v>7</v>
      </c>
      <c r="M2155">
        <v>5</v>
      </c>
      <c r="O2155">
        <v>12</v>
      </c>
      <c r="P2155">
        <v>4</v>
      </c>
      <c r="Q2155">
        <v>2</v>
      </c>
      <c r="R2155">
        <v>33.799999999999997</v>
      </c>
      <c r="S2155">
        <v>11</v>
      </c>
      <c r="T2155">
        <v>11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11</v>
      </c>
      <c r="AB2155">
        <v>3</v>
      </c>
      <c r="AC2155">
        <v>0</v>
      </c>
      <c r="AD2155" t="s">
        <v>130</v>
      </c>
      <c r="AH2155">
        <v>47.8</v>
      </c>
    </row>
    <row r="2156" spans="1:34" x14ac:dyDescent="0.3">
      <c r="A2156" s="4">
        <v>2370</v>
      </c>
      <c r="B2156" s="5">
        <v>2149</v>
      </c>
      <c r="C2156">
        <v>10057</v>
      </c>
      <c r="D2156" t="s">
        <v>14728</v>
      </c>
      <c r="E2156" t="s">
        <v>1508</v>
      </c>
      <c r="F2156" t="s">
        <v>1526</v>
      </c>
      <c r="G2156" t="s">
        <v>14729</v>
      </c>
      <c r="H2156">
        <v>16.8</v>
      </c>
      <c r="I2156">
        <v>0</v>
      </c>
      <c r="J2156">
        <v>0</v>
      </c>
      <c r="K2156">
        <v>20</v>
      </c>
      <c r="L2156">
        <v>7</v>
      </c>
      <c r="O2156">
        <v>7</v>
      </c>
      <c r="P2156">
        <v>4</v>
      </c>
      <c r="Q2156">
        <v>0</v>
      </c>
      <c r="R2156">
        <v>47.8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H2156">
        <v>47.8</v>
      </c>
    </row>
    <row r="2157" spans="1:34" x14ac:dyDescent="0.3">
      <c r="A2157" s="4">
        <v>2371</v>
      </c>
      <c r="B2157" s="5">
        <v>2150</v>
      </c>
      <c r="C2157">
        <v>2847</v>
      </c>
      <c r="D2157" t="s">
        <v>14730</v>
      </c>
      <c r="E2157" t="s">
        <v>2157</v>
      </c>
      <c r="F2157" t="s">
        <v>55</v>
      </c>
      <c r="G2157" t="s">
        <v>14731</v>
      </c>
      <c r="H2157">
        <v>16.78</v>
      </c>
      <c r="I2157">
        <v>0</v>
      </c>
      <c r="J2157">
        <v>0</v>
      </c>
      <c r="K2157">
        <v>0</v>
      </c>
      <c r="L2157">
        <v>7</v>
      </c>
      <c r="O2157">
        <v>7</v>
      </c>
      <c r="P2157">
        <v>4</v>
      </c>
      <c r="Q2157">
        <v>2</v>
      </c>
      <c r="R2157">
        <v>29.78</v>
      </c>
      <c r="S2157">
        <v>12</v>
      </c>
      <c r="T2157">
        <v>12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12</v>
      </c>
      <c r="AB2157">
        <v>6</v>
      </c>
      <c r="AC2157">
        <v>0</v>
      </c>
      <c r="AH2157">
        <v>47.78</v>
      </c>
    </row>
    <row r="2158" spans="1:34" x14ac:dyDescent="0.3">
      <c r="A2158" s="4">
        <v>2372</v>
      </c>
      <c r="B2158" s="5">
        <v>2151</v>
      </c>
      <c r="C2158">
        <v>1288</v>
      </c>
      <c r="D2158" t="s">
        <v>2666</v>
      </c>
      <c r="E2158" t="s">
        <v>100</v>
      </c>
      <c r="F2158" t="s">
        <v>17</v>
      </c>
      <c r="G2158" t="s">
        <v>14732</v>
      </c>
      <c r="H2158">
        <v>19.78</v>
      </c>
      <c r="I2158">
        <v>0</v>
      </c>
      <c r="J2158">
        <v>0</v>
      </c>
      <c r="K2158">
        <v>20</v>
      </c>
      <c r="M2158">
        <v>5</v>
      </c>
      <c r="N2158">
        <v>3</v>
      </c>
      <c r="O2158">
        <v>8</v>
      </c>
      <c r="P2158">
        <v>0</v>
      </c>
      <c r="Q2158">
        <v>0</v>
      </c>
      <c r="R2158">
        <v>47.78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H2158">
        <v>47.78</v>
      </c>
    </row>
    <row r="2159" spans="1:34" x14ac:dyDescent="0.3">
      <c r="A2159" s="4">
        <v>2373</v>
      </c>
      <c r="B2159" s="5">
        <v>2152</v>
      </c>
      <c r="C2159">
        <v>4156</v>
      </c>
      <c r="D2159" t="s">
        <v>14733</v>
      </c>
      <c r="E2159" t="s">
        <v>14734</v>
      </c>
      <c r="F2159" t="s">
        <v>34</v>
      </c>
      <c r="G2159" t="s">
        <v>14735</v>
      </c>
      <c r="H2159">
        <v>16.78</v>
      </c>
      <c r="I2159">
        <v>0</v>
      </c>
      <c r="J2159">
        <v>0</v>
      </c>
      <c r="K2159">
        <v>20</v>
      </c>
      <c r="L2159">
        <v>7</v>
      </c>
      <c r="O2159">
        <v>7</v>
      </c>
      <c r="P2159">
        <v>4</v>
      </c>
      <c r="Q2159">
        <v>0</v>
      </c>
      <c r="R2159">
        <v>47.78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H2159">
        <v>47.78</v>
      </c>
    </row>
    <row r="2160" spans="1:34" x14ac:dyDescent="0.3">
      <c r="A2160" s="4">
        <v>2374</v>
      </c>
      <c r="B2160" s="5">
        <v>2153</v>
      </c>
      <c r="C2160">
        <v>10362</v>
      </c>
      <c r="D2160" t="s">
        <v>10923</v>
      </c>
      <c r="E2160" t="s">
        <v>26</v>
      </c>
      <c r="F2160" t="s">
        <v>227</v>
      </c>
      <c r="G2160" t="s">
        <v>14736</v>
      </c>
      <c r="H2160">
        <v>17.7</v>
      </c>
      <c r="I2160">
        <v>0</v>
      </c>
      <c r="J2160">
        <v>0</v>
      </c>
      <c r="K2160">
        <v>0</v>
      </c>
      <c r="L2160">
        <v>7</v>
      </c>
      <c r="O2160">
        <v>7</v>
      </c>
      <c r="P2160">
        <v>4</v>
      </c>
      <c r="Q2160">
        <v>2</v>
      </c>
      <c r="R2160">
        <v>30.7</v>
      </c>
      <c r="S2160">
        <v>11</v>
      </c>
      <c r="T2160">
        <v>11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11</v>
      </c>
      <c r="AB2160">
        <v>6</v>
      </c>
      <c r="AC2160">
        <v>0</v>
      </c>
      <c r="AH2160">
        <v>47.7</v>
      </c>
    </row>
    <row r="2161" spans="1:34" x14ac:dyDescent="0.3">
      <c r="A2161" s="4">
        <v>2375</v>
      </c>
      <c r="B2161" s="5">
        <v>2154</v>
      </c>
      <c r="C2161">
        <v>14945</v>
      </c>
      <c r="D2161" t="s">
        <v>4597</v>
      </c>
      <c r="E2161" t="s">
        <v>301</v>
      </c>
      <c r="F2161" t="s">
        <v>38</v>
      </c>
      <c r="G2161" t="s">
        <v>14737</v>
      </c>
      <c r="H2161">
        <v>17.7</v>
      </c>
      <c r="I2161">
        <v>0</v>
      </c>
      <c r="J2161">
        <v>0</v>
      </c>
      <c r="K2161">
        <v>20</v>
      </c>
      <c r="N2161">
        <v>3</v>
      </c>
      <c r="O2161">
        <v>3</v>
      </c>
      <c r="P2161">
        <v>4</v>
      </c>
      <c r="Q2161">
        <v>0</v>
      </c>
      <c r="R2161">
        <v>44.7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3</v>
      </c>
      <c r="AC2161">
        <v>0</v>
      </c>
      <c r="AH2161">
        <v>47.7</v>
      </c>
    </row>
    <row r="2162" spans="1:34" x14ac:dyDescent="0.3">
      <c r="A2162" s="4">
        <v>2376</v>
      </c>
      <c r="B2162" s="5">
        <v>2155</v>
      </c>
      <c r="C2162">
        <v>11995</v>
      </c>
      <c r="D2162" t="s">
        <v>14738</v>
      </c>
      <c r="E2162" t="s">
        <v>289</v>
      </c>
      <c r="F2162" t="s">
        <v>17</v>
      </c>
      <c r="G2162" t="s">
        <v>14739</v>
      </c>
      <c r="H2162">
        <v>17.7</v>
      </c>
      <c r="I2162">
        <v>0</v>
      </c>
      <c r="J2162">
        <v>0</v>
      </c>
      <c r="K2162">
        <v>20</v>
      </c>
      <c r="L2162">
        <v>7</v>
      </c>
      <c r="O2162">
        <v>7</v>
      </c>
      <c r="P2162">
        <v>0</v>
      </c>
      <c r="Q2162">
        <v>0</v>
      </c>
      <c r="R2162">
        <v>44.7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3</v>
      </c>
      <c r="AC2162">
        <v>0</v>
      </c>
      <c r="AH2162">
        <v>47.7</v>
      </c>
    </row>
    <row r="2163" spans="1:34" x14ac:dyDescent="0.3">
      <c r="A2163" s="4">
        <v>2377</v>
      </c>
      <c r="B2163" s="5">
        <v>2156</v>
      </c>
      <c r="C2163">
        <v>5924</v>
      </c>
      <c r="D2163" t="s">
        <v>2166</v>
      </c>
      <c r="E2163" t="s">
        <v>54</v>
      </c>
      <c r="F2163" t="s">
        <v>20</v>
      </c>
      <c r="G2163" t="s">
        <v>14740</v>
      </c>
      <c r="H2163">
        <v>17.68</v>
      </c>
      <c r="I2163">
        <v>0</v>
      </c>
      <c r="J2163">
        <v>0</v>
      </c>
      <c r="K2163">
        <v>20</v>
      </c>
      <c r="N2163">
        <v>3</v>
      </c>
      <c r="O2163">
        <v>3</v>
      </c>
      <c r="P2163">
        <v>4</v>
      </c>
      <c r="Q2163">
        <v>0</v>
      </c>
      <c r="R2163">
        <v>44.68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3</v>
      </c>
      <c r="AC2163">
        <v>0</v>
      </c>
      <c r="AH2163">
        <v>47.68</v>
      </c>
    </row>
    <row r="2164" spans="1:34" x14ac:dyDescent="0.3">
      <c r="A2164" s="4">
        <v>2378</v>
      </c>
      <c r="B2164" s="5">
        <v>2157</v>
      </c>
      <c r="C2164">
        <v>675</v>
      </c>
      <c r="D2164" t="s">
        <v>14741</v>
      </c>
      <c r="E2164" t="s">
        <v>41</v>
      </c>
      <c r="F2164" t="s">
        <v>425</v>
      </c>
      <c r="G2164" t="s">
        <v>14742</v>
      </c>
      <c r="H2164">
        <v>17.55</v>
      </c>
      <c r="I2164">
        <v>0</v>
      </c>
      <c r="J2164">
        <v>0</v>
      </c>
      <c r="K2164">
        <v>20</v>
      </c>
      <c r="L2164">
        <v>7</v>
      </c>
      <c r="N2164">
        <v>3</v>
      </c>
      <c r="O2164">
        <v>10</v>
      </c>
      <c r="P2164">
        <v>0</v>
      </c>
      <c r="Q2164">
        <v>0</v>
      </c>
      <c r="R2164">
        <v>47.55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H2164">
        <v>47.55</v>
      </c>
    </row>
    <row r="2165" spans="1:34" x14ac:dyDescent="0.3">
      <c r="A2165" s="4">
        <v>2379</v>
      </c>
      <c r="B2165" s="5">
        <v>2158</v>
      </c>
      <c r="C2165">
        <v>4195</v>
      </c>
      <c r="D2165" t="s">
        <v>14743</v>
      </c>
      <c r="E2165" t="s">
        <v>789</v>
      </c>
      <c r="F2165" t="s">
        <v>30</v>
      </c>
      <c r="G2165" t="s">
        <v>14744</v>
      </c>
      <c r="H2165">
        <v>16.55</v>
      </c>
      <c r="I2165">
        <v>0</v>
      </c>
      <c r="J2165">
        <v>0</v>
      </c>
      <c r="K2165">
        <v>20</v>
      </c>
      <c r="L2165">
        <v>7</v>
      </c>
      <c r="O2165">
        <v>7</v>
      </c>
      <c r="P2165">
        <v>4</v>
      </c>
      <c r="Q2165">
        <v>0</v>
      </c>
      <c r="R2165">
        <v>47.55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H2165">
        <v>47.55</v>
      </c>
    </row>
    <row r="2166" spans="1:34" x14ac:dyDescent="0.3">
      <c r="A2166" s="4">
        <v>2380</v>
      </c>
      <c r="B2166" s="5">
        <v>2159</v>
      </c>
      <c r="C2166">
        <v>5643</v>
      </c>
      <c r="D2166" t="s">
        <v>14745</v>
      </c>
      <c r="E2166" t="s">
        <v>14746</v>
      </c>
      <c r="F2166" t="s">
        <v>81</v>
      </c>
      <c r="G2166" t="s">
        <v>14747</v>
      </c>
      <c r="H2166">
        <v>20.53</v>
      </c>
      <c r="I2166">
        <v>0</v>
      </c>
      <c r="J2166">
        <v>0</v>
      </c>
      <c r="K2166">
        <v>20</v>
      </c>
      <c r="N2166">
        <v>3</v>
      </c>
      <c r="O2166">
        <v>3</v>
      </c>
      <c r="P2166">
        <v>4</v>
      </c>
      <c r="Q2166">
        <v>0</v>
      </c>
      <c r="R2166">
        <v>47.53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H2166">
        <v>47.53</v>
      </c>
    </row>
    <row r="2167" spans="1:34" x14ac:dyDescent="0.3">
      <c r="A2167" s="4">
        <v>2381</v>
      </c>
      <c r="B2167" s="5">
        <v>2160</v>
      </c>
      <c r="C2167">
        <v>2858</v>
      </c>
      <c r="D2167" t="s">
        <v>14748</v>
      </c>
      <c r="E2167" t="s">
        <v>550</v>
      </c>
      <c r="F2167" t="s">
        <v>17</v>
      </c>
      <c r="G2167" t="s">
        <v>14749</v>
      </c>
      <c r="H2167">
        <v>17.53</v>
      </c>
      <c r="I2167">
        <v>0</v>
      </c>
      <c r="J2167">
        <v>0</v>
      </c>
      <c r="K2167">
        <v>20</v>
      </c>
      <c r="L2167">
        <v>7</v>
      </c>
      <c r="N2167">
        <v>3</v>
      </c>
      <c r="O2167">
        <v>10</v>
      </c>
      <c r="P2167">
        <v>0</v>
      </c>
      <c r="Q2167">
        <v>0</v>
      </c>
      <c r="R2167">
        <v>47.53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H2167">
        <v>47.53</v>
      </c>
    </row>
    <row r="2168" spans="1:34" x14ac:dyDescent="0.3">
      <c r="A2168" s="4">
        <v>2382</v>
      </c>
      <c r="B2168" s="5">
        <v>2161</v>
      </c>
      <c r="C2168">
        <v>8290</v>
      </c>
      <c r="D2168" t="s">
        <v>14750</v>
      </c>
      <c r="E2168" t="s">
        <v>51</v>
      </c>
      <c r="F2168" t="s">
        <v>81</v>
      </c>
      <c r="G2168" t="s">
        <v>14751</v>
      </c>
      <c r="H2168">
        <v>19.53</v>
      </c>
      <c r="I2168">
        <v>0</v>
      </c>
      <c r="J2168">
        <v>0</v>
      </c>
      <c r="K2168">
        <v>0</v>
      </c>
      <c r="L2168">
        <v>7</v>
      </c>
      <c r="O2168">
        <v>7</v>
      </c>
      <c r="P2168">
        <v>4</v>
      </c>
      <c r="Q2168">
        <v>2</v>
      </c>
      <c r="R2168">
        <v>32.53</v>
      </c>
      <c r="S2168">
        <v>15</v>
      </c>
      <c r="T2168">
        <v>15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15</v>
      </c>
      <c r="AB2168">
        <v>0</v>
      </c>
      <c r="AC2168">
        <v>0</v>
      </c>
      <c r="AH2168">
        <v>47.53</v>
      </c>
    </row>
    <row r="2169" spans="1:34" x14ac:dyDescent="0.3">
      <c r="A2169" s="4">
        <v>2383</v>
      </c>
      <c r="B2169" s="5">
        <v>2162</v>
      </c>
      <c r="C2169">
        <v>5088</v>
      </c>
      <c r="D2169" t="s">
        <v>14752</v>
      </c>
      <c r="E2169" t="s">
        <v>110</v>
      </c>
      <c r="F2169" t="s">
        <v>136</v>
      </c>
      <c r="G2169" t="s">
        <v>14753</v>
      </c>
      <c r="H2169">
        <v>17.48</v>
      </c>
      <c r="I2169">
        <v>0</v>
      </c>
      <c r="J2169">
        <v>0</v>
      </c>
      <c r="K2169">
        <v>20</v>
      </c>
      <c r="N2169">
        <v>6</v>
      </c>
      <c r="O2169">
        <v>6</v>
      </c>
      <c r="P2169">
        <v>4</v>
      </c>
      <c r="Q2169">
        <v>0</v>
      </c>
      <c r="R2169">
        <v>47.48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H2169">
        <v>47.48</v>
      </c>
    </row>
    <row r="2170" spans="1:34" x14ac:dyDescent="0.3">
      <c r="A2170" s="4">
        <v>2384</v>
      </c>
      <c r="B2170" s="5">
        <v>2163</v>
      </c>
      <c r="C2170">
        <v>8593</v>
      </c>
      <c r="D2170" t="s">
        <v>6336</v>
      </c>
      <c r="E2170" t="s">
        <v>88</v>
      </c>
      <c r="F2170" t="s">
        <v>20</v>
      </c>
      <c r="G2170" t="s">
        <v>14754</v>
      </c>
      <c r="H2170">
        <v>20.45</v>
      </c>
      <c r="I2170">
        <v>0</v>
      </c>
      <c r="J2170">
        <v>0</v>
      </c>
      <c r="K2170">
        <v>20</v>
      </c>
      <c r="N2170">
        <v>3</v>
      </c>
      <c r="O2170">
        <v>3</v>
      </c>
      <c r="P2170">
        <v>4</v>
      </c>
      <c r="Q2170">
        <v>0</v>
      </c>
      <c r="R2170">
        <v>47.45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H2170">
        <v>47.45</v>
      </c>
    </row>
    <row r="2171" spans="1:34" x14ac:dyDescent="0.3">
      <c r="A2171" s="4">
        <v>2385</v>
      </c>
      <c r="B2171" s="5">
        <v>2164</v>
      </c>
      <c r="C2171">
        <v>13865</v>
      </c>
      <c r="D2171" t="s">
        <v>5697</v>
      </c>
      <c r="E2171" t="s">
        <v>97</v>
      </c>
      <c r="F2171" t="s">
        <v>68</v>
      </c>
      <c r="G2171" t="s">
        <v>14755</v>
      </c>
      <c r="H2171">
        <v>17.45</v>
      </c>
      <c r="I2171">
        <v>0</v>
      </c>
      <c r="J2171">
        <v>0</v>
      </c>
      <c r="K2171">
        <v>20</v>
      </c>
      <c r="N2171">
        <v>6</v>
      </c>
      <c r="O2171">
        <v>6</v>
      </c>
      <c r="P2171">
        <v>4</v>
      </c>
      <c r="Q2171">
        <v>0</v>
      </c>
      <c r="R2171">
        <v>47.45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 t="s">
        <v>130</v>
      </c>
      <c r="AH2171">
        <v>47.45</v>
      </c>
    </row>
    <row r="2172" spans="1:34" x14ac:dyDescent="0.3">
      <c r="A2172" s="4">
        <v>2386</v>
      </c>
      <c r="B2172" s="5">
        <v>2165</v>
      </c>
      <c r="C2172">
        <v>15553</v>
      </c>
      <c r="D2172" t="s">
        <v>14756</v>
      </c>
      <c r="E2172" t="s">
        <v>2271</v>
      </c>
      <c r="F2172" t="s">
        <v>136</v>
      </c>
      <c r="G2172" t="s">
        <v>14757</v>
      </c>
      <c r="H2172">
        <v>17.45</v>
      </c>
      <c r="I2172">
        <v>0</v>
      </c>
      <c r="J2172">
        <v>0</v>
      </c>
      <c r="K2172">
        <v>20</v>
      </c>
      <c r="L2172">
        <v>7</v>
      </c>
      <c r="N2172">
        <v>3</v>
      </c>
      <c r="O2172">
        <v>10</v>
      </c>
      <c r="P2172">
        <v>0</v>
      </c>
      <c r="Q2172">
        <v>0</v>
      </c>
      <c r="R2172">
        <v>47.45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H2172">
        <v>47.45</v>
      </c>
    </row>
    <row r="2173" spans="1:34" x14ac:dyDescent="0.3">
      <c r="A2173" s="4">
        <v>2387</v>
      </c>
      <c r="B2173" s="5">
        <v>2166</v>
      </c>
      <c r="C2173">
        <v>3922</v>
      </c>
      <c r="D2173" t="s">
        <v>14758</v>
      </c>
      <c r="E2173" t="s">
        <v>136</v>
      </c>
      <c r="F2173" t="s">
        <v>30</v>
      </c>
      <c r="G2173" t="s">
        <v>14759</v>
      </c>
      <c r="H2173">
        <v>16.45</v>
      </c>
      <c r="I2173">
        <v>0</v>
      </c>
      <c r="J2173">
        <v>0</v>
      </c>
      <c r="K2173">
        <v>20</v>
      </c>
      <c r="L2173">
        <v>7</v>
      </c>
      <c r="O2173">
        <v>7</v>
      </c>
      <c r="P2173">
        <v>4</v>
      </c>
      <c r="Q2173">
        <v>0</v>
      </c>
      <c r="R2173">
        <v>47.45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H2173">
        <v>47.45</v>
      </c>
    </row>
    <row r="2174" spans="1:34" x14ac:dyDescent="0.3">
      <c r="A2174" s="4">
        <v>2388</v>
      </c>
      <c r="B2174" s="5">
        <v>2167</v>
      </c>
      <c r="C2174">
        <v>14171</v>
      </c>
      <c r="D2174" t="s">
        <v>14760</v>
      </c>
      <c r="E2174" t="s">
        <v>346</v>
      </c>
      <c r="F2174" t="s">
        <v>158</v>
      </c>
      <c r="G2174" t="s">
        <v>14761</v>
      </c>
      <c r="H2174">
        <v>18.38</v>
      </c>
      <c r="I2174">
        <v>0</v>
      </c>
      <c r="J2174">
        <v>0</v>
      </c>
      <c r="K2174">
        <v>20</v>
      </c>
      <c r="L2174">
        <v>7</v>
      </c>
      <c r="O2174">
        <v>7</v>
      </c>
      <c r="P2174">
        <v>0</v>
      </c>
      <c r="Q2174">
        <v>2</v>
      </c>
      <c r="R2174">
        <v>47.38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H2174">
        <v>47.38</v>
      </c>
    </row>
    <row r="2175" spans="1:34" x14ac:dyDescent="0.3">
      <c r="A2175" s="4">
        <v>2389</v>
      </c>
      <c r="B2175" s="5">
        <v>2168</v>
      </c>
      <c r="C2175">
        <v>6892</v>
      </c>
      <c r="D2175" t="s">
        <v>14762</v>
      </c>
      <c r="E2175" t="s">
        <v>81</v>
      </c>
      <c r="F2175" t="s">
        <v>17</v>
      </c>
      <c r="G2175" t="s">
        <v>14763</v>
      </c>
      <c r="H2175">
        <v>20.350000000000001</v>
      </c>
      <c r="I2175">
        <v>0</v>
      </c>
      <c r="J2175">
        <v>0</v>
      </c>
      <c r="K2175">
        <v>20</v>
      </c>
      <c r="L2175">
        <v>7</v>
      </c>
      <c r="O2175">
        <v>7</v>
      </c>
      <c r="P2175">
        <v>0</v>
      </c>
      <c r="Q2175">
        <v>0</v>
      </c>
      <c r="R2175">
        <v>47.35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H2175">
        <v>47.35</v>
      </c>
    </row>
    <row r="2176" spans="1:34" x14ac:dyDescent="0.3">
      <c r="A2176" s="4">
        <v>2390</v>
      </c>
      <c r="B2176" s="5">
        <v>2169</v>
      </c>
      <c r="C2176">
        <v>8025</v>
      </c>
      <c r="D2176" t="s">
        <v>14764</v>
      </c>
      <c r="E2176" t="s">
        <v>14765</v>
      </c>
      <c r="F2176" t="s">
        <v>55</v>
      </c>
      <c r="G2176" t="s">
        <v>14766</v>
      </c>
      <c r="H2176">
        <v>17.350000000000001</v>
      </c>
      <c r="I2176">
        <v>0</v>
      </c>
      <c r="J2176">
        <v>0</v>
      </c>
      <c r="K2176">
        <v>0</v>
      </c>
      <c r="L2176">
        <v>7</v>
      </c>
      <c r="N2176">
        <v>3</v>
      </c>
      <c r="O2176">
        <v>10</v>
      </c>
      <c r="P2176">
        <v>4</v>
      </c>
      <c r="Q2176">
        <v>2</v>
      </c>
      <c r="R2176">
        <v>33.35</v>
      </c>
      <c r="S2176">
        <v>14</v>
      </c>
      <c r="T2176">
        <v>14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14</v>
      </c>
      <c r="AB2176">
        <v>0</v>
      </c>
      <c r="AC2176">
        <v>0</v>
      </c>
      <c r="AH2176">
        <v>47.35</v>
      </c>
    </row>
    <row r="2177" spans="1:34" x14ac:dyDescent="0.3">
      <c r="A2177" s="4">
        <v>2391</v>
      </c>
      <c r="B2177" s="5">
        <v>2170</v>
      </c>
      <c r="C2177">
        <v>90</v>
      </c>
      <c r="D2177" t="s">
        <v>14767</v>
      </c>
      <c r="E2177" t="s">
        <v>400</v>
      </c>
      <c r="F2177" t="s">
        <v>14768</v>
      </c>
      <c r="G2177" t="s">
        <v>14769</v>
      </c>
      <c r="H2177">
        <v>17.28</v>
      </c>
      <c r="I2177">
        <v>0</v>
      </c>
      <c r="J2177">
        <v>0</v>
      </c>
      <c r="K2177">
        <v>0</v>
      </c>
      <c r="M2177">
        <v>10</v>
      </c>
      <c r="O2177">
        <v>10</v>
      </c>
      <c r="P2177">
        <v>4</v>
      </c>
      <c r="Q2177">
        <v>2</v>
      </c>
      <c r="R2177">
        <v>33.28</v>
      </c>
      <c r="S2177">
        <v>11</v>
      </c>
      <c r="T2177">
        <v>11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11</v>
      </c>
      <c r="AB2177">
        <v>3</v>
      </c>
      <c r="AC2177">
        <v>0</v>
      </c>
      <c r="AH2177">
        <v>47.28</v>
      </c>
    </row>
    <row r="2178" spans="1:34" x14ac:dyDescent="0.3">
      <c r="A2178" s="4">
        <v>2392</v>
      </c>
      <c r="B2178" s="5">
        <v>2171</v>
      </c>
      <c r="C2178">
        <v>8356</v>
      </c>
      <c r="D2178" t="s">
        <v>14770</v>
      </c>
      <c r="E2178" t="s">
        <v>161</v>
      </c>
      <c r="F2178" t="s">
        <v>81</v>
      </c>
      <c r="G2178" t="s">
        <v>14771</v>
      </c>
      <c r="H2178">
        <v>16.25</v>
      </c>
      <c r="I2178">
        <v>0</v>
      </c>
      <c r="J2178">
        <v>0</v>
      </c>
      <c r="K2178">
        <v>20</v>
      </c>
      <c r="L2178">
        <v>7</v>
      </c>
      <c r="O2178">
        <v>7</v>
      </c>
      <c r="P2178">
        <v>4</v>
      </c>
      <c r="Q2178">
        <v>0</v>
      </c>
      <c r="R2178">
        <v>47.25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H2178">
        <v>47.25</v>
      </c>
    </row>
    <row r="2179" spans="1:34" x14ac:dyDescent="0.3">
      <c r="A2179" s="4">
        <v>2393</v>
      </c>
      <c r="B2179" s="5">
        <v>2172</v>
      </c>
      <c r="C2179">
        <v>8074</v>
      </c>
      <c r="D2179" t="s">
        <v>481</v>
      </c>
      <c r="E2179" t="s">
        <v>283</v>
      </c>
      <c r="F2179" t="s">
        <v>117</v>
      </c>
      <c r="G2179" t="s">
        <v>14772</v>
      </c>
      <c r="H2179">
        <v>16.25</v>
      </c>
      <c r="I2179">
        <v>0</v>
      </c>
      <c r="J2179">
        <v>0</v>
      </c>
      <c r="K2179">
        <v>20</v>
      </c>
      <c r="L2179">
        <v>7</v>
      </c>
      <c r="O2179">
        <v>7</v>
      </c>
      <c r="P2179">
        <v>4</v>
      </c>
      <c r="Q2179">
        <v>0</v>
      </c>
      <c r="R2179">
        <v>47.25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H2179">
        <v>47.25</v>
      </c>
    </row>
    <row r="2180" spans="1:34" x14ac:dyDescent="0.3">
      <c r="A2180" s="4">
        <v>2394</v>
      </c>
      <c r="B2180" s="5">
        <v>2173</v>
      </c>
      <c r="C2180">
        <v>4847</v>
      </c>
      <c r="D2180" t="s">
        <v>14773</v>
      </c>
      <c r="E2180" t="s">
        <v>188</v>
      </c>
      <c r="F2180" t="s">
        <v>20</v>
      </c>
      <c r="G2180" t="s">
        <v>14774</v>
      </c>
      <c r="H2180">
        <v>16.25</v>
      </c>
      <c r="I2180">
        <v>0</v>
      </c>
      <c r="J2180">
        <v>0</v>
      </c>
      <c r="K2180">
        <v>20</v>
      </c>
      <c r="L2180">
        <v>7</v>
      </c>
      <c r="O2180">
        <v>7</v>
      </c>
      <c r="P2180">
        <v>4</v>
      </c>
      <c r="Q2180">
        <v>0</v>
      </c>
      <c r="R2180">
        <v>47.25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H2180">
        <v>47.25</v>
      </c>
    </row>
    <row r="2181" spans="1:34" x14ac:dyDescent="0.3">
      <c r="A2181" s="4">
        <v>2395</v>
      </c>
      <c r="B2181" s="5">
        <v>2174</v>
      </c>
      <c r="C2181">
        <v>13969</v>
      </c>
      <c r="D2181" t="s">
        <v>784</v>
      </c>
      <c r="E2181" t="s">
        <v>208</v>
      </c>
      <c r="F2181" t="s">
        <v>38</v>
      </c>
      <c r="G2181" t="s">
        <v>14775</v>
      </c>
      <c r="H2181">
        <v>16.25</v>
      </c>
      <c r="I2181">
        <v>0</v>
      </c>
      <c r="J2181">
        <v>0</v>
      </c>
      <c r="K2181">
        <v>20</v>
      </c>
      <c r="L2181">
        <v>7</v>
      </c>
      <c r="O2181">
        <v>7</v>
      </c>
      <c r="P2181">
        <v>4</v>
      </c>
      <c r="Q2181">
        <v>0</v>
      </c>
      <c r="R2181">
        <v>47.25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H2181">
        <v>47.25</v>
      </c>
    </row>
    <row r="2182" spans="1:34" x14ac:dyDescent="0.3">
      <c r="A2182" s="4">
        <v>2396</v>
      </c>
      <c r="B2182" s="5">
        <v>2175</v>
      </c>
      <c r="C2182">
        <v>9253</v>
      </c>
      <c r="D2182" t="s">
        <v>3910</v>
      </c>
      <c r="E2182" t="s">
        <v>166</v>
      </c>
      <c r="F2182" t="s">
        <v>136</v>
      </c>
      <c r="G2182" t="s">
        <v>14776</v>
      </c>
      <c r="H2182">
        <v>16.25</v>
      </c>
      <c r="I2182">
        <v>0</v>
      </c>
      <c r="J2182">
        <v>0</v>
      </c>
      <c r="K2182">
        <v>20</v>
      </c>
      <c r="L2182">
        <v>7</v>
      </c>
      <c r="O2182">
        <v>7</v>
      </c>
      <c r="P2182">
        <v>4</v>
      </c>
      <c r="Q2182">
        <v>0</v>
      </c>
      <c r="R2182">
        <v>47.25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H2182">
        <v>47.25</v>
      </c>
    </row>
    <row r="2183" spans="1:34" x14ac:dyDescent="0.3">
      <c r="A2183" s="4">
        <v>2397</v>
      </c>
      <c r="B2183" s="5">
        <v>2176</v>
      </c>
      <c r="C2183">
        <v>13185</v>
      </c>
      <c r="D2183" t="s">
        <v>1752</v>
      </c>
      <c r="E2183" t="s">
        <v>14777</v>
      </c>
      <c r="F2183" t="s">
        <v>68</v>
      </c>
      <c r="G2183" t="s">
        <v>14778</v>
      </c>
      <c r="H2183">
        <v>16.25</v>
      </c>
      <c r="I2183">
        <v>0</v>
      </c>
      <c r="J2183">
        <v>0</v>
      </c>
      <c r="K2183">
        <v>20</v>
      </c>
      <c r="L2183">
        <v>7</v>
      </c>
      <c r="O2183">
        <v>7</v>
      </c>
      <c r="P2183">
        <v>4</v>
      </c>
      <c r="Q2183">
        <v>0</v>
      </c>
      <c r="R2183">
        <v>47.25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H2183">
        <v>47.25</v>
      </c>
    </row>
    <row r="2184" spans="1:34" x14ac:dyDescent="0.3">
      <c r="A2184" s="4">
        <v>2398</v>
      </c>
      <c r="B2184" s="5">
        <v>2177</v>
      </c>
      <c r="C2184">
        <v>11440</v>
      </c>
      <c r="D2184" t="s">
        <v>14779</v>
      </c>
      <c r="E2184" t="s">
        <v>54</v>
      </c>
      <c r="F2184" t="s">
        <v>117</v>
      </c>
      <c r="G2184" t="s">
        <v>14780</v>
      </c>
      <c r="H2184">
        <v>16.25</v>
      </c>
      <c r="I2184">
        <v>0</v>
      </c>
      <c r="J2184">
        <v>0</v>
      </c>
      <c r="K2184">
        <v>20</v>
      </c>
      <c r="L2184">
        <v>7</v>
      </c>
      <c r="O2184">
        <v>7</v>
      </c>
      <c r="P2184">
        <v>4</v>
      </c>
      <c r="Q2184">
        <v>0</v>
      </c>
      <c r="R2184">
        <v>47.25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H2184">
        <v>47.25</v>
      </c>
    </row>
    <row r="2185" spans="1:34" x14ac:dyDescent="0.3">
      <c r="A2185" s="4">
        <v>2399</v>
      </c>
      <c r="B2185" s="5">
        <v>2178</v>
      </c>
      <c r="C2185">
        <v>1141</v>
      </c>
      <c r="D2185" t="s">
        <v>14781</v>
      </c>
      <c r="E2185" t="s">
        <v>258</v>
      </c>
      <c r="F2185" t="s">
        <v>20</v>
      </c>
      <c r="G2185" t="s">
        <v>14782</v>
      </c>
      <c r="H2185">
        <v>16.25</v>
      </c>
      <c r="I2185">
        <v>0</v>
      </c>
      <c r="J2185">
        <v>0</v>
      </c>
      <c r="K2185">
        <v>20</v>
      </c>
      <c r="L2185">
        <v>7</v>
      </c>
      <c r="O2185">
        <v>7</v>
      </c>
      <c r="P2185">
        <v>4</v>
      </c>
      <c r="Q2185">
        <v>0</v>
      </c>
      <c r="R2185">
        <v>47.25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H2185">
        <v>47.25</v>
      </c>
    </row>
    <row r="2186" spans="1:34" x14ac:dyDescent="0.3">
      <c r="A2186" s="4">
        <v>2400</v>
      </c>
      <c r="B2186" s="5">
        <v>2179</v>
      </c>
      <c r="C2186">
        <v>2429</v>
      </c>
      <c r="D2186" t="s">
        <v>198</v>
      </c>
      <c r="E2186" t="s">
        <v>139</v>
      </c>
      <c r="F2186" t="s">
        <v>136</v>
      </c>
      <c r="G2186" t="s">
        <v>14783</v>
      </c>
      <c r="H2186">
        <v>16.25</v>
      </c>
      <c r="I2186">
        <v>0</v>
      </c>
      <c r="J2186">
        <v>0</v>
      </c>
      <c r="K2186">
        <v>20</v>
      </c>
      <c r="L2186">
        <v>7</v>
      </c>
      <c r="O2186">
        <v>7</v>
      </c>
      <c r="P2186">
        <v>4</v>
      </c>
      <c r="Q2186">
        <v>0</v>
      </c>
      <c r="R2186">
        <v>47.25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H2186">
        <v>47.25</v>
      </c>
    </row>
    <row r="2187" spans="1:34" x14ac:dyDescent="0.3">
      <c r="A2187" s="4">
        <v>2401</v>
      </c>
      <c r="B2187" s="5">
        <v>2180</v>
      </c>
      <c r="C2187">
        <v>2872</v>
      </c>
      <c r="D2187" t="s">
        <v>14784</v>
      </c>
      <c r="E2187" t="s">
        <v>178</v>
      </c>
      <c r="F2187" t="s">
        <v>652</v>
      </c>
      <c r="G2187" t="s">
        <v>14785</v>
      </c>
      <c r="H2187">
        <v>16.23</v>
      </c>
      <c r="I2187">
        <v>0</v>
      </c>
      <c r="J2187">
        <v>0</v>
      </c>
      <c r="K2187">
        <v>20</v>
      </c>
      <c r="L2187">
        <v>7</v>
      </c>
      <c r="O2187">
        <v>7</v>
      </c>
      <c r="P2187">
        <v>4</v>
      </c>
      <c r="Q2187">
        <v>0</v>
      </c>
      <c r="R2187">
        <v>47.23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H2187">
        <v>47.23</v>
      </c>
    </row>
    <row r="2188" spans="1:34" x14ac:dyDescent="0.3">
      <c r="A2188" s="4">
        <v>2402</v>
      </c>
      <c r="B2188" s="5">
        <v>2181</v>
      </c>
      <c r="C2188">
        <v>10818</v>
      </c>
      <c r="D2188" t="s">
        <v>181</v>
      </c>
      <c r="E2188" t="s">
        <v>335</v>
      </c>
      <c r="F2188" t="s">
        <v>20</v>
      </c>
      <c r="G2188" t="s">
        <v>14786</v>
      </c>
      <c r="H2188">
        <v>16.2</v>
      </c>
      <c r="I2188">
        <v>0</v>
      </c>
      <c r="J2188">
        <v>0</v>
      </c>
      <c r="K2188">
        <v>20</v>
      </c>
      <c r="N2188">
        <v>3</v>
      </c>
      <c r="O2188">
        <v>3</v>
      </c>
      <c r="P2188">
        <v>0</v>
      </c>
      <c r="Q2188">
        <v>2</v>
      </c>
      <c r="R2188">
        <v>41.2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6</v>
      </c>
      <c r="AC2188">
        <v>0</v>
      </c>
      <c r="AH2188">
        <v>47.2</v>
      </c>
    </row>
    <row r="2189" spans="1:34" x14ac:dyDescent="0.3">
      <c r="A2189" s="4">
        <v>2403</v>
      </c>
      <c r="B2189" s="5">
        <v>2182</v>
      </c>
      <c r="C2189">
        <v>1540</v>
      </c>
      <c r="D2189" t="s">
        <v>9205</v>
      </c>
      <c r="E2189" t="s">
        <v>30</v>
      </c>
      <c r="F2189" t="s">
        <v>38</v>
      </c>
      <c r="G2189" t="s">
        <v>14787</v>
      </c>
      <c r="H2189">
        <v>16.18</v>
      </c>
      <c r="I2189">
        <v>0</v>
      </c>
      <c r="J2189">
        <v>0</v>
      </c>
      <c r="K2189">
        <v>20</v>
      </c>
      <c r="L2189">
        <v>7</v>
      </c>
      <c r="O2189">
        <v>7</v>
      </c>
      <c r="P2189">
        <v>4</v>
      </c>
      <c r="Q2189">
        <v>0</v>
      </c>
      <c r="R2189">
        <v>47.18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H2189">
        <v>47.18</v>
      </c>
    </row>
    <row r="2190" spans="1:34" x14ac:dyDescent="0.3">
      <c r="A2190" s="4">
        <v>2404</v>
      </c>
      <c r="B2190" s="5">
        <v>2183</v>
      </c>
      <c r="C2190">
        <v>8701</v>
      </c>
      <c r="D2190" t="s">
        <v>3434</v>
      </c>
      <c r="E2190" t="s">
        <v>697</v>
      </c>
      <c r="F2190" t="s">
        <v>30</v>
      </c>
      <c r="G2190" t="s">
        <v>14788</v>
      </c>
      <c r="H2190">
        <v>19.18</v>
      </c>
      <c r="I2190">
        <v>0</v>
      </c>
      <c r="J2190">
        <v>0</v>
      </c>
      <c r="K2190">
        <v>0</v>
      </c>
      <c r="L2190">
        <v>7</v>
      </c>
      <c r="O2190">
        <v>7</v>
      </c>
      <c r="P2190">
        <v>4</v>
      </c>
      <c r="Q2190">
        <v>2</v>
      </c>
      <c r="R2190">
        <v>32.18</v>
      </c>
      <c r="S2190">
        <v>15</v>
      </c>
      <c r="T2190">
        <v>15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15</v>
      </c>
      <c r="AB2190">
        <v>0</v>
      </c>
      <c r="AC2190">
        <v>0</v>
      </c>
      <c r="AD2190" t="s">
        <v>130</v>
      </c>
      <c r="AH2190">
        <v>47.18</v>
      </c>
    </row>
    <row r="2191" spans="1:34" x14ac:dyDescent="0.3">
      <c r="A2191" s="4">
        <v>2405</v>
      </c>
      <c r="B2191" s="5">
        <v>2184</v>
      </c>
      <c r="C2191">
        <v>5576</v>
      </c>
      <c r="D2191" t="s">
        <v>14789</v>
      </c>
      <c r="E2191" t="s">
        <v>100</v>
      </c>
      <c r="F2191" t="s">
        <v>20</v>
      </c>
      <c r="G2191" t="s">
        <v>14790</v>
      </c>
      <c r="H2191">
        <v>18.100000000000001</v>
      </c>
      <c r="I2191">
        <v>0</v>
      </c>
      <c r="J2191">
        <v>0</v>
      </c>
      <c r="K2191">
        <v>20</v>
      </c>
      <c r="M2191">
        <v>5</v>
      </c>
      <c r="O2191">
        <v>5</v>
      </c>
      <c r="P2191">
        <v>4</v>
      </c>
      <c r="Q2191">
        <v>0</v>
      </c>
      <c r="R2191">
        <v>47.1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H2191">
        <v>47.1</v>
      </c>
    </row>
    <row r="2192" spans="1:34" x14ac:dyDescent="0.3">
      <c r="A2192" s="4">
        <v>2406</v>
      </c>
      <c r="B2192" s="5">
        <v>2185</v>
      </c>
      <c r="C2192">
        <v>8455</v>
      </c>
      <c r="D2192" t="s">
        <v>181</v>
      </c>
      <c r="E2192" t="s">
        <v>406</v>
      </c>
      <c r="F2192" t="s">
        <v>20</v>
      </c>
      <c r="G2192" t="s">
        <v>14791</v>
      </c>
      <c r="H2192">
        <v>20.079999999999998</v>
      </c>
      <c r="I2192">
        <v>0</v>
      </c>
      <c r="J2192">
        <v>0</v>
      </c>
      <c r="K2192">
        <v>20</v>
      </c>
      <c r="L2192">
        <v>7</v>
      </c>
      <c r="O2192">
        <v>7</v>
      </c>
      <c r="P2192">
        <v>0</v>
      </c>
      <c r="Q2192">
        <v>0</v>
      </c>
      <c r="R2192">
        <v>47.08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H2192">
        <v>47.08</v>
      </c>
    </row>
    <row r="2193" spans="1:34" x14ac:dyDescent="0.3">
      <c r="A2193" s="4">
        <v>2407</v>
      </c>
      <c r="B2193" s="5">
        <v>2186</v>
      </c>
      <c r="C2193">
        <v>772</v>
      </c>
      <c r="D2193" t="s">
        <v>14792</v>
      </c>
      <c r="E2193" t="s">
        <v>29</v>
      </c>
      <c r="F2193" t="s">
        <v>243</v>
      </c>
      <c r="G2193" t="s">
        <v>14793</v>
      </c>
      <c r="H2193">
        <v>20.03</v>
      </c>
      <c r="I2193">
        <v>0</v>
      </c>
      <c r="J2193">
        <v>0</v>
      </c>
      <c r="K2193">
        <v>20</v>
      </c>
      <c r="L2193">
        <v>7</v>
      </c>
      <c r="O2193">
        <v>7</v>
      </c>
      <c r="P2193">
        <v>0</v>
      </c>
      <c r="Q2193">
        <v>0</v>
      </c>
      <c r="R2193">
        <v>47.03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H2193">
        <v>47.03</v>
      </c>
    </row>
    <row r="2194" spans="1:34" x14ac:dyDescent="0.3">
      <c r="A2194" s="4">
        <v>2408</v>
      </c>
      <c r="B2194" s="5">
        <v>2187</v>
      </c>
      <c r="C2194">
        <v>12103</v>
      </c>
      <c r="D2194" t="s">
        <v>10837</v>
      </c>
      <c r="E2194" t="s">
        <v>10838</v>
      </c>
      <c r="F2194" t="s">
        <v>10839</v>
      </c>
      <c r="G2194" t="s">
        <v>10840</v>
      </c>
      <c r="H2194">
        <v>18.03</v>
      </c>
      <c r="I2194">
        <v>0</v>
      </c>
      <c r="J2194">
        <v>0</v>
      </c>
      <c r="K2194">
        <v>20</v>
      </c>
      <c r="N2194">
        <v>3</v>
      </c>
      <c r="O2194">
        <v>3</v>
      </c>
      <c r="P2194">
        <v>4</v>
      </c>
      <c r="Q2194">
        <v>2</v>
      </c>
      <c r="R2194">
        <v>47.03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H2194">
        <v>47.03</v>
      </c>
    </row>
    <row r="2195" spans="1:34" x14ac:dyDescent="0.3">
      <c r="A2195" s="4">
        <v>2409</v>
      </c>
      <c r="B2195" s="5">
        <v>2188</v>
      </c>
      <c r="C2195">
        <v>5857</v>
      </c>
      <c r="D2195" t="s">
        <v>14794</v>
      </c>
      <c r="E2195" t="s">
        <v>41</v>
      </c>
      <c r="F2195" t="s">
        <v>20</v>
      </c>
      <c r="G2195" t="s">
        <v>14795</v>
      </c>
      <c r="H2195">
        <v>18</v>
      </c>
      <c r="I2195">
        <v>0</v>
      </c>
      <c r="J2195">
        <v>0</v>
      </c>
      <c r="K2195">
        <v>20</v>
      </c>
      <c r="L2195">
        <v>7</v>
      </c>
      <c r="O2195">
        <v>7</v>
      </c>
      <c r="P2195">
        <v>0</v>
      </c>
      <c r="Q2195">
        <v>2</v>
      </c>
      <c r="R2195">
        <v>47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H2195">
        <v>47</v>
      </c>
    </row>
    <row r="2196" spans="1:34" x14ac:dyDescent="0.3">
      <c r="A2196" s="4">
        <v>2410</v>
      </c>
      <c r="B2196" s="5">
        <v>2189</v>
      </c>
      <c r="C2196">
        <v>15707</v>
      </c>
      <c r="D2196" t="s">
        <v>14796</v>
      </c>
      <c r="E2196" t="s">
        <v>161</v>
      </c>
      <c r="F2196" t="s">
        <v>136</v>
      </c>
      <c r="G2196" t="s">
        <v>14797</v>
      </c>
      <c r="H2196">
        <v>18.95</v>
      </c>
      <c r="I2196">
        <v>7</v>
      </c>
      <c r="J2196">
        <v>0</v>
      </c>
      <c r="K2196">
        <v>0</v>
      </c>
      <c r="L2196">
        <v>14</v>
      </c>
      <c r="O2196">
        <v>14</v>
      </c>
      <c r="P2196">
        <v>4</v>
      </c>
      <c r="Q2196">
        <v>0</v>
      </c>
      <c r="R2196">
        <v>43.95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3</v>
      </c>
      <c r="AC2196">
        <v>0</v>
      </c>
      <c r="AH2196">
        <v>46.95</v>
      </c>
    </row>
    <row r="2197" spans="1:34" x14ac:dyDescent="0.3">
      <c r="A2197" s="4">
        <v>2411</v>
      </c>
      <c r="B2197" s="5">
        <v>2190</v>
      </c>
      <c r="C2197">
        <v>3339</v>
      </c>
      <c r="D2197" t="s">
        <v>459</v>
      </c>
      <c r="E2197" t="s">
        <v>29</v>
      </c>
      <c r="F2197" t="s">
        <v>91</v>
      </c>
      <c r="G2197" t="s">
        <v>14798</v>
      </c>
      <c r="H2197">
        <v>16.899999999999999</v>
      </c>
      <c r="I2197">
        <v>0</v>
      </c>
      <c r="J2197">
        <v>0</v>
      </c>
      <c r="K2197">
        <v>20</v>
      </c>
      <c r="N2197">
        <v>3</v>
      </c>
      <c r="O2197">
        <v>3</v>
      </c>
      <c r="P2197">
        <v>4</v>
      </c>
      <c r="Q2197">
        <v>0</v>
      </c>
      <c r="R2197">
        <v>43.9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3</v>
      </c>
      <c r="AC2197">
        <v>0</v>
      </c>
      <c r="AH2197">
        <v>46.9</v>
      </c>
    </row>
    <row r="2198" spans="1:34" x14ac:dyDescent="0.3">
      <c r="A2198" s="4">
        <v>2412</v>
      </c>
      <c r="B2198" s="5">
        <v>2191</v>
      </c>
      <c r="C2198">
        <v>782</v>
      </c>
      <c r="D2198" t="s">
        <v>14799</v>
      </c>
      <c r="E2198" t="s">
        <v>166</v>
      </c>
      <c r="F2198" t="s">
        <v>17</v>
      </c>
      <c r="G2198" t="s">
        <v>14800</v>
      </c>
      <c r="H2198">
        <v>15.88</v>
      </c>
      <c r="I2198">
        <v>0</v>
      </c>
      <c r="J2198">
        <v>0</v>
      </c>
      <c r="K2198">
        <v>20</v>
      </c>
      <c r="L2198">
        <v>7</v>
      </c>
      <c r="O2198">
        <v>7</v>
      </c>
      <c r="P2198">
        <v>4</v>
      </c>
      <c r="Q2198">
        <v>0</v>
      </c>
      <c r="R2198">
        <v>46.88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 t="s">
        <v>130</v>
      </c>
      <c r="AH2198">
        <v>46.88</v>
      </c>
    </row>
    <row r="2199" spans="1:34" x14ac:dyDescent="0.3">
      <c r="A2199" s="4">
        <v>2413</v>
      </c>
      <c r="B2199" s="5">
        <v>2192</v>
      </c>
      <c r="C2199">
        <v>6887</v>
      </c>
      <c r="D2199" t="s">
        <v>14801</v>
      </c>
      <c r="E2199" t="s">
        <v>1280</v>
      </c>
      <c r="F2199" t="s">
        <v>124</v>
      </c>
      <c r="G2199" t="s">
        <v>14802</v>
      </c>
      <c r="H2199">
        <v>19.850000000000001</v>
      </c>
      <c r="I2199">
        <v>0</v>
      </c>
      <c r="J2199">
        <v>0</v>
      </c>
      <c r="K2199">
        <v>20</v>
      </c>
      <c r="L2199">
        <v>7</v>
      </c>
      <c r="O2199">
        <v>7</v>
      </c>
      <c r="P2199">
        <v>0</v>
      </c>
      <c r="Q2199">
        <v>0</v>
      </c>
      <c r="R2199">
        <v>46.85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H2199">
        <v>46.85</v>
      </c>
    </row>
    <row r="2200" spans="1:34" x14ac:dyDescent="0.3">
      <c r="A2200" s="4">
        <v>2414</v>
      </c>
      <c r="B2200" s="5">
        <v>2193</v>
      </c>
      <c r="C2200">
        <v>5074</v>
      </c>
      <c r="D2200" t="s">
        <v>14803</v>
      </c>
      <c r="E2200" t="s">
        <v>29</v>
      </c>
      <c r="F2200" t="s">
        <v>136</v>
      </c>
      <c r="G2200" t="s">
        <v>14804</v>
      </c>
      <c r="H2200">
        <v>18.829999999999998</v>
      </c>
      <c r="I2200">
        <v>0</v>
      </c>
      <c r="J2200">
        <v>0</v>
      </c>
      <c r="K2200">
        <v>0</v>
      </c>
      <c r="L2200">
        <v>7</v>
      </c>
      <c r="N2200">
        <v>3</v>
      </c>
      <c r="O2200">
        <v>10</v>
      </c>
      <c r="P2200">
        <v>4</v>
      </c>
      <c r="Q2200">
        <v>0</v>
      </c>
      <c r="R2200">
        <v>32.83</v>
      </c>
      <c r="S2200">
        <v>11</v>
      </c>
      <c r="T2200">
        <v>11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11</v>
      </c>
      <c r="AB2200">
        <v>3</v>
      </c>
      <c r="AC2200">
        <v>0</v>
      </c>
      <c r="AH2200">
        <v>46.83</v>
      </c>
    </row>
    <row r="2201" spans="1:34" x14ac:dyDescent="0.3">
      <c r="A2201" s="4">
        <v>2415</v>
      </c>
      <c r="B2201" s="5">
        <v>2194</v>
      </c>
      <c r="C2201">
        <v>13459</v>
      </c>
      <c r="D2201" t="s">
        <v>14805</v>
      </c>
      <c r="E2201" t="s">
        <v>29</v>
      </c>
      <c r="F2201" t="s">
        <v>167</v>
      </c>
      <c r="G2201" t="s">
        <v>14806</v>
      </c>
      <c r="H2201">
        <v>20.83</v>
      </c>
      <c r="I2201">
        <v>0</v>
      </c>
      <c r="J2201">
        <v>0</v>
      </c>
      <c r="K2201">
        <v>0</v>
      </c>
      <c r="L2201">
        <v>7</v>
      </c>
      <c r="O2201">
        <v>7</v>
      </c>
      <c r="P2201">
        <v>4</v>
      </c>
      <c r="Q2201">
        <v>2</v>
      </c>
      <c r="R2201">
        <v>33.83</v>
      </c>
      <c r="S2201">
        <v>13</v>
      </c>
      <c r="T2201">
        <v>13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13</v>
      </c>
      <c r="AB2201">
        <v>0</v>
      </c>
      <c r="AC2201">
        <v>0</v>
      </c>
      <c r="AH2201">
        <v>46.83</v>
      </c>
    </row>
    <row r="2202" spans="1:34" x14ac:dyDescent="0.3">
      <c r="A2202" s="4">
        <v>2416</v>
      </c>
      <c r="B2202" s="5">
        <v>2195</v>
      </c>
      <c r="C2202">
        <v>4065</v>
      </c>
      <c r="D2202" t="s">
        <v>14807</v>
      </c>
      <c r="E2202" t="s">
        <v>143</v>
      </c>
      <c r="F2202" t="s">
        <v>972</v>
      </c>
      <c r="G2202" t="s">
        <v>14808</v>
      </c>
      <c r="H2202">
        <v>16.829999999999998</v>
      </c>
      <c r="I2202">
        <v>0</v>
      </c>
      <c r="J2202">
        <v>0</v>
      </c>
      <c r="K2202">
        <v>0</v>
      </c>
      <c r="N2202">
        <v>6</v>
      </c>
      <c r="O2202">
        <v>6</v>
      </c>
      <c r="P2202">
        <v>0</v>
      </c>
      <c r="Q2202">
        <v>2</v>
      </c>
      <c r="R2202">
        <v>24.83</v>
      </c>
      <c r="S2202">
        <v>22</v>
      </c>
      <c r="T2202">
        <v>22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22</v>
      </c>
      <c r="AB2202">
        <v>0</v>
      </c>
      <c r="AC2202">
        <v>0</v>
      </c>
      <c r="AH2202">
        <v>46.83</v>
      </c>
    </row>
    <row r="2203" spans="1:34" x14ac:dyDescent="0.3">
      <c r="A2203" s="4">
        <v>2417</v>
      </c>
      <c r="B2203" s="5">
        <v>2196</v>
      </c>
      <c r="C2203">
        <v>8212</v>
      </c>
      <c r="D2203" t="s">
        <v>14809</v>
      </c>
      <c r="E2203" t="s">
        <v>4717</v>
      </c>
      <c r="F2203" t="s">
        <v>136</v>
      </c>
      <c r="G2203" t="s">
        <v>14810</v>
      </c>
      <c r="H2203">
        <v>19.78</v>
      </c>
      <c r="I2203">
        <v>0</v>
      </c>
      <c r="J2203">
        <v>0</v>
      </c>
      <c r="K2203">
        <v>20</v>
      </c>
      <c r="L2203">
        <v>7</v>
      </c>
      <c r="O2203">
        <v>7</v>
      </c>
      <c r="P2203">
        <v>0</v>
      </c>
      <c r="Q2203">
        <v>0</v>
      </c>
      <c r="R2203">
        <v>46.78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H2203">
        <v>46.78</v>
      </c>
    </row>
    <row r="2204" spans="1:34" x14ac:dyDescent="0.3">
      <c r="A2204" s="4">
        <v>2418</v>
      </c>
      <c r="B2204" s="5">
        <v>2197</v>
      </c>
      <c r="C2204">
        <v>13598</v>
      </c>
      <c r="D2204" t="s">
        <v>74</v>
      </c>
      <c r="E2204" t="s">
        <v>613</v>
      </c>
      <c r="F2204" t="s">
        <v>17</v>
      </c>
      <c r="G2204" t="s">
        <v>14811</v>
      </c>
      <c r="H2204">
        <v>15.78</v>
      </c>
      <c r="I2204">
        <v>0</v>
      </c>
      <c r="J2204">
        <v>0</v>
      </c>
      <c r="K2204">
        <v>20</v>
      </c>
      <c r="L2204">
        <v>7</v>
      </c>
      <c r="O2204">
        <v>7</v>
      </c>
      <c r="P2204">
        <v>4</v>
      </c>
      <c r="Q2204">
        <v>0</v>
      </c>
      <c r="R2204">
        <v>46.78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H2204">
        <v>46.78</v>
      </c>
    </row>
    <row r="2205" spans="1:34" x14ac:dyDescent="0.3">
      <c r="A2205" s="4">
        <v>2419</v>
      </c>
      <c r="B2205" s="5">
        <v>2198</v>
      </c>
      <c r="C2205">
        <v>5834</v>
      </c>
      <c r="D2205" t="s">
        <v>14812</v>
      </c>
      <c r="E2205" t="s">
        <v>208</v>
      </c>
      <c r="F2205" t="s">
        <v>81</v>
      </c>
      <c r="G2205" t="s">
        <v>14813</v>
      </c>
      <c r="H2205">
        <v>18.75</v>
      </c>
      <c r="I2205">
        <v>0</v>
      </c>
      <c r="J2205">
        <v>0</v>
      </c>
      <c r="K2205">
        <v>20</v>
      </c>
      <c r="N2205">
        <v>3</v>
      </c>
      <c r="O2205">
        <v>3</v>
      </c>
      <c r="P2205">
        <v>4</v>
      </c>
      <c r="Q2205">
        <v>0</v>
      </c>
      <c r="R2205">
        <v>45.75</v>
      </c>
      <c r="S2205">
        <v>1</v>
      </c>
      <c r="T2205">
        <v>1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1</v>
      </c>
      <c r="AB2205">
        <v>0</v>
      </c>
      <c r="AC2205">
        <v>0</v>
      </c>
      <c r="AH2205">
        <v>46.75</v>
      </c>
    </row>
    <row r="2206" spans="1:34" x14ac:dyDescent="0.3">
      <c r="A2206" s="4">
        <v>2420</v>
      </c>
      <c r="B2206" s="5">
        <v>2199</v>
      </c>
      <c r="C2206">
        <v>4147</v>
      </c>
      <c r="D2206" t="s">
        <v>14814</v>
      </c>
      <c r="E2206" t="s">
        <v>29</v>
      </c>
      <c r="F2206" t="s">
        <v>20</v>
      </c>
      <c r="H2206">
        <v>16.73</v>
      </c>
      <c r="I2206">
        <v>0</v>
      </c>
      <c r="J2206">
        <v>0</v>
      </c>
      <c r="K2206">
        <v>0</v>
      </c>
      <c r="L2206">
        <v>7</v>
      </c>
      <c r="O2206">
        <v>7</v>
      </c>
      <c r="P2206">
        <v>0</v>
      </c>
      <c r="Q2206">
        <v>0</v>
      </c>
      <c r="R2206">
        <v>23.73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3</v>
      </c>
      <c r="AC2206">
        <v>20</v>
      </c>
      <c r="AH2206">
        <v>46.73</v>
      </c>
    </row>
    <row r="2207" spans="1:34" x14ac:dyDescent="0.3">
      <c r="A2207" s="4">
        <v>2421</v>
      </c>
      <c r="B2207" s="5">
        <v>2200</v>
      </c>
      <c r="C2207">
        <v>10701</v>
      </c>
      <c r="D2207" t="s">
        <v>14815</v>
      </c>
      <c r="E2207" t="s">
        <v>29</v>
      </c>
      <c r="F2207" t="s">
        <v>14816</v>
      </c>
      <c r="G2207" t="s">
        <v>14817</v>
      </c>
      <c r="H2207">
        <v>16.7</v>
      </c>
      <c r="I2207">
        <v>0</v>
      </c>
      <c r="J2207">
        <v>0</v>
      </c>
      <c r="K2207">
        <v>0</v>
      </c>
      <c r="M2207">
        <v>5</v>
      </c>
      <c r="N2207">
        <v>3</v>
      </c>
      <c r="O2207">
        <v>8</v>
      </c>
      <c r="P2207">
        <v>4</v>
      </c>
      <c r="Q2207">
        <v>0</v>
      </c>
      <c r="R2207">
        <v>28.7</v>
      </c>
      <c r="S2207">
        <v>15</v>
      </c>
      <c r="T2207">
        <v>15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15</v>
      </c>
      <c r="AB2207">
        <v>3</v>
      </c>
      <c r="AC2207">
        <v>0</v>
      </c>
      <c r="AH2207">
        <v>46.7</v>
      </c>
    </row>
    <row r="2208" spans="1:34" x14ac:dyDescent="0.3">
      <c r="A2208" s="4">
        <v>2422</v>
      </c>
      <c r="B2208" s="5">
        <v>2201</v>
      </c>
      <c r="C2208">
        <v>4416</v>
      </c>
      <c r="D2208" t="s">
        <v>9398</v>
      </c>
      <c r="E2208" t="s">
        <v>143</v>
      </c>
      <c r="F2208" t="s">
        <v>7181</v>
      </c>
      <c r="G2208" t="s">
        <v>14818</v>
      </c>
      <c r="H2208">
        <v>19.7</v>
      </c>
      <c r="I2208">
        <v>0</v>
      </c>
      <c r="J2208">
        <v>0</v>
      </c>
      <c r="K2208">
        <v>20</v>
      </c>
      <c r="N2208">
        <v>3</v>
      </c>
      <c r="O2208">
        <v>3</v>
      </c>
      <c r="P2208">
        <v>4</v>
      </c>
      <c r="Q2208">
        <v>0</v>
      </c>
      <c r="R2208">
        <v>46.7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H2208">
        <v>46.7</v>
      </c>
    </row>
    <row r="2209" spans="1:34" x14ac:dyDescent="0.3">
      <c r="A2209" s="4">
        <v>2423</v>
      </c>
      <c r="B2209" s="5">
        <v>2202</v>
      </c>
      <c r="C2209">
        <v>7006</v>
      </c>
      <c r="D2209" t="s">
        <v>1822</v>
      </c>
      <c r="E2209" t="s">
        <v>667</v>
      </c>
      <c r="F2209" t="s">
        <v>91</v>
      </c>
      <c r="G2209" t="s">
        <v>14819</v>
      </c>
      <c r="H2209">
        <v>20.7</v>
      </c>
      <c r="I2209">
        <v>0</v>
      </c>
      <c r="J2209">
        <v>0</v>
      </c>
      <c r="K2209">
        <v>0</v>
      </c>
      <c r="L2209">
        <v>14</v>
      </c>
      <c r="O2209">
        <v>14</v>
      </c>
      <c r="P2209">
        <v>4</v>
      </c>
      <c r="Q2209">
        <v>0</v>
      </c>
      <c r="R2209">
        <v>38.700000000000003</v>
      </c>
      <c r="S2209">
        <v>8</v>
      </c>
      <c r="T2209">
        <v>8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8</v>
      </c>
      <c r="AB2209">
        <v>0</v>
      </c>
      <c r="AC2209">
        <v>0</v>
      </c>
      <c r="AH2209">
        <v>46.7</v>
      </c>
    </row>
    <row r="2210" spans="1:34" x14ac:dyDescent="0.3">
      <c r="A2210" s="4">
        <v>2424</v>
      </c>
      <c r="B2210" s="5">
        <v>2203</v>
      </c>
      <c r="C2210">
        <v>586</v>
      </c>
      <c r="D2210" t="s">
        <v>14820</v>
      </c>
      <c r="E2210" t="s">
        <v>166</v>
      </c>
      <c r="F2210" t="s">
        <v>38</v>
      </c>
      <c r="G2210" t="s">
        <v>14821</v>
      </c>
      <c r="H2210">
        <v>19.649999999999999</v>
      </c>
      <c r="I2210">
        <v>0</v>
      </c>
      <c r="J2210">
        <v>0</v>
      </c>
      <c r="K2210">
        <v>20</v>
      </c>
      <c r="N2210">
        <v>3</v>
      </c>
      <c r="O2210">
        <v>3</v>
      </c>
      <c r="P2210">
        <v>4</v>
      </c>
      <c r="Q2210">
        <v>0</v>
      </c>
      <c r="R2210">
        <v>46.65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H2210">
        <v>46.65</v>
      </c>
    </row>
    <row r="2211" spans="1:34" x14ac:dyDescent="0.3">
      <c r="A2211" s="4">
        <v>2425</v>
      </c>
      <c r="B2211" s="5">
        <v>2204</v>
      </c>
      <c r="C2211">
        <v>12686</v>
      </c>
      <c r="D2211" t="s">
        <v>14822</v>
      </c>
      <c r="E2211" t="s">
        <v>8771</v>
      </c>
      <c r="F2211" t="s">
        <v>782</v>
      </c>
      <c r="G2211" t="s">
        <v>14823</v>
      </c>
      <c r="H2211">
        <v>18.649999999999999</v>
      </c>
      <c r="I2211">
        <v>0</v>
      </c>
      <c r="J2211">
        <v>0</v>
      </c>
      <c r="K2211">
        <v>20</v>
      </c>
      <c r="N2211">
        <v>6</v>
      </c>
      <c r="O2211">
        <v>6</v>
      </c>
      <c r="P2211">
        <v>0</v>
      </c>
      <c r="Q2211">
        <v>2</v>
      </c>
      <c r="R2211">
        <v>46.65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H2211">
        <v>46.65</v>
      </c>
    </row>
    <row r="2212" spans="1:34" x14ac:dyDescent="0.3">
      <c r="A2212" s="4">
        <v>2426</v>
      </c>
      <c r="B2212" s="5">
        <v>2205</v>
      </c>
      <c r="C2212">
        <v>13371</v>
      </c>
      <c r="D2212" t="s">
        <v>14824</v>
      </c>
      <c r="E2212" t="s">
        <v>789</v>
      </c>
      <c r="F2212" t="s">
        <v>81</v>
      </c>
      <c r="G2212" t="s">
        <v>14825</v>
      </c>
      <c r="H2212">
        <v>16.649999999999999</v>
      </c>
      <c r="I2212">
        <v>0</v>
      </c>
      <c r="J2212">
        <v>0</v>
      </c>
      <c r="K2212">
        <v>20</v>
      </c>
      <c r="M2212">
        <v>5</v>
      </c>
      <c r="N2212">
        <v>3</v>
      </c>
      <c r="O2212">
        <v>8</v>
      </c>
      <c r="P2212">
        <v>0</v>
      </c>
      <c r="Q2212">
        <v>2</v>
      </c>
      <c r="R2212">
        <v>46.65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H2212">
        <v>46.65</v>
      </c>
    </row>
    <row r="2213" spans="1:34" x14ac:dyDescent="0.3">
      <c r="A2213" s="4">
        <v>2427</v>
      </c>
      <c r="B2213" s="5">
        <v>2206</v>
      </c>
      <c r="C2213">
        <v>12985</v>
      </c>
      <c r="D2213" t="s">
        <v>12367</v>
      </c>
      <c r="E2213" t="s">
        <v>14826</v>
      </c>
      <c r="F2213" t="s">
        <v>68</v>
      </c>
      <c r="G2213" t="s">
        <v>14827</v>
      </c>
      <c r="H2213">
        <v>15.65</v>
      </c>
      <c r="I2213">
        <v>0</v>
      </c>
      <c r="J2213">
        <v>0</v>
      </c>
      <c r="K2213">
        <v>20</v>
      </c>
      <c r="L2213">
        <v>7</v>
      </c>
      <c r="O2213">
        <v>7</v>
      </c>
      <c r="P2213">
        <v>4</v>
      </c>
      <c r="Q2213">
        <v>0</v>
      </c>
      <c r="R2213">
        <v>46.65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H2213">
        <v>46.65</v>
      </c>
    </row>
    <row r="2214" spans="1:34" x14ac:dyDescent="0.3">
      <c r="A2214" s="4">
        <v>2428</v>
      </c>
      <c r="B2214" s="5">
        <v>2207</v>
      </c>
      <c r="C2214">
        <v>3226</v>
      </c>
      <c r="D2214" t="s">
        <v>7664</v>
      </c>
      <c r="E2214" t="s">
        <v>161</v>
      </c>
      <c r="F2214" t="s">
        <v>136</v>
      </c>
      <c r="G2214" t="s">
        <v>14828</v>
      </c>
      <c r="H2214">
        <v>19.63</v>
      </c>
      <c r="I2214">
        <v>0</v>
      </c>
      <c r="J2214">
        <v>0</v>
      </c>
      <c r="K2214">
        <v>0</v>
      </c>
      <c r="L2214">
        <v>7</v>
      </c>
      <c r="O2214">
        <v>7</v>
      </c>
      <c r="P2214">
        <v>4</v>
      </c>
      <c r="Q2214">
        <v>2</v>
      </c>
      <c r="R2214">
        <v>32.630000000000003</v>
      </c>
      <c r="S2214">
        <v>14</v>
      </c>
      <c r="T2214">
        <v>14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14</v>
      </c>
      <c r="AB2214">
        <v>0</v>
      </c>
      <c r="AC2214">
        <v>0</v>
      </c>
      <c r="AH2214">
        <v>46.63</v>
      </c>
    </row>
    <row r="2215" spans="1:34" x14ac:dyDescent="0.3">
      <c r="A2215" s="4">
        <v>2429</v>
      </c>
      <c r="B2215" s="5">
        <v>2208</v>
      </c>
      <c r="C2215">
        <v>15050</v>
      </c>
      <c r="D2215" t="s">
        <v>14829</v>
      </c>
      <c r="E2215" t="s">
        <v>173</v>
      </c>
      <c r="F2215" t="s">
        <v>5614</v>
      </c>
      <c r="G2215" t="s">
        <v>14830</v>
      </c>
      <c r="H2215">
        <v>19.579999999999998</v>
      </c>
      <c r="I2215">
        <v>0</v>
      </c>
      <c r="J2215">
        <v>0</v>
      </c>
      <c r="K2215">
        <v>20</v>
      </c>
      <c r="L2215">
        <v>7</v>
      </c>
      <c r="O2215">
        <v>7</v>
      </c>
      <c r="P2215">
        <v>0</v>
      </c>
      <c r="Q2215">
        <v>0</v>
      </c>
      <c r="R2215">
        <v>46.58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H2215">
        <v>46.58</v>
      </c>
    </row>
    <row r="2216" spans="1:34" x14ac:dyDescent="0.3">
      <c r="A2216" s="4">
        <v>2430</v>
      </c>
      <c r="B2216" s="5">
        <v>2209</v>
      </c>
      <c r="C2216">
        <v>1749</v>
      </c>
      <c r="D2216" t="s">
        <v>14831</v>
      </c>
      <c r="E2216" t="s">
        <v>14</v>
      </c>
      <c r="F2216" t="s">
        <v>343</v>
      </c>
      <c r="G2216" t="s">
        <v>14832</v>
      </c>
      <c r="H2216">
        <v>12.5</v>
      </c>
      <c r="I2216">
        <v>0</v>
      </c>
      <c r="J2216">
        <v>0</v>
      </c>
      <c r="K2216">
        <v>20</v>
      </c>
      <c r="L2216">
        <v>7</v>
      </c>
      <c r="N2216">
        <v>3</v>
      </c>
      <c r="O2216">
        <v>10</v>
      </c>
      <c r="P2216">
        <v>4</v>
      </c>
      <c r="Q2216">
        <v>0</v>
      </c>
      <c r="R2216">
        <v>46.5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H2216">
        <v>46.5</v>
      </c>
    </row>
    <row r="2217" spans="1:34" x14ac:dyDescent="0.3">
      <c r="A2217" s="4">
        <v>2431</v>
      </c>
      <c r="B2217" s="5">
        <v>2210</v>
      </c>
      <c r="C2217">
        <v>6074</v>
      </c>
      <c r="D2217" t="s">
        <v>1299</v>
      </c>
      <c r="E2217" t="s">
        <v>14833</v>
      </c>
      <c r="F2217" t="s">
        <v>81</v>
      </c>
      <c r="G2217" t="s">
        <v>14834</v>
      </c>
      <c r="H2217">
        <v>12.5</v>
      </c>
      <c r="I2217">
        <v>0</v>
      </c>
      <c r="J2217">
        <v>0</v>
      </c>
      <c r="K2217">
        <v>20</v>
      </c>
      <c r="L2217">
        <v>7</v>
      </c>
      <c r="N2217">
        <v>3</v>
      </c>
      <c r="O2217">
        <v>10</v>
      </c>
      <c r="P2217">
        <v>4</v>
      </c>
      <c r="Q2217">
        <v>0</v>
      </c>
      <c r="R2217">
        <v>46.5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H2217">
        <v>46.5</v>
      </c>
    </row>
    <row r="2218" spans="1:34" x14ac:dyDescent="0.3">
      <c r="A2218" s="4">
        <v>2432</v>
      </c>
      <c r="B2218" s="5">
        <v>2211</v>
      </c>
      <c r="C2218">
        <v>15239</v>
      </c>
      <c r="D2218" t="s">
        <v>8201</v>
      </c>
      <c r="E2218" t="s">
        <v>123</v>
      </c>
      <c r="F2218" t="s">
        <v>3705</v>
      </c>
      <c r="G2218">
        <v>360494</v>
      </c>
      <c r="H2218">
        <v>17.48</v>
      </c>
      <c r="I2218">
        <v>0</v>
      </c>
      <c r="J2218">
        <v>0</v>
      </c>
      <c r="K2218">
        <v>0</v>
      </c>
      <c r="L2218">
        <v>7</v>
      </c>
      <c r="M2218">
        <v>5</v>
      </c>
      <c r="O2218">
        <v>12</v>
      </c>
      <c r="P2218">
        <v>4</v>
      </c>
      <c r="Q2218">
        <v>0</v>
      </c>
      <c r="R2218">
        <v>33.479999999999997</v>
      </c>
      <c r="S2218">
        <v>13</v>
      </c>
      <c r="T2218">
        <v>13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13</v>
      </c>
      <c r="AB2218">
        <v>0</v>
      </c>
      <c r="AC2218">
        <v>0</v>
      </c>
      <c r="AH2218">
        <v>46.48</v>
      </c>
    </row>
    <row r="2219" spans="1:34" x14ac:dyDescent="0.3">
      <c r="A2219" s="4">
        <v>2433</v>
      </c>
      <c r="B2219" s="5">
        <v>2212</v>
      </c>
      <c r="C2219">
        <v>13460</v>
      </c>
      <c r="D2219" t="s">
        <v>360</v>
      </c>
      <c r="E2219" t="s">
        <v>286</v>
      </c>
      <c r="F2219" t="s">
        <v>343</v>
      </c>
      <c r="G2219" t="s">
        <v>14835</v>
      </c>
      <c r="H2219">
        <v>17.329999999999998</v>
      </c>
      <c r="I2219">
        <v>0</v>
      </c>
      <c r="J2219">
        <v>0</v>
      </c>
      <c r="K2219">
        <v>0</v>
      </c>
      <c r="M2219">
        <v>5</v>
      </c>
      <c r="N2219">
        <v>3</v>
      </c>
      <c r="O2219">
        <v>8</v>
      </c>
      <c r="P2219">
        <v>4</v>
      </c>
      <c r="Q2219">
        <v>0</v>
      </c>
      <c r="R2219">
        <v>29.33</v>
      </c>
      <c r="S2219">
        <v>17</v>
      </c>
      <c r="T2219">
        <v>17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17</v>
      </c>
      <c r="AB2219">
        <v>0</v>
      </c>
      <c r="AC2219">
        <v>0</v>
      </c>
      <c r="AH2219">
        <v>46.33</v>
      </c>
    </row>
    <row r="2220" spans="1:34" x14ac:dyDescent="0.3">
      <c r="A2220" s="4">
        <v>2434</v>
      </c>
      <c r="B2220" s="5">
        <v>2213</v>
      </c>
      <c r="C2220">
        <v>13361</v>
      </c>
      <c r="D2220" t="s">
        <v>3223</v>
      </c>
      <c r="E2220" t="s">
        <v>964</v>
      </c>
      <c r="F2220" t="s">
        <v>91</v>
      </c>
      <c r="G2220" t="s">
        <v>14836</v>
      </c>
      <c r="H2220">
        <v>19.3</v>
      </c>
      <c r="I2220">
        <v>0</v>
      </c>
      <c r="J2220">
        <v>0</v>
      </c>
      <c r="K2220">
        <v>0</v>
      </c>
      <c r="L2220">
        <v>7</v>
      </c>
      <c r="O2220">
        <v>7</v>
      </c>
      <c r="P2220">
        <v>4</v>
      </c>
      <c r="Q2220">
        <v>2</v>
      </c>
      <c r="R2220">
        <v>32.299999999999997</v>
      </c>
      <c r="S2220">
        <v>14</v>
      </c>
      <c r="T2220">
        <v>14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14</v>
      </c>
      <c r="AB2220">
        <v>0</v>
      </c>
      <c r="AC2220">
        <v>0</v>
      </c>
      <c r="AH2220">
        <v>46.3</v>
      </c>
    </row>
    <row r="2221" spans="1:34" x14ac:dyDescent="0.3">
      <c r="A2221" s="4">
        <v>2435</v>
      </c>
      <c r="B2221" s="5">
        <v>2214</v>
      </c>
      <c r="C2221">
        <v>13685</v>
      </c>
      <c r="D2221" t="s">
        <v>166</v>
      </c>
      <c r="E2221" t="s">
        <v>14837</v>
      </c>
      <c r="F2221" t="s">
        <v>81</v>
      </c>
      <c r="G2221" t="s">
        <v>14838</v>
      </c>
      <c r="H2221">
        <v>19.3</v>
      </c>
      <c r="I2221">
        <v>0</v>
      </c>
      <c r="J2221">
        <v>0</v>
      </c>
      <c r="K2221">
        <v>0</v>
      </c>
      <c r="N2221">
        <v>3</v>
      </c>
      <c r="O2221">
        <v>3</v>
      </c>
      <c r="P2221">
        <v>4</v>
      </c>
      <c r="Q2221">
        <v>2</v>
      </c>
      <c r="R2221">
        <v>28.3</v>
      </c>
      <c r="S2221">
        <v>18</v>
      </c>
      <c r="T2221">
        <v>18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18</v>
      </c>
      <c r="AB2221">
        <v>0</v>
      </c>
      <c r="AC2221">
        <v>0</v>
      </c>
      <c r="AH2221">
        <v>46.3</v>
      </c>
    </row>
    <row r="2222" spans="1:34" x14ac:dyDescent="0.3">
      <c r="A2222" s="4">
        <v>2436</v>
      </c>
      <c r="B2222" s="5">
        <v>2215</v>
      </c>
      <c r="C2222">
        <v>14113</v>
      </c>
      <c r="D2222" t="s">
        <v>14839</v>
      </c>
      <c r="E2222" t="s">
        <v>117</v>
      </c>
      <c r="F2222" t="s">
        <v>136</v>
      </c>
      <c r="G2222" t="s">
        <v>14840</v>
      </c>
      <c r="H2222">
        <v>21.23</v>
      </c>
      <c r="I2222">
        <v>0</v>
      </c>
      <c r="J2222">
        <v>0</v>
      </c>
      <c r="K2222">
        <v>20</v>
      </c>
      <c r="M2222">
        <v>5</v>
      </c>
      <c r="O2222">
        <v>5</v>
      </c>
      <c r="P2222">
        <v>0</v>
      </c>
      <c r="Q2222">
        <v>0</v>
      </c>
      <c r="R2222">
        <v>46.23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H2222">
        <v>46.23</v>
      </c>
    </row>
    <row r="2223" spans="1:34" x14ac:dyDescent="0.3">
      <c r="A2223" s="4">
        <v>2437</v>
      </c>
      <c r="B2223" s="5">
        <v>2216</v>
      </c>
      <c r="C2223">
        <v>14223</v>
      </c>
      <c r="D2223" t="s">
        <v>14841</v>
      </c>
      <c r="E2223" t="s">
        <v>188</v>
      </c>
      <c r="F2223" t="s">
        <v>124</v>
      </c>
      <c r="G2223" t="s">
        <v>14842</v>
      </c>
      <c r="H2223">
        <v>16.18</v>
      </c>
      <c r="I2223">
        <v>0</v>
      </c>
      <c r="J2223">
        <v>0</v>
      </c>
      <c r="K2223">
        <v>20</v>
      </c>
      <c r="L2223">
        <v>7</v>
      </c>
      <c r="N2223">
        <v>3</v>
      </c>
      <c r="O2223">
        <v>10</v>
      </c>
      <c r="P2223">
        <v>0</v>
      </c>
      <c r="Q2223">
        <v>0</v>
      </c>
      <c r="R2223">
        <v>46.18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H2223">
        <v>46.18</v>
      </c>
    </row>
    <row r="2224" spans="1:34" x14ac:dyDescent="0.3">
      <c r="A2224" s="4">
        <v>2438</v>
      </c>
      <c r="B2224" s="5">
        <v>2217</v>
      </c>
      <c r="C2224">
        <v>15433</v>
      </c>
      <c r="D2224" t="s">
        <v>7263</v>
      </c>
      <c r="E2224" t="s">
        <v>29</v>
      </c>
      <c r="F2224" t="s">
        <v>878</v>
      </c>
      <c r="G2224" t="s">
        <v>14843</v>
      </c>
      <c r="H2224">
        <v>19.149999999999999</v>
      </c>
      <c r="I2224">
        <v>0</v>
      </c>
      <c r="J2224">
        <v>0</v>
      </c>
      <c r="K2224">
        <v>20</v>
      </c>
      <c r="L2224">
        <v>7</v>
      </c>
      <c r="O2224">
        <v>7</v>
      </c>
      <c r="P2224">
        <v>0</v>
      </c>
      <c r="Q2224">
        <v>0</v>
      </c>
      <c r="R2224">
        <v>46.15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H2224">
        <v>46.15</v>
      </c>
    </row>
    <row r="2225" spans="1:34" x14ac:dyDescent="0.3">
      <c r="A2225" s="4">
        <v>2439</v>
      </c>
      <c r="B2225" s="5">
        <v>2218</v>
      </c>
      <c r="C2225">
        <v>3407</v>
      </c>
      <c r="D2225" t="s">
        <v>28</v>
      </c>
      <c r="E2225" t="s">
        <v>26</v>
      </c>
      <c r="F2225" t="s">
        <v>81</v>
      </c>
      <c r="G2225" t="s">
        <v>14844</v>
      </c>
      <c r="H2225">
        <v>19.149999999999999</v>
      </c>
      <c r="I2225">
        <v>0</v>
      </c>
      <c r="J2225">
        <v>0</v>
      </c>
      <c r="K2225">
        <v>0</v>
      </c>
      <c r="M2225">
        <v>5</v>
      </c>
      <c r="N2225">
        <v>3</v>
      </c>
      <c r="O2225">
        <v>8</v>
      </c>
      <c r="P2225">
        <v>4</v>
      </c>
      <c r="Q2225">
        <v>2</v>
      </c>
      <c r="R2225">
        <v>33.15</v>
      </c>
      <c r="S2225">
        <v>13</v>
      </c>
      <c r="T2225">
        <v>13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13</v>
      </c>
      <c r="AB2225">
        <v>0</v>
      </c>
      <c r="AC2225">
        <v>0</v>
      </c>
      <c r="AH2225">
        <v>46.15</v>
      </c>
    </row>
    <row r="2226" spans="1:34" x14ac:dyDescent="0.3">
      <c r="A2226" s="4">
        <v>2440</v>
      </c>
      <c r="B2226" s="5">
        <v>2219</v>
      </c>
      <c r="C2226">
        <v>8470</v>
      </c>
      <c r="D2226" t="s">
        <v>14845</v>
      </c>
      <c r="E2226" t="s">
        <v>166</v>
      </c>
      <c r="F2226" t="s">
        <v>68</v>
      </c>
      <c r="G2226" t="s">
        <v>14846</v>
      </c>
      <c r="H2226">
        <v>19.13</v>
      </c>
      <c r="I2226">
        <v>0</v>
      </c>
      <c r="J2226">
        <v>0</v>
      </c>
      <c r="K2226">
        <v>20</v>
      </c>
      <c r="N2226">
        <v>3</v>
      </c>
      <c r="O2226">
        <v>3</v>
      </c>
      <c r="P2226">
        <v>4</v>
      </c>
      <c r="Q2226">
        <v>0</v>
      </c>
      <c r="R2226">
        <v>46.13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H2226">
        <v>46.13</v>
      </c>
    </row>
    <row r="2227" spans="1:34" x14ac:dyDescent="0.3">
      <c r="A2227" s="4">
        <v>2441</v>
      </c>
      <c r="B2227" s="5">
        <v>2220</v>
      </c>
      <c r="C2227">
        <v>12781</v>
      </c>
      <c r="D2227" t="s">
        <v>11048</v>
      </c>
      <c r="E2227" t="s">
        <v>3775</v>
      </c>
      <c r="F2227" t="s">
        <v>62</v>
      </c>
      <c r="G2227" t="s">
        <v>14847</v>
      </c>
      <c r="H2227">
        <v>18.13</v>
      </c>
      <c r="I2227">
        <v>0</v>
      </c>
      <c r="J2227">
        <v>0</v>
      </c>
      <c r="K2227">
        <v>20</v>
      </c>
      <c r="M2227">
        <v>5</v>
      </c>
      <c r="N2227">
        <v>3</v>
      </c>
      <c r="O2227">
        <v>8</v>
      </c>
      <c r="P2227">
        <v>0</v>
      </c>
      <c r="Q2227">
        <v>0</v>
      </c>
      <c r="R2227">
        <v>46.13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H2227">
        <v>46.13</v>
      </c>
    </row>
    <row r="2228" spans="1:34" x14ac:dyDescent="0.3">
      <c r="A2228" s="4">
        <v>2442</v>
      </c>
      <c r="B2228" s="5">
        <v>2221</v>
      </c>
      <c r="C2228">
        <v>6219</v>
      </c>
      <c r="D2228" t="s">
        <v>6906</v>
      </c>
      <c r="E2228" t="s">
        <v>7954</v>
      </c>
      <c r="F2228" t="s">
        <v>14848</v>
      </c>
      <c r="G2228" t="s">
        <v>14849</v>
      </c>
      <c r="H2228">
        <v>16.100000000000001</v>
      </c>
      <c r="I2228">
        <v>0</v>
      </c>
      <c r="J2228">
        <v>0</v>
      </c>
      <c r="K2228">
        <v>20</v>
      </c>
      <c r="N2228">
        <v>3</v>
      </c>
      <c r="O2228">
        <v>3</v>
      </c>
      <c r="P2228">
        <v>4</v>
      </c>
      <c r="Q2228">
        <v>0</v>
      </c>
      <c r="R2228">
        <v>43.1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3</v>
      </c>
      <c r="AC2228">
        <v>0</v>
      </c>
      <c r="AH2228">
        <v>46.1</v>
      </c>
    </row>
    <row r="2229" spans="1:34" x14ac:dyDescent="0.3">
      <c r="A2229" s="4">
        <v>2443</v>
      </c>
      <c r="B2229" s="5">
        <v>2222</v>
      </c>
      <c r="C2229">
        <v>8945</v>
      </c>
      <c r="D2229" t="s">
        <v>9290</v>
      </c>
      <c r="E2229" t="s">
        <v>1280</v>
      </c>
      <c r="F2229" t="s">
        <v>17</v>
      </c>
      <c r="G2229" t="s">
        <v>14850</v>
      </c>
      <c r="H2229">
        <v>15.08</v>
      </c>
      <c r="I2229">
        <v>0</v>
      </c>
      <c r="J2229">
        <v>0</v>
      </c>
      <c r="K2229">
        <v>0</v>
      </c>
      <c r="L2229">
        <v>7</v>
      </c>
      <c r="O2229">
        <v>7</v>
      </c>
      <c r="P2229">
        <v>4</v>
      </c>
      <c r="Q2229">
        <v>2</v>
      </c>
      <c r="R2229">
        <v>28.08</v>
      </c>
      <c r="S2229">
        <v>9</v>
      </c>
      <c r="T2229">
        <v>9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9</v>
      </c>
      <c r="AB2229">
        <v>9</v>
      </c>
      <c r="AC2229">
        <v>0</v>
      </c>
      <c r="AH2229">
        <v>46.08</v>
      </c>
    </row>
    <row r="2230" spans="1:34" x14ac:dyDescent="0.3">
      <c r="A2230" s="4">
        <v>2444</v>
      </c>
      <c r="B2230" s="5">
        <v>2223</v>
      </c>
      <c r="C2230">
        <v>6624</v>
      </c>
      <c r="D2230" t="s">
        <v>14851</v>
      </c>
      <c r="E2230" t="s">
        <v>188</v>
      </c>
      <c r="F2230" t="s">
        <v>17</v>
      </c>
      <c r="G2230" t="s">
        <v>14852</v>
      </c>
      <c r="H2230">
        <v>20.079999999999998</v>
      </c>
      <c r="I2230">
        <v>0</v>
      </c>
      <c r="J2230">
        <v>0</v>
      </c>
      <c r="K2230">
        <v>0</v>
      </c>
      <c r="L2230">
        <v>7</v>
      </c>
      <c r="O2230">
        <v>7</v>
      </c>
      <c r="P2230">
        <v>4</v>
      </c>
      <c r="Q2230">
        <v>0</v>
      </c>
      <c r="R2230">
        <v>31.08</v>
      </c>
      <c r="S2230">
        <v>12</v>
      </c>
      <c r="T2230">
        <v>12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12</v>
      </c>
      <c r="AB2230">
        <v>3</v>
      </c>
      <c r="AC2230">
        <v>0</v>
      </c>
      <c r="AH2230">
        <v>46.08</v>
      </c>
    </row>
    <row r="2231" spans="1:34" x14ac:dyDescent="0.3">
      <c r="A2231" s="4">
        <v>2445</v>
      </c>
      <c r="B2231" s="5">
        <v>2224</v>
      </c>
      <c r="C2231">
        <v>15388</v>
      </c>
      <c r="D2231" t="s">
        <v>9127</v>
      </c>
      <c r="E2231" t="s">
        <v>375</v>
      </c>
      <c r="F2231" t="s">
        <v>38</v>
      </c>
      <c r="G2231" t="s">
        <v>14853</v>
      </c>
      <c r="H2231">
        <v>20.05</v>
      </c>
      <c r="I2231">
        <v>0</v>
      </c>
      <c r="J2231">
        <v>0</v>
      </c>
      <c r="K2231">
        <v>20</v>
      </c>
      <c r="N2231">
        <v>6</v>
      </c>
      <c r="O2231">
        <v>6</v>
      </c>
      <c r="P2231">
        <v>0</v>
      </c>
      <c r="Q2231">
        <v>0</v>
      </c>
      <c r="R2231">
        <v>46.05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H2231">
        <v>46.05</v>
      </c>
    </row>
    <row r="2232" spans="1:34" x14ac:dyDescent="0.3">
      <c r="A2232" s="4">
        <v>2446</v>
      </c>
      <c r="B2232" s="5">
        <v>2225</v>
      </c>
      <c r="C2232">
        <v>1853</v>
      </c>
      <c r="D2232" t="s">
        <v>4131</v>
      </c>
      <c r="E2232" t="s">
        <v>406</v>
      </c>
      <c r="F2232" t="s">
        <v>214</v>
      </c>
      <c r="G2232" t="s">
        <v>14854</v>
      </c>
      <c r="H2232">
        <v>20.03</v>
      </c>
      <c r="I2232">
        <v>7</v>
      </c>
      <c r="J2232">
        <v>0</v>
      </c>
      <c r="K2232">
        <v>0</v>
      </c>
      <c r="L2232">
        <v>7</v>
      </c>
      <c r="O2232">
        <v>7</v>
      </c>
      <c r="P2232">
        <v>4</v>
      </c>
      <c r="Q2232">
        <v>2</v>
      </c>
      <c r="R2232">
        <v>40.03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6</v>
      </c>
      <c r="AC2232">
        <v>0</v>
      </c>
      <c r="AH2232">
        <v>46.03</v>
      </c>
    </row>
    <row r="2233" spans="1:34" x14ac:dyDescent="0.3">
      <c r="A2233" s="4">
        <v>2447</v>
      </c>
      <c r="B2233" s="5">
        <v>2226</v>
      </c>
      <c r="C2233">
        <v>1564</v>
      </c>
      <c r="D2233" t="s">
        <v>14855</v>
      </c>
      <c r="E2233" t="s">
        <v>343</v>
      </c>
      <c r="F2233" t="s">
        <v>892</v>
      </c>
      <c r="G2233" t="s">
        <v>14856</v>
      </c>
      <c r="H2233">
        <v>19.03</v>
      </c>
      <c r="I2233">
        <v>0</v>
      </c>
      <c r="J2233">
        <v>0</v>
      </c>
      <c r="K2233">
        <v>20</v>
      </c>
      <c r="O2233">
        <v>0</v>
      </c>
      <c r="P2233">
        <v>4</v>
      </c>
      <c r="Q2233">
        <v>0</v>
      </c>
      <c r="R2233">
        <v>43.03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3</v>
      </c>
      <c r="AC2233">
        <v>0</v>
      </c>
      <c r="AH2233">
        <v>46.03</v>
      </c>
    </row>
    <row r="2234" spans="1:34" x14ac:dyDescent="0.3">
      <c r="A2234" s="4">
        <v>2448</v>
      </c>
      <c r="B2234" s="5">
        <v>2227</v>
      </c>
      <c r="C2234">
        <v>15134</v>
      </c>
      <c r="D2234" t="s">
        <v>14857</v>
      </c>
      <c r="E2234" t="s">
        <v>33</v>
      </c>
      <c r="F2234" t="s">
        <v>81</v>
      </c>
      <c r="G2234" t="s">
        <v>14858</v>
      </c>
      <c r="H2234">
        <v>19</v>
      </c>
      <c r="I2234">
        <v>0</v>
      </c>
      <c r="J2234">
        <v>0</v>
      </c>
      <c r="K2234">
        <v>20</v>
      </c>
      <c r="N2234">
        <v>3</v>
      </c>
      <c r="O2234">
        <v>3</v>
      </c>
      <c r="P2234">
        <v>4</v>
      </c>
      <c r="Q2234">
        <v>0</v>
      </c>
      <c r="R2234">
        <v>46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H2234">
        <v>46</v>
      </c>
    </row>
    <row r="2235" spans="1:34" x14ac:dyDescent="0.3">
      <c r="A2235" s="4">
        <v>2449</v>
      </c>
      <c r="B2235" s="5">
        <v>2228</v>
      </c>
      <c r="C2235">
        <v>9981</v>
      </c>
      <c r="D2235" t="s">
        <v>14859</v>
      </c>
      <c r="E2235" t="s">
        <v>14860</v>
      </c>
      <c r="F2235" t="s">
        <v>5304</v>
      </c>
      <c r="G2235" t="s">
        <v>14861</v>
      </c>
      <c r="H2235">
        <v>20.95</v>
      </c>
      <c r="I2235">
        <v>0</v>
      </c>
      <c r="J2235">
        <v>0</v>
      </c>
      <c r="K2235">
        <v>0</v>
      </c>
      <c r="L2235">
        <v>14</v>
      </c>
      <c r="O2235">
        <v>14</v>
      </c>
      <c r="P2235">
        <v>4</v>
      </c>
      <c r="Q2235">
        <v>0</v>
      </c>
      <c r="R2235">
        <v>38.950000000000003</v>
      </c>
      <c r="S2235">
        <v>7</v>
      </c>
      <c r="T2235">
        <v>7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7</v>
      </c>
      <c r="AB2235">
        <v>0</v>
      </c>
      <c r="AC2235">
        <v>0</v>
      </c>
      <c r="AH2235">
        <v>45.95</v>
      </c>
    </row>
    <row r="2236" spans="1:34" x14ac:dyDescent="0.3">
      <c r="A2236" s="4">
        <v>2450</v>
      </c>
      <c r="B2236" s="5">
        <v>2229</v>
      </c>
      <c r="C2236">
        <v>6980</v>
      </c>
      <c r="D2236" t="s">
        <v>2453</v>
      </c>
      <c r="E2236" t="s">
        <v>166</v>
      </c>
      <c r="F2236" t="s">
        <v>3439</v>
      </c>
      <c r="G2236" t="s">
        <v>14862</v>
      </c>
      <c r="H2236">
        <v>22.88</v>
      </c>
      <c r="I2236">
        <v>7</v>
      </c>
      <c r="J2236">
        <v>0</v>
      </c>
      <c r="K2236">
        <v>0</v>
      </c>
      <c r="N2236">
        <v>3</v>
      </c>
      <c r="O2236">
        <v>3</v>
      </c>
      <c r="P2236">
        <v>4</v>
      </c>
      <c r="Q2236">
        <v>0</v>
      </c>
      <c r="R2236">
        <v>36.880000000000003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9</v>
      </c>
      <c r="AC2236">
        <v>0</v>
      </c>
      <c r="AH2236">
        <v>45.88</v>
      </c>
    </row>
    <row r="2237" spans="1:34" x14ac:dyDescent="0.3">
      <c r="A2237" s="4">
        <v>2451</v>
      </c>
      <c r="B2237" s="5">
        <v>2230</v>
      </c>
      <c r="C2237">
        <v>2503</v>
      </c>
      <c r="D2237" t="s">
        <v>14863</v>
      </c>
      <c r="E2237" t="s">
        <v>208</v>
      </c>
      <c r="F2237" t="s">
        <v>1511</v>
      </c>
      <c r="G2237" t="s">
        <v>14864</v>
      </c>
      <c r="H2237">
        <v>18.8</v>
      </c>
      <c r="I2237">
        <v>0</v>
      </c>
      <c r="J2237">
        <v>0</v>
      </c>
      <c r="K2237">
        <v>0</v>
      </c>
      <c r="L2237">
        <v>7</v>
      </c>
      <c r="N2237">
        <v>3</v>
      </c>
      <c r="O2237">
        <v>10</v>
      </c>
      <c r="P2237">
        <v>4</v>
      </c>
      <c r="Q2237">
        <v>2</v>
      </c>
      <c r="R2237">
        <v>34.799999999999997</v>
      </c>
      <c r="S2237">
        <v>11</v>
      </c>
      <c r="T2237">
        <v>11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11</v>
      </c>
      <c r="AB2237">
        <v>0</v>
      </c>
      <c r="AC2237">
        <v>0</v>
      </c>
      <c r="AH2237">
        <v>45.8</v>
      </c>
    </row>
    <row r="2238" spans="1:34" x14ac:dyDescent="0.3">
      <c r="A2238" s="4">
        <v>2452</v>
      </c>
      <c r="B2238" s="5">
        <v>2231</v>
      </c>
      <c r="C2238">
        <v>13410</v>
      </c>
      <c r="D2238" t="s">
        <v>14865</v>
      </c>
      <c r="E2238" t="s">
        <v>14866</v>
      </c>
      <c r="F2238" t="s">
        <v>5614</v>
      </c>
      <c r="G2238" t="s">
        <v>14867</v>
      </c>
      <c r="H2238">
        <v>16.78</v>
      </c>
      <c r="I2238">
        <v>0</v>
      </c>
      <c r="J2238">
        <v>0</v>
      </c>
      <c r="K2238">
        <v>20</v>
      </c>
      <c r="M2238">
        <v>5</v>
      </c>
      <c r="O2238">
        <v>5</v>
      </c>
      <c r="P2238">
        <v>4</v>
      </c>
      <c r="Q2238">
        <v>0</v>
      </c>
      <c r="R2238">
        <v>45.78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H2238">
        <v>45.78</v>
      </c>
    </row>
    <row r="2239" spans="1:34" x14ac:dyDescent="0.3">
      <c r="A2239" s="4">
        <v>2453</v>
      </c>
      <c r="B2239" s="5">
        <v>2232</v>
      </c>
      <c r="C2239">
        <v>14009</v>
      </c>
      <c r="D2239" t="s">
        <v>5553</v>
      </c>
      <c r="E2239" t="s">
        <v>14868</v>
      </c>
      <c r="F2239" t="s">
        <v>20</v>
      </c>
      <c r="G2239" t="s">
        <v>14869</v>
      </c>
      <c r="H2239">
        <v>18.75</v>
      </c>
      <c r="I2239">
        <v>0</v>
      </c>
      <c r="J2239">
        <v>0</v>
      </c>
      <c r="K2239">
        <v>20</v>
      </c>
      <c r="L2239">
        <v>7</v>
      </c>
      <c r="O2239">
        <v>7</v>
      </c>
      <c r="P2239">
        <v>0</v>
      </c>
      <c r="Q2239">
        <v>0</v>
      </c>
      <c r="R2239">
        <v>45.75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H2239">
        <v>45.75</v>
      </c>
    </row>
    <row r="2240" spans="1:34" x14ac:dyDescent="0.3">
      <c r="A2240" s="4">
        <v>2454</v>
      </c>
      <c r="B2240" s="5">
        <v>2233</v>
      </c>
      <c r="C2240">
        <v>8170</v>
      </c>
      <c r="D2240" t="s">
        <v>14870</v>
      </c>
      <c r="E2240" t="s">
        <v>132</v>
      </c>
      <c r="F2240" t="s">
        <v>328</v>
      </c>
      <c r="G2240" t="s">
        <v>14871</v>
      </c>
      <c r="H2240">
        <v>16.73</v>
      </c>
      <c r="I2240">
        <v>0</v>
      </c>
      <c r="J2240">
        <v>0</v>
      </c>
      <c r="K2240">
        <v>0</v>
      </c>
      <c r="O2240">
        <v>0</v>
      </c>
      <c r="P2240">
        <v>4</v>
      </c>
      <c r="Q2240">
        <v>0</v>
      </c>
      <c r="R2240">
        <v>20.73</v>
      </c>
      <c r="S2240">
        <v>25</v>
      </c>
      <c r="T2240">
        <v>25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25</v>
      </c>
      <c r="AB2240">
        <v>0</v>
      </c>
      <c r="AC2240">
        <v>0</v>
      </c>
      <c r="AH2240">
        <v>45.73</v>
      </c>
    </row>
    <row r="2241" spans="1:34" x14ac:dyDescent="0.3">
      <c r="A2241" s="4">
        <v>2455</v>
      </c>
      <c r="B2241" s="5">
        <v>2234</v>
      </c>
      <c r="C2241">
        <v>7923</v>
      </c>
      <c r="D2241" t="s">
        <v>2113</v>
      </c>
      <c r="E2241" t="s">
        <v>17</v>
      </c>
      <c r="F2241" t="s">
        <v>14872</v>
      </c>
      <c r="G2241" t="s">
        <v>14873</v>
      </c>
      <c r="H2241">
        <v>18.7</v>
      </c>
      <c r="I2241">
        <v>0</v>
      </c>
      <c r="J2241">
        <v>0</v>
      </c>
      <c r="K2241">
        <v>20</v>
      </c>
      <c r="N2241">
        <v>3</v>
      </c>
      <c r="O2241">
        <v>3</v>
      </c>
      <c r="P2241">
        <v>4</v>
      </c>
      <c r="Q2241">
        <v>0</v>
      </c>
      <c r="R2241">
        <v>45.7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H2241">
        <v>45.7</v>
      </c>
    </row>
    <row r="2242" spans="1:34" x14ac:dyDescent="0.3">
      <c r="A2242" s="4">
        <v>2456</v>
      </c>
      <c r="B2242" s="5">
        <v>2235</v>
      </c>
      <c r="C2242">
        <v>11908</v>
      </c>
      <c r="D2242" t="s">
        <v>14874</v>
      </c>
      <c r="E2242" t="s">
        <v>166</v>
      </c>
      <c r="F2242" t="s">
        <v>81</v>
      </c>
      <c r="G2242" t="s">
        <v>14875</v>
      </c>
      <c r="H2242">
        <v>19.7</v>
      </c>
      <c r="I2242">
        <v>0</v>
      </c>
      <c r="J2242">
        <v>0</v>
      </c>
      <c r="K2242">
        <v>0</v>
      </c>
      <c r="L2242">
        <v>7</v>
      </c>
      <c r="N2242">
        <v>3</v>
      </c>
      <c r="O2242">
        <v>10</v>
      </c>
      <c r="P2242">
        <v>4</v>
      </c>
      <c r="Q2242">
        <v>2</v>
      </c>
      <c r="R2242">
        <v>35.700000000000003</v>
      </c>
      <c r="S2242">
        <v>10</v>
      </c>
      <c r="T2242">
        <v>10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10</v>
      </c>
      <c r="AB2242">
        <v>0</v>
      </c>
      <c r="AC2242">
        <v>0</v>
      </c>
      <c r="AH2242">
        <v>45.7</v>
      </c>
    </row>
    <row r="2243" spans="1:34" x14ac:dyDescent="0.3">
      <c r="A2243" s="4">
        <v>2457</v>
      </c>
      <c r="B2243" s="5">
        <v>2236</v>
      </c>
      <c r="C2243">
        <v>13079</v>
      </c>
      <c r="D2243" t="s">
        <v>14876</v>
      </c>
      <c r="E2243" t="s">
        <v>6225</v>
      </c>
      <c r="F2243" t="s">
        <v>4873</v>
      </c>
      <c r="G2243" t="s">
        <v>14877</v>
      </c>
      <c r="H2243">
        <v>18.68</v>
      </c>
      <c r="I2243">
        <v>0</v>
      </c>
      <c r="J2243">
        <v>0</v>
      </c>
      <c r="K2243">
        <v>20</v>
      </c>
      <c r="N2243">
        <v>3</v>
      </c>
      <c r="O2243">
        <v>3</v>
      </c>
      <c r="P2243">
        <v>4</v>
      </c>
      <c r="Q2243">
        <v>0</v>
      </c>
      <c r="R2243">
        <v>45.68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H2243">
        <v>45.68</v>
      </c>
    </row>
    <row r="2244" spans="1:34" x14ac:dyDescent="0.3">
      <c r="A2244" s="4">
        <v>2458</v>
      </c>
      <c r="B2244" s="5">
        <v>2237</v>
      </c>
      <c r="C2244">
        <v>10530</v>
      </c>
      <c r="D2244" t="s">
        <v>14878</v>
      </c>
      <c r="E2244" t="s">
        <v>782</v>
      </c>
      <c r="F2244" t="s">
        <v>442</v>
      </c>
      <c r="G2244" t="s">
        <v>14879</v>
      </c>
      <c r="H2244">
        <v>17.68</v>
      </c>
      <c r="I2244">
        <v>0</v>
      </c>
      <c r="J2244">
        <v>0</v>
      </c>
      <c r="K2244">
        <v>20</v>
      </c>
      <c r="N2244">
        <v>3</v>
      </c>
      <c r="O2244">
        <v>3</v>
      </c>
      <c r="P2244">
        <v>0</v>
      </c>
      <c r="Q2244">
        <v>0</v>
      </c>
      <c r="R2244">
        <v>40.68</v>
      </c>
      <c r="S2244">
        <v>5</v>
      </c>
      <c r="T2244">
        <v>5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5</v>
      </c>
      <c r="AB2244">
        <v>0</v>
      </c>
      <c r="AC2244">
        <v>0</v>
      </c>
      <c r="AH2244">
        <v>45.68</v>
      </c>
    </row>
    <row r="2245" spans="1:34" x14ac:dyDescent="0.3">
      <c r="A2245" s="4">
        <v>2459</v>
      </c>
      <c r="B2245" s="5">
        <v>2238</v>
      </c>
      <c r="C2245">
        <v>11653</v>
      </c>
      <c r="D2245" t="s">
        <v>14880</v>
      </c>
      <c r="E2245" t="s">
        <v>795</v>
      </c>
      <c r="F2245" t="s">
        <v>17</v>
      </c>
      <c r="G2245" t="s">
        <v>14881</v>
      </c>
      <c r="H2245">
        <v>18.649999999999999</v>
      </c>
      <c r="I2245">
        <v>0</v>
      </c>
      <c r="J2245">
        <v>0</v>
      </c>
      <c r="K2245">
        <v>20</v>
      </c>
      <c r="N2245">
        <v>3</v>
      </c>
      <c r="O2245">
        <v>3</v>
      </c>
      <c r="P2245">
        <v>4</v>
      </c>
      <c r="Q2245">
        <v>0</v>
      </c>
      <c r="R2245">
        <v>45.65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H2245">
        <v>45.65</v>
      </c>
    </row>
    <row r="2246" spans="1:34" x14ac:dyDescent="0.3">
      <c r="A2246" s="4">
        <v>2460</v>
      </c>
      <c r="B2246" s="5">
        <v>2239</v>
      </c>
      <c r="C2246">
        <v>15592</v>
      </c>
      <c r="D2246" t="s">
        <v>14882</v>
      </c>
      <c r="E2246" t="s">
        <v>33</v>
      </c>
      <c r="F2246" t="s">
        <v>117</v>
      </c>
      <c r="G2246" t="s">
        <v>14883</v>
      </c>
      <c r="H2246">
        <v>18.63</v>
      </c>
      <c r="I2246">
        <v>0</v>
      </c>
      <c r="J2246">
        <v>0</v>
      </c>
      <c r="K2246">
        <v>20</v>
      </c>
      <c r="L2246">
        <v>7</v>
      </c>
      <c r="O2246">
        <v>7</v>
      </c>
      <c r="P2246">
        <v>0</v>
      </c>
      <c r="Q2246">
        <v>0</v>
      </c>
      <c r="R2246">
        <v>45.63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H2246">
        <v>45.63</v>
      </c>
    </row>
    <row r="2247" spans="1:34" x14ac:dyDescent="0.3">
      <c r="A2247" s="4">
        <v>2461</v>
      </c>
      <c r="B2247" s="5">
        <v>2240</v>
      </c>
      <c r="C2247">
        <v>12088</v>
      </c>
      <c r="D2247" t="s">
        <v>6302</v>
      </c>
      <c r="E2247" t="s">
        <v>97</v>
      </c>
      <c r="F2247" t="s">
        <v>91</v>
      </c>
      <c r="G2247" t="s">
        <v>14884</v>
      </c>
      <c r="H2247">
        <v>18.579999999999998</v>
      </c>
      <c r="I2247">
        <v>0</v>
      </c>
      <c r="J2247">
        <v>0</v>
      </c>
      <c r="K2247">
        <v>20</v>
      </c>
      <c r="N2247">
        <v>3</v>
      </c>
      <c r="O2247">
        <v>3</v>
      </c>
      <c r="P2247">
        <v>4</v>
      </c>
      <c r="Q2247">
        <v>0</v>
      </c>
      <c r="R2247">
        <v>45.58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H2247">
        <v>45.58</v>
      </c>
    </row>
    <row r="2248" spans="1:34" x14ac:dyDescent="0.3">
      <c r="A2248" s="4">
        <v>2462</v>
      </c>
      <c r="B2248" s="5">
        <v>2241</v>
      </c>
      <c r="C2248">
        <v>12351</v>
      </c>
      <c r="D2248" t="s">
        <v>190</v>
      </c>
      <c r="E2248" t="s">
        <v>14885</v>
      </c>
      <c r="F2248" t="s">
        <v>17</v>
      </c>
      <c r="G2248" t="s">
        <v>14886</v>
      </c>
      <c r="H2248">
        <v>18.53</v>
      </c>
      <c r="I2248">
        <v>0</v>
      </c>
      <c r="J2248">
        <v>0</v>
      </c>
      <c r="K2248">
        <v>20</v>
      </c>
      <c r="N2248">
        <v>3</v>
      </c>
      <c r="O2248">
        <v>3</v>
      </c>
      <c r="P2248">
        <v>4</v>
      </c>
      <c r="Q2248">
        <v>0</v>
      </c>
      <c r="R2248">
        <v>45.53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H2248">
        <v>45.53</v>
      </c>
    </row>
    <row r="2249" spans="1:34" x14ac:dyDescent="0.3">
      <c r="A2249" s="4">
        <v>2463</v>
      </c>
      <c r="B2249" s="5">
        <v>2242</v>
      </c>
      <c r="C2249">
        <v>6107</v>
      </c>
      <c r="D2249" t="s">
        <v>2227</v>
      </c>
      <c r="E2249" t="s">
        <v>5311</v>
      </c>
      <c r="F2249" t="s">
        <v>81</v>
      </c>
      <c r="G2249" t="s">
        <v>14887</v>
      </c>
      <c r="H2249">
        <v>18.53</v>
      </c>
      <c r="I2249">
        <v>0</v>
      </c>
      <c r="J2249">
        <v>0</v>
      </c>
      <c r="K2249">
        <v>0</v>
      </c>
      <c r="L2249">
        <v>7</v>
      </c>
      <c r="N2249">
        <v>3</v>
      </c>
      <c r="O2249">
        <v>10</v>
      </c>
      <c r="P2249">
        <v>4</v>
      </c>
      <c r="Q2249">
        <v>2</v>
      </c>
      <c r="R2249">
        <v>34.53</v>
      </c>
      <c r="S2249">
        <v>11</v>
      </c>
      <c r="T2249">
        <v>11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11</v>
      </c>
      <c r="AB2249">
        <v>0</v>
      </c>
      <c r="AC2249">
        <v>0</v>
      </c>
      <c r="AH2249">
        <v>45.53</v>
      </c>
    </row>
    <row r="2250" spans="1:34" x14ac:dyDescent="0.3">
      <c r="A2250" s="4">
        <v>2464</v>
      </c>
      <c r="B2250" s="5">
        <v>2243</v>
      </c>
      <c r="C2250">
        <v>8268</v>
      </c>
      <c r="D2250" t="s">
        <v>14888</v>
      </c>
      <c r="E2250" t="s">
        <v>136</v>
      </c>
      <c r="F2250" t="s">
        <v>328</v>
      </c>
      <c r="G2250" t="s">
        <v>14889</v>
      </c>
      <c r="H2250">
        <v>12.5</v>
      </c>
      <c r="I2250">
        <v>0</v>
      </c>
      <c r="J2250">
        <v>0</v>
      </c>
      <c r="K2250">
        <v>20</v>
      </c>
      <c r="L2250">
        <v>7</v>
      </c>
      <c r="O2250">
        <v>7</v>
      </c>
      <c r="P2250">
        <v>4</v>
      </c>
      <c r="Q2250">
        <v>2</v>
      </c>
      <c r="R2250">
        <v>45.5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H2250">
        <v>45.5</v>
      </c>
    </row>
    <row r="2251" spans="1:34" x14ac:dyDescent="0.3">
      <c r="A2251" s="4">
        <v>2465</v>
      </c>
      <c r="B2251" s="5">
        <v>2244</v>
      </c>
      <c r="C2251">
        <v>1842</v>
      </c>
      <c r="D2251" t="s">
        <v>14890</v>
      </c>
      <c r="E2251" t="s">
        <v>14891</v>
      </c>
      <c r="F2251" t="s">
        <v>570</v>
      </c>
      <c r="G2251" t="s">
        <v>14892</v>
      </c>
      <c r="H2251">
        <v>12.5</v>
      </c>
      <c r="I2251">
        <v>0</v>
      </c>
      <c r="J2251">
        <v>0</v>
      </c>
      <c r="K2251">
        <v>20</v>
      </c>
      <c r="L2251">
        <v>7</v>
      </c>
      <c r="O2251">
        <v>7</v>
      </c>
      <c r="P2251">
        <v>4</v>
      </c>
      <c r="Q2251">
        <v>2</v>
      </c>
      <c r="R2251">
        <v>45.5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H2251">
        <v>45.5</v>
      </c>
    </row>
    <row r="2252" spans="1:34" x14ac:dyDescent="0.3">
      <c r="A2252" s="4">
        <v>2466</v>
      </c>
      <c r="B2252" s="5">
        <v>2245</v>
      </c>
      <c r="C2252">
        <v>729</v>
      </c>
      <c r="D2252" t="s">
        <v>5026</v>
      </c>
      <c r="E2252" t="s">
        <v>29</v>
      </c>
      <c r="F2252" t="s">
        <v>91</v>
      </c>
      <c r="G2252" t="s">
        <v>14893</v>
      </c>
      <c r="H2252">
        <v>12.5</v>
      </c>
      <c r="I2252">
        <v>0</v>
      </c>
      <c r="J2252">
        <v>0</v>
      </c>
      <c r="K2252">
        <v>20</v>
      </c>
      <c r="L2252">
        <v>7</v>
      </c>
      <c r="O2252">
        <v>7</v>
      </c>
      <c r="P2252">
        <v>4</v>
      </c>
      <c r="Q2252">
        <v>2</v>
      </c>
      <c r="R2252">
        <v>45.5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H2252">
        <v>45.5</v>
      </c>
    </row>
    <row r="2253" spans="1:34" x14ac:dyDescent="0.3">
      <c r="A2253" s="4">
        <v>2467</v>
      </c>
      <c r="B2253" s="5">
        <v>2246</v>
      </c>
      <c r="C2253">
        <v>15205</v>
      </c>
      <c r="D2253" t="s">
        <v>14894</v>
      </c>
      <c r="E2253" t="s">
        <v>68</v>
      </c>
      <c r="F2253" t="s">
        <v>158</v>
      </c>
      <c r="G2253" t="s">
        <v>14895</v>
      </c>
      <c r="H2253">
        <v>12.5</v>
      </c>
      <c r="I2253">
        <v>0</v>
      </c>
      <c r="J2253">
        <v>0</v>
      </c>
      <c r="K2253">
        <v>20</v>
      </c>
      <c r="L2253">
        <v>7</v>
      </c>
      <c r="O2253">
        <v>7</v>
      </c>
      <c r="P2253">
        <v>4</v>
      </c>
      <c r="Q2253">
        <v>2</v>
      </c>
      <c r="R2253">
        <v>45.5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H2253">
        <v>45.5</v>
      </c>
    </row>
    <row r="2254" spans="1:34" x14ac:dyDescent="0.3">
      <c r="A2254" s="4">
        <v>2468</v>
      </c>
      <c r="B2254" s="5">
        <v>2247</v>
      </c>
      <c r="C2254">
        <v>6471</v>
      </c>
      <c r="D2254" t="s">
        <v>14896</v>
      </c>
      <c r="E2254" t="s">
        <v>575</v>
      </c>
      <c r="F2254" t="s">
        <v>243</v>
      </c>
      <c r="G2254" t="s">
        <v>14897</v>
      </c>
      <c r="H2254">
        <v>12.5</v>
      </c>
      <c r="I2254">
        <v>0</v>
      </c>
      <c r="J2254">
        <v>0</v>
      </c>
      <c r="K2254">
        <v>20</v>
      </c>
      <c r="L2254">
        <v>7</v>
      </c>
      <c r="O2254">
        <v>7</v>
      </c>
      <c r="P2254">
        <v>4</v>
      </c>
      <c r="Q2254">
        <v>2</v>
      </c>
      <c r="R2254">
        <v>45.5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H2254">
        <v>45.5</v>
      </c>
    </row>
    <row r="2255" spans="1:34" x14ac:dyDescent="0.3">
      <c r="A2255" s="4">
        <v>2469</v>
      </c>
      <c r="B2255" s="5">
        <v>2248</v>
      </c>
      <c r="C2255">
        <v>14691</v>
      </c>
      <c r="D2255" t="s">
        <v>14898</v>
      </c>
      <c r="E2255" t="s">
        <v>29</v>
      </c>
      <c r="F2255" t="s">
        <v>30</v>
      </c>
      <c r="G2255" t="s">
        <v>14899</v>
      </c>
      <c r="H2255">
        <v>12.5</v>
      </c>
      <c r="I2255">
        <v>0</v>
      </c>
      <c r="J2255">
        <v>0</v>
      </c>
      <c r="K2255">
        <v>20</v>
      </c>
      <c r="L2255">
        <v>7</v>
      </c>
      <c r="O2255">
        <v>7</v>
      </c>
      <c r="P2255">
        <v>4</v>
      </c>
      <c r="Q2255">
        <v>2</v>
      </c>
      <c r="R2255">
        <v>45.5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H2255">
        <v>45.5</v>
      </c>
    </row>
    <row r="2256" spans="1:34" x14ac:dyDescent="0.3">
      <c r="A2256" s="4">
        <v>2470</v>
      </c>
      <c r="B2256" s="5">
        <v>2249</v>
      </c>
      <c r="C2256">
        <v>12104</v>
      </c>
      <c r="D2256" t="s">
        <v>14900</v>
      </c>
      <c r="E2256" t="s">
        <v>173</v>
      </c>
      <c r="F2256" t="s">
        <v>136</v>
      </c>
      <c r="G2256" t="s">
        <v>14901</v>
      </c>
      <c r="H2256">
        <v>12.5</v>
      </c>
      <c r="I2256">
        <v>0</v>
      </c>
      <c r="J2256">
        <v>0</v>
      </c>
      <c r="K2256">
        <v>20</v>
      </c>
      <c r="L2256">
        <v>7</v>
      </c>
      <c r="O2256">
        <v>7</v>
      </c>
      <c r="P2256">
        <v>4</v>
      </c>
      <c r="Q2256">
        <v>2</v>
      </c>
      <c r="R2256">
        <v>45.5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H2256">
        <v>45.5</v>
      </c>
    </row>
    <row r="2257" spans="1:34" x14ac:dyDescent="0.3">
      <c r="A2257" s="4">
        <v>2471</v>
      </c>
      <c r="B2257" s="5">
        <v>2250</v>
      </c>
      <c r="C2257">
        <v>3013</v>
      </c>
      <c r="D2257" t="s">
        <v>14902</v>
      </c>
      <c r="E2257" t="s">
        <v>789</v>
      </c>
      <c r="F2257" t="s">
        <v>652</v>
      </c>
      <c r="G2257" t="s">
        <v>14903</v>
      </c>
      <c r="H2257">
        <v>12.5</v>
      </c>
      <c r="I2257">
        <v>0</v>
      </c>
      <c r="J2257">
        <v>0</v>
      </c>
      <c r="K2257">
        <v>20</v>
      </c>
      <c r="L2257">
        <v>7</v>
      </c>
      <c r="O2257">
        <v>7</v>
      </c>
      <c r="P2257">
        <v>4</v>
      </c>
      <c r="Q2257">
        <v>2</v>
      </c>
      <c r="R2257">
        <v>45.5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H2257">
        <v>45.5</v>
      </c>
    </row>
    <row r="2258" spans="1:34" x14ac:dyDescent="0.3">
      <c r="A2258" s="4">
        <v>2472</v>
      </c>
      <c r="B2258" s="5">
        <v>2251</v>
      </c>
      <c r="C2258">
        <v>5847</v>
      </c>
      <c r="D2258" t="s">
        <v>14904</v>
      </c>
      <c r="E2258" t="s">
        <v>14905</v>
      </c>
      <c r="F2258" t="s">
        <v>167</v>
      </c>
      <c r="G2258" t="s">
        <v>14906</v>
      </c>
      <c r="H2258">
        <v>17.5</v>
      </c>
      <c r="I2258">
        <v>0</v>
      </c>
      <c r="J2258">
        <v>0</v>
      </c>
      <c r="K2258">
        <v>0</v>
      </c>
      <c r="N2258">
        <v>3</v>
      </c>
      <c r="O2258">
        <v>3</v>
      </c>
      <c r="P2258">
        <v>4</v>
      </c>
      <c r="Q2258">
        <v>0</v>
      </c>
      <c r="R2258">
        <v>24.5</v>
      </c>
      <c r="S2258">
        <v>21</v>
      </c>
      <c r="T2258">
        <v>21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21</v>
      </c>
      <c r="AB2258">
        <v>0</v>
      </c>
      <c r="AC2258">
        <v>0</v>
      </c>
      <c r="AH2258">
        <v>45.5</v>
      </c>
    </row>
    <row r="2259" spans="1:34" x14ac:dyDescent="0.3">
      <c r="A2259" s="4">
        <v>2473</v>
      </c>
      <c r="B2259" s="5">
        <v>2252</v>
      </c>
      <c r="C2259">
        <v>9618</v>
      </c>
      <c r="D2259" t="s">
        <v>14907</v>
      </c>
      <c r="E2259" t="s">
        <v>789</v>
      </c>
      <c r="F2259" t="s">
        <v>17</v>
      </c>
      <c r="G2259" t="s">
        <v>14908</v>
      </c>
      <c r="H2259">
        <v>18.48</v>
      </c>
      <c r="I2259">
        <v>0</v>
      </c>
      <c r="J2259">
        <v>0</v>
      </c>
      <c r="K2259">
        <v>0</v>
      </c>
      <c r="L2259">
        <v>7</v>
      </c>
      <c r="N2259">
        <v>3</v>
      </c>
      <c r="O2259">
        <v>10</v>
      </c>
      <c r="P2259">
        <v>4</v>
      </c>
      <c r="Q2259">
        <v>0</v>
      </c>
      <c r="R2259">
        <v>32.479999999999997</v>
      </c>
      <c r="S2259">
        <v>10</v>
      </c>
      <c r="T2259">
        <v>10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10</v>
      </c>
      <c r="AB2259">
        <v>3</v>
      </c>
      <c r="AC2259">
        <v>0</v>
      </c>
      <c r="AH2259">
        <v>45.48</v>
      </c>
    </row>
    <row r="2260" spans="1:34" x14ac:dyDescent="0.3">
      <c r="A2260" s="4">
        <v>2474</v>
      </c>
      <c r="B2260" s="5">
        <v>2253</v>
      </c>
      <c r="C2260">
        <v>14050</v>
      </c>
      <c r="D2260" t="s">
        <v>7246</v>
      </c>
      <c r="E2260" t="s">
        <v>1327</v>
      </c>
      <c r="F2260" t="s">
        <v>20</v>
      </c>
      <c r="G2260" t="s">
        <v>14909</v>
      </c>
      <c r="H2260">
        <v>18.48</v>
      </c>
      <c r="I2260">
        <v>0</v>
      </c>
      <c r="J2260">
        <v>0</v>
      </c>
      <c r="K2260">
        <v>20</v>
      </c>
      <c r="L2260">
        <v>7</v>
      </c>
      <c r="O2260">
        <v>7</v>
      </c>
      <c r="P2260">
        <v>0</v>
      </c>
      <c r="Q2260">
        <v>0</v>
      </c>
      <c r="R2260">
        <v>45.48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H2260">
        <v>45.48</v>
      </c>
    </row>
    <row r="2261" spans="1:34" x14ac:dyDescent="0.3">
      <c r="A2261" s="4">
        <v>2475</v>
      </c>
      <c r="B2261" s="5">
        <v>2254</v>
      </c>
      <c r="C2261">
        <v>14668</v>
      </c>
      <c r="D2261" t="s">
        <v>14910</v>
      </c>
      <c r="E2261" t="s">
        <v>161</v>
      </c>
      <c r="F2261" t="s">
        <v>124</v>
      </c>
      <c r="G2261" t="s">
        <v>14911</v>
      </c>
      <c r="H2261">
        <v>14.45</v>
      </c>
      <c r="I2261">
        <v>0</v>
      </c>
      <c r="J2261">
        <v>0</v>
      </c>
      <c r="K2261">
        <v>20</v>
      </c>
      <c r="L2261">
        <v>7</v>
      </c>
      <c r="O2261">
        <v>7</v>
      </c>
      <c r="P2261">
        <v>4</v>
      </c>
      <c r="Q2261">
        <v>0</v>
      </c>
      <c r="R2261">
        <v>45.45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H2261">
        <v>45.45</v>
      </c>
    </row>
    <row r="2262" spans="1:34" x14ac:dyDescent="0.3">
      <c r="A2262" s="4">
        <v>2476</v>
      </c>
      <c r="B2262" s="5">
        <v>2255</v>
      </c>
      <c r="C2262">
        <v>5097</v>
      </c>
      <c r="D2262" t="s">
        <v>1528</v>
      </c>
      <c r="E2262" t="s">
        <v>149</v>
      </c>
      <c r="F2262" t="s">
        <v>136</v>
      </c>
      <c r="G2262" t="s">
        <v>14912</v>
      </c>
      <c r="H2262">
        <v>22.43</v>
      </c>
      <c r="I2262">
        <v>7</v>
      </c>
      <c r="J2262">
        <v>0</v>
      </c>
      <c r="K2262">
        <v>0</v>
      </c>
      <c r="M2262">
        <v>10</v>
      </c>
      <c r="O2262">
        <v>10</v>
      </c>
      <c r="P2262">
        <v>4</v>
      </c>
      <c r="Q2262">
        <v>2</v>
      </c>
      <c r="R2262">
        <v>45.43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H2262">
        <v>45.43</v>
      </c>
    </row>
    <row r="2263" spans="1:34" x14ac:dyDescent="0.3">
      <c r="A2263" s="4">
        <v>2477</v>
      </c>
      <c r="B2263" s="5">
        <v>2256</v>
      </c>
      <c r="C2263">
        <v>11383</v>
      </c>
      <c r="D2263" t="s">
        <v>1035</v>
      </c>
      <c r="E2263" t="s">
        <v>37</v>
      </c>
      <c r="F2263" t="s">
        <v>20</v>
      </c>
      <c r="G2263" t="s">
        <v>14913</v>
      </c>
      <c r="H2263">
        <v>18.38</v>
      </c>
      <c r="I2263">
        <v>0</v>
      </c>
      <c r="J2263">
        <v>0</v>
      </c>
      <c r="K2263">
        <v>0</v>
      </c>
      <c r="L2263">
        <v>7</v>
      </c>
      <c r="N2263">
        <v>3</v>
      </c>
      <c r="O2263">
        <v>10</v>
      </c>
      <c r="P2263">
        <v>4</v>
      </c>
      <c r="Q2263">
        <v>0</v>
      </c>
      <c r="R2263">
        <v>32.380000000000003</v>
      </c>
      <c r="S2263">
        <v>7</v>
      </c>
      <c r="T2263">
        <v>7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7</v>
      </c>
      <c r="AB2263">
        <v>6</v>
      </c>
      <c r="AC2263">
        <v>0</v>
      </c>
      <c r="AH2263">
        <v>45.38</v>
      </c>
    </row>
    <row r="2264" spans="1:34" x14ac:dyDescent="0.3">
      <c r="A2264" s="4">
        <v>2478</v>
      </c>
      <c r="B2264" s="5">
        <v>2257</v>
      </c>
      <c r="C2264">
        <v>8334</v>
      </c>
      <c r="D2264" t="s">
        <v>14914</v>
      </c>
      <c r="E2264" t="s">
        <v>213</v>
      </c>
      <c r="F2264" t="s">
        <v>343</v>
      </c>
      <c r="G2264" t="s">
        <v>14915</v>
      </c>
      <c r="H2264">
        <v>17.38</v>
      </c>
      <c r="I2264">
        <v>0</v>
      </c>
      <c r="J2264">
        <v>0</v>
      </c>
      <c r="K2264">
        <v>0</v>
      </c>
      <c r="N2264">
        <v>3</v>
      </c>
      <c r="O2264">
        <v>3</v>
      </c>
      <c r="P2264">
        <v>4</v>
      </c>
      <c r="Q2264">
        <v>0</v>
      </c>
      <c r="R2264">
        <v>24.38</v>
      </c>
      <c r="S2264">
        <v>21</v>
      </c>
      <c r="T2264">
        <v>21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21</v>
      </c>
      <c r="AB2264">
        <v>0</v>
      </c>
      <c r="AC2264">
        <v>0</v>
      </c>
      <c r="AH2264">
        <v>45.38</v>
      </c>
    </row>
    <row r="2265" spans="1:34" x14ac:dyDescent="0.3">
      <c r="A2265" s="4">
        <v>2479</v>
      </c>
      <c r="B2265" s="5">
        <v>2258</v>
      </c>
      <c r="C2265">
        <v>15244</v>
      </c>
      <c r="D2265" t="s">
        <v>7037</v>
      </c>
      <c r="E2265" t="s">
        <v>570</v>
      </c>
      <c r="F2265" t="s">
        <v>343</v>
      </c>
      <c r="G2265" t="s">
        <v>14916</v>
      </c>
      <c r="H2265">
        <v>18.3</v>
      </c>
      <c r="I2265">
        <v>0</v>
      </c>
      <c r="J2265">
        <v>0</v>
      </c>
      <c r="K2265">
        <v>20</v>
      </c>
      <c r="N2265">
        <v>3</v>
      </c>
      <c r="O2265">
        <v>3</v>
      </c>
      <c r="P2265">
        <v>4</v>
      </c>
      <c r="Q2265">
        <v>0</v>
      </c>
      <c r="R2265">
        <v>45.3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H2265">
        <v>45.3</v>
      </c>
    </row>
    <row r="2266" spans="1:34" x14ac:dyDescent="0.3">
      <c r="A2266" s="4">
        <v>2480</v>
      </c>
      <c r="B2266" s="5">
        <v>2259</v>
      </c>
      <c r="C2266">
        <v>12820</v>
      </c>
      <c r="D2266" t="s">
        <v>14917</v>
      </c>
      <c r="E2266" t="s">
        <v>54</v>
      </c>
      <c r="F2266" t="s">
        <v>81</v>
      </c>
      <c r="G2266" t="s">
        <v>14918</v>
      </c>
      <c r="H2266">
        <v>18.3</v>
      </c>
      <c r="I2266">
        <v>0</v>
      </c>
      <c r="J2266">
        <v>0</v>
      </c>
      <c r="K2266">
        <v>20</v>
      </c>
      <c r="L2266">
        <v>7</v>
      </c>
      <c r="O2266">
        <v>7</v>
      </c>
      <c r="P2266">
        <v>0</v>
      </c>
      <c r="Q2266">
        <v>0</v>
      </c>
      <c r="R2266">
        <v>45.3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H2266">
        <v>45.3</v>
      </c>
    </row>
    <row r="2267" spans="1:34" x14ac:dyDescent="0.3">
      <c r="A2267" s="4">
        <v>2481</v>
      </c>
      <c r="B2267" s="5">
        <v>2260</v>
      </c>
      <c r="C2267">
        <v>2526</v>
      </c>
      <c r="D2267" t="s">
        <v>14919</v>
      </c>
      <c r="E2267" t="s">
        <v>29</v>
      </c>
      <c r="F2267" t="s">
        <v>466</v>
      </c>
      <c r="G2267" t="s">
        <v>14920</v>
      </c>
      <c r="H2267">
        <v>21.28</v>
      </c>
      <c r="I2267">
        <v>7</v>
      </c>
      <c r="J2267">
        <v>0</v>
      </c>
      <c r="K2267">
        <v>0</v>
      </c>
      <c r="L2267">
        <v>7</v>
      </c>
      <c r="N2267">
        <v>3</v>
      </c>
      <c r="O2267">
        <v>10</v>
      </c>
      <c r="P2267">
        <v>4</v>
      </c>
      <c r="Q2267">
        <v>0</v>
      </c>
      <c r="R2267">
        <v>42.28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3</v>
      </c>
      <c r="AC2267">
        <v>0</v>
      </c>
      <c r="AH2267">
        <v>45.28</v>
      </c>
    </row>
    <row r="2268" spans="1:34" x14ac:dyDescent="0.3">
      <c r="A2268" s="4">
        <v>2482</v>
      </c>
      <c r="B2268" s="5">
        <v>2261</v>
      </c>
      <c r="C2268">
        <v>14128</v>
      </c>
      <c r="D2268" t="s">
        <v>14921</v>
      </c>
      <c r="E2268" t="s">
        <v>14922</v>
      </c>
      <c r="F2268" t="s">
        <v>91</v>
      </c>
      <c r="G2268" t="s">
        <v>14923</v>
      </c>
      <c r="H2268">
        <v>16.25</v>
      </c>
      <c r="I2268">
        <v>0</v>
      </c>
      <c r="J2268">
        <v>0</v>
      </c>
      <c r="K2268">
        <v>20</v>
      </c>
      <c r="M2268">
        <v>5</v>
      </c>
      <c r="O2268">
        <v>5</v>
      </c>
      <c r="P2268">
        <v>4</v>
      </c>
      <c r="Q2268">
        <v>0</v>
      </c>
      <c r="R2268">
        <v>45.25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H2268">
        <v>45.25</v>
      </c>
    </row>
    <row r="2269" spans="1:34" x14ac:dyDescent="0.3">
      <c r="A2269" s="4">
        <v>2483</v>
      </c>
      <c r="B2269" s="5">
        <v>2262</v>
      </c>
      <c r="C2269">
        <v>13792</v>
      </c>
      <c r="D2269" t="s">
        <v>317</v>
      </c>
      <c r="E2269" t="s">
        <v>8103</v>
      </c>
      <c r="F2269" t="s">
        <v>652</v>
      </c>
      <c r="G2269" t="s">
        <v>14924</v>
      </c>
      <c r="H2269">
        <v>16.25</v>
      </c>
      <c r="I2269">
        <v>0</v>
      </c>
      <c r="J2269">
        <v>0</v>
      </c>
      <c r="K2269">
        <v>20</v>
      </c>
      <c r="L2269">
        <v>7</v>
      </c>
      <c r="O2269">
        <v>7</v>
      </c>
      <c r="P2269">
        <v>0</v>
      </c>
      <c r="Q2269">
        <v>2</v>
      </c>
      <c r="R2269">
        <v>45.25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H2269">
        <v>45.25</v>
      </c>
    </row>
    <row r="2270" spans="1:34" x14ac:dyDescent="0.3">
      <c r="A2270" s="4">
        <v>2484</v>
      </c>
      <c r="B2270" s="5">
        <v>2263</v>
      </c>
      <c r="C2270">
        <v>10729</v>
      </c>
      <c r="D2270" t="s">
        <v>1991</v>
      </c>
      <c r="E2270" t="s">
        <v>380</v>
      </c>
      <c r="F2270" t="s">
        <v>375</v>
      </c>
      <c r="G2270" t="s">
        <v>14925</v>
      </c>
      <c r="H2270">
        <v>20.13</v>
      </c>
      <c r="I2270">
        <v>0</v>
      </c>
      <c r="J2270">
        <v>0</v>
      </c>
      <c r="K2270">
        <v>20</v>
      </c>
      <c r="N2270">
        <v>3</v>
      </c>
      <c r="O2270">
        <v>3</v>
      </c>
      <c r="P2270">
        <v>0</v>
      </c>
      <c r="Q2270">
        <v>2</v>
      </c>
      <c r="R2270">
        <v>45.13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H2270">
        <v>45.13</v>
      </c>
    </row>
    <row r="2271" spans="1:34" x14ac:dyDescent="0.3">
      <c r="A2271" s="4">
        <v>2485</v>
      </c>
      <c r="B2271" s="5">
        <v>2264</v>
      </c>
      <c r="C2271">
        <v>14285</v>
      </c>
      <c r="D2271" t="s">
        <v>13181</v>
      </c>
      <c r="E2271" t="s">
        <v>188</v>
      </c>
      <c r="F2271" t="s">
        <v>117</v>
      </c>
      <c r="G2271" t="s">
        <v>14926</v>
      </c>
      <c r="H2271">
        <v>20.100000000000001</v>
      </c>
      <c r="I2271">
        <v>0</v>
      </c>
      <c r="J2271">
        <v>0</v>
      </c>
      <c r="K2271">
        <v>20</v>
      </c>
      <c r="N2271">
        <v>3</v>
      </c>
      <c r="O2271">
        <v>3</v>
      </c>
      <c r="P2271">
        <v>0</v>
      </c>
      <c r="Q2271">
        <v>2</v>
      </c>
      <c r="R2271">
        <v>45.1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H2271">
        <v>45.1</v>
      </c>
    </row>
    <row r="2272" spans="1:34" x14ac:dyDescent="0.3">
      <c r="A2272" s="4">
        <v>2486</v>
      </c>
      <c r="B2272" s="5">
        <v>2265</v>
      </c>
      <c r="C2272">
        <v>4633</v>
      </c>
      <c r="D2272" t="s">
        <v>14927</v>
      </c>
      <c r="E2272" t="s">
        <v>26</v>
      </c>
      <c r="F2272" t="s">
        <v>17</v>
      </c>
      <c r="G2272" t="s">
        <v>14928</v>
      </c>
      <c r="H2272">
        <v>19.03</v>
      </c>
      <c r="I2272">
        <v>0</v>
      </c>
      <c r="J2272">
        <v>0</v>
      </c>
      <c r="K2272">
        <v>0</v>
      </c>
      <c r="L2272">
        <v>7</v>
      </c>
      <c r="N2272">
        <v>3</v>
      </c>
      <c r="O2272">
        <v>10</v>
      </c>
      <c r="P2272">
        <v>4</v>
      </c>
      <c r="Q2272">
        <v>0</v>
      </c>
      <c r="R2272">
        <v>33.03</v>
      </c>
      <c r="S2272">
        <v>6</v>
      </c>
      <c r="T2272">
        <v>6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6</v>
      </c>
      <c r="AB2272">
        <v>6</v>
      </c>
      <c r="AC2272">
        <v>0</v>
      </c>
      <c r="AH2272">
        <v>45.03</v>
      </c>
    </row>
    <row r="2273" spans="1:34" x14ac:dyDescent="0.3">
      <c r="A2273" s="4">
        <v>2487</v>
      </c>
      <c r="B2273" s="5">
        <v>2266</v>
      </c>
      <c r="C2273">
        <v>4172</v>
      </c>
      <c r="D2273" t="s">
        <v>7118</v>
      </c>
      <c r="E2273" t="s">
        <v>1075</v>
      </c>
      <c r="F2273" t="s">
        <v>38</v>
      </c>
      <c r="G2273" t="s">
        <v>14929</v>
      </c>
      <c r="H2273">
        <v>15.98</v>
      </c>
      <c r="I2273">
        <v>0</v>
      </c>
      <c r="J2273">
        <v>0</v>
      </c>
      <c r="K2273">
        <v>20</v>
      </c>
      <c r="L2273">
        <v>7</v>
      </c>
      <c r="O2273">
        <v>7</v>
      </c>
      <c r="P2273">
        <v>0</v>
      </c>
      <c r="Q2273">
        <v>2</v>
      </c>
      <c r="R2273">
        <v>44.98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H2273">
        <v>44.98</v>
      </c>
    </row>
    <row r="2274" spans="1:34" x14ac:dyDescent="0.3">
      <c r="A2274" s="4">
        <v>2488</v>
      </c>
      <c r="B2274" s="5">
        <v>2267</v>
      </c>
      <c r="C2274">
        <v>3203</v>
      </c>
      <c r="D2274" t="s">
        <v>6914</v>
      </c>
      <c r="E2274" t="s">
        <v>406</v>
      </c>
      <c r="F2274" t="s">
        <v>62</v>
      </c>
      <c r="G2274" t="s">
        <v>14930</v>
      </c>
      <c r="H2274">
        <v>19.98</v>
      </c>
      <c r="I2274">
        <v>0</v>
      </c>
      <c r="J2274">
        <v>0</v>
      </c>
      <c r="K2274">
        <v>0</v>
      </c>
      <c r="L2274">
        <v>7</v>
      </c>
      <c r="N2274">
        <v>3</v>
      </c>
      <c r="O2274">
        <v>10</v>
      </c>
      <c r="P2274">
        <v>4</v>
      </c>
      <c r="Q2274">
        <v>0</v>
      </c>
      <c r="R2274">
        <v>33.979999999999997</v>
      </c>
      <c r="S2274">
        <v>11</v>
      </c>
      <c r="T2274">
        <v>11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11</v>
      </c>
      <c r="AB2274">
        <v>0</v>
      </c>
      <c r="AC2274">
        <v>0</v>
      </c>
      <c r="AH2274">
        <v>44.98</v>
      </c>
    </row>
    <row r="2275" spans="1:34" x14ac:dyDescent="0.3">
      <c r="A2275" s="4">
        <v>2489</v>
      </c>
      <c r="B2275" s="5">
        <v>2268</v>
      </c>
      <c r="C2275">
        <v>2048</v>
      </c>
      <c r="D2275" t="s">
        <v>14931</v>
      </c>
      <c r="E2275" t="s">
        <v>307</v>
      </c>
      <c r="F2275" t="s">
        <v>243</v>
      </c>
      <c r="G2275" t="s">
        <v>32005</v>
      </c>
      <c r="H2275">
        <v>17.95</v>
      </c>
      <c r="I2275">
        <v>0</v>
      </c>
      <c r="J2275">
        <v>0</v>
      </c>
      <c r="K2275">
        <v>20</v>
      </c>
      <c r="L2275">
        <v>7</v>
      </c>
      <c r="O2275">
        <v>7</v>
      </c>
      <c r="P2275">
        <v>0</v>
      </c>
      <c r="Q2275">
        <v>0</v>
      </c>
      <c r="R2275">
        <v>44.95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H2275">
        <v>44.95</v>
      </c>
    </row>
    <row r="2276" spans="1:34" x14ac:dyDescent="0.3">
      <c r="A2276" s="4">
        <v>2490</v>
      </c>
      <c r="B2276" s="5">
        <v>2269</v>
      </c>
      <c r="C2276">
        <v>14854</v>
      </c>
      <c r="D2276" t="s">
        <v>7452</v>
      </c>
      <c r="E2276" t="s">
        <v>29</v>
      </c>
      <c r="F2276" t="s">
        <v>339</v>
      </c>
      <c r="G2276" t="s">
        <v>14932</v>
      </c>
      <c r="H2276">
        <v>17.93</v>
      </c>
      <c r="I2276">
        <v>0</v>
      </c>
      <c r="J2276">
        <v>0</v>
      </c>
      <c r="K2276">
        <v>0</v>
      </c>
      <c r="L2276">
        <v>7</v>
      </c>
      <c r="O2276">
        <v>7</v>
      </c>
      <c r="P2276">
        <v>4</v>
      </c>
      <c r="Q2276">
        <v>0</v>
      </c>
      <c r="R2276">
        <v>28.93</v>
      </c>
      <c r="S2276">
        <v>13</v>
      </c>
      <c r="T2276">
        <v>13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13</v>
      </c>
      <c r="AB2276">
        <v>3</v>
      </c>
      <c r="AC2276">
        <v>0</v>
      </c>
      <c r="AH2276">
        <v>44.93</v>
      </c>
    </row>
    <row r="2277" spans="1:34" x14ac:dyDescent="0.3">
      <c r="A2277" s="4">
        <v>2491</v>
      </c>
      <c r="B2277" s="5">
        <v>2270</v>
      </c>
      <c r="C2277">
        <v>9793</v>
      </c>
      <c r="D2277" t="s">
        <v>14933</v>
      </c>
      <c r="E2277" t="s">
        <v>14934</v>
      </c>
      <c r="F2277" t="s">
        <v>20</v>
      </c>
      <c r="G2277" t="s">
        <v>14935</v>
      </c>
      <c r="H2277">
        <v>17.899999999999999</v>
      </c>
      <c r="I2277">
        <v>0</v>
      </c>
      <c r="J2277">
        <v>0</v>
      </c>
      <c r="K2277">
        <v>0</v>
      </c>
      <c r="M2277">
        <v>5</v>
      </c>
      <c r="N2277">
        <v>3</v>
      </c>
      <c r="O2277">
        <v>8</v>
      </c>
      <c r="P2277">
        <v>4</v>
      </c>
      <c r="Q2277">
        <v>2</v>
      </c>
      <c r="R2277">
        <v>31.9</v>
      </c>
      <c r="S2277">
        <v>13</v>
      </c>
      <c r="T2277">
        <v>13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13</v>
      </c>
      <c r="AB2277">
        <v>0</v>
      </c>
      <c r="AC2277">
        <v>0</v>
      </c>
      <c r="AH2277">
        <v>44.9</v>
      </c>
    </row>
    <row r="2278" spans="1:34" x14ac:dyDescent="0.3">
      <c r="A2278" s="4">
        <v>2492</v>
      </c>
      <c r="B2278" s="5">
        <v>2271</v>
      </c>
      <c r="C2278">
        <v>14800</v>
      </c>
      <c r="D2278" t="s">
        <v>14936</v>
      </c>
      <c r="E2278" t="s">
        <v>188</v>
      </c>
      <c r="F2278" t="s">
        <v>343</v>
      </c>
      <c r="G2278" t="s">
        <v>14937</v>
      </c>
      <c r="H2278">
        <v>17.850000000000001</v>
      </c>
      <c r="I2278">
        <v>0</v>
      </c>
      <c r="J2278">
        <v>0</v>
      </c>
      <c r="K2278">
        <v>20</v>
      </c>
      <c r="N2278">
        <v>3</v>
      </c>
      <c r="O2278">
        <v>3</v>
      </c>
      <c r="P2278">
        <v>4</v>
      </c>
      <c r="Q2278">
        <v>0</v>
      </c>
      <c r="R2278">
        <v>44.85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H2278">
        <v>44.85</v>
      </c>
    </row>
    <row r="2279" spans="1:34" x14ac:dyDescent="0.3">
      <c r="A2279" s="4">
        <v>2493</v>
      </c>
      <c r="B2279" s="5">
        <v>2272</v>
      </c>
      <c r="C2279">
        <v>549</v>
      </c>
      <c r="D2279" t="s">
        <v>14938</v>
      </c>
      <c r="E2279" t="s">
        <v>20</v>
      </c>
      <c r="F2279" t="s">
        <v>9291</v>
      </c>
      <c r="G2279" t="s">
        <v>14939</v>
      </c>
      <c r="H2279">
        <v>17.850000000000001</v>
      </c>
      <c r="I2279">
        <v>0</v>
      </c>
      <c r="J2279">
        <v>0</v>
      </c>
      <c r="K2279">
        <v>20</v>
      </c>
      <c r="N2279">
        <v>3</v>
      </c>
      <c r="O2279">
        <v>3</v>
      </c>
      <c r="P2279">
        <v>4</v>
      </c>
      <c r="Q2279">
        <v>0</v>
      </c>
      <c r="R2279">
        <v>44.85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H2279">
        <v>44.85</v>
      </c>
    </row>
    <row r="2280" spans="1:34" x14ac:dyDescent="0.3">
      <c r="A2280" s="4">
        <v>2494</v>
      </c>
      <c r="B2280" s="5">
        <v>2273</v>
      </c>
      <c r="C2280">
        <v>10873</v>
      </c>
      <c r="D2280" t="s">
        <v>14940</v>
      </c>
      <c r="E2280" t="s">
        <v>1319</v>
      </c>
      <c r="F2280" t="s">
        <v>20</v>
      </c>
      <c r="G2280" t="s">
        <v>14941</v>
      </c>
      <c r="H2280">
        <v>18.829999999999998</v>
      </c>
      <c r="I2280">
        <v>0</v>
      </c>
      <c r="J2280">
        <v>0</v>
      </c>
      <c r="K2280">
        <v>0</v>
      </c>
      <c r="L2280">
        <v>7</v>
      </c>
      <c r="O2280">
        <v>7</v>
      </c>
      <c r="P2280">
        <v>4</v>
      </c>
      <c r="Q2280">
        <v>2</v>
      </c>
      <c r="R2280">
        <v>31.83</v>
      </c>
      <c r="S2280">
        <v>10</v>
      </c>
      <c r="T2280">
        <v>10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10</v>
      </c>
      <c r="AB2280">
        <v>3</v>
      </c>
      <c r="AC2280">
        <v>0</v>
      </c>
      <c r="AH2280">
        <v>44.83</v>
      </c>
    </row>
    <row r="2281" spans="1:34" x14ac:dyDescent="0.3">
      <c r="A2281" s="4">
        <v>2495</v>
      </c>
      <c r="B2281" s="5">
        <v>2274</v>
      </c>
      <c r="C2281">
        <v>5464</v>
      </c>
      <c r="D2281" t="s">
        <v>14942</v>
      </c>
      <c r="E2281" t="s">
        <v>132</v>
      </c>
      <c r="F2281" t="s">
        <v>652</v>
      </c>
      <c r="G2281" t="s">
        <v>14943</v>
      </c>
      <c r="H2281">
        <v>17.829999999999998</v>
      </c>
      <c r="I2281">
        <v>0</v>
      </c>
      <c r="J2281">
        <v>0</v>
      </c>
      <c r="K2281">
        <v>20</v>
      </c>
      <c r="N2281">
        <v>3</v>
      </c>
      <c r="O2281">
        <v>3</v>
      </c>
      <c r="P2281">
        <v>4</v>
      </c>
      <c r="Q2281">
        <v>0</v>
      </c>
      <c r="R2281">
        <v>44.83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 t="s">
        <v>130</v>
      </c>
      <c r="AH2281">
        <v>44.83</v>
      </c>
    </row>
    <row r="2282" spans="1:34" x14ac:dyDescent="0.3">
      <c r="A2282" s="4">
        <v>2496</v>
      </c>
      <c r="B2282" s="5">
        <v>2275</v>
      </c>
      <c r="C2282">
        <v>15100</v>
      </c>
      <c r="D2282" t="s">
        <v>261</v>
      </c>
      <c r="E2282" t="s">
        <v>439</v>
      </c>
      <c r="F2282" t="s">
        <v>343</v>
      </c>
      <c r="G2282" t="s">
        <v>32056</v>
      </c>
      <c r="H2282">
        <v>17.829999999999998</v>
      </c>
      <c r="I2282">
        <v>0</v>
      </c>
      <c r="J2282">
        <v>0</v>
      </c>
      <c r="K2282">
        <v>20</v>
      </c>
      <c r="L2282">
        <v>7</v>
      </c>
      <c r="O2282">
        <v>7</v>
      </c>
      <c r="P2282">
        <v>0</v>
      </c>
      <c r="Q2282">
        <v>0</v>
      </c>
      <c r="R2282">
        <v>44.83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H2282">
        <v>44.83</v>
      </c>
    </row>
    <row r="2283" spans="1:34" x14ac:dyDescent="0.3">
      <c r="A2283" s="4">
        <v>2497</v>
      </c>
      <c r="B2283" s="5">
        <v>2276</v>
      </c>
      <c r="C2283">
        <v>10610</v>
      </c>
      <c r="D2283" t="s">
        <v>14944</v>
      </c>
      <c r="E2283" t="s">
        <v>17</v>
      </c>
      <c r="F2283" t="s">
        <v>81</v>
      </c>
      <c r="G2283" t="s">
        <v>14945</v>
      </c>
      <c r="H2283">
        <v>16.78</v>
      </c>
      <c r="I2283">
        <v>0</v>
      </c>
      <c r="J2283">
        <v>0</v>
      </c>
      <c r="K2283">
        <v>0</v>
      </c>
      <c r="N2283">
        <v>3</v>
      </c>
      <c r="O2283">
        <v>3</v>
      </c>
      <c r="P2283">
        <v>4</v>
      </c>
      <c r="Q2283">
        <v>0</v>
      </c>
      <c r="R2283">
        <v>23.78</v>
      </c>
      <c r="S2283">
        <v>15</v>
      </c>
      <c r="T2283">
        <v>15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15</v>
      </c>
      <c r="AB2283">
        <v>6</v>
      </c>
      <c r="AC2283">
        <v>0</v>
      </c>
      <c r="AH2283">
        <v>44.78</v>
      </c>
    </row>
    <row r="2284" spans="1:34" x14ac:dyDescent="0.3">
      <c r="A2284" s="4">
        <v>2498</v>
      </c>
      <c r="B2284" s="5">
        <v>2277</v>
      </c>
      <c r="C2284">
        <v>14480</v>
      </c>
      <c r="D2284" t="s">
        <v>54</v>
      </c>
      <c r="E2284" t="s">
        <v>3724</v>
      </c>
      <c r="F2284" t="s">
        <v>20</v>
      </c>
      <c r="G2284" t="s">
        <v>14946</v>
      </c>
      <c r="H2284">
        <v>18.78</v>
      </c>
      <c r="I2284">
        <v>0</v>
      </c>
      <c r="J2284">
        <v>0</v>
      </c>
      <c r="K2284">
        <v>0</v>
      </c>
      <c r="M2284">
        <v>5</v>
      </c>
      <c r="N2284">
        <v>3</v>
      </c>
      <c r="O2284">
        <v>8</v>
      </c>
      <c r="P2284">
        <v>0</v>
      </c>
      <c r="Q2284">
        <v>0</v>
      </c>
      <c r="R2284">
        <v>26.78</v>
      </c>
      <c r="S2284">
        <v>15</v>
      </c>
      <c r="T2284">
        <v>15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15</v>
      </c>
      <c r="AB2284">
        <v>3</v>
      </c>
      <c r="AC2284">
        <v>0</v>
      </c>
      <c r="AH2284">
        <v>44.78</v>
      </c>
    </row>
    <row r="2285" spans="1:34" x14ac:dyDescent="0.3">
      <c r="A2285" s="4">
        <v>2499</v>
      </c>
      <c r="B2285" s="5">
        <v>2278</v>
      </c>
      <c r="C2285">
        <v>14045</v>
      </c>
      <c r="D2285" t="s">
        <v>14947</v>
      </c>
      <c r="E2285" t="s">
        <v>342</v>
      </c>
      <c r="F2285" t="s">
        <v>38</v>
      </c>
      <c r="G2285" t="s">
        <v>14948</v>
      </c>
      <c r="H2285">
        <v>20.78</v>
      </c>
      <c r="I2285">
        <v>0</v>
      </c>
      <c r="J2285">
        <v>0</v>
      </c>
      <c r="K2285">
        <v>20</v>
      </c>
      <c r="O2285">
        <v>0</v>
      </c>
      <c r="P2285">
        <v>4</v>
      </c>
      <c r="Q2285">
        <v>0</v>
      </c>
      <c r="R2285">
        <v>44.78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H2285">
        <v>44.78</v>
      </c>
    </row>
    <row r="2286" spans="1:34" x14ac:dyDescent="0.3">
      <c r="A2286" s="4">
        <v>2500</v>
      </c>
      <c r="B2286" s="5">
        <v>2279</v>
      </c>
      <c r="C2286">
        <v>15497</v>
      </c>
      <c r="D2286" t="s">
        <v>14949</v>
      </c>
      <c r="E2286" t="s">
        <v>37</v>
      </c>
      <c r="F2286" t="s">
        <v>30</v>
      </c>
      <c r="G2286" t="s">
        <v>14950</v>
      </c>
      <c r="H2286">
        <v>17.75</v>
      </c>
      <c r="I2286">
        <v>0</v>
      </c>
      <c r="J2286">
        <v>0</v>
      </c>
      <c r="K2286">
        <v>20</v>
      </c>
      <c r="N2286">
        <v>3</v>
      </c>
      <c r="O2286">
        <v>3</v>
      </c>
      <c r="P2286">
        <v>4</v>
      </c>
      <c r="Q2286">
        <v>0</v>
      </c>
      <c r="R2286">
        <v>44.75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H2286">
        <v>44.75</v>
      </c>
    </row>
    <row r="2287" spans="1:34" x14ac:dyDescent="0.3">
      <c r="A2287" s="4">
        <v>2501</v>
      </c>
      <c r="B2287" s="5">
        <v>2280</v>
      </c>
      <c r="C2287">
        <v>776</v>
      </c>
      <c r="D2287" t="s">
        <v>4308</v>
      </c>
      <c r="E2287" t="s">
        <v>213</v>
      </c>
      <c r="F2287" t="s">
        <v>570</v>
      </c>
      <c r="G2287" t="s">
        <v>14951</v>
      </c>
      <c r="H2287">
        <v>16.7</v>
      </c>
      <c r="I2287">
        <v>0</v>
      </c>
      <c r="J2287">
        <v>0</v>
      </c>
      <c r="K2287">
        <v>0</v>
      </c>
      <c r="L2287">
        <v>7</v>
      </c>
      <c r="N2287">
        <v>3</v>
      </c>
      <c r="O2287">
        <v>10</v>
      </c>
      <c r="P2287">
        <v>4</v>
      </c>
      <c r="Q2287">
        <v>2</v>
      </c>
      <c r="R2287">
        <v>32.700000000000003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12</v>
      </c>
      <c r="AC2287">
        <v>0</v>
      </c>
      <c r="AH2287">
        <v>44.7</v>
      </c>
    </row>
    <row r="2288" spans="1:34" x14ac:dyDescent="0.3">
      <c r="A2288" s="4">
        <v>2502</v>
      </c>
      <c r="B2288" s="5">
        <v>2281</v>
      </c>
      <c r="C2288">
        <v>192</v>
      </c>
      <c r="D2288" t="s">
        <v>14952</v>
      </c>
      <c r="E2288" t="s">
        <v>4680</v>
      </c>
      <c r="F2288" t="s">
        <v>2855</v>
      </c>
      <c r="G2288" t="s">
        <v>14953</v>
      </c>
      <c r="H2288">
        <v>17.649999999999999</v>
      </c>
      <c r="I2288">
        <v>0</v>
      </c>
      <c r="J2288">
        <v>0</v>
      </c>
      <c r="K2288">
        <v>20</v>
      </c>
      <c r="N2288">
        <v>3</v>
      </c>
      <c r="O2288">
        <v>3</v>
      </c>
      <c r="P2288">
        <v>4</v>
      </c>
      <c r="Q2288">
        <v>0</v>
      </c>
      <c r="R2288">
        <v>44.65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H2288">
        <v>44.65</v>
      </c>
    </row>
    <row r="2289" spans="1:34" x14ac:dyDescent="0.3">
      <c r="A2289" s="4">
        <v>2503</v>
      </c>
      <c r="B2289" s="5">
        <v>2282</v>
      </c>
      <c r="C2289">
        <v>6837</v>
      </c>
      <c r="D2289" t="s">
        <v>14954</v>
      </c>
      <c r="E2289" t="s">
        <v>26</v>
      </c>
      <c r="F2289" t="s">
        <v>81</v>
      </c>
      <c r="G2289" t="s">
        <v>14955</v>
      </c>
      <c r="H2289">
        <v>16.649999999999999</v>
      </c>
      <c r="I2289">
        <v>0</v>
      </c>
      <c r="J2289">
        <v>0</v>
      </c>
      <c r="K2289">
        <v>20</v>
      </c>
      <c r="N2289">
        <v>3</v>
      </c>
      <c r="O2289">
        <v>3</v>
      </c>
      <c r="P2289">
        <v>4</v>
      </c>
      <c r="Q2289">
        <v>0</v>
      </c>
      <c r="R2289">
        <v>43.65</v>
      </c>
      <c r="S2289">
        <v>1</v>
      </c>
      <c r="T2289">
        <v>1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1</v>
      </c>
      <c r="AB2289">
        <v>0</v>
      </c>
      <c r="AC2289">
        <v>0</v>
      </c>
      <c r="AE2289" t="s">
        <v>130</v>
      </c>
      <c r="AH2289">
        <v>44.65</v>
      </c>
    </row>
    <row r="2290" spans="1:34" x14ac:dyDescent="0.3">
      <c r="A2290" s="4">
        <v>2504</v>
      </c>
      <c r="B2290" s="5">
        <v>2283</v>
      </c>
      <c r="C2290">
        <v>13600</v>
      </c>
      <c r="D2290" t="s">
        <v>14956</v>
      </c>
      <c r="E2290" t="s">
        <v>170</v>
      </c>
      <c r="F2290" t="s">
        <v>1238</v>
      </c>
      <c r="G2290" t="s">
        <v>14957</v>
      </c>
      <c r="H2290">
        <v>17.63</v>
      </c>
      <c r="I2290">
        <v>0</v>
      </c>
      <c r="J2290">
        <v>0</v>
      </c>
      <c r="K2290">
        <v>20</v>
      </c>
      <c r="N2290">
        <v>3</v>
      </c>
      <c r="O2290">
        <v>3</v>
      </c>
      <c r="P2290">
        <v>4</v>
      </c>
      <c r="Q2290">
        <v>0</v>
      </c>
      <c r="R2290">
        <v>44.63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H2290">
        <v>44.63</v>
      </c>
    </row>
    <row r="2291" spans="1:34" x14ac:dyDescent="0.3">
      <c r="A2291" s="4">
        <v>2505</v>
      </c>
      <c r="B2291" s="5">
        <v>2284</v>
      </c>
      <c r="C2291">
        <v>15456</v>
      </c>
      <c r="D2291" t="s">
        <v>3853</v>
      </c>
      <c r="E2291" t="s">
        <v>355</v>
      </c>
      <c r="F2291" t="s">
        <v>38</v>
      </c>
      <c r="G2291" t="s">
        <v>14958</v>
      </c>
      <c r="H2291">
        <v>15.53</v>
      </c>
      <c r="I2291">
        <v>0</v>
      </c>
      <c r="J2291">
        <v>0</v>
      </c>
      <c r="K2291">
        <v>20</v>
      </c>
      <c r="N2291">
        <v>3</v>
      </c>
      <c r="O2291">
        <v>3</v>
      </c>
      <c r="P2291">
        <v>4</v>
      </c>
      <c r="Q2291">
        <v>2</v>
      </c>
      <c r="R2291">
        <v>44.53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H2291">
        <v>44.53</v>
      </c>
    </row>
    <row r="2292" spans="1:34" x14ac:dyDescent="0.3">
      <c r="A2292" s="4">
        <v>2506</v>
      </c>
      <c r="B2292" s="5">
        <v>2285</v>
      </c>
      <c r="C2292">
        <v>14212</v>
      </c>
      <c r="D2292" t="s">
        <v>14959</v>
      </c>
      <c r="E2292" t="s">
        <v>789</v>
      </c>
      <c r="F2292" t="s">
        <v>230</v>
      </c>
      <c r="G2292" t="s">
        <v>14960</v>
      </c>
      <c r="H2292">
        <v>20.5</v>
      </c>
      <c r="I2292">
        <v>0</v>
      </c>
      <c r="J2292">
        <v>0</v>
      </c>
      <c r="K2292">
        <v>0</v>
      </c>
      <c r="L2292">
        <v>14</v>
      </c>
      <c r="O2292">
        <v>14</v>
      </c>
      <c r="P2292">
        <v>4</v>
      </c>
      <c r="Q2292">
        <v>0</v>
      </c>
      <c r="R2292">
        <v>38.5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6</v>
      </c>
      <c r="AC2292">
        <v>0</v>
      </c>
      <c r="AH2292">
        <v>44.5</v>
      </c>
    </row>
    <row r="2293" spans="1:34" x14ac:dyDescent="0.3">
      <c r="A2293" s="4">
        <v>2507</v>
      </c>
      <c r="B2293" s="5">
        <v>2286</v>
      </c>
      <c r="C2293">
        <v>12074</v>
      </c>
      <c r="D2293" t="s">
        <v>6824</v>
      </c>
      <c r="E2293" t="s">
        <v>33</v>
      </c>
      <c r="F2293" t="s">
        <v>79</v>
      </c>
      <c r="G2293" t="s">
        <v>14961</v>
      </c>
      <c r="H2293">
        <v>12.5</v>
      </c>
      <c r="I2293">
        <v>0</v>
      </c>
      <c r="J2293">
        <v>0</v>
      </c>
      <c r="K2293">
        <v>20</v>
      </c>
      <c r="L2293">
        <v>7</v>
      </c>
      <c r="N2293">
        <v>3</v>
      </c>
      <c r="O2293">
        <v>10</v>
      </c>
      <c r="P2293">
        <v>0</v>
      </c>
      <c r="Q2293">
        <v>2</v>
      </c>
      <c r="R2293">
        <v>44.5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H2293">
        <v>44.5</v>
      </c>
    </row>
    <row r="2294" spans="1:34" x14ac:dyDescent="0.3">
      <c r="A2294" s="4">
        <v>2508</v>
      </c>
      <c r="B2294" s="5">
        <v>2287</v>
      </c>
      <c r="C2294">
        <v>3571</v>
      </c>
      <c r="D2294" t="s">
        <v>6757</v>
      </c>
      <c r="E2294" t="s">
        <v>188</v>
      </c>
      <c r="F2294" t="s">
        <v>214</v>
      </c>
      <c r="G2294" t="s">
        <v>14962</v>
      </c>
      <c r="H2294">
        <v>12.5</v>
      </c>
      <c r="I2294">
        <v>0</v>
      </c>
      <c r="J2294">
        <v>0</v>
      </c>
      <c r="K2294">
        <v>20</v>
      </c>
      <c r="L2294">
        <v>7</v>
      </c>
      <c r="O2294">
        <v>7</v>
      </c>
      <c r="P2294">
        <v>4</v>
      </c>
      <c r="Q2294">
        <v>0</v>
      </c>
      <c r="R2294">
        <v>43.5</v>
      </c>
      <c r="S2294">
        <v>1</v>
      </c>
      <c r="T2294">
        <v>1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1</v>
      </c>
      <c r="AB2294">
        <v>0</v>
      </c>
      <c r="AC2294">
        <v>0</v>
      </c>
      <c r="AH2294">
        <v>44.5</v>
      </c>
    </row>
    <row r="2295" spans="1:34" x14ac:dyDescent="0.3">
      <c r="A2295" s="4">
        <v>2509</v>
      </c>
      <c r="B2295" s="5">
        <v>2288</v>
      </c>
      <c r="C2295">
        <v>983</v>
      </c>
      <c r="D2295" t="s">
        <v>14963</v>
      </c>
      <c r="E2295" t="s">
        <v>166</v>
      </c>
      <c r="F2295" t="s">
        <v>55</v>
      </c>
      <c r="G2295" t="s">
        <v>14964</v>
      </c>
      <c r="H2295">
        <v>20.5</v>
      </c>
      <c r="I2295">
        <v>0</v>
      </c>
      <c r="J2295">
        <v>0</v>
      </c>
      <c r="K2295">
        <v>0</v>
      </c>
      <c r="L2295">
        <v>7</v>
      </c>
      <c r="O2295">
        <v>7</v>
      </c>
      <c r="P2295">
        <v>4</v>
      </c>
      <c r="Q2295">
        <v>2</v>
      </c>
      <c r="R2295">
        <v>33.5</v>
      </c>
      <c r="S2295">
        <v>11</v>
      </c>
      <c r="T2295">
        <v>11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11</v>
      </c>
      <c r="AB2295">
        <v>0</v>
      </c>
      <c r="AC2295">
        <v>0</v>
      </c>
      <c r="AH2295">
        <v>44.5</v>
      </c>
    </row>
    <row r="2296" spans="1:34" x14ac:dyDescent="0.3">
      <c r="A2296" s="4">
        <v>2510</v>
      </c>
      <c r="B2296" s="5">
        <v>2289</v>
      </c>
      <c r="C2296">
        <v>12981</v>
      </c>
      <c r="D2296" t="s">
        <v>11387</v>
      </c>
      <c r="E2296" t="s">
        <v>6507</v>
      </c>
      <c r="F2296" t="s">
        <v>17</v>
      </c>
      <c r="G2296" t="s">
        <v>14965</v>
      </c>
      <c r="H2296">
        <v>18.48</v>
      </c>
      <c r="I2296">
        <v>0</v>
      </c>
      <c r="J2296">
        <v>0</v>
      </c>
      <c r="K2296">
        <v>0</v>
      </c>
      <c r="L2296">
        <v>14</v>
      </c>
      <c r="O2296">
        <v>14</v>
      </c>
      <c r="P2296">
        <v>4</v>
      </c>
      <c r="Q2296">
        <v>2</v>
      </c>
      <c r="R2296">
        <v>38.479999999999997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6</v>
      </c>
      <c r="AC2296">
        <v>0</v>
      </c>
      <c r="AH2296">
        <v>44.48</v>
      </c>
    </row>
    <row r="2297" spans="1:34" x14ac:dyDescent="0.3">
      <c r="A2297" s="4">
        <v>2511</v>
      </c>
      <c r="B2297" s="5">
        <v>2290</v>
      </c>
      <c r="C2297">
        <v>4621</v>
      </c>
      <c r="D2297" t="s">
        <v>498</v>
      </c>
      <c r="E2297" t="s">
        <v>166</v>
      </c>
      <c r="F2297" t="s">
        <v>892</v>
      </c>
      <c r="G2297" t="s">
        <v>14966</v>
      </c>
      <c r="H2297">
        <v>17.48</v>
      </c>
      <c r="I2297">
        <v>0</v>
      </c>
      <c r="J2297">
        <v>0</v>
      </c>
      <c r="K2297">
        <v>0</v>
      </c>
      <c r="L2297">
        <v>7</v>
      </c>
      <c r="O2297">
        <v>7</v>
      </c>
      <c r="P2297">
        <v>4</v>
      </c>
      <c r="Q2297">
        <v>2</v>
      </c>
      <c r="R2297">
        <v>30.48</v>
      </c>
      <c r="S2297">
        <v>14</v>
      </c>
      <c r="T2297">
        <v>14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14</v>
      </c>
      <c r="AB2297">
        <v>0</v>
      </c>
      <c r="AC2297">
        <v>0</v>
      </c>
      <c r="AH2297">
        <v>44.48</v>
      </c>
    </row>
    <row r="2298" spans="1:34" x14ac:dyDescent="0.3">
      <c r="A2298" s="4">
        <v>2512</v>
      </c>
      <c r="B2298" s="5">
        <v>2291</v>
      </c>
      <c r="C2298">
        <v>12637</v>
      </c>
      <c r="D2298" t="s">
        <v>14967</v>
      </c>
      <c r="E2298" t="s">
        <v>539</v>
      </c>
      <c r="F2298" t="s">
        <v>3968</v>
      </c>
      <c r="G2298" t="s">
        <v>14968</v>
      </c>
      <c r="H2298">
        <v>17.43</v>
      </c>
      <c r="I2298">
        <v>0</v>
      </c>
      <c r="J2298">
        <v>0</v>
      </c>
      <c r="K2298">
        <v>0</v>
      </c>
      <c r="N2298">
        <v>3</v>
      </c>
      <c r="O2298">
        <v>3</v>
      </c>
      <c r="P2298">
        <v>4</v>
      </c>
      <c r="Q2298">
        <v>2</v>
      </c>
      <c r="R2298">
        <v>26.43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18</v>
      </c>
      <c r="AC2298">
        <v>0</v>
      </c>
      <c r="AD2298" t="s">
        <v>130</v>
      </c>
      <c r="AH2298">
        <v>44.43</v>
      </c>
    </row>
    <row r="2299" spans="1:34" x14ac:dyDescent="0.3">
      <c r="A2299" s="4">
        <v>2513</v>
      </c>
      <c r="B2299" s="5">
        <v>2292</v>
      </c>
      <c r="C2299">
        <v>12406</v>
      </c>
      <c r="D2299" t="s">
        <v>14969</v>
      </c>
      <c r="E2299" t="s">
        <v>14970</v>
      </c>
      <c r="F2299" t="s">
        <v>190</v>
      </c>
      <c r="G2299" t="s">
        <v>14971</v>
      </c>
      <c r="H2299">
        <v>21.4</v>
      </c>
      <c r="I2299">
        <v>0</v>
      </c>
      <c r="J2299">
        <v>0</v>
      </c>
      <c r="K2299">
        <v>0</v>
      </c>
      <c r="L2299">
        <v>7</v>
      </c>
      <c r="N2299">
        <v>3</v>
      </c>
      <c r="O2299">
        <v>10</v>
      </c>
      <c r="P2299">
        <v>0</v>
      </c>
      <c r="Q2299">
        <v>2</v>
      </c>
      <c r="R2299">
        <v>33.4</v>
      </c>
      <c r="S2299">
        <v>11</v>
      </c>
      <c r="T2299">
        <v>11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11</v>
      </c>
      <c r="AB2299">
        <v>0</v>
      </c>
      <c r="AC2299">
        <v>0</v>
      </c>
      <c r="AH2299">
        <v>44.4</v>
      </c>
    </row>
    <row r="2300" spans="1:34" x14ac:dyDescent="0.3">
      <c r="A2300" s="4">
        <v>2514</v>
      </c>
      <c r="B2300" s="5">
        <v>2293</v>
      </c>
      <c r="C2300">
        <v>10490</v>
      </c>
      <c r="D2300" t="s">
        <v>14972</v>
      </c>
      <c r="E2300" t="s">
        <v>2224</v>
      </c>
      <c r="F2300" t="s">
        <v>14973</v>
      </c>
      <c r="G2300" t="s">
        <v>14974</v>
      </c>
      <c r="H2300">
        <v>17.38</v>
      </c>
      <c r="I2300">
        <v>0</v>
      </c>
      <c r="J2300">
        <v>0</v>
      </c>
      <c r="K2300">
        <v>0</v>
      </c>
      <c r="L2300">
        <v>7</v>
      </c>
      <c r="N2300">
        <v>3</v>
      </c>
      <c r="O2300">
        <v>10</v>
      </c>
      <c r="P2300">
        <v>4</v>
      </c>
      <c r="Q2300">
        <v>2</v>
      </c>
      <c r="R2300">
        <v>33.380000000000003</v>
      </c>
      <c r="S2300">
        <v>11</v>
      </c>
      <c r="T2300">
        <v>11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11</v>
      </c>
      <c r="AB2300">
        <v>0</v>
      </c>
      <c r="AC2300">
        <v>0</v>
      </c>
      <c r="AH2300">
        <v>44.38</v>
      </c>
    </row>
    <row r="2301" spans="1:34" x14ac:dyDescent="0.3">
      <c r="A2301" s="4">
        <v>2515</v>
      </c>
      <c r="B2301" s="5">
        <v>2294</v>
      </c>
      <c r="C2301">
        <v>9217</v>
      </c>
      <c r="D2301" t="s">
        <v>14975</v>
      </c>
      <c r="E2301" t="s">
        <v>258</v>
      </c>
      <c r="F2301" t="s">
        <v>1526</v>
      </c>
      <c r="G2301" t="s">
        <v>32057</v>
      </c>
      <c r="H2301">
        <v>16.38</v>
      </c>
      <c r="I2301">
        <v>0</v>
      </c>
      <c r="J2301">
        <v>0</v>
      </c>
      <c r="K2301">
        <v>0</v>
      </c>
      <c r="M2301">
        <v>5</v>
      </c>
      <c r="O2301">
        <v>5</v>
      </c>
      <c r="P2301">
        <v>4</v>
      </c>
      <c r="Q2301">
        <v>2</v>
      </c>
      <c r="R2301">
        <v>27.38</v>
      </c>
      <c r="S2301">
        <v>17</v>
      </c>
      <c r="T2301">
        <v>17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17</v>
      </c>
      <c r="AB2301">
        <v>0</v>
      </c>
      <c r="AC2301">
        <v>0</v>
      </c>
      <c r="AH2301">
        <v>44.38</v>
      </c>
    </row>
    <row r="2302" spans="1:34" x14ac:dyDescent="0.3">
      <c r="A2302" s="4">
        <v>2516</v>
      </c>
      <c r="B2302" s="5">
        <v>2295</v>
      </c>
      <c r="C2302">
        <v>8040</v>
      </c>
      <c r="D2302" t="s">
        <v>14976</v>
      </c>
      <c r="E2302" t="s">
        <v>110</v>
      </c>
      <c r="F2302" t="s">
        <v>343</v>
      </c>
      <c r="G2302" t="s">
        <v>14977</v>
      </c>
      <c r="H2302">
        <v>17.350000000000001</v>
      </c>
      <c r="I2302">
        <v>0</v>
      </c>
      <c r="J2302">
        <v>0</v>
      </c>
      <c r="K2302">
        <v>20</v>
      </c>
      <c r="L2302">
        <v>7</v>
      </c>
      <c r="O2302">
        <v>7</v>
      </c>
      <c r="P2302">
        <v>0</v>
      </c>
      <c r="Q2302">
        <v>0</v>
      </c>
      <c r="R2302">
        <v>44.35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H2302">
        <v>44.35</v>
      </c>
    </row>
    <row r="2303" spans="1:34" x14ac:dyDescent="0.3">
      <c r="A2303" s="4">
        <v>2517</v>
      </c>
      <c r="B2303" s="5">
        <v>2296</v>
      </c>
      <c r="C2303">
        <v>6963</v>
      </c>
      <c r="D2303" t="s">
        <v>14978</v>
      </c>
      <c r="E2303" t="s">
        <v>14979</v>
      </c>
      <c r="F2303" t="s">
        <v>62</v>
      </c>
      <c r="G2303" t="s">
        <v>14980</v>
      </c>
      <c r="H2303">
        <v>16.3</v>
      </c>
      <c r="I2303">
        <v>0</v>
      </c>
      <c r="J2303">
        <v>0</v>
      </c>
      <c r="K2303">
        <v>0</v>
      </c>
      <c r="L2303">
        <v>7</v>
      </c>
      <c r="N2303">
        <v>3</v>
      </c>
      <c r="O2303">
        <v>10</v>
      </c>
      <c r="P2303">
        <v>4</v>
      </c>
      <c r="Q2303">
        <v>2</v>
      </c>
      <c r="R2303">
        <v>32.299999999999997</v>
      </c>
      <c r="S2303">
        <v>12</v>
      </c>
      <c r="T2303">
        <v>12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12</v>
      </c>
      <c r="AB2303">
        <v>0</v>
      </c>
      <c r="AC2303">
        <v>0</v>
      </c>
      <c r="AD2303" t="s">
        <v>130</v>
      </c>
      <c r="AH2303">
        <v>44.3</v>
      </c>
    </row>
    <row r="2304" spans="1:34" x14ac:dyDescent="0.3">
      <c r="A2304" s="4">
        <v>2518</v>
      </c>
      <c r="B2304" s="5">
        <v>2297</v>
      </c>
      <c r="C2304">
        <v>13146</v>
      </c>
      <c r="D2304" t="s">
        <v>14981</v>
      </c>
      <c r="E2304" t="s">
        <v>29</v>
      </c>
      <c r="F2304" t="s">
        <v>68</v>
      </c>
      <c r="G2304" t="s">
        <v>14982</v>
      </c>
      <c r="H2304">
        <v>21.25</v>
      </c>
      <c r="I2304">
        <v>0</v>
      </c>
      <c r="J2304">
        <v>0</v>
      </c>
      <c r="K2304">
        <v>20</v>
      </c>
      <c r="N2304">
        <v>3</v>
      </c>
      <c r="O2304">
        <v>3</v>
      </c>
      <c r="P2304">
        <v>0</v>
      </c>
      <c r="Q2304">
        <v>0</v>
      </c>
      <c r="R2304">
        <v>44.25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H2304">
        <v>44.25</v>
      </c>
    </row>
    <row r="2305" spans="1:34" x14ac:dyDescent="0.3">
      <c r="A2305" s="4">
        <v>2519</v>
      </c>
      <c r="B2305" s="5">
        <v>2298</v>
      </c>
      <c r="C2305">
        <v>12840</v>
      </c>
      <c r="D2305" t="s">
        <v>88</v>
      </c>
      <c r="E2305" t="s">
        <v>613</v>
      </c>
      <c r="F2305" t="s">
        <v>124</v>
      </c>
      <c r="G2305" t="s">
        <v>14983</v>
      </c>
      <c r="H2305">
        <v>17.23</v>
      </c>
      <c r="I2305">
        <v>0</v>
      </c>
      <c r="J2305">
        <v>0</v>
      </c>
      <c r="K2305">
        <v>0</v>
      </c>
      <c r="L2305">
        <v>7</v>
      </c>
      <c r="O2305">
        <v>7</v>
      </c>
      <c r="P2305">
        <v>4</v>
      </c>
      <c r="Q2305">
        <v>2</v>
      </c>
      <c r="R2305">
        <v>30.23</v>
      </c>
      <c r="S2305">
        <v>14</v>
      </c>
      <c r="T2305">
        <v>14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14</v>
      </c>
      <c r="AB2305">
        <v>0</v>
      </c>
      <c r="AC2305">
        <v>0</v>
      </c>
      <c r="AH2305">
        <v>44.23</v>
      </c>
    </row>
    <row r="2306" spans="1:34" x14ac:dyDescent="0.3">
      <c r="A2306" s="4">
        <v>2520</v>
      </c>
      <c r="B2306" s="5">
        <v>2299</v>
      </c>
      <c r="C2306">
        <v>6072</v>
      </c>
      <c r="D2306" t="s">
        <v>8142</v>
      </c>
      <c r="E2306" t="s">
        <v>166</v>
      </c>
      <c r="F2306" t="s">
        <v>124</v>
      </c>
      <c r="G2306" t="s">
        <v>14984</v>
      </c>
      <c r="H2306">
        <v>16.23</v>
      </c>
      <c r="I2306">
        <v>0</v>
      </c>
      <c r="J2306">
        <v>0</v>
      </c>
      <c r="K2306">
        <v>0</v>
      </c>
      <c r="L2306">
        <v>7</v>
      </c>
      <c r="O2306">
        <v>7</v>
      </c>
      <c r="P2306">
        <v>4</v>
      </c>
      <c r="Q2306">
        <v>2</v>
      </c>
      <c r="R2306">
        <v>29.23</v>
      </c>
      <c r="S2306">
        <v>15</v>
      </c>
      <c r="T2306">
        <v>15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15</v>
      </c>
      <c r="AB2306">
        <v>0</v>
      </c>
      <c r="AC2306">
        <v>0</v>
      </c>
      <c r="AH2306">
        <v>44.23</v>
      </c>
    </row>
    <row r="2307" spans="1:34" x14ac:dyDescent="0.3">
      <c r="A2307" s="4">
        <v>2521</v>
      </c>
      <c r="B2307" s="5">
        <v>2300</v>
      </c>
      <c r="C2307">
        <v>12334</v>
      </c>
      <c r="D2307" t="s">
        <v>2405</v>
      </c>
      <c r="E2307" t="s">
        <v>22</v>
      </c>
      <c r="F2307" t="s">
        <v>30</v>
      </c>
      <c r="G2307" t="s">
        <v>14985</v>
      </c>
      <c r="H2307">
        <v>17.23</v>
      </c>
      <c r="I2307">
        <v>0</v>
      </c>
      <c r="J2307">
        <v>0</v>
      </c>
      <c r="K2307">
        <v>0</v>
      </c>
      <c r="L2307">
        <v>7</v>
      </c>
      <c r="O2307">
        <v>7</v>
      </c>
      <c r="P2307">
        <v>0</v>
      </c>
      <c r="Q2307">
        <v>2</v>
      </c>
      <c r="R2307">
        <v>26.23</v>
      </c>
      <c r="S2307">
        <v>0</v>
      </c>
      <c r="T2307">
        <v>0</v>
      </c>
      <c r="U2307">
        <v>9</v>
      </c>
      <c r="V2307">
        <v>18</v>
      </c>
      <c r="W2307">
        <v>0</v>
      </c>
      <c r="X2307">
        <v>0</v>
      </c>
      <c r="Y2307">
        <v>0</v>
      </c>
      <c r="Z2307">
        <v>0</v>
      </c>
      <c r="AA2307">
        <v>18</v>
      </c>
      <c r="AB2307">
        <v>0</v>
      </c>
      <c r="AC2307">
        <v>0</v>
      </c>
      <c r="AH2307">
        <v>44.23</v>
      </c>
    </row>
    <row r="2308" spans="1:34" x14ac:dyDescent="0.3">
      <c r="A2308" s="4">
        <v>2522</v>
      </c>
      <c r="B2308" s="5">
        <v>2301</v>
      </c>
      <c r="C2308">
        <v>14347</v>
      </c>
      <c r="D2308" t="s">
        <v>2100</v>
      </c>
      <c r="E2308" t="s">
        <v>219</v>
      </c>
      <c r="F2308" t="s">
        <v>343</v>
      </c>
      <c r="G2308" t="s">
        <v>14986</v>
      </c>
      <c r="H2308">
        <v>17.2</v>
      </c>
      <c r="I2308">
        <v>0</v>
      </c>
      <c r="J2308">
        <v>0</v>
      </c>
      <c r="K2308">
        <v>20</v>
      </c>
      <c r="N2308">
        <v>3</v>
      </c>
      <c r="O2308">
        <v>3</v>
      </c>
      <c r="P2308">
        <v>4</v>
      </c>
      <c r="Q2308">
        <v>0</v>
      </c>
      <c r="R2308">
        <v>44.2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H2308">
        <v>44.2</v>
      </c>
    </row>
    <row r="2309" spans="1:34" x14ac:dyDescent="0.3">
      <c r="A2309" s="4">
        <v>2523</v>
      </c>
      <c r="B2309" s="5">
        <v>2302</v>
      </c>
      <c r="C2309">
        <v>7667</v>
      </c>
      <c r="D2309" t="s">
        <v>10268</v>
      </c>
      <c r="E2309" t="s">
        <v>37</v>
      </c>
      <c r="F2309" t="s">
        <v>30</v>
      </c>
      <c r="G2309" t="s">
        <v>14987</v>
      </c>
      <c r="H2309">
        <v>20.2</v>
      </c>
      <c r="I2309">
        <v>0</v>
      </c>
      <c r="J2309">
        <v>0</v>
      </c>
      <c r="K2309">
        <v>0</v>
      </c>
      <c r="L2309">
        <v>7</v>
      </c>
      <c r="O2309">
        <v>7</v>
      </c>
      <c r="P2309">
        <v>4</v>
      </c>
      <c r="Q2309">
        <v>2</v>
      </c>
      <c r="R2309">
        <v>33.200000000000003</v>
      </c>
      <c r="S2309">
        <v>11</v>
      </c>
      <c r="T2309">
        <v>11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11</v>
      </c>
      <c r="AB2309">
        <v>0</v>
      </c>
      <c r="AC2309">
        <v>0</v>
      </c>
      <c r="AH2309">
        <v>44.2</v>
      </c>
    </row>
    <row r="2310" spans="1:34" x14ac:dyDescent="0.3">
      <c r="A2310" s="4">
        <v>2524</v>
      </c>
      <c r="B2310" s="5">
        <v>2303</v>
      </c>
      <c r="C2310">
        <v>11898</v>
      </c>
      <c r="D2310" t="s">
        <v>11887</v>
      </c>
      <c r="E2310" t="s">
        <v>136</v>
      </c>
      <c r="F2310" t="s">
        <v>55</v>
      </c>
      <c r="G2310" t="s">
        <v>14988</v>
      </c>
      <c r="H2310">
        <v>17.13</v>
      </c>
      <c r="I2310">
        <v>0</v>
      </c>
      <c r="J2310">
        <v>0</v>
      </c>
      <c r="K2310">
        <v>0</v>
      </c>
      <c r="L2310">
        <v>7</v>
      </c>
      <c r="O2310">
        <v>7</v>
      </c>
      <c r="P2310">
        <v>0</v>
      </c>
      <c r="Q2310">
        <v>0</v>
      </c>
      <c r="R2310">
        <v>24.13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20</v>
      </c>
      <c r="AH2310">
        <v>44.13</v>
      </c>
    </row>
    <row r="2311" spans="1:34" x14ac:dyDescent="0.3">
      <c r="A2311" s="4">
        <v>2525</v>
      </c>
      <c r="B2311" s="5">
        <v>2304</v>
      </c>
      <c r="C2311">
        <v>3593</v>
      </c>
      <c r="D2311" t="s">
        <v>14989</v>
      </c>
      <c r="E2311" t="s">
        <v>161</v>
      </c>
      <c r="F2311" t="s">
        <v>20</v>
      </c>
      <c r="G2311" t="s">
        <v>14990</v>
      </c>
      <c r="H2311">
        <v>17.13</v>
      </c>
      <c r="I2311">
        <v>0</v>
      </c>
      <c r="J2311">
        <v>0</v>
      </c>
      <c r="K2311">
        <v>20</v>
      </c>
      <c r="N2311">
        <v>3</v>
      </c>
      <c r="O2311">
        <v>3</v>
      </c>
      <c r="P2311">
        <v>4</v>
      </c>
      <c r="Q2311">
        <v>0</v>
      </c>
      <c r="R2311">
        <v>44.13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H2311">
        <v>44.13</v>
      </c>
    </row>
    <row r="2312" spans="1:34" x14ac:dyDescent="0.3">
      <c r="A2312" s="4">
        <v>2526</v>
      </c>
      <c r="B2312" s="5">
        <v>2305</v>
      </c>
      <c r="C2312">
        <v>2520</v>
      </c>
      <c r="D2312" t="s">
        <v>14991</v>
      </c>
      <c r="E2312" t="s">
        <v>188</v>
      </c>
      <c r="F2312" t="s">
        <v>14</v>
      </c>
      <c r="G2312" t="s">
        <v>14992</v>
      </c>
      <c r="H2312">
        <v>17.05</v>
      </c>
      <c r="I2312">
        <v>0</v>
      </c>
      <c r="J2312">
        <v>0</v>
      </c>
      <c r="K2312">
        <v>0</v>
      </c>
      <c r="L2312">
        <v>7</v>
      </c>
      <c r="O2312">
        <v>7</v>
      </c>
      <c r="P2312">
        <v>4</v>
      </c>
      <c r="Q2312">
        <v>2</v>
      </c>
      <c r="R2312">
        <v>30.05</v>
      </c>
      <c r="S2312">
        <v>14</v>
      </c>
      <c r="T2312">
        <v>14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14</v>
      </c>
      <c r="AB2312">
        <v>0</v>
      </c>
      <c r="AC2312">
        <v>0</v>
      </c>
      <c r="AH2312">
        <v>44.05</v>
      </c>
    </row>
    <row r="2313" spans="1:34" x14ac:dyDescent="0.3">
      <c r="A2313" s="4">
        <v>2527</v>
      </c>
      <c r="B2313" s="5">
        <v>2306</v>
      </c>
      <c r="C2313">
        <v>634</v>
      </c>
      <c r="D2313" t="s">
        <v>14993</v>
      </c>
      <c r="E2313" t="s">
        <v>29</v>
      </c>
      <c r="F2313" t="s">
        <v>20</v>
      </c>
      <c r="G2313" t="s">
        <v>14994</v>
      </c>
      <c r="H2313">
        <v>21.95</v>
      </c>
      <c r="I2313">
        <v>0</v>
      </c>
      <c r="J2313">
        <v>0</v>
      </c>
      <c r="K2313">
        <v>0</v>
      </c>
      <c r="N2313">
        <v>3</v>
      </c>
      <c r="O2313">
        <v>3</v>
      </c>
      <c r="P2313">
        <v>4</v>
      </c>
      <c r="Q2313">
        <v>0</v>
      </c>
      <c r="R2313">
        <v>28.95</v>
      </c>
      <c r="S2313">
        <v>15</v>
      </c>
      <c r="T2313">
        <v>15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15</v>
      </c>
      <c r="AB2313">
        <v>0</v>
      </c>
      <c r="AC2313">
        <v>0</v>
      </c>
      <c r="AH2313">
        <v>43.95</v>
      </c>
    </row>
    <row r="2314" spans="1:34" x14ac:dyDescent="0.3">
      <c r="A2314" s="4">
        <v>2528</v>
      </c>
      <c r="B2314" s="5">
        <v>2307</v>
      </c>
      <c r="C2314">
        <v>2322</v>
      </c>
      <c r="D2314" t="s">
        <v>5059</v>
      </c>
      <c r="E2314" t="s">
        <v>29</v>
      </c>
      <c r="F2314" t="s">
        <v>20</v>
      </c>
      <c r="G2314" t="s">
        <v>14995</v>
      </c>
      <c r="H2314">
        <v>17.93</v>
      </c>
      <c r="I2314">
        <v>0</v>
      </c>
      <c r="J2314">
        <v>0</v>
      </c>
      <c r="K2314">
        <v>0</v>
      </c>
      <c r="L2314">
        <v>7</v>
      </c>
      <c r="O2314">
        <v>7</v>
      </c>
      <c r="P2314">
        <v>4</v>
      </c>
      <c r="Q2314">
        <v>0</v>
      </c>
      <c r="R2314">
        <v>28.93</v>
      </c>
      <c r="S2314">
        <v>15</v>
      </c>
      <c r="T2314">
        <v>15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15</v>
      </c>
      <c r="AB2314">
        <v>0</v>
      </c>
      <c r="AC2314">
        <v>0</v>
      </c>
      <c r="AH2314">
        <v>43.93</v>
      </c>
    </row>
    <row r="2315" spans="1:34" x14ac:dyDescent="0.3">
      <c r="A2315" s="4">
        <v>2529</v>
      </c>
      <c r="B2315" s="5">
        <v>2308</v>
      </c>
      <c r="C2315">
        <v>4464</v>
      </c>
      <c r="D2315" t="s">
        <v>14996</v>
      </c>
      <c r="E2315" t="s">
        <v>190</v>
      </c>
      <c r="F2315" t="s">
        <v>167</v>
      </c>
      <c r="G2315" t="s">
        <v>14997</v>
      </c>
      <c r="H2315">
        <v>19.829999999999998</v>
      </c>
      <c r="I2315">
        <v>0</v>
      </c>
      <c r="J2315">
        <v>0</v>
      </c>
      <c r="K2315">
        <v>20</v>
      </c>
      <c r="O2315">
        <v>0</v>
      </c>
      <c r="P2315">
        <v>4</v>
      </c>
      <c r="Q2315">
        <v>0</v>
      </c>
      <c r="R2315">
        <v>43.83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H2315">
        <v>43.83</v>
      </c>
    </row>
    <row r="2316" spans="1:34" x14ac:dyDescent="0.3">
      <c r="A2316" s="4">
        <v>2530</v>
      </c>
      <c r="B2316" s="5">
        <v>2309</v>
      </c>
      <c r="C2316">
        <v>11477</v>
      </c>
      <c r="D2316" t="s">
        <v>14998</v>
      </c>
      <c r="E2316" t="s">
        <v>11601</v>
      </c>
      <c r="F2316" t="s">
        <v>243</v>
      </c>
      <c r="G2316" t="s">
        <v>14999</v>
      </c>
      <c r="H2316">
        <v>20.83</v>
      </c>
      <c r="I2316">
        <v>0</v>
      </c>
      <c r="J2316">
        <v>0</v>
      </c>
      <c r="K2316">
        <v>0</v>
      </c>
      <c r="L2316">
        <v>14</v>
      </c>
      <c r="O2316">
        <v>14</v>
      </c>
      <c r="P2316">
        <v>4</v>
      </c>
      <c r="Q2316">
        <v>0</v>
      </c>
      <c r="R2316">
        <v>38.83</v>
      </c>
      <c r="S2316">
        <v>5</v>
      </c>
      <c r="T2316">
        <v>5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5</v>
      </c>
      <c r="AB2316">
        <v>0</v>
      </c>
      <c r="AC2316">
        <v>0</v>
      </c>
      <c r="AH2316">
        <v>43.83</v>
      </c>
    </row>
    <row r="2317" spans="1:34" x14ac:dyDescent="0.3">
      <c r="A2317" s="4">
        <v>2531</v>
      </c>
      <c r="B2317" s="5">
        <v>2310</v>
      </c>
      <c r="C2317">
        <v>12199</v>
      </c>
      <c r="D2317" t="s">
        <v>8839</v>
      </c>
      <c r="E2317" t="s">
        <v>62</v>
      </c>
      <c r="F2317" t="s">
        <v>15000</v>
      </c>
      <c r="G2317" t="s">
        <v>15001</v>
      </c>
      <c r="H2317">
        <v>19.829999999999998</v>
      </c>
      <c r="I2317">
        <v>0</v>
      </c>
      <c r="J2317">
        <v>0</v>
      </c>
      <c r="K2317">
        <v>0</v>
      </c>
      <c r="L2317">
        <v>7</v>
      </c>
      <c r="O2317">
        <v>7</v>
      </c>
      <c r="P2317">
        <v>4</v>
      </c>
      <c r="Q2317">
        <v>2</v>
      </c>
      <c r="R2317">
        <v>32.83</v>
      </c>
      <c r="S2317">
        <v>11</v>
      </c>
      <c r="T2317">
        <v>11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11</v>
      </c>
      <c r="AB2317">
        <v>0</v>
      </c>
      <c r="AC2317">
        <v>0</v>
      </c>
      <c r="AH2317">
        <v>43.83</v>
      </c>
    </row>
    <row r="2318" spans="1:34" x14ac:dyDescent="0.3">
      <c r="A2318" s="4">
        <v>2532</v>
      </c>
      <c r="B2318" s="5">
        <v>2311</v>
      </c>
      <c r="C2318">
        <v>1398</v>
      </c>
      <c r="D2318" t="s">
        <v>15002</v>
      </c>
      <c r="E2318" t="s">
        <v>858</v>
      </c>
      <c r="F2318" t="s">
        <v>158</v>
      </c>
      <c r="G2318" t="s">
        <v>15003</v>
      </c>
      <c r="H2318">
        <v>17.8</v>
      </c>
      <c r="I2318">
        <v>0</v>
      </c>
      <c r="J2318">
        <v>0</v>
      </c>
      <c r="K2318">
        <v>0</v>
      </c>
      <c r="L2318">
        <v>7</v>
      </c>
      <c r="M2318">
        <v>5</v>
      </c>
      <c r="O2318">
        <v>12</v>
      </c>
      <c r="P2318">
        <v>4</v>
      </c>
      <c r="Q2318">
        <v>0</v>
      </c>
      <c r="R2318">
        <v>33.799999999999997</v>
      </c>
      <c r="S2318">
        <v>4</v>
      </c>
      <c r="T2318">
        <v>4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4</v>
      </c>
      <c r="AB2318">
        <v>6</v>
      </c>
      <c r="AC2318">
        <v>0</v>
      </c>
      <c r="AH2318">
        <v>43.8</v>
      </c>
    </row>
    <row r="2319" spans="1:34" x14ac:dyDescent="0.3">
      <c r="A2319" s="4">
        <v>2533</v>
      </c>
      <c r="B2319" s="5">
        <v>2312</v>
      </c>
      <c r="C2319">
        <v>6265</v>
      </c>
      <c r="D2319" t="s">
        <v>15004</v>
      </c>
      <c r="E2319" t="s">
        <v>166</v>
      </c>
      <c r="F2319" t="s">
        <v>81</v>
      </c>
      <c r="G2319" t="s">
        <v>15005</v>
      </c>
      <c r="H2319">
        <v>16.8</v>
      </c>
      <c r="I2319">
        <v>0</v>
      </c>
      <c r="J2319">
        <v>0</v>
      </c>
      <c r="K2319">
        <v>20</v>
      </c>
      <c r="N2319">
        <v>3</v>
      </c>
      <c r="O2319">
        <v>3</v>
      </c>
      <c r="P2319">
        <v>4</v>
      </c>
      <c r="Q2319">
        <v>0</v>
      </c>
      <c r="R2319">
        <v>43.8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H2319">
        <v>43.8</v>
      </c>
    </row>
    <row r="2320" spans="1:34" x14ac:dyDescent="0.3">
      <c r="A2320" s="4">
        <v>2534</v>
      </c>
      <c r="B2320" s="5">
        <v>2313</v>
      </c>
      <c r="C2320">
        <v>2569</v>
      </c>
      <c r="D2320" t="s">
        <v>15006</v>
      </c>
      <c r="E2320" t="s">
        <v>88</v>
      </c>
      <c r="F2320" t="s">
        <v>79</v>
      </c>
      <c r="G2320" t="s">
        <v>15007</v>
      </c>
      <c r="H2320">
        <v>21.78</v>
      </c>
      <c r="I2320">
        <v>0</v>
      </c>
      <c r="J2320">
        <v>0</v>
      </c>
      <c r="K2320">
        <v>0</v>
      </c>
      <c r="M2320">
        <v>5</v>
      </c>
      <c r="N2320">
        <v>3</v>
      </c>
      <c r="O2320">
        <v>8</v>
      </c>
      <c r="P2320">
        <v>4</v>
      </c>
      <c r="Q2320">
        <v>2</v>
      </c>
      <c r="R2320">
        <v>35.78</v>
      </c>
      <c r="S2320">
        <v>5</v>
      </c>
      <c r="T2320">
        <v>5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5</v>
      </c>
      <c r="AB2320">
        <v>3</v>
      </c>
      <c r="AC2320">
        <v>0</v>
      </c>
      <c r="AH2320">
        <v>43.78</v>
      </c>
    </row>
    <row r="2321" spans="1:34" x14ac:dyDescent="0.3">
      <c r="A2321" s="4">
        <v>2535</v>
      </c>
      <c r="B2321" s="5">
        <v>2314</v>
      </c>
      <c r="C2321">
        <v>10262</v>
      </c>
      <c r="D2321" t="s">
        <v>3200</v>
      </c>
      <c r="E2321" t="s">
        <v>22</v>
      </c>
      <c r="F2321" t="s">
        <v>488</v>
      </c>
      <c r="G2321" t="s">
        <v>15008</v>
      </c>
      <c r="H2321">
        <v>17.73</v>
      </c>
      <c r="I2321">
        <v>0</v>
      </c>
      <c r="J2321">
        <v>0</v>
      </c>
      <c r="K2321">
        <v>0</v>
      </c>
      <c r="L2321">
        <v>7</v>
      </c>
      <c r="O2321">
        <v>7</v>
      </c>
      <c r="P2321">
        <v>4</v>
      </c>
      <c r="Q2321">
        <v>0</v>
      </c>
      <c r="R2321">
        <v>28.73</v>
      </c>
      <c r="S2321">
        <v>15</v>
      </c>
      <c r="T2321">
        <v>15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15</v>
      </c>
      <c r="AB2321">
        <v>0</v>
      </c>
      <c r="AC2321">
        <v>0</v>
      </c>
      <c r="AH2321">
        <v>43.73</v>
      </c>
    </row>
    <row r="2322" spans="1:34" x14ac:dyDescent="0.3">
      <c r="A2322" s="4">
        <v>2536</v>
      </c>
      <c r="B2322" s="5">
        <v>2315</v>
      </c>
      <c r="C2322">
        <v>10012</v>
      </c>
      <c r="D2322" t="s">
        <v>15009</v>
      </c>
      <c r="E2322" t="s">
        <v>22</v>
      </c>
      <c r="F2322" t="s">
        <v>81</v>
      </c>
      <c r="G2322" t="s">
        <v>15010</v>
      </c>
      <c r="H2322">
        <v>17.649999999999999</v>
      </c>
      <c r="I2322">
        <v>0</v>
      </c>
      <c r="J2322">
        <v>0</v>
      </c>
      <c r="K2322">
        <v>20</v>
      </c>
      <c r="O2322">
        <v>0</v>
      </c>
      <c r="P2322">
        <v>4</v>
      </c>
      <c r="Q2322">
        <v>2</v>
      </c>
      <c r="R2322">
        <v>43.65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H2322">
        <v>43.65</v>
      </c>
    </row>
    <row r="2323" spans="1:34" x14ac:dyDescent="0.3">
      <c r="A2323" s="4">
        <v>2537</v>
      </c>
      <c r="B2323" s="5">
        <v>2316</v>
      </c>
      <c r="C2323">
        <v>7817</v>
      </c>
      <c r="D2323" t="s">
        <v>3497</v>
      </c>
      <c r="E2323" t="s">
        <v>255</v>
      </c>
      <c r="F2323" t="s">
        <v>30</v>
      </c>
      <c r="G2323" t="s">
        <v>15011</v>
      </c>
      <c r="H2323">
        <v>16.63</v>
      </c>
      <c r="I2323">
        <v>0</v>
      </c>
      <c r="J2323">
        <v>0</v>
      </c>
      <c r="K2323">
        <v>20</v>
      </c>
      <c r="N2323">
        <v>3</v>
      </c>
      <c r="O2323">
        <v>3</v>
      </c>
      <c r="P2323">
        <v>4</v>
      </c>
      <c r="Q2323">
        <v>0</v>
      </c>
      <c r="R2323">
        <v>43.63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H2323">
        <v>43.63</v>
      </c>
    </row>
    <row r="2324" spans="1:34" x14ac:dyDescent="0.3">
      <c r="A2324" s="4">
        <v>2538</v>
      </c>
      <c r="B2324" s="5">
        <v>2317</v>
      </c>
      <c r="C2324">
        <v>14849</v>
      </c>
      <c r="D2324" t="s">
        <v>15012</v>
      </c>
      <c r="E2324" t="s">
        <v>54</v>
      </c>
      <c r="F2324" t="s">
        <v>38</v>
      </c>
      <c r="G2324" t="s">
        <v>15013</v>
      </c>
      <c r="H2324">
        <v>21.63</v>
      </c>
      <c r="I2324">
        <v>0</v>
      </c>
      <c r="J2324">
        <v>0</v>
      </c>
      <c r="K2324">
        <v>0</v>
      </c>
      <c r="L2324">
        <v>7</v>
      </c>
      <c r="M2324">
        <v>5</v>
      </c>
      <c r="O2324">
        <v>12</v>
      </c>
      <c r="P2324">
        <v>4</v>
      </c>
      <c r="Q2324">
        <v>0</v>
      </c>
      <c r="R2324">
        <v>37.630000000000003</v>
      </c>
      <c r="S2324">
        <v>6</v>
      </c>
      <c r="T2324">
        <v>6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6</v>
      </c>
      <c r="AB2324">
        <v>0</v>
      </c>
      <c r="AC2324">
        <v>0</v>
      </c>
      <c r="AH2324">
        <v>43.63</v>
      </c>
    </row>
    <row r="2325" spans="1:34" x14ac:dyDescent="0.3">
      <c r="A2325" s="4">
        <v>2539</v>
      </c>
      <c r="B2325" s="5">
        <v>2318</v>
      </c>
      <c r="C2325">
        <v>1674</v>
      </c>
      <c r="D2325" t="s">
        <v>12663</v>
      </c>
      <c r="E2325" t="s">
        <v>26</v>
      </c>
      <c r="F2325" t="s">
        <v>68</v>
      </c>
      <c r="G2325" t="s">
        <v>15014</v>
      </c>
      <c r="H2325">
        <v>18.600000000000001</v>
      </c>
      <c r="I2325">
        <v>0</v>
      </c>
      <c r="J2325">
        <v>0</v>
      </c>
      <c r="K2325">
        <v>0</v>
      </c>
      <c r="N2325">
        <v>3</v>
      </c>
      <c r="O2325">
        <v>3</v>
      </c>
      <c r="P2325">
        <v>4</v>
      </c>
      <c r="Q2325">
        <v>2</v>
      </c>
      <c r="R2325">
        <v>27.6</v>
      </c>
      <c r="S2325">
        <v>10</v>
      </c>
      <c r="T2325">
        <v>10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10</v>
      </c>
      <c r="AB2325">
        <v>6</v>
      </c>
      <c r="AC2325">
        <v>0</v>
      </c>
      <c r="AH2325">
        <v>43.6</v>
      </c>
    </row>
    <row r="2326" spans="1:34" x14ac:dyDescent="0.3">
      <c r="A2326" s="4">
        <v>2540</v>
      </c>
      <c r="B2326" s="5">
        <v>2319</v>
      </c>
      <c r="C2326">
        <v>15672</v>
      </c>
      <c r="D2326" t="s">
        <v>15015</v>
      </c>
      <c r="E2326" t="s">
        <v>117</v>
      </c>
      <c r="F2326" t="s">
        <v>68</v>
      </c>
      <c r="G2326" t="s">
        <v>15016</v>
      </c>
      <c r="H2326">
        <v>16.579999999999998</v>
      </c>
      <c r="I2326">
        <v>0</v>
      </c>
      <c r="J2326">
        <v>0</v>
      </c>
      <c r="K2326">
        <v>20</v>
      </c>
      <c r="N2326">
        <v>3</v>
      </c>
      <c r="O2326">
        <v>3</v>
      </c>
      <c r="P2326">
        <v>4</v>
      </c>
      <c r="Q2326">
        <v>0</v>
      </c>
      <c r="R2326">
        <v>43.58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H2326">
        <v>43.58</v>
      </c>
    </row>
    <row r="2327" spans="1:34" x14ac:dyDescent="0.3">
      <c r="A2327" s="4">
        <v>2541</v>
      </c>
      <c r="B2327" s="5">
        <v>2320</v>
      </c>
      <c r="C2327">
        <v>13985</v>
      </c>
      <c r="D2327" t="s">
        <v>15017</v>
      </c>
      <c r="E2327" t="s">
        <v>594</v>
      </c>
      <c r="F2327" t="s">
        <v>81</v>
      </c>
      <c r="G2327" t="s">
        <v>15018</v>
      </c>
      <c r="H2327">
        <v>17.55</v>
      </c>
      <c r="I2327">
        <v>0</v>
      </c>
      <c r="J2327">
        <v>0</v>
      </c>
      <c r="K2327">
        <v>0</v>
      </c>
      <c r="N2327">
        <v>3</v>
      </c>
      <c r="O2327">
        <v>3</v>
      </c>
      <c r="P2327">
        <v>0</v>
      </c>
      <c r="Q2327">
        <v>0</v>
      </c>
      <c r="R2327">
        <v>20.55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3</v>
      </c>
      <c r="AC2327">
        <v>20</v>
      </c>
      <c r="AH2327">
        <v>43.55</v>
      </c>
    </row>
    <row r="2328" spans="1:34" x14ac:dyDescent="0.3">
      <c r="A2328" s="4">
        <v>2542</v>
      </c>
      <c r="B2328" s="5">
        <v>2321</v>
      </c>
      <c r="C2328">
        <v>13748</v>
      </c>
      <c r="D2328" t="s">
        <v>15019</v>
      </c>
      <c r="E2328" t="s">
        <v>15020</v>
      </c>
      <c r="F2328" t="s">
        <v>38</v>
      </c>
      <c r="G2328" t="s">
        <v>15021</v>
      </c>
      <c r="H2328">
        <v>17.53</v>
      </c>
      <c r="I2328">
        <v>0</v>
      </c>
      <c r="J2328">
        <v>0</v>
      </c>
      <c r="K2328">
        <v>20</v>
      </c>
      <c r="N2328">
        <v>3</v>
      </c>
      <c r="O2328">
        <v>3</v>
      </c>
      <c r="P2328">
        <v>0</v>
      </c>
      <c r="Q2328">
        <v>0</v>
      </c>
      <c r="R2328">
        <v>40.53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3</v>
      </c>
      <c r="AC2328">
        <v>0</v>
      </c>
      <c r="AH2328">
        <v>43.53</v>
      </c>
    </row>
    <row r="2329" spans="1:34" x14ac:dyDescent="0.3">
      <c r="A2329" s="4">
        <v>2543</v>
      </c>
      <c r="B2329" s="5">
        <v>2322</v>
      </c>
      <c r="C2329">
        <v>4838</v>
      </c>
      <c r="D2329" t="s">
        <v>2857</v>
      </c>
      <c r="E2329" t="s">
        <v>789</v>
      </c>
      <c r="F2329" t="s">
        <v>892</v>
      </c>
      <c r="G2329" t="s">
        <v>32058</v>
      </c>
      <c r="H2329">
        <v>16.53</v>
      </c>
      <c r="I2329">
        <v>0</v>
      </c>
      <c r="J2329">
        <v>0</v>
      </c>
      <c r="K2329">
        <v>20</v>
      </c>
      <c r="N2329">
        <v>3</v>
      </c>
      <c r="O2329">
        <v>3</v>
      </c>
      <c r="P2329">
        <v>4</v>
      </c>
      <c r="Q2329">
        <v>0</v>
      </c>
      <c r="R2329">
        <v>43.53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H2329">
        <v>43.53</v>
      </c>
    </row>
    <row r="2330" spans="1:34" x14ac:dyDescent="0.3">
      <c r="A2330" s="4">
        <v>2544</v>
      </c>
      <c r="B2330" s="5">
        <v>2323</v>
      </c>
      <c r="C2330">
        <v>12526</v>
      </c>
      <c r="D2330" t="s">
        <v>11056</v>
      </c>
      <c r="E2330" t="s">
        <v>166</v>
      </c>
      <c r="F2330" t="s">
        <v>2598</v>
      </c>
      <c r="G2330" t="s">
        <v>15022</v>
      </c>
      <c r="H2330">
        <v>16.53</v>
      </c>
      <c r="I2330">
        <v>0</v>
      </c>
      <c r="J2330">
        <v>0</v>
      </c>
      <c r="K2330">
        <v>20</v>
      </c>
      <c r="N2330">
        <v>3</v>
      </c>
      <c r="O2330">
        <v>3</v>
      </c>
      <c r="P2330">
        <v>4</v>
      </c>
      <c r="Q2330">
        <v>0</v>
      </c>
      <c r="R2330">
        <v>43.53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H2330">
        <v>43.53</v>
      </c>
    </row>
    <row r="2331" spans="1:34" x14ac:dyDescent="0.3">
      <c r="A2331" s="4">
        <v>2545</v>
      </c>
      <c r="B2331" s="5">
        <v>2324</v>
      </c>
      <c r="C2331">
        <v>10909</v>
      </c>
      <c r="D2331" t="s">
        <v>15023</v>
      </c>
      <c r="E2331" t="s">
        <v>789</v>
      </c>
      <c r="F2331" t="s">
        <v>81</v>
      </c>
      <c r="G2331" t="s">
        <v>15024</v>
      </c>
      <c r="H2331">
        <v>21.53</v>
      </c>
      <c r="I2331">
        <v>0</v>
      </c>
      <c r="J2331">
        <v>0</v>
      </c>
      <c r="K2331">
        <v>0</v>
      </c>
      <c r="L2331">
        <v>7</v>
      </c>
      <c r="N2331">
        <v>3</v>
      </c>
      <c r="O2331">
        <v>10</v>
      </c>
      <c r="P2331">
        <v>4</v>
      </c>
      <c r="Q2331">
        <v>0</v>
      </c>
      <c r="R2331">
        <v>35.53</v>
      </c>
      <c r="S2331">
        <v>8</v>
      </c>
      <c r="T2331">
        <v>8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8</v>
      </c>
      <c r="AB2331">
        <v>0</v>
      </c>
      <c r="AC2331">
        <v>0</v>
      </c>
      <c r="AH2331">
        <v>43.53</v>
      </c>
    </row>
    <row r="2332" spans="1:34" x14ac:dyDescent="0.3">
      <c r="A2332" s="4">
        <v>2546</v>
      </c>
      <c r="B2332" s="5">
        <v>2325</v>
      </c>
      <c r="C2332">
        <v>9741</v>
      </c>
      <c r="D2332" t="s">
        <v>15025</v>
      </c>
      <c r="E2332" t="s">
        <v>471</v>
      </c>
      <c r="F2332" t="s">
        <v>117</v>
      </c>
      <c r="G2332" t="s">
        <v>15026</v>
      </c>
      <c r="H2332">
        <v>16.5</v>
      </c>
      <c r="I2332">
        <v>0</v>
      </c>
      <c r="J2332">
        <v>0</v>
      </c>
      <c r="K2332">
        <v>0</v>
      </c>
      <c r="L2332">
        <v>7</v>
      </c>
      <c r="M2332">
        <v>5</v>
      </c>
      <c r="O2332">
        <v>12</v>
      </c>
      <c r="P2332">
        <v>4</v>
      </c>
      <c r="Q2332">
        <v>2</v>
      </c>
      <c r="R2332">
        <v>34.5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9</v>
      </c>
      <c r="AC2332">
        <v>0</v>
      </c>
      <c r="AE2332" t="s">
        <v>130</v>
      </c>
      <c r="AH2332">
        <v>43.5</v>
      </c>
    </row>
    <row r="2333" spans="1:34" x14ac:dyDescent="0.3">
      <c r="A2333" s="4">
        <v>2547</v>
      </c>
      <c r="B2333" s="5">
        <v>2326</v>
      </c>
      <c r="C2333">
        <v>9274</v>
      </c>
      <c r="D2333" t="s">
        <v>5130</v>
      </c>
      <c r="E2333" t="s">
        <v>15027</v>
      </c>
      <c r="F2333" t="s">
        <v>488</v>
      </c>
      <c r="G2333" t="s">
        <v>15028</v>
      </c>
      <c r="H2333">
        <v>12.5</v>
      </c>
      <c r="I2333">
        <v>0</v>
      </c>
      <c r="J2333">
        <v>0</v>
      </c>
      <c r="K2333">
        <v>20</v>
      </c>
      <c r="L2333">
        <v>7</v>
      </c>
      <c r="O2333">
        <v>7</v>
      </c>
      <c r="P2333">
        <v>4</v>
      </c>
      <c r="Q2333">
        <v>0</v>
      </c>
      <c r="R2333">
        <v>43.5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H2333">
        <v>43.5</v>
      </c>
    </row>
    <row r="2334" spans="1:34" x14ac:dyDescent="0.3">
      <c r="A2334" s="4">
        <v>2548</v>
      </c>
      <c r="B2334" s="5">
        <v>2327</v>
      </c>
      <c r="C2334">
        <v>4151</v>
      </c>
      <c r="D2334" t="s">
        <v>15029</v>
      </c>
      <c r="E2334" t="s">
        <v>15030</v>
      </c>
      <c r="F2334" t="s">
        <v>328</v>
      </c>
      <c r="G2334" t="s">
        <v>15031</v>
      </c>
      <c r="H2334">
        <v>12.5</v>
      </c>
      <c r="I2334">
        <v>0</v>
      </c>
      <c r="J2334">
        <v>0</v>
      </c>
      <c r="K2334">
        <v>20</v>
      </c>
      <c r="L2334">
        <v>7</v>
      </c>
      <c r="O2334">
        <v>7</v>
      </c>
      <c r="P2334">
        <v>4</v>
      </c>
      <c r="Q2334">
        <v>0</v>
      </c>
      <c r="R2334">
        <v>43.5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H2334">
        <v>43.5</v>
      </c>
    </row>
    <row r="2335" spans="1:34" x14ac:dyDescent="0.3">
      <c r="A2335" s="4">
        <v>2549</v>
      </c>
      <c r="B2335" s="5">
        <v>2328</v>
      </c>
      <c r="C2335">
        <v>1022</v>
      </c>
      <c r="D2335" t="s">
        <v>15032</v>
      </c>
      <c r="E2335" t="s">
        <v>15033</v>
      </c>
      <c r="F2335" t="s">
        <v>124</v>
      </c>
      <c r="G2335" t="s">
        <v>15034</v>
      </c>
      <c r="H2335">
        <v>12.5</v>
      </c>
      <c r="I2335">
        <v>0</v>
      </c>
      <c r="J2335">
        <v>0</v>
      </c>
      <c r="K2335">
        <v>20</v>
      </c>
      <c r="L2335">
        <v>7</v>
      </c>
      <c r="O2335">
        <v>7</v>
      </c>
      <c r="P2335">
        <v>4</v>
      </c>
      <c r="Q2335">
        <v>0</v>
      </c>
      <c r="R2335">
        <v>43.5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H2335">
        <v>43.5</v>
      </c>
    </row>
    <row r="2336" spans="1:34" x14ac:dyDescent="0.3">
      <c r="A2336" s="4">
        <v>2550</v>
      </c>
      <c r="B2336" s="5">
        <v>2329</v>
      </c>
      <c r="C2336">
        <v>10486</v>
      </c>
      <c r="D2336" t="s">
        <v>15035</v>
      </c>
      <c r="E2336" t="s">
        <v>68</v>
      </c>
      <c r="F2336" t="s">
        <v>81</v>
      </c>
      <c r="G2336" t="s">
        <v>15036</v>
      </c>
      <c r="H2336">
        <v>12.5</v>
      </c>
      <c r="I2336">
        <v>0</v>
      </c>
      <c r="J2336">
        <v>0</v>
      </c>
      <c r="K2336">
        <v>20</v>
      </c>
      <c r="L2336">
        <v>7</v>
      </c>
      <c r="O2336">
        <v>7</v>
      </c>
      <c r="P2336">
        <v>4</v>
      </c>
      <c r="Q2336">
        <v>0</v>
      </c>
      <c r="R2336">
        <v>43.5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H2336">
        <v>43.5</v>
      </c>
    </row>
    <row r="2337" spans="1:34" x14ac:dyDescent="0.3">
      <c r="A2337" s="4">
        <v>2551</v>
      </c>
      <c r="B2337" s="5">
        <v>2330</v>
      </c>
      <c r="C2337">
        <v>4395</v>
      </c>
      <c r="D2337" t="s">
        <v>4171</v>
      </c>
      <c r="E2337" t="s">
        <v>29</v>
      </c>
      <c r="F2337" t="s">
        <v>782</v>
      </c>
      <c r="G2337" t="s">
        <v>15037</v>
      </c>
      <c r="H2337">
        <v>12.5</v>
      </c>
      <c r="I2337">
        <v>0</v>
      </c>
      <c r="J2337">
        <v>0</v>
      </c>
      <c r="K2337">
        <v>20</v>
      </c>
      <c r="M2337">
        <v>5</v>
      </c>
      <c r="O2337">
        <v>5</v>
      </c>
      <c r="P2337">
        <v>4</v>
      </c>
      <c r="Q2337">
        <v>2</v>
      </c>
      <c r="R2337">
        <v>43.5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H2337">
        <v>43.5</v>
      </c>
    </row>
    <row r="2338" spans="1:34" x14ac:dyDescent="0.3">
      <c r="A2338" s="4">
        <v>2552</v>
      </c>
      <c r="B2338" s="5">
        <v>2331</v>
      </c>
      <c r="C2338">
        <v>8598</v>
      </c>
      <c r="D2338" t="s">
        <v>2877</v>
      </c>
      <c r="E2338" t="s">
        <v>342</v>
      </c>
      <c r="F2338" t="s">
        <v>1526</v>
      </c>
      <c r="G2338" t="s">
        <v>15038</v>
      </c>
      <c r="H2338">
        <v>12.5</v>
      </c>
      <c r="I2338">
        <v>0</v>
      </c>
      <c r="J2338">
        <v>0</v>
      </c>
      <c r="K2338">
        <v>20</v>
      </c>
      <c r="L2338">
        <v>7</v>
      </c>
      <c r="O2338">
        <v>7</v>
      </c>
      <c r="P2338">
        <v>4</v>
      </c>
      <c r="Q2338">
        <v>0</v>
      </c>
      <c r="R2338">
        <v>43.5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H2338">
        <v>43.5</v>
      </c>
    </row>
    <row r="2339" spans="1:34" x14ac:dyDescent="0.3">
      <c r="A2339" s="4">
        <v>2553</v>
      </c>
      <c r="B2339" s="5">
        <v>2332</v>
      </c>
      <c r="C2339">
        <v>7724</v>
      </c>
      <c r="D2339" t="s">
        <v>15039</v>
      </c>
      <c r="E2339" t="s">
        <v>54</v>
      </c>
      <c r="F2339" t="s">
        <v>38</v>
      </c>
      <c r="G2339" t="s">
        <v>15040</v>
      </c>
      <c r="H2339">
        <v>12.5</v>
      </c>
      <c r="I2339">
        <v>0</v>
      </c>
      <c r="J2339">
        <v>0</v>
      </c>
      <c r="K2339">
        <v>20</v>
      </c>
      <c r="L2339">
        <v>7</v>
      </c>
      <c r="O2339">
        <v>7</v>
      </c>
      <c r="P2339">
        <v>4</v>
      </c>
      <c r="Q2339">
        <v>0</v>
      </c>
      <c r="R2339">
        <v>43.5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H2339">
        <v>43.5</v>
      </c>
    </row>
    <row r="2340" spans="1:34" x14ac:dyDescent="0.3">
      <c r="A2340" s="4">
        <v>2554</v>
      </c>
      <c r="B2340" s="5">
        <v>2333</v>
      </c>
      <c r="C2340">
        <v>655</v>
      </c>
      <c r="D2340" t="s">
        <v>15041</v>
      </c>
      <c r="E2340" t="s">
        <v>964</v>
      </c>
      <c r="F2340" t="s">
        <v>136</v>
      </c>
      <c r="G2340" t="s">
        <v>15042</v>
      </c>
      <c r="H2340">
        <v>16.43</v>
      </c>
      <c r="I2340">
        <v>0</v>
      </c>
      <c r="J2340">
        <v>0</v>
      </c>
      <c r="K2340">
        <v>0</v>
      </c>
      <c r="L2340">
        <v>7</v>
      </c>
      <c r="O2340">
        <v>7</v>
      </c>
      <c r="P2340">
        <v>4</v>
      </c>
      <c r="Q2340">
        <v>0</v>
      </c>
      <c r="R2340">
        <v>27.43</v>
      </c>
      <c r="S2340">
        <v>7</v>
      </c>
      <c r="T2340">
        <v>7</v>
      </c>
      <c r="U2340">
        <v>0</v>
      </c>
      <c r="V2340">
        <v>0</v>
      </c>
      <c r="W2340">
        <v>6</v>
      </c>
      <c r="X2340">
        <v>9</v>
      </c>
      <c r="Y2340">
        <v>0</v>
      </c>
      <c r="Z2340">
        <v>0</v>
      </c>
      <c r="AA2340">
        <v>16</v>
      </c>
      <c r="AB2340">
        <v>0</v>
      </c>
      <c r="AC2340">
        <v>0</v>
      </c>
      <c r="AH2340">
        <v>43.43</v>
      </c>
    </row>
    <row r="2341" spans="1:34" x14ac:dyDescent="0.3">
      <c r="A2341" s="4">
        <v>2555</v>
      </c>
      <c r="B2341" s="5">
        <v>2334</v>
      </c>
      <c r="C2341">
        <v>10205</v>
      </c>
      <c r="D2341" t="s">
        <v>1696</v>
      </c>
      <c r="E2341" t="s">
        <v>29</v>
      </c>
      <c r="F2341" t="s">
        <v>466</v>
      </c>
      <c r="G2341" t="s">
        <v>15043</v>
      </c>
      <c r="H2341">
        <v>20.399999999999999</v>
      </c>
      <c r="I2341">
        <v>0</v>
      </c>
      <c r="J2341">
        <v>0</v>
      </c>
      <c r="K2341">
        <v>0</v>
      </c>
      <c r="N2341">
        <v>3</v>
      </c>
      <c r="O2341">
        <v>3</v>
      </c>
      <c r="P2341">
        <v>4</v>
      </c>
      <c r="Q2341">
        <v>0</v>
      </c>
      <c r="R2341">
        <v>27.4</v>
      </c>
      <c r="S2341">
        <v>7</v>
      </c>
      <c r="T2341">
        <v>7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7</v>
      </c>
      <c r="AB2341">
        <v>9</v>
      </c>
      <c r="AC2341">
        <v>0</v>
      </c>
      <c r="AH2341">
        <v>43.4</v>
      </c>
    </row>
    <row r="2342" spans="1:34" x14ac:dyDescent="0.3">
      <c r="A2342" s="4">
        <v>2556</v>
      </c>
      <c r="B2342" s="5">
        <v>2335</v>
      </c>
      <c r="C2342">
        <v>11392</v>
      </c>
      <c r="D2342" t="s">
        <v>1736</v>
      </c>
      <c r="E2342" t="s">
        <v>110</v>
      </c>
      <c r="F2342" t="s">
        <v>68</v>
      </c>
      <c r="G2342" t="s">
        <v>15044</v>
      </c>
      <c r="H2342">
        <v>16.38</v>
      </c>
      <c r="I2342">
        <v>0</v>
      </c>
      <c r="J2342">
        <v>0</v>
      </c>
      <c r="K2342">
        <v>20</v>
      </c>
      <c r="L2342">
        <v>7</v>
      </c>
      <c r="O2342">
        <v>7</v>
      </c>
      <c r="P2342">
        <v>0</v>
      </c>
      <c r="Q2342">
        <v>0</v>
      </c>
      <c r="R2342">
        <v>43.38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H2342">
        <v>43.38</v>
      </c>
    </row>
    <row r="2343" spans="1:34" x14ac:dyDescent="0.3">
      <c r="A2343" s="4">
        <v>2557</v>
      </c>
      <c r="B2343" s="5">
        <v>2336</v>
      </c>
      <c r="C2343">
        <v>5297</v>
      </c>
      <c r="D2343" t="s">
        <v>195</v>
      </c>
      <c r="E2343" t="s">
        <v>54</v>
      </c>
      <c r="F2343" t="s">
        <v>38</v>
      </c>
      <c r="G2343" t="s">
        <v>15045</v>
      </c>
      <c r="H2343">
        <v>17.329999999999998</v>
      </c>
      <c r="I2343">
        <v>0</v>
      </c>
      <c r="J2343">
        <v>0</v>
      </c>
      <c r="K2343">
        <v>20</v>
      </c>
      <c r="N2343">
        <v>3</v>
      </c>
      <c r="O2343">
        <v>3</v>
      </c>
      <c r="P2343">
        <v>0</v>
      </c>
      <c r="Q2343">
        <v>0</v>
      </c>
      <c r="R2343">
        <v>40.33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3</v>
      </c>
      <c r="AC2343">
        <v>0</v>
      </c>
      <c r="AH2343">
        <v>43.33</v>
      </c>
    </row>
    <row r="2344" spans="1:34" x14ac:dyDescent="0.3">
      <c r="A2344" s="4">
        <v>2558</v>
      </c>
      <c r="B2344" s="5">
        <v>2337</v>
      </c>
      <c r="C2344">
        <v>7056</v>
      </c>
      <c r="D2344" t="s">
        <v>3388</v>
      </c>
      <c r="E2344" t="s">
        <v>15046</v>
      </c>
      <c r="F2344" t="s">
        <v>55</v>
      </c>
      <c r="G2344" t="s">
        <v>15047</v>
      </c>
      <c r="H2344">
        <v>23.3</v>
      </c>
      <c r="I2344">
        <v>7</v>
      </c>
      <c r="J2344">
        <v>0</v>
      </c>
      <c r="K2344">
        <v>0</v>
      </c>
      <c r="M2344">
        <v>5</v>
      </c>
      <c r="O2344">
        <v>5</v>
      </c>
      <c r="P2344">
        <v>4</v>
      </c>
      <c r="Q2344">
        <v>0</v>
      </c>
      <c r="R2344">
        <v>39.299999999999997</v>
      </c>
      <c r="S2344">
        <v>4</v>
      </c>
      <c r="T2344">
        <v>4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4</v>
      </c>
      <c r="AB2344">
        <v>0</v>
      </c>
      <c r="AC2344">
        <v>0</v>
      </c>
      <c r="AH2344">
        <v>43.3</v>
      </c>
    </row>
    <row r="2345" spans="1:34" x14ac:dyDescent="0.3">
      <c r="A2345" s="4">
        <v>2559</v>
      </c>
      <c r="B2345" s="5">
        <v>2338</v>
      </c>
      <c r="C2345">
        <v>4237</v>
      </c>
      <c r="D2345" t="s">
        <v>5326</v>
      </c>
      <c r="E2345" t="s">
        <v>149</v>
      </c>
      <c r="F2345" t="s">
        <v>158</v>
      </c>
      <c r="G2345" t="s">
        <v>15048</v>
      </c>
      <c r="H2345">
        <v>16.25</v>
      </c>
      <c r="I2345">
        <v>0</v>
      </c>
      <c r="J2345">
        <v>0</v>
      </c>
      <c r="K2345">
        <v>20</v>
      </c>
      <c r="L2345">
        <v>7</v>
      </c>
      <c r="O2345">
        <v>7</v>
      </c>
      <c r="P2345">
        <v>0</v>
      </c>
      <c r="Q2345">
        <v>0</v>
      </c>
      <c r="R2345">
        <v>43.25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H2345">
        <v>43.25</v>
      </c>
    </row>
    <row r="2346" spans="1:34" x14ac:dyDescent="0.3">
      <c r="A2346" s="4">
        <v>2560</v>
      </c>
      <c r="B2346" s="5">
        <v>2339</v>
      </c>
      <c r="C2346">
        <v>9044</v>
      </c>
      <c r="D2346" t="s">
        <v>6156</v>
      </c>
      <c r="E2346" t="s">
        <v>479</v>
      </c>
      <c r="F2346" t="s">
        <v>801</v>
      </c>
      <c r="G2346" t="s">
        <v>15049</v>
      </c>
      <c r="H2346">
        <v>16.25</v>
      </c>
      <c r="I2346">
        <v>0</v>
      </c>
      <c r="J2346">
        <v>0</v>
      </c>
      <c r="K2346">
        <v>20</v>
      </c>
      <c r="L2346">
        <v>7</v>
      </c>
      <c r="O2346">
        <v>7</v>
      </c>
      <c r="P2346">
        <v>0</v>
      </c>
      <c r="Q2346">
        <v>0</v>
      </c>
      <c r="R2346">
        <v>43.25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H2346">
        <v>43.25</v>
      </c>
    </row>
    <row r="2347" spans="1:34" x14ac:dyDescent="0.3">
      <c r="A2347" s="4">
        <v>2561</v>
      </c>
      <c r="B2347" s="5">
        <v>2340</v>
      </c>
      <c r="C2347">
        <v>15125</v>
      </c>
      <c r="D2347" t="s">
        <v>1425</v>
      </c>
      <c r="E2347" t="s">
        <v>26</v>
      </c>
      <c r="F2347" t="s">
        <v>68</v>
      </c>
      <c r="G2347" t="s">
        <v>15050</v>
      </c>
      <c r="H2347">
        <v>17.18</v>
      </c>
      <c r="I2347">
        <v>0</v>
      </c>
      <c r="J2347">
        <v>0</v>
      </c>
      <c r="K2347">
        <v>0</v>
      </c>
      <c r="M2347">
        <v>5</v>
      </c>
      <c r="O2347">
        <v>5</v>
      </c>
      <c r="P2347">
        <v>4</v>
      </c>
      <c r="Q2347">
        <v>2</v>
      </c>
      <c r="R2347">
        <v>28.18</v>
      </c>
      <c r="S2347">
        <v>9</v>
      </c>
      <c r="T2347">
        <v>9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9</v>
      </c>
      <c r="AB2347">
        <v>6</v>
      </c>
      <c r="AC2347">
        <v>0</v>
      </c>
      <c r="AD2347" t="s">
        <v>130</v>
      </c>
      <c r="AH2347">
        <v>43.18</v>
      </c>
    </row>
    <row r="2348" spans="1:34" x14ac:dyDescent="0.3">
      <c r="A2348" s="4">
        <v>2562</v>
      </c>
      <c r="B2348" s="5">
        <v>2341</v>
      </c>
      <c r="C2348">
        <v>8122</v>
      </c>
      <c r="D2348" t="s">
        <v>6556</v>
      </c>
      <c r="E2348" t="s">
        <v>100</v>
      </c>
      <c r="F2348" t="s">
        <v>20</v>
      </c>
      <c r="G2348" t="s">
        <v>15051</v>
      </c>
      <c r="H2348">
        <v>16.18</v>
      </c>
      <c r="I2348">
        <v>0</v>
      </c>
      <c r="J2348">
        <v>0</v>
      </c>
      <c r="K2348">
        <v>20</v>
      </c>
      <c r="N2348">
        <v>3</v>
      </c>
      <c r="O2348">
        <v>3</v>
      </c>
      <c r="P2348">
        <v>4</v>
      </c>
      <c r="Q2348">
        <v>0</v>
      </c>
      <c r="R2348">
        <v>43.18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H2348">
        <v>43.18</v>
      </c>
    </row>
    <row r="2349" spans="1:34" x14ac:dyDescent="0.3">
      <c r="A2349" s="4">
        <v>2563</v>
      </c>
      <c r="B2349" s="5">
        <v>2342</v>
      </c>
      <c r="C2349">
        <v>10840</v>
      </c>
      <c r="D2349" t="s">
        <v>1542</v>
      </c>
      <c r="E2349" t="s">
        <v>97</v>
      </c>
      <c r="F2349" t="s">
        <v>158</v>
      </c>
      <c r="G2349" t="s">
        <v>15052</v>
      </c>
      <c r="H2349">
        <v>19.03</v>
      </c>
      <c r="I2349">
        <v>0</v>
      </c>
      <c r="J2349">
        <v>0</v>
      </c>
      <c r="K2349">
        <v>0</v>
      </c>
      <c r="L2349">
        <v>7</v>
      </c>
      <c r="O2349">
        <v>7</v>
      </c>
      <c r="P2349">
        <v>4</v>
      </c>
      <c r="Q2349">
        <v>2</v>
      </c>
      <c r="R2349">
        <v>32.03</v>
      </c>
      <c r="S2349">
        <v>5</v>
      </c>
      <c r="T2349">
        <v>5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5</v>
      </c>
      <c r="AB2349">
        <v>6</v>
      </c>
      <c r="AC2349">
        <v>0</v>
      </c>
      <c r="AH2349">
        <v>43.03</v>
      </c>
    </row>
    <row r="2350" spans="1:34" x14ac:dyDescent="0.3">
      <c r="A2350" s="4">
        <v>2564</v>
      </c>
      <c r="B2350" s="5">
        <v>2343</v>
      </c>
      <c r="C2350">
        <v>2202</v>
      </c>
      <c r="D2350" t="s">
        <v>9852</v>
      </c>
      <c r="E2350" t="s">
        <v>132</v>
      </c>
      <c r="F2350" t="s">
        <v>416</v>
      </c>
      <c r="G2350" t="s">
        <v>15053</v>
      </c>
      <c r="H2350">
        <v>19</v>
      </c>
      <c r="I2350">
        <v>0</v>
      </c>
      <c r="J2350">
        <v>0</v>
      </c>
      <c r="K2350">
        <v>0</v>
      </c>
      <c r="L2350">
        <v>7</v>
      </c>
      <c r="M2350">
        <v>5</v>
      </c>
      <c r="O2350">
        <v>12</v>
      </c>
      <c r="P2350">
        <v>4</v>
      </c>
      <c r="Q2350">
        <v>2</v>
      </c>
      <c r="R2350">
        <v>37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6</v>
      </c>
      <c r="AC2350">
        <v>0</v>
      </c>
      <c r="AH2350">
        <v>43</v>
      </c>
    </row>
    <row r="2351" spans="1:34" x14ac:dyDescent="0.3">
      <c r="A2351" s="4">
        <v>2565</v>
      </c>
      <c r="B2351" s="5">
        <v>2344</v>
      </c>
      <c r="C2351">
        <v>708</v>
      </c>
      <c r="D2351" t="s">
        <v>15054</v>
      </c>
      <c r="E2351" t="s">
        <v>149</v>
      </c>
      <c r="F2351" t="s">
        <v>38</v>
      </c>
      <c r="G2351" t="s">
        <v>15055</v>
      </c>
      <c r="H2351">
        <v>17.95</v>
      </c>
      <c r="I2351">
        <v>0</v>
      </c>
      <c r="J2351">
        <v>0</v>
      </c>
      <c r="K2351">
        <v>0</v>
      </c>
      <c r="L2351">
        <v>7</v>
      </c>
      <c r="O2351">
        <v>7</v>
      </c>
      <c r="P2351">
        <v>4</v>
      </c>
      <c r="Q2351">
        <v>2</v>
      </c>
      <c r="R2351">
        <v>30.95</v>
      </c>
      <c r="S2351">
        <v>12</v>
      </c>
      <c r="T2351">
        <v>12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12</v>
      </c>
      <c r="AB2351">
        <v>0</v>
      </c>
      <c r="AC2351">
        <v>0</v>
      </c>
      <c r="AH2351">
        <v>42.95</v>
      </c>
    </row>
    <row r="2352" spans="1:34" x14ac:dyDescent="0.3">
      <c r="A2352" s="4">
        <v>2566</v>
      </c>
      <c r="B2352" s="5">
        <v>2345</v>
      </c>
      <c r="C2352">
        <v>5487</v>
      </c>
      <c r="D2352" t="s">
        <v>15056</v>
      </c>
      <c r="E2352" t="s">
        <v>789</v>
      </c>
      <c r="F2352" t="s">
        <v>17</v>
      </c>
      <c r="G2352" t="s">
        <v>15057</v>
      </c>
      <c r="H2352">
        <v>18.93</v>
      </c>
      <c r="I2352">
        <v>0</v>
      </c>
      <c r="J2352">
        <v>0</v>
      </c>
      <c r="K2352">
        <v>0</v>
      </c>
      <c r="L2352">
        <v>7</v>
      </c>
      <c r="O2352">
        <v>7</v>
      </c>
      <c r="P2352">
        <v>4</v>
      </c>
      <c r="Q2352">
        <v>2</v>
      </c>
      <c r="R2352">
        <v>31.93</v>
      </c>
      <c r="S2352">
        <v>11</v>
      </c>
      <c r="T2352">
        <v>11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11</v>
      </c>
      <c r="AB2352">
        <v>0</v>
      </c>
      <c r="AC2352">
        <v>0</v>
      </c>
      <c r="AD2352" t="s">
        <v>130</v>
      </c>
      <c r="AH2352">
        <v>42.93</v>
      </c>
    </row>
    <row r="2353" spans="1:34" x14ac:dyDescent="0.3">
      <c r="A2353" s="4">
        <v>2567</v>
      </c>
      <c r="B2353" s="5">
        <v>2346</v>
      </c>
      <c r="C2353">
        <v>13346</v>
      </c>
      <c r="D2353" t="s">
        <v>15058</v>
      </c>
      <c r="E2353" t="s">
        <v>17</v>
      </c>
      <c r="F2353" t="s">
        <v>91</v>
      </c>
      <c r="G2353" t="s">
        <v>15059</v>
      </c>
      <c r="H2353">
        <v>18.93</v>
      </c>
      <c r="I2353">
        <v>0</v>
      </c>
      <c r="J2353">
        <v>0</v>
      </c>
      <c r="K2353">
        <v>0</v>
      </c>
      <c r="L2353">
        <v>7</v>
      </c>
      <c r="O2353">
        <v>7</v>
      </c>
      <c r="P2353">
        <v>4</v>
      </c>
      <c r="Q2353">
        <v>2</v>
      </c>
      <c r="R2353">
        <v>31.93</v>
      </c>
      <c r="S2353">
        <v>11</v>
      </c>
      <c r="T2353">
        <v>11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11</v>
      </c>
      <c r="AB2353">
        <v>0</v>
      </c>
      <c r="AC2353">
        <v>0</v>
      </c>
      <c r="AH2353">
        <v>42.93</v>
      </c>
    </row>
    <row r="2354" spans="1:34" x14ac:dyDescent="0.3">
      <c r="A2354" s="4">
        <v>2568</v>
      </c>
      <c r="B2354" s="5">
        <v>2347</v>
      </c>
      <c r="C2354">
        <v>15455</v>
      </c>
      <c r="D2354" t="s">
        <v>15060</v>
      </c>
      <c r="E2354" t="s">
        <v>110</v>
      </c>
      <c r="F2354" t="s">
        <v>58</v>
      </c>
      <c r="G2354" t="s">
        <v>15061</v>
      </c>
      <c r="H2354">
        <v>17.899999999999999</v>
      </c>
      <c r="I2354">
        <v>0</v>
      </c>
      <c r="J2354">
        <v>0</v>
      </c>
      <c r="K2354">
        <v>0</v>
      </c>
      <c r="L2354">
        <v>14</v>
      </c>
      <c r="O2354">
        <v>14</v>
      </c>
      <c r="P2354">
        <v>0</v>
      </c>
      <c r="Q2354">
        <v>0</v>
      </c>
      <c r="R2354">
        <v>31.9</v>
      </c>
      <c r="S2354">
        <v>11</v>
      </c>
      <c r="T2354">
        <v>11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11</v>
      </c>
      <c r="AB2354">
        <v>0</v>
      </c>
      <c r="AC2354">
        <v>0</v>
      </c>
      <c r="AH2354">
        <v>42.9</v>
      </c>
    </row>
    <row r="2355" spans="1:34" x14ac:dyDescent="0.3">
      <c r="A2355" s="4">
        <v>2569</v>
      </c>
      <c r="B2355" s="5">
        <v>2348</v>
      </c>
      <c r="C2355">
        <v>7744</v>
      </c>
      <c r="D2355" t="s">
        <v>8083</v>
      </c>
      <c r="E2355" t="s">
        <v>188</v>
      </c>
      <c r="F2355" t="s">
        <v>117</v>
      </c>
      <c r="G2355" t="s">
        <v>15062</v>
      </c>
      <c r="H2355">
        <v>18.829999999999998</v>
      </c>
      <c r="I2355">
        <v>0</v>
      </c>
      <c r="J2355">
        <v>0</v>
      </c>
      <c r="K2355">
        <v>0</v>
      </c>
      <c r="O2355">
        <v>0</v>
      </c>
      <c r="P2355">
        <v>4</v>
      </c>
      <c r="Q2355">
        <v>2</v>
      </c>
      <c r="R2355">
        <v>24.83</v>
      </c>
      <c r="S2355">
        <v>18</v>
      </c>
      <c r="T2355">
        <v>18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18</v>
      </c>
      <c r="AB2355">
        <v>0</v>
      </c>
      <c r="AC2355">
        <v>0</v>
      </c>
      <c r="AD2355" t="s">
        <v>130</v>
      </c>
      <c r="AH2355">
        <v>42.83</v>
      </c>
    </row>
    <row r="2356" spans="1:34" x14ac:dyDescent="0.3">
      <c r="A2356" s="4">
        <v>2570</v>
      </c>
      <c r="B2356" s="5">
        <v>2349</v>
      </c>
      <c r="C2356">
        <v>4590</v>
      </c>
      <c r="D2356" t="s">
        <v>15063</v>
      </c>
      <c r="E2356" t="s">
        <v>29</v>
      </c>
      <c r="F2356" t="s">
        <v>158</v>
      </c>
      <c r="G2356" t="s">
        <v>15064</v>
      </c>
      <c r="H2356">
        <v>18.75</v>
      </c>
      <c r="I2356">
        <v>0</v>
      </c>
      <c r="J2356">
        <v>0</v>
      </c>
      <c r="K2356">
        <v>0</v>
      </c>
      <c r="L2356">
        <v>7</v>
      </c>
      <c r="O2356">
        <v>7</v>
      </c>
      <c r="P2356">
        <v>4</v>
      </c>
      <c r="Q2356">
        <v>2</v>
      </c>
      <c r="R2356">
        <v>31.75</v>
      </c>
      <c r="S2356">
        <v>11</v>
      </c>
      <c r="T2356">
        <v>11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11</v>
      </c>
      <c r="AB2356">
        <v>0</v>
      </c>
      <c r="AC2356">
        <v>0</v>
      </c>
      <c r="AH2356">
        <v>42.75</v>
      </c>
    </row>
    <row r="2357" spans="1:34" x14ac:dyDescent="0.3">
      <c r="A2357" s="4">
        <v>2571</v>
      </c>
      <c r="B2357" s="5">
        <v>2350</v>
      </c>
      <c r="C2357">
        <v>3546</v>
      </c>
      <c r="D2357" t="s">
        <v>15065</v>
      </c>
      <c r="E2357" t="s">
        <v>26</v>
      </c>
      <c r="F2357" t="s">
        <v>38</v>
      </c>
      <c r="G2357" t="s">
        <v>15066</v>
      </c>
      <c r="H2357">
        <v>16.73</v>
      </c>
      <c r="I2357">
        <v>0</v>
      </c>
      <c r="J2357">
        <v>0</v>
      </c>
      <c r="K2357">
        <v>0</v>
      </c>
      <c r="L2357">
        <v>7</v>
      </c>
      <c r="O2357">
        <v>7</v>
      </c>
      <c r="P2357">
        <v>4</v>
      </c>
      <c r="Q2357">
        <v>0</v>
      </c>
      <c r="R2357">
        <v>27.73</v>
      </c>
      <c r="S2357">
        <v>15</v>
      </c>
      <c r="T2357">
        <v>15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15</v>
      </c>
      <c r="AB2357">
        <v>0</v>
      </c>
      <c r="AC2357">
        <v>0</v>
      </c>
      <c r="AH2357">
        <v>42.73</v>
      </c>
    </row>
    <row r="2358" spans="1:34" x14ac:dyDescent="0.3">
      <c r="A2358" s="4">
        <v>2572</v>
      </c>
      <c r="B2358" s="5">
        <v>2351</v>
      </c>
      <c r="C2358">
        <v>15157</v>
      </c>
      <c r="D2358" t="s">
        <v>15067</v>
      </c>
      <c r="E2358" t="s">
        <v>188</v>
      </c>
      <c r="F2358" t="s">
        <v>38</v>
      </c>
      <c r="G2358" t="s">
        <v>15068</v>
      </c>
      <c r="H2358">
        <v>18.7</v>
      </c>
      <c r="I2358">
        <v>0</v>
      </c>
      <c r="J2358">
        <v>0</v>
      </c>
      <c r="K2358">
        <v>20</v>
      </c>
      <c r="O2358">
        <v>0</v>
      </c>
      <c r="P2358">
        <v>4</v>
      </c>
      <c r="Q2358">
        <v>0</v>
      </c>
      <c r="R2358">
        <v>42.7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H2358">
        <v>42.7</v>
      </c>
    </row>
    <row r="2359" spans="1:34" x14ac:dyDescent="0.3">
      <c r="A2359" s="4">
        <v>2573</v>
      </c>
      <c r="B2359" s="5">
        <v>2352</v>
      </c>
      <c r="C2359">
        <v>12851</v>
      </c>
      <c r="D2359" t="s">
        <v>15069</v>
      </c>
      <c r="E2359" t="s">
        <v>5505</v>
      </c>
      <c r="F2359" t="s">
        <v>3130</v>
      </c>
      <c r="G2359" t="s">
        <v>15070</v>
      </c>
      <c r="H2359">
        <v>15.68</v>
      </c>
      <c r="I2359">
        <v>0</v>
      </c>
      <c r="J2359">
        <v>0</v>
      </c>
      <c r="K2359">
        <v>0</v>
      </c>
      <c r="M2359">
        <v>5</v>
      </c>
      <c r="O2359">
        <v>5</v>
      </c>
      <c r="P2359">
        <v>4</v>
      </c>
      <c r="Q2359">
        <v>2</v>
      </c>
      <c r="R2359">
        <v>26.68</v>
      </c>
      <c r="S2359">
        <v>10</v>
      </c>
      <c r="T2359">
        <v>10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10</v>
      </c>
      <c r="AB2359">
        <v>6</v>
      </c>
      <c r="AC2359">
        <v>0</v>
      </c>
      <c r="AH2359">
        <v>42.68</v>
      </c>
    </row>
    <row r="2360" spans="1:34" x14ac:dyDescent="0.3">
      <c r="A2360" s="4">
        <v>2574</v>
      </c>
      <c r="B2360" s="5">
        <v>2353</v>
      </c>
      <c r="C2360">
        <v>10454</v>
      </c>
      <c r="D2360" t="s">
        <v>8106</v>
      </c>
      <c r="E2360" t="s">
        <v>1659</v>
      </c>
      <c r="F2360" t="s">
        <v>81</v>
      </c>
      <c r="G2360" t="s">
        <v>15071</v>
      </c>
      <c r="H2360">
        <v>16.63</v>
      </c>
      <c r="I2360">
        <v>0</v>
      </c>
      <c r="J2360">
        <v>0</v>
      </c>
      <c r="K2360">
        <v>0</v>
      </c>
      <c r="L2360">
        <v>7</v>
      </c>
      <c r="O2360">
        <v>7</v>
      </c>
      <c r="P2360">
        <v>4</v>
      </c>
      <c r="Q2360">
        <v>2</v>
      </c>
      <c r="R2360">
        <v>29.63</v>
      </c>
      <c r="S2360">
        <v>10</v>
      </c>
      <c r="T2360">
        <v>10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10</v>
      </c>
      <c r="AB2360">
        <v>3</v>
      </c>
      <c r="AC2360">
        <v>0</v>
      </c>
      <c r="AH2360">
        <v>42.63</v>
      </c>
    </row>
    <row r="2361" spans="1:34" x14ac:dyDescent="0.3">
      <c r="A2361" s="4">
        <v>2575</v>
      </c>
      <c r="B2361" s="5">
        <v>2354</v>
      </c>
      <c r="C2361">
        <v>12556</v>
      </c>
      <c r="D2361" t="s">
        <v>15072</v>
      </c>
      <c r="E2361" t="s">
        <v>15073</v>
      </c>
      <c r="F2361" t="s">
        <v>30</v>
      </c>
      <c r="G2361" t="s">
        <v>15074</v>
      </c>
      <c r="H2361">
        <v>15.6</v>
      </c>
      <c r="I2361">
        <v>0</v>
      </c>
      <c r="J2361">
        <v>0</v>
      </c>
      <c r="K2361">
        <v>0</v>
      </c>
      <c r="M2361">
        <v>5</v>
      </c>
      <c r="N2361">
        <v>3</v>
      </c>
      <c r="O2361">
        <v>8</v>
      </c>
      <c r="P2361">
        <v>4</v>
      </c>
      <c r="Q2361">
        <v>0</v>
      </c>
      <c r="R2361">
        <v>27.6</v>
      </c>
      <c r="S2361">
        <v>15</v>
      </c>
      <c r="T2361">
        <v>15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15</v>
      </c>
      <c r="AB2361">
        <v>0</v>
      </c>
      <c r="AC2361">
        <v>0</v>
      </c>
      <c r="AH2361">
        <v>42.6</v>
      </c>
    </row>
    <row r="2362" spans="1:34" x14ac:dyDescent="0.3">
      <c r="A2362" s="4">
        <v>2576</v>
      </c>
      <c r="B2362" s="5">
        <v>2355</v>
      </c>
      <c r="C2362">
        <v>4074</v>
      </c>
      <c r="D2362" t="s">
        <v>15075</v>
      </c>
      <c r="E2362" t="s">
        <v>88</v>
      </c>
      <c r="F2362" t="s">
        <v>1450</v>
      </c>
      <c r="G2362" t="s">
        <v>15076</v>
      </c>
      <c r="H2362">
        <v>16.579999999999998</v>
      </c>
      <c r="I2362">
        <v>0</v>
      </c>
      <c r="J2362">
        <v>0</v>
      </c>
      <c r="K2362">
        <v>0</v>
      </c>
      <c r="L2362">
        <v>7</v>
      </c>
      <c r="O2362">
        <v>7</v>
      </c>
      <c r="P2362">
        <v>4</v>
      </c>
      <c r="Q2362">
        <v>2</v>
      </c>
      <c r="R2362">
        <v>29.58</v>
      </c>
      <c r="S2362">
        <v>13</v>
      </c>
      <c r="T2362">
        <v>13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13</v>
      </c>
      <c r="AB2362">
        <v>0</v>
      </c>
      <c r="AC2362">
        <v>0</v>
      </c>
      <c r="AH2362">
        <v>42.58</v>
      </c>
    </row>
    <row r="2363" spans="1:34" x14ac:dyDescent="0.3">
      <c r="A2363" s="4">
        <v>2577</v>
      </c>
      <c r="B2363" s="5">
        <v>2356</v>
      </c>
      <c r="C2363">
        <v>5775</v>
      </c>
      <c r="D2363" t="s">
        <v>15077</v>
      </c>
      <c r="E2363" t="s">
        <v>15078</v>
      </c>
      <c r="F2363" t="s">
        <v>17</v>
      </c>
      <c r="G2363" t="s">
        <v>15079</v>
      </c>
      <c r="H2363">
        <v>18.55</v>
      </c>
      <c r="I2363">
        <v>0</v>
      </c>
      <c r="J2363">
        <v>0</v>
      </c>
      <c r="K2363">
        <v>0</v>
      </c>
      <c r="L2363">
        <v>7</v>
      </c>
      <c r="M2363">
        <v>5</v>
      </c>
      <c r="O2363">
        <v>12</v>
      </c>
      <c r="P2363">
        <v>4</v>
      </c>
      <c r="Q2363">
        <v>2</v>
      </c>
      <c r="R2363">
        <v>36.549999999999997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6</v>
      </c>
      <c r="AC2363">
        <v>0</v>
      </c>
      <c r="AH2363">
        <v>42.55</v>
      </c>
    </row>
    <row r="2364" spans="1:34" x14ac:dyDescent="0.3">
      <c r="A2364" s="4">
        <v>2578</v>
      </c>
      <c r="B2364" s="5">
        <v>2357</v>
      </c>
      <c r="C2364">
        <v>12841</v>
      </c>
      <c r="D2364" t="s">
        <v>4949</v>
      </c>
      <c r="E2364" t="s">
        <v>166</v>
      </c>
      <c r="F2364" t="s">
        <v>782</v>
      </c>
      <c r="G2364" t="s">
        <v>15080</v>
      </c>
      <c r="H2364">
        <v>19.55</v>
      </c>
      <c r="I2364">
        <v>0</v>
      </c>
      <c r="J2364">
        <v>0</v>
      </c>
      <c r="K2364">
        <v>0</v>
      </c>
      <c r="L2364">
        <v>7</v>
      </c>
      <c r="O2364">
        <v>7</v>
      </c>
      <c r="P2364">
        <v>4</v>
      </c>
      <c r="Q2364">
        <v>2</v>
      </c>
      <c r="R2364">
        <v>32.549999999999997</v>
      </c>
      <c r="S2364">
        <v>10</v>
      </c>
      <c r="T2364">
        <v>10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10</v>
      </c>
      <c r="AB2364">
        <v>0</v>
      </c>
      <c r="AC2364">
        <v>0</v>
      </c>
      <c r="AH2364">
        <v>42.55</v>
      </c>
    </row>
    <row r="2365" spans="1:34" x14ac:dyDescent="0.3">
      <c r="A2365" s="4">
        <v>2579</v>
      </c>
      <c r="B2365" s="5">
        <v>2358</v>
      </c>
      <c r="C2365">
        <v>1546</v>
      </c>
      <c r="D2365" t="s">
        <v>15081</v>
      </c>
      <c r="E2365" t="s">
        <v>29</v>
      </c>
      <c r="F2365" t="s">
        <v>68</v>
      </c>
      <c r="G2365" t="s">
        <v>15082</v>
      </c>
      <c r="H2365">
        <v>22.53</v>
      </c>
      <c r="I2365">
        <v>0</v>
      </c>
      <c r="J2365">
        <v>0</v>
      </c>
      <c r="K2365">
        <v>0</v>
      </c>
      <c r="L2365">
        <v>14</v>
      </c>
      <c r="O2365">
        <v>14</v>
      </c>
      <c r="P2365">
        <v>4</v>
      </c>
      <c r="Q2365">
        <v>2</v>
      </c>
      <c r="R2365">
        <v>42.53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H2365">
        <v>42.53</v>
      </c>
    </row>
    <row r="2366" spans="1:34" x14ac:dyDescent="0.3">
      <c r="A2366" s="4">
        <v>2580</v>
      </c>
      <c r="B2366" s="5">
        <v>2359</v>
      </c>
      <c r="C2366">
        <v>14939</v>
      </c>
      <c r="D2366" t="s">
        <v>15083</v>
      </c>
      <c r="E2366" t="s">
        <v>29</v>
      </c>
      <c r="F2366" t="s">
        <v>68</v>
      </c>
      <c r="G2366" t="s">
        <v>15084</v>
      </c>
      <c r="H2366">
        <v>19.53</v>
      </c>
      <c r="I2366">
        <v>0</v>
      </c>
      <c r="J2366">
        <v>0</v>
      </c>
      <c r="K2366">
        <v>0</v>
      </c>
      <c r="L2366">
        <v>7</v>
      </c>
      <c r="O2366">
        <v>7</v>
      </c>
      <c r="P2366">
        <v>4</v>
      </c>
      <c r="Q2366">
        <v>0</v>
      </c>
      <c r="R2366">
        <v>30.53</v>
      </c>
      <c r="S2366">
        <v>12</v>
      </c>
      <c r="T2366">
        <v>12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12</v>
      </c>
      <c r="AB2366">
        <v>0</v>
      </c>
      <c r="AC2366">
        <v>0</v>
      </c>
      <c r="AH2366">
        <v>42.53</v>
      </c>
    </row>
    <row r="2367" spans="1:34" x14ac:dyDescent="0.3">
      <c r="A2367" s="4">
        <v>2581</v>
      </c>
      <c r="B2367" s="5">
        <v>2360</v>
      </c>
      <c r="C2367">
        <v>7514</v>
      </c>
      <c r="D2367" t="s">
        <v>15085</v>
      </c>
      <c r="E2367" t="s">
        <v>161</v>
      </c>
      <c r="F2367" t="s">
        <v>782</v>
      </c>
      <c r="G2367" t="s">
        <v>15086</v>
      </c>
      <c r="H2367">
        <v>19.5</v>
      </c>
      <c r="I2367">
        <v>0</v>
      </c>
      <c r="J2367">
        <v>0</v>
      </c>
      <c r="K2367">
        <v>0</v>
      </c>
      <c r="N2367">
        <v>6</v>
      </c>
      <c r="O2367">
        <v>6</v>
      </c>
      <c r="P2367">
        <v>4</v>
      </c>
      <c r="Q2367">
        <v>2</v>
      </c>
      <c r="R2367">
        <v>31.5</v>
      </c>
      <c r="S2367">
        <v>11</v>
      </c>
      <c r="T2367">
        <v>11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11</v>
      </c>
      <c r="AB2367">
        <v>0</v>
      </c>
      <c r="AC2367">
        <v>0</v>
      </c>
      <c r="AH2367">
        <v>42.5</v>
      </c>
    </row>
    <row r="2368" spans="1:34" x14ac:dyDescent="0.3">
      <c r="A2368" s="4">
        <v>2582</v>
      </c>
      <c r="B2368" s="5">
        <v>2361</v>
      </c>
      <c r="C2368">
        <v>4346</v>
      </c>
      <c r="D2368" t="s">
        <v>15087</v>
      </c>
      <c r="E2368" t="s">
        <v>29</v>
      </c>
      <c r="F2368" t="s">
        <v>4546</v>
      </c>
      <c r="G2368" t="s">
        <v>15088</v>
      </c>
      <c r="H2368">
        <v>18.45</v>
      </c>
      <c r="I2368">
        <v>0</v>
      </c>
      <c r="J2368">
        <v>0</v>
      </c>
      <c r="K2368">
        <v>0</v>
      </c>
      <c r="M2368">
        <v>5</v>
      </c>
      <c r="O2368">
        <v>5</v>
      </c>
      <c r="P2368">
        <v>4</v>
      </c>
      <c r="Q2368">
        <v>0</v>
      </c>
      <c r="R2368">
        <v>27.45</v>
      </c>
      <c r="S2368">
        <v>6</v>
      </c>
      <c r="T2368">
        <v>6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6</v>
      </c>
      <c r="AB2368">
        <v>9</v>
      </c>
      <c r="AC2368">
        <v>0</v>
      </c>
      <c r="AH2368">
        <v>42.45</v>
      </c>
    </row>
    <row r="2369" spans="1:34" x14ac:dyDescent="0.3">
      <c r="A2369" s="4">
        <v>2583</v>
      </c>
      <c r="B2369" s="5">
        <v>2362</v>
      </c>
      <c r="C2369">
        <v>11837</v>
      </c>
      <c r="D2369" t="s">
        <v>15089</v>
      </c>
      <c r="E2369" t="s">
        <v>258</v>
      </c>
      <c r="F2369" t="s">
        <v>310</v>
      </c>
      <c r="G2369" t="s">
        <v>15090</v>
      </c>
      <c r="H2369">
        <v>19.45</v>
      </c>
      <c r="I2369">
        <v>0</v>
      </c>
      <c r="J2369">
        <v>0</v>
      </c>
      <c r="K2369">
        <v>20</v>
      </c>
      <c r="N2369">
        <v>3</v>
      </c>
      <c r="O2369">
        <v>3</v>
      </c>
      <c r="P2369">
        <v>0</v>
      </c>
      <c r="Q2369">
        <v>0</v>
      </c>
      <c r="R2369">
        <v>42.45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H2369">
        <v>42.45</v>
      </c>
    </row>
    <row r="2370" spans="1:34" x14ac:dyDescent="0.3">
      <c r="A2370" s="4">
        <v>2584</v>
      </c>
      <c r="B2370" s="5">
        <v>2363</v>
      </c>
      <c r="C2370">
        <v>5206</v>
      </c>
      <c r="D2370" t="s">
        <v>15091</v>
      </c>
      <c r="E2370" t="s">
        <v>29</v>
      </c>
      <c r="F2370" t="s">
        <v>136</v>
      </c>
      <c r="G2370" t="s">
        <v>15092</v>
      </c>
      <c r="H2370">
        <v>17.43</v>
      </c>
      <c r="I2370">
        <v>0</v>
      </c>
      <c r="J2370">
        <v>0</v>
      </c>
      <c r="K2370">
        <v>0</v>
      </c>
      <c r="N2370">
        <v>3</v>
      </c>
      <c r="O2370">
        <v>3</v>
      </c>
      <c r="P2370">
        <v>4</v>
      </c>
      <c r="Q2370">
        <v>2</v>
      </c>
      <c r="R2370">
        <v>26.43</v>
      </c>
      <c r="S2370">
        <v>10</v>
      </c>
      <c r="T2370">
        <v>10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10</v>
      </c>
      <c r="AB2370">
        <v>6</v>
      </c>
      <c r="AC2370">
        <v>0</v>
      </c>
      <c r="AH2370">
        <v>42.43</v>
      </c>
    </row>
    <row r="2371" spans="1:34" x14ac:dyDescent="0.3">
      <c r="A2371" s="4">
        <v>2585</v>
      </c>
      <c r="B2371" s="5">
        <v>2364</v>
      </c>
      <c r="C2371">
        <v>12271</v>
      </c>
      <c r="D2371" t="s">
        <v>15093</v>
      </c>
      <c r="E2371" t="s">
        <v>15094</v>
      </c>
      <c r="F2371" t="s">
        <v>539</v>
      </c>
      <c r="G2371" t="s">
        <v>15095</v>
      </c>
      <c r="H2371">
        <v>24.35</v>
      </c>
      <c r="I2371">
        <v>0</v>
      </c>
      <c r="J2371">
        <v>0</v>
      </c>
      <c r="K2371">
        <v>0</v>
      </c>
      <c r="L2371">
        <v>14</v>
      </c>
      <c r="O2371">
        <v>14</v>
      </c>
      <c r="P2371">
        <v>4</v>
      </c>
      <c r="Q2371">
        <v>0</v>
      </c>
      <c r="R2371">
        <v>42.35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H2371">
        <v>42.35</v>
      </c>
    </row>
    <row r="2372" spans="1:34" x14ac:dyDescent="0.3">
      <c r="A2372" s="4">
        <v>2586</v>
      </c>
      <c r="B2372" s="5">
        <v>2365</v>
      </c>
      <c r="C2372">
        <v>3812</v>
      </c>
      <c r="D2372" t="s">
        <v>15096</v>
      </c>
      <c r="E2372" t="s">
        <v>15097</v>
      </c>
      <c r="F2372" t="s">
        <v>15098</v>
      </c>
      <c r="G2372" t="s">
        <v>15099</v>
      </c>
      <c r="H2372">
        <v>15.35</v>
      </c>
      <c r="I2372">
        <v>0</v>
      </c>
      <c r="J2372">
        <v>0</v>
      </c>
      <c r="K2372">
        <v>20</v>
      </c>
      <c r="N2372">
        <v>3</v>
      </c>
      <c r="O2372">
        <v>3</v>
      </c>
      <c r="P2372">
        <v>4</v>
      </c>
      <c r="Q2372">
        <v>0</v>
      </c>
      <c r="R2372">
        <v>42.35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H2372">
        <v>42.35</v>
      </c>
    </row>
    <row r="2373" spans="1:34" x14ac:dyDescent="0.3">
      <c r="A2373" s="4">
        <v>2587</v>
      </c>
      <c r="B2373" s="5">
        <v>2366</v>
      </c>
      <c r="C2373">
        <v>8991</v>
      </c>
      <c r="D2373" t="s">
        <v>15100</v>
      </c>
      <c r="E2373" t="s">
        <v>126</v>
      </c>
      <c r="F2373" t="s">
        <v>38</v>
      </c>
      <c r="G2373" t="s">
        <v>15101</v>
      </c>
      <c r="H2373">
        <v>18.350000000000001</v>
      </c>
      <c r="I2373">
        <v>0</v>
      </c>
      <c r="J2373">
        <v>0</v>
      </c>
      <c r="K2373">
        <v>0</v>
      </c>
      <c r="L2373">
        <v>7</v>
      </c>
      <c r="O2373">
        <v>7</v>
      </c>
      <c r="P2373">
        <v>4</v>
      </c>
      <c r="Q2373">
        <v>2</v>
      </c>
      <c r="R2373">
        <v>31.35</v>
      </c>
      <c r="S2373">
        <v>11</v>
      </c>
      <c r="T2373">
        <v>11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11</v>
      </c>
      <c r="AB2373">
        <v>0</v>
      </c>
      <c r="AC2373">
        <v>0</v>
      </c>
      <c r="AH2373">
        <v>42.35</v>
      </c>
    </row>
    <row r="2374" spans="1:34" x14ac:dyDescent="0.3">
      <c r="A2374" s="4">
        <v>2588</v>
      </c>
      <c r="B2374" s="5">
        <v>2367</v>
      </c>
      <c r="C2374">
        <v>10266</v>
      </c>
      <c r="D2374" t="s">
        <v>7037</v>
      </c>
      <c r="E2374" t="s">
        <v>158</v>
      </c>
      <c r="F2374" t="s">
        <v>17</v>
      </c>
      <c r="G2374" t="s">
        <v>15102</v>
      </c>
      <c r="H2374">
        <v>16.329999999999998</v>
      </c>
      <c r="I2374">
        <v>0</v>
      </c>
      <c r="J2374">
        <v>0</v>
      </c>
      <c r="K2374">
        <v>20</v>
      </c>
      <c r="O2374">
        <v>0</v>
      </c>
      <c r="P2374">
        <v>4</v>
      </c>
      <c r="Q2374">
        <v>2</v>
      </c>
      <c r="R2374">
        <v>42.33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H2374">
        <v>42.33</v>
      </c>
    </row>
    <row r="2375" spans="1:34" x14ac:dyDescent="0.3">
      <c r="A2375" s="4">
        <v>2589</v>
      </c>
      <c r="B2375" s="5">
        <v>2368</v>
      </c>
      <c r="C2375">
        <v>14343</v>
      </c>
      <c r="D2375" t="s">
        <v>15103</v>
      </c>
      <c r="E2375" t="s">
        <v>15104</v>
      </c>
      <c r="F2375" t="s">
        <v>20</v>
      </c>
      <c r="G2375" t="s">
        <v>15105</v>
      </c>
      <c r="H2375">
        <v>17.3</v>
      </c>
      <c r="I2375">
        <v>0</v>
      </c>
      <c r="J2375">
        <v>0</v>
      </c>
      <c r="K2375">
        <v>0</v>
      </c>
      <c r="L2375">
        <v>7</v>
      </c>
      <c r="O2375">
        <v>7</v>
      </c>
      <c r="P2375">
        <v>4</v>
      </c>
      <c r="Q2375">
        <v>0</v>
      </c>
      <c r="R2375">
        <v>28.3</v>
      </c>
      <c r="S2375">
        <v>14</v>
      </c>
      <c r="T2375">
        <v>14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14</v>
      </c>
      <c r="AB2375">
        <v>0</v>
      </c>
      <c r="AC2375">
        <v>0</v>
      </c>
      <c r="AD2375" t="s">
        <v>130</v>
      </c>
      <c r="AH2375">
        <v>42.3</v>
      </c>
    </row>
    <row r="2376" spans="1:34" x14ac:dyDescent="0.3">
      <c r="A2376" s="4">
        <v>2590</v>
      </c>
      <c r="B2376" s="5">
        <v>2369</v>
      </c>
      <c r="C2376">
        <v>8785</v>
      </c>
      <c r="D2376" t="s">
        <v>5342</v>
      </c>
      <c r="E2376" t="s">
        <v>2150</v>
      </c>
      <c r="F2376" t="s">
        <v>17</v>
      </c>
      <c r="G2376" t="s">
        <v>15106</v>
      </c>
      <c r="H2376">
        <v>18.25</v>
      </c>
      <c r="I2376">
        <v>0</v>
      </c>
      <c r="J2376">
        <v>0</v>
      </c>
      <c r="K2376">
        <v>0</v>
      </c>
      <c r="L2376">
        <v>14</v>
      </c>
      <c r="O2376">
        <v>14</v>
      </c>
      <c r="P2376">
        <v>4</v>
      </c>
      <c r="Q2376">
        <v>0</v>
      </c>
      <c r="R2376">
        <v>36.25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6</v>
      </c>
      <c r="AC2376">
        <v>0</v>
      </c>
      <c r="AH2376">
        <v>42.25</v>
      </c>
    </row>
    <row r="2377" spans="1:34" x14ac:dyDescent="0.3">
      <c r="A2377" s="4">
        <v>2591</v>
      </c>
      <c r="B2377" s="5">
        <v>2370</v>
      </c>
      <c r="C2377">
        <v>11564</v>
      </c>
      <c r="D2377" t="s">
        <v>15107</v>
      </c>
      <c r="E2377" t="s">
        <v>182</v>
      </c>
      <c r="F2377" t="s">
        <v>15108</v>
      </c>
      <c r="G2377" t="s">
        <v>15109</v>
      </c>
      <c r="H2377">
        <v>21.25</v>
      </c>
      <c r="I2377">
        <v>7</v>
      </c>
      <c r="J2377">
        <v>0</v>
      </c>
      <c r="K2377">
        <v>0</v>
      </c>
      <c r="L2377">
        <v>7</v>
      </c>
      <c r="O2377">
        <v>7</v>
      </c>
      <c r="P2377">
        <v>4</v>
      </c>
      <c r="Q2377">
        <v>0</v>
      </c>
      <c r="R2377">
        <v>39.25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3</v>
      </c>
      <c r="AC2377">
        <v>0</v>
      </c>
      <c r="AH2377">
        <v>42.25</v>
      </c>
    </row>
    <row r="2378" spans="1:34" x14ac:dyDescent="0.3">
      <c r="A2378" s="4">
        <v>2592</v>
      </c>
      <c r="B2378" s="5">
        <v>2371</v>
      </c>
      <c r="C2378">
        <v>4580</v>
      </c>
      <c r="D2378" t="s">
        <v>7325</v>
      </c>
      <c r="E2378" t="s">
        <v>15110</v>
      </c>
      <c r="F2378" t="s">
        <v>328</v>
      </c>
      <c r="G2378" t="s">
        <v>15111</v>
      </c>
      <c r="H2378">
        <v>16.25</v>
      </c>
      <c r="I2378">
        <v>0</v>
      </c>
      <c r="J2378">
        <v>0</v>
      </c>
      <c r="K2378">
        <v>0</v>
      </c>
      <c r="N2378">
        <v>3</v>
      </c>
      <c r="O2378">
        <v>3</v>
      </c>
      <c r="P2378">
        <v>4</v>
      </c>
      <c r="Q2378">
        <v>2</v>
      </c>
      <c r="R2378">
        <v>25.25</v>
      </c>
      <c r="S2378">
        <v>17</v>
      </c>
      <c r="T2378">
        <v>17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17</v>
      </c>
      <c r="AB2378">
        <v>0</v>
      </c>
      <c r="AC2378">
        <v>0</v>
      </c>
      <c r="AH2378">
        <v>42.25</v>
      </c>
    </row>
    <row r="2379" spans="1:34" x14ac:dyDescent="0.3">
      <c r="A2379" s="4">
        <v>2593</v>
      </c>
      <c r="B2379" s="5">
        <v>2372</v>
      </c>
      <c r="C2379">
        <v>9146</v>
      </c>
      <c r="D2379" t="s">
        <v>15112</v>
      </c>
      <c r="E2379" t="s">
        <v>54</v>
      </c>
      <c r="F2379" t="s">
        <v>136</v>
      </c>
      <c r="G2379" t="s">
        <v>15113</v>
      </c>
      <c r="H2379">
        <v>15.23</v>
      </c>
      <c r="I2379">
        <v>0</v>
      </c>
      <c r="J2379">
        <v>0</v>
      </c>
      <c r="K2379">
        <v>20</v>
      </c>
      <c r="L2379">
        <v>7</v>
      </c>
      <c r="O2379">
        <v>7</v>
      </c>
      <c r="P2379">
        <v>0</v>
      </c>
      <c r="Q2379">
        <v>0</v>
      </c>
      <c r="R2379">
        <v>42.23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H2379">
        <v>42.23</v>
      </c>
    </row>
    <row r="2380" spans="1:34" x14ac:dyDescent="0.3">
      <c r="A2380" s="4">
        <v>2594</v>
      </c>
      <c r="B2380" s="5">
        <v>2373</v>
      </c>
      <c r="C2380">
        <v>11387</v>
      </c>
      <c r="D2380" t="s">
        <v>15114</v>
      </c>
      <c r="E2380" t="s">
        <v>41</v>
      </c>
      <c r="F2380" t="s">
        <v>892</v>
      </c>
      <c r="G2380" t="s">
        <v>15115</v>
      </c>
      <c r="H2380">
        <v>20.23</v>
      </c>
      <c r="I2380">
        <v>0</v>
      </c>
      <c r="J2380">
        <v>0</v>
      </c>
      <c r="K2380">
        <v>0</v>
      </c>
      <c r="L2380">
        <v>7</v>
      </c>
      <c r="N2380">
        <v>3</v>
      </c>
      <c r="O2380">
        <v>10</v>
      </c>
      <c r="P2380">
        <v>4</v>
      </c>
      <c r="Q2380">
        <v>0</v>
      </c>
      <c r="R2380">
        <v>34.229999999999997</v>
      </c>
      <c r="S2380">
        <v>8</v>
      </c>
      <c r="T2380">
        <v>8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8</v>
      </c>
      <c r="AB2380">
        <v>0</v>
      </c>
      <c r="AC2380">
        <v>0</v>
      </c>
      <c r="AH2380">
        <v>42.23</v>
      </c>
    </row>
    <row r="2381" spans="1:34" x14ac:dyDescent="0.3">
      <c r="A2381" s="4">
        <v>2595</v>
      </c>
      <c r="B2381" s="5">
        <v>2374</v>
      </c>
      <c r="C2381">
        <v>7207</v>
      </c>
      <c r="D2381" t="s">
        <v>15116</v>
      </c>
      <c r="E2381" t="s">
        <v>15117</v>
      </c>
      <c r="F2381" t="s">
        <v>15118</v>
      </c>
      <c r="G2381" t="s">
        <v>15119</v>
      </c>
      <c r="H2381">
        <v>17.18</v>
      </c>
      <c r="I2381">
        <v>0</v>
      </c>
      <c r="J2381">
        <v>0</v>
      </c>
      <c r="K2381">
        <v>20</v>
      </c>
      <c r="N2381">
        <v>3</v>
      </c>
      <c r="O2381">
        <v>3</v>
      </c>
      <c r="P2381">
        <v>0</v>
      </c>
      <c r="Q2381">
        <v>2</v>
      </c>
      <c r="R2381">
        <v>42.18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H2381">
        <v>42.18</v>
      </c>
    </row>
    <row r="2382" spans="1:34" x14ac:dyDescent="0.3">
      <c r="A2382" s="4">
        <v>2596</v>
      </c>
      <c r="B2382" s="5">
        <v>2375</v>
      </c>
      <c r="C2382">
        <v>452</v>
      </c>
      <c r="D2382" t="s">
        <v>2635</v>
      </c>
      <c r="E2382" t="s">
        <v>15120</v>
      </c>
      <c r="F2382" t="s">
        <v>81</v>
      </c>
      <c r="G2382" t="s">
        <v>15121</v>
      </c>
      <c r="H2382">
        <v>17.13</v>
      </c>
      <c r="I2382">
        <v>0</v>
      </c>
      <c r="J2382">
        <v>0</v>
      </c>
      <c r="K2382">
        <v>0</v>
      </c>
      <c r="L2382">
        <v>7</v>
      </c>
      <c r="O2382">
        <v>7</v>
      </c>
      <c r="P2382">
        <v>4</v>
      </c>
      <c r="Q2382">
        <v>2</v>
      </c>
      <c r="R2382">
        <v>30.13</v>
      </c>
      <c r="S2382">
        <v>6</v>
      </c>
      <c r="T2382">
        <v>6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6</v>
      </c>
      <c r="AB2382">
        <v>6</v>
      </c>
      <c r="AC2382">
        <v>0</v>
      </c>
      <c r="AH2382">
        <v>42.13</v>
      </c>
    </row>
    <row r="2383" spans="1:34" x14ac:dyDescent="0.3">
      <c r="A2383" s="4">
        <v>2597</v>
      </c>
      <c r="B2383" s="5">
        <v>2376</v>
      </c>
      <c r="C2383">
        <v>2051</v>
      </c>
      <c r="D2383" t="s">
        <v>15122</v>
      </c>
      <c r="E2383" t="s">
        <v>7864</v>
      </c>
      <c r="F2383" t="s">
        <v>30</v>
      </c>
      <c r="G2383" t="s">
        <v>15123</v>
      </c>
      <c r="H2383">
        <v>20.100000000000001</v>
      </c>
      <c r="I2383">
        <v>0</v>
      </c>
      <c r="J2383">
        <v>0</v>
      </c>
      <c r="K2383">
        <v>0</v>
      </c>
      <c r="L2383">
        <v>7</v>
      </c>
      <c r="N2383">
        <v>3</v>
      </c>
      <c r="O2383">
        <v>10</v>
      </c>
      <c r="P2383">
        <v>4</v>
      </c>
      <c r="Q2383">
        <v>2</v>
      </c>
      <c r="R2383">
        <v>36.1</v>
      </c>
      <c r="S2383">
        <v>6</v>
      </c>
      <c r="T2383">
        <v>6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6</v>
      </c>
      <c r="AB2383">
        <v>0</v>
      </c>
      <c r="AC2383">
        <v>0</v>
      </c>
      <c r="AH2383">
        <v>42.1</v>
      </c>
    </row>
    <row r="2384" spans="1:34" x14ac:dyDescent="0.3">
      <c r="A2384" s="4">
        <v>2598</v>
      </c>
      <c r="B2384" s="5">
        <v>2377</v>
      </c>
      <c r="C2384">
        <v>7068</v>
      </c>
      <c r="D2384" t="s">
        <v>4343</v>
      </c>
      <c r="E2384" t="s">
        <v>550</v>
      </c>
      <c r="F2384" t="s">
        <v>81</v>
      </c>
      <c r="G2384" t="s">
        <v>15124</v>
      </c>
      <c r="H2384">
        <v>19.100000000000001</v>
      </c>
      <c r="I2384">
        <v>0</v>
      </c>
      <c r="J2384">
        <v>0</v>
      </c>
      <c r="K2384">
        <v>0</v>
      </c>
      <c r="N2384">
        <v>6</v>
      </c>
      <c r="O2384">
        <v>6</v>
      </c>
      <c r="P2384">
        <v>4</v>
      </c>
      <c r="Q2384">
        <v>2</v>
      </c>
      <c r="R2384">
        <v>31.1</v>
      </c>
      <c r="S2384">
        <v>11</v>
      </c>
      <c r="T2384">
        <v>11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11</v>
      </c>
      <c r="AB2384">
        <v>0</v>
      </c>
      <c r="AC2384">
        <v>0</v>
      </c>
      <c r="AH2384">
        <v>42.1</v>
      </c>
    </row>
    <row r="2385" spans="1:34" x14ac:dyDescent="0.3">
      <c r="A2385" s="4">
        <v>2599</v>
      </c>
      <c r="B2385" s="5">
        <v>2378</v>
      </c>
      <c r="C2385">
        <v>14915</v>
      </c>
      <c r="D2385" t="s">
        <v>15125</v>
      </c>
      <c r="E2385" t="s">
        <v>170</v>
      </c>
      <c r="F2385" t="s">
        <v>81</v>
      </c>
      <c r="G2385" t="s">
        <v>15126</v>
      </c>
      <c r="H2385">
        <v>18.079999999999998</v>
      </c>
      <c r="I2385">
        <v>0</v>
      </c>
      <c r="J2385">
        <v>0</v>
      </c>
      <c r="K2385">
        <v>0</v>
      </c>
      <c r="L2385">
        <v>7</v>
      </c>
      <c r="O2385">
        <v>7</v>
      </c>
      <c r="P2385">
        <v>4</v>
      </c>
      <c r="Q2385">
        <v>0</v>
      </c>
      <c r="R2385">
        <v>29.08</v>
      </c>
      <c r="S2385">
        <v>13</v>
      </c>
      <c r="T2385">
        <v>13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13</v>
      </c>
      <c r="AB2385">
        <v>0</v>
      </c>
      <c r="AC2385">
        <v>0</v>
      </c>
      <c r="AH2385">
        <v>42.08</v>
      </c>
    </row>
    <row r="2386" spans="1:34" x14ac:dyDescent="0.3">
      <c r="A2386" s="4">
        <v>2600</v>
      </c>
      <c r="B2386" s="5">
        <v>2379</v>
      </c>
      <c r="C2386">
        <v>4734</v>
      </c>
      <c r="D2386" t="s">
        <v>15127</v>
      </c>
      <c r="E2386" t="s">
        <v>91</v>
      </c>
      <c r="F2386" t="s">
        <v>782</v>
      </c>
      <c r="G2386" t="s">
        <v>15128</v>
      </c>
      <c r="H2386">
        <v>20.03</v>
      </c>
      <c r="I2386">
        <v>0</v>
      </c>
      <c r="J2386">
        <v>0</v>
      </c>
      <c r="K2386">
        <v>0</v>
      </c>
      <c r="L2386">
        <v>7</v>
      </c>
      <c r="O2386">
        <v>7</v>
      </c>
      <c r="P2386">
        <v>4</v>
      </c>
      <c r="Q2386">
        <v>0</v>
      </c>
      <c r="R2386">
        <v>31.03</v>
      </c>
      <c r="S2386">
        <v>11</v>
      </c>
      <c r="T2386">
        <v>11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11</v>
      </c>
      <c r="AB2386">
        <v>0</v>
      </c>
      <c r="AC2386">
        <v>0</v>
      </c>
      <c r="AH2386">
        <v>42.03</v>
      </c>
    </row>
    <row r="2387" spans="1:34" x14ac:dyDescent="0.3">
      <c r="A2387" s="4">
        <v>2601</v>
      </c>
      <c r="B2387" s="5">
        <v>2380</v>
      </c>
      <c r="C2387">
        <v>3247</v>
      </c>
      <c r="D2387" t="s">
        <v>15129</v>
      </c>
      <c r="E2387" t="s">
        <v>54</v>
      </c>
      <c r="F2387" t="s">
        <v>2855</v>
      </c>
      <c r="G2387" t="s">
        <v>15130</v>
      </c>
      <c r="H2387">
        <v>22</v>
      </c>
      <c r="I2387">
        <v>0</v>
      </c>
      <c r="J2387">
        <v>0</v>
      </c>
      <c r="K2387">
        <v>0</v>
      </c>
      <c r="L2387">
        <v>7</v>
      </c>
      <c r="N2387">
        <v>3</v>
      </c>
      <c r="O2387">
        <v>10</v>
      </c>
      <c r="P2387">
        <v>4</v>
      </c>
      <c r="Q2387">
        <v>0</v>
      </c>
      <c r="R2387">
        <v>36</v>
      </c>
      <c r="S2387">
        <v>6</v>
      </c>
      <c r="T2387">
        <v>6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6</v>
      </c>
      <c r="AB2387">
        <v>0</v>
      </c>
      <c r="AC2387">
        <v>0</v>
      </c>
      <c r="AH2387">
        <v>42</v>
      </c>
    </row>
    <row r="2388" spans="1:34" x14ac:dyDescent="0.3">
      <c r="A2388" s="4">
        <v>2602</v>
      </c>
      <c r="B2388" s="5">
        <v>2381</v>
      </c>
      <c r="C2388">
        <v>14048</v>
      </c>
      <c r="D2388" t="s">
        <v>15131</v>
      </c>
      <c r="E2388" t="s">
        <v>570</v>
      </c>
      <c r="F2388" t="s">
        <v>782</v>
      </c>
      <c r="G2388" t="s">
        <v>15132</v>
      </c>
      <c r="H2388">
        <v>21.93</v>
      </c>
      <c r="I2388">
        <v>0</v>
      </c>
      <c r="J2388">
        <v>0</v>
      </c>
      <c r="K2388">
        <v>20</v>
      </c>
      <c r="O2388">
        <v>0</v>
      </c>
      <c r="P2388">
        <v>0</v>
      </c>
      <c r="Q2388">
        <v>0</v>
      </c>
      <c r="R2388">
        <v>41.93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H2388">
        <v>41.93</v>
      </c>
    </row>
    <row r="2389" spans="1:34" x14ac:dyDescent="0.3">
      <c r="A2389" s="4">
        <v>2603</v>
      </c>
      <c r="B2389" s="5">
        <v>2382</v>
      </c>
      <c r="C2389">
        <v>11044</v>
      </c>
      <c r="D2389" t="s">
        <v>15133</v>
      </c>
      <c r="E2389" t="s">
        <v>22</v>
      </c>
      <c r="F2389" t="s">
        <v>328</v>
      </c>
      <c r="G2389" t="s">
        <v>15134</v>
      </c>
      <c r="H2389">
        <v>19.899999999999999</v>
      </c>
      <c r="I2389">
        <v>0</v>
      </c>
      <c r="J2389">
        <v>0</v>
      </c>
      <c r="K2389">
        <v>0</v>
      </c>
      <c r="L2389">
        <v>7</v>
      </c>
      <c r="N2389">
        <v>3</v>
      </c>
      <c r="O2389">
        <v>10</v>
      </c>
      <c r="P2389">
        <v>4</v>
      </c>
      <c r="Q2389">
        <v>0</v>
      </c>
      <c r="R2389">
        <v>33.9</v>
      </c>
      <c r="S2389">
        <v>8</v>
      </c>
      <c r="T2389">
        <v>8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8</v>
      </c>
      <c r="AB2389">
        <v>0</v>
      </c>
      <c r="AC2389">
        <v>0</v>
      </c>
      <c r="AH2389">
        <v>41.9</v>
      </c>
    </row>
    <row r="2390" spans="1:34" x14ac:dyDescent="0.3">
      <c r="A2390" s="4">
        <v>2604</v>
      </c>
      <c r="B2390" s="5">
        <v>2383</v>
      </c>
      <c r="C2390">
        <v>12993</v>
      </c>
      <c r="D2390" t="s">
        <v>15135</v>
      </c>
      <c r="E2390" t="s">
        <v>38</v>
      </c>
      <c r="F2390" t="s">
        <v>1566</v>
      </c>
      <c r="G2390" t="s">
        <v>15136</v>
      </c>
      <c r="H2390">
        <v>17.899999999999999</v>
      </c>
      <c r="I2390">
        <v>0</v>
      </c>
      <c r="J2390">
        <v>0</v>
      </c>
      <c r="K2390">
        <v>0</v>
      </c>
      <c r="L2390">
        <v>7</v>
      </c>
      <c r="O2390">
        <v>7</v>
      </c>
      <c r="P2390">
        <v>4</v>
      </c>
      <c r="Q2390">
        <v>2</v>
      </c>
      <c r="R2390">
        <v>30.9</v>
      </c>
      <c r="S2390">
        <v>11</v>
      </c>
      <c r="T2390">
        <v>11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11</v>
      </c>
      <c r="AB2390">
        <v>0</v>
      </c>
      <c r="AC2390">
        <v>0</v>
      </c>
      <c r="AH2390">
        <v>41.9</v>
      </c>
    </row>
    <row r="2391" spans="1:34" x14ac:dyDescent="0.3">
      <c r="A2391" s="4">
        <v>2605</v>
      </c>
      <c r="B2391" s="5">
        <v>2384</v>
      </c>
      <c r="C2391">
        <v>4599</v>
      </c>
      <c r="D2391" t="s">
        <v>15137</v>
      </c>
      <c r="E2391" t="s">
        <v>15138</v>
      </c>
      <c r="F2391" t="s">
        <v>158</v>
      </c>
      <c r="G2391" t="s">
        <v>15139</v>
      </c>
      <c r="H2391">
        <v>17.850000000000001</v>
      </c>
      <c r="I2391">
        <v>0</v>
      </c>
      <c r="J2391">
        <v>0</v>
      </c>
      <c r="K2391">
        <v>0</v>
      </c>
      <c r="L2391">
        <v>7</v>
      </c>
      <c r="O2391">
        <v>7</v>
      </c>
      <c r="P2391">
        <v>4</v>
      </c>
      <c r="Q2391">
        <v>2</v>
      </c>
      <c r="R2391">
        <v>30.85</v>
      </c>
      <c r="S2391">
        <v>11</v>
      </c>
      <c r="T2391">
        <v>11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11</v>
      </c>
      <c r="AB2391">
        <v>0</v>
      </c>
      <c r="AC2391">
        <v>0</v>
      </c>
      <c r="AH2391">
        <v>41.85</v>
      </c>
    </row>
    <row r="2392" spans="1:34" x14ac:dyDescent="0.3">
      <c r="A2392" s="4">
        <v>2606</v>
      </c>
      <c r="B2392" s="5">
        <v>2385</v>
      </c>
      <c r="C2392">
        <v>13298</v>
      </c>
      <c r="D2392" t="s">
        <v>15140</v>
      </c>
      <c r="E2392" t="s">
        <v>15141</v>
      </c>
      <c r="F2392" t="s">
        <v>15142</v>
      </c>
      <c r="G2392" t="s">
        <v>15143</v>
      </c>
      <c r="H2392">
        <v>19.829999999999998</v>
      </c>
      <c r="I2392">
        <v>0</v>
      </c>
      <c r="J2392">
        <v>0</v>
      </c>
      <c r="K2392">
        <v>0</v>
      </c>
      <c r="O2392">
        <v>0</v>
      </c>
      <c r="P2392">
        <v>4</v>
      </c>
      <c r="Q2392">
        <v>2</v>
      </c>
      <c r="R2392">
        <v>25.83</v>
      </c>
      <c r="S2392">
        <v>13</v>
      </c>
      <c r="T2392">
        <v>13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13</v>
      </c>
      <c r="AB2392">
        <v>3</v>
      </c>
      <c r="AC2392">
        <v>0</v>
      </c>
      <c r="AH2392">
        <v>41.83</v>
      </c>
    </row>
    <row r="2393" spans="1:34" x14ac:dyDescent="0.3">
      <c r="A2393" s="4">
        <v>2607</v>
      </c>
      <c r="B2393" s="5">
        <v>2386</v>
      </c>
      <c r="C2393">
        <v>980</v>
      </c>
      <c r="D2393" t="s">
        <v>5306</v>
      </c>
      <c r="E2393" t="s">
        <v>128</v>
      </c>
      <c r="F2393" t="s">
        <v>81</v>
      </c>
      <c r="G2393" t="s">
        <v>15144</v>
      </c>
      <c r="H2393">
        <v>16.8</v>
      </c>
      <c r="I2393">
        <v>0</v>
      </c>
      <c r="J2393">
        <v>0</v>
      </c>
      <c r="K2393">
        <v>0</v>
      </c>
      <c r="N2393">
        <v>3</v>
      </c>
      <c r="O2393">
        <v>3</v>
      </c>
      <c r="P2393">
        <v>0</v>
      </c>
      <c r="Q2393">
        <v>2</v>
      </c>
      <c r="R2393">
        <v>21.8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20</v>
      </c>
      <c r="AH2393">
        <v>41.8</v>
      </c>
    </row>
    <row r="2394" spans="1:34" x14ac:dyDescent="0.3">
      <c r="A2394" s="4">
        <v>2608</v>
      </c>
      <c r="B2394" s="5">
        <v>2387</v>
      </c>
      <c r="C2394">
        <v>7249</v>
      </c>
      <c r="D2394" t="s">
        <v>15145</v>
      </c>
      <c r="E2394" t="s">
        <v>825</v>
      </c>
      <c r="F2394" t="s">
        <v>17</v>
      </c>
      <c r="G2394" t="s">
        <v>15146</v>
      </c>
      <c r="H2394">
        <v>16.8</v>
      </c>
      <c r="I2394">
        <v>0</v>
      </c>
      <c r="J2394">
        <v>0</v>
      </c>
      <c r="K2394">
        <v>0</v>
      </c>
      <c r="L2394">
        <v>7</v>
      </c>
      <c r="O2394">
        <v>7</v>
      </c>
      <c r="P2394">
        <v>4</v>
      </c>
      <c r="Q2394">
        <v>0</v>
      </c>
      <c r="R2394">
        <v>27.8</v>
      </c>
      <c r="S2394">
        <v>14</v>
      </c>
      <c r="T2394">
        <v>14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14</v>
      </c>
      <c r="AB2394">
        <v>0</v>
      </c>
      <c r="AC2394">
        <v>0</v>
      </c>
      <c r="AH2394">
        <v>41.8</v>
      </c>
    </row>
    <row r="2395" spans="1:34" x14ac:dyDescent="0.3">
      <c r="A2395" s="4">
        <v>2609</v>
      </c>
      <c r="B2395" s="5">
        <v>2388</v>
      </c>
      <c r="C2395">
        <v>1034</v>
      </c>
      <c r="D2395" t="s">
        <v>15147</v>
      </c>
      <c r="E2395" t="s">
        <v>41</v>
      </c>
      <c r="F2395" t="s">
        <v>230</v>
      </c>
      <c r="H2395">
        <v>16.75</v>
      </c>
      <c r="I2395">
        <v>0</v>
      </c>
      <c r="J2395">
        <v>0</v>
      </c>
      <c r="K2395">
        <v>20</v>
      </c>
      <c r="M2395">
        <v>5</v>
      </c>
      <c r="O2395">
        <v>5</v>
      </c>
      <c r="P2395">
        <v>0</v>
      </c>
      <c r="Q2395">
        <v>0</v>
      </c>
      <c r="R2395">
        <v>41.75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H2395">
        <v>41.75</v>
      </c>
    </row>
    <row r="2396" spans="1:34" x14ac:dyDescent="0.3">
      <c r="A2396" s="4">
        <v>2610</v>
      </c>
      <c r="B2396" s="5">
        <v>2389</v>
      </c>
      <c r="C2396">
        <v>10252</v>
      </c>
      <c r="D2396" t="s">
        <v>15148</v>
      </c>
      <c r="E2396" t="s">
        <v>406</v>
      </c>
      <c r="F2396" t="s">
        <v>17</v>
      </c>
      <c r="G2396" t="s">
        <v>15149</v>
      </c>
      <c r="H2396">
        <v>16.73</v>
      </c>
      <c r="I2396">
        <v>0</v>
      </c>
      <c r="J2396">
        <v>0</v>
      </c>
      <c r="K2396">
        <v>0</v>
      </c>
      <c r="L2396">
        <v>7</v>
      </c>
      <c r="O2396">
        <v>7</v>
      </c>
      <c r="P2396">
        <v>4</v>
      </c>
      <c r="Q2396">
        <v>0</v>
      </c>
      <c r="R2396">
        <v>27.73</v>
      </c>
      <c r="S2396">
        <v>14</v>
      </c>
      <c r="T2396">
        <v>14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14</v>
      </c>
      <c r="AB2396">
        <v>0</v>
      </c>
      <c r="AC2396">
        <v>0</v>
      </c>
      <c r="AH2396">
        <v>41.73</v>
      </c>
    </row>
    <row r="2397" spans="1:34" x14ac:dyDescent="0.3">
      <c r="A2397" s="4">
        <v>2611</v>
      </c>
      <c r="B2397" s="5">
        <v>2390</v>
      </c>
      <c r="C2397">
        <v>11277</v>
      </c>
      <c r="D2397" t="s">
        <v>15150</v>
      </c>
      <c r="E2397" t="s">
        <v>97</v>
      </c>
      <c r="F2397" t="s">
        <v>38</v>
      </c>
      <c r="G2397" t="s">
        <v>15151</v>
      </c>
      <c r="H2397">
        <v>19.68</v>
      </c>
      <c r="I2397">
        <v>7</v>
      </c>
      <c r="J2397">
        <v>0</v>
      </c>
      <c r="K2397">
        <v>0</v>
      </c>
      <c r="M2397">
        <v>5</v>
      </c>
      <c r="N2397">
        <v>3</v>
      </c>
      <c r="O2397">
        <v>8</v>
      </c>
      <c r="P2397">
        <v>4</v>
      </c>
      <c r="Q2397">
        <v>0</v>
      </c>
      <c r="R2397">
        <v>38.68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3</v>
      </c>
      <c r="AC2397">
        <v>0</v>
      </c>
      <c r="AH2397">
        <v>41.68</v>
      </c>
    </row>
    <row r="2398" spans="1:34" x14ac:dyDescent="0.3">
      <c r="A2398" s="4">
        <v>2612</v>
      </c>
      <c r="B2398" s="5">
        <v>2391</v>
      </c>
      <c r="C2398">
        <v>6696</v>
      </c>
      <c r="D2398" t="s">
        <v>15152</v>
      </c>
      <c r="E2398" t="s">
        <v>117</v>
      </c>
      <c r="F2398" t="s">
        <v>38</v>
      </c>
      <c r="G2398" t="s">
        <v>15153</v>
      </c>
      <c r="H2398">
        <v>17.68</v>
      </c>
      <c r="I2398">
        <v>0</v>
      </c>
      <c r="J2398">
        <v>0</v>
      </c>
      <c r="K2398">
        <v>0</v>
      </c>
      <c r="L2398">
        <v>7</v>
      </c>
      <c r="O2398">
        <v>7</v>
      </c>
      <c r="P2398">
        <v>4</v>
      </c>
      <c r="Q2398">
        <v>2</v>
      </c>
      <c r="R2398">
        <v>30.68</v>
      </c>
      <c r="S2398">
        <v>11</v>
      </c>
      <c r="T2398">
        <v>11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11</v>
      </c>
      <c r="AB2398">
        <v>0</v>
      </c>
      <c r="AC2398">
        <v>0</v>
      </c>
      <c r="AH2398">
        <v>41.68</v>
      </c>
    </row>
    <row r="2399" spans="1:34" x14ac:dyDescent="0.3">
      <c r="A2399" s="4">
        <v>2613</v>
      </c>
      <c r="B2399" s="5">
        <v>2392</v>
      </c>
      <c r="C2399">
        <v>12711</v>
      </c>
      <c r="D2399" t="s">
        <v>15154</v>
      </c>
      <c r="E2399" t="s">
        <v>10375</v>
      </c>
      <c r="F2399" t="s">
        <v>117</v>
      </c>
      <c r="G2399" t="s">
        <v>15155</v>
      </c>
      <c r="H2399">
        <v>18.600000000000001</v>
      </c>
      <c r="I2399">
        <v>0</v>
      </c>
      <c r="J2399">
        <v>0</v>
      </c>
      <c r="K2399">
        <v>0</v>
      </c>
      <c r="L2399">
        <v>7</v>
      </c>
      <c r="O2399">
        <v>7</v>
      </c>
      <c r="P2399">
        <v>4</v>
      </c>
      <c r="Q2399">
        <v>2</v>
      </c>
      <c r="R2399">
        <v>31.6</v>
      </c>
      <c r="S2399">
        <v>7</v>
      </c>
      <c r="T2399">
        <v>7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7</v>
      </c>
      <c r="AB2399">
        <v>3</v>
      </c>
      <c r="AC2399">
        <v>0</v>
      </c>
      <c r="AH2399">
        <v>41.6</v>
      </c>
    </row>
    <row r="2400" spans="1:34" x14ac:dyDescent="0.3">
      <c r="A2400" s="4">
        <v>2614</v>
      </c>
      <c r="B2400" s="5">
        <v>2393</v>
      </c>
      <c r="C2400">
        <v>4794</v>
      </c>
      <c r="D2400" t="s">
        <v>15156</v>
      </c>
      <c r="E2400" t="s">
        <v>442</v>
      </c>
      <c r="F2400" t="s">
        <v>17</v>
      </c>
      <c r="G2400" t="s">
        <v>15157</v>
      </c>
      <c r="H2400">
        <v>16.579999999999998</v>
      </c>
      <c r="I2400">
        <v>0</v>
      </c>
      <c r="J2400">
        <v>0</v>
      </c>
      <c r="K2400">
        <v>0</v>
      </c>
      <c r="L2400">
        <v>7</v>
      </c>
      <c r="O2400">
        <v>7</v>
      </c>
      <c r="P2400">
        <v>4</v>
      </c>
      <c r="Q2400">
        <v>2</v>
      </c>
      <c r="R2400">
        <v>29.58</v>
      </c>
      <c r="S2400">
        <v>9</v>
      </c>
      <c r="T2400">
        <v>9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9</v>
      </c>
      <c r="AB2400">
        <v>3</v>
      </c>
      <c r="AC2400">
        <v>0</v>
      </c>
      <c r="AH2400">
        <v>41.58</v>
      </c>
    </row>
    <row r="2401" spans="1:34" x14ac:dyDescent="0.3">
      <c r="A2401" s="4">
        <v>2615</v>
      </c>
      <c r="B2401" s="5">
        <v>2394</v>
      </c>
      <c r="C2401">
        <v>4384</v>
      </c>
      <c r="D2401" t="s">
        <v>4235</v>
      </c>
      <c r="E2401" t="s">
        <v>342</v>
      </c>
      <c r="F2401" t="s">
        <v>55</v>
      </c>
      <c r="G2401" t="s">
        <v>15158</v>
      </c>
      <c r="H2401">
        <v>18.579999999999998</v>
      </c>
      <c r="I2401">
        <v>0</v>
      </c>
      <c r="J2401">
        <v>0</v>
      </c>
      <c r="K2401">
        <v>20</v>
      </c>
      <c r="N2401">
        <v>3</v>
      </c>
      <c r="O2401">
        <v>3</v>
      </c>
      <c r="P2401">
        <v>0</v>
      </c>
      <c r="Q2401">
        <v>0</v>
      </c>
      <c r="R2401">
        <v>41.58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H2401">
        <v>41.58</v>
      </c>
    </row>
    <row r="2402" spans="1:34" x14ac:dyDescent="0.3">
      <c r="A2402" s="4">
        <v>2616</v>
      </c>
      <c r="B2402" s="5">
        <v>2395</v>
      </c>
      <c r="C2402">
        <v>2857</v>
      </c>
      <c r="D2402" t="s">
        <v>15159</v>
      </c>
      <c r="E2402" t="s">
        <v>213</v>
      </c>
      <c r="F2402" t="s">
        <v>626</v>
      </c>
      <c r="G2402" t="s">
        <v>15160</v>
      </c>
      <c r="H2402">
        <v>12.5</v>
      </c>
      <c r="I2402">
        <v>0</v>
      </c>
      <c r="J2402">
        <v>0</v>
      </c>
      <c r="K2402">
        <v>20</v>
      </c>
      <c r="N2402">
        <v>3</v>
      </c>
      <c r="O2402">
        <v>3</v>
      </c>
      <c r="P2402">
        <v>4</v>
      </c>
      <c r="Q2402">
        <v>2</v>
      </c>
      <c r="R2402">
        <v>41.5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H2402">
        <v>41.5</v>
      </c>
    </row>
    <row r="2403" spans="1:34" x14ac:dyDescent="0.3">
      <c r="A2403" s="4">
        <v>2617</v>
      </c>
      <c r="B2403" s="5">
        <v>2396</v>
      </c>
      <c r="C2403">
        <v>12250</v>
      </c>
      <c r="D2403" t="s">
        <v>15161</v>
      </c>
      <c r="E2403" t="s">
        <v>3680</v>
      </c>
      <c r="F2403" t="s">
        <v>38</v>
      </c>
      <c r="G2403" t="s">
        <v>15162</v>
      </c>
      <c r="H2403">
        <v>12.5</v>
      </c>
      <c r="I2403">
        <v>0</v>
      </c>
      <c r="J2403">
        <v>0</v>
      </c>
      <c r="K2403">
        <v>20</v>
      </c>
      <c r="N2403">
        <v>3</v>
      </c>
      <c r="O2403">
        <v>3</v>
      </c>
      <c r="P2403">
        <v>4</v>
      </c>
      <c r="Q2403">
        <v>2</v>
      </c>
      <c r="R2403">
        <v>41.5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H2403">
        <v>41.5</v>
      </c>
    </row>
    <row r="2404" spans="1:34" x14ac:dyDescent="0.3">
      <c r="A2404" s="4">
        <v>2618</v>
      </c>
      <c r="B2404" s="5">
        <v>2397</v>
      </c>
      <c r="C2404">
        <v>9371</v>
      </c>
      <c r="D2404" t="s">
        <v>15163</v>
      </c>
      <c r="E2404" t="s">
        <v>22</v>
      </c>
      <c r="F2404" t="s">
        <v>117</v>
      </c>
      <c r="G2404" t="s">
        <v>15164</v>
      </c>
      <c r="H2404">
        <v>18.45</v>
      </c>
      <c r="I2404">
        <v>0</v>
      </c>
      <c r="J2404">
        <v>0</v>
      </c>
      <c r="K2404">
        <v>0</v>
      </c>
      <c r="N2404">
        <v>3</v>
      </c>
      <c r="O2404">
        <v>3</v>
      </c>
      <c r="P2404">
        <v>4</v>
      </c>
      <c r="Q2404">
        <v>2</v>
      </c>
      <c r="R2404">
        <v>27.45</v>
      </c>
      <c r="S2404">
        <v>11</v>
      </c>
      <c r="T2404">
        <v>11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11</v>
      </c>
      <c r="AB2404">
        <v>3</v>
      </c>
      <c r="AC2404">
        <v>0</v>
      </c>
      <c r="AH2404">
        <v>41.45</v>
      </c>
    </row>
    <row r="2405" spans="1:34" x14ac:dyDescent="0.3">
      <c r="A2405" s="4">
        <v>2619</v>
      </c>
      <c r="B2405" s="5">
        <v>2398</v>
      </c>
      <c r="C2405">
        <v>10052</v>
      </c>
      <c r="D2405" t="s">
        <v>577</v>
      </c>
      <c r="E2405" t="s">
        <v>789</v>
      </c>
      <c r="F2405" t="s">
        <v>38</v>
      </c>
      <c r="G2405" t="s">
        <v>15165</v>
      </c>
      <c r="H2405">
        <v>21.38</v>
      </c>
      <c r="I2405">
        <v>0</v>
      </c>
      <c r="J2405">
        <v>0</v>
      </c>
      <c r="K2405">
        <v>0</v>
      </c>
      <c r="N2405">
        <v>3</v>
      </c>
      <c r="O2405">
        <v>3</v>
      </c>
      <c r="P2405">
        <v>4</v>
      </c>
      <c r="Q2405">
        <v>2</v>
      </c>
      <c r="R2405">
        <v>30.38</v>
      </c>
      <c r="S2405">
        <v>11</v>
      </c>
      <c r="T2405">
        <v>11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11</v>
      </c>
      <c r="AB2405">
        <v>0</v>
      </c>
      <c r="AC2405">
        <v>0</v>
      </c>
      <c r="AH2405">
        <v>41.38</v>
      </c>
    </row>
    <row r="2406" spans="1:34" x14ac:dyDescent="0.3">
      <c r="A2406" s="4">
        <v>2620</v>
      </c>
      <c r="B2406" s="5">
        <v>2399</v>
      </c>
      <c r="C2406">
        <v>9473</v>
      </c>
      <c r="D2406" t="s">
        <v>565</v>
      </c>
      <c r="E2406" t="s">
        <v>424</v>
      </c>
      <c r="F2406" t="s">
        <v>1076</v>
      </c>
      <c r="G2406" t="s">
        <v>15166</v>
      </c>
      <c r="H2406">
        <v>23.35</v>
      </c>
      <c r="I2406">
        <v>7</v>
      </c>
      <c r="J2406">
        <v>0</v>
      </c>
      <c r="K2406">
        <v>0</v>
      </c>
      <c r="L2406">
        <v>7</v>
      </c>
      <c r="O2406">
        <v>7</v>
      </c>
      <c r="P2406">
        <v>4</v>
      </c>
      <c r="Q2406">
        <v>0</v>
      </c>
      <c r="R2406">
        <v>41.35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H2406">
        <v>41.35</v>
      </c>
    </row>
    <row r="2407" spans="1:34" x14ac:dyDescent="0.3">
      <c r="A2407" s="4">
        <v>2621</v>
      </c>
      <c r="B2407" s="5">
        <v>2400</v>
      </c>
      <c r="C2407">
        <v>11522</v>
      </c>
      <c r="D2407" t="s">
        <v>15167</v>
      </c>
      <c r="E2407" t="s">
        <v>230</v>
      </c>
      <c r="F2407" t="s">
        <v>801</v>
      </c>
      <c r="G2407" t="s">
        <v>15168</v>
      </c>
      <c r="H2407">
        <v>18.350000000000001</v>
      </c>
      <c r="I2407">
        <v>0</v>
      </c>
      <c r="J2407">
        <v>0</v>
      </c>
      <c r="K2407">
        <v>0</v>
      </c>
      <c r="M2407">
        <v>5</v>
      </c>
      <c r="O2407">
        <v>5</v>
      </c>
      <c r="P2407">
        <v>4</v>
      </c>
      <c r="Q2407">
        <v>0</v>
      </c>
      <c r="R2407">
        <v>27.35</v>
      </c>
      <c r="S2407">
        <v>12</v>
      </c>
      <c r="T2407">
        <v>12</v>
      </c>
      <c r="U2407">
        <v>1</v>
      </c>
      <c r="V2407">
        <v>2</v>
      </c>
      <c r="W2407">
        <v>0</v>
      </c>
      <c r="X2407">
        <v>0</v>
      </c>
      <c r="Y2407">
        <v>0</v>
      </c>
      <c r="Z2407">
        <v>0</v>
      </c>
      <c r="AA2407">
        <v>14</v>
      </c>
      <c r="AB2407">
        <v>0</v>
      </c>
      <c r="AC2407">
        <v>0</v>
      </c>
      <c r="AH2407">
        <v>41.35</v>
      </c>
    </row>
    <row r="2408" spans="1:34" x14ac:dyDescent="0.3">
      <c r="A2408" s="4">
        <v>2622</v>
      </c>
      <c r="B2408" s="5">
        <v>2401</v>
      </c>
      <c r="C2408">
        <v>3191</v>
      </c>
      <c r="D2408" t="s">
        <v>1449</v>
      </c>
      <c r="E2408" t="s">
        <v>41</v>
      </c>
      <c r="F2408" t="s">
        <v>158</v>
      </c>
      <c r="G2408" t="s">
        <v>15169</v>
      </c>
      <c r="H2408">
        <v>18.329999999999998</v>
      </c>
      <c r="I2408">
        <v>0</v>
      </c>
      <c r="J2408">
        <v>0</v>
      </c>
      <c r="K2408">
        <v>0</v>
      </c>
      <c r="M2408">
        <v>5</v>
      </c>
      <c r="N2408">
        <v>3</v>
      </c>
      <c r="O2408">
        <v>8</v>
      </c>
      <c r="P2408">
        <v>4</v>
      </c>
      <c r="Q2408">
        <v>2</v>
      </c>
      <c r="R2408">
        <v>32.33</v>
      </c>
      <c r="S2408">
        <v>6</v>
      </c>
      <c r="T2408">
        <v>6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6</v>
      </c>
      <c r="AB2408">
        <v>3</v>
      </c>
      <c r="AC2408">
        <v>0</v>
      </c>
      <c r="AH2408">
        <v>41.33</v>
      </c>
    </row>
    <row r="2409" spans="1:34" x14ac:dyDescent="0.3">
      <c r="A2409" s="4">
        <v>2623</v>
      </c>
      <c r="B2409" s="5">
        <v>2402</v>
      </c>
      <c r="C2409">
        <v>7533</v>
      </c>
      <c r="D2409" t="s">
        <v>15170</v>
      </c>
      <c r="E2409" t="s">
        <v>255</v>
      </c>
      <c r="F2409" t="s">
        <v>1526</v>
      </c>
      <c r="G2409" t="s">
        <v>15171</v>
      </c>
      <c r="H2409">
        <v>17.28</v>
      </c>
      <c r="I2409">
        <v>0</v>
      </c>
      <c r="J2409">
        <v>0</v>
      </c>
      <c r="K2409">
        <v>0</v>
      </c>
      <c r="L2409">
        <v>14</v>
      </c>
      <c r="O2409">
        <v>14</v>
      </c>
      <c r="P2409">
        <v>4</v>
      </c>
      <c r="Q2409">
        <v>2</v>
      </c>
      <c r="R2409">
        <v>37.28</v>
      </c>
      <c r="S2409">
        <v>1</v>
      </c>
      <c r="T2409">
        <v>1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1</v>
      </c>
      <c r="AB2409">
        <v>3</v>
      </c>
      <c r="AC2409">
        <v>0</v>
      </c>
      <c r="AH2409">
        <v>41.28</v>
      </c>
    </row>
    <row r="2410" spans="1:34" x14ac:dyDescent="0.3">
      <c r="A2410" s="4">
        <v>2624</v>
      </c>
      <c r="B2410" s="5">
        <v>2403</v>
      </c>
      <c r="C2410">
        <v>5872</v>
      </c>
      <c r="D2410" t="s">
        <v>15172</v>
      </c>
      <c r="E2410" t="s">
        <v>170</v>
      </c>
      <c r="F2410" t="s">
        <v>81</v>
      </c>
      <c r="G2410" t="s">
        <v>15173</v>
      </c>
      <c r="H2410">
        <v>21.25</v>
      </c>
      <c r="I2410">
        <v>0</v>
      </c>
      <c r="J2410">
        <v>0</v>
      </c>
      <c r="K2410">
        <v>0</v>
      </c>
      <c r="L2410">
        <v>14</v>
      </c>
      <c r="O2410">
        <v>14</v>
      </c>
      <c r="P2410">
        <v>4</v>
      </c>
      <c r="Q2410">
        <v>2</v>
      </c>
      <c r="R2410">
        <v>41.25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H2410">
        <v>41.25</v>
      </c>
    </row>
    <row r="2411" spans="1:34" x14ac:dyDescent="0.3">
      <c r="A2411" s="4">
        <v>2625</v>
      </c>
      <c r="B2411" s="5">
        <v>2404</v>
      </c>
      <c r="C2411">
        <v>4539</v>
      </c>
      <c r="D2411" t="s">
        <v>2635</v>
      </c>
      <c r="E2411" t="s">
        <v>15174</v>
      </c>
      <c r="F2411" t="s">
        <v>649</v>
      </c>
      <c r="G2411" t="s">
        <v>15175</v>
      </c>
      <c r="H2411">
        <v>21.23</v>
      </c>
      <c r="I2411">
        <v>0</v>
      </c>
      <c r="J2411">
        <v>0</v>
      </c>
      <c r="K2411">
        <v>0</v>
      </c>
      <c r="L2411">
        <v>14</v>
      </c>
      <c r="O2411">
        <v>14</v>
      </c>
      <c r="P2411">
        <v>4</v>
      </c>
      <c r="Q2411">
        <v>2</v>
      </c>
      <c r="R2411">
        <v>41.23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H2411">
        <v>41.23</v>
      </c>
    </row>
    <row r="2412" spans="1:34" x14ac:dyDescent="0.3">
      <c r="A2412" s="4">
        <v>2626</v>
      </c>
      <c r="B2412" s="5">
        <v>2405</v>
      </c>
      <c r="C2412">
        <v>14905</v>
      </c>
      <c r="D2412" t="s">
        <v>15176</v>
      </c>
      <c r="E2412" t="s">
        <v>30</v>
      </c>
      <c r="F2412" t="s">
        <v>15177</v>
      </c>
      <c r="G2412" t="s">
        <v>15178</v>
      </c>
      <c r="H2412">
        <v>18.23</v>
      </c>
      <c r="I2412">
        <v>0</v>
      </c>
      <c r="J2412">
        <v>0</v>
      </c>
      <c r="K2412">
        <v>20</v>
      </c>
      <c r="N2412">
        <v>3</v>
      </c>
      <c r="O2412">
        <v>3</v>
      </c>
      <c r="P2412">
        <v>0</v>
      </c>
      <c r="Q2412">
        <v>0</v>
      </c>
      <c r="R2412">
        <v>41.23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H2412">
        <v>41.23</v>
      </c>
    </row>
    <row r="2413" spans="1:34" x14ac:dyDescent="0.3">
      <c r="A2413" s="4">
        <v>2627</v>
      </c>
      <c r="B2413" s="5">
        <v>2406</v>
      </c>
      <c r="C2413">
        <v>9718</v>
      </c>
      <c r="D2413" t="s">
        <v>15179</v>
      </c>
      <c r="E2413" t="s">
        <v>54</v>
      </c>
      <c r="F2413" t="s">
        <v>230</v>
      </c>
      <c r="G2413" t="s">
        <v>15180</v>
      </c>
      <c r="H2413">
        <v>18.18</v>
      </c>
      <c r="I2413">
        <v>0</v>
      </c>
      <c r="J2413">
        <v>0</v>
      </c>
      <c r="K2413">
        <v>20</v>
      </c>
      <c r="N2413">
        <v>3</v>
      </c>
      <c r="O2413">
        <v>3</v>
      </c>
      <c r="P2413">
        <v>0</v>
      </c>
      <c r="Q2413">
        <v>0</v>
      </c>
      <c r="R2413">
        <v>41.18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H2413">
        <v>41.18</v>
      </c>
    </row>
    <row r="2414" spans="1:34" x14ac:dyDescent="0.3">
      <c r="A2414" s="4">
        <v>2628</v>
      </c>
      <c r="B2414" s="5">
        <v>2407</v>
      </c>
      <c r="C2414">
        <v>7326</v>
      </c>
      <c r="D2414" t="s">
        <v>7768</v>
      </c>
      <c r="E2414" t="s">
        <v>41</v>
      </c>
      <c r="F2414" t="s">
        <v>81</v>
      </c>
      <c r="G2414" t="s">
        <v>15181</v>
      </c>
      <c r="H2414">
        <v>17.100000000000001</v>
      </c>
      <c r="I2414">
        <v>0</v>
      </c>
      <c r="J2414">
        <v>0</v>
      </c>
      <c r="K2414">
        <v>0</v>
      </c>
      <c r="L2414">
        <v>7</v>
      </c>
      <c r="O2414">
        <v>7</v>
      </c>
      <c r="P2414">
        <v>4</v>
      </c>
      <c r="Q2414">
        <v>2</v>
      </c>
      <c r="R2414">
        <v>30.1</v>
      </c>
      <c r="S2414">
        <v>11</v>
      </c>
      <c r="T2414">
        <v>11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11</v>
      </c>
      <c r="AB2414">
        <v>0</v>
      </c>
      <c r="AC2414">
        <v>0</v>
      </c>
      <c r="AH2414">
        <v>41.1</v>
      </c>
    </row>
    <row r="2415" spans="1:34" x14ac:dyDescent="0.3">
      <c r="A2415" s="4">
        <v>2629</v>
      </c>
      <c r="B2415" s="5">
        <v>2408</v>
      </c>
      <c r="C2415">
        <v>4004</v>
      </c>
      <c r="D2415" t="s">
        <v>15182</v>
      </c>
      <c r="E2415" t="s">
        <v>188</v>
      </c>
      <c r="F2415" t="s">
        <v>339</v>
      </c>
      <c r="G2415" t="s">
        <v>15183</v>
      </c>
      <c r="H2415">
        <v>21.08</v>
      </c>
      <c r="I2415">
        <v>0</v>
      </c>
      <c r="J2415">
        <v>0</v>
      </c>
      <c r="K2415">
        <v>0</v>
      </c>
      <c r="L2415">
        <v>7</v>
      </c>
      <c r="N2415">
        <v>3</v>
      </c>
      <c r="O2415">
        <v>10</v>
      </c>
      <c r="P2415">
        <v>4</v>
      </c>
      <c r="Q2415">
        <v>0</v>
      </c>
      <c r="R2415">
        <v>35.08</v>
      </c>
      <c r="S2415">
        <v>6</v>
      </c>
      <c r="T2415">
        <v>6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6</v>
      </c>
      <c r="AB2415">
        <v>0</v>
      </c>
      <c r="AC2415">
        <v>0</v>
      </c>
      <c r="AH2415">
        <v>41.08</v>
      </c>
    </row>
    <row r="2416" spans="1:34" x14ac:dyDescent="0.3">
      <c r="A2416" s="4">
        <v>2630</v>
      </c>
      <c r="B2416" s="5">
        <v>2409</v>
      </c>
      <c r="C2416">
        <v>12245</v>
      </c>
      <c r="D2416" t="s">
        <v>181</v>
      </c>
      <c r="E2416" t="s">
        <v>161</v>
      </c>
      <c r="F2416" t="s">
        <v>68</v>
      </c>
      <c r="G2416" t="s">
        <v>15184</v>
      </c>
      <c r="H2416">
        <v>22.05</v>
      </c>
      <c r="I2416">
        <v>0</v>
      </c>
      <c r="J2416">
        <v>0</v>
      </c>
      <c r="K2416">
        <v>0</v>
      </c>
      <c r="L2416">
        <v>14</v>
      </c>
      <c r="O2416">
        <v>14</v>
      </c>
      <c r="P2416">
        <v>4</v>
      </c>
      <c r="Q2416">
        <v>0</v>
      </c>
      <c r="R2416">
        <v>40.049999999999997</v>
      </c>
      <c r="S2416">
        <v>1</v>
      </c>
      <c r="T2416">
        <v>1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1</v>
      </c>
      <c r="AB2416">
        <v>0</v>
      </c>
      <c r="AC2416">
        <v>0</v>
      </c>
      <c r="AH2416">
        <v>41.05</v>
      </c>
    </row>
    <row r="2417" spans="1:34" x14ac:dyDescent="0.3">
      <c r="A2417" s="4">
        <v>2631</v>
      </c>
      <c r="B2417" s="5">
        <v>2410</v>
      </c>
      <c r="C2417">
        <v>3440</v>
      </c>
      <c r="D2417" t="s">
        <v>15185</v>
      </c>
      <c r="E2417" t="s">
        <v>15186</v>
      </c>
      <c r="F2417" t="s">
        <v>385</v>
      </c>
      <c r="G2417" t="s">
        <v>15187</v>
      </c>
      <c r="H2417">
        <v>17.05</v>
      </c>
      <c r="I2417">
        <v>0</v>
      </c>
      <c r="J2417">
        <v>0</v>
      </c>
      <c r="K2417">
        <v>0</v>
      </c>
      <c r="L2417">
        <v>7</v>
      </c>
      <c r="N2417">
        <v>3</v>
      </c>
      <c r="O2417">
        <v>10</v>
      </c>
      <c r="P2417">
        <v>4</v>
      </c>
      <c r="Q2417">
        <v>0</v>
      </c>
      <c r="R2417">
        <v>31.05</v>
      </c>
      <c r="S2417">
        <v>10</v>
      </c>
      <c r="T2417">
        <v>10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10</v>
      </c>
      <c r="AB2417">
        <v>0</v>
      </c>
      <c r="AC2417">
        <v>0</v>
      </c>
      <c r="AH2417">
        <v>41.05</v>
      </c>
    </row>
    <row r="2418" spans="1:34" x14ac:dyDescent="0.3">
      <c r="A2418" s="4">
        <v>2632</v>
      </c>
      <c r="B2418" s="5">
        <v>2411</v>
      </c>
      <c r="C2418">
        <v>12712</v>
      </c>
      <c r="D2418" t="s">
        <v>15188</v>
      </c>
      <c r="E2418" t="s">
        <v>33</v>
      </c>
      <c r="F2418" t="s">
        <v>30</v>
      </c>
      <c r="G2418" t="s">
        <v>15189</v>
      </c>
      <c r="H2418">
        <v>21.03</v>
      </c>
      <c r="I2418">
        <v>0</v>
      </c>
      <c r="J2418">
        <v>0</v>
      </c>
      <c r="K2418">
        <v>0</v>
      </c>
      <c r="L2418">
        <v>14</v>
      </c>
      <c r="O2418">
        <v>14</v>
      </c>
      <c r="P2418">
        <v>4</v>
      </c>
      <c r="Q2418">
        <v>2</v>
      </c>
      <c r="R2418">
        <v>41.03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E2418" t="s">
        <v>130</v>
      </c>
      <c r="AH2418">
        <v>41.03</v>
      </c>
    </row>
    <row r="2419" spans="1:34" x14ac:dyDescent="0.3">
      <c r="A2419" s="4">
        <v>2633</v>
      </c>
      <c r="B2419" s="5">
        <v>2412</v>
      </c>
      <c r="C2419">
        <v>6990</v>
      </c>
      <c r="D2419" t="s">
        <v>15190</v>
      </c>
      <c r="E2419" t="s">
        <v>22</v>
      </c>
      <c r="F2419" t="s">
        <v>30</v>
      </c>
      <c r="G2419" t="s">
        <v>15191</v>
      </c>
      <c r="H2419">
        <v>17.03</v>
      </c>
      <c r="I2419">
        <v>0</v>
      </c>
      <c r="J2419">
        <v>0</v>
      </c>
      <c r="K2419">
        <v>0</v>
      </c>
      <c r="N2419">
        <v>6</v>
      </c>
      <c r="O2419">
        <v>6</v>
      </c>
      <c r="P2419">
        <v>4</v>
      </c>
      <c r="Q2419">
        <v>2</v>
      </c>
      <c r="R2419">
        <v>29.03</v>
      </c>
      <c r="S2419">
        <v>0</v>
      </c>
      <c r="T2419">
        <v>0</v>
      </c>
      <c r="U2419">
        <v>6</v>
      </c>
      <c r="V2419">
        <v>12</v>
      </c>
      <c r="W2419">
        <v>0</v>
      </c>
      <c r="X2419">
        <v>0</v>
      </c>
      <c r="Y2419">
        <v>0</v>
      </c>
      <c r="Z2419">
        <v>0</v>
      </c>
      <c r="AA2419">
        <v>12</v>
      </c>
      <c r="AB2419">
        <v>0</v>
      </c>
      <c r="AC2419">
        <v>0</v>
      </c>
      <c r="AH2419">
        <v>41.03</v>
      </c>
    </row>
    <row r="2420" spans="1:34" x14ac:dyDescent="0.3">
      <c r="A2420" s="4">
        <v>2634</v>
      </c>
      <c r="B2420" s="5">
        <v>2413</v>
      </c>
      <c r="C2420">
        <v>7033</v>
      </c>
      <c r="D2420" t="s">
        <v>829</v>
      </c>
      <c r="E2420" t="s">
        <v>166</v>
      </c>
      <c r="F2420" t="s">
        <v>81</v>
      </c>
      <c r="G2420" t="s">
        <v>15192</v>
      </c>
      <c r="H2420">
        <v>19</v>
      </c>
      <c r="I2420">
        <v>0</v>
      </c>
      <c r="J2420">
        <v>0</v>
      </c>
      <c r="K2420">
        <v>0</v>
      </c>
      <c r="L2420">
        <v>7</v>
      </c>
      <c r="O2420">
        <v>7</v>
      </c>
      <c r="P2420">
        <v>4</v>
      </c>
      <c r="Q2420">
        <v>0</v>
      </c>
      <c r="R2420">
        <v>30</v>
      </c>
      <c r="S2420">
        <v>11</v>
      </c>
      <c r="T2420">
        <v>11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11</v>
      </c>
      <c r="AB2420">
        <v>0</v>
      </c>
      <c r="AC2420">
        <v>0</v>
      </c>
      <c r="AD2420" t="s">
        <v>130</v>
      </c>
      <c r="AH2420">
        <v>41</v>
      </c>
    </row>
    <row r="2421" spans="1:34" x14ac:dyDescent="0.3">
      <c r="A2421" s="4">
        <v>2635</v>
      </c>
      <c r="B2421" s="5">
        <v>2414</v>
      </c>
      <c r="C2421">
        <v>8159</v>
      </c>
      <c r="D2421" t="s">
        <v>15193</v>
      </c>
      <c r="E2421" t="s">
        <v>54</v>
      </c>
      <c r="F2421" t="s">
        <v>20</v>
      </c>
      <c r="G2421" t="s">
        <v>15194</v>
      </c>
      <c r="H2421">
        <v>18.98</v>
      </c>
      <c r="I2421">
        <v>0</v>
      </c>
      <c r="J2421">
        <v>0</v>
      </c>
      <c r="K2421">
        <v>0</v>
      </c>
      <c r="M2421">
        <v>5</v>
      </c>
      <c r="O2421">
        <v>5</v>
      </c>
      <c r="P2421">
        <v>4</v>
      </c>
      <c r="Q2421">
        <v>2</v>
      </c>
      <c r="R2421">
        <v>29.98</v>
      </c>
      <c r="S2421">
        <v>11</v>
      </c>
      <c r="T2421">
        <v>11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11</v>
      </c>
      <c r="AB2421">
        <v>0</v>
      </c>
      <c r="AC2421">
        <v>0</v>
      </c>
      <c r="AD2421" t="s">
        <v>130</v>
      </c>
      <c r="AH2421">
        <v>40.98</v>
      </c>
    </row>
    <row r="2422" spans="1:34" x14ac:dyDescent="0.3">
      <c r="A2422" s="4">
        <v>2636</v>
      </c>
      <c r="B2422" s="5">
        <v>2415</v>
      </c>
      <c r="C2422">
        <v>2611</v>
      </c>
      <c r="D2422" t="s">
        <v>15195</v>
      </c>
      <c r="E2422" t="s">
        <v>1413</v>
      </c>
      <c r="F2422" t="s">
        <v>649</v>
      </c>
      <c r="G2422" t="s">
        <v>15196</v>
      </c>
      <c r="H2422">
        <v>16.98</v>
      </c>
      <c r="I2422">
        <v>0</v>
      </c>
      <c r="J2422">
        <v>0</v>
      </c>
      <c r="K2422">
        <v>0</v>
      </c>
      <c r="L2422">
        <v>7</v>
      </c>
      <c r="O2422">
        <v>7</v>
      </c>
      <c r="P2422">
        <v>4</v>
      </c>
      <c r="Q2422">
        <v>2</v>
      </c>
      <c r="R2422">
        <v>29.98</v>
      </c>
      <c r="S2422">
        <v>11</v>
      </c>
      <c r="T2422">
        <v>11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11</v>
      </c>
      <c r="AB2422">
        <v>0</v>
      </c>
      <c r="AC2422">
        <v>0</v>
      </c>
      <c r="AH2422">
        <v>40.98</v>
      </c>
    </row>
    <row r="2423" spans="1:34" x14ac:dyDescent="0.3">
      <c r="A2423" s="4">
        <v>2637</v>
      </c>
      <c r="B2423" s="5">
        <v>2416</v>
      </c>
      <c r="C2423">
        <v>13527</v>
      </c>
      <c r="D2423" t="s">
        <v>15197</v>
      </c>
      <c r="E2423" t="s">
        <v>110</v>
      </c>
      <c r="F2423" t="s">
        <v>81</v>
      </c>
      <c r="G2423" t="s">
        <v>15198</v>
      </c>
      <c r="H2423">
        <v>16.95</v>
      </c>
      <c r="I2423">
        <v>0</v>
      </c>
      <c r="J2423">
        <v>0</v>
      </c>
      <c r="K2423">
        <v>0</v>
      </c>
      <c r="L2423">
        <v>7</v>
      </c>
      <c r="N2423">
        <v>3</v>
      </c>
      <c r="O2423">
        <v>10</v>
      </c>
      <c r="P2423">
        <v>4</v>
      </c>
      <c r="Q2423">
        <v>0</v>
      </c>
      <c r="R2423">
        <v>30.95</v>
      </c>
      <c r="S2423">
        <v>7</v>
      </c>
      <c r="T2423">
        <v>7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7</v>
      </c>
      <c r="AB2423">
        <v>3</v>
      </c>
      <c r="AC2423">
        <v>0</v>
      </c>
      <c r="AH2423">
        <v>40.950000000000003</v>
      </c>
    </row>
    <row r="2424" spans="1:34" x14ac:dyDescent="0.3">
      <c r="A2424" s="4">
        <v>2638</v>
      </c>
      <c r="B2424" s="5">
        <v>2417</v>
      </c>
      <c r="C2424">
        <v>12125</v>
      </c>
      <c r="D2424" t="s">
        <v>15199</v>
      </c>
      <c r="E2424" t="s">
        <v>4935</v>
      </c>
      <c r="F2424" t="s">
        <v>328</v>
      </c>
      <c r="G2424" t="s">
        <v>15200</v>
      </c>
      <c r="H2424">
        <v>18.850000000000001</v>
      </c>
      <c r="I2424">
        <v>0</v>
      </c>
      <c r="J2424">
        <v>0</v>
      </c>
      <c r="K2424">
        <v>0</v>
      </c>
      <c r="L2424">
        <v>7</v>
      </c>
      <c r="N2424">
        <v>3</v>
      </c>
      <c r="O2424">
        <v>10</v>
      </c>
      <c r="P2424">
        <v>4</v>
      </c>
      <c r="Q2424">
        <v>2</v>
      </c>
      <c r="R2424">
        <v>34.85</v>
      </c>
      <c r="S2424">
        <v>6</v>
      </c>
      <c r="T2424">
        <v>6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6</v>
      </c>
      <c r="AB2424">
        <v>0</v>
      </c>
      <c r="AC2424">
        <v>0</v>
      </c>
      <c r="AH2424">
        <v>40.85</v>
      </c>
    </row>
    <row r="2425" spans="1:34" x14ac:dyDescent="0.3">
      <c r="A2425" s="4">
        <v>2639</v>
      </c>
      <c r="B2425" s="5">
        <v>2418</v>
      </c>
      <c r="C2425">
        <v>3649</v>
      </c>
      <c r="D2425" t="s">
        <v>15201</v>
      </c>
      <c r="E2425" t="s">
        <v>3964</v>
      </c>
      <c r="F2425" t="s">
        <v>117</v>
      </c>
      <c r="G2425" t="s">
        <v>15202</v>
      </c>
      <c r="H2425">
        <v>22.78</v>
      </c>
      <c r="I2425">
        <v>0</v>
      </c>
      <c r="J2425">
        <v>0</v>
      </c>
      <c r="K2425">
        <v>0</v>
      </c>
      <c r="L2425">
        <v>14</v>
      </c>
      <c r="O2425">
        <v>14</v>
      </c>
      <c r="P2425">
        <v>4</v>
      </c>
      <c r="Q2425">
        <v>0</v>
      </c>
      <c r="R2425">
        <v>40.78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H2425">
        <v>40.78</v>
      </c>
    </row>
    <row r="2426" spans="1:34" x14ac:dyDescent="0.3">
      <c r="A2426" s="4">
        <v>2640</v>
      </c>
      <c r="B2426" s="5">
        <v>2419</v>
      </c>
      <c r="C2426">
        <v>9971</v>
      </c>
      <c r="D2426" t="s">
        <v>5470</v>
      </c>
      <c r="E2426" t="s">
        <v>29</v>
      </c>
      <c r="F2426" t="s">
        <v>17</v>
      </c>
      <c r="G2426" t="s">
        <v>15203</v>
      </c>
      <c r="H2426">
        <v>22.78</v>
      </c>
      <c r="I2426">
        <v>0</v>
      </c>
      <c r="J2426">
        <v>0</v>
      </c>
      <c r="K2426">
        <v>0</v>
      </c>
      <c r="L2426">
        <v>7</v>
      </c>
      <c r="M2426">
        <v>5</v>
      </c>
      <c r="O2426">
        <v>12</v>
      </c>
      <c r="P2426">
        <v>4</v>
      </c>
      <c r="Q2426">
        <v>2</v>
      </c>
      <c r="R2426">
        <v>40.78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H2426">
        <v>40.78</v>
      </c>
    </row>
    <row r="2427" spans="1:34" x14ac:dyDescent="0.3">
      <c r="A2427" s="4">
        <v>2641</v>
      </c>
      <c r="B2427" s="5">
        <v>2420</v>
      </c>
      <c r="C2427">
        <v>1547</v>
      </c>
      <c r="D2427" t="s">
        <v>2545</v>
      </c>
      <c r="E2427" t="s">
        <v>1508</v>
      </c>
      <c r="F2427" t="s">
        <v>136</v>
      </c>
      <c r="G2427" t="s">
        <v>15204</v>
      </c>
      <c r="H2427">
        <v>16.78</v>
      </c>
      <c r="I2427">
        <v>0</v>
      </c>
      <c r="J2427">
        <v>0</v>
      </c>
      <c r="K2427">
        <v>20</v>
      </c>
      <c r="O2427">
        <v>0</v>
      </c>
      <c r="P2427">
        <v>4</v>
      </c>
      <c r="Q2427">
        <v>0</v>
      </c>
      <c r="R2427">
        <v>40.78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H2427">
        <v>40.78</v>
      </c>
    </row>
    <row r="2428" spans="1:34" x14ac:dyDescent="0.3">
      <c r="A2428" s="4">
        <v>2642</v>
      </c>
      <c r="B2428" s="5">
        <v>2421</v>
      </c>
      <c r="C2428">
        <v>9419</v>
      </c>
      <c r="D2428" t="s">
        <v>14781</v>
      </c>
      <c r="E2428" t="s">
        <v>15205</v>
      </c>
      <c r="F2428" t="s">
        <v>38</v>
      </c>
      <c r="G2428" t="s">
        <v>15206</v>
      </c>
      <c r="H2428">
        <v>20.78</v>
      </c>
      <c r="I2428">
        <v>0</v>
      </c>
      <c r="J2428">
        <v>0</v>
      </c>
      <c r="K2428">
        <v>0</v>
      </c>
      <c r="L2428">
        <v>7</v>
      </c>
      <c r="N2428">
        <v>3</v>
      </c>
      <c r="O2428">
        <v>10</v>
      </c>
      <c r="P2428">
        <v>4</v>
      </c>
      <c r="Q2428">
        <v>0</v>
      </c>
      <c r="R2428">
        <v>34.78</v>
      </c>
      <c r="S2428">
        <v>6</v>
      </c>
      <c r="T2428">
        <v>6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6</v>
      </c>
      <c r="AB2428">
        <v>0</v>
      </c>
      <c r="AC2428">
        <v>0</v>
      </c>
      <c r="AH2428">
        <v>40.78</v>
      </c>
    </row>
    <row r="2429" spans="1:34" x14ac:dyDescent="0.3">
      <c r="A2429" s="4">
        <v>2643</v>
      </c>
      <c r="B2429" s="5">
        <v>2422</v>
      </c>
      <c r="C2429">
        <v>2074</v>
      </c>
      <c r="D2429" t="s">
        <v>15207</v>
      </c>
      <c r="E2429" t="s">
        <v>15208</v>
      </c>
      <c r="F2429" t="s">
        <v>17</v>
      </c>
      <c r="G2429" t="s">
        <v>15209</v>
      </c>
      <c r="H2429">
        <v>18.78</v>
      </c>
      <c r="I2429">
        <v>0</v>
      </c>
      <c r="J2429">
        <v>0</v>
      </c>
      <c r="K2429">
        <v>0</v>
      </c>
      <c r="L2429">
        <v>7</v>
      </c>
      <c r="O2429">
        <v>7</v>
      </c>
      <c r="P2429">
        <v>4</v>
      </c>
      <c r="Q2429">
        <v>0</v>
      </c>
      <c r="R2429">
        <v>29.78</v>
      </c>
      <c r="S2429">
        <v>11</v>
      </c>
      <c r="T2429">
        <v>11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11</v>
      </c>
      <c r="AB2429">
        <v>0</v>
      </c>
      <c r="AC2429">
        <v>0</v>
      </c>
      <c r="AH2429">
        <v>40.78</v>
      </c>
    </row>
    <row r="2430" spans="1:34" x14ac:dyDescent="0.3">
      <c r="A2430" s="4">
        <v>2644</v>
      </c>
      <c r="B2430" s="5">
        <v>2423</v>
      </c>
      <c r="C2430">
        <v>3962</v>
      </c>
      <c r="D2430" t="s">
        <v>15210</v>
      </c>
      <c r="E2430" t="s">
        <v>178</v>
      </c>
      <c r="F2430" t="s">
        <v>190</v>
      </c>
      <c r="G2430" t="s">
        <v>15211</v>
      </c>
      <c r="H2430">
        <v>22.75</v>
      </c>
      <c r="I2430">
        <v>7</v>
      </c>
      <c r="J2430">
        <v>0</v>
      </c>
      <c r="K2430">
        <v>0</v>
      </c>
      <c r="L2430">
        <v>7</v>
      </c>
      <c r="O2430">
        <v>7</v>
      </c>
      <c r="P2430">
        <v>4</v>
      </c>
      <c r="Q2430">
        <v>0</v>
      </c>
      <c r="R2430">
        <v>40.75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H2430">
        <v>40.75</v>
      </c>
    </row>
    <row r="2431" spans="1:34" x14ac:dyDescent="0.3">
      <c r="A2431" s="4">
        <v>2645</v>
      </c>
      <c r="B2431" s="5">
        <v>2424</v>
      </c>
      <c r="C2431">
        <v>6289</v>
      </c>
      <c r="D2431" t="s">
        <v>12262</v>
      </c>
      <c r="E2431" t="s">
        <v>1210</v>
      </c>
      <c r="F2431" t="s">
        <v>136</v>
      </c>
      <c r="G2431" t="s">
        <v>15212</v>
      </c>
      <c r="H2431">
        <v>18.73</v>
      </c>
      <c r="I2431">
        <v>0</v>
      </c>
      <c r="J2431">
        <v>0</v>
      </c>
      <c r="K2431">
        <v>0</v>
      </c>
      <c r="M2431">
        <v>5</v>
      </c>
      <c r="O2431">
        <v>5</v>
      </c>
      <c r="P2431">
        <v>4</v>
      </c>
      <c r="Q2431">
        <v>2</v>
      </c>
      <c r="R2431">
        <v>29.73</v>
      </c>
      <c r="S2431">
        <v>11</v>
      </c>
      <c r="T2431">
        <v>11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11</v>
      </c>
      <c r="AB2431">
        <v>0</v>
      </c>
      <c r="AC2431">
        <v>0</v>
      </c>
      <c r="AH2431">
        <v>40.729999999999997</v>
      </c>
    </row>
    <row r="2432" spans="1:34" x14ac:dyDescent="0.3">
      <c r="A2432" s="4">
        <v>2646</v>
      </c>
      <c r="B2432" s="5">
        <v>2425</v>
      </c>
      <c r="C2432">
        <v>10935</v>
      </c>
      <c r="D2432" t="s">
        <v>929</v>
      </c>
      <c r="E2432" t="s">
        <v>4362</v>
      </c>
      <c r="F2432" t="s">
        <v>259</v>
      </c>
      <c r="G2432" t="s">
        <v>15213</v>
      </c>
      <c r="H2432">
        <v>17.7</v>
      </c>
      <c r="I2432">
        <v>0</v>
      </c>
      <c r="J2432">
        <v>0</v>
      </c>
      <c r="K2432">
        <v>0</v>
      </c>
      <c r="L2432">
        <v>7</v>
      </c>
      <c r="O2432">
        <v>7</v>
      </c>
      <c r="P2432">
        <v>4</v>
      </c>
      <c r="Q2432">
        <v>0</v>
      </c>
      <c r="R2432">
        <v>28.7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12</v>
      </c>
      <c r="AC2432">
        <v>0</v>
      </c>
      <c r="AH2432">
        <v>40.700000000000003</v>
      </c>
    </row>
    <row r="2433" spans="1:34" x14ac:dyDescent="0.3">
      <c r="A2433" s="4">
        <v>2647</v>
      </c>
      <c r="B2433" s="5">
        <v>2426</v>
      </c>
      <c r="C2433">
        <v>3466</v>
      </c>
      <c r="D2433" t="s">
        <v>15214</v>
      </c>
      <c r="E2433" t="s">
        <v>738</v>
      </c>
      <c r="F2433" t="s">
        <v>11853</v>
      </c>
      <c r="G2433" t="s">
        <v>15215</v>
      </c>
      <c r="H2433">
        <v>19.7</v>
      </c>
      <c r="I2433">
        <v>0</v>
      </c>
      <c r="J2433">
        <v>0</v>
      </c>
      <c r="K2433">
        <v>0</v>
      </c>
      <c r="L2433">
        <v>7</v>
      </c>
      <c r="O2433">
        <v>7</v>
      </c>
      <c r="P2433">
        <v>4</v>
      </c>
      <c r="Q2433">
        <v>0</v>
      </c>
      <c r="R2433">
        <v>30.7</v>
      </c>
      <c r="S2433">
        <v>7</v>
      </c>
      <c r="T2433">
        <v>7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7</v>
      </c>
      <c r="AB2433">
        <v>3</v>
      </c>
      <c r="AC2433">
        <v>0</v>
      </c>
      <c r="AD2433" t="s">
        <v>130</v>
      </c>
      <c r="AH2433">
        <v>40.700000000000003</v>
      </c>
    </row>
    <row r="2434" spans="1:34" x14ac:dyDescent="0.3">
      <c r="A2434" s="4">
        <v>2648</v>
      </c>
      <c r="B2434" s="5">
        <v>2427</v>
      </c>
      <c r="C2434">
        <v>12869</v>
      </c>
      <c r="D2434" t="s">
        <v>15216</v>
      </c>
      <c r="E2434" t="s">
        <v>3221</v>
      </c>
      <c r="F2434" t="s">
        <v>30</v>
      </c>
      <c r="G2434" t="s">
        <v>15217</v>
      </c>
      <c r="H2434">
        <v>22.7</v>
      </c>
      <c r="I2434">
        <v>0</v>
      </c>
      <c r="J2434">
        <v>0</v>
      </c>
      <c r="K2434">
        <v>0</v>
      </c>
      <c r="L2434">
        <v>14</v>
      </c>
      <c r="O2434">
        <v>14</v>
      </c>
      <c r="P2434">
        <v>4</v>
      </c>
      <c r="Q2434">
        <v>0</v>
      </c>
      <c r="R2434">
        <v>40.700000000000003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H2434">
        <v>40.700000000000003</v>
      </c>
    </row>
    <row r="2435" spans="1:34" x14ac:dyDescent="0.3">
      <c r="A2435" s="4">
        <v>2649</v>
      </c>
      <c r="B2435" s="5">
        <v>2428</v>
      </c>
      <c r="C2435">
        <v>12440</v>
      </c>
      <c r="D2435" t="s">
        <v>1430</v>
      </c>
      <c r="E2435" t="s">
        <v>15218</v>
      </c>
      <c r="F2435" t="s">
        <v>1274</v>
      </c>
      <c r="G2435" t="s">
        <v>15219</v>
      </c>
      <c r="H2435">
        <v>16.68</v>
      </c>
      <c r="I2435">
        <v>0</v>
      </c>
      <c r="J2435">
        <v>0</v>
      </c>
      <c r="K2435">
        <v>20</v>
      </c>
      <c r="O2435">
        <v>0</v>
      </c>
      <c r="P2435">
        <v>4</v>
      </c>
      <c r="Q2435">
        <v>0</v>
      </c>
      <c r="R2435">
        <v>40.68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H2435">
        <v>40.68</v>
      </c>
    </row>
    <row r="2436" spans="1:34" x14ac:dyDescent="0.3">
      <c r="A2436" s="4">
        <v>2650</v>
      </c>
      <c r="B2436" s="5">
        <v>2429</v>
      </c>
      <c r="C2436">
        <v>10223</v>
      </c>
      <c r="D2436" t="s">
        <v>15220</v>
      </c>
      <c r="E2436" t="s">
        <v>14891</v>
      </c>
      <c r="F2436" t="s">
        <v>20</v>
      </c>
      <c r="G2436" t="s">
        <v>15221</v>
      </c>
      <c r="H2436">
        <v>18.63</v>
      </c>
      <c r="I2436">
        <v>0</v>
      </c>
      <c r="J2436">
        <v>0</v>
      </c>
      <c r="K2436">
        <v>0</v>
      </c>
      <c r="N2436">
        <v>3</v>
      </c>
      <c r="O2436">
        <v>3</v>
      </c>
      <c r="P2436">
        <v>0</v>
      </c>
      <c r="Q2436">
        <v>2</v>
      </c>
      <c r="R2436">
        <v>23.63</v>
      </c>
      <c r="S2436">
        <v>14</v>
      </c>
      <c r="T2436">
        <v>14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14</v>
      </c>
      <c r="AB2436">
        <v>3</v>
      </c>
      <c r="AC2436">
        <v>0</v>
      </c>
      <c r="AH2436">
        <v>40.630000000000003</v>
      </c>
    </row>
    <row r="2437" spans="1:34" x14ac:dyDescent="0.3">
      <c r="A2437" s="4">
        <v>2651</v>
      </c>
      <c r="B2437" s="5">
        <v>2430</v>
      </c>
      <c r="C2437">
        <v>12756</v>
      </c>
      <c r="D2437" t="s">
        <v>4814</v>
      </c>
      <c r="E2437" t="s">
        <v>33</v>
      </c>
      <c r="F2437" t="s">
        <v>328</v>
      </c>
      <c r="G2437" t="s">
        <v>15222</v>
      </c>
      <c r="H2437">
        <v>12.5</v>
      </c>
      <c r="I2437">
        <v>0</v>
      </c>
      <c r="J2437">
        <v>0</v>
      </c>
      <c r="K2437">
        <v>20</v>
      </c>
      <c r="N2437">
        <v>3</v>
      </c>
      <c r="O2437">
        <v>3</v>
      </c>
      <c r="P2437">
        <v>0</v>
      </c>
      <c r="Q2437">
        <v>2</v>
      </c>
      <c r="R2437">
        <v>37.5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3</v>
      </c>
      <c r="AC2437">
        <v>0</v>
      </c>
      <c r="AH2437">
        <v>40.5</v>
      </c>
    </row>
    <row r="2438" spans="1:34" x14ac:dyDescent="0.3">
      <c r="A2438" s="4">
        <v>2652</v>
      </c>
      <c r="B2438" s="5">
        <v>2431</v>
      </c>
      <c r="C2438">
        <v>13372</v>
      </c>
      <c r="D2438" t="s">
        <v>15223</v>
      </c>
      <c r="E2438" t="s">
        <v>149</v>
      </c>
      <c r="F2438" t="s">
        <v>230</v>
      </c>
      <c r="G2438" t="s">
        <v>15224</v>
      </c>
      <c r="H2438">
        <v>19.5</v>
      </c>
      <c r="I2438">
        <v>0</v>
      </c>
      <c r="J2438">
        <v>0</v>
      </c>
      <c r="K2438">
        <v>0</v>
      </c>
      <c r="L2438">
        <v>7</v>
      </c>
      <c r="O2438">
        <v>7</v>
      </c>
      <c r="P2438">
        <v>4</v>
      </c>
      <c r="Q2438">
        <v>2</v>
      </c>
      <c r="R2438">
        <v>32.5</v>
      </c>
      <c r="S2438">
        <v>8</v>
      </c>
      <c r="T2438">
        <v>8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8</v>
      </c>
      <c r="AB2438">
        <v>0</v>
      </c>
      <c r="AC2438">
        <v>0</v>
      </c>
      <c r="AH2438">
        <v>40.5</v>
      </c>
    </row>
    <row r="2439" spans="1:34" x14ac:dyDescent="0.3">
      <c r="A2439" s="4">
        <v>2653</v>
      </c>
      <c r="B2439" s="5">
        <v>2432</v>
      </c>
      <c r="C2439">
        <v>11448</v>
      </c>
      <c r="D2439" t="s">
        <v>15225</v>
      </c>
      <c r="E2439" t="s">
        <v>2126</v>
      </c>
      <c r="F2439" t="s">
        <v>2302</v>
      </c>
      <c r="G2439" t="s">
        <v>15226</v>
      </c>
      <c r="H2439">
        <v>12.5</v>
      </c>
      <c r="I2439">
        <v>0</v>
      </c>
      <c r="J2439">
        <v>0</v>
      </c>
      <c r="K2439">
        <v>0</v>
      </c>
      <c r="L2439">
        <v>7</v>
      </c>
      <c r="O2439">
        <v>7</v>
      </c>
      <c r="P2439">
        <v>4</v>
      </c>
      <c r="Q2439">
        <v>0</v>
      </c>
      <c r="R2439">
        <v>23.5</v>
      </c>
      <c r="S2439">
        <v>17</v>
      </c>
      <c r="T2439">
        <v>17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17</v>
      </c>
      <c r="AB2439">
        <v>0</v>
      </c>
      <c r="AC2439">
        <v>0</v>
      </c>
      <c r="AH2439">
        <v>40.5</v>
      </c>
    </row>
    <row r="2440" spans="1:34" x14ac:dyDescent="0.3">
      <c r="A2440" s="4">
        <v>2654</v>
      </c>
      <c r="B2440" s="5">
        <v>2433</v>
      </c>
      <c r="C2440">
        <v>6877</v>
      </c>
      <c r="D2440" t="s">
        <v>929</v>
      </c>
      <c r="E2440" t="s">
        <v>1576</v>
      </c>
      <c r="F2440" t="s">
        <v>17</v>
      </c>
      <c r="G2440" t="s">
        <v>15227</v>
      </c>
      <c r="H2440">
        <v>16.48</v>
      </c>
      <c r="I2440">
        <v>0</v>
      </c>
      <c r="J2440">
        <v>0</v>
      </c>
      <c r="K2440">
        <v>0</v>
      </c>
      <c r="L2440">
        <v>7</v>
      </c>
      <c r="M2440">
        <v>5</v>
      </c>
      <c r="O2440">
        <v>12</v>
      </c>
      <c r="P2440">
        <v>4</v>
      </c>
      <c r="Q2440">
        <v>2</v>
      </c>
      <c r="R2440">
        <v>34.479999999999997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6</v>
      </c>
      <c r="AC2440">
        <v>0</v>
      </c>
      <c r="AD2440" t="s">
        <v>130</v>
      </c>
      <c r="AH2440">
        <v>40.479999999999997</v>
      </c>
    </row>
    <row r="2441" spans="1:34" x14ac:dyDescent="0.3">
      <c r="A2441" s="4">
        <v>2655</v>
      </c>
      <c r="B2441" s="5">
        <v>2434</v>
      </c>
      <c r="C2441">
        <v>12322</v>
      </c>
      <c r="D2441" t="s">
        <v>5678</v>
      </c>
      <c r="E2441" t="s">
        <v>104</v>
      </c>
      <c r="F2441" t="s">
        <v>30</v>
      </c>
      <c r="G2441" t="s">
        <v>15228</v>
      </c>
      <c r="H2441">
        <v>14.48</v>
      </c>
      <c r="I2441">
        <v>0</v>
      </c>
      <c r="J2441">
        <v>0</v>
      </c>
      <c r="K2441">
        <v>0</v>
      </c>
      <c r="L2441">
        <v>7</v>
      </c>
      <c r="O2441">
        <v>7</v>
      </c>
      <c r="P2441">
        <v>4</v>
      </c>
      <c r="Q2441">
        <v>2</v>
      </c>
      <c r="R2441">
        <v>27.48</v>
      </c>
      <c r="S2441">
        <v>10</v>
      </c>
      <c r="T2441">
        <v>10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10</v>
      </c>
      <c r="AB2441">
        <v>3</v>
      </c>
      <c r="AC2441">
        <v>0</v>
      </c>
      <c r="AH2441">
        <v>40.479999999999997</v>
      </c>
    </row>
    <row r="2442" spans="1:34" x14ac:dyDescent="0.3">
      <c r="A2442" s="4">
        <v>2656</v>
      </c>
      <c r="B2442" s="5">
        <v>2435</v>
      </c>
      <c r="C2442">
        <v>12058</v>
      </c>
      <c r="D2442" t="s">
        <v>15229</v>
      </c>
      <c r="E2442" t="s">
        <v>14586</v>
      </c>
      <c r="F2442" t="s">
        <v>20</v>
      </c>
      <c r="G2442" t="s">
        <v>15230</v>
      </c>
      <c r="H2442">
        <v>20.45</v>
      </c>
      <c r="I2442">
        <v>0</v>
      </c>
      <c r="J2442">
        <v>0</v>
      </c>
      <c r="K2442">
        <v>0</v>
      </c>
      <c r="L2442">
        <v>7</v>
      </c>
      <c r="N2442">
        <v>3</v>
      </c>
      <c r="O2442">
        <v>10</v>
      </c>
      <c r="P2442">
        <v>4</v>
      </c>
      <c r="Q2442">
        <v>0</v>
      </c>
      <c r="R2442">
        <v>34.450000000000003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6</v>
      </c>
      <c r="AC2442">
        <v>0</v>
      </c>
      <c r="AH2442">
        <v>40.450000000000003</v>
      </c>
    </row>
    <row r="2443" spans="1:34" x14ac:dyDescent="0.3">
      <c r="A2443" s="4">
        <v>2657</v>
      </c>
      <c r="B2443" s="5">
        <v>2436</v>
      </c>
      <c r="C2443">
        <v>11229</v>
      </c>
      <c r="D2443" t="s">
        <v>577</v>
      </c>
      <c r="E2443" t="s">
        <v>15231</v>
      </c>
      <c r="F2443" t="s">
        <v>81</v>
      </c>
      <c r="G2443" t="s">
        <v>15232</v>
      </c>
      <c r="H2443">
        <v>16.45</v>
      </c>
      <c r="I2443">
        <v>0</v>
      </c>
      <c r="J2443">
        <v>0</v>
      </c>
      <c r="K2443">
        <v>0</v>
      </c>
      <c r="L2443">
        <v>7</v>
      </c>
      <c r="O2443">
        <v>7</v>
      </c>
      <c r="P2443">
        <v>4</v>
      </c>
      <c r="Q2443">
        <v>2</v>
      </c>
      <c r="R2443">
        <v>29.45</v>
      </c>
      <c r="S2443">
        <v>11</v>
      </c>
      <c r="T2443">
        <v>11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11</v>
      </c>
      <c r="AB2443">
        <v>0</v>
      </c>
      <c r="AC2443">
        <v>0</v>
      </c>
      <c r="AH2443">
        <v>40.450000000000003</v>
      </c>
    </row>
    <row r="2444" spans="1:34" x14ac:dyDescent="0.3">
      <c r="A2444" s="4">
        <v>2658</v>
      </c>
      <c r="B2444" s="5">
        <v>2437</v>
      </c>
      <c r="C2444">
        <v>635</v>
      </c>
      <c r="D2444" t="s">
        <v>15233</v>
      </c>
      <c r="E2444" t="s">
        <v>15234</v>
      </c>
      <c r="F2444" t="s">
        <v>15235</v>
      </c>
      <c r="G2444" t="s">
        <v>32006</v>
      </c>
      <c r="H2444">
        <v>20.43</v>
      </c>
      <c r="I2444">
        <v>0</v>
      </c>
      <c r="J2444">
        <v>0</v>
      </c>
      <c r="K2444">
        <v>0</v>
      </c>
      <c r="L2444">
        <v>14</v>
      </c>
      <c r="O2444">
        <v>14</v>
      </c>
      <c r="P2444">
        <v>0</v>
      </c>
      <c r="Q2444">
        <v>0</v>
      </c>
      <c r="R2444">
        <v>34.43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6</v>
      </c>
      <c r="AC2444">
        <v>0</v>
      </c>
      <c r="AH2444">
        <v>40.43</v>
      </c>
    </row>
    <row r="2445" spans="1:34" x14ac:dyDescent="0.3">
      <c r="A2445" s="4">
        <v>2659</v>
      </c>
      <c r="B2445" s="5">
        <v>2438</v>
      </c>
      <c r="C2445">
        <v>3657</v>
      </c>
      <c r="D2445" t="s">
        <v>8215</v>
      </c>
      <c r="E2445" t="s">
        <v>957</v>
      </c>
      <c r="F2445" t="s">
        <v>310</v>
      </c>
      <c r="G2445" t="s">
        <v>15236</v>
      </c>
      <c r="H2445">
        <v>16.43</v>
      </c>
      <c r="I2445">
        <v>0</v>
      </c>
      <c r="J2445">
        <v>0</v>
      </c>
      <c r="K2445">
        <v>0</v>
      </c>
      <c r="L2445">
        <v>7</v>
      </c>
      <c r="O2445">
        <v>7</v>
      </c>
      <c r="P2445">
        <v>4</v>
      </c>
      <c r="Q2445">
        <v>2</v>
      </c>
      <c r="R2445">
        <v>29.43</v>
      </c>
      <c r="S2445">
        <v>5</v>
      </c>
      <c r="T2445">
        <v>5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5</v>
      </c>
      <c r="AB2445">
        <v>6</v>
      </c>
      <c r="AC2445">
        <v>0</v>
      </c>
      <c r="AH2445">
        <v>40.43</v>
      </c>
    </row>
    <row r="2446" spans="1:34" x14ac:dyDescent="0.3">
      <c r="A2446" s="4">
        <v>2660</v>
      </c>
      <c r="B2446" s="5">
        <v>2439</v>
      </c>
      <c r="C2446">
        <v>13062</v>
      </c>
      <c r="D2446" t="s">
        <v>15237</v>
      </c>
      <c r="E2446" t="s">
        <v>26</v>
      </c>
      <c r="F2446" t="s">
        <v>17</v>
      </c>
      <c r="G2446" t="s">
        <v>15238</v>
      </c>
      <c r="H2446">
        <v>16.38</v>
      </c>
      <c r="I2446">
        <v>0</v>
      </c>
      <c r="J2446">
        <v>0</v>
      </c>
      <c r="K2446">
        <v>0</v>
      </c>
      <c r="L2446">
        <v>7</v>
      </c>
      <c r="O2446">
        <v>7</v>
      </c>
      <c r="P2446">
        <v>4</v>
      </c>
      <c r="Q2446">
        <v>2</v>
      </c>
      <c r="R2446">
        <v>29.38</v>
      </c>
      <c r="S2446">
        <v>8</v>
      </c>
      <c r="T2446">
        <v>8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8</v>
      </c>
      <c r="AB2446">
        <v>3</v>
      </c>
      <c r="AC2446">
        <v>0</v>
      </c>
      <c r="AH2446">
        <v>40.380000000000003</v>
      </c>
    </row>
    <row r="2447" spans="1:34" x14ac:dyDescent="0.3">
      <c r="A2447" s="4">
        <v>2661</v>
      </c>
      <c r="B2447" s="5">
        <v>2440</v>
      </c>
      <c r="C2447">
        <v>936</v>
      </c>
      <c r="D2447" t="s">
        <v>15239</v>
      </c>
      <c r="E2447" t="s">
        <v>789</v>
      </c>
      <c r="F2447" t="s">
        <v>17</v>
      </c>
      <c r="G2447" t="s">
        <v>15240</v>
      </c>
      <c r="H2447">
        <v>20.38</v>
      </c>
      <c r="I2447">
        <v>0</v>
      </c>
      <c r="J2447">
        <v>0</v>
      </c>
      <c r="K2447">
        <v>0</v>
      </c>
      <c r="L2447">
        <v>7</v>
      </c>
      <c r="O2447">
        <v>7</v>
      </c>
      <c r="P2447">
        <v>4</v>
      </c>
      <c r="Q2447">
        <v>2</v>
      </c>
      <c r="R2447">
        <v>33.380000000000003</v>
      </c>
      <c r="S2447">
        <v>7</v>
      </c>
      <c r="T2447">
        <v>7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7</v>
      </c>
      <c r="AB2447">
        <v>0</v>
      </c>
      <c r="AC2447">
        <v>0</v>
      </c>
      <c r="AH2447">
        <v>40.380000000000003</v>
      </c>
    </row>
    <row r="2448" spans="1:34" x14ac:dyDescent="0.3">
      <c r="A2448" s="4">
        <v>2662</v>
      </c>
      <c r="B2448" s="5">
        <v>2441</v>
      </c>
      <c r="C2448">
        <v>1243</v>
      </c>
      <c r="D2448" t="s">
        <v>15241</v>
      </c>
      <c r="E2448" t="s">
        <v>147</v>
      </c>
      <c r="F2448" t="s">
        <v>91</v>
      </c>
      <c r="G2448" t="s">
        <v>15242</v>
      </c>
      <c r="H2448">
        <v>18.350000000000001</v>
      </c>
      <c r="I2448">
        <v>0</v>
      </c>
      <c r="J2448">
        <v>0</v>
      </c>
      <c r="K2448">
        <v>0</v>
      </c>
      <c r="N2448">
        <v>3</v>
      </c>
      <c r="O2448">
        <v>3</v>
      </c>
      <c r="P2448">
        <v>4</v>
      </c>
      <c r="Q2448">
        <v>2</v>
      </c>
      <c r="R2448">
        <v>27.35</v>
      </c>
      <c r="S2448">
        <v>10</v>
      </c>
      <c r="T2448">
        <v>10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10</v>
      </c>
      <c r="AB2448">
        <v>3</v>
      </c>
      <c r="AC2448">
        <v>0</v>
      </c>
      <c r="AH2448">
        <v>40.35</v>
      </c>
    </row>
    <row r="2449" spans="1:34" x14ac:dyDescent="0.3">
      <c r="A2449" s="4">
        <v>2663</v>
      </c>
      <c r="B2449" s="5">
        <v>2442</v>
      </c>
      <c r="C2449">
        <v>1159</v>
      </c>
      <c r="D2449" t="s">
        <v>181</v>
      </c>
      <c r="E2449" t="s">
        <v>219</v>
      </c>
      <c r="F2449" t="s">
        <v>52</v>
      </c>
      <c r="G2449" t="s">
        <v>15243</v>
      </c>
      <c r="H2449">
        <v>22.33</v>
      </c>
      <c r="I2449">
        <v>0</v>
      </c>
      <c r="J2449">
        <v>0</v>
      </c>
      <c r="K2449">
        <v>0</v>
      </c>
      <c r="L2449">
        <v>14</v>
      </c>
      <c r="O2449">
        <v>14</v>
      </c>
      <c r="P2449">
        <v>4</v>
      </c>
      <c r="Q2449">
        <v>0</v>
      </c>
      <c r="R2449">
        <v>40.33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H2449">
        <v>40.33</v>
      </c>
    </row>
    <row r="2450" spans="1:34" x14ac:dyDescent="0.3">
      <c r="A2450" s="4">
        <v>2664</v>
      </c>
      <c r="B2450" s="5">
        <v>2443</v>
      </c>
      <c r="C2450">
        <v>8057</v>
      </c>
      <c r="D2450" t="s">
        <v>387</v>
      </c>
      <c r="E2450" t="s">
        <v>1168</v>
      </c>
      <c r="F2450" t="s">
        <v>570</v>
      </c>
      <c r="G2450" t="s">
        <v>15244</v>
      </c>
      <c r="H2450">
        <v>17.3</v>
      </c>
      <c r="I2450">
        <v>0</v>
      </c>
      <c r="J2450">
        <v>0</v>
      </c>
      <c r="K2450">
        <v>0</v>
      </c>
      <c r="L2450">
        <v>14</v>
      </c>
      <c r="O2450">
        <v>14</v>
      </c>
      <c r="P2450">
        <v>4</v>
      </c>
      <c r="Q2450">
        <v>0</v>
      </c>
      <c r="R2450">
        <v>35.299999999999997</v>
      </c>
      <c r="S2450">
        <v>5</v>
      </c>
      <c r="T2450">
        <v>5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5</v>
      </c>
      <c r="AB2450">
        <v>0</v>
      </c>
      <c r="AC2450">
        <v>0</v>
      </c>
      <c r="AD2450" t="s">
        <v>130</v>
      </c>
      <c r="AH2450">
        <v>40.299999999999997</v>
      </c>
    </row>
    <row r="2451" spans="1:34" x14ac:dyDescent="0.3">
      <c r="A2451" s="4">
        <v>2665</v>
      </c>
      <c r="B2451" s="5">
        <v>2444</v>
      </c>
      <c r="C2451">
        <v>8480</v>
      </c>
      <c r="D2451" t="s">
        <v>15245</v>
      </c>
      <c r="E2451" t="s">
        <v>15246</v>
      </c>
      <c r="F2451" t="s">
        <v>117</v>
      </c>
      <c r="G2451" t="s">
        <v>15247</v>
      </c>
      <c r="H2451">
        <v>16.25</v>
      </c>
      <c r="I2451">
        <v>7</v>
      </c>
      <c r="J2451">
        <v>0</v>
      </c>
      <c r="K2451">
        <v>0</v>
      </c>
      <c r="L2451">
        <v>7</v>
      </c>
      <c r="O2451">
        <v>7</v>
      </c>
      <c r="P2451">
        <v>4</v>
      </c>
      <c r="Q2451">
        <v>0</v>
      </c>
      <c r="R2451">
        <v>34.25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6</v>
      </c>
      <c r="AC2451">
        <v>0</v>
      </c>
      <c r="AH2451">
        <v>40.25</v>
      </c>
    </row>
    <row r="2452" spans="1:34" x14ac:dyDescent="0.3">
      <c r="A2452" s="4">
        <v>2666</v>
      </c>
      <c r="B2452" s="5">
        <v>2445</v>
      </c>
      <c r="C2452">
        <v>2978</v>
      </c>
      <c r="D2452" t="s">
        <v>15248</v>
      </c>
      <c r="E2452" t="s">
        <v>29</v>
      </c>
      <c r="F2452" t="s">
        <v>81</v>
      </c>
      <c r="G2452" t="s">
        <v>15249</v>
      </c>
      <c r="H2452">
        <v>16.25</v>
      </c>
      <c r="I2452">
        <v>0</v>
      </c>
      <c r="J2452">
        <v>0</v>
      </c>
      <c r="K2452">
        <v>0</v>
      </c>
      <c r="L2452">
        <v>7</v>
      </c>
      <c r="M2452">
        <v>5</v>
      </c>
      <c r="O2452">
        <v>12</v>
      </c>
      <c r="P2452">
        <v>4</v>
      </c>
      <c r="Q2452">
        <v>2</v>
      </c>
      <c r="R2452">
        <v>34.25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6</v>
      </c>
      <c r="AC2452">
        <v>0</v>
      </c>
      <c r="AH2452">
        <v>40.25</v>
      </c>
    </row>
    <row r="2453" spans="1:34" x14ac:dyDescent="0.3">
      <c r="A2453" s="4">
        <v>2667</v>
      </c>
      <c r="B2453" s="5">
        <v>2446</v>
      </c>
      <c r="C2453">
        <v>13912</v>
      </c>
      <c r="D2453" t="s">
        <v>15250</v>
      </c>
      <c r="E2453" t="s">
        <v>188</v>
      </c>
      <c r="F2453" t="s">
        <v>136</v>
      </c>
      <c r="G2453" t="s">
        <v>15251</v>
      </c>
      <c r="H2453">
        <v>22.2</v>
      </c>
      <c r="I2453">
        <v>0</v>
      </c>
      <c r="J2453">
        <v>0</v>
      </c>
      <c r="K2453">
        <v>0</v>
      </c>
      <c r="L2453">
        <v>14</v>
      </c>
      <c r="O2453">
        <v>14</v>
      </c>
      <c r="P2453">
        <v>4</v>
      </c>
      <c r="Q2453">
        <v>0</v>
      </c>
      <c r="R2453">
        <v>40.200000000000003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H2453">
        <v>40.200000000000003</v>
      </c>
    </row>
    <row r="2454" spans="1:34" x14ac:dyDescent="0.3">
      <c r="A2454" s="4">
        <v>2668</v>
      </c>
      <c r="B2454" s="5">
        <v>2447</v>
      </c>
      <c r="C2454">
        <v>669</v>
      </c>
      <c r="D2454" t="s">
        <v>15252</v>
      </c>
      <c r="E2454" t="s">
        <v>166</v>
      </c>
      <c r="F2454" t="s">
        <v>20</v>
      </c>
      <c r="G2454" t="s">
        <v>15253</v>
      </c>
      <c r="H2454">
        <v>19.18</v>
      </c>
      <c r="I2454">
        <v>0</v>
      </c>
      <c r="J2454">
        <v>0</v>
      </c>
      <c r="K2454">
        <v>0</v>
      </c>
      <c r="L2454">
        <v>7</v>
      </c>
      <c r="N2454">
        <v>3</v>
      </c>
      <c r="O2454">
        <v>10</v>
      </c>
      <c r="P2454">
        <v>0</v>
      </c>
      <c r="Q2454">
        <v>0</v>
      </c>
      <c r="R2454">
        <v>29.18</v>
      </c>
      <c r="S2454">
        <v>11</v>
      </c>
      <c r="T2454">
        <v>11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11</v>
      </c>
      <c r="AB2454">
        <v>0</v>
      </c>
      <c r="AC2454">
        <v>0</v>
      </c>
      <c r="AH2454">
        <v>40.18</v>
      </c>
    </row>
    <row r="2455" spans="1:34" x14ac:dyDescent="0.3">
      <c r="A2455" s="4">
        <v>2669</v>
      </c>
      <c r="B2455" s="5">
        <v>2448</v>
      </c>
      <c r="C2455">
        <v>6291</v>
      </c>
      <c r="D2455" t="s">
        <v>15254</v>
      </c>
      <c r="E2455" t="s">
        <v>3803</v>
      </c>
      <c r="F2455" t="s">
        <v>243</v>
      </c>
      <c r="G2455" t="s">
        <v>15255</v>
      </c>
      <c r="H2455">
        <v>22.15</v>
      </c>
      <c r="I2455">
        <v>0</v>
      </c>
      <c r="J2455">
        <v>0</v>
      </c>
      <c r="K2455">
        <v>0</v>
      </c>
      <c r="L2455">
        <v>14</v>
      </c>
      <c r="O2455">
        <v>14</v>
      </c>
      <c r="P2455">
        <v>4</v>
      </c>
      <c r="Q2455">
        <v>0</v>
      </c>
      <c r="R2455">
        <v>40.15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H2455">
        <v>40.15</v>
      </c>
    </row>
    <row r="2456" spans="1:34" x14ac:dyDescent="0.3">
      <c r="A2456" s="4">
        <v>2670</v>
      </c>
      <c r="B2456" s="5">
        <v>2449</v>
      </c>
      <c r="C2456">
        <v>6160</v>
      </c>
      <c r="D2456" t="s">
        <v>15256</v>
      </c>
      <c r="E2456" t="s">
        <v>15257</v>
      </c>
      <c r="F2456" t="s">
        <v>587</v>
      </c>
      <c r="G2456" t="s">
        <v>15258</v>
      </c>
      <c r="H2456">
        <v>17.13</v>
      </c>
      <c r="I2456">
        <v>0</v>
      </c>
      <c r="J2456">
        <v>0</v>
      </c>
      <c r="K2456">
        <v>0</v>
      </c>
      <c r="L2456">
        <v>7</v>
      </c>
      <c r="M2456">
        <v>5</v>
      </c>
      <c r="O2456">
        <v>12</v>
      </c>
      <c r="P2456">
        <v>0</v>
      </c>
      <c r="Q2456">
        <v>0</v>
      </c>
      <c r="R2456">
        <v>29.13</v>
      </c>
      <c r="S2456">
        <v>11</v>
      </c>
      <c r="T2456">
        <v>11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11</v>
      </c>
      <c r="AB2456">
        <v>0</v>
      </c>
      <c r="AC2456">
        <v>0</v>
      </c>
      <c r="AH2456">
        <v>40.130000000000003</v>
      </c>
    </row>
    <row r="2457" spans="1:34" x14ac:dyDescent="0.3">
      <c r="A2457" s="4">
        <v>2671</v>
      </c>
      <c r="B2457" s="5">
        <v>2450</v>
      </c>
      <c r="C2457">
        <v>5006</v>
      </c>
      <c r="D2457" t="s">
        <v>4631</v>
      </c>
      <c r="E2457" t="s">
        <v>110</v>
      </c>
      <c r="F2457" t="s">
        <v>1023</v>
      </c>
      <c r="G2457" t="s">
        <v>15259</v>
      </c>
      <c r="H2457">
        <v>18.13</v>
      </c>
      <c r="I2457">
        <v>0</v>
      </c>
      <c r="J2457">
        <v>0</v>
      </c>
      <c r="K2457">
        <v>0</v>
      </c>
      <c r="N2457">
        <v>3</v>
      </c>
      <c r="O2457">
        <v>3</v>
      </c>
      <c r="P2457">
        <v>4</v>
      </c>
      <c r="Q2457">
        <v>0</v>
      </c>
      <c r="R2457">
        <v>25.13</v>
      </c>
      <c r="S2457">
        <v>15</v>
      </c>
      <c r="T2457">
        <v>15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15</v>
      </c>
      <c r="AB2457">
        <v>0</v>
      </c>
      <c r="AC2457">
        <v>0</v>
      </c>
      <c r="AH2457">
        <v>40.130000000000003</v>
      </c>
    </row>
    <row r="2458" spans="1:34" x14ac:dyDescent="0.3">
      <c r="A2458" s="4">
        <v>2672</v>
      </c>
      <c r="B2458" s="5">
        <v>2451</v>
      </c>
      <c r="C2458">
        <v>1195</v>
      </c>
      <c r="D2458" t="s">
        <v>15260</v>
      </c>
      <c r="E2458" t="s">
        <v>208</v>
      </c>
      <c r="F2458" t="s">
        <v>190</v>
      </c>
      <c r="G2458" t="s">
        <v>15261</v>
      </c>
      <c r="H2458">
        <v>20.079999999999998</v>
      </c>
      <c r="I2458">
        <v>7</v>
      </c>
      <c r="J2458">
        <v>0</v>
      </c>
      <c r="K2458">
        <v>0</v>
      </c>
      <c r="L2458">
        <v>7</v>
      </c>
      <c r="O2458">
        <v>7</v>
      </c>
      <c r="P2458">
        <v>4</v>
      </c>
      <c r="Q2458">
        <v>2</v>
      </c>
      <c r="R2458">
        <v>40.08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H2458">
        <v>40.08</v>
      </c>
    </row>
    <row r="2459" spans="1:34" x14ac:dyDescent="0.3">
      <c r="A2459" s="4">
        <v>2673</v>
      </c>
      <c r="B2459" s="5">
        <v>2452</v>
      </c>
      <c r="C2459">
        <v>7796</v>
      </c>
      <c r="D2459" t="s">
        <v>15262</v>
      </c>
      <c r="E2459" t="s">
        <v>10825</v>
      </c>
      <c r="F2459" t="s">
        <v>15263</v>
      </c>
      <c r="G2459" t="s">
        <v>15264</v>
      </c>
      <c r="H2459">
        <v>20.05</v>
      </c>
      <c r="I2459">
        <v>0</v>
      </c>
      <c r="J2459">
        <v>0</v>
      </c>
      <c r="K2459">
        <v>0</v>
      </c>
      <c r="L2459">
        <v>14</v>
      </c>
      <c r="O2459">
        <v>14</v>
      </c>
      <c r="P2459">
        <v>4</v>
      </c>
      <c r="Q2459">
        <v>2</v>
      </c>
      <c r="R2459">
        <v>40.049999999999997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H2459">
        <v>40.049999999999997</v>
      </c>
    </row>
    <row r="2460" spans="1:34" x14ac:dyDescent="0.3">
      <c r="A2460" s="4">
        <v>2674</v>
      </c>
      <c r="B2460" s="5">
        <v>2453</v>
      </c>
      <c r="C2460">
        <v>11340</v>
      </c>
      <c r="D2460" t="s">
        <v>15265</v>
      </c>
      <c r="E2460" t="s">
        <v>149</v>
      </c>
      <c r="F2460" t="s">
        <v>136</v>
      </c>
      <c r="G2460" t="s">
        <v>15266</v>
      </c>
      <c r="H2460">
        <v>17.05</v>
      </c>
      <c r="I2460">
        <v>0</v>
      </c>
      <c r="J2460">
        <v>0</v>
      </c>
      <c r="K2460">
        <v>0</v>
      </c>
      <c r="L2460">
        <v>7</v>
      </c>
      <c r="O2460">
        <v>7</v>
      </c>
      <c r="P2460">
        <v>4</v>
      </c>
      <c r="Q2460">
        <v>2</v>
      </c>
      <c r="R2460">
        <v>30.05</v>
      </c>
      <c r="S2460">
        <v>10</v>
      </c>
      <c r="T2460">
        <v>10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10</v>
      </c>
      <c r="AB2460">
        <v>0</v>
      </c>
      <c r="AC2460">
        <v>0</v>
      </c>
      <c r="AH2460">
        <v>40.049999999999997</v>
      </c>
    </row>
    <row r="2461" spans="1:34" x14ac:dyDescent="0.3">
      <c r="A2461" s="4">
        <v>2675</v>
      </c>
      <c r="B2461" s="5">
        <v>2454</v>
      </c>
      <c r="C2461">
        <v>4899</v>
      </c>
      <c r="D2461" t="s">
        <v>15267</v>
      </c>
      <c r="E2461" t="s">
        <v>51</v>
      </c>
      <c r="F2461" t="s">
        <v>15268</v>
      </c>
      <c r="G2461" t="s">
        <v>15269</v>
      </c>
      <c r="H2461">
        <v>22.03</v>
      </c>
      <c r="I2461">
        <v>0</v>
      </c>
      <c r="J2461">
        <v>0</v>
      </c>
      <c r="K2461">
        <v>0</v>
      </c>
      <c r="L2461">
        <v>7</v>
      </c>
      <c r="M2461">
        <v>5</v>
      </c>
      <c r="O2461">
        <v>12</v>
      </c>
      <c r="P2461">
        <v>4</v>
      </c>
      <c r="Q2461">
        <v>2</v>
      </c>
      <c r="R2461">
        <v>40.03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H2461">
        <v>40.03</v>
      </c>
    </row>
    <row r="2462" spans="1:34" x14ac:dyDescent="0.3">
      <c r="A2462" s="4">
        <v>2676</v>
      </c>
      <c r="B2462" s="5">
        <v>2455</v>
      </c>
      <c r="C2462">
        <v>6053</v>
      </c>
      <c r="D2462" t="s">
        <v>15270</v>
      </c>
      <c r="E2462" t="s">
        <v>15271</v>
      </c>
      <c r="F2462" t="s">
        <v>238</v>
      </c>
      <c r="G2462" t="s">
        <v>15272</v>
      </c>
      <c r="H2462">
        <v>15.98</v>
      </c>
      <c r="I2462">
        <v>0</v>
      </c>
      <c r="J2462">
        <v>0</v>
      </c>
      <c r="K2462">
        <v>0</v>
      </c>
      <c r="N2462">
        <v>3</v>
      </c>
      <c r="O2462">
        <v>3</v>
      </c>
      <c r="P2462">
        <v>4</v>
      </c>
      <c r="Q2462">
        <v>0</v>
      </c>
      <c r="R2462">
        <v>22.98</v>
      </c>
      <c r="S2462">
        <v>17</v>
      </c>
      <c r="T2462">
        <v>17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17</v>
      </c>
      <c r="AB2462">
        <v>0</v>
      </c>
      <c r="AC2462">
        <v>0</v>
      </c>
      <c r="AH2462">
        <v>39.979999999999997</v>
      </c>
    </row>
    <row r="2463" spans="1:34" x14ac:dyDescent="0.3">
      <c r="A2463" s="4">
        <v>2677</v>
      </c>
      <c r="B2463" s="5">
        <v>2456</v>
      </c>
      <c r="C2463">
        <v>12348</v>
      </c>
      <c r="D2463" t="s">
        <v>2453</v>
      </c>
      <c r="E2463" t="s">
        <v>170</v>
      </c>
      <c r="F2463" t="s">
        <v>20</v>
      </c>
      <c r="G2463" t="s">
        <v>15273</v>
      </c>
      <c r="H2463">
        <v>17.899999999999999</v>
      </c>
      <c r="I2463">
        <v>0</v>
      </c>
      <c r="J2463">
        <v>0</v>
      </c>
      <c r="K2463">
        <v>0</v>
      </c>
      <c r="L2463">
        <v>7</v>
      </c>
      <c r="N2463">
        <v>3</v>
      </c>
      <c r="O2463">
        <v>10</v>
      </c>
      <c r="P2463">
        <v>4</v>
      </c>
      <c r="Q2463">
        <v>2</v>
      </c>
      <c r="R2463">
        <v>33.9</v>
      </c>
      <c r="S2463">
        <v>6</v>
      </c>
      <c r="T2463">
        <v>6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6</v>
      </c>
      <c r="AB2463">
        <v>0</v>
      </c>
      <c r="AC2463">
        <v>0</v>
      </c>
      <c r="AH2463">
        <v>39.9</v>
      </c>
    </row>
    <row r="2464" spans="1:34" x14ac:dyDescent="0.3">
      <c r="A2464" s="4">
        <v>2678</v>
      </c>
      <c r="B2464" s="5">
        <v>2457</v>
      </c>
      <c r="C2464">
        <v>14682</v>
      </c>
      <c r="D2464" t="s">
        <v>15274</v>
      </c>
      <c r="E2464" t="s">
        <v>71</v>
      </c>
      <c r="F2464" t="s">
        <v>17</v>
      </c>
      <c r="G2464" t="s">
        <v>15275</v>
      </c>
      <c r="H2464">
        <v>19.850000000000001</v>
      </c>
      <c r="I2464">
        <v>0</v>
      </c>
      <c r="J2464">
        <v>0</v>
      </c>
      <c r="K2464">
        <v>0</v>
      </c>
      <c r="L2464">
        <v>7</v>
      </c>
      <c r="N2464">
        <v>3</v>
      </c>
      <c r="O2464">
        <v>10</v>
      </c>
      <c r="P2464">
        <v>4</v>
      </c>
      <c r="Q2464">
        <v>0</v>
      </c>
      <c r="R2464">
        <v>33.85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6</v>
      </c>
      <c r="AC2464">
        <v>0</v>
      </c>
      <c r="AH2464">
        <v>39.85</v>
      </c>
    </row>
    <row r="2465" spans="1:34" x14ac:dyDescent="0.3">
      <c r="A2465" s="4">
        <v>2679</v>
      </c>
      <c r="B2465" s="5">
        <v>2458</v>
      </c>
      <c r="C2465">
        <v>941</v>
      </c>
      <c r="D2465" t="s">
        <v>15276</v>
      </c>
      <c r="E2465" t="s">
        <v>178</v>
      </c>
      <c r="F2465" t="s">
        <v>17</v>
      </c>
      <c r="G2465" t="s">
        <v>15277</v>
      </c>
      <c r="H2465">
        <v>17.850000000000001</v>
      </c>
      <c r="I2465">
        <v>0</v>
      </c>
      <c r="J2465">
        <v>0</v>
      </c>
      <c r="K2465">
        <v>0</v>
      </c>
      <c r="L2465">
        <v>7</v>
      </c>
      <c r="O2465">
        <v>7</v>
      </c>
      <c r="P2465">
        <v>4</v>
      </c>
      <c r="Q2465">
        <v>2</v>
      </c>
      <c r="R2465">
        <v>30.85</v>
      </c>
      <c r="S2465">
        <v>9</v>
      </c>
      <c r="T2465">
        <v>9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9</v>
      </c>
      <c r="AB2465">
        <v>0</v>
      </c>
      <c r="AC2465">
        <v>0</v>
      </c>
      <c r="AH2465">
        <v>39.85</v>
      </c>
    </row>
    <row r="2466" spans="1:34" x14ac:dyDescent="0.3">
      <c r="A2466" s="4">
        <v>2680</v>
      </c>
      <c r="B2466" s="5">
        <v>2459</v>
      </c>
      <c r="C2466">
        <v>8156</v>
      </c>
      <c r="D2466" t="s">
        <v>7209</v>
      </c>
      <c r="E2466" t="s">
        <v>15278</v>
      </c>
      <c r="F2466" t="s">
        <v>158</v>
      </c>
      <c r="G2466" t="s">
        <v>15279</v>
      </c>
      <c r="H2466">
        <v>16.8</v>
      </c>
      <c r="I2466">
        <v>0</v>
      </c>
      <c r="J2466">
        <v>0</v>
      </c>
      <c r="K2466">
        <v>20</v>
      </c>
      <c r="N2466">
        <v>3</v>
      </c>
      <c r="O2466">
        <v>3</v>
      </c>
      <c r="P2466">
        <v>0</v>
      </c>
      <c r="Q2466">
        <v>0</v>
      </c>
      <c r="R2466">
        <v>39.799999999999997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H2466">
        <v>39.799999999999997</v>
      </c>
    </row>
    <row r="2467" spans="1:34" x14ac:dyDescent="0.3">
      <c r="A2467" s="4">
        <v>2681</v>
      </c>
      <c r="B2467" s="5">
        <v>2460</v>
      </c>
      <c r="C2467">
        <v>434</v>
      </c>
      <c r="D2467" t="s">
        <v>15280</v>
      </c>
      <c r="E2467" t="s">
        <v>992</v>
      </c>
      <c r="F2467" t="s">
        <v>416</v>
      </c>
      <c r="G2467" t="s">
        <v>15281</v>
      </c>
      <c r="H2467">
        <v>16.8</v>
      </c>
      <c r="I2467">
        <v>0</v>
      </c>
      <c r="J2467">
        <v>0</v>
      </c>
      <c r="K2467">
        <v>0</v>
      </c>
      <c r="L2467">
        <v>7</v>
      </c>
      <c r="O2467">
        <v>7</v>
      </c>
      <c r="P2467">
        <v>4</v>
      </c>
      <c r="Q2467">
        <v>2</v>
      </c>
      <c r="R2467">
        <v>29.8</v>
      </c>
      <c r="S2467">
        <v>10</v>
      </c>
      <c r="T2467">
        <v>10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10</v>
      </c>
      <c r="AB2467">
        <v>0</v>
      </c>
      <c r="AC2467">
        <v>0</v>
      </c>
      <c r="AH2467">
        <v>39.799999999999997</v>
      </c>
    </row>
    <row r="2468" spans="1:34" x14ac:dyDescent="0.3">
      <c r="A2468" s="4">
        <v>2682</v>
      </c>
      <c r="B2468" s="5">
        <v>2461</v>
      </c>
      <c r="C2468">
        <v>10157</v>
      </c>
      <c r="D2468" t="s">
        <v>15282</v>
      </c>
      <c r="E2468" t="s">
        <v>8216</v>
      </c>
      <c r="F2468" t="s">
        <v>15283</v>
      </c>
      <c r="G2468" t="s">
        <v>15284</v>
      </c>
      <c r="H2468">
        <v>19.73</v>
      </c>
      <c r="I2468">
        <v>0</v>
      </c>
      <c r="J2468">
        <v>0</v>
      </c>
      <c r="K2468">
        <v>0</v>
      </c>
      <c r="L2468">
        <v>14</v>
      </c>
      <c r="O2468">
        <v>14</v>
      </c>
      <c r="P2468">
        <v>4</v>
      </c>
      <c r="Q2468">
        <v>2</v>
      </c>
      <c r="R2468">
        <v>39.729999999999997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H2468">
        <v>39.729999999999997</v>
      </c>
    </row>
    <row r="2469" spans="1:34" x14ac:dyDescent="0.3">
      <c r="A2469" s="4">
        <v>2683</v>
      </c>
      <c r="B2469" s="5">
        <v>2462</v>
      </c>
      <c r="C2469">
        <v>13566</v>
      </c>
      <c r="D2469" t="s">
        <v>4719</v>
      </c>
      <c r="E2469" t="s">
        <v>283</v>
      </c>
      <c r="F2469" t="s">
        <v>124</v>
      </c>
      <c r="G2469" t="s">
        <v>15285</v>
      </c>
      <c r="H2469">
        <v>16.7</v>
      </c>
      <c r="I2469">
        <v>0</v>
      </c>
      <c r="J2469">
        <v>0</v>
      </c>
      <c r="K2469">
        <v>20</v>
      </c>
      <c r="N2469">
        <v>3</v>
      </c>
      <c r="O2469">
        <v>3</v>
      </c>
      <c r="P2469">
        <v>0</v>
      </c>
      <c r="Q2469">
        <v>0</v>
      </c>
      <c r="R2469">
        <v>39.700000000000003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H2469">
        <v>39.700000000000003</v>
      </c>
    </row>
    <row r="2470" spans="1:34" x14ac:dyDescent="0.3">
      <c r="A2470" s="4">
        <v>2684</v>
      </c>
      <c r="B2470" s="5">
        <v>2463</v>
      </c>
      <c r="C2470">
        <v>10854</v>
      </c>
      <c r="D2470" t="s">
        <v>15286</v>
      </c>
      <c r="E2470" t="s">
        <v>29</v>
      </c>
      <c r="F2470" t="s">
        <v>81</v>
      </c>
      <c r="G2470" t="s">
        <v>15287</v>
      </c>
      <c r="H2470">
        <v>16.7</v>
      </c>
      <c r="I2470">
        <v>0</v>
      </c>
      <c r="J2470">
        <v>0</v>
      </c>
      <c r="K2470">
        <v>20</v>
      </c>
      <c r="N2470">
        <v>3</v>
      </c>
      <c r="O2470">
        <v>3</v>
      </c>
      <c r="P2470">
        <v>0</v>
      </c>
      <c r="Q2470">
        <v>0</v>
      </c>
      <c r="R2470">
        <v>39.700000000000003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H2470">
        <v>39.700000000000003</v>
      </c>
    </row>
    <row r="2471" spans="1:34" x14ac:dyDescent="0.3">
      <c r="A2471" s="4">
        <v>2685</v>
      </c>
      <c r="B2471" s="5">
        <v>2464</v>
      </c>
      <c r="C2471">
        <v>10756</v>
      </c>
      <c r="D2471" t="s">
        <v>15288</v>
      </c>
      <c r="E2471" t="s">
        <v>166</v>
      </c>
      <c r="F2471" t="s">
        <v>136</v>
      </c>
      <c r="G2471" t="s">
        <v>15289</v>
      </c>
      <c r="H2471">
        <v>18.600000000000001</v>
      </c>
      <c r="I2471">
        <v>0</v>
      </c>
      <c r="J2471">
        <v>0</v>
      </c>
      <c r="K2471">
        <v>0</v>
      </c>
      <c r="N2471">
        <v>3</v>
      </c>
      <c r="O2471">
        <v>3</v>
      </c>
      <c r="P2471">
        <v>0</v>
      </c>
      <c r="Q2471">
        <v>2</v>
      </c>
      <c r="R2471">
        <v>23.6</v>
      </c>
      <c r="S2471">
        <v>16</v>
      </c>
      <c r="T2471">
        <v>16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16</v>
      </c>
      <c r="AB2471">
        <v>0</v>
      </c>
      <c r="AC2471">
        <v>0</v>
      </c>
      <c r="AH2471">
        <v>39.6</v>
      </c>
    </row>
    <row r="2472" spans="1:34" x14ac:dyDescent="0.3">
      <c r="A2472" s="4">
        <v>2686</v>
      </c>
      <c r="B2472" s="5">
        <v>2465</v>
      </c>
      <c r="C2472">
        <v>10401</v>
      </c>
      <c r="D2472" t="s">
        <v>15290</v>
      </c>
      <c r="E2472" t="s">
        <v>1089</v>
      </c>
      <c r="F2472" t="s">
        <v>17</v>
      </c>
      <c r="G2472" t="s">
        <v>15291</v>
      </c>
      <c r="H2472">
        <v>18.55</v>
      </c>
      <c r="I2472">
        <v>0</v>
      </c>
      <c r="J2472">
        <v>0</v>
      </c>
      <c r="K2472">
        <v>0</v>
      </c>
      <c r="O2472">
        <v>0</v>
      </c>
      <c r="P2472">
        <v>4</v>
      </c>
      <c r="Q2472">
        <v>0</v>
      </c>
      <c r="R2472">
        <v>22.55</v>
      </c>
      <c r="S2472">
        <v>14</v>
      </c>
      <c r="T2472">
        <v>14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14</v>
      </c>
      <c r="AB2472">
        <v>3</v>
      </c>
      <c r="AC2472">
        <v>0</v>
      </c>
      <c r="AH2472">
        <v>39.549999999999997</v>
      </c>
    </row>
    <row r="2473" spans="1:34" x14ac:dyDescent="0.3">
      <c r="A2473" s="4">
        <v>2687</v>
      </c>
      <c r="B2473" s="5">
        <v>2466</v>
      </c>
      <c r="C2473">
        <v>10107</v>
      </c>
      <c r="D2473" t="s">
        <v>15292</v>
      </c>
      <c r="E2473" t="s">
        <v>161</v>
      </c>
      <c r="F2473" t="s">
        <v>17</v>
      </c>
      <c r="G2473" t="s">
        <v>15293</v>
      </c>
      <c r="H2473">
        <v>21.53</v>
      </c>
      <c r="I2473">
        <v>0</v>
      </c>
      <c r="J2473">
        <v>0</v>
      </c>
      <c r="K2473">
        <v>0</v>
      </c>
      <c r="L2473">
        <v>14</v>
      </c>
      <c r="O2473">
        <v>14</v>
      </c>
      <c r="P2473">
        <v>4</v>
      </c>
      <c r="Q2473">
        <v>0</v>
      </c>
      <c r="R2473">
        <v>39.53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H2473">
        <v>39.53</v>
      </c>
    </row>
    <row r="2474" spans="1:34" x14ac:dyDescent="0.3">
      <c r="A2474" s="4">
        <v>2688</v>
      </c>
      <c r="B2474" s="5">
        <v>2467</v>
      </c>
      <c r="C2474">
        <v>9735</v>
      </c>
      <c r="D2474" t="s">
        <v>15294</v>
      </c>
      <c r="E2474" t="s">
        <v>4808</v>
      </c>
      <c r="F2474" t="s">
        <v>1450</v>
      </c>
      <c r="G2474" t="s">
        <v>15295</v>
      </c>
      <c r="H2474">
        <v>15.53</v>
      </c>
      <c r="I2474">
        <v>0</v>
      </c>
      <c r="J2474">
        <v>0</v>
      </c>
      <c r="K2474">
        <v>0</v>
      </c>
      <c r="L2474">
        <v>7</v>
      </c>
      <c r="O2474">
        <v>7</v>
      </c>
      <c r="P2474">
        <v>4</v>
      </c>
      <c r="Q2474">
        <v>2</v>
      </c>
      <c r="R2474">
        <v>28.53</v>
      </c>
      <c r="S2474">
        <v>11</v>
      </c>
      <c r="T2474">
        <v>11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11</v>
      </c>
      <c r="AB2474">
        <v>0</v>
      </c>
      <c r="AC2474">
        <v>0</v>
      </c>
      <c r="AH2474">
        <v>39.53</v>
      </c>
    </row>
    <row r="2475" spans="1:34" x14ac:dyDescent="0.3">
      <c r="A2475" s="4">
        <v>2689</v>
      </c>
      <c r="B2475" s="5">
        <v>2468</v>
      </c>
      <c r="C2475">
        <v>6922</v>
      </c>
      <c r="D2475" t="s">
        <v>15296</v>
      </c>
      <c r="E2475" t="s">
        <v>97</v>
      </c>
      <c r="F2475" t="s">
        <v>243</v>
      </c>
      <c r="G2475" t="s">
        <v>15297</v>
      </c>
      <c r="H2475">
        <v>12.5</v>
      </c>
      <c r="I2475">
        <v>0</v>
      </c>
      <c r="J2475">
        <v>0</v>
      </c>
      <c r="K2475">
        <v>20</v>
      </c>
      <c r="N2475">
        <v>3</v>
      </c>
      <c r="O2475">
        <v>3</v>
      </c>
      <c r="P2475">
        <v>4</v>
      </c>
      <c r="Q2475">
        <v>0</v>
      </c>
      <c r="R2475">
        <v>39.5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H2475">
        <v>39.5</v>
      </c>
    </row>
    <row r="2476" spans="1:34" x14ac:dyDescent="0.3">
      <c r="A2476" s="4">
        <v>2690</v>
      </c>
      <c r="B2476" s="5">
        <v>2469</v>
      </c>
      <c r="C2476">
        <v>3545</v>
      </c>
      <c r="D2476" t="s">
        <v>15298</v>
      </c>
      <c r="E2476" t="s">
        <v>626</v>
      </c>
      <c r="F2476" t="s">
        <v>457</v>
      </c>
      <c r="G2476" t="s">
        <v>15299</v>
      </c>
      <c r="H2476">
        <v>12.5</v>
      </c>
      <c r="I2476">
        <v>0</v>
      </c>
      <c r="J2476">
        <v>0</v>
      </c>
      <c r="K2476">
        <v>20</v>
      </c>
      <c r="L2476">
        <v>7</v>
      </c>
      <c r="O2476">
        <v>7</v>
      </c>
      <c r="P2476">
        <v>0</v>
      </c>
      <c r="Q2476">
        <v>0</v>
      </c>
      <c r="R2476">
        <v>39.5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H2476">
        <v>39.5</v>
      </c>
    </row>
    <row r="2477" spans="1:34" x14ac:dyDescent="0.3">
      <c r="A2477" s="4">
        <v>2691</v>
      </c>
      <c r="B2477" s="5">
        <v>2470</v>
      </c>
      <c r="C2477">
        <v>14576</v>
      </c>
      <c r="D2477" t="s">
        <v>165</v>
      </c>
      <c r="E2477" t="s">
        <v>26</v>
      </c>
      <c r="F2477" t="s">
        <v>81</v>
      </c>
      <c r="G2477" t="s">
        <v>15300</v>
      </c>
      <c r="H2477">
        <v>12.5</v>
      </c>
      <c r="I2477">
        <v>0</v>
      </c>
      <c r="J2477">
        <v>0</v>
      </c>
      <c r="K2477">
        <v>20</v>
      </c>
      <c r="M2477">
        <v>5</v>
      </c>
      <c r="O2477">
        <v>5</v>
      </c>
      <c r="P2477">
        <v>0</v>
      </c>
      <c r="Q2477">
        <v>2</v>
      </c>
      <c r="R2477">
        <v>39.5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H2477">
        <v>39.5</v>
      </c>
    </row>
    <row r="2478" spans="1:34" x14ac:dyDescent="0.3">
      <c r="A2478" s="4">
        <v>2692</v>
      </c>
      <c r="B2478" s="5">
        <v>2471</v>
      </c>
      <c r="C2478">
        <v>3550</v>
      </c>
      <c r="D2478" t="s">
        <v>15301</v>
      </c>
      <c r="E2478" t="s">
        <v>81</v>
      </c>
      <c r="F2478" t="s">
        <v>30</v>
      </c>
      <c r="G2478" t="s">
        <v>15302</v>
      </c>
      <c r="H2478">
        <v>12.5</v>
      </c>
      <c r="I2478">
        <v>0</v>
      </c>
      <c r="J2478">
        <v>0</v>
      </c>
      <c r="K2478">
        <v>20</v>
      </c>
      <c r="N2478">
        <v>3</v>
      </c>
      <c r="O2478">
        <v>3</v>
      </c>
      <c r="P2478">
        <v>4</v>
      </c>
      <c r="Q2478">
        <v>0</v>
      </c>
      <c r="R2478">
        <v>39.5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H2478">
        <v>39.5</v>
      </c>
    </row>
    <row r="2479" spans="1:34" x14ac:dyDescent="0.3">
      <c r="A2479" s="4">
        <v>2693</v>
      </c>
      <c r="B2479" s="5">
        <v>2472</v>
      </c>
      <c r="C2479">
        <v>14092</v>
      </c>
      <c r="D2479" t="s">
        <v>15303</v>
      </c>
      <c r="E2479" t="s">
        <v>6507</v>
      </c>
      <c r="F2479" t="s">
        <v>15304</v>
      </c>
      <c r="G2479" t="s">
        <v>15305</v>
      </c>
      <c r="H2479">
        <v>12.5</v>
      </c>
      <c r="I2479">
        <v>0</v>
      </c>
      <c r="J2479">
        <v>0</v>
      </c>
      <c r="K2479">
        <v>20</v>
      </c>
      <c r="L2479">
        <v>7</v>
      </c>
      <c r="O2479">
        <v>7</v>
      </c>
      <c r="P2479">
        <v>0</v>
      </c>
      <c r="Q2479">
        <v>0</v>
      </c>
      <c r="R2479">
        <v>39.5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H2479">
        <v>39.5</v>
      </c>
    </row>
    <row r="2480" spans="1:34" x14ac:dyDescent="0.3">
      <c r="A2480" s="4">
        <v>2694</v>
      </c>
      <c r="B2480" s="5">
        <v>2473</v>
      </c>
      <c r="C2480">
        <v>2081</v>
      </c>
      <c r="D2480" t="s">
        <v>15306</v>
      </c>
      <c r="E2480" t="s">
        <v>5741</v>
      </c>
      <c r="F2480" t="s">
        <v>892</v>
      </c>
      <c r="G2480" t="s">
        <v>15307</v>
      </c>
      <c r="H2480">
        <v>12.5</v>
      </c>
      <c r="I2480">
        <v>0</v>
      </c>
      <c r="J2480">
        <v>0</v>
      </c>
      <c r="K2480">
        <v>20</v>
      </c>
      <c r="L2480">
        <v>7</v>
      </c>
      <c r="O2480">
        <v>7</v>
      </c>
      <c r="P2480">
        <v>0</v>
      </c>
      <c r="Q2480">
        <v>0</v>
      </c>
      <c r="R2480">
        <v>39.5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H2480">
        <v>39.5</v>
      </c>
    </row>
    <row r="2481" spans="1:34" x14ac:dyDescent="0.3">
      <c r="A2481" s="4">
        <v>2695</v>
      </c>
      <c r="B2481" s="5">
        <v>2474</v>
      </c>
      <c r="C2481">
        <v>10816</v>
      </c>
      <c r="D2481" t="s">
        <v>15308</v>
      </c>
      <c r="E2481" t="s">
        <v>15309</v>
      </c>
      <c r="F2481" t="s">
        <v>442</v>
      </c>
      <c r="G2481" t="s">
        <v>15310</v>
      </c>
      <c r="H2481">
        <v>12.5</v>
      </c>
      <c r="I2481">
        <v>0</v>
      </c>
      <c r="J2481">
        <v>0</v>
      </c>
      <c r="K2481">
        <v>20</v>
      </c>
      <c r="N2481">
        <v>3</v>
      </c>
      <c r="O2481">
        <v>3</v>
      </c>
      <c r="P2481">
        <v>4</v>
      </c>
      <c r="Q2481">
        <v>0</v>
      </c>
      <c r="R2481">
        <v>39.5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H2481">
        <v>39.5</v>
      </c>
    </row>
    <row r="2482" spans="1:34" x14ac:dyDescent="0.3">
      <c r="A2482" s="4">
        <v>2696</v>
      </c>
      <c r="B2482" s="5">
        <v>2475</v>
      </c>
      <c r="C2482">
        <v>4017</v>
      </c>
      <c r="D2482" t="s">
        <v>10919</v>
      </c>
      <c r="E2482" t="s">
        <v>37</v>
      </c>
      <c r="F2482" t="s">
        <v>17</v>
      </c>
      <c r="G2482" t="s">
        <v>15311</v>
      </c>
      <c r="H2482">
        <v>12.5</v>
      </c>
      <c r="I2482">
        <v>0</v>
      </c>
      <c r="J2482">
        <v>0</v>
      </c>
      <c r="K2482">
        <v>20</v>
      </c>
      <c r="N2482">
        <v>3</v>
      </c>
      <c r="O2482">
        <v>3</v>
      </c>
      <c r="P2482">
        <v>4</v>
      </c>
      <c r="Q2482">
        <v>0</v>
      </c>
      <c r="R2482">
        <v>39.5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H2482">
        <v>39.5</v>
      </c>
    </row>
    <row r="2483" spans="1:34" x14ac:dyDescent="0.3">
      <c r="A2483" s="4">
        <v>2697</v>
      </c>
      <c r="B2483" s="5">
        <v>2476</v>
      </c>
      <c r="C2483">
        <v>11155</v>
      </c>
      <c r="D2483" t="s">
        <v>5965</v>
      </c>
      <c r="E2483" t="s">
        <v>33</v>
      </c>
      <c r="F2483" t="s">
        <v>626</v>
      </c>
      <c r="G2483" t="s">
        <v>15312</v>
      </c>
      <c r="H2483">
        <v>12.5</v>
      </c>
      <c r="I2483">
        <v>0</v>
      </c>
      <c r="J2483">
        <v>0</v>
      </c>
      <c r="K2483">
        <v>20</v>
      </c>
      <c r="N2483">
        <v>3</v>
      </c>
      <c r="O2483">
        <v>3</v>
      </c>
      <c r="P2483">
        <v>4</v>
      </c>
      <c r="Q2483">
        <v>0</v>
      </c>
      <c r="R2483">
        <v>39.5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H2483">
        <v>39.5</v>
      </c>
    </row>
    <row r="2484" spans="1:34" x14ac:dyDescent="0.3">
      <c r="A2484" s="4">
        <v>2698</v>
      </c>
      <c r="B2484" s="5">
        <v>2477</v>
      </c>
      <c r="C2484">
        <v>11716</v>
      </c>
      <c r="D2484" t="s">
        <v>15313</v>
      </c>
      <c r="E2484" t="s">
        <v>88</v>
      </c>
      <c r="F2484" t="s">
        <v>782</v>
      </c>
      <c r="G2484" t="s">
        <v>15314</v>
      </c>
      <c r="H2484">
        <v>12.5</v>
      </c>
      <c r="I2484">
        <v>0</v>
      </c>
      <c r="J2484">
        <v>0</v>
      </c>
      <c r="K2484">
        <v>20</v>
      </c>
      <c r="N2484">
        <v>3</v>
      </c>
      <c r="O2484">
        <v>3</v>
      </c>
      <c r="P2484">
        <v>4</v>
      </c>
      <c r="Q2484">
        <v>0</v>
      </c>
      <c r="R2484">
        <v>39.5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H2484">
        <v>39.5</v>
      </c>
    </row>
    <row r="2485" spans="1:34" x14ac:dyDescent="0.3">
      <c r="A2485" s="4">
        <v>2699</v>
      </c>
      <c r="B2485" s="5">
        <v>2478</v>
      </c>
      <c r="C2485">
        <v>7016</v>
      </c>
      <c r="D2485" t="s">
        <v>15315</v>
      </c>
      <c r="E2485" t="s">
        <v>147</v>
      </c>
      <c r="F2485" t="s">
        <v>81</v>
      </c>
      <c r="G2485" t="s">
        <v>15316</v>
      </c>
      <c r="H2485">
        <v>18.5</v>
      </c>
      <c r="I2485">
        <v>0</v>
      </c>
      <c r="J2485">
        <v>0</v>
      </c>
      <c r="K2485">
        <v>0</v>
      </c>
      <c r="L2485">
        <v>7</v>
      </c>
      <c r="O2485">
        <v>7</v>
      </c>
      <c r="P2485">
        <v>4</v>
      </c>
      <c r="Q2485">
        <v>2</v>
      </c>
      <c r="R2485">
        <v>31.5</v>
      </c>
      <c r="S2485">
        <v>8</v>
      </c>
      <c r="T2485">
        <v>8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8</v>
      </c>
      <c r="AB2485">
        <v>0</v>
      </c>
      <c r="AC2485">
        <v>0</v>
      </c>
      <c r="AH2485">
        <v>39.5</v>
      </c>
    </row>
    <row r="2486" spans="1:34" x14ac:dyDescent="0.3">
      <c r="A2486" s="4">
        <v>2700</v>
      </c>
      <c r="B2486" s="5">
        <v>2479</v>
      </c>
      <c r="C2486">
        <v>5739</v>
      </c>
      <c r="D2486" t="s">
        <v>3423</v>
      </c>
      <c r="E2486" t="s">
        <v>29</v>
      </c>
      <c r="F2486" t="s">
        <v>227</v>
      </c>
      <c r="G2486" t="s">
        <v>15317</v>
      </c>
      <c r="H2486">
        <v>19.48</v>
      </c>
      <c r="I2486">
        <v>7</v>
      </c>
      <c r="J2486">
        <v>0</v>
      </c>
      <c r="K2486">
        <v>0</v>
      </c>
      <c r="N2486">
        <v>3</v>
      </c>
      <c r="O2486">
        <v>3</v>
      </c>
      <c r="P2486">
        <v>4</v>
      </c>
      <c r="Q2486">
        <v>0</v>
      </c>
      <c r="R2486">
        <v>33.479999999999997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6</v>
      </c>
      <c r="AC2486">
        <v>0</v>
      </c>
      <c r="AH2486">
        <v>39.479999999999997</v>
      </c>
    </row>
    <row r="2487" spans="1:34" x14ac:dyDescent="0.3">
      <c r="A2487" s="4">
        <v>2701</v>
      </c>
      <c r="B2487" s="5">
        <v>2480</v>
      </c>
      <c r="C2487">
        <v>11533</v>
      </c>
      <c r="D2487" t="s">
        <v>15318</v>
      </c>
      <c r="E2487" t="s">
        <v>1694</v>
      </c>
      <c r="F2487" t="s">
        <v>81</v>
      </c>
      <c r="G2487" t="s">
        <v>15319</v>
      </c>
      <c r="H2487">
        <v>20.45</v>
      </c>
      <c r="I2487">
        <v>0</v>
      </c>
      <c r="J2487">
        <v>0</v>
      </c>
      <c r="K2487">
        <v>0</v>
      </c>
      <c r="L2487">
        <v>7</v>
      </c>
      <c r="O2487">
        <v>7</v>
      </c>
      <c r="P2487">
        <v>4</v>
      </c>
      <c r="Q2487">
        <v>2</v>
      </c>
      <c r="R2487">
        <v>33.450000000000003</v>
      </c>
      <c r="S2487">
        <v>6</v>
      </c>
      <c r="T2487">
        <v>6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6</v>
      </c>
      <c r="AB2487">
        <v>0</v>
      </c>
      <c r="AC2487">
        <v>0</v>
      </c>
      <c r="AH2487">
        <v>39.450000000000003</v>
      </c>
    </row>
    <row r="2488" spans="1:34" x14ac:dyDescent="0.3">
      <c r="A2488" s="4">
        <v>2702</v>
      </c>
      <c r="B2488" s="5">
        <v>2481</v>
      </c>
      <c r="C2488">
        <v>1529</v>
      </c>
      <c r="D2488" t="s">
        <v>161</v>
      </c>
      <c r="E2488" t="s">
        <v>15320</v>
      </c>
      <c r="F2488" t="s">
        <v>466</v>
      </c>
      <c r="G2488" t="s">
        <v>15321</v>
      </c>
      <c r="H2488">
        <v>16.45</v>
      </c>
      <c r="I2488">
        <v>0</v>
      </c>
      <c r="J2488">
        <v>0</v>
      </c>
      <c r="K2488">
        <v>0</v>
      </c>
      <c r="L2488">
        <v>7</v>
      </c>
      <c r="N2488">
        <v>3</v>
      </c>
      <c r="O2488">
        <v>10</v>
      </c>
      <c r="P2488">
        <v>4</v>
      </c>
      <c r="Q2488">
        <v>2</v>
      </c>
      <c r="R2488">
        <v>32.450000000000003</v>
      </c>
      <c r="S2488">
        <v>5</v>
      </c>
      <c r="T2488">
        <v>5</v>
      </c>
      <c r="U2488">
        <v>1</v>
      </c>
      <c r="V2488">
        <v>2</v>
      </c>
      <c r="W2488">
        <v>0</v>
      </c>
      <c r="X2488">
        <v>0</v>
      </c>
      <c r="Y2488">
        <v>0</v>
      </c>
      <c r="Z2488">
        <v>0</v>
      </c>
      <c r="AA2488">
        <v>7</v>
      </c>
      <c r="AB2488">
        <v>0</v>
      </c>
      <c r="AC2488">
        <v>0</v>
      </c>
      <c r="AH2488">
        <v>39.450000000000003</v>
      </c>
    </row>
    <row r="2489" spans="1:34" x14ac:dyDescent="0.3">
      <c r="A2489" s="4">
        <v>2703</v>
      </c>
      <c r="B2489" s="5">
        <v>2482</v>
      </c>
      <c r="C2489">
        <v>13066</v>
      </c>
      <c r="D2489" t="s">
        <v>15322</v>
      </c>
      <c r="E2489" t="s">
        <v>208</v>
      </c>
      <c r="F2489" t="s">
        <v>416</v>
      </c>
      <c r="G2489" t="s">
        <v>15323</v>
      </c>
      <c r="H2489">
        <v>20.399999999999999</v>
      </c>
      <c r="I2489">
        <v>0</v>
      </c>
      <c r="J2489">
        <v>0</v>
      </c>
      <c r="K2489">
        <v>0</v>
      </c>
      <c r="L2489">
        <v>7</v>
      </c>
      <c r="N2489">
        <v>3</v>
      </c>
      <c r="O2489">
        <v>10</v>
      </c>
      <c r="P2489">
        <v>4</v>
      </c>
      <c r="Q2489">
        <v>0</v>
      </c>
      <c r="R2489">
        <v>34.4</v>
      </c>
      <c r="S2489">
        <v>5</v>
      </c>
      <c r="T2489">
        <v>5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5</v>
      </c>
      <c r="AB2489">
        <v>0</v>
      </c>
      <c r="AC2489">
        <v>0</v>
      </c>
      <c r="AH2489">
        <v>39.4</v>
      </c>
    </row>
    <row r="2490" spans="1:34" x14ac:dyDescent="0.3">
      <c r="A2490" s="4">
        <v>2704</v>
      </c>
      <c r="B2490" s="5">
        <v>2483</v>
      </c>
      <c r="C2490">
        <v>12291</v>
      </c>
      <c r="D2490" t="s">
        <v>9929</v>
      </c>
      <c r="E2490" t="s">
        <v>37</v>
      </c>
      <c r="F2490" t="s">
        <v>38</v>
      </c>
      <c r="G2490" t="s">
        <v>15324</v>
      </c>
      <c r="H2490">
        <v>16.38</v>
      </c>
      <c r="I2490">
        <v>0</v>
      </c>
      <c r="J2490">
        <v>0</v>
      </c>
      <c r="K2490">
        <v>0</v>
      </c>
      <c r="N2490">
        <v>3</v>
      </c>
      <c r="O2490">
        <v>3</v>
      </c>
      <c r="P2490">
        <v>4</v>
      </c>
      <c r="Q2490">
        <v>2</v>
      </c>
      <c r="R2490">
        <v>25.38</v>
      </c>
      <c r="S2490">
        <v>14</v>
      </c>
      <c r="T2490">
        <v>14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14</v>
      </c>
      <c r="AB2490">
        <v>0</v>
      </c>
      <c r="AC2490">
        <v>0</v>
      </c>
      <c r="AH2490">
        <v>39.380000000000003</v>
      </c>
    </row>
    <row r="2491" spans="1:34" x14ac:dyDescent="0.3">
      <c r="A2491" s="4">
        <v>2705</v>
      </c>
      <c r="B2491" s="5">
        <v>2484</v>
      </c>
      <c r="C2491">
        <v>15107</v>
      </c>
      <c r="D2491" t="s">
        <v>15325</v>
      </c>
      <c r="E2491" t="s">
        <v>166</v>
      </c>
      <c r="F2491" t="s">
        <v>17</v>
      </c>
      <c r="G2491" t="s">
        <v>15326</v>
      </c>
      <c r="H2491">
        <v>15.33</v>
      </c>
      <c r="I2491">
        <v>0</v>
      </c>
      <c r="J2491">
        <v>0</v>
      </c>
      <c r="K2491">
        <v>0</v>
      </c>
      <c r="O2491">
        <v>0</v>
      </c>
      <c r="P2491">
        <v>4</v>
      </c>
      <c r="Q2491">
        <v>0</v>
      </c>
      <c r="R2491">
        <v>19.329999999999998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20</v>
      </c>
      <c r="AH2491">
        <v>39.33</v>
      </c>
    </row>
    <row r="2492" spans="1:34" x14ac:dyDescent="0.3">
      <c r="A2492" s="4">
        <v>2706</v>
      </c>
      <c r="B2492" s="5">
        <v>2485</v>
      </c>
      <c r="C2492">
        <v>12491</v>
      </c>
      <c r="D2492" t="s">
        <v>1822</v>
      </c>
      <c r="E2492" t="s">
        <v>100</v>
      </c>
      <c r="F2492" t="s">
        <v>17</v>
      </c>
      <c r="G2492" t="s">
        <v>15327</v>
      </c>
      <c r="H2492">
        <v>22.33</v>
      </c>
      <c r="I2492">
        <v>0</v>
      </c>
      <c r="J2492">
        <v>0</v>
      </c>
      <c r="K2492">
        <v>0</v>
      </c>
      <c r="L2492">
        <v>7</v>
      </c>
      <c r="O2492">
        <v>7</v>
      </c>
      <c r="P2492">
        <v>4</v>
      </c>
      <c r="Q2492">
        <v>0</v>
      </c>
      <c r="R2492">
        <v>33.33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6</v>
      </c>
      <c r="AC2492">
        <v>0</v>
      </c>
      <c r="AH2492">
        <v>39.33</v>
      </c>
    </row>
    <row r="2493" spans="1:34" x14ac:dyDescent="0.3">
      <c r="A2493" s="4">
        <v>2707</v>
      </c>
      <c r="B2493" s="5">
        <v>2486</v>
      </c>
      <c r="C2493">
        <v>10971</v>
      </c>
      <c r="D2493" t="s">
        <v>15328</v>
      </c>
      <c r="E2493" t="s">
        <v>328</v>
      </c>
      <c r="F2493" t="s">
        <v>136</v>
      </c>
      <c r="G2493" t="s">
        <v>15329</v>
      </c>
      <c r="H2493">
        <v>22.33</v>
      </c>
      <c r="I2493">
        <v>0</v>
      </c>
      <c r="J2493">
        <v>0</v>
      </c>
      <c r="K2493">
        <v>0</v>
      </c>
      <c r="L2493">
        <v>7</v>
      </c>
      <c r="O2493">
        <v>7</v>
      </c>
      <c r="P2493">
        <v>4</v>
      </c>
      <c r="Q2493">
        <v>0</v>
      </c>
      <c r="R2493">
        <v>33.33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6</v>
      </c>
      <c r="AC2493">
        <v>0</v>
      </c>
      <c r="AH2493">
        <v>39.33</v>
      </c>
    </row>
    <row r="2494" spans="1:34" x14ac:dyDescent="0.3">
      <c r="A2494" s="4">
        <v>2708</v>
      </c>
      <c r="B2494" s="5">
        <v>2487</v>
      </c>
      <c r="C2494">
        <v>8337</v>
      </c>
      <c r="D2494" t="s">
        <v>15330</v>
      </c>
      <c r="E2494" t="s">
        <v>17</v>
      </c>
      <c r="F2494" t="s">
        <v>68</v>
      </c>
      <c r="G2494" t="s">
        <v>15331</v>
      </c>
      <c r="H2494">
        <v>19.329999999999998</v>
      </c>
      <c r="I2494">
        <v>7</v>
      </c>
      <c r="J2494">
        <v>0</v>
      </c>
      <c r="K2494">
        <v>0</v>
      </c>
      <c r="L2494">
        <v>7</v>
      </c>
      <c r="O2494">
        <v>7</v>
      </c>
      <c r="P2494">
        <v>4</v>
      </c>
      <c r="Q2494">
        <v>2</v>
      </c>
      <c r="R2494">
        <v>39.33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H2494">
        <v>39.33</v>
      </c>
    </row>
    <row r="2495" spans="1:34" x14ac:dyDescent="0.3">
      <c r="A2495" s="4">
        <v>2709</v>
      </c>
      <c r="B2495" s="5">
        <v>2488</v>
      </c>
      <c r="C2495">
        <v>5569</v>
      </c>
      <c r="D2495" t="s">
        <v>15332</v>
      </c>
      <c r="E2495" t="s">
        <v>273</v>
      </c>
      <c r="F2495" t="s">
        <v>17</v>
      </c>
      <c r="G2495" t="s">
        <v>15333</v>
      </c>
      <c r="H2495">
        <v>18.3</v>
      </c>
      <c r="I2495">
        <v>0</v>
      </c>
      <c r="J2495">
        <v>0</v>
      </c>
      <c r="K2495">
        <v>0</v>
      </c>
      <c r="L2495">
        <v>7</v>
      </c>
      <c r="O2495">
        <v>7</v>
      </c>
      <c r="P2495">
        <v>0</v>
      </c>
      <c r="Q2495">
        <v>0</v>
      </c>
      <c r="R2495">
        <v>25.3</v>
      </c>
      <c r="S2495">
        <v>14</v>
      </c>
      <c r="T2495">
        <v>14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14</v>
      </c>
      <c r="AB2495">
        <v>0</v>
      </c>
      <c r="AC2495">
        <v>0</v>
      </c>
      <c r="AH2495">
        <v>39.299999999999997</v>
      </c>
    </row>
    <row r="2496" spans="1:34" x14ac:dyDescent="0.3">
      <c r="A2496" s="4">
        <v>2710</v>
      </c>
      <c r="B2496" s="5">
        <v>2489</v>
      </c>
      <c r="C2496">
        <v>2869</v>
      </c>
      <c r="D2496" t="s">
        <v>15334</v>
      </c>
      <c r="E2496" t="s">
        <v>117</v>
      </c>
      <c r="F2496" t="s">
        <v>190</v>
      </c>
      <c r="G2496" t="s">
        <v>15335</v>
      </c>
      <c r="H2496">
        <v>15.28</v>
      </c>
      <c r="I2496">
        <v>0</v>
      </c>
      <c r="J2496">
        <v>0</v>
      </c>
      <c r="K2496">
        <v>20</v>
      </c>
      <c r="O2496">
        <v>0</v>
      </c>
      <c r="P2496">
        <v>4</v>
      </c>
      <c r="Q2496">
        <v>0</v>
      </c>
      <c r="R2496">
        <v>39.28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H2496">
        <v>39.28</v>
      </c>
    </row>
    <row r="2497" spans="1:34" x14ac:dyDescent="0.3">
      <c r="A2497" s="4">
        <v>2711</v>
      </c>
      <c r="B2497" s="5">
        <v>2490</v>
      </c>
      <c r="C2497">
        <v>5952</v>
      </c>
      <c r="D2497" t="s">
        <v>15336</v>
      </c>
      <c r="E2497" t="s">
        <v>283</v>
      </c>
      <c r="F2497" t="s">
        <v>30</v>
      </c>
      <c r="G2497" t="s">
        <v>15337</v>
      </c>
      <c r="H2497">
        <v>20.28</v>
      </c>
      <c r="I2497">
        <v>0</v>
      </c>
      <c r="J2497">
        <v>0</v>
      </c>
      <c r="K2497">
        <v>0</v>
      </c>
      <c r="L2497">
        <v>7</v>
      </c>
      <c r="O2497">
        <v>7</v>
      </c>
      <c r="P2497">
        <v>0</v>
      </c>
      <c r="Q2497">
        <v>2</v>
      </c>
      <c r="R2497">
        <v>29.28</v>
      </c>
      <c r="S2497">
        <v>10</v>
      </c>
      <c r="T2497">
        <v>10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10</v>
      </c>
      <c r="AB2497">
        <v>0</v>
      </c>
      <c r="AC2497">
        <v>0</v>
      </c>
      <c r="AD2497" t="s">
        <v>130</v>
      </c>
      <c r="AH2497">
        <v>39.28</v>
      </c>
    </row>
    <row r="2498" spans="1:34" x14ac:dyDescent="0.3">
      <c r="A2498" s="4">
        <v>2712</v>
      </c>
      <c r="B2498" s="5">
        <v>2491</v>
      </c>
      <c r="C2498">
        <v>10888</v>
      </c>
      <c r="D2498" t="s">
        <v>15338</v>
      </c>
      <c r="E2498" t="s">
        <v>22</v>
      </c>
      <c r="F2498" t="s">
        <v>539</v>
      </c>
      <c r="G2498" t="s">
        <v>15339</v>
      </c>
      <c r="H2498">
        <v>21.25</v>
      </c>
      <c r="I2498">
        <v>0</v>
      </c>
      <c r="J2498">
        <v>0</v>
      </c>
      <c r="K2498">
        <v>0</v>
      </c>
      <c r="L2498">
        <v>7</v>
      </c>
      <c r="M2498">
        <v>5</v>
      </c>
      <c r="O2498">
        <v>12</v>
      </c>
      <c r="P2498">
        <v>4</v>
      </c>
      <c r="Q2498">
        <v>2</v>
      </c>
      <c r="R2498">
        <v>39.25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H2498">
        <v>39.25</v>
      </c>
    </row>
    <row r="2499" spans="1:34" x14ac:dyDescent="0.3">
      <c r="A2499" s="4">
        <v>2713</v>
      </c>
      <c r="B2499" s="5">
        <v>2492</v>
      </c>
      <c r="C2499">
        <v>14043</v>
      </c>
      <c r="D2499" t="s">
        <v>15340</v>
      </c>
      <c r="E2499" t="s">
        <v>91</v>
      </c>
      <c r="F2499" t="s">
        <v>62</v>
      </c>
      <c r="G2499" t="s">
        <v>15341</v>
      </c>
      <c r="H2499">
        <v>16.25</v>
      </c>
      <c r="I2499">
        <v>0</v>
      </c>
      <c r="J2499">
        <v>0</v>
      </c>
      <c r="K2499">
        <v>20</v>
      </c>
      <c r="N2499">
        <v>3</v>
      </c>
      <c r="O2499">
        <v>3</v>
      </c>
      <c r="P2499">
        <v>0</v>
      </c>
      <c r="Q2499">
        <v>0</v>
      </c>
      <c r="R2499">
        <v>39.25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H2499">
        <v>39.25</v>
      </c>
    </row>
    <row r="2500" spans="1:34" x14ac:dyDescent="0.3">
      <c r="A2500" s="4">
        <v>2714</v>
      </c>
      <c r="B2500" s="5">
        <v>2493</v>
      </c>
      <c r="C2500">
        <v>14183</v>
      </c>
      <c r="D2500" t="s">
        <v>15342</v>
      </c>
      <c r="E2500" t="s">
        <v>283</v>
      </c>
      <c r="F2500" t="s">
        <v>17</v>
      </c>
      <c r="G2500" t="s">
        <v>15343</v>
      </c>
      <c r="H2500">
        <v>16.25</v>
      </c>
      <c r="I2500">
        <v>0</v>
      </c>
      <c r="J2500">
        <v>0</v>
      </c>
      <c r="K2500">
        <v>20</v>
      </c>
      <c r="N2500">
        <v>3</v>
      </c>
      <c r="O2500">
        <v>3</v>
      </c>
      <c r="P2500">
        <v>0</v>
      </c>
      <c r="Q2500">
        <v>0</v>
      </c>
      <c r="R2500">
        <v>39.25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H2500">
        <v>39.25</v>
      </c>
    </row>
    <row r="2501" spans="1:34" x14ac:dyDescent="0.3">
      <c r="A2501" s="4">
        <v>2715</v>
      </c>
      <c r="B2501" s="5">
        <v>2494</v>
      </c>
      <c r="C2501">
        <v>1804</v>
      </c>
      <c r="D2501" t="s">
        <v>15344</v>
      </c>
      <c r="E2501" t="s">
        <v>97</v>
      </c>
      <c r="F2501" t="s">
        <v>81</v>
      </c>
      <c r="G2501" t="s">
        <v>15345</v>
      </c>
      <c r="H2501">
        <v>16.25</v>
      </c>
      <c r="I2501">
        <v>0</v>
      </c>
      <c r="J2501">
        <v>0</v>
      </c>
      <c r="K2501">
        <v>20</v>
      </c>
      <c r="N2501">
        <v>3</v>
      </c>
      <c r="O2501">
        <v>3</v>
      </c>
      <c r="P2501">
        <v>0</v>
      </c>
      <c r="Q2501">
        <v>0</v>
      </c>
      <c r="R2501">
        <v>39.25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H2501">
        <v>39.25</v>
      </c>
    </row>
    <row r="2502" spans="1:34" x14ac:dyDescent="0.3">
      <c r="A2502" s="4">
        <v>2716</v>
      </c>
      <c r="B2502" s="5">
        <v>2495</v>
      </c>
      <c r="C2502">
        <v>8219</v>
      </c>
      <c r="D2502" t="s">
        <v>15346</v>
      </c>
      <c r="E2502" t="s">
        <v>117</v>
      </c>
      <c r="F2502" t="s">
        <v>3711</v>
      </c>
      <c r="G2502" t="s">
        <v>15347</v>
      </c>
      <c r="H2502">
        <v>16.25</v>
      </c>
      <c r="I2502">
        <v>0</v>
      </c>
      <c r="J2502">
        <v>0</v>
      </c>
      <c r="K2502">
        <v>20</v>
      </c>
      <c r="N2502">
        <v>3</v>
      </c>
      <c r="O2502">
        <v>3</v>
      </c>
      <c r="P2502">
        <v>0</v>
      </c>
      <c r="Q2502">
        <v>0</v>
      </c>
      <c r="R2502">
        <v>39.25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H2502">
        <v>39.25</v>
      </c>
    </row>
    <row r="2503" spans="1:34" x14ac:dyDescent="0.3">
      <c r="A2503" s="4">
        <v>2717</v>
      </c>
      <c r="B2503" s="5">
        <v>2496</v>
      </c>
      <c r="C2503">
        <v>3433</v>
      </c>
      <c r="D2503" t="s">
        <v>15348</v>
      </c>
      <c r="E2503" t="s">
        <v>15349</v>
      </c>
      <c r="F2503" t="s">
        <v>20</v>
      </c>
      <c r="G2503" t="s">
        <v>15350</v>
      </c>
      <c r="H2503">
        <v>18.2</v>
      </c>
      <c r="I2503">
        <v>0</v>
      </c>
      <c r="J2503">
        <v>0</v>
      </c>
      <c r="K2503">
        <v>0</v>
      </c>
      <c r="L2503">
        <v>7</v>
      </c>
      <c r="N2503">
        <v>3</v>
      </c>
      <c r="O2503">
        <v>10</v>
      </c>
      <c r="P2503">
        <v>4</v>
      </c>
      <c r="Q2503">
        <v>0</v>
      </c>
      <c r="R2503">
        <v>32.200000000000003</v>
      </c>
      <c r="S2503">
        <v>4</v>
      </c>
      <c r="T2503">
        <v>4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4</v>
      </c>
      <c r="AB2503">
        <v>3</v>
      </c>
      <c r="AC2503">
        <v>0</v>
      </c>
      <c r="AH2503">
        <v>39.200000000000003</v>
      </c>
    </row>
    <row r="2504" spans="1:34" x14ac:dyDescent="0.3">
      <c r="A2504" s="4">
        <v>2718</v>
      </c>
      <c r="B2504" s="5">
        <v>2497</v>
      </c>
      <c r="C2504">
        <v>1071</v>
      </c>
      <c r="D2504" t="s">
        <v>438</v>
      </c>
      <c r="E2504" t="s">
        <v>406</v>
      </c>
      <c r="F2504" t="s">
        <v>15351</v>
      </c>
      <c r="G2504" t="s">
        <v>15352</v>
      </c>
      <c r="H2504">
        <v>19.2</v>
      </c>
      <c r="I2504">
        <v>0</v>
      </c>
      <c r="J2504">
        <v>0</v>
      </c>
      <c r="K2504">
        <v>20</v>
      </c>
      <c r="O2504">
        <v>0</v>
      </c>
      <c r="P2504">
        <v>0</v>
      </c>
      <c r="Q2504">
        <v>0</v>
      </c>
      <c r="R2504">
        <v>39.200000000000003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H2504">
        <v>39.200000000000003</v>
      </c>
    </row>
    <row r="2505" spans="1:34" x14ac:dyDescent="0.3">
      <c r="A2505" s="4">
        <v>2719</v>
      </c>
      <c r="B2505" s="5">
        <v>2498</v>
      </c>
      <c r="C2505">
        <v>12212</v>
      </c>
      <c r="D2505" t="s">
        <v>2208</v>
      </c>
      <c r="E2505" t="s">
        <v>29</v>
      </c>
      <c r="F2505" t="s">
        <v>343</v>
      </c>
      <c r="G2505" t="s">
        <v>15353</v>
      </c>
      <c r="H2505">
        <v>19.18</v>
      </c>
      <c r="I2505">
        <v>0</v>
      </c>
      <c r="J2505">
        <v>0</v>
      </c>
      <c r="K2505">
        <v>0</v>
      </c>
      <c r="L2505">
        <v>7</v>
      </c>
      <c r="M2505">
        <v>5</v>
      </c>
      <c r="O2505">
        <v>12</v>
      </c>
      <c r="P2505">
        <v>0</v>
      </c>
      <c r="Q2505">
        <v>2</v>
      </c>
      <c r="R2505">
        <v>33.18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6</v>
      </c>
      <c r="AC2505">
        <v>0</v>
      </c>
      <c r="AH2505">
        <v>39.18</v>
      </c>
    </row>
    <row r="2506" spans="1:34" x14ac:dyDescent="0.3">
      <c r="A2506" s="4">
        <v>2720</v>
      </c>
      <c r="B2506" s="5">
        <v>2499</v>
      </c>
      <c r="C2506">
        <v>6249</v>
      </c>
      <c r="D2506" t="s">
        <v>15354</v>
      </c>
      <c r="E2506" t="s">
        <v>29</v>
      </c>
      <c r="F2506" t="s">
        <v>136</v>
      </c>
      <c r="G2506" t="s">
        <v>15355</v>
      </c>
      <c r="H2506">
        <v>21.15</v>
      </c>
      <c r="I2506">
        <v>0</v>
      </c>
      <c r="J2506">
        <v>0</v>
      </c>
      <c r="K2506">
        <v>0</v>
      </c>
      <c r="L2506">
        <v>7</v>
      </c>
      <c r="M2506">
        <v>5</v>
      </c>
      <c r="O2506">
        <v>12</v>
      </c>
      <c r="P2506">
        <v>4</v>
      </c>
      <c r="Q2506">
        <v>2</v>
      </c>
      <c r="R2506">
        <v>39.15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H2506">
        <v>39.15</v>
      </c>
    </row>
    <row r="2507" spans="1:34" x14ac:dyDescent="0.3">
      <c r="A2507" s="4">
        <v>2721</v>
      </c>
      <c r="B2507" s="5">
        <v>2500</v>
      </c>
      <c r="C2507">
        <v>6262</v>
      </c>
      <c r="D2507" t="s">
        <v>12321</v>
      </c>
      <c r="E2507" t="s">
        <v>178</v>
      </c>
      <c r="F2507" t="s">
        <v>801</v>
      </c>
      <c r="G2507" t="s">
        <v>15356</v>
      </c>
      <c r="H2507">
        <v>19.149999999999999</v>
      </c>
      <c r="I2507">
        <v>0</v>
      </c>
      <c r="J2507">
        <v>0</v>
      </c>
      <c r="K2507">
        <v>0</v>
      </c>
      <c r="L2507">
        <v>7</v>
      </c>
      <c r="O2507">
        <v>7</v>
      </c>
      <c r="P2507">
        <v>4</v>
      </c>
      <c r="Q2507">
        <v>2</v>
      </c>
      <c r="R2507">
        <v>32.15</v>
      </c>
      <c r="S2507">
        <v>7</v>
      </c>
      <c r="T2507">
        <v>7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7</v>
      </c>
      <c r="AB2507">
        <v>0</v>
      </c>
      <c r="AC2507">
        <v>0</v>
      </c>
      <c r="AH2507">
        <v>39.15</v>
      </c>
    </row>
    <row r="2508" spans="1:34" x14ac:dyDescent="0.3">
      <c r="A2508" s="4">
        <v>2722</v>
      </c>
      <c r="B2508" s="5">
        <v>2501</v>
      </c>
      <c r="C2508">
        <v>5076</v>
      </c>
      <c r="D2508" t="s">
        <v>3754</v>
      </c>
      <c r="E2508" t="s">
        <v>594</v>
      </c>
      <c r="F2508" t="s">
        <v>68</v>
      </c>
      <c r="G2508" t="s">
        <v>15357</v>
      </c>
      <c r="H2508">
        <v>22.13</v>
      </c>
      <c r="I2508">
        <v>0</v>
      </c>
      <c r="J2508">
        <v>0</v>
      </c>
      <c r="K2508">
        <v>0</v>
      </c>
      <c r="L2508">
        <v>7</v>
      </c>
      <c r="N2508">
        <v>3</v>
      </c>
      <c r="O2508">
        <v>10</v>
      </c>
      <c r="P2508">
        <v>4</v>
      </c>
      <c r="Q2508">
        <v>0</v>
      </c>
      <c r="R2508">
        <v>36.130000000000003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3</v>
      </c>
      <c r="AC2508">
        <v>0</v>
      </c>
      <c r="AH2508">
        <v>39.130000000000003</v>
      </c>
    </row>
    <row r="2509" spans="1:34" x14ac:dyDescent="0.3">
      <c r="A2509" s="4">
        <v>2723</v>
      </c>
      <c r="B2509" s="5">
        <v>2502</v>
      </c>
      <c r="C2509">
        <v>4291</v>
      </c>
      <c r="D2509" t="s">
        <v>15358</v>
      </c>
      <c r="E2509" t="s">
        <v>550</v>
      </c>
      <c r="F2509" t="s">
        <v>38</v>
      </c>
      <c r="G2509" t="s">
        <v>15359</v>
      </c>
      <c r="H2509">
        <v>23.13</v>
      </c>
      <c r="I2509">
        <v>0</v>
      </c>
      <c r="J2509">
        <v>0</v>
      </c>
      <c r="K2509">
        <v>0</v>
      </c>
      <c r="L2509">
        <v>7</v>
      </c>
      <c r="N2509">
        <v>3</v>
      </c>
      <c r="O2509">
        <v>10</v>
      </c>
      <c r="P2509">
        <v>4</v>
      </c>
      <c r="Q2509">
        <v>2</v>
      </c>
      <c r="R2509">
        <v>39.130000000000003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H2509">
        <v>39.130000000000003</v>
      </c>
    </row>
    <row r="2510" spans="1:34" x14ac:dyDescent="0.3">
      <c r="A2510" s="4">
        <v>2724</v>
      </c>
      <c r="B2510" s="5">
        <v>2503</v>
      </c>
      <c r="C2510">
        <v>12087</v>
      </c>
      <c r="D2510" t="s">
        <v>15360</v>
      </c>
      <c r="E2510" t="s">
        <v>81</v>
      </c>
      <c r="F2510" t="s">
        <v>11673</v>
      </c>
      <c r="G2510" t="s">
        <v>15361</v>
      </c>
      <c r="H2510">
        <v>21.13</v>
      </c>
      <c r="I2510">
        <v>0</v>
      </c>
      <c r="J2510">
        <v>0</v>
      </c>
      <c r="K2510">
        <v>0</v>
      </c>
      <c r="L2510">
        <v>14</v>
      </c>
      <c r="O2510">
        <v>14</v>
      </c>
      <c r="P2510">
        <v>4</v>
      </c>
      <c r="Q2510">
        <v>0</v>
      </c>
      <c r="R2510">
        <v>39.130000000000003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H2510">
        <v>39.130000000000003</v>
      </c>
    </row>
    <row r="2511" spans="1:34" x14ac:dyDescent="0.3">
      <c r="A2511" s="4">
        <v>2725</v>
      </c>
      <c r="B2511" s="5">
        <v>2504</v>
      </c>
      <c r="C2511">
        <v>2419</v>
      </c>
      <c r="D2511" t="s">
        <v>15362</v>
      </c>
      <c r="E2511" t="s">
        <v>15363</v>
      </c>
      <c r="F2511" t="s">
        <v>158</v>
      </c>
      <c r="G2511" t="s">
        <v>15364</v>
      </c>
      <c r="H2511">
        <v>17.100000000000001</v>
      </c>
      <c r="I2511">
        <v>0</v>
      </c>
      <c r="J2511">
        <v>0</v>
      </c>
      <c r="K2511">
        <v>0</v>
      </c>
      <c r="L2511">
        <v>7</v>
      </c>
      <c r="N2511">
        <v>3</v>
      </c>
      <c r="O2511">
        <v>10</v>
      </c>
      <c r="P2511">
        <v>4</v>
      </c>
      <c r="Q2511">
        <v>2</v>
      </c>
      <c r="R2511">
        <v>33.1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6</v>
      </c>
      <c r="AC2511">
        <v>0</v>
      </c>
      <c r="AH2511">
        <v>39.1</v>
      </c>
    </row>
    <row r="2512" spans="1:34" x14ac:dyDescent="0.3">
      <c r="A2512" s="4">
        <v>2726</v>
      </c>
      <c r="B2512" s="5">
        <v>2505</v>
      </c>
      <c r="C2512">
        <v>11286</v>
      </c>
      <c r="D2512" t="s">
        <v>15365</v>
      </c>
      <c r="E2512" t="s">
        <v>283</v>
      </c>
      <c r="F2512" t="s">
        <v>117</v>
      </c>
      <c r="G2512" t="s">
        <v>15366</v>
      </c>
      <c r="H2512">
        <v>23.05</v>
      </c>
      <c r="I2512">
        <v>0</v>
      </c>
      <c r="J2512">
        <v>0</v>
      </c>
      <c r="K2512">
        <v>0</v>
      </c>
      <c r="L2512">
        <v>7</v>
      </c>
      <c r="N2512">
        <v>3</v>
      </c>
      <c r="O2512">
        <v>10</v>
      </c>
      <c r="P2512">
        <v>4</v>
      </c>
      <c r="Q2512">
        <v>2</v>
      </c>
      <c r="R2512">
        <v>39.049999999999997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H2512">
        <v>39.049999999999997</v>
      </c>
    </row>
    <row r="2513" spans="1:34" x14ac:dyDescent="0.3">
      <c r="A2513" s="4">
        <v>2727</v>
      </c>
      <c r="B2513" s="5">
        <v>2506</v>
      </c>
      <c r="C2513">
        <v>2203</v>
      </c>
      <c r="D2513" t="s">
        <v>15367</v>
      </c>
      <c r="E2513" t="s">
        <v>15368</v>
      </c>
      <c r="F2513" t="s">
        <v>381</v>
      </c>
      <c r="G2513" t="s">
        <v>15369</v>
      </c>
      <c r="H2513">
        <v>21.03</v>
      </c>
      <c r="I2513">
        <v>0</v>
      </c>
      <c r="J2513">
        <v>0</v>
      </c>
      <c r="K2513">
        <v>0</v>
      </c>
      <c r="L2513">
        <v>7</v>
      </c>
      <c r="M2513">
        <v>5</v>
      </c>
      <c r="O2513">
        <v>12</v>
      </c>
      <c r="P2513">
        <v>4</v>
      </c>
      <c r="Q2513">
        <v>2</v>
      </c>
      <c r="R2513">
        <v>39.03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H2513">
        <v>39.03</v>
      </c>
    </row>
    <row r="2514" spans="1:34" x14ac:dyDescent="0.3">
      <c r="A2514" s="4">
        <v>2728</v>
      </c>
      <c r="B2514" s="5">
        <v>2507</v>
      </c>
      <c r="C2514">
        <v>3061</v>
      </c>
      <c r="D2514" t="s">
        <v>15370</v>
      </c>
      <c r="E2514" t="s">
        <v>188</v>
      </c>
      <c r="F2514" t="s">
        <v>38</v>
      </c>
      <c r="G2514" t="s">
        <v>15371</v>
      </c>
      <c r="H2514">
        <v>16.03</v>
      </c>
      <c r="I2514">
        <v>0</v>
      </c>
      <c r="J2514">
        <v>0</v>
      </c>
      <c r="K2514">
        <v>20</v>
      </c>
      <c r="N2514">
        <v>3</v>
      </c>
      <c r="O2514">
        <v>3</v>
      </c>
      <c r="P2514">
        <v>0</v>
      </c>
      <c r="Q2514">
        <v>0</v>
      </c>
      <c r="R2514">
        <v>39.03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H2514">
        <v>39.03</v>
      </c>
    </row>
    <row r="2515" spans="1:34" x14ac:dyDescent="0.3">
      <c r="A2515" s="4">
        <v>2729</v>
      </c>
      <c r="B2515" s="5">
        <v>2508</v>
      </c>
      <c r="C2515">
        <v>6224</v>
      </c>
      <c r="D2515" t="s">
        <v>15372</v>
      </c>
      <c r="E2515" t="s">
        <v>29</v>
      </c>
      <c r="F2515" t="s">
        <v>14</v>
      </c>
      <c r="G2515" t="s">
        <v>15373</v>
      </c>
      <c r="H2515">
        <v>18.98</v>
      </c>
      <c r="I2515">
        <v>0</v>
      </c>
      <c r="J2515">
        <v>0</v>
      </c>
      <c r="K2515">
        <v>0</v>
      </c>
      <c r="L2515">
        <v>7</v>
      </c>
      <c r="O2515">
        <v>7</v>
      </c>
      <c r="P2515">
        <v>4</v>
      </c>
      <c r="Q2515">
        <v>0</v>
      </c>
      <c r="R2515">
        <v>29.98</v>
      </c>
      <c r="S2515">
        <v>6</v>
      </c>
      <c r="T2515">
        <v>6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6</v>
      </c>
      <c r="AB2515">
        <v>3</v>
      </c>
      <c r="AC2515">
        <v>0</v>
      </c>
      <c r="AH2515">
        <v>38.979999999999997</v>
      </c>
    </row>
    <row r="2516" spans="1:34" x14ac:dyDescent="0.3">
      <c r="A2516" s="4">
        <v>2730</v>
      </c>
      <c r="B2516" s="5">
        <v>2509</v>
      </c>
      <c r="C2516">
        <v>2697</v>
      </c>
      <c r="D2516" t="s">
        <v>1233</v>
      </c>
      <c r="E2516" t="s">
        <v>139</v>
      </c>
      <c r="F2516" t="s">
        <v>1526</v>
      </c>
      <c r="G2516" t="s">
        <v>15374</v>
      </c>
      <c r="H2516">
        <v>15.95</v>
      </c>
      <c r="I2516">
        <v>0</v>
      </c>
      <c r="J2516">
        <v>0</v>
      </c>
      <c r="K2516">
        <v>0</v>
      </c>
      <c r="N2516">
        <v>3</v>
      </c>
      <c r="O2516">
        <v>3</v>
      </c>
      <c r="P2516">
        <v>4</v>
      </c>
      <c r="Q2516">
        <v>2</v>
      </c>
      <c r="R2516">
        <v>24.95</v>
      </c>
      <c r="S2516">
        <v>11</v>
      </c>
      <c r="T2516">
        <v>11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11</v>
      </c>
      <c r="AB2516">
        <v>3</v>
      </c>
      <c r="AC2516">
        <v>0</v>
      </c>
      <c r="AH2516">
        <v>38.950000000000003</v>
      </c>
    </row>
    <row r="2517" spans="1:34" x14ac:dyDescent="0.3">
      <c r="A2517" s="4">
        <v>2731</v>
      </c>
      <c r="B2517" s="5">
        <v>2510</v>
      </c>
      <c r="C2517">
        <v>10039</v>
      </c>
      <c r="D2517" t="s">
        <v>12964</v>
      </c>
      <c r="E2517" t="s">
        <v>213</v>
      </c>
      <c r="F2517" t="s">
        <v>81</v>
      </c>
      <c r="G2517" t="s">
        <v>15375</v>
      </c>
      <c r="H2517">
        <v>19.95</v>
      </c>
      <c r="I2517">
        <v>0</v>
      </c>
      <c r="J2517">
        <v>0</v>
      </c>
      <c r="K2517">
        <v>0</v>
      </c>
      <c r="L2517">
        <v>7</v>
      </c>
      <c r="O2517">
        <v>7</v>
      </c>
      <c r="P2517">
        <v>4</v>
      </c>
      <c r="Q2517">
        <v>2</v>
      </c>
      <c r="R2517">
        <v>32.950000000000003</v>
      </c>
      <c r="S2517">
        <v>6</v>
      </c>
      <c r="T2517">
        <v>6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6</v>
      </c>
      <c r="AB2517">
        <v>0</v>
      </c>
      <c r="AC2517">
        <v>0</v>
      </c>
      <c r="AH2517">
        <v>38.950000000000003</v>
      </c>
    </row>
    <row r="2518" spans="1:34" x14ac:dyDescent="0.3">
      <c r="A2518" s="4">
        <v>2732</v>
      </c>
      <c r="B2518" s="5">
        <v>2511</v>
      </c>
      <c r="C2518">
        <v>6884</v>
      </c>
      <c r="D2518" t="s">
        <v>15376</v>
      </c>
      <c r="E2518" t="s">
        <v>143</v>
      </c>
      <c r="F2518" t="s">
        <v>81</v>
      </c>
      <c r="G2518" t="s">
        <v>15377</v>
      </c>
      <c r="H2518">
        <v>18.93</v>
      </c>
      <c r="I2518">
        <v>0</v>
      </c>
      <c r="J2518">
        <v>0</v>
      </c>
      <c r="K2518">
        <v>0</v>
      </c>
      <c r="L2518">
        <v>14</v>
      </c>
      <c r="O2518">
        <v>14</v>
      </c>
      <c r="P2518">
        <v>4</v>
      </c>
      <c r="Q2518">
        <v>2</v>
      </c>
      <c r="R2518">
        <v>38.93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H2518">
        <v>38.93</v>
      </c>
    </row>
    <row r="2519" spans="1:34" x14ac:dyDescent="0.3">
      <c r="A2519" s="4">
        <v>2733</v>
      </c>
      <c r="B2519" s="5">
        <v>2512</v>
      </c>
      <c r="C2519">
        <v>6339</v>
      </c>
      <c r="D2519" t="s">
        <v>13426</v>
      </c>
      <c r="E2519" t="s">
        <v>29</v>
      </c>
      <c r="F2519" t="s">
        <v>6703</v>
      </c>
      <c r="G2519" t="s">
        <v>15378</v>
      </c>
      <c r="H2519">
        <v>16.899999999999999</v>
      </c>
      <c r="I2519">
        <v>0</v>
      </c>
      <c r="J2519">
        <v>0</v>
      </c>
      <c r="K2519">
        <v>0</v>
      </c>
      <c r="L2519">
        <v>7</v>
      </c>
      <c r="O2519">
        <v>7</v>
      </c>
      <c r="P2519">
        <v>4</v>
      </c>
      <c r="Q2519">
        <v>0</v>
      </c>
      <c r="R2519">
        <v>27.9</v>
      </c>
      <c r="S2519">
        <v>11</v>
      </c>
      <c r="T2519">
        <v>11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11</v>
      </c>
      <c r="AB2519">
        <v>0</v>
      </c>
      <c r="AC2519">
        <v>0</v>
      </c>
      <c r="AH2519">
        <v>38.9</v>
      </c>
    </row>
    <row r="2520" spans="1:34" x14ac:dyDescent="0.3">
      <c r="A2520" s="4">
        <v>2734</v>
      </c>
      <c r="B2520" s="5">
        <v>2513</v>
      </c>
      <c r="C2520">
        <v>6320</v>
      </c>
      <c r="D2520" t="s">
        <v>15379</v>
      </c>
      <c r="E2520" t="s">
        <v>22</v>
      </c>
      <c r="F2520" t="s">
        <v>1526</v>
      </c>
      <c r="G2520" t="s">
        <v>15380</v>
      </c>
      <c r="H2520">
        <v>19.88</v>
      </c>
      <c r="I2520">
        <v>0</v>
      </c>
      <c r="J2520">
        <v>0</v>
      </c>
      <c r="K2520">
        <v>0</v>
      </c>
      <c r="L2520">
        <v>7</v>
      </c>
      <c r="M2520">
        <v>5</v>
      </c>
      <c r="O2520">
        <v>12</v>
      </c>
      <c r="P2520">
        <v>4</v>
      </c>
      <c r="Q2520">
        <v>2</v>
      </c>
      <c r="R2520">
        <v>37.880000000000003</v>
      </c>
      <c r="S2520">
        <v>1</v>
      </c>
      <c r="T2520">
        <v>1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1</v>
      </c>
      <c r="AB2520">
        <v>0</v>
      </c>
      <c r="AC2520">
        <v>0</v>
      </c>
      <c r="AH2520">
        <v>38.880000000000003</v>
      </c>
    </row>
    <row r="2521" spans="1:34" x14ac:dyDescent="0.3">
      <c r="A2521" s="4">
        <v>2735</v>
      </c>
      <c r="B2521" s="5">
        <v>2514</v>
      </c>
      <c r="C2521">
        <v>3171</v>
      </c>
      <c r="D2521" t="s">
        <v>15381</v>
      </c>
      <c r="E2521" t="s">
        <v>26</v>
      </c>
      <c r="F2521" t="s">
        <v>158</v>
      </c>
      <c r="G2521" t="s">
        <v>15382</v>
      </c>
      <c r="H2521">
        <v>17.88</v>
      </c>
      <c r="I2521">
        <v>0</v>
      </c>
      <c r="J2521">
        <v>0</v>
      </c>
      <c r="K2521">
        <v>0</v>
      </c>
      <c r="M2521">
        <v>5</v>
      </c>
      <c r="O2521">
        <v>5</v>
      </c>
      <c r="P2521">
        <v>4</v>
      </c>
      <c r="Q2521">
        <v>2</v>
      </c>
      <c r="R2521">
        <v>28.88</v>
      </c>
      <c r="S2521">
        <v>10</v>
      </c>
      <c r="T2521">
        <v>10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10</v>
      </c>
      <c r="AB2521">
        <v>0</v>
      </c>
      <c r="AC2521">
        <v>0</v>
      </c>
      <c r="AD2521" t="s">
        <v>130</v>
      </c>
      <c r="AH2521">
        <v>38.880000000000003</v>
      </c>
    </row>
    <row r="2522" spans="1:34" x14ac:dyDescent="0.3">
      <c r="A2522" s="4">
        <v>2736</v>
      </c>
      <c r="B2522" s="5">
        <v>2515</v>
      </c>
      <c r="C2522">
        <v>14144</v>
      </c>
      <c r="D2522" t="s">
        <v>2170</v>
      </c>
      <c r="E2522" t="s">
        <v>188</v>
      </c>
      <c r="F2522" t="s">
        <v>124</v>
      </c>
      <c r="G2522" t="s">
        <v>15383</v>
      </c>
      <c r="H2522">
        <v>16.88</v>
      </c>
      <c r="I2522">
        <v>0</v>
      </c>
      <c r="J2522">
        <v>0</v>
      </c>
      <c r="K2522">
        <v>0</v>
      </c>
      <c r="M2522">
        <v>5</v>
      </c>
      <c r="N2522">
        <v>3</v>
      </c>
      <c r="O2522">
        <v>8</v>
      </c>
      <c r="P2522">
        <v>4</v>
      </c>
      <c r="Q2522">
        <v>0</v>
      </c>
      <c r="R2522">
        <v>28.88</v>
      </c>
      <c r="S2522">
        <v>10</v>
      </c>
      <c r="T2522">
        <v>10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10</v>
      </c>
      <c r="AB2522">
        <v>0</v>
      </c>
      <c r="AC2522">
        <v>0</v>
      </c>
      <c r="AH2522">
        <v>38.880000000000003</v>
      </c>
    </row>
    <row r="2523" spans="1:34" x14ac:dyDescent="0.3">
      <c r="A2523" s="4">
        <v>2737</v>
      </c>
      <c r="B2523" s="5">
        <v>2516</v>
      </c>
      <c r="C2523">
        <v>13423</v>
      </c>
      <c r="D2523" t="s">
        <v>15384</v>
      </c>
      <c r="E2523" t="s">
        <v>37</v>
      </c>
      <c r="F2523" t="s">
        <v>117</v>
      </c>
      <c r="G2523" t="s">
        <v>15385</v>
      </c>
      <c r="H2523">
        <v>20.88</v>
      </c>
      <c r="I2523">
        <v>0</v>
      </c>
      <c r="J2523">
        <v>0</v>
      </c>
      <c r="K2523">
        <v>0</v>
      </c>
      <c r="L2523">
        <v>7</v>
      </c>
      <c r="O2523">
        <v>7</v>
      </c>
      <c r="P2523">
        <v>0</v>
      </c>
      <c r="Q2523">
        <v>0</v>
      </c>
      <c r="R2523">
        <v>27.88</v>
      </c>
      <c r="S2523">
        <v>11</v>
      </c>
      <c r="T2523">
        <v>11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11</v>
      </c>
      <c r="AB2523">
        <v>0</v>
      </c>
      <c r="AC2523">
        <v>0</v>
      </c>
      <c r="AH2523">
        <v>38.880000000000003</v>
      </c>
    </row>
    <row r="2524" spans="1:34" x14ac:dyDescent="0.3">
      <c r="A2524" s="4">
        <v>2738</v>
      </c>
      <c r="B2524" s="5">
        <v>2517</v>
      </c>
      <c r="C2524">
        <v>1666</v>
      </c>
      <c r="D2524" t="s">
        <v>15386</v>
      </c>
      <c r="E2524" t="s">
        <v>213</v>
      </c>
      <c r="F2524" t="s">
        <v>2017</v>
      </c>
      <c r="G2524" t="s">
        <v>15387</v>
      </c>
      <c r="H2524">
        <v>22.85</v>
      </c>
      <c r="I2524">
        <v>0</v>
      </c>
      <c r="J2524">
        <v>0</v>
      </c>
      <c r="K2524">
        <v>0</v>
      </c>
      <c r="L2524">
        <v>7</v>
      </c>
      <c r="N2524">
        <v>3</v>
      </c>
      <c r="O2524">
        <v>10</v>
      </c>
      <c r="P2524">
        <v>4</v>
      </c>
      <c r="Q2524">
        <v>2</v>
      </c>
      <c r="R2524">
        <v>38.85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H2524">
        <v>38.85</v>
      </c>
    </row>
    <row r="2525" spans="1:34" x14ac:dyDescent="0.3">
      <c r="A2525" s="4">
        <v>2739</v>
      </c>
      <c r="B2525" s="5">
        <v>2518</v>
      </c>
      <c r="C2525">
        <v>10387</v>
      </c>
      <c r="D2525" t="s">
        <v>15388</v>
      </c>
      <c r="E2525" t="s">
        <v>68</v>
      </c>
      <c r="F2525" t="s">
        <v>81</v>
      </c>
      <c r="G2525">
        <v>641828</v>
      </c>
      <c r="H2525">
        <v>20.78</v>
      </c>
      <c r="I2525">
        <v>0</v>
      </c>
      <c r="J2525">
        <v>0</v>
      </c>
      <c r="K2525">
        <v>0</v>
      </c>
      <c r="L2525">
        <v>7</v>
      </c>
      <c r="M2525">
        <v>5</v>
      </c>
      <c r="O2525">
        <v>12</v>
      </c>
      <c r="P2525">
        <v>4</v>
      </c>
      <c r="Q2525">
        <v>2</v>
      </c>
      <c r="R2525">
        <v>38.78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H2525">
        <v>38.78</v>
      </c>
    </row>
    <row r="2526" spans="1:34" x14ac:dyDescent="0.3">
      <c r="A2526" s="4">
        <v>2740</v>
      </c>
      <c r="B2526" s="5">
        <v>2519</v>
      </c>
      <c r="C2526">
        <v>4597</v>
      </c>
      <c r="D2526" t="s">
        <v>15389</v>
      </c>
      <c r="E2526" t="s">
        <v>4855</v>
      </c>
      <c r="F2526" t="s">
        <v>892</v>
      </c>
      <c r="G2526" t="s">
        <v>15390</v>
      </c>
      <c r="H2526">
        <v>21.78</v>
      </c>
      <c r="I2526">
        <v>0</v>
      </c>
      <c r="J2526">
        <v>0</v>
      </c>
      <c r="K2526">
        <v>0</v>
      </c>
      <c r="L2526">
        <v>7</v>
      </c>
      <c r="O2526">
        <v>7</v>
      </c>
      <c r="P2526">
        <v>4</v>
      </c>
      <c r="Q2526">
        <v>0</v>
      </c>
      <c r="R2526">
        <v>32.78</v>
      </c>
      <c r="S2526">
        <v>6</v>
      </c>
      <c r="T2526">
        <v>6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6</v>
      </c>
      <c r="AB2526">
        <v>0</v>
      </c>
      <c r="AC2526">
        <v>0</v>
      </c>
      <c r="AH2526">
        <v>38.78</v>
      </c>
    </row>
    <row r="2527" spans="1:34" x14ac:dyDescent="0.3">
      <c r="A2527" s="4">
        <v>2741</v>
      </c>
      <c r="B2527" s="5">
        <v>2520</v>
      </c>
      <c r="C2527">
        <v>13209</v>
      </c>
      <c r="D2527" t="s">
        <v>15391</v>
      </c>
      <c r="E2527" t="s">
        <v>88</v>
      </c>
      <c r="F2527" t="s">
        <v>30</v>
      </c>
      <c r="G2527" t="s">
        <v>15392</v>
      </c>
      <c r="H2527">
        <v>22.73</v>
      </c>
      <c r="I2527">
        <v>0</v>
      </c>
      <c r="J2527">
        <v>0</v>
      </c>
      <c r="K2527">
        <v>0</v>
      </c>
      <c r="L2527">
        <v>7</v>
      </c>
      <c r="N2527">
        <v>3</v>
      </c>
      <c r="O2527">
        <v>10</v>
      </c>
      <c r="P2527">
        <v>4</v>
      </c>
      <c r="Q2527">
        <v>2</v>
      </c>
      <c r="R2527">
        <v>38.729999999999997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H2527">
        <v>38.729999999999997</v>
      </c>
    </row>
    <row r="2528" spans="1:34" x14ac:dyDescent="0.3">
      <c r="A2528" s="4">
        <v>2742</v>
      </c>
      <c r="B2528" s="5">
        <v>2521</v>
      </c>
      <c r="C2528">
        <v>14440</v>
      </c>
      <c r="D2528" t="s">
        <v>14172</v>
      </c>
      <c r="E2528" t="s">
        <v>697</v>
      </c>
      <c r="F2528" t="s">
        <v>81</v>
      </c>
      <c r="G2528" t="s">
        <v>15393</v>
      </c>
      <c r="H2528">
        <v>20.73</v>
      </c>
      <c r="I2528">
        <v>0</v>
      </c>
      <c r="J2528">
        <v>0</v>
      </c>
      <c r="K2528">
        <v>0</v>
      </c>
      <c r="L2528">
        <v>14</v>
      </c>
      <c r="O2528">
        <v>14</v>
      </c>
      <c r="P2528">
        <v>4</v>
      </c>
      <c r="Q2528">
        <v>0</v>
      </c>
      <c r="R2528">
        <v>38.729999999999997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 t="s">
        <v>130</v>
      </c>
      <c r="AH2528">
        <v>38.729999999999997</v>
      </c>
    </row>
    <row r="2529" spans="1:34" x14ac:dyDescent="0.3">
      <c r="A2529" s="4">
        <v>2743</v>
      </c>
      <c r="B2529" s="5">
        <v>2522</v>
      </c>
      <c r="C2529">
        <v>9600</v>
      </c>
      <c r="D2529" t="s">
        <v>15394</v>
      </c>
      <c r="E2529" t="s">
        <v>147</v>
      </c>
      <c r="F2529" t="s">
        <v>68</v>
      </c>
      <c r="G2529" t="s">
        <v>15395</v>
      </c>
      <c r="H2529">
        <v>20.73</v>
      </c>
      <c r="I2529">
        <v>0</v>
      </c>
      <c r="J2529">
        <v>0</v>
      </c>
      <c r="K2529">
        <v>0</v>
      </c>
      <c r="L2529">
        <v>14</v>
      </c>
      <c r="O2529">
        <v>14</v>
      </c>
      <c r="P2529">
        <v>4</v>
      </c>
      <c r="Q2529">
        <v>0</v>
      </c>
      <c r="R2529">
        <v>38.729999999999997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H2529">
        <v>38.729999999999997</v>
      </c>
    </row>
    <row r="2530" spans="1:34" x14ac:dyDescent="0.3">
      <c r="A2530" s="4">
        <v>2744</v>
      </c>
      <c r="B2530" s="5">
        <v>2523</v>
      </c>
      <c r="C2530">
        <v>10664</v>
      </c>
      <c r="D2530" t="s">
        <v>423</v>
      </c>
      <c r="E2530" t="s">
        <v>161</v>
      </c>
      <c r="F2530" t="s">
        <v>375</v>
      </c>
      <c r="G2530" t="s">
        <v>15396</v>
      </c>
      <c r="H2530">
        <v>22.7</v>
      </c>
      <c r="I2530">
        <v>0</v>
      </c>
      <c r="J2530">
        <v>0</v>
      </c>
      <c r="K2530">
        <v>0</v>
      </c>
      <c r="L2530">
        <v>7</v>
      </c>
      <c r="N2530">
        <v>3</v>
      </c>
      <c r="O2530">
        <v>10</v>
      </c>
      <c r="P2530">
        <v>0</v>
      </c>
      <c r="Q2530">
        <v>0</v>
      </c>
      <c r="R2530">
        <v>32.700000000000003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6</v>
      </c>
      <c r="AC2530">
        <v>0</v>
      </c>
      <c r="AH2530">
        <v>38.700000000000003</v>
      </c>
    </row>
    <row r="2531" spans="1:34" x14ac:dyDescent="0.3">
      <c r="A2531" s="4">
        <v>2745</v>
      </c>
      <c r="B2531" s="5">
        <v>2524</v>
      </c>
      <c r="C2531">
        <v>4978</v>
      </c>
      <c r="D2531" t="s">
        <v>15397</v>
      </c>
      <c r="E2531" t="s">
        <v>1189</v>
      </c>
      <c r="F2531" t="s">
        <v>68</v>
      </c>
      <c r="G2531" t="s">
        <v>15398</v>
      </c>
      <c r="H2531">
        <v>17.7</v>
      </c>
      <c r="I2531">
        <v>0</v>
      </c>
      <c r="J2531">
        <v>0</v>
      </c>
      <c r="K2531">
        <v>0</v>
      </c>
      <c r="N2531">
        <v>3</v>
      </c>
      <c r="O2531">
        <v>3</v>
      </c>
      <c r="P2531">
        <v>4</v>
      </c>
      <c r="Q2531">
        <v>2</v>
      </c>
      <c r="R2531">
        <v>26.7</v>
      </c>
      <c r="S2531">
        <v>6</v>
      </c>
      <c r="T2531">
        <v>6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6</v>
      </c>
      <c r="AB2531">
        <v>6</v>
      </c>
      <c r="AC2531">
        <v>0</v>
      </c>
      <c r="AH2531">
        <v>38.700000000000003</v>
      </c>
    </row>
    <row r="2532" spans="1:34" x14ac:dyDescent="0.3">
      <c r="A2532" s="4">
        <v>2746</v>
      </c>
      <c r="B2532" s="5">
        <v>2525</v>
      </c>
      <c r="C2532">
        <v>2090</v>
      </c>
      <c r="D2532" t="s">
        <v>3585</v>
      </c>
      <c r="E2532" t="s">
        <v>22</v>
      </c>
      <c r="F2532" t="s">
        <v>68</v>
      </c>
      <c r="G2532" t="s">
        <v>15399</v>
      </c>
      <c r="H2532">
        <v>16.68</v>
      </c>
      <c r="I2532">
        <v>0</v>
      </c>
      <c r="J2532">
        <v>0</v>
      </c>
      <c r="K2532">
        <v>0</v>
      </c>
      <c r="L2532">
        <v>7</v>
      </c>
      <c r="O2532">
        <v>7</v>
      </c>
      <c r="P2532">
        <v>4</v>
      </c>
      <c r="Q2532">
        <v>0</v>
      </c>
      <c r="R2532">
        <v>27.68</v>
      </c>
      <c r="S2532">
        <v>11</v>
      </c>
      <c r="T2532">
        <v>11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11</v>
      </c>
      <c r="AB2532">
        <v>0</v>
      </c>
      <c r="AC2532">
        <v>0</v>
      </c>
      <c r="AH2532">
        <v>38.68</v>
      </c>
    </row>
    <row r="2533" spans="1:34" x14ac:dyDescent="0.3">
      <c r="A2533" s="4">
        <v>2747</v>
      </c>
      <c r="B2533" s="5">
        <v>2526</v>
      </c>
      <c r="C2533">
        <v>407</v>
      </c>
      <c r="D2533" t="s">
        <v>15400</v>
      </c>
      <c r="E2533" t="s">
        <v>100</v>
      </c>
      <c r="F2533" t="s">
        <v>81</v>
      </c>
      <c r="G2533" t="s">
        <v>15401</v>
      </c>
      <c r="H2533">
        <v>19.63</v>
      </c>
      <c r="I2533">
        <v>0</v>
      </c>
      <c r="J2533">
        <v>0</v>
      </c>
      <c r="K2533">
        <v>0</v>
      </c>
      <c r="L2533">
        <v>7</v>
      </c>
      <c r="M2533">
        <v>5</v>
      </c>
      <c r="O2533">
        <v>12</v>
      </c>
      <c r="P2533">
        <v>4</v>
      </c>
      <c r="Q2533">
        <v>0</v>
      </c>
      <c r="R2533">
        <v>35.630000000000003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3</v>
      </c>
      <c r="AC2533">
        <v>0</v>
      </c>
      <c r="AH2533">
        <v>38.630000000000003</v>
      </c>
    </row>
    <row r="2534" spans="1:34" x14ac:dyDescent="0.3">
      <c r="A2534" s="4">
        <v>2748</v>
      </c>
      <c r="B2534" s="5">
        <v>2527</v>
      </c>
      <c r="C2534">
        <v>8140</v>
      </c>
      <c r="D2534" t="s">
        <v>5097</v>
      </c>
      <c r="E2534" t="s">
        <v>1659</v>
      </c>
      <c r="F2534" t="s">
        <v>17</v>
      </c>
      <c r="G2534" t="s">
        <v>15402</v>
      </c>
      <c r="H2534">
        <v>21.63</v>
      </c>
      <c r="I2534">
        <v>0</v>
      </c>
      <c r="J2534">
        <v>0</v>
      </c>
      <c r="K2534">
        <v>0</v>
      </c>
      <c r="L2534">
        <v>7</v>
      </c>
      <c r="O2534">
        <v>7</v>
      </c>
      <c r="P2534">
        <v>4</v>
      </c>
      <c r="Q2534">
        <v>0</v>
      </c>
      <c r="R2534">
        <v>32.630000000000003</v>
      </c>
      <c r="S2534">
        <v>6</v>
      </c>
      <c r="T2534">
        <v>6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6</v>
      </c>
      <c r="AB2534">
        <v>0</v>
      </c>
      <c r="AC2534">
        <v>0</v>
      </c>
      <c r="AH2534">
        <v>38.630000000000003</v>
      </c>
    </row>
    <row r="2535" spans="1:34" x14ac:dyDescent="0.3">
      <c r="A2535" s="4">
        <v>2749</v>
      </c>
      <c r="B2535" s="5">
        <v>2528</v>
      </c>
      <c r="C2535">
        <v>1541</v>
      </c>
      <c r="D2535" t="s">
        <v>15403</v>
      </c>
      <c r="E2535" t="s">
        <v>188</v>
      </c>
      <c r="F2535" t="s">
        <v>17</v>
      </c>
      <c r="G2535" t="s">
        <v>15404</v>
      </c>
      <c r="H2535">
        <v>19.600000000000001</v>
      </c>
      <c r="I2535">
        <v>0</v>
      </c>
      <c r="J2535">
        <v>0</v>
      </c>
      <c r="K2535">
        <v>0</v>
      </c>
      <c r="L2535">
        <v>7</v>
      </c>
      <c r="O2535">
        <v>7</v>
      </c>
      <c r="P2535">
        <v>4</v>
      </c>
      <c r="Q2535">
        <v>2</v>
      </c>
      <c r="R2535">
        <v>32.6</v>
      </c>
      <c r="S2535">
        <v>6</v>
      </c>
      <c r="T2535">
        <v>6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6</v>
      </c>
      <c r="AB2535">
        <v>0</v>
      </c>
      <c r="AC2535">
        <v>0</v>
      </c>
      <c r="AE2535" t="s">
        <v>130</v>
      </c>
      <c r="AH2535">
        <v>38.6</v>
      </c>
    </row>
    <row r="2536" spans="1:34" x14ac:dyDescent="0.3">
      <c r="A2536" s="4">
        <v>2750</v>
      </c>
      <c r="B2536" s="5">
        <v>2529</v>
      </c>
      <c r="C2536">
        <v>8378</v>
      </c>
      <c r="D2536" t="s">
        <v>15405</v>
      </c>
      <c r="E2536" t="s">
        <v>273</v>
      </c>
      <c r="F2536" t="s">
        <v>20</v>
      </c>
      <c r="G2536" t="s">
        <v>15406</v>
      </c>
      <c r="H2536">
        <v>17.579999999999998</v>
      </c>
      <c r="I2536">
        <v>0</v>
      </c>
      <c r="J2536">
        <v>0</v>
      </c>
      <c r="K2536">
        <v>0</v>
      </c>
      <c r="N2536">
        <v>3</v>
      </c>
      <c r="O2536">
        <v>3</v>
      </c>
      <c r="P2536">
        <v>4</v>
      </c>
      <c r="Q2536">
        <v>0</v>
      </c>
      <c r="R2536">
        <v>24.58</v>
      </c>
      <c r="S2536">
        <v>14</v>
      </c>
      <c r="T2536">
        <v>14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14</v>
      </c>
      <c r="AB2536">
        <v>0</v>
      </c>
      <c r="AC2536">
        <v>0</v>
      </c>
      <c r="AH2536">
        <v>38.58</v>
      </c>
    </row>
    <row r="2537" spans="1:34" x14ac:dyDescent="0.3">
      <c r="A2537" s="4">
        <v>2751</v>
      </c>
      <c r="B2537" s="5">
        <v>2530</v>
      </c>
      <c r="C2537">
        <v>7343</v>
      </c>
      <c r="D2537" t="s">
        <v>15407</v>
      </c>
      <c r="E2537" t="s">
        <v>15408</v>
      </c>
      <c r="F2537" t="s">
        <v>30</v>
      </c>
      <c r="G2537" t="s">
        <v>15409</v>
      </c>
      <c r="H2537">
        <v>12.5</v>
      </c>
      <c r="I2537">
        <v>0</v>
      </c>
      <c r="J2537">
        <v>0</v>
      </c>
      <c r="K2537">
        <v>20</v>
      </c>
      <c r="O2537">
        <v>0</v>
      </c>
      <c r="P2537">
        <v>4</v>
      </c>
      <c r="Q2537">
        <v>2</v>
      </c>
      <c r="R2537">
        <v>38.5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H2537">
        <v>38.5</v>
      </c>
    </row>
    <row r="2538" spans="1:34" x14ac:dyDescent="0.3">
      <c r="A2538" s="4">
        <v>2752</v>
      </c>
      <c r="B2538" s="5">
        <v>2531</v>
      </c>
      <c r="C2538">
        <v>7233</v>
      </c>
      <c r="D2538" t="s">
        <v>2162</v>
      </c>
      <c r="E2538" t="s">
        <v>9888</v>
      </c>
      <c r="F2538" t="s">
        <v>91</v>
      </c>
      <c r="G2538" t="s">
        <v>15410</v>
      </c>
      <c r="H2538">
        <v>18.5</v>
      </c>
      <c r="I2538">
        <v>0</v>
      </c>
      <c r="J2538">
        <v>0</v>
      </c>
      <c r="K2538">
        <v>0</v>
      </c>
      <c r="L2538">
        <v>14</v>
      </c>
      <c r="O2538">
        <v>14</v>
      </c>
      <c r="P2538">
        <v>0</v>
      </c>
      <c r="Q2538">
        <v>2</v>
      </c>
      <c r="R2538">
        <v>34.5</v>
      </c>
      <c r="S2538">
        <v>4</v>
      </c>
      <c r="T2538">
        <v>4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4</v>
      </c>
      <c r="AB2538">
        <v>0</v>
      </c>
      <c r="AC2538">
        <v>0</v>
      </c>
      <c r="AH2538">
        <v>38.5</v>
      </c>
    </row>
    <row r="2539" spans="1:34" x14ac:dyDescent="0.3">
      <c r="A2539" s="4">
        <v>2753</v>
      </c>
      <c r="B2539" s="5">
        <v>2532</v>
      </c>
      <c r="C2539">
        <v>9362</v>
      </c>
      <c r="D2539" t="s">
        <v>15411</v>
      </c>
      <c r="E2539" t="s">
        <v>1474</v>
      </c>
      <c r="F2539" t="s">
        <v>17</v>
      </c>
      <c r="G2539" t="s">
        <v>15412</v>
      </c>
      <c r="H2539">
        <v>16.5</v>
      </c>
      <c r="I2539">
        <v>0</v>
      </c>
      <c r="J2539">
        <v>0</v>
      </c>
      <c r="K2539">
        <v>0</v>
      </c>
      <c r="L2539">
        <v>7</v>
      </c>
      <c r="O2539">
        <v>7</v>
      </c>
      <c r="P2539">
        <v>4</v>
      </c>
      <c r="Q2539">
        <v>0</v>
      </c>
      <c r="R2539">
        <v>27.5</v>
      </c>
      <c r="S2539">
        <v>11</v>
      </c>
      <c r="T2539">
        <v>11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11</v>
      </c>
      <c r="AB2539">
        <v>0</v>
      </c>
      <c r="AC2539">
        <v>0</v>
      </c>
      <c r="AH2539">
        <v>38.5</v>
      </c>
    </row>
    <row r="2540" spans="1:34" x14ac:dyDescent="0.3">
      <c r="A2540" s="4">
        <v>2754</v>
      </c>
      <c r="B2540" s="5">
        <v>2533</v>
      </c>
      <c r="C2540">
        <v>15281</v>
      </c>
      <c r="D2540" t="s">
        <v>15413</v>
      </c>
      <c r="E2540" t="s">
        <v>338</v>
      </c>
      <c r="F2540" t="s">
        <v>328</v>
      </c>
      <c r="G2540" t="s">
        <v>15414</v>
      </c>
      <c r="H2540">
        <v>22.48</v>
      </c>
      <c r="I2540">
        <v>0</v>
      </c>
      <c r="J2540">
        <v>0</v>
      </c>
      <c r="K2540">
        <v>0</v>
      </c>
      <c r="L2540">
        <v>7</v>
      </c>
      <c r="M2540">
        <v>5</v>
      </c>
      <c r="O2540">
        <v>12</v>
      </c>
      <c r="P2540">
        <v>4</v>
      </c>
      <c r="Q2540">
        <v>0</v>
      </c>
      <c r="R2540">
        <v>38.479999999999997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H2540">
        <v>38.479999999999997</v>
      </c>
    </row>
    <row r="2541" spans="1:34" x14ac:dyDescent="0.3">
      <c r="A2541" s="4">
        <v>2755</v>
      </c>
      <c r="B2541" s="5">
        <v>2534</v>
      </c>
      <c r="C2541">
        <v>1479</v>
      </c>
      <c r="D2541" t="s">
        <v>15415</v>
      </c>
      <c r="E2541" t="s">
        <v>100</v>
      </c>
      <c r="F2541" t="s">
        <v>81</v>
      </c>
      <c r="G2541" t="s">
        <v>15416</v>
      </c>
      <c r="H2541">
        <v>17.48</v>
      </c>
      <c r="I2541">
        <v>0</v>
      </c>
      <c r="J2541">
        <v>0</v>
      </c>
      <c r="K2541">
        <v>0</v>
      </c>
      <c r="L2541">
        <v>7</v>
      </c>
      <c r="N2541">
        <v>3</v>
      </c>
      <c r="O2541">
        <v>10</v>
      </c>
      <c r="P2541">
        <v>4</v>
      </c>
      <c r="Q2541">
        <v>2</v>
      </c>
      <c r="R2541">
        <v>33.479999999999997</v>
      </c>
      <c r="S2541">
        <v>5</v>
      </c>
      <c r="T2541">
        <v>5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5</v>
      </c>
      <c r="AB2541">
        <v>0</v>
      </c>
      <c r="AC2541">
        <v>0</v>
      </c>
      <c r="AH2541">
        <v>38.479999999999997</v>
      </c>
    </row>
    <row r="2542" spans="1:34" x14ac:dyDescent="0.3">
      <c r="A2542" s="4">
        <v>2756</v>
      </c>
      <c r="B2542" s="5">
        <v>2535</v>
      </c>
      <c r="C2542">
        <v>163</v>
      </c>
      <c r="D2542" t="s">
        <v>15417</v>
      </c>
      <c r="E2542" t="s">
        <v>15418</v>
      </c>
      <c r="F2542" t="s">
        <v>15419</v>
      </c>
      <c r="G2542" t="s">
        <v>15420</v>
      </c>
      <c r="H2542">
        <v>20.45</v>
      </c>
      <c r="I2542">
        <v>0</v>
      </c>
      <c r="J2542">
        <v>0</v>
      </c>
      <c r="K2542">
        <v>0</v>
      </c>
      <c r="L2542">
        <v>7</v>
      </c>
      <c r="M2542">
        <v>5</v>
      </c>
      <c r="O2542">
        <v>12</v>
      </c>
      <c r="P2542">
        <v>4</v>
      </c>
      <c r="Q2542">
        <v>2</v>
      </c>
      <c r="R2542">
        <v>38.450000000000003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H2542">
        <v>38.450000000000003</v>
      </c>
    </row>
    <row r="2543" spans="1:34" x14ac:dyDescent="0.3">
      <c r="A2543" s="4">
        <v>2757</v>
      </c>
      <c r="B2543" s="5">
        <v>2536</v>
      </c>
      <c r="C2543">
        <v>4516</v>
      </c>
      <c r="D2543" t="s">
        <v>15421</v>
      </c>
      <c r="E2543" t="s">
        <v>15422</v>
      </c>
      <c r="F2543" t="s">
        <v>17</v>
      </c>
      <c r="G2543" t="s">
        <v>15423</v>
      </c>
      <c r="H2543">
        <v>20.45</v>
      </c>
      <c r="I2543">
        <v>0</v>
      </c>
      <c r="J2543">
        <v>0</v>
      </c>
      <c r="K2543">
        <v>0</v>
      </c>
      <c r="L2543">
        <v>14</v>
      </c>
      <c r="O2543">
        <v>14</v>
      </c>
      <c r="P2543">
        <v>4</v>
      </c>
      <c r="Q2543">
        <v>0</v>
      </c>
      <c r="R2543">
        <v>38.450000000000003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H2543">
        <v>38.450000000000003</v>
      </c>
    </row>
    <row r="2544" spans="1:34" x14ac:dyDescent="0.3">
      <c r="A2544" s="4">
        <v>2758</v>
      </c>
      <c r="B2544" s="5">
        <v>2537</v>
      </c>
      <c r="C2544">
        <v>9447</v>
      </c>
      <c r="D2544" t="s">
        <v>15424</v>
      </c>
      <c r="E2544" t="s">
        <v>71</v>
      </c>
      <c r="F2544" t="s">
        <v>20</v>
      </c>
      <c r="G2544" t="s">
        <v>15425</v>
      </c>
      <c r="H2544">
        <v>19.45</v>
      </c>
      <c r="I2544">
        <v>0</v>
      </c>
      <c r="J2544">
        <v>0</v>
      </c>
      <c r="K2544">
        <v>0</v>
      </c>
      <c r="N2544">
        <v>3</v>
      </c>
      <c r="O2544">
        <v>3</v>
      </c>
      <c r="P2544">
        <v>4</v>
      </c>
      <c r="Q2544">
        <v>2</v>
      </c>
      <c r="R2544">
        <v>28.45</v>
      </c>
      <c r="S2544">
        <v>10</v>
      </c>
      <c r="T2544">
        <v>10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10</v>
      </c>
      <c r="AB2544">
        <v>0</v>
      </c>
      <c r="AC2544">
        <v>0</v>
      </c>
      <c r="AH2544">
        <v>38.450000000000003</v>
      </c>
    </row>
    <row r="2545" spans="1:34" x14ac:dyDescent="0.3">
      <c r="A2545" s="4">
        <v>2759</v>
      </c>
      <c r="B2545" s="5">
        <v>2538</v>
      </c>
      <c r="C2545">
        <v>10967</v>
      </c>
      <c r="D2545" t="s">
        <v>4968</v>
      </c>
      <c r="E2545" t="s">
        <v>22</v>
      </c>
      <c r="F2545" t="s">
        <v>17</v>
      </c>
      <c r="G2545" t="s">
        <v>15426</v>
      </c>
      <c r="H2545">
        <v>22.43</v>
      </c>
      <c r="I2545">
        <v>0</v>
      </c>
      <c r="J2545">
        <v>0</v>
      </c>
      <c r="K2545">
        <v>0</v>
      </c>
      <c r="L2545">
        <v>14</v>
      </c>
      <c r="O2545">
        <v>14</v>
      </c>
      <c r="P2545">
        <v>0</v>
      </c>
      <c r="Q2545">
        <v>2</v>
      </c>
      <c r="R2545">
        <v>38.43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H2545">
        <v>38.43</v>
      </c>
    </row>
    <row r="2546" spans="1:34" x14ac:dyDescent="0.3">
      <c r="A2546" s="4">
        <v>2760</v>
      </c>
      <c r="B2546" s="5">
        <v>2539</v>
      </c>
      <c r="C2546">
        <v>15548</v>
      </c>
      <c r="D2546" t="s">
        <v>15427</v>
      </c>
      <c r="E2546" t="s">
        <v>789</v>
      </c>
      <c r="F2546" t="s">
        <v>91</v>
      </c>
      <c r="G2546" t="s">
        <v>15428</v>
      </c>
      <c r="H2546">
        <v>18.43</v>
      </c>
      <c r="I2546">
        <v>0</v>
      </c>
      <c r="J2546">
        <v>0</v>
      </c>
      <c r="K2546">
        <v>20</v>
      </c>
      <c r="O2546">
        <v>0</v>
      </c>
      <c r="P2546">
        <v>0</v>
      </c>
      <c r="Q2546">
        <v>0</v>
      </c>
      <c r="R2546">
        <v>38.43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H2546">
        <v>38.43</v>
      </c>
    </row>
    <row r="2547" spans="1:34" x14ac:dyDescent="0.3">
      <c r="A2547" s="4">
        <v>2761</v>
      </c>
      <c r="B2547" s="5">
        <v>2540</v>
      </c>
      <c r="C2547">
        <v>7760</v>
      </c>
      <c r="D2547" t="s">
        <v>15429</v>
      </c>
      <c r="E2547" t="s">
        <v>173</v>
      </c>
      <c r="F2547" t="s">
        <v>1526</v>
      </c>
      <c r="G2547" t="s">
        <v>15430</v>
      </c>
      <c r="H2547">
        <v>18.43</v>
      </c>
      <c r="I2547">
        <v>0</v>
      </c>
      <c r="J2547">
        <v>0</v>
      </c>
      <c r="K2547">
        <v>0</v>
      </c>
      <c r="L2547">
        <v>7</v>
      </c>
      <c r="M2547">
        <v>5</v>
      </c>
      <c r="O2547">
        <v>12</v>
      </c>
      <c r="P2547">
        <v>4</v>
      </c>
      <c r="Q2547">
        <v>0</v>
      </c>
      <c r="R2547">
        <v>34.43</v>
      </c>
      <c r="S2547">
        <v>4</v>
      </c>
      <c r="T2547">
        <v>4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4</v>
      </c>
      <c r="AB2547">
        <v>0</v>
      </c>
      <c r="AC2547">
        <v>0</v>
      </c>
      <c r="AH2547">
        <v>38.43</v>
      </c>
    </row>
    <row r="2548" spans="1:34" x14ac:dyDescent="0.3">
      <c r="A2548" s="4">
        <v>2762</v>
      </c>
      <c r="B2548" s="5">
        <v>2541</v>
      </c>
      <c r="C2548">
        <v>8109</v>
      </c>
      <c r="D2548" t="s">
        <v>7209</v>
      </c>
      <c r="E2548" t="s">
        <v>33</v>
      </c>
      <c r="F2548" t="s">
        <v>38</v>
      </c>
      <c r="G2548" t="s">
        <v>15431</v>
      </c>
      <c r="H2548">
        <v>20.399999999999999</v>
      </c>
      <c r="I2548">
        <v>0</v>
      </c>
      <c r="J2548">
        <v>0</v>
      </c>
      <c r="K2548">
        <v>0</v>
      </c>
      <c r="L2548">
        <v>14</v>
      </c>
      <c r="O2548">
        <v>14</v>
      </c>
      <c r="P2548">
        <v>4</v>
      </c>
      <c r="Q2548">
        <v>0</v>
      </c>
      <c r="R2548">
        <v>38.4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H2548">
        <v>38.4</v>
      </c>
    </row>
    <row r="2549" spans="1:34" x14ac:dyDescent="0.3">
      <c r="A2549" s="4">
        <v>2763</v>
      </c>
      <c r="B2549" s="5">
        <v>2542</v>
      </c>
      <c r="C2549">
        <v>14913</v>
      </c>
      <c r="D2549" t="s">
        <v>2666</v>
      </c>
      <c r="E2549" t="s">
        <v>29</v>
      </c>
      <c r="F2549" t="s">
        <v>14</v>
      </c>
      <c r="G2549" t="s">
        <v>15432</v>
      </c>
      <c r="H2549">
        <v>19.350000000000001</v>
      </c>
      <c r="I2549">
        <v>0</v>
      </c>
      <c r="J2549">
        <v>0</v>
      </c>
      <c r="K2549">
        <v>0</v>
      </c>
      <c r="L2549">
        <v>7</v>
      </c>
      <c r="O2549">
        <v>7</v>
      </c>
      <c r="P2549">
        <v>4</v>
      </c>
      <c r="Q2549">
        <v>2</v>
      </c>
      <c r="R2549">
        <v>32.35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6</v>
      </c>
      <c r="AC2549">
        <v>0</v>
      </c>
      <c r="AH2549">
        <v>38.35</v>
      </c>
    </row>
    <row r="2550" spans="1:34" x14ac:dyDescent="0.3">
      <c r="A2550" s="4">
        <v>2764</v>
      </c>
      <c r="B2550" s="5">
        <v>2543</v>
      </c>
      <c r="C2550">
        <v>1751</v>
      </c>
      <c r="D2550" t="s">
        <v>15433</v>
      </c>
      <c r="E2550" t="s">
        <v>41</v>
      </c>
      <c r="F2550" t="s">
        <v>81</v>
      </c>
      <c r="G2550" t="s">
        <v>15434</v>
      </c>
      <c r="H2550">
        <v>18.329999999999998</v>
      </c>
      <c r="I2550">
        <v>0</v>
      </c>
      <c r="J2550">
        <v>0</v>
      </c>
      <c r="K2550">
        <v>0</v>
      </c>
      <c r="L2550">
        <v>7</v>
      </c>
      <c r="O2550">
        <v>7</v>
      </c>
      <c r="P2550">
        <v>0</v>
      </c>
      <c r="Q2550">
        <v>2</v>
      </c>
      <c r="R2550">
        <v>27.33</v>
      </c>
      <c r="S2550">
        <v>11</v>
      </c>
      <c r="T2550">
        <v>11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11</v>
      </c>
      <c r="AB2550">
        <v>0</v>
      </c>
      <c r="AC2550">
        <v>0</v>
      </c>
      <c r="AH2550">
        <v>38.33</v>
      </c>
    </row>
    <row r="2551" spans="1:34" x14ac:dyDescent="0.3">
      <c r="A2551" s="4">
        <v>2765</v>
      </c>
      <c r="B2551" s="5">
        <v>2544</v>
      </c>
      <c r="C2551">
        <v>1051</v>
      </c>
      <c r="D2551" t="s">
        <v>15435</v>
      </c>
      <c r="E2551" t="s">
        <v>97</v>
      </c>
      <c r="F2551" t="s">
        <v>892</v>
      </c>
      <c r="G2551" t="s">
        <v>15436</v>
      </c>
      <c r="H2551">
        <v>21.3</v>
      </c>
      <c r="I2551">
        <v>0</v>
      </c>
      <c r="J2551">
        <v>0</v>
      </c>
      <c r="K2551">
        <v>0</v>
      </c>
      <c r="L2551">
        <v>7</v>
      </c>
      <c r="O2551">
        <v>7</v>
      </c>
      <c r="P2551">
        <v>4</v>
      </c>
      <c r="Q2551">
        <v>0</v>
      </c>
      <c r="R2551">
        <v>32.299999999999997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6</v>
      </c>
      <c r="AC2551">
        <v>0</v>
      </c>
      <c r="AH2551">
        <v>38.299999999999997</v>
      </c>
    </row>
    <row r="2552" spans="1:34" x14ac:dyDescent="0.3">
      <c r="A2552" s="4">
        <v>2766</v>
      </c>
      <c r="B2552" s="5">
        <v>2545</v>
      </c>
      <c r="C2552">
        <v>929</v>
      </c>
      <c r="D2552" t="s">
        <v>12787</v>
      </c>
      <c r="E2552" t="s">
        <v>88</v>
      </c>
      <c r="F2552" t="s">
        <v>38</v>
      </c>
      <c r="G2552" t="s">
        <v>15437</v>
      </c>
      <c r="H2552">
        <v>18.28</v>
      </c>
      <c r="I2552">
        <v>0</v>
      </c>
      <c r="J2552">
        <v>0</v>
      </c>
      <c r="K2552">
        <v>20</v>
      </c>
      <c r="O2552">
        <v>0</v>
      </c>
      <c r="P2552">
        <v>0</v>
      </c>
      <c r="Q2552">
        <v>0</v>
      </c>
      <c r="R2552">
        <v>38.28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H2552">
        <v>38.28</v>
      </c>
    </row>
    <row r="2553" spans="1:34" x14ac:dyDescent="0.3">
      <c r="A2553" s="4">
        <v>2767</v>
      </c>
      <c r="B2553" s="5">
        <v>2546</v>
      </c>
      <c r="C2553">
        <v>1461</v>
      </c>
      <c r="D2553" t="s">
        <v>15438</v>
      </c>
      <c r="E2553" t="s">
        <v>15439</v>
      </c>
      <c r="F2553" t="s">
        <v>17</v>
      </c>
      <c r="G2553" t="s">
        <v>15440</v>
      </c>
      <c r="H2553">
        <v>18.23</v>
      </c>
      <c r="I2553">
        <v>0</v>
      </c>
      <c r="J2553">
        <v>0</v>
      </c>
      <c r="K2553">
        <v>0</v>
      </c>
      <c r="L2553">
        <v>14</v>
      </c>
      <c r="O2553">
        <v>14</v>
      </c>
      <c r="P2553">
        <v>4</v>
      </c>
      <c r="Q2553">
        <v>2</v>
      </c>
      <c r="R2553">
        <v>38.229999999999997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H2553">
        <v>38.229999999999997</v>
      </c>
    </row>
    <row r="2554" spans="1:34" x14ac:dyDescent="0.3">
      <c r="A2554" s="4">
        <v>2768</v>
      </c>
      <c r="B2554" s="5">
        <v>2547</v>
      </c>
      <c r="C2554">
        <v>11636</v>
      </c>
      <c r="D2554" t="s">
        <v>799</v>
      </c>
      <c r="E2554" t="s">
        <v>110</v>
      </c>
      <c r="F2554" t="s">
        <v>62</v>
      </c>
      <c r="G2554" t="s">
        <v>15441</v>
      </c>
      <c r="H2554">
        <v>19.2</v>
      </c>
      <c r="I2554">
        <v>0</v>
      </c>
      <c r="J2554">
        <v>0</v>
      </c>
      <c r="K2554">
        <v>0</v>
      </c>
      <c r="L2554">
        <v>7</v>
      </c>
      <c r="O2554">
        <v>7</v>
      </c>
      <c r="P2554">
        <v>4</v>
      </c>
      <c r="Q2554">
        <v>2</v>
      </c>
      <c r="R2554">
        <v>32.200000000000003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6</v>
      </c>
      <c r="AC2554">
        <v>0</v>
      </c>
      <c r="AH2554">
        <v>38.200000000000003</v>
      </c>
    </row>
    <row r="2555" spans="1:34" x14ac:dyDescent="0.3">
      <c r="A2555" s="4">
        <v>2769</v>
      </c>
      <c r="B2555" s="5">
        <v>2548</v>
      </c>
      <c r="C2555">
        <v>10851</v>
      </c>
      <c r="D2555" t="s">
        <v>6516</v>
      </c>
      <c r="E2555" t="s">
        <v>15442</v>
      </c>
      <c r="F2555" t="s">
        <v>652</v>
      </c>
      <c r="G2555" t="s">
        <v>15443</v>
      </c>
      <c r="H2555">
        <v>22.2</v>
      </c>
      <c r="I2555">
        <v>0</v>
      </c>
      <c r="J2555">
        <v>0</v>
      </c>
      <c r="K2555">
        <v>0</v>
      </c>
      <c r="L2555">
        <v>7</v>
      </c>
      <c r="N2555">
        <v>3</v>
      </c>
      <c r="O2555">
        <v>10</v>
      </c>
      <c r="P2555">
        <v>4</v>
      </c>
      <c r="Q2555">
        <v>2</v>
      </c>
      <c r="R2555">
        <v>38.200000000000003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H2555">
        <v>38.200000000000003</v>
      </c>
    </row>
    <row r="2556" spans="1:34" x14ac:dyDescent="0.3">
      <c r="A2556" s="4">
        <v>2770</v>
      </c>
      <c r="B2556" s="5">
        <v>2549</v>
      </c>
      <c r="C2556">
        <v>2854</v>
      </c>
      <c r="D2556" t="s">
        <v>15444</v>
      </c>
      <c r="E2556" t="s">
        <v>3775</v>
      </c>
      <c r="F2556" t="s">
        <v>3439</v>
      </c>
      <c r="G2556" t="s">
        <v>15445</v>
      </c>
      <c r="H2556">
        <v>20.2</v>
      </c>
      <c r="I2556">
        <v>0</v>
      </c>
      <c r="J2556">
        <v>0</v>
      </c>
      <c r="K2556">
        <v>0</v>
      </c>
      <c r="L2556">
        <v>14</v>
      </c>
      <c r="O2556">
        <v>14</v>
      </c>
      <c r="P2556">
        <v>4</v>
      </c>
      <c r="Q2556">
        <v>0</v>
      </c>
      <c r="R2556">
        <v>38.200000000000003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H2556">
        <v>38.200000000000003</v>
      </c>
    </row>
    <row r="2557" spans="1:34" x14ac:dyDescent="0.3">
      <c r="A2557" s="4">
        <v>2771</v>
      </c>
      <c r="B2557" s="5">
        <v>2550</v>
      </c>
      <c r="C2557">
        <v>3683</v>
      </c>
      <c r="D2557" t="s">
        <v>15446</v>
      </c>
      <c r="E2557" t="s">
        <v>1576</v>
      </c>
      <c r="F2557" t="s">
        <v>20</v>
      </c>
      <c r="G2557" t="s">
        <v>15447</v>
      </c>
      <c r="H2557">
        <v>22.18</v>
      </c>
      <c r="I2557">
        <v>0</v>
      </c>
      <c r="J2557">
        <v>0</v>
      </c>
      <c r="K2557">
        <v>0</v>
      </c>
      <c r="L2557">
        <v>7</v>
      </c>
      <c r="N2557">
        <v>3</v>
      </c>
      <c r="O2557">
        <v>10</v>
      </c>
      <c r="P2557">
        <v>4</v>
      </c>
      <c r="Q2557">
        <v>2</v>
      </c>
      <c r="R2557">
        <v>38.18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H2557">
        <v>38.18</v>
      </c>
    </row>
    <row r="2558" spans="1:34" x14ac:dyDescent="0.3">
      <c r="A2558" s="4">
        <v>2772</v>
      </c>
      <c r="B2558" s="5">
        <v>2551</v>
      </c>
      <c r="C2558">
        <v>3410</v>
      </c>
      <c r="D2558" t="s">
        <v>8893</v>
      </c>
      <c r="E2558" t="s">
        <v>37</v>
      </c>
      <c r="F2558" t="s">
        <v>91</v>
      </c>
      <c r="G2558" t="s">
        <v>15448</v>
      </c>
      <c r="H2558">
        <v>16.18</v>
      </c>
      <c r="I2558">
        <v>0</v>
      </c>
      <c r="J2558">
        <v>0</v>
      </c>
      <c r="K2558">
        <v>0</v>
      </c>
      <c r="L2558">
        <v>14</v>
      </c>
      <c r="O2558">
        <v>14</v>
      </c>
      <c r="P2558">
        <v>4</v>
      </c>
      <c r="Q2558">
        <v>0</v>
      </c>
      <c r="R2558">
        <v>34.18</v>
      </c>
      <c r="S2558">
        <v>4</v>
      </c>
      <c r="T2558">
        <v>4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4</v>
      </c>
      <c r="AB2558">
        <v>0</v>
      </c>
      <c r="AC2558">
        <v>0</v>
      </c>
      <c r="AH2558">
        <v>38.18</v>
      </c>
    </row>
    <row r="2559" spans="1:34" x14ac:dyDescent="0.3">
      <c r="A2559" s="4">
        <v>2773</v>
      </c>
      <c r="B2559" s="5">
        <v>2552</v>
      </c>
      <c r="C2559">
        <v>344</v>
      </c>
      <c r="D2559" t="s">
        <v>3983</v>
      </c>
      <c r="E2559" t="s">
        <v>744</v>
      </c>
      <c r="F2559" t="s">
        <v>55</v>
      </c>
      <c r="G2559" t="s">
        <v>15449</v>
      </c>
      <c r="H2559">
        <v>22.15</v>
      </c>
      <c r="I2559">
        <v>0</v>
      </c>
      <c r="J2559">
        <v>0</v>
      </c>
      <c r="K2559">
        <v>0</v>
      </c>
      <c r="L2559">
        <v>7</v>
      </c>
      <c r="N2559">
        <v>3</v>
      </c>
      <c r="O2559">
        <v>10</v>
      </c>
      <c r="P2559">
        <v>4</v>
      </c>
      <c r="Q2559">
        <v>2</v>
      </c>
      <c r="R2559">
        <v>38.15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H2559">
        <v>38.15</v>
      </c>
    </row>
    <row r="2560" spans="1:34" x14ac:dyDescent="0.3">
      <c r="A2560" s="4">
        <v>2774</v>
      </c>
      <c r="B2560" s="5">
        <v>2553</v>
      </c>
      <c r="C2560">
        <v>13099</v>
      </c>
      <c r="D2560" t="s">
        <v>15450</v>
      </c>
      <c r="E2560" t="s">
        <v>41</v>
      </c>
      <c r="F2560" t="s">
        <v>346</v>
      </c>
      <c r="G2560" t="s">
        <v>15451</v>
      </c>
      <c r="H2560">
        <v>18.149999999999999</v>
      </c>
      <c r="I2560">
        <v>7</v>
      </c>
      <c r="J2560">
        <v>0</v>
      </c>
      <c r="K2560">
        <v>0</v>
      </c>
      <c r="L2560">
        <v>7</v>
      </c>
      <c r="O2560">
        <v>7</v>
      </c>
      <c r="P2560">
        <v>4</v>
      </c>
      <c r="Q2560">
        <v>2</v>
      </c>
      <c r="R2560">
        <v>38.15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H2560">
        <v>38.15</v>
      </c>
    </row>
    <row r="2561" spans="1:34" x14ac:dyDescent="0.3">
      <c r="A2561" s="4">
        <v>2775</v>
      </c>
      <c r="B2561" s="5">
        <v>2554</v>
      </c>
      <c r="C2561">
        <v>4665</v>
      </c>
      <c r="D2561" t="s">
        <v>54</v>
      </c>
      <c r="E2561" t="s">
        <v>15452</v>
      </c>
      <c r="F2561" t="s">
        <v>158</v>
      </c>
      <c r="G2561" t="s">
        <v>15453</v>
      </c>
      <c r="H2561">
        <v>22.1</v>
      </c>
      <c r="I2561">
        <v>0</v>
      </c>
      <c r="J2561">
        <v>0</v>
      </c>
      <c r="K2561">
        <v>0</v>
      </c>
      <c r="L2561">
        <v>7</v>
      </c>
      <c r="N2561">
        <v>3</v>
      </c>
      <c r="O2561">
        <v>10</v>
      </c>
      <c r="P2561">
        <v>4</v>
      </c>
      <c r="Q2561">
        <v>2</v>
      </c>
      <c r="R2561">
        <v>38.1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H2561">
        <v>38.1</v>
      </c>
    </row>
    <row r="2562" spans="1:34" x14ac:dyDescent="0.3">
      <c r="A2562" s="4">
        <v>2776</v>
      </c>
      <c r="B2562" s="5">
        <v>2555</v>
      </c>
      <c r="C2562">
        <v>8949</v>
      </c>
      <c r="D2562" t="s">
        <v>15454</v>
      </c>
      <c r="E2562" t="s">
        <v>88</v>
      </c>
      <c r="F2562" t="s">
        <v>1998</v>
      </c>
      <c r="G2562" t="s">
        <v>15455</v>
      </c>
      <c r="H2562">
        <v>20.079999999999998</v>
      </c>
      <c r="I2562">
        <v>0</v>
      </c>
      <c r="J2562">
        <v>0</v>
      </c>
      <c r="K2562">
        <v>0</v>
      </c>
      <c r="L2562">
        <v>7</v>
      </c>
      <c r="O2562">
        <v>7</v>
      </c>
      <c r="P2562">
        <v>4</v>
      </c>
      <c r="Q2562">
        <v>0</v>
      </c>
      <c r="R2562">
        <v>31.08</v>
      </c>
      <c r="S2562">
        <v>7</v>
      </c>
      <c r="T2562">
        <v>7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7</v>
      </c>
      <c r="AB2562">
        <v>0</v>
      </c>
      <c r="AC2562">
        <v>0</v>
      </c>
      <c r="AH2562">
        <v>38.08</v>
      </c>
    </row>
    <row r="2563" spans="1:34" x14ac:dyDescent="0.3">
      <c r="A2563" s="4">
        <v>2777</v>
      </c>
      <c r="B2563" s="5">
        <v>2556</v>
      </c>
      <c r="C2563">
        <v>7572</v>
      </c>
      <c r="D2563" t="s">
        <v>15456</v>
      </c>
      <c r="E2563" t="s">
        <v>139</v>
      </c>
      <c r="F2563" t="s">
        <v>20</v>
      </c>
      <c r="G2563" t="s">
        <v>15457</v>
      </c>
      <c r="H2563">
        <v>17.03</v>
      </c>
      <c r="I2563">
        <v>0</v>
      </c>
      <c r="J2563">
        <v>0</v>
      </c>
      <c r="K2563">
        <v>0</v>
      </c>
      <c r="L2563">
        <v>14</v>
      </c>
      <c r="O2563">
        <v>14</v>
      </c>
      <c r="P2563">
        <v>4</v>
      </c>
      <c r="Q2563">
        <v>0</v>
      </c>
      <c r="R2563">
        <v>35.03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3</v>
      </c>
      <c r="AC2563">
        <v>0</v>
      </c>
      <c r="AH2563">
        <v>38.03</v>
      </c>
    </row>
    <row r="2564" spans="1:34" x14ac:dyDescent="0.3">
      <c r="A2564" s="4">
        <v>2778</v>
      </c>
      <c r="B2564" s="5">
        <v>2557</v>
      </c>
      <c r="C2564">
        <v>11343</v>
      </c>
      <c r="D2564" t="s">
        <v>2416</v>
      </c>
      <c r="E2564" t="s">
        <v>22</v>
      </c>
      <c r="F2564" t="s">
        <v>17</v>
      </c>
      <c r="G2564" t="s">
        <v>15458</v>
      </c>
      <c r="H2564">
        <v>21.95</v>
      </c>
      <c r="I2564">
        <v>0</v>
      </c>
      <c r="J2564">
        <v>0</v>
      </c>
      <c r="K2564">
        <v>0</v>
      </c>
      <c r="L2564">
        <v>7</v>
      </c>
      <c r="N2564">
        <v>3</v>
      </c>
      <c r="O2564">
        <v>10</v>
      </c>
      <c r="P2564">
        <v>4</v>
      </c>
      <c r="Q2564">
        <v>2</v>
      </c>
      <c r="R2564">
        <v>37.950000000000003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H2564">
        <v>37.950000000000003</v>
      </c>
    </row>
    <row r="2565" spans="1:34" x14ac:dyDescent="0.3">
      <c r="A2565" s="4">
        <v>2779</v>
      </c>
      <c r="B2565" s="5">
        <v>2558</v>
      </c>
      <c r="C2565">
        <v>6462</v>
      </c>
      <c r="D2565" t="s">
        <v>6744</v>
      </c>
      <c r="E2565" t="s">
        <v>439</v>
      </c>
      <c r="F2565" t="s">
        <v>158</v>
      </c>
      <c r="G2565" t="s">
        <v>15459</v>
      </c>
      <c r="H2565">
        <v>21.93</v>
      </c>
      <c r="I2565">
        <v>0</v>
      </c>
      <c r="J2565">
        <v>0</v>
      </c>
      <c r="K2565">
        <v>0</v>
      </c>
      <c r="L2565">
        <v>7</v>
      </c>
      <c r="M2565">
        <v>5</v>
      </c>
      <c r="O2565">
        <v>12</v>
      </c>
      <c r="P2565">
        <v>4</v>
      </c>
      <c r="Q2565">
        <v>0</v>
      </c>
      <c r="R2565">
        <v>37.93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H2565">
        <v>37.93</v>
      </c>
    </row>
    <row r="2566" spans="1:34" x14ac:dyDescent="0.3">
      <c r="A2566" s="4">
        <v>2780</v>
      </c>
      <c r="B2566" s="5">
        <v>2559</v>
      </c>
      <c r="C2566">
        <v>14328</v>
      </c>
      <c r="D2566" t="s">
        <v>752</v>
      </c>
      <c r="E2566" t="s">
        <v>48</v>
      </c>
      <c r="F2566" t="s">
        <v>782</v>
      </c>
      <c r="G2566" t="s">
        <v>15460</v>
      </c>
      <c r="H2566">
        <v>17.93</v>
      </c>
      <c r="I2566">
        <v>0</v>
      </c>
      <c r="J2566">
        <v>0</v>
      </c>
      <c r="K2566">
        <v>0</v>
      </c>
      <c r="L2566">
        <v>14</v>
      </c>
      <c r="O2566">
        <v>14</v>
      </c>
      <c r="P2566">
        <v>4</v>
      </c>
      <c r="Q2566">
        <v>2</v>
      </c>
      <c r="R2566">
        <v>37.93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H2566">
        <v>37.93</v>
      </c>
    </row>
    <row r="2567" spans="1:34" x14ac:dyDescent="0.3">
      <c r="A2567" s="4">
        <v>2781</v>
      </c>
      <c r="B2567" s="5">
        <v>2560</v>
      </c>
      <c r="C2567">
        <v>10751</v>
      </c>
      <c r="D2567" t="s">
        <v>12725</v>
      </c>
      <c r="E2567" t="s">
        <v>143</v>
      </c>
      <c r="F2567" t="s">
        <v>30</v>
      </c>
      <c r="G2567" t="s">
        <v>15461</v>
      </c>
      <c r="H2567">
        <v>18.88</v>
      </c>
      <c r="I2567">
        <v>0</v>
      </c>
      <c r="J2567">
        <v>0</v>
      </c>
      <c r="K2567">
        <v>0</v>
      </c>
      <c r="N2567">
        <v>3</v>
      </c>
      <c r="O2567">
        <v>3</v>
      </c>
      <c r="P2567">
        <v>4</v>
      </c>
      <c r="Q2567">
        <v>2</v>
      </c>
      <c r="R2567">
        <v>27.88</v>
      </c>
      <c r="S2567">
        <v>4</v>
      </c>
      <c r="T2567">
        <v>4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4</v>
      </c>
      <c r="AB2567">
        <v>6</v>
      </c>
      <c r="AC2567">
        <v>0</v>
      </c>
      <c r="AH2567">
        <v>37.880000000000003</v>
      </c>
    </row>
    <row r="2568" spans="1:34" x14ac:dyDescent="0.3">
      <c r="A2568" s="4">
        <v>2782</v>
      </c>
      <c r="B2568" s="5">
        <v>2561</v>
      </c>
      <c r="C2568">
        <v>8651</v>
      </c>
      <c r="D2568" t="s">
        <v>15462</v>
      </c>
      <c r="E2568" t="s">
        <v>265</v>
      </c>
      <c r="F2568" t="s">
        <v>81</v>
      </c>
      <c r="G2568">
        <v>840980</v>
      </c>
      <c r="H2568">
        <v>17.829999999999998</v>
      </c>
      <c r="I2568">
        <v>0</v>
      </c>
      <c r="J2568">
        <v>0</v>
      </c>
      <c r="K2568">
        <v>0</v>
      </c>
      <c r="L2568">
        <v>7</v>
      </c>
      <c r="N2568">
        <v>3</v>
      </c>
      <c r="O2568">
        <v>10</v>
      </c>
      <c r="P2568">
        <v>4</v>
      </c>
      <c r="Q2568">
        <v>2</v>
      </c>
      <c r="R2568">
        <v>33.83</v>
      </c>
      <c r="S2568">
        <v>4</v>
      </c>
      <c r="T2568">
        <v>4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4</v>
      </c>
      <c r="AB2568">
        <v>0</v>
      </c>
      <c r="AC2568">
        <v>0</v>
      </c>
      <c r="AH2568">
        <v>37.83</v>
      </c>
    </row>
    <row r="2569" spans="1:34" x14ac:dyDescent="0.3">
      <c r="A2569" s="4">
        <v>2783</v>
      </c>
      <c r="B2569" s="5">
        <v>2562</v>
      </c>
      <c r="C2569">
        <v>14032</v>
      </c>
      <c r="D2569" t="s">
        <v>1015</v>
      </c>
      <c r="E2569" t="s">
        <v>255</v>
      </c>
      <c r="F2569" t="s">
        <v>17</v>
      </c>
      <c r="G2569" t="s">
        <v>15463</v>
      </c>
      <c r="H2569">
        <v>16.8</v>
      </c>
      <c r="I2569">
        <v>0</v>
      </c>
      <c r="J2569">
        <v>0</v>
      </c>
      <c r="K2569">
        <v>0</v>
      </c>
      <c r="L2569">
        <v>14</v>
      </c>
      <c r="O2569">
        <v>14</v>
      </c>
      <c r="P2569">
        <v>4</v>
      </c>
      <c r="Q2569">
        <v>2</v>
      </c>
      <c r="R2569">
        <v>36.799999999999997</v>
      </c>
      <c r="S2569">
        <v>1</v>
      </c>
      <c r="T2569">
        <v>1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1</v>
      </c>
      <c r="AB2569">
        <v>0</v>
      </c>
      <c r="AC2569">
        <v>0</v>
      </c>
      <c r="AH2569">
        <v>37.799999999999997</v>
      </c>
    </row>
    <row r="2570" spans="1:34" x14ac:dyDescent="0.3">
      <c r="A2570" s="4">
        <v>2784</v>
      </c>
      <c r="B2570" s="5">
        <v>2563</v>
      </c>
      <c r="C2570">
        <v>5803</v>
      </c>
      <c r="D2570" t="s">
        <v>15464</v>
      </c>
      <c r="E2570" t="s">
        <v>81</v>
      </c>
      <c r="F2570" t="s">
        <v>38</v>
      </c>
      <c r="G2570" t="s">
        <v>15465</v>
      </c>
      <c r="H2570">
        <v>17.75</v>
      </c>
      <c r="I2570">
        <v>0</v>
      </c>
      <c r="J2570">
        <v>0</v>
      </c>
      <c r="K2570">
        <v>0</v>
      </c>
      <c r="L2570">
        <v>7</v>
      </c>
      <c r="M2570">
        <v>5</v>
      </c>
      <c r="O2570">
        <v>12</v>
      </c>
      <c r="P2570">
        <v>4</v>
      </c>
      <c r="Q2570">
        <v>0</v>
      </c>
      <c r="R2570">
        <v>33.75</v>
      </c>
      <c r="S2570">
        <v>4</v>
      </c>
      <c r="T2570">
        <v>4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4</v>
      </c>
      <c r="AB2570">
        <v>0</v>
      </c>
      <c r="AC2570">
        <v>0</v>
      </c>
      <c r="AH2570">
        <v>37.75</v>
      </c>
    </row>
    <row r="2571" spans="1:34" x14ac:dyDescent="0.3">
      <c r="A2571" s="4">
        <v>2785</v>
      </c>
      <c r="B2571" s="5">
        <v>2564</v>
      </c>
      <c r="C2571">
        <v>9204</v>
      </c>
      <c r="D2571" t="s">
        <v>2268</v>
      </c>
      <c r="E2571" t="s">
        <v>15466</v>
      </c>
      <c r="F2571" t="s">
        <v>190</v>
      </c>
      <c r="H2571">
        <v>21.73</v>
      </c>
      <c r="I2571">
        <v>0</v>
      </c>
      <c r="J2571">
        <v>0</v>
      </c>
      <c r="K2571">
        <v>0</v>
      </c>
      <c r="L2571">
        <v>7</v>
      </c>
      <c r="N2571">
        <v>3</v>
      </c>
      <c r="O2571">
        <v>10</v>
      </c>
      <c r="P2571">
        <v>4</v>
      </c>
      <c r="Q2571">
        <v>2</v>
      </c>
      <c r="R2571">
        <v>37.729999999999997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H2571">
        <v>37.729999999999997</v>
      </c>
    </row>
    <row r="2572" spans="1:34" x14ac:dyDescent="0.3">
      <c r="A2572" s="4">
        <v>2786</v>
      </c>
      <c r="B2572" s="5">
        <v>2565</v>
      </c>
      <c r="C2572">
        <v>11304</v>
      </c>
      <c r="D2572" t="s">
        <v>7029</v>
      </c>
      <c r="E2572" t="s">
        <v>124</v>
      </c>
      <c r="F2572" t="s">
        <v>62</v>
      </c>
      <c r="G2572" t="s">
        <v>15467</v>
      </c>
      <c r="H2572">
        <v>18.73</v>
      </c>
      <c r="I2572">
        <v>0</v>
      </c>
      <c r="J2572">
        <v>0</v>
      </c>
      <c r="K2572">
        <v>0</v>
      </c>
      <c r="N2572">
        <v>3</v>
      </c>
      <c r="O2572">
        <v>3</v>
      </c>
      <c r="P2572">
        <v>4</v>
      </c>
      <c r="Q2572">
        <v>2</v>
      </c>
      <c r="R2572">
        <v>27.73</v>
      </c>
      <c r="S2572">
        <v>10</v>
      </c>
      <c r="T2572">
        <v>10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10</v>
      </c>
      <c r="AB2572">
        <v>0</v>
      </c>
      <c r="AC2572">
        <v>0</v>
      </c>
      <c r="AH2572">
        <v>37.729999999999997</v>
      </c>
    </row>
    <row r="2573" spans="1:34" x14ac:dyDescent="0.3">
      <c r="A2573" s="4">
        <v>2787</v>
      </c>
      <c r="B2573" s="5">
        <v>2566</v>
      </c>
      <c r="C2573">
        <v>7501</v>
      </c>
      <c r="D2573" t="s">
        <v>2951</v>
      </c>
      <c r="E2573" t="s">
        <v>15468</v>
      </c>
      <c r="F2573" t="s">
        <v>17</v>
      </c>
      <c r="G2573" t="s">
        <v>15469</v>
      </c>
      <c r="H2573">
        <v>17.73</v>
      </c>
      <c r="I2573">
        <v>0</v>
      </c>
      <c r="J2573">
        <v>0</v>
      </c>
      <c r="K2573">
        <v>0</v>
      </c>
      <c r="L2573">
        <v>7</v>
      </c>
      <c r="O2573">
        <v>7</v>
      </c>
      <c r="P2573">
        <v>0</v>
      </c>
      <c r="Q2573">
        <v>0</v>
      </c>
      <c r="R2573">
        <v>24.73</v>
      </c>
      <c r="S2573">
        <v>13</v>
      </c>
      <c r="T2573">
        <v>13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13</v>
      </c>
      <c r="AB2573">
        <v>0</v>
      </c>
      <c r="AC2573">
        <v>0</v>
      </c>
      <c r="AH2573">
        <v>37.729999999999997</v>
      </c>
    </row>
    <row r="2574" spans="1:34" x14ac:dyDescent="0.3">
      <c r="A2574" s="4">
        <v>2788</v>
      </c>
      <c r="B2574" s="5">
        <v>2567</v>
      </c>
      <c r="C2574">
        <v>2439</v>
      </c>
      <c r="D2574" t="s">
        <v>15470</v>
      </c>
      <c r="E2574" t="s">
        <v>5682</v>
      </c>
      <c r="F2574" t="s">
        <v>15471</v>
      </c>
      <c r="G2574" t="s">
        <v>15472</v>
      </c>
      <c r="H2574">
        <v>21.68</v>
      </c>
      <c r="I2574">
        <v>0</v>
      </c>
      <c r="J2574">
        <v>0</v>
      </c>
      <c r="K2574">
        <v>0</v>
      </c>
      <c r="L2574">
        <v>7</v>
      </c>
      <c r="N2574">
        <v>3</v>
      </c>
      <c r="O2574">
        <v>10</v>
      </c>
      <c r="P2574">
        <v>4</v>
      </c>
      <c r="Q2574">
        <v>2</v>
      </c>
      <c r="R2574">
        <v>37.68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H2574">
        <v>37.68</v>
      </c>
    </row>
    <row r="2575" spans="1:34" x14ac:dyDescent="0.3">
      <c r="A2575" s="4">
        <v>2789</v>
      </c>
      <c r="B2575" s="5">
        <v>2568</v>
      </c>
      <c r="C2575">
        <v>879</v>
      </c>
      <c r="D2575" t="s">
        <v>7029</v>
      </c>
      <c r="E2575" t="s">
        <v>381</v>
      </c>
      <c r="F2575" t="s">
        <v>230</v>
      </c>
      <c r="G2575" t="s">
        <v>15473</v>
      </c>
      <c r="H2575">
        <v>17.63</v>
      </c>
      <c r="I2575">
        <v>0</v>
      </c>
      <c r="J2575">
        <v>0</v>
      </c>
      <c r="K2575">
        <v>0</v>
      </c>
      <c r="L2575">
        <v>7</v>
      </c>
      <c r="N2575">
        <v>3</v>
      </c>
      <c r="O2575">
        <v>10</v>
      </c>
      <c r="P2575">
        <v>4</v>
      </c>
      <c r="Q2575">
        <v>0</v>
      </c>
      <c r="R2575">
        <v>31.63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6</v>
      </c>
      <c r="AC2575">
        <v>0</v>
      </c>
      <c r="AH2575">
        <v>37.630000000000003</v>
      </c>
    </row>
    <row r="2576" spans="1:34" x14ac:dyDescent="0.3">
      <c r="A2576" s="4">
        <v>2790</v>
      </c>
      <c r="B2576" s="5">
        <v>2569</v>
      </c>
      <c r="C2576">
        <v>280</v>
      </c>
      <c r="D2576" t="s">
        <v>4811</v>
      </c>
      <c r="E2576" t="s">
        <v>88</v>
      </c>
      <c r="F2576" t="s">
        <v>17</v>
      </c>
      <c r="G2576" t="s">
        <v>15474</v>
      </c>
      <c r="H2576">
        <v>21.63</v>
      </c>
      <c r="I2576">
        <v>0</v>
      </c>
      <c r="J2576">
        <v>0</v>
      </c>
      <c r="K2576">
        <v>0</v>
      </c>
      <c r="L2576">
        <v>7</v>
      </c>
      <c r="N2576">
        <v>3</v>
      </c>
      <c r="O2576">
        <v>10</v>
      </c>
      <c r="P2576">
        <v>4</v>
      </c>
      <c r="Q2576">
        <v>2</v>
      </c>
      <c r="R2576">
        <v>37.630000000000003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H2576">
        <v>37.630000000000003</v>
      </c>
    </row>
    <row r="2577" spans="1:34" x14ac:dyDescent="0.3">
      <c r="A2577" s="4">
        <v>2791</v>
      </c>
      <c r="B2577" s="5">
        <v>2570</v>
      </c>
      <c r="C2577">
        <v>12465</v>
      </c>
      <c r="D2577" t="s">
        <v>660</v>
      </c>
      <c r="E2577" t="s">
        <v>104</v>
      </c>
      <c r="F2577" t="s">
        <v>34</v>
      </c>
      <c r="G2577" t="s">
        <v>661</v>
      </c>
      <c r="H2577">
        <v>15.6</v>
      </c>
      <c r="I2577">
        <v>0</v>
      </c>
      <c r="J2577">
        <v>0</v>
      </c>
      <c r="K2577">
        <v>0</v>
      </c>
      <c r="L2577">
        <v>7</v>
      </c>
      <c r="M2577">
        <v>5</v>
      </c>
      <c r="O2577">
        <v>12</v>
      </c>
      <c r="P2577">
        <v>4</v>
      </c>
      <c r="Q2577">
        <v>0</v>
      </c>
      <c r="R2577">
        <v>31.6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6</v>
      </c>
      <c r="AC2577">
        <v>0</v>
      </c>
      <c r="AD2577" t="s">
        <v>130</v>
      </c>
      <c r="AH2577">
        <v>37.6</v>
      </c>
    </row>
    <row r="2578" spans="1:34" x14ac:dyDescent="0.3">
      <c r="A2578" s="4">
        <v>2792</v>
      </c>
      <c r="B2578" s="5">
        <v>2571</v>
      </c>
      <c r="C2578">
        <v>14659</v>
      </c>
      <c r="D2578" t="s">
        <v>15475</v>
      </c>
      <c r="E2578" t="s">
        <v>157</v>
      </c>
      <c r="F2578" t="s">
        <v>136</v>
      </c>
      <c r="G2578" t="s">
        <v>15476</v>
      </c>
      <c r="H2578">
        <v>21.6</v>
      </c>
      <c r="I2578">
        <v>7</v>
      </c>
      <c r="J2578">
        <v>0</v>
      </c>
      <c r="K2578">
        <v>0</v>
      </c>
      <c r="N2578">
        <v>3</v>
      </c>
      <c r="O2578">
        <v>3</v>
      </c>
      <c r="P2578">
        <v>4</v>
      </c>
      <c r="Q2578">
        <v>2</v>
      </c>
      <c r="R2578">
        <v>37.6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H2578">
        <v>37.6</v>
      </c>
    </row>
    <row r="2579" spans="1:34" x14ac:dyDescent="0.3">
      <c r="A2579" s="4">
        <v>2793</v>
      </c>
      <c r="B2579" s="5">
        <v>2572</v>
      </c>
      <c r="C2579">
        <v>10832</v>
      </c>
      <c r="D2579" t="s">
        <v>2978</v>
      </c>
      <c r="E2579" t="s">
        <v>143</v>
      </c>
      <c r="F2579" t="s">
        <v>117</v>
      </c>
      <c r="G2579" t="s">
        <v>15477</v>
      </c>
      <c r="H2579">
        <v>19.600000000000001</v>
      </c>
      <c r="I2579">
        <v>0</v>
      </c>
      <c r="J2579">
        <v>0</v>
      </c>
      <c r="K2579">
        <v>0</v>
      </c>
      <c r="L2579">
        <v>14</v>
      </c>
      <c r="O2579">
        <v>14</v>
      </c>
      <c r="P2579">
        <v>4</v>
      </c>
      <c r="Q2579">
        <v>0</v>
      </c>
      <c r="R2579">
        <v>37.6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H2579">
        <v>37.6</v>
      </c>
    </row>
    <row r="2580" spans="1:34" x14ac:dyDescent="0.3">
      <c r="A2580" s="4">
        <v>2794</v>
      </c>
      <c r="B2580" s="5">
        <v>2573</v>
      </c>
      <c r="C2580">
        <v>14337</v>
      </c>
      <c r="D2580" t="s">
        <v>14351</v>
      </c>
      <c r="E2580" t="s">
        <v>167</v>
      </c>
      <c r="F2580" t="s">
        <v>30</v>
      </c>
      <c r="G2580" t="s">
        <v>15478</v>
      </c>
      <c r="H2580">
        <v>17.600000000000001</v>
      </c>
      <c r="I2580">
        <v>0</v>
      </c>
      <c r="J2580">
        <v>0</v>
      </c>
      <c r="K2580">
        <v>0</v>
      </c>
      <c r="L2580">
        <v>14</v>
      </c>
      <c r="O2580">
        <v>14</v>
      </c>
      <c r="P2580">
        <v>4</v>
      </c>
      <c r="Q2580">
        <v>2</v>
      </c>
      <c r="R2580">
        <v>37.6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H2580">
        <v>37.6</v>
      </c>
    </row>
    <row r="2581" spans="1:34" x14ac:dyDescent="0.3">
      <c r="A2581" s="4">
        <v>2795</v>
      </c>
      <c r="B2581" s="5">
        <v>2574</v>
      </c>
      <c r="C2581">
        <v>10724</v>
      </c>
      <c r="D2581" t="s">
        <v>15479</v>
      </c>
      <c r="E2581" t="s">
        <v>97</v>
      </c>
      <c r="F2581" t="s">
        <v>259</v>
      </c>
      <c r="G2581" t="s">
        <v>15480</v>
      </c>
      <c r="H2581">
        <v>18.55</v>
      </c>
      <c r="I2581">
        <v>0</v>
      </c>
      <c r="J2581">
        <v>0</v>
      </c>
      <c r="K2581">
        <v>0</v>
      </c>
      <c r="L2581">
        <v>7</v>
      </c>
      <c r="O2581">
        <v>7</v>
      </c>
      <c r="P2581">
        <v>4</v>
      </c>
      <c r="Q2581">
        <v>2</v>
      </c>
      <c r="R2581">
        <v>31.55</v>
      </c>
      <c r="S2581">
        <v>6</v>
      </c>
      <c r="T2581">
        <v>6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6</v>
      </c>
      <c r="AB2581">
        <v>0</v>
      </c>
      <c r="AC2581">
        <v>0</v>
      </c>
      <c r="AH2581">
        <v>37.549999999999997</v>
      </c>
    </row>
    <row r="2582" spans="1:34" x14ac:dyDescent="0.3">
      <c r="A2582" s="4">
        <v>2796</v>
      </c>
      <c r="B2582" s="5">
        <v>2575</v>
      </c>
      <c r="C2582">
        <v>2898</v>
      </c>
      <c r="D2582" t="s">
        <v>7830</v>
      </c>
      <c r="E2582" t="s">
        <v>117</v>
      </c>
      <c r="F2582" t="s">
        <v>136</v>
      </c>
      <c r="G2582" t="s">
        <v>15481</v>
      </c>
      <c r="H2582">
        <v>12.5</v>
      </c>
      <c r="I2582">
        <v>0</v>
      </c>
      <c r="J2582">
        <v>0</v>
      </c>
      <c r="K2582">
        <v>20</v>
      </c>
      <c r="M2582">
        <v>5</v>
      </c>
      <c r="O2582">
        <v>5</v>
      </c>
      <c r="P2582">
        <v>0</v>
      </c>
      <c r="Q2582">
        <v>0</v>
      </c>
      <c r="R2582">
        <v>37.5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H2582">
        <v>37.5</v>
      </c>
    </row>
    <row r="2583" spans="1:34" x14ac:dyDescent="0.3">
      <c r="A2583" s="4">
        <v>2797</v>
      </c>
      <c r="B2583" s="5">
        <v>2576</v>
      </c>
      <c r="C2583">
        <v>567</v>
      </c>
      <c r="D2583" t="s">
        <v>15482</v>
      </c>
      <c r="E2583" t="s">
        <v>5470</v>
      </c>
      <c r="F2583" t="s">
        <v>238</v>
      </c>
      <c r="G2583" t="s">
        <v>15483</v>
      </c>
      <c r="H2583">
        <v>12.5</v>
      </c>
      <c r="I2583">
        <v>0</v>
      </c>
      <c r="J2583">
        <v>0</v>
      </c>
      <c r="K2583">
        <v>20</v>
      </c>
      <c r="N2583">
        <v>3</v>
      </c>
      <c r="O2583">
        <v>3</v>
      </c>
      <c r="P2583">
        <v>0</v>
      </c>
      <c r="Q2583">
        <v>2</v>
      </c>
      <c r="R2583">
        <v>37.5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H2583">
        <v>37.5</v>
      </c>
    </row>
    <row r="2584" spans="1:34" x14ac:dyDescent="0.3">
      <c r="A2584" s="4">
        <v>2798</v>
      </c>
      <c r="B2584" s="5">
        <v>2577</v>
      </c>
      <c r="C2584">
        <v>11964</v>
      </c>
      <c r="D2584" t="s">
        <v>15116</v>
      </c>
      <c r="E2584" t="s">
        <v>170</v>
      </c>
      <c r="F2584" t="s">
        <v>81</v>
      </c>
      <c r="G2584" t="s">
        <v>15484</v>
      </c>
      <c r="H2584">
        <v>19.5</v>
      </c>
      <c r="I2584">
        <v>0</v>
      </c>
      <c r="J2584">
        <v>0</v>
      </c>
      <c r="K2584">
        <v>0</v>
      </c>
      <c r="N2584">
        <v>3</v>
      </c>
      <c r="O2584">
        <v>3</v>
      </c>
      <c r="P2584">
        <v>4</v>
      </c>
      <c r="Q2584">
        <v>0</v>
      </c>
      <c r="R2584">
        <v>26.5</v>
      </c>
      <c r="S2584">
        <v>11</v>
      </c>
      <c r="T2584">
        <v>11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11</v>
      </c>
      <c r="AB2584">
        <v>0</v>
      </c>
      <c r="AC2584">
        <v>0</v>
      </c>
      <c r="AH2584">
        <v>37.5</v>
      </c>
    </row>
    <row r="2585" spans="1:34" x14ac:dyDescent="0.3">
      <c r="A2585" s="4">
        <v>2799</v>
      </c>
      <c r="B2585" s="5">
        <v>2578</v>
      </c>
      <c r="C2585">
        <v>3185</v>
      </c>
      <c r="D2585" t="s">
        <v>3931</v>
      </c>
      <c r="E2585" t="s">
        <v>178</v>
      </c>
      <c r="F2585" t="s">
        <v>328</v>
      </c>
      <c r="G2585" t="s">
        <v>15485</v>
      </c>
      <c r="H2585">
        <v>18.45</v>
      </c>
      <c r="I2585">
        <v>0</v>
      </c>
      <c r="J2585">
        <v>0</v>
      </c>
      <c r="K2585">
        <v>0</v>
      </c>
      <c r="L2585">
        <v>7</v>
      </c>
      <c r="O2585">
        <v>7</v>
      </c>
      <c r="P2585">
        <v>4</v>
      </c>
      <c r="Q2585">
        <v>2</v>
      </c>
      <c r="R2585">
        <v>31.45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6</v>
      </c>
      <c r="AC2585">
        <v>0</v>
      </c>
      <c r="AH2585">
        <v>37.450000000000003</v>
      </c>
    </row>
    <row r="2586" spans="1:34" x14ac:dyDescent="0.3">
      <c r="A2586" s="4">
        <v>2800</v>
      </c>
      <c r="B2586" s="5">
        <v>2579</v>
      </c>
      <c r="C2586">
        <v>8392</v>
      </c>
      <c r="D2586" t="s">
        <v>6061</v>
      </c>
      <c r="E2586" t="s">
        <v>238</v>
      </c>
      <c r="F2586" t="s">
        <v>91</v>
      </c>
      <c r="G2586" t="s">
        <v>15486</v>
      </c>
      <c r="H2586">
        <v>19.45</v>
      </c>
      <c r="I2586">
        <v>0</v>
      </c>
      <c r="J2586">
        <v>0</v>
      </c>
      <c r="K2586">
        <v>0</v>
      </c>
      <c r="L2586">
        <v>14</v>
      </c>
      <c r="O2586">
        <v>14</v>
      </c>
      <c r="P2586">
        <v>4</v>
      </c>
      <c r="Q2586">
        <v>0</v>
      </c>
      <c r="R2586">
        <v>37.450000000000003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H2586">
        <v>37.450000000000003</v>
      </c>
    </row>
    <row r="2587" spans="1:34" x14ac:dyDescent="0.3">
      <c r="A2587" s="4">
        <v>2801</v>
      </c>
      <c r="B2587" s="5">
        <v>2580</v>
      </c>
      <c r="C2587">
        <v>214</v>
      </c>
      <c r="D2587" t="s">
        <v>15487</v>
      </c>
      <c r="E2587" t="s">
        <v>15488</v>
      </c>
      <c r="F2587" t="s">
        <v>17</v>
      </c>
      <c r="G2587" t="s">
        <v>15489</v>
      </c>
      <c r="H2587">
        <v>23.43</v>
      </c>
      <c r="I2587">
        <v>0</v>
      </c>
      <c r="J2587">
        <v>0</v>
      </c>
      <c r="K2587">
        <v>0</v>
      </c>
      <c r="L2587">
        <v>7</v>
      </c>
      <c r="N2587">
        <v>3</v>
      </c>
      <c r="O2587">
        <v>10</v>
      </c>
      <c r="P2587">
        <v>4</v>
      </c>
      <c r="Q2587">
        <v>0</v>
      </c>
      <c r="R2587">
        <v>37.43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H2587">
        <v>37.43</v>
      </c>
    </row>
    <row r="2588" spans="1:34" x14ac:dyDescent="0.3">
      <c r="A2588" s="4">
        <v>2802</v>
      </c>
      <c r="B2588" s="5">
        <v>2581</v>
      </c>
      <c r="C2588">
        <v>8649</v>
      </c>
      <c r="D2588" t="s">
        <v>15490</v>
      </c>
      <c r="E2588" t="s">
        <v>15491</v>
      </c>
      <c r="F2588" t="s">
        <v>158</v>
      </c>
      <c r="G2588" t="s">
        <v>15492</v>
      </c>
      <c r="H2588">
        <v>20.399999999999999</v>
      </c>
      <c r="I2588">
        <v>0</v>
      </c>
      <c r="J2588">
        <v>0</v>
      </c>
      <c r="K2588">
        <v>0</v>
      </c>
      <c r="M2588">
        <v>5</v>
      </c>
      <c r="N2588">
        <v>3</v>
      </c>
      <c r="O2588">
        <v>8</v>
      </c>
      <c r="P2588">
        <v>4</v>
      </c>
      <c r="Q2588">
        <v>2</v>
      </c>
      <c r="R2588">
        <v>34.4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3</v>
      </c>
      <c r="AC2588">
        <v>0</v>
      </c>
      <c r="AH2588">
        <v>37.4</v>
      </c>
    </row>
    <row r="2589" spans="1:34" x14ac:dyDescent="0.3">
      <c r="A2589" s="4">
        <v>2803</v>
      </c>
      <c r="B2589" s="5">
        <v>2582</v>
      </c>
      <c r="C2589">
        <v>13463</v>
      </c>
      <c r="D2589" t="s">
        <v>1740</v>
      </c>
      <c r="E2589" t="s">
        <v>115</v>
      </c>
      <c r="F2589" t="s">
        <v>243</v>
      </c>
      <c r="G2589" t="s">
        <v>15493</v>
      </c>
      <c r="H2589">
        <v>19.38</v>
      </c>
      <c r="I2589">
        <v>0</v>
      </c>
      <c r="J2589">
        <v>0</v>
      </c>
      <c r="K2589">
        <v>0</v>
      </c>
      <c r="L2589">
        <v>7</v>
      </c>
      <c r="M2589">
        <v>5</v>
      </c>
      <c r="O2589">
        <v>12</v>
      </c>
      <c r="P2589">
        <v>0</v>
      </c>
      <c r="Q2589">
        <v>0</v>
      </c>
      <c r="R2589">
        <v>31.38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6</v>
      </c>
      <c r="AC2589">
        <v>0</v>
      </c>
      <c r="AH2589">
        <v>37.380000000000003</v>
      </c>
    </row>
    <row r="2590" spans="1:34" x14ac:dyDescent="0.3">
      <c r="A2590" s="4">
        <v>2804</v>
      </c>
      <c r="B2590" s="5">
        <v>2583</v>
      </c>
      <c r="C2590">
        <v>7255</v>
      </c>
      <c r="D2590" t="s">
        <v>3534</v>
      </c>
      <c r="E2590" t="s">
        <v>100</v>
      </c>
      <c r="F2590" t="s">
        <v>570</v>
      </c>
      <c r="G2590" t="s">
        <v>15494</v>
      </c>
      <c r="H2590">
        <v>18.38</v>
      </c>
      <c r="I2590">
        <v>0</v>
      </c>
      <c r="J2590">
        <v>0</v>
      </c>
      <c r="K2590">
        <v>0</v>
      </c>
      <c r="L2590">
        <v>7</v>
      </c>
      <c r="N2590">
        <v>3</v>
      </c>
      <c r="O2590">
        <v>10</v>
      </c>
      <c r="P2590">
        <v>4</v>
      </c>
      <c r="Q2590">
        <v>0</v>
      </c>
      <c r="R2590">
        <v>32.380000000000003</v>
      </c>
      <c r="S2590">
        <v>5</v>
      </c>
      <c r="T2590">
        <v>5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5</v>
      </c>
      <c r="AB2590">
        <v>0</v>
      </c>
      <c r="AC2590">
        <v>0</v>
      </c>
      <c r="AH2590">
        <v>37.380000000000003</v>
      </c>
    </row>
    <row r="2591" spans="1:34" x14ac:dyDescent="0.3">
      <c r="A2591" s="4">
        <v>2805</v>
      </c>
      <c r="B2591" s="5">
        <v>2584</v>
      </c>
      <c r="C2591">
        <v>9214</v>
      </c>
      <c r="D2591" t="s">
        <v>15495</v>
      </c>
      <c r="E2591" t="s">
        <v>26</v>
      </c>
      <c r="F2591" t="s">
        <v>62</v>
      </c>
      <c r="G2591" t="s">
        <v>15496</v>
      </c>
      <c r="H2591">
        <v>19.350000000000001</v>
      </c>
      <c r="I2591">
        <v>0</v>
      </c>
      <c r="J2591">
        <v>0</v>
      </c>
      <c r="K2591">
        <v>0</v>
      </c>
      <c r="L2591">
        <v>14</v>
      </c>
      <c r="O2591">
        <v>14</v>
      </c>
      <c r="P2591">
        <v>4</v>
      </c>
      <c r="Q2591">
        <v>0</v>
      </c>
      <c r="R2591">
        <v>37.35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H2591">
        <v>37.35</v>
      </c>
    </row>
    <row r="2592" spans="1:34" x14ac:dyDescent="0.3">
      <c r="A2592" s="4">
        <v>2806</v>
      </c>
      <c r="B2592" s="5">
        <v>2585</v>
      </c>
      <c r="C2592">
        <v>9072</v>
      </c>
      <c r="D2592" t="s">
        <v>15497</v>
      </c>
      <c r="E2592" t="s">
        <v>54</v>
      </c>
      <c r="F2592" t="s">
        <v>587</v>
      </c>
      <c r="G2592" t="s">
        <v>15498</v>
      </c>
      <c r="H2592">
        <v>18.350000000000001</v>
      </c>
      <c r="I2592">
        <v>0</v>
      </c>
      <c r="J2592">
        <v>0</v>
      </c>
      <c r="K2592">
        <v>0</v>
      </c>
      <c r="L2592">
        <v>7</v>
      </c>
      <c r="O2592">
        <v>7</v>
      </c>
      <c r="P2592">
        <v>4</v>
      </c>
      <c r="Q2592">
        <v>2</v>
      </c>
      <c r="R2592">
        <v>31.35</v>
      </c>
      <c r="S2592">
        <v>6</v>
      </c>
      <c r="T2592">
        <v>6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6</v>
      </c>
      <c r="AB2592">
        <v>0</v>
      </c>
      <c r="AC2592">
        <v>0</v>
      </c>
      <c r="AH2592">
        <v>37.35</v>
      </c>
    </row>
    <row r="2593" spans="1:34" x14ac:dyDescent="0.3">
      <c r="A2593" s="4">
        <v>2807</v>
      </c>
      <c r="B2593" s="5">
        <v>2586</v>
      </c>
      <c r="C2593">
        <v>10535</v>
      </c>
      <c r="D2593" t="s">
        <v>3806</v>
      </c>
      <c r="E2593" t="s">
        <v>575</v>
      </c>
      <c r="F2593" t="s">
        <v>81</v>
      </c>
      <c r="G2593" t="s">
        <v>15499</v>
      </c>
      <c r="H2593">
        <v>16.25</v>
      </c>
      <c r="I2593">
        <v>0</v>
      </c>
      <c r="J2593">
        <v>0</v>
      </c>
      <c r="K2593">
        <v>0</v>
      </c>
      <c r="L2593">
        <v>14</v>
      </c>
      <c r="O2593">
        <v>14</v>
      </c>
      <c r="P2593">
        <v>4</v>
      </c>
      <c r="Q2593">
        <v>0</v>
      </c>
      <c r="R2593">
        <v>34.25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3</v>
      </c>
      <c r="AC2593">
        <v>0</v>
      </c>
      <c r="AH2593">
        <v>37.25</v>
      </c>
    </row>
    <row r="2594" spans="1:34" x14ac:dyDescent="0.3">
      <c r="A2594" s="4">
        <v>2808</v>
      </c>
      <c r="B2594" s="5">
        <v>2587</v>
      </c>
      <c r="C2594">
        <v>3916</v>
      </c>
      <c r="D2594" t="s">
        <v>14221</v>
      </c>
      <c r="E2594" t="s">
        <v>15500</v>
      </c>
      <c r="F2594" t="s">
        <v>81</v>
      </c>
      <c r="G2594" t="s">
        <v>15501</v>
      </c>
      <c r="H2594">
        <v>21.25</v>
      </c>
      <c r="I2594">
        <v>0</v>
      </c>
      <c r="J2594">
        <v>0</v>
      </c>
      <c r="K2594">
        <v>0</v>
      </c>
      <c r="L2594">
        <v>7</v>
      </c>
      <c r="M2594">
        <v>5</v>
      </c>
      <c r="O2594">
        <v>12</v>
      </c>
      <c r="P2594">
        <v>4</v>
      </c>
      <c r="Q2594">
        <v>0</v>
      </c>
      <c r="R2594">
        <v>37.25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H2594">
        <v>37.25</v>
      </c>
    </row>
    <row r="2595" spans="1:34" x14ac:dyDescent="0.3">
      <c r="A2595" s="4">
        <v>2809</v>
      </c>
      <c r="B2595" s="5">
        <v>2588</v>
      </c>
      <c r="C2595">
        <v>1707</v>
      </c>
      <c r="D2595" t="s">
        <v>15502</v>
      </c>
      <c r="E2595" t="s">
        <v>41</v>
      </c>
      <c r="F2595" t="s">
        <v>17</v>
      </c>
      <c r="G2595" t="s">
        <v>15503</v>
      </c>
      <c r="H2595">
        <v>21.23</v>
      </c>
      <c r="I2595">
        <v>0</v>
      </c>
      <c r="J2595">
        <v>0</v>
      </c>
      <c r="K2595">
        <v>0</v>
      </c>
      <c r="L2595">
        <v>7</v>
      </c>
      <c r="N2595">
        <v>3</v>
      </c>
      <c r="O2595">
        <v>10</v>
      </c>
      <c r="P2595">
        <v>4</v>
      </c>
      <c r="Q2595">
        <v>2</v>
      </c>
      <c r="R2595">
        <v>37.229999999999997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H2595">
        <v>37.229999999999997</v>
      </c>
    </row>
    <row r="2596" spans="1:34" x14ac:dyDescent="0.3">
      <c r="A2596" s="4">
        <v>2810</v>
      </c>
      <c r="B2596" s="5">
        <v>2589</v>
      </c>
      <c r="C2596">
        <v>12092</v>
      </c>
      <c r="D2596" t="s">
        <v>15504</v>
      </c>
      <c r="E2596" t="s">
        <v>1694</v>
      </c>
      <c r="F2596" t="s">
        <v>81</v>
      </c>
      <c r="H2596">
        <v>21.23</v>
      </c>
      <c r="I2596">
        <v>0</v>
      </c>
      <c r="J2596">
        <v>0</v>
      </c>
      <c r="K2596">
        <v>0</v>
      </c>
      <c r="L2596">
        <v>7</v>
      </c>
      <c r="N2596">
        <v>3</v>
      </c>
      <c r="O2596">
        <v>10</v>
      </c>
      <c r="P2596">
        <v>4</v>
      </c>
      <c r="Q2596">
        <v>2</v>
      </c>
      <c r="R2596">
        <v>37.229999999999997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H2596">
        <v>37.229999999999997</v>
      </c>
    </row>
    <row r="2597" spans="1:34" x14ac:dyDescent="0.3">
      <c r="A2597" s="4">
        <v>2811</v>
      </c>
      <c r="B2597" s="5">
        <v>2590</v>
      </c>
      <c r="C2597">
        <v>6673</v>
      </c>
      <c r="D2597" t="s">
        <v>1894</v>
      </c>
      <c r="E2597" t="s">
        <v>26</v>
      </c>
      <c r="F2597" t="s">
        <v>20</v>
      </c>
      <c r="G2597" t="s">
        <v>15505</v>
      </c>
      <c r="H2597">
        <v>19.23</v>
      </c>
      <c r="I2597">
        <v>0</v>
      </c>
      <c r="J2597">
        <v>0</v>
      </c>
      <c r="K2597">
        <v>0</v>
      </c>
      <c r="L2597">
        <v>14</v>
      </c>
      <c r="O2597">
        <v>14</v>
      </c>
      <c r="P2597">
        <v>4</v>
      </c>
      <c r="Q2597">
        <v>0</v>
      </c>
      <c r="R2597">
        <v>37.229999999999997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H2597">
        <v>37.229999999999997</v>
      </c>
    </row>
    <row r="2598" spans="1:34" x14ac:dyDescent="0.3">
      <c r="A2598" s="4">
        <v>2812</v>
      </c>
      <c r="B2598" s="5">
        <v>2591</v>
      </c>
      <c r="C2598">
        <v>7335</v>
      </c>
      <c r="D2598" t="s">
        <v>7768</v>
      </c>
      <c r="E2598" t="s">
        <v>178</v>
      </c>
      <c r="F2598" t="s">
        <v>17</v>
      </c>
      <c r="G2598" t="s">
        <v>15506</v>
      </c>
      <c r="H2598">
        <v>21.2</v>
      </c>
      <c r="I2598">
        <v>0</v>
      </c>
      <c r="J2598">
        <v>0</v>
      </c>
      <c r="K2598">
        <v>0</v>
      </c>
      <c r="L2598">
        <v>7</v>
      </c>
      <c r="N2598">
        <v>3</v>
      </c>
      <c r="O2598">
        <v>10</v>
      </c>
      <c r="P2598">
        <v>4</v>
      </c>
      <c r="Q2598">
        <v>2</v>
      </c>
      <c r="R2598">
        <v>37.200000000000003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H2598">
        <v>37.200000000000003</v>
      </c>
    </row>
    <row r="2599" spans="1:34" x14ac:dyDescent="0.3">
      <c r="A2599" s="4">
        <v>2813</v>
      </c>
      <c r="B2599" s="5">
        <v>2592</v>
      </c>
      <c r="C2599">
        <v>10293</v>
      </c>
      <c r="D2599" t="s">
        <v>752</v>
      </c>
      <c r="E2599" t="s">
        <v>29</v>
      </c>
      <c r="F2599" t="s">
        <v>243</v>
      </c>
      <c r="G2599" t="s">
        <v>15507</v>
      </c>
      <c r="H2599">
        <v>20.18</v>
      </c>
      <c r="I2599">
        <v>0</v>
      </c>
      <c r="J2599">
        <v>0</v>
      </c>
      <c r="K2599">
        <v>0</v>
      </c>
      <c r="L2599">
        <v>7</v>
      </c>
      <c r="O2599">
        <v>7</v>
      </c>
      <c r="P2599">
        <v>4</v>
      </c>
      <c r="Q2599">
        <v>0</v>
      </c>
      <c r="R2599">
        <v>31.18</v>
      </c>
      <c r="S2599">
        <v>6</v>
      </c>
      <c r="T2599">
        <v>6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6</v>
      </c>
      <c r="AB2599">
        <v>0</v>
      </c>
      <c r="AC2599">
        <v>0</v>
      </c>
      <c r="AD2599" t="s">
        <v>130</v>
      </c>
      <c r="AH2599">
        <v>37.18</v>
      </c>
    </row>
    <row r="2600" spans="1:34" x14ac:dyDescent="0.3">
      <c r="A2600" s="4">
        <v>2814</v>
      </c>
      <c r="B2600" s="5">
        <v>2593</v>
      </c>
      <c r="C2600">
        <v>15443</v>
      </c>
      <c r="D2600" t="s">
        <v>11443</v>
      </c>
      <c r="E2600" t="s">
        <v>29</v>
      </c>
      <c r="F2600" t="s">
        <v>17</v>
      </c>
      <c r="G2600" t="s">
        <v>15508</v>
      </c>
      <c r="H2600">
        <v>21.15</v>
      </c>
      <c r="I2600">
        <v>0</v>
      </c>
      <c r="J2600">
        <v>0</v>
      </c>
      <c r="K2600">
        <v>0</v>
      </c>
      <c r="L2600">
        <v>7</v>
      </c>
      <c r="M2600">
        <v>5</v>
      </c>
      <c r="O2600">
        <v>12</v>
      </c>
      <c r="P2600">
        <v>4</v>
      </c>
      <c r="Q2600">
        <v>0</v>
      </c>
      <c r="R2600">
        <v>37.15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H2600">
        <v>37.15</v>
      </c>
    </row>
    <row r="2601" spans="1:34" x14ac:dyDescent="0.3">
      <c r="A2601" s="4">
        <v>2815</v>
      </c>
      <c r="B2601" s="5">
        <v>2594</v>
      </c>
      <c r="C2601">
        <v>7128</v>
      </c>
      <c r="D2601" t="s">
        <v>15509</v>
      </c>
      <c r="E2601" t="s">
        <v>188</v>
      </c>
      <c r="F2601" t="s">
        <v>20</v>
      </c>
      <c r="G2601" t="s">
        <v>15510</v>
      </c>
      <c r="H2601">
        <v>21.13</v>
      </c>
      <c r="I2601">
        <v>0</v>
      </c>
      <c r="J2601">
        <v>0</v>
      </c>
      <c r="K2601">
        <v>0</v>
      </c>
      <c r="L2601">
        <v>7</v>
      </c>
      <c r="N2601">
        <v>3</v>
      </c>
      <c r="O2601">
        <v>10</v>
      </c>
      <c r="P2601">
        <v>4</v>
      </c>
      <c r="Q2601">
        <v>2</v>
      </c>
      <c r="R2601">
        <v>37.130000000000003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H2601">
        <v>37.130000000000003</v>
      </c>
    </row>
    <row r="2602" spans="1:34" x14ac:dyDescent="0.3">
      <c r="A2602" s="4">
        <v>2816</v>
      </c>
      <c r="B2602" s="5">
        <v>2595</v>
      </c>
      <c r="C2602">
        <v>10475</v>
      </c>
      <c r="D2602" t="s">
        <v>1822</v>
      </c>
      <c r="E2602" t="s">
        <v>29</v>
      </c>
      <c r="F2602" t="s">
        <v>117</v>
      </c>
      <c r="G2602" t="s">
        <v>15511</v>
      </c>
      <c r="H2602">
        <v>19.13</v>
      </c>
      <c r="I2602">
        <v>0</v>
      </c>
      <c r="J2602">
        <v>0</v>
      </c>
      <c r="K2602">
        <v>0</v>
      </c>
      <c r="L2602">
        <v>7</v>
      </c>
      <c r="O2602">
        <v>7</v>
      </c>
      <c r="P2602">
        <v>0</v>
      </c>
      <c r="Q2602">
        <v>0</v>
      </c>
      <c r="R2602">
        <v>26.13</v>
      </c>
      <c r="S2602">
        <v>5</v>
      </c>
      <c r="T2602">
        <v>5</v>
      </c>
      <c r="U2602">
        <v>0</v>
      </c>
      <c r="V2602">
        <v>0</v>
      </c>
      <c r="W2602">
        <v>4</v>
      </c>
      <c r="X2602">
        <v>6</v>
      </c>
      <c r="Y2602">
        <v>0</v>
      </c>
      <c r="Z2602">
        <v>0</v>
      </c>
      <c r="AA2602">
        <v>11</v>
      </c>
      <c r="AB2602">
        <v>0</v>
      </c>
      <c r="AC2602">
        <v>0</v>
      </c>
      <c r="AH2602">
        <v>37.130000000000003</v>
      </c>
    </row>
    <row r="2603" spans="1:34" x14ac:dyDescent="0.3">
      <c r="A2603" s="4">
        <v>2817</v>
      </c>
      <c r="B2603" s="5">
        <v>2596</v>
      </c>
      <c r="C2603">
        <v>4443</v>
      </c>
      <c r="D2603" t="s">
        <v>12325</v>
      </c>
      <c r="E2603" t="s">
        <v>738</v>
      </c>
      <c r="F2603" t="s">
        <v>38</v>
      </c>
      <c r="G2603" t="s">
        <v>15512</v>
      </c>
      <c r="H2603">
        <v>21.1</v>
      </c>
      <c r="I2603">
        <v>0</v>
      </c>
      <c r="J2603">
        <v>0</v>
      </c>
      <c r="K2603">
        <v>0</v>
      </c>
      <c r="L2603">
        <v>7</v>
      </c>
      <c r="M2603">
        <v>5</v>
      </c>
      <c r="O2603">
        <v>12</v>
      </c>
      <c r="P2603">
        <v>4</v>
      </c>
      <c r="Q2603">
        <v>0</v>
      </c>
      <c r="R2603">
        <v>37.1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H2603">
        <v>37.1</v>
      </c>
    </row>
    <row r="2604" spans="1:34" x14ac:dyDescent="0.3">
      <c r="A2604" s="4">
        <v>2818</v>
      </c>
      <c r="B2604" s="5">
        <v>2597</v>
      </c>
      <c r="C2604">
        <v>2093</v>
      </c>
      <c r="D2604" t="s">
        <v>1782</v>
      </c>
      <c r="E2604" t="s">
        <v>22</v>
      </c>
      <c r="F2604" t="s">
        <v>17</v>
      </c>
      <c r="G2604" t="s">
        <v>15513</v>
      </c>
      <c r="H2604">
        <v>17.100000000000001</v>
      </c>
      <c r="I2604">
        <v>0</v>
      </c>
      <c r="J2604">
        <v>0</v>
      </c>
      <c r="K2604">
        <v>0</v>
      </c>
      <c r="N2604">
        <v>3</v>
      </c>
      <c r="O2604">
        <v>3</v>
      </c>
      <c r="P2604">
        <v>4</v>
      </c>
      <c r="Q2604">
        <v>2</v>
      </c>
      <c r="R2604">
        <v>26.1</v>
      </c>
      <c r="S2604">
        <v>11</v>
      </c>
      <c r="T2604">
        <v>11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11</v>
      </c>
      <c r="AB2604">
        <v>0</v>
      </c>
      <c r="AC2604">
        <v>0</v>
      </c>
      <c r="AH2604">
        <v>37.1</v>
      </c>
    </row>
    <row r="2605" spans="1:34" x14ac:dyDescent="0.3">
      <c r="A2605" s="4">
        <v>2819</v>
      </c>
      <c r="B2605" s="5">
        <v>2598</v>
      </c>
      <c r="C2605">
        <v>8044</v>
      </c>
      <c r="D2605" t="s">
        <v>15514</v>
      </c>
      <c r="E2605" t="s">
        <v>166</v>
      </c>
      <c r="F2605" t="s">
        <v>230</v>
      </c>
      <c r="G2605" t="s">
        <v>15515</v>
      </c>
      <c r="H2605">
        <v>17.079999999999998</v>
      </c>
      <c r="I2605">
        <v>0</v>
      </c>
      <c r="J2605">
        <v>0</v>
      </c>
      <c r="K2605">
        <v>0</v>
      </c>
      <c r="L2605">
        <v>7</v>
      </c>
      <c r="O2605">
        <v>7</v>
      </c>
      <c r="P2605">
        <v>0</v>
      </c>
      <c r="Q2605">
        <v>2</v>
      </c>
      <c r="R2605">
        <v>26.08</v>
      </c>
      <c r="S2605">
        <v>5</v>
      </c>
      <c r="T2605">
        <v>5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5</v>
      </c>
      <c r="AB2605">
        <v>6</v>
      </c>
      <c r="AC2605">
        <v>0</v>
      </c>
      <c r="AH2605">
        <v>37.08</v>
      </c>
    </row>
    <row r="2606" spans="1:34" x14ac:dyDescent="0.3">
      <c r="A2606" s="4">
        <v>2820</v>
      </c>
      <c r="B2606" s="5">
        <v>2599</v>
      </c>
      <c r="C2606">
        <v>9823</v>
      </c>
      <c r="D2606" t="s">
        <v>15516</v>
      </c>
      <c r="E2606" t="s">
        <v>161</v>
      </c>
      <c r="F2606" t="s">
        <v>20</v>
      </c>
      <c r="G2606" t="s">
        <v>15517</v>
      </c>
      <c r="H2606">
        <v>19.03</v>
      </c>
      <c r="I2606">
        <v>0</v>
      </c>
      <c r="J2606">
        <v>0</v>
      </c>
      <c r="K2606">
        <v>0</v>
      </c>
      <c r="L2606">
        <v>7</v>
      </c>
      <c r="M2606">
        <v>5</v>
      </c>
      <c r="O2606">
        <v>12</v>
      </c>
      <c r="P2606">
        <v>4</v>
      </c>
      <c r="Q2606">
        <v>2</v>
      </c>
      <c r="R2606">
        <v>37.03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H2606">
        <v>37.03</v>
      </c>
    </row>
    <row r="2607" spans="1:34" x14ac:dyDescent="0.3">
      <c r="A2607" s="4">
        <v>2821</v>
      </c>
      <c r="B2607" s="5">
        <v>2600</v>
      </c>
      <c r="C2607">
        <v>7461</v>
      </c>
      <c r="D2607" t="s">
        <v>15518</v>
      </c>
      <c r="E2607" t="s">
        <v>15519</v>
      </c>
      <c r="F2607" t="s">
        <v>230</v>
      </c>
      <c r="G2607" t="s">
        <v>15520</v>
      </c>
      <c r="H2607">
        <v>19.03</v>
      </c>
      <c r="I2607">
        <v>0</v>
      </c>
      <c r="J2607">
        <v>0</v>
      </c>
      <c r="K2607">
        <v>0</v>
      </c>
      <c r="L2607">
        <v>14</v>
      </c>
      <c r="O2607">
        <v>14</v>
      </c>
      <c r="P2607">
        <v>4</v>
      </c>
      <c r="Q2607">
        <v>0</v>
      </c>
      <c r="R2607">
        <v>37.03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H2607">
        <v>37.03</v>
      </c>
    </row>
    <row r="2608" spans="1:34" x14ac:dyDescent="0.3">
      <c r="A2608" s="4">
        <v>2822</v>
      </c>
      <c r="B2608" s="5">
        <v>2601</v>
      </c>
      <c r="C2608">
        <v>5254</v>
      </c>
      <c r="D2608" t="s">
        <v>4536</v>
      </c>
      <c r="E2608" t="s">
        <v>1659</v>
      </c>
      <c r="F2608" t="s">
        <v>124</v>
      </c>
      <c r="G2608" t="s">
        <v>15521</v>
      </c>
      <c r="H2608">
        <v>18.03</v>
      </c>
      <c r="I2608">
        <v>0</v>
      </c>
      <c r="J2608">
        <v>0</v>
      </c>
      <c r="K2608">
        <v>0</v>
      </c>
      <c r="L2608">
        <v>7</v>
      </c>
      <c r="O2608">
        <v>7</v>
      </c>
      <c r="P2608">
        <v>4</v>
      </c>
      <c r="Q2608">
        <v>2</v>
      </c>
      <c r="R2608">
        <v>31.03</v>
      </c>
      <c r="S2608">
        <v>6</v>
      </c>
      <c r="T2608">
        <v>6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6</v>
      </c>
      <c r="AB2608">
        <v>0</v>
      </c>
      <c r="AC2608">
        <v>0</v>
      </c>
      <c r="AD2608" t="s">
        <v>130</v>
      </c>
      <c r="AH2608">
        <v>37.03</v>
      </c>
    </row>
    <row r="2609" spans="1:34" x14ac:dyDescent="0.3">
      <c r="A2609" s="4">
        <v>2823</v>
      </c>
      <c r="B2609" s="5">
        <v>2602</v>
      </c>
      <c r="C2609">
        <v>11581</v>
      </c>
      <c r="D2609" t="s">
        <v>15522</v>
      </c>
      <c r="E2609" t="s">
        <v>406</v>
      </c>
      <c r="F2609" t="s">
        <v>750</v>
      </c>
      <c r="G2609" t="s">
        <v>15523</v>
      </c>
      <c r="H2609">
        <v>21</v>
      </c>
      <c r="I2609">
        <v>0</v>
      </c>
      <c r="J2609">
        <v>0</v>
      </c>
      <c r="K2609">
        <v>0</v>
      </c>
      <c r="L2609">
        <v>7</v>
      </c>
      <c r="N2609">
        <v>3</v>
      </c>
      <c r="O2609">
        <v>10</v>
      </c>
      <c r="P2609">
        <v>4</v>
      </c>
      <c r="Q2609">
        <v>2</v>
      </c>
      <c r="R2609">
        <v>37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H2609">
        <v>37</v>
      </c>
    </row>
    <row r="2610" spans="1:34" x14ac:dyDescent="0.3">
      <c r="A2610" s="4">
        <v>2824</v>
      </c>
      <c r="B2610" s="5">
        <v>2603</v>
      </c>
      <c r="C2610">
        <v>13197</v>
      </c>
      <c r="D2610" t="s">
        <v>15524</v>
      </c>
      <c r="E2610" t="s">
        <v>15525</v>
      </c>
      <c r="F2610" t="s">
        <v>136</v>
      </c>
      <c r="G2610" t="s">
        <v>15526</v>
      </c>
      <c r="H2610">
        <v>20.98</v>
      </c>
      <c r="I2610">
        <v>0</v>
      </c>
      <c r="J2610">
        <v>0</v>
      </c>
      <c r="K2610">
        <v>0</v>
      </c>
      <c r="L2610">
        <v>7</v>
      </c>
      <c r="N2610">
        <v>3</v>
      </c>
      <c r="O2610">
        <v>10</v>
      </c>
      <c r="P2610">
        <v>4</v>
      </c>
      <c r="Q2610">
        <v>2</v>
      </c>
      <c r="R2610">
        <v>36.979999999999997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H2610">
        <v>36.979999999999997</v>
      </c>
    </row>
    <row r="2611" spans="1:34" x14ac:dyDescent="0.3">
      <c r="A2611" s="4">
        <v>2825</v>
      </c>
      <c r="B2611" s="5">
        <v>2604</v>
      </c>
      <c r="C2611">
        <v>11218</v>
      </c>
      <c r="D2611" t="s">
        <v>9461</v>
      </c>
      <c r="E2611" t="s">
        <v>161</v>
      </c>
      <c r="F2611" t="s">
        <v>68</v>
      </c>
      <c r="G2611" t="s">
        <v>15527</v>
      </c>
      <c r="H2611">
        <v>20.95</v>
      </c>
      <c r="I2611">
        <v>0</v>
      </c>
      <c r="J2611">
        <v>0</v>
      </c>
      <c r="K2611">
        <v>0</v>
      </c>
      <c r="L2611">
        <v>7</v>
      </c>
      <c r="N2611">
        <v>3</v>
      </c>
      <c r="O2611">
        <v>10</v>
      </c>
      <c r="P2611">
        <v>4</v>
      </c>
      <c r="Q2611">
        <v>2</v>
      </c>
      <c r="R2611">
        <v>36.950000000000003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H2611">
        <v>36.950000000000003</v>
      </c>
    </row>
    <row r="2612" spans="1:34" x14ac:dyDescent="0.3">
      <c r="A2612" s="4">
        <v>2826</v>
      </c>
      <c r="B2612" s="5">
        <v>2605</v>
      </c>
      <c r="C2612">
        <v>3844</v>
      </c>
      <c r="D2612" t="s">
        <v>15528</v>
      </c>
      <c r="E2612" t="s">
        <v>188</v>
      </c>
      <c r="F2612" t="s">
        <v>158</v>
      </c>
      <c r="G2612" t="s">
        <v>15529</v>
      </c>
      <c r="H2612">
        <v>20.88</v>
      </c>
      <c r="I2612">
        <v>0</v>
      </c>
      <c r="J2612">
        <v>0</v>
      </c>
      <c r="K2612">
        <v>0</v>
      </c>
      <c r="L2612">
        <v>7</v>
      </c>
      <c r="M2612">
        <v>5</v>
      </c>
      <c r="O2612">
        <v>12</v>
      </c>
      <c r="P2612">
        <v>4</v>
      </c>
      <c r="Q2612">
        <v>0</v>
      </c>
      <c r="R2612">
        <v>36.880000000000003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H2612">
        <v>36.880000000000003</v>
      </c>
    </row>
    <row r="2613" spans="1:34" x14ac:dyDescent="0.3">
      <c r="A2613" s="4">
        <v>2827</v>
      </c>
      <c r="B2613" s="5">
        <v>2606</v>
      </c>
      <c r="C2613">
        <v>769</v>
      </c>
      <c r="D2613" t="s">
        <v>5483</v>
      </c>
      <c r="E2613" t="s">
        <v>22</v>
      </c>
      <c r="F2613" t="s">
        <v>1566</v>
      </c>
      <c r="G2613" t="s">
        <v>15530</v>
      </c>
      <c r="H2613">
        <v>17.88</v>
      </c>
      <c r="I2613">
        <v>0</v>
      </c>
      <c r="J2613">
        <v>0</v>
      </c>
      <c r="K2613">
        <v>0</v>
      </c>
      <c r="L2613">
        <v>7</v>
      </c>
      <c r="O2613">
        <v>7</v>
      </c>
      <c r="P2613">
        <v>4</v>
      </c>
      <c r="Q2613">
        <v>2</v>
      </c>
      <c r="R2613">
        <v>30.88</v>
      </c>
      <c r="S2613">
        <v>6</v>
      </c>
      <c r="T2613">
        <v>6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6</v>
      </c>
      <c r="AB2613">
        <v>0</v>
      </c>
      <c r="AC2613">
        <v>0</v>
      </c>
      <c r="AH2613">
        <v>36.880000000000003</v>
      </c>
    </row>
    <row r="2614" spans="1:34" x14ac:dyDescent="0.3">
      <c r="A2614" s="4">
        <v>2828</v>
      </c>
      <c r="B2614" s="5">
        <v>2607</v>
      </c>
      <c r="C2614">
        <v>1716</v>
      </c>
      <c r="D2614" t="s">
        <v>3760</v>
      </c>
      <c r="E2614" t="s">
        <v>2157</v>
      </c>
      <c r="F2614" t="s">
        <v>750</v>
      </c>
      <c r="G2614" t="s">
        <v>15531</v>
      </c>
      <c r="H2614">
        <v>16.850000000000001</v>
      </c>
      <c r="I2614">
        <v>0</v>
      </c>
      <c r="J2614">
        <v>0</v>
      </c>
      <c r="K2614">
        <v>0</v>
      </c>
      <c r="L2614">
        <v>14</v>
      </c>
      <c r="O2614">
        <v>14</v>
      </c>
      <c r="P2614">
        <v>4</v>
      </c>
      <c r="Q2614">
        <v>2</v>
      </c>
      <c r="R2614">
        <v>36.85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H2614">
        <v>36.85</v>
      </c>
    </row>
    <row r="2615" spans="1:34" x14ac:dyDescent="0.3">
      <c r="A2615" s="4">
        <v>2829</v>
      </c>
      <c r="B2615" s="5">
        <v>2608</v>
      </c>
      <c r="C2615">
        <v>8161</v>
      </c>
      <c r="D2615" t="s">
        <v>15532</v>
      </c>
      <c r="E2615" t="s">
        <v>208</v>
      </c>
      <c r="F2615" t="s">
        <v>3439</v>
      </c>
      <c r="G2615" t="s">
        <v>15533</v>
      </c>
      <c r="H2615">
        <v>17.850000000000001</v>
      </c>
      <c r="I2615">
        <v>0</v>
      </c>
      <c r="J2615">
        <v>0</v>
      </c>
      <c r="K2615">
        <v>0</v>
      </c>
      <c r="N2615">
        <v>3</v>
      </c>
      <c r="O2615">
        <v>3</v>
      </c>
      <c r="P2615">
        <v>4</v>
      </c>
      <c r="Q2615">
        <v>2</v>
      </c>
      <c r="R2615">
        <v>26.85</v>
      </c>
      <c r="S2615">
        <v>10</v>
      </c>
      <c r="T2615">
        <v>10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10</v>
      </c>
      <c r="AB2615">
        <v>0</v>
      </c>
      <c r="AC2615">
        <v>0</v>
      </c>
      <c r="AH2615">
        <v>36.85</v>
      </c>
    </row>
    <row r="2616" spans="1:34" x14ac:dyDescent="0.3">
      <c r="A2616" s="4">
        <v>2830</v>
      </c>
      <c r="B2616" s="5">
        <v>2609</v>
      </c>
      <c r="C2616">
        <v>6323</v>
      </c>
      <c r="D2616" t="s">
        <v>2786</v>
      </c>
      <c r="E2616" t="s">
        <v>17</v>
      </c>
      <c r="F2616" t="s">
        <v>343</v>
      </c>
      <c r="G2616" t="s">
        <v>15534</v>
      </c>
      <c r="H2616">
        <v>18.829999999999998</v>
      </c>
      <c r="I2616">
        <v>0</v>
      </c>
      <c r="J2616">
        <v>0</v>
      </c>
      <c r="K2616">
        <v>0</v>
      </c>
      <c r="L2616">
        <v>7</v>
      </c>
      <c r="M2616">
        <v>5</v>
      </c>
      <c r="O2616">
        <v>12</v>
      </c>
      <c r="P2616">
        <v>4</v>
      </c>
      <c r="Q2616">
        <v>2</v>
      </c>
      <c r="R2616">
        <v>36.83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H2616">
        <v>36.83</v>
      </c>
    </row>
    <row r="2617" spans="1:34" x14ac:dyDescent="0.3">
      <c r="A2617" s="4">
        <v>2831</v>
      </c>
      <c r="B2617" s="5">
        <v>2610</v>
      </c>
      <c r="C2617">
        <v>4810</v>
      </c>
      <c r="D2617" t="s">
        <v>3002</v>
      </c>
      <c r="E2617" t="s">
        <v>816</v>
      </c>
      <c r="F2617" t="s">
        <v>20</v>
      </c>
      <c r="G2617" t="s">
        <v>15535</v>
      </c>
      <c r="H2617">
        <v>22.8</v>
      </c>
      <c r="I2617">
        <v>0</v>
      </c>
      <c r="J2617">
        <v>0</v>
      </c>
      <c r="K2617">
        <v>0</v>
      </c>
      <c r="L2617">
        <v>14</v>
      </c>
      <c r="O2617">
        <v>14</v>
      </c>
      <c r="P2617">
        <v>0</v>
      </c>
      <c r="Q2617">
        <v>0</v>
      </c>
      <c r="R2617">
        <v>36.799999999999997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H2617">
        <v>36.799999999999997</v>
      </c>
    </row>
    <row r="2618" spans="1:34" x14ac:dyDescent="0.3">
      <c r="A2618" s="4">
        <v>2832</v>
      </c>
      <c r="B2618" s="5">
        <v>2611</v>
      </c>
      <c r="C2618">
        <v>10023</v>
      </c>
      <c r="D2618" t="s">
        <v>15536</v>
      </c>
      <c r="E2618" t="s">
        <v>29</v>
      </c>
      <c r="F2618" t="s">
        <v>15537</v>
      </c>
      <c r="G2618" t="s">
        <v>15538</v>
      </c>
      <c r="H2618">
        <v>17.78</v>
      </c>
      <c r="I2618">
        <v>0</v>
      </c>
      <c r="J2618">
        <v>0</v>
      </c>
      <c r="K2618">
        <v>0</v>
      </c>
      <c r="L2618">
        <v>7</v>
      </c>
      <c r="O2618">
        <v>7</v>
      </c>
      <c r="P2618">
        <v>4</v>
      </c>
      <c r="Q2618">
        <v>2</v>
      </c>
      <c r="R2618">
        <v>30.78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6</v>
      </c>
      <c r="AC2618">
        <v>0</v>
      </c>
      <c r="AH2618">
        <v>36.78</v>
      </c>
    </row>
    <row r="2619" spans="1:34" x14ac:dyDescent="0.3">
      <c r="A2619" s="4">
        <v>2833</v>
      </c>
      <c r="B2619" s="5">
        <v>2612</v>
      </c>
      <c r="C2619">
        <v>7883</v>
      </c>
      <c r="D2619" t="s">
        <v>15539</v>
      </c>
      <c r="E2619" t="s">
        <v>15540</v>
      </c>
      <c r="F2619" t="s">
        <v>38</v>
      </c>
      <c r="G2619" t="s">
        <v>15541</v>
      </c>
      <c r="H2619">
        <v>20.78</v>
      </c>
      <c r="I2619">
        <v>0</v>
      </c>
      <c r="J2619">
        <v>0</v>
      </c>
      <c r="K2619">
        <v>0</v>
      </c>
      <c r="L2619">
        <v>7</v>
      </c>
      <c r="N2619">
        <v>3</v>
      </c>
      <c r="O2619">
        <v>10</v>
      </c>
      <c r="P2619">
        <v>4</v>
      </c>
      <c r="Q2619">
        <v>2</v>
      </c>
      <c r="R2619">
        <v>36.78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H2619">
        <v>36.78</v>
      </c>
    </row>
    <row r="2620" spans="1:34" x14ac:dyDescent="0.3">
      <c r="A2620" s="4">
        <v>2834</v>
      </c>
      <c r="B2620" s="5">
        <v>2613</v>
      </c>
      <c r="C2620">
        <v>14814</v>
      </c>
      <c r="D2620" t="s">
        <v>5681</v>
      </c>
      <c r="E2620" t="s">
        <v>4258</v>
      </c>
      <c r="F2620" t="s">
        <v>190</v>
      </c>
      <c r="G2620" t="s">
        <v>15542</v>
      </c>
      <c r="H2620">
        <v>20.7</v>
      </c>
      <c r="I2620">
        <v>0</v>
      </c>
      <c r="J2620">
        <v>0</v>
      </c>
      <c r="K2620">
        <v>0</v>
      </c>
      <c r="L2620">
        <v>7</v>
      </c>
      <c r="N2620">
        <v>3</v>
      </c>
      <c r="O2620">
        <v>10</v>
      </c>
      <c r="P2620">
        <v>4</v>
      </c>
      <c r="Q2620">
        <v>2</v>
      </c>
      <c r="R2620">
        <v>36.700000000000003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H2620">
        <v>36.700000000000003</v>
      </c>
    </row>
    <row r="2621" spans="1:34" x14ac:dyDescent="0.3">
      <c r="A2621" s="4">
        <v>2835</v>
      </c>
      <c r="B2621" s="5">
        <v>2614</v>
      </c>
      <c r="C2621">
        <v>14400</v>
      </c>
      <c r="D2621" t="s">
        <v>8895</v>
      </c>
      <c r="E2621" t="s">
        <v>2758</v>
      </c>
      <c r="F2621" t="s">
        <v>521</v>
      </c>
      <c r="G2621" t="s">
        <v>15543</v>
      </c>
      <c r="H2621">
        <v>21.7</v>
      </c>
      <c r="I2621">
        <v>0</v>
      </c>
      <c r="J2621">
        <v>0</v>
      </c>
      <c r="K2621">
        <v>0</v>
      </c>
      <c r="L2621">
        <v>7</v>
      </c>
      <c r="O2621">
        <v>7</v>
      </c>
      <c r="P2621">
        <v>0</v>
      </c>
      <c r="Q2621">
        <v>2</v>
      </c>
      <c r="R2621">
        <v>30.7</v>
      </c>
      <c r="S2621">
        <v>6</v>
      </c>
      <c r="T2621">
        <v>6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6</v>
      </c>
      <c r="AB2621">
        <v>0</v>
      </c>
      <c r="AC2621">
        <v>0</v>
      </c>
      <c r="AH2621">
        <v>36.700000000000003</v>
      </c>
    </row>
    <row r="2622" spans="1:34" x14ac:dyDescent="0.3">
      <c r="A2622" s="4">
        <v>2836</v>
      </c>
      <c r="B2622" s="5">
        <v>2615</v>
      </c>
      <c r="C2622">
        <v>6871</v>
      </c>
      <c r="D2622" t="s">
        <v>15544</v>
      </c>
      <c r="E2622" t="s">
        <v>1043</v>
      </c>
      <c r="F2622" t="s">
        <v>7403</v>
      </c>
      <c r="G2622" t="s">
        <v>15545</v>
      </c>
      <c r="H2622">
        <v>19.63</v>
      </c>
      <c r="I2622">
        <v>0</v>
      </c>
      <c r="J2622">
        <v>0</v>
      </c>
      <c r="K2622">
        <v>0</v>
      </c>
      <c r="L2622">
        <v>7</v>
      </c>
      <c r="N2622">
        <v>3</v>
      </c>
      <c r="O2622">
        <v>10</v>
      </c>
      <c r="P2622">
        <v>4</v>
      </c>
      <c r="Q2622">
        <v>0</v>
      </c>
      <c r="R2622">
        <v>33.630000000000003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3</v>
      </c>
      <c r="AC2622">
        <v>0</v>
      </c>
      <c r="AH2622">
        <v>36.630000000000003</v>
      </c>
    </row>
    <row r="2623" spans="1:34" x14ac:dyDescent="0.3">
      <c r="A2623" s="4">
        <v>2837</v>
      </c>
      <c r="B2623" s="5">
        <v>2616</v>
      </c>
      <c r="C2623">
        <v>4080</v>
      </c>
      <c r="D2623" t="s">
        <v>15546</v>
      </c>
      <c r="E2623" t="s">
        <v>54</v>
      </c>
      <c r="F2623" t="s">
        <v>68</v>
      </c>
      <c r="G2623" t="s">
        <v>15547</v>
      </c>
      <c r="H2623">
        <v>23.63</v>
      </c>
      <c r="I2623">
        <v>0</v>
      </c>
      <c r="J2623">
        <v>0</v>
      </c>
      <c r="K2623">
        <v>0</v>
      </c>
      <c r="L2623">
        <v>7</v>
      </c>
      <c r="O2623">
        <v>7</v>
      </c>
      <c r="P2623">
        <v>4</v>
      </c>
      <c r="Q2623">
        <v>2</v>
      </c>
      <c r="R2623">
        <v>36.630000000000003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H2623">
        <v>36.630000000000003</v>
      </c>
    </row>
    <row r="2624" spans="1:34" x14ac:dyDescent="0.3">
      <c r="A2624" s="4">
        <v>2838</v>
      </c>
      <c r="B2624" s="5">
        <v>2617</v>
      </c>
      <c r="C2624">
        <v>9744</v>
      </c>
      <c r="D2624" t="s">
        <v>15548</v>
      </c>
      <c r="E2624" t="s">
        <v>1016</v>
      </c>
      <c r="F2624" t="s">
        <v>782</v>
      </c>
      <c r="G2624" t="s">
        <v>15549</v>
      </c>
      <c r="H2624">
        <v>20.63</v>
      </c>
      <c r="I2624">
        <v>0</v>
      </c>
      <c r="J2624">
        <v>0</v>
      </c>
      <c r="K2624">
        <v>0</v>
      </c>
      <c r="L2624">
        <v>14</v>
      </c>
      <c r="O2624">
        <v>14</v>
      </c>
      <c r="P2624">
        <v>0</v>
      </c>
      <c r="Q2624">
        <v>2</v>
      </c>
      <c r="R2624">
        <v>36.630000000000003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H2624">
        <v>36.630000000000003</v>
      </c>
    </row>
    <row r="2625" spans="1:34" x14ac:dyDescent="0.3">
      <c r="A2625" s="4">
        <v>2839</v>
      </c>
      <c r="B2625" s="5">
        <v>2618</v>
      </c>
      <c r="C2625">
        <v>15031</v>
      </c>
      <c r="D2625" t="s">
        <v>15550</v>
      </c>
      <c r="E2625" t="s">
        <v>33</v>
      </c>
      <c r="F2625" t="s">
        <v>190</v>
      </c>
      <c r="G2625" t="s">
        <v>15551</v>
      </c>
      <c r="H2625">
        <v>20.63</v>
      </c>
      <c r="I2625">
        <v>0</v>
      </c>
      <c r="J2625">
        <v>0</v>
      </c>
      <c r="K2625">
        <v>0</v>
      </c>
      <c r="L2625">
        <v>7</v>
      </c>
      <c r="M2625">
        <v>5</v>
      </c>
      <c r="O2625">
        <v>12</v>
      </c>
      <c r="P2625">
        <v>4</v>
      </c>
      <c r="Q2625">
        <v>0</v>
      </c>
      <c r="R2625">
        <v>36.630000000000003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H2625">
        <v>36.630000000000003</v>
      </c>
    </row>
    <row r="2626" spans="1:34" x14ac:dyDescent="0.3">
      <c r="A2626" s="4">
        <v>2840</v>
      </c>
      <c r="B2626" s="5">
        <v>2619</v>
      </c>
      <c r="C2626">
        <v>12661</v>
      </c>
      <c r="D2626" t="s">
        <v>15552</v>
      </c>
      <c r="E2626" t="s">
        <v>149</v>
      </c>
      <c r="F2626" t="s">
        <v>570</v>
      </c>
      <c r="G2626" t="s">
        <v>15553</v>
      </c>
      <c r="H2626">
        <v>16.63</v>
      </c>
      <c r="I2626">
        <v>0</v>
      </c>
      <c r="J2626">
        <v>0</v>
      </c>
      <c r="K2626">
        <v>0</v>
      </c>
      <c r="L2626">
        <v>14</v>
      </c>
      <c r="O2626">
        <v>14</v>
      </c>
      <c r="P2626">
        <v>4</v>
      </c>
      <c r="Q2626">
        <v>2</v>
      </c>
      <c r="R2626">
        <v>36.630000000000003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H2626">
        <v>36.630000000000003</v>
      </c>
    </row>
    <row r="2627" spans="1:34" x14ac:dyDescent="0.3">
      <c r="A2627" s="4">
        <v>2841</v>
      </c>
      <c r="B2627" s="5">
        <v>2620</v>
      </c>
      <c r="C2627">
        <v>1940</v>
      </c>
      <c r="D2627" t="s">
        <v>15554</v>
      </c>
      <c r="E2627" t="s">
        <v>5237</v>
      </c>
      <c r="F2627" t="s">
        <v>782</v>
      </c>
      <c r="G2627" t="s">
        <v>15555</v>
      </c>
      <c r="H2627">
        <v>17.600000000000001</v>
      </c>
      <c r="I2627">
        <v>0</v>
      </c>
      <c r="J2627">
        <v>0</v>
      </c>
      <c r="K2627">
        <v>0</v>
      </c>
      <c r="L2627">
        <v>7</v>
      </c>
      <c r="O2627">
        <v>7</v>
      </c>
      <c r="P2627">
        <v>4</v>
      </c>
      <c r="Q2627">
        <v>2</v>
      </c>
      <c r="R2627">
        <v>30.6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6</v>
      </c>
      <c r="AC2627">
        <v>0</v>
      </c>
      <c r="AH2627">
        <v>36.6</v>
      </c>
    </row>
    <row r="2628" spans="1:34" x14ac:dyDescent="0.3">
      <c r="A2628" s="4">
        <v>2842</v>
      </c>
      <c r="B2628" s="5">
        <v>2621</v>
      </c>
      <c r="C2628">
        <v>9094</v>
      </c>
      <c r="D2628" t="s">
        <v>15556</v>
      </c>
      <c r="E2628" t="s">
        <v>15557</v>
      </c>
      <c r="F2628" t="s">
        <v>801</v>
      </c>
      <c r="G2628" t="s">
        <v>15558</v>
      </c>
      <c r="H2628">
        <v>22.6</v>
      </c>
      <c r="I2628">
        <v>7</v>
      </c>
      <c r="J2628">
        <v>0</v>
      </c>
      <c r="K2628">
        <v>0</v>
      </c>
      <c r="L2628">
        <v>7</v>
      </c>
      <c r="O2628">
        <v>7</v>
      </c>
      <c r="P2628">
        <v>0</v>
      </c>
      <c r="Q2628">
        <v>0</v>
      </c>
      <c r="R2628">
        <v>36.6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H2628">
        <v>36.6</v>
      </c>
    </row>
    <row r="2629" spans="1:34" x14ac:dyDescent="0.3">
      <c r="A2629" s="4">
        <v>2843</v>
      </c>
      <c r="B2629" s="5">
        <v>2622</v>
      </c>
      <c r="C2629">
        <v>7302</v>
      </c>
      <c r="D2629" t="s">
        <v>15559</v>
      </c>
      <c r="E2629" t="s">
        <v>550</v>
      </c>
      <c r="F2629" t="s">
        <v>892</v>
      </c>
      <c r="G2629" t="s">
        <v>15560</v>
      </c>
      <c r="H2629">
        <v>19.579999999999998</v>
      </c>
      <c r="I2629">
        <v>0</v>
      </c>
      <c r="J2629">
        <v>0</v>
      </c>
      <c r="K2629">
        <v>0</v>
      </c>
      <c r="L2629">
        <v>7</v>
      </c>
      <c r="N2629">
        <v>3</v>
      </c>
      <c r="O2629">
        <v>10</v>
      </c>
      <c r="P2629">
        <v>4</v>
      </c>
      <c r="Q2629">
        <v>2</v>
      </c>
      <c r="R2629">
        <v>35.58</v>
      </c>
      <c r="S2629">
        <v>1</v>
      </c>
      <c r="T2629">
        <v>1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1</v>
      </c>
      <c r="AB2629">
        <v>0</v>
      </c>
      <c r="AC2629">
        <v>0</v>
      </c>
      <c r="AH2629">
        <v>36.58</v>
      </c>
    </row>
    <row r="2630" spans="1:34" x14ac:dyDescent="0.3">
      <c r="A2630" s="4">
        <v>2844</v>
      </c>
      <c r="B2630" s="5">
        <v>2623</v>
      </c>
      <c r="C2630">
        <v>9157</v>
      </c>
      <c r="D2630" t="s">
        <v>15561</v>
      </c>
      <c r="E2630" t="s">
        <v>128</v>
      </c>
      <c r="F2630" t="s">
        <v>11320</v>
      </c>
      <c r="G2630" t="s">
        <v>15562</v>
      </c>
      <c r="H2630">
        <v>19.55</v>
      </c>
      <c r="I2630">
        <v>0</v>
      </c>
      <c r="J2630">
        <v>0</v>
      </c>
      <c r="K2630">
        <v>0</v>
      </c>
      <c r="L2630">
        <v>7</v>
      </c>
      <c r="O2630">
        <v>7</v>
      </c>
      <c r="P2630">
        <v>4</v>
      </c>
      <c r="Q2630">
        <v>0</v>
      </c>
      <c r="R2630">
        <v>30.55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6</v>
      </c>
      <c r="AC2630">
        <v>0</v>
      </c>
      <c r="AH2630">
        <v>36.549999999999997</v>
      </c>
    </row>
    <row r="2631" spans="1:34" x14ac:dyDescent="0.3">
      <c r="A2631" s="4">
        <v>2845</v>
      </c>
      <c r="B2631" s="5">
        <v>2624</v>
      </c>
      <c r="C2631">
        <v>8280</v>
      </c>
      <c r="D2631" t="s">
        <v>15563</v>
      </c>
      <c r="E2631" t="s">
        <v>957</v>
      </c>
      <c r="F2631" t="s">
        <v>20</v>
      </c>
      <c r="G2631" t="s">
        <v>15564</v>
      </c>
      <c r="H2631">
        <v>19.55</v>
      </c>
      <c r="I2631">
        <v>0</v>
      </c>
      <c r="J2631">
        <v>0</v>
      </c>
      <c r="K2631">
        <v>0</v>
      </c>
      <c r="L2631">
        <v>7</v>
      </c>
      <c r="O2631">
        <v>7</v>
      </c>
      <c r="P2631">
        <v>4</v>
      </c>
      <c r="Q2631">
        <v>0</v>
      </c>
      <c r="R2631">
        <v>30.55</v>
      </c>
      <c r="S2631">
        <v>6</v>
      </c>
      <c r="T2631">
        <v>6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6</v>
      </c>
      <c r="AB2631">
        <v>0</v>
      </c>
      <c r="AC2631">
        <v>0</v>
      </c>
      <c r="AH2631">
        <v>36.549999999999997</v>
      </c>
    </row>
    <row r="2632" spans="1:34" x14ac:dyDescent="0.3">
      <c r="A2632" s="4">
        <v>2846</v>
      </c>
      <c r="B2632" s="5">
        <v>2625</v>
      </c>
      <c r="C2632">
        <v>5904</v>
      </c>
      <c r="D2632" t="s">
        <v>15565</v>
      </c>
      <c r="E2632" t="s">
        <v>15566</v>
      </c>
      <c r="F2632" t="s">
        <v>55</v>
      </c>
      <c r="G2632" t="s">
        <v>15567</v>
      </c>
      <c r="H2632">
        <v>20.5</v>
      </c>
      <c r="I2632">
        <v>0</v>
      </c>
      <c r="J2632">
        <v>0</v>
      </c>
      <c r="K2632">
        <v>0</v>
      </c>
      <c r="L2632">
        <v>7</v>
      </c>
      <c r="N2632">
        <v>3</v>
      </c>
      <c r="O2632">
        <v>10</v>
      </c>
      <c r="P2632">
        <v>4</v>
      </c>
      <c r="Q2632">
        <v>2</v>
      </c>
      <c r="R2632">
        <v>36.5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H2632">
        <v>36.5</v>
      </c>
    </row>
    <row r="2633" spans="1:34" x14ac:dyDescent="0.3">
      <c r="A2633" s="4">
        <v>2847</v>
      </c>
      <c r="B2633" s="5">
        <v>2626</v>
      </c>
      <c r="C2633">
        <v>13261</v>
      </c>
      <c r="D2633" t="s">
        <v>15568</v>
      </c>
      <c r="E2633" t="s">
        <v>594</v>
      </c>
      <c r="F2633" t="s">
        <v>17</v>
      </c>
      <c r="G2633" t="s">
        <v>15569</v>
      </c>
      <c r="H2633">
        <v>14.48</v>
      </c>
      <c r="I2633">
        <v>0</v>
      </c>
      <c r="J2633">
        <v>0</v>
      </c>
      <c r="K2633">
        <v>0</v>
      </c>
      <c r="L2633">
        <v>7</v>
      </c>
      <c r="M2633">
        <v>5</v>
      </c>
      <c r="O2633">
        <v>12</v>
      </c>
      <c r="P2633">
        <v>4</v>
      </c>
      <c r="Q2633">
        <v>0</v>
      </c>
      <c r="R2633">
        <v>30.48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6</v>
      </c>
      <c r="AC2633">
        <v>0</v>
      </c>
      <c r="AH2633">
        <v>36.479999999999997</v>
      </c>
    </row>
    <row r="2634" spans="1:34" x14ac:dyDescent="0.3">
      <c r="A2634" s="4">
        <v>2848</v>
      </c>
      <c r="B2634" s="5">
        <v>2627</v>
      </c>
      <c r="C2634">
        <v>5562</v>
      </c>
      <c r="D2634" t="s">
        <v>15570</v>
      </c>
      <c r="E2634" t="s">
        <v>29</v>
      </c>
      <c r="F2634" t="s">
        <v>38</v>
      </c>
      <c r="G2634" t="s">
        <v>15571</v>
      </c>
      <c r="H2634">
        <v>22.48</v>
      </c>
      <c r="I2634">
        <v>0</v>
      </c>
      <c r="J2634">
        <v>0</v>
      </c>
      <c r="K2634">
        <v>0</v>
      </c>
      <c r="L2634">
        <v>7</v>
      </c>
      <c r="N2634">
        <v>3</v>
      </c>
      <c r="O2634">
        <v>10</v>
      </c>
      <c r="P2634">
        <v>4</v>
      </c>
      <c r="Q2634">
        <v>0</v>
      </c>
      <c r="R2634">
        <v>36.479999999999997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H2634">
        <v>36.479999999999997</v>
      </c>
    </row>
    <row r="2635" spans="1:34" x14ac:dyDescent="0.3">
      <c r="A2635" s="4">
        <v>2849</v>
      </c>
      <c r="B2635" s="5">
        <v>2628</v>
      </c>
      <c r="C2635">
        <v>2321</v>
      </c>
      <c r="D2635" t="s">
        <v>15572</v>
      </c>
      <c r="E2635" t="s">
        <v>3775</v>
      </c>
      <c r="F2635" t="s">
        <v>30</v>
      </c>
      <c r="G2635" t="s">
        <v>15573</v>
      </c>
      <c r="H2635">
        <v>20.45</v>
      </c>
      <c r="I2635">
        <v>0</v>
      </c>
      <c r="J2635">
        <v>0</v>
      </c>
      <c r="K2635">
        <v>0</v>
      </c>
      <c r="L2635">
        <v>7</v>
      </c>
      <c r="M2635">
        <v>5</v>
      </c>
      <c r="O2635">
        <v>12</v>
      </c>
      <c r="P2635">
        <v>4</v>
      </c>
      <c r="Q2635">
        <v>0</v>
      </c>
      <c r="R2635">
        <v>36.450000000000003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E2635" t="s">
        <v>130</v>
      </c>
      <c r="AH2635">
        <v>36.450000000000003</v>
      </c>
    </row>
    <row r="2636" spans="1:34" x14ac:dyDescent="0.3">
      <c r="A2636" s="4">
        <v>2850</v>
      </c>
      <c r="B2636" s="5">
        <v>2629</v>
      </c>
      <c r="C2636">
        <v>4321</v>
      </c>
      <c r="D2636" t="s">
        <v>15574</v>
      </c>
      <c r="E2636" t="s">
        <v>789</v>
      </c>
      <c r="F2636" t="s">
        <v>158</v>
      </c>
      <c r="G2636" t="s">
        <v>15575</v>
      </c>
      <c r="H2636">
        <v>20.45</v>
      </c>
      <c r="I2636">
        <v>0</v>
      </c>
      <c r="J2636">
        <v>0</v>
      </c>
      <c r="K2636">
        <v>0</v>
      </c>
      <c r="L2636">
        <v>7</v>
      </c>
      <c r="N2636">
        <v>3</v>
      </c>
      <c r="O2636">
        <v>10</v>
      </c>
      <c r="P2636">
        <v>4</v>
      </c>
      <c r="Q2636">
        <v>2</v>
      </c>
      <c r="R2636">
        <v>36.450000000000003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H2636">
        <v>36.450000000000003</v>
      </c>
    </row>
    <row r="2637" spans="1:34" x14ac:dyDescent="0.3">
      <c r="A2637" s="4">
        <v>2851</v>
      </c>
      <c r="B2637" s="5">
        <v>2630</v>
      </c>
      <c r="C2637">
        <v>99</v>
      </c>
      <c r="D2637" t="s">
        <v>1588</v>
      </c>
      <c r="E2637" t="s">
        <v>100</v>
      </c>
      <c r="F2637" t="s">
        <v>1998</v>
      </c>
      <c r="G2637" t="s">
        <v>15576</v>
      </c>
      <c r="H2637">
        <v>16.43</v>
      </c>
      <c r="I2637">
        <v>0</v>
      </c>
      <c r="J2637">
        <v>0</v>
      </c>
      <c r="K2637">
        <v>0</v>
      </c>
      <c r="L2637">
        <v>7</v>
      </c>
      <c r="N2637">
        <v>3</v>
      </c>
      <c r="O2637">
        <v>10</v>
      </c>
      <c r="P2637">
        <v>4</v>
      </c>
      <c r="Q2637">
        <v>0</v>
      </c>
      <c r="R2637">
        <v>30.43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6</v>
      </c>
      <c r="AC2637">
        <v>0</v>
      </c>
      <c r="AH2637">
        <v>36.43</v>
      </c>
    </row>
    <row r="2638" spans="1:34" x14ac:dyDescent="0.3">
      <c r="A2638" s="4">
        <v>2852</v>
      </c>
      <c r="B2638" s="5">
        <v>2631</v>
      </c>
      <c r="C2638">
        <v>8804</v>
      </c>
      <c r="D2638" t="s">
        <v>15577</v>
      </c>
      <c r="E2638" t="s">
        <v>100</v>
      </c>
      <c r="F2638" t="s">
        <v>117</v>
      </c>
      <c r="G2638" t="s">
        <v>15578</v>
      </c>
      <c r="H2638">
        <v>17.43</v>
      </c>
      <c r="I2638">
        <v>0</v>
      </c>
      <c r="J2638">
        <v>0</v>
      </c>
      <c r="K2638">
        <v>0</v>
      </c>
      <c r="L2638">
        <v>7</v>
      </c>
      <c r="O2638">
        <v>7</v>
      </c>
      <c r="P2638">
        <v>4</v>
      </c>
      <c r="Q2638">
        <v>2</v>
      </c>
      <c r="R2638">
        <v>30.43</v>
      </c>
      <c r="S2638">
        <v>3</v>
      </c>
      <c r="T2638">
        <v>3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3</v>
      </c>
      <c r="AB2638">
        <v>3</v>
      </c>
      <c r="AC2638">
        <v>0</v>
      </c>
      <c r="AH2638">
        <v>36.43</v>
      </c>
    </row>
    <row r="2639" spans="1:34" x14ac:dyDescent="0.3">
      <c r="A2639" s="4">
        <v>2853</v>
      </c>
      <c r="B2639" s="5">
        <v>2632</v>
      </c>
      <c r="C2639">
        <v>12387</v>
      </c>
      <c r="D2639" t="s">
        <v>15579</v>
      </c>
      <c r="E2639" t="s">
        <v>594</v>
      </c>
      <c r="F2639" t="s">
        <v>17</v>
      </c>
      <c r="G2639" t="s">
        <v>15580</v>
      </c>
      <c r="H2639">
        <v>20.43</v>
      </c>
      <c r="I2639">
        <v>0</v>
      </c>
      <c r="J2639">
        <v>0</v>
      </c>
      <c r="K2639">
        <v>0</v>
      </c>
      <c r="L2639">
        <v>7</v>
      </c>
      <c r="N2639">
        <v>3</v>
      </c>
      <c r="O2639">
        <v>10</v>
      </c>
      <c r="P2639">
        <v>4</v>
      </c>
      <c r="Q2639">
        <v>2</v>
      </c>
      <c r="R2639">
        <v>36.43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H2639">
        <v>36.43</v>
      </c>
    </row>
    <row r="2640" spans="1:34" x14ac:dyDescent="0.3">
      <c r="A2640" s="4">
        <v>2854</v>
      </c>
      <c r="B2640" s="5">
        <v>2633</v>
      </c>
      <c r="C2640">
        <v>810</v>
      </c>
      <c r="D2640" t="s">
        <v>15581</v>
      </c>
      <c r="E2640" t="s">
        <v>22</v>
      </c>
      <c r="F2640" t="s">
        <v>2598</v>
      </c>
      <c r="G2640" t="s">
        <v>15582</v>
      </c>
      <c r="H2640">
        <v>19.399999999999999</v>
      </c>
      <c r="I2640">
        <v>0</v>
      </c>
      <c r="J2640">
        <v>0</v>
      </c>
      <c r="K2640">
        <v>0</v>
      </c>
      <c r="L2640">
        <v>7</v>
      </c>
      <c r="N2640">
        <v>3</v>
      </c>
      <c r="O2640">
        <v>10</v>
      </c>
      <c r="P2640">
        <v>4</v>
      </c>
      <c r="Q2640">
        <v>0</v>
      </c>
      <c r="R2640">
        <v>33.4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3</v>
      </c>
      <c r="AC2640">
        <v>0</v>
      </c>
      <c r="AH2640">
        <v>36.4</v>
      </c>
    </row>
    <row r="2641" spans="1:34" x14ac:dyDescent="0.3">
      <c r="A2641" s="4">
        <v>2855</v>
      </c>
      <c r="B2641" s="5">
        <v>2634</v>
      </c>
      <c r="C2641">
        <v>14772</v>
      </c>
      <c r="D2641" t="s">
        <v>15583</v>
      </c>
      <c r="E2641" t="s">
        <v>17</v>
      </c>
      <c r="F2641" t="s">
        <v>782</v>
      </c>
      <c r="G2641" t="s">
        <v>15584</v>
      </c>
      <c r="H2641">
        <v>22.4</v>
      </c>
      <c r="I2641">
        <v>0</v>
      </c>
      <c r="J2641">
        <v>0</v>
      </c>
      <c r="K2641">
        <v>0</v>
      </c>
      <c r="L2641">
        <v>7</v>
      </c>
      <c r="N2641">
        <v>3</v>
      </c>
      <c r="O2641">
        <v>10</v>
      </c>
      <c r="P2641">
        <v>4</v>
      </c>
      <c r="Q2641">
        <v>0</v>
      </c>
      <c r="R2641">
        <v>36.4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H2641">
        <v>36.4</v>
      </c>
    </row>
    <row r="2642" spans="1:34" x14ac:dyDescent="0.3">
      <c r="A2642" s="4">
        <v>2856</v>
      </c>
      <c r="B2642" s="5">
        <v>2635</v>
      </c>
      <c r="C2642">
        <v>11302</v>
      </c>
      <c r="D2642" t="s">
        <v>752</v>
      </c>
      <c r="E2642" t="s">
        <v>41</v>
      </c>
      <c r="F2642" t="s">
        <v>14</v>
      </c>
      <c r="G2642" t="s">
        <v>15585</v>
      </c>
      <c r="H2642">
        <v>22.38</v>
      </c>
      <c r="I2642">
        <v>0</v>
      </c>
      <c r="J2642">
        <v>0</v>
      </c>
      <c r="K2642">
        <v>0</v>
      </c>
      <c r="L2642">
        <v>7</v>
      </c>
      <c r="N2642">
        <v>3</v>
      </c>
      <c r="O2642">
        <v>10</v>
      </c>
      <c r="P2642">
        <v>4</v>
      </c>
      <c r="Q2642">
        <v>0</v>
      </c>
      <c r="R2642">
        <v>36.380000000000003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H2642">
        <v>36.380000000000003</v>
      </c>
    </row>
    <row r="2643" spans="1:34" x14ac:dyDescent="0.3">
      <c r="A2643" s="4">
        <v>2857</v>
      </c>
      <c r="B2643" s="5">
        <v>2636</v>
      </c>
      <c r="C2643">
        <v>4389</v>
      </c>
      <c r="D2643" t="s">
        <v>9129</v>
      </c>
      <c r="E2643" t="s">
        <v>161</v>
      </c>
      <c r="F2643" t="s">
        <v>101</v>
      </c>
      <c r="G2643" t="s">
        <v>15586</v>
      </c>
      <c r="H2643">
        <v>19.350000000000001</v>
      </c>
      <c r="I2643">
        <v>7</v>
      </c>
      <c r="J2643">
        <v>0</v>
      </c>
      <c r="K2643">
        <v>0</v>
      </c>
      <c r="N2643">
        <v>3</v>
      </c>
      <c r="O2643">
        <v>3</v>
      </c>
      <c r="P2643">
        <v>4</v>
      </c>
      <c r="Q2643">
        <v>0</v>
      </c>
      <c r="R2643">
        <v>33.35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3</v>
      </c>
      <c r="AC2643">
        <v>0</v>
      </c>
      <c r="AH2643">
        <v>36.35</v>
      </c>
    </row>
    <row r="2644" spans="1:34" x14ac:dyDescent="0.3">
      <c r="A2644" s="4">
        <v>2858</v>
      </c>
      <c r="B2644" s="5">
        <v>2637</v>
      </c>
      <c r="C2644">
        <v>13579</v>
      </c>
      <c r="D2644" t="s">
        <v>15587</v>
      </c>
      <c r="E2644" t="s">
        <v>41</v>
      </c>
      <c r="F2644" t="s">
        <v>158</v>
      </c>
      <c r="G2644" t="s">
        <v>15588</v>
      </c>
      <c r="H2644">
        <v>19.329999999999998</v>
      </c>
      <c r="I2644">
        <v>0</v>
      </c>
      <c r="J2644">
        <v>0</v>
      </c>
      <c r="K2644">
        <v>0</v>
      </c>
      <c r="L2644">
        <v>7</v>
      </c>
      <c r="N2644">
        <v>3</v>
      </c>
      <c r="O2644">
        <v>10</v>
      </c>
      <c r="P2644">
        <v>4</v>
      </c>
      <c r="Q2644">
        <v>0</v>
      </c>
      <c r="R2644">
        <v>33.33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3</v>
      </c>
      <c r="AC2644">
        <v>0</v>
      </c>
      <c r="AH2644">
        <v>36.33</v>
      </c>
    </row>
    <row r="2645" spans="1:34" x14ac:dyDescent="0.3">
      <c r="A2645" s="4">
        <v>2859</v>
      </c>
      <c r="B2645" s="5">
        <v>2638</v>
      </c>
      <c r="C2645">
        <v>7555</v>
      </c>
      <c r="D2645" t="s">
        <v>15589</v>
      </c>
      <c r="E2645" t="s">
        <v>15590</v>
      </c>
      <c r="F2645" t="s">
        <v>30</v>
      </c>
      <c r="G2645" t="s">
        <v>15591</v>
      </c>
      <c r="H2645">
        <v>22.3</v>
      </c>
      <c r="I2645">
        <v>0</v>
      </c>
      <c r="J2645">
        <v>0</v>
      </c>
      <c r="K2645">
        <v>0</v>
      </c>
      <c r="L2645">
        <v>14</v>
      </c>
      <c r="O2645">
        <v>14</v>
      </c>
      <c r="P2645">
        <v>0</v>
      </c>
      <c r="Q2645">
        <v>0</v>
      </c>
      <c r="R2645">
        <v>36.299999999999997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H2645">
        <v>36.299999999999997</v>
      </c>
    </row>
    <row r="2646" spans="1:34" x14ac:dyDescent="0.3">
      <c r="A2646" s="4">
        <v>2860</v>
      </c>
      <c r="B2646" s="5">
        <v>2639</v>
      </c>
      <c r="C2646">
        <v>10118</v>
      </c>
      <c r="D2646" t="s">
        <v>15592</v>
      </c>
      <c r="E2646" t="s">
        <v>15593</v>
      </c>
      <c r="F2646" t="s">
        <v>158</v>
      </c>
      <c r="G2646" t="s">
        <v>15594</v>
      </c>
      <c r="H2646">
        <v>18.3</v>
      </c>
      <c r="I2646">
        <v>0</v>
      </c>
      <c r="J2646">
        <v>0</v>
      </c>
      <c r="K2646">
        <v>0</v>
      </c>
      <c r="L2646">
        <v>7</v>
      </c>
      <c r="M2646">
        <v>5</v>
      </c>
      <c r="O2646">
        <v>12</v>
      </c>
      <c r="P2646">
        <v>4</v>
      </c>
      <c r="Q2646">
        <v>2</v>
      </c>
      <c r="R2646">
        <v>36.299999999999997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H2646">
        <v>36.299999999999997</v>
      </c>
    </row>
    <row r="2647" spans="1:34" x14ac:dyDescent="0.3">
      <c r="A2647" s="4">
        <v>2861</v>
      </c>
      <c r="B2647" s="5">
        <v>2640</v>
      </c>
      <c r="C2647">
        <v>4432</v>
      </c>
      <c r="D2647" t="s">
        <v>15595</v>
      </c>
      <c r="E2647" t="s">
        <v>749</v>
      </c>
      <c r="F2647" t="s">
        <v>328</v>
      </c>
      <c r="G2647" t="s">
        <v>15596</v>
      </c>
      <c r="H2647">
        <v>18.28</v>
      </c>
      <c r="I2647">
        <v>0</v>
      </c>
      <c r="J2647">
        <v>0</v>
      </c>
      <c r="K2647">
        <v>0</v>
      </c>
      <c r="M2647">
        <v>5</v>
      </c>
      <c r="N2647">
        <v>3</v>
      </c>
      <c r="O2647">
        <v>8</v>
      </c>
      <c r="P2647">
        <v>4</v>
      </c>
      <c r="Q2647">
        <v>0</v>
      </c>
      <c r="R2647">
        <v>30.28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6</v>
      </c>
      <c r="AC2647">
        <v>0</v>
      </c>
      <c r="AH2647">
        <v>36.28</v>
      </c>
    </row>
    <row r="2648" spans="1:34" x14ac:dyDescent="0.3">
      <c r="A2648" s="4">
        <v>2862</v>
      </c>
      <c r="B2648" s="5">
        <v>2641</v>
      </c>
      <c r="C2648">
        <v>13622</v>
      </c>
      <c r="D2648" t="s">
        <v>226</v>
      </c>
      <c r="E2648" t="s">
        <v>355</v>
      </c>
      <c r="F2648" t="s">
        <v>17</v>
      </c>
      <c r="G2648" t="s">
        <v>15597</v>
      </c>
      <c r="H2648">
        <v>21.28</v>
      </c>
      <c r="I2648">
        <v>0</v>
      </c>
      <c r="J2648">
        <v>0</v>
      </c>
      <c r="K2648">
        <v>0</v>
      </c>
      <c r="M2648">
        <v>5</v>
      </c>
      <c r="O2648">
        <v>5</v>
      </c>
      <c r="P2648">
        <v>4</v>
      </c>
      <c r="Q2648">
        <v>0</v>
      </c>
      <c r="R2648">
        <v>30.28</v>
      </c>
      <c r="S2648">
        <v>6</v>
      </c>
      <c r="T2648">
        <v>6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6</v>
      </c>
      <c r="AB2648">
        <v>0</v>
      </c>
      <c r="AC2648">
        <v>0</v>
      </c>
      <c r="AH2648">
        <v>36.28</v>
      </c>
    </row>
    <row r="2649" spans="1:34" x14ac:dyDescent="0.3">
      <c r="A2649" s="4">
        <v>2863</v>
      </c>
      <c r="B2649" s="5">
        <v>2642</v>
      </c>
      <c r="C2649">
        <v>1459</v>
      </c>
      <c r="D2649" t="s">
        <v>15598</v>
      </c>
      <c r="E2649" t="s">
        <v>41</v>
      </c>
      <c r="F2649" t="s">
        <v>136</v>
      </c>
      <c r="G2649" t="s">
        <v>15599</v>
      </c>
      <c r="H2649">
        <v>16.25</v>
      </c>
      <c r="I2649">
        <v>0</v>
      </c>
      <c r="J2649">
        <v>0</v>
      </c>
      <c r="K2649">
        <v>0</v>
      </c>
      <c r="L2649">
        <v>7</v>
      </c>
      <c r="O2649">
        <v>7</v>
      </c>
      <c r="P2649">
        <v>4</v>
      </c>
      <c r="Q2649">
        <v>0</v>
      </c>
      <c r="R2649">
        <v>27.25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9</v>
      </c>
      <c r="AC2649">
        <v>0</v>
      </c>
      <c r="AH2649">
        <v>36.25</v>
      </c>
    </row>
    <row r="2650" spans="1:34" x14ac:dyDescent="0.3">
      <c r="A2650" s="4">
        <v>2864</v>
      </c>
      <c r="B2650" s="5">
        <v>2643</v>
      </c>
      <c r="C2650">
        <v>14470</v>
      </c>
      <c r="D2650" t="s">
        <v>15600</v>
      </c>
      <c r="E2650" t="s">
        <v>26</v>
      </c>
      <c r="F2650" t="s">
        <v>17</v>
      </c>
      <c r="G2650" t="s">
        <v>15601</v>
      </c>
      <c r="H2650">
        <v>22.25</v>
      </c>
      <c r="I2650">
        <v>0</v>
      </c>
      <c r="J2650">
        <v>0</v>
      </c>
      <c r="K2650">
        <v>0</v>
      </c>
      <c r="L2650">
        <v>7</v>
      </c>
      <c r="N2650">
        <v>3</v>
      </c>
      <c r="O2650">
        <v>10</v>
      </c>
      <c r="P2650">
        <v>4</v>
      </c>
      <c r="Q2650">
        <v>0</v>
      </c>
      <c r="R2650">
        <v>36.25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H2650">
        <v>36.25</v>
      </c>
    </row>
    <row r="2651" spans="1:34" x14ac:dyDescent="0.3">
      <c r="A2651" s="4">
        <v>2865</v>
      </c>
      <c r="B2651" s="5">
        <v>2644</v>
      </c>
      <c r="C2651">
        <v>840</v>
      </c>
      <c r="D2651" t="s">
        <v>15602</v>
      </c>
      <c r="E2651" t="s">
        <v>4855</v>
      </c>
      <c r="F2651" t="s">
        <v>91</v>
      </c>
      <c r="G2651" t="s">
        <v>15603</v>
      </c>
      <c r="H2651">
        <v>20.25</v>
      </c>
      <c r="I2651">
        <v>0</v>
      </c>
      <c r="J2651">
        <v>0</v>
      </c>
      <c r="K2651">
        <v>0</v>
      </c>
      <c r="L2651">
        <v>7</v>
      </c>
      <c r="N2651">
        <v>3</v>
      </c>
      <c r="O2651">
        <v>10</v>
      </c>
      <c r="P2651">
        <v>4</v>
      </c>
      <c r="Q2651">
        <v>2</v>
      </c>
      <c r="R2651">
        <v>36.25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H2651">
        <v>36.25</v>
      </c>
    </row>
    <row r="2652" spans="1:34" x14ac:dyDescent="0.3">
      <c r="A2652" s="4">
        <v>2866</v>
      </c>
      <c r="B2652" s="5">
        <v>2645</v>
      </c>
      <c r="C2652">
        <v>14597</v>
      </c>
      <c r="D2652" t="s">
        <v>3434</v>
      </c>
      <c r="E2652" t="s">
        <v>182</v>
      </c>
      <c r="F2652" t="s">
        <v>136</v>
      </c>
      <c r="G2652" t="s">
        <v>15604</v>
      </c>
      <c r="H2652">
        <v>16.25</v>
      </c>
      <c r="I2652">
        <v>0</v>
      </c>
      <c r="J2652">
        <v>0</v>
      </c>
      <c r="K2652">
        <v>20</v>
      </c>
      <c r="O2652">
        <v>0</v>
      </c>
      <c r="P2652">
        <v>0</v>
      </c>
      <c r="Q2652">
        <v>0</v>
      </c>
      <c r="R2652">
        <v>36.25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H2652">
        <v>36.25</v>
      </c>
    </row>
    <row r="2653" spans="1:34" x14ac:dyDescent="0.3">
      <c r="A2653" s="4">
        <v>2867</v>
      </c>
      <c r="B2653" s="5">
        <v>2646</v>
      </c>
      <c r="C2653">
        <v>3565</v>
      </c>
      <c r="D2653" t="s">
        <v>15605</v>
      </c>
      <c r="E2653" t="s">
        <v>88</v>
      </c>
      <c r="F2653" t="s">
        <v>34</v>
      </c>
      <c r="G2653" t="s">
        <v>15606</v>
      </c>
      <c r="H2653">
        <v>22.2</v>
      </c>
      <c r="I2653">
        <v>0</v>
      </c>
      <c r="J2653">
        <v>0</v>
      </c>
      <c r="K2653">
        <v>0</v>
      </c>
      <c r="L2653">
        <v>7</v>
      </c>
      <c r="N2653">
        <v>3</v>
      </c>
      <c r="O2653">
        <v>10</v>
      </c>
      <c r="P2653">
        <v>4</v>
      </c>
      <c r="Q2653">
        <v>0</v>
      </c>
      <c r="R2653">
        <v>36.200000000000003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H2653">
        <v>36.200000000000003</v>
      </c>
    </row>
    <row r="2654" spans="1:34" x14ac:dyDescent="0.3">
      <c r="A2654" s="4">
        <v>2868</v>
      </c>
      <c r="B2654" s="5">
        <v>2647</v>
      </c>
      <c r="C2654">
        <v>12</v>
      </c>
      <c r="D2654" t="s">
        <v>15607</v>
      </c>
      <c r="E2654" t="s">
        <v>161</v>
      </c>
      <c r="F2654" t="s">
        <v>81</v>
      </c>
      <c r="G2654" t="s">
        <v>15608</v>
      </c>
      <c r="H2654">
        <v>22.2</v>
      </c>
      <c r="I2654">
        <v>0</v>
      </c>
      <c r="J2654">
        <v>0</v>
      </c>
      <c r="K2654">
        <v>0</v>
      </c>
      <c r="L2654">
        <v>7</v>
      </c>
      <c r="N2654">
        <v>3</v>
      </c>
      <c r="O2654">
        <v>10</v>
      </c>
      <c r="P2654">
        <v>4</v>
      </c>
      <c r="Q2654">
        <v>0</v>
      </c>
      <c r="R2654">
        <v>36.200000000000003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H2654">
        <v>36.200000000000003</v>
      </c>
    </row>
    <row r="2655" spans="1:34" x14ac:dyDescent="0.3">
      <c r="A2655" s="4">
        <v>2869</v>
      </c>
      <c r="B2655" s="5">
        <v>2648</v>
      </c>
      <c r="C2655">
        <v>12079</v>
      </c>
      <c r="D2655" t="s">
        <v>3996</v>
      </c>
      <c r="E2655" t="s">
        <v>789</v>
      </c>
      <c r="F2655" t="s">
        <v>136</v>
      </c>
      <c r="G2655" t="s">
        <v>15609</v>
      </c>
      <c r="H2655">
        <v>19.18</v>
      </c>
      <c r="I2655">
        <v>0</v>
      </c>
      <c r="J2655">
        <v>0</v>
      </c>
      <c r="K2655">
        <v>0</v>
      </c>
      <c r="M2655">
        <v>5</v>
      </c>
      <c r="O2655">
        <v>5</v>
      </c>
      <c r="P2655">
        <v>4</v>
      </c>
      <c r="Q2655">
        <v>2</v>
      </c>
      <c r="R2655">
        <v>30.18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6</v>
      </c>
      <c r="AC2655">
        <v>0</v>
      </c>
      <c r="AH2655">
        <v>36.18</v>
      </c>
    </row>
    <row r="2656" spans="1:34" x14ac:dyDescent="0.3">
      <c r="A2656" s="4">
        <v>2870</v>
      </c>
      <c r="B2656" s="5">
        <v>2649</v>
      </c>
      <c r="C2656">
        <v>7848</v>
      </c>
      <c r="D2656" t="s">
        <v>15610</v>
      </c>
      <c r="E2656" t="s">
        <v>15611</v>
      </c>
      <c r="F2656" t="s">
        <v>17</v>
      </c>
      <c r="G2656" t="s">
        <v>15612</v>
      </c>
      <c r="H2656">
        <v>19.18</v>
      </c>
      <c r="I2656">
        <v>0</v>
      </c>
      <c r="J2656">
        <v>0</v>
      </c>
      <c r="K2656">
        <v>0</v>
      </c>
      <c r="L2656">
        <v>7</v>
      </c>
      <c r="O2656">
        <v>7</v>
      </c>
      <c r="P2656">
        <v>4</v>
      </c>
      <c r="Q2656">
        <v>0</v>
      </c>
      <c r="R2656">
        <v>30.18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6</v>
      </c>
      <c r="AC2656">
        <v>0</v>
      </c>
      <c r="AH2656">
        <v>36.18</v>
      </c>
    </row>
    <row r="2657" spans="1:34" x14ac:dyDescent="0.3">
      <c r="A2657" s="4">
        <v>2871</v>
      </c>
      <c r="B2657" s="5">
        <v>2650</v>
      </c>
      <c r="C2657">
        <v>1943</v>
      </c>
      <c r="D2657" t="s">
        <v>7305</v>
      </c>
      <c r="E2657" t="s">
        <v>37</v>
      </c>
      <c r="F2657" t="s">
        <v>38</v>
      </c>
      <c r="G2657" t="s">
        <v>15613</v>
      </c>
      <c r="H2657">
        <v>20.18</v>
      </c>
      <c r="I2657">
        <v>0</v>
      </c>
      <c r="J2657">
        <v>0</v>
      </c>
      <c r="K2657">
        <v>0</v>
      </c>
      <c r="L2657">
        <v>7</v>
      </c>
      <c r="M2657">
        <v>5</v>
      </c>
      <c r="O2657">
        <v>12</v>
      </c>
      <c r="P2657">
        <v>4</v>
      </c>
      <c r="Q2657">
        <v>0</v>
      </c>
      <c r="R2657">
        <v>36.18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H2657">
        <v>36.18</v>
      </c>
    </row>
    <row r="2658" spans="1:34" x14ac:dyDescent="0.3">
      <c r="A2658" s="4">
        <v>2872</v>
      </c>
      <c r="B2658" s="5">
        <v>2651</v>
      </c>
      <c r="C2658">
        <v>2944</v>
      </c>
      <c r="D2658" t="s">
        <v>15614</v>
      </c>
      <c r="E2658" t="s">
        <v>1189</v>
      </c>
      <c r="F2658" t="s">
        <v>214</v>
      </c>
      <c r="G2658" t="s">
        <v>15615</v>
      </c>
      <c r="H2658">
        <v>18.18</v>
      </c>
      <c r="I2658">
        <v>0</v>
      </c>
      <c r="J2658">
        <v>0</v>
      </c>
      <c r="K2658">
        <v>0</v>
      </c>
      <c r="L2658">
        <v>14</v>
      </c>
      <c r="O2658">
        <v>14</v>
      </c>
      <c r="P2658">
        <v>4</v>
      </c>
      <c r="Q2658">
        <v>0</v>
      </c>
      <c r="R2658">
        <v>36.18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H2658">
        <v>36.18</v>
      </c>
    </row>
    <row r="2659" spans="1:34" x14ac:dyDescent="0.3">
      <c r="A2659" s="4">
        <v>2873</v>
      </c>
      <c r="B2659" s="5">
        <v>2652</v>
      </c>
      <c r="C2659">
        <v>8515</v>
      </c>
      <c r="D2659" t="s">
        <v>15616</v>
      </c>
      <c r="E2659" t="s">
        <v>22</v>
      </c>
      <c r="F2659" t="s">
        <v>30</v>
      </c>
      <c r="G2659" t="s">
        <v>15617</v>
      </c>
      <c r="H2659">
        <v>19.149999999999999</v>
      </c>
      <c r="I2659">
        <v>0</v>
      </c>
      <c r="J2659">
        <v>0</v>
      </c>
      <c r="K2659">
        <v>0</v>
      </c>
      <c r="L2659">
        <v>7</v>
      </c>
      <c r="O2659">
        <v>7</v>
      </c>
      <c r="P2659">
        <v>4</v>
      </c>
      <c r="Q2659">
        <v>0</v>
      </c>
      <c r="R2659">
        <v>30.15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6</v>
      </c>
      <c r="AC2659">
        <v>0</v>
      </c>
      <c r="AH2659">
        <v>36.15</v>
      </c>
    </row>
    <row r="2660" spans="1:34" x14ac:dyDescent="0.3">
      <c r="A2660" s="4">
        <v>2874</v>
      </c>
      <c r="B2660" s="5">
        <v>2653</v>
      </c>
      <c r="C2660">
        <v>14228</v>
      </c>
      <c r="D2660" t="s">
        <v>1878</v>
      </c>
      <c r="E2660" t="s">
        <v>789</v>
      </c>
      <c r="F2660" t="s">
        <v>20</v>
      </c>
      <c r="G2660" t="s">
        <v>15618</v>
      </c>
      <c r="H2660">
        <v>22.15</v>
      </c>
      <c r="I2660">
        <v>0</v>
      </c>
      <c r="J2660">
        <v>0</v>
      </c>
      <c r="K2660">
        <v>0</v>
      </c>
      <c r="L2660">
        <v>7</v>
      </c>
      <c r="N2660">
        <v>3</v>
      </c>
      <c r="O2660">
        <v>10</v>
      </c>
      <c r="P2660">
        <v>4</v>
      </c>
      <c r="Q2660">
        <v>0</v>
      </c>
      <c r="R2660">
        <v>36.15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H2660">
        <v>36.15</v>
      </c>
    </row>
    <row r="2661" spans="1:34" x14ac:dyDescent="0.3">
      <c r="A2661" s="4">
        <v>2875</v>
      </c>
      <c r="B2661" s="5">
        <v>2654</v>
      </c>
      <c r="C2661">
        <v>7414</v>
      </c>
      <c r="D2661" t="s">
        <v>14361</v>
      </c>
      <c r="E2661" t="s">
        <v>54</v>
      </c>
      <c r="F2661" t="s">
        <v>136</v>
      </c>
      <c r="G2661" t="s">
        <v>15619</v>
      </c>
      <c r="H2661">
        <v>18.149999999999999</v>
      </c>
      <c r="I2661">
        <v>0</v>
      </c>
      <c r="J2661">
        <v>0</v>
      </c>
      <c r="K2661">
        <v>0</v>
      </c>
      <c r="L2661">
        <v>7</v>
      </c>
      <c r="M2661">
        <v>5</v>
      </c>
      <c r="O2661">
        <v>12</v>
      </c>
      <c r="P2661">
        <v>4</v>
      </c>
      <c r="Q2661">
        <v>2</v>
      </c>
      <c r="R2661">
        <v>36.15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H2661">
        <v>36.15</v>
      </c>
    </row>
    <row r="2662" spans="1:34" x14ac:dyDescent="0.3">
      <c r="A2662" s="4">
        <v>2876</v>
      </c>
      <c r="B2662" s="5">
        <v>2655</v>
      </c>
      <c r="C2662">
        <v>2458</v>
      </c>
      <c r="D2662" t="s">
        <v>15620</v>
      </c>
      <c r="E2662" t="s">
        <v>268</v>
      </c>
      <c r="F2662" t="s">
        <v>23</v>
      </c>
      <c r="G2662" t="s">
        <v>15621</v>
      </c>
      <c r="H2662">
        <v>22.13</v>
      </c>
      <c r="I2662">
        <v>0</v>
      </c>
      <c r="J2662">
        <v>0</v>
      </c>
      <c r="K2662">
        <v>0</v>
      </c>
      <c r="L2662">
        <v>7</v>
      </c>
      <c r="N2662">
        <v>3</v>
      </c>
      <c r="O2662">
        <v>10</v>
      </c>
      <c r="P2662">
        <v>4</v>
      </c>
      <c r="Q2662">
        <v>0</v>
      </c>
      <c r="R2662">
        <v>36.130000000000003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H2662">
        <v>36.130000000000003</v>
      </c>
    </row>
    <row r="2663" spans="1:34" x14ac:dyDescent="0.3">
      <c r="A2663" s="4">
        <v>2877</v>
      </c>
      <c r="B2663" s="5">
        <v>2656</v>
      </c>
      <c r="C2663">
        <v>8617</v>
      </c>
      <c r="D2663" t="s">
        <v>15622</v>
      </c>
      <c r="E2663" t="s">
        <v>355</v>
      </c>
      <c r="F2663" t="s">
        <v>17</v>
      </c>
      <c r="G2663" t="s">
        <v>15623</v>
      </c>
      <c r="H2663">
        <v>20.13</v>
      </c>
      <c r="I2663">
        <v>0</v>
      </c>
      <c r="J2663">
        <v>0</v>
      </c>
      <c r="K2663">
        <v>0</v>
      </c>
      <c r="L2663">
        <v>7</v>
      </c>
      <c r="M2663">
        <v>5</v>
      </c>
      <c r="O2663">
        <v>12</v>
      </c>
      <c r="P2663">
        <v>4</v>
      </c>
      <c r="Q2663">
        <v>0</v>
      </c>
      <c r="R2663">
        <v>36.130000000000003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H2663">
        <v>36.130000000000003</v>
      </c>
    </row>
    <row r="2664" spans="1:34" x14ac:dyDescent="0.3">
      <c r="A2664" s="4">
        <v>2878</v>
      </c>
      <c r="B2664" s="5">
        <v>2657</v>
      </c>
      <c r="C2664">
        <v>4814</v>
      </c>
      <c r="D2664" t="s">
        <v>15624</v>
      </c>
      <c r="E2664" t="s">
        <v>29</v>
      </c>
      <c r="F2664" t="s">
        <v>34</v>
      </c>
      <c r="G2664" t="s">
        <v>15625</v>
      </c>
      <c r="H2664">
        <v>19.13</v>
      </c>
      <c r="I2664">
        <v>0</v>
      </c>
      <c r="J2664">
        <v>0</v>
      </c>
      <c r="K2664">
        <v>0</v>
      </c>
      <c r="L2664">
        <v>7</v>
      </c>
      <c r="O2664">
        <v>7</v>
      </c>
      <c r="P2664">
        <v>4</v>
      </c>
      <c r="Q2664">
        <v>0</v>
      </c>
      <c r="R2664">
        <v>30.13</v>
      </c>
      <c r="S2664">
        <v>6</v>
      </c>
      <c r="T2664">
        <v>6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6</v>
      </c>
      <c r="AB2664">
        <v>0</v>
      </c>
      <c r="AC2664">
        <v>0</v>
      </c>
      <c r="AH2664">
        <v>36.130000000000003</v>
      </c>
    </row>
    <row r="2665" spans="1:34" x14ac:dyDescent="0.3">
      <c r="A2665" s="4">
        <v>2879</v>
      </c>
      <c r="B2665" s="5">
        <v>2658</v>
      </c>
      <c r="C2665">
        <v>13634</v>
      </c>
      <c r="D2665" t="s">
        <v>15626</v>
      </c>
      <c r="E2665" t="s">
        <v>54</v>
      </c>
      <c r="F2665" t="s">
        <v>2582</v>
      </c>
      <c r="G2665" t="s">
        <v>15627</v>
      </c>
      <c r="H2665">
        <v>17.13</v>
      </c>
      <c r="I2665">
        <v>0</v>
      </c>
      <c r="J2665">
        <v>0</v>
      </c>
      <c r="K2665">
        <v>0</v>
      </c>
      <c r="L2665">
        <v>7</v>
      </c>
      <c r="O2665">
        <v>7</v>
      </c>
      <c r="P2665">
        <v>0</v>
      </c>
      <c r="Q2665">
        <v>2</v>
      </c>
      <c r="R2665">
        <v>26.13</v>
      </c>
      <c r="S2665">
        <v>10</v>
      </c>
      <c r="T2665">
        <v>10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10</v>
      </c>
      <c r="AB2665">
        <v>0</v>
      </c>
      <c r="AC2665">
        <v>0</v>
      </c>
      <c r="AH2665">
        <v>36.130000000000003</v>
      </c>
    </row>
    <row r="2666" spans="1:34" x14ac:dyDescent="0.3">
      <c r="A2666" s="4">
        <v>2880</v>
      </c>
      <c r="B2666" s="5">
        <v>2659</v>
      </c>
      <c r="C2666">
        <v>6409</v>
      </c>
      <c r="D2666" t="s">
        <v>9536</v>
      </c>
      <c r="E2666" t="s">
        <v>2044</v>
      </c>
      <c r="F2666" t="s">
        <v>15628</v>
      </c>
      <c r="G2666" t="s">
        <v>15629</v>
      </c>
      <c r="H2666">
        <v>23.08</v>
      </c>
      <c r="I2666">
        <v>0</v>
      </c>
      <c r="J2666">
        <v>0</v>
      </c>
      <c r="K2666">
        <v>0</v>
      </c>
      <c r="L2666">
        <v>7</v>
      </c>
      <c r="O2666">
        <v>7</v>
      </c>
      <c r="P2666">
        <v>0</v>
      </c>
      <c r="Q2666">
        <v>0</v>
      </c>
      <c r="R2666">
        <v>30.08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6</v>
      </c>
      <c r="AC2666">
        <v>0</v>
      </c>
      <c r="AH2666">
        <v>36.08</v>
      </c>
    </row>
    <row r="2667" spans="1:34" x14ac:dyDescent="0.3">
      <c r="A2667" s="4">
        <v>2881</v>
      </c>
      <c r="B2667" s="5">
        <v>2660</v>
      </c>
      <c r="C2667">
        <v>11465</v>
      </c>
      <c r="D2667" t="s">
        <v>3033</v>
      </c>
      <c r="E2667" t="s">
        <v>15630</v>
      </c>
      <c r="F2667" t="s">
        <v>1854</v>
      </c>
      <c r="G2667" t="s">
        <v>15631</v>
      </c>
      <c r="H2667">
        <v>20.079999999999998</v>
      </c>
      <c r="I2667">
        <v>0</v>
      </c>
      <c r="J2667">
        <v>0</v>
      </c>
      <c r="K2667">
        <v>0</v>
      </c>
      <c r="L2667">
        <v>7</v>
      </c>
      <c r="M2667">
        <v>5</v>
      </c>
      <c r="O2667">
        <v>12</v>
      </c>
      <c r="P2667">
        <v>4</v>
      </c>
      <c r="Q2667">
        <v>0</v>
      </c>
      <c r="R2667">
        <v>36.08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H2667">
        <v>36.08</v>
      </c>
    </row>
    <row r="2668" spans="1:34" x14ac:dyDescent="0.3">
      <c r="A2668" s="4">
        <v>2882</v>
      </c>
      <c r="B2668" s="5">
        <v>2661</v>
      </c>
      <c r="C2668">
        <v>5795</v>
      </c>
      <c r="D2668" t="s">
        <v>15632</v>
      </c>
      <c r="E2668" t="s">
        <v>15633</v>
      </c>
      <c r="F2668" t="s">
        <v>15634</v>
      </c>
      <c r="G2668" t="s">
        <v>15635</v>
      </c>
      <c r="H2668">
        <v>18.079999999999998</v>
      </c>
      <c r="I2668">
        <v>0</v>
      </c>
      <c r="J2668">
        <v>0</v>
      </c>
      <c r="K2668">
        <v>0</v>
      </c>
      <c r="L2668">
        <v>14</v>
      </c>
      <c r="O2668">
        <v>14</v>
      </c>
      <c r="P2668">
        <v>4</v>
      </c>
      <c r="Q2668">
        <v>0</v>
      </c>
      <c r="R2668">
        <v>36.08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H2668">
        <v>36.08</v>
      </c>
    </row>
    <row r="2669" spans="1:34" x14ac:dyDescent="0.3">
      <c r="A2669" s="4">
        <v>2883</v>
      </c>
      <c r="B2669" s="5">
        <v>2662</v>
      </c>
      <c r="C2669">
        <v>4641</v>
      </c>
      <c r="D2669" t="s">
        <v>15636</v>
      </c>
      <c r="E2669" t="s">
        <v>255</v>
      </c>
      <c r="F2669" t="s">
        <v>626</v>
      </c>
      <c r="G2669" t="s">
        <v>15637</v>
      </c>
      <c r="H2669">
        <v>18.05</v>
      </c>
      <c r="I2669">
        <v>0</v>
      </c>
      <c r="J2669">
        <v>0</v>
      </c>
      <c r="K2669">
        <v>0</v>
      </c>
      <c r="L2669">
        <v>7</v>
      </c>
      <c r="M2669">
        <v>5</v>
      </c>
      <c r="O2669">
        <v>12</v>
      </c>
      <c r="P2669">
        <v>4</v>
      </c>
      <c r="Q2669">
        <v>2</v>
      </c>
      <c r="R2669">
        <v>36.049999999999997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H2669">
        <v>36.049999999999997</v>
      </c>
    </row>
    <row r="2670" spans="1:34" x14ac:dyDescent="0.3">
      <c r="A2670" s="4">
        <v>2884</v>
      </c>
      <c r="B2670" s="5">
        <v>2663</v>
      </c>
      <c r="C2670">
        <v>3118</v>
      </c>
      <c r="D2670" t="s">
        <v>15638</v>
      </c>
      <c r="E2670" t="s">
        <v>8150</v>
      </c>
      <c r="F2670" t="s">
        <v>4873</v>
      </c>
      <c r="G2670" t="s">
        <v>15639</v>
      </c>
      <c r="H2670">
        <v>18.03</v>
      </c>
      <c r="I2670">
        <v>0</v>
      </c>
      <c r="J2670">
        <v>0</v>
      </c>
      <c r="K2670">
        <v>0</v>
      </c>
      <c r="N2670">
        <v>3</v>
      </c>
      <c r="O2670">
        <v>3</v>
      </c>
      <c r="P2670">
        <v>4</v>
      </c>
      <c r="Q2670">
        <v>2</v>
      </c>
      <c r="R2670">
        <v>27.03</v>
      </c>
      <c r="S2670">
        <v>6</v>
      </c>
      <c r="T2670">
        <v>6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6</v>
      </c>
      <c r="AB2670">
        <v>3</v>
      </c>
      <c r="AC2670">
        <v>0</v>
      </c>
      <c r="AH2670">
        <v>36.03</v>
      </c>
    </row>
    <row r="2671" spans="1:34" x14ac:dyDescent="0.3">
      <c r="A2671" s="4">
        <v>2885</v>
      </c>
      <c r="B2671" s="5">
        <v>2664</v>
      </c>
      <c r="C2671">
        <v>15335</v>
      </c>
      <c r="D2671" t="s">
        <v>15640</v>
      </c>
      <c r="E2671" t="s">
        <v>17</v>
      </c>
      <c r="F2671" t="s">
        <v>81</v>
      </c>
      <c r="G2671" t="s">
        <v>15641</v>
      </c>
      <c r="H2671">
        <v>22.03</v>
      </c>
      <c r="I2671">
        <v>0</v>
      </c>
      <c r="J2671">
        <v>0</v>
      </c>
      <c r="K2671">
        <v>0</v>
      </c>
      <c r="L2671">
        <v>7</v>
      </c>
      <c r="N2671">
        <v>3</v>
      </c>
      <c r="O2671">
        <v>10</v>
      </c>
      <c r="P2671">
        <v>4</v>
      </c>
      <c r="Q2671">
        <v>0</v>
      </c>
      <c r="R2671">
        <v>36.03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H2671">
        <v>36.03</v>
      </c>
    </row>
    <row r="2672" spans="1:34" x14ac:dyDescent="0.3">
      <c r="A2672" s="4">
        <v>2886</v>
      </c>
      <c r="B2672" s="5">
        <v>2665</v>
      </c>
      <c r="C2672">
        <v>4739</v>
      </c>
      <c r="D2672" t="s">
        <v>15642</v>
      </c>
      <c r="E2672" t="s">
        <v>110</v>
      </c>
      <c r="F2672" t="s">
        <v>158</v>
      </c>
      <c r="G2672" t="s">
        <v>15643</v>
      </c>
      <c r="H2672">
        <v>20</v>
      </c>
      <c r="I2672">
        <v>0</v>
      </c>
      <c r="J2672">
        <v>0</v>
      </c>
      <c r="K2672">
        <v>0</v>
      </c>
      <c r="L2672">
        <v>7</v>
      </c>
      <c r="N2672">
        <v>3</v>
      </c>
      <c r="O2672">
        <v>10</v>
      </c>
      <c r="P2672">
        <v>4</v>
      </c>
      <c r="Q2672">
        <v>2</v>
      </c>
      <c r="R2672">
        <v>36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H2672">
        <v>36</v>
      </c>
    </row>
    <row r="2673" spans="1:34" x14ac:dyDescent="0.3">
      <c r="A2673" s="4">
        <v>2887</v>
      </c>
      <c r="B2673" s="5">
        <v>2666</v>
      </c>
      <c r="C2673">
        <v>3714</v>
      </c>
      <c r="D2673" t="s">
        <v>15644</v>
      </c>
      <c r="E2673" t="s">
        <v>29</v>
      </c>
      <c r="F2673" t="s">
        <v>136</v>
      </c>
      <c r="G2673" t="s">
        <v>15645</v>
      </c>
      <c r="H2673">
        <v>20</v>
      </c>
      <c r="I2673">
        <v>0</v>
      </c>
      <c r="J2673">
        <v>0</v>
      </c>
      <c r="K2673">
        <v>0</v>
      </c>
      <c r="L2673">
        <v>7</v>
      </c>
      <c r="N2673">
        <v>3</v>
      </c>
      <c r="O2673">
        <v>10</v>
      </c>
      <c r="P2673">
        <v>4</v>
      </c>
      <c r="Q2673">
        <v>2</v>
      </c>
      <c r="R2673">
        <v>36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H2673">
        <v>36</v>
      </c>
    </row>
    <row r="2674" spans="1:34" x14ac:dyDescent="0.3">
      <c r="A2674" s="4">
        <v>2888</v>
      </c>
      <c r="B2674" s="5">
        <v>2667</v>
      </c>
      <c r="C2674">
        <v>12910</v>
      </c>
      <c r="D2674" t="s">
        <v>12793</v>
      </c>
      <c r="E2674" t="s">
        <v>54</v>
      </c>
      <c r="F2674" t="s">
        <v>17</v>
      </c>
      <c r="G2674" t="s">
        <v>15646</v>
      </c>
      <c r="H2674">
        <v>18</v>
      </c>
      <c r="I2674">
        <v>0</v>
      </c>
      <c r="J2674">
        <v>0</v>
      </c>
      <c r="K2674">
        <v>0</v>
      </c>
      <c r="L2674">
        <v>7</v>
      </c>
      <c r="O2674">
        <v>7</v>
      </c>
      <c r="P2674">
        <v>4</v>
      </c>
      <c r="Q2674">
        <v>2</v>
      </c>
      <c r="R2674">
        <v>31</v>
      </c>
      <c r="S2674">
        <v>5</v>
      </c>
      <c r="T2674">
        <v>5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5</v>
      </c>
      <c r="AB2674">
        <v>0</v>
      </c>
      <c r="AC2674">
        <v>0</v>
      </c>
      <c r="AH2674">
        <v>36</v>
      </c>
    </row>
    <row r="2675" spans="1:34" x14ac:dyDescent="0.3">
      <c r="A2675" s="4">
        <v>2889</v>
      </c>
      <c r="B2675" s="5">
        <v>2668</v>
      </c>
      <c r="C2675">
        <v>8447</v>
      </c>
      <c r="D2675" t="s">
        <v>1585</v>
      </c>
      <c r="E2675" t="s">
        <v>255</v>
      </c>
      <c r="F2675" t="s">
        <v>17</v>
      </c>
      <c r="G2675" t="s">
        <v>15647</v>
      </c>
      <c r="H2675">
        <v>16</v>
      </c>
      <c r="I2675">
        <v>0</v>
      </c>
      <c r="J2675">
        <v>0</v>
      </c>
      <c r="K2675">
        <v>0</v>
      </c>
      <c r="N2675">
        <v>3</v>
      </c>
      <c r="O2675">
        <v>3</v>
      </c>
      <c r="P2675">
        <v>4</v>
      </c>
      <c r="Q2675">
        <v>2</v>
      </c>
      <c r="R2675">
        <v>25</v>
      </c>
      <c r="S2675">
        <v>11</v>
      </c>
      <c r="T2675">
        <v>11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11</v>
      </c>
      <c r="AB2675">
        <v>0</v>
      </c>
      <c r="AC2675">
        <v>0</v>
      </c>
      <c r="AH2675">
        <v>36</v>
      </c>
    </row>
    <row r="2676" spans="1:34" x14ac:dyDescent="0.3">
      <c r="A2676" s="4">
        <v>2890</v>
      </c>
      <c r="B2676" s="5">
        <v>2669</v>
      </c>
      <c r="C2676">
        <v>10884</v>
      </c>
      <c r="D2676" t="s">
        <v>15648</v>
      </c>
      <c r="E2676" t="s">
        <v>1019</v>
      </c>
      <c r="F2676" t="s">
        <v>62</v>
      </c>
      <c r="G2676" t="s">
        <v>15649</v>
      </c>
      <c r="H2676">
        <v>16.98</v>
      </c>
      <c r="I2676">
        <v>0</v>
      </c>
      <c r="J2676">
        <v>0</v>
      </c>
      <c r="K2676">
        <v>0</v>
      </c>
      <c r="L2676">
        <v>7</v>
      </c>
      <c r="O2676">
        <v>7</v>
      </c>
      <c r="P2676">
        <v>4</v>
      </c>
      <c r="Q2676">
        <v>2</v>
      </c>
      <c r="R2676">
        <v>29.98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6</v>
      </c>
      <c r="AC2676">
        <v>0</v>
      </c>
      <c r="AH2676">
        <v>35.979999999999997</v>
      </c>
    </row>
    <row r="2677" spans="1:34" x14ac:dyDescent="0.3">
      <c r="A2677" s="4">
        <v>2891</v>
      </c>
      <c r="B2677" s="5">
        <v>2670</v>
      </c>
      <c r="C2677">
        <v>14059</v>
      </c>
      <c r="D2677" t="s">
        <v>15650</v>
      </c>
      <c r="E2677" t="s">
        <v>104</v>
      </c>
      <c r="F2677" t="s">
        <v>587</v>
      </c>
      <c r="G2677" t="s">
        <v>15651</v>
      </c>
      <c r="H2677">
        <v>21.98</v>
      </c>
      <c r="I2677">
        <v>0</v>
      </c>
      <c r="J2677">
        <v>0</v>
      </c>
      <c r="K2677">
        <v>0</v>
      </c>
      <c r="L2677">
        <v>7</v>
      </c>
      <c r="N2677">
        <v>3</v>
      </c>
      <c r="O2677">
        <v>10</v>
      </c>
      <c r="P2677">
        <v>4</v>
      </c>
      <c r="Q2677">
        <v>0</v>
      </c>
      <c r="R2677">
        <v>35.979999999999997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H2677">
        <v>35.979999999999997</v>
      </c>
    </row>
    <row r="2678" spans="1:34" x14ac:dyDescent="0.3">
      <c r="A2678" s="4">
        <v>2892</v>
      </c>
      <c r="B2678" s="5">
        <v>2671</v>
      </c>
      <c r="C2678">
        <v>11342</v>
      </c>
      <c r="D2678" t="s">
        <v>15652</v>
      </c>
      <c r="E2678" t="s">
        <v>15653</v>
      </c>
      <c r="F2678" t="s">
        <v>15654</v>
      </c>
      <c r="G2678" t="s">
        <v>15655</v>
      </c>
      <c r="H2678">
        <v>21.98</v>
      </c>
      <c r="I2678">
        <v>0</v>
      </c>
      <c r="J2678">
        <v>0</v>
      </c>
      <c r="K2678">
        <v>0</v>
      </c>
      <c r="L2678">
        <v>7</v>
      </c>
      <c r="N2678">
        <v>3</v>
      </c>
      <c r="O2678">
        <v>10</v>
      </c>
      <c r="P2678">
        <v>4</v>
      </c>
      <c r="Q2678">
        <v>0</v>
      </c>
      <c r="R2678">
        <v>35.979999999999997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H2678">
        <v>35.979999999999997</v>
      </c>
    </row>
    <row r="2679" spans="1:34" x14ac:dyDescent="0.3">
      <c r="A2679" s="4">
        <v>2893</v>
      </c>
      <c r="B2679" s="5">
        <v>2672</v>
      </c>
      <c r="C2679">
        <v>3864</v>
      </c>
      <c r="D2679" t="s">
        <v>15656</v>
      </c>
      <c r="E2679" t="s">
        <v>406</v>
      </c>
      <c r="F2679" t="s">
        <v>878</v>
      </c>
      <c r="G2679" t="s">
        <v>15657</v>
      </c>
      <c r="H2679">
        <v>17.95</v>
      </c>
      <c r="I2679">
        <v>0</v>
      </c>
      <c r="J2679">
        <v>0</v>
      </c>
      <c r="K2679">
        <v>0</v>
      </c>
      <c r="L2679">
        <v>14</v>
      </c>
      <c r="O2679">
        <v>14</v>
      </c>
      <c r="P2679">
        <v>4</v>
      </c>
      <c r="Q2679">
        <v>0</v>
      </c>
      <c r="R2679">
        <v>35.950000000000003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H2679">
        <v>35.950000000000003</v>
      </c>
    </row>
    <row r="2680" spans="1:34" x14ac:dyDescent="0.3">
      <c r="A2680" s="4">
        <v>2894</v>
      </c>
      <c r="B2680" s="5">
        <v>2673</v>
      </c>
      <c r="C2680">
        <v>7672</v>
      </c>
      <c r="D2680" t="s">
        <v>11425</v>
      </c>
      <c r="E2680" t="s">
        <v>33</v>
      </c>
      <c r="F2680" t="s">
        <v>17</v>
      </c>
      <c r="G2680" t="s">
        <v>15658</v>
      </c>
      <c r="H2680">
        <v>22.9</v>
      </c>
      <c r="I2680">
        <v>0</v>
      </c>
      <c r="J2680">
        <v>0</v>
      </c>
      <c r="K2680">
        <v>0</v>
      </c>
      <c r="L2680">
        <v>7</v>
      </c>
      <c r="O2680">
        <v>7</v>
      </c>
      <c r="P2680">
        <v>4</v>
      </c>
      <c r="Q2680">
        <v>2</v>
      </c>
      <c r="R2680">
        <v>35.9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H2680">
        <v>35.9</v>
      </c>
    </row>
    <row r="2681" spans="1:34" x14ac:dyDescent="0.3">
      <c r="A2681" s="4">
        <v>2895</v>
      </c>
      <c r="B2681" s="5">
        <v>2674</v>
      </c>
      <c r="C2681">
        <v>418</v>
      </c>
      <c r="D2681" t="s">
        <v>775</v>
      </c>
      <c r="E2681" t="s">
        <v>208</v>
      </c>
      <c r="F2681" t="s">
        <v>20</v>
      </c>
      <c r="G2681" t="s">
        <v>32059</v>
      </c>
      <c r="H2681">
        <v>19.899999999999999</v>
      </c>
      <c r="I2681">
        <v>0</v>
      </c>
      <c r="J2681">
        <v>0</v>
      </c>
      <c r="K2681">
        <v>0</v>
      </c>
      <c r="L2681">
        <v>14</v>
      </c>
      <c r="O2681">
        <v>14</v>
      </c>
      <c r="P2681">
        <v>0</v>
      </c>
      <c r="Q2681">
        <v>2</v>
      </c>
      <c r="R2681">
        <v>35.9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H2681">
        <v>35.9</v>
      </c>
    </row>
    <row r="2682" spans="1:34" x14ac:dyDescent="0.3">
      <c r="A2682" s="4">
        <v>2896</v>
      </c>
      <c r="B2682" s="5">
        <v>2675</v>
      </c>
      <c r="C2682">
        <v>6065</v>
      </c>
      <c r="D2682" t="s">
        <v>15659</v>
      </c>
      <c r="E2682" t="s">
        <v>170</v>
      </c>
      <c r="F2682" t="s">
        <v>171</v>
      </c>
      <c r="G2682" t="s">
        <v>15660</v>
      </c>
      <c r="H2682">
        <v>16.899999999999999</v>
      </c>
      <c r="I2682">
        <v>0</v>
      </c>
      <c r="J2682">
        <v>0</v>
      </c>
      <c r="K2682">
        <v>0</v>
      </c>
      <c r="N2682">
        <v>3</v>
      </c>
      <c r="O2682">
        <v>3</v>
      </c>
      <c r="P2682">
        <v>4</v>
      </c>
      <c r="Q2682">
        <v>2</v>
      </c>
      <c r="R2682">
        <v>25.9</v>
      </c>
      <c r="S2682">
        <v>10</v>
      </c>
      <c r="T2682">
        <v>10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10</v>
      </c>
      <c r="AB2682">
        <v>0</v>
      </c>
      <c r="AC2682">
        <v>0</v>
      </c>
      <c r="AH2682">
        <v>35.9</v>
      </c>
    </row>
    <row r="2683" spans="1:34" x14ac:dyDescent="0.3">
      <c r="A2683" s="4">
        <v>2897</v>
      </c>
      <c r="B2683" s="5">
        <v>2676</v>
      </c>
      <c r="C2683">
        <v>9139</v>
      </c>
      <c r="D2683" t="s">
        <v>15661</v>
      </c>
      <c r="E2683" t="s">
        <v>1280</v>
      </c>
      <c r="F2683" t="s">
        <v>136</v>
      </c>
      <c r="G2683" t="s">
        <v>15662</v>
      </c>
      <c r="H2683">
        <v>22.88</v>
      </c>
      <c r="I2683">
        <v>0</v>
      </c>
      <c r="J2683">
        <v>0</v>
      </c>
      <c r="K2683">
        <v>0</v>
      </c>
      <c r="L2683">
        <v>7</v>
      </c>
      <c r="O2683">
        <v>7</v>
      </c>
      <c r="P2683">
        <v>4</v>
      </c>
      <c r="Q2683">
        <v>2</v>
      </c>
      <c r="R2683">
        <v>35.880000000000003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H2683">
        <v>35.880000000000003</v>
      </c>
    </row>
    <row r="2684" spans="1:34" x14ac:dyDescent="0.3">
      <c r="A2684" s="4">
        <v>2898</v>
      </c>
      <c r="B2684" s="5">
        <v>2677</v>
      </c>
      <c r="C2684">
        <v>15450</v>
      </c>
      <c r="D2684" t="s">
        <v>15663</v>
      </c>
      <c r="E2684" t="s">
        <v>1016</v>
      </c>
      <c r="F2684" t="s">
        <v>55</v>
      </c>
      <c r="G2684" t="s">
        <v>15664</v>
      </c>
      <c r="H2684">
        <v>19.88</v>
      </c>
      <c r="I2684">
        <v>0</v>
      </c>
      <c r="J2684">
        <v>0</v>
      </c>
      <c r="K2684">
        <v>0</v>
      </c>
      <c r="L2684">
        <v>7</v>
      </c>
      <c r="M2684">
        <v>5</v>
      </c>
      <c r="O2684">
        <v>12</v>
      </c>
      <c r="P2684">
        <v>4</v>
      </c>
      <c r="Q2684">
        <v>0</v>
      </c>
      <c r="R2684">
        <v>35.880000000000003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H2684">
        <v>35.880000000000003</v>
      </c>
    </row>
    <row r="2685" spans="1:34" x14ac:dyDescent="0.3">
      <c r="A2685" s="4">
        <v>2899</v>
      </c>
      <c r="B2685" s="5">
        <v>2678</v>
      </c>
      <c r="C2685">
        <v>3186</v>
      </c>
      <c r="D2685" t="s">
        <v>5824</v>
      </c>
      <c r="E2685" t="s">
        <v>110</v>
      </c>
      <c r="F2685" t="s">
        <v>892</v>
      </c>
      <c r="G2685" t="s">
        <v>15665</v>
      </c>
      <c r="H2685">
        <v>21.85</v>
      </c>
      <c r="I2685">
        <v>0</v>
      </c>
      <c r="J2685">
        <v>0</v>
      </c>
      <c r="K2685">
        <v>0</v>
      </c>
      <c r="L2685">
        <v>7</v>
      </c>
      <c r="N2685">
        <v>3</v>
      </c>
      <c r="O2685">
        <v>10</v>
      </c>
      <c r="P2685">
        <v>4</v>
      </c>
      <c r="Q2685">
        <v>0</v>
      </c>
      <c r="R2685">
        <v>35.85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H2685">
        <v>35.85</v>
      </c>
    </row>
    <row r="2686" spans="1:34" x14ac:dyDescent="0.3">
      <c r="A2686" s="4">
        <v>2900</v>
      </c>
      <c r="B2686" s="5">
        <v>2679</v>
      </c>
      <c r="C2686">
        <v>4428</v>
      </c>
      <c r="D2686" t="s">
        <v>15666</v>
      </c>
      <c r="E2686" t="s">
        <v>33</v>
      </c>
      <c r="F2686" t="s">
        <v>238</v>
      </c>
      <c r="G2686" t="s">
        <v>15667</v>
      </c>
      <c r="H2686">
        <v>18.829999999999998</v>
      </c>
      <c r="I2686">
        <v>0</v>
      </c>
      <c r="J2686">
        <v>0</v>
      </c>
      <c r="K2686">
        <v>0</v>
      </c>
      <c r="L2686">
        <v>7</v>
      </c>
      <c r="O2686">
        <v>7</v>
      </c>
      <c r="P2686">
        <v>4</v>
      </c>
      <c r="Q2686">
        <v>0</v>
      </c>
      <c r="R2686">
        <v>29.83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6</v>
      </c>
      <c r="AC2686">
        <v>0</v>
      </c>
      <c r="AH2686">
        <v>35.83</v>
      </c>
    </row>
    <row r="2687" spans="1:34" x14ac:dyDescent="0.3">
      <c r="A2687" s="4">
        <v>2901</v>
      </c>
      <c r="B2687" s="5">
        <v>2680</v>
      </c>
      <c r="C2687">
        <v>8666</v>
      </c>
      <c r="D2687" t="s">
        <v>15668</v>
      </c>
      <c r="E2687" t="s">
        <v>4362</v>
      </c>
      <c r="F2687" t="s">
        <v>38</v>
      </c>
      <c r="G2687" t="s">
        <v>15669</v>
      </c>
      <c r="H2687">
        <v>21.83</v>
      </c>
      <c r="I2687">
        <v>0</v>
      </c>
      <c r="J2687">
        <v>0</v>
      </c>
      <c r="K2687">
        <v>0</v>
      </c>
      <c r="L2687">
        <v>7</v>
      </c>
      <c r="N2687">
        <v>3</v>
      </c>
      <c r="O2687">
        <v>10</v>
      </c>
      <c r="P2687">
        <v>4</v>
      </c>
      <c r="Q2687">
        <v>0</v>
      </c>
      <c r="R2687">
        <v>35.83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H2687">
        <v>35.83</v>
      </c>
    </row>
    <row r="2688" spans="1:34" x14ac:dyDescent="0.3">
      <c r="A2688" s="4">
        <v>2902</v>
      </c>
      <c r="B2688" s="5">
        <v>2681</v>
      </c>
      <c r="C2688">
        <v>8687</v>
      </c>
      <c r="D2688" t="s">
        <v>5008</v>
      </c>
      <c r="E2688" t="s">
        <v>22</v>
      </c>
      <c r="F2688" t="s">
        <v>230</v>
      </c>
      <c r="G2688" t="s">
        <v>15670</v>
      </c>
      <c r="H2688">
        <v>21.83</v>
      </c>
      <c r="I2688">
        <v>0</v>
      </c>
      <c r="J2688">
        <v>0</v>
      </c>
      <c r="K2688">
        <v>0</v>
      </c>
      <c r="L2688">
        <v>7</v>
      </c>
      <c r="N2688">
        <v>3</v>
      </c>
      <c r="O2688">
        <v>10</v>
      </c>
      <c r="P2688">
        <v>4</v>
      </c>
      <c r="Q2688">
        <v>0</v>
      </c>
      <c r="R2688">
        <v>35.83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H2688">
        <v>35.83</v>
      </c>
    </row>
    <row r="2689" spans="1:34" x14ac:dyDescent="0.3">
      <c r="A2689" s="4">
        <v>2903</v>
      </c>
      <c r="B2689" s="5">
        <v>2682</v>
      </c>
      <c r="C2689">
        <v>3647</v>
      </c>
      <c r="D2689" t="s">
        <v>1129</v>
      </c>
      <c r="E2689" t="s">
        <v>33</v>
      </c>
      <c r="F2689" t="s">
        <v>343</v>
      </c>
      <c r="G2689" t="s">
        <v>15671</v>
      </c>
      <c r="H2689">
        <v>19.8</v>
      </c>
      <c r="I2689">
        <v>0</v>
      </c>
      <c r="J2689">
        <v>0</v>
      </c>
      <c r="K2689">
        <v>0</v>
      </c>
      <c r="L2689">
        <v>7</v>
      </c>
      <c r="N2689">
        <v>3</v>
      </c>
      <c r="O2689">
        <v>10</v>
      </c>
      <c r="P2689">
        <v>4</v>
      </c>
      <c r="Q2689">
        <v>2</v>
      </c>
      <c r="R2689">
        <v>35.799999999999997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H2689">
        <v>35.799999999999997</v>
      </c>
    </row>
    <row r="2690" spans="1:34" x14ac:dyDescent="0.3">
      <c r="A2690" s="4">
        <v>2904</v>
      </c>
      <c r="B2690" s="5">
        <v>2683</v>
      </c>
      <c r="C2690">
        <v>9758</v>
      </c>
      <c r="D2690" t="s">
        <v>317</v>
      </c>
      <c r="E2690" t="s">
        <v>4855</v>
      </c>
      <c r="F2690" t="s">
        <v>81</v>
      </c>
      <c r="G2690" t="s">
        <v>15672</v>
      </c>
      <c r="H2690">
        <v>21.8</v>
      </c>
      <c r="I2690">
        <v>0</v>
      </c>
      <c r="J2690">
        <v>0</v>
      </c>
      <c r="K2690">
        <v>0</v>
      </c>
      <c r="N2690">
        <v>3</v>
      </c>
      <c r="O2690">
        <v>3</v>
      </c>
      <c r="P2690">
        <v>4</v>
      </c>
      <c r="Q2690">
        <v>2</v>
      </c>
      <c r="R2690">
        <v>30.8</v>
      </c>
      <c r="S2690">
        <v>5</v>
      </c>
      <c r="T2690">
        <v>5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5</v>
      </c>
      <c r="AB2690">
        <v>0</v>
      </c>
      <c r="AC2690">
        <v>0</v>
      </c>
      <c r="AH2690">
        <v>35.799999999999997</v>
      </c>
    </row>
    <row r="2691" spans="1:34" x14ac:dyDescent="0.3">
      <c r="A2691" s="4">
        <v>2905</v>
      </c>
      <c r="B2691" s="5">
        <v>2684</v>
      </c>
      <c r="C2691">
        <v>11466</v>
      </c>
      <c r="D2691" t="s">
        <v>15673</v>
      </c>
      <c r="E2691" t="s">
        <v>5321</v>
      </c>
      <c r="F2691" t="s">
        <v>136</v>
      </c>
      <c r="G2691" t="s">
        <v>15674</v>
      </c>
      <c r="H2691">
        <v>21.78</v>
      </c>
      <c r="I2691">
        <v>0</v>
      </c>
      <c r="J2691">
        <v>0</v>
      </c>
      <c r="K2691">
        <v>0</v>
      </c>
      <c r="L2691">
        <v>7</v>
      </c>
      <c r="O2691">
        <v>7</v>
      </c>
      <c r="P2691">
        <v>4</v>
      </c>
      <c r="Q2691">
        <v>0</v>
      </c>
      <c r="R2691">
        <v>32.78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3</v>
      </c>
      <c r="AC2691">
        <v>0</v>
      </c>
      <c r="AH2691">
        <v>35.78</v>
      </c>
    </row>
    <row r="2692" spans="1:34" x14ac:dyDescent="0.3">
      <c r="A2692" s="4">
        <v>2906</v>
      </c>
      <c r="B2692" s="5">
        <v>2685</v>
      </c>
      <c r="C2692">
        <v>12929</v>
      </c>
      <c r="D2692" t="s">
        <v>15675</v>
      </c>
      <c r="E2692" t="s">
        <v>29</v>
      </c>
      <c r="F2692" t="s">
        <v>230</v>
      </c>
      <c r="G2692" t="s">
        <v>15676</v>
      </c>
      <c r="H2692">
        <v>21.78</v>
      </c>
      <c r="I2692">
        <v>0</v>
      </c>
      <c r="J2692">
        <v>0</v>
      </c>
      <c r="K2692">
        <v>0</v>
      </c>
      <c r="L2692">
        <v>7</v>
      </c>
      <c r="N2692">
        <v>3</v>
      </c>
      <c r="O2692">
        <v>10</v>
      </c>
      <c r="P2692">
        <v>4</v>
      </c>
      <c r="Q2692">
        <v>0</v>
      </c>
      <c r="R2692">
        <v>35.78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H2692">
        <v>35.78</v>
      </c>
    </row>
    <row r="2693" spans="1:34" x14ac:dyDescent="0.3">
      <c r="A2693" s="4">
        <v>2907</v>
      </c>
      <c r="B2693" s="5">
        <v>2686</v>
      </c>
      <c r="C2693">
        <v>14498</v>
      </c>
      <c r="D2693" t="s">
        <v>15677</v>
      </c>
      <c r="E2693" t="s">
        <v>550</v>
      </c>
      <c r="F2693" t="s">
        <v>587</v>
      </c>
      <c r="G2693" t="s">
        <v>15678</v>
      </c>
      <c r="H2693">
        <v>21.75</v>
      </c>
      <c r="I2693">
        <v>0</v>
      </c>
      <c r="J2693">
        <v>0</v>
      </c>
      <c r="K2693">
        <v>0</v>
      </c>
      <c r="L2693">
        <v>7</v>
      </c>
      <c r="N2693">
        <v>3</v>
      </c>
      <c r="O2693">
        <v>10</v>
      </c>
      <c r="P2693">
        <v>4</v>
      </c>
      <c r="Q2693">
        <v>0</v>
      </c>
      <c r="R2693">
        <v>35.75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H2693">
        <v>35.75</v>
      </c>
    </row>
    <row r="2694" spans="1:34" x14ac:dyDescent="0.3">
      <c r="A2694" s="4">
        <v>2908</v>
      </c>
      <c r="B2694" s="5">
        <v>2687</v>
      </c>
      <c r="C2694">
        <v>11439</v>
      </c>
      <c r="D2694" t="s">
        <v>15679</v>
      </c>
      <c r="E2694" t="s">
        <v>3684</v>
      </c>
      <c r="F2694" t="s">
        <v>2561</v>
      </c>
      <c r="G2694" t="s">
        <v>15680</v>
      </c>
      <c r="H2694">
        <v>19.75</v>
      </c>
      <c r="I2694">
        <v>0</v>
      </c>
      <c r="J2694">
        <v>0</v>
      </c>
      <c r="K2694">
        <v>0</v>
      </c>
      <c r="L2694">
        <v>7</v>
      </c>
      <c r="N2694">
        <v>3</v>
      </c>
      <c r="O2694">
        <v>10</v>
      </c>
      <c r="P2694">
        <v>4</v>
      </c>
      <c r="Q2694">
        <v>2</v>
      </c>
      <c r="R2694">
        <v>35.75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H2694">
        <v>35.75</v>
      </c>
    </row>
    <row r="2695" spans="1:34" x14ac:dyDescent="0.3">
      <c r="A2695" s="4">
        <v>2909</v>
      </c>
      <c r="B2695" s="5">
        <v>2688</v>
      </c>
      <c r="C2695">
        <v>9998</v>
      </c>
      <c r="D2695" t="s">
        <v>15681</v>
      </c>
      <c r="E2695" t="s">
        <v>3663</v>
      </c>
      <c r="F2695" t="s">
        <v>68</v>
      </c>
      <c r="G2695" t="s">
        <v>15682</v>
      </c>
      <c r="H2695">
        <v>17.73</v>
      </c>
      <c r="I2695">
        <v>0</v>
      </c>
      <c r="J2695">
        <v>0</v>
      </c>
      <c r="K2695">
        <v>0</v>
      </c>
      <c r="L2695">
        <v>7</v>
      </c>
      <c r="O2695">
        <v>7</v>
      </c>
      <c r="P2695">
        <v>0</v>
      </c>
      <c r="Q2695">
        <v>2</v>
      </c>
      <c r="R2695">
        <v>26.73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9</v>
      </c>
      <c r="AC2695">
        <v>0</v>
      </c>
      <c r="AH2695">
        <v>35.729999999999997</v>
      </c>
    </row>
    <row r="2696" spans="1:34" x14ac:dyDescent="0.3">
      <c r="A2696" s="4">
        <v>2910</v>
      </c>
      <c r="B2696" s="5">
        <v>2689</v>
      </c>
      <c r="C2696">
        <v>1059</v>
      </c>
      <c r="D2696" t="s">
        <v>15683</v>
      </c>
      <c r="E2696" t="s">
        <v>3948</v>
      </c>
      <c r="F2696" t="s">
        <v>17</v>
      </c>
      <c r="G2696" t="s">
        <v>15684</v>
      </c>
      <c r="H2696">
        <v>18.7</v>
      </c>
      <c r="I2696">
        <v>0</v>
      </c>
      <c r="J2696">
        <v>0</v>
      </c>
      <c r="K2696">
        <v>0</v>
      </c>
      <c r="L2696">
        <v>7</v>
      </c>
      <c r="O2696">
        <v>7</v>
      </c>
      <c r="P2696">
        <v>4</v>
      </c>
      <c r="Q2696">
        <v>0</v>
      </c>
      <c r="R2696">
        <v>29.7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6</v>
      </c>
      <c r="AC2696">
        <v>0</v>
      </c>
      <c r="AH2696">
        <v>35.700000000000003</v>
      </c>
    </row>
    <row r="2697" spans="1:34" x14ac:dyDescent="0.3">
      <c r="A2697" s="4">
        <v>2911</v>
      </c>
      <c r="B2697" s="5">
        <v>2690</v>
      </c>
      <c r="C2697">
        <v>9402</v>
      </c>
      <c r="D2697" t="s">
        <v>15685</v>
      </c>
      <c r="E2697" t="s">
        <v>15686</v>
      </c>
      <c r="F2697" t="s">
        <v>1399</v>
      </c>
      <c r="G2697" t="s">
        <v>15687</v>
      </c>
      <c r="H2697">
        <v>21.7</v>
      </c>
      <c r="I2697">
        <v>0</v>
      </c>
      <c r="J2697">
        <v>0</v>
      </c>
      <c r="K2697">
        <v>0</v>
      </c>
      <c r="L2697">
        <v>7</v>
      </c>
      <c r="N2697">
        <v>3</v>
      </c>
      <c r="O2697">
        <v>10</v>
      </c>
      <c r="P2697">
        <v>4</v>
      </c>
      <c r="Q2697">
        <v>0</v>
      </c>
      <c r="R2697">
        <v>35.700000000000003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H2697">
        <v>35.700000000000003</v>
      </c>
    </row>
    <row r="2698" spans="1:34" x14ac:dyDescent="0.3">
      <c r="A2698" s="4">
        <v>2912</v>
      </c>
      <c r="B2698" s="5">
        <v>2691</v>
      </c>
      <c r="C2698">
        <v>213</v>
      </c>
      <c r="D2698" t="s">
        <v>15688</v>
      </c>
      <c r="E2698" t="s">
        <v>149</v>
      </c>
      <c r="F2698" t="s">
        <v>972</v>
      </c>
      <c r="G2698" t="s">
        <v>15689</v>
      </c>
      <c r="H2698">
        <v>21.68</v>
      </c>
      <c r="I2698">
        <v>0</v>
      </c>
      <c r="J2698">
        <v>0</v>
      </c>
      <c r="K2698">
        <v>0</v>
      </c>
      <c r="L2698">
        <v>7</v>
      </c>
      <c r="M2698">
        <v>5</v>
      </c>
      <c r="O2698">
        <v>12</v>
      </c>
      <c r="P2698">
        <v>0</v>
      </c>
      <c r="Q2698">
        <v>2</v>
      </c>
      <c r="R2698">
        <v>35.68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H2698">
        <v>35.68</v>
      </c>
    </row>
    <row r="2699" spans="1:34" x14ac:dyDescent="0.3">
      <c r="A2699" s="4">
        <v>2913</v>
      </c>
      <c r="B2699" s="5">
        <v>2692</v>
      </c>
      <c r="C2699">
        <v>856</v>
      </c>
      <c r="D2699" t="s">
        <v>15690</v>
      </c>
      <c r="E2699" t="s">
        <v>10939</v>
      </c>
      <c r="F2699" t="s">
        <v>1023</v>
      </c>
      <c r="G2699" t="s">
        <v>15691</v>
      </c>
      <c r="H2699">
        <v>17.68</v>
      </c>
      <c r="I2699">
        <v>0</v>
      </c>
      <c r="J2699">
        <v>0</v>
      </c>
      <c r="K2699">
        <v>0</v>
      </c>
      <c r="L2699">
        <v>14</v>
      </c>
      <c r="O2699">
        <v>14</v>
      </c>
      <c r="P2699">
        <v>4</v>
      </c>
      <c r="Q2699">
        <v>0</v>
      </c>
      <c r="R2699">
        <v>35.68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H2699">
        <v>35.68</v>
      </c>
    </row>
    <row r="2700" spans="1:34" x14ac:dyDescent="0.3">
      <c r="A2700" s="4">
        <v>2914</v>
      </c>
      <c r="B2700" s="5">
        <v>2693</v>
      </c>
      <c r="C2700">
        <v>8192</v>
      </c>
      <c r="D2700" t="s">
        <v>3684</v>
      </c>
      <c r="E2700" t="s">
        <v>143</v>
      </c>
      <c r="F2700" t="s">
        <v>14</v>
      </c>
      <c r="G2700" t="s">
        <v>15692</v>
      </c>
      <c r="H2700">
        <v>21.65</v>
      </c>
      <c r="I2700">
        <v>0</v>
      </c>
      <c r="J2700">
        <v>0</v>
      </c>
      <c r="K2700">
        <v>0</v>
      </c>
      <c r="L2700">
        <v>7</v>
      </c>
      <c r="N2700">
        <v>3</v>
      </c>
      <c r="O2700">
        <v>10</v>
      </c>
      <c r="P2700">
        <v>4</v>
      </c>
      <c r="Q2700">
        <v>0</v>
      </c>
      <c r="R2700">
        <v>35.65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H2700">
        <v>35.65</v>
      </c>
    </row>
    <row r="2701" spans="1:34" x14ac:dyDescent="0.3">
      <c r="A2701" s="4">
        <v>2915</v>
      </c>
      <c r="B2701" s="5">
        <v>2694</v>
      </c>
      <c r="C2701">
        <v>4146</v>
      </c>
      <c r="D2701" t="s">
        <v>15693</v>
      </c>
      <c r="E2701" t="s">
        <v>307</v>
      </c>
      <c r="F2701" t="s">
        <v>117</v>
      </c>
      <c r="G2701" t="s">
        <v>15694</v>
      </c>
      <c r="H2701">
        <v>21.63</v>
      </c>
      <c r="I2701">
        <v>0</v>
      </c>
      <c r="J2701">
        <v>0</v>
      </c>
      <c r="K2701">
        <v>0</v>
      </c>
      <c r="M2701">
        <v>10</v>
      </c>
      <c r="O2701">
        <v>10</v>
      </c>
      <c r="P2701">
        <v>4</v>
      </c>
      <c r="Q2701">
        <v>0</v>
      </c>
      <c r="R2701">
        <v>35.630000000000003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H2701">
        <v>35.630000000000003</v>
      </c>
    </row>
    <row r="2702" spans="1:34" x14ac:dyDescent="0.3">
      <c r="A2702" s="4">
        <v>2916</v>
      </c>
      <c r="B2702" s="5">
        <v>2695</v>
      </c>
      <c r="C2702">
        <v>15537</v>
      </c>
      <c r="D2702" t="s">
        <v>15695</v>
      </c>
      <c r="E2702" t="s">
        <v>972</v>
      </c>
      <c r="F2702" t="s">
        <v>23</v>
      </c>
      <c r="G2702" t="s">
        <v>15696</v>
      </c>
      <c r="H2702">
        <v>19.63</v>
      </c>
      <c r="I2702">
        <v>0</v>
      </c>
      <c r="J2702">
        <v>0</v>
      </c>
      <c r="K2702">
        <v>0</v>
      </c>
      <c r="L2702">
        <v>7</v>
      </c>
      <c r="M2702">
        <v>5</v>
      </c>
      <c r="O2702">
        <v>12</v>
      </c>
      <c r="P2702">
        <v>4</v>
      </c>
      <c r="Q2702">
        <v>0</v>
      </c>
      <c r="R2702">
        <v>35.630000000000003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H2702">
        <v>35.630000000000003</v>
      </c>
    </row>
    <row r="2703" spans="1:34" x14ac:dyDescent="0.3">
      <c r="A2703" s="4">
        <v>2917</v>
      </c>
      <c r="B2703" s="5">
        <v>2696</v>
      </c>
      <c r="C2703">
        <v>2323</v>
      </c>
      <c r="D2703" t="s">
        <v>2268</v>
      </c>
      <c r="E2703" t="s">
        <v>26</v>
      </c>
      <c r="F2703" t="s">
        <v>68</v>
      </c>
      <c r="G2703" t="s">
        <v>15697</v>
      </c>
      <c r="H2703">
        <v>22.6</v>
      </c>
      <c r="I2703">
        <v>0</v>
      </c>
      <c r="J2703">
        <v>0</v>
      </c>
      <c r="K2703">
        <v>0</v>
      </c>
      <c r="L2703">
        <v>7</v>
      </c>
      <c r="O2703">
        <v>7</v>
      </c>
      <c r="P2703">
        <v>4</v>
      </c>
      <c r="Q2703">
        <v>2</v>
      </c>
      <c r="R2703">
        <v>35.6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H2703">
        <v>35.6</v>
      </c>
    </row>
    <row r="2704" spans="1:34" x14ac:dyDescent="0.3">
      <c r="A2704" s="4">
        <v>2918</v>
      </c>
      <c r="B2704" s="5">
        <v>2697</v>
      </c>
      <c r="C2704">
        <v>3248</v>
      </c>
      <c r="D2704" t="s">
        <v>15698</v>
      </c>
      <c r="E2704" t="s">
        <v>97</v>
      </c>
      <c r="F2704" t="s">
        <v>136</v>
      </c>
      <c r="G2704" t="s">
        <v>15699</v>
      </c>
      <c r="H2704">
        <v>19.600000000000001</v>
      </c>
      <c r="I2704">
        <v>0</v>
      </c>
      <c r="J2704">
        <v>0</v>
      </c>
      <c r="K2704">
        <v>0</v>
      </c>
      <c r="L2704">
        <v>7</v>
      </c>
      <c r="N2704">
        <v>3</v>
      </c>
      <c r="O2704">
        <v>10</v>
      </c>
      <c r="P2704">
        <v>4</v>
      </c>
      <c r="Q2704">
        <v>2</v>
      </c>
      <c r="R2704">
        <v>35.6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H2704">
        <v>35.6</v>
      </c>
    </row>
    <row r="2705" spans="1:34" x14ac:dyDescent="0.3">
      <c r="A2705" s="4">
        <v>2919</v>
      </c>
      <c r="B2705" s="5">
        <v>2698</v>
      </c>
      <c r="C2705">
        <v>5642</v>
      </c>
      <c r="D2705" t="s">
        <v>15700</v>
      </c>
      <c r="E2705" t="s">
        <v>342</v>
      </c>
      <c r="F2705" t="s">
        <v>20</v>
      </c>
      <c r="G2705" t="s">
        <v>15701</v>
      </c>
      <c r="H2705">
        <v>22.58</v>
      </c>
      <c r="I2705">
        <v>0</v>
      </c>
      <c r="J2705">
        <v>0</v>
      </c>
      <c r="K2705">
        <v>0</v>
      </c>
      <c r="L2705">
        <v>7</v>
      </c>
      <c r="O2705">
        <v>7</v>
      </c>
      <c r="P2705">
        <v>4</v>
      </c>
      <c r="Q2705">
        <v>2</v>
      </c>
      <c r="R2705">
        <v>35.58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H2705">
        <v>35.58</v>
      </c>
    </row>
    <row r="2706" spans="1:34" x14ac:dyDescent="0.3">
      <c r="A2706" s="4">
        <v>2920</v>
      </c>
      <c r="B2706" s="5">
        <v>2699</v>
      </c>
      <c r="C2706">
        <v>11816</v>
      </c>
      <c r="D2706" t="s">
        <v>15702</v>
      </c>
      <c r="E2706" t="s">
        <v>182</v>
      </c>
      <c r="F2706" t="s">
        <v>782</v>
      </c>
      <c r="G2706" t="s">
        <v>15703</v>
      </c>
      <c r="H2706">
        <v>19.579999999999998</v>
      </c>
      <c r="I2706">
        <v>0</v>
      </c>
      <c r="J2706">
        <v>0</v>
      </c>
      <c r="K2706">
        <v>0</v>
      </c>
      <c r="L2706">
        <v>7</v>
      </c>
      <c r="N2706">
        <v>3</v>
      </c>
      <c r="O2706">
        <v>10</v>
      </c>
      <c r="P2706">
        <v>4</v>
      </c>
      <c r="Q2706">
        <v>2</v>
      </c>
      <c r="R2706">
        <v>35.58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H2706">
        <v>35.58</v>
      </c>
    </row>
    <row r="2707" spans="1:34" x14ac:dyDescent="0.3">
      <c r="A2707" s="4">
        <v>2921</v>
      </c>
      <c r="B2707" s="5">
        <v>2700</v>
      </c>
      <c r="C2707">
        <v>8428</v>
      </c>
      <c r="D2707" t="s">
        <v>1340</v>
      </c>
      <c r="E2707" t="s">
        <v>2157</v>
      </c>
      <c r="F2707" t="s">
        <v>158</v>
      </c>
      <c r="G2707" t="s">
        <v>15704</v>
      </c>
      <c r="H2707">
        <v>22.55</v>
      </c>
      <c r="I2707">
        <v>0</v>
      </c>
      <c r="J2707">
        <v>0</v>
      </c>
      <c r="K2707">
        <v>0</v>
      </c>
      <c r="L2707">
        <v>7</v>
      </c>
      <c r="O2707">
        <v>7</v>
      </c>
      <c r="P2707">
        <v>4</v>
      </c>
      <c r="Q2707">
        <v>2</v>
      </c>
      <c r="R2707">
        <v>35.549999999999997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H2707">
        <v>35.549999999999997</v>
      </c>
    </row>
    <row r="2708" spans="1:34" x14ac:dyDescent="0.3">
      <c r="A2708" s="4">
        <v>2922</v>
      </c>
      <c r="B2708" s="5">
        <v>2701</v>
      </c>
      <c r="C2708">
        <v>400</v>
      </c>
      <c r="D2708" t="s">
        <v>15705</v>
      </c>
      <c r="E2708" t="s">
        <v>33</v>
      </c>
      <c r="F2708" t="s">
        <v>17</v>
      </c>
      <c r="G2708" t="s">
        <v>15706</v>
      </c>
      <c r="H2708">
        <v>19.55</v>
      </c>
      <c r="I2708">
        <v>0</v>
      </c>
      <c r="J2708">
        <v>0</v>
      </c>
      <c r="K2708">
        <v>0</v>
      </c>
      <c r="L2708">
        <v>7</v>
      </c>
      <c r="N2708">
        <v>3</v>
      </c>
      <c r="O2708">
        <v>10</v>
      </c>
      <c r="P2708">
        <v>4</v>
      </c>
      <c r="Q2708">
        <v>2</v>
      </c>
      <c r="R2708">
        <v>35.549999999999997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H2708">
        <v>35.549999999999997</v>
      </c>
    </row>
    <row r="2709" spans="1:34" x14ac:dyDescent="0.3">
      <c r="A2709" s="4">
        <v>2923</v>
      </c>
      <c r="B2709" s="5">
        <v>2702</v>
      </c>
      <c r="C2709">
        <v>8636</v>
      </c>
      <c r="D2709" t="s">
        <v>15707</v>
      </c>
      <c r="E2709" t="s">
        <v>792</v>
      </c>
      <c r="F2709" t="s">
        <v>52</v>
      </c>
      <c r="G2709" t="s">
        <v>15708</v>
      </c>
      <c r="H2709">
        <v>15.55</v>
      </c>
      <c r="I2709">
        <v>0</v>
      </c>
      <c r="J2709">
        <v>0</v>
      </c>
      <c r="K2709">
        <v>0</v>
      </c>
      <c r="L2709">
        <v>14</v>
      </c>
      <c r="O2709">
        <v>14</v>
      </c>
      <c r="P2709">
        <v>4</v>
      </c>
      <c r="Q2709">
        <v>2</v>
      </c>
      <c r="R2709">
        <v>35.549999999999997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H2709">
        <v>35.549999999999997</v>
      </c>
    </row>
    <row r="2710" spans="1:34" x14ac:dyDescent="0.3">
      <c r="A2710" s="4">
        <v>2924</v>
      </c>
      <c r="B2710" s="5">
        <v>2703</v>
      </c>
      <c r="C2710">
        <v>10291</v>
      </c>
      <c r="D2710" t="s">
        <v>15709</v>
      </c>
      <c r="E2710" t="s">
        <v>11806</v>
      </c>
      <c r="F2710" t="s">
        <v>167</v>
      </c>
      <c r="G2710" t="s">
        <v>15710</v>
      </c>
      <c r="H2710">
        <v>17.53</v>
      </c>
      <c r="I2710">
        <v>0</v>
      </c>
      <c r="J2710">
        <v>0</v>
      </c>
      <c r="K2710">
        <v>0</v>
      </c>
      <c r="N2710">
        <v>6</v>
      </c>
      <c r="O2710">
        <v>6</v>
      </c>
      <c r="P2710">
        <v>4</v>
      </c>
      <c r="Q2710">
        <v>2</v>
      </c>
      <c r="R2710">
        <v>29.53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6</v>
      </c>
      <c r="AC2710">
        <v>0</v>
      </c>
      <c r="AH2710">
        <v>35.53</v>
      </c>
    </row>
    <row r="2711" spans="1:34" x14ac:dyDescent="0.3">
      <c r="A2711" s="4">
        <v>2925</v>
      </c>
      <c r="B2711" s="5">
        <v>2704</v>
      </c>
      <c r="C2711">
        <v>5873</v>
      </c>
      <c r="D2711" t="s">
        <v>14221</v>
      </c>
      <c r="E2711" t="s">
        <v>1016</v>
      </c>
      <c r="F2711" t="s">
        <v>136</v>
      </c>
      <c r="G2711" t="s">
        <v>15711</v>
      </c>
      <c r="H2711">
        <v>21.53</v>
      </c>
      <c r="I2711">
        <v>0</v>
      </c>
      <c r="J2711">
        <v>0</v>
      </c>
      <c r="K2711">
        <v>0</v>
      </c>
      <c r="L2711">
        <v>7</v>
      </c>
      <c r="N2711">
        <v>3</v>
      </c>
      <c r="O2711">
        <v>10</v>
      </c>
      <c r="P2711">
        <v>4</v>
      </c>
      <c r="Q2711">
        <v>0</v>
      </c>
      <c r="R2711">
        <v>35.53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H2711">
        <v>35.53</v>
      </c>
    </row>
    <row r="2712" spans="1:34" x14ac:dyDescent="0.3">
      <c r="A2712" s="4">
        <v>2926</v>
      </c>
      <c r="B2712" s="5">
        <v>2705</v>
      </c>
      <c r="C2712">
        <v>3101</v>
      </c>
      <c r="D2712" t="s">
        <v>15712</v>
      </c>
      <c r="E2712" t="s">
        <v>29</v>
      </c>
      <c r="F2712" t="s">
        <v>972</v>
      </c>
      <c r="G2712" t="s">
        <v>15713</v>
      </c>
      <c r="H2712">
        <v>19.53</v>
      </c>
      <c r="I2712">
        <v>0</v>
      </c>
      <c r="J2712">
        <v>0</v>
      </c>
      <c r="K2712">
        <v>0</v>
      </c>
      <c r="L2712">
        <v>7</v>
      </c>
      <c r="N2712">
        <v>3</v>
      </c>
      <c r="O2712">
        <v>10</v>
      </c>
      <c r="P2712">
        <v>4</v>
      </c>
      <c r="Q2712">
        <v>2</v>
      </c>
      <c r="R2712">
        <v>35.53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H2712">
        <v>35.53</v>
      </c>
    </row>
    <row r="2713" spans="1:34" x14ac:dyDescent="0.3">
      <c r="A2713" s="4">
        <v>2927</v>
      </c>
      <c r="B2713" s="5">
        <v>2706</v>
      </c>
      <c r="C2713">
        <v>4216</v>
      </c>
      <c r="D2713" t="s">
        <v>15714</v>
      </c>
      <c r="E2713" t="s">
        <v>29</v>
      </c>
      <c r="F2713" t="s">
        <v>136</v>
      </c>
      <c r="G2713" t="s">
        <v>15715</v>
      </c>
      <c r="H2713">
        <v>12.5</v>
      </c>
      <c r="I2713">
        <v>0</v>
      </c>
      <c r="J2713">
        <v>0</v>
      </c>
      <c r="K2713">
        <v>0</v>
      </c>
      <c r="O2713">
        <v>0</v>
      </c>
      <c r="P2713">
        <v>0</v>
      </c>
      <c r="Q2713">
        <v>0</v>
      </c>
      <c r="R2713">
        <v>12.5</v>
      </c>
      <c r="S2713">
        <v>14</v>
      </c>
      <c r="T2713">
        <v>14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14</v>
      </c>
      <c r="AB2713">
        <v>9</v>
      </c>
      <c r="AC2713">
        <v>0</v>
      </c>
      <c r="AH2713">
        <v>35.5</v>
      </c>
    </row>
    <row r="2714" spans="1:34" x14ac:dyDescent="0.3">
      <c r="A2714" s="4">
        <v>2928</v>
      </c>
      <c r="B2714" s="5">
        <v>2707</v>
      </c>
      <c r="C2714">
        <v>9747</v>
      </c>
      <c r="D2714" t="s">
        <v>9689</v>
      </c>
      <c r="E2714" t="s">
        <v>29</v>
      </c>
      <c r="F2714" t="s">
        <v>2561</v>
      </c>
      <c r="G2714" t="s">
        <v>9690</v>
      </c>
      <c r="H2714">
        <v>14.5</v>
      </c>
      <c r="I2714">
        <v>7</v>
      </c>
      <c r="J2714">
        <v>0</v>
      </c>
      <c r="K2714">
        <v>0</v>
      </c>
      <c r="L2714">
        <v>7</v>
      </c>
      <c r="O2714">
        <v>7</v>
      </c>
      <c r="P2714">
        <v>4</v>
      </c>
      <c r="Q2714">
        <v>0</v>
      </c>
      <c r="R2714">
        <v>32.5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3</v>
      </c>
      <c r="AC2714">
        <v>0</v>
      </c>
      <c r="AH2714">
        <v>35.5</v>
      </c>
    </row>
    <row r="2715" spans="1:34" x14ac:dyDescent="0.3">
      <c r="A2715" s="4">
        <v>2929</v>
      </c>
      <c r="B2715" s="5">
        <v>2708</v>
      </c>
      <c r="C2715">
        <v>10643</v>
      </c>
      <c r="D2715" t="s">
        <v>2951</v>
      </c>
      <c r="E2715" t="s">
        <v>816</v>
      </c>
      <c r="F2715" t="s">
        <v>328</v>
      </c>
      <c r="G2715" t="s">
        <v>15716</v>
      </c>
      <c r="H2715">
        <v>12.5</v>
      </c>
      <c r="I2715">
        <v>0</v>
      </c>
      <c r="J2715">
        <v>0</v>
      </c>
      <c r="K2715">
        <v>20</v>
      </c>
      <c r="N2715">
        <v>3</v>
      </c>
      <c r="O2715">
        <v>3</v>
      </c>
      <c r="P2715">
        <v>0</v>
      </c>
      <c r="Q2715">
        <v>0</v>
      </c>
      <c r="R2715">
        <v>35.5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H2715">
        <v>35.5</v>
      </c>
    </row>
    <row r="2716" spans="1:34" x14ac:dyDescent="0.3">
      <c r="A2716" s="4">
        <v>2930</v>
      </c>
      <c r="B2716" s="5">
        <v>2709</v>
      </c>
      <c r="C2716">
        <v>15564</v>
      </c>
      <c r="D2716" t="s">
        <v>15717</v>
      </c>
      <c r="E2716" t="s">
        <v>15718</v>
      </c>
      <c r="F2716" t="s">
        <v>81</v>
      </c>
      <c r="G2716" t="s">
        <v>15719</v>
      </c>
      <c r="H2716">
        <v>12.5</v>
      </c>
      <c r="I2716">
        <v>0</v>
      </c>
      <c r="J2716">
        <v>0</v>
      </c>
      <c r="K2716">
        <v>20</v>
      </c>
      <c r="N2716">
        <v>3</v>
      </c>
      <c r="O2716">
        <v>3</v>
      </c>
      <c r="P2716">
        <v>0</v>
      </c>
      <c r="Q2716">
        <v>0</v>
      </c>
      <c r="R2716">
        <v>35.5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H2716">
        <v>35.5</v>
      </c>
    </row>
    <row r="2717" spans="1:34" x14ac:dyDescent="0.3">
      <c r="A2717" s="4">
        <v>2931</v>
      </c>
      <c r="B2717" s="5">
        <v>2710</v>
      </c>
      <c r="C2717">
        <v>13167</v>
      </c>
      <c r="D2717" t="s">
        <v>3534</v>
      </c>
      <c r="E2717" t="s">
        <v>15720</v>
      </c>
      <c r="F2717" t="s">
        <v>227</v>
      </c>
      <c r="G2717" t="s">
        <v>15721</v>
      </c>
      <c r="H2717">
        <v>18.48</v>
      </c>
      <c r="I2717">
        <v>0</v>
      </c>
      <c r="J2717">
        <v>0</v>
      </c>
      <c r="K2717">
        <v>0</v>
      </c>
      <c r="L2717">
        <v>7</v>
      </c>
      <c r="O2717">
        <v>7</v>
      </c>
      <c r="P2717">
        <v>4</v>
      </c>
      <c r="Q2717">
        <v>0</v>
      </c>
      <c r="R2717">
        <v>29.48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6</v>
      </c>
      <c r="AC2717">
        <v>0</v>
      </c>
      <c r="AH2717">
        <v>35.479999999999997</v>
      </c>
    </row>
    <row r="2718" spans="1:34" x14ac:dyDescent="0.3">
      <c r="A2718" s="4">
        <v>2932</v>
      </c>
      <c r="B2718" s="5">
        <v>2711</v>
      </c>
      <c r="C2718">
        <v>7878</v>
      </c>
      <c r="D2718" t="s">
        <v>15722</v>
      </c>
      <c r="E2718" t="s">
        <v>37</v>
      </c>
      <c r="F2718" t="s">
        <v>782</v>
      </c>
      <c r="G2718" t="s">
        <v>15723</v>
      </c>
      <c r="H2718">
        <v>21.48</v>
      </c>
      <c r="I2718">
        <v>0</v>
      </c>
      <c r="J2718">
        <v>0</v>
      </c>
      <c r="K2718">
        <v>0</v>
      </c>
      <c r="L2718">
        <v>14</v>
      </c>
      <c r="O2718">
        <v>14</v>
      </c>
      <c r="P2718">
        <v>0</v>
      </c>
      <c r="Q2718">
        <v>0</v>
      </c>
      <c r="R2718">
        <v>35.479999999999997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H2718">
        <v>35.479999999999997</v>
      </c>
    </row>
    <row r="2719" spans="1:34" x14ac:dyDescent="0.3">
      <c r="A2719" s="4">
        <v>2933</v>
      </c>
      <c r="B2719" s="5">
        <v>2712</v>
      </c>
      <c r="C2719">
        <v>5288</v>
      </c>
      <c r="D2719" t="s">
        <v>10107</v>
      </c>
      <c r="E2719" t="s">
        <v>100</v>
      </c>
      <c r="F2719" t="s">
        <v>190</v>
      </c>
      <c r="G2719" t="s">
        <v>15724</v>
      </c>
      <c r="H2719">
        <v>21.45</v>
      </c>
      <c r="I2719">
        <v>0</v>
      </c>
      <c r="J2719">
        <v>0</v>
      </c>
      <c r="K2719">
        <v>0</v>
      </c>
      <c r="L2719">
        <v>7</v>
      </c>
      <c r="N2719">
        <v>3</v>
      </c>
      <c r="O2719">
        <v>10</v>
      </c>
      <c r="P2719">
        <v>4</v>
      </c>
      <c r="Q2719">
        <v>0</v>
      </c>
      <c r="R2719">
        <v>35.450000000000003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H2719">
        <v>35.450000000000003</v>
      </c>
    </row>
    <row r="2720" spans="1:34" x14ac:dyDescent="0.3">
      <c r="A2720" s="4">
        <v>2934</v>
      </c>
      <c r="B2720" s="5">
        <v>2713</v>
      </c>
      <c r="C2720">
        <v>15094</v>
      </c>
      <c r="D2720" t="s">
        <v>15725</v>
      </c>
      <c r="E2720" t="s">
        <v>355</v>
      </c>
      <c r="F2720" t="s">
        <v>2802</v>
      </c>
      <c r="G2720" t="s">
        <v>15726</v>
      </c>
      <c r="H2720">
        <v>21.45</v>
      </c>
      <c r="I2720">
        <v>0</v>
      </c>
      <c r="J2720">
        <v>0</v>
      </c>
      <c r="K2720">
        <v>0</v>
      </c>
      <c r="L2720">
        <v>7</v>
      </c>
      <c r="N2720">
        <v>3</v>
      </c>
      <c r="O2720">
        <v>10</v>
      </c>
      <c r="P2720">
        <v>4</v>
      </c>
      <c r="Q2720">
        <v>0</v>
      </c>
      <c r="R2720">
        <v>35.450000000000003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H2720">
        <v>35.450000000000003</v>
      </c>
    </row>
    <row r="2721" spans="1:34" x14ac:dyDescent="0.3">
      <c r="A2721" s="4">
        <v>2935</v>
      </c>
      <c r="B2721" s="5">
        <v>2714</v>
      </c>
      <c r="C2721">
        <v>1500</v>
      </c>
      <c r="D2721" t="s">
        <v>221</v>
      </c>
      <c r="E2721" t="s">
        <v>166</v>
      </c>
      <c r="F2721" t="s">
        <v>117</v>
      </c>
      <c r="G2721" t="s">
        <v>15727</v>
      </c>
      <c r="H2721">
        <v>19.45</v>
      </c>
      <c r="I2721">
        <v>0</v>
      </c>
      <c r="J2721">
        <v>0</v>
      </c>
      <c r="K2721">
        <v>0</v>
      </c>
      <c r="L2721">
        <v>7</v>
      </c>
      <c r="N2721">
        <v>3</v>
      </c>
      <c r="O2721">
        <v>10</v>
      </c>
      <c r="P2721">
        <v>4</v>
      </c>
      <c r="Q2721">
        <v>2</v>
      </c>
      <c r="R2721">
        <v>35.450000000000003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H2721">
        <v>35.450000000000003</v>
      </c>
    </row>
    <row r="2722" spans="1:34" x14ac:dyDescent="0.3">
      <c r="A2722" s="4">
        <v>2936</v>
      </c>
      <c r="B2722" s="5">
        <v>2715</v>
      </c>
      <c r="C2722">
        <v>13019</v>
      </c>
      <c r="D2722" t="s">
        <v>3542</v>
      </c>
      <c r="E2722" t="s">
        <v>166</v>
      </c>
      <c r="F2722" t="s">
        <v>30</v>
      </c>
      <c r="G2722" t="s">
        <v>15728</v>
      </c>
      <c r="H2722">
        <v>19.45</v>
      </c>
      <c r="I2722">
        <v>0</v>
      </c>
      <c r="J2722">
        <v>0</v>
      </c>
      <c r="K2722">
        <v>0</v>
      </c>
      <c r="L2722">
        <v>7</v>
      </c>
      <c r="N2722">
        <v>3</v>
      </c>
      <c r="O2722">
        <v>10</v>
      </c>
      <c r="P2722">
        <v>4</v>
      </c>
      <c r="Q2722">
        <v>2</v>
      </c>
      <c r="R2722">
        <v>35.450000000000003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H2722">
        <v>35.450000000000003</v>
      </c>
    </row>
    <row r="2723" spans="1:34" x14ac:dyDescent="0.3">
      <c r="A2723" s="4">
        <v>2937</v>
      </c>
      <c r="B2723" s="5">
        <v>2716</v>
      </c>
      <c r="C2723">
        <v>5089</v>
      </c>
      <c r="D2723" t="s">
        <v>15729</v>
      </c>
      <c r="E2723" t="s">
        <v>825</v>
      </c>
      <c r="F2723" t="s">
        <v>5300</v>
      </c>
      <c r="G2723" t="s">
        <v>15730</v>
      </c>
      <c r="H2723">
        <v>19.45</v>
      </c>
      <c r="I2723">
        <v>0</v>
      </c>
      <c r="J2723">
        <v>0</v>
      </c>
      <c r="K2723">
        <v>0</v>
      </c>
      <c r="L2723">
        <v>7</v>
      </c>
      <c r="M2723">
        <v>5</v>
      </c>
      <c r="O2723">
        <v>12</v>
      </c>
      <c r="P2723">
        <v>4</v>
      </c>
      <c r="Q2723">
        <v>0</v>
      </c>
      <c r="R2723">
        <v>35.450000000000003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H2723">
        <v>35.450000000000003</v>
      </c>
    </row>
    <row r="2724" spans="1:34" x14ac:dyDescent="0.3">
      <c r="A2724" s="4">
        <v>2938</v>
      </c>
      <c r="B2724" s="5">
        <v>2717</v>
      </c>
      <c r="C2724">
        <v>7489</v>
      </c>
      <c r="D2724" t="s">
        <v>1045</v>
      </c>
      <c r="E2724" t="s">
        <v>15731</v>
      </c>
      <c r="F2724" t="s">
        <v>259</v>
      </c>
      <c r="G2724" t="s">
        <v>15732</v>
      </c>
      <c r="H2724">
        <v>17.45</v>
      </c>
      <c r="I2724">
        <v>0</v>
      </c>
      <c r="J2724">
        <v>0</v>
      </c>
      <c r="K2724">
        <v>0</v>
      </c>
      <c r="L2724">
        <v>7</v>
      </c>
      <c r="M2724">
        <v>5</v>
      </c>
      <c r="O2724">
        <v>12</v>
      </c>
      <c r="P2724">
        <v>4</v>
      </c>
      <c r="Q2724">
        <v>2</v>
      </c>
      <c r="R2724">
        <v>35.450000000000003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H2724">
        <v>35.450000000000003</v>
      </c>
    </row>
    <row r="2725" spans="1:34" x14ac:dyDescent="0.3">
      <c r="A2725" s="4">
        <v>2939</v>
      </c>
      <c r="B2725" s="5">
        <v>2718</v>
      </c>
      <c r="C2725">
        <v>1531</v>
      </c>
      <c r="D2725" t="s">
        <v>67</v>
      </c>
      <c r="E2725" t="s">
        <v>1152</v>
      </c>
      <c r="F2725" t="s">
        <v>878</v>
      </c>
      <c r="G2725" t="s">
        <v>15733</v>
      </c>
      <c r="H2725">
        <v>21.43</v>
      </c>
      <c r="I2725">
        <v>0</v>
      </c>
      <c r="J2725">
        <v>0</v>
      </c>
      <c r="K2725">
        <v>0</v>
      </c>
      <c r="L2725">
        <v>7</v>
      </c>
      <c r="N2725">
        <v>3</v>
      </c>
      <c r="O2725">
        <v>10</v>
      </c>
      <c r="P2725">
        <v>4</v>
      </c>
      <c r="Q2725">
        <v>0</v>
      </c>
      <c r="R2725">
        <v>35.43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H2725">
        <v>35.43</v>
      </c>
    </row>
    <row r="2726" spans="1:34" x14ac:dyDescent="0.3">
      <c r="A2726" s="4">
        <v>2940</v>
      </c>
      <c r="B2726" s="5">
        <v>2719</v>
      </c>
      <c r="C2726">
        <v>15678</v>
      </c>
      <c r="D2726" t="s">
        <v>15734</v>
      </c>
      <c r="E2726" t="s">
        <v>161</v>
      </c>
      <c r="F2726" t="s">
        <v>328</v>
      </c>
      <c r="G2726" t="s">
        <v>15735</v>
      </c>
      <c r="H2726">
        <v>21.4</v>
      </c>
      <c r="I2726">
        <v>0</v>
      </c>
      <c r="J2726">
        <v>0</v>
      </c>
      <c r="K2726">
        <v>0</v>
      </c>
      <c r="L2726">
        <v>7</v>
      </c>
      <c r="N2726">
        <v>3</v>
      </c>
      <c r="O2726">
        <v>10</v>
      </c>
      <c r="P2726">
        <v>4</v>
      </c>
      <c r="Q2726">
        <v>0</v>
      </c>
      <c r="R2726">
        <v>35.4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H2726">
        <v>35.4</v>
      </c>
    </row>
    <row r="2727" spans="1:34" x14ac:dyDescent="0.3">
      <c r="A2727" s="4">
        <v>2941</v>
      </c>
      <c r="B2727" s="5">
        <v>2720</v>
      </c>
      <c r="C2727">
        <v>11002</v>
      </c>
      <c r="D2727" t="s">
        <v>15736</v>
      </c>
      <c r="E2727" t="s">
        <v>935</v>
      </c>
      <c r="F2727" t="s">
        <v>38</v>
      </c>
      <c r="G2727" t="s">
        <v>15737</v>
      </c>
      <c r="H2727">
        <v>19.399999999999999</v>
      </c>
      <c r="I2727">
        <v>0</v>
      </c>
      <c r="J2727">
        <v>0</v>
      </c>
      <c r="K2727">
        <v>0</v>
      </c>
      <c r="L2727">
        <v>7</v>
      </c>
      <c r="M2727">
        <v>5</v>
      </c>
      <c r="O2727">
        <v>12</v>
      </c>
      <c r="P2727">
        <v>4</v>
      </c>
      <c r="Q2727">
        <v>0</v>
      </c>
      <c r="R2727">
        <v>35.4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H2727">
        <v>35.4</v>
      </c>
    </row>
    <row r="2728" spans="1:34" x14ac:dyDescent="0.3">
      <c r="A2728" s="4">
        <v>2942</v>
      </c>
      <c r="B2728" s="5">
        <v>2721</v>
      </c>
      <c r="C2728">
        <v>11335</v>
      </c>
      <c r="D2728" t="s">
        <v>6107</v>
      </c>
      <c r="E2728" t="s">
        <v>692</v>
      </c>
      <c r="F2728" t="s">
        <v>55</v>
      </c>
      <c r="G2728" t="s">
        <v>15738</v>
      </c>
      <c r="H2728">
        <v>19.399999999999999</v>
      </c>
      <c r="I2728">
        <v>0</v>
      </c>
      <c r="J2728">
        <v>0</v>
      </c>
      <c r="K2728">
        <v>0</v>
      </c>
      <c r="L2728">
        <v>7</v>
      </c>
      <c r="M2728">
        <v>5</v>
      </c>
      <c r="O2728">
        <v>12</v>
      </c>
      <c r="P2728">
        <v>4</v>
      </c>
      <c r="Q2728">
        <v>0</v>
      </c>
      <c r="R2728">
        <v>35.4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H2728">
        <v>35.4</v>
      </c>
    </row>
    <row r="2729" spans="1:34" x14ac:dyDescent="0.3">
      <c r="A2729" s="4">
        <v>2943</v>
      </c>
      <c r="B2729" s="5">
        <v>2722</v>
      </c>
      <c r="C2729">
        <v>3952</v>
      </c>
      <c r="D2729" t="s">
        <v>15739</v>
      </c>
      <c r="E2729" t="s">
        <v>15740</v>
      </c>
      <c r="F2729" t="s">
        <v>4176</v>
      </c>
      <c r="G2729" t="s">
        <v>15741</v>
      </c>
      <c r="H2729">
        <v>19.399999999999999</v>
      </c>
      <c r="I2729">
        <v>0</v>
      </c>
      <c r="J2729">
        <v>0</v>
      </c>
      <c r="K2729">
        <v>0</v>
      </c>
      <c r="M2729">
        <v>5</v>
      </c>
      <c r="O2729">
        <v>5</v>
      </c>
      <c r="P2729">
        <v>4</v>
      </c>
      <c r="Q2729">
        <v>2</v>
      </c>
      <c r="R2729">
        <v>30.4</v>
      </c>
      <c r="S2729">
        <v>5</v>
      </c>
      <c r="T2729">
        <v>5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5</v>
      </c>
      <c r="AB2729">
        <v>0</v>
      </c>
      <c r="AC2729">
        <v>0</v>
      </c>
      <c r="AH2729">
        <v>35.4</v>
      </c>
    </row>
    <row r="2730" spans="1:34" x14ac:dyDescent="0.3">
      <c r="A2730" s="4">
        <v>2944</v>
      </c>
      <c r="B2730" s="5">
        <v>2723</v>
      </c>
      <c r="C2730">
        <v>14379</v>
      </c>
      <c r="D2730" t="s">
        <v>1604</v>
      </c>
      <c r="E2730" t="s">
        <v>29</v>
      </c>
      <c r="F2730" t="s">
        <v>385</v>
      </c>
      <c r="G2730" t="s">
        <v>15742</v>
      </c>
      <c r="H2730">
        <v>18.38</v>
      </c>
      <c r="I2730">
        <v>0</v>
      </c>
      <c r="J2730">
        <v>0</v>
      </c>
      <c r="K2730">
        <v>0</v>
      </c>
      <c r="L2730">
        <v>7</v>
      </c>
      <c r="O2730">
        <v>7</v>
      </c>
      <c r="P2730">
        <v>4</v>
      </c>
      <c r="Q2730">
        <v>0</v>
      </c>
      <c r="R2730">
        <v>29.38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6</v>
      </c>
      <c r="AC2730">
        <v>0</v>
      </c>
      <c r="AH2730">
        <v>35.380000000000003</v>
      </c>
    </row>
    <row r="2731" spans="1:34" x14ac:dyDescent="0.3">
      <c r="A2731" s="4">
        <v>2945</v>
      </c>
      <c r="B2731" s="5">
        <v>2724</v>
      </c>
      <c r="C2731">
        <v>8715</v>
      </c>
      <c r="D2731" t="s">
        <v>15743</v>
      </c>
      <c r="E2731" t="s">
        <v>88</v>
      </c>
      <c r="F2731" t="s">
        <v>136</v>
      </c>
      <c r="G2731" t="s">
        <v>15744</v>
      </c>
      <c r="H2731">
        <v>19.38</v>
      </c>
      <c r="I2731">
        <v>0</v>
      </c>
      <c r="J2731">
        <v>0</v>
      </c>
      <c r="K2731">
        <v>0</v>
      </c>
      <c r="L2731">
        <v>7</v>
      </c>
      <c r="M2731">
        <v>5</v>
      </c>
      <c r="O2731">
        <v>12</v>
      </c>
      <c r="P2731">
        <v>4</v>
      </c>
      <c r="Q2731">
        <v>0</v>
      </c>
      <c r="R2731">
        <v>35.380000000000003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H2731">
        <v>35.380000000000003</v>
      </c>
    </row>
    <row r="2732" spans="1:34" x14ac:dyDescent="0.3">
      <c r="A2732" s="4">
        <v>2946</v>
      </c>
      <c r="B2732" s="5">
        <v>2725</v>
      </c>
      <c r="C2732">
        <v>8366</v>
      </c>
      <c r="D2732" t="s">
        <v>15745</v>
      </c>
      <c r="E2732" t="s">
        <v>1189</v>
      </c>
      <c r="F2732" t="s">
        <v>17</v>
      </c>
      <c r="G2732" t="s">
        <v>15746</v>
      </c>
      <c r="H2732">
        <v>19.38</v>
      </c>
      <c r="I2732">
        <v>0</v>
      </c>
      <c r="J2732">
        <v>0</v>
      </c>
      <c r="K2732">
        <v>0</v>
      </c>
      <c r="L2732">
        <v>7</v>
      </c>
      <c r="N2732">
        <v>3</v>
      </c>
      <c r="O2732">
        <v>10</v>
      </c>
      <c r="P2732">
        <v>4</v>
      </c>
      <c r="Q2732">
        <v>2</v>
      </c>
      <c r="R2732">
        <v>35.380000000000003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H2732">
        <v>35.380000000000003</v>
      </c>
    </row>
    <row r="2733" spans="1:34" x14ac:dyDescent="0.3">
      <c r="A2733" s="4">
        <v>2947</v>
      </c>
      <c r="B2733" s="5">
        <v>2726</v>
      </c>
      <c r="C2733">
        <v>4380</v>
      </c>
      <c r="D2733" t="s">
        <v>15747</v>
      </c>
      <c r="E2733" t="s">
        <v>789</v>
      </c>
      <c r="F2733" t="s">
        <v>5693</v>
      </c>
      <c r="G2733" t="s">
        <v>15748</v>
      </c>
      <c r="H2733">
        <v>19.38</v>
      </c>
      <c r="I2733">
        <v>0</v>
      </c>
      <c r="J2733">
        <v>0</v>
      </c>
      <c r="K2733">
        <v>0</v>
      </c>
      <c r="L2733">
        <v>7</v>
      </c>
      <c r="N2733">
        <v>3</v>
      </c>
      <c r="O2733">
        <v>10</v>
      </c>
      <c r="P2733">
        <v>4</v>
      </c>
      <c r="Q2733">
        <v>2</v>
      </c>
      <c r="R2733">
        <v>35.380000000000003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H2733">
        <v>35.380000000000003</v>
      </c>
    </row>
    <row r="2734" spans="1:34" x14ac:dyDescent="0.3">
      <c r="A2734" s="4">
        <v>2948</v>
      </c>
      <c r="B2734" s="5">
        <v>2727</v>
      </c>
      <c r="C2734">
        <v>7085</v>
      </c>
      <c r="D2734" t="s">
        <v>15749</v>
      </c>
      <c r="E2734" t="s">
        <v>1274</v>
      </c>
      <c r="F2734" t="s">
        <v>3443</v>
      </c>
      <c r="G2734" t="s">
        <v>15750</v>
      </c>
      <c r="H2734">
        <v>22.35</v>
      </c>
      <c r="I2734">
        <v>0</v>
      </c>
      <c r="J2734">
        <v>0</v>
      </c>
      <c r="K2734">
        <v>0</v>
      </c>
      <c r="L2734">
        <v>7</v>
      </c>
      <c r="O2734">
        <v>7</v>
      </c>
      <c r="P2734">
        <v>4</v>
      </c>
      <c r="Q2734">
        <v>2</v>
      </c>
      <c r="R2734">
        <v>35.35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H2734">
        <v>35.35</v>
      </c>
    </row>
    <row r="2735" spans="1:34" x14ac:dyDescent="0.3">
      <c r="A2735" s="4">
        <v>2949</v>
      </c>
      <c r="B2735" s="5">
        <v>2728</v>
      </c>
      <c r="C2735">
        <v>14341</v>
      </c>
      <c r="D2735" t="s">
        <v>15751</v>
      </c>
      <c r="E2735" t="s">
        <v>29</v>
      </c>
      <c r="F2735" t="s">
        <v>17</v>
      </c>
      <c r="G2735" t="s">
        <v>15752</v>
      </c>
      <c r="H2735">
        <v>21.3</v>
      </c>
      <c r="I2735">
        <v>0</v>
      </c>
      <c r="J2735">
        <v>0</v>
      </c>
      <c r="K2735">
        <v>0</v>
      </c>
      <c r="L2735">
        <v>7</v>
      </c>
      <c r="O2735">
        <v>7</v>
      </c>
      <c r="P2735">
        <v>4</v>
      </c>
      <c r="Q2735">
        <v>0</v>
      </c>
      <c r="R2735">
        <v>32.299999999999997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3</v>
      </c>
      <c r="AC2735">
        <v>0</v>
      </c>
      <c r="AH2735">
        <v>35.299999999999997</v>
      </c>
    </row>
    <row r="2736" spans="1:34" x14ac:dyDescent="0.3">
      <c r="A2736" s="4">
        <v>2950</v>
      </c>
      <c r="B2736" s="5">
        <v>2729</v>
      </c>
      <c r="C2736">
        <v>2555</v>
      </c>
      <c r="D2736" t="s">
        <v>15753</v>
      </c>
      <c r="E2736" t="s">
        <v>15754</v>
      </c>
      <c r="F2736" t="s">
        <v>81</v>
      </c>
      <c r="G2736" t="s">
        <v>15755</v>
      </c>
      <c r="H2736">
        <v>21.3</v>
      </c>
      <c r="I2736">
        <v>0</v>
      </c>
      <c r="J2736">
        <v>0</v>
      </c>
      <c r="K2736">
        <v>0</v>
      </c>
      <c r="L2736">
        <v>7</v>
      </c>
      <c r="N2736">
        <v>3</v>
      </c>
      <c r="O2736">
        <v>10</v>
      </c>
      <c r="P2736">
        <v>4</v>
      </c>
      <c r="Q2736">
        <v>0</v>
      </c>
      <c r="R2736">
        <v>35.299999999999997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H2736">
        <v>35.299999999999997</v>
      </c>
    </row>
    <row r="2737" spans="1:34" x14ac:dyDescent="0.3">
      <c r="A2737" s="4">
        <v>2951</v>
      </c>
      <c r="B2737" s="5">
        <v>2730</v>
      </c>
      <c r="C2737">
        <v>6381</v>
      </c>
      <c r="D2737" t="s">
        <v>1240</v>
      </c>
      <c r="E2737" t="s">
        <v>15756</v>
      </c>
      <c r="F2737" t="s">
        <v>17</v>
      </c>
      <c r="G2737" t="s">
        <v>15757</v>
      </c>
      <c r="H2737">
        <v>19.3</v>
      </c>
      <c r="I2737">
        <v>0</v>
      </c>
      <c r="J2737">
        <v>0</v>
      </c>
      <c r="K2737">
        <v>0</v>
      </c>
      <c r="L2737">
        <v>7</v>
      </c>
      <c r="O2737">
        <v>7</v>
      </c>
      <c r="P2737">
        <v>4</v>
      </c>
      <c r="Q2737">
        <v>2</v>
      </c>
      <c r="R2737">
        <v>32.299999999999997</v>
      </c>
      <c r="S2737">
        <v>3</v>
      </c>
      <c r="T2737">
        <v>3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3</v>
      </c>
      <c r="AB2737">
        <v>0</v>
      </c>
      <c r="AC2737">
        <v>0</v>
      </c>
      <c r="AH2737">
        <v>35.299999999999997</v>
      </c>
    </row>
    <row r="2738" spans="1:34" x14ac:dyDescent="0.3">
      <c r="A2738" s="4">
        <v>2952</v>
      </c>
      <c r="B2738" s="5">
        <v>2731</v>
      </c>
      <c r="C2738">
        <v>14994</v>
      </c>
      <c r="D2738" t="s">
        <v>15758</v>
      </c>
      <c r="E2738" t="s">
        <v>338</v>
      </c>
      <c r="F2738" t="s">
        <v>17</v>
      </c>
      <c r="G2738" t="s">
        <v>15759</v>
      </c>
      <c r="H2738">
        <v>18.3</v>
      </c>
      <c r="I2738">
        <v>0</v>
      </c>
      <c r="J2738">
        <v>0</v>
      </c>
      <c r="K2738">
        <v>0</v>
      </c>
      <c r="L2738">
        <v>7</v>
      </c>
      <c r="O2738">
        <v>7</v>
      </c>
      <c r="P2738">
        <v>4</v>
      </c>
      <c r="Q2738">
        <v>0</v>
      </c>
      <c r="R2738">
        <v>29.3</v>
      </c>
      <c r="S2738">
        <v>6</v>
      </c>
      <c r="T2738">
        <v>6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6</v>
      </c>
      <c r="AB2738">
        <v>0</v>
      </c>
      <c r="AC2738">
        <v>0</v>
      </c>
      <c r="AH2738">
        <v>35.299999999999997</v>
      </c>
    </row>
    <row r="2739" spans="1:34" x14ac:dyDescent="0.3">
      <c r="A2739" s="4">
        <v>2953</v>
      </c>
      <c r="B2739" s="5">
        <v>2732</v>
      </c>
      <c r="C2739">
        <v>5285</v>
      </c>
      <c r="D2739" t="s">
        <v>10518</v>
      </c>
      <c r="E2739" t="s">
        <v>88</v>
      </c>
      <c r="F2739" t="s">
        <v>243</v>
      </c>
      <c r="G2739" t="s">
        <v>15760</v>
      </c>
      <c r="H2739">
        <v>15.28</v>
      </c>
      <c r="I2739">
        <v>0</v>
      </c>
      <c r="J2739">
        <v>0</v>
      </c>
      <c r="K2739">
        <v>0</v>
      </c>
      <c r="L2739">
        <v>7</v>
      </c>
      <c r="O2739">
        <v>7</v>
      </c>
      <c r="P2739">
        <v>4</v>
      </c>
      <c r="Q2739">
        <v>0</v>
      </c>
      <c r="R2739">
        <v>26.28</v>
      </c>
      <c r="S2739">
        <v>3</v>
      </c>
      <c r="T2739">
        <v>3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3</v>
      </c>
      <c r="AB2739">
        <v>6</v>
      </c>
      <c r="AC2739">
        <v>0</v>
      </c>
      <c r="AH2739">
        <v>35.28</v>
      </c>
    </row>
    <row r="2740" spans="1:34" x14ac:dyDescent="0.3">
      <c r="A2740" s="4">
        <v>2954</v>
      </c>
      <c r="B2740" s="5">
        <v>2733</v>
      </c>
      <c r="C2740">
        <v>240</v>
      </c>
      <c r="D2740" t="s">
        <v>1422</v>
      </c>
      <c r="E2740" t="s">
        <v>2088</v>
      </c>
      <c r="F2740" t="s">
        <v>68</v>
      </c>
      <c r="G2740" t="s">
        <v>15761</v>
      </c>
      <c r="H2740">
        <v>21.28</v>
      </c>
      <c r="I2740">
        <v>0</v>
      </c>
      <c r="J2740">
        <v>0</v>
      </c>
      <c r="K2740">
        <v>0</v>
      </c>
      <c r="L2740">
        <v>7</v>
      </c>
      <c r="N2740">
        <v>3</v>
      </c>
      <c r="O2740">
        <v>10</v>
      </c>
      <c r="P2740">
        <v>4</v>
      </c>
      <c r="Q2740">
        <v>0</v>
      </c>
      <c r="R2740">
        <v>35.28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H2740">
        <v>35.28</v>
      </c>
    </row>
    <row r="2741" spans="1:34" x14ac:dyDescent="0.3">
      <c r="A2741" s="4">
        <v>2955</v>
      </c>
      <c r="B2741" s="5">
        <v>2734</v>
      </c>
      <c r="C2741">
        <v>12783</v>
      </c>
      <c r="D2741" t="s">
        <v>7029</v>
      </c>
      <c r="E2741" t="s">
        <v>30</v>
      </c>
      <c r="F2741" t="s">
        <v>30</v>
      </c>
      <c r="G2741" t="s">
        <v>15762</v>
      </c>
      <c r="H2741">
        <v>21.28</v>
      </c>
      <c r="I2741">
        <v>7</v>
      </c>
      <c r="J2741">
        <v>0</v>
      </c>
      <c r="K2741">
        <v>0</v>
      </c>
      <c r="N2741">
        <v>3</v>
      </c>
      <c r="O2741">
        <v>3</v>
      </c>
      <c r="P2741">
        <v>4</v>
      </c>
      <c r="Q2741">
        <v>0</v>
      </c>
      <c r="R2741">
        <v>35.28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H2741">
        <v>35.28</v>
      </c>
    </row>
    <row r="2742" spans="1:34" x14ac:dyDescent="0.3">
      <c r="A2742" s="4">
        <v>2956</v>
      </c>
      <c r="B2742" s="5">
        <v>2735</v>
      </c>
      <c r="C2742">
        <v>14748</v>
      </c>
      <c r="D2742" t="s">
        <v>8302</v>
      </c>
      <c r="E2742" t="s">
        <v>208</v>
      </c>
      <c r="F2742" t="s">
        <v>230</v>
      </c>
      <c r="G2742" t="s">
        <v>15763</v>
      </c>
      <c r="H2742">
        <v>21.28</v>
      </c>
      <c r="I2742">
        <v>0</v>
      </c>
      <c r="J2742">
        <v>0</v>
      </c>
      <c r="K2742">
        <v>0</v>
      </c>
      <c r="L2742">
        <v>7</v>
      </c>
      <c r="N2742">
        <v>3</v>
      </c>
      <c r="O2742">
        <v>10</v>
      </c>
      <c r="P2742">
        <v>4</v>
      </c>
      <c r="Q2742">
        <v>0</v>
      </c>
      <c r="R2742">
        <v>35.28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H2742">
        <v>35.28</v>
      </c>
    </row>
    <row r="2743" spans="1:34" x14ac:dyDescent="0.3">
      <c r="A2743" s="4">
        <v>2957</v>
      </c>
      <c r="B2743" s="5">
        <v>2736</v>
      </c>
      <c r="C2743">
        <v>7243</v>
      </c>
      <c r="D2743" t="s">
        <v>7967</v>
      </c>
      <c r="E2743" t="s">
        <v>33</v>
      </c>
      <c r="F2743" t="s">
        <v>17</v>
      </c>
      <c r="G2743" t="s">
        <v>15764</v>
      </c>
      <c r="H2743">
        <v>19.28</v>
      </c>
      <c r="I2743">
        <v>0</v>
      </c>
      <c r="J2743">
        <v>0</v>
      </c>
      <c r="K2743">
        <v>0</v>
      </c>
      <c r="L2743">
        <v>7</v>
      </c>
      <c r="M2743">
        <v>5</v>
      </c>
      <c r="O2743">
        <v>12</v>
      </c>
      <c r="P2743">
        <v>4</v>
      </c>
      <c r="Q2743">
        <v>0</v>
      </c>
      <c r="R2743">
        <v>35.28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H2743">
        <v>35.28</v>
      </c>
    </row>
    <row r="2744" spans="1:34" x14ac:dyDescent="0.3">
      <c r="A2744" s="4">
        <v>2958</v>
      </c>
      <c r="B2744" s="5">
        <v>2737</v>
      </c>
      <c r="C2744">
        <v>14130</v>
      </c>
      <c r="D2744" t="s">
        <v>15765</v>
      </c>
      <c r="E2744" t="s">
        <v>208</v>
      </c>
      <c r="F2744" t="s">
        <v>972</v>
      </c>
      <c r="G2744" t="s">
        <v>15766</v>
      </c>
      <c r="H2744">
        <v>16.28</v>
      </c>
      <c r="I2744">
        <v>0</v>
      </c>
      <c r="J2744">
        <v>0</v>
      </c>
      <c r="K2744">
        <v>0</v>
      </c>
      <c r="N2744">
        <v>3</v>
      </c>
      <c r="O2744">
        <v>3</v>
      </c>
      <c r="P2744">
        <v>0</v>
      </c>
      <c r="Q2744">
        <v>0</v>
      </c>
      <c r="R2744">
        <v>19.28</v>
      </c>
      <c r="S2744">
        <v>16</v>
      </c>
      <c r="T2744">
        <v>16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16</v>
      </c>
      <c r="AB2744">
        <v>0</v>
      </c>
      <c r="AC2744">
        <v>0</v>
      </c>
      <c r="AH2744">
        <v>35.28</v>
      </c>
    </row>
    <row r="2745" spans="1:34" x14ac:dyDescent="0.3">
      <c r="A2745" s="4">
        <v>2959</v>
      </c>
      <c r="B2745" s="5">
        <v>2738</v>
      </c>
      <c r="C2745">
        <v>13262</v>
      </c>
      <c r="D2745" t="s">
        <v>2695</v>
      </c>
      <c r="E2745" t="s">
        <v>26</v>
      </c>
      <c r="F2745" t="s">
        <v>15767</v>
      </c>
      <c r="G2745" t="s">
        <v>15768</v>
      </c>
      <c r="H2745">
        <v>21.25</v>
      </c>
      <c r="I2745">
        <v>0</v>
      </c>
      <c r="J2745">
        <v>0</v>
      </c>
      <c r="K2745">
        <v>0</v>
      </c>
      <c r="L2745">
        <v>7</v>
      </c>
      <c r="O2745">
        <v>7</v>
      </c>
      <c r="P2745">
        <v>4</v>
      </c>
      <c r="Q2745">
        <v>0</v>
      </c>
      <c r="R2745">
        <v>32.25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3</v>
      </c>
      <c r="AC2745">
        <v>0</v>
      </c>
      <c r="AH2745">
        <v>35.25</v>
      </c>
    </row>
    <row r="2746" spans="1:34" x14ac:dyDescent="0.3">
      <c r="A2746" s="4">
        <v>2960</v>
      </c>
      <c r="B2746" s="5">
        <v>2739</v>
      </c>
      <c r="C2746">
        <v>1709</v>
      </c>
      <c r="D2746" t="s">
        <v>7056</v>
      </c>
      <c r="E2746" t="s">
        <v>4956</v>
      </c>
      <c r="F2746" t="s">
        <v>521</v>
      </c>
      <c r="G2746" t="s">
        <v>15769</v>
      </c>
      <c r="H2746">
        <v>19.25</v>
      </c>
      <c r="I2746">
        <v>0</v>
      </c>
      <c r="J2746">
        <v>0</v>
      </c>
      <c r="K2746">
        <v>0</v>
      </c>
      <c r="L2746">
        <v>7</v>
      </c>
      <c r="O2746">
        <v>7</v>
      </c>
      <c r="P2746">
        <v>4</v>
      </c>
      <c r="Q2746">
        <v>2</v>
      </c>
      <c r="R2746">
        <v>32.25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3</v>
      </c>
      <c r="AC2746">
        <v>0</v>
      </c>
      <c r="AH2746">
        <v>35.25</v>
      </c>
    </row>
    <row r="2747" spans="1:34" x14ac:dyDescent="0.3">
      <c r="A2747" s="4">
        <v>2961</v>
      </c>
      <c r="B2747" s="5">
        <v>2740</v>
      </c>
      <c r="C2747">
        <v>2751</v>
      </c>
      <c r="D2747" t="s">
        <v>15770</v>
      </c>
      <c r="E2747" t="s">
        <v>1280</v>
      </c>
      <c r="F2747" t="s">
        <v>1854</v>
      </c>
      <c r="G2747" t="s">
        <v>15771</v>
      </c>
      <c r="H2747">
        <v>22.25</v>
      </c>
      <c r="I2747">
        <v>0</v>
      </c>
      <c r="J2747">
        <v>0</v>
      </c>
      <c r="K2747">
        <v>0</v>
      </c>
      <c r="L2747">
        <v>7</v>
      </c>
      <c r="O2747">
        <v>7</v>
      </c>
      <c r="P2747">
        <v>4</v>
      </c>
      <c r="Q2747">
        <v>2</v>
      </c>
      <c r="R2747">
        <v>35.25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H2747">
        <v>35.25</v>
      </c>
    </row>
    <row r="2748" spans="1:34" x14ac:dyDescent="0.3">
      <c r="A2748" s="4">
        <v>2962</v>
      </c>
      <c r="B2748" s="5">
        <v>2741</v>
      </c>
      <c r="C2748">
        <v>15424</v>
      </c>
      <c r="D2748" t="s">
        <v>1565</v>
      </c>
      <c r="E2748" t="s">
        <v>29</v>
      </c>
      <c r="F2748" t="s">
        <v>1460</v>
      </c>
      <c r="G2748" t="s">
        <v>15772</v>
      </c>
      <c r="H2748">
        <v>21.25</v>
      </c>
      <c r="I2748">
        <v>0</v>
      </c>
      <c r="J2748">
        <v>0</v>
      </c>
      <c r="K2748">
        <v>0</v>
      </c>
      <c r="L2748">
        <v>7</v>
      </c>
      <c r="N2748">
        <v>3</v>
      </c>
      <c r="O2748">
        <v>10</v>
      </c>
      <c r="P2748">
        <v>4</v>
      </c>
      <c r="Q2748">
        <v>0</v>
      </c>
      <c r="R2748">
        <v>35.25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H2748">
        <v>35.25</v>
      </c>
    </row>
    <row r="2749" spans="1:34" x14ac:dyDescent="0.3">
      <c r="A2749" s="4">
        <v>2963</v>
      </c>
      <c r="B2749" s="5">
        <v>2742</v>
      </c>
      <c r="C2749">
        <v>12588</v>
      </c>
      <c r="D2749" t="s">
        <v>15773</v>
      </c>
      <c r="E2749" t="s">
        <v>15774</v>
      </c>
      <c r="F2749" t="s">
        <v>136</v>
      </c>
      <c r="G2749" t="s">
        <v>15775</v>
      </c>
      <c r="H2749">
        <v>19.25</v>
      </c>
      <c r="I2749">
        <v>0</v>
      </c>
      <c r="J2749">
        <v>0</v>
      </c>
      <c r="K2749">
        <v>0</v>
      </c>
      <c r="L2749">
        <v>7</v>
      </c>
      <c r="N2749">
        <v>3</v>
      </c>
      <c r="O2749">
        <v>10</v>
      </c>
      <c r="P2749">
        <v>4</v>
      </c>
      <c r="Q2749">
        <v>2</v>
      </c>
      <c r="R2749">
        <v>35.25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H2749">
        <v>35.25</v>
      </c>
    </row>
    <row r="2750" spans="1:34" x14ac:dyDescent="0.3">
      <c r="A2750" s="4">
        <v>2964</v>
      </c>
      <c r="B2750" s="5">
        <v>2743</v>
      </c>
      <c r="C2750">
        <v>14038</v>
      </c>
      <c r="D2750" t="s">
        <v>15776</v>
      </c>
      <c r="E2750" t="s">
        <v>54</v>
      </c>
      <c r="F2750" t="s">
        <v>15777</v>
      </c>
      <c r="G2750" t="s">
        <v>15778</v>
      </c>
      <c r="H2750">
        <v>21.23</v>
      </c>
      <c r="I2750">
        <v>0</v>
      </c>
      <c r="J2750">
        <v>0</v>
      </c>
      <c r="K2750">
        <v>0</v>
      </c>
      <c r="L2750">
        <v>7</v>
      </c>
      <c r="N2750">
        <v>3</v>
      </c>
      <c r="O2750">
        <v>10</v>
      </c>
      <c r="P2750">
        <v>4</v>
      </c>
      <c r="Q2750">
        <v>0</v>
      </c>
      <c r="R2750">
        <v>35.229999999999997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H2750">
        <v>35.229999999999997</v>
      </c>
    </row>
    <row r="2751" spans="1:34" x14ac:dyDescent="0.3">
      <c r="A2751" s="4">
        <v>2965</v>
      </c>
      <c r="B2751" s="5">
        <v>2744</v>
      </c>
      <c r="C2751">
        <v>7761</v>
      </c>
      <c r="D2751" t="s">
        <v>15779</v>
      </c>
      <c r="E2751" t="s">
        <v>1924</v>
      </c>
      <c r="F2751" t="s">
        <v>68</v>
      </c>
      <c r="G2751" t="s">
        <v>15780</v>
      </c>
      <c r="H2751">
        <v>21.2</v>
      </c>
      <c r="I2751">
        <v>0</v>
      </c>
      <c r="J2751">
        <v>0</v>
      </c>
      <c r="K2751">
        <v>0</v>
      </c>
      <c r="L2751">
        <v>7</v>
      </c>
      <c r="N2751">
        <v>3</v>
      </c>
      <c r="O2751">
        <v>10</v>
      </c>
      <c r="P2751">
        <v>4</v>
      </c>
      <c r="Q2751">
        <v>0</v>
      </c>
      <c r="R2751">
        <v>35.200000000000003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H2751">
        <v>35.200000000000003</v>
      </c>
    </row>
    <row r="2752" spans="1:34" x14ac:dyDescent="0.3">
      <c r="A2752" s="4">
        <v>2966</v>
      </c>
      <c r="B2752" s="5">
        <v>2745</v>
      </c>
      <c r="C2752">
        <v>9380</v>
      </c>
      <c r="D2752" t="s">
        <v>15781</v>
      </c>
      <c r="E2752" t="s">
        <v>97</v>
      </c>
      <c r="F2752" t="s">
        <v>58</v>
      </c>
      <c r="G2752" t="s">
        <v>15782</v>
      </c>
      <c r="H2752">
        <v>21.2</v>
      </c>
      <c r="I2752">
        <v>0</v>
      </c>
      <c r="J2752">
        <v>0</v>
      </c>
      <c r="K2752">
        <v>0</v>
      </c>
      <c r="M2752">
        <v>5</v>
      </c>
      <c r="N2752">
        <v>3</v>
      </c>
      <c r="O2752">
        <v>8</v>
      </c>
      <c r="P2752">
        <v>4</v>
      </c>
      <c r="Q2752">
        <v>2</v>
      </c>
      <c r="R2752">
        <v>35.200000000000003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H2752">
        <v>35.200000000000003</v>
      </c>
    </row>
    <row r="2753" spans="1:34" x14ac:dyDescent="0.3">
      <c r="A2753" s="4">
        <v>2967</v>
      </c>
      <c r="B2753" s="5">
        <v>2746</v>
      </c>
      <c r="C2753">
        <v>2248</v>
      </c>
      <c r="D2753" t="s">
        <v>1240</v>
      </c>
      <c r="E2753" t="s">
        <v>2011</v>
      </c>
      <c r="F2753" t="s">
        <v>375</v>
      </c>
      <c r="G2753" t="s">
        <v>15783</v>
      </c>
      <c r="H2753">
        <v>21.1</v>
      </c>
      <c r="I2753">
        <v>0</v>
      </c>
      <c r="J2753">
        <v>0</v>
      </c>
      <c r="K2753">
        <v>0</v>
      </c>
      <c r="L2753">
        <v>7</v>
      </c>
      <c r="N2753">
        <v>3</v>
      </c>
      <c r="O2753">
        <v>10</v>
      </c>
      <c r="P2753">
        <v>4</v>
      </c>
      <c r="Q2753">
        <v>0</v>
      </c>
      <c r="R2753">
        <v>35.1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H2753">
        <v>35.1</v>
      </c>
    </row>
    <row r="2754" spans="1:34" x14ac:dyDescent="0.3">
      <c r="A2754" s="4">
        <v>2968</v>
      </c>
      <c r="B2754" s="5">
        <v>2747</v>
      </c>
      <c r="C2754">
        <v>11568</v>
      </c>
      <c r="D2754" t="s">
        <v>10885</v>
      </c>
      <c r="E2754" t="s">
        <v>15784</v>
      </c>
      <c r="F2754" t="s">
        <v>190</v>
      </c>
      <c r="G2754" t="s">
        <v>15785</v>
      </c>
      <c r="H2754">
        <v>21.1</v>
      </c>
      <c r="I2754">
        <v>0</v>
      </c>
      <c r="J2754">
        <v>0</v>
      </c>
      <c r="K2754">
        <v>0</v>
      </c>
      <c r="L2754">
        <v>7</v>
      </c>
      <c r="O2754">
        <v>7</v>
      </c>
      <c r="P2754">
        <v>4</v>
      </c>
      <c r="Q2754">
        <v>2</v>
      </c>
      <c r="R2754">
        <v>34.1</v>
      </c>
      <c r="S2754">
        <v>1</v>
      </c>
      <c r="T2754">
        <v>1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1</v>
      </c>
      <c r="AB2754">
        <v>0</v>
      </c>
      <c r="AC2754">
        <v>0</v>
      </c>
      <c r="AH2754">
        <v>35.1</v>
      </c>
    </row>
    <row r="2755" spans="1:34" x14ac:dyDescent="0.3">
      <c r="A2755" s="4">
        <v>2969</v>
      </c>
      <c r="B2755" s="5">
        <v>2748</v>
      </c>
      <c r="C2755">
        <v>828</v>
      </c>
      <c r="D2755" t="s">
        <v>15786</v>
      </c>
      <c r="E2755" t="s">
        <v>29</v>
      </c>
      <c r="F2755" t="s">
        <v>20</v>
      </c>
      <c r="G2755" t="s">
        <v>15787</v>
      </c>
      <c r="H2755">
        <v>20.079999999999998</v>
      </c>
      <c r="I2755">
        <v>0</v>
      </c>
      <c r="J2755">
        <v>0</v>
      </c>
      <c r="K2755">
        <v>0</v>
      </c>
      <c r="N2755">
        <v>3</v>
      </c>
      <c r="O2755">
        <v>3</v>
      </c>
      <c r="P2755">
        <v>4</v>
      </c>
      <c r="Q2755">
        <v>2</v>
      </c>
      <c r="R2755">
        <v>29.08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6</v>
      </c>
      <c r="AC2755">
        <v>0</v>
      </c>
      <c r="AH2755">
        <v>35.08</v>
      </c>
    </row>
    <row r="2756" spans="1:34" x14ac:dyDescent="0.3">
      <c r="A2756" s="4">
        <v>2970</v>
      </c>
      <c r="B2756" s="5">
        <v>2749</v>
      </c>
      <c r="C2756">
        <v>2725</v>
      </c>
      <c r="D2756" t="s">
        <v>15788</v>
      </c>
      <c r="E2756" t="s">
        <v>26</v>
      </c>
      <c r="F2756" t="s">
        <v>193</v>
      </c>
      <c r="G2756" t="s">
        <v>15789</v>
      </c>
      <c r="H2756">
        <v>17.079999999999998</v>
      </c>
      <c r="I2756">
        <v>7</v>
      </c>
      <c r="J2756">
        <v>0</v>
      </c>
      <c r="K2756">
        <v>0</v>
      </c>
      <c r="L2756">
        <v>7</v>
      </c>
      <c r="O2756">
        <v>7</v>
      </c>
      <c r="P2756">
        <v>4</v>
      </c>
      <c r="Q2756">
        <v>0</v>
      </c>
      <c r="R2756">
        <v>35.08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H2756">
        <v>35.08</v>
      </c>
    </row>
    <row r="2757" spans="1:34" x14ac:dyDescent="0.3">
      <c r="A2757" s="4">
        <v>2971</v>
      </c>
      <c r="B2757" s="5">
        <v>2750</v>
      </c>
      <c r="C2757">
        <v>14124</v>
      </c>
      <c r="D2757" t="s">
        <v>7427</v>
      </c>
      <c r="E2757" t="s">
        <v>29</v>
      </c>
      <c r="F2757" t="s">
        <v>17</v>
      </c>
      <c r="G2757" t="s">
        <v>15790</v>
      </c>
      <c r="H2757">
        <v>21.05</v>
      </c>
      <c r="I2757">
        <v>0</v>
      </c>
      <c r="J2757">
        <v>0</v>
      </c>
      <c r="K2757">
        <v>0</v>
      </c>
      <c r="L2757">
        <v>7</v>
      </c>
      <c r="N2757">
        <v>3</v>
      </c>
      <c r="O2757">
        <v>10</v>
      </c>
      <c r="P2757">
        <v>4</v>
      </c>
      <c r="Q2757">
        <v>0</v>
      </c>
      <c r="R2757">
        <v>35.049999999999997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H2757">
        <v>35.049999999999997</v>
      </c>
    </row>
    <row r="2758" spans="1:34" x14ac:dyDescent="0.3">
      <c r="A2758" s="4">
        <v>2972</v>
      </c>
      <c r="B2758" s="5">
        <v>2751</v>
      </c>
      <c r="C2758">
        <v>535</v>
      </c>
      <c r="D2758" t="s">
        <v>1827</v>
      </c>
      <c r="E2758" t="s">
        <v>13254</v>
      </c>
      <c r="F2758" t="s">
        <v>124</v>
      </c>
      <c r="G2758" t="s">
        <v>15791</v>
      </c>
      <c r="H2758">
        <v>19.03</v>
      </c>
      <c r="I2758">
        <v>0</v>
      </c>
      <c r="J2758">
        <v>0</v>
      </c>
      <c r="K2758">
        <v>0</v>
      </c>
      <c r="L2758">
        <v>7</v>
      </c>
      <c r="N2758">
        <v>3</v>
      </c>
      <c r="O2758">
        <v>10</v>
      </c>
      <c r="P2758">
        <v>4</v>
      </c>
      <c r="Q2758">
        <v>2</v>
      </c>
      <c r="R2758">
        <v>35.03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H2758">
        <v>35.03</v>
      </c>
    </row>
    <row r="2759" spans="1:34" x14ac:dyDescent="0.3">
      <c r="A2759" s="4">
        <v>2973</v>
      </c>
      <c r="B2759" s="5">
        <v>2752</v>
      </c>
      <c r="C2759">
        <v>9740</v>
      </c>
      <c r="D2759" t="s">
        <v>15792</v>
      </c>
      <c r="E2759" t="s">
        <v>738</v>
      </c>
      <c r="F2759" t="s">
        <v>652</v>
      </c>
      <c r="G2759" t="s">
        <v>15793</v>
      </c>
      <c r="H2759">
        <v>19.03</v>
      </c>
      <c r="I2759">
        <v>0</v>
      </c>
      <c r="J2759">
        <v>0</v>
      </c>
      <c r="K2759">
        <v>0</v>
      </c>
      <c r="L2759">
        <v>7</v>
      </c>
      <c r="N2759">
        <v>3</v>
      </c>
      <c r="O2759">
        <v>10</v>
      </c>
      <c r="P2759">
        <v>4</v>
      </c>
      <c r="Q2759">
        <v>2</v>
      </c>
      <c r="R2759">
        <v>35.03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H2759">
        <v>35.03</v>
      </c>
    </row>
    <row r="2760" spans="1:34" x14ac:dyDescent="0.3">
      <c r="A2760" s="4">
        <v>2974</v>
      </c>
      <c r="B2760" s="5">
        <v>2753</v>
      </c>
      <c r="C2760">
        <v>13906</v>
      </c>
      <c r="D2760" t="s">
        <v>11393</v>
      </c>
      <c r="E2760" t="s">
        <v>594</v>
      </c>
      <c r="F2760" t="s">
        <v>1526</v>
      </c>
      <c r="G2760" t="s">
        <v>15794</v>
      </c>
      <c r="H2760">
        <v>21</v>
      </c>
      <c r="I2760">
        <v>0</v>
      </c>
      <c r="J2760">
        <v>0</v>
      </c>
      <c r="K2760">
        <v>0</v>
      </c>
      <c r="L2760">
        <v>7</v>
      </c>
      <c r="N2760">
        <v>3</v>
      </c>
      <c r="O2760">
        <v>10</v>
      </c>
      <c r="P2760">
        <v>4</v>
      </c>
      <c r="Q2760">
        <v>0</v>
      </c>
      <c r="R2760">
        <v>35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H2760">
        <v>35</v>
      </c>
    </row>
    <row r="2761" spans="1:34" x14ac:dyDescent="0.3">
      <c r="A2761" s="4">
        <v>2975</v>
      </c>
      <c r="B2761" s="5">
        <v>2754</v>
      </c>
      <c r="C2761">
        <v>10470</v>
      </c>
      <c r="D2761" t="s">
        <v>3587</v>
      </c>
      <c r="E2761" t="s">
        <v>29</v>
      </c>
      <c r="F2761" t="s">
        <v>38</v>
      </c>
      <c r="G2761" t="s">
        <v>15795</v>
      </c>
      <c r="H2761">
        <v>17.98</v>
      </c>
      <c r="I2761">
        <v>0</v>
      </c>
      <c r="J2761">
        <v>0</v>
      </c>
      <c r="K2761">
        <v>0</v>
      </c>
      <c r="L2761">
        <v>7</v>
      </c>
      <c r="O2761">
        <v>7</v>
      </c>
      <c r="P2761">
        <v>4</v>
      </c>
      <c r="Q2761">
        <v>2</v>
      </c>
      <c r="R2761">
        <v>30.98</v>
      </c>
      <c r="S2761">
        <v>4</v>
      </c>
      <c r="T2761">
        <v>4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4</v>
      </c>
      <c r="AB2761">
        <v>0</v>
      </c>
      <c r="AC2761">
        <v>0</v>
      </c>
      <c r="AH2761">
        <v>34.979999999999997</v>
      </c>
    </row>
    <row r="2762" spans="1:34" x14ac:dyDescent="0.3">
      <c r="A2762" s="4">
        <v>2976</v>
      </c>
      <c r="B2762" s="5">
        <v>2755</v>
      </c>
      <c r="C2762">
        <v>2525</v>
      </c>
      <c r="D2762" t="s">
        <v>15796</v>
      </c>
      <c r="E2762" t="s">
        <v>471</v>
      </c>
      <c r="F2762" t="s">
        <v>801</v>
      </c>
      <c r="G2762" t="s">
        <v>15797</v>
      </c>
      <c r="H2762">
        <v>21.95</v>
      </c>
      <c r="I2762">
        <v>0</v>
      </c>
      <c r="J2762">
        <v>0</v>
      </c>
      <c r="K2762">
        <v>0</v>
      </c>
      <c r="L2762">
        <v>7</v>
      </c>
      <c r="O2762">
        <v>7</v>
      </c>
      <c r="P2762">
        <v>4</v>
      </c>
      <c r="Q2762">
        <v>2</v>
      </c>
      <c r="R2762">
        <v>34.950000000000003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 t="s">
        <v>130</v>
      </c>
      <c r="AH2762">
        <v>34.950000000000003</v>
      </c>
    </row>
    <row r="2763" spans="1:34" x14ac:dyDescent="0.3">
      <c r="A2763" s="4">
        <v>2977</v>
      </c>
      <c r="B2763" s="5">
        <v>2756</v>
      </c>
      <c r="C2763">
        <v>3451</v>
      </c>
      <c r="D2763" t="s">
        <v>15798</v>
      </c>
      <c r="E2763" t="s">
        <v>41</v>
      </c>
      <c r="F2763" t="s">
        <v>2237</v>
      </c>
      <c r="G2763" t="s">
        <v>15799</v>
      </c>
      <c r="H2763">
        <v>21.95</v>
      </c>
      <c r="I2763">
        <v>0</v>
      </c>
      <c r="J2763">
        <v>0</v>
      </c>
      <c r="K2763">
        <v>0</v>
      </c>
      <c r="L2763">
        <v>7</v>
      </c>
      <c r="O2763">
        <v>7</v>
      </c>
      <c r="P2763">
        <v>4</v>
      </c>
      <c r="Q2763">
        <v>2</v>
      </c>
      <c r="R2763">
        <v>34.950000000000003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H2763">
        <v>34.950000000000003</v>
      </c>
    </row>
    <row r="2764" spans="1:34" x14ac:dyDescent="0.3">
      <c r="A2764" s="4">
        <v>2978</v>
      </c>
      <c r="B2764" s="5">
        <v>2757</v>
      </c>
      <c r="C2764">
        <v>4916</v>
      </c>
      <c r="D2764" t="s">
        <v>15800</v>
      </c>
      <c r="E2764" t="s">
        <v>1387</v>
      </c>
      <c r="F2764" t="s">
        <v>136</v>
      </c>
      <c r="G2764" t="s">
        <v>15801</v>
      </c>
      <c r="H2764">
        <v>20.95</v>
      </c>
      <c r="I2764">
        <v>0</v>
      </c>
      <c r="J2764">
        <v>0</v>
      </c>
      <c r="K2764">
        <v>0</v>
      </c>
      <c r="L2764">
        <v>7</v>
      </c>
      <c r="N2764">
        <v>3</v>
      </c>
      <c r="O2764">
        <v>10</v>
      </c>
      <c r="P2764">
        <v>4</v>
      </c>
      <c r="Q2764">
        <v>0</v>
      </c>
      <c r="R2764">
        <v>34.950000000000003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H2764">
        <v>34.950000000000003</v>
      </c>
    </row>
    <row r="2765" spans="1:34" x14ac:dyDescent="0.3">
      <c r="A2765" s="4">
        <v>2979</v>
      </c>
      <c r="B2765" s="5">
        <v>2758</v>
      </c>
      <c r="C2765">
        <v>10069</v>
      </c>
      <c r="D2765" t="s">
        <v>15802</v>
      </c>
      <c r="E2765" t="s">
        <v>97</v>
      </c>
      <c r="F2765" t="s">
        <v>243</v>
      </c>
      <c r="G2765" t="s">
        <v>15803</v>
      </c>
      <c r="H2765">
        <v>18.95</v>
      </c>
      <c r="I2765">
        <v>0</v>
      </c>
      <c r="J2765">
        <v>0</v>
      </c>
      <c r="K2765">
        <v>0</v>
      </c>
      <c r="L2765">
        <v>7</v>
      </c>
      <c r="N2765">
        <v>3</v>
      </c>
      <c r="O2765">
        <v>10</v>
      </c>
      <c r="P2765">
        <v>4</v>
      </c>
      <c r="Q2765">
        <v>2</v>
      </c>
      <c r="R2765">
        <v>34.950000000000003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H2765">
        <v>34.950000000000003</v>
      </c>
    </row>
    <row r="2766" spans="1:34" x14ac:dyDescent="0.3">
      <c r="A2766" s="4">
        <v>2980</v>
      </c>
      <c r="B2766" s="5">
        <v>2759</v>
      </c>
      <c r="C2766">
        <v>14600</v>
      </c>
      <c r="D2766" t="s">
        <v>3831</v>
      </c>
      <c r="E2766" t="s">
        <v>22</v>
      </c>
      <c r="F2766" t="s">
        <v>124</v>
      </c>
      <c r="G2766" t="s">
        <v>15804</v>
      </c>
      <c r="H2766">
        <v>19.95</v>
      </c>
      <c r="I2766">
        <v>0</v>
      </c>
      <c r="J2766">
        <v>0</v>
      </c>
      <c r="K2766">
        <v>0</v>
      </c>
      <c r="L2766">
        <v>7</v>
      </c>
      <c r="O2766">
        <v>7</v>
      </c>
      <c r="P2766">
        <v>0</v>
      </c>
      <c r="Q2766">
        <v>2</v>
      </c>
      <c r="R2766">
        <v>28.95</v>
      </c>
      <c r="S2766">
        <v>6</v>
      </c>
      <c r="T2766">
        <v>6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6</v>
      </c>
      <c r="AB2766">
        <v>0</v>
      </c>
      <c r="AC2766">
        <v>0</v>
      </c>
      <c r="AH2766">
        <v>34.950000000000003</v>
      </c>
    </row>
    <row r="2767" spans="1:34" x14ac:dyDescent="0.3">
      <c r="A2767" s="4">
        <v>2981</v>
      </c>
      <c r="B2767" s="5">
        <v>2760</v>
      </c>
      <c r="C2767">
        <v>6009</v>
      </c>
      <c r="D2767" t="s">
        <v>9267</v>
      </c>
      <c r="E2767" t="s">
        <v>29</v>
      </c>
      <c r="F2767" t="s">
        <v>124</v>
      </c>
      <c r="G2767" t="s">
        <v>15805</v>
      </c>
      <c r="H2767">
        <v>21.93</v>
      </c>
      <c r="I2767">
        <v>0</v>
      </c>
      <c r="J2767">
        <v>0</v>
      </c>
      <c r="K2767">
        <v>0</v>
      </c>
      <c r="L2767">
        <v>7</v>
      </c>
      <c r="O2767">
        <v>7</v>
      </c>
      <c r="P2767">
        <v>4</v>
      </c>
      <c r="Q2767">
        <v>2</v>
      </c>
      <c r="R2767">
        <v>34.93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H2767">
        <v>34.93</v>
      </c>
    </row>
    <row r="2768" spans="1:34" x14ac:dyDescent="0.3">
      <c r="A2768" s="4">
        <v>2982</v>
      </c>
      <c r="B2768" s="5">
        <v>2761</v>
      </c>
      <c r="C2768">
        <v>8744</v>
      </c>
      <c r="D2768" t="s">
        <v>15806</v>
      </c>
      <c r="E2768" t="s">
        <v>744</v>
      </c>
      <c r="F2768" t="s">
        <v>17</v>
      </c>
      <c r="G2768" t="s">
        <v>15807</v>
      </c>
      <c r="H2768">
        <v>18.93</v>
      </c>
      <c r="I2768">
        <v>0</v>
      </c>
      <c r="J2768">
        <v>0</v>
      </c>
      <c r="K2768">
        <v>0</v>
      </c>
      <c r="L2768">
        <v>7</v>
      </c>
      <c r="N2768">
        <v>3</v>
      </c>
      <c r="O2768">
        <v>10</v>
      </c>
      <c r="P2768">
        <v>4</v>
      </c>
      <c r="Q2768">
        <v>2</v>
      </c>
      <c r="R2768">
        <v>34.93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H2768">
        <v>34.93</v>
      </c>
    </row>
    <row r="2769" spans="1:34" x14ac:dyDescent="0.3">
      <c r="A2769" s="4">
        <v>2983</v>
      </c>
      <c r="B2769" s="5">
        <v>2762</v>
      </c>
      <c r="C2769">
        <v>3160</v>
      </c>
      <c r="D2769" t="s">
        <v>1129</v>
      </c>
      <c r="E2769" t="s">
        <v>166</v>
      </c>
      <c r="F2769" t="s">
        <v>230</v>
      </c>
      <c r="G2769" t="s">
        <v>15808</v>
      </c>
      <c r="H2769">
        <v>19.899999999999999</v>
      </c>
      <c r="I2769">
        <v>0</v>
      </c>
      <c r="J2769">
        <v>0</v>
      </c>
      <c r="K2769">
        <v>0</v>
      </c>
      <c r="N2769">
        <v>3</v>
      </c>
      <c r="O2769">
        <v>3</v>
      </c>
      <c r="P2769">
        <v>4</v>
      </c>
      <c r="Q2769">
        <v>2</v>
      </c>
      <c r="R2769">
        <v>28.9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6</v>
      </c>
      <c r="AC2769">
        <v>0</v>
      </c>
      <c r="AH2769">
        <v>34.9</v>
      </c>
    </row>
    <row r="2770" spans="1:34" x14ac:dyDescent="0.3">
      <c r="A2770" s="4">
        <v>2984</v>
      </c>
      <c r="B2770" s="5">
        <v>2763</v>
      </c>
      <c r="C2770">
        <v>12393</v>
      </c>
      <c r="D2770" t="s">
        <v>15809</v>
      </c>
      <c r="E2770" t="s">
        <v>4502</v>
      </c>
      <c r="F2770" t="s">
        <v>4176</v>
      </c>
      <c r="G2770" t="s">
        <v>15810</v>
      </c>
      <c r="H2770">
        <v>18.899999999999999</v>
      </c>
      <c r="I2770">
        <v>0</v>
      </c>
      <c r="J2770">
        <v>0</v>
      </c>
      <c r="K2770">
        <v>0</v>
      </c>
      <c r="L2770">
        <v>7</v>
      </c>
      <c r="N2770">
        <v>3</v>
      </c>
      <c r="O2770">
        <v>10</v>
      </c>
      <c r="P2770">
        <v>4</v>
      </c>
      <c r="Q2770">
        <v>2</v>
      </c>
      <c r="R2770">
        <v>34.9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H2770">
        <v>34.9</v>
      </c>
    </row>
    <row r="2771" spans="1:34" x14ac:dyDescent="0.3">
      <c r="A2771" s="4">
        <v>2985</v>
      </c>
      <c r="B2771" s="5">
        <v>2764</v>
      </c>
      <c r="C2771">
        <v>13474</v>
      </c>
      <c r="D2771" t="s">
        <v>1617</v>
      </c>
      <c r="E2771" t="s">
        <v>15811</v>
      </c>
      <c r="F2771" t="s">
        <v>38</v>
      </c>
      <c r="G2771" t="s">
        <v>15812</v>
      </c>
      <c r="H2771">
        <v>17.899999999999999</v>
      </c>
      <c r="I2771">
        <v>0</v>
      </c>
      <c r="J2771">
        <v>0</v>
      </c>
      <c r="K2771">
        <v>0</v>
      </c>
      <c r="L2771">
        <v>7</v>
      </c>
      <c r="N2771">
        <v>3</v>
      </c>
      <c r="O2771">
        <v>10</v>
      </c>
      <c r="P2771">
        <v>0</v>
      </c>
      <c r="Q2771">
        <v>2</v>
      </c>
      <c r="R2771">
        <v>29.9</v>
      </c>
      <c r="S2771">
        <v>5</v>
      </c>
      <c r="T2771">
        <v>5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5</v>
      </c>
      <c r="AB2771">
        <v>0</v>
      </c>
      <c r="AC2771">
        <v>0</v>
      </c>
      <c r="AH2771">
        <v>34.9</v>
      </c>
    </row>
    <row r="2772" spans="1:34" x14ac:dyDescent="0.3">
      <c r="A2772" s="4">
        <v>2986</v>
      </c>
      <c r="B2772" s="5">
        <v>2765</v>
      </c>
      <c r="C2772">
        <v>3950</v>
      </c>
      <c r="D2772" t="s">
        <v>1287</v>
      </c>
      <c r="E2772" t="s">
        <v>149</v>
      </c>
      <c r="F2772" t="s">
        <v>570</v>
      </c>
      <c r="G2772" t="s">
        <v>15813</v>
      </c>
      <c r="H2772">
        <v>21.88</v>
      </c>
      <c r="I2772">
        <v>0</v>
      </c>
      <c r="J2772">
        <v>0</v>
      </c>
      <c r="K2772">
        <v>0</v>
      </c>
      <c r="L2772">
        <v>7</v>
      </c>
      <c r="O2772">
        <v>7</v>
      </c>
      <c r="P2772">
        <v>4</v>
      </c>
      <c r="Q2772">
        <v>2</v>
      </c>
      <c r="R2772">
        <v>34.880000000000003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H2772">
        <v>34.880000000000003</v>
      </c>
    </row>
    <row r="2773" spans="1:34" x14ac:dyDescent="0.3">
      <c r="A2773" s="4">
        <v>2987</v>
      </c>
      <c r="B2773" s="5">
        <v>2766</v>
      </c>
      <c r="C2773">
        <v>5726</v>
      </c>
      <c r="D2773" t="s">
        <v>15814</v>
      </c>
      <c r="E2773" t="s">
        <v>1413</v>
      </c>
      <c r="F2773" t="s">
        <v>1090</v>
      </c>
      <c r="G2773" t="s">
        <v>32060</v>
      </c>
      <c r="H2773">
        <v>18.88</v>
      </c>
      <c r="I2773">
        <v>0</v>
      </c>
      <c r="J2773">
        <v>0</v>
      </c>
      <c r="K2773">
        <v>0</v>
      </c>
      <c r="L2773">
        <v>7</v>
      </c>
      <c r="N2773">
        <v>3</v>
      </c>
      <c r="O2773">
        <v>10</v>
      </c>
      <c r="P2773">
        <v>4</v>
      </c>
      <c r="Q2773">
        <v>2</v>
      </c>
      <c r="R2773">
        <v>34.880000000000003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H2773">
        <v>34.880000000000003</v>
      </c>
    </row>
    <row r="2774" spans="1:34" x14ac:dyDescent="0.3">
      <c r="A2774" s="4">
        <v>2988</v>
      </c>
      <c r="B2774" s="5">
        <v>2767</v>
      </c>
      <c r="C2774">
        <v>15042</v>
      </c>
      <c r="D2774" t="s">
        <v>15815</v>
      </c>
      <c r="E2774" t="s">
        <v>15816</v>
      </c>
      <c r="F2774" t="s">
        <v>4924</v>
      </c>
      <c r="G2774" t="s">
        <v>15817</v>
      </c>
      <c r="H2774">
        <v>14.88</v>
      </c>
      <c r="I2774">
        <v>0</v>
      </c>
      <c r="J2774">
        <v>0</v>
      </c>
      <c r="K2774">
        <v>0</v>
      </c>
      <c r="L2774">
        <v>14</v>
      </c>
      <c r="O2774">
        <v>14</v>
      </c>
      <c r="P2774">
        <v>4</v>
      </c>
      <c r="Q2774">
        <v>2</v>
      </c>
      <c r="R2774">
        <v>34.880000000000003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H2774">
        <v>34.880000000000003</v>
      </c>
    </row>
    <row r="2775" spans="1:34" x14ac:dyDescent="0.3">
      <c r="A2775" s="4">
        <v>2989</v>
      </c>
      <c r="B2775" s="5">
        <v>2768</v>
      </c>
      <c r="C2775">
        <v>5112</v>
      </c>
      <c r="D2775" t="s">
        <v>15818</v>
      </c>
      <c r="E2775" t="s">
        <v>54</v>
      </c>
      <c r="F2775" t="s">
        <v>20</v>
      </c>
      <c r="G2775" t="s">
        <v>15819</v>
      </c>
      <c r="H2775">
        <v>19.850000000000001</v>
      </c>
      <c r="I2775">
        <v>0</v>
      </c>
      <c r="J2775">
        <v>0</v>
      </c>
      <c r="K2775">
        <v>0</v>
      </c>
      <c r="N2775">
        <v>3</v>
      </c>
      <c r="O2775">
        <v>3</v>
      </c>
      <c r="P2775">
        <v>4</v>
      </c>
      <c r="Q2775">
        <v>2</v>
      </c>
      <c r="R2775">
        <v>28.85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6</v>
      </c>
      <c r="AC2775">
        <v>0</v>
      </c>
      <c r="AH2775">
        <v>34.85</v>
      </c>
    </row>
    <row r="2776" spans="1:34" x14ac:dyDescent="0.3">
      <c r="A2776" s="4">
        <v>2990</v>
      </c>
      <c r="B2776" s="5">
        <v>2769</v>
      </c>
      <c r="C2776">
        <v>2355</v>
      </c>
      <c r="D2776" t="s">
        <v>9018</v>
      </c>
      <c r="E2776" t="s">
        <v>147</v>
      </c>
      <c r="F2776" t="s">
        <v>81</v>
      </c>
      <c r="G2776" t="s">
        <v>15820</v>
      </c>
      <c r="H2776">
        <v>22.85</v>
      </c>
      <c r="I2776">
        <v>0</v>
      </c>
      <c r="J2776">
        <v>0</v>
      </c>
      <c r="K2776">
        <v>0</v>
      </c>
      <c r="N2776">
        <v>6</v>
      </c>
      <c r="O2776">
        <v>6</v>
      </c>
      <c r="P2776">
        <v>4</v>
      </c>
      <c r="Q2776">
        <v>2</v>
      </c>
      <c r="R2776">
        <v>34.85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H2776">
        <v>34.85</v>
      </c>
    </row>
    <row r="2777" spans="1:34" x14ac:dyDescent="0.3">
      <c r="A2777" s="4">
        <v>2991</v>
      </c>
      <c r="B2777" s="5">
        <v>2770</v>
      </c>
      <c r="C2777">
        <v>3053</v>
      </c>
      <c r="D2777" t="s">
        <v>1641</v>
      </c>
      <c r="E2777" t="s">
        <v>935</v>
      </c>
      <c r="F2777" t="s">
        <v>81</v>
      </c>
      <c r="G2777" t="s">
        <v>15821</v>
      </c>
      <c r="H2777">
        <v>20.85</v>
      </c>
      <c r="I2777">
        <v>0</v>
      </c>
      <c r="J2777">
        <v>0</v>
      </c>
      <c r="K2777">
        <v>0</v>
      </c>
      <c r="L2777">
        <v>7</v>
      </c>
      <c r="N2777">
        <v>3</v>
      </c>
      <c r="O2777">
        <v>10</v>
      </c>
      <c r="P2777">
        <v>4</v>
      </c>
      <c r="Q2777">
        <v>0</v>
      </c>
      <c r="R2777">
        <v>34.85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H2777">
        <v>34.85</v>
      </c>
    </row>
    <row r="2778" spans="1:34" x14ac:dyDescent="0.3">
      <c r="A2778" s="4">
        <v>2992</v>
      </c>
      <c r="B2778" s="5">
        <v>2771</v>
      </c>
      <c r="C2778">
        <v>506</v>
      </c>
      <c r="D2778" t="s">
        <v>2416</v>
      </c>
      <c r="E2778" t="s">
        <v>54</v>
      </c>
      <c r="F2778" t="s">
        <v>136</v>
      </c>
      <c r="G2778" t="s">
        <v>15822</v>
      </c>
      <c r="H2778">
        <v>18.829999999999998</v>
      </c>
      <c r="I2778">
        <v>0</v>
      </c>
      <c r="J2778">
        <v>0</v>
      </c>
      <c r="K2778">
        <v>0</v>
      </c>
      <c r="L2778">
        <v>7</v>
      </c>
      <c r="O2778">
        <v>7</v>
      </c>
      <c r="P2778">
        <v>4</v>
      </c>
      <c r="Q2778">
        <v>2</v>
      </c>
      <c r="R2778">
        <v>31.83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3</v>
      </c>
      <c r="AC2778">
        <v>0</v>
      </c>
      <c r="AH2778">
        <v>34.83</v>
      </c>
    </row>
    <row r="2779" spans="1:34" x14ac:dyDescent="0.3">
      <c r="A2779" s="4">
        <v>2993</v>
      </c>
      <c r="B2779" s="5">
        <v>2772</v>
      </c>
      <c r="C2779">
        <v>10290</v>
      </c>
      <c r="D2779" t="s">
        <v>15823</v>
      </c>
      <c r="E2779" t="s">
        <v>1189</v>
      </c>
      <c r="F2779" t="s">
        <v>68</v>
      </c>
      <c r="G2779" t="s">
        <v>15824</v>
      </c>
      <c r="H2779">
        <v>23.83</v>
      </c>
      <c r="I2779">
        <v>0</v>
      </c>
      <c r="J2779">
        <v>0</v>
      </c>
      <c r="K2779">
        <v>0</v>
      </c>
      <c r="M2779">
        <v>5</v>
      </c>
      <c r="O2779">
        <v>5</v>
      </c>
      <c r="P2779">
        <v>4</v>
      </c>
      <c r="Q2779">
        <v>2</v>
      </c>
      <c r="R2779">
        <v>34.83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H2779">
        <v>34.83</v>
      </c>
    </row>
    <row r="2780" spans="1:34" x14ac:dyDescent="0.3">
      <c r="A2780" s="4">
        <v>2994</v>
      </c>
      <c r="B2780" s="5">
        <v>2773</v>
      </c>
      <c r="C2780">
        <v>2477</v>
      </c>
      <c r="D2780" t="s">
        <v>5613</v>
      </c>
      <c r="E2780" t="s">
        <v>439</v>
      </c>
      <c r="F2780" t="s">
        <v>10326</v>
      </c>
      <c r="G2780" t="s">
        <v>15825</v>
      </c>
      <c r="H2780">
        <v>20.83</v>
      </c>
      <c r="I2780">
        <v>0</v>
      </c>
      <c r="J2780">
        <v>0</v>
      </c>
      <c r="K2780">
        <v>0</v>
      </c>
      <c r="L2780">
        <v>7</v>
      </c>
      <c r="N2780">
        <v>3</v>
      </c>
      <c r="O2780">
        <v>10</v>
      </c>
      <c r="P2780">
        <v>4</v>
      </c>
      <c r="Q2780">
        <v>0</v>
      </c>
      <c r="R2780">
        <v>34.83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H2780">
        <v>34.83</v>
      </c>
    </row>
    <row r="2781" spans="1:34" x14ac:dyDescent="0.3">
      <c r="A2781" s="4">
        <v>2995</v>
      </c>
      <c r="B2781" s="5">
        <v>2774</v>
      </c>
      <c r="C2781">
        <v>3590</v>
      </c>
      <c r="D2781" t="s">
        <v>5669</v>
      </c>
      <c r="E2781" t="s">
        <v>88</v>
      </c>
      <c r="F2781" t="s">
        <v>38</v>
      </c>
      <c r="G2781" t="s">
        <v>15826</v>
      </c>
      <c r="H2781">
        <v>20.83</v>
      </c>
      <c r="I2781">
        <v>0</v>
      </c>
      <c r="J2781">
        <v>0</v>
      </c>
      <c r="K2781">
        <v>0</v>
      </c>
      <c r="L2781">
        <v>7</v>
      </c>
      <c r="N2781">
        <v>3</v>
      </c>
      <c r="O2781">
        <v>10</v>
      </c>
      <c r="P2781">
        <v>4</v>
      </c>
      <c r="Q2781">
        <v>0</v>
      </c>
      <c r="R2781">
        <v>34.83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H2781">
        <v>34.83</v>
      </c>
    </row>
    <row r="2782" spans="1:34" x14ac:dyDescent="0.3">
      <c r="A2782" s="4">
        <v>2996</v>
      </c>
      <c r="B2782" s="5">
        <v>2775</v>
      </c>
      <c r="C2782">
        <v>500</v>
      </c>
      <c r="D2782" t="s">
        <v>15827</v>
      </c>
      <c r="E2782" t="s">
        <v>29</v>
      </c>
      <c r="F2782" t="s">
        <v>136</v>
      </c>
      <c r="G2782" t="s">
        <v>15828</v>
      </c>
      <c r="H2782">
        <v>18.829999999999998</v>
      </c>
      <c r="I2782">
        <v>0</v>
      </c>
      <c r="J2782">
        <v>0</v>
      </c>
      <c r="K2782">
        <v>0</v>
      </c>
      <c r="L2782">
        <v>7</v>
      </c>
      <c r="N2782">
        <v>3</v>
      </c>
      <c r="O2782">
        <v>10</v>
      </c>
      <c r="P2782">
        <v>4</v>
      </c>
      <c r="Q2782">
        <v>2</v>
      </c>
      <c r="R2782">
        <v>34.83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H2782">
        <v>34.83</v>
      </c>
    </row>
    <row r="2783" spans="1:34" x14ac:dyDescent="0.3">
      <c r="A2783" s="4">
        <v>2997</v>
      </c>
      <c r="B2783" s="5">
        <v>2776</v>
      </c>
      <c r="C2783">
        <v>8725</v>
      </c>
      <c r="D2783" t="s">
        <v>15829</v>
      </c>
      <c r="E2783" t="s">
        <v>147</v>
      </c>
      <c r="F2783" t="s">
        <v>81</v>
      </c>
      <c r="G2783" t="s">
        <v>15830</v>
      </c>
      <c r="H2783">
        <v>15.78</v>
      </c>
      <c r="I2783">
        <v>7</v>
      </c>
      <c r="J2783">
        <v>0</v>
      </c>
      <c r="K2783">
        <v>0</v>
      </c>
      <c r="N2783">
        <v>3</v>
      </c>
      <c r="O2783">
        <v>3</v>
      </c>
      <c r="P2783">
        <v>4</v>
      </c>
      <c r="Q2783">
        <v>2</v>
      </c>
      <c r="R2783">
        <v>31.78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3</v>
      </c>
      <c r="AC2783">
        <v>0</v>
      </c>
      <c r="AH2783">
        <v>34.78</v>
      </c>
    </row>
    <row r="2784" spans="1:34" x14ac:dyDescent="0.3">
      <c r="A2784" s="4">
        <v>2998</v>
      </c>
      <c r="B2784" s="5">
        <v>2777</v>
      </c>
      <c r="C2784">
        <v>7626</v>
      </c>
      <c r="D2784" t="s">
        <v>11199</v>
      </c>
      <c r="E2784" t="s">
        <v>1280</v>
      </c>
      <c r="F2784" t="s">
        <v>17</v>
      </c>
      <c r="G2784" t="s">
        <v>15831</v>
      </c>
      <c r="H2784">
        <v>21.75</v>
      </c>
      <c r="I2784">
        <v>0</v>
      </c>
      <c r="J2784">
        <v>0</v>
      </c>
      <c r="K2784">
        <v>0</v>
      </c>
      <c r="L2784">
        <v>7</v>
      </c>
      <c r="O2784">
        <v>7</v>
      </c>
      <c r="P2784">
        <v>4</v>
      </c>
      <c r="Q2784">
        <v>2</v>
      </c>
      <c r="R2784">
        <v>34.75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H2784">
        <v>34.75</v>
      </c>
    </row>
    <row r="2785" spans="1:34" x14ac:dyDescent="0.3">
      <c r="A2785" s="4">
        <v>2999</v>
      </c>
      <c r="B2785" s="5">
        <v>2778</v>
      </c>
      <c r="C2785">
        <v>5345</v>
      </c>
      <c r="D2785" t="s">
        <v>15832</v>
      </c>
      <c r="E2785" t="s">
        <v>1426</v>
      </c>
      <c r="F2785" t="s">
        <v>17</v>
      </c>
      <c r="G2785" t="s">
        <v>15833</v>
      </c>
      <c r="H2785">
        <v>20.73</v>
      </c>
      <c r="I2785">
        <v>0</v>
      </c>
      <c r="J2785">
        <v>0</v>
      </c>
      <c r="K2785">
        <v>0</v>
      </c>
      <c r="L2785">
        <v>14</v>
      </c>
      <c r="O2785">
        <v>14</v>
      </c>
      <c r="P2785">
        <v>0</v>
      </c>
      <c r="Q2785">
        <v>0</v>
      </c>
      <c r="R2785">
        <v>34.729999999999997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H2785">
        <v>34.729999999999997</v>
      </c>
    </row>
    <row r="2786" spans="1:34" x14ac:dyDescent="0.3">
      <c r="A2786" s="4">
        <v>3000</v>
      </c>
      <c r="B2786" s="5">
        <v>2779</v>
      </c>
      <c r="C2786">
        <v>9643</v>
      </c>
      <c r="D2786" t="s">
        <v>2324</v>
      </c>
      <c r="E2786" t="s">
        <v>41</v>
      </c>
      <c r="F2786" t="s">
        <v>38</v>
      </c>
      <c r="G2786" t="s">
        <v>15834</v>
      </c>
      <c r="H2786">
        <v>18.7</v>
      </c>
      <c r="I2786">
        <v>0</v>
      </c>
      <c r="J2786">
        <v>0</v>
      </c>
      <c r="K2786">
        <v>0</v>
      </c>
      <c r="L2786">
        <v>7</v>
      </c>
      <c r="N2786">
        <v>3</v>
      </c>
      <c r="O2786">
        <v>10</v>
      </c>
      <c r="P2786">
        <v>4</v>
      </c>
      <c r="Q2786">
        <v>2</v>
      </c>
      <c r="R2786">
        <v>34.700000000000003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H2786">
        <v>34.700000000000003</v>
      </c>
    </row>
    <row r="2787" spans="1:34" x14ac:dyDescent="0.3">
      <c r="A2787" s="4">
        <v>3001</v>
      </c>
      <c r="B2787" s="5">
        <v>2780</v>
      </c>
      <c r="C2787">
        <v>6140</v>
      </c>
      <c r="D2787" t="s">
        <v>181</v>
      </c>
      <c r="E2787" t="s">
        <v>10889</v>
      </c>
      <c r="F2787" t="s">
        <v>328</v>
      </c>
      <c r="G2787" t="s">
        <v>15835</v>
      </c>
      <c r="H2787">
        <v>18.68</v>
      </c>
      <c r="I2787">
        <v>0</v>
      </c>
      <c r="J2787">
        <v>0</v>
      </c>
      <c r="K2787">
        <v>0</v>
      </c>
      <c r="L2787">
        <v>7</v>
      </c>
      <c r="N2787">
        <v>3</v>
      </c>
      <c r="O2787">
        <v>10</v>
      </c>
      <c r="P2787">
        <v>4</v>
      </c>
      <c r="Q2787">
        <v>2</v>
      </c>
      <c r="R2787">
        <v>34.68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H2787">
        <v>34.68</v>
      </c>
    </row>
    <row r="2788" spans="1:34" x14ac:dyDescent="0.3">
      <c r="A2788" s="4">
        <v>3002</v>
      </c>
      <c r="B2788" s="5">
        <v>2781</v>
      </c>
      <c r="C2788">
        <v>14872</v>
      </c>
      <c r="D2788" t="s">
        <v>15836</v>
      </c>
      <c r="E2788" t="s">
        <v>7022</v>
      </c>
      <c r="F2788" t="s">
        <v>230</v>
      </c>
      <c r="G2788" t="s">
        <v>15837</v>
      </c>
      <c r="H2788">
        <v>17.649999999999999</v>
      </c>
      <c r="I2788">
        <v>0</v>
      </c>
      <c r="J2788">
        <v>0</v>
      </c>
      <c r="K2788">
        <v>0</v>
      </c>
      <c r="L2788">
        <v>7</v>
      </c>
      <c r="O2788">
        <v>7</v>
      </c>
      <c r="P2788">
        <v>4</v>
      </c>
      <c r="Q2788">
        <v>0</v>
      </c>
      <c r="R2788">
        <v>28.65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6</v>
      </c>
      <c r="AC2788">
        <v>0</v>
      </c>
      <c r="AH2788">
        <v>34.65</v>
      </c>
    </row>
    <row r="2789" spans="1:34" x14ac:dyDescent="0.3">
      <c r="A2789" s="4">
        <v>3003</v>
      </c>
      <c r="B2789" s="5">
        <v>2782</v>
      </c>
      <c r="C2789">
        <v>7314</v>
      </c>
      <c r="D2789" t="s">
        <v>60</v>
      </c>
      <c r="E2789" t="s">
        <v>182</v>
      </c>
      <c r="F2789" t="s">
        <v>38</v>
      </c>
      <c r="G2789" t="s">
        <v>15838</v>
      </c>
      <c r="H2789">
        <v>21.65</v>
      </c>
      <c r="I2789">
        <v>0</v>
      </c>
      <c r="J2789">
        <v>0</v>
      </c>
      <c r="K2789">
        <v>0</v>
      </c>
      <c r="L2789">
        <v>7</v>
      </c>
      <c r="O2789">
        <v>7</v>
      </c>
      <c r="P2789">
        <v>4</v>
      </c>
      <c r="Q2789">
        <v>2</v>
      </c>
      <c r="R2789">
        <v>34.65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H2789">
        <v>34.65</v>
      </c>
    </row>
    <row r="2790" spans="1:34" x14ac:dyDescent="0.3">
      <c r="A2790" s="4">
        <v>3004</v>
      </c>
      <c r="B2790" s="5">
        <v>2783</v>
      </c>
      <c r="C2790">
        <v>1375</v>
      </c>
      <c r="D2790" t="s">
        <v>15839</v>
      </c>
      <c r="E2790" t="s">
        <v>15840</v>
      </c>
      <c r="F2790" t="s">
        <v>909</v>
      </c>
      <c r="G2790" t="s">
        <v>15841</v>
      </c>
      <c r="H2790">
        <v>20.65</v>
      </c>
      <c r="I2790">
        <v>0</v>
      </c>
      <c r="J2790">
        <v>0</v>
      </c>
      <c r="K2790">
        <v>0</v>
      </c>
      <c r="L2790">
        <v>7</v>
      </c>
      <c r="N2790">
        <v>3</v>
      </c>
      <c r="O2790">
        <v>10</v>
      </c>
      <c r="P2790">
        <v>4</v>
      </c>
      <c r="Q2790">
        <v>0</v>
      </c>
      <c r="R2790">
        <v>34.65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H2790">
        <v>34.65</v>
      </c>
    </row>
    <row r="2791" spans="1:34" x14ac:dyDescent="0.3">
      <c r="A2791" s="4">
        <v>3005</v>
      </c>
      <c r="B2791" s="5">
        <v>2784</v>
      </c>
      <c r="C2791">
        <v>5680</v>
      </c>
      <c r="D2791" t="s">
        <v>1630</v>
      </c>
      <c r="E2791" t="s">
        <v>54</v>
      </c>
      <c r="F2791" t="s">
        <v>2998</v>
      </c>
      <c r="G2791" t="s">
        <v>15842</v>
      </c>
      <c r="H2791">
        <v>18.649999999999999</v>
      </c>
      <c r="I2791">
        <v>0</v>
      </c>
      <c r="J2791">
        <v>0</v>
      </c>
      <c r="K2791">
        <v>0</v>
      </c>
      <c r="L2791">
        <v>7</v>
      </c>
      <c r="N2791">
        <v>3</v>
      </c>
      <c r="O2791">
        <v>10</v>
      </c>
      <c r="P2791">
        <v>4</v>
      </c>
      <c r="Q2791">
        <v>2</v>
      </c>
      <c r="R2791">
        <v>34.65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H2791">
        <v>34.65</v>
      </c>
    </row>
    <row r="2792" spans="1:34" x14ac:dyDescent="0.3">
      <c r="A2792" s="4">
        <v>3006</v>
      </c>
      <c r="B2792" s="5">
        <v>2785</v>
      </c>
      <c r="C2792">
        <v>2294</v>
      </c>
      <c r="D2792" t="s">
        <v>15843</v>
      </c>
      <c r="E2792" t="s">
        <v>51</v>
      </c>
      <c r="F2792" t="s">
        <v>17</v>
      </c>
      <c r="G2792" t="s">
        <v>15844</v>
      </c>
      <c r="H2792">
        <v>20.63</v>
      </c>
      <c r="I2792">
        <v>0</v>
      </c>
      <c r="J2792">
        <v>0</v>
      </c>
      <c r="K2792">
        <v>0</v>
      </c>
      <c r="L2792">
        <v>7</v>
      </c>
      <c r="N2792">
        <v>3</v>
      </c>
      <c r="O2792">
        <v>10</v>
      </c>
      <c r="P2792">
        <v>4</v>
      </c>
      <c r="Q2792">
        <v>0</v>
      </c>
      <c r="R2792">
        <v>34.630000000000003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H2792">
        <v>34.630000000000003</v>
      </c>
    </row>
    <row r="2793" spans="1:34" x14ac:dyDescent="0.3">
      <c r="A2793" s="4">
        <v>3007</v>
      </c>
      <c r="B2793" s="5">
        <v>2786</v>
      </c>
      <c r="C2793">
        <v>8659</v>
      </c>
      <c r="D2793" t="s">
        <v>4783</v>
      </c>
      <c r="E2793" t="s">
        <v>406</v>
      </c>
      <c r="F2793" t="s">
        <v>68</v>
      </c>
      <c r="G2793" t="s">
        <v>15845</v>
      </c>
      <c r="H2793">
        <v>18.63</v>
      </c>
      <c r="I2793">
        <v>0</v>
      </c>
      <c r="J2793">
        <v>0</v>
      </c>
      <c r="K2793">
        <v>0</v>
      </c>
      <c r="L2793">
        <v>7</v>
      </c>
      <c r="N2793">
        <v>3</v>
      </c>
      <c r="O2793">
        <v>10</v>
      </c>
      <c r="P2793">
        <v>4</v>
      </c>
      <c r="Q2793">
        <v>2</v>
      </c>
      <c r="R2793">
        <v>34.630000000000003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H2793">
        <v>34.630000000000003</v>
      </c>
    </row>
    <row r="2794" spans="1:34" x14ac:dyDescent="0.3">
      <c r="A2794" s="4">
        <v>3008</v>
      </c>
      <c r="B2794" s="5">
        <v>2787</v>
      </c>
      <c r="C2794">
        <v>6309</v>
      </c>
      <c r="D2794" t="s">
        <v>944</v>
      </c>
      <c r="E2794" t="s">
        <v>2150</v>
      </c>
      <c r="F2794" t="s">
        <v>15846</v>
      </c>
      <c r="G2794" t="s">
        <v>15847</v>
      </c>
      <c r="H2794">
        <v>16.63</v>
      </c>
      <c r="I2794">
        <v>0</v>
      </c>
      <c r="J2794">
        <v>0</v>
      </c>
      <c r="K2794">
        <v>0</v>
      </c>
      <c r="L2794">
        <v>14</v>
      </c>
      <c r="O2794">
        <v>14</v>
      </c>
      <c r="P2794">
        <v>4</v>
      </c>
      <c r="Q2794">
        <v>0</v>
      </c>
      <c r="R2794">
        <v>34.630000000000003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H2794">
        <v>34.630000000000003</v>
      </c>
    </row>
    <row r="2795" spans="1:34" x14ac:dyDescent="0.3">
      <c r="A2795" s="4">
        <v>3009</v>
      </c>
      <c r="B2795" s="5">
        <v>2788</v>
      </c>
      <c r="C2795">
        <v>790</v>
      </c>
      <c r="D2795" t="s">
        <v>2109</v>
      </c>
      <c r="E2795" t="s">
        <v>342</v>
      </c>
      <c r="F2795" t="s">
        <v>626</v>
      </c>
      <c r="G2795" t="s">
        <v>15848</v>
      </c>
      <c r="H2795">
        <v>18.600000000000001</v>
      </c>
      <c r="I2795">
        <v>0</v>
      </c>
      <c r="J2795">
        <v>0</v>
      </c>
      <c r="K2795">
        <v>0</v>
      </c>
      <c r="L2795">
        <v>7</v>
      </c>
      <c r="M2795">
        <v>5</v>
      </c>
      <c r="O2795">
        <v>12</v>
      </c>
      <c r="P2795">
        <v>4</v>
      </c>
      <c r="Q2795">
        <v>0</v>
      </c>
      <c r="R2795">
        <v>34.6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H2795">
        <v>34.6</v>
      </c>
    </row>
    <row r="2796" spans="1:34" x14ac:dyDescent="0.3">
      <c r="A2796" s="4">
        <v>3010</v>
      </c>
      <c r="B2796" s="5">
        <v>2789</v>
      </c>
      <c r="C2796">
        <v>11278</v>
      </c>
      <c r="D2796" t="s">
        <v>2795</v>
      </c>
      <c r="E2796" t="s">
        <v>1086</v>
      </c>
      <c r="F2796" t="s">
        <v>81</v>
      </c>
      <c r="G2796" t="s">
        <v>15849</v>
      </c>
      <c r="H2796">
        <v>17.579999999999998</v>
      </c>
      <c r="I2796">
        <v>0</v>
      </c>
      <c r="J2796">
        <v>0</v>
      </c>
      <c r="K2796">
        <v>0</v>
      </c>
      <c r="N2796">
        <v>6</v>
      </c>
      <c r="O2796">
        <v>6</v>
      </c>
      <c r="P2796">
        <v>0</v>
      </c>
      <c r="Q2796">
        <v>2</v>
      </c>
      <c r="R2796">
        <v>25.58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9</v>
      </c>
      <c r="AC2796">
        <v>0</v>
      </c>
      <c r="AH2796">
        <v>34.58</v>
      </c>
    </row>
    <row r="2797" spans="1:34" x14ac:dyDescent="0.3">
      <c r="A2797" s="4">
        <v>3011</v>
      </c>
      <c r="B2797" s="5">
        <v>2790</v>
      </c>
      <c r="C2797">
        <v>8868</v>
      </c>
      <c r="D2797" t="s">
        <v>15850</v>
      </c>
      <c r="E2797" t="s">
        <v>26</v>
      </c>
      <c r="F2797" t="s">
        <v>20</v>
      </c>
      <c r="G2797" t="s">
        <v>15851</v>
      </c>
      <c r="H2797">
        <v>20.58</v>
      </c>
      <c r="I2797">
        <v>0</v>
      </c>
      <c r="J2797">
        <v>0</v>
      </c>
      <c r="K2797">
        <v>0</v>
      </c>
      <c r="L2797">
        <v>7</v>
      </c>
      <c r="N2797">
        <v>3</v>
      </c>
      <c r="O2797">
        <v>10</v>
      </c>
      <c r="P2797">
        <v>4</v>
      </c>
      <c r="Q2797">
        <v>0</v>
      </c>
      <c r="R2797">
        <v>34.58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H2797">
        <v>34.58</v>
      </c>
    </row>
    <row r="2798" spans="1:34" x14ac:dyDescent="0.3">
      <c r="A2798" s="4">
        <v>3012</v>
      </c>
      <c r="B2798" s="5">
        <v>2791</v>
      </c>
      <c r="C2798">
        <v>5387</v>
      </c>
      <c r="D2798" t="s">
        <v>15852</v>
      </c>
      <c r="E2798" t="s">
        <v>15853</v>
      </c>
      <c r="F2798" t="s">
        <v>81</v>
      </c>
      <c r="G2798" t="s">
        <v>15854</v>
      </c>
      <c r="H2798">
        <v>20.5</v>
      </c>
      <c r="I2798">
        <v>0</v>
      </c>
      <c r="J2798">
        <v>0</v>
      </c>
      <c r="K2798">
        <v>0</v>
      </c>
      <c r="L2798">
        <v>7</v>
      </c>
      <c r="N2798">
        <v>3</v>
      </c>
      <c r="O2798">
        <v>10</v>
      </c>
      <c r="P2798">
        <v>4</v>
      </c>
      <c r="Q2798">
        <v>0</v>
      </c>
      <c r="R2798">
        <v>34.5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H2798">
        <v>34.5</v>
      </c>
    </row>
    <row r="2799" spans="1:34" x14ac:dyDescent="0.3">
      <c r="A2799" s="4">
        <v>3013</v>
      </c>
      <c r="B2799" s="5">
        <v>2792</v>
      </c>
      <c r="C2799">
        <v>10650</v>
      </c>
      <c r="D2799" t="s">
        <v>15855</v>
      </c>
      <c r="E2799" t="s">
        <v>26</v>
      </c>
      <c r="F2799" t="s">
        <v>927</v>
      </c>
      <c r="G2799" t="s">
        <v>15856</v>
      </c>
      <c r="H2799">
        <v>18.48</v>
      </c>
      <c r="I2799">
        <v>0</v>
      </c>
      <c r="J2799">
        <v>0</v>
      </c>
      <c r="K2799">
        <v>0</v>
      </c>
      <c r="L2799">
        <v>7</v>
      </c>
      <c r="M2799">
        <v>5</v>
      </c>
      <c r="O2799">
        <v>12</v>
      </c>
      <c r="P2799">
        <v>4</v>
      </c>
      <c r="Q2799">
        <v>0</v>
      </c>
      <c r="R2799">
        <v>34.479999999999997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H2799">
        <v>34.479999999999997</v>
      </c>
    </row>
    <row r="2800" spans="1:34" x14ac:dyDescent="0.3">
      <c r="A2800" s="4">
        <v>3014</v>
      </c>
      <c r="B2800" s="5">
        <v>2793</v>
      </c>
      <c r="C2800">
        <v>12771</v>
      </c>
      <c r="D2800" t="s">
        <v>7639</v>
      </c>
      <c r="E2800" t="s">
        <v>54</v>
      </c>
      <c r="F2800" t="s">
        <v>117</v>
      </c>
      <c r="G2800" t="s">
        <v>15857</v>
      </c>
      <c r="H2800">
        <v>21.45</v>
      </c>
      <c r="I2800">
        <v>0</v>
      </c>
      <c r="J2800">
        <v>0</v>
      </c>
      <c r="K2800">
        <v>0</v>
      </c>
      <c r="L2800">
        <v>7</v>
      </c>
      <c r="O2800">
        <v>7</v>
      </c>
      <c r="P2800">
        <v>4</v>
      </c>
      <c r="Q2800">
        <v>2</v>
      </c>
      <c r="R2800">
        <v>34.450000000000003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H2800">
        <v>34.450000000000003</v>
      </c>
    </row>
    <row r="2801" spans="1:34" x14ac:dyDescent="0.3">
      <c r="A2801" s="4">
        <v>3015</v>
      </c>
      <c r="B2801" s="5">
        <v>2794</v>
      </c>
      <c r="C2801">
        <v>5479</v>
      </c>
      <c r="D2801" t="s">
        <v>15858</v>
      </c>
      <c r="E2801" t="s">
        <v>88</v>
      </c>
      <c r="F2801" t="s">
        <v>892</v>
      </c>
      <c r="G2801" t="s">
        <v>15859</v>
      </c>
      <c r="H2801">
        <v>21.45</v>
      </c>
      <c r="I2801">
        <v>0</v>
      </c>
      <c r="J2801">
        <v>0</v>
      </c>
      <c r="K2801">
        <v>0</v>
      </c>
      <c r="L2801">
        <v>7</v>
      </c>
      <c r="O2801">
        <v>7</v>
      </c>
      <c r="P2801">
        <v>4</v>
      </c>
      <c r="Q2801">
        <v>2</v>
      </c>
      <c r="R2801">
        <v>34.450000000000003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H2801">
        <v>34.450000000000003</v>
      </c>
    </row>
    <row r="2802" spans="1:34" x14ac:dyDescent="0.3">
      <c r="A2802" s="4">
        <v>3016</v>
      </c>
      <c r="B2802" s="5">
        <v>2795</v>
      </c>
      <c r="C2802">
        <v>15246</v>
      </c>
      <c r="D2802" t="s">
        <v>15860</v>
      </c>
      <c r="E2802" t="s">
        <v>208</v>
      </c>
      <c r="F2802" t="s">
        <v>38</v>
      </c>
      <c r="G2802" t="s">
        <v>15861</v>
      </c>
      <c r="H2802">
        <v>18.45</v>
      </c>
      <c r="I2802">
        <v>0</v>
      </c>
      <c r="J2802">
        <v>0</v>
      </c>
      <c r="K2802">
        <v>0</v>
      </c>
      <c r="L2802">
        <v>7</v>
      </c>
      <c r="M2802">
        <v>5</v>
      </c>
      <c r="O2802">
        <v>12</v>
      </c>
      <c r="P2802">
        <v>4</v>
      </c>
      <c r="Q2802">
        <v>0</v>
      </c>
      <c r="R2802">
        <v>34.450000000000003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H2802">
        <v>34.450000000000003</v>
      </c>
    </row>
    <row r="2803" spans="1:34" x14ac:dyDescent="0.3">
      <c r="A2803" s="4">
        <v>3017</v>
      </c>
      <c r="B2803" s="5">
        <v>2796</v>
      </c>
      <c r="C2803">
        <v>3510</v>
      </c>
      <c r="D2803" t="s">
        <v>3764</v>
      </c>
      <c r="E2803" t="s">
        <v>110</v>
      </c>
      <c r="F2803" t="s">
        <v>3236</v>
      </c>
      <c r="G2803" t="s">
        <v>15862</v>
      </c>
      <c r="H2803">
        <v>20.43</v>
      </c>
      <c r="I2803">
        <v>0</v>
      </c>
      <c r="J2803">
        <v>0</v>
      </c>
      <c r="K2803">
        <v>0</v>
      </c>
      <c r="L2803">
        <v>7</v>
      </c>
      <c r="N2803">
        <v>3</v>
      </c>
      <c r="O2803">
        <v>10</v>
      </c>
      <c r="P2803">
        <v>4</v>
      </c>
      <c r="Q2803">
        <v>0</v>
      </c>
      <c r="R2803">
        <v>34.43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H2803">
        <v>34.43</v>
      </c>
    </row>
    <row r="2804" spans="1:34" x14ac:dyDescent="0.3">
      <c r="A2804" s="4">
        <v>3018</v>
      </c>
      <c r="B2804" s="5">
        <v>2797</v>
      </c>
      <c r="C2804">
        <v>9869</v>
      </c>
      <c r="D2804" t="s">
        <v>322</v>
      </c>
      <c r="E2804" t="s">
        <v>161</v>
      </c>
      <c r="F2804" t="s">
        <v>38</v>
      </c>
      <c r="G2804" t="s">
        <v>15863</v>
      </c>
      <c r="H2804">
        <v>20.399999999999999</v>
      </c>
      <c r="I2804">
        <v>0</v>
      </c>
      <c r="J2804">
        <v>0</v>
      </c>
      <c r="K2804">
        <v>0</v>
      </c>
      <c r="L2804">
        <v>14</v>
      </c>
      <c r="O2804">
        <v>14</v>
      </c>
      <c r="P2804">
        <v>0</v>
      </c>
      <c r="Q2804">
        <v>0</v>
      </c>
      <c r="R2804">
        <v>34.4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H2804">
        <v>34.4</v>
      </c>
    </row>
    <row r="2805" spans="1:34" x14ac:dyDescent="0.3">
      <c r="A2805" s="4">
        <v>3019</v>
      </c>
      <c r="B2805" s="5">
        <v>2798</v>
      </c>
      <c r="C2805">
        <v>5493</v>
      </c>
      <c r="D2805" t="s">
        <v>12167</v>
      </c>
      <c r="E2805" t="s">
        <v>29</v>
      </c>
      <c r="F2805" t="s">
        <v>2237</v>
      </c>
      <c r="G2805" t="s">
        <v>15864</v>
      </c>
      <c r="H2805">
        <v>14.35</v>
      </c>
      <c r="I2805">
        <v>0</v>
      </c>
      <c r="J2805">
        <v>0</v>
      </c>
      <c r="K2805">
        <v>0</v>
      </c>
      <c r="L2805">
        <v>7</v>
      </c>
      <c r="O2805">
        <v>7</v>
      </c>
      <c r="P2805">
        <v>4</v>
      </c>
      <c r="Q2805">
        <v>2</v>
      </c>
      <c r="R2805">
        <v>27.35</v>
      </c>
      <c r="S2805">
        <v>4</v>
      </c>
      <c r="T2805">
        <v>4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4</v>
      </c>
      <c r="AB2805">
        <v>3</v>
      </c>
      <c r="AC2805">
        <v>0</v>
      </c>
      <c r="AD2805" t="s">
        <v>130</v>
      </c>
      <c r="AH2805">
        <v>34.35</v>
      </c>
    </row>
    <row r="2806" spans="1:34" x14ac:dyDescent="0.3">
      <c r="A2806" s="4">
        <v>3020</v>
      </c>
      <c r="B2806" s="5">
        <v>2799</v>
      </c>
      <c r="C2806">
        <v>7983</v>
      </c>
      <c r="D2806" t="s">
        <v>15865</v>
      </c>
      <c r="E2806" t="s">
        <v>213</v>
      </c>
      <c r="F2806" t="s">
        <v>91</v>
      </c>
      <c r="G2806" t="s">
        <v>15866</v>
      </c>
      <c r="H2806">
        <v>20.350000000000001</v>
      </c>
      <c r="I2806">
        <v>0</v>
      </c>
      <c r="J2806">
        <v>0</v>
      </c>
      <c r="K2806">
        <v>0</v>
      </c>
      <c r="L2806">
        <v>7</v>
      </c>
      <c r="N2806">
        <v>3</v>
      </c>
      <c r="O2806">
        <v>10</v>
      </c>
      <c r="P2806">
        <v>4</v>
      </c>
      <c r="Q2806">
        <v>0</v>
      </c>
      <c r="R2806">
        <v>34.35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H2806">
        <v>34.35</v>
      </c>
    </row>
    <row r="2807" spans="1:34" x14ac:dyDescent="0.3">
      <c r="A2807" s="4">
        <v>3021</v>
      </c>
      <c r="B2807" s="5">
        <v>2800</v>
      </c>
      <c r="C2807">
        <v>2579</v>
      </c>
      <c r="D2807" t="s">
        <v>15867</v>
      </c>
      <c r="E2807" t="s">
        <v>29</v>
      </c>
      <c r="F2807" t="s">
        <v>442</v>
      </c>
      <c r="G2807" t="s">
        <v>15868</v>
      </c>
      <c r="H2807">
        <v>18.350000000000001</v>
      </c>
      <c r="I2807">
        <v>0</v>
      </c>
      <c r="J2807">
        <v>0</v>
      </c>
      <c r="K2807">
        <v>0</v>
      </c>
      <c r="L2807">
        <v>7</v>
      </c>
      <c r="N2807">
        <v>3</v>
      </c>
      <c r="O2807">
        <v>10</v>
      </c>
      <c r="P2807">
        <v>4</v>
      </c>
      <c r="Q2807">
        <v>2</v>
      </c>
      <c r="R2807">
        <v>34.35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H2807">
        <v>34.35</v>
      </c>
    </row>
    <row r="2808" spans="1:34" x14ac:dyDescent="0.3">
      <c r="A2808" s="4">
        <v>3022</v>
      </c>
      <c r="B2808" s="5">
        <v>2801</v>
      </c>
      <c r="C2808">
        <v>2377</v>
      </c>
      <c r="D2808" t="s">
        <v>15869</v>
      </c>
      <c r="E2808" t="s">
        <v>255</v>
      </c>
      <c r="F2808" t="s">
        <v>62</v>
      </c>
      <c r="G2808" t="s">
        <v>15870</v>
      </c>
      <c r="H2808">
        <v>18.350000000000001</v>
      </c>
      <c r="I2808">
        <v>0</v>
      </c>
      <c r="J2808">
        <v>0</v>
      </c>
      <c r="K2808">
        <v>0</v>
      </c>
      <c r="L2808">
        <v>7</v>
      </c>
      <c r="N2808">
        <v>3</v>
      </c>
      <c r="O2808">
        <v>10</v>
      </c>
      <c r="P2808">
        <v>4</v>
      </c>
      <c r="Q2808">
        <v>2</v>
      </c>
      <c r="R2808">
        <v>34.35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H2808">
        <v>34.35</v>
      </c>
    </row>
    <row r="2809" spans="1:34" x14ac:dyDescent="0.3">
      <c r="A2809" s="4">
        <v>3023</v>
      </c>
      <c r="B2809" s="5">
        <v>2802</v>
      </c>
      <c r="C2809">
        <v>11945</v>
      </c>
      <c r="D2809" t="s">
        <v>1337</v>
      </c>
      <c r="E2809" t="s">
        <v>54</v>
      </c>
      <c r="F2809" t="s">
        <v>416</v>
      </c>
      <c r="G2809" t="s">
        <v>15871</v>
      </c>
      <c r="H2809">
        <v>19.350000000000001</v>
      </c>
      <c r="I2809">
        <v>0</v>
      </c>
      <c r="J2809">
        <v>0</v>
      </c>
      <c r="K2809">
        <v>0</v>
      </c>
      <c r="L2809">
        <v>7</v>
      </c>
      <c r="O2809">
        <v>7</v>
      </c>
      <c r="P2809">
        <v>4</v>
      </c>
      <c r="Q2809">
        <v>2</v>
      </c>
      <c r="R2809">
        <v>32.35</v>
      </c>
      <c r="S2809">
        <v>0</v>
      </c>
      <c r="T2809">
        <v>0</v>
      </c>
      <c r="U2809">
        <v>1</v>
      </c>
      <c r="V2809">
        <v>2</v>
      </c>
      <c r="W2809">
        <v>0</v>
      </c>
      <c r="X2809">
        <v>0</v>
      </c>
      <c r="Y2809">
        <v>0</v>
      </c>
      <c r="Z2809">
        <v>0</v>
      </c>
      <c r="AA2809">
        <v>2</v>
      </c>
      <c r="AB2809">
        <v>0</v>
      </c>
      <c r="AC2809">
        <v>0</v>
      </c>
      <c r="AH2809">
        <v>34.35</v>
      </c>
    </row>
    <row r="2810" spans="1:34" x14ac:dyDescent="0.3">
      <c r="A2810" s="4">
        <v>3024</v>
      </c>
      <c r="B2810" s="5">
        <v>2803</v>
      </c>
      <c r="C2810">
        <v>13052</v>
      </c>
      <c r="D2810" t="s">
        <v>15872</v>
      </c>
      <c r="E2810" t="s">
        <v>1192</v>
      </c>
      <c r="F2810" t="s">
        <v>30</v>
      </c>
      <c r="G2810" t="s">
        <v>15873</v>
      </c>
      <c r="H2810">
        <v>17.329999999999998</v>
      </c>
      <c r="I2810">
        <v>0</v>
      </c>
      <c r="J2810">
        <v>0</v>
      </c>
      <c r="K2810">
        <v>0</v>
      </c>
      <c r="L2810">
        <v>7</v>
      </c>
      <c r="O2810">
        <v>7</v>
      </c>
      <c r="P2810">
        <v>4</v>
      </c>
      <c r="Q2810">
        <v>0</v>
      </c>
      <c r="R2810">
        <v>28.33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6</v>
      </c>
      <c r="AC2810">
        <v>0</v>
      </c>
      <c r="AH2810">
        <v>34.33</v>
      </c>
    </row>
    <row r="2811" spans="1:34" x14ac:dyDescent="0.3">
      <c r="A2811" s="4">
        <v>3025</v>
      </c>
      <c r="B2811" s="5">
        <v>2804</v>
      </c>
      <c r="C2811">
        <v>6351</v>
      </c>
      <c r="D2811" t="s">
        <v>15656</v>
      </c>
      <c r="E2811" t="s">
        <v>3778</v>
      </c>
      <c r="F2811" t="s">
        <v>38</v>
      </c>
      <c r="G2811" t="s">
        <v>15874</v>
      </c>
      <c r="H2811">
        <v>20.329999999999998</v>
      </c>
      <c r="I2811">
        <v>0</v>
      </c>
      <c r="J2811">
        <v>0</v>
      </c>
      <c r="K2811">
        <v>0</v>
      </c>
      <c r="L2811">
        <v>7</v>
      </c>
      <c r="N2811">
        <v>3</v>
      </c>
      <c r="O2811">
        <v>10</v>
      </c>
      <c r="P2811">
        <v>4</v>
      </c>
      <c r="Q2811">
        <v>0</v>
      </c>
      <c r="R2811">
        <v>34.33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H2811">
        <v>34.33</v>
      </c>
    </row>
    <row r="2812" spans="1:34" x14ac:dyDescent="0.3">
      <c r="A2812" s="4">
        <v>3026</v>
      </c>
      <c r="B2812" s="5">
        <v>2805</v>
      </c>
      <c r="C2812">
        <v>7315</v>
      </c>
      <c r="D2812" t="s">
        <v>15875</v>
      </c>
      <c r="E2812" t="s">
        <v>15876</v>
      </c>
      <c r="F2812" t="s">
        <v>243</v>
      </c>
      <c r="G2812" t="s">
        <v>15877</v>
      </c>
      <c r="H2812">
        <v>17.329999999999998</v>
      </c>
      <c r="I2812">
        <v>0</v>
      </c>
      <c r="J2812">
        <v>0</v>
      </c>
      <c r="K2812">
        <v>0</v>
      </c>
      <c r="L2812">
        <v>7</v>
      </c>
      <c r="O2812">
        <v>7</v>
      </c>
      <c r="P2812">
        <v>4</v>
      </c>
      <c r="Q2812">
        <v>0</v>
      </c>
      <c r="R2812">
        <v>28.33</v>
      </c>
      <c r="S2812">
        <v>6</v>
      </c>
      <c r="T2812">
        <v>6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6</v>
      </c>
      <c r="AB2812">
        <v>0</v>
      </c>
      <c r="AC2812">
        <v>0</v>
      </c>
      <c r="AH2812">
        <v>34.33</v>
      </c>
    </row>
    <row r="2813" spans="1:34" x14ac:dyDescent="0.3">
      <c r="A2813" s="4">
        <v>3027</v>
      </c>
      <c r="B2813" s="5">
        <v>2806</v>
      </c>
      <c r="C2813">
        <v>12171</v>
      </c>
      <c r="D2813" t="s">
        <v>10017</v>
      </c>
      <c r="E2813" t="s">
        <v>29</v>
      </c>
      <c r="F2813" t="s">
        <v>124</v>
      </c>
      <c r="G2813" t="s">
        <v>15878</v>
      </c>
      <c r="H2813">
        <v>23.3</v>
      </c>
      <c r="I2813">
        <v>0</v>
      </c>
      <c r="J2813">
        <v>0</v>
      </c>
      <c r="K2813">
        <v>0</v>
      </c>
      <c r="L2813">
        <v>7</v>
      </c>
      <c r="O2813">
        <v>7</v>
      </c>
      <c r="P2813">
        <v>4</v>
      </c>
      <c r="Q2813">
        <v>0</v>
      </c>
      <c r="R2813">
        <v>34.299999999999997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H2813">
        <v>34.299999999999997</v>
      </c>
    </row>
    <row r="2814" spans="1:34" x14ac:dyDescent="0.3">
      <c r="A2814" s="4">
        <v>3028</v>
      </c>
      <c r="B2814" s="5">
        <v>2807</v>
      </c>
      <c r="C2814">
        <v>6628</v>
      </c>
      <c r="D2814" t="s">
        <v>15879</v>
      </c>
      <c r="E2814" t="s">
        <v>132</v>
      </c>
      <c r="F2814" t="s">
        <v>30</v>
      </c>
      <c r="G2814" t="s">
        <v>15880</v>
      </c>
      <c r="H2814">
        <v>21.3</v>
      </c>
      <c r="I2814">
        <v>0</v>
      </c>
      <c r="J2814">
        <v>0</v>
      </c>
      <c r="K2814">
        <v>0</v>
      </c>
      <c r="L2814">
        <v>7</v>
      </c>
      <c r="O2814">
        <v>7</v>
      </c>
      <c r="P2814">
        <v>4</v>
      </c>
      <c r="Q2814">
        <v>2</v>
      </c>
      <c r="R2814">
        <v>34.299999999999997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H2814">
        <v>34.299999999999997</v>
      </c>
    </row>
    <row r="2815" spans="1:34" x14ac:dyDescent="0.3">
      <c r="A2815" s="4">
        <v>3029</v>
      </c>
      <c r="B2815" s="5">
        <v>2808</v>
      </c>
      <c r="C2815">
        <v>3153</v>
      </c>
      <c r="D2815" t="s">
        <v>3278</v>
      </c>
      <c r="E2815" t="s">
        <v>22</v>
      </c>
      <c r="F2815" t="s">
        <v>1806</v>
      </c>
      <c r="G2815" t="s">
        <v>15881</v>
      </c>
      <c r="H2815">
        <v>18.3</v>
      </c>
      <c r="I2815">
        <v>0</v>
      </c>
      <c r="J2815">
        <v>0</v>
      </c>
      <c r="K2815">
        <v>0</v>
      </c>
      <c r="L2815">
        <v>7</v>
      </c>
      <c r="M2815">
        <v>5</v>
      </c>
      <c r="O2815">
        <v>12</v>
      </c>
      <c r="P2815">
        <v>4</v>
      </c>
      <c r="Q2815">
        <v>0</v>
      </c>
      <c r="R2815">
        <v>34.299999999999997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H2815">
        <v>34.299999999999997</v>
      </c>
    </row>
    <row r="2816" spans="1:34" x14ac:dyDescent="0.3">
      <c r="A2816" s="4">
        <v>3030</v>
      </c>
      <c r="B2816" s="5">
        <v>2809</v>
      </c>
      <c r="C2816">
        <v>2684</v>
      </c>
      <c r="D2816" t="s">
        <v>15882</v>
      </c>
      <c r="E2816" t="s">
        <v>1694</v>
      </c>
      <c r="F2816" t="s">
        <v>30</v>
      </c>
      <c r="G2816" t="s">
        <v>15883</v>
      </c>
      <c r="H2816">
        <v>20.28</v>
      </c>
      <c r="I2816">
        <v>0</v>
      </c>
      <c r="J2816">
        <v>0</v>
      </c>
      <c r="K2816">
        <v>0</v>
      </c>
      <c r="L2816">
        <v>7</v>
      </c>
      <c r="N2816">
        <v>3</v>
      </c>
      <c r="O2816">
        <v>10</v>
      </c>
      <c r="P2816">
        <v>4</v>
      </c>
      <c r="Q2816">
        <v>0</v>
      </c>
      <c r="R2816">
        <v>34.28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H2816">
        <v>34.28</v>
      </c>
    </row>
    <row r="2817" spans="1:34" x14ac:dyDescent="0.3">
      <c r="A2817" s="4">
        <v>3031</v>
      </c>
      <c r="B2817" s="5">
        <v>2810</v>
      </c>
      <c r="C2817">
        <v>14143</v>
      </c>
      <c r="D2817" t="s">
        <v>784</v>
      </c>
      <c r="E2817" t="s">
        <v>166</v>
      </c>
      <c r="F2817" t="s">
        <v>171</v>
      </c>
      <c r="G2817" t="s">
        <v>15884</v>
      </c>
      <c r="H2817">
        <v>21.25</v>
      </c>
      <c r="I2817">
        <v>0</v>
      </c>
      <c r="J2817">
        <v>0</v>
      </c>
      <c r="K2817">
        <v>0</v>
      </c>
      <c r="L2817">
        <v>7</v>
      </c>
      <c r="O2817">
        <v>7</v>
      </c>
      <c r="P2817">
        <v>4</v>
      </c>
      <c r="Q2817">
        <v>2</v>
      </c>
      <c r="R2817">
        <v>34.25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H2817">
        <v>34.25</v>
      </c>
    </row>
    <row r="2818" spans="1:34" x14ac:dyDescent="0.3">
      <c r="A2818" s="4">
        <v>3032</v>
      </c>
      <c r="B2818" s="5">
        <v>2811</v>
      </c>
      <c r="C2818">
        <v>14021</v>
      </c>
      <c r="D2818" t="s">
        <v>6264</v>
      </c>
      <c r="E2818" t="s">
        <v>173</v>
      </c>
      <c r="F2818" t="s">
        <v>38</v>
      </c>
      <c r="G2818" t="s">
        <v>15885</v>
      </c>
      <c r="H2818">
        <v>20.25</v>
      </c>
      <c r="I2818">
        <v>0</v>
      </c>
      <c r="J2818">
        <v>0</v>
      </c>
      <c r="K2818">
        <v>0</v>
      </c>
      <c r="L2818">
        <v>7</v>
      </c>
      <c r="N2818">
        <v>3</v>
      </c>
      <c r="O2818">
        <v>10</v>
      </c>
      <c r="P2818">
        <v>4</v>
      </c>
      <c r="Q2818">
        <v>0</v>
      </c>
      <c r="R2818">
        <v>34.25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H2818">
        <v>34.25</v>
      </c>
    </row>
    <row r="2819" spans="1:34" x14ac:dyDescent="0.3">
      <c r="A2819" s="4">
        <v>3033</v>
      </c>
      <c r="B2819" s="5">
        <v>2812</v>
      </c>
      <c r="C2819">
        <v>9808</v>
      </c>
      <c r="D2819" t="s">
        <v>15886</v>
      </c>
      <c r="E2819" t="s">
        <v>54</v>
      </c>
      <c r="F2819" t="s">
        <v>230</v>
      </c>
      <c r="G2819" t="s">
        <v>15887</v>
      </c>
      <c r="H2819">
        <v>18.25</v>
      </c>
      <c r="I2819">
        <v>0</v>
      </c>
      <c r="J2819">
        <v>0</v>
      </c>
      <c r="K2819">
        <v>0</v>
      </c>
      <c r="L2819">
        <v>7</v>
      </c>
      <c r="N2819">
        <v>3</v>
      </c>
      <c r="O2819">
        <v>10</v>
      </c>
      <c r="P2819">
        <v>4</v>
      </c>
      <c r="Q2819">
        <v>2</v>
      </c>
      <c r="R2819">
        <v>34.25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H2819">
        <v>34.25</v>
      </c>
    </row>
    <row r="2820" spans="1:34" x14ac:dyDescent="0.3">
      <c r="A2820" s="4">
        <v>3034</v>
      </c>
      <c r="B2820" s="5">
        <v>2813</v>
      </c>
      <c r="C2820">
        <v>11060</v>
      </c>
      <c r="D2820" t="s">
        <v>2989</v>
      </c>
      <c r="E2820" t="s">
        <v>178</v>
      </c>
      <c r="F2820" t="s">
        <v>15888</v>
      </c>
      <c r="G2820" t="s">
        <v>15889</v>
      </c>
      <c r="H2820">
        <v>17.25</v>
      </c>
      <c r="I2820">
        <v>0</v>
      </c>
      <c r="J2820">
        <v>0</v>
      </c>
      <c r="K2820">
        <v>0</v>
      </c>
      <c r="L2820">
        <v>7</v>
      </c>
      <c r="O2820">
        <v>7</v>
      </c>
      <c r="P2820">
        <v>4</v>
      </c>
      <c r="Q2820">
        <v>0</v>
      </c>
      <c r="R2820">
        <v>28.25</v>
      </c>
      <c r="S2820">
        <v>6</v>
      </c>
      <c r="T2820">
        <v>6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6</v>
      </c>
      <c r="AB2820">
        <v>0</v>
      </c>
      <c r="AC2820">
        <v>0</v>
      </c>
      <c r="AD2820" t="s">
        <v>130</v>
      </c>
      <c r="AH2820">
        <v>34.25</v>
      </c>
    </row>
    <row r="2821" spans="1:34" x14ac:dyDescent="0.3">
      <c r="A2821" s="4">
        <v>3035</v>
      </c>
      <c r="B2821" s="5">
        <v>2814</v>
      </c>
      <c r="C2821">
        <v>14875</v>
      </c>
      <c r="D2821" t="s">
        <v>15890</v>
      </c>
      <c r="E2821" t="s">
        <v>166</v>
      </c>
      <c r="F2821" t="s">
        <v>34</v>
      </c>
      <c r="G2821" t="s">
        <v>15891</v>
      </c>
      <c r="H2821">
        <v>20.23</v>
      </c>
      <c r="I2821">
        <v>0</v>
      </c>
      <c r="J2821">
        <v>0</v>
      </c>
      <c r="K2821">
        <v>0</v>
      </c>
      <c r="L2821">
        <v>7</v>
      </c>
      <c r="M2821">
        <v>5</v>
      </c>
      <c r="O2821">
        <v>12</v>
      </c>
      <c r="P2821">
        <v>0</v>
      </c>
      <c r="Q2821">
        <v>2</v>
      </c>
      <c r="R2821">
        <v>34.229999999999997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H2821">
        <v>34.229999999999997</v>
      </c>
    </row>
    <row r="2822" spans="1:34" x14ac:dyDescent="0.3">
      <c r="A2822" s="4">
        <v>3036</v>
      </c>
      <c r="B2822" s="5">
        <v>2815</v>
      </c>
      <c r="C2822">
        <v>852</v>
      </c>
      <c r="D2822" t="s">
        <v>15892</v>
      </c>
      <c r="E2822" t="s">
        <v>286</v>
      </c>
      <c r="F2822" t="s">
        <v>38</v>
      </c>
      <c r="G2822" t="s">
        <v>15893</v>
      </c>
      <c r="H2822">
        <v>18.23</v>
      </c>
      <c r="I2822">
        <v>0</v>
      </c>
      <c r="J2822">
        <v>0</v>
      </c>
      <c r="K2822">
        <v>0</v>
      </c>
      <c r="L2822">
        <v>7</v>
      </c>
      <c r="N2822">
        <v>3</v>
      </c>
      <c r="O2822">
        <v>10</v>
      </c>
      <c r="P2822">
        <v>4</v>
      </c>
      <c r="Q2822">
        <v>2</v>
      </c>
      <c r="R2822">
        <v>34.229999999999997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H2822">
        <v>34.229999999999997</v>
      </c>
    </row>
    <row r="2823" spans="1:34" x14ac:dyDescent="0.3">
      <c r="A2823" s="4">
        <v>3037</v>
      </c>
      <c r="B2823" s="5">
        <v>2816</v>
      </c>
      <c r="C2823">
        <v>1267</v>
      </c>
      <c r="D2823" t="s">
        <v>15894</v>
      </c>
      <c r="E2823" t="s">
        <v>4176</v>
      </c>
      <c r="F2823" t="s">
        <v>81</v>
      </c>
      <c r="G2823" t="s">
        <v>15895</v>
      </c>
      <c r="H2823">
        <v>18.23</v>
      </c>
      <c r="I2823">
        <v>0</v>
      </c>
      <c r="J2823">
        <v>0</v>
      </c>
      <c r="K2823">
        <v>0</v>
      </c>
      <c r="L2823">
        <v>7</v>
      </c>
      <c r="N2823">
        <v>3</v>
      </c>
      <c r="O2823">
        <v>10</v>
      </c>
      <c r="P2823">
        <v>4</v>
      </c>
      <c r="Q2823">
        <v>2</v>
      </c>
      <c r="R2823">
        <v>34.229999999999997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H2823">
        <v>34.229999999999997</v>
      </c>
    </row>
    <row r="2824" spans="1:34" x14ac:dyDescent="0.3">
      <c r="A2824" s="4">
        <v>3038</v>
      </c>
      <c r="B2824" s="5">
        <v>2817</v>
      </c>
      <c r="C2824">
        <v>3206</v>
      </c>
      <c r="D2824" t="s">
        <v>15896</v>
      </c>
      <c r="E2824" t="s">
        <v>54</v>
      </c>
      <c r="F2824" t="s">
        <v>136</v>
      </c>
      <c r="G2824" t="s">
        <v>15897</v>
      </c>
      <c r="H2824">
        <v>21.2</v>
      </c>
      <c r="I2824">
        <v>0</v>
      </c>
      <c r="J2824">
        <v>0</v>
      </c>
      <c r="K2824">
        <v>0</v>
      </c>
      <c r="N2824">
        <v>3</v>
      </c>
      <c r="O2824">
        <v>3</v>
      </c>
      <c r="P2824">
        <v>4</v>
      </c>
      <c r="Q2824">
        <v>0</v>
      </c>
      <c r="R2824">
        <v>28.2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6</v>
      </c>
      <c r="AC2824">
        <v>0</v>
      </c>
      <c r="AH2824">
        <v>34.200000000000003</v>
      </c>
    </row>
    <row r="2825" spans="1:34" x14ac:dyDescent="0.3">
      <c r="A2825" s="4">
        <v>3039</v>
      </c>
      <c r="B2825" s="5">
        <v>2818</v>
      </c>
      <c r="C2825">
        <v>10977</v>
      </c>
      <c r="D2825" t="s">
        <v>15898</v>
      </c>
      <c r="E2825" t="s">
        <v>166</v>
      </c>
      <c r="F2825" t="s">
        <v>158</v>
      </c>
      <c r="G2825" t="s">
        <v>15899</v>
      </c>
      <c r="H2825">
        <v>16.149999999999999</v>
      </c>
      <c r="I2825">
        <v>0</v>
      </c>
      <c r="J2825">
        <v>0</v>
      </c>
      <c r="K2825">
        <v>0</v>
      </c>
      <c r="N2825">
        <v>3</v>
      </c>
      <c r="O2825">
        <v>3</v>
      </c>
      <c r="P2825">
        <v>4</v>
      </c>
      <c r="Q2825">
        <v>2</v>
      </c>
      <c r="R2825">
        <v>25.15</v>
      </c>
      <c r="S2825">
        <v>6</v>
      </c>
      <c r="T2825">
        <v>6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6</v>
      </c>
      <c r="AB2825">
        <v>3</v>
      </c>
      <c r="AC2825">
        <v>0</v>
      </c>
      <c r="AH2825">
        <v>34.15</v>
      </c>
    </row>
    <row r="2826" spans="1:34" x14ac:dyDescent="0.3">
      <c r="A2826" s="4">
        <v>3040</v>
      </c>
      <c r="B2826" s="5">
        <v>2819</v>
      </c>
      <c r="C2826">
        <v>2130</v>
      </c>
      <c r="D2826" t="s">
        <v>15900</v>
      </c>
      <c r="E2826" t="s">
        <v>2727</v>
      </c>
      <c r="F2826" t="s">
        <v>91</v>
      </c>
      <c r="G2826" t="s">
        <v>15901</v>
      </c>
      <c r="H2826">
        <v>20.149999999999999</v>
      </c>
      <c r="I2826">
        <v>0</v>
      </c>
      <c r="J2826">
        <v>0</v>
      </c>
      <c r="K2826">
        <v>0</v>
      </c>
      <c r="L2826">
        <v>7</v>
      </c>
      <c r="N2826">
        <v>3</v>
      </c>
      <c r="O2826">
        <v>10</v>
      </c>
      <c r="P2826">
        <v>4</v>
      </c>
      <c r="Q2826">
        <v>0</v>
      </c>
      <c r="R2826">
        <v>34.15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H2826">
        <v>34.15</v>
      </c>
    </row>
    <row r="2827" spans="1:34" x14ac:dyDescent="0.3">
      <c r="A2827" s="4">
        <v>3041</v>
      </c>
      <c r="B2827" s="5">
        <v>2820</v>
      </c>
      <c r="C2827">
        <v>9040</v>
      </c>
      <c r="D2827" t="s">
        <v>15902</v>
      </c>
      <c r="E2827" t="s">
        <v>2157</v>
      </c>
      <c r="F2827" t="s">
        <v>20</v>
      </c>
      <c r="G2827" t="s">
        <v>15903</v>
      </c>
      <c r="H2827">
        <v>20.149999999999999</v>
      </c>
      <c r="I2827">
        <v>0</v>
      </c>
      <c r="J2827">
        <v>0</v>
      </c>
      <c r="K2827">
        <v>0</v>
      </c>
      <c r="L2827">
        <v>7</v>
      </c>
      <c r="N2827">
        <v>3</v>
      </c>
      <c r="O2827">
        <v>10</v>
      </c>
      <c r="P2827">
        <v>4</v>
      </c>
      <c r="Q2827">
        <v>0</v>
      </c>
      <c r="R2827">
        <v>34.15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H2827">
        <v>34.15</v>
      </c>
    </row>
    <row r="2828" spans="1:34" x14ac:dyDescent="0.3">
      <c r="A2828" s="4">
        <v>3042</v>
      </c>
      <c r="B2828" s="5">
        <v>2821</v>
      </c>
      <c r="C2828">
        <v>7619</v>
      </c>
      <c r="D2828" t="s">
        <v>15904</v>
      </c>
      <c r="E2828" t="s">
        <v>3948</v>
      </c>
      <c r="F2828" t="s">
        <v>117</v>
      </c>
      <c r="G2828" t="s">
        <v>15905</v>
      </c>
      <c r="H2828">
        <v>18.149999999999999</v>
      </c>
      <c r="I2828">
        <v>0</v>
      </c>
      <c r="J2828">
        <v>0</v>
      </c>
      <c r="K2828">
        <v>0</v>
      </c>
      <c r="L2828">
        <v>7</v>
      </c>
      <c r="N2828">
        <v>3</v>
      </c>
      <c r="O2828">
        <v>10</v>
      </c>
      <c r="P2828">
        <v>4</v>
      </c>
      <c r="Q2828">
        <v>2</v>
      </c>
      <c r="R2828">
        <v>34.15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H2828">
        <v>34.15</v>
      </c>
    </row>
    <row r="2829" spans="1:34" x14ac:dyDescent="0.3">
      <c r="A2829" s="4">
        <v>3043</v>
      </c>
      <c r="B2829" s="5">
        <v>2822</v>
      </c>
      <c r="C2829">
        <v>5840</v>
      </c>
      <c r="D2829" t="s">
        <v>15906</v>
      </c>
      <c r="E2829" t="s">
        <v>17</v>
      </c>
      <c r="F2829" t="s">
        <v>14</v>
      </c>
      <c r="G2829" t="s">
        <v>15907</v>
      </c>
      <c r="H2829">
        <v>16.13</v>
      </c>
      <c r="I2829">
        <v>7</v>
      </c>
      <c r="J2829">
        <v>0</v>
      </c>
      <c r="K2829">
        <v>0</v>
      </c>
      <c r="N2829">
        <v>3</v>
      </c>
      <c r="O2829">
        <v>3</v>
      </c>
      <c r="P2829">
        <v>0</v>
      </c>
      <c r="Q2829">
        <v>2</v>
      </c>
      <c r="R2829">
        <v>28.13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6</v>
      </c>
      <c r="AC2829">
        <v>0</v>
      </c>
      <c r="AH2829">
        <v>34.130000000000003</v>
      </c>
    </row>
    <row r="2830" spans="1:34" x14ac:dyDescent="0.3">
      <c r="A2830" s="4">
        <v>3044</v>
      </c>
      <c r="B2830" s="5">
        <v>2823</v>
      </c>
      <c r="C2830">
        <v>7978</v>
      </c>
      <c r="D2830" t="s">
        <v>5697</v>
      </c>
      <c r="E2830" t="s">
        <v>454</v>
      </c>
      <c r="F2830" t="s">
        <v>1000</v>
      </c>
      <c r="G2830" t="s">
        <v>15908</v>
      </c>
      <c r="H2830">
        <v>17.13</v>
      </c>
      <c r="I2830">
        <v>0</v>
      </c>
      <c r="J2830">
        <v>0</v>
      </c>
      <c r="K2830">
        <v>0</v>
      </c>
      <c r="N2830">
        <v>3</v>
      </c>
      <c r="O2830">
        <v>3</v>
      </c>
      <c r="P2830">
        <v>0</v>
      </c>
      <c r="Q2830">
        <v>0</v>
      </c>
      <c r="R2830">
        <v>20.13</v>
      </c>
      <c r="S2830">
        <v>11</v>
      </c>
      <c r="T2830">
        <v>11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11</v>
      </c>
      <c r="AB2830">
        <v>3</v>
      </c>
      <c r="AC2830">
        <v>0</v>
      </c>
      <c r="AH2830">
        <v>34.130000000000003</v>
      </c>
    </row>
    <row r="2831" spans="1:34" x14ac:dyDescent="0.3">
      <c r="A2831" s="4">
        <v>3045</v>
      </c>
      <c r="B2831" s="5">
        <v>2824</v>
      </c>
      <c r="C2831">
        <v>13735</v>
      </c>
      <c r="D2831" t="s">
        <v>3754</v>
      </c>
      <c r="E2831" t="s">
        <v>100</v>
      </c>
      <c r="F2831" t="s">
        <v>68</v>
      </c>
      <c r="G2831" t="s">
        <v>15909</v>
      </c>
      <c r="H2831">
        <v>20.13</v>
      </c>
      <c r="I2831">
        <v>0</v>
      </c>
      <c r="J2831">
        <v>0</v>
      </c>
      <c r="K2831">
        <v>0</v>
      </c>
      <c r="L2831">
        <v>7</v>
      </c>
      <c r="N2831">
        <v>3</v>
      </c>
      <c r="O2831">
        <v>10</v>
      </c>
      <c r="P2831">
        <v>4</v>
      </c>
      <c r="Q2831">
        <v>0</v>
      </c>
      <c r="R2831">
        <v>34.130000000000003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H2831">
        <v>34.130000000000003</v>
      </c>
    </row>
    <row r="2832" spans="1:34" x14ac:dyDescent="0.3">
      <c r="A2832" s="4">
        <v>3046</v>
      </c>
      <c r="B2832" s="5">
        <v>2825</v>
      </c>
      <c r="C2832">
        <v>6968</v>
      </c>
      <c r="D2832" t="s">
        <v>9585</v>
      </c>
      <c r="E2832" t="s">
        <v>2542</v>
      </c>
      <c r="F2832" t="s">
        <v>17</v>
      </c>
      <c r="G2832" t="s">
        <v>15910</v>
      </c>
      <c r="H2832">
        <v>20.13</v>
      </c>
      <c r="I2832">
        <v>0</v>
      </c>
      <c r="J2832">
        <v>0</v>
      </c>
      <c r="K2832">
        <v>0</v>
      </c>
      <c r="L2832">
        <v>7</v>
      </c>
      <c r="N2832">
        <v>3</v>
      </c>
      <c r="O2832">
        <v>10</v>
      </c>
      <c r="P2832">
        <v>4</v>
      </c>
      <c r="Q2832">
        <v>0</v>
      </c>
      <c r="R2832">
        <v>34.130000000000003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H2832">
        <v>34.130000000000003</v>
      </c>
    </row>
    <row r="2833" spans="1:34" x14ac:dyDescent="0.3">
      <c r="A2833" s="4">
        <v>3047</v>
      </c>
      <c r="B2833" s="5">
        <v>2826</v>
      </c>
      <c r="C2833">
        <v>897</v>
      </c>
      <c r="D2833" t="s">
        <v>15911</v>
      </c>
      <c r="E2833" t="s">
        <v>54</v>
      </c>
      <c r="F2833" t="s">
        <v>62</v>
      </c>
      <c r="G2833" t="s">
        <v>15912</v>
      </c>
      <c r="H2833">
        <v>23.1</v>
      </c>
      <c r="I2833">
        <v>0</v>
      </c>
      <c r="J2833">
        <v>0</v>
      </c>
      <c r="K2833">
        <v>0</v>
      </c>
      <c r="L2833">
        <v>7</v>
      </c>
      <c r="O2833">
        <v>7</v>
      </c>
      <c r="P2833">
        <v>4</v>
      </c>
      <c r="Q2833">
        <v>0</v>
      </c>
      <c r="R2833">
        <v>34.1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H2833">
        <v>34.1</v>
      </c>
    </row>
    <row r="2834" spans="1:34" x14ac:dyDescent="0.3">
      <c r="A2834" s="4">
        <v>3048</v>
      </c>
      <c r="B2834" s="5">
        <v>2827</v>
      </c>
      <c r="C2834">
        <v>5648</v>
      </c>
      <c r="D2834" t="s">
        <v>9175</v>
      </c>
      <c r="E2834" t="s">
        <v>147</v>
      </c>
      <c r="F2834" t="s">
        <v>34</v>
      </c>
      <c r="G2834" t="s">
        <v>15913</v>
      </c>
      <c r="H2834">
        <v>23.1</v>
      </c>
      <c r="I2834">
        <v>0</v>
      </c>
      <c r="J2834">
        <v>0</v>
      </c>
      <c r="K2834">
        <v>0</v>
      </c>
      <c r="L2834">
        <v>7</v>
      </c>
      <c r="O2834">
        <v>7</v>
      </c>
      <c r="P2834">
        <v>4</v>
      </c>
      <c r="Q2834">
        <v>0</v>
      </c>
      <c r="R2834">
        <v>34.1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H2834">
        <v>34.1</v>
      </c>
    </row>
    <row r="2835" spans="1:34" x14ac:dyDescent="0.3">
      <c r="A2835" s="4">
        <v>3049</v>
      </c>
      <c r="B2835" s="5">
        <v>2828</v>
      </c>
      <c r="C2835">
        <v>4808</v>
      </c>
      <c r="D2835" t="s">
        <v>15914</v>
      </c>
      <c r="E2835" t="s">
        <v>29</v>
      </c>
      <c r="F2835" t="s">
        <v>385</v>
      </c>
      <c r="G2835" t="s">
        <v>15915</v>
      </c>
      <c r="H2835">
        <v>18.100000000000001</v>
      </c>
      <c r="I2835">
        <v>0</v>
      </c>
      <c r="J2835">
        <v>0</v>
      </c>
      <c r="K2835">
        <v>0</v>
      </c>
      <c r="L2835">
        <v>7</v>
      </c>
      <c r="N2835">
        <v>3</v>
      </c>
      <c r="O2835">
        <v>10</v>
      </c>
      <c r="P2835">
        <v>4</v>
      </c>
      <c r="Q2835">
        <v>2</v>
      </c>
      <c r="R2835">
        <v>34.1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H2835">
        <v>34.1</v>
      </c>
    </row>
    <row r="2836" spans="1:34" x14ac:dyDescent="0.3">
      <c r="A2836" s="4">
        <v>3050</v>
      </c>
      <c r="B2836" s="5">
        <v>2829</v>
      </c>
      <c r="C2836">
        <v>3109</v>
      </c>
      <c r="D2836" t="s">
        <v>15916</v>
      </c>
      <c r="E2836" t="s">
        <v>132</v>
      </c>
      <c r="F2836" t="s">
        <v>20</v>
      </c>
      <c r="G2836" t="s">
        <v>15917</v>
      </c>
      <c r="H2836">
        <v>18.100000000000001</v>
      </c>
      <c r="I2836">
        <v>0</v>
      </c>
      <c r="J2836">
        <v>0</v>
      </c>
      <c r="K2836">
        <v>0</v>
      </c>
      <c r="L2836">
        <v>7</v>
      </c>
      <c r="M2836">
        <v>5</v>
      </c>
      <c r="O2836">
        <v>12</v>
      </c>
      <c r="P2836">
        <v>4</v>
      </c>
      <c r="Q2836">
        <v>0</v>
      </c>
      <c r="R2836">
        <v>34.1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H2836">
        <v>34.1</v>
      </c>
    </row>
    <row r="2837" spans="1:34" x14ac:dyDescent="0.3">
      <c r="A2837" s="4">
        <v>3051</v>
      </c>
      <c r="B2837" s="5">
        <v>2830</v>
      </c>
      <c r="C2837">
        <v>2881</v>
      </c>
      <c r="D2837" t="s">
        <v>15093</v>
      </c>
      <c r="E2837" t="s">
        <v>15918</v>
      </c>
      <c r="F2837" t="s">
        <v>15919</v>
      </c>
      <c r="G2837" t="s">
        <v>15920</v>
      </c>
      <c r="H2837">
        <v>23.08</v>
      </c>
      <c r="I2837">
        <v>0</v>
      </c>
      <c r="J2837">
        <v>0</v>
      </c>
      <c r="K2837">
        <v>0</v>
      </c>
      <c r="L2837">
        <v>7</v>
      </c>
      <c r="O2837">
        <v>7</v>
      </c>
      <c r="P2837">
        <v>4</v>
      </c>
      <c r="Q2837">
        <v>0</v>
      </c>
      <c r="R2837">
        <v>34.08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H2837">
        <v>34.08</v>
      </c>
    </row>
    <row r="2838" spans="1:34" x14ac:dyDescent="0.3">
      <c r="A2838" s="4">
        <v>3052</v>
      </c>
      <c r="B2838" s="5">
        <v>2831</v>
      </c>
      <c r="C2838">
        <v>12642</v>
      </c>
      <c r="D2838" t="s">
        <v>15921</v>
      </c>
      <c r="E2838" t="s">
        <v>406</v>
      </c>
      <c r="F2838" t="s">
        <v>30</v>
      </c>
      <c r="G2838" t="s">
        <v>15922</v>
      </c>
      <c r="H2838">
        <v>21.08</v>
      </c>
      <c r="I2838">
        <v>0</v>
      </c>
      <c r="J2838">
        <v>0</v>
      </c>
      <c r="K2838">
        <v>0</v>
      </c>
      <c r="L2838">
        <v>7</v>
      </c>
      <c r="O2838">
        <v>7</v>
      </c>
      <c r="P2838">
        <v>4</v>
      </c>
      <c r="Q2838">
        <v>2</v>
      </c>
      <c r="R2838">
        <v>34.08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H2838">
        <v>34.08</v>
      </c>
    </row>
    <row r="2839" spans="1:34" x14ac:dyDescent="0.3">
      <c r="A2839" s="4">
        <v>3053</v>
      </c>
      <c r="B2839" s="5">
        <v>2832</v>
      </c>
      <c r="C2839">
        <v>6934</v>
      </c>
      <c r="D2839" t="s">
        <v>15923</v>
      </c>
      <c r="E2839" t="s">
        <v>37</v>
      </c>
      <c r="F2839" t="s">
        <v>190</v>
      </c>
      <c r="G2839" t="s">
        <v>15924</v>
      </c>
      <c r="H2839">
        <v>18.079999999999998</v>
      </c>
      <c r="I2839">
        <v>0</v>
      </c>
      <c r="J2839">
        <v>0</v>
      </c>
      <c r="K2839">
        <v>0</v>
      </c>
      <c r="L2839">
        <v>7</v>
      </c>
      <c r="N2839">
        <v>3</v>
      </c>
      <c r="O2839">
        <v>10</v>
      </c>
      <c r="P2839">
        <v>4</v>
      </c>
      <c r="Q2839">
        <v>2</v>
      </c>
      <c r="R2839">
        <v>34.08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H2839">
        <v>34.08</v>
      </c>
    </row>
    <row r="2840" spans="1:34" x14ac:dyDescent="0.3">
      <c r="A2840" s="4">
        <v>3054</v>
      </c>
      <c r="B2840" s="5">
        <v>2833</v>
      </c>
      <c r="C2840">
        <v>5410</v>
      </c>
      <c r="D2840" t="s">
        <v>2484</v>
      </c>
      <c r="E2840" t="s">
        <v>1426</v>
      </c>
      <c r="F2840" t="s">
        <v>20</v>
      </c>
      <c r="G2840" t="s">
        <v>15925</v>
      </c>
      <c r="H2840">
        <v>20.03</v>
      </c>
      <c r="I2840">
        <v>0</v>
      </c>
      <c r="J2840">
        <v>0</v>
      </c>
      <c r="K2840">
        <v>0</v>
      </c>
      <c r="L2840">
        <v>7</v>
      </c>
      <c r="M2840">
        <v>5</v>
      </c>
      <c r="O2840">
        <v>12</v>
      </c>
      <c r="P2840">
        <v>0</v>
      </c>
      <c r="Q2840">
        <v>2</v>
      </c>
      <c r="R2840">
        <v>34.03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H2840">
        <v>34.03</v>
      </c>
    </row>
    <row r="2841" spans="1:34" x14ac:dyDescent="0.3">
      <c r="A2841" s="4">
        <v>3055</v>
      </c>
      <c r="B2841" s="5">
        <v>2834</v>
      </c>
      <c r="C2841">
        <v>4201</v>
      </c>
      <c r="D2841" t="s">
        <v>14993</v>
      </c>
      <c r="E2841" t="s">
        <v>413</v>
      </c>
      <c r="F2841" t="s">
        <v>158</v>
      </c>
      <c r="G2841" t="s">
        <v>15926</v>
      </c>
      <c r="H2841">
        <v>20.03</v>
      </c>
      <c r="I2841">
        <v>0</v>
      </c>
      <c r="J2841">
        <v>0</v>
      </c>
      <c r="K2841">
        <v>0</v>
      </c>
      <c r="L2841">
        <v>14</v>
      </c>
      <c r="O2841">
        <v>14</v>
      </c>
      <c r="P2841">
        <v>0</v>
      </c>
      <c r="Q2841">
        <v>0</v>
      </c>
      <c r="R2841">
        <v>34.03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H2841">
        <v>34.03</v>
      </c>
    </row>
    <row r="2842" spans="1:34" x14ac:dyDescent="0.3">
      <c r="A2842" s="4">
        <v>3056</v>
      </c>
      <c r="B2842" s="5">
        <v>2835</v>
      </c>
      <c r="C2842">
        <v>8526</v>
      </c>
      <c r="D2842" t="s">
        <v>11393</v>
      </c>
      <c r="E2842" t="s">
        <v>29</v>
      </c>
      <c r="F2842" t="s">
        <v>190</v>
      </c>
      <c r="G2842" t="s">
        <v>15927</v>
      </c>
      <c r="H2842">
        <v>22</v>
      </c>
      <c r="I2842">
        <v>0</v>
      </c>
      <c r="J2842">
        <v>0</v>
      </c>
      <c r="K2842">
        <v>0</v>
      </c>
      <c r="L2842">
        <v>7</v>
      </c>
      <c r="N2842">
        <v>3</v>
      </c>
      <c r="O2842">
        <v>10</v>
      </c>
      <c r="P2842">
        <v>0</v>
      </c>
      <c r="Q2842">
        <v>2</v>
      </c>
      <c r="R2842">
        <v>34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H2842">
        <v>34</v>
      </c>
    </row>
    <row r="2843" spans="1:34" x14ac:dyDescent="0.3">
      <c r="A2843" s="4">
        <v>3057</v>
      </c>
      <c r="B2843" s="5">
        <v>2836</v>
      </c>
      <c r="C2843">
        <v>14982</v>
      </c>
      <c r="D2843" t="s">
        <v>14323</v>
      </c>
      <c r="E2843" t="s">
        <v>648</v>
      </c>
      <c r="F2843" t="s">
        <v>158</v>
      </c>
      <c r="G2843" t="s">
        <v>15928</v>
      </c>
      <c r="H2843">
        <v>21</v>
      </c>
      <c r="I2843">
        <v>0</v>
      </c>
      <c r="J2843">
        <v>0</v>
      </c>
      <c r="K2843">
        <v>0</v>
      </c>
      <c r="L2843">
        <v>7</v>
      </c>
      <c r="O2843">
        <v>7</v>
      </c>
      <c r="P2843">
        <v>4</v>
      </c>
      <c r="Q2843">
        <v>2</v>
      </c>
      <c r="R2843">
        <v>34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H2843">
        <v>34</v>
      </c>
    </row>
    <row r="2844" spans="1:34" x14ac:dyDescent="0.3">
      <c r="A2844" s="4">
        <v>3058</v>
      </c>
      <c r="B2844" s="5">
        <v>2837</v>
      </c>
      <c r="C2844">
        <v>13394</v>
      </c>
      <c r="D2844" t="s">
        <v>15929</v>
      </c>
      <c r="E2844" t="s">
        <v>54</v>
      </c>
      <c r="F2844" t="s">
        <v>136</v>
      </c>
      <c r="G2844" t="s">
        <v>15930</v>
      </c>
      <c r="H2844">
        <v>21</v>
      </c>
      <c r="I2844">
        <v>0</v>
      </c>
      <c r="J2844">
        <v>0</v>
      </c>
      <c r="K2844">
        <v>0</v>
      </c>
      <c r="L2844">
        <v>7</v>
      </c>
      <c r="O2844">
        <v>7</v>
      </c>
      <c r="P2844">
        <v>4</v>
      </c>
      <c r="Q2844">
        <v>2</v>
      </c>
      <c r="R2844">
        <v>34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H2844">
        <v>34</v>
      </c>
    </row>
    <row r="2845" spans="1:34" x14ac:dyDescent="0.3">
      <c r="A2845" s="4">
        <v>3059</v>
      </c>
      <c r="B2845" s="5">
        <v>2838</v>
      </c>
      <c r="C2845">
        <v>2850</v>
      </c>
      <c r="D2845" t="s">
        <v>32</v>
      </c>
      <c r="E2845" t="s">
        <v>100</v>
      </c>
      <c r="F2845" t="s">
        <v>38</v>
      </c>
      <c r="G2845" t="s">
        <v>15931</v>
      </c>
      <c r="H2845">
        <v>17.98</v>
      </c>
      <c r="I2845">
        <v>0</v>
      </c>
      <c r="J2845">
        <v>0</v>
      </c>
      <c r="K2845">
        <v>0</v>
      </c>
      <c r="N2845">
        <v>3</v>
      </c>
      <c r="O2845">
        <v>3</v>
      </c>
      <c r="P2845">
        <v>4</v>
      </c>
      <c r="Q2845">
        <v>0</v>
      </c>
      <c r="R2845">
        <v>24.98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9</v>
      </c>
      <c r="AC2845">
        <v>0</v>
      </c>
      <c r="AH2845">
        <v>33.979999999999997</v>
      </c>
    </row>
    <row r="2846" spans="1:34" x14ac:dyDescent="0.3">
      <c r="A2846" s="4">
        <v>3060</v>
      </c>
      <c r="B2846" s="5">
        <v>2839</v>
      </c>
      <c r="C2846">
        <v>14786</v>
      </c>
      <c r="D2846" t="s">
        <v>5911</v>
      </c>
      <c r="E2846" t="s">
        <v>54</v>
      </c>
      <c r="F2846" t="s">
        <v>79</v>
      </c>
      <c r="G2846" t="s">
        <v>15932</v>
      </c>
      <c r="H2846">
        <v>22.98</v>
      </c>
      <c r="I2846">
        <v>0</v>
      </c>
      <c r="J2846">
        <v>0</v>
      </c>
      <c r="K2846">
        <v>0</v>
      </c>
      <c r="L2846">
        <v>7</v>
      </c>
      <c r="O2846">
        <v>7</v>
      </c>
      <c r="P2846">
        <v>4</v>
      </c>
      <c r="Q2846">
        <v>0</v>
      </c>
      <c r="R2846">
        <v>33.979999999999997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H2846">
        <v>33.979999999999997</v>
      </c>
    </row>
    <row r="2847" spans="1:34" x14ac:dyDescent="0.3">
      <c r="A2847" s="4">
        <v>3061</v>
      </c>
      <c r="B2847" s="5">
        <v>2840</v>
      </c>
      <c r="C2847">
        <v>5499</v>
      </c>
      <c r="D2847" t="s">
        <v>2717</v>
      </c>
      <c r="E2847" t="s">
        <v>5139</v>
      </c>
      <c r="F2847" t="s">
        <v>425</v>
      </c>
      <c r="G2847" t="s">
        <v>15933</v>
      </c>
      <c r="H2847">
        <v>20.98</v>
      </c>
      <c r="I2847">
        <v>0</v>
      </c>
      <c r="J2847">
        <v>0</v>
      </c>
      <c r="K2847">
        <v>0</v>
      </c>
      <c r="L2847">
        <v>7</v>
      </c>
      <c r="O2847">
        <v>7</v>
      </c>
      <c r="P2847">
        <v>4</v>
      </c>
      <c r="Q2847">
        <v>2</v>
      </c>
      <c r="R2847">
        <v>33.979999999999997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H2847">
        <v>33.979999999999997</v>
      </c>
    </row>
    <row r="2848" spans="1:34" x14ac:dyDescent="0.3">
      <c r="A2848" s="4">
        <v>3062</v>
      </c>
      <c r="B2848" s="5">
        <v>2841</v>
      </c>
      <c r="C2848">
        <v>2307</v>
      </c>
      <c r="D2848" t="s">
        <v>15934</v>
      </c>
      <c r="E2848" t="s">
        <v>15935</v>
      </c>
      <c r="F2848" t="s">
        <v>2680</v>
      </c>
      <c r="G2848" t="s">
        <v>15936</v>
      </c>
      <c r="H2848">
        <v>20.98</v>
      </c>
      <c r="I2848">
        <v>0</v>
      </c>
      <c r="J2848">
        <v>0</v>
      </c>
      <c r="K2848">
        <v>0</v>
      </c>
      <c r="L2848">
        <v>7</v>
      </c>
      <c r="O2848">
        <v>7</v>
      </c>
      <c r="P2848">
        <v>4</v>
      </c>
      <c r="Q2848">
        <v>2</v>
      </c>
      <c r="R2848">
        <v>33.979999999999997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H2848">
        <v>33.979999999999997</v>
      </c>
    </row>
    <row r="2849" spans="1:34" x14ac:dyDescent="0.3">
      <c r="A2849" s="4">
        <v>3063</v>
      </c>
      <c r="B2849" s="5">
        <v>2842</v>
      </c>
      <c r="C2849">
        <v>13849</v>
      </c>
      <c r="D2849" t="s">
        <v>4749</v>
      </c>
      <c r="E2849" t="s">
        <v>29</v>
      </c>
      <c r="F2849" t="s">
        <v>136</v>
      </c>
      <c r="G2849" t="s">
        <v>15937</v>
      </c>
      <c r="H2849">
        <v>19.98</v>
      </c>
      <c r="I2849">
        <v>0</v>
      </c>
      <c r="J2849">
        <v>0</v>
      </c>
      <c r="K2849">
        <v>0</v>
      </c>
      <c r="L2849">
        <v>7</v>
      </c>
      <c r="N2849">
        <v>3</v>
      </c>
      <c r="O2849">
        <v>10</v>
      </c>
      <c r="P2849">
        <v>4</v>
      </c>
      <c r="Q2849">
        <v>0</v>
      </c>
      <c r="R2849">
        <v>33.979999999999997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H2849">
        <v>33.979999999999997</v>
      </c>
    </row>
    <row r="2850" spans="1:34" x14ac:dyDescent="0.3">
      <c r="A2850" s="4">
        <v>3064</v>
      </c>
      <c r="B2850" s="5">
        <v>2843</v>
      </c>
      <c r="C2850">
        <v>712</v>
      </c>
      <c r="D2850" t="s">
        <v>11747</v>
      </c>
      <c r="E2850" t="s">
        <v>54</v>
      </c>
      <c r="F2850" t="s">
        <v>17</v>
      </c>
      <c r="G2850" t="s">
        <v>15938</v>
      </c>
      <c r="H2850">
        <v>19.98</v>
      </c>
      <c r="I2850">
        <v>0</v>
      </c>
      <c r="J2850">
        <v>0</v>
      </c>
      <c r="K2850">
        <v>0</v>
      </c>
      <c r="L2850">
        <v>7</v>
      </c>
      <c r="N2850">
        <v>3</v>
      </c>
      <c r="O2850">
        <v>10</v>
      </c>
      <c r="P2850">
        <v>4</v>
      </c>
      <c r="Q2850">
        <v>0</v>
      </c>
      <c r="R2850">
        <v>33.979999999999997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H2850">
        <v>33.979999999999997</v>
      </c>
    </row>
    <row r="2851" spans="1:34" x14ac:dyDescent="0.3">
      <c r="A2851" s="4">
        <v>3065</v>
      </c>
      <c r="B2851" s="5">
        <v>2844</v>
      </c>
      <c r="C2851">
        <v>13183</v>
      </c>
      <c r="D2851" t="s">
        <v>572</v>
      </c>
      <c r="E2851" t="s">
        <v>15939</v>
      </c>
      <c r="F2851" t="s">
        <v>91</v>
      </c>
      <c r="G2851" t="s">
        <v>15940</v>
      </c>
      <c r="H2851">
        <v>19.98</v>
      </c>
      <c r="I2851">
        <v>0</v>
      </c>
      <c r="J2851">
        <v>0</v>
      </c>
      <c r="K2851">
        <v>0</v>
      </c>
      <c r="L2851">
        <v>7</v>
      </c>
      <c r="N2851">
        <v>3</v>
      </c>
      <c r="O2851">
        <v>10</v>
      </c>
      <c r="P2851">
        <v>4</v>
      </c>
      <c r="Q2851">
        <v>0</v>
      </c>
      <c r="R2851">
        <v>33.979999999999997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H2851">
        <v>33.979999999999997</v>
      </c>
    </row>
    <row r="2852" spans="1:34" x14ac:dyDescent="0.3">
      <c r="A2852" s="4">
        <v>3066</v>
      </c>
      <c r="B2852" s="5">
        <v>2845</v>
      </c>
      <c r="C2852">
        <v>8706</v>
      </c>
      <c r="D2852" t="s">
        <v>15941</v>
      </c>
      <c r="E2852" t="s">
        <v>88</v>
      </c>
      <c r="F2852" t="s">
        <v>79</v>
      </c>
      <c r="G2852" t="s">
        <v>15942</v>
      </c>
      <c r="H2852">
        <v>19.95</v>
      </c>
      <c r="I2852">
        <v>0</v>
      </c>
      <c r="J2852">
        <v>0</v>
      </c>
      <c r="K2852">
        <v>0</v>
      </c>
      <c r="L2852">
        <v>7</v>
      </c>
      <c r="O2852">
        <v>7</v>
      </c>
      <c r="P2852">
        <v>4</v>
      </c>
      <c r="Q2852">
        <v>0</v>
      </c>
      <c r="R2852">
        <v>30.95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3</v>
      </c>
      <c r="AC2852">
        <v>0</v>
      </c>
      <c r="AH2852">
        <v>33.950000000000003</v>
      </c>
    </row>
    <row r="2853" spans="1:34" x14ac:dyDescent="0.3">
      <c r="A2853" s="4">
        <v>3067</v>
      </c>
      <c r="B2853" s="5">
        <v>2846</v>
      </c>
      <c r="C2853">
        <v>116</v>
      </c>
      <c r="D2853" t="s">
        <v>4675</v>
      </c>
      <c r="E2853" t="s">
        <v>3523</v>
      </c>
      <c r="F2853" t="s">
        <v>892</v>
      </c>
      <c r="G2853" t="s">
        <v>15943</v>
      </c>
      <c r="H2853">
        <v>19.95</v>
      </c>
      <c r="I2853">
        <v>0</v>
      </c>
      <c r="J2853">
        <v>0</v>
      </c>
      <c r="K2853">
        <v>0</v>
      </c>
      <c r="L2853">
        <v>7</v>
      </c>
      <c r="N2853">
        <v>3</v>
      </c>
      <c r="O2853">
        <v>10</v>
      </c>
      <c r="P2853">
        <v>4</v>
      </c>
      <c r="Q2853">
        <v>0</v>
      </c>
      <c r="R2853">
        <v>33.950000000000003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H2853">
        <v>33.950000000000003</v>
      </c>
    </row>
    <row r="2854" spans="1:34" x14ac:dyDescent="0.3">
      <c r="A2854" s="4">
        <v>3068</v>
      </c>
      <c r="B2854" s="5">
        <v>2847</v>
      </c>
      <c r="C2854">
        <v>14968</v>
      </c>
      <c r="D2854" t="s">
        <v>15944</v>
      </c>
      <c r="E2854" t="s">
        <v>208</v>
      </c>
      <c r="F2854" t="s">
        <v>136</v>
      </c>
      <c r="G2854" t="s">
        <v>15945</v>
      </c>
      <c r="H2854">
        <v>19.95</v>
      </c>
      <c r="I2854">
        <v>0</v>
      </c>
      <c r="J2854">
        <v>0</v>
      </c>
      <c r="K2854">
        <v>0</v>
      </c>
      <c r="L2854">
        <v>7</v>
      </c>
      <c r="O2854">
        <v>7</v>
      </c>
      <c r="P2854">
        <v>4</v>
      </c>
      <c r="Q2854">
        <v>2</v>
      </c>
      <c r="R2854">
        <v>32.950000000000003</v>
      </c>
      <c r="S2854">
        <v>1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1</v>
      </c>
      <c r="AB2854">
        <v>0</v>
      </c>
      <c r="AC2854">
        <v>0</v>
      </c>
      <c r="AH2854">
        <v>33.950000000000003</v>
      </c>
    </row>
    <row r="2855" spans="1:34" x14ac:dyDescent="0.3">
      <c r="A2855" s="4">
        <v>3069</v>
      </c>
      <c r="B2855" s="5">
        <v>2848</v>
      </c>
      <c r="C2855">
        <v>8843</v>
      </c>
      <c r="D2855" t="s">
        <v>15946</v>
      </c>
      <c r="E2855" t="s">
        <v>3130</v>
      </c>
      <c r="F2855" t="s">
        <v>20</v>
      </c>
      <c r="G2855" t="s">
        <v>15947</v>
      </c>
      <c r="H2855">
        <v>22.93</v>
      </c>
      <c r="I2855">
        <v>0</v>
      </c>
      <c r="J2855">
        <v>0</v>
      </c>
      <c r="K2855">
        <v>0</v>
      </c>
      <c r="L2855">
        <v>7</v>
      </c>
      <c r="O2855">
        <v>7</v>
      </c>
      <c r="P2855">
        <v>4</v>
      </c>
      <c r="Q2855">
        <v>0</v>
      </c>
      <c r="R2855">
        <v>33.93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H2855">
        <v>33.93</v>
      </c>
    </row>
    <row r="2856" spans="1:34" x14ac:dyDescent="0.3">
      <c r="A2856" s="4">
        <v>3070</v>
      </c>
      <c r="B2856" s="5">
        <v>2849</v>
      </c>
      <c r="C2856">
        <v>12157</v>
      </c>
      <c r="D2856" t="s">
        <v>15948</v>
      </c>
      <c r="E2856" t="s">
        <v>15949</v>
      </c>
      <c r="F2856" t="s">
        <v>30</v>
      </c>
      <c r="G2856" t="s">
        <v>15950</v>
      </c>
      <c r="H2856">
        <v>17.93</v>
      </c>
      <c r="I2856">
        <v>0</v>
      </c>
      <c r="J2856">
        <v>0</v>
      </c>
      <c r="K2856">
        <v>0</v>
      </c>
      <c r="L2856">
        <v>7</v>
      </c>
      <c r="M2856">
        <v>5</v>
      </c>
      <c r="O2856">
        <v>12</v>
      </c>
      <c r="P2856">
        <v>4</v>
      </c>
      <c r="Q2856">
        <v>0</v>
      </c>
      <c r="R2856">
        <v>33.93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H2856">
        <v>33.93</v>
      </c>
    </row>
    <row r="2857" spans="1:34" x14ac:dyDescent="0.3">
      <c r="A2857" s="4">
        <v>3071</v>
      </c>
      <c r="B2857" s="5">
        <v>2850</v>
      </c>
      <c r="C2857">
        <v>13249</v>
      </c>
      <c r="D2857" t="s">
        <v>15951</v>
      </c>
      <c r="E2857" t="s">
        <v>3778</v>
      </c>
      <c r="F2857" t="s">
        <v>79</v>
      </c>
      <c r="G2857" t="s">
        <v>15952</v>
      </c>
      <c r="H2857">
        <v>18.93</v>
      </c>
      <c r="I2857">
        <v>0</v>
      </c>
      <c r="J2857">
        <v>0</v>
      </c>
      <c r="K2857">
        <v>0</v>
      </c>
      <c r="N2857">
        <v>6</v>
      </c>
      <c r="O2857">
        <v>6</v>
      </c>
      <c r="P2857">
        <v>4</v>
      </c>
      <c r="Q2857">
        <v>0</v>
      </c>
      <c r="R2857">
        <v>28.93</v>
      </c>
      <c r="S2857">
        <v>5</v>
      </c>
      <c r="T2857">
        <v>5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5</v>
      </c>
      <c r="AB2857">
        <v>0</v>
      </c>
      <c r="AC2857">
        <v>0</v>
      </c>
      <c r="AH2857">
        <v>33.93</v>
      </c>
    </row>
    <row r="2858" spans="1:34" x14ac:dyDescent="0.3">
      <c r="A2858" s="4">
        <v>3072</v>
      </c>
      <c r="B2858" s="5">
        <v>2851</v>
      </c>
      <c r="C2858">
        <v>11559</v>
      </c>
      <c r="D2858" t="s">
        <v>1565</v>
      </c>
      <c r="E2858" t="s">
        <v>406</v>
      </c>
      <c r="F2858" t="s">
        <v>62</v>
      </c>
      <c r="G2858" t="s">
        <v>15953</v>
      </c>
      <c r="H2858">
        <v>17.899999999999999</v>
      </c>
      <c r="I2858">
        <v>0</v>
      </c>
      <c r="J2858">
        <v>0</v>
      </c>
      <c r="K2858">
        <v>0</v>
      </c>
      <c r="L2858">
        <v>7</v>
      </c>
      <c r="O2858">
        <v>7</v>
      </c>
      <c r="P2858">
        <v>4</v>
      </c>
      <c r="Q2858">
        <v>2</v>
      </c>
      <c r="R2858">
        <v>30.9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3</v>
      </c>
      <c r="AC2858">
        <v>0</v>
      </c>
      <c r="AH2858">
        <v>33.9</v>
      </c>
    </row>
    <row r="2859" spans="1:34" x14ac:dyDescent="0.3">
      <c r="A2859" s="4">
        <v>3073</v>
      </c>
      <c r="B2859" s="5">
        <v>2852</v>
      </c>
      <c r="C2859">
        <v>11780</v>
      </c>
      <c r="D2859" t="s">
        <v>15954</v>
      </c>
      <c r="E2859" t="s">
        <v>149</v>
      </c>
      <c r="F2859" t="s">
        <v>117</v>
      </c>
      <c r="G2859" t="s">
        <v>15955</v>
      </c>
      <c r="H2859">
        <v>20.9</v>
      </c>
      <c r="I2859">
        <v>0</v>
      </c>
      <c r="J2859">
        <v>0</v>
      </c>
      <c r="K2859">
        <v>0</v>
      </c>
      <c r="L2859">
        <v>7</v>
      </c>
      <c r="O2859">
        <v>7</v>
      </c>
      <c r="P2859">
        <v>4</v>
      </c>
      <c r="Q2859">
        <v>2</v>
      </c>
      <c r="R2859">
        <v>33.9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H2859">
        <v>33.9</v>
      </c>
    </row>
    <row r="2860" spans="1:34" x14ac:dyDescent="0.3">
      <c r="A2860" s="4">
        <v>3074</v>
      </c>
      <c r="B2860" s="5">
        <v>2853</v>
      </c>
      <c r="C2860">
        <v>8454</v>
      </c>
      <c r="D2860" t="s">
        <v>15956</v>
      </c>
      <c r="E2860" t="s">
        <v>22</v>
      </c>
      <c r="F2860" t="s">
        <v>649</v>
      </c>
      <c r="G2860" t="s">
        <v>15957</v>
      </c>
      <c r="H2860">
        <v>19.899999999999999</v>
      </c>
      <c r="I2860">
        <v>0</v>
      </c>
      <c r="J2860">
        <v>0</v>
      </c>
      <c r="K2860">
        <v>0</v>
      </c>
      <c r="L2860">
        <v>7</v>
      </c>
      <c r="O2860">
        <v>7</v>
      </c>
      <c r="P2860">
        <v>4</v>
      </c>
      <c r="Q2860">
        <v>0</v>
      </c>
      <c r="R2860">
        <v>30.9</v>
      </c>
      <c r="S2860">
        <v>3</v>
      </c>
      <c r="T2860">
        <v>3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3</v>
      </c>
      <c r="AB2860">
        <v>0</v>
      </c>
      <c r="AC2860">
        <v>0</v>
      </c>
      <c r="AH2860">
        <v>33.9</v>
      </c>
    </row>
    <row r="2861" spans="1:34" x14ac:dyDescent="0.3">
      <c r="A2861" s="4">
        <v>3075</v>
      </c>
      <c r="B2861" s="5">
        <v>2854</v>
      </c>
      <c r="C2861">
        <v>6597</v>
      </c>
      <c r="D2861" t="s">
        <v>15958</v>
      </c>
      <c r="E2861" t="s">
        <v>697</v>
      </c>
      <c r="F2861" t="s">
        <v>38</v>
      </c>
      <c r="G2861" t="s">
        <v>15959</v>
      </c>
      <c r="H2861">
        <v>22.88</v>
      </c>
      <c r="I2861">
        <v>0</v>
      </c>
      <c r="J2861">
        <v>0</v>
      </c>
      <c r="K2861">
        <v>0</v>
      </c>
      <c r="L2861">
        <v>7</v>
      </c>
      <c r="O2861">
        <v>7</v>
      </c>
      <c r="P2861">
        <v>4</v>
      </c>
      <c r="Q2861">
        <v>0</v>
      </c>
      <c r="R2861">
        <v>33.880000000000003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H2861">
        <v>33.880000000000003</v>
      </c>
    </row>
    <row r="2862" spans="1:34" x14ac:dyDescent="0.3">
      <c r="A2862" s="4">
        <v>3076</v>
      </c>
      <c r="B2862" s="5">
        <v>2855</v>
      </c>
      <c r="C2862">
        <v>6732</v>
      </c>
      <c r="D2862" t="s">
        <v>15960</v>
      </c>
      <c r="E2862" t="s">
        <v>424</v>
      </c>
      <c r="F2862" t="s">
        <v>136</v>
      </c>
      <c r="G2862" t="s">
        <v>15961</v>
      </c>
      <c r="H2862">
        <v>21.88</v>
      </c>
      <c r="I2862">
        <v>0</v>
      </c>
      <c r="J2862">
        <v>0</v>
      </c>
      <c r="K2862">
        <v>0</v>
      </c>
      <c r="L2862">
        <v>7</v>
      </c>
      <c r="M2862">
        <v>5</v>
      </c>
      <c r="O2862">
        <v>12</v>
      </c>
      <c r="P2862">
        <v>0</v>
      </c>
      <c r="Q2862">
        <v>0</v>
      </c>
      <c r="R2862">
        <v>33.880000000000003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H2862">
        <v>33.880000000000003</v>
      </c>
    </row>
    <row r="2863" spans="1:34" x14ac:dyDescent="0.3">
      <c r="A2863" s="4">
        <v>3077</v>
      </c>
      <c r="B2863" s="5">
        <v>2856</v>
      </c>
      <c r="C2863">
        <v>805</v>
      </c>
      <c r="D2863" t="s">
        <v>15962</v>
      </c>
      <c r="E2863" t="s">
        <v>54</v>
      </c>
      <c r="F2863" t="s">
        <v>117</v>
      </c>
      <c r="G2863" t="s">
        <v>15963</v>
      </c>
      <c r="H2863">
        <v>20.88</v>
      </c>
      <c r="I2863">
        <v>0</v>
      </c>
      <c r="J2863">
        <v>0</v>
      </c>
      <c r="K2863">
        <v>0</v>
      </c>
      <c r="L2863">
        <v>7</v>
      </c>
      <c r="O2863">
        <v>7</v>
      </c>
      <c r="P2863">
        <v>4</v>
      </c>
      <c r="Q2863">
        <v>2</v>
      </c>
      <c r="R2863">
        <v>33.880000000000003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H2863">
        <v>33.880000000000003</v>
      </c>
    </row>
    <row r="2864" spans="1:34" x14ac:dyDescent="0.3">
      <c r="A2864" s="4">
        <v>3078</v>
      </c>
      <c r="B2864" s="5">
        <v>2857</v>
      </c>
      <c r="C2864">
        <v>13495</v>
      </c>
      <c r="D2864" t="s">
        <v>8684</v>
      </c>
      <c r="E2864" t="s">
        <v>15964</v>
      </c>
      <c r="F2864" t="s">
        <v>10049</v>
      </c>
      <c r="G2864" t="s">
        <v>15965</v>
      </c>
      <c r="H2864">
        <v>17.850000000000001</v>
      </c>
      <c r="I2864">
        <v>0</v>
      </c>
      <c r="J2864">
        <v>0</v>
      </c>
      <c r="K2864">
        <v>0</v>
      </c>
      <c r="L2864">
        <v>7</v>
      </c>
      <c r="N2864">
        <v>3</v>
      </c>
      <c r="O2864">
        <v>10</v>
      </c>
      <c r="P2864">
        <v>4</v>
      </c>
      <c r="Q2864">
        <v>2</v>
      </c>
      <c r="R2864">
        <v>33.85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H2864">
        <v>33.85</v>
      </c>
    </row>
    <row r="2865" spans="1:34" x14ac:dyDescent="0.3">
      <c r="A2865" s="4">
        <v>3079</v>
      </c>
      <c r="B2865" s="5">
        <v>2858</v>
      </c>
      <c r="C2865">
        <v>2727</v>
      </c>
      <c r="D2865" t="s">
        <v>8964</v>
      </c>
      <c r="E2865" t="s">
        <v>100</v>
      </c>
      <c r="F2865" t="s">
        <v>570</v>
      </c>
      <c r="G2865" t="s">
        <v>15966</v>
      </c>
      <c r="H2865">
        <v>17.850000000000001</v>
      </c>
      <c r="I2865">
        <v>0</v>
      </c>
      <c r="J2865">
        <v>0</v>
      </c>
      <c r="K2865">
        <v>0</v>
      </c>
      <c r="L2865">
        <v>7</v>
      </c>
      <c r="N2865">
        <v>3</v>
      </c>
      <c r="O2865">
        <v>10</v>
      </c>
      <c r="P2865">
        <v>4</v>
      </c>
      <c r="Q2865">
        <v>2</v>
      </c>
      <c r="R2865">
        <v>33.85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H2865">
        <v>33.85</v>
      </c>
    </row>
    <row r="2866" spans="1:34" x14ac:dyDescent="0.3">
      <c r="A2866" s="4">
        <v>3080</v>
      </c>
      <c r="B2866" s="5">
        <v>2859</v>
      </c>
      <c r="C2866">
        <v>15131</v>
      </c>
      <c r="D2866" t="s">
        <v>15967</v>
      </c>
      <c r="E2866" t="s">
        <v>789</v>
      </c>
      <c r="F2866" t="s">
        <v>17</v>
      </c>
      <c r="G2866" t="s">
        <v>15968</v>
      </c>
      <c r="H2866">
        <v>15.85</v>
      </c>
      <c r="I2866">
        <v>0</v>
      </c>
      <c r="J2866">
        <v>0</v>
      </c>
      <c r="K2866">
        <v>0</v>
      </c>
      <c r="N2866">
        <v>3</v>
      </c>
      <c r="O2866">
        <v>3</v>
      </c>
      <c r="P2866">
        <v>0</v>
      </c>
      <c r="Q2866">
        <v>2</v>
      </c>
      <c r="R2866">
        <v>20.85</v>
      </c>
      <c r="S2866">
        <v>13</v>
      </c>
      <c r="T2866">
        <v>13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13</v>
      </c>
      <c r="AB2866">
        <v>0</v>
      </c>
      <c r="AC2866">
        <v>0</v>
      </c>
      <c r="AH2866">
        <v>33.85</v>
      </c>
    </row>
    <row r="2867" spans="1:34" x14ac:dyDescent="0.3">
      <c r="A2867" s="4">
        <v>3081</v>
      </c>
      <c r="B2867" s="5">
        <v>2860</v>
      </c>
      <c r="C2867">
        <v>250</v>
      </c>
      <c r="D2867" t="s">
        <v>5512</v>
      </c>
      <c r="E2867" t="s">
        <v>54</v>
      </c>
      <c r="F2867" t="s">
        <v>652</v>
      </c>
      <c r="G2867" t="s">
        <v>15969</v>
      </c>
      <c r="H2867">
        <v>20.83</v>
      </c>
      <c r="I2867">
        <v>0</v>
      </c>
      <c r="J2867">
        <v>0</v>
      </c>
      <c r="K2867">
        <v>0</v>
      </c>
      <c r="L2867">
        <v>7</v>
      </c>
      <c r="O2867">
        <v>7</v>
      </c>
      <c r="P2867">
        <v>4</v>
      </c>
      <c r="Q2867">
        <v>2</v>
      </c>
      <c r="R2867">
        <v>33.83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H2867">
        <v>33.83</v>
      </c>
    </row>
    <row r="2868" spans="1:34" x14ac:dyDescent="0.3">
      <c r="A2868" s="4">
        <v>3082</v>
      </c>
      <c r="B2868" s="5">
        <v>2861</v>
      </c>
      <c r="C2868">
        <v>574</v>
      </c>
      <c r="D2868" t="s">
        <v>9185</v>
      </c>
      <c r="E2868" t="s">
        <v>738</v>
      </c>
      <c r="F2868" t="s">
        <v>328</v>
      </c>
      <c r="G2868" t="s">
        <v>15970</v>
      </c>
      <c r="H2868">
        <v>16.829999999999998</v>
      </c>
      <c r="I2868">
        <v>0</v>
      </c>
      <c r="J2868">
        <v>0</v>
      </c>
      <c r="K2868">
        <v>0</v>
      </c>
      <c r="L2868">
        <v>7</v>
      </c>
      <c r="O2868">
        <v>7</v>
      </c>
      <c r="P2868">
        <v>4</v>
      </c>
      <c r="Q2868">
        <v>0</v>
      </c>
      <c r="R2868">
        <v>27.83</v>
      </c>
      <c r="S2868">
        <v>6</v>
      </c>
      <c r="T2868">
        <v>6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6</v>
      </c>
      <c r="AB2868">
        <v>0</v>
      </c>
      <c r="AC2868">
        <v>0</v>
      </c>
      <c r="AH2868">
        <v>33.83</v>
      </c>
    </row>
    <row r="2869" spans="1:34" x14ac:dyDescent="0.3">
      <c r="A2869" s="4">
        <v>3083</v>
      </c>
      <c r="B2869" s="5">
        <v>2862</v>
      </c>
      <c r="C2869">
        <v>1497</v>
      </c>
      <c r="D2869" t="s">
        <v>15971</v>
      </c>
      <c r="E2869" t="s">
        <v>2122</v>
      </c>
      <c r="F2869" t="s">
        <v>416</v>
      </c>
      <c r="G2869" t="s">
        <v>15972</v>
      </c>
      <c r="H2869">
        <v>15.83</v>
      </c>
      <c r="I2869">
        <v>0</v>
      </c>
      <c r="J2869">
        <v>0</v>
      </c>
      <c r="K2869">
        <v>0</v>
      </c>
      <c r="M2869">
        <v>5</v>
      </c>
      <c r="N2869">
        <v>3</v>
      </c>
      <c r="O2869">
        <v>8</v>
      </c>
      <c r="P2869">
        <v>0</v>
      </c>
      <c r="Q2869">
        <v>2</v>
      </c>
      <c r="R2869">
        <v>25.83</v>
      </c>
      <c r="S2869">
        <v>8</v>
      </c>
      <c r="T2869">
        <v>8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8</v>
      </c>
      <c r="AB2869">
        <v>0</v>
      </c>
      <c r="AC2869">
        <v>0</v>
      </c>
      <c r="AH2869">
        <v>33.83</v>
      </c>
    </row>
    <row r="2870" spans="1:34" x14ac:dyDescent="0.3">
      <c r="A2870" s="4">
        <v>3084</v>
      </c>
      <c r="B2870" s="5">
        <v>2863</v>
      </c>
      <c r="C2870">
        <v>7136</v>
      </c>
      <c r="D2870" t="s">
        <v>15973</v>
      </c>
      <c r="E2870" t="s">
        <v>15974</v>
      </c>
      <c r="F2870" t="s">
        <v>15975</v>
      </c>
      <c r="G2870">
        <v>954252</v>
      </c>
      <c r="H2870">
        <v>14.8</v>
      </c>
      <c r="I2870">
        <v>0</v>
      </c>
      <c r="J2870">
        <v>0</v>
      </c>
      <c r="K2870">
        <v>0</v>
      </c>
      <c r="N2870">
        <v>3</v>
      </c>
      <c r="O2870">
        <v>3</v>
      </c>
      <c r="P2870">
        <v>4</v>
      </c>
      <c r="Q2870">
        <v>0</v>
      </c>
      <c r="R2870">
        <v>21.8</v>
      </c>
      <c r="S2870">
        <v>6</v>
      </c>
      <c r="T2870">
        <v>6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6</v>
      </c>
      <c r="AB2870">
        <v>6</v>
      </c>
      <c r="AC2870">
        <v>0</v>
      </c>
      <c r="AH2870">
        <v>33.799999999999997</v>
      </c>
    </row>
    <row r="2871" spans="1:34" x14ac:dyDescent="0.3">
      <c r="A2871" s="4">
        <v>3085</v>
      </c>
      <c r="B2871" s="5">
        <v>2864</v>
      </c>
      <c r="C2871">
        <v>3081</v>
      </c>
      <c r="D2871" t="s">
        <v>4373</v>
      </c>
      <c r="E2871" t="s">
        <v>15976</v>
      </c>
      <c r="F2871" t="s">
        <v>190</v>
      </c>
      <c r="G2871" t="s">
        <v>15977</v>
      </c>
      <c r="H2871">
        <v>20.8</v>
      </c>
      <c r="I2871">
        <v>0</v>
      </c>
      <c r="J2871">
        <v>0</v>
      </c>
      <c r="K2871">
        <v>0</v>
      </c>
      <c r="L2871">
        <v>7</v>
      </c>
      <c r="O2871">
        <v>7</v>
      </c>
      <c r="P2871">
        <v>4</v>
      </c>
      <c r="Q2871">
        <v>2</v>
      </c>
      <c r="R2871">
        <v>33.799999999999997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H2871">
        <v>33.799999999999997</v>
      </c>
    </row>
    <row r="2872" spans="1:34" x14ac:dyDescent="0.3">
      <c r="A2872" s="4">
        <v>3086</v>
      </c>
      <c r="B2872" s="5">
        <v>2865</v>
      </c>
      <c r="C2872">
        <v>7976</v>
      </c>
      <c r="D2872" t="s">
        <v>4893</v>
      </c>
      <c r="E2872" t="s">
        <v>54</v>
      </c>
      <c r="F2872" t="s">
        <v>117</v>
      </c>
      <c r="G2872" t="s">
        <v>15978</v>
      </c>
      <c r="H2872">
        <v>17.8</v>
      </c>
      <c r="I2872">
        <v>0</v>
      </c>
      <c r="J2872">
        <v>0</v>
      </c>
      <c r="K2872">
        <v>0</v>
      </c>
      <c r="M2872">
        <v>5</v>
      </c>
      <c r="O2872">
        <v>5</v>
      </c>
      <c r="P2872">
        <v>4</v>
      </c>
      <c r="Q2872">
        <v>2</v>
      </c>
      <c r="R2872">
        <v>28.8</v>
      </c>
      <c r="S2872">
        <v>5</v>
      </c>
      <c r="T2872">
        <v>5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5</v>
      </c>
      <c r="AB2872">
        <v>0</v>
      </c>
      <c r="AC2872">
        <v>0</v>
      </c>
      <c r="AH2872">
        <v>33.799999999999997</v>
      </c>
    </row>
    <row r="2873" spans="1:34" x14ac:dyDescent="0.3">
      <c r="A2873" s="4">
        <v>3087</v>
      </c>
      <c r="B2873" s="5">
        <v>2866</v>
      </c>
      <c r="C2873">
        <v>7905</v>
      </c>
      <c r="D2873" t="s">
        <v>10275</v>
      </c>
      <c r="E2873" t="s">
        <v>744</v>
      </c>
      <c r="F2873" t="s">
        <v>52</v>
      </c>
      <c r="G2873" t="s">
        <v>15979</v>
      </c>
      <c r="H2873">
        <v>18.78</v>
      </c>
      <c r="I2873">
        <v>0</v>
      </c>
      <c r="J2873">
        <v>0</v>
      </c>
      <c r="K2873">
        <v>0</v>
      </c>
      <c r="L2873">
        <v>7</v>
      </c>
      <c r="N2873">
        <v>3</v>
      </c>
      <c r="O2873">
        <v>10</v>
      </c>
      <c r="P2873">
        <v>0</v>
      </c>
      <c r="Q2873">
        <v>2</v>
      </c>
      <c r="R2873">
        <v>30.78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3</v>
      </c>
      <c r="AC2873">
        <v>0</v>
      </c>
      <c r="AH2873">
        <v>33.78</v>
      </c>
    </row>
    <row r="2874" spans="1:34" x14ac:dyDescent="0.3">
      <c r="A2874" s="4">
        <v>3088</v>
      </c>
      <c r="B2874" s="5">
        <v>2867</v>
      </c>
      <c r="C2874">
        <v>11142</v>
      </c>
      <c r="D2874" t="s">
        <v>15980</v>
      </c>
      <c r="E2874" t="s">
        <v>117</v>
      </c>
      <c r="F2874" t="s">
        <v>15981</v>
      </c>
      <c r="G2874" t="s">
        <v>15982</v>
      </c>
      <c r="H2874">
        <v>16.78</v>
      </c>
      <c r="I2874">
        <v>0</v>
      </c>
      <c r="J2874">
        <v>0</v>
      </c>
      <c r="K2874">
        <v>0</v>
      </c>
      <c r="N2874">
        <v>3</v>
      </c>
      <c r="O2874">
        <v>3</v>
      </c>
      <c r="P2874">
        <v>4</v>
      </c>
      <c r="Q2874">
        <v>0</v>
      </c>
      <c r="R2874">
        <v>23.78</v>
      </c>
      <c r="S2874">
        <v>10</v>
      </c>
      <c r="T2874">
        <v>10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10</v>
      </c>
      <c r="AB2874">
        <v>0</v>
      </c>
      <c r="AC2874">
        <v>0</v>
      </c>
      <c r="AH2874">
        <v>33.78</v>
      </c>
    </row>
    <row r="2875" spans="1:34" x14ac:dyDescent="0.3">
      <c r="A2875" s="4">
        <v>3089</v>
      </c>
      <c r="B2875" s="5">
        <v>2868</v>
      </c>
      <c r="C2875">
        <v>5695</v>
      </c>
      <c r="D2875" t="s">
        <v>15983</v>
      </c>
      <c r="E2875" t="s">
        <v>30</v>
      </c>
      <c r="F2875" t="s">
        <v>68</v>
      </c>
      <c r="G2875" t="s">
        <v>15984</v>
      </c>
      <c r="H2875">
        <v>20.75</v>
      </c>
      <c r="I2875">
        <v>0</v>
      </c>
      <c r="J2875">
        <v>0</v>
      </c>
      <c r="K2875">
        <v>0</v>
      </c>
      <c r="L2875">
        <v>7</v>
      </c>
      <c r="O2875">
        <v>7</v>
      </c>
      <c r="P2875">
        <v>4</v>
      </c>
      <c r="Q2875">
        <v>2</v>
      </c>
      <c r="R2875">
        <v>33.75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H2875">
        <v>33.75</v>
      </c>
    </row>
    <row r="2876" spans="1:34" x14ac:dyDescent="0.3">
      <c r="A2876" s="4">
        <v>3090</v>
      </c>
      <c r="B2876" s="5">
        <v>2869</v>
      </c>
      <c r="C2876">
        <v>5898</v>
      </c>
      <c r="D2876" t="s">
        <v>7848</v>
      </c>
      <c r="E2876" t="s">
        <v>182</v>
      </c>
      <c r="F2876" t="s">
        <v>5060</v>
      </c>
      <c r="G2876" t="s">
        <v>15985</v>
      </c>
      <c r="H2876">
        <v>20.75</v>
      </c>
      <c r="I2876">
        <v>0</v>
      </c>
      <c r="J2876">
        <v>0</v>
      </c>
      <c r="K2876">
        <v>0</v>
      </c>
      <c r="L2876">
        <v>7</v>
      </c>
      <c r="O2876">
        <v>7</v>
      </c>
      <c r="P2876">
        <v>4</v>
      </c>
      <c r="Q2876">
        <v>2</v>
      </c>
      <c r="R2876">
        <v>33.75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H2876">
        <v>33.75</v>
      </c>
    </row>
    <row r="2877" spans="1:34" x14ac:dyDescent="0.3">
      <c r="A2877" s="4">
        <v>3091</v>
      </c>
      <c r="B2877" s="5">
        <v>2870</v>
      </c>
      <c r="C2877">
        <v>3392</v>
      </c>
      <c r="D2877" t="s">
        <v>10771</v>
      </c>
      <c r="E2877" t="s">
        <v>161</v>
      </c>
      <c r="F2877" t="s">
        <v>5614</v>
      </c>
      <c r="G2877" t="s">
        <v>15986</v>
      </c>
      <c r="H2877">
        <v>20.75</v>
      </c>
      <c r="I2877">
        <v>0</v>
      </c>
      <c r="J2877">
        <v>0</v>
      </c>
      <c r="K2877">
        <v>0</v>
      </c>
      <c r="L2877">
        <v>7</v>
      </c>
      <c r="O2877">
        <v>7</v>
      </c>
      <c r="P2877">
        <v>4</v>
      </c>
      <c r="Q2877">
        <v>2</v>
      </c>
      <c r="R2877">
        <v>33.75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H2877">
        <v>33.75</v>
      </c>
    </row>
    <row r="2878" spans="1:34" x14ac:dyDescent="0.3">
      <c r="A2878" s="4">
        <v>3092</v>
      </c>
      <c r="B2878" s="5">
        <v>2871</v>
      </c>
      <c r="C2878">
        <v>8874</v>
      </c>
      <c r="D2878" t="s">
        <v>15987</v>
      </c>
      <c r="E2878" t="s">
        <v>15988</v>
      </c>
      <c r="F2878" t="s">
        <v>15989</v>
      </c>
      <c r="G2878" t="s">
        <v>15990</v>
      </c>
      <c r="H2878">
        <v>19.75</v>
      </c>
      <c r="I2878">
        <v>0</v>
      </c>
      <c r="J2878">
        <v>0</v>
      </c>
      <c r="K2878">
        <v>0</v>
      </c>
      <c r="L2878">
        <v>7</v>
      </c>
      <c r="N2878">
        <v>3</v>
      </c>
      <c r="O2878">
        <v>10</v>
      </c>
      <c r="P2878">
        <v>4</v>
      </c>
      <c r="Q2878">
        <v>0</v>
      </c>
      <c r="R2878">
        <v>33.75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H2878">
        <v>33.75</v>
      </c>
    </row>
    <row r="2879" spans="1:34" x14ac:dyDescent="0.3">
      <c r="A2879" s="4">
        <v>3093</v>
      </c>
      <c r="B2879" s="5">
        <v>2872</v>
      </c>
      <c r="C2879">
        <v>15173</v>
      </c>
      <c r="D2879" t="s">
        <v>4714</v>
      </c>
      <c r="E2879" t="s">
        <v>15991</v>
      </c>
      <c r="F2879" t="s">
        <v>17</v>
      </c>
      <c r="G2879" t="s">
        <v>15992</v>
      </c>
      <c r="H2879">
        <v>19.75</v>
      </c>
      <c r="I2879">
        <v>0</v>
      </c>
      <c r="J2879">
        <v>0</v>
      </c>
      <c r="K2879">
        <v>0</v>
      </c>
      <c r="L2879">
        <v>7</v>
      </c>
      <c r="N2879">
        <v>3</v>
      </c>
      <c r="O2879">
        <v>10</v>
      </c>
      <c r="P2879">
        <v>4</v>
      </c>
      <c r="Q2879">
        <v>0</v>
      </c>
      <c r="R2879">
        <v>33.75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H2879">
        <v>33.75</v>
      </c>
    </row>
    <row r="2880" spans="1:34" x14ac:dyDescent="0.3">
      <c r="A2880" s="4">
        <v>3094</v>
      </c>
      <c r="B2880" s="5">
        <v>2873</v>
      </c>
      <c r="C2880">
        <v>11294</v>
      </c>
      <c r="D2880" t="s">
        <v>1736</v>
      </c>
      <c r="E2880" t="s">
        <v>29</v>
      </c>
      <c r="F2880" t="s">
        <v>687</v>
      </c>
      <c r="G2880" t="s">
        <v>15993</v>
      </c>
      <c r="H2880">
        <v>19.75</v>
      </c>
      <c r="I2880">
        <v>0</v>
      </c>
      <c r="J2880">
        <v>0</v>
      </c>
      <c r="K2880">
        <v>0</v>
      </c>
      <c r="L2880">
        <v>7</v>
      </c>
      <c r="O2880">
        <v>7</v>
      </c>
      <c r="P2880">
        <v>4</v>
      </c>
      <c r="Q2880">
        <v>0</v>
      </c>
      <c r="R2880">
        <v>30.75</v>
      </c>
      <c r="S2880">
        <v>3</v>
      </c>
      <c r="T2880">
        <v>3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3</v>
      </c>
      <c r="AB2880">
        <v>0</v>
      </c>
      <c r="AC2880">
        <v>0</v>
      </c>
      <c r="AH2880">
        <v>33.75</v>
      </c>
    </row>
    <row r="2881" spans="1:34" x14ac:dyDescent="0.3">
      <c r="A2881" s="4">
        <v>3095</v>
      </c>
      <c r="B2881" s="5">
        <v>2874</v>
      </c>
      <c r="C2881">
        <v>9041</v>
      </c>
      <c r="D2881" t="s">
        <v>1863</v>
      </c>
      <c r="E2881" t="s">
        <v>1426</v>
      </c>
      <c r="F2881" t="s">
        <v>20</v>
      </c>
      <c r="G2881" t="s">
        <v>15994</v>
      </c>
      <c r="H2881">
        <v>22.73</v>
      </c>
      <c r="I2881">
        <v>0</v>
      </c>
      <c r="J2881">
        <v>0</v>
      </c>
      <c r="K2881">
        <v>0</v>
      </c>
      <c r="L2881">
        <v>7</v>
      </c>
      <c r="O2881">
        <v>7</v>
      </c>
      <c r="P2881">
        <v>4</v>
      </c>
      <c r="Q2881">
        <v>0</v>
      </c>
      <c r="R2881">
        <v>33.729999999999997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H2881">
        <v>33.729999999999997</v>
      </c>
    </row>
    <row r="2882" spans="1:34" x14ac:dyDescent="0.3">
      <c r="A2882" s="4">
        <v>3096</v>
      </c>
      <c r="B2882" s="5">
        <v>2875</v>
      </c>
      <c r="C2882">
        <v>12082</v>
      </c>
      <c r="D2882" t="s">
        <v>15995</v>
      </c>
      <c r="E2882" t="s">
        <v>143</v>
      </c>
      <c r="F2882" t="s">
        <v>243</v>
      </c>
      <c r="G2882" t="s">
        <v>15996</v>
      </c>
      <c r="H2882">
        <v>20.7</v>
      </c>
      <c r="I2882">
        <v>0</v>
      </c>
      <c r="J2882">
        <v>0</v>
      </c>
      <c r="K2882">
        <v>0</v>
      </c>
      <c r="L2882">
        <v>7</v>
      </c>
      <c r="O2882">
        <v>7</v>
      </c>
      <c r="P2882">
        <v>4</v>
      </c>
      <c r="Q2882">
        <v>2</v>
      </c>
      <c r="R2882">
        <v>33.700000000000003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H2882">
        <v>33.700000000000003</v>
      </c>
    </row>
    <row r="2883" spans="1:34" x14ac:dyDescent="0.3">
      <c r="A2883" s="4">
        <v>3097</v>
      </c>
      <c r="B2883" s="5">
        <v>2876</v>
      </c>
      <c r="C2883">
        <v>7238</v>
      </c>
      <c r="D2883" t="s">
        <v>4051</v>
      </c>
      <c r="E2883" t="s">
        <v>283</v>
      </c>
      <c r="F2883" t="s">
        <v>81</v>
      </c>
      <c r="G2883" t="s">
        <v>15997</v>
      </c>
      <c r="H2883">
        <v>17.7</v>
      </c>
      <c r="I2883">
        <v>0</v>
      </c>
      <c r="J2883">
        <v>0</v>
      </c>
      <c r="K2883">
        <v>0</v>
      </c>
      <c r="L2883">
        <v>7</v>
      </c>
      <c r="M2883">
        <v>5</v>
      </c>
      <c r="O2883">
        <v>12</v>
      </c>
      <c r="P2883">
        <v>4</v>
      </c>
      <c r="Q2883">
        <v>0</v>
      </c>
      <c r="R2883">
        <v>33.700000000000003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H2883">
        <v>33.700000000000003</v>
      </c>
    </row>
    <row r="2884" spans="1:34" x14ac:dyDescent="0.3">
      <c r="A2884" s="4">
        <v>3098</v>
      </c>
      <c r="B2884" s="5">
        <v>2877</v>
      </c>
      <c r="C2884">
        <v>3634</v>
      </c>
      <c r="D2884" t="s">
        <v>15998</v>
      </c>
      <c r="E2884" t="s">
        <v>158</v>
      </c>
      <c r="F2884" t="s">
        <v>892</v>
      </c>
      <c r="G2884" t="s">
        <v>15999</v>
      </c>
      <c r="H2884">
        <v>16.649999999999999</v>
      </c>
      <c r="I2884">
        <v>0</v>
      </c>
      <c r="J2884">
        <v>0</v>
      </c>
      <c r="K2884">
        <v>0</v>
      </c>
      <c r="L2884">
        <v>7</v>
      </c>
      <c r="O2884">
        <v>7</v>
      </c>
      <c r="P2884">
        <v>4</v>
      </c>
      <c r="Q2884">
        <v>0</v>
      </c>
      <c r="R2884">
        <v>27.65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6</v>
      </c>
      <c r="AC2884">
        <v>0</v>
      </c>
      <c r="AH2884">
        <v>33.65</v>
      </c>
    </row>
    <row r="2885" spans="1:34" x14ac:dyDescent="0.3">
      <c r="A2885" s="4">
        <v>3099</v>
      </c>
      <c r="B2885" s="5">
        <v>2878</v>
      </c>
      <c r="C2885">
        <v>2949</v>
      </c>
      <c r="D2885" t="s">
        <v>15397</v>
      </c>
      <c r="E2885" t="s">
        <v>54</v>
      </c>
      <c r="F2885" t="s">
        <v>38</v>
      </c>
      <c r="G2885" t="s">
        <v>16000</v>
      </c>
      <c r="H2885">
        <v>19.649999999999999</v>
      </c>
      <c r="I2885">
        <v>0</v>
      </c>
      <c r="J2885">
        <v>0</v>
      </c>
      <c r="K2885">
        <v>0</v>
      </c>
      <c r="L2885">
        <v>7</v>
      </c>
      <c r="N2885">
        <v>3</v>
      </c>
      <c r="O2885">
        <v>10</v>
      </c>
      <c r="P2885">
        <v>4</v>
      </c>
      <c r="Q2885">
        <v>0</v>
      </c>
      <c r="R2885">
        <v>33.65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H2885">
        <v>33.65</v>
      </c>
    </row>
    <row r="2886" spans="1:34" x14ac:dyDescent="0.3">
      <c r="A2886" s="4">
        <v>3100</v>
      </c>
      <c r="B2886" s="5">
        <v>2879</v>
      </c>
      <c r="C2886">
        <v>202</v>
      </c>
      <c r="D2886" t="s">
        <v>9672</v>
      </c>
      <c r="E2886" t="s">
        <v>100</v>
      </c>
      <c r="F2886" t="s">
        <v>117</v>
      </c>
      <c r="G2886" t="s">
        <v>16001</v>
      </c>
      <c r="H2886">
        <v>19.649999999999999</v>
      </c>
      <c r="I2886">
        <v>0</v>
      </c>
      <c r="J2886">
        <v>0</v>
      </c>
      <c r="K2886">
        <v>0</v>
      </c>
      <c r="L2886">
        <v>7</v>
      </c>
      <c r="M2886">
        <v>5</v>
      </c>
      <c r="O2886">
        <v>12</v>
      </c>
      <c r="P2886">
        <v>0</v>
      </c>
      <c r="Q2886">
        <v>2</v>
      </c>
      <c r="R2886">
        <v>33.65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H2886">
        <v>33.65</v>
      </c>
    </row>
    <row r="2887" spans="1:34" x14ac:dyDescent="0.3">
      <c r="A2887" s="4">
        <v>3101</v>
      </c>
      <c r="B2887" s="5">
        <v>2880</v>
      </c>
      <c r="C2887">
        <v>2385</v>
      </c>
      <c r="D2887" t="s">
        <v>7246</v>
      </c>
      <c r="E2887" t="s">
        <v>16002</v>
      </c>
      <c r="F2887" t="s">
        <v>117</v>
      </c>
      <c r="G2887" t="s">
        <v>16003</v>
      </c>
      <c r="H2887">
        <v>19.649999999999999</v>
      </c>
      <c r="I2887">
        <v>0</v>
      </c>
      <c r="J2887">
        <v>0</v>
      </c>
      <c r="K2887">
        <v>0</v>
      </c>
      <c r="L2887">
        <v>7</v>
      </c>
      <c r="N2887">
        <v>3</v>
      </c>
      <c r="O2887">
        <v>10</v>
      </c>
      <c r="P2887">
        <v>4</v>
      </c>
      <c r="Q2887">
        <v>0</v>
      </c>
      <c r="R2887">
        <v>33.65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H2887">
        <v>33.65</v>
      </c>
    </row>
    <row r="2888" spans="1:34" x14ac:dyDescent="0.3">
      <c r="A2888" s="4">
        <v>3102</v>
      </c>
      <c r="B2888" s="5">
        <v>2881</v>
      </c>
      <c r="C2888">
        <v>7589</v>
      </c>
      <c r="D2888" t="s">
        <v>5483</v>
      </c>
      <c r="E2888" t="s">
        <v>4258</v>
      </c>
      <c r="F2888" t="s">
        <v>30</v>
      </c>
      <c r="G2888" t="s">
        <v>16004</v>
      </c>
      <c r="H2888">
        <v>17.63</v>
      </c>
      <c r="I2888">
        <v>0</v>
      </c>
      <c r="J2888">
        <v>0</v>
      </c>
      <c r="K2888">
        <v>0</v>
      </c>
      <c r="N2888">
        <v>3</v>
      </c>
      <c r="O2888">
        <v>3</v>
      </c>
      <c r="P2888">
        <v>4</v>
      </c>
      <c r="Q2888">
        <v>0</v>
      </c>
      <c r="R2888">
        <v>24.63</v>
      </c>
      <c r="S2888">
        <v>6</v>
      </c>
      <c r="T2888">
        <v>6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6</v>
      </c>
      <c r="AB2888">
        <v>3</v>
      </c>
      <c r="AC2888">
        <v>0</v>
      </c>
      <c r="AH2888">
        <v>33.630000000000003</v>
      </c>
    </row>
    <row r="2889" spans="1:34" x14ac:dyDescent="0.3">
      <c r="A2889" s="4">
        <v>3103</v>
      </c>
      <c r="B2889" s="5">
        <v>2882</v>
      </c>
      <c r="C2889">
        <v>1604</v>
      </c>
      <c r="D2889" t="s">
        <v>16005</v>
      </c>
      <c r="E2889" t="s">
        <v>110</v>
      </c>
      <c r="F2889" t="s">
        <v>782</v>
      </c>
      <c r="G2889" t="s">
        <v>16006</v>
      </c>
      <c r="H2889">
        <v>22.63</v>
      </c>
      <c r="I2889">
        <v>0</v>
      </c>
      <c r="J2889">
        <v>0</v>
      </c>
      <c r="K2889">
        <v>0</v>
      </c>
      <c r="L2889">
        <v>7</v>
      </c>
      <c r="O2889">
        <v>7</v>
      </c>
      <c r="P2889">
        <v>4</v>
      </c>
      <c r="Q2889">
        <v>0</v>
      </c>
      <c r="R2889">
        <v>33.630000000000003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H2889">
        <v>33.630000000000003</v>
      </c>
    </row>
    <row r="2890" spans="1:34" x14ac:dyDescent="0.3">
      <c r="A2890" s="4">
        <v>3104</v>
      </c>
      <c r="B2890" s="5">
        <v>2883</v>
      </c>
      <c r="C2890">
        <v>6745</v>
      </c>
      <c r="D2890" t="s">
        <v>16007</v>
      </c>
      <c r="E2890" t="s">
        <v>17</v>
      </c>
      <c r="F2890" t="s">
        <v>52</v>
      </c>
      <c r="G2890" t="s">
        <v>16008</v>
      </c>
      <c r="H2890">
        <v>20.63</v>
      </c>
      <c r="I2890">
        <v>0</v>
      </c>
      <c r="J2890">
        <v>0</v>
      </c>
      <c r="K2890">
        <v>0</v>
      </c>
      <c r="L2890">
        <v>7</v>
      </c>
      <c r="O2890">
        <v>7</v>
      </c>
      <c r="P2890">
        <v>4</v>
      </c>
      <c r="Q2890">
        <v>2</v>
      </c>
      <c r="R2890">
        <v>33.630000000000003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 t="s">
        <v>130</v>
      </c>
      <c r="AH2890">
        <v>33.630000000000003</v>
      </c>
    </row>
    <row r="2891" spans="1:34" x14ac:dyDescent="0.3">
      <c r="A2891" s="4">
        <v>3105</v>
      </c>
      <c r="B2891" s="5">
        <v>2884</v>
      </c>
      <c r="C2891">
        <v>11167</v>
      </c>
      <c r="D2891" t="s">
        <v>16009</v>
      </c>
      <c r="E2891" t="s">
        <v>188</v>
      </c>
      <c r="F2891" t="s">
        <v>136</v>
      </c>
      <c r="G2891" t="s">
        <v>16010</v>
      </c>
      <c r="H2891">
        <v>17.63</v>
      </c>
      <c r="I2891">
        <v>0</v>
      </c>
      <c r="J2891">
        <v>0</v>
      </c>
      <c r="K2891">
        <v>0</v>
      </c>
      <c r="L2891">
        <v>7</v>
      </c>
      <c r="N2891">
        <v>3</v>
      </c>
      <c r="O2891">
        <v>10</v>
      </c>
      <c r="P2891">
        <v>4</v>
      </c>
      <c r="Q2891">
        <v>2</v>
      </c>
      <c r="R2891">
        <v>33.630000000000003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H2891">
        <v>33.630000000000003</v>
      </c>
    </row>
    <row r="2892" spans="1:34" x14ac:dyDescent="0.3">
      <c r="A2892" s="4">
        <v>3106</v>
      </c>
      <c r="B2892" s="5">
        <v>2885</v>
      </c>
      <c r="C2892">
        <v>522</v>
      </c>
      <c r="D2892" t="s">
        <v>16011</v>
      </c>
      <c r="E2892" t="s">
        <v>16012</v>
      </c>
      <c r="F2892" t="s">
        <v>136</v>
      </c>
      <c r="G2892" t="s">
        <v>16013</v>
      </c>
      <c r="H2892">
        <v>22.6</v>
      </c>
      <c r="I2892">
        <v>0</v>
      </c>
      <c r="J2892">
        <v>0</v>
      </c>
      <c r="K2892">
        <v>0</v>
      </c>
      <c r="L2892">
        <v>7</v>
      </c>
      <c r="O2892">
        <v>7</v>
      </c>
      <c r="P2892">
        <v>4</v>
      </c>
      <c r="Q2892">
        <v>0</v>
      </c>
      <c r="R2892">
        <v>33.6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H2892">
        <v>33.6</v>
      </c>
    </row>
    <row r="2893" spans="1:34" x14ac:dyDescent="0.3">
      <c r="A2893" s="4">
        <v>3107</v>
      </c>
      <c r="B2893" s="5">
        <v>2886</v>
      </c>
      <c r="C2893">
        <v>11881</v>
      </c>
      <c r="D2893" t="s">
        <v>731</v>
      </c>
      <c r="E2893" t="s">
        <v>22</v>
      </c>
      <c r="F2893" t="s">
        <v>81</v>
      </c>
      <c r="G2893" t="s">
        <v>16014</v>
      </c>
      <c r="H2893">
        <v>20.6</v>
      </c>
      <c r="I2893">
        <v>0</v>
      </c>
      <c r="J2893">
        <v>0</v>
      </c>
      <c r="K2893">
        <v>0</v>
      </c>
      <c r="L2893">
        <v>7</v>
      </c>
      <c r="O2893">
        <v>7</v>
      </c>
      <c r="P2893">
        <v>4</v>
      </c>
      <c r="Q2893">
        <v>2</v>
      </c>
      <c r="R2893">
        <v>33.6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H2893">
        <v>33.6</v>
      </c>
    </row>
    <row r="2894" spans="1:34" x14ac:dyDescent="0.3">
      <c r="A2894" s="4">
        <v>3108</v>
      </c>
      <c r="B2894" s="5">
        <v>2887</v>
      </c>
      <c r="C2894">
        <v>3722</v>
      </c>
      <c r="D2894" t="s">
        <v>16015</v>
      </c>
      <c r="E2894" t="s">
        <v>1743</v>
      </c>
      <c r="F2894" t="s">
        <v>68</v>
      </c>
      <c r="G2894" t="s">
        <v>16016</v>
      </c>
      <c r="H2894">
        <v>19.600000000000001</v>
      </c>
      <c r="I2894">
        <v>0</v>
      </c>
      <c r="J2894">
        <v>0</v>
      </c>
      <c r="K2894">
        <v>0</v>
      </c>
      <c r="L2894">
        <v>7</v>
      </c>
      <c r="N2894">
        <v>3</v>
      </c>
      <c r="O2894">
        <v>10</v>
      </c>
      <c r="P2894">
        <v>4</v>
      </c>
      <c r="Q2894">
        <v>0</v>
      </c>
      <c r="R2894">
        <v>33.6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H2894">
        <v>33.6</v>
      </c>
    </row>
    <row r="2895" spans="1:34" x14ac:dyDescent="0.3">
      <c r="A2895" s="4">
        <v>3109</v>
      </c>
      <c r="B2895" s="5">
        <v>2888</v>
      </c>
      <c r="C2895">
        <v>3728</v>
      </c>
      <c r="D2895" t="s">
        <v>5056</v>
      </c>
      <c r="E2895" t="s">
        <v>16017</v>
      </c>
      <c r="F2895" t="s">
        <v>20</v>
      </c>
      <c r="G2895" t="s">
        <v>16018</v>
      </c>
      <c r="H2895">
        <v>20.58</v>
      </c>
      <c r="I2895">
        <v>0</v>
      </c>
      <c r="J2895">
        <v>0</v>
      </c>
      <c r="K2895">
        <v>0</v>
      </c>
      <c r="L2895">
        <v>7</v>
      </c>
      <c r="O2895">
        <v>7</v>
      </c>
      <c r="P2895">
        <v>4</v>
      </c>
      <c r="Q2895">
        <v>2</v>
      </c>
      <c r="R2895">
        <v>33.58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H2895">
        <v>33.58</v>
      </c>
    </row>
    <row r="2896" spans="1:34" x14ac:dyDescent="0.3">
      <c r="A2896" s="4">
        <v>3110</v>
      </c>
      <c r="B2896" s="5">
        <v>2889</v>
      </c>
      <c r="C2896">
        <v>11645</v>
      </c>
      <c r="D2896" t="s">
        <v>16019</v>
      </c>
      <c r="E2896" t="s">
        <v>161</v>
      </c>
      <c r="F2896" t="s">
        <v>20</v>
      </c>
      <c r="G2896" t="s">
        <v>16020</v>
      </c>
      <c r="H2896">
        <v>18.55</v>
      </c>
      <c r="I2896">
        <v>0</v>
      </c>
      <c r="J2896">
        <v>0</v>
      </c>
      <c r="K2896">
        <v>0</v>
      </c>
      <c r="N2896">
        <v>3</v>
      </c>
      <c r="O2896">
        <v>3</v>
      </c>
      <c r="P2896">
        <v>4</v>
      </c>
      <c r="Q2896">
        <v>2</v>
      </c>
      <c r="R2896">
        <v>27.55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6</v>
      </c>
      <c r="AC2896">
        <v>0</v>
      </c>
      <c r="AH2896">
        <v>33.549999999999997</v>
      </c>
    </row>
    <row r="2897" spans="1:34" x14ac:dyDescent="0.3">
      <c r="A2897" s="4">
        <v>3111</v>
      </c>
      <c r="B2897" s="5">
        <v>2890</v>
      </c>
      <c r="C2897">
        <v>8577</v>
      </c>
      <c r="D2897" t="s">
        <v>16021</v>
      </c>
      <c r="E2897" t="s">
        <v>54</v>
      </c>
      <c r="F2897" t="s">
        <v>1748</v>
      </c>
      <c r="G2897" t="s">
        <v>16022</v>
      </c>
      <c r="H2897">
        <v>17.55</v>
      </c>
      <c r="I2897">
        <v>0</v>
      </c>
      <c r="J2897">
        <v>0</v>
      </c>
      <c r="K2897">
        <v>0</v>
      </c>
      <c r="L2897">
        <v>7</v>
      </c>
      <c r="N2897">
        <v>3</v>
      </c>
      <c r="O2897">
        <v>10</v>
      </c>
      <c r="P2897">
        <v>4</v>
      </c>
      <c r="Q2897">
        <v>2</v>
      </c>
      <c r="R2897">
        <v>33.549999999999997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 t="s">
        <v>130</v>
      </c>
      <c r="AH2897">
        <v>33.549999999999997</v>
      </c>
    </row>
    <row r="2898" spans="1:34" x14ac:dyDescent="0.3">
      <c r="A2898" s="4">
        <v>3112</v>
      </c>
      <c r="B2898" s="5">
        <v>2891</v>
      </c>
      <c r="C2898">
        <v>2249</v>
      </c>
      <c r="D2898" t="s">
        <v>4038</v>
      </c>
      <c r="E2898" t="s">
        <v>16023</v>
      </c>
      <c r="F2898" t="s">
        <v>30</v>
      </c>
      <c r="G2898" t="s">
        <v>16024</v>
      </c>
      <c r="H2898">
        <v>17.55</v>
      </c>
      <c r="I2898">
        <v>0</v>
      </c>
      <c r="J2898">
        <v>0</v>
      </c>
      <c r="K2898">
        <v>0</v>
      </c>
      <c r="L2898">
        <v>7</v>
      </c>
      <c r="M2898">
        <v>5</v>
      </c>
      <c r="O2898">
        <v>12</v>
      </c>
      <c r="P2898">
        <v>4</v>
      </c>
      <c r="Q2898">
        <v>0</v>
      </c>
      <c r="R2898">
        <v>33.549999999999997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H2898">
        <v>33.549999999999997</v>
      </c>
    </row>
    <row r="2899" spans="1:34" x14ac:dyDescent="0.3">
      <c r="A2899" s="4">
        <v>3113</v>
      </c>
      <c r="B2899" s="5">
        <v>2892</v>
      </c>
      <c r="C2899">
        <v>14675</v>
      </c>
      <c r="D2899" t="s">
        <v>9119</v>
      </c>
      <c r="E2899" t="s">
        <v>16025</v>
      </c>
      <c r="F2899" t="s">
        <v>649</v>
      </c>
      <c r="G2899" t="s">
        <v>16026</v>
      </c>
      <c r="H2899">
        <v>19.53</v>
      </c>
      <c r="I2899">
        <v>0</v>
      </c>
      <c r="J2899">
        <v>0</v>
      </c>
      <c r="K2899">
        <v>0</v>
      </c>
      <c r="L2899">
        <v>7</v>
      </c>
      <c r="N2899">
        <v>3</v>
      </c>
      <c r="O2899">
        <v>10</v>
      </c>
      <c r="P2899">
        <v>4</v>
      </c>
      <c r="Q2899">
        <v>0</v>
      </c>
      <c r="R2899">
        <v>33.53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H2899">
        <v>33.53</v>
      </c>
    </row>
    <row r="2900" spans="1:34" x14ac:dyDescent="0.3">
      <c r="A2900" s="4">
        <v>3114</v>
      </c>
      <c r="B2900" s="5">
        <v>2893</v>
      </c>
      <c r="C2900">
        <v>2277</v>
      </c>
      <c r="D2900" t="s">
        <v>16027</v>
      </c>
      <c r="E2900" t="s">
        <v>1140</v>
      </c>
      <c r="F2900" t="s">
        <v>626</v>
      </c>
      <c r="G2900" t="s">
        <v>16028</v>
      </c>
      <c r="H2900">
        <v>19.53</v>
      </c>
      <c r="I2900">
        <v>0</v>
      </c>
      <c r="J2900">
        <v>0</v>
      </c>
      <c r="K2900">
        <v>0</v>
      </c>
      <c r="L2900">
        <v>7</v>
      </c>
      <c r="N2900">
        <v>3</v>
      </c>
      <c r="O2900">
        <v>10</v>
      </c>
      <c r="P2900">
        <v>4</v>
      </c>
      <c r="Q2900">
        <v>0</v>
      </c>
      <c r="R2900">
        <v>33.53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H2900">
        <v>33.53</v>
      </c>
    </row>
    <row r="2901" spans="1:34" x14ac:dyDescent="0.3">
      <c r="A2901" s="4">
        <v>3115</v>
      </c>
      <c r="B2901" s="5">
        <v>2894</v>
      </c>
      <c r="C2901">
        <v>3306</v>
      </c>
      <c r="D2901" t="s">
        <v>13972</v>
      </c>
      <c r="E2901" t="s">
        <v>1189</v>
      </c>
      <c r="F2901" t="s">
        <v>158</v>
      </c>
      <c r="G2901" t="s">
        <v>16029</v>
      </c>
      <c r="H2901">
        <v>20.5</v>
      </c>
      <c r="I2901">
        <v>0</v>
      </c>
      <c r="J2901">
        <v>0</v>
      </c>
      <c r="K2901">
        <v>0</v>
      </c>
      <c r="L2901">
        <v>7</v>
      </c>
      <c r="O2901">
        <v>7</v>
      </c>
      <c r="P2901">
        <v>4</v>
      </c>
      <c r="Q2901">
        <v>2</v>
      </c>
      <c r="R2901">
        <v>33.5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H2901">
        <v>33.5</v>
      </c>
    </row>
    <row r="2902" spans="1:34" x14ac:dyDescent="0.3">
      <c r="A2902" s="4">
        <v>3116</v>
      </c>
      <c r="B2902" s="5">
        <v>2895</v>
      </c>
      <c r="C2902">
        <v>13237</v>
      </c>
      <c r="D2902" t="s">
        <v>16030</v>
      </c>
      <c r="E2902" t="s">
        <v>479</v>
      </c>
      <c r="F2902" t="s">
        <v>62</v>
      </c>
      <c r="G2902" t="s">
        <v>16031</v>
      </c>
      <c r="H2902">
        <v>19.5</v>
      </c>
      <c r="I2902">
        <v>0</v>
      </c>
      <c r="J2902">
        <v>0</v>
      </c>
      <c r="K2902">
        <v>0</v>
      </c>
      <c r="L2902">
        <v>7</v>
      </c>
      <c r="N2902">
        <v>3</v>
      </c>
      <c r="O2902">
        <v>10</v>
      </c>
      <c r="P2902">
        <v>4</v>
      </c>
      <c r="Q2902">
        <v>0</v>
      </c>
      <c r="R2902">
        <v>33.5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H2902">
        <v>33.5</v>
      </c>
    </row>
    <row r="2903" spans="1:34" x14ac:dyDescent="0.3">
      <c r="A2903" s="4">
        <v>3117</v>
      </c>
      <c r="B2903" s="5">
        <v>2896</v>
      </c>
      <c r="C2903">
        <v>9511</v>
      </c>
      <c r="D2903" t="s">
        <v>16032</v>
      </c>
      <c r="E2903" t="s">
        <v>29</v>
      </c>
      <c r="F2903" t="s">
        <v>30</v>
      </c>
      <c r="G2903" t="s">
        <v>16033</v>
      </c>
      <c r="H2903">
        <v>19.48</v>
      </c>
      <c r="I2903">
        <v>0</v>
      </c>
      <c r="J2903">
        <v>0</v>
      </c>
      <c r="K2903">
        <v>0</v>
      </c>
      <c r="L2903">
        <v>7</v>
      </c>
      <c r="O2903">
        <v>7</v>
      </c>
      <c r="P2903">
        <v>4</v>
      </c>
      <c r="Q2903">
        <v>0</v>
      </c>
      <c r="R2903">
        <v>30.48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3</v>
      </c>
      <c r="AC2903">
        <v>0</v>
      </c>
      <c r="AH2903">
        <v>33.479999999999997</v>
      </c>
    </row>
    <row r="2904" spans="1:34" x14ac:dyDescent="0.3">
      <c r="A2904" s="4">
        <v>3118</v>
      </c>
      <c r="B2904" s="5">
        <v>2897</v>
      </c>
      <c r="C2904">
        <v>14729</v>
      </c>
      <c r="D2904" t="s">
        <v>3671</v>
      </c>
      <c r="E2904" t="s">
        <v>188</v>
      </c>
      <c r="F2904" t="s">
        <v>193</v>
      </c>
      <c r="G2904" t="s">
        <v>16034</v>
      </c>
      <c r="H2904">
        <v>20.48</v>
      </c>
      <c r="I2904">
        <v>0</v>
      </c>
      <c r="J2904">
        <v>0</v>
      </c>
      <c r="K2904">
        <v>0</v>
      </c>
      <c r="L2904">
        <v>7</v>
      </c>
      <c r="O2904">
        <v>7</v>
      </c>
      <c r="P2904">
        <v>4</v>
      </c>
      <c r="Q2904">
        <v>2</v>
      </c>
      <c r="R2904">
        <v>33.479999999999997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H2904">
        <v>33.479999999999997</v>
      </c>
    </row>
    <row r="2905" spans="1:34" x14ac:dyDescent="0.3">
      <c r="A2905" s="4">
        <v>3119</v>
      </c>
      <c r="B2905" s="5">
        <v>2898</v>
      </c>
      <c r="C2905">
        <v>11363</v>
      </c>
      <c r="D2905" t="s">
        <v>16035</v>
      </c>
      <c r="E2905" t="s">
        <v>26</v>
      </c>
      <c r="F2905" t="s">
        <v>91</v>
      </c>
      <c r="G2905" t="s">
        <v>16036</v>
      </c>
      <c r="H2905">
        <v>20.45</v>
      </c>
      <c r="I2905">
        <v>0</v>
      </c>
      <c r="J2905">
        <v>0</v>
      </c>
      <c r="K2905">
        <v>0</v>
      </c>
      <c r="L2905">
        <v>7</v>
      </c>
      <c r="O2905">
        <v>7</v>
      </c>
      <c r="P2905">
        <v>4</v>
      </c>
      <c r="Q2905">
        <v>2</v>
      </c>
      <c r="R2905">
        <v>33.450000000000003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H2905">
        <v>33.450000000000003</v>
      </c>
    </row>
    <row r="2906" spans="1:34" x14ac:dyDescent="0.3">
      <c r="A2906" s="4">
        <v>3120</v>
      </c>
      <c r="B2906" s="5">
        <v>2899</v>
      </c>
      <c r="C2906">
        <v>11762</v>
      </c>
      <c r="D2906" t="s">
        <v>16037</v>
      </c>
      <c r="E2906" t="s">
        <v>406</v>
      </c>
      <c r="F2906" t="s">
        <v>20</v>
      </c>
      <c r="G2906" t="s">
        <v>16038</v>
      </c>
      <c r="H2906">
        <v>21.43</v>
      </c>
      <c r="I2906">
        <v>0</v>
      </c>
      <c r="J2906">
        <v>0</v>
      </c>
      <c r="K2906">
        <v>0</v>
      </c>
      <c r="L2906">
        <v>7</v>
      </c>
      <c r="N2906">
        <v>3</v>
      </c>
      <c r="O2906">
        <v>10</v>
      </c>
      <c r="P2906">
        <v>0</v>
      </c>
      <c r="Q2906">
        <v>2</v>
      </c>
      <c r="R2906">
        <v>33.43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H2906">
        <v>33.43</v>
      </c>
    </row>
    <row r="2907" spans="1:34" x14ac:dyDescent="0.3">
      <c r="A2907" s="4">
        <v>3121</v>
      </c>
      <c r="B2907" s="5">
        <v>2900</v>
      </c>
      <c r="C2907">
        <v>8253</v>
      </c>
      <c r="D2907" t="s">
        <v>13147</v>
      </c>
      <c r="E2907" t="s">
        <v>188</v>
      </c>
      <c r="F2907" t="s">
        <v>55</v>
      </c>
      <c r="G2907" t="s">
        <v>16039</v>
      </c>
      <c r="H2907">
        <v>20.43</v>
      </c>
      <c r="I2907">
        <v>0</v>
      </c>
      <c r="J2907">
        <v>0</v>
      </c>
      <c r="K2907">
        <v>0</v>
      </c>
      <c r="L2907">
        <v>7</v>
      </c>
      <c r="O2907">
        <v>7</v>
      </c>
      <c r="P2907">
        <v>4</v>
      </c>
      <c r="Q2907">
        <v>2</v>
      </c>
      <c r="R2907">
        <v>33.43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H2907">
        <v>33.43</v>
      </c>
    </row>
    <row r="2908" spans="1:34" x14ac:dyDescent="0.3">
      <c r="A2908" s="4">
        <v>3122</v>
      </c>
      <c r="B2908" s="5">
        <v>2901</v>
      </c>
      <c r="C2908">
        <v>10797</v>
      </c>
      <c r="D2908" t="s">
        <v>1286</v>
      </c>
      <c r="E2908" t="s">
        <v>166</v>
      </c>
      <c r="F2908" t="s">
        <v>1023</v>
      </c>
      <c r="G2908" t="s">
        <v>16040</v>
      </c>
      <c r="H2908">
        <v>18.43</v>
      </c>
      <c r="I2908">
        <v>0</v>
      </c>
      <c r="J2908">
        <v>0</v>
      </c>
      <c r="K2908">
        <v>0</v>
      </c>
      <c r="L2908">
        <v>7</v>
      </c>
      <c r="O2908">
        <v>7</v>
      </c>
      <c r="P2908">
        <v>0</v>
      </c>
      <c r="Q2908">
        <v>2</v>
      </c>
      <c r="R2908">
        <v>27.43</v>
      </c>
      <c r="S2908">
        <v>6</v>
      </c>
      <c r="T2908">
        <v>6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6</v>
      </c>
      <c r="AB2908">
        <v>0</v>
      </c>
      <c r="AC2908">
        <v>0</v>
      </c>
      <c r="AH2908">
        <v>33.43</v>
      </c>
    </row>
    <row r="2909" spans="1:34" x14ac:dyDescent="0.3">
      <c r="A2909" s="4">
        <v>3123</v>
      </c>
      <c r="B2909" s="5">
        <v>2902</v>
      </c>
      <c r="C2909">
        <v>12803</v>
      </c>
      <c r="D2909" t="s">
        <v>16041</v>
      </c>
      <c r="E2909" t="s">
        <v>29</v>
      </c>
      <c r="F2909" t="s">
        <v>101</v>
      </c>
      <c r="G2909" t="s">
        <v>16042</v>
      </c>
      <c r="H2909">
        <v>20.399999999999999</v>
      </c>
      <c r="I2909">
        <v>0</v>
      </c>
      <c r="J2909">
        <v>0</v>
      </c>
      <c r="K2909">
        <v>0</v>
      </c>
      <c r="L2909">
        <v>7</v>
      </c>
      <c r="O2909">
        <v>7</v>
      </c>
      <c r="P2909">
        <v>4</v>
      </c>
      <c r="Q2909">
        <v>2</v>
      </c>
      <c r="R2909">
        <v>33.4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H2909">
        <v>33.4</v>
      </c>
    </row>
    <row r="2910" spans="1:34" x14ac:dyDescent="0.3">
      <c r="A2910" s="4">
        <v>3124</v>
      </c>
      <c r="B2910" s="5">
        <v>2903</v>
      </c>
      <c r="C2910">
        <v>10613</v>
      </c>
      <c r="D2910" t="s">
        <v>9942</v>
      </c>
      <c r="E2910" t="s">
        <v>54</v>
      </c>
      <c r="F2910" t="s">
        <v>158</v>
      </c>
      <c r="G2910" t="s">
        <v>16043</v>
      </c>
      <c r="H2910">
        <v>17.399999999999999</v>
      </c>
      <c r="I2910">
        <v>0</v>
      </c>
      <c r="J2910">
        <v>0</v>
      </c>
      <c r="K2910">
        <v>0</v>
      </c>
      <c r="L2910">
        <v>7</v>
      </c>
      <c r="M2910">
        <v>5</v>
      </c>
      <c r="O2910">
        <v>12</v>
      </c>
      <c r="P2910">
        <v>4</v>
      </c>
      <c r="Q2910">
        <v>0</v>
      </c>
      <c r="R2910">
        <v>33.4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H2910">
        <v>33.4</v>
      </c>
    </row>
    <row r="2911" spans="1:34" x14ac:dyDescent="0.3">
      <c r="A2911" s="4">
        <v>3125</v>
      </c>
      <c r="B2911" s="5">
        <v>2904</v>
      </c>
      <c r="C2911">
        <v>4778</v>
      </c>
      <c r="D2911" t="s">
        <v>1296</v>
      </c>
      <c r="E2911" t="s">
        <v>516</v>
      </c>
      <c r="F2911" t="s">
        <v>34</v>
      </c>
      <c r="G2911" t="s">
        <v>16044</v>
      </c>
      <c r="H2911">
        <v>20.350000000000001</v>
      </c>
      <c r="I2911">
        <v>0</v>
      </c>
      <c r="J2911">
        <v>0</v>
      </c>
      <c r="K2911">
        <v>0</v>
      </c>
      <c r="L2911">
        <v>7</v>
      </c>
      <c r="O2911">
        <v>7</v>
      </c>
      <c r="P2911">
        <v>4</v>
      </c>
      <c r="Q2911">
        <v>2</v>
      </c>
      <c r="R2911">
        <v>33.35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H2911">
        <v>33.35</v>
      </c>
    </row>
    <row r="2912" spans="1:34" x14ac:dyDescent="0.3">
      <c r="A2912" s="4">
        <v>3126</v>
      </c>
      <c r="B2912" s="5">
        <v>2905</v>
      </c>
      <c r="C2912">
        <v>14558</v>
      </c>
      <c r="D2912" t="s">
        <v>717</v>
      </c>
      <c r="E2912" t="s">
        <v>29</v>
      </c>
      <c r="F2912" t="s">
        <v>38</v>
      </c>
      <c r="G2912" t="s">
        <v>16045</v>
      </c>
      <c r="H2912">
        <v>19.350000000000001</v>
      </c>
      <c r="I2912">
        <v>0</v>
      </c>
      <c r="J2912">
        <v>0</v>
      </c>
      <c r="K2912">
        <v>0</v>
      </c>
      <c r="L2912">
        <v>7</v>
      </c>
      <c r="N2912">
        <v>3</v>
      </c>
      <c r="O2912">
        <v>10</v>
      </c>
      <c r="P2912">
        <v>4</v>
      </c>
      <c r="Q2912">
        <v>0</v>
      </c>
      <c r="R2912">
        <v>33.35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H2912">
        <v>33.35</v>
      </c>
    </row>
    <row r="2913" spans="1:34" x14ac:dyDescent="0.3">
      <c r="A2913" s="4">
        <v>3127</v>
      </c>
      <c r="B2913" s="5">
        <v>2906</v>
      </c>
      <c r="C2913">
        <v>6564</v>
      </c>
      <c r="D2913" t="s">
        <v>16046</v>
      </c>
      <c r="E2913" t="s">
        <v>88</v>
      </c>
      <c r="F2913" t="s">
        <v>30</v>
      </c>
      <c r="G2913" t="s">
        <v>16047</v>
      </c>
      <c r="H2913">
        <v>19.350000000000001</v>
      </c>
      <c r="I2913">
        <v>0</v>
      </c>
      <c r="J2913">
        <v>0</v>
      </c>
      <c r="K2913">
        <v>0</v>
      </c>
      <c r="L2913">
        <v>7</v>
      </c>
      <c r="N2913">
        <v>3</v>
      </c>
      <c r="O2913">
        <v>10</v>
      </c>
      <c r="P2913">
        <v>4</v>
      </c>
      <c r="Q2913">
        <v>0</v>
      </c>
      <c r="R2913">
        <v>33.35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H2913">
        <v>33.35</v>
      </c>
    </row>
    <row r="2914" spans="1:34" x14ac:dyDescent="0.3">
      <c r="A2914" s="4">
        <v>3128</v>
      </c>
      <c r="B2914" s="5">
        <v>2907</v>
      </c>
      <c r="C2914">
        <v>11955</v>
      </c>
      <c r="D2914" t="s">
        <v>15681</v>
      </c>
      <c r="E2914" t="s">
        <v>208</v>
      </c>
      <c r="F2914" t="s">
        <v>68</v>
      </c>
      <c r="G2914" t="s">
        <v>16048</v>
      </c>
      <c r="H2914">
        <v>18.350000000000001</v>
      </c>
      <c r="I2914">
        <v>0</v>
      </c>
      <c r="J2914">
        <v>0</v>
      </c>
      <c r="K2914">
        <v>0</v>
      </c>
      <c r="M2914">
        <v>5</v>
      </c>
      <c r="O2914">
        <v>5</v>
      </c>
      <c r="P2914">
        <v>4</v>
      </c>
      <c r="Q2914">
        <v>0</v>
      </c>
      <c r="R2914">
        <v>27.35</v>
      </c>
      <c r="S2914">
        <v>6</v>
      </c>
      <c r="T2914">
        <v>6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6</v>
      </c>
      <c r="AB2914">
        <v>0</v>
      </c>
      <c r="AC2914">
        <v>0</v>
      </c>
      <c r="AH2914">
        <v>33.35</v>
      </c>
    </row>
    <row r="2915" spans="1:34" x14ac:dyDescent="0.3">
      <c r="A2915" s="4">
        <v>3129</v>
      </c>
      <c r="B2915" s="5">
        <v>2908</v>
      </c>
      <c r="C2915">
        <v>10208</v>
      </c>
      <c r="D2915" t="s">
        <v>6167</v>
      </c>
      <c r="E2915" t="s">
        <v>41</v>
      </c>
      <c r="F2915" t="s">
        <v>81</v>
      </c>
      <c r="G2915" t="s">
        <v>16049</v>
      </c>
      <c r="H2915">
        <v>19.329999999999998</v>
      </c>
      <c r="I2915">
        <v>0</v>
      </c>
      <c r="J2915">
        <v>0</v>
      </c>
      <c r="K2915">
        <v>0</v>
      </c>
      <c r="L2915">
        <v>7</v>
      </c>
      <c r="N2915">
        <v>3</v>
      </c>
      <c r="O2915">
        <v>10</v>
      </c>
      <c r="P2915">
        <v>4</v>
      </c>
      <c r="Q2915">
        <v>0</v>
      </c>
      <c r="R2915">
        <v>33.33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H2915">
        <v>33.33</v>
      </c>
    </row>
    <row r="2916" spans="1:34" x14ac:dyDescent="0.3">
      <c r="A2916" s="4">
        <v>3130</v>
      </c>
      <c r="B2916" s="5">
        <v>2909</v>
      </c>
      <c r="C2916">
        <v>13067</v>
      </c>
      <c r="D2916" t="s">
        <v>12571</v>
      </c>
      <c r="E2916" t="s">
        <v>161</v>
      </c>
      <c r="F2916" t="s">
        <v>20</v>
      </c>
      <c r="G2916" t="s">
        <v>16050</v>
      </c>
      <c r="H2916">
        <v>16.329999999999998</v>
      </c>
      <c r="I2916">
        <v>0</v>
      </c>
      <c r="J2916">
        <v>0</v>
      </c>
      <c r="K2916">
        <v>0</v>
      </c>
      <c r="M2916">
        <v>5</v>
      </c>
      <c r="O2916">
        <v>5</v>
      </c>
      <c r="P2916">
        <v>4</v>
      </c>
      <c r="Q2916">
        <v>2</v>
      </c>
      <c r="R2916">
        <v>27.33</v>
      </c>
      <c r="S2916">
        <v>6</v>
      </c>
      <c r="T2916">
        <v>6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6</v>
      </c>
      <c r="AB2916">
        <v>0</v>
      </c>
      <c r="AC2916">
        <v>0</v>
      </c>
      <c r="AH2916">
        <v>33.33</v>
      </c>
    </row>
    <row r="2917" spans="1:34" x14ac:dyDescent="0.3">
      <c r="A2917" s="4">
        <v>3131</v>
      </c>
      <c r="B2917" s="5">
        <v>2910</v>
      </c>
      <c r="C2917">
        <v>11654</v>
      </c>
      <c r="D2917" t="s">
        <v>16051</v>
      </c>
      <c r="E2917" t="s">
        <v>33</v>
      </c>
      <c r="F2917" t="s">
        <v>30</v>
      </c>
      <c r="H2917">
        <v>20.3</v>
      </c>
      <c r="I2917">
        <v>0</v>
      </c>
      <c r="J2917">
        <v>0</v>
      </c>
      <c r="K2917">
        <v>0</v>
      </c>
      <c r="L2917">
        <v>7</v>
      </c>
      <c r="O2917">
        <v>7</v>
      </c>
      <c r="P2917">
        <v>4</v>
      </c>
      <c r="Q2917">
        <v>2</v>
      </c>
      <c r="R2917">
        <v>33.299999999999997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H2917">
        <v>33.299999999999997</v>
      </c>
    </row>
    <row r="2918" spans="1:34" x14ac:dyDescent="0.3">
      <c r="A2918" s="4">
        <v>3132</v>
      </c>
      <c r="B2918" s="5">
        <v>2911</v>
      </c>
      <c r="C2918">
        <v>14147</v>
      </c>
      <c r="D2918" t="s">
        <v>6842</v>
      </c>
      <c r="E2918" t="s">
        <v>16052</v>
      </c>
      <c r="F2918" t="s">
        <v>136</v>
      </c>
      <c r="G2918" t="s">
        <v>16053</v>
      </c>
      <c r="H2918">
        <v>19.3</v>
      </c>
      <c r="I2918">
        <v>0</v>
      </c>
      <c r="J2918">
        <v>0</v>
      </c>
      <c r="K2918">
        <v>0</v>
      </c>
      <c r="L2918">
        <v>7</v>
      </c>
      <c r="N2918">
        <v>3</v>
      </c>
      <c r="O2918">
        <v>10</v>
      </c>
      <c r="P2918">
        <v>4</v>
      </c>
      <c r="Q2918">
        <v>0</v>
      </c>
      <c r="R2918">
        <v>33.299999999999997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H2918">
        <v>33.299999999999997</v>
      </c>
    </row>
    <row r="2919" spans="1:34" x14ac:dyDescent="0.3">
      <c r="A2919" s="4">
        <v>3133</v>
      </c>
      <c r="B2919" s="5">
        <v>2912</v>
      </c>
      <c r="C2919">
        <v>10629</v>
      </c>
      <c r="D2919" t="s">
        <v>10329</v>
      </c>
      <c r="E2919" t="s">
        <v>188</v>
      </c>
      <c r="F2919" t="s">
        <v>17</v>
      </c>
      <c r="G2919" t="s">
        <v>16054</v>
      </c>
      <c r="H2919">
        <v>21.28</v>
      </c>
      <c r="I2919">
        <v>0</v>
      </c>
      <c r="J2919">
        <v>0</v>
      </c>
      <c r="K2919">
        <v>0</v>
      </c>
      <c r="N2919">
        <v>6</v>
      </c>
      <c r="O2919">
        <v>6</v>
      </c>
      <c r="P2919">
        <v>4</v>
      </c>
      <c r="Q2919">
        <v>2</v>
      </c>
      <c r="R2919">
        <v>33.28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H2919">
        <v>33.28</v>
      </c>
    </row>
    <row r="2920" spans="1:34" x14ac:dyDescent="0.3">
      <c r="A2920" s="4">
        <v>3134</v>
      </c>
      <c r="B2920" s="5">
        <v>2913</v>
      </c>
      <c r="C2920">
        <v>12464</v>
      </c>
      <c r="D2920" t="s">
        <v>1078</v>
      </c>
      <c r="E2920" t="s">
        <v>143</v>
      </c>
      <c r="F2920" t="s">
        <v>81</v>
      </c>
      <c r="G2920" t="s">
        <v>16055</v>
      </c>
      <c r="H2920">
        <v>19.28</v>
      </c>
      <c r="I2920">
        <v>0</v>
      </c>
      <c r="J2920">
        <v>0</v>
      </c>
      <c r="K2920">
        <v>0</v>
      </c>
      <c r="L2920">
        <v>7</v>
      </c>
      <c r="N2920">
        <v>3</v>
      </c>
      <c r="O2920">
        <v>10</v>
      </c>
      <c r="P2920">
        <v>4</v>
      </c>
      <c r="Q2920">
        <v>0</v>
      </c>
      <c r="R2920">
        <v>33.28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H2920">
        <v>33.28</v>
      </c>
    </row>
    <row r="2921" spans="1:34" x14ac:dyDescent="0.3">
      <c r="A2921" s="4">
        <v>3135</v>
      </c>
      <c r="B2921" s="5">
        <v>2914</v>
      </c>
      <c r="C2921">
        <v>15287</v>
      </c>
      <c r="D2921" t="s">
        <v>16056</v>
      </c>
      <c r="E2921" t="s">
        <v>816</v>
      </c>
      <c r="F2921" t="s">
        <v>1450</v>
      </c>
      <c r="G2921" t="s">
        <v>16057</v>
      </c>
      <c r="H2921">
        <v>21.25</v>
      </c>
      <c r="I2921">
        <v>0</v>
      </c>
      <c r="J2921">
        <v>0</v>
      </c>
      <c r="K2921">
        <v>0</v>
      </c>
      <c r="N2921">
        <v>3</v>
      </c>
      <c r="O2921">
        <v>3</v>
      </c>
      <c r="P2921">
        <v>4</v>
      </c>
      <c r="Q2921">
        <v>2</v>
      </c>
      <c r="R2921">
        <v>30.25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3</v>
      </c>
      <c r="AC2921">
        <v>0</v>
      </c>
      <c r="AH2921">
        <v>33.25</v>
      </c>
    </row>
    <row r="2922" spans="1:34" x14ac:dyDescent="0.3">
      <c r="A2922" s="4">
        <v>3136</v>
      </c>
      <c r="B2922" s="5">
        <v>2915</v>
      </c>
      <c r="C2922">
        <v>12109</v>
      </c>
      <c r="D2922" t="s">
        <v>16058</v>
      </c>
      <c r="E2922" t="s">
        <v>1089</v>
      </c>
      <c r="F2922" t="s">
        <v>1511</v>
      </c>
      <c r="G2922" t="s">
        <v>16059</v>
      </c>
      <c r="H2922">
        <v>16.25</v>
      </c>
      <c r="I2922">
        <v>0</v>
      </c>
      <c r="J2922">
        <v>0</v>
      </c>
      <c r="K2922">
        <v>0</v>
      </c>
      <c r="L2922">
        <v>7</v>
      </c>
      <c r="N2922">
        <v>3</v>
      </c>
      <c r="O2922">
        <v>10</v>
      </c>
      <c r="P2922">
        <v>4</v>
      </c>
      <c r="Q2922">
        <v>0</v>
      </c>
      <c r="R2922">
        <v>30.25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3</v>
      </c>
      <c r="AC2922">
        <v>0</v>
      </c>
      <c r="AH2922">
        <v>33.25</v>
      </c>
    </row>
    <row r="2923" spans="1:34" x14ac:dyDescent="0.3">
      <c r="A2923" s="4">
        <v>3137</v>
      </c>
      <c r="B2923" s="5">
        <v>2916</v>
      </c>
      <c r="C2923">
        <v>98</v>
      </c>
      <c r="D2923" t="s">
        <v>16060</v>
      </c>
      <c r="E2923" t="s">
        <v>4774</v>
      </c>
      <c r="F2923" t="s">
        <v>30</v>
      </c>
      <c r="G2923" t="s">
        <v>16061</v>
      </c>
      <c r="H2923">
        <v>24.25</v>
      </c>
      <c r="I2923">
        <v>0</v>
      </c>
      <c r="J2923">
        <v>0</v>
      </c>
      <c r="K2923">
        <v>0</v>
      </c>
      <c r="N2923">
        <v>3</v>
      </c>
      <c r="O2923">
        <v>3</v>
      </c>
      <c r="P2923">
        <v>4</v>
      </c>
      <c r="Q2923">
        <v>2</v>
      </c>
      <c r="R2923">
        <v>33.25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H2923">
        <v>33.25</v>
      </c>
    </row>
    <row r="2924" spans="1:34" x14ac:dyDescent="0.3">
      <c r="A2924" s="4">
        <v>3138</v>
      </c>
      <c r="B2924" s="5">
        <v>2917</v>
      </c>
      <c r="C2924">
        <v>2508</v>
      </c>
      <c r="D2924" t="s">
        <v>3340</v>
      </c>
      <c r="E2924" t="s">
        <v>178</v>
      </c>
      <c r="F2924" t="s">
        <v>190</v>
      </c>
      <c r="G2924" t="s">
        <v>16062</v>
      </c>
      <c r="H2924">
        <v>20.25</v>
      </c>
      <c r="I2924">
        <v>0</v>
      </c>
      <c r="J2924">
        <v>0</v>
      </c>
      <c r="K2924">
        <v>0</v>
      </c>
      <c r="L2924">
        <v>7</v>
      </c>
      <c r="O2924">
        <v>7</v>
      </c>
      <c r="P2924">
        <v>4</v>
      </c>
      <c r="Q2924">
        <v>2</v>
      </c>
      <c r="R2924">
        <v>33.25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H2924">
        <v>33.25</v>
      </c>
    </row>
    <row r="2925" spans="1:34" x14ac:dyDescent="0.3">
      <c r="A2925" s="4">
        <v>3139</v>
      </c>
      <c r="B2925" s="5">
        <v>2918</v>
      </c>
      <c r="C2925">
        <v>3763</v>
      </c>
      <c r="D2925" t="s">
        <v>1889</v>
      </c>
      <c r="E2925" t="s">
        <v>143</v>
      </c>
      <c r="F2925" t="s">
        <v>55</v>
      </c>
      <c r="G2925" t="s">
        <v>16063</v>
      </c>
      <c r="H2925">
        <v>19.25</v>
      </c>
      <c r="I2925">
        <v>0</v>
      </c>
      <c r="J2925">
        <v>0</v>
      </c>
      <c r="K2925">
        <v>0</v>
      </c>
      <c r="L2925">
        <v>7</v>
      </c>
      <c r="N2925">
        <v>3</v>
      </c>
      <c r="O2925">
        <v>10</v>
      </c>
      <c r="P2925">
        <v>4</v>
      </c>
      <c r="Q2925">
        <v>0</v>
      </c>
      <c r="R2925">
        <v>33.25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H2925">
        <v>33.25</v>
      </c>
    </row>
    <row r="2926" spans="1:34" x14ac:dyDescent="0.3">
      <c r="A2926" s="4">
        <v>3140</v>
      </c>
      <c r="B2926" s="5">
        <v>2919</v>
      </c>
      <c r="C2926">
        <v>5936</v>
      </c>
      <c r="D2926" t="s">
        <v>1015</v>
      </c>
      <c r="E2926" t="s">
        <v>935</v>
      </c>
      <c r="F2926" t="s">
        <v>34</v>
      </c>
      <c r="G2926" t="s">
        <v>16064</v>
      </c>
      <c r="H2926">
        <v>20.25</v>
      </c>
      <c r="I2926">
        <v>0</v>
      </c>
      <c r="J2926">
        <v>0</v>
      </c>
      <c r="K2926">
        <v>0</v>
      </c>
      <c r="L2926">
        <v>7</v>
      </c>
      <c r="O2926">
        <v>7</v>
      </c>
      <c r="P2926">
        <v>0</v>
      </c>
      <c r="Q2926">
        <v>0</v>
      </c>
      <c r="R2926">
        <v>27.25</v>
      </c>
      <c r="S2926">
        <v>6</v>
      </c>
      <c r="T2926">
        <v>6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6</v>
      </c>
      <c r="AB2926">
        <v>0</v>
      </c>
      <c r="AC2926">
        <v>0</v>
      </c>
      <c r="AH2926">
        <v>33.25</v>
      </c>
    </row>
    <row r="2927" spans="1:34" x14ac:dyDescent="0.3">
      <c r="A2927" s="4">
        <v>3141</v>
      </c>
      <c r="B2927" s="5">
        <v>2920</v>
      </c>
      <c r="C2927">
        <v>767</v>
      </c>
      <c r="D2927" t="s">
        <v>380</v>
      </c>
      <c r="E2927" t="s">
        <v>307</v>
      </c>
      <c r="F2927" t="s">
        <v>20</v>
      </c>
      <c r="G2927" t="s">
        <v>16065</v>
      </c>
      <c r="H2927">
        <v>22.23</v>
      </c>
      <c r="I2927">
        <v>0</v>
      </c>
      <c r="J2927">
        <v>0</v>
      </c>
      <c r="K2927">
        <v>0</v>
      </c>
      <c r="L2927">
        <v>7</v>
      </c>
      <c r="O2927">
        <v>7</v>
      </c>
      <c r="P2927">
        <v>4</v>
      </c>
      <c r="Q2927">
        <v>0</v>
      </c>
      <c r="R2927">
        <v>33.229999999999997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H2927">
        <v>33.229999999999997</v>
      </c>
    </row>
    <row r="2928" spans="1:34" x14ac:dyDescent="0.3">
      <c r="A2928" s="4">
        <v>3142</v>
      </c>
      <c r="B2928" s="5">
        <v>2921</v>
      </c>
      <c r="C2928">
        <v>13022</v>
      </c>
      <c r="D2928" t="s">
        <v>4814</v>
      </c>
      <c r="E2928" t="s">
        <v>182</v>
      </c>
      <c r="F2928" t="s">
        <v>30</v>
      </c>
      <c r="G2928" t="s">
        <v>16066</v>
      </c>
      <c r="H2928">
        <v>17.18</v>
      </c>
      <c r="I2928">
        <v>0</v>
      </c>
      <c r="J2928">
        <v>0</v>
      </c>
      <c r="K2928">
        <v>0</v>
      </c>
      <c r="L2928">
        <v>7</v>
      </c>
      <c r="O2928">
        <v>7</v>
      </c>
      <c r="P2928">
        <v>4</v>
      </c>
      <c r="Q2928">
        <v>2</v>
      </c>
      <c r="R2928">
        <v>30.18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3</v>
      </c>
      <c r="AC2928">
        <v>0</v>
      </c>
      <c r="AH2928">
        <v>33.18</v>
      </c>
    </row>
    <row r="2929" spans="1:34" x14ac:dyDescent="0.3">
      <c r="A2929" s="4">
        <v>3143</v>
      </c>
      <c r="B2929" s="5">
        <v>2922</v>
      </c>
      <c r="C2929">
        <v>6082</v>
      </c>
      <c r="D2929" t="s">
        <v>9640</v>
      </c>
      <c r="E2929" t="s">
        <v>88</v>
      </c>
      <c r="F2929" t="s">
        <v>38</v>
      </c>
      <c r="G2929" t="s">
        <v>9641</v>
      </c>
      <c r="H2929">
        <v>19.18</v>
      </c>
      <c r="I2929">
        <v>7</v>
      </c>
      <c r="J2929">
        <v>0</v>
      </c>
      <c r="K2929">
        <v>0</v>
      </c>
      <c r="L2929">
        <v>7</v>
      </c>
      <c r="O2929">
        <v>7</v>
      </c>
      <c r="P2929">
        <v>0</v>
      </c>
      <c r="Q2929">
        <v>0</v>
      </c>
      <c r="R2929">
        <v>33.18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H2929">
        <v>33.18</v>
      </c>
    </row>
    <row r="2930" spans="1:34" x14ac:dyDescent="0.3">
      <c r="A2930" s="4">
        <v>3144</v>
      </c>
      <c r="B2930" s="5">
        <v>2923</v>
      </c>
      <c r="C2930">
        <v>13288</v>
      </c>
      <c r="D2930" t="s">
        <v>16067</v>
      </c>
      <c r="E2930" t="s">
        <v>255</v>
      </c>
      <c r="F2930" t="s">
        <v>17</v>
      </c>
      <c r="G2930" t="s">
        <v>16068</v>
      </c>
      <c r="H2930">
        <v>20.149999999999999</v>
      </c>
      <c r="I2930">
        <v>0</v>
      </c>
      <c r="J2930">
        <v>0</v>
      </c>
      <c r="K2930">
        <v>0</v>
      </c>
      <c r="L2930">
        <v>7</v>
      </c>
      <c r="O2930">
        <v>7</v>
      </c>
      <c r="P2930">
        <v>4</v>
      </c>
      <c r="Q2930">
        <v>2</v>
      </c>
      <c r="R2930">
        <v>33.15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H2930">
        <v>33.15</v>
      </c>
    </row>
    <row r="2931" spans="1:34" x14ac:dyDescent="0.3">
      <c r="A2931" s="4">
        <v>3145</v>
      </c>
      <c r="B2931" s="5">
        <v>2924</v>
      </c>
      <c r="C2931">
        <v>12272</v>
      </c>
      <c r="D2931" t="s">
        <v>16069</v>
      </c>
      <c r="E2931" t="s">
        <v>188</v>
      </c>
      <c r="F2931" t="s">
        <v>91</v>
      </c>
      <c r="G2931" t="s">
        <v>16070</v>
      </c>
      <c r="H2931">
        <v>20.149999999999999</v>
      </c>
      <c r="I2931">
        <v>0</v>
      </c>
      <c r="J2931">
        <v>0</v>
      </c>
      <c r="K2931">
        <v>0</v>
      </c>
      <c r="L2931">
        <v>7</v>
      </c>
      <c r="O2931">
        <v>7</v>
      </c>
      <c r="P2931">
        <v>4</v>
      </c>
      <c r="Q2931">
        <v>2</v>
      </c>
      <c r="R2931">
        <v>33.15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H2931">
        <v>33.15</v>
      </c>
    </row>
    <row r="2932" spans="1:34" x14ac:dyDescent="0.3">
      <c r="A2932" s="4">
        <v>3146</v>
      </c>
      <c r="B2932" s="5">
        <v>2925</v>
      </c>
      <c r="C2932">
        <v>499</v>
      </c>
      <c r="D2932" t="s">
        <v>496</v>
      </c>
      <c r="E2932" t="s">
        <v>33</v>
      </c>
      <c r="F2932" t="s">
        <v>652</v>
      </c>
      <c r="G2932" t="s">
        <v>16071</v>
      </c>
      <c r="H2932">
        <v>19.149999999999999</v>
      </c>
      <c r="I2932">
        <v>0</v>
      </c>
      <c r="J2932">
        <v>0</v>
      </c>
      <c r="K2932">
        <v>0</v>
      </c>
      <c r="L2932">
        <v>7</v>
      </c>
      <c r="N2932">
        <v>3</v>
      </c>
      <c r="O2932">
        <v>10</v>
      </c>
      <c r="P2932">
        <v>4</v>
      </c>
      <c r="Q2932">
        <v>0</v>
      </c>
      <c r="R2932">
        <v>33.15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H2932">
        <v>33.15</v>
      </c>
    </row>
    <row r="2933" spans="1:34" x14ac:dyDescent="0.3">
      <c r="A2933" s="4">
        <v>3147</v>
      </c>
      <c r="B2933" s="5">
        <v>2926</v>
      </c>
      <c r="C2933">
        <v>13348</v>
      </c>
      <c r="D2933" t="s">
        <v>16072</v>
      </c>
      <c r="E2933" t="s">
        <v>38</v>
      </c>
      <c r="F2933" t="s">
        <v>81</v>
      </c>
      <c r="G2933" t="s">
        <v>16073</v>
      </c>
      <c r="H2933">
        <v>19.149999999999999</v>
      </c>
      <c r="I2933">
        <v>0</v>
      </c>
      <c r="J2933">
        <v>0</v>
      </c>
      <c r="K2933">
        <v>0</v>
      </c>
      <c r="L2933">
        <v>7</v>
      </c>
      <c r="N2933">
        <v>3</v>
      </c>
      <c r="O2933">
        <v>10</v>
      </c>
      <c r="P2933">
        <v>0</v>
      </c>
      <c r="Q2933">
        <v>0</v>
      </c>
      <c r="R2933">
        <v>29.15</v>
      </c>
      <c r="S2933">
        <v>4</v>
      </c>
      <c r="T2933">
        <v>4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4</v>
      </c>
      <c r="AB2933">
        <v>0</v>
      </c>
      <c r="AC2933">
        <v>0</v>
      </c>
      <c r="AH2933">
        <v>33.15</v>
      </c>
    </row>
    <row r="2934" spans="1:34" x14ac:dyDescent="0.3">
      <c r="A2934" s="4">
        <v>3148</v>
      </c>
      <c r="B2934" s="5">
        <v>2927</v>
      </c>
      <c r="C2934">
        <v>2232</v>
      </c>
      <c r="D2934" t="s">
        <v>7209</v>
      </c>
      <c r="E2934" t="s">
        <v>88</v>
      </c>
      <c r="F2934" t="s">
        <v>38</v>
      </c>
      <c r="G2934" t="s">
        <v>16074</v>
      </c>
      <c r="H2934">
        <v>20.13</v>
      </c>
      <c r="I2934">
        <v>0</v>
      </c>
      <c r="J2934">
        <v>0</v>
      </c>
      <c r="K2934">
        <v>0</v>
      </c>
      <c r="L2934">
        <v>7</v>
      </c>
      <c r="O2934">
        <v>7</v>
      </c>
      <c r="P2934">
        <v>4</v>
      </c>
      <c r="Q2934">
        <v>2</v>
      </c>
      <c r="R2934">
        <v>33.130000000000003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H2934">
        <v>33.130000000000003</v>
      </c>
    </row>
    <row r="2935" spans="1:34" x14ac:dyDescent="0.3">
      <c r="A2935" s="4">
        <v>3149</v>
      </c>
      <c r="B2935" s="5">
        <v>2928</v>
      </c>
      <c r="C2935">
        <v>15060</v>
      </c>
      <c r="D2935" t="s">
        <v>944</v>
      </c>
      <c r="E2935" t="s">
        <v>41</v>
      </c>
      <c r="F2935" t="s">
        <v>136</v>
      </c>
      <c r="G2935" t="s">
        <v>16075</v>
      </c>
      <c r="H2935">
        <v>22.1</v>
      </c>
      <c r="I2935">
        <v>0</v>
      </c>
      <c r="J2935">
        <v>0</v>
      </c>
      <c r="K2935">
        <v>0</v>
      </c>
      <c r="L2935">
        <v>7</v>
      </c>
      <c r="O2935">
        <v>7</v>
      </c>
      <c r="P2935">
        <v>4</v>
      </c>
      <c r="Q2935">
        <v>0</v>
      </c>
      <c r="R2935">
        <v>33.1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H2935">
        <v>33.1</v>
      </c>
    </row>
    <row r="2936" spans="1:34" x14ac:dyDescent="0.3">
      <c r="A2936" s="4">
        <v>3150</v>
      </c>
      <c r="B2936" s="5">
        <v>2929</v>
      </c>
      <c r="C2936">
        <v>7697</v>
      </c>
      <c r="D2936" t="s">
        <v>16076</v>
      </c>
      <c r="E2936" t="s">
        <v>5321</v>
      </c>
      <c r="F2936" t="s">
        <v>81</v>
      </c>
      <c r="G2936" t="s">
        <v>16077</v>
      </c>
      <c r="H2936">
        <v>17.100000000000001</v>
      </c>
      <c r="I2936">
        <v>0</v>
      </c>
      <c r="J2936">
        <v>0</v>
      </c>
      <c r="K2936">
        <v>0</v>
      </c>
      <c r="L2936">
        <v>7</v>
      </c>
      <c r="M2936">
        <v>5</v>
      </c>
      <c r="O2936">
        <v>12</v>
      </c>
      <c r="P2936">
        <v>4</v>
      </c>
      <c r="Q2936">
        <v>0</v>
      </c>
      <c r="R2936">
        <v>33.1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H2936">
        <v>33.1</v>
      </c>
    </row>
    <row r="2937" spans="1:34" x14ac:dyDescent="0.3">
      <c r="A2937" s="4">
        <v>3151</v>
      </c>
      <c r="B2937" s="5">
        <v>2930</v>
      </c>
      <c r="C2937">
        <v>14565</v>
      </c>
      <c r="D2937" t="s">
        <v>1361</v>
      </c>
      <c r="E2937" t="s">
        <v>22</v>
      </c>
      <c r="F2937" t="s">
        <v>136</v>
      </c>
      <c r="G2937" t="s">
        <v>16078</v>
      </c>
      <c r="H2937">
        <v>17.100000000000001</v>
      </c>
      <c r="I2937">
        <v>0</v>
      </c>
      <c r="J2937">
        <v>0</v>
      </c>
      <c r="K2937">
        <v>0</v>
      </c>
      <c r="L2937">
        <v>7</v>
      </c>
      <c r="N2937">
        <v>3</v>
      </c>
      <c r="O2937">
        <v>10</v>
      </c>
      <c r="P2937">
        <v>4</v>
      </c>
      <c r="Q2937">
        <v>2</v>
      </c>
      <c r="R2937">
        <v>33.1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H2937">
        <v>33.1</v>
      </c>
    </row>
    <row r="2938" spans="1:34" x14ac:dyDescent="0.3">
      <c r="A2938" s="4">
        <v>3152</v>
      </c>
      <c r="B2938" s="5">
        <v>2931</v>
      </c>
      <c r="C2938">
        <v>15229</v>
      </c>
      <c r="D2938" t="s">
        <v>6061</v>
      </c>
      <c r="E2938" t="s">
        <v>16079</v>
      </c>
      <c r="F2938" t="s">
        <v>3236</v>
      </c>
      <c r="G2938" t="s">
        <v>16080</v>
      </c>
      <c r="H2938">
        <v>20.079999999999998</v>
      </c>
      <c r="I2938">
        <v>0</v>
      </c>
      <c r="J2938">
        <v>0</v>
      </c>
      <c r="K2938">
        <v>0</v>
      </c>
      <c r="L2938">
        <v>7</v>
      </c>
      <c r="O2938">
        <v>7</v>
      </c>
      <c r="P2938">
        <v>4</v>
      </c>
      <c r="Q2938">
        <v>2</v>
      </c>
      <c r="R2938">
        <v>33.08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H2938">
        <v>33.08</v>
      </c>
    </row>
    <row r="2939" spans="1:34" x14ac:dyDescent="0.3">
      <c r="A2939" s="4">
        <v>3153</v>
      </c>
      <c r="B2939" s="5">
        <v>2932</v>
      </c>
      <c r="C2939">
        <v>14669</v>
      </c>
      <c r="D2939" t="s">
        <v>5542</v>
      </c>
      <c r="E2939" t="s">
        <v>110</v>
      </c>
      <c r="F2939" t="s">
        <v>17</v>
      </c>
      <c r="G2939" t="s">
        <v>16081</v>
      </c>
      <c r="H2939">
        <v>20.079999999999998</v>
      </c>
      <c r="I2939">
        <v>0</v>
      </c>
      <c r="J2939">
        <v>0</v>
      </c>
      <c r="K2939">
        <v>0</v>
      </c>
      <c r="N2939">
        <v>3</v>
      </c>
      <c r="O2939">
        <v>3</v>
      </c>
      <c r="P2939">
        <v>0</v>
      </c>
      <c r="Q2939">
        <v>2</v>
      </c>
      <c r="R2939">
        <v>25.08</v>
      </c>
      <c r="S2939">
        <v>8</v>
      </c>
      <c r="T2939">
        <v>8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8</v>
      </c>
      <c r="AB2939">
        <v>0</v>
      </c>
      <c r="AC2939">
        <v>0</v>
      </c>
      <c r="AH2939">
        <v>33.08</v>
      </c>
    </row>
    <row r="2940" spans="1:34" x14ac:dyDescent="0.3">
      <c r="A2940" s="4">
        <v>3154</v>
      </c>
      <c r="B2940" s="5">
        <v>2933</v>
      </c>
      <c r="C2940">
        <v>11870</v>
      </c>
      <c r="D2940" t="s">
        <v>2486</v>
      </c>
      <c r="E2940" t="s">
        <v>471</v>
      </c>
      <c r="F2940" t="s">
        <v>117</v>
      </c>
      <c r="G2940" t="s">
        <v>16082</v>
      </c>
      <c r="H2940">
        <v>19.03</v>
      </c>
      <c r="I2940">
        <v>0</v>
      </c>
      <c r="J2940">
        <v>0</v>
      </c>
      <c r="K2940">
        <v>0</v>
      </c>
      <c r="L2940">
        <v>7</v>
      </c>
      <c r="O2940">
        <v>7</v>
      </c>
      <c r="P2940">
        <v>4</v>
      </c>
      <c r="Q2940">
        <v>0</v>
      </c>
      <c r="R2940">
        <v>30.03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3</v>
      </c>
      <c r="AC2940">
        <v>0</v>
      </c>
      <c r="AH2940">
        <v>33.03</v>
      </c>
    </row>
    <row r="2941" spans="1:34" x14ac:dyDescent="0.3">
      <c r="A2941" s="4">
        <v>3155</v>
      </c>
      <c r="B2941" s="5">
        <v>2934</v>
      </c>
      <c r="C2941">
        <v>349</v>
      </c>
      <c r="D2941" t="s">
        <v>5008</v>
      </c>
      <c r="E2941" t="s">
        <v>100</v>
      </c>
      <c r="F2941" t="s">
        <v>652</v>
      </c>
      <c r="G2941" t="s">
        <v>16083</v>
      </c>
      <c r="H2941">
        <v>20.03</v>
      </c>
      <c r="I2941">
        <v>0</v>
      </c>
      <c r="J2941">
        <v>0</v>
      </c>
      <c r="K2941">
        <v>0</v>
      </c>
      <c r="L2941">
        <v>7</v>
      </c>
      <c r="O2941">
        <v>7</v>
      </c>
      <c r="P2941">
        <v>4</v>
      </c>
      <c r="Q2941">
        <v>2</v>
      </c>
      <c r="R2941">
        <v>33.03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H2941">
        <v>33.03</v>
      </c>
    </row>
    <row r="2942" spans="1:34" x14ac:dyDescent="0.3">
      <c r="A2942" s="4">
        <v>3156</v>
      </c>
      <c r="B2942" s="5">
        <v>2935</v>
      </c>
      <c r="C2942">
        <v>2606</v>
      </c>
      <c r="D2942" t="s">
        <v>8873</v>
      </c>
      <c r="E2942" t="s">
        <v>147</v>
      </c>
      <c r="F2942" t="s">
        <v>81</v>
      </c>
      <c r="G2942" t="s">
        <v>16084</v>
      </c>
      <c r="H2942">
        <v>20.03</v>
      </c>
      <c r="I2942">
        <v>0</v>
      </c>
      <c r="J2942">
        <v>0</v>
      </c>
      <c r="K2942">
        <v>0</v>
      </c>
      <c r="L2942">
        <v>7</v>
      </c>
      <c r="O2942">
        <v>7</v>
      </c>
      <c r="P2942">
        <v>4</v>
      </c>
      <c r="Q2942">
        <v>2</v>
      </c>
      <c r="R2942">
        <v>33.03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H2942">
        <v>33.03</v>
      </c>
    </row>
    <row r="2943" spans="1:34" x14ac:dyDescent="0.3">
      <c r="A2943" s="4">
        <v>3157</v>
      </c>
      <c r="B2943" s="5">
        <v>2936</v>
      </c>
      <c r="C2943">
        <v>10761</v>
      </c>
      <c r="D2943" t="s">
        <v>16085</v>
      </c>
      <c r="E2943" t="s">
        <v>16086</v>
      </c>
      <c r="F2943" t="s">
        <v>16087</v>
      </c>
      <c r="G2943" t="s">
        <v>16088</v>
      </c>
      <c r="H2943">
        <v>22</v>
      </c>
      <c r="I2943">
        <v>0</v>
      </c>
      <c r="J2943">
        <v>0</v>
      </c>
      <c r="K2943">
        <v>0</v>
      </c>
      <c r="L2943">
        <v>7</v>
      </c>
      <c r="O2943">
        <v>7</v>
      </c>
      <c r="P2943">
        <v>4</v>
      </c>
      <c r="Q2943">
        <v>0</v>
      </c>
      <c r="R2943">
        <v>33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H2943">
        <v>33</v>
      </c>
    </row>
    <row r="2944" spans="1:34" x14ac:dyDescent="0.3">
      <c r="A2944" s="4">
        <v>3158</v>
      </c>
      <c r="B2944" s="5">
        <v>2937</v>
      </c>
      <c r="C2944">
        <v>4150</v>
      </c>
      <c r="D2944" t="s">
        <v>16089</v>
      </c>
      <c r="E2944" t="s">
        <v>173</v>
      </c>
      <c r="F2944" t="s">
        <v>20</v>
      </c>
      <c r="G2944" t="s">
        <v>16090</v>
      </c>
      <c r="H2944">
        <v>20</v>
      </c>
      <c r="I2944">
        <v>0</v>
      </c>
      <c r="J2944">
        <v>0</v>
      </c>
      <c r="K2944">
        <v>0</v>
      </c>
      <c r="L2944">
        <v>7</v>
      </c>
      <c r="O2944">
        <v>7</v>
      </c>
      <c r="P2944">
        <v>4</v>
      </c>
      <c r="Q2944">
        <v>2</v>
      </c>
      <c r="R2944">
        <v>33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H2944">
        <v>33</v>
      </c>
    </row>
    <row r="2945" spans="1:34" x14ac:dyDescent="0.3">
      <c r="A2945" s="4">
        <v>3159</v>
      </c>
      <c r="B2945" s="5">
        <v>2938</v>
      </c>
      <c r="C2945">
        <v>12419</v>
      </c>
      <c r="D2945" t="s">
        <v>16091</v>
      </c>
      <c r="E2945" t="s">
        <v>1576</v>
      </c>
      <c r="F2945" t="s">
        <v>30</v>
      </c>
      <c r="G2945" t="s">
        <v>16092</v>
      </c>
      <c r="H2945">
        <v>17</v>
      </c>
      <c r="I2945">
        <v>0</v>
      </c>
      <c r="J2945">
        <v>0</v>
      </c>
      <c r="K2945">
        <v>0</v>
      </c>
      <c r="M2945">
        <v>5</v>
      </c>
      <c r="O2945">
        <v>5</v>
      </c>
      <c r="P2945">
        <v>4</v>
      </c>
      <c r="Q2945">
        <v>0</v>
      </c>
      <c r="R2945">
        <v>26</v>
      </c>
      <c r="S2945">
        <v>7</v>
      </c>
      <c r="T2945">
        <v>7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7</v>
      </c>
      <c r="AB2945">
        <v>0</v>
      </c>
      <c r="AC2945">
        <v>0</v>
      </c>
      <c r="AD2945" t="s">
        <v>130</v>
      </c>
      <c r="AH2945">
        <v>33</v>
      </c>
    </row>
    <row r="2946" spans="1:34" x14ac:dyDescent="0.3">
      <c r="A2946" s="4">
        <v>3160</v>
      </c>
      <c r="B2946" s="5">
        <v>2939</v>
      </c>
      <c r="C2946">
        <v>15357</v>
      </c>
      <c r="D2946" t="s">
        <v>16093</v>
      </c>
      <c r="E2946" t="s">
        <v>16094</v>
      </c>
      <c r="F2946" t="s">
        <v>81</v>
      </c>
      <c r="G2946" t="s">
        <v>16095</v>
      </c>
      <c r="H2946">
        <v>20.98</v>
      </c>
      <c r="I2946">
        <v>0</v>
      </c>
      <c r="J2946">
        <v>0</v>
      </c>
      <c r="K2946">
        <v>0</v>
      </c>
      <c r="L2946">
        <v>7</v>
      </c>
      <c r="M2946">
        <v>5</v>
      </c>
      <c r="O2946">
        <v>12</v>
      </c>
      <c r="P2946">
        <v>0</v>
      </c>
      <c r="Q2946">
        <v>0</v>
      </c>
      <c r="R2946">
        <v>32.979999999999997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H2946">
        <v>32.979999999999997</v>
      </c>
    </row>
    <row r="2947" spans="1:34" x14ac:dyDescent="0.3">
      <c r="A2947" s="4">
        <v>3161</v>
      </c>
      <c r="B2947" s="5">
        <v>2940</v>
      </c>
      <c r="C2947">
        <v>9317</v>
      </c>
      <c r="D2947" t="s">
        <v>577</v>
      </c>
      <c r="E2947" t="s">
        <v>41</v>
      </c>
      <c r="F2947" t="s">
        <v>4176</v>
      </c>
      <c r="G2947" t="s">
        <v>16096</v>
      </c>
      <c r="H2947">
        <v>20.98</v>
      </c>
      <c r="I2947">
        <v>0</v>
      </c>
      <c r="J2947">
        <v>0</v>
      </c>
      <c r="K2947">
        <v>0</v>
      </c>
      <c r="L2947">
        <v>7</v>
      </c>
      <c r="N2947">
        <v>3</v>
      </c>
      <c r="O2947">
        <v>10</v>
      </c>
      <c r="P2947">
        <v>0</v>
      </c>
      <c r="Q2947">
        <v>2</v>
      </c>
      <c r="R2947">
        <v>32.979999999999997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H2947">
        <v>32.979999999999997</v>
      </c>
    </row>
    <row r="2948" spans="1:34" x14ac:dyDescent="0.3">
      <c r="A2948" s="4">
        <v>3162</v>
      </c>
      <c r="B2948" s="5">
        <v>2941</v>
      </c>
      <c r="C2948">
        <v>11203</v>
      </c>
      <c r="D2948" t="s">
        <v>6432</v>
      </c>
      <c r="E2948" t="s">
        <v>792</v>
      </c>
      <c r="F2948" t="s">
        <v>68</v>
      </c>
      <c r="G2948" t="s">
        <v>16097</v>
      </c>
      <c r="H2948">
        <v>19.98</v>
      </c>
      <c r="I2948">
        <v>0</v>
      </c>
      <c r="J2948">
        <v>0</v>
      </c>
      <c r="K2948">
        <v>0</v>
      </c>
      <c r="L2948">
        <v>7</v>
      </c>
      <c r="O2948">
        <v>7</v>
      </c>
      <c r="P2948">
        <v>4</v>
      </c>
      <c r="Q2948">
        <v>2</v>
      </c>
      <c r="R2948">
        <v>32.979999999999997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H2948">
        <v>32.979999999999997</v>
      </c>
    </row>
    <row r="2949" spans="1:34" x14ac:dyDescent="0.3">
      <c r="A2949" s="4">
        <v>3163</v>
      </c>
      <c r="B2949" s="5">
        <v>2942</v>
      </c>
      <c r="C2949">
        <v>15607</v>
      </c>
      <c r="D2949" t="s">
        <v>16098</v>
      </c>
      <c r="E2949" t="s">
        <v>110</v>
      </c>
      <c r="F2949" t="s">
        <v>38</v>
      </c>
      <c r="G2949" t="s">
        <v>16099</v>
      </c>
      <c r="H2949">
        <v>18.98</v>
      </c>
      <c r="I2949">
        <v>0</v>
      </c>
      <c r="J2949">
        <v>0</v>
      </c>
      <c r="K2949">
        <v>0</v>
      </c>
      <c r="M2949">
        <v>5</v>
      </c>
      <c r="N2949">
        <v>3</v>
      </c>
      <c r="O2949">
        <v>8</v>
      </c>
      <c r="P2949">
        <v>4</v>
      </c>
      <c r="Q2949">
        <v>2</v>
      </c>
      <c r="R2949">
        <v>32.979999999999997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H2949">
        <v>32.979999999999997</v>
      </c>
    </row>
    <row r="2950" spans="1:34" x14ac:dyDescent="0.3">
      <c r="A2950" s="4">
        <v>3164</v>
      </c>
      <c r="B2950" s="5">
        <v>2943</v>
      </c>
      <c r="C2950">
        <v>9096</v>
      </c>
      <c r="D2950" t="s">
        <v>743</v>
      </c>
      <c r="E2950" t="s">
        <v>110</v>
      </c>
      <c r="F2950" t="s">
        <v>136</v>
      </c>
      <c r="G2950" t="s">
        <v>16100</v>
      </c>
      <c r="H2950">
        <v>16.98</v>
      </c>
      <c r="I2950">
        <v>0</v>
      </c>
      <c r="J2950">
        <v>0</v>
      </c>
      <c r="K2950">
        <v>0</v>
      </c>
      <c r="L2950">
        <v>7</v>
      </c>
      <c r="N2950">
        <v>3</v>
      </c>
      <c r="O2950">
        <v>10</v>
      </c>
      <c r="P2950">
        <v>4</v>
      </c>
      <c r="Q2950">
        <v>2</v>
      </c>
      <c r="R2950">
        <v>32.979999999999997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H2950">
        <v>32.979999999999997</v>
      </c>
    </row>
    <row r="2951" spans="1:34" x14ac:dyDescent="0.3">
      <c r="A2951" s="4">
        <v>3165</v>
      </c>
      <c r="B2951" s="5">
        <v>2944</v>
      </c>
      <c r="C2951">
        <v>9385</v>
      </c>
      <c r="D2951" t="s">
        <v>16101</v>
      </c>
      <c r="E2951" t="s">
        <v>22</v>
      </c>
      <c r="F2951" t="s">
        <v>158</v>
      </c>
      <c r="G2951" t="s">
        <v>16102</v>
      </c>
      <c r="H2951">
        <v>19.95</v>
      </c>
      <c r="I2951">
        <v>0</v>
      </c>
      <c r="J2951">
        <v>0</v>
      </c>
      <c r="K2951">
        <v>0</v>
      </c>
      <c r="L2951">
        <v>7</v>
      </c>
      <c r="O2951">
        <v>7</v>
      </c>
      <c r="P2951">
        <v>4</v>
      </c>
      <c r="Q2951">
        <v>2</v>
      </c>
      <c r="R2951">
        <v>32.950000000000003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H2951">
        <v>32.950000000000003</v>
      </c>
    </row>
    <row r="2952" spans="1:34" x14ac:dyDescent="0.3">
      <c r="A2952" s="4">
        <v>3166</v>
      </c>
      <c r="B2952" s="5">
        <v>2945</v>
      </c>
      <c r="C2952">
        <v>7375</v>
      </c>
      <c r="D2952" t="s">
        <v>737</v>
      </c>
      <c r="E2952" t="s">
        <v>100</v>
      </c>
      <c r="F2952" t="s">
        <v>927</v>
      </c>
      <c r="G2952" t="s">
        <v>16103</v>
      </c>
      <c r="H2952">
        <v>19.95</v>
      </c>
      <c r="I2952">
        <v>0</v>
      </c>
      <c r="J2952">
        <v>0</v>
      </c>
      <c r="K2952">
        <v>0</v>
      </c>
      <c r="L2952">
        <v>7</v>
      </c>
      <c r="O2952">
        <v>7</v>
      </c>
      <c r="P2952">
        <v>4</v>
      </c>
      <c r="Q2952">
        <v>2</v>
      </c>
      <c r="R2952">
        <v>32.950000000000003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H2952">
        <v>32.950000000000003</v>
      </c>
    </row>
    <row r="2953" spans="1:34" x14ac:dyDescent="0.3">
      <c r="A2953" s="4">
        <v>3167</v>
      </c>
      <c r="B2953" s="5">
        <v>2946</v>
      </c>
      <c r="C2953">
        <v>5712</v>
      </c>
      <c r="D2953" t="s">
        <v>16104</v>
      </c>
      <c r="E2953" t="s">
        <v>516</v>
      </c>
      <c r="F2953" t="s">
        <v>136</v>
      </c>
      <c r="G2953" t="s">
        <v>16105</v>
      </c>
      <c r="H2953">
        <v>16.93</v>
      </c>
      <c r="I2953">
        <v>0</v>
      </c>
      <c r="J2953">
        <v>0</v>
      </c>
      <c r="K2953">
        <v>0</v>
      </c>
      <c r="L2953">
        <v>7</v>
      </c>
      <c r="O2953">
        <v>7</v>
      </c>
      <c r="P2953">
        <v>4</v>
      </c>
      <c r="Q2953">
        <v>2</v>
      </c>
      <c r="R2953">
        <v>29.93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3</v>
      </c>
      <c r="AC2953">
        <v>0</v>
      </c>
      <c r="AH2953">
        <v>32.93</v>
      </c>
    </row>
    <row r="2954" spans="1:34" x14ac:dyDescent="0.3">
      <c r="A2954" s="4">
        <v>3168</v>
      </c>
      <c r="B2954" s="5">
        <v>2947</v>
      </c>
      <c r="C2954">
        <v>14706</v>
      </c>
      <c r="D2954" t="s">
        <v>16106</v>
      </c>
      <c r="E2954" t="s">
        <v>29</v>
      </c>
      <c r="F2954" t="s">
        <v>136</v>
      </c>
      <c r="G2954" t="s">
        <v>16107</v>
      </c>
      <c r="H2954">
        <v>20.93</v>
      </c>
      <c r="I2954">
        <v>0</v>
      </c>
      <c r="J2954">
        <v>0</v>
      </c>
      <c r="K2954">
        <v>0</v>
      </c>
      <c r="L2954">
        <v>7</v>
      </c>
      <c r="N2954">
        <v>3</v>
      </c>
      <c r="O2954">
        <v>10</v>
      </c>
      <c r="P2954">
        <v>0</v>
      </c>
      <c r="Q2954">
        <v>2</v>
      </c>
      <c r="R2954">
        <v>32.93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H2954">
        <v>32.93</v>
      </c>
    </row>
    <row r="2955" spans="1:34" x14ac:dyDescent="0.3">
      <c r="A2955" s="4">
        <v>3169</v>
      </c>
      <c r="B2955" s="5">
        <v>2948</v>
      </c>
      <c r="C2955">
        <v>1585</v>
      </c>
      <c r="D2955" t="s">
        <v>16108</v>
      </c>
      <c r="E2955" t="s">
        <v>16109</v>
      </c>
      <c r="F2955" t="s">
        <v>136</v>
      </c>
      <c r="G2955" t="s">
        <v>16110</v>
      </c>
      <c r="H2955">
        <v>19.93</v>
      </c>
      <c r="I2955">
        <v>0</v>
      </c>
      <c r="J2955">
        <v>0</v>
      </c>
      <c r="K2955">
        <v>0</v>
      </c>
      <c r="L2955">
        <v>7</v>
      </c>
      <c r="O2955">
        <v>7</v>
      </c>
      <c r="P2955">
        <v>4</v>
      </c>
      <c r="Q2955">
        <v>2</v>
      </c>
      <c r="R2955">
        <v>32.93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H2955">
        <v>32.93</v>
      </c>
    </row>
    <row r="2956" spans="1:34" x14ac:dyDescent="0.3">
      <c r="A2956" s="4">
        <v>3170</v>
      </c>
      <c r="B2956" s="5">
        <v>2949</v>
      </c>
      <c r="C2956">
        <v>4813</v>
      </c>
      <c r="D2956" t="s">
        <v>16111</v>
      </c>
      <c r="E2956" t="s">
        <v>12075</v>
      </c>
      <c r="F2956" t="s">
        <v>343</v>
      </c>
      <c r="G2956" t="s">
        <v>16112</v>
      </c>
      <c r="H2956">
        <v>18.899999999999999</v>
      </c>
      <c r="I2956">
        <v>0</v>
      </c>
      <c r="J2956">
        <v>0</v>
      </c>
      <c r="K2956">
        <v>0</v>
      </c>
      <c r="L2956">
        <v>7</v>
      </c>
      <c r="N2956">
        <v>3</v>
      </c>
      <c r="O2956">
        <v>10</v>
      </c>
      <c r="P2956">
        <v>4</v>
      </c>
      <c r="Q2956">
        <v>0</v>
      </c>
      <c r="R2956">
        <v>32.9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H2956">
        <v>32.9</v>
      </c>
    </row>
    <row r="2957" spans="1:34" x14ac:dyDescent="0.3">
      <c r="A2957" s="4">
        <v>3171</v>
      </c>
      <c r="B2957" s="5">
        <v>2950</v>
      </c>
      <c r="C2957">
        <v>1933</v>
      </c>
      <c r="D2957" t="s">
        <v>1129</v>
      </c>
      <c r="E2957" t="s">
        <v>349</v>
      </c>
      <c r="F2957" t="s">
        <v>343</v>
      </c>
      <c r="G2957" t="s">
        <v>16113</v>
      </c>
      <c r="H2957">
        <v>18.899999999999999</v>
      </c>
      <c r="I2957">
        <v>0</v>
      </c>
      <c r="J2957">
        <v>0</v>
      </c>
      <c r="K2957">
        <v>0</v>
      </c>
      <c r="L2957">
        <v>7</v>
      </c>
      <c r="N2957">
        <v>3</v>
      </c>
      <c r="O2957">
        <v>10</v>
      </c>
      <c r="P2957">
        <v>4</v>
      </c>
      <c r="Q2957">
        <v>0</v>
      </c>
      <c r="R2957">
        <v>32.9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H2957">
        <v>32.9</v>
      </c>
    </row>
    <row r="2958" spans="1:34" x14ac:dyDescent="0.3">
      <c r="A2958" s="4">
        <v>3172</v>
      </c>
      <c r="B2958" s="5">
        <v>2951</v>
      </c>
      <c r="C2958">
        <v>10171</v>
      </c>
      <c r="D2958" t="s">
        <v>16114</v>
      </c>
      <c r="E2958" t="s">
        <v>132</v>
      </c>
      <c r="F2958" t="s">
        <v>214</v>
      </c>
      <c r="G2958" t="s">
        <v>16115</v>
      </c>
      <c r="H2958">
        <v>20.88</v>
      </c>
      <c r="I2958">
        <v>0</v>
      </c>
      <c r="J2958">
        <v>0</v>
      </c>
      <c r="K2958">
        <v>0</v>
      </c>
      <c r="L2958">
        <v>7</v>
      </c>
      <c r="M2958">
        <v>5</v>
      </c>
      <c r="O2958">
        <v>12</v>
      </c>
      <c r="P2958">
        <v>0</v>
      </c>
      <c r="Q2958">
        <v>0</v>
      </c>
      <c r="R2958">
        <v>32.880000000000003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H2958">
        <v>32.880000000000003</v>
      </c>
    </row>
    <row r="2959" spans="1:34" x14ac:dyDescent="0.3">
      <c r="A2959" s="4">
        <v>3173</v>
      </c>
      <c r="B2959" s="5">
        <v>2952</v>
      </c>
      <c r="C2959">
        <v>2610</v>
      </c>
      <c r="D2959" t="s">
        <v>16116</v>
      </c>
      <c r="E2959" t="s">
        <v>88</v>
      </c>
      <c r="F2959" t="s">
        <v>55</v>
      </c>
      <c r="G2959" t="s">
        <v>16117</v>
      </c>
      <c r="H2959">
        <v>18.88</v>
      </c>
      <c r="I2959">
        <v>7</v>
      </c>
      <c r="J2959">
        <v>0</v>
      </c>
      <c r="K2959">
        <v>0</v>
      </c>
      <c r="L2959">
        <v>7</v>
      </c>
      <c r="O2959">
        <v>7</v>
      </c>
      <c r="P2959">
        <v>0</v>
      </c>
      <c r="Q2959">
        <v>0</v>
      </c>
      <c r="R2959">
        <v>32.880000000000003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H2959">
        <v>32.880000000000003</v>
      </c>
    </row>
    <row r="2960" spans="1:34" x14ac:dyDescent="0.3">
      <c r="A2960" s="4">
        <v>3174</v>
      </c>
      <c r="B2960" s="5">
        <v>2953</v>
      </c>
      <c r="C2960">
        <v>1588</v>
      </c>
      <c r="D2960" t="s">
        <v>14874</v>
      </c>
      <c r="E2960" t="s">
        <v>29</v>
      </c>
      <c r="F2960" t="s">
        <v>68</v>
      </c>
      <c r="G2960" t="s">
        <v>16118</v>
      </c>
      <c r="H2960">
        <v>21.85</v>
      </c>
      <c r="I2960">
        <v>0</v>
      </c>
      <c r="J2960">
        <v>0</v>
      </c>
      <c r="K2960">
        <v>0</v>
      </c>
      <c r="L2960">
        <v>7</v>
      </c>
      <c r="O2960">
        <v>7</v>
      </c>
      <c r="P2960">
        <v>4</v>
      </c>
      <c r="Q2960">
        <v>0</v>
      </c>
      <c r="R2960">
        <v>32.85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H2960">
        <v>32.85</v>
      </c>
    </row>
    <row r="2961" spans="1:34" x14ac:dyDescent="0.3">
      <c r="A2961" s="4">
        <v>3175</v>
      </c>
      <c r="B2961" s="5">
        <v>2954</v>
      </c>
      <c r="C2961">
        <v>4121</v>
      </c>
      <c r="D2961" t="s">
        <v>16119</v>
      </c>
      <c r="E2961" t="s">
        <v>54</v>
      </c>
      <c r="F2961" t="s">
        <v>30</v>
      </c>
      <c r="G2961" t="s">
        <v>16120</v>
      </c>
      <c r="H2961">
        <v>19.850000000000001</v>
      </c>
      <c r="I2961">
        <v>0</v>
      </c>
      <c r="J2961">
        <v>0</v>
      </c>
      <c r="K2961">
        <v>0</v>
      </c>
      <c r="L2961">
        <v>7</v>
      </c>
      <c r="O2961">
        <v>7</v>
      </c>
      <c r="P2961">
        <v>4</v>
      </c>
      <c r="Q2961">
        <v>2</v>
      </c>
      <c r="R2961">
        <v>32.85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H2961">
        <v>32.85</v>
      </c>
    </row>
    <row r="2962" spans="1:34" x14ac:dyDescent="0.3">
      <c r="A2962" s="4">
        <v>3176</v>
      </c>
      <c r="B2962" s="5">
        <v>2955</v>
      </c>
      <c r="C2962">
        <v>7628</v>
      </c>
      <c r="D2962" t="s">
        <v>60</v>
      </c>
      <c r="E2962" t="s">
        <v>16121</v>
      </c>
      <c r="F2962" t="s">
        <v>38</v>
      </c>
      <c r="G2962" t="s">
        <v>16122</v>
      </c>
      <c r="H2962">
        <v>21.83</v>
      </c>
      <c r="I2962">
        <v>0</v>
      </c>
      <c r="J2962">
        <v>0</v>
      </c>
      <c r="K2962">
        <v>0</v>
      </c>
      <c r="L2962">
        <v>7</v>
      </c>
      <c r="O2962">
        <v>7</v>
      </c>
      <c r="P2962">
        <v>4</v>
      </c>
      <c r="Q2962">
        <v>0</v>
      </c>
      <c r="R2962">
        <v>32.83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H2962">
        <v>32.83</v>
      </c>
    </row>
    <row r="2963" spans="1:34" x14ac:dyDescent="0.3">
      <c r="A2963" s="4">
        <v>3177</v>
      </c>
      <c r="B2963" s="5">
        <v>2956</v>
      </c>
      <c r="C2963">
        <v>5982</v>
      </c>
      <c r="D2963" t="s">
        <v>16123</v>
      </c>
      <c r="E2963" t="s">
        <v>97</v>
      </c>
      <c r="F2963" t="s">
        <v>81</v>
      </c>
      <c r="G2963" t="s">
        <v>16124</v>
      </c>
      <c r="H2963">
        <v>21.8</v>
      </c>
      <c r="I2963">
        <v>0</v>
      </c>
      <c r="J2963">
        <v>0</v>
      </c>
      <c r="K2963">
        <v>0</v>
      </c>
      <c r="L2963">
        <v>7</v>
      </c>
      <c r="O2963">
        <v>7</v>
      </c>
      <c r="P2963">
        <v>4</v>
      </c>
      <c r="Q2963">
        <v>0</v>
      </c>
      <c r="R2963">
        <v>32.799999999999997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H2963">
        <v>32.799999999999997</v>
      </c>
    </row>
    <row r="2964" spans="1:34" x14ac:dyDescent="0.3">
      <c r="A2964" s="4">
        <v>3178</v>
      </c>
      <c r="B2964" s="5">
        <v>2957</v>
      </c>
      <c r="C2964">
        <v>15358</v>
      </c>
      <c r="D2964" t="s">
        <v>16125</v>
      </c>
      <c r="E2964" t="s">
        <v>97</v>
      </c>
      <c r="F2964" t="s">
        <v>38</v>
      </c>
      <c r="G2964" t="s">
        <v>16126</v>
      </c>
      <c r="H2964">
        <v>21.8</v>
      </c>
      <c r="I2964">
        <v>0</v>
      </c>
      <c r="J2964">
        <v>0</v>
      </c>
      <c r="K2964">
        <v>0</v>
      </c>
      <c r="L2964">
        <v>7</v>
      </c>
      <c r="O2964">
        <v>7</v>
      </c>
      <c r="P2964">
        <v>4</v>
      </c>
      <c r="Q2964">
        <v>0</v>
      </c>
      <c r="R2964">
        <v>32.799999999999997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H2964">
        <v>32.799999999999997</v>
      </c>
    </row>
    <row r="2965" spans="1:34" x14ac:dyDescent="0.3">
      <c r="A2965" s="4">
        <v>3179</v>
      </c>
      <c r="B2965" s="5">
        <v>2958</v>
      </c>
      <c r="C2965">
        <v>6077</v>
      </c>
      <c r="D2965" t="s">
        <v>1814</v>
      </c>
      <c r="E2965" t="s">
        <v>16127</v>
      </c>
      <c r="F2965" t="s">
        <v>310</v>
      </c>
      <c r="G2965" t="s">
        <v>16128</v>
      </c>
      <c r="H2965">
        <v>20.78</v>
      </c>
      <c r="I2965">
        <v>0</v>
      </c>
      <c r="J2965">
        <v>0</v>
      </c>
      <c r="K2965">
        <v>0</v>
      </c>
      <c r="M2965">
        <v>5</v>
      </c>
      <c r="O2965">
        <v>5</v>
      </c>
      <c r="P2965">
        <v>4</v>
      </c>
      <c r="Q2965">
        <v>0</v>
      </c>
      <c r="R2965">
        <v>29.78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3</v>
      </c>
      <c r="AC2965">
        <v>0</v>
      </c>
      <c r="AH2965">
        <v>32.78</v>
      </c>
    </row>
    <row r="2966" spans="1:34" x14ac:dyDescent="0.3">
      <c r="A2966" s="4">
        <v>3180</v>
      </c>
      <c r="B2966" s="5">
        <v>2959</v>
      </c>
      <c r="C2966">
        <v>6833</v>
      </c>
      <c r="D2966" t="s">
        <v>9110</v>
      </c>
      <c r="E2966" t="s">
        <v>1280</v>
      </c>
      <c r="F2966" t="s">
        <v>30</v>
      </c>
      <c r="G2966" t="s">
        <v>16129</v>
      </c>
      <c r="H2966">
        <v>20.78</v>
      </c>
      <c r="I2966">
        <v>0</v>
      </c>
      <c r="J2966">
        <v>0</v>
      </c>
      <c r="K2966">
        <v>0</v>
      </c>
      <c r="L2966">
        <v>7</v>
      </c>
      <c r="M2966">
        <v>5</v>
      </c>
      <c r="O2966">
        <v>12</v>
      </c>
      <c r="P2966">
        <v>0</v>
      </c>
      <c r="Q2966">
        <v>0</v>
      </c>
      <c r="R2966">
        <v>32.78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H2966">
        <v>32.78</v>
      </c>
    </row>
    <row r="2967" spans="1:34" x14ac:dyDescent="0.3">
      <c r="A2967" s="4">
        <v>3181</v>
      </c>
      <c r="B2967" s="5">
        <v>2960</v>
      </c>
      <c r="C2967">
        <v>2753</v>
      </c>
      <c r="D2967" t="s">
        <v>16130</v>
      </c>
      <c r="E2967" t="s">
        <v>29</v>
      </c>
      <c r="F2967" t="s">
        <v>298</v>
      </c>
      <c r="G2967" t="s">
        <v>16131</v>
      </c>
      <c r="H2967">
        <v>18.78</v>
      </c>
      <c r="I2967">
        <v>0</v>
      </c>
      <c r="J2967">
        <v>0</v>
      </c>
      <c r="K2967">
        <v>0</v>
      </c>
      <c r="L2967">
        <v>7</v>
      </c>
      <c r="N2967">
        <v>3</v>
      </c>
      <c r="O2967">
        <v>10</v>
      </c>
      <c r="P2967">
        <v>4</v>
      </c>
      <c r="Q2967">
        <v>0</v>
      </c>
      <c r="R2967">
        <v>32.78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H2967">
        <v>32.78</v>
      </c>
    </row>
    <row r="2968" spans="1:34" x14ac:dyDescent="0.3">
      <c r="A2968" s="4">
        <v>3182</v>
      </c>
      <c r="B2968" s="5">
        <v>2961</v>
      </c>
      <c r="C2968">
        <v>1528</v>
      </c>
      <c r="D2968" t="s">
        <v>16132</v>
      </c>
      <c r="E2968" t="s">
        <v>255</v>
      </c>
      <c r="F2968" t="s">
        <v>17</v>
      </c>
      <c r="G2968" t="s">
        <v>16133</v>
      </c>
      <c r="H2968">
        <v>18.78</v>
      </c>
      <c r="I2968">
        <v>0</v>
      </c>
      <c r="J2968">
        <v>0</v>
      </c>
      <c r="K2968">
        <v>0</v>
      </c>
      <c r="L2968">
        <v>7</v>
      </c>
      <c r="N2968">
        <v>3</v>
      </c>
      <c r="O2968">
        <v>10</v>
      </c>
      <c r="P2968">
        <v>4</v>
      </c>
      <c r="Q2968">
        <v>0</v>
      </c>
      <c r="R2968">
        <v>32.78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H2968">
        <v>32.78</v>
      </c>
    </row>
    <row r="2969" spans="1:34" x14ac:dyDescent="0.3">
      <c r="A2969" s="4">
        <v>3183</v>
      </c>
      <c r="B2969" s="5">
        <v>2962</v>
      </c>
      <c r="C2969">
        <v>2513</v>
      </c>
      <c r="D2969" t="s">
        <v>1590</v>
      </c>
      <c r="E2969" t="s">
        <v>166</v>
      </c>
      <c r="F2969" t="s">
        <v>38</v>
      </c>
      <c r="G2969" t="s">
        <v>16134</v>
      </c>
      <c r="H2969">
        <v>18.78</v>
      </c>
      <c r="I2969">
        <v>0</v>
      </c>
      <c r="J2969">
        <v>0</v>
      </c>
      <c r="K2969">
        <v>0</v>
      </c>
      <c r="L2969">
        <v>7</v>
      </c>
      <c r="N2969">
        <v>3</v>
      </c>
      <c r="O2969">
        <v>10</v>
      </c>
      <c r="P2969">
        <v>4</v>
      </c>
      <c r="Q2969">
        <v>0</v>
      </c>
      <c r="R2969">
        <v>32.78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H2969">
        <v>32.78</v>
      </c>
    </row>
    <row r="2970" spans="1:34" x14ac:dyDescent="0.3">
      <c r="A2970" s="4">
        <v>3184</v>
      </c>
      <c r="B2970" s="5">
        <v>2963</v>
      </c>
      <c r="C2970">
        <v>6439</v>
      </c>
      <c r="D2970" t="s">
        <v>16135</v>
      </c>
      <c r="E2970" t="s">
        <v>178</v>
      </c>
      <c r="F2970" t="s">
        <v>442</v>
      </c>
      <c r="G2970" t="s">
        <v>16136</v>
      </c>
      <c r="H2970">
        <v>18.78</v>
      </c>
      <c r="I2970">
        <v>0</v>
      </c>
      <c r="J2970">
        <v>0</v>
      </c>
      <c r="K2970">
        <v>0</v>
      </c>
      <c r="L2970">
        <v>7</v>
      </c>
      <c r="N2970">
        <v>3</v>
      </c>
      <c r="O2970">
        <v>10</v>
      </c>
      <c r="P2970">
        <v>4</v>
      </c>
      <c r="Q2970">
        <v>0</v>
      </c>
      <c r="R2970">
        <v>32.78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H2970">
        <v>32.78</v>
      </c>
    </row>
    <row r="2971" spans="1:34" x14ac:dyDescent="0.3">
      <c r="A2971" s="4">
        <v>3185</v>
      </c>
      <c r="B2971" s="5">
        <v>2964</v>
      </c>
      <c r="C2971">
        <v>13962</v>
      </c>
      <c r="D2971" t="s">
        <v>2609</v>
      </c>
      <c r="E2971" t="s">
        <v>3775</v>
      </c>
      <c r="F2971" t="s">
        <v>17</v>
      </c>
      <c r="G2971" t="s">
        <v>16137</v>
      </c>
      <c r="H2971">
        <v>18.78</v>
      </c>
      <c r="I2971">
        <v>0</v>
      </c>
      <c r="J2971">
        <v>0</v>
      </c>
      <c r="K2971">
        <v>0</v>
      </c>
      <c r="L2971">
        <v>14</v>
      </c>
      <c r="O2971">
        <v>14</v>
      </c>
      <c r="P2971">
        <v>0</v>
      </c>
      <c r="Q2971">
        <v>0</v>
      </c>
      <c r="R2971">
        <v>32.78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H2971">
        <v>32.78</v>
      </c>
    </row>
    <row r="2972" spans="1:34" x14ac:dyDescent="0.3">
      <c r="A2972" s="4">
        <v>3186</v>
      </c>
      <c r="B2972" s="5">
        <v>2965</v>
      </c>
      <c r="C2972">
        <v>9234</v>
      </c>
      <c r="D2972" t="s">
        <v>16138</v>
      </c>
      <c r="E2972" t="s">
        <v>29</v>
      </c>
      <c r="F2972" t="s">
        <v>68</v>
      </c>
      <c r="G2972" t="s">
        <v>16139</v>
      </c>
      <c r="H2972">
        <v>16.78</v>
      </c>
      <c r="I2972">
        <v>0</v>
      </c>
      <c r="J2972">
        <v>0</v>
      </c>
      <c r="K2972">
        <v>0</v>
      </c>
      <c r="L2972">
        <v>7</v>
      </c>
      <c r="N2972">
        <v>3</v>
      </c>
      <c r="O2972">
        <v>10</v>
      </c>
      <c r="P2972">
        <v>4</v>
      </c>
      <c r="Q2972">
        <v>2</v>
      </c>
      <c r="R2972">
        <v>32.78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H2972">
        <v>32.78</v>
      </c>
    </row>
    <row r="2973" spans="1:34" x14ac:dyDescent="0.3">
      <c r="A2973" s="4">
        <v>3187</v>
      </c>
      <c r="B2973" s="5">
        <v>2966</v>
      </c>
      <c r="C2973">
        <v>4392</v>
      </c>
      <c r="D2973" t="s">
        <v>15681</v>
      </c>
      <c r="E2973" t="s">
        <v>182</v>
      </c>
      <c r="F2973" t="s">
        <v>20</v>
      </c>
      <c r="G2973" t="s">
        <v>16140</v>
      </c>
      <c r="H2973">
        <v>16.78</v>
      </c>
      <c r="I2973">
        <v>0</v>
      </c>
      <c r="J2973">
        <v>0</v>
      </c>
      <c r="K2973">
        <v>0</v>
      </c>
      <c r="L2973">
        <v>7</v>
      </c>
      <c r="M2973">
        <v>5</v>
      </c>
      <c r="O2973">
        <v>12</v>
      </c>
      <c r="P2973">
        <v>4</v>
      </c>
      <c r="Q2973">
        <v>0</v>
      </c>
      <c r="R2973">
        <v>32.78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H2973">
        <v>32.78</v>
      </c>
    </row>
    <row r="2974" spans="1:34" x14ac:dyDescent="0.3">
      <c r="A2974" s="4">
        <v>3188</v>
      </c>
      <c r="B2974" s="5">
        <v>2967</v>
      </c>
      <c r="C2974">
        <v>13977</v>
      </c>
      <c r="D2974" t="s">
        <v>16141</v>
      </c>
      <c r="E2974" t="s">
        <v>16142</v>
      </c>
      <c r="F2974" t="s">
        <v>20</v>
      </c>
      <c r="G2974" t="s">
        <v>16143</v>
      </c>
      <c r="H2974">
        <v>21.75</v>
      </c>
      <c r="I2974">
        <v>0</v>
      </c>
      <c r="J2974">
        <v>0</v>
      </c>
      <c r="K2974">
        <v>0</v>
      </c>
      <c r="L2974">
        <v>7</v>
      </c>
      <c r="O2974">
        <v>7</v>
      </c>
      <c r="P2974">
        <v>4</v>
      </c>
      <c r="Q2974">
        <v>0</v>
      </c>
      <c r="R2974">
        <v>32.75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H2974">
        <v>32.75</v>
      </c>
    </row>
    <row r="2975" spans="1:34" x14ac:dyDescent="0.3">
      <c r="A2975" s="4">
        <v>3189</v>
      </c>
      <c r="B2975" s="5">
        <v>2968</v>
      </c>
      <c r="C2975">
        <v>12270</v>
      </c>
      <c r="D2975" t="s">
        <v>16144</v>
      </c>
      <c r="E2975" t="s">
        <v>110</v>
      </c>
      <c r="F2975" t="s">
        <v>20</v>
      </c>
      <c r="G2975" t="s">
        <v>16145</v>
      </c>
      <c r="H2975">
        <v>21.75</v>
      </c>
      <c r="I2975">
        <v>0</v>
      </c>
      <c r="J2975">
        <v>0</v>
      </c>
      <c r="K2975">
        <v>0</v>
      </c>
      <c r="L2975">
        <v>7</v>
      </c>
      <c r="O2975">
        <v>7</v>
      </c>
      <c r="P2975">
        <v>4</v>
      </c>
      <c r="Q2975">
        <v>0</v>
      </c>
      <c r="R2975">
        <v>32.75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H2975">
        <v>32.75</v>
      </c>
    </row>
    <row r="2976" spans="1:34" x14ac:dyDescent="0.3">
      <c r="A2976" s="4">
        <v>3190</v>
      </c>
      <c r="B2976" s="5">
        <v>2969</v>
      </c>
      <c r="C2976">
        <v>3490</v>
      </c>
      <c r="D2976" t="s">
        <v>16146</v>
      </c>
      <c r="E2976" t="s">
        <v>439</v>
      </c>
      <c r="F2976" t="s">
        <v>17</v>
      </c>
      <c r="G2976" t="s">
        <v>16147</v>
      </c>
      <c r="H2976">
        <v>20.75</v>
      </c>
      <c r="I2976">
        <v>0</v>
      </c>
      <c r="J2976">
        <v>0</v>
      </c>
      <c r="K2976">
        <v>0</v>
      </c>
      <c r="L2976">
        <v>7</v>
      </c>
      <c r="M2976">
        <v>5</v>
      </c>
      <c r="O2976">
        <v>12</v>
      </c>
      <c r="P2976">
        <v>0</v>
      </c>
      <c r="Q2976">
        <v>0</v>
      </c>
      <c r="R2976">
        <v>32.75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H2976">
        <v>32.75</v>
      </c>
    </row>
    <row r="2977" spans="1:34" x14ac:dyDescent="0.3">
      <c r="A2977" s="4">
        <v>3191</v>
      </c>
      <c r="B2977" s="5">
        <v>2970</v>
      </c>
      <c r="C2977">
        <v>1258</v>
      </c>
      <c r="D2977" t="s">
        <v>16148</v>
      </c>
      <c r="E2977" t="s">
        <v>97</v>
      </c>
      <c r="F2977" t="s">
        <v>442</v>
      </c>
      <c r="G2977" t="s">
        <v>16149</v>
      </c>
      <c r="H2977">
        <v>21.73</v>
      </c>
      <c r="I2977">
        <v>0</v>
      </c>
      <c r="J2977">
        <v>0</v>
      </c>
      <c r="K2977">
        <v>0</v>
      </c>
      <c r="L2977">
        <v>7</v>
      </c>
      <c r="O2977">
        <v>7</v>
      </c>
      <c r="P2977">
        <v>4</v>
      </c>
      <c r="Q2977">
        <v>0</v>
      </c>
      <c r="R2977">
        <v>32.729999999999997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H2977">
        <v>32.729999999999997</v>
      </c>
    </row>
    <row r="2978" spans="1:34" x14ac:dyDescent="0.3">
      <c r="A2978" s="4">
        <v>3192</v>
      </c>
      <c r="B2978" s="5">
        <v>2971</v>
      </c>
      <c r="C2978">
        <v>10793</v>
      </c>
      <c r="D2978" t="s">
        <v>16150</v>
      </c>
      <c r="E2978" t="s">
        <v>2432</v>
      </c>
      <c r="F2978" t="s">
        <v>16151</v>
      </c>
      <c r="G2978" t="s">
        <v>16152</v>
      </c>
      <c r="H2978">
        <v>17.7</v>
      </c>
      <c r="I2978">
        <v>0</v>
      </c>
      <c r="J2978">
        <v>0</v>
      </c>
      <c r="K2978">
        <v>0</v>
      </c>
      <c r="N2978">
        <v>3</v>
      </c>
      <c r="O2978">
        <v>3</v>
      </c>
      <c r="P2978">
        <v>4</v>
      </c>
      <c r="Q2978">
        <v>2</v>
      </c>
      <c r="R2978">
        <v>26.7</v>
      </c>
      <c r="S2978">
        <v>6</v>
      </c>
      <c r="T2978">
        <v>6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6</v>
      </c>
      <c r="AB2978">
        <v>0</v>
      </c>
      <c r="AC2978">
        <v>0</v>
      </c>
      <c r="AH2978">
        <v>32.700000000000003</v>
      </c>
    </row>
    <row r="2979" spans="1:34" x14ac:dyDescent="0.3">
      <c r="A2979" s="4">
        <v>3193</v>
      </c>
      <c r="B2979" s="5">
        <v>2972</v>
      </c>
      <c r="C2979">
        <v>8394</v>
      </c>
      <c r="D2979" t="s">
        <v>16153</v>
      </c>
      <c r="E2979" t="s">
        <v>161</v>
      </c>
      <c r="F2979" t="s">
        <v>190</v>
      </c>
      <c r="G2979" t="s">
        <v>16154</v>
      </c>
      <c r="H2979">
        <v>21.68</v>
      </c>
      <c r="I2979">
        <v>0</v>
      </c>
      <c r="J2979">
        <v>0</v>
      </c>
      <c r="K2979">
        <v>0</v>
      </c>
      <c r="L2979">
        <v>7</v>
      </c>
      <c r="O2979">
        <v>7</v>
      </c>
      <c r="P2979">
        <v>4</v>
      </c>
      <c r="Q2979">
        <v>0</v>
      </c>
      <c r="R2979">
        <v>32.68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H2979">
        <v>32.68</v>
      </c>
    </row>
    <row r="2980" spans="1:34" x14ac:dyDescent="0.3">
      <c r="A2980" s="4">
        <v>3194</v>
      </c>
      <c r="B2980" s="5">
        <v>2973</v>
      </c>
      <c r="C2980">
        <v>5080</v>
      </c>
      <c r="D2980" t="s">
        <v>6054</v>
      </c>
      <c r="E2980" t="s">
        <v>41</v>
      </c>
      <c r="F2980" t="s">
        <v>30</v>
      </c>
      <c r="G2980" t="s">
        <v>16155</v>
      </c>
      <c r="H2980">
        <v>19.68</v>
      </c>
      <c r="I2980">
        <v>0</v>
      </c>
      <c r="J2980">
        <v>0</v>
      </c>
      <c r="K2980">
        <v>0</v>
      </c>
      <c r="L2980">
        <v>7</v>
      </c>
      <c r="O2980">
        <v>7</v>
      </c>
      <c r="P2980">
        <v>4</v>
      </c>
      <c r="Q2980">
        <v>2</v>
      </c>
      <c r="R2980">
        <v>32.68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H2980">
        <v>32.68</v>
      </c>
    </row>
    <row r="2981" spans="1:34" x14ac:dyDescent="0.3">
      <c r="A2981" s="4">
        <v>3195</v>
      </c>
      <c r="B2981" s="5">
        <v>2974</v>
      </c>
      <c r="C2981">
        <v>10417</v>
      </c>
      <c r="D2981" t="s">
        <v>16156</v>
      </c>
      <c r="E2981" t="s">
        <v>132</v>
      </c>
      <c r="F2981" t="s">
        <v>38</v>
      </c>
      <c r="G2981" t="s">
        <v>16157</v>
      </c>
      <c r="H2981">
        <v>19.68</v>
      </c>
      <c r="I2981">
        <v>0</v>
      </c>
      <c r="J2981">
        <v>0</v>
      </c>
      <c r="K2981">
        <v>0</v>
      </c>
      <c r="L2981">
        <v>7</v>
      </c>
      <c r="O2981">
        <v>7</v>
      </c>
      <c r="P2981">
        <v>4</v>
      </c>
      <c r="Q2981">
        <v>2</v>
      </c>
      <c r="R2981">
        <v>32.68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H2981">
        <v>32.68</v>
      </c>
    </row>
    <row r="2982" spans="1:34" x14ac:dyDescent="0.3">
      <c r="A2982" s="4">
        <v>3196</v>
      </c>
      <c r="B2982" s="5">
        <v>2975</v>
      </c>
      <c r="C2982">
        <v>8713</v>
      </c>
      <c r="D2982" t="s">
        <v>2043</v>
      </c>
      <c r="E2982" t="s">
        <v>16158</v>
      </c>
      <c r="F2982" t="s">
        <v>17</v>
      </c>
      <c r="G2982" t="s">
        <v>16159</v>
      </c>
      <c r="H2982">
        <v>17.649999999999999</v>
      </c>
      <c r="I2982">
        <v>0</v>
      </c>
      <c r="J2982">
        <v>0</v>
      </c>
      <c r="K2982">
        <v>0</v>
      </c>
      <c r="M2982">
        <v>5</v>
      </c>
      <c r="O2982">
        <v>5</v>
      </c>
      <c r="P2982">
        <v>4</v>
      </c>
      <c r="Q2982">
        <v>0</v>
      </c>
      <c r="R2982">
        <v>26.65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6</v>
      </c>
      <c r="AC2982">
        <v>0</v>
      </c>
      <c r="AH2982">
        <v>32.65</v>
      </c>
    </row>
    <row r="2983" spans="1:34" x14ac:dyDescent="0.3">
      <c r="A2983" s="4">
        <v>3197</v>
      </c>
      <c r="B2983" s="5">
        <v>2976</v>
      </c>
      <c r="C2983">
        <v>13433</v>
      </c>
      <c r="D2983" t="s">
        <v>775</v>
      </c>
      <c r="E2983" t="s">
        <v>29</v>
      </c>
      <c r="F2983" t="s">
        <v>16160</v>
      </c>
      <c r="G2983" t="s">
        <v>16161</v>
      </c>
      <c r="H2983">
        <v>18.63</v>
      </c>
      <c r="I2983">
        <v>0</v>
      </c>
      <c r="J2983">
        <v>0</v>
      </c>
      <c r="K2983">
        <v>0</v>
      </c>
      <c r="L2983">
        <v>7</v>
      </c>
      <c r="N2983">
        <v>3</v>
      </c>
      <c r="O2983">
        <v>10</v>
      </c>
      <c r="P2983">
        <v>4</v>
      </c>
      <c r="Q2983">
        <v>0</v>
      </c>
      <c r="R2983">
        <v>32.630000000000003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H2983">
        <v>32.630000000000003</v>
      </c>
    </row>
    <row r="2984" spans="1:34" x14ac:dyDescent="0.3">
      <c r="A2984" s="4">
        <v>3198</v>
      </c>
      <c r="B2984" s="5">
        <v>2977</v>
      </c>
      <c r="C2984">
        <v>2340</v>
      </c>
      <c r="D2984" t="s">
        <v>9971</v>
      </c>
      <c r="E2984" t="s">
        <v>97</v>
      </c>
      <c r="F2984" t="s">
        <v>1526</v>
      </c>
      <c r="G2984" t="s">
        <v>16162</v>
      </c>
      <c r="H2984">
        <v>18.63</v>
      </c>
      <c r="I2984">
        <v>0</v>
      </c>
      <c r="J2984">
        <v>0</v>
      </c>
      <c r="K2984">
        <v>0</v>
      </c>
      <c r="L2984">
        <v>7</v>
      </c>
      <c r="N2984">
        <v>3</v>
      </c>
      <c r="O2984">
        <v>10</v>
      </c>
      <c r="P2984">
        <v>4</v>
      </c>
      <c r="Q2984">
        <v>0</v>
      </c>
      <c r="R2984">
        <v>32.630000000000003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H2984">
        <v>32.630000000000003</v>
      </c>
    </row>
    <row r="2985" spans="1:34" x14ac:dyDescent="0.3">
      <c r="A2985" s="4">
        <v>3199</v>
      </c>
      <c r="B2985" s="5">
        <v>2978</v>
      </c>
      <c r="C2985">
        <v>1643</v>
      </c>
      <c r="D2985" t="s">
        <v>16163</v>
      </c>
      <c r="E2985" t="s">
        <v>166</v>
      </c>
      <c r="F2985" t="s">
        <v>136</v>
      </c>
      <c r="G2985" t="s">
        <v>16164</v>
      </c>
      <c r="H2985">
        <v>16.63</v>
      </c>
      <c r="I2985">
        <v>0</v>
      </c>
      <c r="J2985">
        <v>0</v>
      </c>
      <c r="K2985">
        <v>0</v>
      </c>
      <c r="L2985">
        <v>7</v>
      </c>
      <c r="N2985">
        <v>3</v>
      </c>
      <c r="O2985">
        <v>10</v>
      </c>
      <c r="P2985">
        <v>4</v>
      </c>
      <c r="Q2985">
        <v>2</v>
      </c>
      <c r="R2985">
        <v>32.630000000000003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H2985">
        <v>32.630000000000003</v>
      </c>
    </row>
    <row r="2986" spans="1:34" x14ac:dyDescent="0.3">
      <c r="A2986" s="4">
        <v>3200</v>
      </c>
      <c r="B2986" s="5">
        <v>2979</v>
      </c>
      <c r="C2986">
        <v>2253</v>
      </c>
      <c r="D2986" t="s">
        <v>10035</v>
      </c>
      <c r="E2986" t="s">
        <v>110</v>
      </c>
      <c r="F2986" t="s">
        <v>2598</v>
      </c>
      <c r="G2986" t="s">
        <v>16165</v>
      </c>
      <c r="H2986">
        <v>17.600000000000001</v>
      </c>
      <c r="I2986">
        <v>0</v>
      </c>
      <c r="J2986">
        <v>0</v>
      </c>
      <c r="K2986">
        <v>0</v>
      </c>
      <c r="N2986">
        <v>3</v>
      </c>
      <c r="O2986">
        <v>3</v>
      </c>
      <c r="P2986">
        <v>4</v>
      </c>
      <c r="Q2986">
        <v>2</v>
      </c>
      <c r="R2986">
        <v>26.6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6</v>
      </c>
      <c r="AC2986">
        <v>0</v>
      </c>
      <c r="AH2986">
        <v>32.6</v>
      </c>
    </row>
    <row r="2987" spans="1:34" x14ac:dyDescent="0.3">
      <c r="A2987" s="4">
        <v>3201</v>
      </c>
      <c r="B2987" s="5">
        <v>2980</v>
      </c>
      <c r="C2987">
        <v>14596</v>
      </c>
      <c r="D2987" t="s">
        <v>2254</v>
      </c>
      <c r="E2987" t="s">
        <v>188</v>
      </c>
      <c r="F2987" t="s">
        <v>52</v>
      </c>
      <c r="G2987" t="s">
        <v>16166</v>
      </c>
      <c r="H2987">
        <v>21.6</v>
      </c>
      <c r="I2987">
        <v>0</v>
      </c>
      <c r="J2987">
        <v>0</v>
      </c>
      <c r="K2987">
        <v>0</v>
      </c>
      <c r="L2987">
        <v>7</v>
      </c>
      <c r="O2987">
        <v>7</v>
      </c>
      <c r="P2987">
        <v>4</v>
      </c>
      <c r="Q2987">
        <v>0</v>
      </c>
      <c r="R2987">
        <v>32.6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H2987">
        <v>32.6</v>
      </c>
    </row>
    <row r="2988" spans="1:34" x14ac:dyDescent="0.3">
      <c r="A2988" s="4">
        <v>3202</v>
      </c>
      <c r="B2988" s="5">
        <v>2981</v>
      </c>
      <c r="C2988">
        <v>12068</v>
      </c>
      <c r="D2988" t="s">
        <v>10495</v>
      </c>
      <c r="E2988" t="s">
        <v>2011</v>
      </c>
      <c r="F2988" t="s">
        <v>38</v>
      </c>
      <c r="G2988" t="s">
        <v>16167</v>
      </c>
      <c r="H2988">
        <v>19.600000000000001</v>
      </c>
      <c r="I2988">
        <v>0</v>
      </c>
      <c r="J2988">
        <v>0</v>
      </c>
      <c r="K2988">
        <v>0</v>
      </c>
      <c r="L2988">
        <v>7</v>
      </c>
      <c r="O2988">
        <v>7</v>
      </c>
      <c r="P2988">
        <v>4</v>
      </c>
      <c r="Q2988">
        <v>2</v>
      </c>
      <c r="R2988">
        <v>32.6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H2988">
        <v>32.6</v>
      </c>
    </row>
    <row r="2989" spans="1:34" x14ac:dyDescent="0.3">
      <c r="A2989" s="4">
        <v>3203</v>
      </c>
      <c r="B2989" s="5">
        <v>2982</v>
      </c>
      <c r="C2989">
        <v>7870</v>
      </c>
      <c r="D2989" t="s">
        <v>13450</v>
      </c>
      <c r="E2989" t="s">
        <v>825</v>
      </c>
      <c r="F2989" t="s">
        <v>190</v>
      </c>
      <c r="G2989" t="s">
        <v>16168</v>
      </c>
      <c r="H2989">
        <v>18.600000000000001</v>
      </c>
      <c r="I2989">
        <v>0</v>
      </c>
      <c r="J2989">
        <v>0</v>
      </c>
      <c r="K2989">
        <v>0</v>
      </c>
      <c r="L2989">
        <v>7</v>
      </c>
      <c r="N2989">
        <v>3</v>
      </c>
      <c r="O2989">
        <v>10</v>
      </c>
      <c r="P2989">
        <v>4</v>
      </c>
      <c r="Q2989">
        <v>0</v>
      </c>
      <c r="R2989">
        <v>32.6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H2989">
        <v>32.6</v>
      </c>
    </row>
    <row r="2990" spans="1:34" x14ac:dyDescent="0.3">
      <c r="A2990" s="4">
        <v>3204</v>
      </c>
      <c r="B2990" s="5">
        <v>2983</v>
      </c>
      <c r="C2990">
        <v>4850</v>
      </c>
      <c r="D2990" t="s">
        <v>7037</v>
      </c>
      <c r="E2990" t="s">
        <v>361</v>
      </c>
      <c r="F2990" t="s">
        <v>343</v>
      </c>
      <c r="G2990" t="s">
        <v>16169</v>
      </c>
      <c r="H2990">
        <v>17.600000000000001</v>
      </c>
      <c r="I2990">
        <v>0</v>
      </c>
      <c r="J2990">
        <v>0</v>
      </c>
      <c r="K2990">
        <v>0</v>
      </c>
      <c r="N2990">
        <v>3</v>
      </c>
      <c r="O2990">
        <v>3</v>
      </c>
      <c r="P2990">
        <v>4</v>
      </c>
      <c r="Q2990">
        <v>2</v>
      </c>
      <c r="R2990">
        <v>26.6</v>
      </c>
      <c r="S2990">
        <v>6</v>
      </c>
      <c r="T2990">
        <v>6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6</v>
      </c>
      <c r="AB2990">
        <v>0</v>
      </c>
      <c r="AC2990">
        <v>0</v>
      </c>
      <c r="AH2990">
        <v>32.6</v>
      </c>
    </row>
    <row r="2991" spans="1:34" x14ac:dyDescent="0.3">
      <c r="A2991" s="4">
        <v>3205</v>
      </c>
      <c r="B2991" s="5">
        <v>2984</v>
      </c>
      <c r="C2991">
        <v>8944</v>
      </c>
      <c r="D2991" t="s">
        <v>16170</v>
      </c>
      <c r="E2991" t="s">
        <v>29</v>
      </c>
      <c r="F2991" t="s">
        <v>243</v>
      </c>
      <c r="G2991" t="s">
        <v>16171</v>
      </c>
      <c r="H2991">
        <v>20.58</v>
      </c>
      <c r="I2991">
        <v>0</v>
      </c>
      <c r="J2991">
        <v>0</v>
      </c>
      <c r="K2991">
        <v>0</v>
      </c>
      <c r="M2991">
        <v>5</v>
      </c>
      <c r="O2991">
        <v>5</v>
      </c>
      <c r="P2991">
        <v>4</v>
      </c>
      <c r="Q2991">
        <v>0</v>
      </c>
      <c r="R2991">
        <v>29.58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3</v>
      </c>
      <c r="AC2991">
        <v>0</v>
      </c>
      <c r="AH2991">
        <v>32.58</v>
      </c>
    </row>
    <row r="2992" spans="1:34" x14ac:dyDescent="0.3">
      <c r="A2992" s="4">
        <v>3206</v>
      </c>
      <c r="B2992" s="5">
        <v>2985</v>
      </c>
      <c r="C2992">
        <v>8336</v>
      </c>
      <c r="D2992" t="s">
        <v>2103</v>
      </c>
      <c r="E2992" t="s">
        <v>213</v>
      </c>
      <c r="F2992" t="s">
        <v>539</v>
      </c>
      <c r="G2992" t="s">
        <v>16172</v>
      </c>
      <c r="H2992">
        <v>19.579999999999998</v>
      </c>
      <c r="I2992">
        <v>0</v>
      </c>
      <c r="J2992">
        <v>0</v>
      </c>
      <c r="K2992">
        <v>0</v>
      </c>
      <c r="L2992">
        <v>7</v>
      </c>
      <c r="O2992">
        <v>7</v>
      </c>
      <c r="P2992">
        <v>4</v>
      </c>
      <c r="Q2992">
        <v>2</v>
      </c>
      <c r="R2992">
        <v>32.58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H2992">
        <v>32.58</v>
      </c>
    </row>
    <row r="2993" spans="1:34" x14ac:dyDescent="0.3">
      <c r="A2993" s="4">
        <v>3207</v>
      </c>
      <c r="B2993" s="5">
        <v>2986</v>
      </c>
      <c r="C2993">
        <v>11223</v>
      </c>
      <c r="D2993" t="s">
        <v>16173</v>
      </c>
      <c r="E2993" t="s">
        <v>88</v>
      </c>
      <c r="F2993" t="s">
        <v>34</v>
      </c>
      <c r="G2993" t="s">
        <v>16174</v>
      </c>
      <c r="H2993">
        <v>15.55</v>
      </c>
      <c r="I2993">
        <v>0</v>
      </c>
      <c r="J2993">
        <v>0</v>
      </c>
      <c r="K2993">
        <v>0</v>
      </c>
      <c r="L2993">
        <v>7</v>
      </c>
      <c r="O2993">
        <v>7</v>
      </c>
      <c r="P2993">
        <v>4</v>
      </c>
      <c r="Q2993">
        <v>0</v>
      </c>
      <c r="R2993">
        <v>26.55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6</v>
      </c>
      <c r="AC2993">
        <v>0</v>
      </c>
      <c r="AH2993">
        <v>32.549999999999997</v>
      </c>
    </row>
    <row r="2994" spans="1:34" x14ac:dyDescent="0.3">
      <c r="A2994" s="4">
        <v>3208</v>
      </c>
      <c r="B2994" s="5">
        <v>2987</v>
      </c>
      <c r="C2994">
        <v>13324</v>
      </c>
      <c r="D2994" t="s">
        <v>16175</v>
      </c>
      <c r="E2994" t="s">
        <v>3523</v>
      </c>
      <c r="F2994" t="s">
        <v>17</v>
      </c>
      <c r="G2994" t="s">
        <v>16176</v>
      </c>
      <c r="H2994">
        <v>18.55</v>
      </c>
      <c r="I2994">
        <v>0</v>
      </c>
      <c r="J2994">
        <v>0</v>
      </c>
      <c r="K2994">
        <v>0</v>
      </c>
      <c r="L2994">
        <v>7</v>
      </c>
      <c r="N2994">
        <v>3</v>
      </c>
      <c r="O2994">
        <v>10</v>
      </c>
      <c r="P2994">
        <v>4</v>
      </c>
      <c r="Q2994">
        <v>0</v>
      </c>
      <c r="R2994">
        <v>32.549999999999997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H2994">
        <v>32.549999999999997</v>
      </c>
    </row>
    <row r="2995" spans="1:34" x14ac:dyDescent="0.3">
      <c r="A2995" s="4">
        <v>3209</v>
      </c>
      <c r="B2995" s="5">
        <v>2988</v>
      </c>
      <c r="C2995">
        <v>14213</v>
      </c>
      <c r="D2995" t="s">
        <v>16177</v>
      </c>
      <c r="E2995" t="s">
        <v>22</v>
      </c>
      <c r="F2995" t="s">
        <v>158</v>
      </c>
      <c r="G2995" t="s">
        <v>16178</v>
      </c>
      <c r="H2995">
        <v>16.55</v>
      </c>
      <c r="I2995">
        <v>0</v>
      </c>
      <c r="J2995">
        <v>0</v>
      </c>
      <c r="K2995">
        <v>0</v>
      </c>
      <c r="L2995">
        <v>7</v>
      </c>
      <c r="M2995">
        <v>5</v>
      </c>
      <c r="O2995">
        <v>12</v>
      </c>
      <c r="P2995">
        <v>4</v>
      </c>
      <c r="Q2995">
        <v>0</v>
      </c>
      <c r="R2995">
        <v>32.549999999999997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H2995">
        <v>32.549999999999997</v>
      </c>
    </row>
    <row r="2996" spans="1:34" x14ac:dyDescent="0.3">
      <c r="A2996" s="4">
        <v>3210</v>
      </c>
      <c r="B2996" s="5">
        <v>2989</v>
      </c>
      <c r="C2996">
        <v>2061</v>
      </c>
      <c r="D2996" t="s">
        <v>16179</v>
      </c>
      <c r="E2996" t="s">
        <v>550</v>
      </c>
      <c r="F2996" t="s">
        <v>243</v>
      </c>
      <c r="G2996" t="s">
        <v>16180</v>
      </c>
      <c r="H2996">
        <v>17.53</v>
      </c>
      <c r="I2996">
        <v>0</v>
      </c>
      <c r="J2996">
        <v>0</v>
      </c>
      <c r="K2996">
        <v>0</v>
      </c>
      <c r="M2996">
        <v>5</v>
      </c>
      <c r="O2996">
        <v>5</v>
      </c>
      <c r="P2996">
        <v>4</v>
      </c>
      <c r="Q2996">
        <v>0</v>
      </c>
      <c r="R2996">
        <v>26.53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6</v>
      </c>
      <c r="AC2996">
        <v>0</v>
      </c>
      <c r="AH2996">
        <v>32.53</v>
      </c>
    </row>
    <row r="2997" spans="1:34" x14ac:dyDescent="0.3">
      <c r="A2997" s="4">
        <v>3211</v>
      </c>
      <c r="B2997" s="5">
        <v>2990</v>
      </c>
      <c r="C2997">
        <v>15708</v>
      </c>
      <c r="D2997" t="s">
        <v>1604</v>
      </c>
      <c r="E2997" t="s">
        <v>16181</v>
      </c>
      <c r="F2997" t="s">
        <v>30</v>
      </c>
      <c r="G2997" t="s">
        <v>16182</v>
      </c>
      <c r="H2997">
        <v>21.53</v>
      </c>
      <c r="I2997">
        <v>0</v>
      </c>
      <c r="J2997">
        <v>0</v>
      </c>
      <c r="K2997">
        <v>0</v>
      </c>
      <c r="L2997">
        <v>7</v>
      </c>
      <c r="O2997">
        <v>7</v>
      </c>
      <c r="P2997">
        <v>4</v>
      </c>
      <c r="Q2997">
        <v>0</v>
      </c>
      <c r="R2997">
        <v>32.53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H2997">
        <v>32.53</v>
      </c>
    </row>
    <row r="2998" spans="1:34" x14ac:dyDescent="0.3">
      <c r="A2998" s="4">
        <v>3212</v>
      </c>
      <c r="B2998" s="5">
        <v>2991</v>
      </c>
      <c r="C2998">
        <v>15179</v>
      </c>
      <c r="D2998" t="s">
        <v>5052</v>
      </c>
      <c r="E2998" t="s">
        <v>744</v>
      </c>
      <c r="F2998" t="s">
        <v>55</v>
      </c>
      <c r="G2998" t="s">
        <v>16183</v>
      </c>
      <c r="H2998">
        <v>18.53</v>
      </c>
      <c r="I2998">
        <v>0</v>
      </c>
      <c r="J2998">
        <v>0</v>
      </c>
      <c r="K2998">
        <v>0</v>
      </c>
      <c r="L2998">
        <v>7</v>
      </c>
      <c r="N2998">
        <v>3</v>
      </c>
      <c r="O2998">
        <v>10</v>
      </c>
      <c r="P2998">
        <v>4</v>
      </c>
      <c r="Q2998">
        <v>0</v>
      </c>
      <c r="R2998">
        <v>32.53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H2998">
        <v>32.53</v>
      </c>
    </row>
    <row r="2999" spans="1:34" x14ac:dyDescent="0.3">
      <c r="A2999" s="4">
        <v>3213</v>
      </c>
      <c r="B2999" s="5">
        <v>2992</v>
      </c>
      <c r="C2999">
        <v>11219</v>
      </c>
      <c r="D2999" t="s">
        <v>16184</v>
      </c>
      <c r="E2999" t="s">
        <v>208</v>
      </c>
      <c r="F2999" t="s">
        <v>158</v>
      </c>
      <c r="G2999" t="s">
        <v>16185</v>
      </c>
      <c r="H2999">
        <v>21.5</v>
      </c>
      <c r="I2999">
        <v>0</v>
      </c>
      <c r="J2999">
        <v>0</v>
      </c>
      <c r="K2999">
        <v>0</v>
      </c>
      <c r="L2999">
        <v>7</v>
      </c>
      <c r="O2999">
        <v>7</v>
      </c>
      <c r="P2999">
        <v>4</v>
      </c>
      <c r="Q2999">
        <v>0</v>
      </c>
      <c r="R2999">
        <v>32.5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H2999">
        <v>32.5</v>
      </c>
    </row>
    <row r="3000" spans="1:34" x14ac:dyDescent="0.3">
      <c r="A3000" s="4">
        <v>3214</v>
      </c>
      <c r="B3000" s="5">
        <v>2993</v>
      </c>
      <c r="C3000">
        <v>6786</v>
      </c>
      <c r="D3000" t="s">
        <v>16186</v>
      </c>
      <c r="E3000" t="s">
        <v>563</v>
      </c>
      <c r="F3000" t="s">
        <v>16187</v>
      </c>
      <c r="G3000" t="s">
        <v>16188</v>
      </c>
      <c r="H3000">
        <v>21.5</v>
      </c>
      <c r="I3000">
        <v>0</v>
      </c>
      <c r="J3000">
        <v>0</v>
      </c>
      <c r="K3000">
        <v>0</v>
      </c>
      <c r="L3000">
        <v>7</v>
      </c>
      <c r="O3000">
        <v>7</v>
      </c>
      <c r="P3000">
        <v>4</v>
      </c>
      <c r="Q3000">
        <v>0</v>
      </c>
      <c r="R3000">
        <v>32.5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H3000">
        <v>32.5</v>
      </c>
    </row>
    <row r="3001" spans="1:34" x14ac:dyDescent="0.3">
      <c r="A3001" s="4">
        <v>3215</v>
      </c>
      <c r="B3001" s="5">
        <v>2994</v>
      </c>
      <c r="C3001">
        <v>680</v>
      </c>
      <c r="D3001" t="s">
        <v>16189</v>
      </c>
      <c r="E3001" t="s">
        <v>104</v>
      </c>
      <c r="F3001" t="s">
        <v>117</v>
      </c>
      <c r="G3001" t="s">
        <v>16190</v>
      </c>
      <c r="H3001">
        <v>19.5</v>
      </c>
      <c r="I3001">
        <v>0</v>
      </c>
      <c r="J3001">
        <v>0</v>
      </c>
      <c r="K3001">
        <v>0</v>
      </c>
      <c r="L3001">
        <v>7</v>
      </c>
      <c r="O3001">
        <v>7</v>
      </c>
      <c r="P3001">
        <v>4</v>
      </c>
      <c r="Q3001">
        <v>2</v>
      </c>
      <c r="R3001">
        <v>32.5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H3001">
        <v>32.5</v>
      </c>
    </row>
    <row r="3002" spans="1:34" x14ac:dyDescent="0.3">
      <c r="A3002" s="4">
        <v>3216</v>
      </c>
      <c r="B3002" s="5">
        <v>2995</v>
      </c>
      <c r="C3002">
        <v>14973</v>
      </c>
      <c r="D3002" t="s">
        <v>3072</v>
      </c>
      <c r="E3002" t="s">
        <v>88</v>
      </c>
      <c r="F3002" t="s">
        <v>30</v>
      </c>
      <c r="G3002" t="s">
        <v>16191</v>
      </c>
      <c r="H3002">
        <v>19.5</v>
      </c>
      <c r="I3002">
        <v>0</v>
      </c>
      <c r="J3002">
        <v>0</v>
      </c>
      <c r="K3002">
        <v>0</v>
      </c>
      <c r="L3002">
        <v>7</v>
      </c>
      <c r="O3002">
        <v>7</v>
      </c>
      <c r="P3002">
        <v>4</v>
      </c>
      <c r="Q3002">
        <v>2</v>
      </c>
      <c r="R3002">
        <v>32.5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H3002">
        <v>32.5</v>
      </c>
    </row>
    <row r="3003" spans="1:34" x14ac:dyDescent="0.3">
      <c r="A3003" s="4">
        <v>3217</v>
      </c>
      <c r="B3003" s="5">
        <v>2996</v>
      </c>
      <c r="C3003">
        <v>7327</v>
      </c>
      <c r="D3003" t="s">
        <v>16192</v>
      </c>
      <c r="E3003" t="s">
        <v>16193</v>
      </c>
      <c r="F3003" t="s">
        <v>20</v>
      </c>
      <c r="G3003" t="s">
        <v>16194</v>
      </c>
      <c r="H3003">
        <v>19.5</v>
      </c>
      <c r="I3003">
        <v>0</v>
      </c>
      <c r="J3003">
        <v>0</v>
      </c>
      <c r="K3003">
        <v>0</v>
      </c>
      <c r="L3003">
        <v>7</v>
      </c>
      <c r="O3003">
        <v>7</v>
      </c>
      <c r="P3003">
        <v>4</v>
      </c>
      <c r="Q3003">
        <v>2</v>
      </c>
      <c r="R3003">
        <v>32.5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H3003">
        <v>32.5</v>
      </c>
    </row>
    <row r="3004" spans="1:34" x14ac:dyDescent="0.3">
      <c r="A3004" s="4">
        <v>3218</v>
      </c>
      <c r="B3004" s="5">
        <v>2997</v>
      </c>
      <c r="C3004">
        <v>1608</v>
      </c>
      <c r="D3004" t="s">
        <v>16195</v>
      </c>
      <c r="E3004" t="s">
        <v>20</v>
      </c>
      <c r="F3004" t="s">
        <v>117</v>
      </c>
      <c r="G3004" t="s">
        <v>16196</v>
      </c>
      <c r="H3004">
        <v>19.5</v>
      </c>
      <c r="I3004">
        <v>0</v>
      </c>
      <c r="J3004">
        <v>0</v>
      </c>
      <c r="K3004">
        <v>0</v>
      </c>
      <c r="L3004">
        <v>7</v>
      </c>
      <c r="O3004">
        <v>7</v>
      </c>
      <c r="P3004">
        <v>4</v>
      </c>
      <c r="Q3004">
        <v>2</v>
      </c>
      <c r="R3004">
        <v>32.5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H3004">
        <v>32.5</v>
      </c>
    </row>
    <row r="3005" spans="1:34" x14ac:dyDescent="0.3">
      <c r="A3005" s="4">
        <v>3219</v>
      </c>
      <c r="B3005" s="5">
        <v>2998</v>
      </c>
      <c r="C3005">
        <v>14997</v>
      </c>
      <c r="D3005" t="s">
        <v>7821</v>
      </c>
      <c r="E3005" t="s">
        <v>16197</v>
      </c>
      <c r="F3005" t="s">
        <v>79</v>
      </c>
      <c r="G3005" t="s">
        <v>16198</v>
      </c>
      <c r="H3005">
        <v>18.5</v>
      </c>
      <c r="I3005">
        <v>0</v>
      </c>
      <c r="J3005">
        <v>0</v>
      </c>
      <c r="K3005">
        <v>0</v>
      </c>
      <c r="L3005">
        <v>7</v>
      </c>
      <c r="N3005">
        <v>3</v>
      </c>
      <c r="O3005">
        <v>10</v>
      </c>
      <c r="P3005">
        <v>4</v>
      </c>
      <c r="Q3005">
        <v>0</v>
      </c>
      <c r="R3005">
        <v>32.5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H3005">
        <v>32.5</v>
      </c>
    </row>
    <row r="3006" spans="1:34" x14ac:dyDescent="0.3">
      <c r="A3006" s="4">
        <v>3220</v>
      </c>
      <c r="B3006" s="5">
        <v>2999</v>
      </c>
      <c r="C3006">
        <v>6271</v>
      </c>
      <c r="D3006" t="s">
        <v>181</v>
      </c>
      <c r="E3006" t="s">
        <v>97</v>
      </c>
      <c r="F3006" t="s">
        <v>20</v>
      </c>
      <c r="G3006" t="s">
        <v>16199</v>
      </c>
      <c r="H3006">
        <v>18.5</v>
      </c>
      <c r="I3006">
        <v>0</v>
      </c>
      <c r="J3006">
        <v>0</v>
      </c>
      <c r="K3006">
        <v>0</v>
      </c>
      <c r="L3006">
        <v>7</v>
      </c>
      <c r="N3006">
        <v>3</v>
      </c>
      <c r="O3006">
        <v>10</v>
      </c>
      <c r="P3006">
        <v>4</v>
      </c>
      <c r="Q3006">
        <v>0</v>
      </c>
      <c r="R3006">
        <v>32.5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H3006">
        <v>32.5</v>
      </c>
    </row>
    <row r="3007" spans="1:34" x14ac:dyDescent="0.3">
      <c r="A3007" s="4">
        <v>3221</v>
      </c>
      <c r="B3007" s="5">
        <v>3000</v>
      </c>
      <c r="C3007">
        <v>9201</v>
      </c>
      <c r="D3007" t="s">
        <v>16200</v>
      </c>
      <c r="E3007" t="s">
        <v>182</v>
      </c>
      <c r="F3007" t="s">
        <v>190</v>
      </c>
      <c r="G3007" t="s">
        <v>16201</v>
      </c>
      <c r="H3007">
        <v>18.5</v>
      </c>
      <c r="I3007">
        <v>0</v>
      </c>
      <c r="J3007">
        <v>0</v>
      </c>
      <c r="K3007">
        <v>0</v>
      </c>
      <c r="L3007">
        <v>7</v>
      </c>
      <c r="M3007">
        <v>5</v>
      </c>
      <c r="O3007">
        <v>12</v>
      </c>
      <c r="P3007">
        <v>0</v>
      </c>
      <c r="Q3007">
        <v>2</v>
      </c>
      <c r="R3007">
        <v>32.5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H3007">
        <v>32.5</v>
      </c>
    </row>
    <row r="3008" spans="1:34" x14ac:dyDescent="0.3">
      <c r="A3008" s="4">
        <v>3222</v>
      </c>
      <c r="B3008" s="5">
        <v>3001</v>
      </c>
      <c r="C3008">
        <v>7703</v>
      </c>
      <c r="D3008" t="s">
        <v>16202</v>
      </c>
      <c r="E3008" t="s">
        <v>79</v>
      </c>
      <c r="F3008" t="s">
        <v>17</v>
      </c>
      <c r="G3008" t="s">
        <v>16203</v>
      </c>
      <c r="H3008">
        <v>12.5</v>
      </c>
      <c r="I3008">
        <v>0</v>
      </c>
      <c r="J3008">
        <v>0</v>
      </c>
      <c r="K3008">
        <v>20</v>
      </c>
      <c r="O3008">
        <v>0</v>
      </c>
      <c r="P3008">
        <v>0</v>
      </c>
      <c r="Q3008">
        <v>0</v>
      </c>
      <c r="R3008">
        <v>32.5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H3008">
        <v>32.5</v>
      </c>
    </row>
    <row r="3009" spans="1:34" x14ac:dyDescent="0.3">
      <c r="A3009" s="4">
        <v>3223</v>
      </c>
      <c r="B3009" s="5">
        <v>3002</v>
      </c>
      <c r="C3009">
        <v>2532</v>
      </c>
      <c r="D3009" t="s">
        <v>1669</v>
      </c>
      <c r="E3009" t="s">
        <v>2234</v>
      </c>
      <c r="F3009" t="s">
        <v>16204</v>
      </c>
      <c r="G3009" t="s">
        <v>16205</v>
      </c>
      <c r="H3009">
        <v>12.5</v>
      </c>
      <c r="I3009">
        <v>0</v>
      </c>
      <c r="J3009">
        <v>0</v>
      </c>
      <c r="K3009">
        <v>20</v>
      </c>
      <c r="O3009">
        <v>0</v>
      </c>
      <c r="P3009">
        <v>0</v>
      </c>
      <c r="Q3009">
        <v>0</v>
      </c>
      <c r="R3009">
        <v>32.5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H3009">
        <v>32.5</v>
      </c>
    </row>
    <row r="3010" spans="1:34" x14ac:dyDescent="0.3">
      <c r="A3010" s="4">
        <v>3224</v>
      </c>
      <c r="B3010" s="5">
        <v>3003</v>
      </c>
      <c r="C3010">
        <v>2143</v>
      </c>
      <c r="D3010" t="s">
        <v>3251</v>
      </c>
      <c r="E3010" t="s">
        <v>16206</v>
      </c>
      <c r="F3010" t="s">
        <v>158</v>
      </c>
      <c r="G3010" t="s">
        <v>16207</v>
      </c>
      <c r="H3010">
        <v>12.5</v>
      </c>
      <c r="I3010">
        <v>0</v>
      </c>
      <c r="J3010">
        <v>0</v>
      </c>
      <c r="K3010">
        <v>20</v>
      </c>
      <c r="O3010">
        <v>0</v>
      </c>
      <c r="P3010">
        <v>0</v>
      </c>
      <c r="Q3010">
        <v>0</v>
      </c>
      <c r="R3010">
        <v>32.5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H3010">
        <v>32.5</v>
      </c>
    </row>
    <row r="3011" spans="1:34" x14ac:dyDescent="0.3">
      <c r="A3011" s="4">
        <v>3225</v>
      </c>
      <c r="B3011" s="5">
        <v>3004</v>
      </c>
      <c r="C3011">
        <v>15064</v>
      </c>
      <c r="D3011" t="s">
        <v>860</v>
      </c>
      <c r="E3011" t="s">
        <v>16208</v>
      </c>
      <c r="F3011" t="s">
        <v>17</v>
      </c>
      <c r="G3011" t="s">
        <v>16209</v>
      </c>
      <c r="H3011">
        <v>17.5</v>
      </c>
      <c r="I3011">
        <v>0</v>
      </c>
      <c r="J3011">
        <v>0</v>
      </c>
      <c r="K3011">
        <v>0</v>
      </c>
      <c r="M3011">
        <v>5</v>
      </c>
      <c r="N3011">
        <v>3</v>
      </c>
      <c r="O3011">
        <v>8</v>
      </c>
      <c r="P3011">
        <v>4</v>
      </c>
      <c r="Q3011">
        <v>0</v>
      </c>
      <c r="R3011">
        <v>29.5</v>
      </c>
      <c r="S3011">
        <v>3</v>
      </c>
      <c r="T3011">
        <v>3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3</v>
      </c>
      <c r="AB3011">
        <v>0</v>
      </c>
      <c r="AC3011">
        <v>0</v>
      </c>
      <c r="AH3011">
        <v>32.5</v>
      </c>
    </row>
    <row r="3012" spans="1:34" x14ac:dyDescent="0.3">
      <c r="A3012" s="4">
        <v>3226</v>
      </c>
      <c r="B3012" s="5">
        <v>3005</v>
      </c>
      <c r="C3012">
        <v>7740</v>
      </c>
      <c r="D3012" t="s">
        <v>16210</v>
      </c>
      <c r="E3012" t="s">
        <v>54</v>
      </c>
      <c r="F3012" t="s">
        <v>81</v>
      </c>
      <c r="G3012" t="s">
        <v>16211</v>
      </c>
      <c r="H3012">
        <v>18.48</v>
      </c>
      <c r="I3012">
        <v>0</v>
      </c>
      <c r="J3012">
        <v>0</v>
      </c>
      <c r="K3012">
        <v>0</v>
      </c>
      <c r="L3012">
        <v>7</v>
      </c>
      <c r="O3012">
        <v>7</v>
      </c>
      <c r="P3012">
        <v>4</v>
      </c>
      <c r="Q3012">
        <v>0</v>
      </c>
      <c r="R3012">
        <v>29.48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3</v>
      </c>
      <c r="AC3012">
        <v>0</v>
      </c>
      <c r="AH3012">
        <v>32.479999999999997</v>
      </c>
    </row>
    <row r="3013" spans="1:34" x14ac:dyDescent="0.3">
      <c r="A3013" s="4">
        <v>3227</v>
      </c>
      <c r="B3013" s="5">
        <v>3006</v>
      </c>
      <c r="C3013">
        <v>12275</v>
      </c>
      <c r="D3013" t="s">
        <v>16212</v>
      </c>
      <c r="E3013" t="s">
        <v>178</v>
      </c>
      <c r="F3013" t="s">
        <v>1225</v>
      </c>
      <c r="G3013" t="s">
        <v>16213</v>
      </c>
      <c r="H3013">
        <v>21.48</v>
      </c>
      <c r="I3013">
        <v>0</v>
      </c>
      <c r="J3013">
        <v>0</v>
      </c>
      <c r="K3013">
        <v>0</v>
      </c>
      <c r="L3013">
        <v>7</v>
      </c>
      <c r="O3013">
        <v>7</v>
      </c>
      <c r="P3013">
        <v>4</v>
      </c>
      <c r="Q3013">
        <v>0</v>
      </c>
      <c r="R3013">
        <v>32.479999999999997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H3013">
        <v>32.479999999999997</v>
      </c>
    </row>
    <row r="3014" spans="1:34" x14ac:dyDescent="0.3">
      <c r="A3014" s="4">
        <v>3228</v>
      </c>
      <c r="B3014" s="5">
        <v>3007</v>
      </c>
      <c r="C3014">
        <v>11754</v>
      </c>
      <c r="D3014" t="s">
        <v>1845</v>
      </c>
      <c r="E3014" t="s">
        <v>255</v>
      </c>
      <c r="F3014" t="s">
        <v>38</v>
      </c>
      <c r="G3014" t="s">
        <v>16214</v>
      </c>
      <c r="H3014">
        <v>21.48</v>
      </c>
      <c r="I3014">
        <v>0</v>
      </c>
      <c r="J3014">
        <v>0</v>
      </c>
      <c r="K3014">
        <v>0</v>
      </c>
      <c r="L3014">
        <v>7</v>
      </c>
      <c r="O3014">
        <v>7</v>
      </c>
      <c r="P3014">
        <v>4</v>
      </c>
      <c r="Q3014">
        <v>0</v>
      </c>
      <c r="R3014">
        <v>32.479999999999997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H3014">
        <v>32.479999999999997</v>
      </c>
    </row>
    <row r="3015" spans="1:34" x14ac:dyDescent="0.3">
      <c r="A3015" s="4">
        <v>3229</v>
      </c>
      <c r="B3015" s="5">
        <v>3008</v>
      </c>
      <c r="C3015">
        <v>13301</v>
      </c>
      <c r="D3015" t="s">
        <v>2109</v>
      </c>
      <c r="E3015" t="s">
        <v>16215</v>
      </c>
      <c r="F3015" t="s">
        <v>17</v>
      </c>
      <c r="G3015" t="s">
        <v>16216</v>
      </c>
      <c r="H3015">
        <v>16.48</v>
      </c>
      <c r="I3015">
        <v>0</v>
      </c>
      <c r="J3015">
        <v>0</v>
      </c>
      <c r="K3015">
        <v>0</v>
      </c>
      <c r="L3015">
        <v>7</v>
      </c>
      <c r="O3015">
        <v>7</v>
      </c>
      <c r="P3015">
        <v>4</v>
      </c>
      <c r="Q3015">
        <v>2</v>
      </c>
      <c r="R3015">
        <v>29.48</v>
      </c>
      <c r="S3015">
        <v>3</v>
      </c>
      <c r="T3015">
        <v>3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3</v>
      </c>
      <c r="AB3015">
        <v>0</v>
      </c>
      <c r="AC3015">
        <v>0</v>
      </c>
      <c r="AH3015">
        <v>32.479999999999997</v>
      </c>
    </row>
    <row r="3016" spans="1:34" x14ac:dyDescent="0.3">
      <c r="A3016" s="4">
        <v>3230</v>
      </c>
      <c r="B3016" s="5">
        <v>3009</v>
      </c>
      <c r="C3016">
        <v>5881</v>
      </c>
      <c r="D3016" t="s">
        <v>16217</v>
      </c>
      <c r="E3016" t="s">
        <v>41</v>
      </c>
      <c r="F3016" t="s">
        <v>30</v>
      </c>
      <c r="G3016" t="s">
        <v>16218</v>
      </c>
      <c r="H3016">
        <v>21.45</v>
      </c>
      <c r="I3016">
        <v>0</v>
      </c>
      <c r="J3016">
        <v>0</v>
      </c>
      <c r="K3016">
        <v>0</v>
      </c>
      <c r="L3016">
        <v>7</v>
      </c>
      <c r="O3016">
        <v>7</v>
      </c>
      <c r="P3016">
        <v>4</v>
      </c>
      <c r="Q3016">
        <v>0</v>
      </c>
      <c r="R3016">
        <v>32.450000000000003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H3016">
        <v>32.450000000000003</v>
      </c>
    </row>
    <row r="3017" spans="1:34" x14ac:dyDescent="0.3">
      <c r="A3017" s="4">
        <v>3231</v>
      </c>
      <c r="B3017" s="5">
        <v>3010</v>
      </c>
      <c r="C3017">
        <v>9859</v>
      </c>
      <c r="D3017" t="s">
        <v>16219</v>
      </c>
      <c r="E3017" t="s">
        <v>29</v>
      </c>
      <c r="F3017" t="s">
        <v>81</v>
      </c>
      <c r="G3017" t="s">
        <v>16220</v>
      </c>
      <c r="H3017">
        <v>19.45</v>
      </c>
      <c r="I3017">
        <v>0</v>
      </c>
      <c r="J3017">
        <v>0</v>
      </c>
      <c r="K3017">
        <v>0</v>
      </c>
      <c r="L3017">
        <v>7</v>
      </c>
      <c r="O3017">
        <v>7</v>
      </c>
      <c r="P3017">
        <v>4</v>
      </c>
      <c r="Q3017">
        <v>2</v>
      </c>
      <c r="R3017">
        <v>32.450000000000003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H3017">
        <v>32.450000000000003</v>
      </c>
    </row>
    <row r="3018" spans="1:34" x14ac:dyDescent="0.3">
      <c r="A3018" s="4">
        <v>3232</v>
      </c>
      <c r="B3018" s="5">
        <v>3011</v>
      </c>
      <c r="C3018">
        <v>2851</v>
      </c>
      <c r="D3018" t="s">
        <v>16221</v>
      </c>
      <c r="E3018" t="s">
        <v>100</v>
      </c>
      <c r="F3018" t="s">
        <v>91</v>
      </c>
      <c r="G3018" t="s">
        <v>16222</v>
      </c>
      <c r="H3018">
        <v>17.43</v>
      </c>
      <c r="I3018">
        <v>0</v>
      </c>
      <c r="J3018">
        <v>0</v>
      </c>
      <c r="K3018">
        <v>0</v>
      </c>
      <c r="N3018">
        <v>3</v>
      </c>
      <c r="O3018">
        <v>3</v>
      </c>
      <c r="P3018">
        <v>4</v>
      </c>
      <c r="Q3018">
        <v>2</v>
      </c>
      <c r="R3018">
        <v>26.43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6</v>
      </c>
      <c r="AC3018">
        <v>0</v>
      </c>
      <c r="AH3018">
        <v>32.43</v>
      </c>
    </row>
    <row r="3019" spans="1:34" x14ac:dyDescent="0.3">
      <c r="A3019" s="4">
        <v>3233</v>
      </c>
      <c r="B3019" s="5">
        <v>3012</v>
      </c>
      <c r="C3019">
        <v>10932</v>
      </c>
      <c r="D3019" t="s">
        <v>16223</v>
      </c>
      <c r="E3019" t="s">
        <v>173</v>
      </c>
      <c r="F3019" t="s">
        <v>17</v>
      </c>
      <c r="G3019">
        <v>979578</v>
      </c>
      <c r="H3019">
        <v>19.399999999999999</v>
      </c>
      <c r="I3019">
        <v>0</v>
      </c>
      <c r="J3019">
        <v>0</v>
      </c>
      <c r="K3019">
        <v>0</v>
      </c>
      <c r="L3019">
        <v>7</v>
      </c>
      <c r="O3019">
        <v>7</v>
      </c>
      <c r="P3019">
        <v>4</v>
      </c>
      <c r="Q3019">
        <v>2</v>
      </c>
      <c r="R3019">
        <v>32.4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H3019">
        <v>32.4</v>
      </c>
    </row>
    <row r="3020" spans="1:34" x14ac:dyDescent="0.3">
      <c r="A3020" s="4">
        <v>3234</v>
      </c>
      <c r="B3020" s="5">
        <v>3013</v>
      </c>
      <c r="C3020">
        <v>11992</v>
      </c>
      <c r="D3020" t="s">
        <v>831</v>
      </c>
      <c r="E3020" t="s">
        <v>2157</v>
      </c>
      <c r="F3020" t="s">
        <v>230</v>
      </c>
      <c r="G3020" t="s">
        <v>16224</v>
      </c>
      <c r="H3020">
        <v>19.399999999999999</v>
      </c>
      <c r="I3020">
        <v>0</v>
      </c>
      <c r="J3020">
        <v>0</v>
      </c>
      <c r="K3020">
        <v>0</v>
      </c>
      <c r="L3020">
        <v>7</v>
      </c>
      <c r="O3020">
        <v>7</v>
      </c>
      <c r="P3020">
        <v>4</v>
      </c>
      <c r="Q3020">
        <v>2</v>
      </c>
      <c r="R3020">
        <v>32.4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H3020">
        <v>32.4</v>
      </c>
    </row>
    <row r="3021" spans="1:34" x14ac:dyDescent="0.3">
      <c r="A3021" s="4">
        <v>3235</v>
      </c>
      <c r="B3021" s="5">
        <v>3014</v>
      </c>
      <c r="C3021">
        <v>9335</v>
      </c>
      <c r="D3021" t="s">
        <v>16225</v>
      </c>
      <c r="E3021" t="s">
        <v>54</v>
      </c>
      <c r="F3021" t="s">
        <v>81</v>
      </c>
      <c r="G3021" t="s">
        <v>16226</v>
      </c>
      <c r="H3021">
        <v>19.38</v>
      </c>
      <c r="I3021">
        <v>0</v>
      </c>
      <c r="J3021">
        <v>0</v>
      </c>
      <c r="K3021">
        <v>0</v>
      </c>
      <c r="L3021">
        <v>7</v>
      </c>
      <c r="O3021">
        <v>7</v>
      </c>
      <c r="P3021">
        <v>4</v>
      </c>
      <c r="Q3021">
        <v>2</v>
      </c>
      <c r="R3021">
        <v>32.380000000000003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H3021">
        <v>32.380000000000003</v>
      </c>
    </row>
    <row r="3022" spans="1:34" x14ac:dyDescent="0.3">
      <c r="A3022" s="4">
        <v>3236</v>
      </c>
      <c r="B3022" s="5">
        <v>3015</v>
      </c>
      <c r="C3022">
        <v>115</v>
      </c>
      <c r="D3022" t="s">
        <v>16227</v>
      </c>
      <c r="E3022" t="s">
        <v>110</v>
      </c>
      <c r="F3022" t="s">
        <v>117</v>
      </c>
      <c r="G3022" t="s">
        <v>16228</v>
      </c>
      <c r="H3022">
        <v>18.38</v>
      </c>
      <c r="I3022">
        <v>0</v>
      </c>
      <c r="J3022">
        <v>0</v>
      </c>
      <c r="K3022">
        <v>0</v>
      </c>
      <c r="L3022">
        <v>7</v>
      </c>
      <c r="N3022">
        <v>3</v>
      </c>
      <c r="O3022">
        <v>10</v>
      </c>
      <c r="P3022">
        <v>4</v>
      </c>
      <c r="Q3022">
        <v>0</v>
      </c>
      <c r="R3022">
        <v>32.380000000000003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H3022">
        <v>32.380000000000003</v>
      </c>
    </row>
    <row r="3023" spans="1:34" x14ac:dyDescent="0.3">
      <c r="A3023" s="4">
        <v>3237</v>
      </c>
      <c r="B3023" s="5">
        <v>3016</v>
      </c>
      <c r="C3023">
        <v>11704</v>
      </c>
      <c r="D3023" t="s">
        <v>4439</v>
      </c>
      <c r="E3023" t="s">
        <v>88</v>
      </c>
      <c r="F3023" t="s">
        <v>649</v>
      </c>
      <c r="G3023" t="s">
        <v>16229</v>
      </c>
      <c r="H3023">
        <v>17.350000000000001</v>
      </c>
      <c r="I3023">
        <v>0</v>
      </c>
      <c r="J3023">
        <v>0</v>
      </c>
      <c r="K3023">
        <v>0</v>
      </c>
      <c r="N3023">
        <v>3</v>
      </c>
      <c r="O3023">
        <v>3</v>
      </c>
      <c r="P3023">
        <v>4</v>
      </c>
      <c r="Q3023">
        <v>2</v>
      </c>
      <c r="R3023">
        <v>26.35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6</v>
      </c>
      <c r="AC3023">
        <v>0</v>
      </c>
      <c r="AH3023">
        <v>32.35</v>
      </c>
    </row>
    <row r="3024" spans="1:34" x14ac:dyDescent="0.3">
      <c r="A3024" s="4">
        <v>3238</v>
      </c>
      <c r="B3024" s="5">
        <v>3017</v>
      </c>
      <c r="C3024">
        <v>10662</v>
      </c>
      <c r="D3024" t="s">
        <v>16230</v>
      </c>
      <c r="E3024" t="s">
        <v>110</v>
      </c>
      <c r="F3024" t="s">
        <v>38</v>
      </c>
      <c r="G3024" t="s">
        <v>16231</v>
      </c>
      <c r="H3024">
        <v>18.350000000000001</v>
      </c>
      <c r="I3024">
        <v>0</v>
      </c>
      <c r="J3024">
        <v>0</v>
      </c>
      <c r="K3024">
        <v>0</v>
      </c>
      <c r="L3024">
        <v>7</v>
      </c>
      <c r="N3024">
        <v>3</v>
      </c>
      <c r="O3024">
        <v>10</v>
      </c>
      <c r="P3024">
        <v>4</v>
      </c>
      <c r="Q3024">
        <v>0</v>
      </c>
      <c r="R3024">
        <v>32.35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H3024">
        <v>32.35</v>
      </c>
    </row>
    <row r="3025" spans="1:34" x14ac:dyDescent="0.3">
      <c r="A3025" s="4">
        <v>3239</v>
      </c>
      <c r="B3025" s="5">
        <v>3018</v>
      </c>
      <c r="C3025">
        <v>759</v>
      </c>
      <c r="D3025" t="s">
        <v>15446</v>
      </c>
      <c r="E3025" t="s">
        <v>88</v>
      </c>
      <c r="F3025" t="s">
        <v>1460</v>
      </c>
      <c r="G3025" t="s">
        <v>16232</v>
      </c>
      <c r="H3025">
        <v>16.350000000000001</v>
      </c>
      <c r="I3025">
        <v>0</v>
      </c>
      <c r="J3025">
        <v>0</v>
      </c>
      <c r="K3025">
        <v>0</v>
      </c>
      <c r="L3025">
        <v>7</v>
      </c>
      <c r="N3025">
        <v>3</v>
      </c>
      <c r="O3025">
        <v>10</v>
      </c>
      <c r="P3025">
        <v>4</v>
      </c>
      <c r="Q3025">
        <v>2</v>
      </c>
      <c r="R3025">
        <v>32.35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H3025">
        <v>32.35</v>
      </c>
    </row>
    <row r="3026" spans="1:34" x14ac:dyDescent="0.3">
      <c r="A3026" s="4">
        <v>3240</v>
      </c>
      <c r="B3026" s="5">
        <v>3019</v>
      </c>
      <c r="C3026">
        <v>5844</v>
      </c>
      <c r="D3026" t="s">
        <v>1822</v>
      </c>
      <c r="E3026" t="s">
        <v>1053</v>
      </c>
      <c r="F3026" t="s">
        <v>230</v>
      </c>
      <c r="G3026" t="s">
        <v>16233</v>
      </c>
      <c r="H3026">
        <v>21.33</v>
      </c>
      <c r="I3026">
        <v>0</v>
      </c>
      <c r="J3026">
        <v>0</v>
      </c>
      <c r="K3026">
        <v>0</v>
      </c>
      <c r="L3026">
        <v>7</v>
      </c>
      <c r="O3026">
        <v>7</v>
      </c>
      <c r="P3026">
        <v>4</v>
      </c>
      <c r="Q3026">
        <v>0</v>
      </c>
      <c r="R3026">
        <v>32.33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H3026">
        <v>32.33</v>
      </c>
    </row>
    <row r="3027" spans="1:34" x14ac:dyDescent="0.3">
      <c r="A3027" s="4">
        <v>3241</v>
      </c>
      <c r="B3027" s="5">
        <v>3020</v>
      </c>
      <c r="C3027">
        <v>958</v>
      </c>
      <c r="D3027" t="s">
        <v>16234</v>
      </c>
      <c r="E3027" t="s">
        <v>115</v>
      </c>
      <c r="F3027" t="s">
        <v>892</v>
      </c>
      <c r="G3027" t="s">
        <v>16235</v>
      </c>
      <c r="H3027">
        <v>19.329999999999998</v>
      </c>
      <c r="I3027">
        <v>0</v>
      </c>
      <c r="J3027">
        <v>0</v>
      </c>
      <c r="K3027">
        <v>0</v>
      </c>
      <c r="L3027">
        <v>7</v>
      </c>
      <c r="O3027">
        <v>7</v>
      </c>
      <c r="P3027">
        <v>4</v>
      </c>
      <c r="Q3027">
        <v>2</v>
      </c>
      <c r="R3027">
        <v>32.33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H3027">
        <v>32.33</v>
      </c>
    </row>
    <row r="3028" spans="1:34" x14ac:dyDescent="0.3">
      <c r="A3028" s="4">
        <v>3242</v>
      </c>
      <c r="B3028" s="5">
        <v>3021</v>
      </c>
      <c r="C3028">
        <v>4467</v>
      </c>
      <c r="D3028" t="s">
        <v>12020</v>
      </c>
      <c r="E3028" t="s">
        <v>22</v>
      </c>
      <c r="F3028" t="s">
        <v>81</v>
      </c>
      <c r="G3028" t="s">
        <v>16236</v>
      </c>
      <c r="H3028">
        <v>19.329999999999998</v>
      </c>
      <c r="I3028">
        <v>0</v>
      </c>
      <c r="J3028">
        <v>0</v>
      </c>
      <c r="K3028">
        <v>0</v>
      </c>
      <c r="L3028">
        <v>7</v>
      </c>
      <c r="O3028">
        <v>7</v>
      </c>
      <c r="P3028">
        <v>4</v>
      </c>
      <c r="Q3028">
        <v>2</v>
      </c>
      <c r="R3028">
        <v>32.33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H3028">
        <v>32.33</v>
      </c>
    </row>
    <row r="3029" spans="1:34" x14ac:dyDescent="0.3">
      <c r="A3029" s="4">
        <v>3243</v>
      </c>
      <c r="B3029" s="5">
        <v>3022</v>
      </c>
      <c r="C3029">
        <v>8552</v>
      </c>
      <c r="D3029" t="s">
        <v>8690</v>
      </c>
      <c r="E3029" t="s">
        <v>935</v>
      </c>
      <c r="F3029" t="s">
        <v>55</v>
      </c>
      <c r="G3029" t="s">
        <v>16237</v>
      </c>
      <c r="H3029">
        <v>18.329999999999998</v>
      </c>
      <c r="I3029">
        <v>0</v>
      </c>
      <c r="J3029">
        <v>0</v>
      </c>
      <c r="K3029">
        <v>0</v>
      </c>
      <c r="L3029">
        <v>7</v>
      </c>
      <c r="N3029">
        <v>3</v>
      </c>
      <c r="O3029">
        <v>10</v>
      </c>
      <c r="P3029">
        <v>4</v>
      </c>
      <c r="Q3029">
        <v>0</v>
      </c>
      <c r="R3029">
        <v>32.33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H3029">
        <v>32.33</v>
      </c>
    </row>
    <row r="3030" spans="1:34" x14ac:dyDescent="0.3">
      <c r="A3030" s="4">
        <v>3244</v>
      </c>
      <c r="B3030" s="5">
        <v>3023</v>
      </c>
      <c r="C3030">
        <v>15023</v>
      </c>
      <c r="D3030" t="s">
        <v>16238</v>
      </c>
      <c r="E3030" t="s">
        <v>188</v>
      </c>
      <c r="F3030" t="s">
        <v>17</v>
      </c>
      <c r="G3030" t="s">
        <v>16239</v>
      </c>
      <c r="H3030">
        <v>19.329999999999998</v>
      </c>
      <c r="I3030">
        <v>0</v>
      </c>
      <c r="J3030">
        <v>0</v>
      </c>
      <c r="K3030">
        <v>0</v>
      </c>
      <c r="N3030">
        <v>3</v>
      </c>
      <c r="O3030">
        <v>3</v>
      </c>
      <c r="P3030">
        <v>4</v>
      </c>
      <c r="Q3030">
        <v>0</v>
      </c>
      <c r="R3030">
        <v>26.33</v>
      </c>
      <c r="S3030">
        <v>6</v>
      </c>
      <c r="T3030">
        <v>6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6</v>
      </c>
      <c r="AB3030">
        <v>0</v>
      </c>
      <c r="AC3030">
        <v>0</v>
      </c>
      <c r="AH3030">
        <v>32.33</v>
      </c>
    </row>
    <row r="3031" spans="1:34" x14ac:dyDescent="0.3">
      <c r="A3031" s="4">
        <v>3245</v>
      </c>
      <c r="B3031" s="5">
        <v>3024</v>
      </c>
      <c r="C3031">
        <v>7852</v>
      </c>
      <c r="D3031" t="s">
        <v>16240</v>
      </c>
      <c r="E3031" t="s">
        <v>419</v>
      </c>
      <c r="F3031" t="s">
        <v>136</v>
      </c>
      <c r="G3031" t="s">
        <v>16241</v>
      </c>
      <c r="H3031">
        <v>17.329999999999998</v>
      </c>
      <c r="I3031">
        <v>0</v>
      </c>
      <c r="J3031">
        <v>0</v>
      </c>
      <c r="K3031">
        <v>0</v>
      </c>
      <c r="N3031">
        <v>3</v>
      </c>
      <c r="O3031">
        <v>3</v>
      </c>
      <c r="P3031">
        <v>4</v>
      </c>
      <c r="Q3031">
        <v>2</v>
      </c>
      <c r="R3031">
        <v>26.33</v>
      </c>
      <c r="S3031">
        <v>6</v>
      </c>
      <c r="T3031">
        <v>6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6</v>
      </c>
      <c r="AB3031">
        <v>0</v>
      </c>
      <c r="AC3031">
        <v>0</v>
      </c>
      <c r="AH3031">
        <v>32.33</v>
      </c>
    </row>
    <row r="3032" spans="1:34" x14ac:dyDescent="0.3">
      <c r="A3032" s="4">
        <v>3246</v>
      </c>
      <c r="B3032" s="5">
        <v>3025</v>
      </c>
      <c r="C3032">
        <v>5186</v>
      </c>
      <c r="D3032" t="s">
        <v>16242</v>
      </c>
      <c r="E3032" t="s">
        <v>132</v>
      </c>
      <c r="F3032" t="s">
        <v>68</v>
      </c>
      <c r="G3032" t="s">
        <v>16243</v>
      </c>
      <c r="H3032">
        <v>22.3</v>
      </c>
      <c r="I3032">
        <v>0</v>
      </c>
      <c r="J3032">
        <v>0</v>
      </c>
      <c r="K3032">
        <v>0</v>
      </c>
      <c r="L3032">
        <v>7</v>
      </c>
      <c r="N3032">
        <v>3</v>
      </c>
      <c r="O3032">
        <v>10</v>
      </c>
      <c r="P3032">
        <v>0</v>
      </c>
      <c r="Q3032">
        <v>0</v>
      </c>
      <c r="R3032">
        <v>32.299999999999997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H3032">
        <v>32.299999999999997</v>
      </c>
    </row>
    <row r="3033" spans="1:34" x14ac:dyDescent="0.3">
      <c r="A3033" s="4">
        <v>3247</v>
      </c>
      <c r="B3033" s="5">
        <v>3026</v>
      </c>
      <c r="C3033">
        <v>9820</v>
      </c>
      <c r="D3033" t="s">
        <v>16244</v>
      </c>
      <c r="E3033" t="s">
        <v>41</v>
      </c>
      <c r="F3033" t="s">
        <v>343</v>
      </c>
      <c r="G3033" t="s">
        <v>16245</v>
      </c>
      <c r="H3033">
        <v>21.3</v>
      </c>
      <c r="I3033">
        <v>0</v>
      </c>
      <c r="J3033">
        <v>0</v>
      </c>
      <c r="K3033">
        <v>0</v>
      </c>
      <c r="L3033">
        <v>7</v>
      </c>
      <c r="O3033">
        <v>7</v>
      </c>
      <c r="P3033">
        <v>4</v>
      </c>
      <c r="Q3033">
        <v>0</v>
      </c>
      <c r="R3033">
        <v>32.299999999999997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H3033">
        <v>32.299999999999997</v>
      </c>
    </row>
    <row r="3034" spans="1:34" x14ac:dyDescent="0.3">
      <c r="A3034" s="4">
        <v>3248</v>
      </c>
      <c r="B3034" s="5">
        <v>3027</v>
      </c>
      <c r="C3034">
        <v>12030</v>
      </c>
      <c r="D3034" t="s">
        <v>16246</v>
      </c>
      <c r="E3034" t="s">
        <v>97</v>
      </c>
      <c r="F3034" t="s">
        <v>81</v>
      </c>
      <c r="G3034" t="s">
        <v>16247</v>
      </c>
      <c r="H3034">
        <v>18.3</v>
      </c>
      <c r="I3034">
        <v>0</v>
      </c>
      <c r="J3034">
        <v>0</v>
      </c>
      <c r="K3034">
        <v>0</v>
      </c>
      <c r="L3034">
        <v>7</v>
      </c>
      <c r="N3034">
        <v>3</v>
      </c>
      <c r="O3034">
        <v>10</v>
      </c>
      <c r="P3034">
        <v>4</v>
      </c>
      <c r="Q3034">
        <v>0</v>
      </c>
      <c r="R3034">
        <v>32.299999999999997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H3034">
        <v>32.299999999999997</v>
      </c>
    </row>
    <row r="3035" spans="1:34" x14ac:dyDescent="0.3">
      <c r="A3035" s="4">
        <v>3249</v>
      </c>
      <c r="B3035" s="5">
        <v>3028</v>
      </c>
      <c r="C3035">
        <v>13718</v>
      </c>
      <c r="D3035" t="s">
        <v>9110</v>
      </c>
      <c r="E3035" t="s">
        <v>268</v>
      </c>
      <c r="F3035" t="s">
        <v>3814</v>
      </c>
      <c r="G3035" t="s">
        <v>16248</v>
      </c>
      <c r="H3035">
        <v>23.28</v>
      </c>
      <c r="I3035">
        <v>0</v>
      </c>
      <c r="J3035">
        <v>0</v>
      </c>
      <c r="K3035">
        <v>0</v>
      </c>
      <c r="N3035">
        <v>3</v>
      </c>
      <c r="O3035">
        <v>3</v>
      </c>
      <c r="P3035">
        <v>4</v>
      </c>
      <c r="Q3035">
        <v>2</v>
      </c>
      <c r="R3035">
        <v>32.28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H3035">
        <v>32.28</v>
      </c>
    </row>
    <row r="3036" spans="1:34" x14ac:dyDescent="0.3">
      <c r="A3036" s="4">
        <v>3250</v>
      </c>
      <c r="B3036" s="5">
        <v>3029</v>
      </c>
      <c r="C3036">
        <v>2079</v>
      </c>
      <c r="D3036" t="s">
        <v>8549</v>
      </c>
      <c r="E3036" t="s">
        <v>29</v>
      </c>
      <c r="F3036" t="s">
        <v>62</v>
      </c>
      <c r="G3036" t="s">
        <v>16249</v>
      </c>
      <c r="H3036">
        <v>21.28</v>
      </c>
      <c r="I3036">
        <v>0</v>
      </c>
      <c r="J3036">
        <v>0</v>
      </c>
      <c r="K3036">
        <v>0</v>
      </c>
      <c r="L3036">
        <v>7</v>
      </c>
      <c r="O3036">
        <v>7</v>
      </c>
      <c r="P3036">
        <v>4</v>
      </c>
      <c r="Q3036">
        <v>0</v>
      </c>
      <c r="R3036">
        <v>32.28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H3036">
        <v>32.28</v>
      </c>
    </row>
    <row r="3037" spans="1:34" x14ac:dyDescent="0.3">
      <c r="A3037" s="4">
        <v>3251</v>
      </c>
      <c r="B3037" s="5">
        <v>3030</v>
      </c>
      <c r="C3037">
        <v>2675</v>
      </c>
      <c r="D3037" t="s">
        <v>1422</v>
      </c>
      <c r="E3037" t="s">
        <v>208</v>
      </c>
      <c r="F3037" t="s">
        <v>68</v>
      </c>
      <c r="G3037" t="s">
        <v>16250</v>
      </c>
      <c r="H3037">
        <v>19.28</v>
      </c>
      <c r="I3037">
        <v>0</v>
      </c>
      <c r="J3037">
        <v>0</v>
      </c>
      <c r="K3037">
        <v>0</v>
      </c>
      <c r="L3037">
        <v>7</v>
      </c>
      <c r="O3037">
        <v>7</v>
      </c>
      <c r="P3037">
        <v>4</v>
      </c>
      <c r="Q3037">
        <v>2</v>
      </c>
      <c r="R3037">
        <v>32.28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H3037">
        <v>32.28</v>
      </c>
    </row>
    <row r="3038" spans="1:34" x14ac:dyDescent="0.3">
      <c r="A3038" s="4">
        <v>3252</v>
      </c>
      <c r="B3038" s="5">
        <v>3031</v>
      </c>
      <c r="C3038">
        <v>13548</v>
      </c>
      <c r="D3038" t="s">
        <v>16251</v>
      </c>
      <c r="E3038" t="s">
        <v>54</v>
      </c>
      <c r="F3038" t="s">
        <v>117</v>
      </c>
      <c r="G3038" t="s">
        <v>16252</v>
      </c>
      <c r="H3038">
        <v>18.28</v>
      </c>
      <c r="I3038">
        <v>0</v>
      </c>
      <c r="J3038">
        <v>0</v>
      </c>
      <c r="K3038">
        <v>0</v>
      </c>
      <c r="L3038">
        <v>7</v>
      </c>
      <c r="N3038">
        <v>3</v>
      </c>
      <c r="O3038">
        <v>10</v>
      </c>
      <c r="P3038">
        <v>4</v>
      </c>
      <c r="Q3038">
        <v>0</v>
      </c>
      <c r="R3038">
        <v>32.28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H3038">
        <v>32.28</v>
      </c>
    </row>
    <row r="3039" spans="1:34" x14ac:dyDescent="0.3">
      <c r="A3039" s="4">
        <v>3253</v>
      </c>
      <c r="B3039" s="5">
        <v>3032</v>
      </c>
      <c r="C3039">
        <v>4941</v>
      </c>
      <c r="D3039" t="s">
        <v>15237</v>
      </c>
      <c r="E3039" t="s">
        <v>2758</v>
      </c>
      <c r="F3039" t="s">
        <v>167</v>
      </c>
      <c r="G3039" t="s">
        <v>16253</v>
      </c>
      <c r="H3039">
        <v>18.28</v>
      </c>
      <c r="I3039">
        <v>0</v>
      </c>
      <c r="J3039">
        <v>0</v>
      </c>
      <c r="K3039">
        <v>0</v>
      </c>
      <c r="L3039">
        <v>7</v>
      </c>
      <c r="N3039">
        <v>3</v>
      </c>
      <c r="O3039">
        <v>10</v>
      </c>
      <c r="P3039">
        <v>4</v>
      </c>
      <c r="Q3039">
        <v>0</v>
      </c>
      <c r="R3039">
        <v>32.28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H3039">
        <v>32.28</v>
      </c>
    </row>
    <row r="3040" spans="1:34" x14ac:dyDescent="0.3">
      <c r="A3040" s="4">
        <v>3254</v>
      </c>
      <c r="B3040" s="5">
        <v>3033</v>
      </c>
      <c r="C3040">
        <v>4013</v>
      </c>
      <c r="D3040" t="s">
        <v>16254</v>
      </c>
      <c r="E3040" t="s">
        <v>825</v>
      </c>
      <c r="F3040" t="s">
        <v>38</v>
      </c>
      <c r="G3040" t="s">
        <v>16255</v>
      </c>
      <c r="H3040">
        <v>19.28</v>
      </c>
      <c r="I3040">
        <v>0</v>
      </c>
      <c r="J3040">
        <v>0</v>
      </c>
      <c r="K3040">
        <v>0</v>
      </c>
      <c r="N3040">
        <v>3</v>
      </c>
      <c r="O3040">
        <v>3</v>
      </c>
      <c r="P3040">
        <v>0</v>
      </c>
      <c r="Q3040">
        <v>0</v>
      </c>
      <c r="R3040">
        <v>22.28</v>
      </c>
      <c r="S3040">
        <v>10</v>
      </c>
      <c r="T3040">
        <v>10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10</v>
      </c>
      <c r="AB3040">
        <v>0</v>
      </c>
      <c r="AC3040">
        <v>0</v>
      </c>
      <c r="AH3040">
        <v>32.28</v>
      </c>
    </row>
    <row r="3041" spans="1:34" x14ac:dyDescent="0.3">
      <c r="A3041" s="4">
        <v>3255</v>
      </c>
      <c r="B3041" s="5">
        <v>3034</v>
      </c>
      <c r="C3041">
        <v>7814</v>
      </c>
      <c r="D3041" t="s">
        <v>16256</v>
      </c>
      <c r="E3041" t="s">
        <v>161</v>
      </c>
      <c r="F3041" t="s">
        <v>243</v>
      </c>
      <c r="G3041" t="s">
        <v>16257</v>
      </c>
      <c r="H3041">
        <v>17.25</v>
      </c>
      <c r="I3041">
        <v>0</v>
      </c>
      <c r="J3041">
        <v>0</v>
      </c>
      <c r="K3041">
        <v>0</v>
      </c>
      <c r="M3041">
        <v>5</v>
      </c>
      <c r="O3041">
        <v>5</v>
      </c>
      <c r="P3041">
        <v>4</v>
      </c>
      <c r="Q3041">
        <v>0</v>
      </c>
      <c r="R3041">
        <v>26.25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6</v>
      </c>
      <c r="AC3041">
        <v>0</v>
      </c>
      <c r="AH3041">
        <v>32.25</v>
      </c>
    </row>
    <row r="3042" spans="1:34" x14ac:dyDescent="0.3">
      <c r="A3042" s="4">
        <v>3256</v>
      </c>
      <c r="B3042" s="5">
        <v>3035</v>
      </c>
      <c r="C3042">
        <v>15273</v>
      </c>
      <c r="D3042" t="s">
        <v>16258</v>
      </c>
      <c r="E3042" t="s">
        <v>117</v>
      </c>
      <c r="F3042" t="s">
        <v>346</v>
      </c>
      <c r="G3042" t="s">
        <v>32007</v>
      </c>
      <c r="H3042">
        <v>16.25</v>
      </c>
      <c r="I3042">
        <v>0</v>
      </c>
      <c r="J3042">
        <v>0</v>
      </c>
      <c r="K3042">
        <v>0</v>
      </c>
      <c r="N3042">
        <v>6</v>
      </c>
      <c r="O3042">
        <v>6</v>
      </c>
      <c r="P3042">
        <v>4</v>
      </c>
      <c r="Q3042">
        <v>0</v>
      </c>
      <c r="R3042">
        <v>26.25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6</v>
      </c>
      <c r="AC3042">
        <v>0</v>
      </c>
      <c r="AH3042">
        <v>32.25</v>
      </c>
    </row>
    <row r="3043" spans="1:34" x14ac:dyDescent="0.3">
      <c r="A3043" s="4">
        <v>3257</v>
      </c>
      <c r="B3043" s="5">
        <v>3036</v>
      </c>
      <c r="C3043">
        <v>5815</v>
      </c>
      <c r="D3043" t="s">
        <v>2103</v>
      </c>
      <c r="E3043" t="s">
        <v>26</v>
      </c>
      <c r="F3043" t="s">
        <v>243</v>
      </c>
      <c r="G3043" t="s">
        <v>16259</v>
      </c>
      <c r="H3043">
        <v>18.25</v>
      </c>
      <c r="I3043">
        <v>0</v>
      </c>
      <c r="J3043">
        <v>0</v>
      </c>
      <c r="K3043">
        <v>0</v>
      </c>
      <c r="L3043">
        <v>7</v>
      </c>
      <c r="O3043">
        <v>7</v>
      </c>
      <c r="P3043">
        <v>4</v>
      </c>
      <c r="Q3043">
        <v>0</v>
      </c>
      <c r="R3043">
        <v>29.25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3</v>
      </c>
      <c r="AC3043">
        <v>0</v>
      </c>
      <c r="AH3043">
        <v>32.25</v>
      </c>
    </row>
    <row r="3044" spans="1:34" x14ac:dyDescent="0.3">
      <c r="A3044" s="4">
        <v>3258</v>
      </c>
      <c r="B3044" s="5">
        <v>3037</v>
      </c>
      <c r="C3044">
        <v>11884</v>
      </c>
      <c r="D3044" t="s">
        <v>16260</v>
      </c>
      <c r="E3044" t="s">
        <v>5237</v>
      </c>
      <c r="F3044" t="s">
        <v>1023</v>
      </c>
      <c r="H3044">
        <v>22.25</v>
      </c>
      <c r="I3044">
        <v>0</v>
      </c>
      <c r="J3044">
        <v>0</v>
      </c>
      <c r="K3044">
        <v>0</v>
      </c>
      <c r="L3044">
        <v>7</v>
      </c>
      <c r="N3044">
        <v>3</v>
      </c>
      <c r="O3044">
        <v>10</v>
      </c>
      <c r="P3044">
        <v>0</v>
      </c>
      <c r="Q3044">
        <v>0</v>
      </c>
      <c r="R3044">
        <v>32.25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H3044">
        <v>32.25</v>
      </c>
    </row>
    <row r="3045" spans="1:34" x14ac:dyDescent="0.3">
      <c r="A3045" s="4">
        <v>3259</v>
      </c>
      <c r="B3045" s="5">
        <v>3038</v>
      </c>
      <c r="C3045">
        <v>14418</v>
      </c>
      <c r="D3045" t="s">
        <v>16261</v>
      </c>
      <c r="E3045" t="s">
        <v>692</v>
      </c>
      <c r="F3045" t="s">
        <v>832</v>
      </c>
      <c r="G3045" t="s">
        <v>16262</v>
      </c>
      <c r="H3045">
        <v>21.25</v>
      </c>
      <c r="I3045">
        <v>0</v>
      </c>
      <c r="J3045">
        <v>0</v>
      </c>
      <c r="K3045">
        <v>0</v>
      </c>
      <c r="L3045">
        <v>7</v>
      </c>
      <c r="O3045">
        <v>7</v>
      </c>
      <c r="P3045">
        <v>4</v>
      </c>
      <c r="Q3045">
        <v>0</v>
      </c>
      <c r="R3045">
        <v>32.25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H3045">
        <v>32.25</v>
      </c>
    </row>
    <row r="3046" spans="1:34" x14ac:dyDescent="0.3">
      <c r="A3046" s="4">
        <v>3260</v>
      </c>
      <c r="B3046" s="5">
        <v>3039</v>
      </c>
      <c r="C3046">
        <v>5631</v>
      </c>
      <c r="D3046" t="s">
        <v>16263</v>
      </c>
      <c r="E3046" t="s">
        <v>16264</v>
      </c>
      <c r="F3046" t="s">
        <v>81</v>
      </c>
      <c r="G3046" t="s">
        <v>16265</v>
      </c>
      <c r="H3046">
        <v>21.25</v>
      </c>
      <c r="I3046">
        <v>0</v>
      </c>
      <c r="J3046">
        <v>0</v>
      </c>
      <c r="K3046">
        <v>0</v>
      </c>
      <c r="L3046">
        <v>7</v>
      </c>
      <c r="O3046">
        <v>7</v>
      </c>
      <c r="P3046">
        <v>4</v>
      </c>
      <c r="Q3046">
        <v>0</v>
      </c>
      <c r="R3046">
        <v>32.25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H3046">
        <v>32.25</v>
      </c>
    </row>
    <row r="3047" spans="1:34" x14ac:dyDescent="0.3">
      <c r="A3047" s="4">
        <v>3261</v>
      </c>
      <c r="B3047" s="5">
        <v>3040</v>
      </c>
      <c r="C3047">
        <v>834</v>
      </c>
      <c r="D3047" t="s">
        <v>16266</v>
      </c>
      <c r="E3047" t="s">
        <v>16267</v>
      </c>
      <c r="F3047" t="s">
        <v>55</v>
      </c>
      <c r="G3047" t="s">
        <v>16268</v>
      </c>
      <c r="H3047">
        <v>21.25</v>
      </c>
      <c r="I3047">
        <v>0</v>
      </c>
      <c r="J3047">
        <v>0</v>
      </c>
      <c r="K3047">
        <v>0</v>
      </c>
      <c r="L3047">
        <v>7</v>
      </c>
      <c r="O3047">
        <v>7</v>
      </c>
      <c r="P3047">
        <v>4</v>
      </c>
      <c r="Q3047">
        <v>0</v>
      </c>
      <c r="R3047">
        <v>32.25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H3047">
        <v>32.25</v>
      </c>
    </row>
    <row r="3048" spans="1:34" x14ac:dyDescent="0.3">
      <c r="A3048" s="4">
        <v>3262</v>
      </c>
      <c r="B3048" s="5">
        <v>3041</v>
      </c>
      <c r="C3048">
        <v>9958</v>
      </c>
      <c r="D3048" t="s">
        <v>7020</v>
      </c>
      <c r="E3048" t="s">
        <v>120</v>
      </c>
      <c r="F3048" t="s">
        <v>30</v>
      </c>
      <c r="G3048" t="s">
        <v>16269</v>
      </c>
      <c r="H3048">
        <v>21.25</v>
      </c>
      <c r="I3048">
        <v>0</v>
      </c>
      <c r="J3048">
        <v>0</v>
      </c>
      <c r="K3048">
        <v>0</v>
      </c>
      <c r="L3048">
        <v>7</v>
      </c>
      <c r="O3048">
        <v>7</v>
      </c>
      <c r="P3048">
        <v>4</v>
      </c>
      <c r="Q3048">
        <v>0</v>
      </c>
      <c r="R3048">
        <v>32.25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H3048">
        <v>32.25</v>
      </c>
    </row>
    <row r="3049" spans="1:34" x14ac:dyDescent="0.3">
      <c r="A3049" s="4">
        <v>3263</v>
      </c>
      <c r="B3049" s="5">
        <v>3042</v>
      </c>
      <c r="C3049">
        <v>7023</v>
      </c>
      <c r="D3049" t="s">
        <v>317</v>
      </c>
      <c r="E3049" t="s">
        <v>29</v>
      </c>
      <c r="F3049" t="s">
        <v>38</v>
      </c>
      <c r="G3049" t="s">
        <v>16270</v>
      </c>
      <c r="H3049">
        <v>16.25</v>
      </c>
      <c r="I3049">
        <v>0</v>
      </c>
      <c r="J3049">
        <v>0</v>
      </c>
      <c r="K3049">
        <v>0</v>
      </c>
      <c r="L3049">
        <v>7</v>
      </c>
      <c r="M3049">
        <v>5</v>
      </c>
      <c r="O3049">
        <v>12</v>
      </c>
      <c r="P3049">
        <v>4</v>
      </c>
      <c r="Q3049">
        <v>0</v>
      </c>
      <c r="R3049">
        <v>32.25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H3049">
        <v>32.25</v>
      </c>
    </row>
    <row r="3050" spans="1:34" x14ac:dyDescent="0.3">
      <c r="A3050" s="4">
        <v>3264</v>
      </c>
      <c r="B3050" s="5">
        <v>3043</v>
      </c>
      <c r="C3050">
        <v>14327</v>
      </c>
      <c r="D3050" t="s">
        <v>16271</v>
      </c>
      <c r="E3050" t="s">
        <v>33</v>
      </c>
      <c r="F3050" t="s">
        <v>136</v>
      </c>
      <c r="G3050" t="s">
        <v>16272</v>
      </c>
      <c r="H3050">
        <v>16.25</v>
      </c>
      <c r="I3050">
        <v>0</v>
      </c>
      <c r="J3050">
        <v>0</v>
      </c>
      <c r="K3050">
        <v>0</v>
      </c>
      <c r="L3050">
        <v>7</v>
      </c>
      <c r="M3050">
        <v>5</v>
      </c>
      <c r="O3050">
        <v>12</v>
      </c>
      <c r="P3050">
        <v>4</v>
      </c>
      <c r="Q3050">
        <v>0</v>
      </c>
      <c r="R3050">
        <v>32.25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H3050">
        <v>32.25</v>
      </c>
    </row>
    <row r="3051" spans="1:34" x14ac:dyDescent="0.3">
      <c r="A3051" s="4">
        <v>3265</v>
      </c>
      <c r="B3051" s="5">
        <v>3044</v>
      </c>
      <c r="C3051">
        <v>7802</v>
      </c>
      <c r="D3051" t="s">
        <v>9253</v>
      </c>
      <c r="E3051" t="s">
        <v>255</v>
      </c>
      <c r="F3051" t="s">
        <v>230</v>
      </c>
      <c r="G3051" t="s">
        <v>16273</v>
      </c>
      <c r="H3051">
        <v>16.25</v>
      </c>
      <c r="I3051">
        <v>0</v>
      </c>
      <c r="J3051">
        <v>0</v>
      </c>
      <c r="K3051">
        <v>0</v>
      </c>
      <c r="L3051">
        <v>7</v>
      </c>
      <c r="N3051">
        <v>3</v>
      </c>
      <c r="O3051">
        <v>10</v>
      </c>
      <c r="P3051">
        <v>4</v>
      </c>
      <c r="Q3051">
        <v>2</v>
      </c>
      <c r="R3051">
        <v>32.25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H3051">
        <v>32.25</v>
      </c>
    </row>
    <row r="3052" spans="1:34" x14ac:dyDescent="0.3">
      <c r="A3052" s="4">
        <v>3266</v>
      </c>
      <c r="B3052" s="5">
        <v>3045</v>
      </c>
      <c r="C3052">
        <v>13207</v>
      </c>
      <c r="D3052" t="s">
        <v>5483</v>
      </c>
      <c r="E3052" t="s">
        <v>29</v>
      </c>
      <c r="F3052" t="s">
        <v>117</v>
      </c>
      <c r="G3052" t="s">
        <v>16274</v>
      </c>
      <c r="H3052">
        <v>19.25</v>
      </c>
      <c r="I3052">
        <v>0</v>
      </c>
      <c r="J3052">
        <v>0</v>
      </c>
      <c r="K3052">
        <v>0</v>
      </c>
      <c r="N3052">
        <v>3</v>
      </c>
      <c r="O3052">
        <v>3</v>
      </c>
      <c r="P3052">
        <v>4</v>
      </c>
      <c r="Q3052">
        <v>0</v>
      </c>
      <c r="R3052">
        <v>26.25</v>
      </c>
      <c r="S3052">
        <v>6</v>
      </c>
      <c r="T3052">
        <v>6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6</v>
      </c>
      <c r="AB3052">
        <v>0</v>
      </c>
      <c r="AC3052">
        <v>0</v>
      </c>
      <c r="AH3052">
        <v>32.25</v>
      </c>
    </row>
    <row r="3053" spans="1:34" x14ac:dyDescent="0.3">
      <c r="A3053" s="4">
        <v>3267</v>
      </c>
      <c r="B3053" s="5">
        <v>3046</v>
      </c>
      <c r="C3053">
        <v>12147</v>
      </c>
      <c r="D3053" t="s">
        <v>4108</v>
      </c>
      <c r="E3053" t="s">
        <v>166</v>
      </c>
      <c r="F3053" t="s">
        <v>649</v>
      </c>
      <c r="G3053" t="s">
        <v>16275</v>
      </c>
      <c r="H3053">
        <v>21.23</v>
      </c>
      <c r="I3053">
        <v>0</v>
      </c>
      <c r="J3053">
        <v>0</v>
      </c>
      <c r="K3053">
        <v>0</v>
      </c>
      <c r="L3053">
        <v>7</v>
      </c>
      <c r="O3053">
        <v>7</v>
      </c>
      <c r="P3053">
        <v>4</v>
      </c>
      <c r="Q3053">
        <v>0</v>
      </c>
      <c r="R3053">
        <v>32.229999999999997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H3053">
        <v>32.229999999999997</v>
      </c>
    </row>
    <row r="3054" spans="1:34" x14ac:dyDescent="0.3">
      <c r="A3054" s="4">
        <v>3268</v>
      </c>
      <c r="B3054" s="5">
        <v>3047</v>
      </c>
      <c r="C3054">
        <v>10635</v>
      </c>
      <c r="D3054" t="s">
        <v>93</v>
      </c>
      <c r="E3054" t="s">
        <v>48</v>
      </c>
      <c r="F3054" t="s">
        <v>17</v>
      </c>
      <c r="G3054" t="s">
        <v>16276</v>
      </c>
      <c r="H3054">
        <v>15.2</v>
      </c>
      <c r="I3054">
        <v>0</v>
      </c>
      <c r="J3054">
        <v>0</v>
      </c>
      <c r="K3054">
        <v>0</v>
      </c>
      <c r="L3054">
        <v>7</v>
      </c>
      <c r="O3054">
        <v>7</v>
      </c>
      <c r="P3054">
        <v>4</v>
      </c>
      <c r="Q3054">
        <v>0</v>
      </c>
      <c r="R3054">
        <v>26.2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6</v>
      </c>
      <c r="AC3054">
        <v>0</v>
      </c>
      <c r="AH3054">
        <v>32.200000000000003</v>
      </c>
    </row>
    <row r="3055" spans="1:34" x14ac:dyDescent="0.3">
      <c r="A3055" s="4">
        <v>3269</v>
      </c>
      <c r="B3055" s="5">
        <v>3048</v>
      </c>
      <c r="C3055">
        <v>9506</v>
      </c>
      <c r="D3055" t="s">
        <v>198</v>
      </c>
      <c r="E3055" t="s">
        <v>208</v>
      </c>
      <c r="F3055" t="s">
        <v>343</v>
      </c>
      <c r="G3055" t="s">
        <v>16277</v>
      </c>
      <c r="H3055">
        <v>21.2</v>
      </c>
      <c r="I3055">
        <v>0</v>
      </c>
      <c r="J3055">
        <v>0</v>
      </c>
      <c r="K3055">
        <v>0</v>
      </c>
      <c r="L3055">
        <v>7</v>
      </c>
      <c r="O3055">
        <v>7</v>
      </c>
      <c r="P3055">
        <v>4</v>
      </c>
      <c r="Q3055">
        <v>0</v>
      </c>
      <c r="R3055">
        <v>32.200000000000003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H3055">
        <v>32.200000000000003</v>
      </c>
    </row>
    <row r="3056" spans="1:34" x14ac:dyDescent="0.3">
      <c r="A3056" s="4">
        <v>3270</v>
      </c>
      <c r="B3056" s="5">
        <v>3049</v>
      </c>
      <c r="C3056">
        <v>8294</v>
      </c>
      <c r="D3056" t="s">
        <v>16278</v>
      </c>
      <c r="E3056" t="s">
        <v>26</v>
      </c>
      <c r="F3056" t="s">
        <v>30</v>
      </c>
      <c r="G3056">
        <v>808281</v>
      </c>
      <c r="H3056">
        <v>19.2</v>
      </c>
      <c r="I3056">
        <v>0</v>
      </c>
      <c r="J3056">
        <v>0</v>
      </c>
      <c r="K3056">
        <v>0</v>
      </c>
      <c r="L3056">
        <v>7</v>
      </c>
      <c r="O3056">
        <v>7</v>
      </c>
      <c r="P3056">
        <v>4</v>
      </c>
      <c r="Q3056">
        <v>2</v>
      </c>
      <c r="R3056">
        <v>32.200000000000003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H3056">
        <v>32.200000000000003</v>
      </c>
    </row>
    <row r="3057" spans="1:34" x14ac:dyDescent="0.3">
      <c r="A3057" s="4">
        <v>3271</v>
      </c>
      <c r="B3057" s="5">
        <v>3050</v>
      </c>
      <c r="C3057">
        <v>64</v>
      </c>
      <c r="D3057" t="s">
        <v>16279</v>
      </c>
      <c r="E3057" t="s">
        <v>692</v>
      </c>
      <c r="F3057" t="s">
        <v>136</v>
      </c>
      <c r="G3057" t="s">
        <v>16280</v>
      </c>
      <c r="H3057">
        <v>18.18</v>
      </c>
      <c r="I3057">
        <v>0</v>
      </c>
      <c r="J3057">
        <v>0</v>
      </c>
      <c r="K3057">
        <v>0</v>
      </c>
      <c r="M3057">
        <v>5</v>
      </c>
      <c r="O3057">
        <v>5</v>
      </c>
      <c r="P3057">
        <v>4</v>
      </c>
      <c r="Q3057">
        <v>2</v>
      </c>
      <c r="R3057">
        <v>29.18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3</v>
      </c>
      <c r="AC3057">
        <v>0</v>
      </c>
      <c r="AH3057">
        <v>32.18</v>
      </c>
    </row>
    <row r="3058" spans="1:34" x14ac:dyDescent="0.3">
      <c r="A3058" s="4">
        <v>3272</v>
      </c>
      <c r="B3058" s="5">
        <v>3051</v>
      </c>
      <c r="C3058">
        <v>14168</v>
      </c>
      <c r="D3058" t="s">
        <v>16281</v>
      </c>
      <c r="E3058" t="s">
        <v>4258</v>
      </c>
      <c r="F3058" t="s">
        <v>570</v>
      </c>
      <c r="G3058" t="s">
        <v>16282</v>
      </c>
      <c r="H3058">
        <v>19.18</v>
      </c>
      <c r="I3058">
        <v>0</v>
      </c>
      <c r="J3058">
        <v>0</v>
      </c>
      <c r="K3058">
        <v>0</v>
      </c>
      <c r="L3058">
        <v>7</v>
      </c>
      <c r="O3058">
        <v>7</v>
      </c>
      <c r="P3058">
        <v>4</v>
      </c>
      <c r="Q3058">
        <v>2</v>
      </c>
      <c r="R3058">
        <v>32.18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H3058">
        <v>32.18</v>
      </c>
    </row>
    <row r="3059" spans="1:34" x14ac:dyDescent="0.3">
      <c r="A3059" s="4">
        <v>3273</v>
      </c>
      <c r="B3059" s="5">
        <v>3052</v>
      </c>
      <c r="C3059">
        <v>10783</v>
      </c>
      <c r="D3059" t="s">
        <v>752</v>
      </c>
      <c r="E3059" t="s">
        <v>400</v>
      </c>
      <c r="F3059" t="s">
        <v>17</v>
      </c>
      <c r="G3059" t="s">
        <v>16283</v>
      </c>
      <c r="H3059">
        <v>17.18</v>
      </c>
      <c r="I3059">
        <v>0</v>
      </c>
      <c r="J3059">
        <v>0</v>
      </c>
      <c r="K3059">
        <v>0</v>
      </c>
      <c r="L3059">
        <v>7</v>
      </c>
      <c r="O3059">
        <v>7</v>
      </c>
      <c r="P3059">
        <v>0</v>
      </c>
      <c r="Q3059">
        <v>2</v>
      </c>
      <c r="R3059">
        <v>26.18</v>
      </c>
      <c r="S3059">
        <v>6</v>
      </c>
      <c r="T3059">
        <v>6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6</v>
      </c>
      <c r="AB3059">
        <v>0</v>
      </c>
      <c r="AC3059">
        <v>0</v>
      </c>
      <c r="AH3059">
        <v>32.18</v>
      </c>
    </row>
    <row r="3060" spans="1:34" x14ac:dyDescent="0.3">
      <c r="A3060" s="4">
        <v>3274</v>
      </c>
      <c r="B3060" s="5">
        <v>3053</v>
      </c>
      <c r="C3060">
        <v>15566</v>
      </c>
      <c r="D3060" t="s">
        <v>4803</v>
      </c>
      <c r="E3060" t="s">
        <v>3803</v>
      </c>
      <c r="F3060" t="s">
        <v>801</v>
      </c>
      <c r="G3060" t="s">
        <v>16284</v>
      </c>
      <c r="H3060">
        <v>20.149999999999999</v>
      </c>
      <c r="I3060">
        <v>0</v>
      </c>
      <c r="J3060">
        <v>0</v>
      </c>
      <c r="K3060">
        <v>0</v>
      </c>
      <c r="L3060">
        <v>7</v>
      </c>
      <c r="N3060">
        <v>3</v>
      </c>
      <c r="O3060">
        <v>10</v>
      </c>
      <c r="P3060">
        <v>0</v>
      </c>
      <c r="Q3060">
        <v>2</v>
      </c>
      <c r="R3060">
        <v>32.15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H3060">
        <v>32.15</v>
      </c>
    </row>
    <row r="3061" spans="1:34" x14ac:dyDescent="0.3">
      <c r="A3061" s="4">
        <v>3275</v>
      </c>
      <c r="B3061" s="5">
        <v>3054</v>
      </c>
      <c r="C3061">
        <v>8051</v>
      </c>
      <c r="D3061" t="s">
        <v>13814</v>
      </c>
      <c r="E3061" t="s">
        <v>283</v>
      </c>
      <c r="F3061" t="s">
        <v>17</v>
      </c>
      <c r="G3061" t="s">
        <v>16285</v>
      </c>
      <c r="H3061">
        <v>16.13</v>
      </c>
      <c r="I3061">
        <v>0</v>
      </c>
      <c r="J3061">
        <v>0</v>
      </c>
      <c r="K3061">
        <v>0</v>
      </c>
      <c r="O3061">
        <v>0</v>
      </c>
      <c r="P3061">
        <v>4</v>
      </c>
      <c r="Q3061">
        <v>0</v>
      </c>
      <c r="R3061">
        <v>20.13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12</v>
      </c>
      <c r="AC3061">
        <v>0</v>
      </c>
      <c r="AH3061">
        <v>32.130000000000003</v>
      </c>
    </row>
    <row r="3062" spans="1:34" x14ac:dyDescent="0.3">
      <c r="A3062" s="4">
        <v>3276</v>
      </c>
      <c r="B3062" s="5">
        <v>3055</v>
      </c>
      <c r="C3062">
        <v>12416</v>
      </c>
      <c r="D3062" t="s">
        <v>16286</v>
      </c>
      <c r="E3062" t="s">
        <v>97</v>
      </c>
      <c r="F3062" t="s">
        <v>17</v>
      </c>
      <c r="G3062" t="s">
        <v>16287</v>
      </c>
      <c r="H3062">
        <v>19.13</v>
      </c>
      <c r="I3062">
        <v>0</v>
      </c>
      <c r="J3062">
        <v>0</v>
      </c>
      <c r="K3062">
        <v>0</v>
      </c>
      <c r="L3062">
        <v>7</v>
      </c>
      <c r="O3062">
        <v>7</v>
      </c>
      <c r="P3062">
        <v>4</v>
      </c>
      <c r="Q3062">
        <v>2</v>
      </c>
      <c r="R3062">
        <v>32.130000000000003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H3062">
        <v>32.130000000000003</v>
      </c>
    </row>
    <row r="3063" spans="1:34" x14ac:dyDescent="0.3">
      <c r="A3063" s="4">
        <v>3277</v>
      </c>
      <c r="B3063" s="5">
        <v>3056</v>
      </c>
      <c r="C3063">
        <v>8181</v>
      </c>
      <c r="D3063" t="s">
        <v>16288</v>
      </c>
      <c r="E3063" t="s">
        <v>178</v>
      </c>
      <c r="F3063" t="s">
        <v>230</v>
      </c>
      <c r="G3063" t="s">
        <v>16289</v>
      </c>
      <c r="H3063">
        <v>17.100000000000001</v>
      </c>
      <c r="I3063">
        <v>0</v>
      </c>
      <c r="J3063">
        <v>0</v>
      </c>
      <c r="K3063">
        <v>0</v>
      </c>
      <c r="N3063">
        <v>3</v>
      </c>
      <c r="O3063">
        <v>3</v>
      </c>
      <c r="P3063">
        <v>4</v>
      </c>
      <c r="Q3063">
        <v>2</v>
      </c>
      <c r="R3063">
        <v>26.1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6</v>
      </c>
      <c r="AC3063">
        <v>0</v>
      </c>
      <c r="AH3063">
        <v>32.1</v>
      </c>
    </row>
    <row r="3064" spans="1:34" x14ac:dyDescent="0.3">
      <c r="A3064" s="4">
        <v>3278</v>
      </c>
      <c r="B3064" s="5">
        <v>3057</v>
      </c>
      <c r="C3064">
        <v>4776</v>
      </c>
      <c r="D3064" t="s">
        <v>4841</v>
      </c>
      <c r="E3064" t="s">
        <v>7954</v>
      </c>
      <c r="F3064" t="s">
        <v>416</v>
      </c>
      <c r="G3064" t="s">
        <v>16290</v>
      </c>
      <c r="H3064">
        <v>16.100000000000001</v>
      </c>
      <c r="I3064">
        <v>0</v>
      </c>
      <c r="J3064">
        <v>0</v>
      </c>
      <c r="K3064">
        <v>0</v>
      </c>
      <c r="N3064">
        <v>6</v>
      </c>
      <c r="O3064">
        <v>6</v>
      </c>
      <c r="P3064">
        <v>4</v>
      </c>
      <c r="Q3064">
        <v>0</v>
      </c>
      <c r="R3064">
        <v>26.1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6</v>
      </c>
      <c r="AC3064">
        <v>0</v>
      </c>
      <c r="AH3064">
        <v>32.1</v>
      </c>
    </row>
    <row r="3065" spans="1:34" x14ac:dyDescent="0.3">
      <c r="A3065" s="4">
        <v>3279</v>
      </c>
      <c r="B3065" s="5">
        <v>3058</v>
      </c>
      <c r="C3065">
        <v>4936</v>
      </c>
      <c r="D3065" t="s">
        <v>16291</v>
      </c>
      <c r="E3065" t="s">
        <v>15231</v>
      </c>
      <c r="F3065" t="s">
        <v>972</v>
      </c>
      <c r="G3065" t="s">
        <v>16292</v>
      </c>
      <c r="H3065">
        <v>16.100000000000001</v>
      </c>
      <c r="I3065">
        <v>0</v>
      </c>
      <c r="J3065">
        <v>0</v>
      </c>
      <c r="K3065">
        <v>0</v>
      </c>
      <c r="L3065">
        <v>7</v>
      </c>
      <c r="O3065">
        <v>7</v>
      </c>
      <c r="P3065">
        <v>4</v>
      </c>
      <c r="Q3065">
        <v>0</v>
      </c>
      <c r="R3065">
        <v>27.1</v>
      </c>
      <c r="S3065">
        <v>2</v>
      </c>
      <c r="T3065">
        <v>2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2</v>
      </c>
      <c r="AB3065">
        <v>3</v>
      </c>
      <c r="AC3065">
        <v>0</v>
      </c>
      <c r="AH3065">
        <v>32.1</v>
      </c>
    </row>
    <row r="3066" spans="1:34" x14ac:dyDescent="0.3">
      <c r="A3066" s="4">
        <v>3280</v>
      </c>
      <c r="B3066" s="5">
        <v>3059</v>
      </c>
      <c r="C3066">
        <v>10666</v>
      </c>
      <c r="D3066" t="s">
        <v>16293</v>
      </c>
      <c r="E3066" t="s">
        <v>26</v>
      </c>
      <c r="F3066" t="s">
        <v>124</v>
      </c>
      <c r="G3066" t="s">
        <v>16294</v>
      </c>
      <c r="H3066">
        <v>21.1</v>
      </c>
      <c r="I3066">
        <v>0</v>
      </c>
      <c r="J3066">
        <v>0</v>
      </c>
      <c r="K3066">
        <v>0</v>
      </c>
      <c r="L3066">
        <v>7</v>
      </c>
      <c r="O3066">
        <v>7</v>
      </c>
      <c r="P3066">
        <v>4</v>
      </c>
      <c r="Q3066">
        <v>0</v>
      </c>
      <c r="R3066">
        <v>32.1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H3066">
        <v>32.1</v>
      </c>
    </row>
    <row r="3067" spans="1:34" x14ac:dyDescent="0.3">
      <c r="A3067" s="4">
        <v>3281</v>
      </c>
      <c r="B3067" s="5">
        <v>3060</v>
      </c>
      <c r="C3067">
        <v>7506</v>
      </c>
      <c r="D3067" t="s">
        <v>16295</v>
      </c>
      <c r="E3067" t="s">
        <v>560</v>
      </c>
      <c r="F3067" t="s">
        <v>68</v>
      </c>
      <c r="G3067" t="s">
        <v>16296</v>
      </c>
      <c r="H3067">
        <v>21.08</v>
      </c>
      <c r="I3067">
        <v>0</v>
      </c>
      <c r="J3067">
        <v>0</v>
      </c>
      <c r="K3067">
        <v>0</v>
      </c>
      <c r="L3067">
        <v>7</v>
      </c>
      <c r="O3067">
        <v>7</v>
      </c>
      <c r="P3067">
        <v>4</v>
      </c>
      <c r="Q3067">
        <v>0</v>
      </c>
      <c r="R3067">
        <v>32.08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H3067">
        <v>32.08</v>
      </c>
    </row>
    <row r="3068" spans="1:34" x14ac:dyDescent="0.3">
      <c r="A3068" s="4">
        <v>3282</v>
      </c>
      <c r="B3068" s="5">
        <v>3061</v>
      </c>
      <c r="C3068">
        <v>2574</v>
      </c>
      <c r="D3068" t="s">
        <v>16297</v>
      </c>
      <c r="E3068" t="s">
        <v>255</v>
      </c>
      <c r="F3068" t="s">
        <v>5614</v>
      </c>
      <c r="G3068" t="s">
        <v>16298</v>
      </c>
      <c r="H3068">
        <v>19.079999999999998</v>
      </c>
      <c r="I3068">
        <v>0</v>
      </c>
      <c r="J3068">
        <v>0</v>
      </c>
      <c r="K3068">
        <v>0</v>
      </c>
      <c r="L3068">
        <v>7</v>
      </c>
      <c r="O3068">
        <v>7</v>
      </c>
      <c r="P3068">
        <v>4</v>
      </c>
      <c r="Q3068">
        <v>2</v>
      </c>
      <c r="R3068">
        <v>32.08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H3068">
        <v>32.08</v>
      </c>
    </row>
    <row r="3069" spans="1:34" x14ac:dyDescent="0.3">
      <c r="A3069" s="4">
        <v>3283</v>
      </c>
      <c r="B3069" s="5">
        <v>3062</v>
      </c>
      <c r="C3069">
        <v>2721</v>
      </c>
      <c r="D3069" t="s">
        <v>16299</v>
      </c>
      <c r="E3069" t="s">
        <v>328</v>
      </c>
      <c r="F3069" t="s">
        <v>81</v>
      </c>
      <c r="G3069" t="s">
        <v>16300</v>
      </c>
      <c r="H3069">
        <v>18.079999999999998</v>
      </c>
      <c r="I3069">
        <v>0</v>
      </c>
      <c r="J3069">
        <v>0</v>
      </c>
      <c r="K3069">
        <v>0</v>
      </c>
      <c r="L3069">
        <v>7</v>
      </c>
      <c r="N3069">
        <v>3</v>
      </c>
      <c r="O3069">
        <v>10</v>
      </c>
      <c r="P3069">
        <v>4</v>
      </c>
      <c r="Q3069">
        <v>0</v>
      </c>
      <c r="R3069">
        <v>32.08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H3069">
        <v>32.08</v>
      </c>
    </row>
    <row r="3070" spans="1:34" x14ac:dyDescent="0.3">
      <c r="A3070" s="4">
        <v>3284</v>
      </c>
      <c r="B3070" s="5">
        <v>3063</v>
      </c>
      <c r="C3070">
        <v>1683</v>
      </c>
      <c r="D3070" t="s">
        <v>10685</v>
      </c>
      <c r="E3070" t="s">
        <v>143</v>
      </c>
      <c r="F3070" t="s">
        <v>2225</v>
      </c>
      <c r="G3070" t="s">
        <v>16301</v>
      </c>
      <c r="H3070">
        <v>21.05</v>
      </c>
      <c r="I3070">
        <v>0</v>
      </c>
      <c r="J3070">
        <v>0</v>
      </c>
      <c r="K3070">
        <v>0</v>
      </c>
      <c r="L3070">
        <v>7</v>
      </c>
      <c r="O3070">
        <v>7</v>
      </c>
      <c r="P3070">
        <v>4</v>
      </c>
      <c r="Q3070">
        <v>0</v>
      </c>
      <c r="R3070">
        <v>32.049999999999997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H3070">
        <v>32.049999999999997</v>
      </c>
    </row>
    <row r="3071" spans="1:34" x14ac:dyDescent="0.3">
      <c r="A3071" s="4">
        <v>3285</v>
      </c>
      <c r="B3071" s="5">
        <v>3064</v>
      </c>
      <c r="C3071">
        <v>4025</v>
      </c>
      <c r="D3071" t="s">
        <v>5359</v>
      </c>
      <c r="E3071" t="s">
        <v>403</v>
      </c>
      <c r="F3071" t="s">
        <v>227</v>
      </c>
      <c r="G3071" t="s">
        <v>16302</v>
      </c>
      <c r="H3071">
        <v>21.05</v>
      </c>
      <c r="I3071">
        <v>0</v>
      </c>
      <c r="J3071">
        <v>0</v>
      </c>
      <c r="K3071">
        <v>0</v>
      </c>
      <c r="L3071">
        <v>7</v>
      </c>
      <c r="O3071">
        <v>7</v>
      </c>
      <c r="P3071">
        <v>4</v>
      </c>
      <c r="Q3071">
        <v>0</v>
      </c>
      <c r="R3071">
        <v>32.049999999999997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H3071">
        <v>32.049999999999997</v>
      </c>
    </row>
    <row r="3072" spans="1:34" x14ac:dyDescent="0.3">
      <c r="A3072" s="4">
        <v>3286</v>
      </c>
      <c r="B3072" s="5">
        <v>3065</v>
      </c>
      <c r="C3072">
        <v>14253</v>
      </c>
      <c r="D3072" t="s">
        <v>16303</v>
      </c>
      <c r="E3072" t="s">
        <v>479</v>
      </c>
      <c r="F3072" t="s">
        <v>230</v>
      </c>
      <c r="G3072" t="s">
        <v>16304</v>
      </c>
      <c r="H3072">
        <v>18.05</v>
      </c>
      <c r="I3072">
        <v>0</v>
      </c>
      <c r="J3072">
        <v>0</v>
      </c>
      <c r="K3072">
        <v>0</v>
      </c>
      <c r="M3072">
        <v>10</v>
      </c>
      <c r="O3072">
        <v>10</v>
      </c>
      <c r="P3072">
        <v>4</v>
      </c>
      <c r="Q3072">
        <v>0</v>
      </c>
      <c r="R3072">
        <v>32.049999999999997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H3072">
        <v>32.049999999999997</v>
      </c>
    </row>
    <row r="3073" spans="1:34" x14ac:dyDescent="0.3">
      <c r="A3073" s="4">
        <v>3287</v>
      </c>
      <c r="B3073" s="5">
        <v>3066</v>
      </c>
      <c r="C3073">
        <v>8582</v>
      </c>
      <c r="D3073" t="s">
        <v>3423</v>
      </c>
      <c r="E3073" t="s">
        <v>1280</v>
      </c>
      <c r="F3073" t="s">
        <v>16305</v>
      </c>
      <c r="G3073" t="s">
        <v>16306</v>
      </c>
      <c r="H3073">
        <v>18.05</v>
      </c>
      <c r="I3073">
        <v>0</v>
      </c>
      <c r="J3073">
        <v>0</v>
      </c>
      <c r="K3073">
        <v>0</v>
      </c>
      <c r="L3073">
        <v>7</v>
      </c>
      <c r="N3073">
        <v>3</v>
      </c>
      <c r="O3073">
        <v>10</v>
      </c>
      <c r="P3073">
        <v>4</v>
      </c>
      <c r="Q3073">
        <v>0</v>
      </c>
      <c r="R3073">
        <v>32.049999999999997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H3073">
        <v>32.049999999999997</v>
      </c>
    </row>
    <row r="3074" spans="1:34" x14ac:dyDescent="0.3">
      <c r="A3074" s="4">
        <v>3288</v>
      </c>
      <c r="B3074" s="5">
        <v>3067</v>
      </c>
      <c r="C3074">
        <v>6403</v>
      </c>
      <c r="D3074" t="s">
        <v>16307</v>
      </c>
      <c r="E3074" t="s">
        <v>2538</v>
      </c>
      <c r="F3074" t="s">
        <v>328</v>
      </c>
      <c r="G3074" t="s">
        <v>16308</v>
      </c>
      <c r="H3074">
        <v>21.03</v>
      </c>
      <c r="I3074">
        <v>0</v>
      </c>
      <c r="J3074">
        <v>0</v>
      </c>
      <c r="K3074">
        <v>0</v>
      </c>
      <c r="M3074">
        <v>5</v>
      </c>
      <c r="O3074">
        <v>5</v>
      </c>
      <c r="P3074">
        <v>4</v>
      </c>
      <c r="Q3074">
        <v>2</v>
      </c>
      <c r="R3074">
        <v>32.03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H3074">
        <v>32.03</v>
      </c>
    </row>
    <row r="3075" spans="1:34" x14ac:dyDescent="0.3">
      <c r="A3075" s="4">
        <v>3289</v>
      </c>
      <c r="B3075" s="5">
        <v>3068</v>
      </c>
      <c r="C3075">
        <v>11723</v>
      </c>
      <c r="D3075" t="s">
        <v>16309</v>
      </c>
      <c r="E3075" t="s">
        <v>170</v>
      </c>
      <c r="F3075" t="s">
        <v>17</v>
      </c>
      <c r="G3075" t="s">
        <v>16310</v>
      </c>
      <c r="H3075">
        <v>19.03</v>
      </c>
      <c r="I3075">
        <v>0</v>
      </c>
      <c r="J3075">
        <v>0</v>
      </c>
      <c r="K3075">
        <v>0</v>
      </c>
      <c r="L3075">
        <v>7</v>
      </c>
      <c r="O3075">
        <v>7</v>
      </c>
      <c r="P3075">
        <v>4</v>
      </c>
      <c r="Q3075">
        <v>2</v>
      </c>
      <c r="R3075">
        <v>32.03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H3075">
        <v>32.03</v>
      </c>
    </row>
    <row r="3076" spans="1:34" x14ac:dyDescent="0.3">
      <c r="A3076" s="4">
        <v>3290</v>
      </c>
      <c r="B3076" s="5">
        <v>3069</v>
      </c>
      <c r="C3076">
        <v>5195</v>
      </c>
      <c r="D3076" t="s">
        <v>16311</v>
      </c>
      <c r="E3076" t="s">
        <v>575</v>
      </c>
      <c r="F3076" t="s">
        <v>117</v>
      </c>
      <c r="G3076" t="s">
        <v>16312</v>
      </c>
      <c r="H3076">
        <v>19.03</v>
      </c>
      <c r="I3076">
        <v>0</v>
      </c>
      <c r="J3076">
        <v>0</v>
      </c>
      <c r="K3076">
        <v>0</v>
      </c>
      <c r="L3076">
        <v>7</v>
      </c>
      <c r="O3076">
        <v>7</v>
      </c>
      <c r="P3076">
        <v>4</v>
      </c>
      <c r="Q3076">
        <v>2</v>
      </c>
      <c r="R3076">
        <v>32.03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H3076">
        <v>32.03</v>
      </c>
    </row>
    <row r="3077" spans="1:34" x14ac:dyDescent="0.3">
      <c r="A3077" s="4">
        <v>3291</v>
      </c>
      <c r="B3077" s="5">
        <v>3070</v>
      </c>
      <c r="C3077">
        <v>14290</v>
      </c>
      <c r="D3077" t="s">
        <v>1299</v>
      </c>
      <c r="E3077" t="s">
        <v>188</v>
      </c>
      <c r="F3077" t="s">
        <v>17</v>
      </c>
      <c r="G3077" t="s">
        <v>16313</v>
      </c>
      <c r="H3077">
        <v>19</v>
      </c>
      <c r="I3077">
        <v>0</v>
      </c>
      <c r="J3077">
        <v>0</v>
      </c>
      <c r="K3077">
        <v>0</v>
      </c>
      <c r="L3077">
        <v>7</v>
      </c>
      <c r="O3077">
        <v>7</v>
      </c>
      <c r="P3077">
        <v>4</v>
      </c>
      <c r="Q3077">
        <v>2</v>
      </c>
      <c r="R3077">
        <v>32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H3077">
        <v>32</v>
      </c>
    </row>
    <row r="3078" spans="1:34" x14ac:dyDescent="0.3">
      <c r="A3078" s="4">
        <v>3292</v>
      </c>
      <c r="B3078" s="5">
        <v>3071</v>
      </c>
      <c r="C3078">
        <v>9222</v>
      </c>
      <c r="D3078" t="s">
        <v>16314</v>
      </c>
      <c r="E3078" t="s">
        <v>8016</v>
      </c>
      <c r="F3078" t="s">
        <v>649</v>
      </c>
      <c r="G3078" t="s">
        <v>16315</v>
      </c>
      <c r="H3078">
        <v>18</v>
      </c>
      <c r="I3078">
        <v>0</v>
      </c>
      <c r="J3078">
        <v>0</v>
      </c>
      <c r="K3078">
        <v>0</v>
      </c>
      <c r="L3078">
        <v>7</v>
      </c>
      <c r="N3078">
        <v>3</v>
      </c>
      <c r="O3078">
        <v>10</v>
      </c>
      <c r="P3078">
        <v>4</v>
      </c>
      <c r="Q3078">
        <v>0</v>
      </c>
      <c r="R3078">
        <v>32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H3078">
        <v>32</v>
      </c>
    </row>
    <row r="3079" spans="1:34" x14ac:dyDescent="0.3">
      <c r="A3079" s="4">
        <v>3293</v>
      </c>
      <c r="B3079" s="5">
        <v>3072</v>
      </c>
      <c r="C3079">
        <v>2278</v>
      </c>
      <c r="D3079" t="s">
        <v>16316</v>
      </c>
      <c r="E3079" t="s">
        <v>48</v>
      </c>
      <c r="F3079" t="s">
        <v>442</v>
      </c>
      <c r="G3079" t="s">
        <v>16317</v>
      </c>
      <c r="H3079">
        <v>20.98</v>
      </c>
      <c r="I3079">
        <v>0</v>
      </c>
      <c r="J3079">
        <v>0</v>
      </c>
      <c r="K3079">
        <v>0</v>
      </c>
      <c r="L3079">
        <v>7</v>
      </c>
      <c r="O3079">
        <v>7</v>
      </c>
      <c r="P3079">
        <v>4</v>
      </c>
      <c r="Q3079">
        <v>0</v>
      </c>
      <c r="R3079">
        <v>31.98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H3079">
        <v>31.98</v>
      </c>
    </row>
    <row r="3080" spans="1:34" x14ac:dyDescent="0.3">
      <c r="A3080" s="4">
        <v>3294</v>
      </c>
      <c r="B3080" s="5">
        <v>3073</v>
      </c>
      <c r="C3080">
        <v>13370</v>
      </c>
      <c r="D3080" t="s">
        <v>16318</v>
      </c>
      <c r="E3080" t="s">
        <v>1168</v>
      </c>
      <c r="F3080" t="s">
        <v>230</v>
      </c>
      <c r="G3080" t="s">
        <v>16319</v>
      </c>
      <c r="H3080">
        <v>18.98</v>
      </c>
      <c r="I3080">
        <v>0</v>
      </c>
      <c r="J3080">
        <v>0</v>
      </c>
      <c r="K3080">
        <v>0</v>
      </c>
      <c r="L3080">
        <v>7</v>
      </c>
      <c r="O3080">
        <v>7</v>
      </c>
      <c r="P3080">
        <v>4</v>
      </c>
      <c r="Q3080">
        <v>2</v>
      </c>
      <c r="R3080">
        <v>31.98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H3080">
        <v>31.98</v>
      </c>
    </row>
    <row r="3081" spans="1:34" x14ac:dyDescent="0.3">
      <c r="A3081" s="4">
        <v>3295</v>
      </c>
      <c r="B3081" s="5">
        <v>3074</v>
      </c>
      <c r="C3081">
        <v>4596</v>
      </c>
      <c r="D3081" t="s">
        <v>16320</v>
      </c>
      <c r="E3081" t="s">
        <v>16321</v>
      </c>
      <c r="F3081" t="s">
        <v>2855</v>
      </c>
      <c r="G3081" t="s">
        <v>16322</v>
      </c>
      <c r="H3081">
        <v>17.98</v>
      </c>
      <c r="I3081">
        <v>0</v>
      </c>
      <c r="J3081">
        <v>0</v>
      </c>
      <c r="K3081">
        <v>0</v>
      </c>
      <c r="L3081">
        <v>7</v>
      </c>
      <c r="N3081">
        <v>3</v>
      </c>
      <c r="O3081">
        <v>10</v>
      </c>
      <c r="P3081">
        <v>4</v>
      </c>
      <c r="Q3081">
        <v>0</v>
      </c>
      <c r="R3081">
        <v>31.98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H3081">
        <v>31.98</v>
      </c>
    </row>
    <row r="3082" spans="1:34" x14ac:dyDescent="0.3">
      <c r="A3082" s="4">
        <v>3296</v>
      </c>
      <c r="B3082" s="5">
        <v>3075</v>
      </c>
      <c r="C3082">
        <v>13934</v>
      </c>
      <c r="D3082" t="s">
        <v>16323</v>
      </c>
      <c r="E3082" t="s">
        <v>2595</v>
      </c>
      <c r="F3082" t="s">
        <v>16324</v>
      </c>
      <c r="G3082">
        <v>7801176</v>
      </c>
      <c r="H3082">
        <v>20.98</v>
      </c>
      <c r="I3082">
        <v>0</v>
      </c>
      <c r="J3082">
        <v>0</v>
      </c>
      <c r="K3082">
        <v>0</v>
      </c>
      <c r="M3082">
        <v>5</v>
      </c>
      <c r="O3082">
        <v>5</v>
      </c>
      <c r="P3082">
        <v>0</v>
      </c>
      <c r="Q3082">
        <v>0</v>
      </c>
      <c r="R3082">
        <v>25.98</v>
      </c>
      <c r="S3082">
        <v>6</v>
      </c>
      <c r="T3082">
        <v>6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6</v>
      </c>
      <c r="AB3082">
        <v>0</v>
      </c>
      <c r="AC3082">
        <v>0</v>
      </c>
      <c r="AH3082">
        <v>31.98</v>
      </c>
    </row>
    <row r="3083" spans="1:34" x14ac:dyDescent="0.3">
      <c r="A3083" s="4">
        <v>3297</v>
      </c>
      <c r="B3083" s="5">
        <v>3076</v>
      </c>
      <c r="C3083">
        <v>12369</v>
      </c>
      <c r="D3083" t="s">
        <v>4968</v>
      </c>
      <c r="E3083" t="s">
        <v>406</v>
      </c>
      <c r="F3083" t="s">
        <v>55</v>
      </c>
      <c r="G3083" t="s">
        <v>16325</v>
      </c>
      <c r="H3083">
        <v>19.95</v>
      </c>
      <c r="I3083">
        <v>0</v>
      </c>
      <c r="J3083">
        <v>0</v>
      </c>
      <c r="K3083">
        <v>0</v>
      </c>
      <c r="L3083">
        <v>7</v>
      </c>
      <c r="N3083">
        <v>3</v>
      </c>
      <c r="O3083">
        <v>10</v>
      </c>
      <c r="P3083">
        <v>0</v>
      </c>
      <c r="Q3083">
        <v>2</v>
      </c>
      <c r="R3083">
        <v>31.95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H3083">
        <v>31.95</v>
      </c>
    </row>
    <row r="3084" spans="1:34" x14ac:dyDescent="0.3">
      <c r="A3084" s="4">
        <v>3298</v>
      </c>
      <c r="B3084" s="5">
        <v>3077</v>
      </c>
      <c r="C3084">
        <v>1686</v>
      </c>
      <c r="D3084" t="s">
        <v>16326</v>
      </c>
      <c r="E3084" t="s">
        <v>188</v>
      </c>
      <c r="F3084" t="s">
        <v>20</v>
      </c>
      <c r="G3084" t="s">
        <v>16327</v>
      </c>
      <c r="H3084">
        <v>17.95</v>
      </c>
      <c r="I3084">
        <v>0</v>
      </c>
      <c r="J3084">
        <v>0</v>
      </c>
      <c r="K3084">
        <v>0</v>
      </c>
      <c r="L3084">
        <v>7</v>
      </c>
      <c r="N3084">
        <v>3</v>
      </c>
      <c r="O3084">
        <v>10</v>
      </c>
      <c r="P3084">
        <v>4</v>
      </c>
      <c r="Q3084">
        <v>0</v>
      </c>
      <c r="R3084">
        <v>31.95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H3084">
        <v>31.95</v>
      </c>
    </row>
    <row r="3085" spans="1:34" x14ac:dyDescent="0.3">
      <c r="A3085" s="4">
        <v>3299</v>
      </c>
      <c r="B3085" s="5">
        <v>3078</v>
      </c>
      <c r="C3085">
        <v>4925</v>
      </c>
      <c r="D3085" t="s">
        <v>16328</v>
      </c>
      <c r="E3085" t="s">
        <v>406</v>
      </c>
      <c r="F3085" t="s">
        <v>17</v>
      </c>
      <c r="G3085" t="s">
        <v>16329</v>
      </c>
      <c r="H3085">
        <v>20.93</v>
      </c>
      <c r="I3085">
        <v>0</v>
      </c>
      <c r="J3085">
        <v>0</v>
      </c>
      <c r="K3085">
        <v>0</v>
      </c>
      <c r="L3085">
        <v>7</v>
      </c>
      <c r="O3085">
        <v>7</v>
      </c>
      <c r="P3085">
        <v>4</v>
      </c>
      <c r="Q3085">
        <v>0</v>
      </c>
      <c r="R3085">
        <v>31.93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H3085">
        <v>31.93</v>
      </c>
    </row>
    <row r="3086" spans="1:34" x14ac:dyDescent="0.3">
      <c r="A3086" s="4">
        <v>3300</v>
      </c>
      <c r="B3086" s="5">
        <v>3079</v>
      </c>
      <c r="C3086">
        <v>14907</v>
      </c>
      <c r="D3086" t="s">
        <v>16330</v>
      </c>
      <c r="E3086" t="s">
        <v>33</v>
      </c>
      <c r="F3086" t="s">
        <v>190</v>
      </c>
      <c r="G3086" t="s">
        <v>16331</v>
      </c>
      <c r="H3086">
        <v>21.9</v>
      </c>
      <c r="I3086">
        <v>0</v>
      </c>
      <c r="J3086">
        <v>0</v>
      </c>
      <c r="K3086">
        <v>0</v>
      </c>
      <c r="L3086">
        <v>7</v>
      </c>
      <c r="N3086">
        <v>3</v>
      </c>
      <c r="O3086">
        <v>10</v>
      </c>
      <c r="P3086">
        <v>0</v>
      </c>
      <c r="Q3086">
        <v>0</v>
      </c>
      <c r="R3086">
        <v>31.9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H3086">
        <v>31.9</v>
      </c>
    </row>
    <row r="3087" spans="1:34" x14ac:dyDescent="0.3">
      <c r="A3087" s="4">
        <v>3301</v>
      </c>
      <c r="B3087" s="5">
        <v>3080</v>
      </c>
      <c r="C3087">
        <v>13708</v>
      </c>
      <c r="D3087" t="s">
        <v>16332</v>
      </c>
      <c r="E3087" t="s">
        <v>41</v>
      </c>
      <c r="F3087" t="s">
        <v>68</v>
      </c>
      <c r="G3087" t="s">
        <v>16333</v>
      </c>
      <c r="H3087">
        <v>18.899999999999999</v>
      </c>
      <c r="I3087">
        <v>0</v>
      </c>
      <c r="J3087">
        <v>0</v>
      </c>
      <c r="K3087">
        <v>0</v>
      </c>
      <c r="L3087">
        <v>7</v>
      </c>
      <c r="O3087">
        <v>7</v>
      </c>
      <c r="P3087">
        <v>4</v>
      </c>
      <c r="Q3087">
        <v>2</v>
      </c>
      <c r="R3087">
        <v>31.9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H3087">
        <v>31.9</v>
      </c>
    </row>
    <row r="3088" spans="1:34" x14ac:dyDescent="0.3">
      <c r="A3088" s="4">
        <v>3302</v>
      </c>
      <c r="B3088" s="5">
        <v>3081</v>
      </c>
      <c r="C3088">
        <v>8291</v>
      </c>
      <c r="D3088" t="s">
        <v>221</v>
      </c>
      <c r="E3088" t="s">
        <v>1975</v>
      </c>
      <c r="F3088" t="s">
        <v>91</v>
      </c>
      <c r="G3088" t="s">
        <v>16334</v>
      </c>
      <c r="H3088">
        <v>17.899999999999999</v>
      </c>
      <c r="I3088">
        <v>0</v>
      </c>
      <c r="J3088">
        <v>0</v>
      </c>
      <c r="K3088">
        <v>0</v>
      </c>
      <c r="L3088">
        <v>7</v>
      </c>
      <c r="N3088">
        <v>3</v>
      </c>
      <c r="O3088">
        <v>10</v>
      </c>
      <c r="P3088">
        <v>4</v>
      </c>
      <c r="Q3088">
        <v>0</v>
      </c>
      <c r="R3088">
        <v>31.9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H3088">
        <v>31.9</v>
      </c>
    </row>
    <row r="3089" spans="1:34" x14ac:dyDescent="0.3">
      <c r="A3089" s="4">
        <v>3303</v>
      </c>
      <c r="B3089" s="5">
        <v>3082</v>
      </c>
      <c r="C3089">
        <v>823</v>
      </c>
      <c r="D3089" t="s">
        <v>16335</v>
      </c>
      <c r="E3089" t="s">
        <v>16336</v>
      </c>
      <c r="F3089" t="s">
        <v>17</v>
      </c>
      <c r="G3089" t="s">
        <v>16337</v>
      </c>
      <c r="H3089">
        <v>21.88</v>
      </c>
      <c r="I3089">
        <v>0</v>
      </c>
      <c r="J3089">
        <v>0</v>
      </c>
      <c r="K3089">
        <v>0</v>
      </c>
      <c r="L3089">
        <v>7</v>
      </c>
      <c r="N3089">
        <v>3</v>
      </c>
      <c r="O3089">
        <v>10</v>
      </c>
      <c r="P3089">
        <v>0</v>
      </c>
      <c r="Q3089">
        <v>0</v>
      </c>
      <c r="R3089">
        <v>31.88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H3089">
        <v>31.88</v>
      </c>
    </row>
    <row r="3090" spans="1:34" x14ac:dyDescent="0.3">
      <c r="A3090" s="4">
        <v>3304</v>
      </c>
      <c r="B3090" s="5">
        <v>3083</v>
      </c>
      <c r="C3090">
        <v>15521</v>
      </c>
      <c r="D3090" t="s">
        <v>1530</v>
      </c>
      <c r="E3090" t="s">
        <v>400</v>
      </c>
      <c r="F3090" t="s">
        <v>17</v>
      </c>
      <c r="G3090" t="s">
        <v>16338</v>
      </c>
      <c r="H3090">
        <v>17.88</v>
      </c>
      <c r="I3090">
        <v>0</v>
      </c>
      <c r="J3090">
        <v>0</v>
      </c>
      <c r="K3090">
        <v>0</v>
      </c>
      <c r="L3090">
        <v>7</v>
      </c>
      <c r="N3090">
        <v>3</v>
      </c>
      <c r="O3090">
        <v>10</v>
      </c>
      <c r="P3090">
        <v>4</v>
      </c>
      <c r="Q3090">
        <v>0</v>
      </c>
      <c r="R3090">
        <v>31.88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H3090">
        <v>31.88</v>
      </c>
    </row>
    <row r="3091" spans="1:34" x14ac:dyDescent="0.3">
      <c r="A3091" s="4">
        <v>3305</v>
      </c>
      <c r="B3091" s="5">
        <v>3084</v>
      </c>
      <c r="C3091">
        <v>813</v>
      </c>
      <c r="D3091" t="s">
        <v>16339</v>
      </c>
      <c r="E3091" t="s">
        <v>471</v>
      </c>
      <c r="F3091" t="s">
        <v>2855</v>
      </c>
      <c r="G3091" t="s">
        <v>16340</v>
      </c>
      <c r="H3091">
        <v>15.85</v>
      </c>
      <c r="I3091">
        <v>0</v>
      </c>
      <c r="J3091">
        <v>0</v>
      </c>
      <c r="K3091">
        <v>0</v>
      </c>
      <c r="N3091">
        <v>6</v>
      </c>
      <c r="O3091">
        <v>6</v>
      </c>
      <c r="P3091">
        <v>4</v>
      </c>
      <c r="Q3091">
        <v>0</v>
      </c>
      <c r="R3091">
        <v>25.85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6</v>
      </c>
      <c r="AC3091">
        <v>0</v>
      </c>
      <c r="AH3091">
        <v>31.85</v>
      </c>
    </row>
    <row r="3092" spans="1:34" x14ac:dyDescent="0.3">
      <c r="A3092" s="4">
        <v>3306</v>
      </c>
      <c r="B3092" s="5">
        <v>3085</v>
      </c>
      <c r="C3092">
        <v>1763</v>
      </c>
      <c r="D3092" t="s">
        <v>16341</v>
      </c>
      <c r="E3092" t="s">
        <v>16342</v>
      </c>
      <c r="F3092" t="s">
        <v>68</v>
      </c>
      <c r="G3092" t="s">
        <v>16343</v>
      </c>
      <c r="H3092">
        <v>21.85</v>
      </c>
      <c r="I3092">
        <v>0</v>
      </c>
      <c r="J3092">
        <v>0</v>
      </c>
      <c r="K3092">
        <v>0</v>
      </c>
      <c r="L3092">
        <v>7</v>
      </c>
      <c r="N3092">
        <v>3</v>
      </c>
      <c r="O3092">
        <v>10</v>
      </c>
      <c r="P3092">
        <v>0</v>
      </c>
      <c r="Q3092">
        <v>0</v>
      </c>
      <c r="R3092">
        <v>31.85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H3092">
        <v>31.85</v>
      </c>
    </row>
    <row r="3093" spans="1:34" x14ac:dyDescent="0.3">
      <c r="A3093" s="4">
        <v>3307</v>
      </c>
      <c r="B3093" s="5">
        <v>3086</v>
      </c>
      <c r="C3093">
        <v>6477</v>
      </c>
      <c r="D3093" t="s">
        <v>16344</v>
      </c>
      <c r="E3093" t="s">
        <v>744</v>
      </c>
      <c r="F3093" t="s">
        <v>117</v>
      </c>
      <c r="G3093" t="s">
        <v>16345</v>
      </c>
      <c r="H3093">
        <v>20.85</v>
      </c>
      <c r="I3093">
        <v>0</v>
      </c>
      <c r="J3093">
        <v>0</v>
      </c>
      <c r="K3093">
        <v>0</v>
      </c>
      <c r="L3093">
        <v>7</v>
      </c>
      <c r="O3093">
        <v>7</v>
      </c>
      <c r="P3093">
        <v>4</v>
      </c>
      <c r="Q3093">
        <v>0</v>
      </c>
      <c r="R3093">
        <v>31.85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H3093">
        <v>31.85</v>
      </c>
    </row>
    <row r="3094" spans="1:34" x14ac:dyDescent="0.3">
      <c r="A3094" s="4">
        <v>3308</v>
      </c>
      <c r="B3094" s="5">
        <v>3087</v>
      </c>
      <c r="C3094">
        <v>6207</v>
      </c>
      <c r="D3094" t="s">
        <v>16346</v>
      </c>
      <c r="E3094" t="s">
        <v>22</v>
      </c>
      <c r="F3094" t="s">
        <v>91</v>
      </c>
      <c r="G3094" t="s">
        <v>16347</v>
      </c>
      <c r="H3094">
        <v>20.85</v>
      </c>
      <c r="I3094">
        <v>0</v>
      </c>
      <c r="J3094">
        <v>0</v>
      </c>
      <c r="K3094">
        <v>0</v>
      </c>
      <c r="L3094">
        <v>7</v>
      </c>
      <c r="O3094">
        <v>7</v>
      </c>
      <c r="P3094">
        <v>4</v>
      </c>
      <c r="Q3094">
        <v>0</v>
      </c>
      <c r="R3094">
        <v>31.85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H3094">
        <v>31.85</v>
      </c>
    </row>
    <row r="3095" spans="1:34" x14ac:dyDescent="0.3">
      <c r="A3095" s="4">
        <v>3309</v>
      </c>
      <c r="B3095" s="5">
        <v>3088</v>
      </c>
      <c r="C3095">
        <v>13331</v>
      </c>
      <c r="D3095" t="s">
        <v>16348</v>
      </c>
      <c r="E3095" t="s">
        <v>636</v>
      </c>
      <c r="F3095" t="s">
        <v>81</v>
      </c>
      <c r="G3095" t="s">
        <v>16349</v>
      </c>
      <c r="H3095">
        <v>20.85</v>
      </c>
      <c r="I3095">
        <v>0</v>
      </c>
      <c r="J3095">
        <v>0</v>
      </c>
      <c r="K3095">
        <v>0</v>
      </c>
      <c r="L3095">
        <v>7</v>
      </c>
      <c r="O3095">
        <v>7</v>
      </c>
      <c r="P3095">
        <v>4</v>
      </c>
      <c r="Q3095">
        <v>0</v>
      </c>
      <c r="R3095">
        <v>31.85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H3095">
        <v>31.85</v>
      </c>
    </row>
    <row r="3096" spans="1:34" x14ac:dyDescent="0.3">
      <c r="A3096" s="4">
        <v>3310</v>
      </c>
      <c r="B3096" s="5">
        <v>3089</v>
      </c>
      <c r="C3096">
        <v>10420</v>
      </c>
      <c r="D3096" t="s">
        <v>16350</v>
      </c>
      <c r="E3096" t="s">
        <v>115</v>
      </c>
      <c r="F3096" t="s">
        <v>20</v>
      </c>
      <c r="G3096" t="s">
        <v>16351</v>
      </c>
      <c r="H3096">
        <v>19.850000000000001</v>
      </c>
      <c r="I3096">
        <v>0</v>
      </c>
      <c r="J3096">
        <v>0</v>
      </c>
      <c r="K3096">
        <v>0</v>
      </c>
      <c r="N3096">
        <v>6</v>
      </c>
      <c r="O3096">
        <v>6</v>
      </c>
      <c r="P3096">
        <v>4</v>
      </c>
      <c r="Q3096">
        <v>2</v>
      </c>
      <c r="R3096">
        <v>31.85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H3096">
        <v>31.85</v>
      </c>
    </row>
    <row r="3097" spans="1:34" x14ac:dyDescent="0.3">
      <c r="A3097" s="4">
        <v>3311</v>
      </c>
      <c r="B3097" s="5">
        <v>3090</v>
      </c>
      <c r="C3097">
        <v>8686</v>
      </c>
      <c r="D3097" t="s">
        <v>16352</v>
      </c>
      <c r="E3097" t="s">
        <v>173</v>
      </c>
      <c r="F3097" t="s">
        <v>20</v>
      </c>
      <c r="G3097" t="s">
        <v>16353</v>
      </c>
      <c r="H3097">
        <v>18.850000000000001</v>
      </c>
      <c r="I3097">
        <v>0</v>
      </c>
      <c r="J3097">
        <v>0</v>
      </c>
      <c r="K3097">
        <v>0</v>
      </c>
      <c r="L3097">
        <v>7</v>
      </c>
      <c r="O3097">
        <v>7</v>
      </c>
      <c r="P3097">
        <v>4</v>
      </c>
      <c r="Q3097">
        <v>2</v>
      </c>
      <c r="R3097">
        <v>31.85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H3097">
        <v>31.85</v>
      </c>
    </row>
    <row r="3098" spans="1:34" x14ac:dyDescent="0.3">
      <c r="A3098" s="4">
        <v>3312</v>
      </c>
      <c r="B3098" s="5">
        <v>3091</v>
      </c>
      <c r="C3098">
        <v>7285</v>
      </c>
      <c r="D3098" t="s">
        <v>16354</v>
      </c>
      <c r="E3098" t="s">
        <v>16355</v>
      </c>
      <c r="F3098" t="s">
        <v>38</v>
      </c>
      <c r="G3098" t="s">
        <v>16356</v>
      </c>
      <c r="H3098">
        <v>20.83</v>
      </c>
      <c r="I3098">
        <v>0</v>
      </c>
      <c r="J3098">
        <v>0</v>
      </c>
      <c r="K3098">
        <v>0</v>
      </c>
      <c r="L3098">
        <v>7</v>
      </c>
      <c r="O3098">
        <v>7</v>
      </c>
      <c r="P3098">
        <v>4</v>
      </c>
      <c r="Q3098">
        <v>0</v>
      </c>
      <c r="R3098">
        <v>31.83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H3098">
        <v>31.83</v>
      </c>
    </row>
    <row r="3099" spans="1:34" x14ac:dyDescent="0.3">
      <c r="A3099" s="4">
        <v>3313</v>
      </c>
      <c r="B3099" s="5">
        <v>3092</v>
      </c>
      <c r="C3099">
        <v>7310</v>
      </c>
      <c r="D3099" t="s">
        <v>16357</v>
      </c>
      <c r="E3099" t="s">
        <v>5101</v>
      </c>
      <c r="F3099" t="s">
        <v>801</v>
      </c>
      <c r="G3099" t="s">
        <v>16358</v>
      </c>
      <c r="H3099">
        <v>17.829999999999998</v>
      </c>
      <c r="I3099">
        <v>0</v>
      </c>
      <c r="J3099">
        <v>0</v>
      </c>
      <c r="K3099">
        <v>0</v>
      </c>
      <c r="L3099">
        <v>7</v>
      </c>
      <c r="N3099">
        <v>3</v>
      </c>
      <c r="O3099">
        <v>10</v>
      </c>
      <c r="P3099">
        <v>4</v>
      </c>
      <c r="Q3099">
        <v>0</v>
      </c>
      <c r="R3099">
        <v>31.83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H3099">
        <v>31.83</v>
      </c>
    </row>
    <row r="3100" spans="1:34" x14ac:dyDescent="0.3">
      <c r="A3100" s="4">
        <v>3314</v>
      </c>
      <c r="B3100" s="5">
        <v>3093</v>
      </c>
      <c r="C3100">
        <v>4018</v>
      </c>
      <c r="D3100" t="s">
        <v>1462</v>
      </c>
      <c r="E3100" t="s">
        <v>16359</v>
      </c>
      <c r="F3100" t="s">
        <v>16360</v>
      </c>
      <c r="G3100" t="s">
        <v>16361</v>
      </c>
      <c r="H3100">
        <v>18.8</v>
      </c>
      <c r="I3100">
        <v>0</v>
      </c>
      <c r="J3100">
        <v>0</v>
      </c>
      <c r="K3100">
        <v>0</v>
      </c>
      <c r="L3100">
        <v>7</v>
      </c>
      <c r="O3100">
        <v>7</v>
      </c>
      <c r="P3100">
        <v>0</v>
      </c>
      <c r="Q3100">
        <v>0</v>
      </c>
      <c r="R3100">
        <v>25.8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6</v>
      </c>
      <c r="AC3100">
        <v>0</v>
      </c>
      <c r="AH3100">
        <v>31.8</v>
      </c>
    </row>
    <row r="3101" spans="1:34" x14ac:dyDescent="0.3">
      <c r="A3101" s="4">
        <v>3315</v>
      </c>
      <c r="B3101" s="5">
        <v>3094</v>
      </c>
      <c r="C3101">
        <v>6542</v>
      </c>
      <c r="D3101" t="s">
        <v>2085</v>
      </c>
      <c r="E3101" t="s">
        <v>213</v>
      </c>
      <c r="F3101" t="s">
        <v>17</v>
      </c>
      <c r="G3101" t="s">
        <v>16362</v>
      </c>
      <c r="H3101">
        <v>20.8</v>
      </c>
      <c r="I3101">
        <v>0</v>
      </c>
      <c r="J3101">
        <v>0</v>
      </c>
      <c r="K3101">
        <v>0</v>
      </c>
      <c r="L3101">
        <v>7</v>
      </c>
      <c r="O3101">
        <v>7</v>
      </c>
      <c r="P3101">
        <v>4</v>
      </c>
      <c r="Q3101">
        <v>0</v>
      </c>
      <c r="R3101">
        <v>31.8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H3101">
        <v>31.8</v>
      </c>
    </row>
    <row r="3102" spans="1:34" x14ac:dyDescent="0.3">
      <c r="A3102" s="4">
        <v>3316</v>
      </c>
      <c r="B3102" s="5">
        <v>3095</v>
      </c>
      <c r="C3102">
        <v>6416</v>
      </c>
      <c r="D3102" t="s">
        <v>7820</v>
      </c>
      <c r="E3102" t="s">
        <v>97</v>
      </c>
      <c r="F3102" t="s">
        <v>30</v>
      </c>
      <c r="G3102" t="s">
        <v>16363</v>
      </c>
      <c r="H3102">
        <v>20.8</v>
      </c>
      <c r="I3102">
        <v>0</v>
      </c>
      <c r="J3102">
        <v>0</v>
      </c>
      <c r="K3102">
        <v>0</v>
      </c>
      <c r="L3102">
        <v>7</v>
      </c>
      <c r="O3102">
        <v>7</v>
      </c>
      <c r="P3102">
        <v>4</v>
      </c>
      <c r="Q3102">
        <v>0</v>
      </c>
      <c r="R3102">
        <v>31.8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H3102">
        <v>31.8</v>
      </c>
    </row>
    <row r="3103" spans="1:34" x14ac:dyDescent="0.3">
      <c r="A3103" s="4">
        <v>3317</v>
      </c>
      <c r="B3103" s="5">
        <v>3096</v>
      </c>
      <c r="C3103">
        <v>15099</v>
      </c>
      <c r="D3103" t="s">
        <v>16364</v>
      </c>
      <c r="E3103" t="s">
        <v>208</v>
      </c>
      <c r="F3103" t="s">
        <v>17</v>
      </c>
      <c r="G3103" t="s">
        <v>16365</v>
      </c>
      <c r="H3103">
        <v>18.8</v>
      </c>
      <c r="I3103">
        <v>0</v>
      </c>
      <c r="J3103">
        <v>0</v>
      </c>
      <c r="K3103">
        <v>0</v>
      </c>
      <c r="N3103">
        <v>3</v>
      </c>
      <c r="O3103">
        <v>3</v>
      </c>
      <c r="P3103">
        <v>4</v>
      </c>
      <c r="Q3103">
        <v>0</v>
      </c>
      <c r="R3103">
        <v>25.8</v>
      </c>
      <c r="S3103">
        <v>6</v>
      </c>
      <c r="T3103">
        <v>6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6</v>
      </c>
      <c r="AB3103">
        <v>0</v>
      </c>
      <c r="AC3103">
        <v>0</v>
      </c>
      <c r="AH3103">
        <v>31.8</v>
      </c>
    </row>
    <row r="3104" spans="1:34" x14ac:dyDescent="0.3">
      <c r="A3104" s="4">
        <v>3318</v>
      </c>
      <c r="B3104" s="5">
        <v>3097</v>
      </c>
      <c r="C3104">
        <v>1339</v>
      </c>
      <c r="D3104" t="s">
        <v>543</v>
      </c>
      <c r="E3104" t="s">
        <v>283</v>
      </c>
      <c r="F3104" t="s">
        <v>124</v>
      </c>
      <c r="G3104" t="s">
        <v>16366</v>
      </c>
      <c r="H3104">
        <v>18.78</v>
      </c>
      <c r="I3104">
        <v>0</v>
      </c>
      <c r="J3104">
        <v>0</v>
      </c>
      <c r="K3104">
        <v>0</v>
      </c>
      <c r="L3104">
        <v>7</v>
      </c>
      <c r="O3104">
        <v>7</v>
      </c>
      <c r="P3104">
        <v>0</v>
      </c>
      <c r="Q3104">
        <v>0</v>
      </c>
      <c r="R3104">
        <v>25.78</v>
      </c>
      <c r="S3104">
        <v>6</v>
      </c>
      <c r="T3104">
        <v>6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6</v>
      </c>
      <c r="AB3104">
        <v>0</v>
      </c>
      <c r="AC3104">
        <v>0</v>
      </c>
      <c r="AH3104">
        <v>31.78</v>
      </c>
    </row>
    <row r="3105" spans="1:34" x14ac:dyDescent="0.3">
      <c r="A3105" s="4">
        <v>3319</v>
      </c>
      <c r="B3105" s="5">
        <v>3098</v>
      </c>
      <c r="C3105">
        <v>9496</v>
      </c>
      <c r="D3105" t="s">
        <v>337</v>
      </c>
      <c r="E3105" t="s">
        <v>166</v>
      </c>
      <c r="F3105" t="s">
        <v>339</v>
      </c>
      <c r="G3105" t="s">
        <v>16367</v>
      </c>
      <c r="H3105">
        <v>18.78</v>
      </c>
      <c r="I3105">
        <v>0</v>
      </c>
      <c r="J3105">
        <v>0</v>
      </c>
      <c r="K3105">
        <v>0</v>
      </c>
      <c r="N3105">
        <v>3</v>
      </c>
      <c r="O3105">
        <v>3</v>
      </c>
      <c r="P3105">
        <v>4</v>
      </c>
      <c r="Q3105">
        <v>0</v>
      </c>
      <c r="R3105">
        <v>25.78</v>
      </c>
      <c r="S3105">
        <v>6</v>
      </c>
      <c r="T3105">
        <v>6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6</v>
      </c>
      <c r="AB3105">
        <v>0</v>
      </c>
      <c r="AC3105">
        <v>0</v>
      </c>
      <c r="AD3105" t="s">
        <v>130</v>
      </c>
      <c r="AH3105">
        <v>31.78</v>
      </c>
    </row>
    <row r="3106" spans="1:34" x14ac:dyDescent="0.3">
      <c r="A3106" s="4">
        <v>3320</v>
      </c>
      <c r="B3106" s="5">
        <v>3099</v>
      </c>
      <c r="C3106">
        <v>6766</v>
      </c>
      <c r="D3106" t="s">
        <v>16368</v>
      </c>
      <c r="E3106" t="s">
        <v>54</v>
      </c>
      <c r="F3106" t="s">
        <v>9636</v>
      </c>
      <c r="G3106" t="s">
        <v>16369</v>
      </c>
      <c r="H3106">
        <v>20.75</v>
      </c>
      <c r="I3106">
        <v>0</v>
      </c>
      <c r="J3106">
        <v>0</v>
      </c>
      <c r="K3106">
        <v>0</v>
      </c>
      <c r="L3106">
        <v>7</v>
      </c>
      <c r="O3106">
        <v>7</v>
      </c>
      <c r="P3106">
        <v>4</v>
      </c>
      <c r="Q3106">
        <v>0</v>
      </c>
      <c r="R3106">
        <v>31.75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H3106">
        <v>31.75</v>
      </c>
    </row>
    <row r="3107" spans="1:34" x14ac:dyDescent="0.3">
      <c r="A3107" s="4">
        <v>3321</v>
      </c>
      <c r="B3107" s="5">
        <v>3100</v>
      </c>
      <c r="C3107">
        <v>10924</v>
      </c>
      <c r="D3107" t="s">
        <v>16370</v>
      </c>
      <c r="E3107" t="s">
        <v>173</v>
      </c>
      <c r="F3107" t="s">
        <v>20</v>
      </c>
      <c r="G3107" t="s">
        <v>16371</v>
      </c>
      <c r="H3107">
        <v>17.75</v>
      </c>
      <c r="I3107">
        <v>0</v>
      </c>
      <c r="J3107">
        <v>0</v>
      </c>
      <c r="K3107">
        <v>0</v>
      </c>
      <c r="L3107">
        <v>7</v>
      </c>
      <c r="N3107">
        <v>3</v>
      </c>
      <c r="O3107">
        <v>10</v>
      </c>
      <c r="P3107">
        <v>4</v>
      </c>
      <c r="Q3107">
        <v>0</v>
      </c>
      <c r="R3107">
        <v>31.75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H3107">
        <v>31.75</v>
      </c>
    </row>
    <row r="3108" spans="1:34" x14ac:dyDescent="0.3">
      <c r="A3108" s="4">
        <v>3322</v>
      </c>
      <c r="B3108" s="5">
        <v>3101</v>
      </c>
      <c r="C3108">
        <v>13848</v>
      </c>
      <c r="D3108" t="s">
        <v>4057</v>
      </c>
      <c r="E3108" t="s">
        <v>54</v>
      </c>
      <c r="F3108" t="s">
        <v>6216</v>
      </c>
      <c r="G3108" t="s">
        <v>16372</v>
      </c>
      <c r="H3108">
        <v>21.73</v>
      </c>
      <c r="I3108">
        <v>0</v>
      </c>
      <c r="J3108">
        <v>0</v>
      </c>
      <c r="K3108">
        <v>0</v>
      </c>
      <c r="L3108">
        <v>7</v>
      </c>
      <c r="N3108">
        <v>3</v>
      </c>
      <c r="O3108">
        <v>10</v>
      </c>
      <c r="P3108">
        <v>0</v>
      </c>
      <c r="Q3108">
        <v>0</v>
      </c>
      <c r="R3108">
        <v>31.73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H3108">
        <v>31.73</v>
      </c>
    </row>
    <row r="3109" spans="1:34" x14ac:dyDescent="0.3">
      <c r="A3109" s="4">
        <v>3323</v>
      </c>
      <c r="B3109" s="5">
        <v>3102</v>
      </c>
      <c r="C3109">
        <v>14547</v>
      </c>
      <c r="D3109" t="s">
        <v>2961</v>
      </c>
      <c r="E3109" t="s">
        <v>789</v>
      </c>
      <c r="F3109" t="s">
        <v>136</v>
      </c>
      <c r="G3109" t="s">
        <v>16373</v>
      </c>
      <c r="H3109">
        <v>20.73</v>
      </c>
      <c r="I3109">
        <v>0</v>
      </c>
      <c r="J3109">
        <v>0</v>
      </c>
      <c r="K3109">
        <v>0</v>
      </c>
      <c r="L3109">
        <v>7</v>
      </c>
      <c r="O3109">
        <v>7</v>
      </c>
      <c r="P3109">
        <v>4</v>
      </c>
      <c r="Q3109">
        <v>0</v>
      </c>
      <c r="R3109">
        <v>31.73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H3109">
        <v>31.73</v>
      </c>
    </row>
    <row r="3110" spans="1:34" x14ac:dyDescent="0.3">
      <c r="A3110" s="4">
        <v>3324</v>
      </c>
      <c r="B3110" s="5">
        <v>3103</v>
      </c>
      <c r="C3110">
        <v>1617</v>
      </c>
      <c r="D3110" t="s">
        <v>16374</v>
      </c>
      <c r="E3110" t="s">
        <v>29</v>
      </c>
      <c r="F3110" t="s">
        <v>243</v>
      </c>
      <c r="G3110" t="s">
        <v>16375</v>
      </c>
      <c r="H3110">
        <v>20.73</v>
      </c>
      <c r="I3110">
        <v>0</v>
      </c>
      <c r="J3110">
        <v>0</v>
      </c>
      <c r="K3110">
        <v>0</v>
      </c>
      <c r="L3110">
        <v>7</v>
      </c>
      <c r="O3110">
        <v>7</v>
      </c>
      <c r="P3110">
        <v>4</v>
      </c>
      <c r="Q3110">
        <v>0</v>
      </c>
      <c r="R3110">
        <v>31.73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H3110">
        <v>31.73</v>
      </c>
    </row>
    <row r="3111" spans="1:34" x14ac:dyDescent="0.3">
      <c r="A3111" s="4">
        <v>3325</v>
      </c>
      <c r="B3111" s="5">
        <v>3104</v>
      </c>
      <c r="C3111">
        <v>4227</v>
      </c>
      <c r="D3111" t="s">
        <v>16376</v>
      </c>
      <c r="E3111" t="s">
        <v>173</v>
      </c>
      <c r="F3111" t="s">
        <v>17</v>
      </c>
      <c r="G3111" t="s">
        <v>16377</v>
      </c>
      <c r="H3111">
        <v>18.73</v>
      </c>
      <c r="I3111">
        <v>0</v>
      </c>
      <c r="J3111">
        <v>0</v>
      </c>
      <c r="K3111">
        <v>0</v>
      </c>
      <c r="L3111">
        <v>7</v>
      </c>
      <c r="O3111">
        <v>7</v>
      </c>
      <c r="P3111">
        <v>4</v>
      </c>
      <c r="Q3111">
        <v>2</v>
      </c>
      <c r="R3111">
        <v>31.73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H3111">
        <v>31.73</v>
      </c>
    </row>
    <row r="3112" spans="1:34" x14ac:dyDescent="0.3">
      <c r="A3112" s="4">
        <v>3326</v>
      </c>
      <c r="B3112" s="5">
        <v>3105</v>
      </c>
      <c r="C3112">
        <v>1596</v>
      </c>
      <c r="D3112" t="s">
        <v>16378</v>
      </c>
      <c r="E3112" t="s">
        <v>3153</v>
      </c>
      <c r="F3112" t="s">
        <v>91</v>
      </c>
      <c r="G3112" t="s">
        <v>16379</v>
      </c>
      <c r="H3112">
        <v>16.73</v>
      </c>
      <c r="I3112">
        <v>0</v>
      </c>
      <c r="J3112">
        <v>0</v>
      </c>
      <c r="K3112">
        <v>0</v>
      </c>
      <c r="L3112">
        <v>7</v>
      </c>
      <c r="O3112">
        <v>7</v>
      </c>
      <c r="P3112">
        <v>4</v>
      </c>
      <c r="Q3112">
        <v>0</v>
      </c>
      <c r="R3112">
        <v>27.73</v>
      </c>
      <c r="S3112">
        <v>4</v>
      </c>
      <c r="T3112">
        <v>4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4</v>
      </c>
      <c r="AB3112">
        <v>0</v>
      </c>
      <c r="AC3112">
        <v>0</v>
      </c>
      <c r="AH3112">
        <v>31.73</v>
      </c>
    </row>
    <row r="3113" spans="1:34" x14ac:dyDescent="0.3">
      <c r="A3113" s="4">
        <v>3327</v>
      </c>
      <c r="B3113" s="5">
        <v>3106</v>
      </c>
      <c r="C3113">
        <v>13749</v>
      </c>
      <c r="D3113" t="s">
        <v>16380</v>
      </c>
      <c r="E3113" t="s">
        <v>188</v>
      </c>
      <c r="F3113" t="s">
        <v>3439</v>
      </c>
      <c r="G3113" t="s">
        <v>16381</v>
      </c>
      <c r="H3113">
        <v>18.7</v>
      </c>
      <c r="I3113">
        <v>0</v>
      </c>
      <c r="J3113">
        <v>0</v>
      </c>
      <c r="K3113">
        <v>0</v>
      </c>
      <c r="L3113">
        <v>7</v>
      </c>
      <c r="O3113">
        <v>7</v>
      </c>
      <c r="P3113">
        <v>4</v>
      </c>
      <c r="Q3113">
        <v>2</v>
      </c>
      <c r="R3113">
        <v>31.7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H3113">
        <v>31.7</v>
      </c>
    </row>
    <row r="3114" spans="1:34" x14ac:dyDescent="0.3">
      <c r="A3114" s="4">
        <v>3328</v>
      </c>
      <c r="B3114" s="5">
        <v>3107</v>
      </c>
      <c r="C3114">
        <v>343</v>
      </c>
      <c r="D3114" t="s">
        <v>16382</v>
      </c>
      <c r="E3114" t="s">
        <v>29</v>
      </c>
      <c r="F3114" t="s">
        <v>30</v>
      </c>
      <c r="G3114" t="s">
        <v>16383</v>
      </c>
      <c r="H3114">
        <v>21.68</v>
      </c>
      <c r="I3114">
        <v>0</v>
      </c>
      <c r="J3114">
        <v>0</v>
      </c>
      <c r="K3114">
        <v>0</v>
      </c>
      <c r="L3114">
        <v>7</v>
      </c>
      <c r="N3114">
        <v>3</v>
      </c>
      <c r="O3114">
        <v>10</v>
      </c>
      <c r="P3114">
        <v>0</v>
      </c>
      <c r="Q3114">
        <v>0</v>
      </c>
      <c r="R3114">
        <v>31.68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H3114">
        <v>31.68</v>
      </c>
    </row>
    <row r="3115" spans="1:34" x14ac:dyDescent="0.3">
      <c r="A3115" s="4">
        <v>3329</v>
      </c>
      <c r="B3115" s="5">
        <v>3108</v>
      </c>
      <c r="C3115">
        <v>13166</v>
      </c>
      <c r="D3115" t="s">
        <v>4198</v>
      </c>
      <c r="E3115" t="s">
        <v>1728</v>
      </c>
      <c r="F3115" t="s">
        <v>343</v>
      </c>
      <c r="G3115" t="s">
        <v>16384</v>
      </c>
      <c r="H3115">
        <v>20.68</v>
      </c>
      <c r="I3115">
        <v>0</v>
      </c>
      <c r="J3115">
        <v>0</v>
      </c>
      <c r="K3115">
        <v>0</v>
      </c>
      <c r="L3115">
        <v>7</v>
      </c>
      <c r="O3115">
        <v>7</v>
      </c>
      <c r="P3115">
        <v>4</v>
      </c>
      <c r="Q3115">
        <v>0</v>
      </c>
      <c r="R3115">
        <v>31.68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H3115">
        <v>31.68</v>
      </c>
    </row>
    <row r="3116" spans="1:34" x14ac:dyDescent="0.3">
      <c r="A3116" s="4">
        <v>3330</v>
      </c>
      <c r="B3116" s="5">
        <v>3109</v>
      </c>
      <c r="C3116">
        <v>13727</v>
      </c>
      <c r="D3116" t="s">
        <v>1401</v>
      </c>
      <c r="E3116" t="s">
        <v>789</v>
      </c>
      <c r="F3116" t="s">
        <v>243</v>
      </c>
      <c r="G3116" t="s">
        <v>16385</v>
      </c>
      <c r="H3116">
        <v>20.68</v>
      </c>
      <c r="I3116">
        <v>0</v>
      </c>
      <c r="J3116">
        <v>0</v>
      </c>
      <c r="K3116">
        <v>0</v>
      </c>
      <c r="L3116">
        <v>7</v>
      </c>
      <c r="O3116">
        <v>7</v>
      </c>
      <c r="P3116">
        <v>4</v>
      </c>
      <c r="Q3116">
        <v>0</v>
      </c>
      <c r="R3116">
        <v>31.68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H3116">
        <v>31.68</v>
      </c>
    </row>
    <row r="3117" spans="1:34" x14ac:dyDescent="0.3">
      <c r="A3117" s="4">
        <v>3331</v>
      </c>
      <c r="B3117" s="5">
        <v>3110</v>
      </c>
      <c r="C3117">
        <v>9939</v>
      </c>
      <c r="D3117" t="s">
        <v>7639</v>
      </c>
      <c r="E3117" t="s">
        <v>188</v>
      </c>
      <c r="F3117" t="s">
        <v>117</v>
      </c>
      <c r="G3117" t="s">
        <v>16386</v>
      </c>
      <c r="H3117">
        <v>20.68</v>
      </c>
      <c r="I3117">
        <v>0</v>
      </c>
      <c r="J3117">
        <v>0</v>
      </c>
      <c r="K3117">
        <v>0</v>
      </c>
      <c r="L3117">
        <v>7</v>
      </c>
      <c r="O3117">
        <v>7</v>
      </c>
      <c r="P3117">
        <v>4</v>
      </c>
      <c r="Q3117">
        <v>0</v>
      </c>
      <c r="R3117">
        <v>31.68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H3117">
        <v>31.68</v>
      </c>
    </row>
    <row r="3118" spans="1:34" x14ac:dyDescent="0.3">
      <c r="A3118" s="4">
        <v>3332</v>
      </c>
      <c r="B3118" s="5">
        <v>3111</v>
      </c>
      <c r="C3118">
        <v>14595</v>
      </c>
      <c r="D3118" t="s">
        <v>12725</v>
      </c>
      <c r="E3118" t="s">
        <v>560</v>
      </c>
      <c r="F3118" t="s">
        <v>16387</v>
      </c>
      <c r="G3118" t="s">
        <v>16388</v>
      </c>
      <c r="H3118">
        <v>20.68</v>
      </c>
      <c r="I3118">
        <v>0</v>
      </c>
      <c r="J3118">
        <v>0</v>
      </c>
      <c r="K3118">
        <v>0</v>
      </c>
      <c r="L3118">
        <v>7</v>
      </c>
      <c r="O3118">
        <v>7</v>
      </c>
      <c r="P3118">
        <v>4</v>
      </c>
      <c r="Q3118">
        <v>0</v>
      </c>
      <c r="R3118">
        <v>31.68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H3118">
        <v>31.68</v>
      </c>
    </row>
    <row r="3119" spans="1:34" x14ac:dyDescent="0.3">
      <c r="A3119" s="4">
        <v>3333</v>
      </c>
      <c r="B3119" s="5">
        <v>3112</v>
      </c>
      <c r="C3119">
        <v>8182</v>
      </c>
      <c r="D3119" t="s">
        <v>16389</v>
      </c>
      <c r="E3119" t="s">
        <v>16390</v>
      </c>
      <c r="F3119" t="s">
        <v>23</v>
      </c>
      <c r="G3119" t="s">
        <v>16391</v>
      </c>
      <c r="H3119">
        <v>19.68</v>
      </c>
      <c r="I3119">
        <v>0</v>
      </c>
      <c r="J3119">
        <v>0</v>
      </c>
      <c r="K3119">
        <v>0</v>
      </c>
      <c r="L3119">
        <v>7</v>
      </c>
      <c r="N3119">
        <v>3</v>
      </c>
      <c r="O3119">
        <v>10</v>
      </c>
      <c r="P3119">
        <v>0</v>
      </c>
      <c r="Q3119">
        <v>2</v>
      </c>
      <c r="R3119">
        <v>31.68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H3119">
        <v>31.68</v>
      </c>
    </row>
    <row r="3120" spans="1:34" x14ac:dyDescent="0.3">
      <c r="A3120" s="4">
        <v>3334</v>
      </c>
      <c r="B3120" s="5">
        <v>3113</v>
      </c>
      <c r="C3120">
        <v>5830</v>
      </c>
      <c r="D3120" t="s">
        <v>16392</v>
      </c>
      <c r="E3120" t="s">
        <v>143</v>
      </c>
      <c r="F3120" t="s">
        <v>652</v>
      </c>
      <c r="G3120" t="s">
        <v>16393</v>
      </c>
      <c r="H3120">
        <v>18.68</v>
      </c>
      <c r="I3120">
        <v>0</v>
      </c>
      <c r="J3120">
        <v>0</v>
      </c>
      <c r="K3120">
        <v>0</v>
      </c>
      <c r="L3120">
        <v>7</v>
      </c>
      <c r="O3120">
        <v>7</v>
      </c>
      <c r="P3120">
        <v>4</v>
      </c>
      <c r="Q3120">
        <v>2</v>
      </c>
      <c r="R3120">
        <v>31.68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H3120">
        <v>31.68</v>
      </c>
    </row>
    <row r="3121" spans="1:34" x14ac:dyDescent="0.3">
      <c r="A3121" s="4">
        <v>3335</v>
      </c>
      <c r="B3121" s="5">
        <v>3114</v>
      </c>
      <c r="C3121">
        <v>13661</v>
      </c>
      <c r="D3121" t="s">
        <v>16394</v>
      </c>
      <c r="E3121" t="s">
        <v>29</v>
      </c>
      <c r="F3121" t="s">
        <v>81</v>
      </c>
      <c r="G3121" t="s">
        <v>16395</v>
      </c>
      <c r="H3121">
        <v>21.68</v>
      </c>
      <c r="I3121">
        <v>0</v>
      </c>
      <c r="J3121">
        <v>0</v>
      </c>
      <c r="K3121">
        <v>0</v>
      </c>
      <c r="L3121">
        <v>7</v>
      </c>
      <c r="O3121">
        <v>7</v>
      </c>
      <c r="P3121">
        <v>0</v>
      </c>
      <c r="Q3121">
        <v>0</v>
      </c>
      <c r="R3121">
        <v>28.68</v>
      </c>
      <c r="S3121">
        <v>3</v>
      </c>
      <c r="T3121">
        <v>3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3</v>
      </c>
      <c r="AB3121">
        <v>0</v>
      </c>
      <c r="AC3121">
        <v>0</v>
      </c>
      <c r="AH3121">
        <v>31.68</v>
      </c>
    </row>
    <row r="3122" spans="1:34" x14ac:dyDescent="0.3">
      <c r="A3122" s="4">
        <v>3336</v>
      </c>
      <c r="B3122" s="5">
        <v>3115</v>
      </c>
      <c r="C3122">
        <v>2994</v>
      </c>
      <c r="D3122" t="s">
        <v>4439</v>
      </c>
      <c r="E3122" t="s">
        <v>37</v>
      </c>
      <c r="F3122" t="s">
        <v>972</v>
      </c>
      <c r="G3122" t="s">
        <v>16396</v>
      </c>
      <c r="H3122">
        <v>21.65</v>
      </c>
      <c r="I3122">
        <v>0</v>
      </c>
      <c r="J3122">
        <v>0</v>
      </c>
      <c r="K3122">
        <v>0</v>
      </c>
      <c r="L3122">
        <v>7</v>
      </c>
      <c r="N3122">
        <v>3</v>
      </c>
      <c r="O3122">
        <v>10</v>
      </c>
      <c r="P3122">
        <v>0</v>
      </c>
      <c r="Q3122">
        <v>0</v>
      </c>
      <c r="R3122">
        <v>31.65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H3122">
        <v>31.65</v>
      </c>
    </row>
    <row r="3123" spans="1:34" x14ac:dyDescent="0.3">
      <c r="A3123" s="4">
        <v>3337</v>
      </c>
      <c r="B3123" s="5">
        <v>3116</v>
      </c>
      <c r="C3123">
        <v>4215</v>
      </c>
      <c r="D3123" t="s">
        <v>16397</v>
      </c>
      <c r="E3123" t="s">
        <v>1371</v>
      </c>
      <c r="F3123" t="s">
        <v>136</v>
      </c>
      <c r="G3123" t="s">
        <v>16398</v>
      </c>
      <c r="H3123">
        <v>20.65</v>
      </c>
      <c r="I3123">
        <v>0</v>
      </c>
      <c r="J3123">
        <v>0</v>
      </c>
      <c r="K3123">
        <v>0</v>
      </c>
      <c r="L3123">
        <v>7</v>
      </c>
      <c r="O3123">
        <v>7</v>
      </c>
      <c r="P3123">
        <v>4</v>
      </c>
      <c r="Q3123">
        <v>0</v>
      </c>
      <c r="R3123">
        <v>31.65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H3123">
        <v>31.65</v>
      </c>
    </row>
    <row r="3124" spans="1:34" x14ac:dyDescent="0.3">
      <c r="A3124" s="4">
        <v>3338</v>
      </c>
      <c r="B3124" s="5">
        <v>3117</v>
      </c>
      <c r="C3124">
        <v>13068</v>
      </c>
      <c r="D3124" t="s">
        <v>16399</v>
      </c>
      <c r="E3124" t="s">
        <v>1280</v>
      </c>
      <c r="F3124" t="s">
        <v>38</v>
      </c>
      <c r="G3124" t="s">
        <v>16400</v>
      </c>
      <c r="H3124">
        <v>20.65</v>
      </c>
      <c r="I3124">
        <v>0</v>
      </c>
      <c r="J3124">
        <v>0</v>
      </c>
      <c r="K3124">
        <v>0</v>
      </c>
      <c r="L3124">
        <v>7</v>
      </c>
      <c r="O3124">
        <v>7</v>
      </c>
      <c r="P3124">
        <v>4</v>
      </c>
      <c r="Q3124">
        <v>0</v>
      </c>
      <c r="R3124">
        <v>31.65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H3124">
        <v>31.65</v>
      </c>
    </row>
    <row r="3125" spans="1:34" x14ac:dyDescent="0.3">
      <c r="A3125" s="4">
        <v>3339</v>
      </c>
      <c r="B3125" s="5">
        <v>3118</v>
      </c>
      <c r="C3125">
        <v>15272</v>
      </c>
      <c r="D3125" t="s">
        <v>16401</v>
      </c>
      <c r="E3125" t="s">
        <v>29</v>
      </c>
      <c r="F3125" t="s">
        <v>2543</v>
      </c>
      <c r="G3125" t="s">
        <v>16402</v>
      </c>
      <c r="H3125">
        <v>20.63</v>
      </c>
      <c r="I3125">
        <v>0</v>
      </c>
      <c r="J3125">
        <v>0</v>
      </c>
      <c r="K3125">
        <v>0</v>
      </c>
      <c r="L3125">
        <v>7</v>
      </c>
      <c r="O3125">
        <v>7</v>
      </c>
      <c r="P3125">
        <v>4</v>
      </c>
      <c r="Q3125">
        <v>0</v>
      </c>
      <c r="R3125">
        <v>31.63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H3125">
        <v>31.63</v>
      </c>
    </row>
    <row r="3126" spans="1:34" x14ac:dyDescent="0.3">
      <c r="A3126" s="4">
        <v>3340</v>
      </c>
      <c r="B3126" s="5">
        <v>3119</v>
      </c>
      <c r="C3126">
        <v>14352</v>
      </c>
      <c r="D3126" t="s">
        <v>16403</v>
      </c>
      <c r="E3126" t="s">
        <v>54</v>
      </c>
      <c r="F3126" t="s">
        <v>30</v>
      </c>
      <c r="G3126" t="s">
        <v>16404</v>
      </c>
      <c r="H3126">
        <v>20.6</v>
      </c>
      <c r="I3126">
        <v>0</v>
      </c>
      <c r="J3126">
        <v>0</v>
      </c>
      <c r="K3126">
        <v>0</v>
      </c>
      <c r="L3126">
        <v>7</v>
      </c>
      <c r="O3126">
        <v>7</v>
      </c>
      <c r="P3126">
        <v>4</v>
      </c>
      <c r="Q3126">
        <v>0</v>
      </c>
      <c r="R3126">
        <v>31.6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H3126">
        <v>31.6</v>
      </c>
    </row>
    <row r="3127" spans="1:34" x14ac:dyDescent="0.3">
      <c r="A3127" s="4">
        <v>3341</v>
      </c>
      <c r="B3127" s="5">
        <v>3120</v>
      </c>
      <c r="C3127">
        <v>2855</v>
      </c>
      <c r="D3127" t="s">
        <v>16405</v>
      </c>
      <c r="E3127" t="s">
        <v>33</v>
      </c>
      <c r="F3127" t="s">
        <v>158</v>
      </c>
      <c r="G3127" t="s">
        <v>16406</v>
      </c>
      <c r="H3127">
        <v>18.600000000000001</v>
      </c>
      <c r="I3127">
        <v>0</v>
      </c>
      <c r="J3127">
        <v>0</v>
      </c>
      <c r="K3127">
        <v>0</v>
      </c>
      <c r="L3127">
        <v>7</v>
      </c>
      <c r="O3127">
        <v>7</v>
      </c>
      <c r="P3127">
        <v>4</v>
      </c>
      <c r="Q3127">
        <v>2</v>
      </c>
      <c r="R3127">
        <v>31.6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H3127">
        <v>31.6</v>
      </c>
    </row>
    <row r="3128" spans="1:34" x14ac:dyDescent="0.3">
      <c r="A3128" s="4">
        <v>3342</v>
      </c>
      <c r="B3128" s="5">
        <v>3121</v>
      </c>
      <c r="C3128">
        <v>13682</v>
      </c>
      <c r="D3128" t="s">
        <v>16407</v>
      </c>
      <c r="E3128" t="s">
        <v>123</v>
      </c>
      <c r="F3128" t="s">
        <v>339</v>
      </c>
      <c r="G3128" t="s">
        <v>16408</v>
      </c>
      <c r="H3128">
        <v>18.600000000000001</v>
      </c>
      <c r="I3128">
        <v>0</v>
      </c>
      <c r="J3128">
        <v>0</v>
      </c>
      <c r="K3128">
        <v>0</v>
      </c>
      <c r="L3128">
        <v>7</v>
      </c>
      <c r="O3128">
        <v>7</v>
      </c>
      <c r="P3128">
        <v>4</v>
      </c>
      <c r="Q3128">
        <v>2</v>
      </c>
      <c r="R3128">
        <v>31.6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H3128">
        <v>31.6</v>
      </c>
    </row>
    <row r="3129" spans="1:34" x14ac:dyDescent="0.3">
      <c r="A3129" s="4">
        <v>3343</v>
      </c>
      <c r="B3129" s="5">
        <v>3122</v>
      </c>
      <c r="C3129">
        <v>3985</v>
      </c>
      <c r="D3129" t="s">
        <v>7664</v>
      </c>
      <c r="E3129" t="s">
        <v>182</v>
      </c>
      <c r="F3129" t="s">
        <v>81</v>
      </c>
      <c r="G3129" t="s">
        <v>16409</v>
      </c>
      <c r="H3129">
        <v>16.579999999999998</v>
      </c>
      <c r="I3129">
        <v>0</v>
      </c>
      <c r="J3129">
        <v>0</v>
      </c>
      <c r="K3129">
        <v>0</v>
      </c>
      <c r="N3129">
        <v>6</v>
      </c>
      <c r="O3129">
        <v>6</v>
      </c>
      <c r="P3129">
        <v>0</v>
      </c>
      <c r="Q3129">
        <v>0</v>
      </c>
      <c r="R3129">
        <v>22.58</v>
      </c>
      <c r="S3129">
        <v>3</v>
      </c>
      <c r="T3129">
        <v>3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3</v>
      </c>
      <c r="AB3129">
        <v>6</v>
      </c>
      <c r="AC3129">
        <v>0</v>
      </c>
      <c r="AH3129">
        <v>31.58</v>
      </c>
    </row>
    <row r="3130" spans="1:34" x14ac:dyDescent="0.3">
      <c r="A3130" s="4">
        <v>3344</v>
      </c>
      <c r="B3130" s="5">
        <v>3123</v>
      </c>
      <c r="C3130">
        <v>13043</v>
      </c>
      <c r="D3130" t="s">
        <v>3657</v>
      </c>
      <c r="E3130" t="s">
        <v>132</v>
      </c>
      <c r="F3130" t="s">
        <v>38</v>
      </c>
      <c r="G3130" t="s">
        <v>16410</v>
      </c>
      <c r="H3130">
        <v>21.58</v>
      </c>
      <c r="I3130">
        <v>0</v>
      </c>
      <c r="J3130">
        <v>0</v>
      </c>
      <c r="K3130">
        <v>0</v>
      </c>
      <c r="L3130">
        <v>7</v>
      </c>
      <c r="N3130">
        <v>3</v>
      </c>
      <c r="O3130">
        <v>10</v>
      </c>
      <c r="P3130">
        <v>0</v>
      </c>
      <c r="Q3130">
        <v>0</v>
      </c>
      <c r="R3130">
        <v>31.58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H3130">
        <v>31.58</v>
      </c>
    </row>
    <row r="3131" spans="1:34" x14ac:dyDescent="0.3">
      <c r="A3131" s="4">
        <v>3345</v>
      </c>
      <c r="B3131" s="5">
        <v>3124</v>
      </c>
      <c r="C3131">
        <v>1098</v>
      </c>
      <c r="D3131" t="s">
        <v>7056</v>
      </c>
      <c r="E3131" t="s">
        <v>1016</v>
      </c>
      <c r="F3131" t="s">
        <v>17</v>
      </c>
      <c r="G3131" t="s">
        <v>16411</v>
      </c>
      <c r="H3131">
        <v>18.579999999999998</v>
      </c>
      <c r="I3131">
        <v>0</v>
      </c>
      <c r="J3131">
        <v>0</v>
      </c>
      <c r="K3131">
        <v>0</v>
      </c>
      <c r="L3131">
        <v>7</v>
      </c>
      <c r="O3131">
        <v>7</v>
      </c>
      <c r="P3131">
        <v>4</v>
      </c>
      <c r="Q3131">
        <v>2</v>
      </c>
      <c r="R3131">
        <v>31.58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H3131">
        <v>31.58</v>
      </c>
    </row>
    <row r="3132" spans="1:34" x14ac:dyDescent="0.3">
      <c r="A3132" s="4">
        <v>3346</v>
      </c>
      <c r="B3132" s="5">
        <v>3125</v>
      </c>
      <c r="C3132">
        <v>2319</v>
      </c>
      <c r="D3132" t="s">
        <v>13367</v>
      </c>
      <c r="E3132" t="s">
        <v>1081</v>
      </c>
      <c r="F3132" t="s">
        <v>20</v>
      </c>
      <c r="G3132" t="s">
        <v>16412</v>
      </c>
      <c r="H3132">
        <v>20.55</v>
      </c>
      <c r="I3132">
        <v>0</v>
      </c>
      <c r="J3132">
        <v>0</v>
      </c>
      <c r="K3132">
        <v>0</v>
      </c>
      <c r="L3132">
        <v>7</v>
      </c>
      <c r="O3132">
        <v>7</v>
      </c>
      <c r="P3132">
        <v>4</v>
      </c>
      <c r="Q3132">
        <v>0</v>
      </c>
      <c r="R3132">
        <v>31.55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H3132">
        <v>31.55</v>
      </c>
    </row>
    <row r="3133" spans="1:34" x14ac:dyDescent="0.3">
      <c r="A3133" s="4">
        <v>3347</v>
      </c>
      <c r="B3133" s="5">
        <v>3126</v>
      </c>
      <c r="C3133">
        <v>11545</v>
      </c>
      <c r="D3133" t="s">
        <v>1133</v>
      </c>
      <c r="E3133" t="s">
        <v>5321</v>
      </c>
      <c r="F3133" t="s">
        <v>243</v>
      </c>
      <c r="G3133" t="s">
        <v>16413</v>
      </c>
      <c r="H3133">
        <v>19.55</v>
      </c>
      <c r="I3133">
        <v>0</v>
      </c>
      <c r="J3133">
        <v>0</v>
      </c>
      <c r="K3133">
        <v>0</v>
      </c>
      <c r="N3133">
        <v>6</v>
      </c>
      <c r="O3133">
        <v>6</v>
      </c>
      <c r="P3133">
        <v>4</v>
      </c>
      <c r="Q3133">
        <v>2</v>
      </c>
      <c r="R3133">
        <v>31.55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H3133">
        <v>31.55</v>
      </c>
    </row>
    <row r="3134" spans="1:34" x14ac:dyDescent="0.3">
      <c r="A3134" s="4">
        <v>3348</v>
      </c>
      <c r="B3134" s="5">
        <v>3127</v>
      </c>
      <c r="C3134">
        <v>3238</v>
      </c>
      <c r="D3134" t="s">
        <v>3819</v>
      </c>
      <c r="E3134" t="s">
        <v>166</v>
      </c>
      <c r="F3134" t="s">
        <v>81</v>
      </c>
      <c r="G3134" t="s">
        <v>16414</v>
      </c>
      <c r="H3134">
        <v>18.55</v>
      </c>
      <c r="I3134">
        <v>0</v>
      </c>
      <c r="J3134">
        <v>0</v>
      </c>
      <c r="K3134">
        <v>0</v>
      </c>
      <c r="L3134">
        <v>7</v>
      </c>
      <c r="O3134">
        <v>7</v>
      </c>
      <c r="P3134">
        <v>4</v>
      </c>
      <c r="Q3134">
        <v>2</v>
      </c>
      <c r="R3134">
        <v>31.55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H3134">
        <v>31.55</v>
      </c>
    </row>
    <row r="3135" spans="1:34" x14ac:dyDescent="0.3">
      <c r="A3135" s="4">
        <v>3349</v>
      </c>
      <c r="B3135" s="5">
        <v>3128</v>
      </c>
      <c r="C3135">
        <v>6671</v>
      </c>
      <c r="D3135" t="s">
        <v>16415</v>
      </c>
      <c r="E3135" t="s">
        <v>16416</v>
      </c>
      <c r="F3135" t="s">
        <v>79</v>
      </c>
      <c r="G3135" t="s">
        <v>16417</v>
      </c>
      <c r="H3135">
        <v>17.55</v>
      </c>
      <c r="I3135">
        <v>0</v>
      </c>
      <c r="J3135">
        <v>0</v>
      </c>
      <c r="K3135">
        <v>0</v>
      </c>
      <c r="L3135">
        <v>7</v>
      </c>
      <c r="N3135">
        <v>3</v>
      </c>
      <c r="O3135">
        <v>10</v>
      </c>
      <c r="P3135">
        <v>4</v>
      </c>
      <c r="Q3135">
        <v>0</v>
      </c>
      <c r="R3135">
        <v>31.55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H3135">
        <v>31.55</v>
      </c>
    </row>
    <row r="3136" spans="1:34" x14ac:dyDescent="0.3">
      <c r="A3136" s="4">
        <v>3350</v>
      </c>
      <c r="B3136" s="5">
        <v>3129</v>
      </c>
      <c r="C3136">
        <v>10938</v>
      </c>
      <c r="D3136" t="s">
        <v>16418</v>
      </c>
      <c r="E3136" t="s">
        <v>22</v>
      </c>
      <c r="F3136" t="s">
        <v>30</v>
      </c>
      <c r="G3136" t="s">
        <v>16419</v>
      </c>
      <c r="H3136">
        <v>16.53</v>
      </c>
      <c r="I3136">
        <v>0</v>
      </c>
      <c r="J3136">
        <v>0</v>
      </c>
      <c r="K3136">
        <v>0</v>
      </c>
      <c r="N3136">
        <v>3</v>
      </c>
      <c r="O3136">
        <v>3</v>
      </c>
      <c r="P3136">
        <v>4</v>
      </c>
      <c r="Q3136">
        <v>2</v>
      </c>
      <c r="R3136">
        <v>25.53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6</v>
      </c>
      <c r="AC3136">
        <v>0</v>
      </c>
      <c r="AH3136">
        <v>31.53</v>
      </c>
    </row>
    <row r="3137" spans="1:34" x14ac:dyDescent="0.3">
      <c r="A3137" s="4">
        <v>3351</v>
      </c>
      <c r="B3137" s="5">
        <v>3130</v>
      </c>
      <c r="C3137">
        <v>13659</v>
      </c>
      <c r="D3137" t="s">
        <v>16420</v>
      </c>
      <c r="E3137" t="s">
        <v>38</v>
      </c>
      <c r="F3137" t="s">
        <v>2513</v>
      </c>
      <c r="G3137" t="s">
        <v>16421</v>
      </c>
      <c r="H3137">
        <v>16.53</v>
      </c>
      <c r="I3137">
        <v>0</v>
      </c>
      <c r="J3137">
        <v>0</v>
      </c>
      <c r="K3137">
        <v>0</v>
      </c>
      <c r="M3137">
        <v>5</v>
      </c>
      <c r="O3137">
        <v>5</v>
      </c>
      <c r="P3137">
        <v>4</v>
      </c>
      <c r="Q3137">
        <v>0</v>
      </c>
      <c r="R3137">
        <v>25.53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6</v>
      </c>
      <c r="AC3137">
        <v>0</v>
      </c>
      <c r="AH3137">
        <v>31.53</v>
      </c>
    </row>
    <row r="3138" spans="1:34" x14ac:dyDescent="0.3">
      <c r="A3138" s="4">
        <v>3352</v>
      </c>
      <c r="B3138" s="5">
        <v>3131</v>
      </c>
      <c r="C3138">
        <v>1055</v>
      </c>
      <c r="D3138" t="s">
        <v>16422</v>
      </c>
      <c r="E3138" t="s">
        <v>161</v>
      </c>
      <c r="F3138" t="s">
        <v>117</v>
      </c>
      <c r="G3138" t="s">
        <v>16423</v>
      </c>
      <c r="H3138">
        <v>20.53</v>
      </c>
      <c r="I3138">
        <v>0</v>
      </c>
      <c r="J3138">
        <v>0</v>
      </c>
      <c r="K3138">
        <v>0</v>
      </c>
      <c r="L3138">
        <v>7</v>
      </c>
      <c r="O3138">
        <v>7</v>
      </c>
      <c r="P3138">
        <v>4</v>
      </c>
      <c r="Q3138">
        <v>0</v>
      </c>
      <c r="R3138">
        <v>31.53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H3138">
        <v>31.53</v>
      </c>
    </row>
    <row r="3139" spans="1:34" x14ac:dyDescent="0.3">
      <c r="A3139" s="4">
        <v>3353</v>
      </c>
      <c r="B3139" s="5">
        <v>3132</v>
      </c>
      <c r="C3139">
        <v>3408</v>
      </c>
      <c r="D3139" t="s">
        <v>16424</v>
      </c>
      <c r="E3139" t="s">
        <v>563</v>
      </c>
      <c r="F3139" t="s">
        <v>17</v>
      </c>
      <c r="G3139" t="s">
        <v>16425</v>
      </c>
      <c r="H3139">
        <v>18.53</v>
      </c>
      <c r="I3139">
        <v>0</v>
      </c>
      <c r="J3139">
        <v>0</v>
      </c>
      <c r="K3139">
        <v>0</v>
      </c>
      <c r="L3139">
        <v>7</v>
      </c>
      <c r="O3139">
        <v>7</v>
      </c>
      <c r="P3139">
        <v>4</v>
      </c>
      <c r="Q3139">
        <v>2</v>
      </c>
      <c r="R3139">
        <v>31.53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H3139">
        <v>31.53</v>
      </c>
    </row>
    <row r="3140" spans="1:34" x14ac:dyDescent="0.3">
      <c r="A3140" s="4">
        <v>3354</v>
      </c>
      <c r="B3140" s="5">
        <v>3133</v>
      </c>
      <c r="C3140">
        <v>12093</v>
      </c>
      <c r="D3140" t="s">
        <v>16426</v>
      </c>
      <c r="E3140" t="s">
        <v>166</v>
      </c>
      <c r="F3140" t="s">
        <v>68</v>
      </c>
      <c r="G3140" t="s">
        <v>16427</v>
      </c>
      <c r="H3140">
        <v>17.53</v>
      </c>
      <c r="I3140">
        <v>0</v>
      </c>
      <c r="J3140">
        <v>0</v>
      </c>
      <c r="K3140">
        <v>0</v>
      </c>
      <c r="L3140">
        <v>7</v>
      </c>
      <c r="N3140">
        <v>3</v>
      </c>
      <c r="O3140">
        <v>10</v>
      </c>
      <c r="P3140">
        <v>4</v>
      </c>
      <c r="Q3140">
        <v>0</v>
      </c>
      <c r="R3140">
        <v>31.53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H3140">
        <v>31.53</v>
      </c>
    </row>
    <row r="3141" spans="1:34" x14ac:dyDescent="0.3">
      <c r="A3141" s="4">
        <v>3355</v>
      </c>
      <c r="B3141" s="5">
        <v>3134</v>
      </c>
      <c r="C3141">
        <v>15650</v>
      </c>
      <c r="D3141" t="s">
        <v>3570</v>
      </c>
      <c r="E3141" t="s">
        <v>170</v>
      </c>
      <c r="F3141" t="s">
        <v>117</v>
      </c>
      <c r="G3141" t="s">
        <v>16428</v>
      </c>
      <c r="H3141">
        <v>18.53</v>
      </c>
      <c r="I3141">
        <v>0</v>
      </c>
      <c r="J3141">
        <v>0</v>
      </c>
      <c r="K3141">
        <v>0</v>
      </c>
      <c r="N3141">
        <v>3</v>
      </c>
      <c r="O3141">
        <v>3</v>
      </c>
      <c r="P3141">
        <v>4</v>
      </c>
      <c r="Q3141">
        <v>0</v>
      </c>
      <c r="R3141">
        <v>25.53</v>
      </c>
      <c r="S3141">
        <v>6</v>
      </c>
      <c r="T3141">
        <v>6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6</v>
      </c>
      <c r="AB3141">
        <v>0</v>
      </c>
      <c r="AC3141">
        <v>0</v>
      </c>
      <c r="AH3141">
        <v>31.53</v>
      </c>
    </row>
    <row r="3142" spans="1:34" x14ac:dyDescent="0.3">
      <c r="A3142" s="4">
        <v>3356</v>
      </c>
      <c r="B3142" s="5">
        <v>3135</v>
      </c>
      <c r="C3142">
        <v>237</v>
      </c>
      <c r="D3142" t="s">
        <v>5613</v>
      </c>
      <c r="E3142" t="s">
        <v>516</v>
      </c>
      <c r="F3142" t="s">
        <v>136</v>
      </c>
      <c r="G3142" t="s">
        <v>16429</v>
      </c>
      <c r="H3142">
        <v>19.5</v>
      </c>
      <c r="I3142">
        <v>0</v>
      </c>
      <c r="J3142">
        <v>0</v>
      </c>
      <c r="K3142">
        <v>0</v>
      </c>
      <c r="M3142">
        <v>5</v>
      </c>
      <c r="N3142">
        <v>3</v>
      </c>
      <c r="O3142">
        <v>8</v>
      </c>
      <c r="P3142">
        <v>4</v>
      </c>
      <c r="Q3142">
        <v>0</v>
      </c>
      <c r="R3142">
        <v>31.5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H3142">
        <v>31.5</v>
      </c>
    </row>
    <row r="3143" spans="1:34" x14ac:dyDescent="0.3">
      <c r="A3143" s="4">
        <v>3357</v>
      </c>
      <c r="B3143" s="5">
        <v>3136</v>
      </c>
      <c r="C3143">
        <v>6566</v>
      </c>
      <c r="D3143" t="s">
        <v>16430</v>
      </c>
      <c r="E3143" t="s">
        <v>54</v>
      </c>
      <c r="F3143" t="s">
        <v>626</v>
      </c>
      <c r="G3143" t="s">
        <v>16431</v>
      </c>
      <c r="H3143">
        <v>12.5</v>
      </c>
      <c r="I3143">
        <v>0</v>
      </c>
      <c r="J3143">
        <v>0</v>
      </c>
      <c r="K3143">
        <v>0</v>
      </c>
      <c r="L3143">
        <v>7</v>
      </c>
      <c r="O3143">
        <v>7</v>
      </c>
      <c r="P3143">
        <v>4</v>
      </c>
      <c r="Q3143">
        <v>0</v>
      </c>
      <c r="R3143">
        <v>23.5</v>
      </c>
      <c r="S3143">
        <v>8</v>
      </c>
      <c r="T3143">
        <v>8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8</v>
      </c>
      <c r="AB3143">
        <v>0</v>
      </c>
      <c r="AC3143">
        <v>0</v>
      </c>
      <c r="AH3143">
        <v>31.5</v>
      </c>
    </row>
    <row r="3144" spans="1:34" x14ac:dyDescent="0.3">
      <c r="A3144" s="4">
        <v>3358</v>
      </c>
      <c r="B3144" s="5">
        <v>3137</v>
      </c>
      <c r="C3144">
        <v>4553</v>
      </c>
      <c r="D3144" t="s">
        <v>4439</v>
      </c>
      <c r="E3144" t="s">
        <v>54</v>
      </c>
      <c r="F3144" t="s">
        <v>117</v>
      </c>
      <c r="G3144" t="s">
        <v>16432</v>
      </c>
      <c r="H3144">
        <v>15.48</v>
      </c>
      <c r="I3144">
        <v>0</v>
      </c>
      <c r="J3144">
        <v>0</v>
      </c>
      <c r="K3144">
        <v>0</v>
      </c>
      <c r="L3144">
        <v>7</v>
      </c>
      <c r="O3144">
        <v>7</v>
      </c>
      <c r="P3144">
        <v>4</v>
      </c>
      <c r="Q3144">
        <v>2</v>
      </c>
      <c r="R3144">
        <v>28.48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3</v>
      </c>
      <c r="AC3144">
        <v>0</v>
      </c>
      <c r="AH3144">
        <v>31.48</v>
      </c>
    </row>
    <row r="3145" spans="1:34" x14ac:dyDescent="0.3">
      <c r="A3145" s="4">
        <v>3359</v>
      </c>
      <c r="B3145" s="5">
        <v>3138</v>
      </c>
      <c r="C3145">
        <v>14476</v>
      </c>
      <c r="D3145" t="s">
        <v>16433</v>
      </c>
      <c r="E3145" t="s">
        <v>1016</v>
      </c>
      <c r="F3145" t="s">
        <v>17</v>
      </c>
      <c r="G3145" t="s">
        <v>16434</v>
      </c>
      <c r="H3145">
        <v>21.48</v>
      </c>
      <c r="I3145">
        <v>0</v>
      </c>
      <c r="J3145">
        <v>0</v>
      </c>
      <c r="K3145">
        <v>0</v>
      </c>
      <c r="L3145">
        <v>7</v>
      </c>
      <c r="N3145">
        <v>3</v>
      </c>
      <c r="O3145">
        <v>10</v>
      </c>
      <c r="P3145">
        <v>0</v>
      </c>
      <c r="Q3145">
        <v>0</v>
      </c>
      <c r="R3145">
        <v>31.48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H3145">
        <v>31.48</v>
      </c>
    </row>
    <row r="3146" spans="1:34" x14ac:dyDescent="0.3">
      <c r="A3146" s="4">
        <v>3360</v>
      </c>
      <c r="B3146" s="5">
        <v>3139</v>
      </c>
      <c r="C3146">
        <v>245</v>
      </c>
      <c r="D3146" t="s">
        <v>16435</v>
      </c>
      <c r="E3146" t="s">
        <v>789</v>
      </c>
      <c r="F3146" t="s">
        <v>259</v>
      </c>
      <c r="G3146" t="s">
        <v>16436</v>
      </c>
      <c r="H3146">
        <v>18.48</v>
      </c>
      <c r="I3146">
        <v>0</v>
      </c>
      <c r="J3146">
        <v>0</v>
      </c>
      <c r="K3146">
        <v>0</v>
      </c>
      <c r="L3146">
        <v>7</v>
      </c>
      <c r="O3146">
        <v>7</v>
      </c>
      <c r="P3146">
        <v>4</v>
      </c>
      <c r="Q3146">
        <v>2</v>
      </c>
      <c r="R3146">
        <v>31.48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H3146">
        <v>31.48</v>
      </c>
    </row>
    <row r="3147" spans="1:34" x14ac:dyDescent="0.3">
      <c r="A3147" s="4">
        <v>3361</v>
      </c>
      <c r="B3147" s="5">
        <v>3140</v>
      </c>
      <c r="C3147">
        <v>747</v>
      </c>
      <c r="D3147" t="s">
        <v>5056</v>
      </c>
      <c r="E3147" t="s">
        <v>213</v>
      </c>
      <c r="F3147" t="s">
        <v>20</v>
      </c>
      <c r="G3147" t="s">
        <v>16437</v>
      </c>
      <c r="H3147">
        <v>18.48</v>
      </c>
      <c r="I3147">
        <v>0</v>
      </c>
      <c r="J3147">
        <v>0</v>
      </c>
      <c r="K3147">
        <v>0</v>
      </c>
      <c r="L3147">
        <v>7</v>
      </c>
      <c r="O3147">
        <v>7</v>
      </c>
      <c r="P3147">
        <v>4</v>
      </c>
      <c r="Q3147">
        <v>2</v>
      </c>
      <c r="R3147">
        <v>31.48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H3147">
        <v>31.48</v>
      </c>
    </row>
    <row r="3148" spans="1:34" x14ac:dyDescent="0.3">
      <c r="A3148" s="4">
        <v>3362</v>
      </c>
      <c r="B3148" s="5">
        <v>3141</v>
      </c>
      <c r="C3148">
        <v>7523</v>
      </c>
      <c r="D3148" t="s">
        <v>577</v>
      </c>
      <c r="E3148" t="s">
        <v>126</v>
      </c>
      <c r="F3148" t="s">
        <v>375</v>
      </c>
      <c r="G3148" t="s">
        <v>16438</v>
      </c>
      <c r="H3148">
        <v>18.48</v>
      </c>
      <c r="I3148">
        <v>0</v>
      </c>
      <c r="J3148">
        <v>0</v>
      </c>
      <c r="K3148">
        <v>0</v>
      </c>
      <c r="L3148">
        <v>7</v>
      </c>
      <c r="O3148">
        <v>7</v>
      </c>
      <c r="P3148">
        <v>4</v>
      </c>
      <c r="Q3148">
        <v>2</v>
      </c>
      <c r="R3148">
        <v>31.48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H3148">
        <v>31.48</v>
      </c>
    </row>
    <row r="3149" spans="1:34" x14ac:dyDescent="0.3">
      <c r="A3149" s="4">
        <v>3363</v>
      </c>
      <c r="B3149" s="5">
        <v>3142</v>
      </c>
      <c r="C3149">
        <v>9126</v>
      </c>
      <c r="D3149" t="s">
        <v>16439</v>
      </c>
      <c r="E3149" t="s">
        <v>33</v>
      </c>
      <c r="F3149" t="s">
        <v>17</v>
      </c>
      <c r="G3149" t="s">
        <v>16440</v>
      </c>
      <c r="H3149">
        <v>17.48</v>
      </c>
      <c r="I3149">
        <v>0</v>
      </c>
      <c r="J3149">
        <v>0</v>
      </c>
      <c r="K3149">
        <v>0</v>
      </c>
      <c r="L3149">
        <v>7</v>
      </c>
      <c r="N3149">
        <v>3</v>
      </c>
      <c r="O3149">
        <v>10</v>
      </c>
      <c r="P3149">
        <v>4</v>
      </c>
      <c r="Q3149">
        <v>0</v>
      </c>
      <c r="R3149">
        <v>31.48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H3149">
        <v>31.48</v>
      </c>
    </row>
    <row r="3150" spans="1:34" x14ac:dyDescent="0.3">
      <c r="A3150" s="4">
        <v>3364</v>
      </c>
      <c r="B3150" s="5">
        <v>3143</v>
      </c>
      <c r="C3150">
        <v>10689</v>
      </c>
      <c r="D3150" t="s">
        <v>16441</v>
      </c>
      <c r="E3150" t="s">
        <v>161</v>
      </c>
      <c r="F3150" t="s">
        <v>259</v>
      </c>
      <c r="G3150" t="s">
        <v>16442</v>
      </c>
      <c r="H3150">
        <v>18.45</v>
      </c>
      <c r="I3150">
        <v>0</v>
      </c>
      <c r="J3150">
        <v>0</v>
      </c>
      <c r="K3150">
        <v>0</v>
      </c>
      <c r="N3150">
        <v>6</v>
      </c>
      <c r="O3150">
        <v>6</v>
      </c>
      <c r="P3150">
        <v>4</v>
      </c>
      <c r="Q3150">
        <v>0</v>
      </c>
      <c r="R3150">
        <v>28.45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3</v>
      </c>
      <c r="AC3150">
        <v>0</v>
      </c>
      <c r="AH3150">
        <v>31.45</v>
      </c>
    </row>
    <row r="3151" spans="1:34" x14ac:dyDescent="0.3">
      <c r="A3151" s="4">
        <v>3365</v>
      </c>
      <c r="B3151" s="5">
        <v>3144</v>
      </c>
      <c r="C3151">
        <v>5459</v>
      </c>
      <c r="D3151" t="s">
        <v>3072</v>
      </c>
      <c r="E3151" t="s">
        <v>143</v>
      </c>
      <c r="F3151" t="s">
        <v>2595</v>
      </c>
      <c r="G3151" t="s">
        <v>16443</v>
      </c>
      <c r="H3151">
        <v>21.45</v>
      </c>
      <c r="I3151">
        <v>0</v>
      </c>
      <c r="J3151">
        <v>0</v>
      </c>
      <c r="K3151">
        <v>0</v>
      </c>
      <c r="L3151">
        <v>7</v>
      </c>
      <c r="N3151">
        <v>3</v>
      </c>
      <c r="O3151">
        <v>10</v>
      </c>
      <c r="P3151">
        <v>0</v>
      </c>
      <c r="Q3151">
        <v>0</v>
      </c>
      <c r="R3151">
        <v>31.45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H3151">
        <v>31.45</v>
      </c>
    </row>
    <row r="3152" spans="1:34" x14ac:dyDescent="0.3">
      <c r="A3152" s="4">
        <v>3366</v>
      </c>
      <c r="B3152" s="5">
        <v>3145</v>
      </c>
      <c r="C3152">
        <v>4774</v>
      </c>
      <c r="D3152" t="s">
        <v>16444</v>
      </c>
      <c r="E3152" t="s">
        <v>1331</v>
      </c>
      <c r="F3152" t="s">
        <v>343</v>
      </c>
      <c r="G3152" t="s">
        <v>16445</v>
      </c>
      <c r="H3152">
        <v>20.45</v>
      </c>
      <c r="I3152">
        <v>0</v>
      </c>
      <c r="J3152">
        <v>0</v>
      </c>
      <c r="K3152">
        <v>0</v>
      </c>
      <c r="L3152">
        <v>7</v>
      </c>
      <c r="O3152">
        <v>7</v>
      </c>
      <c r="P3152">
        <v>4</v>
      </c>
      <c r="Q3152">
        <v>0</v>
      </c>
      <c r="R3152">
        <v>31.45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H3152">
        <v>31.45</v>
      </c>
    </row>
    <row r="3153" spans="1:34" x14ac:dyDescent="0.3">
      <c r="A3153" s="4">
        <v>3367</v>
      </c>
      <c r="B3153" s="5">
        <v>3146</v>
      </c>
      <c r="C3153">
        <v>1658</v>
      </c>
      <c r="D3153" t="s">
        <v>16446</v>
      </c>
      <c r="E3153" t="s">
        <v>190</v>
      </c>
      <c r="F3153" t="s">
        <v>136</v>
      </c>
      <c r="G3153" t="s">
        <v>16447</v>
      </c>
      <c r="H3153">
        <v>19.45</v>
      </c>
      <c r="I3153">
        <v>0</v>
      </c>
      <c r="J3153">
        <v>0</v>
      </c>
      <c r="K3153">
        <v>0</v>
      </c>
      <c r="M3153">
        <v>5</v>
      </c>
      <c r="N3153">
        <v>3</v>
      </c>
      <c r="O3153">
        <v>8</v>
      </c>
      <c r="P3153">
        <v>4</v>
      </c>
      <c r="Q3153">
        <v>0</v>
      </c>
      <c r="R3153">
        <v>31.45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H3153">
        <v>31.45</v>
      </c>
    </row>
    <row r="3154" spans="1:34" x14ac:dyDescent="0.3">
      <c r="A3154" s="4">
        <v>3368</v>
      </c>
      <c r="B3154" s="5">
        <v>3147</v>
      </c>
      <c r="C3154">
        <v>5455</v>
      </c>
      <c r="D3154" t="s">
        <v>16448</v>
      </c>
      <c r="E3154" t="s">
        <v>243</v>
      </c>
      <c r="F3154" t="s">
        <v>20</v>
      </c>
      <c r="G3154" t="s">
        <v>16449</v>
      </c>
      <c r="H3154">
        <v>21.4</v>
      </c>
      <c r="I3154">
        <v>0</v>
      </c>
      <c r="J3154">
        <v>0</v>
      </c>
      <c r="K3154">
        <v>0</v>
      </c>
      <c r="L3154">
        <v>7</v>
      </c>
      <c r="N3154">
        <v>3</v>
      </c>
      <c r="O3154">
        <v>10</v>
      </c>
      <c r="P3154">
        <v>0</v>
      </c>
      <c r="Q3154">
        <v>0</v>
      </c>
      <c r="R3154">
        <v>31.4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H3154">
        <v>31.4</v>
      </c>
    </row>
    <row r="3155" spans="1:34" x14ac:dyDescent="0.3">
      <c r="A3155" s="4">
        <v>3369</v>
      </c>
      <c r="B3155" s="5">
        <v>3148</v>
      </c>
      <c r="C3155">
        <v>13374</v>
      </c>
      <c r="D3155" t="s">
        <v>16450</v>
      </c>
      <c r="E3155" t="s">
        <v>8144</v>
      </c>
      <c r="F3155" t="s">
        <v>243</v>
      </c>
      <c r="G3155" t="s">
        <v>16451</v>
      </c>
      <c r="H3155">
        <v>20.399999999999999</v>
      </c>
      <c r="I3155">
        <v>0</v>
      </c>
      <c r="J3155">
        <v>0</v>
      </c>
      <c r="K3155">
        <v>0</v>
      </c>
      <c r="L3155">
        <v>7</v>
      </c>
      <c r="O3155">
        <v>7</v>
      </c>
      <c r="P3155">
        <v>4</v>
      </c>
      <c r="Q3155">
        <v>0</v>
      </c>
      <c r="R3155">
        <v>31.4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H3155">
        <v>31.4</v>
      </c>
    </row>
    <row r="3156" spans="1:34" x14ac:dyDescent="0.3">
      <c r="A3156" s="4">
        <v>3370</v>
      </c>
      <c r="B3156" s="5">
        <v>3149</v>
      </c>
      <c r="C3156">
        <v>7308</v>
      </c>
      <c r="D3156" t="s">
        <v>16452</v>
      </c>
      <c r="E3156" t="s">
        <v>307</v>
      </c>
      <c r="F3156" t="s">
        <v>1998</v>
      </c>
      <c r="G3156" t="s">
        <v>16453</v>
      </c>
      <c r="H3156">
        <v>20.399999999999999</v>
      </c>
      <c r="I3156">
        <v>0</v>
      </c>
      <c r="J3156">
        <v>0</v>
      </c>
      <c r="K3156">
        <v>0</v>
      </c>
      <c r="L3156">
        <v>7</v>
      </c>
      <c r="O3156">
        <v>7</v>
      </c>
      <c r="P3156">
        <v>4</v>
      </c>
      <c r="Q3156">
        <v>0</v>
      </c>
      <c r="R3156">
        <v>31.4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H3156">
        <v>31.4</v>
      </c>
    </row>
    <row r="3157" spans="1:34" x14ac:dyDescent="0.3">
      <c r="A3157" s="4">
        <v>3371</v>
      </c>
      <c r="B3157" s="5">
        <v>3150</v>
      </c>
      <c r="C3157">
        <v>13577</v>
      </c>
      <c r="D3157" t="s">
        <v>16454</v>
      </c>
      <c r="E3157" t="s">
        <v>789</v>
      </c>
      <c r="F3157" t="s">
        <v>81</v>
      </c>
      <c r="G3157" t="s">
        <v>16455</v>
      </c>
      <c r="H3157">
        <v>20.399999999999999</v>
      </c>
      <c r="I3157">
        <v>0</v>
      </c>
      <c r="J3157">
        <v>0</v>
      </c>
      <c r="K3157">
        <v>0</v>
      </c>
      <c r="L3157">
        <v>7</v>
      </c>
      <c r="O3157">
        <v>7</v>
      </c>
      <c r="P3157">
        <v>4</v>
      </c>
      <c r="Q3157">
        <v>0</v>
      </c>
      <c r="R3157">
        <v>31.4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H3157">
        <v>31.4</v>
      </c>
    </row>
    <row r="3158" spans="1:34" x14ac:dyDescent="0.3">
      <c r="A3158" s="4">
        <v>3372</v>
      </c>
      <c r="B3158" s="5">
        <v>3151</v>
      </c>
      <c r="C3158">
        <v>10185</v>
      </c>
      <c r="D3158" t="s">
        <v>4820</v>
      </c>
      <c r="E3158" t="s">
        <v>166</v>
      </c>
      <c r="F3158" t="s">
        <v>17</v>
      </c>
      <c r="G3158" t="s">
        <v>16456</v>
      </c>
      <c r="H3158">
        <v>20.399999999999999</v>
      </c>
      <c r="I3158">
        <v>0</v>
      </c>
      <c r="J3158">
        <v>0</v>
      </c>
      <c r="K3158">
        <v>0</v>
      </c>
      <c r="L3158">
        <v>7</v>
      </c>
      <c r="O3158">
        <v>7</v>
      </c>
      <c r="P3158">
        <v>4</v>
      </c>
      <c r="Q3158">
        <v>0</v>
      </c>
      <c r="R3158">
        <v>31.4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H3158">
        <v>31.4</v>
      </c>
    </row>
    <row r="3159" spans="1:34" x14ac:dyDescent="0.3">
      <c r="A3159" s="4">
        <v>3373</v>
      </c>
      <c r="B3159" s="5">
        <v>3152</v>
      </c>
      <c r="C3159">
        <v>2527</v>
      </c>
      <c r="D3159" t="s">
        <v>16457</v>
      </c>
      <c r="E3159" t="s">
        <v>789</v>
      </c>
      <c r="F3159" t="s">
        <v>136</v>
      </c>
      <c r="G3159" t="s">
        <v>16458</v>
      </c>
      <c r="H3159">
        <v>18.399999999999999</v>
      </c>
      <c r="I3159">
        <v>0</v>
      </c>
      <c r="J3159">
        <v>0</v>
      </c>
      <c r="K3159">
        <v>0</v>
      </c>
      <c r="L3159">
        <v>7</v>
      </c>
      <c r="O3159">
        <v>7</v>
      </c>
      <c r="P3159">
        <v>4</v>
      </c>
      <c r="Q3159">
        <v>2</v>
      </c>
      <c r="R3159">
        <v>31.4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H3159">
        <v>31.4</v>
      </c>
    </row>
    <row r="3160" spans="1:34" x14ac:dyDescent="0.3">
      <c r="A3160" s="4">
        <v>3374</v>
      </c>
      <c r="B3160" s="5">
        <v>3153</v>
      </c>
      <c r="C3160">
        <v>1416</v>
      </c>
      <c r="D3160" t="s">
        <v>5082</v>
      </c>
      <c r="E3160" t="s">
        <v>1659</v>
      </c>
      <c r="F3160" t="s">
        <v>17</v>
      </c>
      <c r="G3160" t="s">
        <v>16459</v>
      </c>
      <c r="H3160">
        <v>19.399999999999999</v>
      </c>
      <c r="I3160">
        <v>0</v>
      </c>
      <c r="J3160">
        <v>0</v>
      </c>
      <c r="K3160">
        <v>0</v>
      </c>
      <c r="N3160">
        <v>3</v>
      </c>
      <c r="O3160">
        <v>3</v>
      </c>
      <c r="P3160">
        <v>4</v>
      </c>
      <c r="Q3160">
        <v>0</v>
      </c>
      <c r="R3160">
        <v>26.4</v>
      </c>
      <c r="S3160">
        <v>5</v>
      </c>
      <c r="T3160">
        <v>5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5</v>
      </c>
      <c r="AB3160">
        <v>0</v>
      </c>
      <c r="AC3160">
        <v>0</v>
      </c>
      <c r="AH3160">
        <v>31.4</v>
      </c>
    </row>
    <row r="3161" spans="1:34" x14ac:dyDescent="0.3">
      <c r="A3161" s="4">
        <v>3375</v>
      </c>
      <c r="B3161" s="5">
        <v>3154</v>
      </c>
      <c r="C3161">
        <v>3785</v>
      </c>
      <c r="D3161" t="s">
        <v>16460</v>
      </c>
      <c r="E3161" t="s">
        <v>29</v>
      </c>
      <c r="F3161" t="s">
        <v>52</v>
      </c>
      <c r="G3161" t="s">
        <v>16461</v>
      </c>
      <c r="H3161">
        <v>16.38</v>
      </c>
      <c r="I3161">
        <v>0</v>
      </c>
      <c r="J3161">
        <v>0</v>
      </c>
      <c r="K3161">
        <v>0</v>
      </c>
      <c r="N3161">
        <v>3</v>
      </c>
      <c r="O3161">
        <v>3</v>
      </c>
      <c r="P3161">
        <v>4</v>
      </c>
      <c r="Q3161">
        <v>2</v>
      </c>
      <c r="R3161">
        <v>25.38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6</v>
      </c>
      <c r="AC3161">
        <v>0</v>
      </c>
      <c r="AH3161">
        <v>31.38</v>
      </c>
    </row>
    <row r="3162" spans="1:34" x14ac:dyDescent="0.3">
      <c r="A3162" s="4">
        <v>3376</v>
      </c>
      <c r="B3162" s="5">
        <v>3155</v>
      </c>
      <c r="C3162">
        <v>15637</v>
      </c>
      <c r="D3162" t="s">
        <v>16462</v>
      </c>
      <c r="E3162" t="s">
        <v>54</v>
      </c>
      <c r="F3162" t="s">
        <v>136</v>
      </c>
      <c r="G3162" t="s">
        <v>16463</v>
      </c>
      <c r="H3162">
        <v>20.38</v>
      </c>
      <c r="I3162">
        <v>0</v>
      </c>
      <c r="J3162">
        <v>0</v>
      </c>
      <c r="K3162">
        <v>0</v>
      </c>
      <c r="L3162">
        <v>7</v>
      </c>
      <c r="O3162">
        <v>7</v>
      </c>
      <c r="P3162">
        <v>4</v>
      </c>
      <c r="Q3162">
        <v>0</v>
      </c>
      <c r="R3162">
        <v>31.38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H3162">
        <v>31.38</v>
      </c>
    </row>
    <row r="3163" spans="1:34" x14ac:dyDescent="0.3">
      <c r="A3163" s="4">
        <v>3377</v>
      </c>
      <c r="B3163" s="5">
        <v>3156</v>
      </c>
      <c r="C3163">
        <v>12117</v>
      </c>
      <c r="D3163" t="s">
        <v>5008</v>
      </c>
      <c r="E3163" t="s">
        <v>789</v>
      </c>
      <c r="F3163" t="s">
        <v>52</v>
      </c>
      <c r="G3163" t="s">
        <v>16464</v>
      </c>
      <c r="H3163">
        <v>20.38</v>
      </c>
      <c r="I3163">
        <v>0</v>
      </c>
      <c r="J3163">
        <v>0</v>
      </c>
      <c r="K3163">
        <v>0</v>
      </c>
      <c r="L3163">
        <v>7</v>
      </c>
      <c r="O3163">
        <v>7</v>
      </c>
      <c r="P3163">
        <v>4</v>
      </c>
      <c r="Q3163">
        <v>0</v>
      </c>
      <c r="R3163">
        <v>31.38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H3163">
        <v>31.38</v>
      </c>
    </row>
    <row r="3164" spans="1:34" x14ac:dyDescent="0.3">
      <c r="A3164" s="4">
        <v>3378</v>
      </c>
      <c r="B3164" s="5">
        <v>3157</v>
      </c>
      <c r="C3164">
        <v>9043</v>
      </c>
      <c r="D3164" t="s">
        <v>8648</v>
      </c>
      <c r="E3164" t="s">
        <v>238</v>
      </c>
      <c r="F3164" t="s">
        <v>909</v>
      </c>
      <c r="G3164" t="s">
        <v>16465</v>
      </c>
      <c r="H3164">
        <v>17.38</v>
      </c>
      <c r="I3164">
        <v>0</v>
      </c>
      <c r="J3164">
        <v>0</v>
      </c>
      <c r="K3164">
        <v>0</v>
      </c>
      <c r="L3164">
        <v>7</v>
      </c>
      <c r="N3164">
        <v>3</v>
      </c>
      <c r="O3164">
        <v>10</v>
      </c>
      <c r="P3164">
        <v>4</v>
      </c>
      <c r="Q3164">
        <v>0</v>
      </c>
      <c r="R3164">
        <v>31.38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H3164">
        <v>31.38</v>
      </c>
    </row>
    <row r="3165" spans="1:34" x14ac:dyDescent="0.3">
      <c r="A3165" s="4">
        <v>3379</v>
      </c>
      <c r="B3165" s="5">
        <v>3158</v>
      </c>
      <c r="C3165">
        <v>11379</v>
      </c>
      <c r="D3165" t="s">
        <v>11479</v>
      </c>
      <c r="E3165" t="s">
        <v>166</v>
      </c>
      <c r="F3165" t="s">
        <v>81</v>
      </c>
      <c r="G3165" t="s">
        <v>16466</v>
      </c>
      <c r="H3165">
        <v>20.350000000000001</v>
      </c>
      <c r="I3165">
        <v>0</v>
      </c>
      <c r="J3165">
        <v>0</v>
      </c>
      <c r="K3165">
        <v>0</v>
      </c>
      <c r="L3165">
        <v>7</v>
      </c>
      <c r="O3165">
        <v>7</v>
      </c>
      <c r="P3165">
        <v>4</v>
      </c>
      <c r="Q3165">
        <v>0</v>
      </c>
      <c r="R3165">
        <v>31.35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H3165">
        <v>31.35</v>
      </c>
    </row>
    <row r="3166" spans="1:34" x14ac:dyDescent="0.3">
      <c r="A3166" s="4">
        <v>3380</v>
      </c>
      <c r="B3166" s="5">
        <v>3159</v>
      </c>
      <c r="C3166">
        <v>12308</v>
      </c>
      <c r="D3166" t="s">
        <v>16467</v>
      </c>
      <c r="E3166" t="s">
        <v>16468</v>
      </c>
      <c r="F3166" t="s">
        <v>16469</v>
      </c>
      <c r="G3166" t="s">
        <v>16470</v>
      </c>
      <c r="H3166">
        <v>20.350000000000001</v>
      </c>
      <c r="I3166">
        <v>0</v>
      </c>
      <c r="J3166">
        <v>0</v>
      </c>
      <c r="K3166">
        <v>0</v>
      </c>
      <c r="L3166">
        <v>7</v>
      </c>
      <c r="O3166">
        <v>7</v>
      </c>
      <c r="P3166">
        <v>4</v>
      </c>
      <c r="Q3166">
        <v>0</v>
      </c>
      <c r="R3166">
        <v>31.35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H3166">
        <v>31.35</v>
      </c>
    </row>
    <row r="3167" spans="1:34" x14ac:dyDescent="0.3">
      <c r="A3167" s="4">
        <v>3381</v>
      </c>
      <c r="B3167" s="5">
        <v>3160</v>
      </c>
      <c r="C3167">
        <v>6043</v>
      </c>
      <c r="D3167" t="s">
        <v>16471</v>
      </c>
      <c r="E3167" t="s">
        <v>1809</v>
      </c>
      <c r="F3167" t="s">
        <v>16472</v>
      </c>
      <c r="G3167" t="s">
        <v>16473</v>
      </c>
      <c r="H3167">
        <v>18.350000000000001</v>
      </c>
      <c r="I3167">
        <v>0</v>
      </c>
      <c r="J3167">
        <v>0</v>
      </c>
      <c r="K3167">
        <v>0</v>
      </c>
      <c r="L3167">
        <v>7</v>
      </c>
      <c r="O3167">
        <v>7</v>
      </c>
      <c r="P3167">
        <v>4</v>
      </c>
      <c r="Q3167">
        <v>2</v>
      </c>
      <c r="R3167">
        <v>31.35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H3167">
        <v>31.35</v>
      </c>
    </row>
    <row r="3168" spans="1:34" x14ac:dyDescent="0.3">
      <c r="A3168" s="4">
        <v>3382</v>
      </c>
      <c r="B3168" s="5">
        <v>3161</v>
      </c>
      <c r="C3168">
        <v>7344</v>
      </c>
      <c r="D3168" t="s">
        <v>12252</v>
      </c>
      <c r="E3168" t="s">
        <v>41</v>
      </c>
      <c r="F3168" t="s">
        <v>381</v>
      </c>
      <c r="G3168" t="s">
        <v>16474</v>
      </c>
      <c r="H3168">
        <v>17.350000000000001</v>
      </c>
      <c r="I3168">
        <v>0</v>
      </c>
      <c r="J3168">
        <v>0</v>
      </c>
      <c r="K3168">
        <v>0</v>
      </c>
      <c r="L3168">
        <v>7</v>
      </c>
      <c r="N3168">
        <v>3</v>
      </c>
      <c r="O3168">
        <v>10</v>
      </c>
      <c r="P3168">
        <v>4</v>
      </c>
      <c r="Q3168">
        <v>0</v>
      </c>
      <c r="R3168">
        <v>31.35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H3168">
        <v>31.35</v>
      </c>
    </row>
    <row r="3169" spans="1:34" x14ac:dyDescent="0.3">
      <c r="A3169" s="4">
        <v>3383</v>
      </c>
      <c r="B3169" s="5">
        <v>3162</v>
      </c>
      <c r="C3169">
        <v>10883</v>
      </c>
      <c r="D3169" t="s">
        <v>16475</v>
      </c>
      <c r="E3169" t="s">
        <v>259</v>
      </c>
      <c r="F3169" t="s">
        <v>230</v>
      </c>
      <c r="G3169" t="s">
        <v>16476</v>
      </c>
      <c r="H3169">
        <v>20.329999999999998</v>
      </c>
      <c r="I3169">
        <v>0</v>
      </c>
      <c r="J3169">
        <v>0</v>
      </c>
      <c r="K3169">
        <v>0</v>
      </c>
      <c r="L3169">
        <v>7</v>
      </c>
      <c r="O3169">
        <v>7</v>
      </c>
      <c r="P3169">
        <v>4</v>
      </c>
      <c r="Q3169">
        <v>0</v>
      </c>
      <c r="R3169">
        <v>31.33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H3169">
        <v>31.33</v>
      </c>
    </row>
    <row r="3170" spans="1:34" x14ac:dyDescent="0.3">
      <c r="A3170" s="4">
        <v>3384</v>
      </c>
      <c r="B3170" s="5">
        <v>3163</v>
      </c>
      <c r="C3170">
        <v>9611</v>
      </c>
      <c r="D3170" t="s">
        <v>16477</v>
      </c>
      <c r="E3170" t="s">
        <v>22</v>
      </c>
      <c r="F3170" t="s">
        <v>30</v>
      </c>
      <c r="G3170" t="s">
        <v>16478</v>
      </c>
      <c r="H3170">
        <v>20.329999999999998</v>
      </c>
      <c r="I3170">
        <v>0</v>
      </c>
      <c r="J3170">
        <v>0</v>
      </c>
      <c r="K3170">
        <v>0</v>
      </c>
      <c r="L3170">
        <v>7</v>
      </c>
      <c r="O3170">
        <v>7</v>
      </c>
      <c r="P3170">
        <v>4</v>
      </c>
      <c r="Q3170">
        <v>0</v>
      </c>
      <c r="R3170">
        <v>31.33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H3170">
        <v>31.33</v>
      </c>
    </row>
    <row r="3171" spans="1:34" x14ac:dyDescent="0.3">
      <c r="A3171" s="4">
        <v>3385</v>
      </c>
      <c r="B3171" s="5">
        <v>3164</v>
      </c>
      <c r="C3171">
        <v>1356</v>
      </c>
      <c r="D3171" t="s">
        <v>16479</v>
      </c>
      <c r="E3171" t="s">
        <v>380</v>
      </c>
      <c r="F3171" t="s">
        <v>136</v>
      </c>
      <c r="G3171" t="s">
        <v>16480</v>
      </c>
      <c r="H3171">
        <v>18.3</v>
      </c>
      <c r="I3171">
        <v>0</v>
      </c>
      <c r="J3171">
        <v>0</v>
      </c>
      <c r="K3171">
        <v>0</v>
      </c>
      <c r="N3171">
        <v>3</v>
      </c>
      <c r="O3171">
        <v>3</v>
      </c>
      <c r="P3171">
        <v>4</v>
      </c>
      <c r="Q3171">
        <v>0</v>
      </c>
      <c r="R3171">
        <v>25.3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6</v>
      </c>
      <c r="AC3171">
        <v>0</v>
      </c>
      <c r="AH3171">
        <v>31.3</v>
      </c>
    </row>
    <row r="3172" spans="1:34" x14ac:dyDescent="0.3">
      <c r="A3172" s="4">
        <v>3386</v>
      </c>
      <c r="B3172" s="5">
        <v>3165</v>
      </c>
      <c r="C3172">
        <v>9331</v>
      </c>
      <c r="D3172" t="s">
        <v>2857</v>
      </c>
      <c r="E3172" t="s">
        <v>100</v>
      </c>
      <c r="F3172" t="s">
        <v>20</v>
      </c>
      <c r="G3172" t="s">
        <v>16481</v>
      </c>
      <c r="H3172">
        <v>22.3</v>
      </c>
      <c r="I3172">
        <v>0</v>
      </c>
      <c r="J3172">
        <v>0</v>
      </c>
      <c r="K3172">
        <v>0</v>
      </c>
      <c r="N3172">
        <v>3</v>
      </c>
      <c r="O3172">
        <v>3</v>
      </c>
      <c r="P3172">
        <v>4</v>
      </c>
      <c r="Q3172">
        <v>2</v>
      </c>
      <c r="R3172">
        <v>31.3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H3172">
        <v>31.3</v>
      </c>
    </row>
    <row r="3173" spans="1:34" x14ac:dyDescent="0.3">
      <c r="A3173" s="4">
        <v>3387</v>
      </c>
      <c r="B3173" s="5">
        <v>3166</v>
      </c>
      <c r="C3173">
        <v>8208</v>
      </c>
      <c r="D3173" t="s">
        <v>12773</v>
      </c>
      <c r="E3173" t="s">
        <v>16482</v>
      </c>
      <c r="F3173" t="s">
        <v>17</v>
      </c>
      <c r="G3173" t="s">
        <v>16483</v>
      </c>
      <c r="H3173">
        <v>20.3</v>
      </c>
      <c r="I3173">
        <v>0</v>
      </c>
      <c r="J3173">
        <v>0</v>
      </c>
      <c r="K3173">
        <v>0</v>
      </c>
      <c r="L3173">
        <v>7</v>
      </c>
      <c r="O3173">
        <v>7</v>
      </c>
      <c r="P3173">
        <v>4</v>
      </c>
      <c r="Q3173">
        <v>0</v>
      </c>
      <c r="R3173">
        <v>31.3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H3173">
        <v>31.3</v>
      </c>
    </row>
    <row r="3174" spans="1:34" x14ac:dyDescent="0.3">
      <c r="A3174" s="4">
        <v>3388</v>
      </c>
      <c r="B3174" s="5">
        <v>3167</v>
      </c>
      <c r="C3174">
        <v>14138</v>
      </c>
      <c r="D3174" t="s">
        <v>4927</v>
      </c>
      <c r="E3174" t="s">
        <v>12378</v>
      </c>
      <c r="F3174" t="s">
        <v>91</v>
      </c>
      <c r="G3174" t="s">
        <v>16484</v>
      </c>
      <c r="H3174">
        <v>20.3</v>
      </c>
      <c r="I3174">
        <v>0</v>
      </c>
      <c r="J3174">
        <v>0</v>
      </c>
      <c r="K3174">
        <v>0</v>
      </c>
      <c r="L3174">
        <v>7</v>
      </c>
      <c r="O3174">
        <v>7</v>
      </c>
      <c r="P3174">
        <v>4</v>
      </c>
      <c r="Q3174">
        <v>0</v>
      </c>
      <c r="R3174">
        <v>31.3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H3174">
        <v>31.3</v>
      </c>
    </row>
    <row r="3175" spans="1:34" x14ac:dyDescent="0.3">
      <c r="A3175" s="4">
        <v>3389</v>
      </c>
      <c r="B3175" s="5">
        <v>3168</v>
      </c>
      <c r="C3175">
        <v>6202</v>
      </c>
      <c r="D3175" t="s">
        <v>8420</v>
      </c>
      <c r="E3175" t="s">
        <v>1426</v>
      </c>
      <c r="F3175" t="s">
        <v>38</v>
      </c>
      <c r="G3175" t="s">
        <v>16485</v>
      </c>
      <c r="H3175">
        <v>19.3</v>
      </c>
      <c r="I3175">
        <v>0</v>
      </c>
      <c r="J3175">
        <v>0</v>
      </c>
      <c r="K3175">
        <v>0</v>
      </c>
      <c r="L3175">
        <v>7</v>
      </c>
      <c r="M3175">
        <v>5</v>
      </c>
      <c r="O3175">
        <v>12</v>
      </c>
      <c r="P3175">
        <v>0</v>
      </c>
      <c r="Q3175">
        <v>0</v>
      </c>
      <c r="R3175">
        <v>31.3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H3175">
        <v>31.3</v>
      </c>
    </row>
    <row r="3176" spans="1:34" x14ac:dyDescent="0.3">
      <c r="A3176" s="4">
        <v>3390</v>
      </c>
      <c r="B3176" s="5">
        <v>3169</v>
      </c>
      <c r="C3176">
        <v>7444</v>
      </c>
      <c r="D3176" t="s">
        <v>6107</v>
      </c>
      <c r="E3176" t="s">
        <v>88</v>
      </c>
      <c r="F3176" t="s">
        <v>30</v>
      </c>
      <c r="G3176" t="s">
        <v>16486</v>
      </c>
      <c r="H3176">
        <v>18.3</v>
      </c>
      <c r="I3176">
        <v>0</v>
      </c>
      <c r="J3176">
        <v>0</v>
      </c>
      <c r="K3176">
        <v>0</v>
      </c>
      <c r="L3176">
        <v>7</v>
      </c>
      <c r="O3176">
        <v>7</v>
      </c>
      <c r="P3176">
        <v>4</v>
      </c>
      <c r="Q3176">
        <v>2</v>
      </c>
      <c r="R3176">
        <v>31.3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H3176">
        <v>31.3</v>
      </c>
    </row>
    <row r="3177" spans="1:34" x14ac:dyDescent="0.3">
      <c r="A3177" s="4">
        <v>3391</v>
      </c>
      <c r="B3177" s="5">
        <v>3170</v>
      </c>
      <c r="C3177">
        <v>3704</v>
      </c>
      <c r="D3177" t="s">
        <v>2699</v>
      </c>
      <c r="E3177" t="s">
        <v>97</v>
      </c>
      <c r="F3177" t="s">
        <v>343</v>
      </c>
      <c r="G3177" t="s">
        <v>16487</v>
      </c>
      <c r="H3177">
        <v>17.3</v>
      </c>
      <c r="I3177">
        <v>0</v>
      </c>
      <c r="J3177">
        <v>0</v>
      </c>
      <c r="K3177">
        <v>0</v>
      </c>
      <c r="L3177">
        <v>7</v>
      </c>
      <c r="N3177">
        <v>3</v>
      </c>
      <c r="O3177">
        <v>10</v>
      </c>
      <c r="P3177">
        <v>4</v>
      </c>
      <c r="Q3177">
        <v>0</v>
      </c>
      <c r="R3177">
        <v>31.3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H3177">
        <v>31.3</v>
      </c>
    </row>
    <row r="3178" spans="1:34" x14ac:dyDescent="0.3">
      <c r="A3178" s="4">
        <v>3392</v>
      </c>
      <c r="B3178" s="5">
        <v>3171</v>
      </c>
      <c r="C3178">
        <v>13593</v>
      </c>
      <c r="D3178" t="s">
        <v>3027</v>
      </c>
      <c r="E3178" t="s">
        <v>33</v>
      </c>
      <c r="F3178" t="s">
        <v>117</v>
      </c>
      <c r="G3178" t="s">
        <v>16488</v>
      </c>
      <c r="H3178">
        <v>17.28</v>
      </c>
      <c r="I3178">
        <v>0</v>
      </c>
      <c r="J3178">
        <v>0</v>
      </c>
      <c r="K3178">
        <v>0</v>
      </c>
      <c r="L3178">
        <v>7</v>
      </c>
      <c r="O3178">
        <v>7</v>
      </c>
      <c r="P3178">
        <v>4</v>
      </c>
      <c r="Q3178">
        <v>0</v>
      </c>
      <c r="R3178">
        <v>28.28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3</v>
      </c>
      <c r="AC3178">
        <v>0</v>
      </c>
      <c r="AH3178">
        <v>31.28</v>
      </c>
    </row>
    <row r="3179" spans="1:34" x14ac:dyDescent="0.3">
      <c r="A3179" s="4">
        <v>3393</v>
      </c>
      <c r="B3179" s="5">
        <v>3172</v>
      </c>
      <c r="C3179">
        <v>1756</v>
      </c>
      <c r="D3179" t="s">
        <v>16489</v>
      </c>
      <c r="E3179" t="s">
        <v>9726</v>
      </c>
      <c r="F3179" t="s">
        <v>16490</v>
      </c>
      <c r="G3179" t="s">
        <v>16491</v>
      </c>
      <c r="H3179">
        <v>20.28</v>
      </c>
      <c r="I3179">
        <v>0</v>
      </c>
      <c r="J3179">
        <v>0</v>
      </c>
      <c r="K3179">
        <v>0</v>
      </c>
      <c r="L3179">
        <v>7</v>
      </c>
      <c r="O3179">
        <v>7</v>
      </c>
      <c r="P3179">
        <v>4</v>
      </c>
      <c r="Q3179">
        <v>0</v>
      </c>
      <c r="R3179">
        <v>31.28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H3179">
        <v>31.28</v>
      </c>
    </row>
    <row r="3180" spans="1:34" x14ac:dyDescent="0.3">
      <c r="A3180" s="4">
        <v>3394</v>
      </c>
      <c r="B3180" s="5">
        <v>3173</v>
      </c>
      <c r="C3180">
        <v>2085</v>
      </c>
      <c r="D3180" t="s">
        <v>16492</v>
      </c>
      <c r="E3180" t="s">
        <v>361</v>
      </c>
      <c r="F3180" t="s">
        <v>17</v>
      </c>
      <c r="G3180" t="s">
        <v>32065</v>
      </c>
      <c r="H3180">
        <v>20.25</v>
      </c>
      <c r="I3180">
        <v>0</v>
      </c>
      <c r="J3180">
        <v>0</v>
      </c>
      <c r="K3180">
        <v>0</v>
      </c>
      <c r="L3180">
        <v>7</v>
      </c>
      <c r="O3180">
        <v>7</v>
      </c>
      <c r="P3180">
        <v>4</v>
      </c>
      <c r="Q3180">
        <v>0</v>
      </c>
      <c r="R3180">
        <v>31.25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H3180">
        <v>31.25</v>
      </c>
    </row>
    <row r="3181" spans="1:34" x14ac:dyDescent="0.3">
      <c r="A3181" s="4">
        <v>3395</v>
      </c>
      <c r="B3181" s="5">
        <v>3174</v>
      </c>
      <c r="C3181">
        <v>9108</v>
      </c>
      <c r="D3181" t="s">
        <v>2342</v>
      </c>
      <c r="E3181" t="s">
        <v>188</v>
      </c>
      <c r="F3181" t="s">
        <v>34</v>
      </c>
      <c r="G3181" t="s">
        <v>16493</v>
      </c>
      <c r="H3181">
        <v>20.25</v>
      </c>
      <c r="I3181">
        <v>0</v>
      </c>
      <c r="J3181">
        <v>0</v>
      </c>
      <c r="K3181">
        <v>0</v>
      </c>
      <c r="L3181">
        <v>7</v>
      </c>
      <c r="O3181">
        <v>7</v>
      </c>
      <c r="P3181">
        <v>4</v>
      </c>
      <c r="Q3181">
        <v>0</v>
      </c>
      <c r="R3181">
        <v>31.25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H3181">
        <v>31.25</v>
      </c>
    </row>
    <row r="3182" spans="1:34" x14ac:dyDescent="0.3">
      <c r="A3182" s="4">
        <v>3396</v>
      </c>
      <c r="B3182" s="5">
        <v>3175</v>
      </c>
      <c r="C3182">
        <v>2442</v>
      </c>
      <c r="D3182" t="s">
        <v>16494</v>
      </c>
      <c r="E3182" t="s">
        <v>16495</v>
      </c>
      <c r="F3182" t="s">
        <v>158</v>
      </c>
      <c r="G3182" t="s">
        <v>16496</v>
      </c>
      <c r="H3182">
        <v>20.25</v>
      </c>
      <c r="I3182">
        <v>0</v>
      </c>
      <c r="J3182">
        <v>0</v>
      </c>
      <c r="K3182">
        <v>0</v>
      </c>
      <c r="L3182">
        <v>7</v>
      </c>
      <c r="O3182">
        <v>7</v>
      </c>
      <c r="P3182">
        <v>4</v>
      </c>
      <c r="Q3182">
        <v>0</v>
      </c>
      <c r="R3182">
        <v>31.25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H3182">
        <v>31.25</v>
      </c>
    </row>
    <row r="3183" spans="1:34" x14ac:dyDescent="0.3">
      <c r="A3183" s="4">
        <v>3397</v>
      </c>
      <c r="B3183" s="5">
        <v>3176</v>
      </c>
      <c r="C3183">
        <v>6814</v>
      </c>
      <c r="D3183" t="s">
        <v>16497</v>
      </c>
      <c r="E3183" t="s">
        <v>29</v>
      </c>
      <c r="F3183" t="s">
        <v>38</v>
      </c>
      <c r="G3183" t="s">
        <v>16498</v>
      </c>
      <c r="H3183">
        <v>18.25</v>
      </c>
      <c r="I3183">
        <v>0</v>
      </c>
      <c r="J3183">
        <v>0</v>
      </c>
      <c r="K3183">
        <v>0</v>
      </c>
      <c r="L3183">
        <v>7</v>
      </c>
      <c r="O3183">
        <v>7</v>
      </c>
      <c r="P3183">
        <v>4</v>
      </c>
      <c r="Q3183">
        <v>2</v>
      </c>
      <c r="R3183">
        <v>31.25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H3183">
        <v>31.25</v>
      </c>
    </row>
    <row r="3184" spans="1:34" x14ac:dyDescent="0.3">
      <c r="A3184" s="4">
        <v>3398</v>
      </c>
      <c r="B3184" s="5">
        <v>3177</v>
      </c>
      <c r="C3184">
        <v>7232</v>
      </c>
      <c r="D3184" t="s">
        <v>16499</v>
      </c>
      <c r="E3184" t="s">
        <v>37</v>
      </c>
      <c r="F3184" t="s">
        <v>190</v>
      </c>
      <c r="G3184" t="s">
        <v>16500</v>
      </c>
      <c r="H3184">
        <v>18.25</v>
      </c>
      <c r="I3184">
        <v>0</v>
      </c>
      <c r="J3184">
        <v>0</v>
      </c>
      <c r="K3184">
        <v>0</v>
      </c>
      <c r="L3184">
        <v>7</v>
      </c>
      <c r="O3184">
        <v>7</v>
      </c>
      <c r="P3184">
        <v>4</v>
      </c>
      <c r="Q3184">
        <v>2</v>
      </c>
      <c r="R3184">
        <v>31.25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H3184">
        <v>31.25</v>
      </c>
    </row>
    <row r="3185" spans="1:34" x14ac:dyDescent="0.3">
      <c r="A3185" s="4">
        <v>3399</v>
      </c>
      <c r="B3185" s="5">
        <v>3178</v>
      </c>
      <c r="C3185">
        <v>2688</v>
      </c>
      <c r="D3185" t="s">
        <v>16501</v>
      </c>
      <c r="E3185" t="s">
        <v>14311</v>
      </c>
      <c r="F3185" t="s">
        <v>1526</v>
      </c>
      <c r="G3185" t="s">
        <v>16502</v>
      </c>
      <c r="H3185">
        <v>18.25</v>
      </c>
      <c r="I3185">
        <v>0</v>
      </c>
      <c r="J3185">
        <v>0</v>
      </c>
      <c r="K3185">
        <v>0</v>
      </c>
      <c r="L3185">
        <v>7</v>
      </c>
      <c r="O3185">
        <v>7</v>
      </c>
      <c r="P3185">
        <v>4</v>
      </c>
      <c r="Q3185">
        <v>2</v>
      </c>
      <c r="R3185">
        <v>31.25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H3185">
        <v>31.25</v>
      </c>
    </row>
    <row r="3186" spans="1:34" x14ac:dyDescent="0.3">
      <c r="A3186" s="4">
        <v>3400</v>
      </c>
      <c r="B3186" s="5">
        <v>3179</v>
      </c>
      <c r="C3186">
        <v>8700</v>
      </c>
      <c r="D3186" t="s">
        <v>16503</v>
      </c>
      <c r="E3186" t="s">
        <v>1016</v>
      </c>
      <c r="F3186" t="s">
        <v>801</v>
      </c>
      <c r="G3186" t="s">
        <v>16504</v>
      </c>
      <c r="H3186">
        <v>21.23</v>
      </c>
      <c r="I3186">
        <v>0</v>
      </c>
      <c r="J3186">
        <v>0</v>
      </c>
      <c r="K3186">
        <v>0</v>
      </c>
      <c r="N3186">
        <v>6</v>
      </c>
      <c r="O3186">
        <v>6</v>
      </c>
      <c r="P3186">
        <v>4</v>
      </c>
      <c r="Q3186">
        <v>0</v>
      </c>
      <c r="R3186">
        <v>31.23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H3186">
        <v>31.23</v>
      </c>
    </row>
    <row r="3187" spans="1:34" x14ac:dyDescent="0.3">
      <c r="A3187" s="4">
        <v>3401</v>
      </c>
      <c r="B3187" s="5">
        <v>3180</v>
      </c>
      <c r="C3187">
        <v>12612</v>
      </c>
      <c r="D3187" t="s">
        <v>16505</v>
      </c>
      <c r="E3187" t="s">
        <v>33</v>
      </c>
      <c r="F3187" t="s">
        <v>243</v>
      </c>
      <c r="G3187" t="s">
        <v>16506</v>
      </c>
      <c r="H3187">
        <v>20.23</v>
      </c>
      <c r="I3187">
        <v>0</v>
      </c>
      <c r="J3187">
        <v>0</v>
      </c>
      <c r="K3187">
        <v>0</v>
      </c>
      <c r="L3187">
        <v>7</v>
      </c>
      <c r="O3187">
        <v>7</v>
      </c>
      <c r="P3187">
        <v>4</v>
      </c>
      <c r="Q3187">
        <v>0</v>
      </c>
      <c r="R3187">
        <v>31.23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H3187">
        <v>31.23</v>
      </c>
    </row>
    <row r="3188" spans="1:34" x14ac:dyDescent="0.3">
      <c r="A3188" s="4">
        <v>3402</v>
      </c>
      <c r="B3188" s="5">
        <v>3181</v>
      </c>
      <c r="C3188">
        <v>1431</v>
      </c>
      <c r="D3188" t="s">
        <v>16507</v>
      </c>
      <c r="E3188" t="s">
        <v>132</v>
      </c>
      <c r="F3188" t="s">
        <v>17</v>
      </c>
      <c r="G3188" t="s">
        <v>16508</v>
      </c>
      <c r="H3188">
        <v>20.23</v>
      </c>
      <c r="I3188">
        <v>0</v>
      </c>
      <c r="J3188">
        <v>0</v>
      </c>
      <c r="K3188">
        <v>0</v>
      </c>
      <c r="L3188">
        <v>7</v>
      </c>
      <c r="O3188">
        <v>7</v>
      </c>
      <c r="P3188">
        <v>4</v>
      </c>
      <c r="Q3188">
        <v>0</v>
      </c>
      <c r="R3188">
        <v>31.23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H3188">
        <v>31.23</v>
      </c>
    </row>
    <row r="3189" spans="1:34" x14ac:dyDescent="0.3">
      <c r="A3189" s="4">
        <v>3403</v>
      </c>
      <c r="B3189" s="5">
        <v>3182</v>
      </c>
      <c r="C3189">
        <v>11298</v>
      </c>
      <c r="D3189" t="s">
        <v>16509</v>
      </c>
      <c r="E3189" t="s">
        <v>17</v>
      </c>
      <c r="F3189" t="s">
        <v>68</v>
      </c>
      <c r="G3189" t="s">
        <v>16510</v>
      </c>
      <c r="H3189">
        <v>18.23</v>
      </c>
      <c r="I3189">
        <v>0</v>
      </c>
      <c r="J3189">
        <v>0</v>
      </c>
      <c r="K3189">
        <v>0</v>
      </c>
      <c r="L3189">
        <v>7</v>
      </c>
      <c r="O3189">
        <v>7</v>
      </c>
      <c r="P3189">
        <v>4</v>
      </c>
      <c r="Q3189">
        <v>2</v>
      </c>
      <c r="R3189">
        <v>31.23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H3189">
        <v>31.23</v>
      </c>
    </row>
    <row r="3190" spans="1:34" x14ac:dyDescent="0.3">
      <c r="A3190" s="4">
        <v>3404</v>
      </c>
      <c r="B3190" s="5">
        <v>3183</v>
      </c>
      <c r="C3190">
        <v>7955</v>
      </c>
      <c r="D3190" t="s">
        <v>16511</v>
      </c>
      <c r="E3190" t="s">
        <v>33</v>
      </c>
      <c r="F3190" t="s">
        <v>38</v>
      </c>
      <c r="G3190" t="s">
        <v>16512</v>
      </c>
      <c r="H3190">
        <v>18.23</v>
      </c>
      <c r="I3190">
        <v>0</v>
      </c>
      <c r="J3190">
        <v>0</v>
      </c>
      <c r="K3190">
        <v>0</v>
      </c>
      <c r="L3190">
        <v>7</v>
      </c>
      <c r="O3190">
        <v>7</v>
      </c>
      <c r="P3190">
        <v>4</v>
      </c>
      <c r="Q3190">
        <v>2</v>
      </c>
      <c r="R3190">
        <v>31.23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H3190">
        <v>31.23</v>
      </c>
    </row>
    <row r="3191" spans="1:34" x14ac:dyDescent="0.3">
      <c r="A3191" s="4">
        <v>3405</v>
      </c>
      <c r="B3191" s="5">
        <v>3184</v>
      </c>
      <c r="C3191">
        <v>6376</v>
      </c>
      <c r="D3191" t="s">
        <v>16513</v>
      </c>
      <c r="E3191" t="s">
        <v>361</v>
      </c>
      <c r="F3191" t="s">
        <v>38</v>
      </c>
      <c r="G3191" t="s">
        <v>16514</v>
      </c>
      <c r="H3191">
        <v>18.23</v>
      </c>
      <c r="I3191">
        <v>0</v>
      </c>
      <c r="J3191">
        <v>0</v>
      </c>
      <c r="K3191">
        <v>0</v>
      </c>
      <c r="L3191">
        <v>7</v>
      </c>
      <c r="O3191">
        <v>7</v>
      </c>
      <c r="P3191">
        <v>4</v>
      </c>
      <c r="Q3191">
        <v>2</v>
      </c>
      <c r="R3191">
        <v>31.23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H3191">
        <v>31.23</v>
      </c>
    </row>
    <row r="3192" spans="1:34" x14ac:dyDescent="0.3">
      <c r="A3192" s="4">
        <v>3406</v>
      </c>
      <c r="B3192" s="5">
        <v>3185</v>
      </c>
      <c r="C3192">
        <v>3414</v>
      </c>
      <c r="D3192" t="s">
        <v>16515</v>
      </c>
      <c r="E3192" t="s">
        <v>38</v>
      </c>
      <c r="F3192" t="s">
        <v>782</v>
      </c>
      <c r="G3192" t="s">
        <v>16516</v>
      </c>
      <c r="H3192">
        <v>17.23</v>
      </c>
      <c r="I3192">
        <v>0</v>
      </c>
      <c r="J3192">
        <v>0</v>
      </c>
      <c r="K3192">
        <v>0</v>
      </c>
      <c r="L3192">
        <v>7</v>
      </c>
      <c r="N3192">
        <v>3</v>
      </c>
      <c r="O3192">
        <v>10</v>
      </c>
      <c r="P3192">
        <v>4</v>
      </c>
      <c r="Q3192">
        <v>0</v>
      </c>
      <c r="R3192">
        <v>31.23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H3192">
        <v>31.23</v>
      </c>
    </row>
    <row r="3193" spans="1:34" x14ac:dyDescent="0.3">
      <c r="A3193" s="4">
        <v>3407</v>
      </c>
      <c r="B3193" s="5">
        <v>3186</v>
      </c>
      <c r="C3193">
        <v>13974</v>
      </c>
      <c r="D3193" t="s">
        <v>16517</v>
      </c>
      <c r="E3193" t="s">
        <v>48</v>
      </c>
      <c r="F3193" t="s">
        <v>2101</v>
      </c>
      <c r="G3193" t="s">
        <v>16518</v>
      </c>
      <c r="H3193">
        <v>19.23</v>
      </c>
      <c r="I3193">
        <v>0</v>
      </c>
      <c r="J3193">
        <v>0</v>
      </c>
      <c r="K3193">
        <v>0</v>
      </c>
      <c r="N3193">
        <v>3</v>
      </c>
      <c r="O3193">
        <v>3</v>
      </c>
      <c r="P3193">
        <v>4</v>
      </c>
      <c r="Q3193">
        <v>0</v>
      </c>
      <c r="R3193">
        <v>26.23</v>
      </c>
      <c r="S3193">
        <v>5</v>
      </c>
      <c r="T3193">
        <v>5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5</v>
      </c>
      <c r="AB3193">
        <v>0</v>
      </c>
      <c r="AC3193">
        <v>0</v>
      </c>
      <c r="AH3193">
        <v>31.23</v>
      </c>
    </row>
    <row r="3194" spans="1:34" x14ac:dyDescent="0.3">
      <c r="A3194" s="4">
        <v>3408</v>
      </c>
      <c r="B3194" s="5">
        <v>3187</v>
      </c>
      <c r="C3194">
        <v>4214</v>
      </c>
      <c r="D3194" t="s">
        <v>16519</v>
      </c>
      <c r="E3194" t="s">
        <v>54</v>
      </c>
      <c r="F3194" t="s">
        <v>83</v>
      </c>
      <c r="G3194" t="s">
        <v>16520</v>
      </c>
      <c r="H3194">
        <v>15.2</v>
      </c>
      <c r="I3194">
        <v>0</v>
      </c>
      <c r="J3194">
        <v>0</v>
      </c>
      <c r="K3194">
        <v>0</v>
      </c>
      <c r="N3194">
        <v>3</v>
      </c>
      <c r="O3194">
        <v>3</v>
      </c>
      <c r="P3194">
        <v>4</v>
      </c>
      <c r="Q3194">
        <v>0</v>
      </c>
      <c r="R3194">
        <v>22.2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9</v>
      </c>
      <c r="AC3194">
        <v>0</v>
      </c>
      <c r="AH3194">
        <v>31.2</v>
      </c>
    </row>
    <row r="3195" spans="1:34" x14ac:dyDescent="0.3">
      <c r="A3195" s="4">
        <v>3409</v>
      </c>
      <c r="B3195" s="5">
        <v>3188</v>
      </c>
      <c r="C3195">
        <v>11535</v>
      </c>
      <c r="D3195" t="s">
        <v>6499</v>
      </c>
      <c r="E3195" t="s">
        <v>143</v>
      </c>
      <c r="F3195" t="s">
        <v>10751</v>
      </c>
      <c r="G3195" t="s">
        <v>16521</v>
      </c>
      <c r="H3195">
        <v>19.2</v>
      </c>
      <c r="I3195">
        <v>0</v>
      </c>
      <c r="J3195">
        <v>0</v>
      </c>
      <c r="K3195">
        <v>0</v>
      </c>
      <c r="M3195">
        <v>5</v>
      </c>
      <c r="N3195">
        <v>3</v>
      </c>
      <c r="O3195">
        <v>8</v>
      </c>
      <c r="P3195">
        <v>4</v>
      </c>
      <c r="Q3195">
        <v>0</v>
      </c>
      <c r="R3195">
        <v>31.2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H3195">
        <v>31.2</v>
      </c>
    </row>
    <row r="3196" spans="1:34" x14ac:dyDescent="0.3">
      <c r="A3196" s="4">
        <v>3410</v>
      </c>
      <c r="B3196" s="5">
        <v>3189</v>
      </c>
      <c r="C3196">
        <v>4266</v>
      </c>
      <c r="D3196" t="s">
        <v>16522</v>
      </c>
      <c r="E3196" t="s">
        <v>166</v>
      </c>
      <c r="F3196" t="s">
        <v>243</v>
      </c>
      <c r="G3196" t="s">
        <v>16523</v>
      </c>
      <c r="H3196">
        <v>19.2</v>
      </c>
      <c r="I3196">
        <v>0</v>
      </c>
      <c r="J3196">
        <v>0</v>
      </c>
      <c r="K3196">
        <v>0</v>
      </c>
      <c r="L3196">
        <v>7</v>
      </c>
      <c r="N3196">
        <v>3</v>
      </c>
      <c r="O3196">
        <v>10</v>
      </c>
      <c r="P3196">
        <v>0</v>
      </c>
      <c r="Q3196">
        <v>2</v>
      </c>
      <c r="R3196">
        <v>31.2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H3196">
        <v>31.2</v>
      </c>
    </row>
    <row r="3197" spans="1:34" x14ac:dyDescent="0.3">
      <c r="A3197" s="4">
        <v>3411</v>
      </c>
      <c r="B3197" s="5">
        <v>3190</v>
      </c>
      <c r="C3197">
        <v>12417</v>
      </c>
      <c r="D3197" t="s">
        <v>1408</v>
      </c>
      <c r="E3197" t="s">
        <v>213</v>
      </c>
      <c r="F3197" t="s">
        <v>457</v>
      </c>
      <c r="G3197" t="s">
        <v>16524</v>
      </c>
      <c r="H3197">
        <v>21.18</v>
      </c>
      <c r="I3197">
        <v>0</v>
      </c>
      <c r="J3197">
        <v>0</v>
      </c>
      <c r="K3197">
        <v>0</v>
      </c>
      <c r="L3197">
        <v>7</v>
      </c>
      <c r="N3197">
        <v>3</v>
      </c>
      <c r="O3197">
        <v>10</v>
      </c>
      <c r="P3197">
        <v>0</v>
      </c>
      <c r="Q3197">
        <v>0</v>
      </c>
      <c r="R3197">
        <v>31.18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H3197">
        <v>31.18</v>
      </c>
    </row>
    <row r="3198" spans="1:34" x14ac:dyDescent="0.3">
      <c r="A3198" s="4">
        <v>3412</v>
      </c>
      <c r="B3198" s="5">
        <v>3191</v>
      </c>
      <c r="C3198">
        <v>7292</v>
      </c>
      <c r="D3198" t="s">
        <v>16525</v>
      </c>
      <c r="E3198" t="s">
        <v>41</v>
      </c>
      <c r="F3198" t="s">
        <v>81</v>
      </c>
      <c r="G3198" t="s">
        <v>16526</v>
      </c>
      <c r="H3198">
        <v>20.18</v>
      </c>
      <c r="I3198">
        <v>0</v>
      </c>
      <c r="J3198">
        <v>0</v>
      </c>
      <c r="K3198">
        <v>0</v>
      </c>
      <c r="L3198">
        <v>7</v>
      </c>
      <c r="O3198">
        <v>7</v>
      </c>
      <c r="P3198">
        <v>4</v>
      </c>
      <c r="Q3198">
        <v>0</v>
      </c>
      <c r="R3198">
        <v>31.18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H3198">
        <v>31.18</v>
      </c>
    </row>
    <row r="3199" spans="1:34" x14ac:dyDescent="0.3">
      <c r="A3199" s="4">
        <v>3413</v>
      </c>
      <c r="B3199" s="5">
        <v>3192</v>
      </c>
      <c r="C3199">
        <v>6179</v>
      </c>
      <c r="D3199" t="s">
        <v>12670</v>
      </c>
      <c r="E3199" t="s">
        <v>16527</v>
      </c>
      <c r="F3199" t="s">
        <v>30</v>
      </c>
      <c r="G3199" t="s">
        <v>16528</v>
      </c>
      <c r="H3199">
        <v>20.18</v>
      </c>
      <c r="I3199">
        <v>0</v>
      </c>
      <c r="J3199">
        <v>0</v>
      </c>
      <c r="K3199">
        <v>0</v>
      </c>
      <c r="L3199">
        <v>7</v>
      </c>
      <c r="O3199">
        <v>7</v>
      </c>
      <c r="P3199">
        <v>4</v>
      </c>
      <c r="Q3199">
        <v>0</v>
      </c>
      <c r="R3199">
        <v>31.18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H3199">
        <v>31.18</v>
      </c>
    </row>
    <row r="3200" spans="1:34" x14ac:dyDescent="0.3">
      <c r="A3200" s="4">
        <v>3414</v>
      </c>
      <c r="B3200" s="5">
        <v>3193</v>
      </c>
      <c r="C3200">
        <v>4447</v>
      </c>
      <c r="D3200" t="s">
        <v>16529</v>
      </c>
      <c r="E3200" t="s">
        <v>132</v>
      </c>
      <c r="F3200" t="s">
        <v>136</v>
      </c>
      <c r="G3200" t="s">
        <v>16530</v>
      </c>
      <c r="H3200">
        <v>18.18</v>
      </c>
      <c r="I3200">
        <v>0</v>
      </c>
      <c r="J3200">
        <v>0</v>
      </c>
      <c r="K3200">
        <v>0</v>
      </c>
      <c r="L3200">
        <v>7</v>
      </c>
      <c r="O3200">
        <v>7</v>
      </c>
      <c r="P3200">
        <v>4</v>
      </c>
      <c r="Q3200">
        <v>2</v>
      </c>
      <c r="R3200">
        <v>31.18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H3200">
        <v>31.18</v>
      </c>
    </row>
    <row r="3201" spans="1:34" x14ac:dyDescent="0.3">
      <c r="A3201" s="4">
        <v>3415</v>
      </c>
      <c r="B3201" s="5">
        <v>3194</v>
      </c>
      <c r="C3201">
        <v>3034</v>
      </c>
      <c r="D3201" t="s">
        <v>16531</v>
      </c>
      <c r="E3201" t="s">
        <v>88</v>
      </c>
      <c r="F3201" t="s">
        <v>158</v>
      </c>
      <c r="G3201" t="s">
        <v>16532</v>
      </c>
      <c r="H3201">
        <v>18.13</v>
      </c>
      <c r="I3201">
        <v>0</v>
      </c>
      <c r="J3201">
        <v>0</v>
      </c>
      <c r="K3201">
        <v>0</v>
      </c>
      <c r="N3201">
        <v>3</v>
      </c>
      <c r="O3201">
        <v>3</v>
      </c>
      <c r="P3201">
        <v>4</v>
      </c>
      <c r="Q3201">
        <v>0</v>
      </c>
      <c r="R3201">
        <v>25.13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6</v>
      </c>
      <c r="AC3201">
        <v>0</v>
      </c>
      <c r="AH3201">
        <v>31.13</v>
      </c>
    </row>
    <row r="3202" spans="1:34" x14ac:dyDescent="0.3">
      <c r="A3202" s="4">
        <v>3416</v>
      </c>
      <c r="B3202" s="5">
        <v>3195</v>
      </c>
      <c r="C3202">
        <v>12170</v>
      </c>
      <c r="D3202" t="s">
        <v>16533</v>
      </c>
      <c r="E3202" t="s">
        <v>88</v>
      </c>
      <c r="F3202" t="s">
        <v>55</v>
      </c>
      <c r="G3202" t="s">
        <v>16534</v>
      </c>
      <c r="H3202">
        <v>19.13</v>
      </c>
      <c r="I3202">
        <v>0</v>
      </c>
      <c r="J3202">
        <v>0</v>
      </c>
      <c r="K3202">
        <v>0</v>
      </c>
      <c r="M3202">
        <v>5</v>
      </c>
      <c r="N3202">
        <v>3</v>
      </c>
      <c r="O3202">
        <v>8</v>
      </c>
      <c r="P3202">
        <v>4</v>
      </c>
      <c r="Q3202">
        <v>0</v>
      </c>
      <c r="R3202">
        <v>31.13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H3202">
        <v>31.13</v>
      </c>
    </row>
    <row r="3203" spans="1:34" x14ac:dyDescent="0.3">
      <c r="A3203" s="4">
        <v>3417</v>
      </c>
      <c r="B3203" s="5">
        <v>3196</v>
      </c>
      <c r="C3203">
        <v>5296</v>
      </c>
      <c r="D3203" t="s">
        <v>1624</v>
      </c>
      <c r="E3203" t="s">
        <v>1465</v>
      </c>
      <c r="F3203" t="s">
        <v>16535</v>
      </c>
      <c r="G3203">
        <v>99347</v>
      </c>
      <c r="H3203">
        <v>18.13</v>
      </c>
      <c r="I3203">
        <v>0</v>
      </c>
      <c r="J3203">
        <v>0</v>
      </c>
      <c r="K3203">
        <v>0</v>
      </c>
      <c r="L3203">
        <v>7</v>
      </c>
      <c r="O3203">
        <v>7</v>
      </c>
      <c r="P3203">
        <v>4</v>
      </c>
      <c r="Q3203">
        <v>2</v>
      </c>
      <c r="R3203">
        <v>31.13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H3203">
        <v>31.13</v>
      </c>
    </row>
    <row r="3204" spans="1:34" x14ac:dyDescent="0.3">
      <c r="A3204" s="4">
        <v>3418</v>
      </c>
      <c r="B3204" s="5">
        <v>3197</v>
      </c>
      <c r="C3204">
        <v>9466</v>
      </c>
      <c r="D3204" t="s">
        <v>2416</v>
      </c>
      <c r="E3204" t="s">
        <v>22</v>
      </c>
      <c r="F3204" t="s">
        <v>68</v>
      </c>
      <c r="G3204" t="s">
        <v>16536</v>
      </c>
      <c r="H3204">
        <v>18.100000000000001</v>
      </c>
      <c r="I3204">
        <v>0</v>
      </c>
      <c r="J3204">
        <v>0</v>
      </c>
      <c r="K3204">
        <v>0</v>
      </c>
      <c r="N3204">
        <v>3</v>
      </c>
      <c r="O3204">
        <v>3</v>
      </c>
      <c r="P3204">
        <v>4</v>
      </c>
      <c r="Q3204">
        <v>0</v>
      </c>
      <c r="R3204">
        <v>25.1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6</v>
      </c>
      <c r="AC3204">
        <v>0</v>
      </c>
      <c r="AH3204">
        <v>31.1</v>
      </c>
    </row>
    <row r="3205" spans="1:34" x14ac:dyDescent="0.3">
      <c r="A3205" s="4">
        <v>3419</v>
      </c>
      <c r="B3205" s="5">
        <v>3198</v>
      </c>
      <c r="C3205">
        <v>3610</v>
      </c>
      <c r="D3205" t="s">
        <v>16537</v>
      </c>
      <c r="E3205" t="s">
        <v>110</v>
      </c>
      <c r="F3205" t="s">
        <v>81</v>
      </c>
      <c r="G3205" t="s">
        <v>16538</v>
      </c>
      <c r="H3205">
        <v>19.100000000000001</v>
      </c>
      <c r="I3205">
        <v>0</v>
      </c>
      <c r="J3205">
        <v>0</v>
      </c>
      <c r="K3205">
        <v>0</v>
      </c>
      <c r="N3205">
        <v>3</v>
      </c>
      <c r="O3205">
        <v>3</v>
      </c>
      <c r="P3205">
        <v>4</v>
      </c>
      <c r="Q3205">
        <v>2</v>
      </c>
      <c r="R3205">
        <v>28.1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3</v>
      </c>
      <c r="AC3205">
        <v>0</v>
      </c>
      <c r="AH3205">
        <v>31.1</v>
      </c>
    </row>
    <row r="3206" spans="1:34" x14ac:dyDescent="0.3">
      <c r="A3206" s="4">
        <v>3420</v>
      </c>
      <c r="B3206" s="5">
        <v>3199</v>
      </c>
      <c r="C3206">
        <v>14307</v>
      </c>
      <c r="D3206" t="s">
        <v>16539</v>
      </c>
      <c r="E3206" t="s">
        <v>71</v>
      </c>
      <c r="F3206" t="s">
        <v>20</v>
      </c>
      <c r="G3206" t="s">
        <v>16540</v>
      </c>
      <c r="H3206">
        <v>20.100000000000001</v>
      </c>
      <c r="I3206">
        <v>0</v>
      </c>
      <c r="J3206">
        <v>0</v>
      </c>
      <c r="K3206">
        <v>0</v>
      </c>
      <c r="L3206">
        <v>7</v>
      </c>
      <c r="O3206">
        <v>7</v>
      </c>
      <c r="P3206">
        <v>4</v>
      </c>
      <c r="Q3206">
        <v>0</v>
      </c>
      <c r="R3206">
        <v>31.1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H3206">
        <v>31.1</v>
      </c>
    </row>
    <row r="3207" spans="1:34" x14ac:dyDescent="0.3">
      <c r="A3207" s="4">
        <v>3421</v>
      </c>
      <c r="B3207" s="5">
        <v>3200</v>
      </c>
      <c r="C3207">
        <v>4893</v>
      </c>
      <c r="D3207" t="s">
        <v>16541</v>
      </c>
      <c r="E3207" t="s">
        <v>178</v>
      </c>
      <c r="F3207" t="s">
        <v>343</v>
      </c>
      <c r="G3207" t="s">
        <v>16542</v>
      </c>
      <c r="H3207">
        <v>18.100000000000001</v>
      </c>
      <c r="I3207">
        <v>0</v>
      </c>
      <c r="J3207">
        <v>0</v>
      </c>
      <c r="K3207">
        <v>0</v>
      </c>
      <c r="L3207">
        <v>7</v>
      </c>
      <c r="O3207">
        <v>7</v>
      </c>
      <c r="P3207">
        <v>4</v>
      </c>
      <c r="Q3207">
        <v>2</v>
      </c>
      <c r="R3207">
        <v>31.1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H3207">
        <v>31.1</v>
      </c>
    </row>
    <row r="3208" spans="1:34" x14ac:dyDescent="0.3">
      <c r="A3208" s="4">
        <v>3422</v>
      </c>
      <c r="B3208" s="5">
        <v>3201</v>
      </c>
      <c r="C3208">
        <v>6641</v>
      </c>
      <c r="D3208" t="s">
        <v>11974</v>
      </c>
      <c r="E3208" t="s">
        <v>16543</v>
      </c>
      <c r="F3208" t="s">
        <v>38</v>
      </c>
      <c r="G3208" t="s">
        <v>16544</v>
      </c>
      <c r="H3208">
        <v>18.100000000000001</v>
      </c>
      <c r="I3208">
        <v>0</v>
      </c>
      <c r="J3208">
        <v>0</v>
      </c>
      <c r="K3208">
        <v>0</v>
      </c>
      <c r="L3208">
        <v>7</v>
      </c>
      <c r="O3208">
        <v>7</v>
      </c>
      <c r="P3208">
        <v>4</v>
      </c>
      <c r="Q3208">
        <v>2</v>
      </c>
      <c r="R3208">
        <v>31.1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 t="s">
        <v>130</v>
      </c>
      <c r="AH3208">
        <v>31.1</v>
      </c>
    </row>
    <row r="3209" spans="1:34" x14ac:dyDescent="0.3">
      <c r="A3209" s="4">
        <v>3423</v>
      </c>
      <c r="B3209" s="5">
        <v>3202</v>
      </c>
      <c r="C3209">
        <v>5674</v>
      </c>
      <c r="D3209" t="s">
        <v>16545</v>
      </c>
      <c r="E3209" t="s">
        <v>16546</v>
      </c>
      <c r="F3209" t="s">
        <v>801</v>
      </c>
      <c r="G3209" t="s">
        <v>16547</v>
      </c>
      <c r="H3209">
        <v>20.079999999999998</v>
      </c>
      <c r="I3209">
        <v>0</v>
      </c>
      <c r="J3209">
        <v>0</v>
      </c>
      <c r="K3209">
        <v>0</v>
      </c>
      <c r="L3209">
        <v>7</v>
      </c>
      <c r="O3209">
        <v>7</v>
      </c>
      <c r="P3209">
        <v>4</v>
      </c>
      <c r="Q3209">
        <v>0</v>
      </c>
      <c r="R3209">
        <v>31.08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H3209">
        <v>31.08</v>
      </c>
    </row>
    <row r="3210" spans="1:34" x14ac:dyDescent="0.3">
      <c r="A3210" s="4">
        <v>3424</v>
      </c>
      <c r="B3210" s="5">
        <v>3203</v>
      </c>
      <c r="C3210">
        <v>12973</v>
      </c>
      <c r="D3210" t="s">
        <v>16548</v>
      </c>
      <c r="E3210" t="s">
        <v>29</v>
      </c>
      <c r="F3210" t="s">
        <v>62</v>
      </c>
      <c r="G3210" t="s">
        <v>16549</v>
      </c>
      <c r="H3210">
        <v>22.05</v>
      </c>
      <c r="I3210">
        <v>0</v>
      </c>
      <c r="J3210">
        <v>0</v>
      </c>
      <c r="K3210">
        <v>0</v>
      </c>
      <c r="M3210">
        <v>5</v>
      </c>
      <c r="O3210">
        <v>5</v>
      </c>
      <c r="P3210">
        <v>4</v>
      </c>
      <c r="Q3210">
        <v>0</v>
      </c>
      <c r="R3210">
        <v>31.05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H3210">
        <v>31.05</v>
      </c>
    </row>
    <row r="3211" spans="1:34" x14ac:dyDescent="0.3">
      <c r="A3211" s="4">
        <v>3425</v>
      </c>
      <c r="B3211" s="5">
        <v>3204</v>
      </c>
      <c r="C3211">
        <v>14975</v>
      </c>
      <c r="D3211" t="s">
        <v>1914</v>
      </c>
      <c r="E3211" t="s">
        <v>406</v>
      </c>
      <c r="F3211" t="s">
        <v>124</v>
      </c>
      <c r="G3211" t="s">
        <v>16550</v>
      </c>
      <c r="H3211">
        <v>20.05</v>
      </c>
      <c r="I3211">
        <v>0</v>
      </c>
      <c r="J3211">
        <v>0</v>
      </c>
      <c r="K3211">
        <v>0</v>
      </c>
      <c r="L3211">
        <v>7</v>
      </c>
      <c r="O3211">
        <v>7</v>
      </c>
      <c r="P3211">
        <v>4</v>
      </c>
      <c r="Q3211">
        <v>0</v>
      </c>
      <c r="R3211">
        <v>31.05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H3211">
        <v>31.05</v>
      </c>
    </row>
    <row r="3212" spans="1:34" x14ac:dyDescent="0.3">
      <c r="A3212" s="4">
        <v>3426</v>
      </c>
      <c r="B3212" s="5">
        <v>3205</v>
      </c>
      <c r="C3212">
        <v>6204</v>
      </c>
      <c r="D3212" t="s">
        <v>16551</v>
      </c>
      <c r="E3212" t="s">
        <v>166</v>
      </c>
      <c r="F3212" t="s">
        <v>34</v>
      </c>
      <c r="G3212" t="s">
        <v>16552</v>
      </c>
      <c r="H3212">
        <v>20.05</v>
      </c>
      <c r="I3212">
        <v>0</v>
      </c>
      <c r="J3212">
        <v>0</v>
      </c>
      <c r="K3212">
        <v>0</v>
      </c>
      <c r="L3212">
        <v>7</v>
      </c>
      <c r="O3212">
        <v>7</v>
      </c>
      <c r="P3212">
        <v>4</v>
      </c>
      <c r="Q3212">
        <v>0</v>
      </c>
      <c r="R3212">
        <v>31.05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H3212">
        <v>31.05</v>
      </c>
    </row>
    <row r="3213" spans="1:34" x14ac:dyDescent="0.3">
      <c r="A3213" s="4">
        <v>3427</v>
      </c>
      <c r="B3213" s="5">
        <v>3206</v>
      </c>
      <c r="C3213">
        <v>7188</v>
      </c>
      <c r="D3213" t="s">
        <v>16553</v>
      </c>
      <c r="E3213" t="s">
        <v>29</v>
      </c>
      <c r="F3213" t="s">
        <v>62</v>
      </c>
      <c r="G3213" t="s">
        <v>16554</v>
      </c>
      <c r="H3213">
        <v>18.05</v>
      </c>
      <c r="I3213">
        <v>0</v>
      </c>
      <c r="J3213">
        <v>0</v>
      </c>
      <c r="K3213">
        <v>0</v>
      </c>
      <c r="L3213">
        <v>7</v>
      </c>
      <c r="O3213">
        <v>7</v>
      </c>
      <c r="P3213">
        <v>4</v>
      </c>
      <c r="Q3213">
        <v>2</v>
      </c>
      <c r="R3213">
        <v>31.05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H3213">
        <v>31.05</v>
      </c>
    </row>
    <row r="3214" spans="1:34" x14ac:dyDescent="0.3">
      <c r="A3214" s="4">
        <v>3428</v>
      </c>
      <c r="B3214" s="5">
        <v>3207</v>
      </c>
      <c r="C3214">
        <v>14142</v>
      </c>
      <c r="D3214" t="s">
        <v>16555</v>
      </c>
      <c r="E3214" t="s">
        <v>539</v>
      </c>
      <c r="F3214" t="s">
        <v>68</v>
      </c>
      <c r="G3214" t="s">
        <v>16556</v>
      </c>
      <c r="H3214">
        <v>17.05</v>
      </c>
      <c r="I3214">
        <v>0</v>
      </c>
      <c r="J3214">
        <v>0</v>
      </c>
      <c r="K3214">
        <v>0</v>
      </c>
      <c r="L3214">
        <v>14</v>
      </c>
      <c r="O3214">
        <v>14</v>
      </c>
      <c r="P3214">
        <v>0</v>
      </c>
      <c r="Q3214">
        <v>0</v>
      </c>
      <c r="R3214">
        <v>31.05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H3214">
        <v>31.05</v>
      </c>
    </row>
    <row r="3215" spans="1:34" x14ac:dyDescent="0.3">
      <c r="A3215" s="4">
        <v>3429</v>
      </c>
      <c r="B3215" s="5">
        <v>3208</v>
      </c>
      <c r="C3215">
        <v>65</v>
      </c>
      <c r="D3215" t="s">
        <v>5824</v>
      </c>
      <c r="E3215" t="s">
        <v>166</v>
      </c>
      <c r="F3215" t="s">
        <v>9325</v>
      </c>
      <c r="G3215" t="s">
        <v>16557</v>
      </c>
      <c r="H3215">
        <v>20.03</v>
      </c>
      <c r="I3215">
        <v>0</v>
      </c>
      <c r="J3215">
        <v>0</v>
      </c>
      <c r="K3215">
        <v>0</v>
      </c>
      <c r="L3215">
        <v>7</v>
      </c>
      <c r="O3215">
        <v>7</v>
      </c>
      <c r="P3215">
        <v>4</v>
      </c>
      <c r="Q3215">
        <v>0</v>
      </c>
      <c r="R3215">
        <v>31.03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H3215">
        <v>31.03</v>
      </c>
    </row>
    <row r="3216" spans="1:34" x14ac:dyDescent="0.3">
      <c r="A3216" s="4">
        <v>3430</v>
      </c>
      <c r="B3216" s="5">
        <v>3209</v>
      </c>
      <c r="C3216">
        <v>3736</v>
      </c>
      <c r="D3216" t="s">
        <v>16558</v>
      </c>
      <c r="E3216" t="s">
        <v>1809</v>
      </c>
      <c r="F3216" t="s">
        <v>38</v>
      </c>
      <c r="G3216" t="s">
        <v>16559</v>
      </c>
      <c r="H3216">
        <v>20.03</v>
      </c>
      <c r="I3216">
        <v>0</v>
      </c>
      <c r="J3216">
        <v>0</v>
      </c>
      <c r="K3216">
        <v>0</v>
      </c>
      <c r="L3216">
        <v>7</v>
      </c>
      <c r="O3216">
        <v>7</v>
      </c>
      <c r="P3216">
        <v>4</v>
      </c>
      <c r="Q3216">
        <v>0</v>
      </c>
      <c r="R3216">
        <v>31.03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 t="s">
        <v>130</v>
      </c>
      <c r="AH3216">
        <v>31.03</v>
      </c>
    </row>
    <row r="3217" spans="1:34" x14ac:dyDescent="0.3">
      <c r="A3217" s="4">
        <v>3431</v>
      </c>
      <c r="B3217" s="5">
        <v>3210</v>
      </c>
      <c r="C3217">
        <v>13086</v>
      </c>
      <c r="D3217" t="s">
        <v>16560</v>
      </c>
      <c r="E3217" t="s">
        <v>100</v>
      </c>
      <c r="F3217" t="s">
        <v>171</v>
      </c>
      <c r="G3217" t="s">
        <v>16561</v>
      </c>
      <c r="H3217">
        <v>18.03</v>
      </c>
      <c r="I3217">
        <v>0</v>
      </c>
      <c r="J3217">
        <v>0</v>
      </c>
      <c r="K3217">
        <v>0</v>
      </c>
      <c r="L3217">
        <v>7</v>
      </c>
      <c r="O3217">
        <v>7</v>
      </c>
      <c r="P3217">
        <v>4</v>
      </c>
      <c r="Q3217">
        <v>2</v>
      </c>
      <c r="R3217">
        <v>31.03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H3217">
        <v>31.03</v>
      </c>
    </row>
    <row r="3218" spans="1:34" x14ac:dyDescent="0.3">
      <c r="A3218" s="4">
        <v>3432</v>
      </c>
      <c r="B3218" s="5">
        <v>3211</v>
      </c>
      <c r="C3218">
        <v>3641</v>
      </c>
      <c r="D3218" t="s">
        <v>6906</v>
      </c>
      <c r="E3218" t="s">
        <v>178</v>
      </c>
      <c r="F3218" t="s">
        <v>81</v>
      </c>
      <c r="G3218" t="s">
        <v>16562</v>
      </c>
      <c r="H3218">
        <v>18.03</v>
      </c>
      <c r="I3218">
        <v>0</v>
      </c>
      <c r="J3218">
        <v>0</v>
      </c>
      <c r="K3218">
        <v>0</v>
      </c>
      <c r="L3218">
        <v>7</v>
      </c>
      <c r="O3218">
        <v>7</v>
      </c>
      <c r="P3218">
        <v>4</v>
      </c>
      <c r="Q3218">
        <v>2</v>
      </c>
      <c r="R3218">
        <v>31.03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H3218">
        <v>31.03</v>
      </c>
    </row>
    <row r="3219" spans="1:34" x14ac:dyDescent="0.3">
      <c r="A3219" s="4">
        <v>3433</v>
      </c>
      <c r="B3219" s="5">
        <v>3212</v>
      </c>
      <c r="C3219">
        <v>6927</v>
      </c>
      <c r="D3219" t="s">
        <v>16563</v>
      </c>
      <c r="E3219" t="s">
        <v>283</v>
      </c>
      <c r="F3219" t="s">
        <v>136</v>
      </c>
      <c r="G3219" t="s">
        <v>16564</v>
      </c>
      <c r="H3219">
        <v>19.03</v>
      </c>
      <c r="I3219">
        <v>0</v>
      </c>
      <c r="J3219">
        <v>0</v>
      </c>
      <c r="K3219">
        <v>0</v>
      </c>
      <c r="N3219">
        <v>3</v>
      </c>
      <c r="O3219">
        <v>3</v>
      </c>
      <c r="P3219">
        <v>4</v>
      </c>
      <c r="Q3219">
        <v>2</v>
      </c>
      <c r="R3219">
        <v>28.03</v>
      </c>
      <c r="S3219">
        <v>3</v>
      </c>
      <c r="T3219">
        <v>3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3</v>
      </c>
      <c r="AB3219">
        <v>0</v>
      </c>
      <c r="AC3219">
        <v>0</v>
      </c>
      <c r="AH3219">
        <v>31.03</v>
      </c>
    </row>
    <row r="3220" spans="1:34" x14ac:dyDescent="0.3">
      <c r="A3220" s="4">
        <v>3434</v>
      </c>
      <c r="B3220" s="5">
        <v>3213</v>
      </c>
      <c r="C3220">
        <v>885</v>
      </c>
      <c r="D3220" t="s">
        <v>16565</v>
      </c>
      <c r="E3220" t="s">
        <v>54</v>
      </c>
      <c r="F3220" t="s">
        <v>782</v>
      </c>
      <c r="G3220" t="s">
        <v>16566</v>
      </c>
      <c r="H3220">
        <v>18.03</v>
      </c>
      <c r="I3220">
        <v>0</v>
      </c>
      <c r="J3220">
        <v>0</v>
      </c>
      <c r="K3220">
        <v>0</v>
      </c>
      <c r="N3220">
        <v>3</v>
      </c>
      <c r="O3220">
        <v>3</v>
      </c>
      <c r="P3220">
        <v>4</v>
      </c>
      <c r="Q3220">
        <v>0</v>
      </c>
      <c r="R3220">
        <v>25.03</v>
      </c>
      <c r="S3220">
        <v>6</v>
      </c>
      <c r="T3220">
        <v>6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6</v>
      </c>
      <c r="AB3220">
        <v>0</v>
      </c>
      <c r="AC3220">
        <v>0</v>
      </c>
      <c r="AH3220">
        <v>31.03</v>
      </c>
    </row>
    <row r="3221" spans="1:34" x14ac:dyDescent="0.3">
      <c r="A3221" s="4">
        <v>3435</v>
      </c>
      <c r="B3221" s="5">
        <v>3214</v>
      </c>
      <c r="C3221">
        <v>1761</v>
      </c>
      <c r="D3221" t="s">
        <v>16567</v>
      </c>
      <c r="E3221" t="s">
        <v>17</v>
      </c>
      <c r="F3221" t="s">
        <v>117</v>
      </c>
      <c r="G3221" t="s">
        <v>16568</v>
      </c>
      <c r="H3221">
        <v>20</v>
      </c>
      <c r="I3221">
        <v>0</v>
      </c>
      <c r="J3221">
        <v>0</v>
      </c>
      <c r="K3221">
        <v>0</v>
      </c>
      <c r="L3221">
        <v>7</v>
      </c>
      <c r="O3221">
        <v>7</v>
      </c>
      <c r="P3221">
        <v>4</v>
      </c>
      <c r="Q3221">
        <v>0</v>
      </c>
      <c r="R3221">
        <v>31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H3221">
        <v>31</v>
      </c>
    </row>
    <row r="3222" spans="1:34" x14ac:dyDescent="0.3">
      <c r="A3222" s="4">
        <v>3436</v>
      </c>
      <c r="B3222" s="5">
        <v>3215</v>
      </c>
      <c r="C3222">
        <v>435</v>
      </c>
      <c r="D3222" t="s">
        <v>16569</v>
      </c>
      <c r="E3222" t="s">
        <v>38</v>
      </c>
      <c r="F3222" t="s">
        <v>81</v>
      </c>
      <c r="G3222" t="s">
        <v>16570</v>
      </c>
      <c r="H3222">
        <v>19</v>
      </c>
      <c r="I3222">
        <v>0</v>
      </c>
      <c r="J3222">
        <v>0</v>
      </c>
      <c r="K3222">
        <v>0</v>
      </c>
      <c r="L3222">
        <v>7</v>
      </c>
      <c r="N3222">
        <v>3</v>
      </c>
      <c r="O3222">
        <v>10</v>
      </c>
      <c r="P3222">
        <v>0</v>
      </c>
      <c r="Q3222">
        <v>2</v>
      </c>
      <c r="R3222">
        <v>31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H3222">
        <v>31</v>
      </c>
    </row>
    <row r="3223" spans="1:34" x14ac:dyDescent="0.3">
      <c r="A3223" s="4">
        <v>3437</v>
      </c>
      <c r="B3223" s="5">
        <v>3216</v>
      </c>
      <c r="C3223">
        <v>5420</v>
      </c>
      <c r="D3223" t="s">
        <v>16571</v>
      </c>
      <c r="E3223" t="s">
        <v>71</v>
      </c>
      <c r="F3223" t="s">
        <v>16572</v>
      </c>
      <c r="G3223" t="s">
        <v>16573</v>
      </c>
      <c r="H3223">
        <v>15</v>
      </c>
      <c r="I3223">
        <v>0</v>
      </c>
      <c r="J3223">
        <v>0</v>
      </c>
      <c r="K3223">
        <v>0</v>
      </c>
      <c r="L3223">
        <v>7</v>
      </c>
      <c r="O3223">
        <v>7</v>
      </c>
      <c r="P3223">
        <v>4</v>
      </c>
      <c r="Q3223">
        <v>0</v>
      </c>
      <c r="R3223">
        <v>26</v>
      </c>
      <c r="S3223">
        <v>5</v>
      </c>
      <c r="T3223">
        <v>5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5</v>
      </c>
      <c r="AB3223">
        <v>0</v>
      </c>
      <c r="AC3223">
        <v>0</v>
      </c>
      <c r="AH3223">
        <v>31</v>
      </c>
    </row>
    <row r="3224" spans="1:34" x14ac:dyDescent="0.3">
      <c r="A3224" s="4">
        <v>3438</v>
      </c>
      <c r="B3224" s="5">
        <v>3217</v>
      </c>
      <c r="C3224">
        <v>11327</v>
      </c>
      <c r="D3224" t="s">
        <v>16574</v>
      </c>
      <c r="E3224" t="s">
        <v>479</v>
      </c>
      <c r="F3224" t="s">
        <v>158</v>
      </c>
      <c r="G3224" t="s">
        <v>16575</v>
      </c>
      <c r="H3224">
        <v>19.98</v>
      </c>
      <c r="I3224">
        <v>0</v>
      </c>
      <c r="J3224">
        <v>0</v>
      </c>
      <c r="K3224">
        <v>0</v>
      </c>
      <c r="L3224">
        <v>7</v>
      </c>
      <c r="O3224">
        <v>7</v>
      </c>
      <c r="P3224">
        <v>4</v>
      </c>
      <c r="Q3224">
        <v>0</v>
      </c>
      <c r="R3224">
        <v>30.98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H3224">
        <v>30.98</v>
      </c>
    </row>
    <row r="3225" spans="1:34" x14ac:dyDescent="0.3">
      <c r="A3225" s="4">
        <v>3439</v>
      </c>
      <c r="B3225" s="5">
        <v>3218</v>
      </c>
      <c r="C3225">
        <v>730</v>
      </c>
      <c r="D3225" t="s">
        <v>16576</v>
      </c>
      <c r="E3225" t="s">
        <v>29</v>
      </c>
      <c r="F3225" t="s">
        <v>81</v>
      </c>
      <c r="G3225" t="s">
        <v>16577</v>
      </c>
      <c r="H3225">
        <v>19.98</v>
      </c>
      <c r="I3225">
        <v>0</v>
      </c>
      <c r="J3225">
        <v>0</v>
      </c>
      <c r="K3225">
        <v>0</v>
      </c>
      <c r="L3225">
        <v>7</v>
      </c>
      <c r="O3225">
        <v>7</v>
      </c>
      <c r="P3225">
        <v>4</v>
      </c>
      <c r="Q3225">
        <v>0</v>
      </c>
      <c r="R3225">
        <v>30.98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H3225">
        <v>30.98</v>
      </c>
    </row>
    <row r="3226" spans="1:34" x14ac:dyDescent="0.3">
      <c r="A3226" s="4">
        <v>3440</v>
      </c>
      <c r="B3226" s="5">
        <v>3219</v>
      </c>
      <c r="C3226">
        <v>14076</v>
      </c>
      <c r="D3226" t="s">
        <v>4887</v>
      </c>
      <c r="E3226" t="s">
        <v>37</v>
      </c>
      <c r="F3226" t="s">
        <v>38</v>
      </c>
      <c r="G3226" t="s">
        <v>16578</v>
      </c>
      <c r="H3226">
        <v>17.98</v>
      </c>
      <c r="I3226">
        <v>0</v>
      </c>
      <c r="J3226">
        <v>0</v>
      </c>
      <c r="K3226">
        <v>0</v>
      </c>
      <c r="L3226">
        <v>7</v>
      </c>
      <c r="O3226">
        <v>7</v>
      </c>
      <c r="P3226">
        <v>4</v>
      </c>
      <c r="Q3226">
        <v>2</v>
      </c>
      <c r="R3226">
        <v>30.98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H3226">
        <v>30.98</v>
      </c>
    </row>
    <row r="3227" spans="1:34" x14ac:dyDescent="0.3">
      <c r="A3227" s="4">
        <v>3441</v>
      </c>
      <c r="B3227" s="5">
        <v>3220</v>
      </c>
      <c r="C3227">
        <v>1782</v>
      </c>
      <c r="D3227" t="s">
        <v>16579</v>
      </c>
      <c r="E3227" t="s">
        <v>2150</v>
      </c>
      <c r="F3227" t="s">
        <v>17</v>
      </c>
      <c r="G3227" t="s">
        <v>16580</v>
      </c>
      <c r="H3227">
        <v>20.95</v>
      </c>
      <c r="I3227">
        <v>0</v>
      </c>
      <c r="J3227">
        <v>0</v>
      </c>
      <c r="K3227">
        <v>0</v>
      </c>
      <c r="N3227">
        <v>3</v>
      </c>
      <c r="O3227">
        <v>3</v>
      </c>
      <c r="P3227">
        <v>4</v>
      </c>
      <c r="Q3227">
        <v>0</v>
      </c>
      <c r="R3227">
        <v>27.95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3</v>
      </c>
      <c r="AC3227">
        <v>0</v>
      </c>
      <c r="AH3227">
        <v>30.95</v>
      </c>
    </row>
    <row r="3228" spans="1:34" x14ac:dyDescent="0.3">
      <c r="A3228" s="4">
        <v>3442</v>
      </c>
      <c r="B3228" s="5">
        <v>3221</v>
      </c>
      <c r="C3228">
        <v>11613</v>
      </c>
      <c r="D3228" t="s">
        <v>3309</v>
      </c>
      <c r="E3228" t="s">
        <v>16581</v>
      </c>
      <c r="F3228" t="s">
        <v>20</v>
      </c>
      <c r="G3228" t="s">
        <v>16582</v>
      </c>
      <c r="H3228">
        <v>18.95</v>
      </c>
      <c r="I3228">
        <v>0</v>
      </c>
      <c r="J3228">
        <v>0</v>
      </c>
      <c r="K3228">
        <v>0</v>
      </c>
      <c r="N3228">
        <v>3</v>
      </c>
      <c r="O3228">
        <v>3</v>
      </c>
      <c r="P3228">
        <v>4</v>
      </c>
      <c r="Q3228">
        <v>2</v>
      </c>
      <c r="R3228">
        <v>27.95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3</v>
      </c>
      <c r="AC3228">
        <v>0</v>
      </c>
      <c r="AH3228">
        <v>30.95</v>
      </c>
    </row>
    <row r="3229" spans="1:34" x14ac:dyDescent="0.3">
      <c r="A3229" s="4">
        <v>3443</v>
      </c>
      <c r="B3229" s="5">
        <v>3222</v>
      </c>
      <c r="C3229">
        <v>7835</v>
      </c>
      <c r="D3229" t="s">
        <v>16583</v>
      </c>
      <c r="E3229" t="s">
        <v>1189</v>
      </c>
      <c r="F3229" t="s">
        <v>136</v>
      </c>
      <c r="G3229" t="s">
        <v>16584</v>
      </c>
      <c r="H3229">
        <v>21.95</v>
      </c>
      <c r="I3229">
        <v>0</v>
      </c>
      <c r="J3229">
        <v>0</v>
      </c>
      <c r="K3229">
        <v>0</v>
      </c>
      <c r="L3229">
        <v>7</v>
      </c>
      <c r="O3229">
        <v>7</v>
      </c>
      <c r="P3229">
        <v>0</v>
      </c>
      <c r="Q3229">
        <v>2</v>
      </c>
      <c r="R3229">
        <v>30.95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H3229">
        <v>30.95</v>
      </c>
    </row>
    <row r="3230" spans="1:34" x14ac:dyDescent="0.3">
      <c r="A3230" s="4">
        <v>3444</v>
      </c>
      <c r="B3230" s="5">
        <v>3223</v>
      </c>
      <c r="C3230">
        <v>14655</v>
      </c>
      <c r="D3230" t="s">
        <v>16585</v>
      </c>
      <c r="E3230" t="s">
        <v>406</v>
      </c>
      <c r="F3230" t="s">
        <v>238</v>
      </c>
      <c r="G3230" t="s">
        <v>16586</v>
      </c>
      <c r="H3230">
        <v>19.95</v>
      </c>
      <c r="I3230">
        <v>0</v>
      </c>
      <c r="J3230">
        <v>0</v>
      </c>
      <c r="K3230">
        <v>0</v>
      </c>
      <c r="L3230">
        <v>7</v>
      </c>
      <c r="O3230">
        <v>7</v>
      </c>
      <c r="P3230">
        <v>4</v>
      </c>
      <c r="Q3230">
        <v>0</v>
      </c>
      <c r="R3230">
        <v>30.95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H3230">
        <v>30.95</v>
      </c>
    </row>
    <row r="3231" spans="1:34" x14ac:dyDescent="0.3">
      <c r="A3231" s="4">
        <v>3445</v>
      </c>
      <c r="B3231" s="5">
        <v>3224</v>
      </c>
      <c r="C3231">
        <v>130</v>
      </c>
      <c r="D3231" t="s">
        <v>1661</v>
      </c>
      <c r="E3231" t="s">
        <v>97</v>
      </c>
      <c r="F3231" t="s">
        <v>782</v>
      </c>
      <c r="G3231" t="s">
        <v>16587</v>
      </c>
      <c r="H3231">
        <v>17.95</v>
      </c>
      <c r="I3231">
        <v>0</v>
      </c>
      <c r="J3231">
        <v>0</v>
      </c>
      <c r="K3231">
        <v>0</v>
      </c>
      <c r="L3231">
        <v>7</v>
      </c>
      <c r="O3231">
        <v>7</v>
      </c>
      <c r="P3231">
        <v>4</v>
      </c>
      <c r="Q3231">
        <v>2</v>
      </c>
      <c r="R3231">
        <v>30.95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H3231">
        <v>30.95</v>
      </c>
    </row>
    <row r="3232" spans="1:34" x14ac:dyDescent="0.3">
      <c r="A3232" s="4">
        <v>3446</v>
      </c>
      <c r="B3232" s="5">
        <v>3225</v>
      </c>
      <c r="C3232">
        <v>4007</v>
      </c>
      <c r="D3232" t="s">
        <v>5824</v>
      </c>
      <c r="E3232" t="s">
        <v>29</v>
      </c>
      <c r="F3232" t="s">
        <v>20</v>
      </c>
      <c r="G3232" t="s">
        <v>16588</v>
      </c>
      <c r="H3232">
        <v>20.93</v>
      </c>
      <c r="I3232">
        <v>0</v>
      </c>
      <c r="J3232">
        <v>0</v>
      </c>
      <c r="K3232">
        <v>0</v>
      </c>
      <c r="L3232">
        <v>7</v>
      </c>
      <c r="N3232">
        <v>3</v>
      </c>
      <c r="O3232">
        <v>10</v>
      </c>
      <c r="P3232">
        <v>0</v>
      </c>
      <c r="Q3232">
        <v>0</v>
      </c>
      <c r="R3232">
        <v>30.93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H3232">
        <v>30.93</v>
      </c>
    </row>
    <row r="3233" spans="1:34" x14ac:dyDescent="0.3">
      <c r="A3233" s="4">
        <v>3447</v>
      </c>
      <c r="B3233" s="5">
        <v>3226</v>
      </c>
      <c r="C3233">
        <v>7880</v>
      </c>
      <c r="D3233" t="s">
        <v>16589</v>
      </c>
      <c r="E3233" t="s">
        <v>213</v>
      </c>
      <c r="F3233" t="s">
        <v>136</v>
      </c>
      <c r="G3233" t="s">
        <v>16590</v>
      </c>
      <c r="H3233">
        <v>20.93</v>
      </c>
      <c r="I3233">
        <v>0</v>
      </c>
      <c r="J3233">
        <v>0</v>
      </c>
      <c r="K3233">
        <v>0</v>
      </c>
      <c r="L3233">
        <v>7</v>
      </c>
      <c r="N3233">
        <v>3</v>
      </c>
      <c r="O3233">
        <v>10</v>
      </c>
      <c r="P3233">
        <v>0</v>
      </c>
      <c r="Q3233">
        <v>0</v>
      </c>
      <c r="R3233">
        <v>30.93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H3233">
        <v>30.93</v>
      </c>
    </row>
    <row r="3234" spans="1:34" x14ac:dyDescent="0.3">
      <c r="A3234" s="4">
        <v>3448</v>
      </c>
      <c r="B3234" s="5">
        <v>3227</v>
      </c>
      <c r="C3234">
        <v>7568</v>
      </c>
      <c r="D3234" t="s">
        <v>16591</v>
      </c>
      <c r="E3234" t="s">
        <v>12643</v>
      </c>
      <c r="F3234" t="s">
        <v>62</v>
      </c>
      <c r="G3234" t="s">
        <v>16592</v>
      </c>
      <c r="H3234">
        <v>19.93</v>
      </c>
      <c r="I3234">
        <v>0</v>
      </c>
      <c r="J3234">
        <v>0</v>
      </c>
      <c r="K3234">
        <v>0</v>
      </c>
      <c r="L3234">
        <v>7</v>
      </c>
      <c r="O3234">
        <v>7</v>
      </c>
      <c r="P3234">
        <v>4</v>
      </c>
      <c r="Q3234">
        <v>0</v>
      </c>
      <c r="R3234">
        <v>30.93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H3234">
        <v>30.93</v>
      </c>
    </row>
    <row r="3235" spans="1:34" x14ac:dyDescent="0.3">
      <c r="A3235" s="4">
        <v>3449</v>
      </c>
      <c r="B3235" s="5">
        <v>3228</v>
      </c>
      <c r="C3235">
        <v>1367</v>
      </c>
      <c r="D3235" t="s">
        <v>15700</v>
      </c>
      <c r="E3235" t="s">
        <v>54</v>
      </c>
      <c r="F3235" t="s">
        <v>17</v>
      </c>
      <c r="G3235" t="s">
        <v>16593</v>
      </c>
      <c r="H3235">
        <v>19.93</v>
      </c>
      <c r="I3235">
        <v>0</v>
      </c>
      <c r="J3235">
        <v>0</v>
      </c>
      <c r="K3235">
        <v>0</v>
      </c>
      <c r="L3235">
        <v>7</v>
      </c>
      <c r="O3235">
        <v>7</v>
      </c>
      <c r="P3235">
        <v>4</v>
      </c>
      <c r="Q3235">
        <v>0</v>
      </c>
      <c r="R3235">
        <v>30.93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H3235">
        <v>30.93</v>
      </c>
    </row>
    <row r="3236" spans="1:34" x14ac:dyDescent="0.3">
      <c r="A3236" s="4">
        <v>3450</v>
      </c>
      <c r="B3236" s="5">
        <v>3229</v>
      </c>
      <c r="C3236">
        <v>13039</v>
      </c>
      <c r="D3236" t="s">
        <v>16594</v>
      </c>
      <c r="E3236" t="s">
        <v>16595</v>
      </c>
      <c r="F3236" t="s">
        <v>1238</v>
      </c>
      <c r="G3236" t="s">
        <v>16596</v>
      </c>
      <c r="H3236">
        <v>18.93</v>
      </c>
      <c r="I3236">
        <v>0</v>
      </c>
      <c r="J3236">
        <v>0</v>
      </c>
      <c r="K3236">
        <v>0</v>
      </c>
      <c r="L3236">
        <v>7</v>
      </c>
      <c r="M3236">
        <v>5</v>
      </c>
      <c r="O3236">
        <v>12</v>
      </c>
      <c r="P3236">
        <v>0</v>
      </c>
      <c r="Q3236">
        <v>0</v>
      </c>
      <c r="R3236">
        <v>30.93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H3236">
        <v>30.93</v>
      </c>
    </row>
    <row r="3237" spans="1:34" x14ac:dyDescent="0.3">
      <c r="A3237" s="4">
        <v>3451</v>
      </c>
      <c r="B3237" s="5">
        <v>3230</v>
      </c>
      <c r="C3237">
        <v>4704</v>
      </c>
      <c r="D3237" t="s">
        <v>14725</v>
      </c>
      <c r="E3237" t="s">
        <v>16597</v>
      </c>
      <c r="F3237" t="s">
        <v>68</v>
      </c>
      <c r="G3237" t="s">
        <v>16598</v>
      </c>
      <c r="H3237">
        <v>18.93</v>
      </c>
      <c r="I3237">
        <v>0</v>
      </c>
      <c r="J3237">
        <v>0</v>
      </c>
      <c r="K3237">
        <v>0</v>
      </c>
      <c r="N3237">
        <v>6</v>
      </c>
      <c r="O3237">
        <v>6</v>
      </c>
      <c r="P3237">
        <v>4</v>
      </c>
      <c r="Q3237">
        <v>2</v>
      </c>
      <c r="R3237">
        <v>30.93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H3237">
        <v>30.93</v>
      </c>
    </row>
    <row r="3238" spans="1:34" x14ac:dyDescent="0.3">
      <c r="A3238" s="4">
        <v>3452</v>
      </c>
      <c r="B3238" s="5">
        <v>3231</v>
      </c>
      <c r="C3238">
        <v>7212</v>
      </c>
      <c r="D3238" t="s">
        <v>16599</v>
      </c>
      <c r="E3238" t="s">
        <v>16600</v>
      </c>
      <c r="F3238" t="s">
        <v>190</v>
      </c>
      <c r="G3238" t="s">
        <v>16601</v>
      </c>
      <c r="H3238">
        <v>17.93</v>
      </c>
      <c r="I3238">
        <v>0</v>
      </c>
      <c r="J3238">
        <v>0</v>
      </c>
      <c r="K3238">
        <v>0</v>
      </c>
      <c r="L3238">
        <v>7</v>
      </c>
      <c r="O3238">
        <v>7</v>
      </c>
      <c r="P3238">
        <v>4</v>
      </c>
      <c r="Q3238">
        <v>2</v>
      </c>
      <c r="R3238">
        <v>30.93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H3238">
        <v>30.93</v>
      </c>
    </row>
    <row r="3239" spans="1:34" x14ac:dyDescent="0.3">
      <c r="A3239" s="4">
        <v>3453</v>
      </c>
      <c r="B3239" s="5">
        <v>3232</v>
      </c>
      <c r="C3239">
        <v>14823</v>
      </c>
      <c r="D3239" t="s">
        <v>16602</v>
      </c>
      <c r="E3239" t="s">
        <v>255</v>
      </c>
      <c r="F3239" t="s">
        <v>62</v>
      </c>
      <c r="G3239" t="s">
        <v>16603</v>
      </c>
      <c r="H3239">
        <v>18.899999999999999</v>
      </c>
      <c r="I3239">
        <v>0</v>
      </c>
      <c r="J3239">
        <v>0</v>
      </c>
      <c r="K3239">
        <v>0</v>
      </c>
      <c r="N3239">
        <v>3</v>
      </c>
      <c r="O3239">
        <v>3</v>
      </c>
      <c r="P3239">
        <v>4</v>
      </c>
      <c r="Q3239">
        <v>2</v>
      </c>
      <c r="R3239">
        <v>27.9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3</v>
      </c>
      <c r="AC3239">
        <v>0</v>
      </c>
      <c r="AH3239">
        <v>30.9</v>
      </c>
    </row>
    <row r="3240" spans="1:34" x14ac:dyDescent="0.3">
      <c r="A3240" s="4">
        <v>3454</v>
      </c>
      <c r="B3240" s="5">
        <v>3233</v>
      </c>
      <c r="C3240">
        <v>9882</v>
      </c>
      <c r="D3240" t="s">
        <v>3309</v>
      </c>
      <c r="E3240" t="s">
        <v>307</v>
      </c>
      <c r="F3240" t="s">
        <v>20</v>
      </c>
      <c r="G3240" t="s">
        <v>16604</v>
      </c>
      <c r="H3240">
        <v>21.9</v>
      </c>
      <c r="I3240">
        <v>0</v>
      </c>
      <c r="J3240">
        <v>0</v>
      </c>
      <c r="K3240">
        <v>0</v>
      </c>
      <c r="L3240">
        <v>7</v>
      </c>
      <c r="O3240">
        <v>7</v>
      </c>
      <c r="P3240">
        <v>0</v>
      </c>
      <c r="Q3240">
        <v>2</v>
      </c>
      <c r="R3240">
        <v>30.9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H3240">
        <v>30.9</v>
      </c>
    </row>
    <row r="3241" spans="1:34" x14ac:dyDescent="0.3">
      <c r="A3241" s="4">
        <v>3455</v>
      </c>
      <c r="B3241" s="5">
        <v>3234</v>
      </c>
      <c r="C3241">
        <v>261</v>
      </c>
      <c r="D3241" t="s">
        <v>515</v>
      </c>
      <c r="E3241" t="s">
        <v>182</v>
      </c>
      <c r="F3241" t="s">
        <v>124</v>
      </c>
      <c r="G3241" t="s">
        <v>16605</v>
      </c>
      <c r="H3241">
        <v>19.899999999999999</v>
      </c>
      <c r="I3241">
        <v>0</v>
      </c>
      <c r="J3241">
        <v>0</v>
      </c>
      <c r="K3241">
        <v>0</v>
      </c>
      <c r="L3241">
        <v>7</v>
      </c>
      <c r="O3241">
        <v>7</v>
      </c>
      <c r="P3241">
        <v>4</v>
      </c>
      <c r="Q3241">
        <v>0</v>
      </c>
      <c r="R3241">
        <v>30.9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H3241">
        <v>30.9</v>
      </c>
    </row>
    <row r="3242" spans="1:34" x14ac:dyDescent="0.3">
      <c r="A3242" s="4">
        <v>3456</v>
      </c>
      <c r="B3242" s="5">
        <v>3235</v>
      </c>
      <c r="C3242">
        <v>8142</v>
      </c>
      <c r="D3242" t="s">
        <v>16606</v>
      </c>
      <c r="E3242" t="s">
        <v>16607</v>
      </c>
      <c r="F3242" t="s">
        <v>117</v>
      </c>
      <c r="G3242" t="s">
        <v>16608</v>
      </c>
      <c r="H3242">
        <v>17.899999999999999</v>
      </c>
      <c r="I3242">
        <v>0</v>
      </c>
      <c r="J3242">
        <v>0</v>
      </c>
      <c r="K3242">
        <v>0</v>
      </c>
      <c r="L3242">
        <v>7</v>
      </c>
      <c r="O3242">
        <v>7</v>
      </c>
      <c r="P3242">
        <v>4</v>
      </c>
      <c r="Q3242">
        <v>2</v>
      </c>
      <c r="R3242">
        <v>30.9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H3242">
        <v>30.9</v>
      </c>
    </row>
    <row r="3243" spans="1:34" x14ac:dyDescent="0.3">
      <c r="A3243" s="4">
        <v>3457</v>
      </c>
      <c r="B3243" s="5">
        <v>3236</v>
      </c>
      <c r="C3243">
        <v>14590</v>
      </c>
      <c r="D3243" t="s">
        <v>5387</v>
      </c>
      <c r="E3243" t="s">
        <v>41</v>
      </c>
      <c r="F3243" t="s">
        <v>158</v>
      </c>
      <c r="G3243" t="s">
        <v>16609</v>
      </c>
      <c r="H3243">
        <v>17.88</v>
      </c>
      <c r="I3243">
        <v>0</v>
      </c>
      <c r="J3243">
        <v>0</v>
      </c>
      <c r="K3243">
        <v>0</v>
      </c>
      <c r="N3243">
        <v>6</v>
      </c>
      <c r="O3243">
        <v>6</v>
      </c>
      <c r="P3243">
        <v>4</v>
      </c>
      <c r="Q3243">
        <v>0</v>
      </c>
      <c r="R3243">
        <v>27.88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3</v>
      </c>
      <c r="AC3243">
        <v>0</v>
      </c>
      <c r="AH3243">
        <v>30.88</v>
      </c>
    </row>
    <row r="3244" spans="1:34" x14ac:dyDescent="0.3">
      <c r="A3244" s="4">
        <v>3458</v>
      </c>
      <c r="B3244" s="5">
        <v>3237</v>
      </c>
      <c r="C3244">
        <v>2374</v>
      </c>
      <c r="D3244" t="s">
        <v>16610</v>
      </c>
      <c r="E3244" t="s">
        <v>16611</v>
      </c>
      <c r="F3244" t="s">
        <v>16612</v>
      </c>
      <c r="G3244" t="s">
        <v>16613</v>
      </c>
      <c r="H3244">
        <v>15.88</v>
      </c>
      <c r="I3244">
        <v>0</v>
      </c>
      <c r="J3244">
        <v>0</v>
      </c>
      <c r="K3244">
        <v>0</v>
      </c>
      <c r="N3244">
        <v>3</v>
      </c>
      <c r="O3244">
        <v>3</v>
      </c>
      <c r="P3244">
        <v>4</v>
      </c>
      <c r="Q3244">
        <v>0</v>
      </c>
      <c r="R3244">
        <v>22.88</v>
      </c>
      <c r="S3244">
        <v>5</v>
      </c>
      <c r="T3244">
        <v>5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5</v>
      </c>
      <c r="AB3244">
        <v>3</v>
      </c>
      <c r="AC3244">
        <v>0</v>
      </c>
      <c r="AH3244">
        <v>30.88</v>
      </c>
    </row>
    <row r="3245" spans="1:34" x14ac:dyDescent="0.3">
      <c r="A3245" s="4">
        <v>3459</v>
      </c>
      <c r="B3245" s="5">
        <v>3238</v>
      </c>
      <c r="C3245">
        <v>14940</v>
      </c>
      <c r="D3245" t="s">
        <v>16614</v>
      </c>
      <c r="E3245" t="s">
        <v>54</v>
      </c>
      <c r="F3245" t="s">
        <v>539</v>
      </c>
      <c r="G3245" t="s">
        <v>16615</v>
      </c>
      <c r="H3245">
        <v>20.88</v>
      </c>
      <c r="I3245">
        <v>0</v>
      </c>
      <c r="J3245">
        <v>0</v>
      </c>
      <c r="K3245">
        <v>0</v>
      </c>
      <c r="L3245">
        <v>7</v>
      </c>
      <c r="N3245">
        <v>3</v>
      </c>
      <c r="O3245">
        <v>10</v>
      </c>
      <c r="P3245">
        <v>0</v>
      </c>
      <c r="Q3245">
        <v>0</v>
      </c>
      <c r="R3245">
        <v>30.88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H3245">
        <v>30.88</v>
      </c>
    </row>
    <row r="3246" spans="1:34" x14ac:dyDescent="0.3">
      <c r="A3246" s="4">
        <v>3460</v>
      </c>
      <c r="B3246" s="5">
        <v>3239</v>
      </c>
      <c r="C3246">
        <v>12243</v>
      </c>
      <c r="D3246" t="s">
        <v>16616</v>
      </c>
      <c r="E3246" t="s">
        <v>1426</v>
      </c>
      <c r="F3246" t="s">
        <v>343</v>
      </c>
      <c r="G3246" t="s">
        <v>16617</v>
      </c>
      <c r="H3246">
        <v>19.88</v>
      </c>
      <c r="I3246">
        <v>0</v>
      </c>
      <c r="J3246">
        <v>0</v>
      </c>
      <c r="K3246">
        <v>0</v>
      </c>
      <c r="M3246">
        <v>5</v>
      </c>
      <c r="O3246">
        <v>5</v>
      </c>
      <c r="P3246">
        <v>4</v>
      </c>
      <c r="Q3246">
        <v>2</v>
      </c>
      <c r="R3246">
        <v>30.88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H3246">
        <v>30.88</v>
      </c>
    </row>
    <row r="3247" spans="1:34" x14ac:dyDescent="0.3">
      <c r="A3247" s="4">
        <v>3461</v>
      </c>
      <c r="B3247" s="5">
        <v>3240</v>
      </c>
      <c r="C3247">
        <v>12211</v>
      </c>
      <c r="D3247" t="s">
        <v>1791</v>
      </c>
      <c r="E3247" t="s">
        <v>132</v>
      </c>
      <c r="F3247" t="s">
        <v>62</v>
      </c>
      <c r="G3247" t="s">
        <v>16618</v>
      </c>
      <c r="H3247">
        <v>20.85</v>
      </c>
      <c r="I3247">
        <v>0</v>
      </c>
      <c r="J3247">
        <v>0</v>
      </c>
      <c r="K3247">
        <v>0</v>
      </c>
      <c r="N3247">
        <v>6</v>
      </c>
      <c r="O3247">
        <v>6</v>
      </c>
      <c r="P3247">
        <v>4</v>
      </c>
      <c r="Q3247">
        <v>0</v>
      </c>
      <c r="R3247">
        <v>30.85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H3247">
        <v>30.85</v>
      </c>
    </row>
    <row r="3248" spans="1:34" x14ac:dyDescent="0.3">
      <c r="A3248" s="4">
        <v>3462</v>
      </c>
      <c r="B3248" s="5">
        <v>3241</v>
      </c>
      <c r="C3248">
        <v>888</v>
      </c>
      <c r="D3248" t="s">
        <v>410</v>
      </c>
      <c r="E3248" t="s">
        <v>4935</v>
      </c>
      <c r="F3248" t="s">
        <v>30</v>
      </c>
      <c r="G3248" t="s">
        <v>16619</v>
      </c>
      <c r="H3248">
        <v>19.850000000000001</v>
      </c>
      <c r="I3248">
        <v>0</v>
      </c>
      <c r="J3248">
        <v>0</v>
      </c>
      <c r="K3248">
        <v>0</v>
      </c>
      <c r="L3248">
        <v>7</v>
      </c>
      <c r="O3248">
        <v>7</v>
      </c>
      <c r="P3248">
        <v>4</v>
      </c>
      <c r="Q3248">
        <v>0</v>
      </c>
      <c r="R3248">
        <v>30.85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H3248">
        <v>30.85</v>
      </c>
    </row>
    <row r="3249" spans="1:34" x14ac:dyDescent="0.3">
      <c r="A3249" s="4">
        <v>3463</v>
      </c>
      <c r="B3249" s="5">
        <v>3242</v>
      </c>
      <c r="C3249">
        <v>13963</v>
      </c>
      <c r="D3249" t="s">
        <v>2441</v>
      </c>
      <c r="E3249" t="s">
        <v>132</v>
      </c>
      <c r="F3249" t="s">
        <v>38</v>
      </c>
      <c r="G3249" t="s">
        <v>16620</v>
      </c>
      <c r="H3249">
        <v>19.850000000000001</v>
      </c>
      <c r="I3249">
        <v>0</v>
      </c>
      <c r="J3249">
        <v>0</v>
      </c>
      <c r="K3249">
        <v>0</v>
      </c>
      <c r="L3249">
        <v>7</v>
      </c>
      <c r="O3249">
        <v>7</v>
      </c>
      <c r="P3249">
        <v>4</v>
      </c>
      <c r="Q3249">
        <v>0</v>
      </c>
      <c r="R3249">
        <v>30.85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H3249">
        <v>30.85</v>
      </c>
    </row>
    <row r="3250" spans="1:34" x14ac:dyDescent="0.3">
      <c r="A3250" s="4">
        <v>3464</v>
      </c>
      <c r="B3250" s="5">
        <v>3243</v>
      </c>
      <c r="C3250">
        <v>7111</v>
      </c>
      <c r="D3250" t="s">
        <v>16621</v>
      </c>
      <c r="E3250" t="s">
        <v>100</v>
      </c>
      <c r="F3250" t="s">
        <v>20</v>
      </c>
      <c r="G3250" t="s">
        <v>16622</v>
      </c>
      <c r="H3250">
        <v>19.850000000000001</v>
      </c>
      <c r="I3250">
        <v>0</v>
      </c>
      <c r="J3250">
        <v>0</v>
      </c>
      <c r="K3250">
        <v>0</v>
      </c>
      <c r="L3250">
        <v>7</v>
      </c>
      <c r="O3250">
        <v>7</v>
      </c>
      <c r="P3250">
        <v>4</v>
      </c>
      <c r="Q3250">
        <v>0</v>
      </c>
      <c r="R3250">
        <v>30.85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H3250">
        <v>30.85</v>
      </c>
    </row>
    <row r="3251" spans="1:34" x14ac:dyDescent="0.3">
      <c r="A3251" s="4">
        <v>3465</v>
      </c>
      <c r="B3251" s="5">
        <v>3244</v>
      </c>
      <c r="C3251">
        <v>12145</v>
      </c>
      <c r="D3251" t="s">
        <v>13657</v>
      </c>
      <c r="E3251" t="s">
        <v>16623</v>
      </c>
      <c r="F3251" t="s">
        <v>68</v>
      </c>
      <c r="G3251" t="s">
        <v>16624</v>
      </c>
      <c r="H3251">
        <v>17.850000000000001</v>
      </c>
      <c r="I3251">
        <v>0</v>
      </c>
      <c r="J3251">
        <v>0</v>
      </c>
      <c r="K3251">
        <v>0</v>
      </c>
      <c r="L3251">
        <v>7</v>
      </c>
      <c r="O3251">
        <v>7</v>
      </c>
      <c r="P3251">
        <v>4</v>
      </c>
      <c r="Q3251">
        <v>2</v>
      </c>
      <c r="R3251">
        <v>30.85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H3251">
        <v>30.85</v>
      </c>
    </row>
    <row r="3252" spans="1:34" x14ac:dyDescent="0.3">
      <c r="A3252" s="4">
        <v>3466</v>
      </c>
      <c r="B3252" s="5">
        <v>3245</v>
      </c>
      <c r="C3252">
        <v>13782</v>
      </c>
      <c r="D3252" t="s">
        <v>16625</v>
      </c>
      <c r="E3252" t="s">
        <v>307</v>
      </c>
      <c r="F3252" t="s">
        <v>20</v>
      </c>
      <c r="G3252" t="s">
        <v>16626</v>
      </c>
      <c r="H3252">
        <v>19.829999999999998</v>
      </c>
      <c r="I3252">
        <v>0</v>
      </c>
      <c r="J3252">
        <v>0</v>
      </c>
      <c r="K3252">
        <v>0</v>
      </c>
      <c r="L3252">
        <v>7</v>
      </c>
      <c r="O3252">
        <v>7</v>
      </c>
      <c r="P3252">
        <v>4</v>
      </c>
      <c r="Q3252">
        <v>0</v>
      </c>
      <c r="R3252">
        <v>30.83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H3252">
        <v>30.83</v>
      </c>
    </row>
    <row r="3253" spans="1:34" x14ac:dyDescent="0.3">
      <c r="A3253" s="4">
        <v>3467</v>
      </c>
      <c r="B3253" s="5">
        <v>3246</v>
      </c>
      <c r="C3253">
        <v>11684</v>
      </c>
      <c r="D3253" t="s">
        <v>16627</v>
      </c>
      <c r="E3253" t="s">
        <v>173</v>
      </c>
      <c r="F3253" t="s">
        <v>9325</v>
      </c>
      <c r="G3253" t="s">
        <v>16628</v>
      </c>
      <c r="H3253">
        <v>18.829999999999998</v>
      </c>
      <c r="I3253">
        <v>0</v>
      </c>
      <c r="J3253">
        <v>0</v>
      </c>
      <c r="K3253">
        <v>0</v>
      </c>
      <c r="L3253">
        <v>7</v>
      </c>
      <c r="N3253">
        <v>3</v>
      </c>
      <c r="O3253">
        <v>10</v>
      </c>
      <c r="P3253">
        <v>0</v>
      </c>
      <c r="Q3253">
        <v>2</v>
      </c>
      <c r="R3253">
        <v>30.83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H3253">
        <v>30.83</v>
      </c>
    </row>
    <row r="3254" spans="1:34" x14ac:dyDescent="0.3">
      <c r="A3254" s="4">
        <v>3468</v>
      </c>
      <c r="B3254" s="5">
        <v>3247</v>
      </c>
      <c r="C3254">
        <v>4639</v>
      </c>
      <c r="D3254" t="s">
        <v>8873</v>
      </c>
      <c r="E3254" t="s">
        <v>37</v>
      </c>
      <c r="F3254" t="s">
        <v>16629</v>
      </c>
      <c r="G3254" t="s">
        <v>16630</v>
      </c>
      <c r="H3254">
        <v>17.829999999999998</v>
      </c>
      <c r="I3254">
        <v>0</v>
      </c>
      <c r="J3254">
        <v>0</v>
      </c>
      <c r="K3254">
        <v>0</v>
      </c>
      <c r="L3254">
        <v>7</v>
      </c>
      <c r="O3254">
        <v>7</v>
      </c>
      <c r="P3254">
        <v>4</v>
      </c>
      <c r="Q3254">
        <v>2</v>
      </c>
      <c r="R3254">
        <v>30.83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H3254">
        <v>30.83</v>
      </c>
    </row>
    <row r="3255" spans="1:34" x14ac:dyDescent="0.3">
      <c r="A3255" s="4">
        <v>3469</v>
      </c>
      <c r="B3255" s="5">
        <v>3248</v>
      </c>
      <c r="C3255">
        <v>3543</v>
      </c>
      <c r="D3255" t="s">
        <v>529</v>
      </c>
      <c r="E3255" t="s">
        <v>16631</v>
      </c>
      <c r="F3255" t="s">
        <v>81</v>
      </c>
      <c r="G3255" t="s">
        <v>16632</v>
      </c>
      <c r="H3255">
        <v>16.829999999999998</v>
      </c>
      <c r="I3255">
        <v>0</v>
      </c>
      <c r="J3255">
        <v>0</v>
      </c>
      <c r="K3255">
        <v>0</v>
      </c>
      <c r="L3255">
        <v>7</v>
      </c>
      <c r="N3255">
        <v>3</v>
      </c>
      <c r="O3255">
        <v>10</v>
      </c>
      <c r="P3255">
        <v>4</v>
      </c>
      <c r="Q3255">
        <v>0</v>
      </c>
      <c r="R3255">
        <v>30.83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H3255">
        <v>30.83</v>
      </c>
    </row>
    <row r="3256" spans="1:34" x14ac:dyDescent="0.3">
      <c r="A3256" s="4">
        <v>3470</v>
      </c>
      <c r="B3256" s="5">
        <v>3249</v>
      </c>
      <c r="C3256">
        <v>6908</v>
      </c>
      <c r="D3256" t="s">
        <v>13099</v>
      </c>
      <c r="E3256" t="s">
        <v>5190</v>
      </c>
      <c r="F3256" t="s">
        <v>20</v>
      </c>
      <c r="G3256" t="s">
        <v>16633</v>
      </c>
      <c r="H3256">
        <v>16.8</v>
      </c>
      <c r="I3256">
        <v>0</v>
      </c>
      <c r="J3256">
        <v>0</v>
      </c>
      <c r="K3256">
        <v>0</v>
      </c>
      <c r="L3256">
        <v>7</v>
      </c>
      <c r="O3256">
        <v>7</v>
      </c>
      <c r="P3256">
        <v>4</v>
      </c>
      <c r="Q3256">
        <v>0</v>
      </c>
      <c r="R3256">
        <v>27.8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3</v>
      </c>
      <c r="AC3256">
        <v>0</v>
      </c>
      <c r="AH3256">
        <v>30.8</v>
      </c>
    </row>
    <row r="3257" spans="1:34" x14ac:dyDescent="0.3">
      <c r="A3257" s="4">
        <v>3471</v>
      </c>
      <c r="B3257" s="5">
        <v>3250</v>
      </c>
      <c r="C3257">
        <v>9784</v>
      </c>
      <c r="D3257" t="s">
        <v>16634</v>
      </c>
      <c r="E3257" t="s">
        <v>54</v>
      </c>
      <c r="F3257" t="s">
        <v>20</v>
      </c>
      <c r="G3257" t="s">
        <v>16635</v>
      </c>
      <c r="H3257">
        <v>15.8</v>
      </c>
      <c r="I3257">
        <v>0</v>
      </c>
      <c r="J3257">
        <v>0</v>
      </c>
      <c r="K3257">
        <v>0</v>
      </c>
      <c r="M3257">
        <v>5</v>
      </c>
      <c r="N3257">
        <v>3</v>
      </c>
      <c r="O3257">
        <v>8</v>
      </c>
      <c r="P3257">
        <v>4</v>
      </c>
      <c r="Q3257">
        <v>0</v>
      </c>
      <c r="R3257">
        <v>27.8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3</v>
      </c>
      <c r="AC3257">
        <v>0</v>
      </c>
      <c r="AH3257">
        <v>30.8</v>
      </c>
    </row>
    <row r="3258" spans="1:34" x14ac:dyDescent="0.3">
      <c r="A3258" s="4">
        <v>3472</v>
      </c>
      <c r="B3258" s="5">
        <v>3251</v>
      </c>
      <c r="C3258">
        <v>3136</v>
      </c>
      <c r="D3258" t="s">
        <v>16636</v>
      </c>
      <c r="E3258" t="s">
        <v>132</v>
      </c>
      <c r="F3258" t="s">
        <v>9547</v>
      </c>
      <c r="G3258" t="s">
        <v>16637</v>
      </c>
      <c r="H3258">
        <v>21.8</v>
      </c>
      <c r="I3258">
        <v>0</v>
      </c>
      <c r="J3258">
        <v>0</v>
      </c>
      <c r="K3258">
        <v>0</v>
      </c>
      <c r="N3258">
        <v>3</v>
      </c>
      <c r="O3258">
        <v>3</v>
      </c>
      <c r="P3258">
        <v>4</v>
      </c>
      <c r="Q3258">
        <v>2</v>
      </c>
      <c r="R3258">
        <v>30.8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H3258">
        <v>30.8</v>
      </c>
    </row>
    <row r="3259" spans="1:34" x14ac:dyDescent="0.3">
      <c r="A3259" s="4">
        <v>3473</v>
      </c>
      <c r="B3259" s="5">
        <v>3252</v>
      </c>
      <c r="C3259">
        <v>11234</v>
      </c>
      <c r="D3259" t="s">
        <v>11912</v>
      </c>
      <c r="E3259" t="s">
        <v>286</v>
      </c>
      <c r="F3259" t="s">
        <v>136</v>
      </c>
      <c r="G3259" t="s">
        <v>16638</v>
      </c>
      <c r="H3259">
        <v>16.8</v>
      </c>
      <c r="I3259">
        <v>0</v>
      </c>
      <c r="J3259">
        <v>0</v>
      </c>
      <c r="K3259">
        <v>0</v>
      </c>
      <c r="L3259">
        <v>7</v>
      </c>
      <c r="N3259">
        <v>3</v>
      </c>
      <c r="O3259">
        <v>10</v>
      </c>
      <c r="P3259">
        <v>4</v>
      </c>
      <c r="Q3259">
        <v>0</v>
      </c>
      <c r="R3259">
        <v>30.8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H3259">
        <v>30.8</v>
      </c>
    </row>
    <row r="3260" spans="1:34" x14ac:dyDescent="0.3">
      <c r="A3260" s="4">
        <v>3474</v>
      </c>
      <c r="B3260" s="5">
        <v>3253</v>
      </c>
      <c r="C3260">
        <v>4098</v>
      </c>
      <c r="D3260" t="s">
        <v>2685</v>
      </c>
      <c r="E3260" t="s">
        <v>208</v>
      </c>
      <c r="F3260" t="s">
        <v>20</v>
      </c>
      <c r="G3260" t="s">
        <v>16639</v>
      </c>
      <c r="H3260">
        <v>19.78</v>
      </c>
      <c r="I3260">
        <v>0</v>
      </c>
      <c r="J3260">
        <v>0</v>
      </c>
      <c r="K3260">
        <v>0</v>
      </c>
      <c r="L3260">
        <v>7</v>
      </c>
      <c r="O3260">
        <v>7</v>
      </c>
      <c r="P3260">
        <v>4</v>
      </c>
      <c r="Q3260">
        <v>0</v>
      </c>
      <c r="R3260">
        <v>30.78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H3260">
        <v>30.78</v>
      </c>
    </row>
    <row r="3261" spans="1:34" x14ac:dyDescent="0.3">
      <c r="A3261" s="4">
        <v>3475</v>
      </c>
      <c r="B3261" s="5">
        <v>3254</v>
      </c>
      <c r="C3261">
        <v>2151</v>
      </c>
      <c r="D3261" t="s">
        <v>16640</v>
      </c>
      <c r="E3261" t="s">
        <v>12525</v>
      </c>
      <c r="F3261" t="s">
        <v>117</v>
      </c>
      <c r="G3261" t="s">
        <v>16641</v>
      </c>
      <c r="H3261">
        <v>17.78</v>
      </c>
      <c r="I3261">
        <v>0</v>
      </c>
      <c r="J3261">
        <v>0</v>
      </c>
      <c r="K3261">
        <v>0</v>
      </c>
      <c r="L3261">
        <v>7</v>
      </c>
      <c r="O3261">
        <v>7</v>
      </c>
      <c r="P3261">
        <v>4</v>
      </c>
      <c r="Q3261">
        <v>2</v>
      </c>
      <c r="R3261">
        <v>30.78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H3261">
        <v>30.78</v>
      </c>
    </row>
    <row r="3262" spans="1:34" x14ac:dyDescent="0.3">
      <c r="A3262" s="4">
        <v>3476</v>
      </c>
      <c r="B3262" s="5">
        <v>3255</v>
      </c>
      <c r="C3262">
        <v>12837</v>
      </c>
      <c r="D3262" t="s">
        <v>1693</v>
      </c>
      <c r="E3262" t="s">
        <v>16642</v>
      </c>
      <c r="F3262" t="s">
        <v>158</v>
      </c>
      <c r="G3262" t="s">
        <v>16643</v>
      </c>
      <c r="H3262">
        <v>16.78</v>
      </c>
      <c r="I3262">
        <v>0</v>
      </c>
      <c r="J3262">
        <v>0</v>
      </c>
      <c r="K3262">
        <v>0</v>
      </c>
      <c r="L3262">
        <v>7</v>
      </c>
      <c r="N3262">
        <v>3</v>
      </c>
      <c r="O3262">
        <v>10</v>
      </c>
      <c r="P3262">
        <v>4</v>
      </c>
      <c r="Q3262">
        <v>0</v>
      </c>
      <c r="R3262">
        <v>30.78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H3262">
        <v>30.78</v>
      </c>
    </row>
    <row r="3263" spans="1:34" x14ac:dyDescent="0.3">
      <c r="A3263" s="4">
        <v>3477</v>
      </c>
      <c r="B3263" s="5">
        <v>3256</v>
      </c>
      <c r="C3263">
        <v>10077</v>
      </c>
      <c r="D3263" t="s">
        <v>16644</v>
      </c>
      <c r="E3263" t="s">
        <v>173</v>
      </c>
      <c r="F3263" t="s">
        <v>17</v>
      </c>
      <c r="G3263" t="s">
        <v>16645</v>
      </c>
      <c r="H3263">
        <v>16.78</v>
      </c>
      <c r="I3263">
        <v>0</v>
      </c>
      <c r="J3263">
        <v>0</v>
      </c>
      <c r="K3263">
        <v>0</v>
      </c>
      <c r="L3263">
        <v>7</v>
      </c>
      <c r="N3263">
        <v>3</v>
      </c>
      <c r="O3263">
        <v>10</v>
      </c>
      <c r="P3263">
        <v>4</v>
      </c>
      <c r="Q3263">
        <v>0</v>
      </c>
      <c r="R3263">
        <v>30.78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H3263">
        <v>30.78</v>
      </c>
    </row>
    <row r="3264" spans="1:34" x14ac:dyDescent="0.3">
      <c r="A3264" s="4">
        <v>3478</v>
      </c>
      <c r="B3264" s="5">
        <v>3257</v>
      </c>
      <c r="C3264">
        <v>5756</v>
      </c>
      <c r="D3264" t="s">
        <v>15446</v>
      </c>
      <c r="E3264" t="s">
        <v>355</v>
      </c>
      <c r="F3264" t="s">
        <v>68</v>
      </c>
      <c r="G3264" t="s">
        <v>16646</v>
      </c>
      <c r="H3264">
        <v>19.75</v>
      </c>
      <c r="I3264">
        <v>0</v>
      </c>
      <c r="J3264">
        <v>0</v>
      </c>
      <c r="K3264">
        <v>0</v>
      </c>
      <c r="L3264">
        <v>7</v>
      </c>
      <c r="O3264">
        <v>7</v>
      </c>
      <c r="P3264">
        <v>4</v>
      </c>
      <c r="Q3264">
        <v>0</v>
      </c>
      <c r="R3264">
        <v>30.75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H3264">
        <v>30.75</v>
      </c>
    </row>
    <row r="3265" spans="1:34" x14ac:dyDescent="0.3">
      <c r="A3265" s="4">
        <v>3479</v>
      </c>
      <c r="B3265" s="5">
        <v>3258</v>
      </c>
      <c r="C3265">
        <v>10623</v>
      </c>
      <c r="D3265" t="s">
        <v>5985</v>
      </c>
      <c r="E3265" t="s">
        <v>16647</v>
      </c>
      <c r="F3265" t="s">
        <v>81</v>
      </c>
      <c r="G3265" t="s">
        <v>16648</v>
      </c>
      <c r="H3265">
        <v>17.75</v>
      </c>
      <c r="I3265">
        <v>0</v>
      </c>
      <c r="J3265">
        <v>0</v>
      </c>
      <c r="K3265">
        <v>0</v>
      </c>
      <c r="L3265">
        <v>7</v>
      </c>
      <c r="O3265">
        <v>7</v>
      </c>
      <c r="P3265">
        <v>4</v>
      </c>
      <c r="Q3265">
        <v>2</v>
      </c>
      <c r="R3265">
        <v>30.75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H3265">
        <v>30.75</v>
      </c>
    </row>
    <row r="3266" spans="1:34" x14ac:dyDescent="0.3">
      <c r="A3266" s="4">
        <v>3480</v>
      </c>
      <c r="B3266" s="5">
        <v>3259</v>
      </c>
      <c r="C3266">
        <v>12561</v>
      </c>
      <c r="D3266" t="s">
        <v>16649</v>
      </c>
      <c r="E3266" t="s">
        <v>328</v>
      </c>
      <c r="F3266" t="s">
        <v>68</v>
      </c>
      <c r="G3266" t="s">
        <v>16650</v>
      </c>
      <c r="H3266">
        <v>15.73</v>
      </c>
      <c r="I3266">
        <v>0</v>
      </c>
      <c r="J3266">
        <v>0</v>
      </c>
      <c r="K3266">
        <v>0</v>
      </c>
      <c r="L3266">
        <v>7</v>
      </c>
      <c r="N3266">
        <v>3</v>
      </c>
      <c r="O3266">
        <v>10</v>
      </c>
      <c r="P3266">
        <v>0</v>
      </c>
      <c r="Q3266">
        <v>2</v>
      </c>
      <c r="R3266">
        <v>27.73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3</v>
      </c>
      <c r="AC3266">
        <v>0</v>
      </c>
      <c r="AH3266">
        <v>30.73</v>
      </c>
    </row>
    <row r="3267" spans="1:34" x14ac:dyDescent="0.3">
      <c r="A3267" s="4">
        <v>3481</v>
      </c>
      <c r="B3267" s="5">
        <v>3260</v>
      </c>
      <c r="C3267">
        <v>11685</v>
      </c>
      <c r="D3267" t="s">
        <v>3091</v>
      </c>
      <c r="E3267" t="s">
        <v>188</v>
      </c>
      <c r="F3267" t="s">
        <v>20</v>
      </c>
      <c r="G3267" t="s">
        <v>16651</v>
      </c>
      <c r="H3267">
        <v>19.7</v>
      </c>
      <c r="I3267">
        <v>0</v>
      </c>
      <c r="J3267">
        <v>0</v>
      </c>
      <c r="K3267">
        <v>0</v>
      </c>
      <c r="L3267">
        <v>7</v>
      </c>
      <c r="O3267">
        <v>7</v>
      </c>
      <c r="P3267">
        <v>4</v>
      </c>
      <c r="Q3267">
        <v>0</v>
      </c>
      <c r="R3267">
        <v>30.7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H3267">
        <v>30.7</v>
      </c>
    </row>
    <row r="3268" spans="1:34" x14ac:dyDescent="0.3">
      <c r="A3268" s="4">
        <v>3482</v>
      </c>
      <c r="B3268" s="5">
        <v>3261</v>
      </c>
      <c r="C3268">
        <v>10658</v>
      </c>
      <c r="D3268" t="s">
        <v>1707</v>
      </c>
      <c r="E3268" t="s">
        <v>178</v>
      </c>
      <c r="F3268" t="s">
        <v>38</v>
      </c>
      <c r="G3268" t="s">
        <v>16652</v>
      </c>
      <c r="H3268">
        <v>19.7</v>
      </c>
      <c r="I3268">
        <v>0</v>
      </c>
      <c r="J3268">
        <v>0</v>
      </c>
      <c r="K3268">
        <v>0</v>
      </c>
      <c r="L3268">
        <v>7</v>
      </c>
      <c r="O3268">
        <v>7</v>
      </c>
      <c r="P3268">
        <v>4</v>
      </c>
      <c r="Q3268">
        <v>0</v>
      </c>
      <c r="R3268">
        <v>30.7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H3268">
        <v>30.7</v>
      </c>
    </row>
    <row r="3269" spans="1:34" x14ac:dyDescent="0.3">
      <c r="A3269" s="4">
        <v>3483</v>
      </c>
      <c r="B3269" s="5">
        <v>3262</v>
      </c>
      <c r="C3269">
        <v>5108</v>
      </c>
      <c r="D3269" t="s">
        <v>261</v>
      </c>
      <c r="E3269" t="s">
        <v>16653</v>
      </c>
      <c r="F3269" t="s">
        <v>101</v>
      </c>
      <c r="G3269" t="s">
        <v>16654</v>
      </c>
      <c r="H3269">
        <v>19.7</v>
      </c>
      <c r="I3269">
        <v>0</v>
      </c>
      <c r="J3269">
        <v>0</v>
      </c>
      <c r="K3269">
        <v>0</v>
      </c>
      <c r="L3269">
        <v>7</v>
      </c>
      <c r="O3269">
        <v>7</v>
      </c>
      <c r="P3269">
        <v>4</v>
      </c>
      <c r="Q3269">
        <v>0</v>
      </c>
      <c r="R3269">
        <v>30.7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H3269">
        <v>30.7</v>
      </c>
    </row>
    <row r="3270" spans="1:34" x14ac:dyDescent="0.3">
      <c r="A3270" s="4">
        <v>3484</v>
      </c>
      <c r="B3270" s="5">
        <v>3263</v>
      </c>
      <c r="C3270">
        <v>10004</v>
      </c>
      <c r="D3270" t="s">
        <v>16655</v>
      </c>
      <c r="E3270" t="s">
        <v>54</v>
      </c>
      <c r="F3270" t="s">
        <v>17</v>
      </c>
      <c r="G3270" t="s">
        <v>16656</v>
      </c>
      <c r="H3270">
        <v>19.7</v>
      </c>
      <c r="I3270">
        <v>0</v>
      </c>
      <c r="J3270">
        <v>0</v>
      </c>
      <c r="K3270">
        <v>0</v>
      </c>
      <c r="L3270">
        <v>7</v>
      </c>
      <c r="O3270">
        <v>7</v>
      </c>
      <c r="P3270">
        <v>4</v>
      </c>
      <c r="Q3270">
        <v>0</v>
      </c>
      <c r="R3270">
        <v>30.7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H3270">
        <v>30.7</v>
      </c>
    </row>
    <row r="3271" spans="1:34" x14ac:dyDescent="0.3">
      <c r="A3271" s="4">
        <v>3485</v>
      </c>
      <c r="B3271" s="5">
        <v>3264</v>
      </c>
      <c r="C3271">
        <v>4424</v>
      </c>
      <c r="D3271" t="s">
        <v>16657</v>
      </c>
      <c r="E3271" t="s">
        <v>188</v>
      </c>
      <c r="F3271" t="s">
        <v>124</v>
      </c>
      <c r="G3271" t="s">
        <v>16658</v>
      </c>
      <c r="H3271">
        <v>17.7</v>
      </c>
      <c r="I3271">
        <v>0</v>
      </c>
      <c r="J3271">
        <v>0</v>
      </c>
      <c r="K3271">
        <v>0</v>
      </c>
      <c r="L3271">
        <v>7</v>
      </c>
      <c r="O3271">
        <v>7</v>
      </c>
      <c r="P3271">
        <v>4</v>
      </c>
      <c r="Q3271">
        <v>2</v>
      </c>
      <c r="R3271">
        <v>30.7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H3271">
        <v>30.7</v>
      </c>
    </row>
    <row r="3272" spans="1:34" x14ac:dyDescent="0.3">
      <c r="A3272" s="4">
        <v>3486</v>
      </c>
      <c r="B3272" s="5">
        <v>3265</v>
      </c>
      <c r="C3272">
        <v>14348</v>
      </c>
      <c r="D3272" t="s">
        <v>16659</v>
      </c>
      <c r="E3272" t="s">
        <v>5101</v>
      </c>
      <c r="F3272" t="s">
        <v>2802</v>
      </c>
      <c r="G3272" t="s">
        <v>16660</v>
      </c>
      <c r="H3272">
        <v>17.7</v>
      </c>
      <c r="I3272">
        <v>0</v>
      </c>
      <c r="J3272">
        <v>0</v>
      </c>
      <c r="K3272">
        <v>0</v>
      </c>
      <c r="L3272">
        <v>7</v>
      </c>
      <c r="O3272">
        <v>7</v>
      </c>
      <c r="P3272">
        <v>4</v>
      </c>
      <c r="Q3272">
        <v>2</v>
      </c>
      <c r="R3272">
        <v>30.7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H3272">
        <v>30.7</v>
      </c>
    </row>
    <row r="3273" spans="1:34" x14ac:dyDescent="0.3">
      <c r="A3273" s="4">
        <v>3487</v>
      </c>
      <c r="B3273" s="5">
        <v>3266</v>
      </c>
      <c r="C3273">
        <v>5308</v>
      </c>
      <c r="D3273" t="s">
        <v>2132</v>
      </c>
      <c r="E3273" t="s">
        <v>16661</v>
      </c>
      <c r="F3273" t="s">
        <v>117</v>
      </c>
      <c r="G3273" t="s">
        <v>16662</v>
      </c>
      <c r="H3273">
        <v>17.7</v>
      </c>
      <c r="I3273">
        <v>0</v>
      </c>
      <c r="J3273">
        <v>0</v>
      </c>
      <c r="K3273">
        <v>0</v>
      </c>
      <c r="L3273">
        <v>7</v>
      </c>
      <c r="O3273">
        <v>7</v>
      </c>
      <c r="P3273">
        <v>4</v>
      </c>
      <c r="Q3273">
        <v>2</v>
      </c>
      <c r="R3273">
        <v>30.7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H3273">
        <v>30.7</v>
      </c>
    </row>
    <row r="3274" spans="1:34" x14ac:dyDescent="0.3">
      <c r="A3274" s="4">
        <v>3488</v>
      </c>
      <c r="B3274" s="5">
        <v>3267</v>
      </c>
      <c r="C3274">
        <v>15664</v>
      </c>
      <c r="D3274" t="s">
        <v>93</v>
      </c>
      <c r="E3274" t="s">
        <v>1168</v>
      </c>
      <c r="F3274" t="s">
        <v>167</v>
      </c>
      <c r="G3274" t="s">
        <v>16663</v>
      </c>
      <c r="H3274">
        <v>17.649999999999999</v>
      </c>
      <c r="I3274">
        <v>0</v>
      </c>
      <c r="J3274">
        <v>0</v>
      </c>
      <c r="K3274">
        <v>0</v>
      </c>
      <c r="L3274">
        <v>7</v>
      </c>
      <c r="O3274">
        <v>7</v>
      </c>
      <c r="P3274">
        <v>0</v>
      </c>
      <c r="Q3274">
        <v>0</v>
      </c>
      <c r="R3274">
        <v>24.65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6</v>
      </c>
      <c r="AC3274">
        <v>0</v>
      </c>
      <c r="AH3274">
        <v>30.65</v>
      </c>
    </row>
    <row r="3275" spans="1:34" x14ac:dyDescent="0.3">
      <c r="A3275" s="4">
        <v>3489</v>
      </c>
      <c r="B3275" s="5">
        <v>3268</v>
      </c>
      <c r="C3275">
        <v>14527</v>
      </c>
      <c r="D3275" t="s">
        <v>515</v>
      </c>
      <c r="E3275" t="s">
        <v>166</v>
      </c>
      <c r="F3275" t="s">
        <v>136</v>
      </c>
      <c r="G3275" t="s">
        <v>16664</v>
      </c>
      <c r="H3275">
        <v>21.65</v>
      </c>
      <c r="I3275">
        <v>0</v>
      </c>
      <c r="J3275">
        <v>0</v>
      </c>
      <c r="K3275">
        <v>0</v>
      </c>
      <c r="M3275">
        <v>5</v>
      </c>
      <c r="O3275">
        <v>5</v>
      </c>
      <c r="P3275">
        <v>4</v>
      </c>
      <c r="Q3275">
        <v>0</v>
      </c>
      <c r="R3275">
        <v>30.65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H3275">
        <v>30.65</v>
      </c>
    </row>
    <row r="3276" spans="1:34" x14ac:dyDescent="0.3">
      <c r="A3276" s="4">
        <v>3490</v>
      </c>
      <c r="B3276" s="5">
        <v>3269</v>
      </c>
      <c r="C3276">
        <v>11951</v>
      </c>
      <c r="D3276" t="s">
        <v>16665</v>
      </c>
      <c r="E3276" t="s">
        <v>400</v>
      </c>
      <c r="F3276" t="s">
        <v>81</v>
      </c>
      <c r="G3276" t="s">
        <v>16666</v>
      </c>
      <c r="H3276">
        <v>21.65</v>
      </c>
      <c r="I3276">
        <v>0</v>
      </c>
      <c r="J3276">
        <v>0</v>
      </c>
      <c r="K3276">
        <v>0</v>
      </c>
      <c r="L3276">
        <v>7</v>
      </c>
      <c r="O3276">
        <v>7</v>
      </c>
      <c r="P3276">
        <v>0</v>
      </c>
      <c r="Q3276">
        <v>2</v>
      </c>
      <c r="R3276">
        <v>30.65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H3276">
        <v>30.65</v>
      </c>
    </row>
    <row r="3277" spans="1:34" x14ac:dyDescent="0.3">
      <c r="A3277" s="4">
        <v>3491</v>
      </c>
      <c r="B3277" s="5">
        <v>3270</v>
      </c>
      <c r="C3277">
        <v>10414</v>
      </c>
      <c r="D3277" t="s">
        <v>16667</v>
      </c>
      <c r="E3277" t="s">
        <v>1331</v>
      </c>
      <c r="F3277" t="s">
        <v>17</v>
      </c>
      <c r="G3277" t="s">
        <v>16668</v>
      </c>
      <c r="H3277">
        <v>20.65</v>
      </c>
      <c r="I3277">
        <v>0</v>
      </c>
      <c r="J3277">
        <v>0</v>
      </c>
      <c r="K3277">
        <v>0</v>
      </c>
      <c r="L3277">
        <v>7</v>
      </c>
      <c r="N3277">
        <v>3</v>
      </c>
      <c r="O3277">
        <v>10</v>
      </c>
      <c r="P3277">
        <v>0</v>
      </c>
      <c r="Q3277">
        <v>0</v>
      </c>
      <c r="R3277">
        <v>30.65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H3277">
        <v>30.65</v>
      </c>
    </row>
    <row r="3278" spans="1:34" x14ac:dyDescent="0.3">
      <c r="A3278" s="4">
        <v>3492</v>
      </c>
      <c r="B3278" s="5">
        <v>3271</v>
      </c>
      <c r="C3278">
        <v>4548</v>
      </c>
      <c r="D3278" t="s">
        <v>16669</v>
      </c>
      <c r="E3278" t="s">
        <v>8150</v>
      </c>
      <c r="F3278" t="s">
        <v>38</v>
      </c>
      <c r="G3278" t="s">
        <v>16670</v>
      </c>
      <c r="H3278">
        <v>19.649999999999999</v>
      </c>
      <c r="I3278">
        <v>0</v>
      </c>
      <c r="J3278">
        <v>0</v>
      </c>
      <c r="K3278">
        <v>0</v>
      </c>
      <c r="L3278">
        <v>7</v>
      </c>
      <c r="O3278">
        <v>7</v>
      </c>
      <c r="P3278">
        <v>4</v>
      </c>
      <c r="Q3278">
        <v>0</v>
      </c>
      <c r="R3278">
        <v>30.65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H3278">
        <v>30.65</v>
      </c>
    </row>
    <row r="3279" spans="1:34" x14ac:dyDescent="0.3">
      <c r="A3279" s="4">
        <v>3493</v>
      </c>
      <c r="B3279" s="5">
        <v>3272</v>
      </c>
      <c r="C3279">
        <v>9206</v>
      </c>
      <c r="D3279" t="s">
        <v>16671</v>
      </c>
      <c r="E3279" t="s">
        <v>182</v>
      </c>
      <c r="F3279" t="s">
        <v>20</v>
      </c>
      <c r="G3279" t="s">
        <v>16672</v>
      </c>
      <c r="H3279">
        <v>17.649999999999999</v>
      </c>
      <c r="I3279">
        <v>0</v>
      </c>
      <c r="J3279">
        <v>0</v>
      </c>
      <c r="K3279">
        <v>0</v>
      </c>
      <c r="L3279">
        <v>7</v>
      </c>
      <c r="O3279">
        <v>7</v>
      </c>
      <c r="P3279">
        <v>4</v>
      </c>
      <c r="Q3279">
        <v>2</v>
      </c>
      <c r="R3279">
        <v>30.65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 t="s">
        <v>130</v>
      </c>
      <c r="AH3279">
        <v>30.65</v>
      </c>
    </row>
    <row r="3280" spans="1:34" x14ac:dyDescent="0.3">
      <c r="A3280" s="4">
        <v>3494</v>
      </c>
      <c r="B3280" s="5">
        <v>3273</v>
      </c>
      <c r="C3280">
        <v>8173</v>
      </c>
      <c r="D3280" t="s">
        <v>16673</v>
      </c>
      <c r="E3280" t="s">
        <v>16674</v>
      </c>
      <c r="F3280" t="s">
        <v>17</v>
      </c>
      <c r="G3280" t="s">
        <v>16675</v>
      </c>
      <c r="H3280">
        <v>17.649999999999999</v>
      </c>
      <c r="I3280">
        <v>0</v>
      </c>
      <c r="J3280">
        <v>0</v>
      </c>
      <c r="K3280">
        <v>0</v>
      </c>
      <c r="L3280">
        <v>7</v>
      </c>
      <c r="O3280">
        <v>7</v>
      </c>
      <c r="P3280">
        <v>4</v>
      </c>
      <c r="Q3280">
        <v>2</v>
      </c>
      <c r="R3280">
        <v>30.65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H3280">
        <v>30.65</v>
      </c>
    </row>
    <row r="3281" spans="1:34" x14ac:dyDescent="0.3">
      <c r="A3281" s="4">
        <v>3495</v>
      </c>
      <c r="B3281" s="5">
        <v>3274</v>
      </c>
      <c r="C3281">
        <v>8605</v>
      </c>
      <c r="D3281" t="s">
        <v>16676</v>
      </c>
      <c r="E3281" t="s">
        <v>22</v>
      </c>
      <c r="F3281" t="s">
        <v>1998</v>
      </c>
      <c r="G3281" t="s">
        <v>16677</v>
      </c>
      <c r="H3281">
        <v>21.63</v>
      </c>
      <c r="I3281">
        <v>0</v>
      </c>
      <c r="J3281">
        <v>0</v>
      </c>
      <c r="K3281">
        <v>0</v>
      </c>
      <c r="N3281">
        <v>3</v>
      </c>
      <c r="O3281">
        <v>3</v>
      </c>
      <c r="P3281">
        <v>4</v>
      </c>
      <c r="Q3281">
        <v>2</v>
      </c>
      <c r="R3281">
        <v>30.63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H3281">
        <v>30.63</v>
      </c>
    </row>
    <row r="3282" spans="1:34" x14ac:dyDescent="0.3">
      <c r="A3282" s="4">
        <v>3496</v>
      </c>
      <c r="B3282" s="5">
        <v>3275</v>
      </c>
      <c r="C3282">
        <v>483</v>
      </c>
      <c r="D3282" t="s">
        <v>16678</v>
      </c>
      <c r="E3282" t="s">
        <v>16679</v>
      </c>
      <c r="F3282" t="s">
        <v>17</v>
      </c>
      <c r="G3282" t="s">
        <v>16680</v>
      </c>
      <c r="H3282">
        <v>19.63</v>
      </c>
      <c r="I3282">
        <v>0</v>
      </c>
      <c r="J3282">
        <v>0</v>
      </c>
      <c r="K3282">
        <v>0</v>
      </c>
      <c r="L3282">
        <v>7</v>
      </c>
      <c r="O3282">
        <v>7</v>
      </c>
      <c r="P3282">
        <v>4</v>
      </c>
      <c r="Q3282">
        <v>0</v>
      </c>
      <c r="R3282">
        <v>30.63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H3282">
        <v>30.63</v>
      </c>
    </row>
    <row r="3283" spans="1:34" x14ac:dyDescent="0.3">
      <c r="A3283" s="4">
        <v>3497</v>
      </c>
      <c r="B3283" s="5">
        <v>3276</v>
      </c>
      <c r="C3283">
        <v>10386</v>
      </c>
      <c r="D3283" t="s">
        <v>16681</v>
      </c>
      <c r="E3283" t="s">
        <v>29</v>
      </c>
      <c r="F3283" t="s">
        <v>81</v>
      </c>
      <c r="G3283" t="s">
        <v>16682</v>
      </c>
      <c r="H3283">
        <v>19.63</v>
      </c>
      <c r="I3283">
        <v>0</v>
      </c>
      <c r="J3283">
        <v>0</v>
      </c>
      <c r="K3283">
        <v>0</v>
      </c>
      <c r="M3283">
        <v>5</v>
      </c>
      <c r="O3283">
        <v>5</v>
      </c>
      <c r="P3283">
        <v>4</v>
      </c>
      <c r="Q3283">
        <v>2</v>
      </c>
      <c r="R3283">
        <v>30.63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H3283">
        <v>30.63</v>
      </c>
    </row>
    <row r="3284" spans="1:34" x14ac:dyDescent="0.3">
      <c r="A3284" s="4">
        <v>3498</v>
      </c>
      <c r="B3284" s="5">
        <v>3277</v>
      </c>
      <c r="C3284">
        <v>2150</v>
      </c>
      <c r="D3284" t="s">
        <v>16683</v>
      </c>
      <c r="E3284" t="s">
        <v>10969</v>
      </c>
      <c r="F3284" t="s">
        <v>81</v>
      </c>
      <c r="G3284" t="s">
        <v>16684</v>
      </c>
      <c r="H3284">
        <v>19.63</v>
      </c>
      <c r="I3284">
        <v>0</v>
      </c>
      <c r="J3284">
        <v>0</v>
      </c>
      <c r="K3284">
        <v>0</v>
      </c>
      <c r="L3284">
        <v>7</v>
      </c>
      <c r="O3284">
        <v>7</v>
      </c>
      <c r="P3284">
        <v>4</v>
      </c>
      <c r="Q3284">
        <v>0</v>
      </c>
      <c r="R3284">
        <v>30.63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H3284">
        <v>30.63</v>
      </c>
    </row>
    <row r="3285" spans="1:34" x14ac:dyDescent="0.3">
      <c r="A3285" s="4">
        <v>3499</v>
      </c>
      <c r="B3285" s="5">
        <v>3278</v>
      </c>
      <c r="C3285">
        <v>11427</v>
      </c>
      <c r="D3285" t="s">
        <v>7073</v>
      </c>
      <c r="E3285" t="s">
        <v>37</v>
      </c>
      <c r="F3285" t="s">
        <v>442</v>
      </c>
      <c r="G3285" t="s">
        <v>16685</v>
      </c>
      <c r="H3285">
        <v>19.63</v>
      </c>
      <c r="I3285">
        <v>0</v>
      </c>
      <c r="J3285">
        <v>0</v>
      </c>
      <c r="K3285">
        <v>0</v>
      </c>
      <c r="L3285">
        <v>7</v>
      </c>
      <c r="O3285">
        <v>7</v>
      </c>
      <c r="P3285">
        <v>4</v>
      </c>
      <c r="Q3285">
        <v>0</v>
      </c>
      <c r="R3285">
        <v>30.63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H3285">
        <v>30.63</v>
      </c>
    </row>
    <row r="3286" spans="1:34" x14ac:dyDescent="0.3">
      <c r="A3286" s="4">
        <v>3500</v>
      </c>
      <c r="B3286" s="5">
        <v>3279</v>
      </c>
      <c r="C3286">
        <v>7062</v>
      </c>
      <c r="D3286" t="s">
        <v>16686</v>
      </c>
      <c r="E3286" t="s">
        <v>439</v>
      </c>
      <c r="F3286" t="s">
        <v>375</v>
      </c>
      <c r="G3286" t="s">
        <v>16687</v>
      </c>
      <c r="H3286">
        <v>17.63</v>
      </c>
      <c r="I3286">
        <v>0</v>
      </c>
      <c r="J3286">
        <v>0</v>
      </c>
      <c r="K3286">
        <v>0</v>
      </c>
      <c r="L3286">
        <v>7</v>
      </c>
      <c r="O3286">
        <v>7</v>
      </c>
      <c r="P3286">
        <v>4</v>
      </c>
      <c r="Q3286">
        <v>2</v>
      </c>
      <c r="R3286">
        <v>30.63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H3286">
        <v>30.63</v>
      </c>
    </row>
    <row r="3287" spans="1:34" x14ac:dyDescent="0.3">
      <c r="A3287" s="4">
        <v>3501</v>
      </c>
      <c r="B3287" s="5">
        <v>3280</v>
      </c>
      <c r="C3287">
        <v>2633</v>
      </c>
      <c r="D3287" t="s">
        <v>1430</v>
      </c>
      <c r="E3287" t="s">
        <v>1152</v>
      </c>
      <c r="F3287" t="s">
        <v>243</v>
      </c>
      <c r="G3287" t="s">
        <v>16688</v>
      </c>
      <c r="H3287">
        <v>18.63</v>
      </c>
      <c r="I3287">
        <v>0</v>
      </c>
      <c r="J3287">
        <v>0</v>
      </c>
      <c r="K3287">
        <v>0</v>
      </c>
      <c r="N3287">
        <v>3</v>
      </c>
      <c r="O3287">
        <v>3</v>
      </c>
      <c r="P3287">
        <v>4</v>
      </c>
      <c r="Q3287">
        <v>0</v>
      </c>
      <c r="R3287">
        <v>25.63</v>
      </c>
      <c r="S3287">
        <v>5</v>
      </c>
      <c r="T3287">
        <v>5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5</v>
      </c>
      <c r="AB3287">
        <v>0</v>
      </c>
      <c r="AC3287">
        <v>0</v>
      </c>
      <c r="AH3287">
        <v>30.63</v>
      </c>
    </row>
    <row r="3288" spans="1:34" x14ac:dyDescent="0.3">
      <c r="A3288" s="4">
        <v>3502</v>
      </c>
      <c r="B3288" s="5">
        <v>3281</v>
      </c>
      <c r="C3288">
        <v>7752</v>
      </c>
      <c r="D3288" t="s">
        <v>16689</v>
      </c>
      <c r="E3288" t="s">
        <v>16690</v>
      </c>
      <c r="F3288" t="s">
        <v>14885</v>
      </c>
      <c r="G3288" t="s">
        <v>16691</v>
      </c>
      <c r="H3288">
        <v>19.600000000000001</v>
      </c>
      <c r="I3288">
        <v>0</v>
      </c>
      <c r="J3288">
        <v>0</v>
      </c>
      <c r="K3288">
        <v>0</v>
      </c>
      <c r="L3288">
        <v>7</v>
      </c>
      <c r="O3288">
        <v>7</v>
      </c>
      <c r="P3288">
        <v>4</v>
      </c>
      <c r="Q3288">
        <v>0</v>
      </c>
      <c r="R3288">
        <v>30.6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H3288">
        <v>30.6</v>
      </c>
    </row>
    <row r="3289" spans="1:34" x14ac:dyDescent="0.3">
      <c r="A3289" s="4">
        <v>3503</v>
      </c>
      <c r="B3289" s="5">
        <v>3282</v>
      </c>
      <c r="C3289">
        <v>8022</v>
      </c>
      <c r="D3289" t="s">
        <v>1859</v>
      </c>
      <c r="E3289" t="s">
        <v>1892</v>
      </c>
      <c r="F3289" t="s">
        <v>117</v>
      </c>
      <c r="G3289" t="s">
        <v>16692</v>
      </c>
      <c r="H3289">
        <v>19.600000000000001</v>
      </c>
      <c r="I3289">
        <v>0</v>
      </c>
      <c r="J3289">
        <v>0</v>
      </c>
      <c r="K3289">
        <v>0</v>
      </c>
      <c r="M3289">
        <v>5</v>
      </c>
      <c r="O3289">
        <v>5</v>
      </c>
      <c r="P3289">
        <v>4</v>
      </c>
      <c r="Q3289">
        <v>2</v>
      </c>
      <c r="R3289">
        <v>30.6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H3289">
        <v>30.6</v>
      </c>
    </row>
    <row r="3290" spans="1:34" x14ac:dyDescent="0.3">
      <c r="A3290" s="4">
        <v>3504</v>
      </c>
      <c r="B3290" s="5">
        <v>3283</v>
      </c>
      <c r="C3290">
        <v>6943</v>
      </c>
      <c r="D3290" t="s">
        <v>16693</v>
      </c>
      <c r="E3290" t="s">
        <v>132</v>
      </c>
      <c r="F3290" t="s">
        <v>20</v>
      </c>
      <c r="G3290" t="s">
        <v>16694</v>
      </c>
      <c r="H3290">
        <v>19.600000000000001</v>
      </c>
      <c r="I3290">
        <v>0</v>
      </c>
      <c r="J3290">
        <v>0</v>
      </c>
      <c r="K3290">
        <v>0</v>
      </c>
      <c r="L3290">
        <v>7</v>
      </c>
      <c r="O3290">
        <v>7</v>
      </c>
      <c r="P3290">
        <v>4</v>
      </c>
      <c r="Q3290">
        <v>0</v>
      </c>
      <c r="R3290">
        <v>30.6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H3290">
        <v>30.6</v>
      </c>
    </row>
    <row r="3291" spans="1:34" x14ac:dyDescent="0.3">
      <c r="A3291" s="4">
        <v>3505</v>
      </c>
      <c r="B3291" s="5">
        <v>3284</v>
      </c>
      <c r="C3291">
        <v>11212</v>
      </c>
      <c r="D3291" t="s">
        <v>232</v>
      </c>
      <c r="E3291" t="s">
        <v>2157</v>
      </c>
      <c r="F3291" t="s">
        <v>68</v>
      </c>
      <c r="G3291" t="s">
        <v>16695</v>
      </c>
      <c r="H3291">
        <v>19.600000000000001</v>
      </c>
      <c r="I3291">
        <v>0</v>
      </c>
      <c r="J3291">
        <v>0</v>
      </c>
      <c r="K3291">
        <v>0</v>
      </c>
      <c r="L3291">
        <v>7</v>
      </c>
      <c r="O3291">
        <v>7</v>
      </c>
      <c r="P3291">
        <v>4</v>
      </c>
      <c r="Q3291">
        <v>0</v>
      </c>
      <c r="R3291">
        <v>30.6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H3291">
        <v>30.6</v>
      </c>
    </row>
    <row r="3292" spans="1:34" x14ac:dyDescent="0.3">
      <c r="A3292" s="4">
        <v>3506</v>
      </c>
      <c r="B3292" s="5">
        <v>3285</v>
      </c>
      <c r="C3292">
        <v>396</v>
      </c>
      <c r="D3292" t="s">
        <v>3587</v>
      </c>
      <c r="E3292" t="s">
        <v>29</v>
      </c>
      <c r="F3292" t="s">
        <v>117</v>
      </c>
      <c r="G3292" t="s">
        <v>16696</v>
      </c>
      <c r="H3292">
        <v>19.600000000000001</v>
      </c>
      <c r="I3292">
        <v>0</v>
      </c>
      <c r="J3292">
        <v>0</v>
      </c>
      <c r="K3292">
        <v>0</v>
      </c>
      <c r="L3292">
        <v>7</v>
      </c>
      <c r="O3292">
        <v>7</v>
      </c>
      <c r="P3292">
        <v>4</v>
      </c>
      <c r="Q3292">
        <v>0</v>
      </c>
      <c r="R3292">
        <v>30.6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H3292">
        <v>30.6</v>
      </c>
    </row>
    <row r="3293" spans="1:34" x14ac:dyDescent="0.3">
      <c r="A3293" s="4">
        <v>3507</v>
      </c>
      <c r="B3293" s="5">
        <v>3286</v>
      </c>
      <c r="C3293">
        <v>8797</v>
      </c>
      <c r="D3293" t="s">
        <v>16697</v>
      </c>
      <c r="E3293" t="s">
        <v>22</v>
      </c>
      <c r="F3293" t="s">
        <v>81</v>
      </c>
      <c r="G3293" t="s">
        <v>16698</v>
      </c>
      <c r="H3293">
        <v>17.600000000000001</v>
      </c>
      <c r="I3293">
        <v>0</v>
      </c>
      <c r="J3293">
        <v>0</v>
      </c>
      <c r="K3293">
        <v>0</v>
      </c>
      <c r="L3293">
        <v>7</v>
      </c>
      <c r="O3293">
        <v>7</v>
      </c>
      <c r="P3293">
        <v>4</v>
      </c>
      <c r="Q3293">
        <v>2</v>
      </c>
      <c r="R3293">
        <v>30.6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H3293">
        <v>30.6</v>
      </c>
    </row>
    <row r="3294" spans="1:34" x14ac:dyDescent="0.3">
      <c r="A3294" s="4">
        <v>3508</v>
      </c>
      <c r="B3294" s="5">
        <v>3287</v>
      </c>
      <c r="C3294">
        <v>2914</v>
      </c>
      <c r="D3294" t="s">
        <v>16699</v>
      </c>
      <c r="E3294" t="s">
        <v>188</v>
      </c>
      <c r="F3294" t="s">
        <v>124</v>
      </c>
      <c r="G3294" t="s">
        <v>16700</v>
      </c>
      <c r="H3294">
        <v>16.600000000000001</v>
      </c>
      <c r="I3294">
        <v>0</v>
      </c>
      <c r="J3294">
        <v>0</v>
      </c>
      <c r="K3294">
        <v>0</v>
      </c>
      <c r="M3294">
        <v>5</v>
      </c>
      <c r="N3294">
        <v>3</v>
      </c>
      <c r="O3294">
        <v>8</v>
      </c>
      <c r="P3294">
        <v>4</v>
      </c>
      <c r="Q3294">
        <v>2</v>
      </c>
      <c r="R3294">
        <v>30.6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H3294">
        <v>30.6</v>
      </c>
    </row>
    <row r="3295" spans="1:34" x14ac:dyDescent="0.3">
      <c r="A3295" s="4">
        <v>3509</v>
      </c>
      <c r="B3295" s="5">
        <v>3288</v>
      </c>
      <c r="C3295">
        <v>7054</v>
      </c>
      <c r="D3295" t="s">
        <v>181</v>
      </c>
      <c r="E3295" t="s">
        <v>3449</v>
      </c>
      <c r="F3295" t="s">
        <v>20</v>
      </c>
      <c r="G3295" t="s">
        <v>16701</v>
      </c>
      <c r="H3295">
        <v>19.579999999999998</v>
      </c>
      <c r="I3295">
        <v>0</v>
      </c>
      <c r="J3295">
        <v>0</v>
      </c>
      <c r="K3295">
        <v>0</v>
      </c>
      <c r="L3295">
        <v>7</v>
      </c>
      <c r="O3295">
        <v>7</v>
      </c>
      <c r="P3295">
        <v>4</v>
      </c>
      <c r="Q3295">
        <v>0</v>
      </c>
      <c r="R3295">
        <v>30.58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H3295">
        <v>30.58</v>
      </c>
    </row>
    <row r="3296" spans="1:34" x14ac:dyDescent="0.3">
      <c r="A3296" s="4">
        <v>3510</v>
      </c>
      <c r="B3296" s="5">
        <v>3289</v>
      </c>
      <c r="C3296">
        <v>1213</v>
      </c>
      <c r="D3296" t="s">
        <v>5954</v>
      </c>
      <c r="E3296" t="s">
        <v>4774</v>
      </c>
      <c r="F3296" t="s">
        <v>190</v>
      </c>
      <c r="G3296" t="s">
        <v>16702</v>
      </c>
      <c r="H3296">
        <v>19.579999999999998</v>
      </c>
      <c r="I3296">
        <v>0</v>
      </c>
      <c r="J3296">
        <v>0</v>
      </c>
      <c r="K3296">
        <v>0</v>
      </c>
      <c r="L3296">
        <v>7</v>
      </c>
      <c r="O3296">
        <v>7</v>
      </c>
      <c r="P3296">
        <v>4</v>
      </c>
      <c r="Q3296">
        <v>0</v>
      </c>
      <c r="R3296">
        <v>30.58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H3296">
        <v>30.58</v>
      </c>
    </row>
    <row r="3297" spans="1:34" x14ac:dyDescent="0.3">
      <c r="A3297" s="4">
        <v>3511</v>
      </c>
      <c r="B3297" s="5">
        <v>3290</v>
      </c>
      <c r="C3297">
        <v>14281</v>
      </c>
      <c r="D3297" t="s">
        <v>6218</v>
      </c>
      <c r="E3297" t="s">
        <v>3235</v>
      </c>
      <c r="F3297" t="s">
        <v>20</v>
      </c>
      <c r="G3297" t="s">
        <v>16703</v>
      </c>
      <c r="H3297">
        <v>18.579999999999998</v>
      </c>
      <c r="I3297">
        <v>0</v>
      </c>
      <c r="J3297">
        <v>0</v>
      </c>
      <c r="K3297">
        <v>0</v>
      </c>
      <c r="L3297">
        <v>7</v>
      </c>
      <c r="M3297">
        <v>5</v>
      </c>
      <c r="O3297">
        <v>12</v>
      </c>
      <c r="P3297">
        <v>0</v>
      </c>
      <c r="Q3297">
        <v>0</v>
      </c>
      <c r="R3297">
        <v>30.58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H3297">
        <v>30.58</v>
      </c>
    </row>
    <row r="3298" spans="1:34" x14ac:dyDescent="0.3">
      <c r="A3298" s="4">
        <v>3512</v>
      </c>
      <c r="B3298" s="5">
        <v>3291</v>
      </c>
      <c r="C3298">
        <v>10685</v>
      </c>
      <c r="D3298" t="s">
        <v>5342</v>
      </c>
      <c r="E3298" t="s">
        <v>213</v>
      </c>
      <c r="F3298" t="s">
        <v>158</v>
      </c>
      <c r="G3298" t="s">
        <v>16704</v>
      </c>
      <c r="H3298">
        <v>17.579999999999998</v>
      </c>
      <c r="I3298">
        <v>0</v>
      </c>
      <c r="J3298">
        <v>0</v>
      </c>
      <c r="K3298">
        <v>0</v>
      </c>
      <c r="L3298">
        <v>7</v>
      </c>
      <c r="O3298">
        <v>7</v>
      </c>
      <c r="P3298">
        <v>4</v>
      </c>
      <c r="Q3298">
        <v>2</v>
      </c>
      <c r="R3298">
        <v>30.58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H3298">
        <v>30.58</v>
      </c>
    </row>
    <row r="3299" spans="1:34" x14ac:dyDescent="0.3">
      <c r="A3299" s="4">
        <v>3513</v>
      </c>
      <c r="B3299" s="5">
        <v>3292</v>
      </c>
      <c r="C3299">
        <v>1573</v>
      </c>
      <c r="D3299" t="s">
        <v>3200</v>
      </c>
      <c r="E3299" t="s">
        <v>16705</v>
      </c>
      <c r="F3299" t="s">
        <v>375</v>
      </c>
      <c r="G3299" t="s">
        <v>16706</v>
      </c>
      <c r="H3299">
        <v>16.579999999999998</v>
      </c>
      <c r="I3299">
        <v>0</v>
      </c>
      <c r="J3299">
        <v>0</v>
      </c>
      <c r="K3299">
        <v>0</v>
      </c>
      <c r="L3299">
        <v>7</v>
      </c>
      <c r="N3299">
        <v>3</v>
      </c>
      <c r="O3299">
        <v>10</v>
      </c>
      <c r="P3299">
        <v>4</v>
      </c>
      <c r="Q3299">
        <v>0</v>
      </c>
      <c r="R3299">
        <v>30.58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H3299">
        <v>30.58</v>
      </c>
    </row>
    <row r="3300" spans="1:34" x14ac:dyDescent="0.3">
      <c r="A3300" s="4">
        <v>3514</v>
      </c>
      <c r="B3300" s="5">
        <v>3293</v>
      </c>
      <c r="C3300">
        <v>1210</v>
      </c>
      <c r="D3300" t="s">
        <v>8442</v>
      </c>
      <c r="E3300" t="s">
        <v>792</v>
      </c>
      <c r="F3300" t="s">
        <v>14</v>
      </c>
      <c r="G3300" t="s">
        <v>16707</v>
      </c>
      <c r="H3300">
        <v>18.55</v>
      </c>
      <c r="I3300">
        <v>0</v>
      </c>
      <c r="J3300">
        <v>0</v>
      </c>
      <c r="K3300">
        <v>0</v>
      </c>
      <c r="N3300">
        <v>3</v>
      </c>
      <c r="O3300">
        <v>3</v>
      </c>
      <c r="P3300">
        <v>4</v>
      </c>
      <c r="Q3300">
        <v>2</v>
      </c>
      <c r="R3300">
        <v>27.55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3</v>
      </c>
      <c r="AC3300">
        <v>0</v>
      </c>
      <c r="AH3300">
        <v>30.55</v>
      </c>
    </row>
    <row r="3301" spans="1:34" x14ac:dyDescent="0.3">
      <c r="A3301" s="4">
        <v>3515</v>
      </c>
      <c r="B3301" s="5">
        <v>3294</v>
      </c>
      <c r="C3301">
        <v>5760</v>
      </c>
      <c r="D3301" t="s">
        <v>16708</v>
      </c>
      <c r="E3301" t="s">
        <v>33</v>
      </c>
      <c r="F3301" t="s">
        <v>17</v>
      </c>
      <c r="G3301" t="s">
        <v>16709</v>
      </c>
      <c r="H3301">
        <v>20.55</v>
      </c>
      <c r="I3301">
        <v>0</v>
      </c>
      <c r="J3301">
        <v>0</v>
      </c>
      <c r="K3301">
        <v>0</v>
      </c>
      <c r="L3301">
        <v>7</v>
      </c>
      <c r="N3301">
        <v>3</v>
      </c>
      <c r="O3301">
        <v>10</v>
      </c>
      <c r="P3301">
        <v>0</v>
      </c>
      <c r="Q3301">
        <v>0</v>
      </c>
      <c r="R3301">
        <v>30.55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H3301">
        <v>30.55</v>
      </c>
    </row>
    <row r="3302" spans="1:34" x14ac:dyDescent="0.3">
      <c r="A3302" s="4">
        <v>3516</v>
      </c>
      <c r="B3302" s="5">
        <v>3295</v>
      </c>
      <c r="C3302">
        <v>7772</v>
      </c>
      <c r="D3302" t="s">
        <v>9271</v>
      </c>
      <c r="E3302" t="s">
        <v>1117</v>
      </c>
      <c r="F3302" t="s">
        <v>17</v>
      </c>
      <c r="G3302" t="s">
        <v>16710</v>
      </c>
      <c r="H3302">
        <v>20.55</v>
      </c>
      <c r="I3302">
        <v>0</v>
      </c>
      <c r="J3302">
        <v>0</v>
      </c>
      <c r="K3302">
        <v>0</v>
      </c>
      <c r="L3302">
        <v>7</v>
      </c>
      <c r="N3302">
        <v>3</v>
      </c>
      <c r="O3302">
        <v>10</v>
      </c>
      <c r="P3302">
        <v>0</v>
      </c>
      <c r="Q3302">
        <v>0</v>
      </c>
      <c r="R3302">
        <v>30.55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H3302">
        <v>30.55</v>
      </c>
    </row>
    <row r="3303" spans="1:34" x14ac:dyDescent="0.3">
      <c r="A3303" s="4">
        <v>3517</v>
      </c>
      <c r="B3303" s="5">
        <v>3296</v>
      </c>
      <c r="C3303">
        <v>3900</v>
      </c>
      <c r="D3303" t="s">
        <v>16711</v>
      </c>
      <c r="E3303" t="s">
        <v>9456</v>
      </c>
      <c r="F3303" t="s">
        <v>136</v>
      </c>
      <c r="G3303" t="s">
        <v>16712</v>
      </c>
      <c r="H3303">
        <v>19.55</v>
      </c>
      <c r="I3303">
        <v>0</v>
      </c>
      <c r="J3303">
        <v>0</v>
      </c>
      <c r="K3303">
        <v>0</v>
      </c>
      <c r="L3303">
        <v>7</v>
      </c>
      <c r="O3303">
        <v>7</v>
      </c>
      <c r="P3303">
        <v>4</v>
      </c>
      <c r="Q3303">
        <v>0</v>
      </c>
      <c r="R3303">
        <v>30.55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H3303">
        <v>30.55</v>
      </c>
    </row>
    <row r="3304" spans="1:34" x14ac:dyDescent="0.3">
      <c r="A3304" s="4">
        <v>3518</v>
      </c>
      <c r="B3304" s="5">
        <v>3297</v>
      </c>
      <c r="C3304">
        <v>1406</v>
      </c>
      <c r="D3304" t="s">
        <v>11124</v>
      </c>
      <c r="E3304" t="s">
        <v>54</v>
      </c>
      <c r="F3304" t="s">
        <v>38</v>
      </c>
      <c r="G3304" t="s">
        <v>16713</v>
      </c>
      <c r="H3304">
        <v>19.55</v>
      </c>
      <c r="I3304">
        <v>0</v>
      </c>
      <c r="J3304">
        <v>0</v>
      </c>
      <c r="K3304">
        <v>0</v>
      </c>
      <c r="M3304">
        <v>5</v>
      </c>
      <c r="O3304">
        <v>5</v>
      </c>
      <c r="P3304">
        <v>4</v>
      </c>
      <c r="Q3304">
        <v>2</v>
      </c>
      <c r="R3304">
        <v>30.55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H3304">
        <v>30.55</v>
      </c>
    </row>
    <row r="3305" spans="1:34" x14ac:dyDescent="0.3">
      <c r="A3305" s="4">
        <v>3519</v>
      </c>
      <c r="B3305" s="5">
        <v>3298</v>
      </c>
      <c r="C3305">
        <v>5998</v>
      </c>
      <c r="D3305" t="s">
        <v>181</v>
      </c>
      <c r="E3305" t="s">
        <v>7864</v>
      </c>
      <c r="F3305" t="s">
        <v>20</v>
      </c>
      <c r="G3305" t="s">
        <v>16714</v>
      </c>
      <c r="H3305">
        <v>19.55</v>
      </c>
      <c r="I3305">
        <v>0</v>
      </c>
      <c r="J3305">
        <v>0</v>
      </c>
      <c r="K3305">
        <v>0</v>
      </c>
      <c r="L3305">
        <v>7</v>
      </c>
      <c r="O3305">
        <v>7</v>
      </c>
      <c r="P3305">
        <v>4</v>
      </c>
      <c r="Q3305">
        <v>0</v>
      </c>
      <c r="R3305">
        <v>30.55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H3305">
        <v>30.55</v>
      </c>
    </row>
    <row r="3306" spans="1:34" x14ac:dyDescent="0.3">
      <c r="A3306" s="4">
        <v>3520</v>
      </c>
      <c r="B3306" s="5">
        <v>3299</v>
      </c>
      <c r="C3306">
        <v>746</v>
      </c>
      <c r="D3306" t="s">
        <v>16715</v>
      </c>
      <c r="E3306" t="s">
        <v>161</v>
      </c>
      <c r="F3306" t="s">
        <v>81</v>
      </c>
      <c r="G3306" t="s">
        <v>16716</v>
      </c>
      <c r="H3306">
        <v>19.55</v>
      </c>
      <c r="I3306">
        <v>0</v>
      </c>
      <c r="J3306">
        <v>0</v>
      </c>
      <c r="K3306">
        <v>0</v>
      </c>
      <c r="L3306">
        <v>7</v>
      </c>
      <c r="O3306">
        <v>7</v>
      </c>
      <c r="P3306">
        <v>4</v>
      </c>
      <c r="Q3306">
        <v>0</v>
      </c>
      <c r="R3306">
        <v>30.55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H3306">
        <v>30.55</v>
      </c>
    </row>
    <row r="3307" spans="1:34" x14ac:dyDescent="0.3">
      <c r="A3307" s="4">
        <v>3521</v>
      </c>
      <c r="B3307" s="5">
        <v>3300</v>
      </c>
      <c r="C3307">
        <v>8205</v>
      </c>
      <c r="D3307" t="s">
        <v>16717</v>
      </c>
      <c r="E3307" t="s">
        <v>8622</v>
      </c>
      <c r="F3307" t="s">
        <v>68</v>
      </c>
      <c r="G3307" t="s">
        <v>16718</v>
      </c>
      <c r="H3307">
        <v>17.55</v>
      </c>
      <c r="I3307">
        <v>0</v>
      </c>
      <c r="J3307">
        <v>0</v>
      </c>
      <c r="K3307">
        <v>0</v>
      </c>
      <c r="L3307">
        <v>7</v>
      </c>
      <c r="O3307">
        <v>7</v>
      </c>
      <c r="P3307">
        <v>4</v>
      </c>
      <c r="Q3307">
        <v>2</v>
      </c>
      <c r="R3307">
        <v>30.55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H3307">
        <v>30.55</v>
      </c>
    </row>
    <row r="3308" spans="1:34" x14ac:dyDescent="0.3">
      <c r="A3308" s="4">
        <v>3522</v>
      </c>
      <c r="B3308" s="5">
        <v>3301</v>
      </c>
      <c r="C3308">
        <v>3111</v>
      </c>
      <c r="D3308" t="s">
        <v>16719</v>
      </c>
      <c r="E3308" t="s">
        <v>16720</v>
      </c>
      <c r="F3308" t="s">
        <v>81</v>
      </c>
      <c r="G3308" t="s">
        <v>16721</v>
      </c>
      <c r="H3308">
        <v>19.53</v>
      </c>
      <c r="I3308">
        <v>0</v>
      </c>
      <c r="J3308">
        <v>0</v>
      </c>
      <c r="K3308">
        <v>0</v>
      </c>
      <c r="L3308">
        <v>7</v>
      </c>
      <c r="O3308">
        <v>7</v>
      </c>
      <c r="P3308">
        <v>4</v>
      </c>
      <c r="Q3308">
        <v>0</v>
      </c>
      <c r="R3308">
        <v>30.53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H3308">
        <v>30.53</v>
      </c>
    </row>
    <row r="3309" spans="1:34" x14ac:dyDescent="0.3">
      <c r="A3309" s="4">
        <v>3523</v>
      </c>
      <c r="B3309" s="5">
        <v>3302</v>
      </c>
      <c r="C3309">
        <v>5312</v>
      </c>
      <c r="D3309" t="s">
        <v>16722</v>
      </c>
      <c r="E3309" t="s">
        <v>1152</v>
      </c>
      <c r="F3309" t="s">
        <v>6703</v>
      </c>
      <c r="G3309" t="s">
        <v>16723</v>
      </c>
      <c r="H3309">
        <v>19.53</v>
      </c>
      <c r="I3309">
        <v>0</v>
      </c>
      <c r="J3309">
        <v>0</v>
      </c>
      <c r="K3309">
        <v>0</v>
      </c>
      <c r="L3309">
        <v>7</v>
      </c>
      <c r="O3309">
        <v>7</v>
      </c>
      <c r="P3309">
        <v>4</v>
      </c>
      <c r="Q3309">
        <v>0</v>
      </c>
      <c r="R3309">
        <v>30.53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H3309">
        <v>30.53</v>
      </c>
    </row>
    <row r="3310" spans="1:34" x14ac:dyDescent="0.3">
      <c r="A3310" s="4">
        <v>3524</v>
      </c>
      <c r="B3310" s="5">
        <v>3303</v>
      </c>
      <c r="C3310">
        <v>15334</v>
      </c>
      <c r="D3310" t="s">
        <v>16724</v>
      </c>
      <c r="E3310" t="s">
        <v>858</v>
      </c>
      <c r="F3310" t="s">
        <v>2101</v>
      </c>
      <c r="G3310" t="s">
        <v>16725</v>
      </c>
      <c r="H3310">
        <v>17.53</v>
      </c>
      <c r="I3310">
        <v>0</v>
      </c>
      <c r="J3310">
        <v>0</v>
      </c>
      <c r="K3310">
        <v>0</v>
      </c>
      <c r="L3310">
        <v>7</v>
      </c>
      <c r="O3310">
        <v>7</v>
      </c>
      <c r="P3310">
        <v>4</v>
      </c>
      <c r="Q3310">
        <v>2</v>
      </c>
      <c r="R3310">
        <v>30.53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H3310">
        <v>30.53</v>
      </c>
    </row>
    <row r="3311" spans="1:34" x14ac:dyDescent="0.3">
      <c r="A3311" s="4">
        <v>3525</v>
      </c>
      <c r="B3311" s="5">
        <v>3304</v>
      </c>
      <c r="C3311">
        <v>1548</v>
      </c>
      <c r="D3311" t="s">
        <v>16726</v>
      </c>
      <c r="E3311" t="s">
        <v>7864</v>
      </c>
      <c r="F3311" t="s">
        <v>570</v>
      </c>
      <c r="G3311" t="s">
        <v>16727</v>
      </c>
      <c r="H3311">
        <v>21.5</v>
      </c>
      <c r="I3311">
        <v>0</v>
      </c>
      <c r="J3311">
        <v>0</v>
      </c>
      <c r="K3311">
        <v>0</v>
      </c>
      <c r="L3311">
        <v>7</v>
      </c>
      <c r="O3311">
        <v>7</v>
      </c>
      <c r="P3311">
        <v>0</v>
      </c>
      <c r="Q3311">
        <v>2</v>
      </c>
      <c r="R3311">
        <v>30.5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H3311">
        <v>30.5</v>
      </c>
    </row>
    <row r="3312" spans="1:34" x14ac:dyDescent="0.3">
      <c r="A3312" s="4">
        <v>3526</v>
      </c>
      <c r="B3312" s="5">
        <v>3305</v>
      </c>
      <c r="C3312">
        <v>13903</v>
      </c>
      <c r="D3312" t="s">
        <v>8650</v>
      </c>
      <c r="E3312" t="s">
        <v>16728</v>
      </c>
      <c r="F3312" t="s">
        <v>30</v>
      </c>
      <c r="G3312" t="s">
        <v>16729</v>
      </c>
      <c r="H3312">
        <v>12.5</v>
      </c>
      <c r="I3312">
        <v>0</v>
      </c>
      <c r="J3312">
        <v>0</v>
      </c>
      <c r="K3312">
        <v>0</v>
      </c>
      <c r="L3312">
        <v>14</v>
      </c>
      <c r="O3312">
        <v>14</v>
      </c>
      <c r="P3312">
        <v>4</v>
      </c>
      <c r="Q3312">
        <v>0</v>
      </c>
      <c r="R3312">
        <v>30.5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H3312">
        <v>30.5</v>
      </c>
    </row>
    <row r="3313" spans="1:34" x14ac:dyDescent="0.3">
      <c r="A3313" s="4">
        <v>3527</v>
      </c>
      <c r="B3313" s="5">
        <v>3306</v>
      </c>
      <c r="C3313">
        <v>1890</v>
      </c>
      <c r="D3313" t="s">
        <v>16730</v>
      </c>
      <c r="E3313" t="s">
        <v>29</v>
      </c>
      <c r="F3313" t="s">
        <v>68</v>
      </c>
      <c r="G3313" t="s">
        <v>16731</v>
      </c>
      <c r="H3313">
        <v>12.5</v>
      </c>
      <c r="I3313">
        <v>7</v>
      </c>
      <c r="J3313">
        <v>0</v>
      </c>
      <c r="K3313">
        <v>0</v>
      </c>
      <c r="L3313">
        <v>7</v>
      </c>
      <c r="O3313">
        <v>7</v>
      </c>
      <c r="P3313">
        <v>4</v>
      </c>
      <c r="Q3313">
        <v>0</v>
      </c>
      <c r="R3313">
        <v>30.5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H3313">
        <v>30.5</v>
      </c>
    </row>
    <row r="3314" spans="1:34" x14ac:dyDescent="0.3">
      <c r="A3314" s="4">
        <v>3528</v>
      </c>
      <c r="B3314" s="5">
        <v>3307</v>
      </c>
      <c r="C3314">
        <v>9824</v>
      </c>
      <c r="D3314" t="s">
        <v>8480</v>
      </c>
      <c r="E3314" t="s">
        <v>81</v>
      </c>
      <c r="F3314" t="s">
        <v>38</v>
      </c>
      <c r="G3314" t="s">
        <v>16732</v>
      </c>
      <c r="H3314">
        <v>12.5</v>
      </c>
      <c r="I3314">
        <v>7</v>
      </c>
      <c r="J3314">
        <v>0</v>
      </c>
      <c r="K3314">
        <v>0</v>
      </c>
      <c r="L3314">
        <v>7</v>
      </c>
      <c r="O3314">
        <v>7</v>
      </c>
      <c r="P3314">
        <v>4</v>
      </c>
      <c r="Q3314">
        <v>0</v>
      </c>
      <c r="R3314">
        <v>30.5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H3314">
        <v>30.5</v>
      </c>
    </row>
    <row r="3315" spans="1:34" x14ac:dyDescent="0.3">
      <c r="A3315" s="4">
        <v>3529</v>
      </c>
      <c r="B3315" s="5">
        <v>3308</v>
      </c>
      <c r="C3315">
        <v>4144</v>
      </c>
      <c r="D3315" t="s">
        <v>16733</v>
      </c>
      <c r="E3315" t="s">
        <v>12892</v>
      </c>
      <c r="F3315" t="s">
        <v>16734</v>
      </c>
      <c r="G3315" t="s">
        <v>16735</v>
      </c>
      <c r="H3315">
        <v>18.5</v>
      </c>
      <c r="I3315">
        <v>0</v>
      </c>
      <c r="J3315">
        <v>0</v>
      </c>
      <c r="K3315">
        <v>0</v>
      </c>
      <c r="N3315">
        <v>6</v>
      </c>
      <c r="O3315">
        <v>6</v>
      </c>
      <c r="P3315">
        <v>0</v>
      </c>
      <c r="Q3315">
        <v>0</v>
      </c>
      <c r="R3315">
        <v>24.5</v>
      </c>
      <c r="S3315">
        <v>6</v>
      </c>
      <c r="T3315">
        <v>6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6</v>
      </c>
      <c r="AB3315">
        <v>0</v>
      </c>
      <c r="AC3315">
        <v>0</v>
      </c>
      <c r="AH3315">
        <v>30.5</v>
      </c>
    </row>
    <row r="3316" spans="1:34" x14ac:dyDescent="0.3">
      <c r="A3316" s="4">
        <v>3530</v>
      </c>
      <c r="B3316" s="5">
        <v>3309</v>
      </c>
      <c r="C3316">
        <v>10690</v>
      </c>
      <c r="D3316" t="s">
        <v>16736</v>
      </c>
      <c r="E3316" t="s">
        <v>219</v>
      </c>
      <c r="F3316" t="s">
        <v>117</v>
      </c>
      <c r="G3316" t="s">
        <v>16737</v>
      </c>
      <c r="H3316">
        <v>18.48</v>
      </c>
      <c r="I3316">
        <v>0</v>
      </c>
      <c r="J3316">
        <v>0</v>
      </c>
      <c r="K3316">
        <v>0</v>
      </c>
      <c r="N3316">
        <v>3</v>
      </c>
      <c r="O3316">
        <v>3</v>
      </c>
      <c r="P3316">
        <v>0</v>
      </c>
      <c r="Q3316">
        <v>0</v>
      </c>
      <c r="R3316">
        <v>21.48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9</v>
      </c>
      <c r="AC3316">
        <v>0</v>
      </c>
      <c r="AH3316">
        <v>30.48</v>
      </c>
    </row>
    <row r="3317" spans="1:34" x14ac:dyDescent="0.3">
      <c r="A3317" s="4">
        <v>3531</v>
      </c>
      <c r="B3317" s="5">
        <v>3310</v>
      </c>
      <c r="C3317">
        <v>8417</v>
      </c>
      <c r="D3317" t="s">
        <v>11009</v>
      </c>
      <c r="E3317" t="s">
        <v>16738</v>
      </c>
      <c r="F3317" t="s">
        <v>81</v>
      </c>
      <c r="G3317" t="s">
        <v>16739</v>
      </c>
      <c r="H3317">
        <v>19.48</v>
      </c>
      <c r="I3317">
        <v>0</v>
      </c>
      <c r="J3317">
        <v>0</v>
      </c>
      <c r="K3317">
        <v>0</v>
      </c>
      <c r="L3317">
        <v>7</v>
      </c>
      <c r="O3317">
        <v>7</v>
      </c>
      <c r="P3317">
        <v>4</v>
      </c>
      <c r="Q3317">
        <v>0</v>
      </c>
      <c r="R3317">
        <v>30.48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H3317">
        <v>30.48</v>
      </c>
    </row>
    <row r="3318" spans="1:34" x14ac:dyDescent="0.3">
      <c r="A3318" s="4">
        <v>3532</v>
      </c>
      <c r="B3318" s="5">
        <v>3311</v>
      </c>
      <c r="C3318">
        <v>5871</v>
      </c>
      <c r="D3318" t="s">
        <v>1244</v>
      </c>
      <c r="E3318" t="s">
        <v>178</v>
      </c>
      <c r="F3318" t="s">
        <v>1526</v>
      </c>
      <c r="G3318" t="s">
        <v>16740</v>
      </c>
      <c r="H3318">
        <v>19.48</v>
      </c>
      <c r="I3318">
        <v>0</v>
      </c>
      <c r="J3318">
        <v>0</v>
      </c>
      <c r="K3318">
        <v>0</v>
      </c>
      <c r="L3318">
        <v>7</v>
      </c>
      <c r="O3318">
        <v>7</v>
      </c>
      <c r="P3318">
        <v>4</v>
      </c>
      <c r="Q3318">
        <v>0</v>
      </c>
      <c r="R3318">
        <v>30.48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H3318">
        <v>30.48</v>
      </c>
    </row>
    <row r="3319" spans="1:34" x14ac:dyDescent="0.3">
      <c r="A3319" s="4">
        <v>3533</v>
      </c>
      <c r="B3319" s="5">
        <v>3312</v>
      </c>
      <c r="C3319">
        <v>13663</v>
      </c>
      <c r="D3319" t="s">
        <v>7169</v>
      </c>
      <c r="E3319" t="s">
        <v>16741</v>
      </c>
      <c r="F3319" t="s">
        <v>38</v>
      </c>
      <c r="G3319" t="s">
        <v>16742</v>
      </c>
      <c r="H3319">
        <v>19.48</v>
      </c>
      <c r="I3319">
        <v>0</v>
      </c>
      <c r="J3319">
        <v>0</v>
      </c>
      <c r="K3319">
        <v>0</v>
      </c>
      <c r="L3319">
        <v>7</v>
      </c>
      <c r="O3319">
        <v>7</v>
      </c>
      <c r="P3319">
        <v>4</v>
      </c>
      <c r="Q3319">
        <v>0</v>
      </c>
      <c r="R3319">
        <v>30.48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H3319">
        <v>30.48</v>
      </c>
    </row>
    <row r="3320" spans="1:34" x14ac:dyDescent="0.3">
      <c r="A3320" s="4">
        <v>3534</v>
      </c>
      <c r="B3320" s="5">
        <v>3313</v>
      </c>
      <c r="C3320">
        <v>14802</v>
      </c>
      <c r="D3320" t="s">
        <v>8409</v>
      </c>
      <c r="E3320" t="s">
        <v>4041</v>
      </c>
      <c r="F3320" t="s">
        <v>30</v>
      </c>
      <c r="G3320" t="s">
        <v>16743</v>
      </c>
      <c r="H3320">
        <v>18.48</v>
      </c>
      <c r="I3320">
        <v>0</v>
      </c>
      <c r="J3320">
        <v>0</v>
      </c>
      <c r="K3320">
        <v>0</v>
      </c>
      <c r="N3320">
        <v>6</v>
      </c>
      <c r="O3320">
        <v>6</v>
      </c>
      <c r="P3320">
        <v>4</v>
      </c>
      <c r="Q3320">
        <v>2</v>
      </c>
      <c r="R3320">
        <v>30.48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H3320">
        <v>30.48</v>
      </c>
    </row>
    <row r="3321" spans="1:34" x14ac:dyDescent="0.3">
      <c r="A3321" s="4">
        <v>3535</v>
      </c>
      <c r="B3321" s="5">
        <v>3314</v>
      </c>
      <c r="C3321">
        <v>973</v>
      </c>
      <c r="D3321" t="s">
        <v>3849</v>
      </c>
      <c r="E3321" t="s">
        <v>16744</v>
      </c>
      <c r="F3321" t="s">
        <v>259</v>
      </c>
      <c r="G3321" t="s">
        <v>16745</v>
      </c>
      <c r="H3321">
        <v>17.48</v>
      </c>
      <c r="I3321">
        <v>0</v>
      </c>
      <c r="J3321">
        <v>0</v>
      </c>
      <c r="K3321">
        <v>0</v>
      </c>
      <c r="L3321">
        <v>7</v>
      </c>
      <c r="O3321">
        <v>7</v>
      </c>
      <c r="P3321">
        <v>4</v>
      </c>
      <c r="Q3321">
        <v>2</v>
      </c>
      <c r="R3321">
        <v>30.48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H3321">
        <v>30.48</v>
      </c>
    </row>
    <row r="3322" spans="1:34" x14ac:dyDescent="0.3">
      <c r="A3322" s="4">
        <v>3536</v>
      </c>
      <c r="B3322" s="5">
        <v>3315</v>
      </c>
      <c r="C3322">
        <v>2889</v>
      </c>
      <c r="D3322" t="s">
        <v>1907</v>
      </c>
      <c r="E3322" t="s">
        <v>147</v>
      </c>
      <c r="F3322" t="s">
        <v>16746</v>
      </c>
      <c r="G3322">
        <v>317987</v>
      </c>
      <c r="H3322">
        <v>19.45</v>
      </c>
      <c r="I3322">
        <v>0</v>
      </c>
      <c r="J3322">
        <v>0</v>
      </c>
      <c r="K3322">
        <v>0</v>
      </c>
      <c r="L3322">
        <v>7</v>
      </c>
      <c r="O3322">
        <v>7</v>
      </c>
      <c r="P3322">
        <v>4</v>
      </c>
      <c r="Q3322">
        <v>0</v>
      </c>
      <c r="R3322">
        <v>30.45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H3322">
        <v>30.45</v>
      </c>
    </row>
    <row r="3323" spans="1:34" x14ac:dyDescent="0.3">
      <c r="A3323" s="4">
        <v>3537</v>
      </c>
      <c r="B3323" s="5">
        <v>3316</v>
      </c>
      <c r="C3323">
        <v>532</v>
      </c>
      <c r="D3323" t="s">
        <v>16747</v>
      </c>
      <c r="E3323" t="s">
        <v>54</v>
      </c>
      <c r="F3323" t="s">
        <v>81</v>
      </c>
      <c r="G3323" t="s">
        <v>16748</v>
      </c>
      <c r="H3323">
        <v>18.43</v>
      </c>
      <c r="I3323">
        <v>0</v>
      </c>
      <c r="J3323">
        <v>0</v>
      </c>
      <c r="K3323">
        <v>0</v>
      </c>
      <c r="M3323">
        <v>5</v>
      </c>
      <c r="O3323">
        <v>5</v>
      </c>
      <c r="P3323">
        <v>4</v>
      </c>
      <c r="Q3323">
        <v>0</v>
      </c>
      <c r="R3323">
        <v>27.43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3</v>
      </c>
      <c r="AC3323">
        <v>0</v>
      </c>
      <c r="AH3323">
        <v>30.43</v>
      </c>
    </row>
    <row r="3324" spans="1:34" x14ac:dyDescent="0.3">
      <c r="A3324" s="4">
        <v>3538</v>
      </c>
      <c r="B3324" s="5">
        <v>3317</v>
      </c>
      <c r="C3324">
        <v>2813</v>
      </c>
      <c r="D3324" t="s">
        <v>1101</v>
      </c>
      <c r="E3324" t="s">
        <v>104</v>
      </c>
      <c r="F3324" t="s">
        <v>68</v>
      </c>
      <c r="G3324" t="s">
        <v>16749</v>
      </c>
      <c r="H3324">
        <v>19.43</v>
      </c>
      <c r="I3324">
        <v>0</v>
      </c>
      <c r="J3324">
        <v>0</v>
      </c>
      <c r="K3324">
        <v>0</v>
      </c>
      <c r="M3324">
        <v>5</v>
      </c>
      <c r="O3324">
        <v>5</v>
      </c>
      <c r="P3324">
        <v>4</v>
      </c>
      <c r="Q3324">
        <v>2</v>
      </c>
      <c r="R3324">
        <v>30.43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H3324">
        <v>30.43</v>
      </c>
    </row>
    <row r="3325" spans="1:34" x14ac:dyDescent="0.3">
      <c r="A3325" s="4">
        <v>3539</v>
      </c>
      <c r="B3325" s="5">
        <v>3318</v>
      </c>
      <c r="C3325">
        <v>10541</v>
      </c>
      <c r="D3325" t="s">
        <v>16750</v>
      </c>
      <c r="E3325" t="s">
        <v>8785</v>
      </c>
      <c r="F3325" t="s">
        <v>343</v>
      </c>
      <c r="G3325" t="s">
        <v>16751</v>
      </c>
      <c r="H3325">
        <v>19.43</v>
      </c>
      <c r="I3325">
        <v>0</v>
      </c>
      <c r="J3325">
        <v>0</v>
      </c>
      <c r="K3325">
        <v>0</v>
      </c>
      <c r="L3325">
        <v>7</v>
      </c>
      <c r="O3325">
        <v>7</v>
      </c>
      <c r="P3325">
        <v>4</v>
      </c>
      <c r="Q3325">
        <v>0</v>
      </c>
      <c r="R3325">
        <v>30.43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H3325">
        <v>30.43</v>
      </c>
    </row>
    <row r="3326" spans="1:34" x14ac:dyDescent="0.3">
      <c r="A3326" s="4">
        <v>3540</v>
      </c>
      <c r="B3326" s="5">
        <v>3319</v>
      </c>
      <c r="C3326">
        <v>11378</v>
      </c>
      <c r="D3326" t="s">
        <v>16752</v>
      </c>
      <c r="E3326" t="s">
        <v>161</v>
      </c>
      <c r="F3326" t="s">
        <v>16753</v>
      </c>
      <c r="G3326" t="s">
        <v>16754</v>
      </c>
      <c r="H3326">
        <v>19.43</v>
      </c>
      <c r="I3326">
        <v>0</v>
      </c>
      <c r="J3326">
        <v>0</v>
      </c>
      <c r="K3326">
        <v>0</v>
      </c>
      <c r="L3326">
        <v>7</v>
      </c>
      <c r="O3326">
        <v>7</v>
      </c>
      <c r="P3326">
        <v>4</v>
      </c>
      <c r="Q3326">
        <v>0</v>
      </c>
      <c r="R3326">
        <v>30.43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H3326">
        <v>30.43</v>
      </c>
    </row>
    <row r="3327" spans="1:34" x14ac:dyDescent="0.3">
      <c r="A3327" s="4">
        <v>3541</v>
      </c>
      <c r="B3327" s="5">
        <v>3320</v>
      </c>
      <c r="C3327">
        <v>3984</v>
      </c>
      <c r="D3327" t="s">
        <v>181</v>
      </c>
      <c r="E3327" t="s">
        <v>964</v>
      </c>
      <c r="F3327" t="s">
        <v>68</v>
      </c>
      <c r="G3327" t="s">
        <v>16755</v>
      </c>
      <c r="H3327">
        <v>17.43</v>
      </c>
      <c r="I3327">
        <v>0</v>
      </c>
      <c r="J3327">
        <v>0</v>
      </c>
      <c r="K3327">
        <v>0</v>
      </c>
      <c r="L3327">
        <v>7</v>
      </c>
      <c r="O3327">
        <v>7</v>
      </c>
      <c r="P3327">
        <v>4</v>
      </c>
      <c r="Q3327">
        <v>2</v>
      </c>
      <c r="R3327">
        <v>30.43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H3327">
        <v>30.43</v>
      </c>
    </row>
    <row r="3328" spans="1:34" x14ac:dyDescent="0.3">
      <c r="A3328" s="4">
        <v>3542</v>
      </c>
      <c r="B3328" s="5">
        <v>3321</v>
      </c>
      <c r="C3328">
        <v>8482</v>
      </c>
      <c r="D3328" t="s">
        <v>6336</v>
      </c>
      <c r="E3328" t="s">
        <v>16756</v>
      </c>
      <c r="F3328" t="s">
        <v>14</v>
      </c>
      <c r="G3328" t="s">
        <v>16757</v>
      </c>
      <c r="H3328">
        <v>17.43</v>
      </c>
      <c r="I3328">
        <v>0</v>
      </c>
      <c r="J3328">
        <v>0</v>
      </c>
      <c r="K3328">
        <v>0</v>
      </c>
      <c r="L3328">
        <v>7</v>
      </c>
      <c r="O3328">
        <v>7</v>
      </c>
      <c r="P3328">
        <v>4</v>
      </c>
      <c r="Q3328">
        <v>2</v>
      </c>
      <c r="R3328">
        <v>30.43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H3328">
        <v>30.43</v>
      </c>
    </row>
    <row r="3329" spans="1:34" x14ac:dyDescent="0.3">
      <c r="A3329" s="4">
        <v>3543</v>
      </c>
      <c r="B3329" s="5">
        <v>3322</v>
      </c>
      <c r="C3329">
        <v>11173</v>
      </c>
      <c r="D3329" t="s">
        <v>16758</v>
      </c>
      <c r="E3329" t="s">
        <v>471</v>
      </c>
      <c r="F3329" t="s">
        <v>30</v>
      </c>
      <c r="G3329" t="s">
        <v>16759</v>
      </c>
      <c r="H3329">
        <v>20.399999999999999</v>
      </c>
      <c r="I3329">
        <v>0</v>
      </c>
      <c r="J3329">
        <v>0</v>
      </c>
      <c r="K3329">
        <v>0</v>
      </c>
      <c r="L3329">
        <v>7</v>
      </c>
      <c r="N3329">
        <v>3</v>
      </c>
      <c r="O3329">
        <v>10</v>
      </c>
      <c r="P3329">
        <v>0</v>
      </c>
      <c r="Q3329">
        <v>0</v>
      </c>
      <c r="R3329">
        <v>30.4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H3329">
        <v>30.4</v>
      </c>
    </row>
    <row r="3330" spans="1:34" x14ac:dyDescent="0.3">
      <c r="A3330" s="4">
        <v>3544</v>
      </c>
      <c r="B3330" s="5">
        <v>3323</v>
      </c>
      <c r="C3330">
        <v>3373</v>
      </c>
      <c r="D3330" t="s">
        <v>16760</v>
      </c>
      <c r="E3330" t="s">
        <v>29</v>
      </c>
      <c r="F3330" t="s">
        <v>190</v>
      </c>
      <c r="G3330" t="s">
        <v>16761</v>
      </c>
      <c r="H3330">
        <v>19.399999999999999</v>
      </c>
      <c r="I3330">
        <v>0</v>
      </c>
      <c r="J3330">
        <v>0</v>
      </c>
      <c r="K3330">
        <v>0</v>
      </c>
      <c r="L3330">
        <v>7</v>
      </c>
      <c r="O3330">
        <v>7</v>
      </c>
      <c r="P3330">
        <v>4</v>
      </c>
      <c r="Q3330">
        <v>0</v>
      </c>
      <c r="R3330">
        <v>30.4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H3330">
        <v>30.4</v>
      </c>
    </row>
    <row r="3331" spans="1:34" x14ac:dyDescent="0.3">
      <c r="A3331" s="4">
        <v>3545</v>
      </c>
      <c r="B3331" s="5">
        <v>3324</v>
      </c>
      <c r="C3331">
        <v>13966</v>
      </c>
      <c r="D3331" t="s">
        <v>16762</v>
      </c>
      <c r="E3331" t="s">
        <v>563</v>
      </c>
      <c r="F3331" t="s">
        <v>117</v>
      </c>
      <c r="G3331" t="s">
        <v>16763</v>
      </c>
      <c r="H3331">
        <v>19.399999999999999</v>
      </c>
      <c r="I3331">
        <v>0</v>
      </c>
      <c r="J3331">
        <v>0</v>
      </c>
      <c r="K3331">
        <v>0</v>
      </c>
      <c r="L3331">
        <v>7</v>
      </c>
      <c r="O3331">
        <v>7</v>
      </c>
      <c r="P3331">
        <v>4</v>
      </c>
      <c r="Q3331">
        <v>0</v>
      </c>
      <c r="R3331">
        <v>30.4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H3331">
        <v>30.4</v>
      </c>
    </row>
    <row r="3332" spans="1:34" x14ac:dyDescent="0.3">
      <c r="A3332" s="4">
        <v>3546</v>
      </c>
      <c r="B3332" s="5">
        <v>3325</v>
      </c>
      <c r="C3332">
        <v>11687</v>
      </c>
      <c r="D3332" t="s">
        <v>16764</v>
      </c>
      <c r="E3332" t="s">
        <v>22</v>
      </c>
      <c r="F3332" t="s">
        <v>17</v>
      </c>
      <c r="G3332" t="s">
        <v>16765</v>
      </c>
      <c r="H3332">
        <v>19.38</v>
      </c>
      <c r="I3332">
        <v>0</v>
      </c>
      <c r="J3332">
        <v>0</v>
      </c>
      <c r="K3332">
        <v>0</v>
      </c>
      <c r="L3332">
        <v>7</v>
      </c>
      <c r="O3332">
        <v>7</v>
      </c>
      <c r="P3332">
        <v>4</v>
      </c>
      <c r="Q3332">
        <v>0</v>
      </c>
      <c r="R3332">
        <v>30.38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H3332">
        <v>30.38</v>
      </c>
    </row>
    <row r="3333" spans="1:34" x14ac:dyDescent="0.3">
      <c r="A3333" s="4">
        <v>3547</v>
      </c>
      <c r="B3333" s="5">
        <v>3326</v>
      </c>
      <c r="C3333">
        <v>14112</v>
      </c>
      <c r="D3333" t="s">
        <v>16766</v>
      </c>
      <c r="E3333" t="s">
        <v>16767</v>
      </c>
      <c r="F3333" t="s">
        <v>34</v>
      </c>
      <c r="G3333" t="s">
        <v>16768</v>
      </c>
      <c r="H3333">
        <v>18.38</v>
      </c>
      <c r="I3333">
        <v>0</v>
      </c>
      <c r="J3333">
        <v>0</v>
      </c>
      <c r="K3333">
        <v>0</v>
      </c>
      <c r="L3333">
        <v>7</v>
      </c>
      <c r="N3333">
        <v>3</v>
      </c>
      <c r="O3333">
        <v>10</v>
      </c>
      <c r="P3333">
        <v>0</v>
      </c>
      <c r="Q3333">
        <v>2</v>
      </c>
      <c r="R3333">
        <v>30.38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H3333">
        <v>30.38</v>
      </c>
    </row>
    <row r="3334" spans="1:34" x14ac:dyDescent="0.3">
      <c r="A3334" s="4">
        <v>3548</v>
      </c>
      <c r="B3334" s="5">
        <v>3327</v>
      </c>
      <c r="C3334">
        <v>13915</v>
      </c>
      <c r="D3334" t="s">
        <v>16769</v>
      </c>
      <c r="E3334" t="s">
        <v>3221</v>
      </c>
      <c r="F3334" t="s">
        <v>20</v>
      </c>
      <c r="G3334" t="s">
        <v>16770</v>
      </c>
      <c r="H3334">
        <v>17.38</v>
      </c>
      <c r="I3334">
        <v>0</v>
      </c>
      <c r="J3334">
        <v>0</v>
      </c>
      <c r="K3334">
        <v>0</v>
      </c>
      <c r="L3334">
        <v>7</v>
      </c>
      <c r="O3334">
        <v>7</v>
      </c>
      <c r="P3334">
        <v>4</v>
      </c>
      <c r="Q3334">
        <v>2</v>
      </c>
      <c r="R3334">
        <v>30.38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H3334">
        <v>30.38</v>
      </c>
    </row>
    <row r="3335" spans="1:34" x14ac:dyDescent="0.3">
      <c r="A3335" s="4">
        <v>3549</v>
      </c>
      <c r="B3335" s="5">
        <v>3328</v>
      </c>
      <c r="C3335">
        <v>13415</v>
      </c>
      <c r="D3335" t="s">
        <v>16771</v>
      </c>
      <c r="E3335" t="s">
        <v>97</v>
      </c>
      <c r="F3335" t="s">
        <v>91</v>
      </c>
      <c r="G3335" t="s">
        <v>16772</v>
      </c>
      <c r="H3335">
        <v>19.350000000000001</v>
      </c>
      <c r="I3335">
        <v>0</v>
      </c>
      <c r="J3335">
        <v>0</v>
      </c>
      <c r="K3335">
        <v>0</v>
      </c>
      <c r="L3335">
        <v>7</v>
      </c>
      <c r="O3335">
        <v>7</v>
      </c>
      <c r="P3335">
        <v>4</v>
      </c>
      <c r="Q3335">
        <v>0</v>
      </c>
      <c r="R3335">
        <v>30.35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H3335">
        <v>30.35</v>
      </c>
    </row>
    <row r="3336" spans="1:34" x14ac:dyDescent="0.3">
      <c r="A3336" s="4">
        <v>3550</v>
      </c>
      <c r="B3336" s="5">
        <v>3329</v>
      </c>
      <c r="C3336">
        <v>12391</v>
      </c>
      <c r="D3336" t="s">
        <v>16773</v>
      </c>
      <c r="E3336" t="s">
        <v>825</v>
      </c>
      <c r="F3336" t="s">
        <v>416</v>
      </c>
      <c r="G3336" t="s">
        <v>16774</v>
      </c>
      <c r="H3336">
        <v>20.329999999999998</v>
      </c>
      <c r="I3336">
        <v>0</v>
      </c>
      <c r="J3336">
        <v>0</v>
      </c>
      <c r="K3336">
        <v>0</v>
      </c>
      <c r="L3336">
        <v>7</v>
      </c>
      <c r="N3336">
        <v>3</v>
      </c>
      <c r="O3336">
        <v>10</v>
      </c>
      <c r="P3336">
        <v>0</v>
      </c>
      <c r="Q3336">
        <v>0</v>
      </c>
      <c r="R3336">
        <v>30.33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H3336">
        <v>30.33</v>
      </c>
    </row>
    <row r="3337" spans="1:34" x14ac:dyDescent="0.3">
      <c r="A3337" s="4">
        <v>3551</v>
      </c>
      <c r="B3337" s="5">
        <v>3330</v>
      </c>
      <c r="C3337">
        <v>7109</v>
      </c>
      <c r="D3337" t="s">
        <v>16775</v>
      </c>
      <c r="E3337" t="s">
        <v>5187</v>
      </c>
      <c r="F3337" t="s">
        <v>1526</v>
      </c>
      <c r="G3337" t="s">
        <v>16776</v>
      </c>
      <c r="H3337">
        <v>19.329999999999998</v>
      </c>
      <c r="I3337">
        <v>0</v>
      </c>
      <c r="J3337">
        <v>0</v>
      </c>
      <c r="K3337">
        <v>0</v>
      </c>
      <c r="L3337">
        <v>7</v>
      </c>
      <c r="O3337">
        <v>7</v>
      </c>
      <c r="P3337">
        <v>4</v>
      </c>
      <c r="Q3337">
        <v>0</v>
      </c>
      <c r="R3337">
        <v>30.33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H3337">
        <v>30.33</v>
      </c>
    </row>
    <row r="3338" spans="1:34" x14ac:dyDescent="0.3">
      <c r="A3338" s="4">
        <v>3552</v>
      </c>
      <c r="B3338" s="5">
        <v>3331</v>
      </c>
      <c r="C3338">
        <v>7427</v>
      </c>
      <c r="D3338" t="s">
        <v>16777</v>
      </c>
      <c r="E3338" t="s">
        <v>213</v>
      </c>
      <c r="F3338" t="s">
        <v>328</v>
      </c>
      <c r="G3338" t="s">
        <v>16778</v>
      </c>
      <c r="H3338">
        <v>17.329999999999998</v>
      </c>
      <c r="I3338">
        <v>0</v>
      </c>
      <c r="J3338">
        <v>0</v>
      </c>
      <c r="K3338">
        <v>0</v>
      </c>
      <c r="L3338">
        <v>7</v>
      </c>
      <c r="O3338">
        <v>7</v>
      </c>
      <c r="P3338">
        <v>4</v>
      </c>
      <c r="Q3338">
        <v>2</v>
      </c>
      <c r="R3338">
        <v>30.33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H3338">
        <v>30.33</v>
      </c>
    </row>
    <row r="3339" spans="1:34" x14ac:dyDescent="0.3">
      <c r="A3339" s="4">
        <v>3553</v>
      </c>
      <c r="B3339" s="5">
        <v>3332</v>
      </c>
      <c r="C3339">
        <v>2625</v>
      </c>
      <c r="D3339" t="s">
        <v>3485</v>
      </c>
      <c r="E3339" t="s">
        <v>110</v>
      </c>
      <c r="F3339" t="s">
        <v>230</v>
      </c>
      <c r="G3339" t="s">
        <v>16779</v>
      </c>
      <c r="H3339">
        <v>17.329999999999998</v>
      </c>
      <c r="I3339">
        <v>0</v>
      </c>
      <c r="J3339">
        <v>0</v>
      </c>
      <c r="K3339">
        <v>0</v>
      </c>
      <c r="L3339">
        <v>7</v>
      </c>
      <c r="O3339">
        <v>7</v>
      </c>
      <c r="P3339">
        <v>4</v>
      </c>
      <c r="Q3339">
        <v>2</v>
      </c>
      <c r="R3339">
        <v>30.33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H3339">
        <v>30.33</v>
      </c>
    </row>
    <row r="3340" spans="1:34" x14ac:dyDescent="0.3">
      <c r="A3340" s="4">
        <v>3554</v>
      </c>
      <c r="B3340" s="5">
        <v>3333</v>
      </c>
      <c r="C3340">
        <v>9967</v>
      </c>
      <c r="D3340" t="s">
        <v>16780</v>
      </c>
      <c r="E3340" t="s">
        <v>328</v>
      </c>
      <c r="F3340" t="s">
        <v>243</v>
      </c>
      <c r="G3340" t="s">
        <v>16781</v>
      </c>
      <c r="H3340">
        <v>16.329999999999998</v>
      </c>
      <c r="I3340">
        <v>7</v>
      </c>
      <c r="J3340">
        <v>0</v>
      </c>
      <c r="K3340">
        <v>0</v>
      </c>
      <c r="N3340">
        <v>3</v>
      </c>
      <c r="O3340">
        <v>3</v>
      </c>
      <c r="P3340">
        <v>4</v>
      </c>
      <c r="Q3340">
        <v>0</v>
      </c>
      <c r="R3340">
        <v>30.33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H3340">
        <v>30.33</v>
      </c>
    </row>
    <row r="3341" spans="1:34" x14ac:dyDescent="0.3">
      <c r="A3341" s="4">
        <v>3555</v>
      </c>
      <c r="B3341" s="5">
        <v>3334</v>
      </c>
      <c r="C3341">
        <v>2576</v>
      </c>
      <c r="D3341" t="s">
        <v>317</v>
      </c>
      <c r="E3341" t="s">
        <v>3964</v>
      </c>
      <c r="F3341" t="s">
        <v>298</v>
      </c>
      <c r="G3341" t="s">
        <v>16782</v>
      </c>
      <c r="H3341">
        <v>18.3</v>
      </c>
      <c r="I3341">
        <v>0</v>
      </c>
      <c r="J3341">
        <v>0</v>
      </c>
      <c r="K3341">
        <v>0</v>
      </c>
      <c r="N3341">
        <v>3</v>
      </c>
      <c r="O3341">
        <v>3</v>
      </c>
      <c r="P3341">
        <v>4</v>
      </c>
      <c r="Q3341">
        <v>2</v>
      </c>
      <c r="R3341">
        <v>27.3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3</v>
      </c>
      <c r="AC3341">
        <v>0</v>
      </c>
      <c r="AH3341">
        <v>30.3</v>
      </c>
    </row>
    <row r="3342" spans="1:34" x14ac:dyDescent="0.3">
      <c r="A3342" s="4">
        <v>3556</v>
      </c>
      <c r="B3342" s="5">
        <v>3335</v>
      </c>
      <c r="C3342">
        <v>12908</v>
      </c>
      <c r="D3342" t="s">
        <v>16783</v>
      </c>
      <c r="E3342" t="s">
        <v>126</v>
      </c>
      <c r="F3342" t="s">
        <v>243</v>
      </c>
      <c r="G3342" t="s">
        <v>16784</v>
      </c>
      <c r="H3342">
        <v>21.3</v>
      </c>
      <c r="I3342">
        <v>0</v>
      </c>
      <c r="J3342">
        <v>0</v>
      </c>
      <c r="K3342">
        <v>0</v>
      </c>
      <c r="L3342">
        <v>7</v>
      </c>
      <c r="O3342">
        <v>7</v>
      </c>
      <c r="P3342">
        <v>0</v>
      </c>
      <c r="Q3342">
        <v>2</v>
      </c>
      <c r="R3342">
        <v>30.3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H3342">
        <v>30.3</v>
      </c>
    </row>
    <row r="3343" spans="1:34" x14ac:dyDescent="0.3">
      <c r="A3343" s="4">
        <v>3557</v>
      </c>
      <c r="B3343" s="5">
        <v>3336</v>
      </c>
      <c r="C3343">
        <v>3168</v>
      </c>
      <c r="D3343" t="s">
        <v>16785</v>
      </c>
      <c r="E3343" t="s">
        <v>51</v>
      </c>
      <c r="F3343" t="s">
        <v>158</v>
      </c>
      <c r="G3343" t="s">
        <v>16786</v>
      </c>
      <c r="H3343">
        <v>21.3</v>
      </c>
      <c r="I3343">
        <v>0</v>
      </c>
      <c r="J3343">
        <v>0</v>
      </c>
      <c r="K3343">
        <v>0</v>
      </c>
      <c r="L3343">
        <v>7</v>
      </c>
      <c r="O3343">
        <v>7</v>
      </c>
      <c r="P3343">
        <v>0</v>
      </c>
      <c r="Q3343">
        <v>2</v>
      </c>
      <c r="R3343">
        <v>30.3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H3343">
        <v>30.3</v>
      </c>
    </row>
    <row r="3344" spans="1:34" x14ac:dyDescent="0.3">
      <c r="A3344" s="4">
        <v>3558</v>
      </c>
      <c r="B3344" s="5">
        <v>3337</v>
      </c>
      <c r="C3344">
        <v>14196</v>
      </c>
      <c r="D3344" t="s">
        <v>16787</v>
      </c>
      <c r="E3344" t="s">
        <v>100</v>
      </c>
      <c r="F3344" t="s">
        <v>20</v>
      </c>
      <c r="G3344" t="s">
        <v>16788</v>
      </c>
      <c r="H3344">
        <v>20.3</v>
      </c>
      <c r="I3344">
        <v>0</v>
      </c>
      <c r="J3344">
        <v>0</v>
      </c>
      <c r="K3344">
        <v>0</v>
      </c>
      <c r="L3344">
        <v>7</v>
      </c>
      <c r="N3344">
        <v>3</v>
      </c>
      <c r="O3344">
        <v>10</v>
      </c>
      <c r="P3344">
        <v>0</v>
      </c>
      <c r="Q3344">
        <v>0</v>
      </c>
      <c r="R3344">
        <v>30.3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H3344">
        <v>30.3</v>
      </c>
    </row>
    <row r="3345" spans="1:34" x14ac:dyDescent="0.3">
      <c r="A3345" s="4">
        <v>3559</v>
      </c>
      <c r="B3345" s="5">
        <v>3338</v>
      </c>
      <c r="C3345">
        <v>4238</v>
      </c>
      <c r="D3345" t="s">
        <v>16789</v>
      </c>
      <c r="E3345" t="s">
        <v>255</v>
      </c>
      <c r="F3345" t="s">
        <v>488</v>
      </c>
      <c r="G3345" t="s">
        <v>16790</v>
      </c>
      <c r="H3345">
        <v>19.3</v>
      </c>
      <c r="I3345">
        <v>0</v>
      </c>
      <c r="J3345">
        <v>0</v>
      </c>
      <c r="K3345">
        <v>0</v>
      </c>
      <c r="L3345">
        <v>7</v>
      </c>
      <c r="O3345">
        <v>7</v>
      </c>
      <c r="P3345">
        <v>4</v>
      </c>
      <c r="Q3345">
        <v>0</v>
      </c>
      <c r="R3345">
        <v>30.3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H3345">
        <v>30.3</v>
      </c>
    </row>
    <row r="3346" spans="1:34" x14ac:dyDescent="0.3">
      <c r="A3346" s="4">
        <v>3560</v>
      </c>
      <c r="B3346" s="5">
        <v>3339</v>
      </c>
      <c r="C3346">
        <v>9170</v>
      </c>
      <c r="D3346" t="s">
        <v>16791</v>
      </c>
      <c r="E3346" t="s">
        <v>16792</v>
      </c>
      <c r="F3346" t="s">
        <v>38</v>
      </c>
      <c r="G3346" t="s">
        <v>16793</v>
      </c>
      <c r="H3346">
        <v>19.3</v>
      </c>
      <c r="I3346">
        <v>0</v>
      </c>
      <c r="J3346">
        <v>0</v>
      </c>
      <c r="K3346">
        <v>0</v>
      </c>
      <c r="L3346">
        <v>7</v>
      </c>
      <c r="O3346">
        <v>7</v>
      </c>
      <c r="P3346">
        <v>4</v>
      </c>
      <c r="Q3346">
        <v>0</v>
      </c>
      <c r="R3346">
        <v>30.3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H3346">
        <v>30.3</v>
      </c>
    </row>
    <row r="3347" spans="1:34" x14ac:dyDescent="0.3">
      <c r="A3347" s="4">
        <v>3561</v>
      </c>
      <c r="B3347" s="5">
        <v>3340</v>
      </c>
      <c r="C3347">
        <v>14513</v>
      </c>
      <c r="D3347" t="s">
        <v>16173</v>
      </c>
      <c r="E3347" t="s">
        <v>100</v>
      </c>
      <c r="F3347" t="s">
        <v>38</v>
      </c>
      <c r="G3347" t="s">
        <v>16794</v>
      </c>
      <c r="H3347">
        <v>19.28</v>
      </c>
      <c r="I3347">
        <v>0</v>
      </c>
      <c r="J3347">
        <v>0</v>
      </c>
      <c r="K3347">
        <v>0</v>
      </c>
      <c r="L3347">
        <v>7</v>
      </c>
      <c r="O3347">
        <v>7</v>
      </c>
      <c r="P3347">
        <v>4</v>
      </c>
      <c r="Q3347">
        <v>0</v>
      </c>
      <c r="R3347">
        <v>30.28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H3347">
        <v>30.28</v>
      </c>
    </row>
    <row r="3348" spans="1:34" x14ac:dyDescent="0.3">
      <c r="A3348" s="4">
        <v>3562</v>
      </c>
      <c r="B3348" s="5">
        <v>3341</v>
      </c>
      <c r="C3348">
        <v>2039</v>
      </c>
      <c r="D3348" t="s">
        <v>16795</v>
      </c>
      <c r="E3348" t="s">
        <v>1089</v>
      </c>
      <c r="F3348" t="s">
        <v>4873</v>
      </c>
      <c r="G3348" t="s">
        <v>16796</v>
      </c>
      <c r="H3348">
        <v>19.28</v>
      </c>
      <c r="I3348">
        <v>0</v>
      </c>
      <c r="J3348">
        <v>0</v>
      </c>
      <c r="K3348">
        <v>0</v>
      </c>
      <c r="L3348">
        <v>7</v>
      </c>
      <c r="O3348">
        <v>7</v>
      </c>
      <c r="P3348">
        <v>4</v>
      </c>
      <c r="Q3348">
        <v>0</v>
      </c>
      <c r="R3348">
        <v>30.28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H3348">
        <v>30.28</v>
      </c>
    </row>
    <row r="3349" spans="1:34" x14ac:dyDescent="0.3">
      <c r="A3349" s="4">
        <v>3563</v>
      </c>
      <c r="B3349" s="5">
        <v>3342</v>
      </c>
      <c r="C3349">
        <v>8153</v>
      </c>
      <c r="D3349" t="s">
        <v>16797</v>
      </c>
      <c r="E3349" t="s">
        <v>16798</v>
      </c>
      <c r="F3349" t="s">
        <v>17</v>
      </c>
      <c r="G3349" t="s">
        <v>16799</v>
      </c>
      <c r="H3349">
        <v>16.25</v>
      </c>
      <c r="I3349">
        <v>0</v>
      </c>
      <c r="J3349">
        <v>0</v>
      </c>
      <c r="K3349">
        <v>0</v>
      </c>
      <c r="M3349">
        <v>5</v>
      </c>
      <c r="O3349">
        <v>5</v>
      </c>
      <c r="P3349">
        <v>0</v>
      </c>
      <c r="Q3349">
        <v>0</v>
      </c>
      <c r="R3349">
        <v>21.25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9</v>
      </c>
      <c r="AC3349">
        <v>0</v>
      </c>
      <c r="AH3349">
        <v>30.25</v>
      </c>
    </row>
    <row r="3350" spans="1:34" x14ac:dyDescent="0.3">
      <c r="A3350" s="4">
        <v>3564</v>
      </c>
      <c r="B3350" s="5">
        <v>3343</v>
      </c>
      <c r="C3350">
        <v>6448</v>
      </c>
      <c r="D3350" t="s">
        <v>1630</v>
      </c>
      <c r="E3350" t="s">
        <v>88</v>
      </c>
      <c r="F3350" t="s">
        <v>442</v>
      </c>
      <c r="G3350" t="s">
        <v>16800</v>
      </c>
      <c r="H3350">
        <v>20.25</v>
      </c>
      <c r="I3350">
        <v>0</v>
      </c>
      <c r="J3350">
        <v>0</v>
      </c>
      <c r="K3350">
        <v>0</v>
      </c>
      <c r="L3350">
        <v>7</v>
      </c>
      <c r="N3350">
        <v>3</v>
      </c>
      <c r="O3350">
        <v>10</v>
      </c>
      <c r="P3350">
        <v>0</v>
      </c>
      <c r="Q3350">
        <v>0</v>
      </c>
      <c r="R3350">
        <v>30.25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H3350">
        <v>30.25</v>
      </c>
    </row>
    <row r="3351" spans="1:34" x14ac:dyDescent="0.3">
      <c r="A3351" s="4">
        <v>3565</v>
      </c>
      <c r="B3351" s="5">
        <v>3344</v>
      </c>
      <c r="C3351">
        <v>579</v>
      </c>
      <c r="D3351" t="s">
        <v>6906</v>
      </c>
      <c r="E3351" t="s">
        <v>26</v>
      </c>
      <c r="F3351" t="s">
        <v>190</v>
      </c>
      <c r="G3351" t="s">
        <v>16801</v>
      </c>
      <c r="H3351">
        <v>19.25</v>
      </c>
      <c r="I3351">
        <v>0</v>
      </c>
      <c r="J3351">
        <v>0</v>
      </c>
      <c r="K3351">
        <v>0</v>
      </c>
      <c r="L3351">
        <v>7</v>
      </c>
      <c r="O3351">
        <v>7</v>
      </c>
      <c r="P3351">
        <v>4</v>
      </c>
      <c r="Q3351">
        <v>0</v>
      </c>
      <c r="R3351">
        <v>30.25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H3351">
        <v>30.25</v>
      </c>
    </row>
    <row r="3352" spans="1:34" x14ac:dyDescent="0.3">
      <c r="A3352" s="4">
        <v>3566</v>
      </c>
      <c r="B3352" s="5">
        <v>3345</v>
      </c>
      <c r="C3352">
        <v>13747</v>
      </c>
      <c r="D3352" t="s">
        <v>13199</v>
      </c>
      <c r="E3352" t="s">
        <v>10901</v>
      </c>
      <c r="F3352" t="s">
        <v>91</v>
      </c>
      <c r="G3352" t="s">
        <v>16802</v>
      </c>
      <c r="H3352">
        <v>19.25</v>
      </c>
      <c r="I3352">
        <v>0</v>
      </c>
      <c r="J3352">
        <v>0</v>
      </c>
      <c r="K3352">
        <v>0</v>
      </c>
      <c r="L3352">
        <v>7</v>
      </c>
      <c r="O3352">
        <v>7</v>
      </c>
      <c r="P3352">
        <v>4</v>
      </c>
      <c r="Q3352">
        <v>0</v>
      </c>
      <c r="R3352">
        <v>30.25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H3352">
        <v>30.25</v>
      </c>
    </row>
    <row r="3353" spans="1:34" x14ac:dyDescent="0.3">
      <c r="A3353" s="4">
        <v>3567</v>
      </c>
      <c r="B3353" s="5">
        <v>3346</v>
      </c>
      <c r="C3353">
        <v>4619</v>
      </c>
      <c r="D3353" t="s">
        <v>16803</v>
      </c>
      <c r="E3353" t="s">
        <v>54</v>
      </c>
      <c r="F3353" t="s">
        <v>117</v>
      </c>
      <c r="G3353" t="s">
        <v>16804</v>
      </c>
      <c r="H3353">
        <v>19.25</v>
      </c>
      <c r="I3353">
        <v>0</v>
      </c>
      <c r="J3353">
        <v>0</v>
      </c>
      <c r="K3353">
        <v>0</v>
      </c>
      <c r="L3353">
        <v>7</v>
      </c>
      <c r="O3353">
        <v>7</v>
      </c>
      <c r="P3353">
        <v>4</v>
      </c>
      <c r="Q3353">
        <v>0</v>
      </c>
      <c r="R3353">
        <v>30.25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H3353">
        <v>30.25</v>
      </c>
    </row>
    <row r="3354" spans="1:34" x14ac:dyDescent="0.3">
      <c r="A3354" s="4">
        <v>3568</v>
      </c>
      <c r="B3354" s="5">
        <v>3347</v>
      </c>
      <c r="C3354">
        <v>3038</v>
      </c>
      <c r="D3354" t="s">
        <v>181</v>
      </c>
      <c r="E3354" t="s">
        <v>88</v>
      </c>
      <c r="F3354" t="s">
        <v>17</v>
      </c>
      <c r="G3354" t="s">
        <v>16805</v>
      </c>
      <c r="H3354">
        <v>19.25</v>
      </c>
      <c r="I3354">
        <v>0</v>
      </c>
      <c r="J3354">
        <v>0</v>
      </c>
      <c r="K3354">
        <v>0</v>
      </c>
      <c r="L3354">
        <v>7</v>
      </c>
      <c r="O3354">
        <v>7</v>
      </c>
      <c r="P3354">
        <v>4</v>
      </c>
      <c r="Q3354">
        <v>0</v>
      </c>
      <c r="R3354">
        <v>30.25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H3354">
        <v>30.25</v>
      </c>
    </row>
    <row r="3355" spans="1:34" x14ac:dyDescent="0.3">
      <c r="A3355" s="4">
        <v>3569</v>
      </c>
      <c r="B3355" s="5">
        <v>3348</v>
      </c>
      <c r="C3355">
        <v>4359</v>
      </c>
      <c r="D3355" t="s">
        <v>16806</v>
      </c>
      <c r="E3355" t="s">
        <v>413</v>
      </c>
      <c r="F3355" t="s">
        <v>243</v>
      </c>
      <c r="G3355" t="s">
        <v>16807</v>
      </c>
      <c r="H3355">
        <v>17.25</v>
      </c>
      <c r="I3355">
        <v>0</v>
      </c>
      <c r="J3355">
        <v>0</v>
      </c>
      <c r="K3355">
        <v>0</v>
      </c>
      <c r="L3355">
        <v>7</v>
      </c>
      <c r="O3355">
        <v>7</v>
      </c>
      <c r="P3355">
        <v>4</v>
      </c>
      <c r="Q3355">
        <v>2</v>
      </c>
      <c r="R3355">
        <v>30.25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H3355">
        <v>30.25</v>
      </c>
    </row>
    <row r="3356" spans="1:34" x14ac:dyDescent="0.3">
      <c r="A3356" s="4">
        <v>3570</v>
      </c>
      <c r="B3356" s="5">
        <v>3349</v>
      </c>
      <c r="C3356">
        <v>15001</v>
      </c>
      <c r="D3356" t="s">
        <v>16808</v>
      </c>
      <c r="E3356" t="s">
        <v>29</v>
      </c>
      <c r="F3356" t="s">
        <v>457</v>
      </c>
      <c r="G3356" t="s">
        <v>16809</v>
      </c>
      <c r="H3356">
        <v>16.25</v>
      </c>
      <c r="I3356">
        <v>0</v>
      </c>
      <c r="J3356">
        <v>0</v>
      </c>
      <c r="K3356">
        <v>0</v>
      </c>
      <c r="L3356">
        <v>14</v>
      </c>
      <c r="O3356">
        <v>14</v>
      </c>
      <c r="P3356">
        <v>0</v>
      </c>
      <c r="Q3356">
        <v>0</v>
      </c>
      <c r="R3356">
        <v>30.25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H3356">
        <v>30.25</v>
      </c>
    </row>
    <row r="3357" spans="1:34" x14ac:dyDescent="0.3">
      <c r="A3357" s="4">
        <v>3571</v>
      </c>
      <c r="B3357" s="5">
        <v>3350</v>
      </c>
      <c r="C3357">
        <v>9165</v>
      </c>
      <c r="D3357" t="s">
        <v>16810</v>
      </c>
      <c r="E3357" t="s">
        <v>3948</v>
      </c>
      <c r="F3357" t="s">
        <v>136</v>
      </c>
      <c r="G3357" t="s">
        <v>16811</v>
      </c>
      <c r="H3357">
        <v>16.25</v>
      </c>
      <c r="I3357">
        <v>0</v>
      </c>
      <c r="J3357">
        <v>0</v>
      </c>
      <c r="K3357">
        <v>0</v>
      </c>
      <c r="L3357">
        <v>14</v>
      </c>
      <c r="O3357">
        <v>14</v>
      </c>
      <c r="P3357">
        <v>0</v>
      </c>
      <c r="Q3357">
        <v>0</v>
      </c>
      <c r="R3357">
        <v>30.25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H3357">
        <v>30.25</v>
      </c>
    </row>
    <row r="3358" spans="1:34" x14ac:dyDescent="0.3">
      <c r="A3358" s="4">
        <v>3572</v>
      </c>
      <c r="B3358" s="5">
        <v>3351</v>
      </c>
      <c r="C3358">
        <v>4468</v>
      </c>
      <c r="D3358" t="s">
        <v>3956</v>
      </c>
      <c r="E3358" t="s">
        <v>1474</v>
      </c>
      <c r="F3358" t="s">
        <v>20</v>
      </c>
      <c r="G3358" t="s">
        <v>16812</v>
      </c>
      <c r="H3358">
        <v>16.25</v>
      </c>
      <c r="I3358">
        <v>0</v>
      </c>
      <c r="J3358">
        <v>0</v>
      </c>
      <c r="K3358">
        <v>0</v>
      </c>
      <c r="L3358">
        <v>7</v>
      </c>
      <c r="N3358">
        <v>3</v>
      </c>
      <c r="O3358">
        <v>10</v>
      </c>
      <c r="P3358">
        <v>4</v>
      </c>
      <c r="Q3358">
        <v>0</v>
      </c>
      <c r="R3358">
        <v>30.25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H3358">
        <v>30.25</v>
      </c>
    </row>
    <row r="3359" spans="1:34" x14ac:dyDescent="0.3">
      <c r="A3359" s="4">
        <v>3573</v>
      </c>
      <c r="B3359" s="5">
        <v>3352</v>
      </c>
      <c r="C3359">
        <v>7281</v>
      </c>
      <c r="D3359" t="s">
        <v>16813</v>
      </c>
      <c r="E3359" t="s">
        <v>115</v>
      </c>
      <c r="F3359" t="s">
        <v>124</v>
      </c>
      <c r="G3359" t="s">
        <v>16814</v>
      </c>
      <c r="H3359">
        <v>16.25</v>
      </c>
      <c r="I3359">
        <v>0</v>
      </c>
      <c r="J3359">
        <v>0</v>
      </c>
      <c r="K3359">
        <v>0</v>
      </c>
      <c r="L3359">
        <v>7</v>
      </c>
      <c r="N3359">
        <v>3</v>
      </c>
      <c r="O3359">
        <v>10</v>
      </c>
      <c r="P3359">
        <v>4</v>
      </c>
      <c r="Q3359">
        <v>0</v>
      </c>
      <c r="R3359">
        <v>30.25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H3359">
        <v>30.25</v>
      </c>
    </row>
    <row r="3360" spans="1:34" x14ac:dyDescent="0.3">
      <c r="A3360" s="4">
        <v>3574</v>
      </c>
      <c r="B3360" s="5">
        <v>3353</v>
      </c>
      <c r="C3360">
        <v>12377</v>
      </c>
      <c r="D3360" t="s">
        <v>16815</v>
      </c>
      <c r="E3360" t="s">
        <v>132</v>
      </c>
      <c r="F3360" t="s">
        <v>136</v>
      </c>
      <c r="G3360" t="s">
        <v>16816</v>
      </c>
      <c r="H3360">
        <v>16.25</v>
      </c>
      <c r="I3360">
        <v>0</v>
      </c>
      <c r="J3360">
        <v>0</v>
      </c>
      <c r="K3360">
        <v>0</v>
      </c>
      <c r="L3360">
        <v>7</v>
      </c>
      <c r="N3360">
        <v>3</v>
      </c>
      <c r="O3360">
        <v>10</v>
      </c>
      <c r="P3360">
        <v>4</v>
      </c>
      <c r="Q3360">
        <v>0</v>
      </c>
      <c r="R3360">
        <v>30.25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H3360">
        <v>30.25</v>
      </c>
    </row>
    <row r="3361" spans="1:34" x14ac:dyDescent="0.3">
      <c r="A3361" s="4">
        <v>3575</v>
      </c>
      <c r="B3361" s="5">
        <v>3354</v>
      </c>
      <c r="C3361">
        <v>14758</v>
      </c>
      <c r="D3361" t="s">
        <v>1555</v>
      </c>
      <c r="E3361" t="s">
        <v>88</v>
      </c>
      <c r="F3361" t="s">
        <v>38</v>
      </c>
      <c r="G3361" t="s">
        <v>16817</v>
      </c>
      <c r="H3361">
        <v>16.25</v>
      </c>
      <c r="I3361">
        <v>0</v>
      </c>
      <c r="J3361">
        <v>0</v>
      </c>
      <c r="K3361">
        <v>0</v>
      </c>
      <c r="L3361">
        <v>7</v>
      </c>
      <c r="N3361">
        <v>3</v>
      </c>
      <c r="O3361">
        <v>10</v>
      </c>
      <c r="P3361">
        <v>4</v>
      </c>
      <c r="Q3361">
        <v>0</v>
      </c>
      <c r="R3361">
        <v>30.25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H3361">
        <v>30.25</v>
      </c>
    </row>
    <row r="3362" spans="1:34" x14ac:dyDescent="0.3">
      <c r="A3362" s="4">
        <v>3576</v>
      </c>
      <c r="B3362" s="5">
        <v>3355</v>
      </c>
      <c r="C3362">
        <v>8384</v>
      </c>
      <c r="D3362" t="s">
        <v>8507</v>
      </c>
      <c r="E3362" t="s">
        <v>14970</v>
      </c>
      <c r="F3362" t="s">
        <v>14</v>
      </c>
      <c r="G3362" t="s">
        <v>16818</v>
      </c>
      <c r="H3362">
        <v>16.25</v>
      </c>
      <c r="I3362">
        <v>0</v>
      </c>
      <c r="J3362">
        <v>0</v>
      </c>
      <c r="K3362">
        <v>0</v>
      </c>
      <c r="L3362">
        <v>7</v>
      </c>
      <c r="N3362">
        <v>3</v>
      </c>
      <c r="O3362">
        <v>10</v>
      </c>
      <c r="P3362">
        <v>4</v>
      </c>
      <c r="Q3362">
        <v>0</v>
      </c>
      <c r="R3362">
        <v>30.25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H3362">
        <v>30.25</v>
      </c>
    </row>
    <row r="3363" spans="1:34" x14ac:dyDescent="0.3">
      <c r="A3363" s="4">
        <v>3577</v>
      </c>
      <c r="B3363" s="5">
        <v>3356</v>
      </c>
      <c r="C3363">
        <v>10155</v>
      </c>
      <c r="D3363" t="s">
        <v>2609</v>
      </c>
      <c r="E3363" t="s">
        <v>2538</v>
      </c>
      <c r="F3363" t="s">
        <v>972</v>
      </c>
      <c r="G3363" t="s">
        <v>16819</v>
      </c>
      <c r="H3363">
        <v>16.25</v>
      </c>
      <c r="I3363">
        <v>0</v>
      </c>
      <c r="J3363">
        <v>0</v>
      </c>
      <c r="K3363">
        <v>0</v>
      </c>
      <c r="L3363">
        <v>14</v>
      </c>
      <c r="O3363">
        <v>14</v>
      </c>
      <c r="P3363">
        <v>0</v>
      </c>
      <c r="Q3363">
        <v>0</v>
      </c>
      <c r="R3363">
        <v>30.25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H3363">
        <v>30.25</v>
      </c>
    </row>
    <row r="3364" spans="1:34" x14ac:dyDescent="0.3">
      <c r="A3364" s="4">
        <v>3578</v>
      </c>
      <c r="B3364" s="5">
        <v>3357</v>
      </c>
      <c r="C3364">
        <v>13673</v>
      </c>
      <c r="D3364" t="s">
        <v>16820</v>
      </c>
      <c r="E3364" t="s">
        <v>110</v>
      </c>
      <c r="F3364" t="s">
        <v>20</v>
      </c>
      <c r="G3364" t="s">
        <v>16821</v>
      </c>
      <c r="H3364">
        <v>20.23</v>
      </c>
      <c r="I3364">
        <v>0</v>
      </c>
      <c r="J3364">
        <v>0</v>
      </c>
      <c r="K3364">
        <v>0</v>
      </c>
      <c r="N3364">
        <v>3</v>
      </c>
      <c r="O3364">
        <v>3</v>
      </c>
      <c r="P3364">
        <v>4</v>
      </c>
      <c r="Q3364">
        <v>0</v>
      </c>
      <c r="R3364">
        <v>27.23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3</v>
      </c>
      <c r="AC3364">
        <v>0</v>
      </c>
      <c r="AH3364">
        <v>30.23</v>
      </c>
    </row>
    <row r="3365" spans="1:34" x14ac:dyDescent="0.3">
      <c r="A3365" s="4">
        <v>3579</v>
      </c>
      <c r="B3365" s="5">
        <v>3358</v>
      </c>
      <c r="C3365">
        <v>4821</v>
      </c>
      <c r="D3365" t="s">
        <v>2586</v>
      </c>
      <c r="E3365" t="s">
        <v>16822</v>
      </c>
      <c r="F3365" t="s">
        <v>310</v>
      </c>
      <c r="G3365" t="s">
        <v>16823</v>
      </c>
      <c r="H3365">
        <v>20.23</v>
      </c>
      <c r="I3365">
        <v>0</v>
      </c>
      <c r="J3365">
        <v>0</v>
      </c>
      <c r="K3365">
        <v>0</v>
      </c>
      <c r="L3365">
        <v>7</v>
      </c>
      <c r="N3365">
        <v>3</v>
      </c>
      <c r="O3365">
        <v>10</v>
      </c>
      <c r="P3365">
        <v>0</v>
      </c>
      <c r="Q3365">
        <v>0</v>
      </c>
      <c r="R3365">
        <v>30.23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H3365">
        <v>30.23</v>
      </c>
    </row>
    <row r="3366" spans="1:34" x14ac:dyDescent="0.3">
      <c r="A3366" s="4">
        <v>3580</v>
      </c>
      <c r="B3366" s="5">
        <v>3359</v>
      </c>
      <c r="C3366">
        <v>2775</v>
      </c>
      <c r="D3366" t="s">
        <v>16824</v>
      </c>
      <c r="E3366" t="s">
        <v>16825</v>
      </c>
      <c r="F3366" t="s">
        <v>38</v>
      </c>
      <c r="G3366" t="s">
        <v>16826</v>
      </c>
      <c r="H3366">
        <v>17.23</v>
      </c>
      <c r="I3366">
        <v>0</v>
      </c>
      <c r="J3366">
        <v>0</v>
      </c>
      <c r="K3366">
        <v>0</v>
      </c>
      <c r="L3366">
        <v>7</v>
      </c>
      <c r="O3366">
        <v>7</v>
      </c>
      <c r="P3366">
        <v>4</v>
      </c>
      <c r="Q3366">
        <v>2</v>
      </c>
      <c r="R3366">
        <v>30.23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H3366">
        <v>30.23</v>
      </c>
    </row>
    <row r="3367" spans="1:34" x14ac:dyDescent="0.3">
      <c r="A3367" s="4">
        <v>3581</v>
      </c>
      <c r="B3367" s="5">
        <v>3360</v>
      </c>
      <c r="C3367">
        <v>13768</v>
      </c>
      <c r="D3367" t="s">
        <v>16827</v>
      </c>
      <c r="E3367" t="s">
        <v>104</v>
      </c>
      <c r="F3367" t="s">
        <v>158</v>
      </c>
      <c r="G3367" t="s">
        <v>16828</v>
      </c>
      <c r="H3367">
        <v>20.2</v>
      </c>
      <c r="I3367">
        <v>0</v>
      </c>
      <c r="J3367">
        <v>0</v>
      </c>
      <c r="K3367">
        <v>0</v>
      </c>
      <c r="L3367">
        <v>7</v>
      </c>
      <c r="N3367">
        <v>3</v>
      </c>
      <c r="O3367">
        <v>10</v>
      </c>
      <c r="P3367">
        <v>0</v>
      </c>
      <c r="Q3367">
        <v>0</v>
      </c>
      <c r="R3367">
        <v>30.2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H3367">
        <v>30.2</v>
      </c>
    </row>
    <row r="3368" spans="1:34" x14ac:dyDescent="0.3">
      <c r="A3368" s="4">
        <v>3582</v>
      </c>
      <c r="B3368" s="5">
        <v>3361</v>
      </c>
      <c r="C3368">
        <v>14681</v>
      </c>
      <c r="D3368" t="s">
        <v>16829</v>
      </c>
      <c r="E3368" t="s">
        <v>149</v>
      </c>
      <c r="F3368" t="s">
        <v>38</v>
      </c>
      <c r="G3368" t="s">
        <v>16830</v>
      </c>
      <c r="H3368">
        <v>19.18</v>
      </c>
      <c r="I3368">
        <v>0</v>
      </c>
      <c r="J3368">
        <v>0</v>
      </c>
      <c r="K3368">
        <v>0</v>
      </c>
      <c r="L3368">
        <v>7</v>
      </c>
      <c r="O3368">
        <v>7</v>
      </c>
      <c r="P3368">
        <v>4</v>
      </c>
      <c r="Q3368">
        <v>0</v>
      </c>
      <c r="R3368">
        <v>30.18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H3368">
        <v>30.18</v>
      </c>
    </row>
    <row r="3369" spans="1:34" x14ac:dyDescent="0.3">
      <c r="A3369" s="4">
        <v>3583</v>
      </c>
      <c r="B3369" s="5">
        <v>3362</v>
      </c>
      <c r="C3369">
        <v>15289</v>
      </c>
      <c r="D3369" t="s">
        <v>12682</v>
      </c>
      <c r="E3369" t="s">
        <v>22</v>
      </c>
      <c r="F3369" t="s">
        <v>117</v>
      </c>
      <c r="G3369" t="s">
        <v>16831</v>
      </c>
      <c r="H3369">
        <v>19.18</v>
      </c>
      <c r="I3369">
        <v>0</v>
      </c>
      <c r="J3369">
        <v>0</v>
      </c>
      <c r="K3369">
        <v>0</v>
      </c>
      <c r="L3369">
        <v>7</v>
      </c>
      <c r="O3369">
        <v>7</v>
      </c>
      <c r="P3369">
        <v>4</v>
      </c>
      <c r="Q3369">
        <v>0</v>
      </c>
      <c r="R3369">
        <v>30.18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H3369">
        <v>30.18</v>
      </c>
    </row>
    <row r="3370" spans="1:34" x14ac:dyDescent="0.3">
      <c r="A3370" s="4">
        <v>3584</v>
      </c>
      <c r="B3370" s="5">
        <v>3363</v>
      </c>
      <c r="C3370">
        <v>13776</v>
      </c>
      <c r="D3370" t="s">
        <v>16832</v>
      </c>
      <c r="E3370" t="s">
        <v>29</v>
      </c>
      <c r="F3370" t="s">
        <v>136</v>
      </c>
      <c r="G3370" t="s">
        <v>16833</v>
      </c>
      <c r="H3370">
        <v>18.18</v>
      </c>
      <c r="I3370">
        <v>0</v>
      </c>
      <c r="J3370">
        <v>0</v>
      </c>
      <c r="K3370">
        <v>0</v>
      </c>
      <c r="N3370">
        <v>6</v>
      </c>
      <c r="O3370">
        <v>6</v>
      </c>
      <c r="P3370">
        <v>4</v>
      </c>
      <c r="Q3370">
        <v>2</v>
      </c>
      <c r="R3370">
        <v>30.18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H3370">
        <v>30.18</v>
      </c>
    </row>
    <row r="3371" spans="1:34" x14ac:dyDescent="0.3">
      <c r="A3371" s="4">
        <v>3585</v>
      </c>
      <c r="B3371" s="5">
        <v>3364</v>
      </c>
      <c r="C3371">
        <v>239</v>
      </c>
      <c r="D3371" t="s">
        <v>16834</v>
      </c>
      <c r="E3371" t="s">
        <v>3221</v>
      </c>
      <c r="F3371" t="s">
        <v>190</v>
      </c>
      <c r="G3371" t="s">
        <v>16835</v>
      </c>
      <c r="H3371">
        <v>17.18</v>
      </c>
      <c r="I3371">
        <v>0</v>
      </c>
      <c r="J3371">
        <v>0</v>
      </c>
      <c r="K3371">
        <v>0</v>
      </c>
      <c r="N3371">
        <v>3</v>
      </c>
      <c r="O3371">
        <v>3</v>
      </c>
      <c r="P3371">
        <v>4</v>
      </c>
      <c r="Q3371">
        <v>2</v>
      </c>
      <c r="R3371">
        <v>26.18</v>
      </c>
      <c r="S3371">
        <v>4</v>
      </c>
      <c r="T3371">
        <v>4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4</v>
      </c>
      <c r="AB3371">
        <v>0</v>
      </c>
      <c r="AC3371">
        <v>0</v>
      </c>
      <c r="AH3371">
        <v>30.18</v>
      </c>
    </row>
    <row r="3372" spans="1:34" x14ac:dyDescent="0.3">
      <c r="A3372" s="4">
        <v>3586</v>
      </c>
      <c r="B3372" s="5">
        <v>3365</v>
      </c>
      <c r="C3372">
        <v>14741</v>
      </c>
      <c r="D3372" t="s">
        <v>10765</v>
      </c>
      <c r="E3372" t="s">
        <v>41</v>
      </c>
      <c r="F3372" t="s">
        <v>30</v>
      </c>
      <c r="G3372" t="s">
        <v>16836</v>
      </c>
      <c r="H3372">
        <v>19.149999999999999</v>
      </c>
      <c r="I3372">
        <v>0</v>
      </c>
      <c r="J3372">
        <v>0</v>
      </c>
      <c r="K3372">
        <v>0</v>
      </c>
      <c r="L3372">
        <v>7</v>
      </c>
      <c r="O3372">
        <v>7</v>
      </c>
      <c r="P3372">
        <v>4</v>
      </c>
      <c r="Q3372">
        <v>0</v>
      </c>
      <c r="R3372">
        <v>30.15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H3372">
        <v>30.15</v>
      </c>
    </row>
    <row r="3373" spans="1:34" x14ac:dyDescent="0.3">
      <c r="A3373" s="4">
        <v>3587</v>
      </c>
      <c r="B3373" s="5">
        <v>3366</v>
      </c>
      <c r="C3373">
        <v>3207</v>
      </c>
      <c r="D3373" t="s">
        <v>2530</v>
      </c>
      <c r="E3373" t="s">
        <v>16837</v>
      </c>
      <c r="F3373" t="s">
        <v>34</v>
      </c>
      <c r="G3373" t="s">
        <v>16838</v>
      </c>
      <c r="H3373">
        <v>19.149999999999999</v>
      </c>
      <c r="I3373">
        <v>0</v>
      </c>
      <c r="J3373">
        <v>0</v>
      </c>
      <c r="K3373">
        <v>0</v>
      </c>
      <c r="L3373">
        <v>7</v>
      </c>
      <c r="O3373">
        <v>7</v>
      </c>
      <c r="P3373">
        <v>4</v>
      </c>
      <c r="Q3373">
        <v>0</v>
      </c>
      <c r="R3373">
        <v>30.15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H3373">
        <v>30.15</v>
      </c>
    </row>
    <row r="3374" spans="1:34" x14ac:dyDescent="0.3">
      <c r="A3374" s="4">
        <v>3588</v>
      </c>
      <c r="B3374" s="5">
        <v>3367</v>
      </c>
      <c r="C3374">
        <v>3218</v>
      </c>
      <c r="D3374" t="s">
        <v>16839</v>
      </c>
      <c r="E3374" t="s">
        <v>1053</v>
      </c>
      <c r="F3374" t="s">
        <v>158</v>
      </c>
      <c r="G3374" t="s">
        <v>16840</v>
      </c>
      <c r="H3374">
        <v>23.13</v>
      </c>
      <c r="I3374">
        <v>0</v>
      </c>
      <c r="J3374">
        <v>0</v>
      </c>
      <c r="K3374">
        <v>0</v>
      </c>
      <c r="L3374">
        <v>7</v>
      </c>
      <c r="O3374">
        <v>7</v>
      </c>
      <c r="P3374">
        <v>0</v>
      </c>
      <c r="Q3374">
        <v>0</v>
      </c>
      <c r="R3374">
        <v>30.13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H3374">
        <v>30.13</v>
      </c>
    </row>
    <row r="3375" spans="1:34" x14ac:dyDescent="0.3">
      <c r="A3375" s="4">
        <v>3589</v>
      </c>
      <c r="B3375" s="5">
        <v>3368</v>
      </c>
      <c r="C3375">
        <v>6714</v>
      </c>
      <c r="D3375" t="s">
        <v>16841</v>
      </c>
      <c r="E3375" t="s">
        <v>26</v>
      </c>
      <c r="F3375" t="s">
        <v>68</v>
      </c>
      <c r="G3375" t="s">
        <v>16842</v>
      </c>
      <c r="H3375">
        <v>19.13</v>
      </c>
      <c r="I3375">
        <v>0</v>
      </c>
      <c r="J3375">
        <v>0</v>
      </c>
      <c r="K3375">
        <v>0</v>
      </c>
      <c r="L3375">
        <v>7</v>
      </c>
      <c r="O3375">
        <v>7</v>
      </c>
      <c r="P3375">
        <v>4</v>
      </c>
      <c r="Q3375">
        <v>0</v>
      </c>
      <c r="R3375">
        <v>30.13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H3375">
        <v>30.13</v>
      </c>
    </row>
    <row r="3376" spans="1:34" x14ac:dyDescent="0.3">
      <c r="A3376" s="4">
        <v>3590</v>
      </c>
      <c r="B3376" s="5">
        <v>3369</v>
      </c>
      <c r="C3376">
        <v>1661</v>
      </c>
      <c r="D3376" t="s">
        <v>16843</v>
      </c>
      <c r="E3376" t="s">
        <v>1806</v>
      </c>
      <c r="F3376" t="s">
        <v>17</v>
      </c>
      <c r="G3376" t="s">
        <v>16844</v>
      </c>
      <c r="H3376">
        <v>19.13</v>
      </c>
      <c r="I3376">
        <v>0</v>
      </c>
      <c r="J3376">
        <v>0</v>
      </c>
      <c r="K3376">
        <v>0</v>
      </c>
      <c r="L3376">
        <v>7</v>
      </c>
      <c r="O3376">
        <v>7</v>
      </c>
      <c r="P3376">
        <v>4</v>
      </c>
      <c r="Q3376">
        <v>0</v>
      </c>
      <c r="R3376">
        <v>30.13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H3376">
        <v>30.13</v>
      </c>
    </row>
    <row r="3377" spans="1:34" x14ac:dyDescent="0.3">
      <c r="A3377" s="4">
        <v>3591</v>
      </c>
      <c r="B3377" s="5">
        <v>3370</v>
      </c>
      <c r="C3377">
        <v>5307</v>
      </c>
      <c r="D3377" t="s">
        <v>16845</v>
      </c>
      <c r="E3377" t="s">
        <v>41</v>
      </c>
      <c r="F3377" t="s">
        <v>3968</v>
      </c>
      <c r="G3377" t="s">
        <v>16846</v>
      </c>
      <c r="H3377">
        <v>19.13</v>
      </c>
      <c r="I3377">
        <v>0</v>
      </c>
      <c r="J3377">
        <v>0</v>
      </c>
      <c r="K3377">
        <v>0</v>
      </c>
      <c r="L3377">
        <v>7</v>
      </c>
      <c r="O3377">
        <v>7</v>
      </c>
      <c r="P3377">
        <v>4</v>
      </c>
      <c r="Q3377">
        <v>0</v>
      </c>
      <c r="R3377">
        <v>30.13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H3377">
        <v>30.13</v>
      </c>
    </row>
    <row r="3378" spans="1:34" x14ac:dyDescent="0.3">
      <c r="A3378" s="4">
        <v>3592</v>
      </c>
      <c r="B3378" s="5">
        <v>3371</v>
      </c>
      <c r="C3378">
        <v>15417</v>
      </c>
      <c r="D3378" t="s">
        <v>16847</v>
      </c>
      <c r="E3378" t="s">
        <v>744</v>
      </c>
      <c r="F3378" t="s">
        <v>91</v>
      </c>
      <c r="G3378" t="s">
        <v>16848</v>
      </c>
      <c r="H3378">
        <v>17.13</v>
      </c>
      <c r="I3378">
        <v>0</v>
      </c>
      <c r="J3378">
        <v>0</v>
      </c>
      <c r="K3378">
        <v>0</v>
      </c>
      <c r="L3378">
        <v>7</v>
      </c>
      <c r="O3378">
        <v>7</v>
      </c>
      <c r="P3378">
        <v>4</v>
      </c>
      <c r="Q3378">
        <v>2</v>
      </c>
      <c r="R3378">
        <v>30.13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H3378">
        <v>30.13</v>
      </c>
    </row>
    <row r="3379" spans="1:34" x14ac:dyDescent="0.3">
      <c r="A3379" s="4">
        <v>3593</v>
      </c>
      <c r="B3379" s="5">
        <v>3372</v>
      </c>
      <c r="C3379">
        <v>8174</v>
      </c>
      <c r="D3379" t="s">
        <v>16849</v>
      </c>
      <c r="E3379" t="s">
        <v>182</v>
      </c>
      <c r="F3379" t="s">
        <v>343</v>
      </c>
      <c r="G3379" t="s">
        <v>16850</v>
      </c>
      <c r="H3379">
        <v>19.100000000000001</v>
      </c>
      <c r="I3379">
        <v>0</v>
      </c>
      <c r="J3379">
        <v>0</v>
      </c>
      <c r="K3379">
        <v>0</v>
      </c>
      <c r="L3379">
        <v>7</v>
      </c>
      <c r="O3379">
        <v>7</v>
      </c>
      <c r="P3379">
        <v>4</v>
      </c>
      <c r="Q3379">
        <v>0</v>
      </c>
      <c r="R3379">
        <v>30.1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H3379">
        <v>30.1</v>
      </c>
    </row>
    <row r="3380" spans="1:34" x14ac:dyDescent="0.3">
      <c r="A3380" s="4">
        <v>3594</v>
      </c>
      <c r="B3380" s="5">
        <v>3373</v>
      </c>
      <c r="C3380">
        <v>4026</v>
      </c>
      <c r="D3380" t="s">
        <v>2266</v>
      </c>
      <c r="E3380" t="s">
        <v>51</v>
      </c>
      <c r="F3380" t="s">
        <v>20</v>
      </c>
      <c r="G3380" t="s">
        <v>16851</v>
      </c>
      <c r="H3380">
        <v>19.100000000000001</v>
      </c>
      <c r="I3380">
        <v>0</v>
      </c>
      <c r="J3380">
        <v>0</v>
      </c>
      <c r="K3380">
        <v>0</v>
      </c>
      <c r="L3380">
        <v>7</v>
      </c>
      <c r="O3380">
        <v>7</v>
      </c>
      <c r="P3380">
        <v>4</v>
      </c>
      <c r="Q3380">
        <v>0</v>
      </c>
      <c r="R3380">
        <v>30.1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E3380" t="s">
        <v>130</v>
      </c>
      <c r="AH3380">
        <v>30.1</v>
      </c>
    </row>
    <row r="3381" spans="1:34" x14ac:dyDescent="0.3">
      <c r="A3381" s="4">
        <v>3595</v>
      </c>
      <c r="B3381" s="5">
        <v>3374</v>
      </c>
      <c r="C3381">
        <v>5276</v>
      </c>
      <c r="D3381" t="s">
        <v>16852</v>
      </c>
      <c r="E3381" t="s">
        <v>188</v>
      </c>
      <c r="F3381" t="s">
        <v>30</v>
      </c>
      <c r="G3381" t="s">
        <v>16853</v>
      </c>
      <c r="H3381">
        <v>18.100000000000001</v>
      </c>
      <c r="I3381">
        <v>0</v>
      </c>
      <c r="J3381">
        <v>0</v>
      </c>
      <c r="K3381">
        <v>0</v>
      </c>
      <c r="M3381">
        <v>5</v>
      </c>
      <c r="N3381">
        <v>3</v>
      </c>
      <c r="O3381">
        <v>8</v>
      </c>
      <c r="P3381">
        <v>4</v>
      </c>
      <c r="Q3381">
        <v>0</v>
      </c>
      <c r="R3381">
        <v>30.1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H3381">
        <v>30.1</v>
      </c>
    </row>
    <row r="3382" spans="1:34" x14ac:dyDescent="0.3">
      <c r="A3382" s="4">
        <v>3596</v>
      </c>
      <c r="B3382" s="5">
        <v>3375</v>
      </c>
      <c r="C3382">
        <v>12899</v>
      </c>
      <c r="D3382" t="s">
        <v>16854</v>
      </c>
      <c r="E3382" t="s">
        <v>182</v>
      </c>
      <c r="F3382" t="s">
        <v>62</v>
      </c>
      <c r="G3382" t="s">
        <v>16855</v>
      </c>
      <c r="H3382">
        <v>17.100000000000001</v>
      </c>
      <c r="I3382">
        <v>0</v>
      </c>
      <c r="J3382">
        <v>0</v>
      </c>
      <c r="K3382">
        <v>0</v>
      </c>
      <c r="L3382">
        <v>7</v>
      </c>
      <c r="O3382">
        <v>7</v>
      </c>
      <c r="P3382">
        <v>4</v>
      </c>
      <c r="Q3382">
        <v>2</v>
      </c>
      <c r="R3382">
        <v>30.1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H3382">
        <v>30.1</v>
      </c>
    </row>
    <row r="3383" spans="1:34" x14ac:dyDescent="0.3">
      <c r="A3383" s="4">
        <v>3597</v>
      </c>
      <c r="B3383" s="5">
        <v>3376</v>
      </c>
      <c r="C3383">
        <v>6982</v>
      </c>
      <c r="D3383" t="s">
        <v>15358</v>
      </c>
      <c r="E3383" t="s">
        <v>16856</v>
      </c>
      <c r="F3383" t="s">
        <v>16857</v>
      </c>
      <c r="G3383" t="s">
        <v>16858</v>
      </c>
      <c r="H3383">
        <v>19.079999999999998</v>
      </c>
      <c r="I3383">
        <v>0</v>
      </c>
      <c r="J3383">
        <v>0</v>
      </c>
      <c r="K3383">
        <v>0</v>
      </c>
      <c r="L3383">
        <v>7</v>
      </c>
      <c r="O3383">
        <v>7</v>
      </c>
      <c r="P3383">
        <v>4</v>
      </c>
      <c r="Q3383">
        <v>0</v>
      </c>
      <c r="R3383">
        <v>30.08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H3383">
        <v>30.08</v>
      </c>
    </row>
    <row r="3384" spans="1:34" x14ac:dyDescent="0.3">
      <c r="A3384" s="4">
        <v>3598</v>
      </c>
      <c r="B3384" s="5">
        <v>3377</v>
      </c>
      <c r="C3384">
        <v>12577</v>
      </c>
      <c r="D3384" t="s">
        <v>103</v>
      </c>
      <c r="E3384" t="s">
        <v>29</v>
      </c>
      <c r="F3384" t="s">
        <v>38</v>
      </c>
      <c r="G3384" t="s">
        <v>16859</v>
      </c>
      <c r="H3384">
        <v>19.079999999999998</v>
      </c>
      <c r="I3384">
        <v>0</v>
      </c>
      <c r="J3384">
        <v>0</v>
      </c>
      <c r="K3384">
        <v>0</v>
      </c>
      <c r="L3384">
        <v>7</v>
      </c>
      <c r="O3384">
        <v>7</v>
      </c>
      <c r="P3384">
        <v>4</v>
      </c>
      <c r="Q3384">
        <v>0</v>
      </c>
      <c r="R3384">
        <v>30.08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H3384">
        <v>30.08</v>
      </c>
    </row>
    <row r="3385" spans="1:34" x14ac:dyDescent="0.3">
      <c r="A3385" s="4">
        <v>3599</v>
      </c>
      <c r="B3385" s="5">
        <v>3378</v>
      </c>
      <c r="C3385">
        <v>3908</v>
      </c>
      <c r="D3385" t="s">
        <v>16860</v>
      </c>
      <c r="E3385" t="s">
        <v>5237</v>
      </c>
      <c r="F3385" t="s">
        <v>17</v>
      </c>
      <c r="G3385" t="s">
        <v>16861</v>
      </c>
      <c r="H3385">
        <v>19.079999999999998</v>
      </c>
      <c r="I3385">
        <v>0</v>
      </c>
      <c r="J3385">
        <v>0</v>
      </c>
      <c r="K3385">
        <v>0</v>
      </c>
      <c r="L3385">
        <v>7</v>
      </c>
      <c r="O3385">
        <v>7</v>
      </c>
      <c r="P3385">
        <v>4</v>
      </c>
      <c r="Q3385">
        <v>0</v>
      </c>
      <c r="R3385">
        <v>30.08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H3385">
        <v>30.08</v>
      </c>
    </row>
    <row r="3386" spans="1:34" x14ac:dyDescent="0.3">
      <c r="A3386" s="4">
        <v>3600</v>
      </c>
      <c r="B3386" s="5">
        <v>3379</v>
      </c>
      <c r="C3386">
        <v>439</v>
      </c>
      <c r="D3386" t="s">
        <v>264</v>
      </c>
      <c r="E3386" t="s">
        <v>71</v>
      </c>
      <c r="F3386" t="s">
        <v>892</v>
      </c>
      <c r="G3386" t="s">
        <v>16862</v>
      </c>
      <c r="H3386">
        <v>17.079999999999998</v>
      </c>
      <c r="I3386">
        <v>0</v>
      </c>
      <c r="J3386">
        <v>0</v>
      </c>
      <c r="K3386">
        <v>0</v>
      </c>
      <c r="L3386">
        <v>7</v>
      </c>
      <c r="O3386">
        <v>7</v>
      </c>
      <c r="P3386">
        <v>4</v>
      </c>
      <c r="Q3386">
        <v>2</v>
      </c>
      <c r="R3386">
        <v>30.08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H3386">
        <v>30.08</v>
      </c>
    </row>
    <row r="3387" spans="1:34" x14ac:dyDescent="0.3">
      <c r="A3387" s="4">
        <v>3601</v>
      </c>
      <c r="B3387" s="5">
        <v>3380</v>
      </c>
      <c r="C3387">
        <v>1975</v>
      </c>
      <c r="D3387" t="s">
        <v>1083</v>
      </c>
      <c r="E3387" t="s">
        <v>22</v>
      </c>
      <c r="F3387" t="s">
        <v>68</v>
      </c>
      <c r="G3387" t="s">
        <v>16863</v>
      </c>
      <c r="H3387">
        <v>21.05</v>
      </c>
      <c r="I3387">
        <v>0</v>
      </c>
      <c r="J3387">
        <v>0</v>
      </c>
      <c r="K3387">
        <v>0</v>
      </c>
      <c r="N3387">
        <v>3</v>
      </c>
      <c r="O3387">
        <v>3</v>
      </c>
      <c r="P3387">
        <v>4</v>
      </c>
      <c r="Q3387">
        <v>2</v>
      </c>
      <c r="R3387">
        <v>30.05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H3387">
        <v>30.05</v>
      </c>
    </row>
    <row r="3388" spans="1:34" x14ac:dyDescent="0.3">
      <c r="A3388" s="4">
        <v>3602</v>
      </c>
      <c r="B3388" s="5">
        <v>3381</v>
      </c>
      <c r="C3388">
        <v>7613</v>
      </c>
      <c r="D3388" t="s">
        <v>4710</v>
      </c>
      <c r="E3388" t="s">
        <v>97</v>
      </c>
      <c r="F3388" t="s">
        <v>38</v>
      </c>
      <c r="G3388" t="s">
        <v>16864</v>
      </c>
      <c r="H3388">
        <v>19.05</v>
      </c>
      <c r="I3388">
        <v>0</v>
      </c>
      <c r="J3388">
        <v>0</v>
      </c>
      <c r="K3388">
        <v>0</v>
      </c>
      <c r="L3388">
        <v>7</v>
      </c>
      <c r="O3388">
        <v>7</v>
      </c>
      <c r="P3388">
        <v>4</v>
      </c>
      <c r="Q3388">
        <v>0</v>
      </c>
      <c r="R3388">
        <v>30.05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H3388">
        <v>30.05</v>
      </c>
    </row>
    <row r="3389" spans="1:34" x14ac:dyDescent="0.3">
      <c r="A3389" s="4">
        <v>3603</v>
      </c>
      <c r="B3389" s="5">
        <v>3382</v>
      </c>
      <c r="C3389">
        <v>6986</v>
      </c>
      <c r="D3389" t="s">
        <v>16865</v>
      </c>
      <c r="E3389" t="s">
        <v>88</v>
      </c>
      <c r="F3389" t="s">
        <v>117</v>
      </c>
      <c r="G3389" t="s">
        <v>16866</v>
      </c>
      <c r="H3389">
        <v>19.05</v>
      </c>
      <c r="I3389">
        <v>0</v>
      </c>
      <c r="J3389">
        <v>0</v>
      </c>
      <c r="K3389">
        <v>0</v>
      </c>
      <c r="L3389">
        <v>7</v>
      </c>
      <c r="O3389">
        <v>7</v>
      </c>
      <c r="P3389">
        <v>4</v>
      </c>
      <c r="Q3389">
        <v>0</v>
      </c>
      <c r="R3389">
        <v>30.05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H3389">
        <v>30.05</v>
      </c>
    </row>
    <row r="3390" spans="1:34" x14ac:dyDescent="0.3">
      <c r="A3390" s="4">
        <v>3604</v>
      </c>
      <c r="B3390" s="5">
        <v>3383</v>
      </c>
      <c r="C3390">
        <v>14969</v>
      </c>
      <c r="D3390" t="s">
        <v>16867</v>
      </c>
      <c r="E3390" t="s">
        <v>117</v>
      </c>
      <c r="F3390" t="s">
        <v>1399</v>
      </c>
      <c r="G3390" t="s">
        <v>16868</v>
      </c>
      <c r="H3390">
        <v>19.05</v>
      </c>
      <c r="I3390">
        <v>0</v>
      </c>
      <c r="J3390">
        <v>0</v>
      </c>
      <c r="K3390">
        <v>0</v>
      </c>
      <c r="L3390">
        <v>7</v>
      </c>
      <c r="O3390">
        <v>7</v>
      </c>
      <c r="P3390">
        <v>4</v>
      </c>
      <c r="Q3390">
        <v>0</v>
      </c>
      <c r="R3390">
        <v>30.05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H3390">
        <v>30.05</v>
      </c>
    </row>
    <row r="3391" spans="1:34" x14ac:dyDescent="0.3">
      <c r="A3391" s="4">
        <v>3605</v>
      </c>
      <c r="B3391" s="5">
        <v>3384</v>
      </c>
      <c r="C3391">
        <v>5978</v>
      </c>
      <c r="D3391" t="s">
        <v>16869</v>
      </c>
      <c r="E3391" t="s">
        <v>161</v>
      </c>
      <c r="F3391" t="s">
        <v>20</v>
      </c>
      <c r="G3391" t="s">
        <v>16870</v>
      </c>
      <c r="H3391">
        <v>18.05</v>
      </c>
      <c r="I3391">
        <v>0</v>
      </c>
      <c r="J3391">
        <v>0</v>
      </c>
      <c r="K3391">
        <v>0</v>
      </c>
      <c r="M3391">
        <v>5</v>
      </c>
      <c r="N3391">
        <v>3</v>
      </c>
      <c r="O3391">
        <v>8</v>
      </c>
      <c r="P3391">
        <v>4</v>
      </c>
      <c r="Q3391">
        <v>0</v>
      </c>
      <c r="R3391">
        <v>30.05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H3391">
        <v>30.05</v>
      </c>
    </row>
    <row r="3392" spans="1:34" x14ac:dyDescent="0.3">
      <c r="A3392" s="4">
        <v>3606</v>
      </c>
      <c r="B3392" s="5">
        <v>3385</v>
      </c>
      <c r="C3392">
        <v>5065</v>
      </c>
      <c r="D3392" t="s">
        <v>16871</v>
      </c>
      <c r="E3392" t="s">
        <v>208</v>
      </c>
      <c r="F3392" t="s">
        <v>11853</v>
      </c>
      <c r="G3392" t="s">
        <v>16872</v>
      </c>
      <c r="H3392">
        <v>21.03</v>
      </c>
      <c r="I3392">
        <v>0</v>
      </c>
      <c r="J3392">
        <v>0</v>
      </c>
      <c r="K3392">
        <v>0</v>
      </c>
      <c r="M3392">
        <v>5</v>
      </c>
      <c r="O3392">
        <v>5</v>
      </c>
      <c r="P3392">
        <v>4</v>
      </c>
      <c r="Q3392">
        <v>0</v>
      </c>
      <c r="R3392">
        <v>30.03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H3392">
        <v>30.03</v>
      </c>
    </row>
    <row r="3393" spans="1:34" x14ac:dyDescent="0.3">
      <c r="A3393" s="4">
        <v>3607</v>
      </c>
      <c r="B3393" s="5">
        <v>3386</v>
      </c>
      <c r="C3393">
        <v>15089</v>
      </c>
      <c r="D3393" t="s">
        <v>7475</v>
      </c>
      <c r="E3393" t="s">
        <v>16873</v>
      </c>
      <c r="F3393" t="s">
        <v>16874</v>
      </c>
      <c r="G3393" t="s">
        <v>16875</v>
      </c>
      <c r="H3393">
        <v>17.03</v>
      </c>
      <c r="I3393">
        <v>0</v>
      </c>
      <c r="J3393">
        <v>0</v>
      </c>
      <c r="K3393">
        <v>0</v>
      </c>
      <c r="L3393">
        <v>7</v>
      </c>
      <c r="O3393">
        <v>7</v>
      </c>
      <c r="P3393">
        <v>4</v>
      </c>
      <c r="Q3393">
        <v>2</v>
      </c>
      <c r="R3393">
        <v>30.03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H3393">
        <v>30.03</v>
      </c>
    </row>
    <row r="3394" spans="1:34" x14ac:dyDescent="0.3">
      <c r="A3394" s="4">
        <v>3608</v>
      </c>
      <c r="B3394" s="5">
        <v>3387</v>
      </c>
      <c r="C3394">
        <v>11944</v>
      </c>
      <c r="D3394" t="s">
        <v>16876</v>
      </c>
      <c r="E3394" t="s">
        <v>29</v>
      </c>
      <c r="F3394" t="s">
        <v>34</v>
      </c>
      <c r="G3394" t="s">
        <v>16877</v>
      </c>
      <c r="H3394">
        <v>23</v>
      </c>
      <c r="I3394">
        <v>0</v>
      </c>
      <c r="J3394">
        <v>0</v>
      </c>
      <c r="K3394">
        <v>0</v>
      </c>
      <c r="L3394">
        <v>7</v>
      </c>
      <c r="O3394">
        <v>7</v>
      </c>
      <c r="P3394">
        <v>0</v>
      </c>
      <c r="Q3394">
        <v>0</v>
      </c>
      <c r="R3394">
        <v>30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H3394">
        <v>30</v>
      </c>
    </row>
    <row r="3395" spans="1:34" x14ac:dyDescent="0.3">
      <c r="A3395" s="4">
        <v>3609</v>
      </c>
      <c r="B3395" s="5">
        <v>3388</v>
      </c>
      <c r="C3395">
        <v>2581</v>
      </c>
      <c r="D3395" t="s">
        <v>16878</v>
      </c>
      <c r="E3395" t="s">
        <v>81</v>
      </c>
      <c r="F3395" t="s">
        <v>38</v>
      </c>
      <c r="G3395" t="s">
        <v>16879</v>
      </c>
      <c r="H3395">
        <v>21</v>
      </c>
      <c r="I3395">
        <v>0</v>
      </c>
      <c r="J3395">
        <v>0</v>
      </c>
      <c r="K3395">
        <v>0</v>
      </c>
      <c r="M3395">
        <v>5</v>
      </c>
      <c r="O3395">
        <v>5</v>
      </c>
      <c r="P3395">
        <v>4</v>
      </c>
      <c r="Q3395">
        <v>0</v>
      </c>
      <c r="R3395">
        <v>30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H3395">
        <v>30</v>
      </c>
    </row>
    <row r="3396" spans="1:34" x14ac:dyDescent="0.3">
      <c r="A3396" s="4">
        <v>3610</v>
      </c>
      <c r="B3396" s="5">
        <v>3389</v>
      </c>
      <c r="C3396">
        <v>6357</v>
      </c>
      <c r="D3396" t="s">
        <v>16880</v>
      </c>
      <c r="E3396" t="s">
        <v>268</v>
      </c>
      <c r="F3396" t="s">
        <v>136</v>
      </c>
      <c r="G3396" t="s">
        <v>16881</v>
      </c>
      <c r="H3396">
        <v>19</v>
      </c>
      <c r="I3396">
        <v>0</v>
      </c>
      <c r="J3396">
        <v>0</v>
      </c>
      <c r="K3396">
        <v>0</v>
      </c>
      <c r="L3396">
        <v>7</v>
      </c>
      <c r="O3396">
        <v>7</v>
      </c>
      <c r="P3396">
        <v>4</v>
      </c>
      <c r="Q3396">
        <v>0</v>
      </c>
      <c r="R3396">
        <v>30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H3396">
        <v>30</v>
      </c>
    </row>
    <row r="3397" spans="1:34" x14ac:dyDescent="0.3">
      <c r="A3397" s="4">
        <v>3611</v>
      </c>
      <c r="B3397" s="5">
        <v>3390</v>
      </c>
      <c r="C3397">
        <v>10126</v>
      </c>
      <c r="D3397" t="s">
        <v>16882</v>
      </c>
      <c r="E3397" t="s">
        <v>16883</v>
      </c>
      <c r="F3397" t="s">
        <v>68</v>
      </c>
      <c r="G3397" t="s">
        <v>16884</v>
      </c>
      <c r="H3397">
        <v>20.98</v>
      </c>
      <c r="I3397">
        <v>0</v>
      </c>
      <c r="J3397">
        <v>0</v>
      </c>
      <c r="K3397">
        <v>0</v>
      </c>
      <c r="L3397">
        <v>7</v>
      </c>
      <c r="O3397">
        <v>7</v>
      </c>
      <c r="P3397">
        <v>0</v>
      </c>
      <c r="Q3397">
        <v>2</v>
      </c>
      <c r="R3397">
        <v>29.98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H3397">
        <v>29.98</v>
      </c>
    </row>
    <row r="3398" spans="1:34" x14ac:dyDescent="0.3">
      <c r="A3398" s="4">
        <v>3612</v>
      </c>
      <c r="B3398" s="5">
        <v>3391</v>
      </c>
      <c r="C3398">
        <v>14489</v>
      </c>
      <c r="D3398" t="s">
        <v>16885</v>
      </c>
      <c r="E3398" t="s">
        <v>38</v>
      </c>
      <c r="F3398" t="s">
        <v>17</v>
      </c>
      <c r="G3398" t="s">
        <v>16886</v>
      </c>
      <c r="H3398">
        <v>18.98</v>
      </c>
      <c r="I3398">
        <v>0</v>
      </c>
      <c r="J3398">
        <v>0</v>
      </c>
      <c r="K3398">
        <v>0</v>
      </c>
      <c r="L3398">
        <v>7</v>
      </c>
      <c r="O3398">
        <v>7</v>
      </c>
      <c r="P3398">
        <v>4</v>
      </c>
      <c r="Q3398">
        <v>0</v>
      </c>
      <c r="R3398">
        <v>29.98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H3398">
        <v>29.98</v>
      </c>
    </row>
    <row r="3399" spans="1:34" x14ac:dyDescent="0.3">
      <c r="A3399" s="4">
        <v>3613</v>
      </c>
      <c r="B3399" s="5">
        <v>3392</v>
      </c>
      <c r="C3399">
        <v>1950</v>
      </c>
      <c r="D3399" t="s">
        <v>16887</v>
      </c>
      <c r="E3399" t="s">
        <v>161</v>
      </c>
      <c r="F3399" t="s">
        <v>38</v>
      </c>
      <c r="G3399" t="s">
        <v>16888</v>
      </c>
      <c r="H3399">
        <v>16.98</v>
      </c>
      <c r="I3399">
        <v>0</v>
      </c>
      <c r="J3399">
        <v>0</v>
      </c>
      <c r="K3399">
        <v>0</v>
      </c>
      <c r="L3399">
        <v>7</v>
      </c>
      <c r="O3399">
        <v>7</v>
      </c>
      <c r="P3399">
        <v>4</v>
      </c>
      <c r="Q3399">
        <v>2</v>
      </c>
      <c r="R3399">
        <v>29.98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H3399">
        <v>29.98</v>
      </c>
    </row>
    <row r="3400" spans="1:34" x14ac:dyDescent="0.3">
      <c r="A3400" s="4">
        <v>3614</v>
      </c>
      <c r="B3400" s="5">
        <v>3393</v>
      </c>
      <c r="C3400">
        <v>4100</v>
      </c>
      <c r="D3400" t="s">
        <v>181</v>
      </c>
      <c r="E3400" t="s">
        <v>166</v>
      </c>
      <c r="F3400" t="s">
        <v>55</v>
      </c>
      <c r="G3400" t="s">
        <v>16889</v>
      </c>
      <c r="H3400">
        <v>16.95</v>
      </c>
      <c r="I3400">
        <v>0</v>
      </c>
      <c r="J3400">
        <v>0</v>
      </c>
      <c r="K3400">
        <v>0</v>
      </c>
      <c r="N3400">
        <v>3</v>
      </c>
      <c r="O3400">
        <v>3</v>
      </c>
      <c r="P3400">
        <v>4</v>
      </c>
      <c r="Q3400">
        <v>0</v>
      </c>
      <c r="R3400">
        <v>23.95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6</v>
      </c>
      <c r="AC3400">
        <v>0</v>
      </c>
      <c r="AH3400">
        <v>29.95</v>
      </c>
    </row>
    <row r="3401" spans="1:34" x14ac:dyDescent="0.3">
      <c r="A3401" s="4">
        <v>3615</v>
      </c>
      <c r="B3401" s="5">
        <v>3394</v>
      </c>
      <c r="C3401">
        <v>9370</v>
      </c>
      <c r="D3401" t="s">
        <v>16890</v>
      </c>
      <c r="E3401" t="s">
        <v>406</v>
      </c>
      <c r="F3401" t="s">
        <v>17</v>
      </c>
      <c r="G3401" t="s">
        <v>16891</v>
      </c>
      <c r="H3401">
        <v>19.95</v>
      </c>
      <c r="I3401">
        <v>0</v>
      </c>
      <c r="J3401">
        <v>0</v>
      </c>
      <c r="K3401">
        <v>0</v>
      </c>
      <c r="L3401">
        <v>7</v>
      </c>
      <c r="N3401">
        <v>3</v>
      </c>
      <c r="O3401">
        <v>10</v>
      </c>
      <c r="P3401">
        <v>0</v>
      </c>
      <c r="Q3401">
        <v>0</v>
      </c>
      <c r="R3401">
        <v>29.95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H3401">
        <v>29.95</v>
      </c>
    </row>
    <row r="3402" spans="1:34" x14ac:dyDescent="0.3">
      <c r="A3402" s="4">
        <v>3616</v>
      </c>
      <c r="B3402" s="5">
        <v>3395</v>
      </c>
      <c r="C3402">
        <v>7228</v>
      </c>
      <c r="D3402" t="s">
        <v>16892</v>
      </c>
      <c r="E3402" t="s">
        <v>258</v>
      </c>
      <c r="F3402" t="s">
        <v>20</v>
      </c>
      <c r="G3402" t="s">
        <v>16893</v>
      </c>
      <c r="H3402">
        <v>18.95</v>
      </c>
      <c r="I3402">
        <v>0</v>
      </c>
      <c r="J3402">
        <v>0</v>
      </c>
      <c r="K3402">
        <v>0</v>
      </c>
      <c r="M3402">
        <v>5</v>
      </c>
      <c r="O3402">
        <v>5</v>
      </c>
      <c r="P3402">
        <v>4</v>
      </c>
      <c r="Q3402">
        <v>2</v>
      </c>
      <c r="R3402">
        <v>29.95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H3402">
        <v>29.95</v>
      </c>
    </row>
    <row r="3403" spans="1:34" x14ac:dyDescent="0.3">
      <c r="A3403" s="4">
        <v>3617</v>
      </c>
      <c r="B3403" s="5">
        <v>3396</v>
      </c>
      <c r="C3403">
        <v>9425</v>
      </c>
      <c r="D3403" t="s">
        <v>16894</v>
      </c>
      <c r="E3403" t="s">
        <v>972</v>
      </c>
      <c r="F3403" t="s">
        <v>343</v>
      </c>
      <c r="G3403" t="s">
        <v>16895</v>
      </c>
      <c r="H3403">
        <v>18.95</v>
      </c>
      <c r="I3403">
        <v>0</v>
      </c>
      <c r="J3403">
        <v>0</v>
      </c>
      <c r="K3403">
        <v>0</v>
      </c>
      <c r="L3403">
        <v>7</v>
      </c>
      <c r="O3403">
        <v>7</v>
      </c>
      <c r="P3403">
        <v>4</v>
      </c>
      <c r="Q3403">
        <v>0</v>
      </c>
      <c r="R3403">
        <v>29.95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H3403">
        <v>29.95</v>
      </c>
    </row>
    <row r="3404" spans="1:34" x14ac:dyDescent="0.3">
      <c r="A3404" s="4">
        <v>3618</v>
      </c>
      <c r="B3404" s="5">
        <v>3397</v>
      </c>
      <c r="C3404">
        <v>4454</v>
      </c>
      <c r="D3404" t="s">
        <v>7450</v>
      </c>
      <c r="E3404" t="s">
        <v>88</v>
      </c>
      <c r="F3404" t="s">
        <v>626</v>
      </c>
      <c r="G3404" t="s">
        <v>16896</v>
      </c>
      <c r="H3404">
        <v>18.95</v>
      </c>
      <c r="I3404">
        <v>0</v>
      </c>
      <c r="J3404">
        <v>0</v>
      </c>
      <c r="K3404">
        <v>0</v>
      </c>
      <c r="L3404">
        <v>7</v>
      </c>
      <c r="O3404">
        <v>7</v>
      </c>
      <c r="P3404">
        <v>4</v>
      </c>
      <c r="Q3404">
        <v>0</v>
      </c>
      <c r="R3404">
        <v>29.95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H3404">
        <v>29.95</v>
      </c>
    </row>
    <row r="3405" spans="1:34" x14ac:dyDescent="0.3">
      <c r="A3405" s="4">
        <v>3619</v>
      </c>
      <c r="B3405" s="5">
        <v>3398</v>
      </c>
      <c r="C3405">
        <v>10915</v>
      </c>
      <c r="D3405" t="s">
        <v>16897</v>
      </c>
      <c r="E3405" t="s">
        <v>33</v>
      </c>
      <c r="F3405" t="s">
        <v>62</v>
      </c>
      <c r="G3405" t="s">
        <v>16898</v>
      </c>
      <c r="H3405">
        <v>16.95</v>
      </c>
      <c r="I3405">
        <v>0</v>
      </c>
      <c r="J3405">
        <v>0</v>
      </c>
      <c r="K3405">
        <v>0</v>
      </c>
      <c r="L3405">
        <v>7</v>
      </c>
      <c r="O3405">
        <v>7</v>
      </c>
      <c r="P3405">
        <v>4</v>
      </c>
      <c r="Q3405">
        <v>2</v>
      </c>
      <c r="R3405">
        <v>29.95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H3405">
        <v>29.95</v>
      </c>
    </row>
    <row r="3406" spans="1:34" x14ac:dyDescent="0.3">
      <c r="A3406" s="4">
        <v>3620</v>
      </c>
      <c r="B3406" s="5">
        <v>3399</v>
      </c>
      <c r="C3406">
        <v>3315</v>
      </c>
      <c r="D3406" t="s">
        <v>16899</v>
      </c>
      <c r="E3406" t="s">
        <v>88</v>
      </c>
      <c r="F3406" t="s">
        <v>16900</v>
      </c>
      <c r="G3406" t="s">
        <v>16901</v>
      </c>
      <c r="H3406">
        <v>16.93</v>
      </c>
      <c r="I3406">
        <v>0</v>
      </c>
      <c r="J3406">
        <v>0</v>
      </c>
      <c r="K3406">
        <v>0</v>
      </c>
      <c r="O3406">
        <v>0</v>
      </c>
      <c r="P3406">
        <v>4</v>
      </c>
      <c r="Q3406">
        <v>0</v>
      </c>
      <c r="R3406">
        <v>20.93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9</v>
      </c>
      <c r="AC3406">
        <v>0</v>
      </c>
      <c r="AH3406">
        <v>29.93</v>
      </c>
    </row>
    <row r="3407" spans="1:34" x14ac:dyDescent="0.3">
      <c r="A3407" s="4">
        <v>3621</v>
      </c>
      <c r="B3407" s="5">
        <v>3400</v>
      </c>
      <c r="C3407">
        <v>4537</v>
      </c>
      <c r="D3407" t="s">
        <v>16902</v>
      </c>
      <c r="E3407" t="s">
        <v>740</v>
      </c>
      <c r="F3407" t="s">
        <v>52</v>
      </c>
      <c r="G3407" t="s">
        <v>16903</v>
      </c>
      <c r="H3407">
        <v>16.93</v>
      </c>
      <c r="I3407">
        <v>0</v>
      </c>
      <c r="J3407">
        <v>0</v>
      </c>
      <c r="K3407">
        <v>0</v>
      </c>
      <c r="N3407">
        <v>3</v>
      </c>
      <c r="O3407">
        <v>3</v>
      </c>
      <c r="P3407">
        <v>4</v>
      </c>
      <c r="Q3407">
        <v>0</v>
      </c>
      <c r="R3407">
        <v>23.93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6</v>
      </c>
      <c r="AC3407">
        <v>0</v>
      </c>
      <c r="AH3407">
        <v>29.93</v>
      </c>
    </row>
    <row r="3408" spans="1:34" x14ac:dyDescent="0.3">
      <c r="A3408" s="4">
        <v>3622</v>
      </c>
      <c r="B3408" s="5">
        <v>3401</v>
      </c>
      <c r="C3408">
        <v>15268</v>
      </c>
      <c r="D3408" t="s">
        <v>432</v>
      </c>
      <c r="E3408" t="s">
        <v>54</v>
      </c>
      <c r="F3408" t="s">
        <v>136</v>
      </c>
      <c r="G3408" t="s">
        <v>16904</v>
      </c>
      <c r="H3408">
        <v>15.93</v>
      </c>
      <c r="I3408">
        <v>0</v>
      </c>
      <c r="J3408">
        <v>0</v>
      </c>
      <c r="K3408">
        <v>0</v>
      </c>
      <c r="L3408">
        <v>7</v>
      </c>
      <c r="O3408">
        <v>7</v>
      </c>
      <c r="P3408">
        <v>4</v>
      </c>
      <c r="Q3408">
        <v>0</v>
      </c>
      <c r="R3408">
        <v>26.93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3</v>
      </c>
      <c r="AC3408">
        <v>0</v>
      </c>
      <c r="AH3408">
        <v>29.93</v>
      </c>
    </row>
    <row r="3409" spans="1:34" x14ac:dyDescent="0.3">
      <c r="A3409" s="4">
        <v>3623</v>
      </c>
      <c r="B3409" s="5">
        <v>3402</v>
      </c>
      <c r="C3409">
        <v>8430</v>
      </c>
      <c r="D3409" t="s">
        <v>16905</v>
      </c>
      <c r="E3409" t="s">
        <v>471</v>
      </c>
      <c r="F3409" t="s">
        <v>20</v>
      </c>
      <c r="G3409" t="s">
        <v>16906</v>
      </c>
      <c r="H3409">
        <v>18.93</v>
      </c>
      <c r="I3409">
        <v>0</v>
      </c>
      <c r="J3409">
        <v>0</v>
      </c>
      <c r="K3409">
        <v>0</v>
      </c>
      <c r="L3409">
        <v>7</v>
      </c>
      <c r="O3409">
        <v>7</v>
      </c>
      <c r="P3409">
        <v>4</v>
      </c>
      <c r="Q3409">
        <v>0</v>
      </c>
      <c r="R3409">
        <v>29.93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 t="s">
        <v>130</v>
      </c>
      <c r="AH3409">
        <v>29.93</v>
      </c>
    </row>
    <row r="3410" spans="1:34" x14ac:dyDescent="0.3">
      <c r="A3410" s="4">
        <v>3624</v>
      </c>
      <c r="B3410" s="5">
        <v>3403</v>
      </c>
      <c r="C3410">
        <v>235</v>
      </c>
      <c r="D3410" t="s">
        <v>16907</v>
      </c>
      <c r="E3410" t="s">
        <v>342</v>
      </c>
      <c r="F3410" t="s">
        <v>10049</v>
      </c>
      <c r="G3410" t="s">
        <v>16908</v>
      </c>
      <c r="H3410">
        <v>18.93</v>
      </c>
      <c r="I3410">
        <v>0</v>
      </c>
      <c r="J3410">
        <v>0</v>
      </c>
      <c r="K3410">
        <v>0</v>
      </c>
      <c r="L3410">
        <v>7</v>
      </c>
      <c r="O3410">
        <v>7</v>
      </c>
      <c r="P3410">
        <v>4</v>
      </c>
      <c r="Q3410">
        <v>0</v>
      </c>
      <c r="R3410">
        <v>29.93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H3410">
        <v>29.93</v>
      </c>
    </row>
    <row r="3411" spans="1:34" x14ac:dyDescent="0.3">
      <c r="A3411" s="4">
        <v>3625</v>
      </c>
      <c r="B3411" s="5">
        <v>3404</v>
      </c>
      <c r="C3411">
        <v>14654</v>
      </c>
      <c r="D3411" t="s">
        <v>16909</v>
      </c>
      <c r="E3411" t="s">
        <v>143</v>
      </c>
      <c r="F3411" t="s">
        <v>243</v>
      </c>
      <c r="G3411" t="s">
        <v>16910</v>
      </c>
      <c r="H3411">
        <v>17.93</v>
      </c>
      <c r="I3411">
        <v>0</v>
      </c>
      <c r="J3411">
        <v>0</v>
      </c>
      <c r="K3411">
        <v>0</v>
      </c>
      <c r="L3411">
        <v>7</v>
      </c>
      <c r="M3411">
        <v>5</v>
      </c>
      <c r="O3411">
        <v>12</v>
      </c>
      <c r="P3411">
        <v>0</v>
      </c>
      <c r="Q3411">
        <v>0</v>
      </c>
      <c r="R3411">
        <v>29.93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H3411">
        <v>29.93</v>
      </c>
    </row>
    <row r="3412" spans="1:34" x14ac:dyDescent="0.3">
      <c r="A3412" s="4">
        <v>3626</v>
      </c>
      <c r="B3412" s="5">
        <v>3405</v>
      </c>
      <c r="C3412">
        <v>14414</v>
      </c>
      <c r="D3412" t="s">
        <v>16911</v>
      </c>
      <c r="E3412" t="s">
        <v>454</v>
      </c>
      <c r="F3412" t="s">
        <v>20</v>
      </c>
      <c r="G3412" t="s">
        <v>16912</v>
      </c>
      <c r="H3412">
        <v>17.93</v>
      </c>
      <c r="I3412">
        <v>0</v>
      </c>
      <c r="J3412">
        <v>0</v>
      </c>
      <c r="K3412">
        <v>0</v>
      </c>
      <c r="M3412">
        <v>5</v>
      </c>
      <c r="N3412">
        <v>3</v>
      </c>
      <c r="O3412">
        <v>8</v>
      </c>
      <c r="P3412">
        <v>4</v>
      </c>
      <c r="Q3412">
        <v>0</v>
      </c>
      <c r="R3412">
        <v>29.93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H3412">
        <v>29.93</v>
      </c>
    </row>
    <row r="3413" spans="1:34" x14ac:dyDescent="0.3">
      <c r="A3413" s="4">
        <v>3627</v>
      </c>
      <c r="B3413" s="5">
        <v>3406</v>
      </c>
      <c r="C3413">
        <v>1309</v>
      </c>
      <c r="D3413" t="s">
        <v>4937</v>
      </c>
      <c r="E3413" t="s">
        <v>5101</v>
      </c>
      <c r="F3413" t="s">
        <v>23</v>
      </c>
      <c r="G3413" t="s">
        <v>16913</v>
      </c>
      <c r="H3413">
        <v>16.93</v>
      </c>
      <c r="I3413">
        <v>0</v>
      </c>
      <c r="J3413">
        <v>0</v>
      </c>
      <c r="K3413">
        <v>0</v>
      </c>
      <c r="L3413">
        <v>7</v>
      </c>
      <c r="O3413">
        <v>7</v>
      </c>
      <c r="P3413">
        <v>4</v>
      </c>
      <c r="Q3413">
        <v>2</v>
      </c>
      <c r="R3413">
        <v>29.93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H3413">
        <v>29.93</v>
      </c>
    </row>
    <row r="3414" spans="1:34" x14ac:dyDescent="0.3">
      <c r="A3414" s="4">
        <v>3628</v>
      </c>
      <c r="B3414" s="5">
        <v>3407</v>
      </c>
      <c r="C3414">
        <v>10652</v>
      </c>
      <c r="D3414" t="s">
        <v>1296</v>
      </c>
      <c r="E3414" t="s">
        <v>1327</v>
      </c>
      <c r="F3414" t="s">
        <v>38</v>
      </c>
      <c r="G3414" t="s">
        <v>16914</v>
      </c>
      <c r="H3414">
        <v>16.88</v>
      </c>
      <c r="I3414">
        <v>0</v>
      </c>
      <c r="J3414">
        <v>0</v>
      </c>
      <c r="K3414">
        <v>0</v>
      </c>
      <c r="N3414">
        <v>3</v>
      </c>
      <c r="O3414">
        <v>3</v>
      </c>
      <c r="P3414">
        <v>4</v>
      </c>
      <c r="Q3414">
        <v>0</v>
      </c>
      <c r="R3414">
        <v>23.88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6</v>
      </c>
      <c r="AC3414">
        <v>0</v>
      </c>
      <c r="AH3414">
        <v>29.88</v>
      </c>
    </row>
    <row r="3415" spans="1:34" x14ac:dyDescent="0.3">
      <c r="A3415" s="4">
        <v>3629</v>
      </c>
      <c r="B3415" s="5">
        <v>3408</v>
      </c>
      <c r="C3415">
        <v>3931</v>
      </c>
      <c r="D3415" t="s">
        <v>6423</v>
      </c>
      <c r="E3415" t="s">
        <v>255</v>
      </c>
      <c r="F3415" t="s">
        <v>158</v>
      </c>
      <c r="G3415" t="s">
        <v>16915</v>
      </c>
      <c r="H3415">
        <v>15.88</v>
      </c>
      <c r="I3415">
        <v>0</v>
      </c>
      <c r="J3415">
        <v>0</v>
      </c>
      <c r="K3415">
        <v>0</v>
      </c>
      <c r="L3415">
        <v>7</v>
      </c>
      <c r="O3415">
        <v>7</v>
      </c>
      <c r="P3415">
        <v>4</v>
      </c>
      <c r="Q3415">
        <v>0</v>
      </c>
      <c r="R3415">
        <v>26.88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3</v>
      </c>
      <c r="AC3415">
        <v>0</v>
      </c>
      <c r="AH3415">
        <v>29.88</v>
      </c>
    </row>
    <row r="3416" spans="1:34" x14ac:dyDescent="0.3">
      <c r="A3416" s="4">
        <v>3630</v>
      </c>
      <c r="B3416" s="5">
        <v>3409</v>
      </c>
      <c r="C3416">
        <v>13316</v>
      </c>
      <c r="D3416" t="s">
        <v>16916</v>
      </c>
      <c r="E3416" t="s">
        <v>88</v>
      </c>
      <c r="F3416" t="s">
        <v>68</v>
      </c>
      <c r="G3416" t="s">
        <v>16917</v>
      </c>
      <c r="H3416">
        <v>20.88</v>
      </c>
      <c r="I3416">
        <v>0</v>
      </c>
      <c r="J3416">
        <v>0</v>
      </c>
      <c r="K3416">
        <v>0</v>
      </c>
      <c r="L3416">
        <v>7</v>
      </c>
      <c r="O3416">
        <v>7</v>
      </c>
      <c r="P3416">
        <v>0</v>
      </c>
      <c r="Q3416">
        <v>2</v>
      </c>
      <c r="R3416">
        <v>29.88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H3416">
        <v>29.88</v>
      </c>
    </row>
    <row r="3417" spans="1:34" x14ac:dyDescent="0.3">
      <c r="A3417" s="4">
        <v>3631</v>
      </c>
      <c r="B3417" s="5">
        <v>3410</v>
      </c>
      <c r="C3417">
        <v>10449</v>
      </c>
      <c r="D3417" t="s">
        <v>16918</v>
      </c>
      <c r="E3417" t="s">
        <v>29</v>
      </c>
      <c r="F3417" t="s">
        <v>909</v>
      </c>
      <c r="G3417" t="s">
        <v>16919</v>
      </c>
      <c r="H3417">
        <v>19.88</v>
      </c>
      <c r="I3417">
        <v>0</v>
      </c>
      <c r="J3417">
        <v>0</v>
      </c>
      <c r="K3417">
        <v>0</v>
      </c>
      <c r="L3417">
        <v>7</v>
      </c>
      <c r="N3417">
        <v>3</v>
      </c>
      <c r="O3417">
        <v>10</v>
      </c>
      <c r="P3417">
        <v>0</v>
      </c>
      <c r="Q3417">
        <v>0</v>
      </c>
      <c r="R3417">
        <v>29.88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H3417">
        <v>29.88</v>
      </c>
    </row>
    <row r="3418" spans="1:34" x14ac:dyDescent="0.3">
      <c r="A3418" s="4">
        <v>3632</v>
      </c>
      <c r="B3418" s="5">
        <v>3411</v>
      </c>
      <c r="C3418">
        <v>11413</v>
      </c>
      <c r="D3418" t="s">
        <v>16920</v>
      </c>
      <c r="E3418" t="s">
        <v>208</v>
      </c>
      <c r="F3418" t="s">
        <v>136</v>
      </c>
      <c r="G3418" t="s">
        <v>16921</v>
      </c>
      <c r="H3418">
        <v>18.88</v>
      </c>
      <c r="I3418">
        <v>0</v>
      </c>
      <c r="J3418">
        <v>0</v>
      </c>
      <c r="K3418">
        <v>0</v>
      </c>
      <c r="L3418">
        <v>7</v>
      </c>
      <c r="O3418">
        <v>7</v>
      </c>
      <c r="P3418">
        <v>4</v>
      </c>
      <c r="Q3418">
        <v>0</v>
      </c>
      <c r="R3418">
        <v>29.88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H3418">
        <v>29.88</v>
      </c>
    </row>
    <row r="3419" spans="1:34" x14ac:dyDescent="0.3">
      <c r="A3419" s="4">
        <v>3633</v>
      </c>
      <c r="B3419" s="5">
        <v>3412</v>
      </c>
      <c r="C3419">
        <v>6146</v>
      </c>
      <c r="D3419" t="s">
        <v>16922</v>
      </c>
      <c r="E3419" t="s">
        <v>100</v>
      </c>
      <c r="F3419" t="s">
        <v>136</v>
      </c>
      <c r="G3419" t="s">
        <v>16923</v>
      </c>
      <c r="H3419">
        <v>18.88</v>
      </c>
      <c r="I3419">
        <v>0</v>
      </c>
      <c r="J3419">
        <v>0</v>
      </c>
      <c r="K3419">
        <v>0</v>
      </c>
      <c r="L3419">
        <v>7</v>
      </c>
      <c r="O3419">
        <v>7</v>
      </c>
      <c r="P3419">
        <v>4</v>
      </c>
      <c r="Q3419">
        <v>0</v>
      </c>
      <c r="R3419">
        <v>29.88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H3419">
        <v>29.88</v>
      </c>
    </row>
    <row r="3420" spans="1:34" x14ac:dyDescent="0.3">
      <c r="A3420" s="4">
        <v>3634</v>
      </c>
      <c r="B3420" s="5">
        <v>3413</v>
      </c>
      <c r="C3420">
        <v>12064</v>
      </c>
      <c r="D3420" t="s">
        <v>16924</v>
      </c>
      <c r="E3420" t="s">
        <v>161</v>
      </c>
      <c r="F3420" t="s">
        <v>117</v>
      </c>
      <c r="G3420" t="s">
        <v>16925</v>
      </c>
      <c r="H3420">
        <v>18.88</v>
      </c>
      <c r="I3420">
        <v>0</v>
      </c>
      <c r="J3420">
        <v>0</v>
      </c>
      <c r="K3420">
        <v>0</v>
      </c>
      <c r="L3420">
        <v>7</v>
      </c>
      <c r="O3420">
        <v>7</v>
      </c>
      <c r="P3420">
        <v>4</v>
      </c>
      <c r="Q3420">
        <v>0</v>
      </c>
      <c r="R3420">
        <v>29.88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 t="s">
        <v>130</v>
      </c>
      <c r="AH3420">
        <v>29.88</v>
      </c>
    </row>
    <row r="3421" spans="1:34" x14ac:dyDescent="0.3">
      <c r="A3421" s="4">
        <v>3635</v>
      </c>
      <c r="B3421" s="5">
        <v>3414</v>
      </c>
      <c r="C3421">
        <v>6314</v>
      </c>
      <c r="D3421" t="s">
        <v>16926</v>
      </c>
      <c r="E3421" t="s">
        <v>16927</v>
      </c>
      <c r="F3421" t="s">
        <v>927</v>
      </c>
      <c r="G3421" t="s">
        <v>16928</v>
      </c>
      <c r="H3421">
        <v>19.850000000000001</v>
      </c>
      <c r="I3421">
        <v>0</v>
      </c>
      <c r="J3421">
        <v>0</v>
      </c>
      <c r="K3421">
        <v>0</v>
      </c>
      <c r="N3421">
        <v>6</v>
      </c>
      <c r="O3421">
        <v>6</v>
      </c>
      <c r="P3421">
        <v>4</v>
      </c>
      <c r="Q3421">
        <v>0</v>
      </c>
      <c r="R3421">
        <v>29.85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H3421">
        <v>29.85</v>
      </c>
    </row>
    <row r="3422" spans="1:34" x14ac:dyDescent="0.3">
      <c r="A3422" s="4">
        <v>3636</v>
      </c>
      <c r="B3422" s="5">
        <v>3415</v>
      </c>
      <c r="C3422">
        <v>270</v>
      </c>
      <c r="D3422" t="s">
        <v>16929</v>
      </c>
      <c r="E3422" t="s">
        <v>147</v>
      </c>
      <c r="F3422" t="s">
        <v>243</v>
      </c>
      <c r="G3422" t="s">
        <v>16930</v>
      </c>
      <c r="H3422">
        <v>16.850000000000001</v>
      </c>
      <c r="I3422">
        <v>0</v>
      </c>
      <c r="J3422">
        <v>0</v>
      </c>
      <c r="K3422">
        <v>0</v>
      </c>
      <c r="N3422">
        <v>3</v>
      </c>
      <c r="O3422">
        <v>3</v>
      </c>
      <c r="P3422">
        <v>4</v>
      </c>
      <c r="Q3422">
        <v>0</v>
      </c>
      <c r="R3422">
        <v>23.85</v>
      </c>
      <c r="S3422">
        <v>6</v>
      </c>
      <c r="T3422">
        <v>6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6</v>
      </c>
      <c r="AB3422">
        <v>0</v>
      </c>
      <c r="AC3422">
        <v>0</v>
      </c>
      <c r="AH3422">
        <v>29.85</v>
      </c>
    </row>
    <row r="3423" spans="1:34" x14ac:dyDescent="0.3">
      <c r="A3423" s="4">
        <v>3637</v>
      </c>
      <c r="B3423" s="5">
        <v>3416</v>
      </c>
      <c r="C3423">
        <v>13048</v>
      </c>
      <c r="D3423" t="s">
        <v>14600</v>
      </c>
      <c r="E3423" t="s">
        <v>471</v>
      </c>
      <c r="F3423" t="s">
        <v>38</v>
      </c>
      <c r="G3423" t="s">
        <v>16931</v>
      </c>
      <c r="H3423">
        <v>18.829999999999998</v>
      </c>
      <c r="I3423">
        <v>0</v>
      </c>
      <c r="J3423">
        <v>0</v>
      </c>
      <c r="K3423">
        <v>0</v>
      </c>
      <c r="L3423">
        <v>7</v>
      </c>
      <c r="O3423">
        <v>7</v>
      </c>
      <c r="P3423">
        <v>4</v>
      </c>
      <c r="Q3423">
        <v>0</v>
      </c>
      <c r="R3423">
        <v>29.83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H3423">
        <v>29.83</v>
      </c>
    </row>
    <row r="3424" spans="1:34" x14ac:dyDescent="0.3">
      <c r="A3424" s="4">
        <v>3638</v>
      </c>
      <c r="B3424" s="5">
        <v>3417</v>
      </c>
      <c r="C3424">
        <v>7993</v>
      </c>
      <c r="D3424" t="s">
        <v>2695</v>
      </c>
      <c r="E3424" t="s">
        <v>166</v>
      </c>
      <c r="F3424" t="s">
        <v>30</v>
      </c>
      <c r="G3424" t="s">
        <v>16932</v>
      </c>
      <c r="H3424">
        <v>18.829999999999998</v>
      </c>
      <c r="I3424">
        <v>0</v>
      </c>
      <c r="J3424">
        <v>0</v>
      </c>
      <c r="K3424">
        <v>0</v>
      </c>
      <c r="L3424">
        <v>7</v>
      </c>
      <c r="O3424">
        <v>7</v>
      </c>
      <c r="P3424">
        <v>4</v>
      </c>
      <c r="Q3424">
        <v>0</v>
      </c>
      <c r="R3424">
        <v>29.83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H3424">
        <v>29.83</v>
      </c>
    </row>
    <row r="3425" spans="1:34" x14ac:dyDescent="0.3">
      <c r="A3425" s="4">
        <v>3639</v>
      </c>
      <c r="B3425" s="5">
        <v>3418</v>
      </c>
      <c r="C3425">
        <v>7742</v>
      </c>
      <c r="D3425" t="s">
        <v>3404</v>
      </c>
      <c r="E3425" t="s">
        <v>41</v>
      </c>
      <c r="F3425" t="s">
        <v>227</v>
      </c>
      <c r="G3425" t="s">
        <v>16933</v>
      </c>
      <c r="H3425">
        <v>16.829999999999998</v>
      </c>
      <c r="I3425">
        <v>0</v>
      </c>
      <c r="J3425">
        <v>0</v>
      </c>
      <c r="K3425">
        <v>0</v>
      </c>
      <c r="L3425">
        <v>7</v>
      </c>
      <c r="O3425">
        <v>7</v>
      </c>
      <c r="P3425">
        <v>4</v>
      </c>
      <c r="Q3425">
        <v>2</v>
      </c>
      <c r="R3425">
        <v>29.83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H3425">
        <v>29.83</v>
      </c>
    </row>
    <row r="3426" spans="1:34" x14ac:dyDescent="0.3">
      <c r="A3426" s="4">
        <v>3640</v>
      </c>
      <c r="B3426" s="5">
        <v>3419</v>
      </c>
      <c r="C3426">
        <v>6953</v>
      </c>
      <c r="D3426" t="s">
        <v>16934</v>
      </c>
      <c r="E3426" t="s">
        <v>16935</v>
      </c>
      <c r="F3426" t="s">
        <v>16936</v>
      </c>
      <c r="G3426" t="s">
        <v>16937</v>
      </c>
      <c r="H3426">
        <v>13.83</v>
      </c>
      <c r="I3426">
        <v>0</v>
      </c>
      <c r="J3426">
        <v>0</v>
      </c>
      <c r="K3426">
        <v>0</v>
      </c>
      <c r="L3426">
        <v>7</v>
      </c>
      <c r="N3426">
        <v>3</v>
      </c>
      <c r="O3426">
        <v>10</v>
      </c>
      <c r="P3426">
        <v>4</v>
      </c>
      <c r="Q3426">
        <v>2</v>
      </c>
      <c r="R3426">
        <v>29.83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H3426">
        <v>29.83</v>
      </c>
    </row>
    <row r="3427" spans="1:34" x14ac:dyDescent="0.3">
      <c r="A3427" s="4">
        <v>3641</v>
      </c>
      <c r="B3427" s="5">
        <v>3420</v>
      </c>
      <c r="C3427">
        <v>4882</v>
      </c>
      <c r="D3427" t="s">
        <v>16938</v>
      </c>
      <c r="E3427" t="s">
        <v>37</v>
      </c>
      <c r="F3427" t="s">
        <v>20</v>
      </c>
      <c r="G3427" t="s">
        <v>16939</v>
      </c>
      <c r="H3427">
        <v>20.8</v>
      </c>
      <c r="I3427">
        <v>0</v>
      </c>
      <c r="J3427">
        <v>0</v>
      </c>
      <c r="K3427">
        <v>0</v>
      </c>
      <c r="L3427">
        <v>7</v>
      </c>
      <c r="O3427">
        <v>7</v>
      </c>
      <c r="P3427">
        <v>0</v>
      </c>
      <c r="Q3427">
        <v>2</v>
      </c>
      <c r="R3427">
        <v>29.8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H3427">
        <v>29.8</v>
      </c>
    </row>
    <row r="3428" spans="1:34" x14ac:dyDescent="0.3">
      <c r="A3428" s="4">
        <v>3642</v>
      </c>
      <c r="B3428" s="5">
        <v>3421</v>
      </c>
      <c r="C3428">
        <v>993</v>
      </c>
      <c r="D3428" t="s">
        <v>16940</v>
      </c>
      <c r="E3428" t="s">
        <v>1458</v>
      </c>
      <c r="F3428" t="s">
        <v>2543</v>
      </c>
      <c r="G3428" t="s">
        <v>16941</v>
      </c>
      <c r="H3428">
        <v>20.8</v>
      </c>
      <c r="I3428">
        <v>0</v>
      </c>
      <c r="J3428">
        <v>0</v>
      </c>
      <c r="K3428">
        <v>0</v>
      </c>
      <c r="N3428">
        <v>3</v>
      </c>
      <c r="O3428">
        <v>3</v>
      </c>
      <c r="P3428">
        <v>4</v>
      </c>
      <c r="Q3428">
        <v>2</v>
      </c>
      <c r="R3428">
        <v>29.8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H3428">
        <v>29.8</v>
      </c>
    </row>
    <row r="3429" spans="1:34" x14ac:dyDescent="0.3">
      <c r="A3429" s="4">
        <v>3643</v>
      </c>
      <c r="B3429" s="5">
        <v>3422</v>
      </c>
      <c r="C3429">
        <v>10762</v>
      </c>
      <c r="D3429" t="s">
        <v>16942</v>
      </c>
      <c r="E3429" t="s">
        <v>8253</v>
      </c>
      <c r="F3429" t="s">
        <v>16943</v>
      </c>
      <c r="G3429" t="s">
        <v>16944</v>
      </c>
      <c r="H3429">
        <v>18.8</v>
      </c>
      <c r="I3429">
        <v>0</v>
      </c>
      <c r="J3429">
        <v>0</v>
      </c>
      <c r="K3429">
        <v>0</v>
      </c>
      <c r="L3429">
        <v>7</v>
      </c>
      <c r="O3429">
        <v>7</v>
      </c>
      <c r="P3429">
        <v>4</v>
      </c>
      <c r="Q3429">
        <v>0</v>
      </c>
      <c r="R3429">
        <v>29.8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H3429">
        <v>29.8</v>
      </c>
    </row>
    <row r="3430" spans="1:34" x14ac:dyDescent="0.3">
      <c r="A3430" s="4">
        <v>3644</v>
      </c>
      <c r="B3430" s="5">
        <v>3423</v>
      </c>
      <c r="C3430">
        <v>2260</v>
      </c>
      <c r="D3430" t="s">
        <v>6747</v>
      </c>
      <c r="E3430" t="s">
        <v>147</v>
      </c>
      <c r="F3430" t="s">
        <v>17</v>
      </c>
      <c r="G3430" t="s">
        <v>16945</v>
      </c>
      <c r="H3430">
        <v>18.8</v>
      </c>
      <c r="I3430">
        <v>0</v>
      </c>
      <c r="J3430">
        <v>0</v>
      </c>
      <c r="K3430">
        <v>0</v>
      </c>
      <c r="L3430">
        <v>7</v>
      </c>
      <c r="O3430">
        <v>7</v>
      </c>
      <c r="P3430">
        <v>4</v>
      </c>
      <c r="Q3430">
        <v>0</v>
      </c>
      <c r="R3430">
        <v>29.8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H3430">
        <v>29.8</v>
      </c>
    </row>
    <row r="3431" spans="1:34" x14ac:dyDescent="0.3">
      <c r="A3431" s="4">
        <v>3645</v>
      </c>
      <c r="B3431" s="5">
        <v>3424</v>
      </c>
      <c r="C3431">
        <v>11457</v>
      </c>
      <c r="D3431" t="s">
        <v>16946</v>
      </c>
      <c r="E3431" t="s">
        <v>81</v>
      </c>
      <c r="F3431" t="s">
        <v>1526</v>
      </c>
      <c r="G3431" t="s">
        <v>16947</v>
      </c>
      <c r="H3431">
        <v>18.8</v>
      </c>
      <c r="I3431">
        <v>0</v>
      </c>
      <c r="J3431">
        <v>0</v>
      </c>
      <c r="K3431">
        <v>0</v>
      </c>
      <c r="L3431">
        <v>7</v>
      </c>
      <c r="O3431">
        <v>7</v>
      </c>
      <c r="P3431">
        <v>4</v>
      </c>
      <c r="Q3431">
        <v>0</v>
      </c>
      <c r="R3431">
        <v>29.8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H3431">
        <v>29.8</v>
      </c>
    </row>
    <row r="3432" spans="1:34" x14ac:dyDescent="0.3">
      <c r="A3432" s="4">
        <v>3646</v>
      </c>
      <c r="B3432" s="5">
        <v>3425</v>
      </c>
      <c r="C3432">
        <v>9404</v>
      </c>
      <c r="D3432" t="s">
        <v>16948</v>
      </c>
      <c r="E3432" t="s">
        <v>439</v>
      </c>
      <c r="F3432" t="s">
        <v>55</v>
      </c>
      <c r="G3432" t="s">
        <v>16949</v>
      </c>
      <c r="H3432">
        <v>19.78</v>
      </c>
      <c r="I3432">
        <v>0</v>
      </c>
      <c r="J3432">
        <v>0</v>
      </c>
      <c r="K3432">
        <v>0</v>
      </c>
      <c r="M3432">
        <v>5</v>
      </c>
      <c r="N3432">
        <v>3</v>
      </c>
      <c r="O3432">
        <v>8</v>
      </c>
      <c r="P3432">
        <v>0</v>
      </c>
      <c r="Q3432">
        <v>2</v>
      </c>
      <c r="R3432">
        <v>29.78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H3432">
        <v>29.78</v>
      </c>
    </row>
    <row r="3433" spans="1:34" x14ac:dyDescent="0.3">
      <c r="A3433" s="4">
        <v>3647</v>
      </c>
      <c r="B3433" s="5">
        <v>3426</v>
      </c>
      <c r="C3433">
        <v>1349</v>
      </c>
      <c r="D3433" t="s">
        <v>16950</v>
      </c>
      <c r="E3433" t="s">
        <v>16951</v>
      </c>
      <c r="F3433" t="s">
        <v>117</v>
      </c>
      <c r="G3433" t="s">
        <v>16952</v>
      </c>
      <c r="H3433">
        <v>19.78</v>
      </c>
      <c r="I3433">
        <v>0</v>
      </c>
      <c r="J3433">
        <v>0</v>
      </c>
      <c r="K3433">
        <v>0</v>
      </c>
      <c r="L3433">
        <v>7</v>
      </c>
      <c r="N3433">
        <v>3</v>
      </c>
      <c r="O3433">
        <v>10</v>
      </c>
      <c r="P3433">
        <v>0</v>
      </c>
      <c r="Q3433">
        <v>0</v>
      </c>
      <c r="R3433">
        <v>29.78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H3433">
        <v>29.78</v>
      </c>
    </row>
    <row r="3434" spans="1:34" x14ac:dyDescent="0.3">
      <c r="A3434" s="4">
        <v>3648</v>
      </c>
      <c r="B3434" s="5">
        <v>3427</v>
      </c>
      <c r="C3434">
        <v>10871</v>
      </c>
      <c r="D3434" t="s">
        <v>16953</v>
      </c>
      <c r="E3434" t="s">
        <v>161</v>
      </c>
      <c r="F3434" t="s">
        <v>20</v>
      </c>
      <c r="G3434" t="s">
        <v>16954</v>
      </c>
      <c r="H3434">
        <v>19.78</v>
      </c>
      <c r="I3434">
        <v>0</v>
      </c>
      <c r="J3434">
        <v>0</v>
      </c>
      <c r="K3434">
        <v>0</v>
      </c>
      <c r="L3434">
        <v>7</v>
      </c>
      <c r="N3434">
        <v>3</v>
      </c>
      <c r="O3434">
        <v>10</v>
      </c>
      <c r="P3434">
        <v>0</v>
      </c>
      <c r="Q3434">
        <v>0</v>
      </c>
      <c r="R3434">
        <v>29.78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H3434">
        <v>29.78</v>
      </c>
    </row>
    <row r="3435" spans="1:34" x14ac:dyDescent="0.3">
      <c r="A3435" s="4">
        <v>3649</v>
      </c>
      <c r="B3435" s="5">
        <v>3428</v>
      </c>
      <c r="C3435">
        <v>12622</v>
      </c>
      <c r="D3435" t="s">
        <v>16955</v>
      </c>
      <c r="E3435" t="s">
        <v>88</v>
      </c>
      <c r="F3435" t="s">
        <v>158</v>
      </c>
      <c r="G3435" t="s">
        <v>16956</v>
      </c>
      <c r="H3435">
        <v>15.78</v>
      </c>
      <c r="I3435">
        <v>0</v>
      </c>
      <c r="J3435">
        <v>0</v>
      </c>
      <c r="K3435">
        <v>0</v>
      </c>
      <c r="L3435">
        <v>7</v>
      </c>
      <c r="N3435">
        <v>3</v>
      </c>
      <c r="O3435">
        <v>10</v>
      </c>
      <c r="P3435">
        <v>4</v>
      </c>
      <c r="Q3435">
        <v>0</v>
      </c>
      <c r="R3435">
        <v>29.78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H3435">
        <v>29.78</v>
      </c>
    </row>
    <row r="3436" spans="1:34" x14ac:dyDescent="0.3">
      <c r="A3436" s="4">
        <v>3650</v>
      </c>
      <c r="B3436" s="5">
        <v>3429</v>
      </c>
      <c r="C3436">
        <v>13854</v>
      </c>
      <c r="D3436" t="s">
        <v>3072</v>
      </c>
      <c r="E3436" t="s">
        <v>54</v>
      </c>
      <c r="F3436" t="s">
        <v>17</v>
      </c>
      <c r="G3436" t="s">
        <v>16957</v>
      </c>
      <c r="H3436">
        <v>16.75</v>
      </c>
      <c r="I3436">
        <v>0</v>
      </c>
      <c r="J3436">
        <v>0</v>
      </c>
      <c r="K3436">
        <v>0</v>
      </c>
      <c r="L3436">
        <v>7</v>
      </c>
      <c r="O3436">
        <v>7</v>
      </c>
      <c r="P3436">
        <v>0</v>
      </c>
      <c r="Q3436">
        <v>0</v>
      </c>
      <c r="R3436">
        <v>23.75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6</v>
      </c>
      <c r="AC3436">
        <v>0</v>
      </c>
      <c r="AH3436">
        <v>29.75</v>
      </c>
    </row>
    <row r="3437" spans="1:34" x14ac:dyDescent="0.3">
      <c r="A3437" s="4">
        <v>3651</v>
      </c>
      <c r="B3437" s="5">
        <v>3430</v>
      </c>
      <c r="C3437">
        <v>11236</v>
      </c>
      <c r="D3437" t="s">
        <v>16958</v>
      </c>
      <c r="E3437" t="s">
        <v>208</v>
      </c>
      <c r="F3437" t="s">
        <v>375</v>
      </c>
      <c r="G3437" t="s">
        <v>16959</v>
      </c>
      <c r="H3437">
        <v>17.75</v>
      </c>
      <c r="I3437">
        <v>0</v>
      </c>
      <c r="J3437">
        <v>0</v>
      </c>
      <c r="K3437">
        <v>0</v>
      </c>
      <c r="N3437">
        <v>3</v>
      </c>
      <c r="O3437">
        <v>3</v>
      </c>
      <c r="P3437">
        <v>4</v>
      </c>
      <c r="Q3437">
        <v>2</v>
      </c>
      <c r="R3437">
        <v>26.75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3</v>
      </c>
      <c r="AC3437">
        <v>0</v>
      </c>
      <c r="AH3437">
        <v>29.75</v>
      </c>
    </row>
    <row r="3438" spans="1:34" x14ac:dyDescent="0.3">
      <c r="A3438" s="4">
        <v>3652</v>
      </c>
      <c r="B3438" s="5">
        <v>3431</v>
      </c>
      <c r="C3438">
        <v>1024</v>
      </c>
      <c r="D3438" t="s">
        <v>877</v>
      </c>
      <c r="E3438" t="s">
        <v>33</v>
      </c>
      <c r="F3438" t="s">
        <v>136</v>
      </c>
      <c r="G3438" t="s">
        <v>16960</v>
      </c>
      <c r="H3438">
        <v>17.75</v>
      </c>
      <c r="I3438">
        <v>0</v>
      </c>
      <c r="J3438">
        <v>0</v>
      </c>
      <c r="K3438">
        <v>0</v>
      </c>
      <c r="M3438">
        <v>5</v>
      </c>
      <c r="O3438">
        <v>5</v>
      </c>
      <c r="P3438">
        <v>4</v>
      </c>
      <c r="Q3438">
        <v>0</v>
      </c>
      <c r="R3438">
        <v>26.75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3</v>
      </c>
      <c r="AC3438">
        <v>0</v>
      </c>
      <c r="AH3438">
        <v>29.75</v>
      </c>
    </row>
    <row r="3439" spans="1:34" x14ac:dyDescent="0.3">
      <c r="A3439" s="4">
        <v>3653</v>
      </c>
      <c r="B3439" s="5">
        <v>3432</v>
      </c>
      <c r="C3439">
        <v>2313</v>
      </c>
      <c r="D3439" t="s">
        <v>16961</v>
      </c>
      <c r="E3439" t="s">
        <v>255</v>
      </c>
      <c r="F3439" t="s">
        <v>81</v>
      </c>
      <c r="G3439" t="s">
        <v>16962</v>
      </c>
      <c r="H3439">
        <v>20.75</v>
      </c>
      <c r="I3439">
        <v>0</v>
      </c>
      <c r="J3439">
        <v>0</v>
      </c>
      <c r="K3439">
        <v>0</v>
      </c>
      <c r="N3439">
        <v>3</v>
      </c>
      <c r="O3439">
        <v>3</v>
      </c>
      <c r="P3439">
        <v>4</v>
      </c>
      <c r="Q3439">
        <v>2</v>
      </c>
      <c r="R3439">
        <v>29.75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H3439">
        <v>29.75</v>
      </c>
    </row>
    <row r="3440" spans="1:34" x14ac:dyDescent="0.3">
      <c r="A3440" s="4">
        <v>3654</v>
      </c>
      <c r="B3440" s="5">
        <v>3433</v>
      </c>
      <c r="C3440">
        <v>7695</v>
      </c>
      <c r="D3440" t="s">
        <v>16963</v>
      </c>
      <c r="E3440" t="s">
        <v>51</v>
      </c>
      <c r="F3440" t="s">
        <v>101</v>
      </c>
      <c r="G3440" t="s">
        <v>16964</v>
      </c>
      <c r="H3440">
        <v>19.75</v>
      </c>
      <c r="I3440">
        <v>0</v>
      </c>
      <c r="J3440">
        <v>0</v>
      </c>
      <c r="K3440">
        <v>0</v>
      </c>
      <c r="L3440">
        <v>7</v>
      </c>
      <c r="N3440">
        <v>3</v>
      </c>
      <c r="O3440">
        <v>10</v>
      </c>
      <c r="P3440">
        <v>0</v>
      </c>
      <c r="Q3440">
        <v>0</v>
      </c>
      <c r="R3440">
        <v>29.75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H3440">
        <v>29.75</v>
      </c>
    </row>
    <row r="3441" spans="1:34" x14ac:dyDescent="0.3">
      <c r="A3441" s="4">
        <v>3655</v>
      </c>
      <c r="B3441" s="5">
        <v>3434</v>
      </c>
      <c r="C3441">
        <v>2729</v>
      </c>
      <c r="D3441" t="s">
        <v>16965</v>
      </c>
      <c r="E3441" t="s">
        <v>550</v>
      </c>
      <c r="F3441" t="s">
        <v>259</v>
      </c>
      <c r="G3441" t="s">
        <v>16966</v>
      </c>
      <c r="H3441">
        <v>19.75</v>
      </c>
      <c r="I3441">
        <v>0</v>
      </c>
      <c r="J3441">
        <v>0</v>
      </c>
      <c r="K3441">
        <v>0</v>
      </c>
      <c r="N3441">
        <v>6</v>
      </c>
      <c r="O3441">
        <v>6</v>
      </c>
      <c r="P3441">
        <v>4</v>
      </c>
      <c r="Q3441">
        <v>0</v>
      </c>
      <c r="R3441">
        <v>29.75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H3441">
        <v>29.75</v>
      </c>
    </row>
    <row r="3442" spans="1:34" x14ac:dyDescent="0.3">
      <c r="A3442" s="4">
        <v>3656</v>
      </c>
      <c r="B3442" s="5">
        <v>3435</v>
      </c>
      <c r="C3442">
        <v>3651</v>
      </c>
      <c r="D3442" t="s">
        <v>16967</v>
      </c>
      <c r="E3442" t="s">
        <v>550</v>
      </c>
      <c r="F3442" t="s">
        <v>17</v>
      </c>
      <c r="G3442" t="s">
        <v>16968</v>
      </c>
      <c r="H3442">
        <v>18.75</v>
      </c>
      <c r="I3442">
        <v>0</v>
      </c>
      <c r="J3442">
        <v>0</v>
      </c>
      <c r="K3442">
        <v>0</v>
      </c>
      <c r="L3442">
        <v>7</v>
      </c>
      <c r="O3442">
        <v>7</v>
      </c>
      <c r="P3442">
        <v>4</v>
      </c>
      <c r="Q3442">
        <v>0</v>
      </c>
      <c r="R3442">
        <v>29.75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H3442">
        <v>29.75</v>
      </c>
    </row>
    <row r="3443" spans="1:34" x14ac:dyDescent="0.3">
      <c r="A3443" s="4">
        <v>3657</v>
      </c>
      <c r="B3443" s="5">
        <v>3436</v>
      </c>
      <c r="C3443">
        <v>9387</v>
      </c>
      <c r="D3443" t="s">
        <v>16969</v>
      </c>
      <c r="E3443" t="s">
        <v>652</v>
      </c>
      <c r="F3443" t="s">
        <v>4370</v>
      </c>
      <c r="G3443" t="s">
        <v>16970</v>
      </c>
      <c r="H3443">
        <v>16.75</v>
      </c>
      <c r="I3443">
        <v>0</v>
      </c>
      <c r="J3443">
        <v>0</v>
      </c>
      <c r="K3443">
        <v>0</v>
      </c>
      <c r="L3443">
        <v>7</v>
      </c>
      <c r="O3443">
        <v>7</v>
      </c>
      <c r="P3443">
        <v>4</v>
      </c>
      <c r="Q3443">
        <v>2</v>
      </c>
      <c r="R3443">
        <v>29.75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H3443">
        <v>29.75</v>
      </c>
    </row>
    <row r="3444" spans="1:34" x14ac:dyDescent="0.3">
      <c r="A3444" s="4">
        <v>3658</v>
      </c>
      <c r="B3444" s="5">
        <v>3437</v>
      </c>
      <c r="C3444">
        <v>14465</v>
      </c>
      <c r="D3444" t="s">
        <v>16971</v>
      </c>
      <c r="E3444" t="s">
        <v>166</v>
      </c>
      <c r="F3444" t="s">
        <v>385</v>
      </c>
      <c r="G3444" t="s">
        <v>16972</v>
      </c>
      <c r="H3444">
        <v>17.73</v>
      </c>
      <c r="I3444">
        <v>0</v>
      </c>
      <c r="J3444">
        <v>0</v>
      </c>
      <c r="K3444">
        <v>0</v>
      </c>
      <c r="N3444">
        <v>3</v>
      </c>
      <c r="O3444">
        <v>3</v>
      </c>
      <c r="P3444">
        <v>0</v>
      </c>
      <c r="Q3444">
        <v>0</v>
      </c>
      <c r="R3444">
        <v>20.73</v>
      </c>
      <c r="S3444">
        <v>6</v>
      </c>
      <c r="T3444">
        <v>6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6</v>
      </c>
      <c r="AB3444">
        <v>3</v>
      </c>
      <c r="AC3444">
        <v>0</v>
      </c>
      <c r="AH3444">
        <v>29.73</v>
      </c>
    </row>
    <row r="3445" spans="1:34" x14ac:dyDescent="0.3">
      <c r="A3445" s="4">
        <v>3659</v>
      </c>
      <c r="B3445" s="5">
        <v>3438</v>
      </c>
      <c r="C3445">
        <v>786</v>
      </c>
      <c r="D3445" t="s">
        <v>11925</v>
      </c>
      <c r="E3445" t="s">
        <v>789</v>
      </c>
      <c r="F3445" t="s">
        <v>20</v>
      </c>
      <c r="G3445" t="s">
        <v>16973</v>
      </c>
      <c r="H3445">
        <v>18.73</v>
      </c>
      <c r="I3445">
        <v>0</v>
      </c>
      <c r="J3445">
        <v>0</v>
      </c>
      <c r="K3445">
        <v>0</v>
      </c>
      <c r="L3445">
        <v>7</v>
      </c>
      <c r="O3445">
        <v>7</v>
      </c>
      <c r="P3445">
        <v>4</v>
      </c>
      <c r="Q3445">
        <v>0</v>
      </c>
      <c r="R3445">
        <v>29.73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H3445">
        <v>29.73</v>
      </c>
    </row>
    <row r="3446" spans="1:34" x14ac:dyDescent="0.3">
      <c r="A3446" s="4">
        <v>3660</v>
      </c>
      <c r="B3446" s="5">
        <v>3439</v>
      </c>
      <c r="C3446">
        <v>11960</v>
      </c>
      <c r="D3446" t="s">
        <v>332</v>
      </c>
      <c r="E3446" t="s">
        <v>940</v>
      </c>
      <c r="F3446" t="s">
        <v>20</v>
      </c>
      <c r="G3446" t="s">
        <v>16974</v>
      </c>
      <c r="H3446">
        <v>18.73</v>
      </c>
      <c r="I3446">
        <v>0</v>
      </c>
      <c r="J3446">
        <v>0</v>
      </c>
      <c r="K3446">
        <v>0</v>
      </c>
      <c r="L3446">
        <v>7</v>
      </c>
      <c r="O3446">
        <v>7</v>
      </c>
      <c r="P3446">
        <v>4</v>
      </c>
      <c r="Q3446">
        <v>0</v>
      </c>
      <c r="R3446">
        <v>29.73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H3446">
        <v>29.73</v>
      </c>
    </row>
    <row r="3447" spans="1:34" x14ac:dyDescent="0.3">
      <c r="A3447" s="4">
        <v>3661</v>
      </c>
      <c r="B3447" s="5">
        <v>3440</v>
      </c>
      <c r="C3447">
        <v>10899</v>
      </c>
      <c r="D3447" t="s">
        <v>12864</v>
      </c>
      <c r="E3447" t="s">
        <v>406</v>
      </c>
      <c r="F3447" t="s">
        <v>79</v>
      </c>
      <c r="G3447" t="s">
        <v>16975</v>
      </c>
      <c r="H3447">
        <v>17.73</v>
      </c>
      <c r="I3447">
        <v>0</v>
      </c>
      <c r="J3447">
        <v>0</v>
      </c>
      <c r="K3447">
        <v>0</v>
      </c>
      <c r="O3447">
        <v>0</v>
      </c>
      <c r="P3447">
        <v>4</v>
      </c>
      <c r="Q3447">
        <v>2</v>
      </c>
      <c r="R3447">
        <v>23.73</v>
      </c>
      <c r="S3447">
        <v>6</v>
      </c>
      <c r="T3447">
        <v>6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6</v>
      </c>
      <c r="AB3447">
        <v>0</v>
      </c>
      <c r="AC3447">
        <v>0</v>
      </c>
      <c r="AH3447">
        <v>29.73</v>
      </c>
    </row>
    <row r="3448" spans="1:34" x14ac:dyDescent="0.3">
      <c r="A3448" s="4">
        <v>3662</v>
      </c>
      <c r="B3448" s="5">
        <v>3441</v>
      </c>
      <c r="C3448">
        <v>1692</v>
      </c>
      <c r="D3448" t="s">
        <v>16976</v>
      </c>
      <c r="E3448" t="s">
        <v>41</v>
      </c>
      <c r="F3448" t="s">
        <v>68</v>
      </c>
      <c r="G3448" t="s">
        <v>16977</v>
      </c>
      <c r="H3448">
        <v>16.7</v>
      </c>
      <c r="I3448">
        <v>0</v>
      </c>
      <c r="J3448">
        <v>0</v>
      </c>
      <c r="K3448">
        <v>0</v>
      </c>
      <c r="L3448">
        <v>7</v>
      </c>
      <c r="N3448">
        <v>3</v>
      </c>
      <c r="O3448">
        <v>10</v>
      </c>
      <c r="P3448">
        <v>0</v>
      </c>
      <c r="Q3448">
        <v>0</v>
      </c>
      <c r="R3448">
        <v>26.7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3</v>
      </c>
      <c r="AC3448">
        <v>0</v>
      </c>
      <c r="AH3448">
        <v>29.7</v>
      </c>
    </row>
    <row r="3449" spans="1:34" x14ac:dyDescent="0.3">
      <c r="A3449" s="4">
        <v>3663</v>
      </c>
      <c r="B3449" s="5">
        <v>3442</v>
      </c>
      <c r="C3449">
        <v>13955</v>
      </c>
      <c r="D3449" t="s">
        <v>2227</v>
      </c>
      <c r="E3449" t="s">
        <v>5776</v>
      </c>
      <c r="F3449" t="s">
        <v>20</v>
      </c>
      <c r="G3449" t="s">
        <v>16978</v>
      </c>
      <c r="H3449">
        <v>20.7</v>
      </c>
      <c r="I3449">
        <v>0</v>
      </c>
      <c r="J3449">
        <v>0</v>
      </c>
      <c r="K3449">
        <v>0</v>
      </c>
      <c r="N3449">
        <v>3</v>
      </c>
      <c r="O3449">
        <v>3</v>
      </c>
      <c r="P3449">
        <v>4</v>
      </c>
      <c r="Q3449">
        <v>2</v>
      </c>
      <c r="R3449">
        <v>29.7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 t="s">
        <v>130</v>
      </c>
      <c r="AH3449">
        <v>29.7</v>
      </c>
    </row>
    <row r="3450" spans="1:34" x14ac:dyDescent="0.3">
      <c r="A3450" s="4">
        <v>3664</v>
      </c>
      <c r="B3450" s="5">
        <v>3443</v>
      </c>
      <c r="C3450">
        <v>10254</v>
      </c>
      <c r="D3450" t="s">
        <v>16979</v>
      </c>
      <c r="E3450" t="s">
        <v>259</v>
      </c>
      <c r="F3450" t="s">
        <v>17</v>
      </c>
      <c r="G3450" t="s">
        <v>16980</v>
      </c>
      <c r="H3450">
        <v>18.7</v>
      </c>
      <c r="I3450">
        <v>0</v>
      </c>
      <c r="J3450">
        <v>0</v>
      </c>
      <c r="K3450">
        <v>0</v>
      </c>
      <c r="L3450">
        <v>7</v>
      </c>
      <c r="O3450">
        <v>7</v>
      </c>
      <c r="P3450">
        <v>4</v>
      </c>
      <c r="Q3450">
        <v>0</v>
      </c>
      <c r="R3450">
        <v>29.7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H3450">
        <v>29.7</v>
      </c>
    </row>
    <row r="3451" spans="1:34" x14ac:dyDescent="0.3">
      <c r="A3451" s="4">
        <v>3665</v>
      </c>
      <c r="B3451" s="5">
        <v>3444</v>
      </c>
      <c r="C3451">
        <v>13377</v>
      </c>
      <c r="D3451" t="s">
        <v>3295</v>
      </c>
      <c r="E3451" t="s">
        <v>48</v>
      </c>
      <c r="F3451" t="s">
        <v>6108</v>
      </c>
      <c r="G3451" t="s">
        <v>16981</v>
      </c>
      <c r="H3451">
        <v>18.7</v>
      </c>
      <c r="I3451">
        <v>0</v>
      </c>
      <c r="J3451">
        <v>0</v>
      </c>
      <c r="K3451">
        <v>0</v>
      </c>
      <c r="L3451">
        <v>7</v>
      </c>
      <c r="O3451">
        <v>7</v>
      </c>
      <c r="P3451">
        <v>4</v>
      </c>
      <c r="Q3451">
        <v>0</v>
      </c>
      <c r="R3451">
        <v>29.7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H3451">
        <v>29.7</v>
      </c>
    </row>
    <row r="3452" spans="1:34" x14ac:dyDescent="0.3">
      <c r="A3452" s="4">
        <v>3666</v>
      </c>
      <c r="B3452" s="5">
        <v>3445</v>
      </c>
      <c r="C3452">
        <v>5706</v>
      </c>
      <c r="D3452" t="s">
        <v>16982</v>
      </c>
      <c r="E3452" t="s">
        <v>935</v>
      </c>
      <c r="F3452" t="s">
        <v>62</v>
      </c>
      <c r="G3452" t="s">
        <v>16983</v>
      </c>
      <c r="H3452">
        <v>19.68</v>
      </c>
      <c r="I3452">
        <v>0</v>
      </c>
      <c r="J3452">
        <v>0</v>
      </c>
      <c r="K3452">
        <v>0</v>
      </c>
      <c r="L3452">
        <v>7</v>
      </c>
      <c r="N3452">
        <v>3</v>
      </c>
      <c r="O3452">
        <v>10</v>
      </c>
      <c r="P3452">
        <v>0</v>
      </c>
      <c r="Q3452">
        <v>0</v>
      </c>
      <c r="R3452">
        <v>29.68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H3452">
        <v>29.68</v>
      </c>
    </row>
    <row r="3453" spans="1:34" x14ac:dyDescent="0.3">
      <c r="A3453" s="4">
        <v>3667</v>
      </c>
      <c r="B3453" s="5">
        <v>3446</v>
      </c>
      <c r="C3453">
        <v>12006</v>
      </c>
      <c r="D3453" t="s">
        <v>994</v>
      </c>
      <c r="E3453" t="s">
        <v>648</v>
      </c>
      <c r="F3453" t="s">
        <v>81</v>
      </c>
      <c r="G3453" t="s">
        <v>16984</v>
      </c>
      <c r="H3453">
        <v>18.68</v>
      </c>
      <c r="I3453">
        <v>0</v>
      </c>
      <c r="J3453">
        <v>0</v>
      </c>
      <c r="K3453">
        <v>0</v>
      </c>
      <c r="L3453">
        <v>7</v>
      </c>
      <c r="O3453">
        <v>7</v>
      </c>
      <c r="P3453">
        <v>4</v>
      </c>
      <c r="Q3453">
        <v>0</v>
      </c>
      <c r="R3453">
        <v>29.68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H3453">
        <v>29.68</v>
      </c>
    </row>
    <row r="3454" spans="1:34" x14ac:dyDescent="0.3">
      <c r="A3454" s="4">
        <v>3668</v>
      </c>
      <c r="B3454" s="5">
        <v>3447</v>
      </c>
      <c r="C3454">
        <v>8611</v>
      </c>
      <c r="D3454" t="s">
        <v>16985</v>
      </c>
      <c r="E3454" t="s">
        <v>54</v>
      </c>
      <c r="F3454" t="s">
        <v>136</v>
      </c>
      <c r="G3454" t="s">
        <v>16986</v>
      </c>
      <c r="H3454">
        <v>18.68</v>
      </c>
      <c r="I3454">
        <v>0</v>
      </c>
      <c r="J3454">
        <v>0</v>
      </c>
      <c r="K3454">
        <v>0</v>
      </c>
      <c r="L3454">
        <v>7</v>
      </c>
      <c r="O3454">
        <v>7</v>
      </c>
      <c r="P3454">
        <v>4</v>
      </c>
      <c r="Q3454">
        <v>0</v>
      </c>
      <c r="R3454">
        <v>29.68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H3454">
        <v>29.68</v>
      </c>
    </row>
    <row r="3455" spans="1:34" x14ac:dyDescent="0.3">
      <c r="A3455" s="4">
        <v>3669</v>
      </c>
      <c r="B3455" s="5">
        <v>3448</v>
      </c>
      <c r="C3455">
        <v>5208</v>
      </c>
      <c r="D3455" t="s">
        <v>14339</v>
      </c>
      <c r="E3455" t="s">
        <v>2271</v>
      </c>
      <c r="F3455" t="s">
        <v>16987</v>
      </c>
      <c r="G3455" t="s">
        <v>16988</v>
      </c>
      <c r="H3455">
        <v>18.68</v>
      </c>
      <c r="I3455">
        <v>0</v>
      </c>
      <c r="J3455">
        <v>0</v>
      </c>
      <c r="K3455">
        <v>0</v>
      </c>
      <c r="L3455">
        <v>7</v>
      </c>
      <c r="O3455">
        <v>7</v>
      </c>
      <c r="P3455">
        <v>4</v>
      </c>
      <c r="Q3455">
        <v>0</v>
      </c>
      <c r="R3455">
        <v>29.68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H3455">
        <v>29.68</v>
      </c>
    </row>
    <row r="3456" spans="1:34" x14ac:dyDescent="0.3">
      <c r="A3456" s="4">
        <v>3670</v>
      </c>
      <c r="B3456" s="5">
        <v>3449</v>
      </c>
      <c r="C3456">
        <v>11926</v>
      </c>
      <c r="D3456" t="s">
        <v>16989</v>
      </c>
      <c r="E3456" t="s">
        <v>188</v>
      </c>
      <c r="F3456" t="s">
        <v>34</v>
      </c>
      <c r="G3456" t="s">
        <v>16990</v>
      </c>
      <c r="H3456">
        <v>16.68</v>
      </c>
      <c r="I3456">
        <v>0</v>
      </c>
      <c r="J3456">
        <v>0</v>
      </c>
      <c r="K3456">
        <v>0</v>
      </c>
      <c r="L3456">
        <v>7</v>
      </c>
      <c r="O3456">
        <v>7</v>
      </c>
      <c r="P3456">
        <v>4</v>
      </c>
      <c r="Q3456">
        <v>2</v>
      </c>
      <c r="R3456">
        <v>29.68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H3456">
        <v>29.68</v>
      </c>
    </row>
    <row r="3457" spans="1:34" x14ac:dyDescent="0.3">
      <c r="A3457" s="4">
        <v>3671</v>
      </c>
      <c r="B3457" s="5">
        <v>3450</v>
      </c>
      <c r="C3457">
        <v>7991</v>
      </c>
      <c r="D3457" t="s">
        <v>16991</v>
      </c>
      <c r="E3457" t="s">
        <v>390</v>
      </c>
      <c r="F3457" t="s">
        <v>91</v>
      </c>
      <c r="G3457" t="s">
        <v>16992</v>
      </c>
      <c r="H3457">
        <v>19.649999999999999</v>
      </c>
      <c r="I3457">
        <v>0</v>
      </c>
      <c r="J3457">
        <v>0</v>
      </c>
      <c r="K3457">
        <v>0</v>
      </c>
      <c r="L3457">
        <v>7</v>
      </c>
      <c r="N3457">
        <v>3</v>
      </c>
      <c r="O3457">
        <v>10</v>
      </c>
      <c r="P3457">
        <v>0</v>
      </c>
      <c r="Q3457">
        <v>0</v>
      </c>
      <c r="R3457">
        <v>29.65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H3457">
        <v>29.65</v>
      </c>
    </row>
    <row r="3458" spans="1:34" x14ac:dyDescent="0.3">
      <c r="A3458" s="4">
        <v>3672</v>
      </c>
      <c r="B3458" s="5">
        <v>3451</v>
      </c>
      <c r="C3458">
        <v>4205</v>
      </c>
      <c r="D3458" t="s">
        <v>15129</v>
      </c>
      <c r="E3458" t="s">
        <v>22</v>
      </c>
      <c r="F3458" t="s">
        <v>5685</v>
      </c>
      <c r="G3458" t="s">
        <v>16993</v>
      </c>
      <c r="H3458">
        <v>18.63</v>
      </c>
      <c r="I3458">
        <v>0</v>
      </c>
      <c r="J3458">
        <v>0</v>
      </c>
      <c r="K3458">
        <v>0</v>
      </c>
      <c r="L3458">
        <v>7</v>
      </c>
      <c r="O3458">
        <v>7</v>
      </c>
      <c r="P3458">
        <v>4</v>
      </c>
      <c r="Q3458">
        <v>0</v>
      </c>
      <c r="R3458">
        <v>29.63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H3458">
        <v>29.63</v>
      </c>
    </row>
    <row r="3459" spans="1:34" x14ac:dyDescent="0.3">
      <c r="A3459" s="4">
        <v>3673</v>
      </c>
      <c r="B3459" s="5">
        <v>3452</v>
      </c>
      <c r="C3459">
        <v>13205</v>
      </c>
      <c r="D3459" t="s">
        <v>7020</v>
      </c>
      <c r="E3459" t="s">
        <v>208</v>
      </c>
      <c r="F3459" t="s">
        <v>343</v>
      </c>
      <c r="G3459" t="s">
        <v>16994</v>
      </c>
      <c r="H3459">
        <v>18.63</v>
      </c>
      <c r="I3459">
        <v>0</v>
      </c>
      <c r="J3459">
        <v>0</v>
      </c>
      <c r="K3459">
        <v>0</v>
      </c>
      <c r="L3459">
        <v>7</v>
      </c>
      <c r="O3459">
        <v>7</v>
      </c>
      <c r="P3459">
        <v>4</v>
      </c>
      <c r="Q3459">
        <v>0</v>
      </c>
      <c r="R3459">
        <v>29.63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H3459">
        <v>29.63</v>
      </c>
    </row>
    <row r="3460" spans="1:34" x14ac:dyDescent="0.3">
      <c r="A3460" s="4">
        <v>3674</v>
      </c>
      <c r="B3460" s="5">
        <v>3453</v>
      </c>
      <c r="C3460">
        <v>13932</v>
      </c>
      <c r="D3460" t="s">
        <v>16995</v>
      </c>
      <c r="E3460" t="s">
        <v>41</v>
      </c>
      <c r="F3460" t="s">
        <v>20</v>
      </c>
      <c r="G3460" t="s">
        <v>16996</v>
      </c>
      <c r="H3460">
        <v>18.63</v>
      </c>
      <c r="I3460">
        <v>0</v>
      </c>
      <c r="J3460">
        <v>0</v>
      </c>
      <c r="K3460">
        <v>0</v>
      </c>
      <c r="L3460">
        <v>7</v>
      </c>
      <c r="O3460">
        <v>7</v>
      </c>
      <c r="P3460">
        <v>4</v>
      </c>
      <c r="Q3460">
        <v>0</v>
      </c>
      <c r="R3460">
        <v>29.63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H3460">
        <v>29.63</v>
      </c>
    </row>
    <row r="3461" spans="1:34" x14ac:dyDescent="0.3">
      <c r="A3461" s="4">
        <v>3675</v>
      </c>
      <c r="B3461" s="5">
        <v>3454</v>
      </c>
      <c r="C3461">
        <v>1277</v>
      </c>
      <c r="D3461" t="s">
        <v>16997</v>
      </c>
      <c r="E3461" t="s">
        <v>442</v>
      </c>
      <c r="F3461" t="s">
        <v>3359</v>
      </c>
      <c r="G3461" t="s">
        <v>16998</v>
      </c>
      <c r="H3461">
        <v>20.6</v>
      </c>
      <c r="I3461">
        <v>0</v>
      </c>
      <c r="J3461">
        <v>0</v>
      </c>
      <c r="K3461">
        <v>0</v>
      </c>
      <c r="M3461">
        <v>5</v>
      </c>
      <c r="O3461">
        <v>5</v>
      </c>
      <c r="P3461">
        <v>4</v>
      </c>
      <c r="Q3461">
        <v>0</v>
      </c>
      <c r="R3461">
        <v>29.6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H3461">
        <v>29.6</v>
      </c>
    </row>
    <row r="3462" spans="1:34" x14ac:dyDescent="0.3">
      <c r="A3462" s="4">
        <v>3676</v>
      </c>
      <c r="B3462" s="5">
        <v>3455</v>
      </c>
      <c r="C3462">
        <v>3309</v>
      </c>
      <c r="D3462" t="s">
        <v>16999</v>
      </c>
      <c r="E3462" t="s">
        <v>17000</v>
      </c>
      <c r="F3462" t="s">
        <v>20</v>
      </c>
      <c r="G3462" t="s">
        <v>17001</v>
      </c>
      <c r="H3462">
        <v>18.600000000000001</v>
      </c>
      <c r="I3462">
        <v>0</v>
      </c>
      <c r="J3462">
        <v>0</v>
      </c>
      <c r="K3462">
        <v>0</v>
      </c>
      <c r="L3462">
        <v>7</v>
      </c>
      <c r="O3462">
        <v>7</v>
      </c>
      <c r="P3462">
        <v>4</v>
      </c>
      <c r="Q3462">
        <v>0</v>
      </c>
      <c r="R3462">
        <v>29.6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 t="s">
        <v>130</v>
      </c>
      <c r="AH3462">
        <v>29.6</v>
      </c>
    </row>
    <row r="3463" spans="1:34" x14ac:dyDescent="0.3">
      <c r="A3463" s="4">
        <v>3677</v>
      </c>
      <c r="B3463" s="5">
        <v>3456</v>
      </c>
      <c r="C3463">
        <v>5427</v>
      </c>
      <c r="D3463" t="s">
        <v>17002</v>
      </c>
      <c r="E3463" t="s">
        <v>17</v>
      </c>
      <c r="F3463" t="s">
        <v>488</v>
      </c>
      <c r="G3463" t="s">
        <v>17003</v>
      </c>
      <c r="H3463">
        <v>16.600000000000001</v>
      </c>
      <c r="I3463">
        <v>0</v>
      </c>
      <c r="J3463">
        <v>0</v>
      </c>
      <c r="K3463">
        <v>0</v>
      </c>
      <c r="L3463">
        <v>7</v>
      </c>
      <c r="O3463">
        <v>7</v>
      </c>
      <c r="P3463">
        <v>4</v>
      </c>
      <c r="Q3463">
        <v>2</v>
      </c>
      <c r="R3463">
        <v>29.6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H3463">
        <v>29.6</v>
      </c>
    </row>
    <row r="3464" spans="1:34" x14ac:dyDescent="0.3">
      <c r="A3464" s="4">
        <v>3678</v>
      </c>
      <c r="B3464" s="5">
        <v>3457</v>
      </c>
      <c r="C3464">
        <v>224</v>
      </c>
      <c r="D3464" t="s">
        <v>17004</v>
      </c>
      <c r="E3464" t="s">
        <v>17005</v>
      </c>
      <c r="F3464" t="s">
        <v>17006</v>
      </c>
      <c r="G3464" t="s">
        <v>17007</v>
      </c>
      <c r="H3464">
        <v>15.58</v>
      </c>
      <c r="I3464">
        <v>0</v>
      </c>
      <c r="J3464">
        <v>0</v>
      </c>
      <c r="K3464">
        <v>0</v>
      </c>
      <c r="L3464">
        <v>7</v>
      </c>
      <c r="O3464">
        <v>7</v>
      </c>
      <c r="P3464">
        <v>4</v>
      </c>
      <c r="Q3464">
        <v>0</v>
      </c>
      <c r="R3464">
        <v>26.58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3</v>
      </c>
      <c r="AC3464">
        <v>0</v>
      </c>
      <c r="AH3464">
        <v>29.58</v>
      </c>
    </row>
    <row r="3465" spans="1:34" x14ac:dyDescent="0.3">
      <c r="A3465" s="4">
        <v>3679</v>
      </c>
      <c r="B3465" s="5">
        <v>3458</v>
      </c>
      <c r="C3465">
        <v>15300</v>
      </c>
      <c r="D3465" t="s">
        <v>17008</v>
      </c>
      <c r="E3465" t="s">
        <v>15756</v>
      </c>
      <c r="F3465" t="s">
        <v>38</v>
      </c>
      <c r="G3465" t="s">
        <v>17009</v>
      </c>
      <c r="H3465">
        <v>21.58</v>
      </c>
      <c r="I3465">
        <v>0</v>
      </c>
      <c r="J3465">
        <v>0</v>
      </c>
      <c r="K3465">
        <v>0</v>
      </c>
      <c r="N3465">
        <v>6</v>
      </c>
      <c r="O3465">
        <v>6</v>
      </c>
      <c r="P3465">
        <v>0</v>
      </c>
      <c r="Q3465">
        <v>2</v>
      </c>
      <c r="R3465">
        <v>29.58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H3465">
        <v>29.58</v>
      </c>
    </row>
    <row r="3466" spans="1:34" x14ac:dyDescent="0.3">
      <c r="A3466" s="4">
        <v>3680</v>
      </c>
      <c r="B3466" s="5">
        <v>3459</v>
      </c>
      <c r="C3466">
        <v>15567</v>
      </c>
      <c r="D3466" t="s">
        <v>17010</v>
      </c>
      <c r="E3466" t="s">
        <v>17011</v>
      </c>
      <c r="F3466" t="s">
        <v>17012</v>
      </c>
      <c r="G3466" t="s">
        <v>17013</v>
      </c>
      <c r="H3466">
        <v>20.58</v>
      </c>
      <c r="I3466">
        <v>0</v>
      </c>
      <c r="J3466">
        <v>0</v>
      </c>
      <c r="K3466">
        <v>0</v>
      </c>
      <c r="L3466">
        <v>7</v>
      </c>
      <c r="O3466">
        <v>7</v>
      </c>
      <c r="P3466">
        <v>0</v>
      </c>
      <c r="Q3466">
        <v>2</v>
      </c>
      <c r="R3466">
        <v>29.58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H3466">
        <v>29.58</v>
      </c>
    </row>
    <row r="3467" spans="1:34" x14ac:dyDescent="0.3">
      <c r="A3467" s="4">
        <v>3681</v>
      </c>
      <c r="B3467" s="5">
        <v>3460</v>
      </c>
      <c r="C3467">
        <v>9405</v>
      </c>
      <c r="D3467" t="s">
        <v>8598</v>
      </c>
      <c r="E3467" t="s">
        <v>22</v>
      </c>
      <c r="F3467" t="s">
        <v>38</v>
      </c>
      <c r="G3467" t="s">
        <v>17014</v>
      </c>
      <c r="H3467">
        <v>19.579999999999998</v>
      </c>
      <c r="I3467">
        <v>0</v>
      </c>
      <c r="J3467">
        <v>0</v>
      </c>
      <c r="K3467">
        <v>0</v>
      </c>
      <c r="L3467">
        <v>7</v>
      </c>
      <c r="N3467">
        <v>3</v>
      </c>
      <c r="O3467">
        <v>10</v>
      </c>
      <c r="P3467">
        <v>0</v>
      </c>
      <c r="Q3467">
        <v>0</v>
      </c>
      <c r="R3467">
        <v>29.58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H3467">
        <v>29.58</v>
      </c>
    </row>
    <row r="3468" spans="1:34" x14ac:dyDescent="0.3">
      <c r="A3468" s="4">
        <v>3682</v>
      </c>
      <c r="B3468" s="5">
        <v>3461</v>
      </c>
      <c r="C3468">
        <v>8986</v>
      </c>
      <c r="D3468" t="s">
        <v>17015</v>
      </c>
      <c r="E3468" t="s">
        <v>268</v>
      </c>
      <c r="F3468" t="s">
        <v>17</v>
      </c>
      <c r="G3468" t="s">
        <v>17016</v>
      </c>
      <c r="H3468">
        <v>18.579999999999998</v>
      </c>
      <c r="I3468">
        <v>0</v>
      </c>
      <c r="J3468">
        <v>0</v>
      </c>
      <c r="K3468">
        <v>0</v>
      </c>
      <c r="L3468">
        <v>7</v>
      </c>
      <c r="O3468">
        <v>7</v>
      </c>
      <c r="P3468">
        <v>4</v>
      </c>
      <c r="Q3468">
        <v>0</v>
      </c>
      <c r="R3468">
        <v>29.58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H3468">
        <v>29.58</v>
      </c>
    </row>
    <row r="3469" spans="1:34" x14ac:dyDescent="0.3">
      <c r="A3469" s="4">
        <v>3683</v>
      </c>
      <c r="B3469" s="5">
        <v>3462</v>
      </c>
      <c r="C3469">
        <v>12938</v>
      </c>
      <c r="D3469" t="s">
        <v>17017</v>
      </c>
      <c r="E3469" t="s">
        <v>26</v>
      </c>
      <c r="F3469" t="s">
        <v>136</v>
      </c>
      <c r="G3469" t="s">
        <v>17018</v>
      </c>
      <c r="H3469">
        <v>18.579999999999998</v>
      </c>
      <c r="I3469">
        <v>0</v>
      </c>
      <c r="J3469">
        <v>0</v>
      </c>
      <c r="K3469">
        <v>0</v>
      </c>
      <c r="L3469">
        <v>7</v>
      </c>
      <c r="O3469">
        <v>7</v>
      </c>
      <c r="P3469">
        <v>4</v>
      </c>
      <c r="Q3469">
        <v>0</v>
      </c>
      <c r="R3469">
        <v>29.58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H3469">
        <v>29.58</v>
      </c>
    </row>
    <row r="3470" spans="1:34" x14ac:dyDescent="0.3">
      <c r="A3470" s="4">
        <v>3684</v>
      </c>
      <c r="B3470" s="5">
        <v>3463</v>
      </c>
      <c r="C3470">
        <v>1850</v>
      </c>
      <c r="D3470" t="s">
        <v>17019</v>
      </c>
      <c r="E3470" t="s">
        <v>29</v>
      </c>
      <c r="F3470" t="s">
        <v>17</v>
      </c>
      <c r="G3470" t="s">
        <v>17020</v>
      </c>
      <c r="H3470">
        <v>19.55</v>
      </c>
      <c r="I3470">
        <v>0</v>
      </c>
      <c r="J3470">
        <v>0</v>
      </c>
      <c r="K3470">
        <v>0</v>
      </c>
      <c r="N3470">
        <v>6</v>
      </c>
      <c r="O3470">
        <v>6</v>
      </c>
      <c r="P3470">
        <v>4</v>
      </c>
      <c r="Q3470">
        <v>0</v>
      </c>
      <c r="R3470">
        <v>29.55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H3470">
        <v>29.55</v>
      </c>
    </row>
    <row r="3471" spans="1:34" x14ac:dyDescent="0.3">
      <c r="A3471" s="4">
        <v>3685</v>
      </c>
      <c r="B3471" s="5">
        <v>3464</v>
      </c>
      <c r="C3471">
        <v>8460</v>
      </c>
      <c r="D3471" t="s">
        <v>17021</v>
      </c>
      <c r="E3471" t="s">
        <v>193</v>
      </c>
      <c r="F3471" t="s">
        <v>20</v>
      </c>
      <c r="G3471" t="s">
        <v>17022</v>
      </c>
      <c r="H3471">
        <v>18.55</v>
      </c>
      <c r="I3471">
        <v>0</v>
      </c>
      <c r="J3471">
        <v>0</v>
      </c>
      <c r="K3471">
        <v>0</v>
      </c>
      <c r="L3471">
        <v>7</v>
      </c>
      <c r="O3471">
        <v>7</v>
      </c>
      <c r="P3471">
        <v>4</v>
      </c>
      <c r="Q3471">
        <v>0</v>
      </c>
      <c r="R3471">
        <v>29.55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H3471">
        <v>29.55</v>
      </c>
    </row>
    <row r="3472" spans="1:34" x14ac:dyDescent="0.3">
      <c r="A3472" s="4">
        <v>3686</v>
      </c>
      <c r="B3472" s="5">
        <v>3465</v>
      </c>
      <c r="C3472">
        <v>4769</v>
      </c>
      <c r="D3472" t="s">
        <v>3849</v>
      </c>
      <c r="E3472" t="s">
        <v>54</v>
      </c>
      <c r="F3472" t="s">
        <v>343</v>
      </c>
      <c r="G3472" t="s">
        <v>17023</v>
      </c>
      <c r="H3472">
        <v>17.53</v>
      </c>
      <c r="I3472">
        <v>0</v>
      </c>
      <c r="J3472">
        <v>0</v>
      </c>
      <c r="K3472">
        <v>0</v>
      </c>
      <c r="O3472">
        <v>0</v>
      </c>
      <c r="P3472">
        <v>4</v>
      </c>
      <c r="Q3472">
        <v>2</v>
      </c>
      <c r="R3472">
        <v>23.53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6</v>
      </c>
      <c r="AC3472">
        <v>0</v>
      </c>
      <c r="AH3472">
        <v>29.53</v>
      </c>
    </row>
    <row r="3473" spans="1:34" x14ac:dyDescent="0.3">
      <c r="A3473" s="4">
        <v>3687</v>
      </c>
      <c r="B3473" s="5">
        <v>3466</v>
      </c>
      <c r="C3473">
        <v>13675</v>
      </c>
      <c r="D3473" t="s">
        <v>15616</v>
      </c>
      <c r="E3473" t="s">
        <v>3680</v>
      </c>
      <c r="F3473" t="s">
        <v>343</v>
      </c>
      <c r="G3473" t="s">
        <v>17024</v>
      </c>
      <c r="H3473">
        <v>20.53</v>
      </c>
      <c r="I3473">
        <v>0</v>
      </c>
      <c r="J3473">
        <v>0</v>
      </c>
      <c r="K3473">
        <v>0</v>
      </c>
      <c r="L3473">
        <v>7</v>
      </c>
      <c r="O3473">
        <v>7</v>
      </c>
      <c r="P3473">
        <v>0</v>
      </c>
      <c r="Q3473">
        <v>2</v>
      </c>
      <c r="R3473">
        <v>29.53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H3473">
        <v>29.53</v>
      </c>
    </row>
    <row r="3474" spans="1:34" x14ac:dyDescent="0.3">
      <c r="A3474" s="4">
        <v>3688</v>
      </c>
      <c r="B3474" s="5">
        <v>3467</v>
      </c>
      <c r="C3474">
        <v>4490</v>
      </c>
      <c r="D3474" t="s">
        <v>1907</v>
      </c>
      <c r="E3474" t="s">
        <v>166</v>
      </c>
      <c r="F3474" t="s">
        <v>17</v>
      </c>
      <c r="G3474" t="s">
        <v>17025</v>
      </c>
      <c r="H3474">
        <v>18.53</v>
      </c>
      <c r="I3474">
        <v>0</v>
      </c>
      <c r="J3474">
        <v>0</v>
      </c>
      <c r="K3474">
        <v>0</v>
      </c>
      <c r="L3474">
        <v>7</v>
      </c>
      <c r="O3474">
        <v>7</v>
      </c>
      <c r="P3474">
        <v>4</v>
      </c>
      <c r="Q3474">
        <v>0</v>
      </c>
      <c r="R3474">
        <v>29.53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H3474">
        <v>29.53</v>
      </c>
    </row>
    <row r="3475" spans="1:34" x14ac:dyDescent="0.3">
      <c r="A3475" s="4">
        <v>3689</v>
      </c>
      <c r="B3475" s="5">
        <v>3468</v>
      </c>
      <c r="C3475">
        <v>4005</v>
      </c>
      <c r="D3475" t="s">
        <v>17026</v>
      </c>
      <c r="E3475" t="s">
        <v>789</v>
      </c>
      <c r="F3475" t="s">
        <v>17027</v>
      </c>
      <c r="G3475" t="s">
        <v>17028</v>
      </c>
      <c r="H3475">
        <v>17.5</v>
      </c>
      <c r="I3475">
        <v>0</v>
      </c>
      <c r="J3475">
        <v>0</v>
      </c>
      <c r="K3475">
        <v>0</v>
      </c>
      <c r="M3475">
        <v>5</v>
      </c>
      <c r="O3475">
        <v>5</v>
      </c>
      <c r="P3475">
        <v>4</v>
      </c>
      <c r="Q3475">
        <v>0</v>
      </c>
      <c r="R3475">
        <v>26.5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3</v>
      </c>
      <c r="AC3475">
        <v>0</v>
      </c>
      <c r="AH3475">
        <v>29.5</v>
      </c>
    </row>
    <row r="3476" spans="1:34" x14ac:dyDescent="0.3">
      <c r="A3476" s="4">
        <v>3690</v>
      </c>
      <c r="B3476" s="5">
        <v>3469</v>
      </c>
      <c r="C3476">
        <v>8702</v>
      </c>
      <c r="D3476" t="s">
        <v>17029</v>
      </c>
      <c r="E3476" t="s">
        <v>967</v>
      </c>
      <c r="F3476" t="s">
        <v>416</v>
      </c>
      <c r="G3476" t="s">
        <v>17030</v>
      </c>
      <c r="H3476">
        <v>18.5</v>
      </c>
      <c r="I3476">
        <v>0</v>
      </c>
      <c r="J3476">
        <v>0</v>
      </c>
      <c r="K3476">
        <v>0</v>
      </c>
      <c r="L3476">
        <v>7</v>
      </c>
      <c r="O3476">
        <v>7</v>
      </c>
      <c r="P3476">
        <v>4</v>
      </c>
      <c r="Q3476">
        <v>0</v>
      </c>
      <c r="R3476">
        <v>29.5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H3476">
        <v>29.5</v>
      </c>
    </row>
    <row r="3477" spans="1:34" x14ac:dyDescent="0.3">
      <c r="A3477" s="4">
        <v>3691</v>
      </c>
      <c r="B3477" s="5">
        <v>3470</v>
      </c>
      <c r="C3477">
        <v>5891</v>
      </c>
      <c r="D3477" t="s">
        <v>17031</v>
      </c>
      <c r="E3477" t="s">
        <v>166</v>
      </c>
      <c r="F3477" t="s">
        <v>9291</v>
      </c>
      <c r="G3477" t="s">
        <v>17032</v>
      </c>
      <c r="H3477">
        <v>18.48</v>
      </c>
      <c r="I3477">
        <v>0</v>
      </c>
      <c r="J3477">
        <v>0</v>
      </c>
      <c r="K3477">
        <v>0</v>
      </c>
      <c r="L3477">
        <v>7</v>
      </c>
      <c r="O3477">
        <v>7</v>
      </c>
      <c r="P3477">
        <v>4</v>
      </c>
      <c r="Q3477">
        <v>0</v>
      </c>
      <c r="R3477">
        <v>29.48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H3477">
        <v>29.48</v>
      </c>
    </row>
    <row r="3478" spans="1:34" x14ac:dyDescent="0.3">
      <c r="A3478" s="4">
        <v>3692</v>
      </c>
      <c r="B3478" s="5">
        <v>3471</v>
      </c>
      <c r="C3478">
        <v>10900</v>
      </c>
      <c r="D3478" t="s">
        <v>1711</v>
      </c>
      <c r="E3478" t="s">
        <v>88</v>
      </c>
      <c r="F3478" t="s">
        <v>81</v>
      </c>
      <c r="G3478" t="s">
        <v>17033</v>
      </c>
      <c r="H3478">
        <v>18.48</v>
      </c>
      <c r="I3478">
        <v>0</v>
      </c>
      <c r="J3478">
        <v>0</v>
      </c>
      <c r="K3478">
        <v>0</v>
      </c>
      <c r="L3478">
        <v>7</v>
      </c>
      <c r="O3478">
        <v>7</v>
      </c>
      <c r="P3478">
        <v>4</v>
      </c>
      <c r="Q3478">
        <v>0</v>
      </c>
      <c r="R3478">
        <v>29.48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H3478">
        <v>29.48</v>
      </c>
    </row>
    <row r="3479" spans="1:34" x14ac:dyDescent="0.3">
      <c r="A3479" s="4">
        <v>3693</v>
      </c>
      <c r="B3479" s="5">
        <v>3472</v>
      </c>
      <c r="C3479">
        <v>3515</v>
      </c>
      <c r="D3479" t="s">
        <v>8440</v>
      </c>
      <c r="E3479" t="s">
        <v>372</v>
      </c>
      <c r="F3479" t="s">
        <v>343</v>
      </c>
      <c r="G3479" t="s">
        <v>17034</v>
      </c>
      <c r="H3479">
        <v>18.48</v>
      </c>
      <c r="I3479">
        <v>0</v>
      </c>
      <c r="J3479">
        <v>0</v>
      </c>
      <c r="K3479">
        <v>0</v>
      </c>
      <c r="L3479">
        <v>7</v>
      </c>
      <c r="O3479">
        <v>7</v>
      </c>
      <c r="P3479">
        <v>4</v>
      </c>
      <c r="Q3479">
        <v>0</v>
      </c>
      <c r="R3479">
        <v>29.48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H3479">
        <v>29.48</v>
      </c>
    </row>
    <row r="3480" spans="1:34" x14ac:dyDescent="0.3">
      <c r="A3480" s="4">
        <v>3694</v>
      </c>
      <c r="B3480" s="5">
        <v>3473</v>
      </c>
      <c r="C3480">
        <v>12839</v>
      </c>
      <c r="D3480" t="s">
        <v>17035</v>
      </c>
      <c r="E3480" t="s">
        <v>29</v>
      </c>
      <c r="F3480" t="s">
        <v>91</v>
      </c>
      <c r="G3480" t="s">
        <v>17036</v>
      </c>
      <c r="H3480">
        <v>22.45</v>
      </c>
      <c r="I3480">
        <v>0</v>
      </c>
      <c r="J3480">
        <v>0</v>
      </c>
      <c r="K3480">
        <v>0</v>
      </c>
      <c r="L3480">
        <v>7</v>
      </c>
      <c r="O3480">
        <v>7</v>
      </c>
      <c r="P3480">
        <v>0</v>
      </c>
      <c r="Q3480">
        <v>0</v>
      </c>
      <c r="R3480">
        <v>29.45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H3480">
        <v>29.45</v>
      </c>
    </row>
    <row r="3481" spans="1:34" x14ac:dyDescent="0.3">
      <c r="A3481" s="4">
        <v>3695</v>
      </c>
      <c r="B3481" s="5">
        <v>3474</v>
      </c>
      <c r="C3481">
        <v>14678</v>
      </c>
      <c r="D3481" t="s">
        <v>1306</v>
      </c>
      <c r="E3481" t="s">
        <v>7737</v>
      </c>
      <c r="F3481" t="s">
        <v>17</v>
      </c>
      <c r="G3481" t="s">
        <v>32008</v>
      </c>
      <c r="H3481">
        <v>22.45</v>
      </c>
      <c r="I3481">
        <v>0</v>
      </c>
      <c r="J3481">
        <v>0</v>
      </c>
      <c r="K3481">
        <v>0</v>
      </c>
      <c r="N3481">
        <v>3</v>
      </c>
      <c r="O3481">
        <v>3</v>
      </c>
      <c r="P3481">
        <v>4</v>
      </c>
      <c r="Q3481">
        <v>0</v>
      </c>
      <c r="R3481">
        <v>29.45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H3481">
        <v>29.45</v>
      </c>
    </row>
    <row r="3482" spans="1:34" x14ac:dyDescent="0.3">
      <c r="A3482" s="4">
        <v>3696</v>
      </c>
      <c r="B3482" s="5">
        <v>3475</v>
      </c>
      <c r="C3482">
        <v>9444</v>
      </c>
      <c r="D3482" t="s">
        <v>2628</v>
      </c>
      <c r="E3482" t="s">
        <v>17037</v>
      </c>
      <c r="F3482" t="s">
        <v>20</v>
      </c>
      <c r="G3482" t="s">
        <v>17038</v>
      </c>
      <c r="H3482">
        <v>18.45</v>
      </c>
      <c r="I3482">
        <v>0</v>
      </c>
      <c r="J3482">
        <v>0</v>
      </c>
      <c r="K3482">
        <v>0</v>
      </c>
      <c r="L3482">
        <v>7</v>
      </c>
      <c r="O3482">
        <v>7</v>
      </c>
      <c r="P3482">
        <v>4</v>
      </c>
      <c r="Q3482">
        <v>0</v>
      </c>
      <c r="R3482">
        <v>29.45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H3482">
        <v>29.45</v>
      </c>
    </row>
    <row r="3483" spans="1:34" x14ac:dyDescent="0.3">
      <c r="A3483" s="4">
        <v>3697</v>
      </c>
      <c r="B3483" s="5">
        <v>3476</v>
      </c>
      <c r="C3483">
        <v>10805</v>
      </c>
      <c r="D3483" t="s">
        <v>17039</v>
      </c>
      <c r="E3483" t="s">
        <v>342</v>
      </c>
      <c r="F3483" t="s">
        <v>30</v>
      </c>
      <c r="G3483" t="s">
        <v>17040</v>
      </c>
      <c r="H3483">
        <v>18.43</v>
      </c>
      <c r="I3483">
        <v>0</v>
      </c>
      <c r="J3483">
        <v>0</v>
      </c>
      <c r="K3483">
        <v>0</v>
      </c>
      <c r="L3483">
        <v>7</v>
      </c>
      <c r="O3483">
        <v>7</v>
      </c>
      <c r="P3483">
        <v>4</v>
      </c>
      <c r="Q3483">
        <v>0</v>
      </c>
      <c r="R3483">
        <v>29.43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H3483">
        <v>29.43</v>
      </c>
    </row>
    <row r="3484" spans="1:34" x14ac:dyDescent="0.3">
      <c r="A3484" s="4">
        <v>3698</v>
      </c>
      <c r="B3484" s="5">
        <v>3477</v>
      </c>
      <c r="C3484">
        <v>9615</v>
      </c>
      <c r="D3484" t="s">
        <v>4439</v>
      </c>
      <c r="E3484" t="s">
        <v>789</v>
      </c>
      <c r="F3484" t="s">
        <v>136</v>
      </c>
      <c r="G3484" t="s">
        <v>17041</v>
      </c>
      <c r="H3484">
        <v>18.43</v>
      </c>
      <c r="I3484">
        <v>0</v>
      </c>
      <c r="J3484">
        <v>0</v>
      </c>
      <c r="K3484">
        <v>0</v>
      </c>
      <c r="L3484">
        <v>7</v>
      </c>
      <c r="O3484">
        <v>7</v>
      </c>
      <c r="P3484">
        <v>4</v>
      </c>
      <c r="Q3484">
        <v>0</v>
      </c>
      <c r="R3484">
        <v>29.43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H3484">
        <v>29.43</v>
      </c>
    </row>
    <row r="3485" spans="1:34" x14ac:dyDescent="0.3">
      <c r="A3485" s="4">
        <v>3699</v>
      </c>
      <c r="B3485" s="5">
        <v>3478</v>
      </c>
      <c r="C3485">
        <v>3227</v>
      </c>
      <c r="D3485" t="s">
        <v>17042</v>
      </c>
      <c r="E3485" t="s">
        <v>38</v>
      </c>
      <c r="F3485" t="s">
        <v>385</v>
      </c>
      <c r="G3485" t="s">
        <v>17043</v>
      </c>
      <c r="H3485">
        <v>18.43</v>
      </c>
      <c r="I3485">
        <v>0</v>
      </c>
      <c r="J3485">
        <v>0</v>
      </c>
      <c r="K3485">
        <v>0</v>
      </c>
      <c r="L3485">
        <v>7</v>
      </c>
      <c r="O3485">
        <v>7</v>
      </c>
      <c r="P3485">
        <v>4</v>
      </c>
      <c r="Q3485">
        <v>0</v>
      </c>
      <c r="R3485">
        <v>29.43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H3485">
        <v>29.43</v>
      </c>
    </row>
    <row r="3486" spans="1:34" x14ac:dyDescent="0.3">
      <c r="A3486" s="4">
        <v>3700</v>
      </c>
      <c r="B3486" s="5">
        <v>3479</v>
      </c>
      <c r="C3486">
        <v>4828</v>
      </c>
      <c r="D3486" t="s">
        <v>15563</v>
      </c>
      <c r="E3486" t="s">
        <v>17044</v>
      </c>
      <c r="F3486" t="s">
        <v>17</v>
      </c>
      <c r="G3486">
        <v>923050</v>
      </c>
      <c r="H3486">
        <v>16.43</v>
      </c>
      <c r="I3486">
        <v>0</v>
      </c>
      <c r="J3486">
        <v>0</v>
      </c>
      <c r="K3486">
        <v>0</v>
      </c>
      <c r="M3486">
        <v>5</v>
      </c>
      <c r="O3486">
        <v>5</v>
      </c>
      <c r="P3486">
        <v>0</v>
      </c>
      <c r="Q3486">
        <v>2</v>
      </c>
      <c r="R3486">
        <v>23.43</v>
      </c>
      <c r="S3486">
        <v>6</v>
      </c>
      <c r="T3486">
        <v>6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6</v>
      </c>
      <c r="AB3486">
        <v>0</v>
      </c>
      <c r="AC3486">
        <v>0</v>
      </c>
      <c r="AH3486">
        <v>29.43</v>
      </c>
    </row>
    <row r="3487" spans="1:34" x14ac:dyDescent="0.3">
      <c r="A3487" s="4">
        <v>3701</v>
      </c>
      <c r="B3487" s="5">
        <v>3480</v>
      </c>
      <c r="C3487">
        <v>9664</v>
      </c>
      <c r="D3487" t="s">
        <v>9907</v>
      </c>
      <c r="E3487" t="s">
        <v>782</v>
      </c>
      <c r="F3487" t="s">
        <v>38</v>
      </c>
      <c r="G3487" t="s">
        <v>17045</v>
      </c>
      <c r="H3487">
        <v>20.38</v>
      </c>
      <c r="I3487">
        <v>0</v>
      </c>
      <c r="J3487">
        <v>0</v>
      </c>
      <c r="K3487">
        <v>0</v>
      </c>
      <c r="N3487">
        <v>3</v>
      </c>
      <c r="O3487">
        <v>3</v>
      </c>
      <c r="P3487">
        <v>4</v>
      </c>
      <c r="Q3487">
        <v>2</v>
      </c>
      <c r="R3487">
        <v>29.38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H3487">
        <v>29.38</v>
      </c>
    </row>
    <row r="3488" spans="1:34" x14ac:dyDescent="0.3">
      <c r="A3488" s="4">
        <v>3702</v>
      </c>
      <c r="B3488" s="5">
        <v>3481</v>
      </c>
      <c r="C3488">
        <v>7838</v>
      </c>
      <c r="D3488" t="s">
        <v>17046</v>
      </c>
      <c r="E3488" t="s">
        <v>419</v>
      </c>
      <c r="F3488" t="s">
        <v>2595</v>
      </c>
      <c r="G3488" t="s">
        <v>17047</v>
      </c>
      <c r="H3488">
        <v>18.38</v>
      </c>
      <c r="I3488">
        <v>0</v>
      </c>
      <c r="J3488">
        <v>0</v>
      </c>
      <c r="K3488">
        <v>0</v>
      </c>
      <c r="L3488">
        <v>7</v>
      </c>
      <c r="O3488">
        <v>7</v>
      </c>
      <c r="P3488">
        <v>4</v>
      </c>
      <c r="Q3488">
        <v>0</v>
      </c>
      <c r="R3488">
        <v>29.38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H3488">
        <v>29.38</v>
      </c>
    </row>
    <row r="3489" spans="1:34" x14ac:dyDescent="0.3">
      <c r="A3489" s="4">
        <v>3703</v>
      </c>
      <c r="B3489" s="5">
        <v>3482</v>
      </c>
      <c r="C3489">
        <v>9638</v>
      </c>
      <c r="D3489" t="s">
        <v>17048</v>
      </c>
      <c r="E3489" t="s">
        <v>29</v>
      </c>
      <c r="F3489" t="s">
        <v>81</v>
      </c>
      <c r="G3489" t="s">
        <v>17049</v>
      </c>
      <c r="H3489">
        <v>18.38</v>
      </c>
      <c r="I3489">
        <v>0</v>
      </c>
      <c r="J3489">
        <v>0</v>
      </c>
      <c r="K3489">
        <v>0</v>
      </c>
      <c r="L3489">
        <v>7</v>
      </c>
      <c r="O3489">
        <v>7</v>
      </c>
      <c r="P3489">
        <v>4</v>
      </c>
      <c r="Q3489">
        <v>0</v>
      </c>
      <c r="R3489">
        <v>29.38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H3489">
        <v>29.38</v>
      </c>
    </row>
    <row r="3490" spans="1:34" x14ac:dyDescent="0.3">
      <c r="A3490" s="4">
        <v>3704</v>
      </c>
      <c r="B3490" s="5">
        <v>3483</v>
      </c>
      <c r="C3490">
        <v>11768</v>
      </c>
      <c r="D3490" t="s">
        <v>10917</v>
      </c>
      <c r="E3490" t="s">
        <v>738</v>
      </c>
      <c r="F3490" t="s">
        <v>117</v>
      </c>
      <c r="G3490" t="s">
        <v>17050</v>
      </c>
      <c r="H3490">
        <v>18.350000000000001</v>
      </c>
      <c r="I3490">
        <v>0</v>
      </c>
      <c r="J3490">
        <v>0</v>
      </c>
      <c r="K3490">
        <v>0</v>
      </c>
      <c r="M3490">
        <v>5</v>
      </c>
      <c r="O3490">
        <v>5</v>
      </c>
      <c r="P3490">
        <v>4</v>
      </c>
      <c r="Q3490">
        <v>2</v>
      </c>
      <c r="R3490">
        <v>29.35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H3490">
        <v>29.35</v>
      </c>
    </row>
    <row r="3491" spans="1:34" x14ac:dyDescent="0.3">
      <c r="A3491" s="4">
        <v>3705</v>
      </c>
      <c r="B3491" s="5">
        <v>3484</v>
      </c>
      <c r="C3491">
        <v>3601</v>
      </c>
      <c r="D3491" t="s">
        <v>17051</v>
      </c>
      <c r="E3491" t="s">
        <v>117</v>
      </c>
      <c r="F3491" t="s">
        <v>5614</v>
      </c>
      <c r="G3491" t="s">
        <v>17052</v>
      </c>
      <c r="H3491">
        <v>17.350000000000001</v>
      </c>
      <c r="I3491">
        <v>0</v>
      </c>
      <c r="J3491">
        <v>0</v>
      </c>
      <c r="K3491">
        <v>0</v>
      </c>
      <c r="L3491">
        <v>7</v>
      </c>
      <c r="O3491">
        <v>7</v>
      </c>
      <c r="P3491">
        <v>4</v>
      </c>
      <c r="Q3491">
        <v>0</v>
      </c>
      <c r="R3491">
        <v>28.35</v>
      </c>
      <c r="S3491">
        <v>1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1</v>
      </c>
      <c r="AB3491">
        <v>0</v>
      </c>
      <c r="AC3491">
        <v>0</v>
      </c>
      <c r="AH3491">
        <v>29.35</v>
      </c>
    </row>
    <row r="3492" spans="1:34" x14ac:dyDescent="0.3">
      <c r="A3492" s="4">
        <v>3706</v>
      </c>
      <c r="B3492" s="5">
        <v>3485</v>
      </c>
      <c r="C3492">
        <v>11721</v>
      </c>
      <c r="D3492" t="s">
        <v>17053</v>
      </c>
      <c r="E3492" t="s">
        <v>14891</v>
      </c>
      <c r="F3492" t="s">
        <v>346</v>
      </c>
      <c r="G3492" t="s">
        <v>17054</v>
      </c>
      <c r="H3492">
        <v>19.329999999999998</v>
      </c>
      <c r="I3492">
        <v>0</v>
      </c>
      <c r="J3492">
        <v>0</v>
      </c>
      <c r="K3492">
        <v>0</v>
      </c>
      <c r="L3492">
        <v>7</v>
      </c>
      <c r="N3492">
        <v>3</v>
      </c>
      <c r="O3492">
        <v>10</v>
      </c>
      <c r="P3492">
        <v>0</v>
      </c>
      <c r="Q3492">
        <v>0</v>
      </c>
      <c r="R3492">
        <v>29.33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H3492">
        <v>29.33</v>
      </c>
    </row>
    <row r="3493" spans="1:34" x14ac:dyDescent="0.3">
      <c r="A3493" s="4">
        <v>3707</v>
      </c>
      <c r="B3493" s="5">
        <v>3486</v>
      </c>
      <c r="C3493">
        <v>15560</v>
      </c>
      <c r="D3493" t="s">
        <v>4067</v>
      </c>
      <c r="E3493" t="s">
        <v>132</v>
      </c>
      <c r="F3493" t="s">
        <v>38</v>
      </c>
      <c r="G3493" t="s">
        <v>17055</v>
      </c>
      <c r="H3493">
        <v>18.329999999999998</v>
      </c>
      <c r="I3493">
        <v>0</v>
      </c>
      <c r="J3493">
        <v>0</v>
      </c>
      <c r="K3493">
        <v>0</v>
      </c>
      <c r="L3493">
        <v>7</v>
      </c>
      <c r="O3493">
        <v>7</v>
      </c>
      <c r="P3493">
        <v>4</v>
      </c>
      <c r="Q3493">
        <v>0</v>
      </c>
      <c r="R3493">
        <v>29.33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H3493">
        <v>29.33</v>
      </c>
    </row>
    <row r="3494" spans="1:34" x14ac:dyDescent="0.3">
      <c r="A3494" s="4">
        <v>3708</v>
      </c>
      <c r="B3494" s="5">
        <v>3487</v>
      </c>
      <c r="C3494">
        <v>13199</v>
      </c>
      <c r="D3494" t="s">
        <v>17056</v>
      </c>
      <c r="E3494" t="s">
        <v>17057</v>
      </c>
      <c r="F3494" t="s">
        <v>81</v>
      </c>
      <c r="G3494" t="s">
        <v>17058</v>
      </c>
      <c r="H3494">
        <v>18.329999999999998</v>
      </c>
      <c r="I3494">
        <v>0</v>
      </c>
      <c r="J3494">
        <v>0</v>
      </c>
      <c r="K3494">
        <v>0</v>
      </c>
      <c r="L3494">
        <v>7</v>
      </c>
      <c r="O3494">
        <v>7</v>
      </c>
      <c r="P3494">
        <v>4</v>
      </c>
      <c r="Q3494">
        <v>0</v>
      </c>
      <c r="R3494">
        <v>29.33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H3494">
        <v>29.33</v>
      </c>
    </row>
    <row r="3495" spans="1:34" x14ac:dyDescent="0.3">
      <c r="A3495" s="4">
        <v>3709</v>
      </c>
      <c r="B3495" s="5">
        <v>3488</v>
      </c>
      <c r="C3495">
        <v>5234</v>
      </c>
      <c r="D3495" t="s">
        <v>5151</v>
      </c>
      <c r="E3495" t="s">
        <v>17059</v>
      </c>
      <c r="F3495" t="s">
        <v>190</v>
      </c>
      <c r="G3495" t="s">
        <v>17060</v>
      </c>
      <c r="H3495">
        <v>20.3</v>
      </c>
      <c r="I3495">
        <v>0</v>
      </c>
      <c r="J3495">
        <v>0</v>
      </c>
      <c r="K3495">
        <v>0</v>
      </c>
      <c r="M3495">
        <v>5</v>
      </c>
      <c r="O3495">
        <v>5</v>
      </c>
      <c r="P3495">
        <v>4</v>
      </c>
      <c r="Q3495">
        <v>0</v>
      </c>
      <c r="R3495">
        <v>29.3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H3495">
        <v>29.3</v>
      </c>
    </row>
    <row r="3496" spans="1:34" x14ac:dyDescent="0.3">
      <c r="A3496" s="4">
        <v>3710</v>
      </c>
      <c r="B3496" s="5">
        <v>3489</v>
      </c>
      <c r="C3496">
        <v>8226</v>
      </c>
      <c r="D3496" t="s">
        <v>8607</v>
      </c>
      <c r="E3496" t="s">
        <v>208</v>
      </c>
      <c r="F3496" t="s">
        <v>167</v>
      </c>
      <c r="G3496" t="s">
        <v>17061</v>
      </c>
      <c r="H3496">
        <v>18.3</v>
      </c>
      <c r="I3496">
        <v>0</v>
      </c>
      <c r="J3496">
        <v>0</v>
      </c>
      <c r="K3496">
        <v>0</v>
      </c>
      <c r="L3496">
        <v>7</v>
      </c>
      <c r="O3496">
        <v>7</v>
      </c>
      <c r="P3496">
        <v>4</v>
      </c>
      <c r="Q3496">
        <v>0</v>
      </c>
      <c r="R3496">
        <v>29.3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H3496">
        <v>29.3</v>
      </c>
    </row>
    <row r="3497" spans="1:34" x14ac:dyDescent="0.3">
      <c r="A3497" s="4">
        <v>3711</v>
      </c>
      <c r="B3497" s="5">
        <v>3490</v>
      </c>
      <c r="C3497">
        <v>5314</v>
      </c>
      <c r="D3497" t="s">
        <v>17062</v>
      </c>
      <c r="E3497" t="s">
        <v>1152</v>
      </c>
      <c r="F3497" t="s">
        <v>243</v>
      </c>
      <c r="G3497" t="s">
        <v>17063</v>
      </c>
      <c r="H3497">
        <v>18.3</v>
      </c>
      <c r="I3497">
        <v>0</v>
      </c>
      <c r="J3497">
        <v>0</v>
      </c>
      <c r="K3497">
        <v>0</v>
      </c>
      <c r="L3497">
        <v>7</v>
      </c>
      <c r="O3497">
        <v>7</v>
      </c>
      <c r="P3497">
        <v>4</v>
      </c>
      <c r="Q3497">
        <v>0</v>
      </c>
      <c r="R3497">
        <v>29.3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H3497">
        <v>29.3</v>
      </c>
    </row>
    <row r="3498" spans="1:34" x14ac:dyDescent="0.3">
      <c r="A3498" s="4">
        <v>3712</v>
      </c>
      <c r="B3498" s="5">
        <v>3491</v>
      </c>
      <c r="C3498">
        <v>12568</v>
      </c>
      <c r="D3498" t="s">
        <v>2645</v>
      </c>
      <c r="E3498" t="s">
        <v>132</v>
      </c>
      <c r="F3498" t="s">
        <v>68</v>
      </c>
      <c r="G3498" t="s">
        <v>17064</v>
      </c>
      <c r="H3498">
        <v>17.3</v>
      </c>
      <c r="I3498">
        <v>0</v>
      </c>
      <c r="J3498">
        <v>0</v>
      </c>
      <c r="K3498">
        <v>0</v>
      </c>
      <c r="L3498">
        <v>7</v>
      </c>
      <c r="N3498">
        <v>3</v>
      </c>
      <c r="O3498">
        <v>10</v>
      </c>
      <c r="P3498">
        <v>0</v>
      </c>
      <c r="Q3498">
        <v>2</v>
      </c>
      <c r="R3498">
        <v>29.3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H3498">
        <v>29.3</v>
      </c>
    </row>
    <row r="3499" spans="1:34" x14ac:dyDescent="0.3">
      <c r="A3499" s="4">
        <v>3713</v>
      </c>
      <c r="B3499" s="5">
        <v>3492</v>
      </c>
      <c r="C3499">
        <v>2996</v>
      </c>
      <c r="D3499" t="s">
        <v>17065</v>
      </c>
      <c r="E3499" t="s">
        <v>41</v>
      </c>
      <c r="F3499" t="s">
        <v>17</v>
      </c>
      <c r="G3499" t="s">
        <v>17066</v>
      </c>
      <c r="H3499">
        <v>16.3</v>
      </c>
      <c r="I3499">
        <v>0</v>
      </c>
      <c r="J3499">
        <v>0</v>
      </c>
      <c r="K3499">
        <v>0</v>
      </c>
      <c r="L3499">
        <v>7</v>
      </c>
      <c r="O3499">
        <v>7</v>
      </c>
      <c r="P3499">
        <v>4</v>
      </c>
      <c r="Q3499">
        <v>2</v>
      </c>
      <c r="R3499">
        <v>29.3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H3499">
        <v>29.3</v>
      </c>
    </row>
    <row r="3500" spans="1:34" x14ac:dyDescent="0.3">
      <c r="A3500" s="4">
        <v>3714</v>
      </c>
      <c r="B3500" s="5">
        <v>3493</v>
      </c>
      <c r="C3500">
        <v>6846</v>
      </c>
      <c r="D3500" t="s">
        <v>17067</v>
      </c>
      <c r="E3500" t="s">
        <v>97</v>
      </c>
      <c r="F3500" t="s">
        <v>17068</v>
      </c>
      <c r="G3500" t="s">
        <v>17069</v>
      </c>
      <c r="H3500">
        <v>18.28</v>
      </c>
      <c r="I3500">
        <v>0</v>
      </c>
      <c r="J3500">
        <v>0</v>
      </c>
      <c r="K3500">
        <v>0</v>
      </c>
      <c r="N3500">
        <v>3</v>
      </c>
      <c r="O3500">
        <v>3</v>
      </c>
      <c r="P3500">
        <v>0</v>
      </c>
      <c r="Q3500">
        <v>2</v>
      </c>
      <c r="R3500">
        <v>23.28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6</v>
      </c>
      <c r="AC3500">
        <v>0</v>
      </c>
      <c r="AH3500">
        <v>29.28</v>
      </c>
    </row>
    <row r="3501" spans="1:34" x14ac:dyDescent="0.3">
      <c r="A3501" s="4">
        <v>3715</v>
      </c>
      <c r="B3501" s="5">
        <v>3494</v>
      </c>
      <c r="C3501">
        <v>14555</v>
      </c>
      <c r="D3501" t="s">
        <v>17070</v>
      </c>
      <c r="E3501" t="s">
        <v>41</v>
      </c>
      <c r="F3501" t="s">
        <v>238</v>
      </c>
      <c r="G3501" t="s">
        <v>17071</v>
      </c>
      <c r="H3501">
        <v>18.28</v>
      </c>
      <c r="I3501">
        <v>0</v>
      </c>
      <c r="J3501">
        <v>0</v>
      </c>
      <c r="K3501">
        <v>0</v>
      </c>
      <c r="L3501">
        <v>7</v>
      </c>
      <c r="O3501">
        <v>7</v>
      </c>
      <c r="P3501">
        <v>4</v>
      </c>
      <c r="Q3501">
        <v>0</v>
      </c>
      <c r="R3501">
        <v>29.28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H3501">
        <v>29.28</v>
      </c>
    </row>
    <row r="3502" spans="1:34" x14ac:dyDescent="0.3">
      <c r="A3502" s="4">
        <v>3716</v>
      </c>
      <c r="B3502" s="5">
        <v>3495</v>
      </c>
      <c r="C3502">
        <v>509</v>
      </c>
      <c r="D3502" t="s">
        <v>17072</v>
      </c>
      <c r="E3502" t="s">
        <v>17073</v>
      </c>
      <c r="F3502" t="s">
        <v>190</v>
      </c>
      <c r="G3502" t="s">
        <v>17074</v>
      </c>
      <c r="H3502">
        <v>16.25</v>
      </c>
      <c r="I3502">
        <v>0</v>
      </c>
      <c r="J3502">
        <v>0</v>
      </c>
      <c r="K3502">
        <v>0</v>
      </c>
      <c r="N3502">
        <v>3</v>
      </c>
      <c r="O3502">
        <v>3</v>
      </c>
      <c r="P3502">
        <v>4</v>
      </c>
      <c r="Q3502">
        <v>0</v>
      </c>
      <c r="R3502">
        <v>23.25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6</v>
      </c>
      <c r="AC3502">
        <v>0</v>
      </c>
      <c r="AH3502">
        <v>29.25</v>
      </c>
    </row>
    <row r="3503" spans="1:34" x14ac:dyDescent="0.3">
      <c r="A3503" s="4">
        <v>3717</v>
      </c>
      <c r="B3503" s="5">
        <v>3496</v>
      </c>
      <c r="C3503">
        <v>11734</v>
      </c>
      <c r="D3503" t="s">
        <v>982</v>
      </c>
      <c r="E3503" t="s">
        <v>4774</v>
      </c>
      <c r="F3503" t="s">
        <v>972</v>
      </c>
      <c r="G3503" t="s">
        <v>17075</v>
      </c>
      <c r="H3503">
        <v>16.25</v>
      </c>
      <c r="I3503">
        <v>0</v>
      </c>
      <c r="J3503">
        <v>0</v>
      </c>
      <c r="K3503">
        <v>0</v>
      </c>
      <c r="L3503">
        <v>7</v>
      </c>
      <c r="O3503">
        <v>7</v>
      </c>
      <c r="P3503">
        <v>4</v>
      </c>
      <c r="Q3503">
        <v>2</v>
      </c>
      <c r="R3503">
        <v>29.25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H3503">
        <v>29.25</v>
      </c>
    </row>
    <row r="3504" spans="1:34" x14ac:dyDescent="0.3">
      <c r="A3504" s="4">
        <v>3718</v>
      </c>
      <c r="B3504" s="5">
        <v>3497</v>
      </c>
      <c r="C3504">
        <v>1206</v>
      </c>
      <c r="D3504" t="s">
        <v>17076</v>
      </c>
      <c r="E3504" t="s">
        <v>115</v>
      </c>
      <c r="F3504" t="s">
        <v>30</v>
      </c>
      <c r="G3504" t="s">
        <v>17077</v>
      </c>
      <c r="H3504">
        <v>16.25</v>
      </c>
      <c r="I3504">
        <v>0</v>
      </c>
      <c r="J3504">
        <v>0</v>
      </c>
      <c r="K3504">
        <v>0</v>
      </c>
      <c r="L3504">
        <v>7</v>
      </c>
      <c r="O3504">
        <v>7</v>
      </c>
      <c r="P3504">
        <v>4</v>
      </c>
      <c r="Q3504">
        <v>2</v>
      </c>
      <c r="R3504">
        <v>29.25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H3504">
        <v>29.25</v>
      </c>
    </row>
    <row r="3505" spans="1:34" x14ac:dyDescent="0.3">
      <c r="A3505" s="4">
        <v>3719</v>
      </c>
      <c r="B3505" s="5">
        <v>3498</v>
      </c>
      <c r="C3505">
        <v>2541</v>
      </c>
      <c r="D3505" t="s">
        <v>17078</v>
      </c>
      <c r="E3505" t="s">
        <v>238</v>
      </c>
      <c r="F3505" t="s">
        <v>81</v>
      </c>
      <c r="G3505" t="s">
        <v>17079</v>
      </c>
      <c r="H3505">
        <v>16.23</v>
      </c>
      <c r="I3505">
        <v>0</v>
      </c>
      <c r="J3505">
        <v>0</v>
      </c>
      <c r="K3505">
        <v>0</v>
      </c>
      <c r="L3505">
        <v>7</v>
      </c>
      <c r="N3505">
        <v>3</v>
      </c>
      <c r="O3505">
        <v>10</v>
      </c>
      <c r="P3505">
        <v>0</v>
      </c>
      <c r="Q3505">
        <v>0</v>
      </c>
      <c r="R3505">
        <v>26.23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3</v>
      </c>
      <c r="AC3505">
        <v>0</v>
      </c>
      <c r="AH3505">
        <v>29.23</v>
      </c>
    </row>
    <row r="3506" spans="1:34" x14ac:dyDescent="0.3">
      <c r="A3506" s="4">
        <v>3720</v>
      </c>
      <c r="B3506" s="5">
        <v>3499</v>
      </c>
      <c r="C3506">
        <v>14451</v>
      </c>
      <c r="D3506" t="s">
        <v>2241</v>
      </c>
      <c r="E3506" t="s">
        <v>132</v>
      </c>
      <c r="F3506" t="s">
        <v>20</v>
      </c>
      <c r="G3506" t="s">
        <v>17080</v>
      </c>
      <c r="H3506">
        <v>20.23</v>
      </c>
      <c r="I3506">
        <v>0</v>
      </c>
      <c r="J3506">
        <v>0</v>
      </c>
      <c r="K3506">
        <v>0</v>
      </c>
      <c r="M3506">
        <v>5</v>
      </c>
      <c r="O3506">
        <v>5</v>
      </c>
      <c r="P3506">
        <v>4</v>
      </c>
      <c r="Q3506">
        <v>0</v>
      </c>
      <c r="R3506">
        <v>29.23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H3506">
        <v>29.23</v>
      </c>
    </row>
    <row r="3507" spans="1:34" x14ac:dyDescent="0.3">
      <c r="A3507" s="4">
        <v>3721</v>
      </c>
      <c r="B3507" s="5">
        <v>3500</v>
      </c>
      <c r="C3507">
        <v>755</v>
      </c>
      <c r="D3507" t="s">
        <v>17081</v>
      </c>
      <c r="E3507" t="s">
        <v>41</v>
      </c>
      <c r="F3507" t="s">
        <v>136</v>
      </c>
      <c r="G3507" t="s">
        <v>17082</v>
      </c>
      <c r="H3507">
        <v>22.2</v>
      </c>
      <c r="I3507">
        <v>0</v>
      </c>
      <c r="J3507">
        <v>0</v>
      </c>
      <c r="K3507">
        <v>0</v>
      </c>
      <c r="L3507">
        <v>7</v>
      </c>
      <c r="O3507">
        <v>7</v>
      </c>
      <c r="P3507">
        <v>0</v>
      </c>
      <c r="Q3507">
        <v>0</v>
      </c>
      <c r="R3507">
        <v>29.2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H3507">
        <v>29.2</v>
      </c>
    </row>
    <row r="3508" spans="1:34" x14ac:dyDescent="0.3">
      <c r="A3508" s="4">
        <v>3722</v>
      </c>
      <c r="B3508" s="5">
        <v>3501</v>
      </c>
      <c r="C3508">
        <v>8184</v>
      </c>
      <c r="D3508" t="s">
        <v>17083</v>
      </c>
      <c r="E3508" t="s">
        <v>471</v>
      </c>
      <c r="F3508" t="s">
        <v>81</v>
      </c>
      <c r="G3508" t="s">
        <v>17084</v>
      </c>
      <c r="H3508">
        <v>18.2</v>
      </c>
      <c r="I3508">
        <v>0</v>
      </c>
      <c r="J3508">
        <v>0</v>
      </c>
      <c r="K3508">
        <v>0</v>
      </c>
      <c r="L3508">
        <v>7</v>
      </c>
      <c r="O3508">
        <v>7</v>
      </c>
      <c r="P3508">
        <v>4</v>
      </c>
      <c r="Q3508">
        <v>0</v>
      </c>
      <c r="R3508">
        <v>29.2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H3508">
        <v>29.2</v>
      </c>
    </row>
    <row r="3509" spans="1:34" x14ac:dyDescent="0.3">
      <c r="A3509" s="4">
        <v>3723</v>
      </c>
      <c r="B3509" s="5">
        <v>3502</v>
      </c>
      <c r="C3509">
        <v>5435</v>
      </c>
      <c r="D3509" t="s">
        <v>4857</v>
      </c>
      <c r="E3509" t="s">
        <v>1997</v>
      </c>
      <c r="F3509" t="s">
        <v>38</v>
      </c>
      <c r="G3509" t="s">
        <v>17085</v>
      </c>
      <c r="H3509">
        <v>18.2</v>
      </c>
      <c r="I3509">
        <v>0</v>
      </c>
      <c r="J3509">
        <v>0</v>
      </c>
      <c r="K3509">
        <v>0</v>
      </c>
      <c r="L3509">
        <v>7</v>
      </c>
      <c r="O3509">
        <v>7</v>
      </c>
      <c r="P3509">
        <v>4</v>
      </c>
      <c r="Q3509">
        <v>0</v>
      </c>
      <c r="R3509">
        <v>29.2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H3509">
        <v>29.2</v>
      </c>
    </row>
    <row r="3510" spans="1:34" x14ac:dyDescent="0.3">
      <c r="A3510" s="4">
        <v>3724</v>
      </c>
      <c r="B3510" s="5">
        <v>3503</v>
      </c>
      <c r="C3510">
        <v>5054</v>
      </c>
      <c r="D3510" t="s">
        <v>1770</v>
      </c>
      <c r="E3510" t="s">
        <v>2743</v>
      </c>
      <c r="F3510" t="s">
        <v>81</v>
      </c>
      <c r="G3510" t="s">
        <v>17086</v>
      </c>
      <c r="H3510">
        <v>18.2</v>
      </c>
      <c r="I3510">
        <v>0</v>
      </c>
      <c r="J3510">
        <v>0</v>
      </c>
      <c r="K3510">
        <v>0</v>
      </c>
      <c r="L3510">
        <v>7</v>
      </c>
      <c r="O3510">
        <v>7</v>
      </c>
      <c r="P3510">
        <v>4</v>
      </c>
      <c r="Q3510">
        <v>0</v>
      </c>
      <c r="R3510">
        <v>29.2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H3510">
        <v>29.2</v>
      </c>
    </row>
    <row r="3511" spans="1:34" x14ac:dyDescent="0.3">
      <c r="A3511" s="4">
        <v>3725</v>
      </c>
      <c r="B3511" s="5">
        <v>3504</v>
      </c>
      <c r="C3511">
        <v>3037</v>
      </c>
      <c r="D3511" t="s">
        <v>17087</v>
      </c>
      <c r="E3511" t="s">
        <v>213</v>
      </c>
      <c r="F3511" t="s">
        <v>136</v>
      </c>
      <c r="G3511" t="s">
        <v>17088</v>
      </c>
      <c r="H3511">
        <v>20.18</v>
      </c>
      <c r="I3511">
        <v>0</v>
      </c>
      <c r="J3511">
        <v>0</v>
      </c>
      <c r="K3511">
        <v>0</v>
      </c>
      <c r="N3511">
        <v>3</v>
      </c>
      <c r="O3511">
        <v>3</v>
      </c>
      <c r="P3511">
        <v>4</v>
      </c>
      <c r="Q3511">
        <v>2</v>
      </c>
      <c r="R3511">
        <v>29.18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H3511">
        <v>29.18</v>
      </c>
    </row>
    <row r="3512" spans="1:34" x14ac:dyDescent="0.3">
      <c r="A3512" s="4">
        <v>3726</v>
      </c>
      <c r="B3512" s="5">
        <v>3505</v>
      </c>
      <c r="C3512">
        <v>11918</v>
      </c>
      <c r="D3512" t="s">
        <v>17089</v>
      </c>
      <c r="E3512" t="s">
        <v>88</v>
      </c>
      <c r="F3512" t="s">
        <v>20</v>
      </c>
      <c r="G3512" t="s">
        <v>17090</v>
      </c>
      <c r="H3512">
        <v>18.18</v>
      </c>
      <c r="I3512">
        <v>0</v>
      </c>
      <c r="J3512">
        <v>0</v>
      </c>
      <c r="K3512">
        <v>0</v>
      </c>
      <c r="L3512">
        <v>7</v>
      </c>
      <c r="O3512">
        <v>7</v>
      </c>
      <c r="P3512">
        <v>4</v>
      </c>
      <c r="Q3512">
        <v>0</v>
      </c>
      <c r="R3512">
        <v>29.18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H3512">
        <v>29.18</v>
      </c>
    </row>
    <row r="3513" spans="1:34" x14ac:dyDescent="0.3">
      <c r="A3513" s="4">
        <v>3727</v>
      </c>
      <c r="B3513" s="5">
        <v>3506</v>
      </c>
      <c r="C3513">
        <v>6239</v>
      </c>
      <c r="D3513" t="s">
        <v>1088</v>
      </c>
      <c r="E3513" t="s">
        <v>147</v>
      </c>
      <c r="F3513" t="s">
        <v>243</v>
      </c>
      <c r="G3513" t="s">
        <v>17091</v>
      </c>
      <c r="H3513">
        <v>16.149999999999999</v>
      </c>
      <c r="I3513">
        <v>0</v>
      </c>
      <c r="J3513">
        <v>0</v>
      </c>
      <c r="K3513">
        <v>0</v>
      </c>
      <c r="N3513">
        <v>3</v>
      </c>
      <c r="O3513">
        <v>3</v>
      </c>
      <c r="P3513">
        <v>4</v>
      </c>
      <c r="Q3513">
        <v>0</v>
      </c>
      <c r="R3513">
        <v>23.15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6</v>
      </c>
      <c r="AC3513">
        <v>0</v>
      </c>
      <c r="AH3513">
        <v>29.15</v>
      </c>
    </row>
    <row r="3514" spans="1:34" x14ac:dyDescent="0.3">
      <c r="A3514" s="4">
        <v>3728</v>
      </c>
      <c r="B3514" s="5">
        <v>3507</v>
      </c>
      <c r="C3514">
        <v>7214</v>
      </c>
      <c r="D3514" t="s">
        <v>17092</v>
      </c>
      <c r="E3514" t="s">
        <v>17093</v>
      </c>
      <c r="F3514" t="s">
        <v>136</v>
      </c>
      <c r="G3514" t="s">
        <v>17094</v>
      </c>
      <c r="H3514">
        <v>18.149999999999999</v>
      </c>
      <c r="I3514">
        <v>0</v>
      </c>
      <c r="J3514">
        <v>0</v>
      </c>
      <c r="K3514">
        <v>0</v>
      </c>
      <c r="L3514">
        <v>7</v>
      </c>
      <c r="O3514">
        <v>7</v>
      </c>
      <c r="P3514">
        <v>4</v>
      </c>
      <c r="Q3514">
        <v>0</v>
      </c>
      <c r="R3514">
        <v>29.15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H3514">
        <v>29.15</v>
      </c>
    </row>
    <row r="3515" spans="1:34" x14ac:dyDescent="0.3">
      <c r="A3515" s="4">
        <v>3729</v>
      </c>
      <c r="B3515" s="5">
        <v>3508</v>
      </c>
      <c r="C3515">
        <v>7874</v>
      </c>
      <c r="D3515" t="s">
        <v>17095</v>
      </c>
      <c r="E3515" t="s">
        <v>166</v>
      </c>
      <c r="F3515" t="s">
        <v>34</v>
      </c>
      <c r="G3515" t="s">
        <v>17096</v>
      </c>
      <c r="H3515">
        <v>16.100000000000001</v>
      </c>
      <c r="I3515">
        <v>0</v>
      </c>
      <c r="J3515">
        <v>0</v>
      </c>
      <c r="K3515">
        <v>0</v>
      </c>
      <c r="L3515">
        <v>7</v>
      </c>
      <c r="O3515">
        <v>7</v>
      </c>
      <c r="P3515">
        <v>4</v>
      </c>
      <c r="Q3515">
        <v>2</v>
      </c>
      <c r="R3515">
        <v>29.1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H3515">
        <v>29.1</v>
      </c>
    </row>
    <row r="3516" spans="1:34" x14ac:dyDescent="0.3">
      <c r="A3516" s="4">
        <v>3730</v>
      </c>
      <c r="B3516" s="5">
        <v>3509</v>
      </c>
      <c r="C3516">
        <v>13896</v>
      </c>
      <c r="D3516" t="s">
        <v>17097</v>
      </c>
      <c r="E3516" t="s">
        <v>161</v>
      </c>
      <c r="F3516" t="s">
        <v>91</v>
      </c>
      <c r="G3516" t="s">
        <v>17098</v>
      </c>
      <c r="H3516">
        <v>22.08</v>
      </c>
      <c r="I3516">
        <v>0</v>
      </c>
      <c r="J3516">
        <v>0</v>
      </c>
      <c r="K3516">
        <v>0</v>
      </c>
      <c r="L3516">
        <v>7</v>
      </c>
      <c r="O3516">
        <v>7</v>
      </c>
      <c r="P3516">
        <v>0</v>
      </c>
      <c r="Q3516">
        <v>0</v>
      </c>
      <c r="R3516">
        <v>29.08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H3516">
        <v>29.08</v>
      </c>
    </row>
    <row r="3517" spans="1:34" x14ac:dyDescent="0.3">
      <c r="A3517" s="4">
        <v>3731</v>
      </c>
      <c r="B3517" s="5">
        <v>3510</v>
      </c>
      <c r="C3517">
        <v>4287</v>
      </c>
      <c r="D3517" t="s">
        <v>17099</v>
      </c>
      <c r="E3517" t="s">
        <v>22</v>
      </c>
      <c r="F3517" t="s">
        <v>38</v>
      </c>
      <c r="G3517" t="s">
        <v>17100</v>
      </c>
      <c r="H3517">
        <v>18.079999999999998</v>
      </c>
      <c r="I3517">
        <v>0</v>
      </c>
      <c r="J3517">
        <v>0</v>
      </c>
      <c r="K3517">
        <v>0</v>
      </c>
      <c r="L3517">
        <v>7</v>
      </c>
      <c r="O3517">
        <v>7</v>
      </c>
      <c r="P3517">
        <v>4</v>
      </c>
      <c r="Q3517">
        <v>0</v>
      </c>
      <c r="R3517">
        <v>29.08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H3517">
        <v>29.08</v>
      </c>
    </row>
    <row r="3518" spans="1:34" x14ac:dyDescent="0.3">
      <c r="A3518" s="4">
        <v>3732</v>
      </c>
      <c r="B3518" s="5">
        <v>3511</v>
      </c>
      <c r="C3518">
        <v>2341</v>
      </c>
      <c r="D3518" t="s">
        <v>17101</v>
      </c>
      <c r="E3518" t="s">
        <v>29</v>
      </c>
      <c r="F3518" t="s">
        <v>17</v>
      </c>
      <c r="G3518" t="s">
        <v>17102</v>
      </c>
      <c r="H3518">
        <v>18.079999999999998</v>
      </c>
      <c r="I3518">
        <v>0</v>
      </c>
      <c r="J3518">
        <v>0</v>
      </c>
      <c r="K3518">
        <v>0</v>
      </c>
      <c r="L3518">
        <v>7</v>
      </c>
      <c r="O3518">
        <v>7</v>
      </c>
      <c r="P3518">
        <v>4</v>
      </c>
      <c r="Q3518">
        <v>0</v>
      </c>
      <c r="R3518">
        <v>29.08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H3518">
        <v>29.08</v>
      </c>
    </row>
    <row r="3519" spans="1:34" x14ac:dyDescent="0.3">
      <c r="A3519" s="4">
        <v>3733</v>
      </c>
      <c r="B3519" s="5">
        <v>3512</v>
      </c>
      <c r="C3519">
        <v>11351</v>
      </c>
      <c r="D3519" t="s">
        <v>17103</v>
      </c>
      <c r="E3519" t="s">
        <v>41</v>
      </c>
      <c r="F3519" t="s">
        <v>81</v>
      </c>
      <c r="G3519" t="s">
        <v>17104</v>
      </c>
      <c r="H3519">
        <v>18.079999999999998</v>
      </c>
      <c r="I3519">
        <v>0</v>
      </c>
      <c r="J3519">
        <v>0</v>
      </c>
      <c r="K3519">
        <v>0</v>
      </c>
      <c r="L3519">
        <v>7</v>
      </c>
      <c r="O3519">
        <v>7</v>
      </c>
      <c r="P3519">
        <v>4</v>
      </c>
      <c r="Q3519">
        <v>0</v>
      </c>
      <c r="R3519">
        <v>29.08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H3519">
        <v>29.08</v>
      </c>
    </row>
    <row r="3520" spans="1:34" x14ac:dyDescent="0.3">
      <c r="A3520" s="4">
        <v>3734</v>
      </c>
      <c r="B3520" s="5">
        <v>3513</v>
      </c>
      <c r="C3520">
        <v>8498</v>
      </c>
      <c r="D3520" t="s">
        <v>17105</v>
      </c>
      <c r="E3520" t="s">
        <v>550</v>
      </c>
      <c r="F3520" t="s">
        <v>117</v>
      </c>
      <c r="G3520" t="s">
        <v>17106</v>
      </c>
      <c r="H3520">
        <v>18.079999999999998</v>
      </c>
      <c r="I3520">
        <v>0</v>
      </c>
      <c r="J3520">
        <v>0</v>
      </c>
      <c r="K3520">
        <v>0</v>
      </c>
      <c r="L3520">
        <v>7</v>
      </c>
      <c r="O3520">
        <v>7</v>
      </c>
      <c r="P3520">
        <v>4</v>
      </c>
      <c r="Q3520">
        <v>0</v>
      </c>
      <c r="R3520">
        <v>29.08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H3520">
        <v>29.08</v>
      </c>
    </row>
    <row r="3521" spans="1:34" x14ac:dyDescent="0.3">
      <c r="A3521" s="4">
        <v>3735</v>
      </c>
      <c r="B3521" s="5">
        <v>3514</v>
      </c>
      <c r="C3521">
        <v>6097</v>
      </c>
      <c r="D3521" t="s">
        <v>17107</v>
      </c>
      <c r="E3521" t="s">
        <v>2758</v>
      </c>
      <c r="F3521" t="s">
        <v>17</v>
      </c>
      <c r="G3521" t="s">
        <v>17108</v>
      </c>
      <c r="H3521">
        <v>19.05</v>
      </c>
      <c r="I3521">
        <v>0</v>
      </c>
      <c r="J3521">
        <v>0</v>
      </c>
      <c r="K3521">
        <v>0</v>
      </c>
      <c r="N3521">
        <v>6</v>
      </c>
      <c r="O3521">
        <v>6</v>
      </c>
      <c r="P3521">
        <v>4</v>
      </c>
      <c r="Q3521">
        <v>0</v>
      </c>
      <c r="R3521">
        <v>29.05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H3521">
        <v>29.05</v>
      </c>
    </row>
    <row r="3522" spans="1:34" x14ac:dyDescent="0.3">
      <c r="A3522" s="4">
        <v>3736</v>
      </c>
      <c r="B3522" s="5">
        <v>3515</v>
      </c>
      <c r="C3522">
        <v>8244</v>
      </c>
      <c r="D3522" t="s">
        <v>17109</v>
      </c>
      <c r="E3522" t="s">
        <v>17110</v>
      </c>
      <c r="F3522" t="s">
        <v>425</v>
      </c>
      <c r="G3522" t="s">
        <v>17111</v>
      </c>
      <c r="H3522">
        <v>19.05</v>
      </c>
      <c r="I3522">
        <v>0</v>
      </c>
      <c r="J3522">
        <v>0</v>
      </c>
      <c r="K3522">
        <v>0</v>
      </c>
      <c r="L3522">
        <v>7</v>
      </c>
      <c r="N3522">
        <v>3</v>
      </c>
      <c r="O3522">
        <v>10</v>
      </c>
      <c r="P3522">
        <v>0</v>
      </c>
      <c r="Q3522">
        <v>0</v>
      </c>
      <c r="R3522">
        <v>29.05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H3522">
        <v>29.05</v>
      </c>
    </row>
    <row r="3523" spans="1:34" x14ac:dyDescent="0.3">
      <c r="A3523" s="4">
        <v>3737</v>
      </c>
      <c r="B3523" s="5">
        <v>3516</v>
      </c>
      <c r="C3523">
        <v>15034</v>
      </c>
      <c r="D3523" t="s">
        <v>17112</v>
      </c>
      <c r="E3523" t="s">
        <v>30</v>
      </c>
      <c r="F3523" t="s">
        <v>442</v>
      </c>
      <c r="G3523" t="s">
        <v>17113</v>
      </c>
      <c r="H3523">
        <v>18.05</v>
      </c>
      <c r="I3523">
        <v>0</v>
      </c>
      <c r="J3523">
        <v>0</v>
      </c>
      <c r="K3523">
        <v>0</v>
      </c>
      <c r="L3523">
        <v>7</v>
      </c>
      <c r="O3523">
        <v>7</v>
      </c>
      <c r="P3523">
        <v>4</v>
      </c>
      <c r="Q3523">
        <v>0</v>
      </c>
      <c r="R3523">
        <v>29.05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H3523">
        <v>29.05</v>
      </c>
    </row>
    <row r="3524" spans="1:34" x14ac:dyDescent="0.3">
      <c r="A3524" s="4">
        <v>3738</v>
      </c>
      <c r="B3524" s="5">
        <v>3517</v>
      </c>
      <c r="C3524">
        <v>10342</v>
      </c>
      <c r="D3524" t="s">
        <v>17114</v>
      </c>
      <c r="E3524" t="s">
        <v>413</v>
      </c>
      <c r="F3524" t="s">
        <v>167</v>
      </c>
      <c r="G3524" t="s">
        <v>17115</v>
      </c>
      <c r="H3524">
        <v>20.03</v>
      </c>
      <c r="I3524">
        <v>0</v>
      </c>
      <c r="J3524">
        <v>0</v>
      </c>
      <c r="K3524">
        <v>0</v>
      </c>
      <c r="M3524">
        <v>5</v>
      </c>
      <c r="O3524">
        <v>5</v>
      </c>
      <c r="P3524">
        <v>4</v>
      </c>
      <c r="Q3524">
        <v>0</v>
      </c>
      <c r="R3524">
        <v>29.03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H3524">
        <v>29.03</v>
      </c>
    </row>
    <row r="3525" spans="1:34" x14ac:dyDescent="0.3">
      <c r="A3525" s="4">
        <v>3739</v>
      </c>
      <c r="B3525" s="5">
        <v>3518</v>
      </c>
      <c r="C3525">
        <v>12376</v>
      </c>
      <c r="D3525" t="s">
        <v>5487</v>
      </c>
      <c r="E3525" t="s">
        <v>173</v>
      </c>
      <c r="F3525" t="s">
        <v>1526</v>
      </c>
      <c r="G3525" t="s">
        <v>17116</v>
      </c>
      <c r="H3525">
        <v>19.03</v>
      </c>
      <c r="I3525">
        <v>0</v>
      </c>
      <c r="J3525">
        <v>0</v>
      </c>
      <c r="K3525">
        <v>0</v>
      </c>
      <c r="N3525">
        <v>6</v>
      </c>
      <c r="O3525">
        <v>6</v>
      </c>
      <c r="P3525">
        <v>4</v>
      </c>
      <c r="Q3525">
        <v>0</v>
      </c>
      <c r="R3525">
        <v>29.03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H3525">
        <v>29.03</v>
      </c>
    </row>
    <row r="3526" spans="1:34" x14ac:dyDescent="0.3">
      <c r="A3526" s="4">
        <v>3740</v>
      </c>
      <c r="B3526" s="5">
        <v>3519</v>
      </c>
      <c r="C3526">
        <v>5547</v>
      </c>
      <c r="D3526" t="s">
        <v>17117</v>
      </c>
      <c r="E3526" t="s">
        <v>213</v>
      </c>
      <c r="F3526" t="s">
        <v>819</v>
      </c>
      <c r="G3526" t="s">
        <v>17118</v>
      </c>
      <c r="H3526">
        <v>18.03</v>
      </c>
      <c r="I3526">
        <v>0</v>
      </c>
      <c r="J3526">
        <v>0</v>
      </c>
      <c r="K3526">
        <v>0</v>
      </c>
      <c r="L3526">
        <v>7</v>
      </c>
      <c r="O3526">
        <v>7</v>
      </c>
      <c r="P3526">
        <v>4</v>
      </c>
      <c r="Q3526">
        <v>0</v>
      </c>
      <c r="R3526">
        <v>29.03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H3526">
        <v>29.03</v>
      </c>
    </row>
    <row r="3527" spans="1:34" x14ac:dyDescent="0.3">
      <c r="A3527" s="4">
        <v>3741</v>
      </c>
      <c r="B3527" s="5">
        <v>3520</v>
      </c>
      <c r="C3527">
        <v>14599</v>
      </c>
      <c r="D3527" t="s">
        <v>12006</v>
      </c>
      <c r="E3527" t="s">
        <v>38</v>
      </c>
      <c r="F3527" t="s">
        <v>30</v>
      </c>
      <c r="H3527">
        <v>22</v>
      </c>
      <c r="I3527">
        <v>0</v>
      </c>
      <c r="J3527">
        <v>0</v>
      </c>
      <c r="K3527">
        <v>0</v>
      </c>
      <c r="L3527">
        <v>7</v>
      </c>
      <c r="O3527">
        <v>7</v>
      </c>
      <c r="P3527">
        <v>0</v>
      </c>
      <c r="Q3527">
        <v>0</v>
      </c>
      <c r="R3527">
        <v>29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H3527">
        <v>29</v>
      </c>
    </row>
    <row r="3528" spans="1:34" x14ac:dyDescent="0.3">
      <c r="A3528" s="4">
        <v>3742</v>
      </c>
      <c r="B3528" s="5">
        <v>3521</v>
      </c>
      <c r="C3528">
        <v>4863</v>
      </c>
      <c r="D3528" t="s">
        <v>17119</v>
      </c>
      <c r="E3528" t="s">
        <v>4391</v>
      </c>
      <c r="F3528" t="s">
        <v>375</v>
      </c>
      <c r="G3528" t="s">
        <v>17120</v>
      </c>
      <c r="H3528">
        <v>20</v>
      </c>
      <c r="I3528">
        <v>0</v>
      </c>
      <c r="J3528">
        <v>0</v>
      </c>
      <c r="K3528">
        <v>0</v>
      </c>
      <c r="L3528">
        <v>7</v>
      </c>
      <c r="O3528">
        <v>7</v>
      </c>
      <c r="P3528">
        <v>0</v>
      </c>
      <c r="Q3528">
        <v>2</v>
      </c>
      <c r="R3528">
        <v>29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H3528">
        <v>29</v>
      </c>
    </row>
    <row r="3529" spans="1:34" x14ac:dyDescent="0.3">
      <c r="A3529" s="4">
        <v>3743</v>
      </c>
      <c r="B3529" s="5">
        <v>3522</v>
      </c>
      <c r="C3529">
        <v>4837</v>
      </c>
      <c r="D3529" t="s">
        <v>17121</v>
      </c>
      <c r="E3529" t="s">
        <v>38</v>
      </c>
      <c r="F3529" t="s">
        <v>81</v>
      </c>
      <c r="G3529" t="s">
        <v>17122</v>
      </c>
      <c r="H3529">
        <v>18.98</v>
      </c>
      <c r="I3529">
        <v>0</v>
      </c>
      <c r="J3529">
        <v>0</v>
      </c>
      <c r="K3529">
        <v>0</v>
      </c>
      <c r="N3529">
        <v>3</v>
      </c>
      <c r="O3529">
        <v>3</v>
      </c>
      <c r="P3529">
        <v>4</v>
      </c>
      <c r="Q3529">
        <v>0</v>
      </c>
      <c r="R3529">
        <v>25.98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3</v>
      </c>
      <c r="AC3529">
        <v>0</v>
      </c>
      <c r="AH3529">
        <v>28.98</v>
      </c>
    </row>
    <row r="3530" spans="1:34" x14ac:dyDescent="0.3">
      <c r="A3530" s="4">
        <v>3744</v>
      </c>
      <c r="B3530" s="5">
        <v>3523</v>
      </c>
      <c r="C3530">
        <v>14279</v>
      </c>
      <c r="D3530" t="s">
        <v>4536</v>
      </c>
      <c r="E3530" t="s">
        <v>1659</v>
      </c>
      <c r="F3530" t="s">
        <v>17</v>
      </c>
      <c r="G3530" t="s">
        <v>17123</v>
      </c>
      <c r="H3530">
        <v>18.98</v>
      </c>
      <c r="I3530">
        <v>0</v>
      </c>
      <c r="J3530">
        <v>0</v>
      </c>
      <c r="K3530">
        <v>0</v>
      </c>
      <c r="L3530">
        <v>7</v>
      </c>
      <c r="N3530">
        <v>3</v>
      </c>
      <c r="O3530">
        <v>10</v>
      </c>
      <c r="P3530">
        <v>0</v>
      </c>
      <c r="Q3530">
        <v>0</v>
      </c>
      <c r="R3530">
        <v>28.98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H3530">
        <v>28.98</v>
      </c>
    </row>
    <row r="3531" spans="1:34" x14ac:dyDescent="0.3">
      <c r="A3531" s="4">
        <v>3745</v>
      </c>
      <c r="B3531" s="5">
        <v>3524</v>
      </c>
      <c r="C3531">
        <v>5411</v>
      </c>
      <c r="D3531" t="s">
        <v>17124</v>
      </c>
      <c r="E3531" t="s">
        <v>3184</v>
      </c>
      <c r="F3531" t="s">
        <v>230</v>
      </c>
      <c r="G3531" t="s">
        <v>17125</v>
      </c>
      <c r="H3531">
        <v>17.98</v>
      </c>
      <c r="I3531">
        <v>0</v>
      </c>
      <c r="J3531">
        <v>0</v>
      </c>
      <c r="K3531">
        <v>0</v>
      </c>
      <c r="L3531">
        <v>7</v>
      </c>
      <c r="O3531">
        <v>7</v>
      </c>
      <c r="P3531">
        <v>4</v>
      </c>
      <c r="Q3531">
        <v>0</v>
      </c>
      <c r="R3531">
        <v>28.98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H3531">
        <v>28.98</v>
      </c>
    </row>
    <row r="3532" spans="1:34" x14ac:dyDescent="0.3">
      <c r="A3532" s="4">
        <v>3746</v>
      </c>
      <c r="B3532" s="5">
        <v>3525</v>
      </c>
      <c r="C3532">
        <v>4295</v>
      </c>
      <c r="D3532" t="s">
        <v>17126</v>
      </c>
      <c r="E3532" t="s">
        <v>147</v>
      </c>
      <c r="F3532" t="s">
        <v>136</v>
      </c>
      <c r="G3532" t="s">
        <v>17127</v>
      </c>
      <c r="H3532">
        <v>16.98</v>
      </c>
      <c r="I3532">
        <v>0</v>
      </c>
      <c r="J3532">
        <v>0</v>
      </c>
      <c r="K3532">
        <v>0</v>
      </c>
      <c r="M3532">
        <v>5</v>
      </c>
      <c r="N3532">
        <v>3</v>
      </c>
      <c r="O3532">
        <v>8</v>
      </c>
      <c r="P3532">
        <v>4</v>
      </c>
      <c r="Q3532">
        <v>0</v>
      </c>
      <c r="R3532">
        <v>28.98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H3532">
        <v>28.98</v>
      </c>
    </row>
    <row r="3533" spans="1:34" x14ac:dyDescent="0.3">
      <c r="A3533" s="4">
        <v>3747</v>
      </c>
      <c r="B3533" s="5">
        <v>3526</v>
      </c>
      <c r="C3533">
        <v>2745</v>
      </c>
      <c r="D3533" t="s">
        <v>17128</v>
      </c>
      <c r="E3533" t="s">
        <v>22</v>
      </c>
      <c r="F3533" t="s">
        <v>442</v>
      </c>
      <c r="G3533" t="s">
        <v>17129</v>
      </c>
      <c r="H3533">
        <v>15.98</v>
      </c>
      <c r="I3533">
        <v>0</v>
      </c>
      <c r="J3533">
        <v>0</v>
      </c>
      <c r="K3533">
        <v>0</v>
      </c>
      <c r="N3533">
        <v>3</v>
      </c>
      <c r="O3533">
        <v>3</v>
      </c>
      <c r="P3533">
        <v>4</v>
      </c>
      <c r="Q3533">
        <v>0</v>
      </c>
      <c r="R3533">
        <v>22.98</v>
      </c>
      <c r="S3533">
        <v>6</v>
      </c>
      <c r="T3533">
        <v>6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6</v>
      </c>
      <c r="AB3533">
        <v>0</v>
      </c>
      <c r="AC3533">
        <v>0</v>
      </c>
      <c r="AH3533">
        <v>28.98</v>
      </c>
    </row>
    <row r="3534" spans="1:34" x14ac:dyDescent="0.3">
      <c r="A3534" s="4">
        <v>3748</v>
      </c>
      <c r="B3534" s="5">
        <v>3527</v>
      </c>
      <c r="C3534">
        <v>14237</v>
      </c>
      <c r="D3534" t="s">
        <v>3404</v>
      </c>
      <c r="E3534" t="s">
        <v>17130</v>
      </c>
      <c r="F3534" t="s">
        <v>20</v>
      </c>
      <c r="G3534" t="s">
        <v>17131</v>
      </c>
      <c r="H3534">
        <v>23.95</v>
      </c>
      <c r="I3534">
        <v>0</v>
      </c>
      <c r="J3534">
        <v>0</v>
      </c>
      <c r="K3534">
        <v>0</v>
      </c>
      <c r="O3534">
        <v>0</v>
      </c>
      <c r="P3534">
        <v>0</v>
      </c>
      <c r="Q3534">
        <v>2</v>
      </c>
      <c r="R3534">
        <v>25.95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3</v>
      </c>
      <c r="AC3534">
        <v>0</v>
      </c>
      <c r="AH3534">
        <v>28.95</v>
      </c>
    </row>
    <row r="3535" spans="1:34" x14ac:dyDescent="0.3">
      <c r="A3535" s="4">
        <v>3749</v>
      </c>
      <c r="B3535" s="5">
        <v>3528</v>
      </c>
      <c r="C3535">
        <v>4663</v>
      </c>
      <c r="D3535" t="s">
        <v>17132</v>
      </c>
      <c r="E3535" t="s">
        <v>166</v>
      </c>
      <c r="F3535" t="s">
        <v>17</v>
      </c>
      <c r="G3535" t="s">
        <v>17133</v>
      </c>
      <c r="H3535">
        <v>18.95</v>
      </c>
      <c r="I3535">
        <v>0</v>
      </c>
      <c r="J3535">
        <v>0</v>
      </c>
      <c r="K3535">
        <v>0</v>
      </c>
      <c r="N3535">
        <v>3</v>
      </c>
      <c r="O3535">
        <v>3</v>
      </c>
      <c r="P3535">
        <v>4</v>
      </c>
      <c r="Q3535">
        <v>0</v>
      </c>
      <c r="R3535">
        <v>25.95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3</v>
      </c>
      <c r="AC3535">
        <v>0</v>
      </c>
      <c r="AH3535">
        <v>28.95</v>
      </c>
    </row>
    <row r="3536" spans="1:34" x14ac:dyDescent="0.3">
      <c r="A3536" s="4">
        <v>3750</v>
      </c>
      <c r="B3536" s="5">
        <v>3529</v>
      </c>
      <c r="C3536">
        <v>7138</v>
      </c>
      <c r="D3536" t="s">
        <v>1258</v>
      </c>
      <c r="E3536" t="s">
        <v>258</v>
      </c>
      <c r="F3536" t="s">
        <v>30</v>
      </c>
      <c r="G3536" t="s">
        <v>17134</v>
      </c>
      <c r="H3536">
        <v>19.95</v>
      </c>
      <c r="I3536">
        <v>0</v>
      </c>
      <c r="J3536">
        <v>0</v>
      </c>
      <c r="K3536">
        <v>0</v>
      </c>
      <c r="M3536">
        <v>5</v>
      </c>
      <c r="O3536">
        <v>5</v>
      </c>
      <c r="P3536">
        <v>4</v>
      </c>
      <c r="Q3536">
        <v>0</v>
      </c>
      <c r="R3536">
        <v>28.95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H3536">
        <v>28.95</v>
      </c>
    </row>
    <row r="3537" spans="1:34" x14ac:dyDescent="0.3">
      <c r="A3537" s="4">
        <v>3751</v>
      </c>
      <c r="B3537" s="5">
        <v>3530</v>
      </c>
      <c r="C3537">
        <v>8882</v>
      </c>
      <c r="D3537" t="s">
        <v>17135</v>
      </c>
      <c r="E3537" t="s">
        <v>17136</v>
      </c>
      <c r="F3537" t="s">
        <v>570</v>
      </c>
      <c r="G3537" t="s">
        <v>17137</v>
      </c>
      <c r="H3537">
        <v>19.95</v>
      </c>
      <c r="I3537">
        <v>0</v>
      </c>
      <c r="J3537">
        <v>0</v>
      </c>
      <c r="K3537">
        <v>0</v>
      </c>
      <c r="L3537">
        <v>7</v>
      </c>
      <c r="O3537">
        <v>7</v>
      </c>
      <c r="P3537">
        <v>0</v>
      </c>
      <c r="Q3537">
        <v>2</v>
      </c>
      <c r="R3537">
        <v>28.95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H3537">
        <v>28.95</v>
      </c>
    </row>
    <row r="3538" spans="1:34" x14ac:dyDescent="0.3">
      <c r="A3538" s="4">
        <v>3752</v>
      </c>
      <c r="B3538" s="5">
        <v>3531</v>
      </c>
      <c r="C3538">
        <v>14273</v>
      </c>
      <c r="D3538" t="s">
        <v>6587</v>
      </c>
      <c r="E3538" t="s">
        <v>166</v>
      </c>
      <c r="F3538" t="s">
        <v>136</v>
      </c>
      <c r="G3538" t="s">
        <v>17138</v>
      </c>
      <c r="H3538">
        <v>18.95</v>
      </c>
      <c r="I3538">
        <v>0</v>
      </c>
      <c r="J3538">
        <v>0</v>
      </c>
      <c r="K3538">
        <v>0</v>
      </c>
      <c r="L3538">
        <v>7</v>
      </c>
      <c r="N3538">
        <v>3</v>
      </c>
      <c r="O3538">
        <v>10</v>
      </c>
      <c r="P3538">
        <v>0</v>
      </c>
      <c r="Q3538">
        <v>0</v>
      </c>
      <c r="R3538">
        <v>28.95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H3538">
        <v>28.95</v>
      </c>
    </row>
    <row r="3539" spans="1:34" x14ac:dyDescent="0.3">
      <c r="A3539" s="4">
        <v>3753</v>
      </c>
      <c r="B3539" s="5">
        <v>3532</v>
      </c>
      <c r="C3539">
        <v>6517</v>
      </c>
      <c r="D3539" t="s">
        <v>17139</v>
      </c>
      <c r="E3539" t="s">
        <v>29</v>
      </c>
      <c r="F3539" t="s">
        <v>81</v>
      </c>
      <c r="G3539" t="s">
        <v>17140</v>
      </c>
      <c r="H3539">
        <v>17.95</v>
      </c>
      <c r="I3539">
        <v>0</v>
      </c>
      <c r="J3539">
        <v>0</v>
      </c>
      <c r="K3539">
        <v>0</v>
      </c>
      <c r="L3539">
        <v>7</v>
      </c>
      <c r="O3539">
        <v>7</v>
      </c>
      <c r="P3539">
        <v>4</v>
      </c>
      <c r="Q3539">
        <v>0</v>
      </c>
      <c r="R3539">
        <v>28.95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H3539">
        <v>28.95</v>
      </c>
    </row>
    <row r="3540" spans="1:34" x14ac:dyDescent="0.3">
      <c r="A3540" s="4">
        <v>3754</v>
      </c>
      <c r="B3540" s="5">
        <v>3533</v>
      </c>
      <c r="C3540">
        <v>25</v>
      </c>
      <c r="D3540" t="s">
        <v>397</v>
      </c>
      <c r="E3540" t="s">
        <v>170</v>
      </c>
      <c r="F3540" t="s">
        <v>328</v>
      </c>
      <c r="G3540" t="s">
        <v>17141</v>
      </c>
      <c r="H3540">
        <v>17.95</v>
      </c>
      <c r="I3540">
        <v>0</v>
      </c>
      <c r="J3540">
        <v>0</v>
      </c>
      <c r="K3540">
        <v>0</v>
      </c>
      <c r="L3540">
        <v>7</v>
      </c>
      <c r="O3540">
        <v>7</v>
      </c>
      <c r="P3540">
        <v>4</v>
      </c>
      <c r="Q3540">
        <v>0</v>
      </c>
      <c r="R3540">
        <v>28.95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H3540">
        <v>28.95</v>
      </c>
    </row>
    <row r="3541" spans="1:34" x14ac:dyDescent="0.3">
      <c r="A3541" s="4">
        <v>3755</v>
      </c>
      <c r="B3541" s="5">
        <v>3534</v>
      </c>
      <c r="C3541">
        <v>14081</v>
      </c>
      <c r="D3541" t="s">
        <v>17142</v>
      </c>
      <c r="E3541" t="s">
        <v>439</v>
      </c>
      <c r="F3541" t="s">
        <v>117</v>
      </c>
      <c r="G3541" t="s">
        <v>17143</v>
      </c>
      <c r="H3541">
        <v>17.95</v>
      </c>
      <c r="I3541">
        <v>0</v>
      </c>
      <c r="J3541">
        <v>0</v>
      </c>
      <c r="K3541">
        <v>0</v>
      </c>
      <c r="L3541">
        <v>7</v>
      </c>
      <c r="O3541">
        <v>7</v>
      </c>
      <c r="P3541">
        <v>4</v>
      </c>
      <c r="Q3541">
        <v>0</v>
      </c>
      <c r="R3541">
        <v>28.95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H3541">
        <v>28.95</v>
      </c>
    </row>
    <row r="3542" spans="1:34" x14ac:dyDescent="0.3">
      <c r="A3542" s="4">
        <v>3756</v>
      </c>
      <c r="B3542" s="5">
        <v>3535</v>
      </c>
      <c r="C3542">
        <v>6554</v>
      </c>
      <c r="D3542" t="s">
        <v>17144</v>
      </c>
      <c r="E3542" t="s">
        <v>37</v>
      </c>
      <c r="F3542" t="s">
        <v>17</v>
      </c>
      <c r="G3542" t="s">
        <v>32061</v>
      </c>
      <c r="H3542">
        <v>17.95</v>
      </c>
      <c r="I3542">
        <v>0</v>
      </c>
      <c r="J3542">
        <v>0</v>
      </c>
      <c r="K3542">
        <v>0</v>
      </c>
      <c r="L3542">
        <v>7</v>
      </c>
      <c r="O3542">
        <v>7</v>
      </c>
      <c r="P3542">
        <v>4</v>
      </c>
      <c r="Q3542">
        <v>0</v>
      </c>
      <c r="R3542">
        <v>28.95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H3542">
        <v>28.95</v>
      </c>
    </row>
    <row r="3543" spans="1:34" x14ac:dyDescent="0.3">
      <c r="A3543" s="4">
        <v>3757</v>
      </c>
      <c r="B3543" s="5">
        <v>3536</v>
      </c>
      <c r="C3543">
        <v>4715</v>
      </c>
      <c r="D3543" t="s">
        <v>17145</v>
      </c>
      <c r="E3543" t="s">
        <v>54</v>
      </c>
      <c r="F3543" t="s">
        <v>17146</v>
      </c>
      <c r="G3543" t="s">
        <v>17147</v>
      </c>
      <c r="H3543">
        <v>19.93</v>
      </c>
      <c r="I3543">
        <v>0</v>
      </c>
      <c r="J3543">
        <v>0</v>
      </c>
      <c r="K3543">
        <v>0</v>
      </c>
      <c r="M3543">
        <v>5</v>
      </c>
      <c r="O3543">
        <v>5</v>
      </c>
      <c r="P3543">
        <v>4</v>
      </c>
      <c r="Q3543">
        <v>0</v>
      </c>
      <c r="R3543">
        <v>28.93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H3543">
        <v>28.93</v>
      </c>
    </row>
    <row r="3544" spans="1:34" x14ac:dyDescent="0.3">
      <c r="A3544" s="4">
        <v>3758</v>
      </c>
      <c r="B3544" s="5">
        <v>3537</v>
      </c>
      <c r="C3544">
        <v>671</v>
      </c>
      <c r="D3544" t="s">
        <v>17148</v>
      </c>
      <c r="E3544" t="s">
        <v>2011</v>
      </c>
      <c r="F3544" t="s">
        <v>158</v>
      </c>
      <c r="G3544" t="s">
        <v>17149</v>
      </c>
      <c r="H3544">
        <v>17.93</v>
      </c>
      <c r="I3544">
        <v>0</v>
      </c>
      <c r="J3544">
        <v>0</v>
      </c>
      <c r="K3544">
        <v>0</v>
      </c>
      <c r="L3544">
        <v>7</v>
      </c>
      <c r="O3544">
        <v>7</v>
      </c>
      <c r="P3544">
        <v>4</v>
      </c>
      <c r="Q3544">
        <v>0</v>
      </c>
      <c r="R3544">
        <v>28.93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H3544">
        <v>28.93</v>
      </c>
    </row>
    <row r="3545" spans="1:34" x14ac:dyDescent="0.3">
      <c r="A3545" s="4">
        <v>3759</v>
      </c>
      <c r="B3545" s="5">
        <v>3538</v>
      </c>
      <c r="C3545">
        <v>5052</v>
      </c>
      <c r="D3545" t="s">
        <v>12978</v>
      </c>
      <c r="E3545" t="s">
        <v>10280</v>
      </c>
      <c r="F3545" t="s">
        <v>79</v>
      </c>
      <c r="G3545" t="s">
        <v>17150</v>
      </c>
      <c r="H3545">
        <v>17.93</v>
      </c>
      <c r="I3545">
        <v>0</v>
      </c>
      <c r="J3545">
        <v>0</v>
      </c>
      <c r="K3545">
        <v>0</v>
      </c>
      <c r="L3545">
        <v>7</v>
      </c>
      <c r="O3545">
        <v>7</v>
      </c>
      <c r="P3545">
        <v>4</v>
      </c>
      <c r="Q3545">
        <v>0</v>
      </c>
      <c r="R3545">
        <v>28.93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H3545">
        <v>28.93</v>
      </c>
    </row>
    <row r="3546" spans="1:34" x14ac:dyDescent="0.3">
      <c r="A3546" s="4">
        <v>3760</v>
      </c>
      <c r="B3546" s="5">
        <v>3539</v>
      </c>
      <c r="C3546">
        <v>2990</v>
      </c>
      <c r="D3546" t="s">
        <v>1530</v>
      </c>
      <c r="E3546" t="s">
        <v>41</v>
      </c>
      <c r="F3546" t="s">
        <v>124</v>
      </c>
      <c r="G3546" t="s">
        <v>17151</v>
      </c>
      <c r="H3546">
        <v>15.93</v>
      </c>
      <c r="I3546">
        <v>0</v>
      </c>
      <c r="J3546">
        <v>0</v>
      </c>
      <c r="K3546">
        <v>0</v>
      </c>
      <c r="L3546">
        <v>7</v>
      </c>
      <c r="O3546">
        <v>7</v>
      </c>
      <c r="P3546">
        <v>4</v>
      </c>
      <c r="Q3546">
        <v>2</v>
      </c>
      <c r="R3546">
        <v>28.93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 t="s">
        <v>130</v>
      </c>
      <c r="AH3546">
        <v>28.93</v>
      </c>
    </row>
    <row r="3547" spans="1:34" x14ac:dyDescent="0.3">
      <c r="A3547" s="4">
        <v>3761</v>
      </c>
      <c r="B3547" s="5">
        <v>3540</v>
      </c>
      <c r="C3547">
        <v>8931</v>
      </c>
      <c r="D3547" t="s">
        <v>17152</v>
      </c>
      <c r="E3547" t="s">
        <v>268</v>
      </c>
      <c r="F3547" t="s">
        <v>158</v>
      </c>
      <c r="G3547" t="s">
        <v>17153</v>
      </c>
      <c r="H3547">
        <v>21.9</v>
      </c>
      <c r="I3547">
        <v>0</v>
      </c>
      <c r="J3547">
        <v>0</v>
      </c>
      <c r="K3547">
        <v>0</v>
      </c>
      <c r="L3547">
        <v>7</v>
      </c>
      <c r="O3547">
        <v>7</v>
      </c>
      <c r="P3547">
        <v>0</v>
      </c>
      <c r="Q3547">
        <v>0</v>
      </c>
      <c r="R3547">
        <v>28.9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H3547">
        <v>28.9</v>
      </c>
    </row>
    <row r="3548" spans="1:34" x14ac:dyDescent="0.3">
      <c r="A3548" s="4">
        <v>3762</v>
      </c>
      <c r="B3548" s="5">
        <v>3541</v>
      </c>
      <c r="C3548">
        <v>7182</v>
      </c>
      <c r="D3548" t="s">
        <v>10119</v>
      </c>
      <c r="E3548" t="s">
        <v>17154</v>
      </c>
      <c r="F3548" t="s">
        <v>117</v>
      </c>
      <c r="G3548" t="s">
        <v>17155</v>
      </c>
      <c r="H3548">
        <v>17.899999999999999</v>
      </c>
      <c r="I3548">
        <v>0</v>
      </c>
      <c r="J3548">
        <v>0</v>
      </c>
      <c r="K3548">
        <v>0</v>
      </c>
      <c r="L3548">
        <v>7</v>
      </c>
      <c r="O3548">
        <v>7</v>
      </c>
      <c r="P3548">
        <v>4</v>
      </c>
      <c r="Q3548">
        <v>0</v>
      </c>
      <c r="R3548">
        <v>28.9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H3548">
        <v>28.9</v>
      </c>
    </row>
    <row r="3549" spans="1:34" x14ac:dyDescent="0.3">
      <c r="A3549" s="4">
        <v>3763</v>
      </c>
      <c r="B3549" s="5">
        <v>3542</v>
      </c>
      <c r="C3549">
        <v>824</v>
      </c>
      <c r="D3549" t="s">
        <v>17156</v>
      </c>
      <c r="E3549" t="s">
        <v>188</v>
      </c>
      <c r="F3549" t="s">
        <v>17</v>
      </c>
      <c r="G3549" t="s">
        <v>17157</v>
      </c>
      <c r="H3549">
        <v>17.899999999999999</v>
      </c>
      <c r="I3549">
        <v>0</v>
      </c>
      <c r="J3549">
        <v>0</v>
      </c>
      <c r="K3549">
        <v>0</v>
      </c>
      <c r="L3549">
        <v>7</v>
      </c>
      <c r="O3549">
        <v>7</v>
      </c>
      <c r="P3549">
        <v>4</v>
      </c>
      <c r="Q3549">
        <v>0</v>
      </c>
      <c r="R3549">
        <v>28.9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H3549">
        <v>28.9</v>
      </c>
    </row>
    <row r="3550" spans="1:34" x14ac:dyDescent="0.3">
      <c r="A3550" s="4">
        <v>3764</v>
      </c>
      <c r="B3550" s="5">
        <v>3543</v>
      </c>
      <c r="C3550">
        <v>14846</v>
      </c>
      <c r="D3550" t="s">
        <v>17158</v>
      </c>
      <c r="E3550" t="s">
        <v>550</v>
      </c>
      <c r="F3550" t="s">
        <v>136</v>
      </c>
      <c r="G3550" t="s">
        <v>17159</v>
      </c>
      <c r="H3550">
        <v>17.899999999999999</v>
      </c>
      <c r="I3550">
        <v>0</v>
      </c>
      <c r="J3550">
        <v>0</v>
      </c>
      <c r="K3550">
        <v>0</v>
      </c>
      <c r="L3550">
        <v>7</v>
      </c>
      <c r="O3550">
        <v>7</v>
      </c>
      <c r="P3550">
        <v>4</v>
      </c>
      <c r="Q3550">
        <v>0</v>
      </c>
      <c r="R3550">
        <v>28.9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H3550">
        <v>28.9</v>
      </c>
    </row>
    <row r="3551" spans="1:34" x14ac:dyDescent="0.3">
      <c r="A3551" s="4">
        <v>3765</v>
      </c>
      <c r="B3551" s="5">
        <v>3544</v>
      </c>
      <c r="C3551">
        <v>2689</v>
      </c>
      <c r="D3551" t="s">
        <v>1337</v>
      </c>
      <c r="E3551" t="s">
        <v>213</v>
      </c>
      <c r="F3551" t="s">
        <v>136</v>
      </c>
      <c r="G3551" t="s">
        <v>17160</v>
      </c>
      <c r="H3551">
        <v>17.899999999999999</v>
      </c>
      <c r="I3551">
        <v>0</v>
      </c>
      <c r="J3551">
        <v>0</v>
      </c>
      <c r="K3551">
        <v>0</v>
      </c>
      <c r="L3551">
        <v>7</v>
      </c>
      <c r="O3551">
        <v>7</v>
      </c>
      <c r="P3551">
        <v>4</v>
      </c>
      <c r="Q3551">
        <v>0</v>
      </c>
      <c r="R3551">
        <v>28.9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H3551">
        <v>28.9</v>
      </c>
    </row>
    <row r="3552" spans="1:34" x14ac:dyDescent="0.3">
      <c r="A3552" s="4">
        <v>3766</v>
      </c>
      <c r="B3552" s="5">
        <v>3545</v>
      </c>
      <c r="C3552">
        <v>8912</v>
      </c>
      <c r="D3552" t="s">
        <v>17161</v>
      </c>
      <c r="E3552" t="s">
        <v>100</v>
      </c>
      <c r="F3552" t="s">
        <v>81</v>
      </c>
      <c r="G3552" t="s">
        <v>17162</v>
      </c>
      <c r="H3552">
        <v>17.899999999999999</v>
      </c>
      <c r="I3552">
        <v>0</v>
      </c>
      <c r="J3552">
        <v>0</v>
      </c>
      <c r="K3552">
        <v>0</v>
      </c>
      <c r="L3552">
        <v>7</v>
      </c>
      <c r="O3552">
        <v>7</v>
      </c>
      <c r="P3552">
        <v>4</v>
      </c>
      <c r="Q3552">
        <v>0</v>
      </c>
      <c r="R3552">
        <v>28.9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H3552">
        <v>28.9</v>
      </c>
    </row>
    <row r="3553" spans="1:34" x14ac:dyDescent="0.3">
      <c r="A3553" s="4">
        <v>3767</v>
      </c>
      <c r="B3553" s="5">
        <v>3546</v>
      </c>
      <c r="C3553">
        <v>5581</v>
      </c>
      <c r="D3553" t="s">
        <v>3230</v>
      </c>
      <c r="E3553" t="s">
        <v>188</v>
      </c>
      <c r="F3553" t="s">
        <v>38</v>
      </c>
      <c r="G3553" t="s">
        <v>17163</v>
      </c>
      <c r="H3553">
        <v>17.899999999999999</v>
      </c>
      <c r="I3553">
        <v>0</v>
      </c>
      <c r="J3553">
        <v>0</v>
      </c>
      <c r="K3553">
        <v>0</v>
      </c>
      <c r="L3553">
        <v>7</v>
      </c>
      <c r="O3553">
        <v>7</v>
      </c>
      <c r="P3553">
        <v>4</v>
      </c>
      <c r="Q3553">
        <v>0</v>
      </c>
      <c r="R3553">
        <v>28.9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H3553">
        <v>28.9</v>
      </c>
    </row>
    <row r="3554" spans="1:34" x14ac:dyDescent="0.3">
      <c r="A3554" s="4">
        <v>3768</v>
      </c>
      <c r="B3554" s="5">
        <v>3547</v>
      </c>
      <c r="C3554">
        <v>6926</v>
      </c>
      <c r="D3554" t="s">
        <v>17164</v>
      </c>
      <c r="E3554" t="s">
        <v>26</v>
      </c>
      <c r="F3554" t="s">
        <v>17165</v>
      </c>
      <c r="G3554" t="s">
        <v>17166</v>
      </c>
      <c r="H3554">
        <v>21.88</v>
      </c>
      <c r="I3554">
        <v>0</v>
      </c>
      <c r="J3554">
        <v>0</v>
      </c>
      <c r="K3554">
        <v>0</v>
      </c>
      <c r="L3554">
        <v>7</v>
      </c>
      <c r="O3554">
        <v>7</v>
      </c>
      <c r="P3554">
        <v>0</v>
      </c>
      <c r="Q3554">
        <v>0</v>
      </c>
      <c r="R3554">
        <v>28.88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H3554">
        <v>28.88</v>
      </c>
    </row>
    <row r="3555" spans="1:34" x14ac:dyDescent="0.3">
      <c r="A3555" s="4">
        <v>3769</v>
      </c>
      <c r="B3555" s="5">
        <v>3548</v>
      </c>
      <c r="C3555">
        <v>12940</v>
      </c>
      <c r="D3555" t="s">
        <v>17167</v>
      </c>
      <c r="E3555" t="s">
        <v>41</v>
      </c>
      <c r="F3555" t="s">
        <v>81</v>
      </c>
      <c r="G3555">
        <v>335033</v>
      </c>
      <c r="H3555">
        <v>19.88</v>
      </c>
      <c r="I3555">
        <v>0</v>
      </c>
      <c r="J3555">
        <v>0</v>
      </c>
      <c r="K3555">
        <v>0</v>
      </c>
      <c r="L3555">
        <v>7</v>
      </c>
      <c r="O3555">
        <v>7</v>
      </c>
      <c r="P3555">
        <v>0</v>
      </c>
      <c r="Q3555">
        <v>2</v>
      </c>
      <c r="R3555">
        <v>28.88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H3555">
        <v>28.88</v>
      </c>
    </row>
    <row r="3556" spans="1:34" x14ac:dyDescent="0.3">
      <c r="A3556" s="4">
        <v>3770</v>
      </c>
      <c r="B3556" s="5">
        <v>3549</v>
      </c>
      <c r="C3556">
        <v>12114</v>
      </c>
      <c r="D3556" t="s">
        <v>17168</v>
      </c>
      <c r="E3556" t="s">
        <v>213</v>
      </c>
      <c r="F3556" t="s">
        <v>17</v>
      </c>
      <c r="G3556" t="s">
        <v>17169</v>
      </c>
      <c r="H3556">
        <v>19.88</v>
      </c>
      <c r="I3556">
        <v>0</v>
      </c>
      <c r="J3556">
        <v>0</v>
      </c>
      <c r="K3556">
        <v>0</v>
      </c>
      <c r="L3556">
        <v>7</v>
      </c>
      <c r="O3556">
        <v>7</v>
      </c>
      <c r="P3556">
        <v>0</v>
      </c>
      <c r="Q3556">
        <v>2</v>
      </c>
      <c r="R3556">
        <v>28.88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H3556">
        <v>28.88</v>
      </c>
    </row>
    <row r="3557" spans="1:34" x14ac:dyDescent="0.3">
      <c r="A3557" s="4">
        <v>3771</v>
      </c>
      <c r="B3557" s="5">
        <v>3550</v>
      </c>
      <c r="C3557">
        <v>4006</v>
      </c>
      <c r="D3557" t="s">
        <v>3223</v>
      </c>
      <c r="E3557" t="s">
        <v>88</v>
      </c>
      <c r="F3557" t="s">
        <v>117</v>
      </c>
      <c r="G3557" t="s">
        <v>17170</v>
      </c>
      <c r="H3557">
        <v>18.88</v>
      </c>
      <c r="I3557">
        <v>0</v>
      </c>
      <c r="J3557">
        <v>0</v>
      </c>
      <c r="K3557">
        <v>0</v>
      </c>
      <c r="L3557">
        <v>7</v>
      </c>
      <c r="N3557">
        <v>3</v>
      </c>
      <c r="O3557">
        <v>10</v>
      </c>
      <c r="P3557">
        <v>0</v>
      </c>
      <c r="Q3557">
        <v>0</v>
      </c>
      <c r="R3557">
        <v>28.88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H3557">
        <v>28.88</v>
      </c>
    </row>
    <row r="3558" spans="1:34" x14ac:dyDescent="0.3">
      <c r="A3558" s="4">
        <v>3772</v>
      </c>
      <c r="B3558" s="5">
        <v>3551</v>
      </c>
      <c r="C3558">
        <v>925</v>
      </c>
      <c r="D3558" t="s">
        <v>17171</v>
      </c>
      <c r="E3558" t="s">
        <v>41</v>
      </c>
      <c r="F3558" t="s">
        <v>81</v>
      </c>
      <c r="G3558" t="s">
        <v>17172</v>
      </c>
      <c r="H3558">
        <v>17.88</v>
      </c>
      <c r="I3558">
        <v>0</v>
      </c>
      <c r="J3558">
        <v>0</v>
      </c>
      <c r="K3558">
        <v>0</v>
      </c>
      <c r="L3558">
        <v>7</v>
      </c>
      <c r="O3558">
        <v>7</v>
      </c>
      <c r="P3558">
        <v>4</v>
      </c>
      <c r="Q3558">
        <v>0</v>
      </c>
      <c r="R3558">
        <v>28.88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H3558">
        <v>28.88</v>
      </c>
    </row>
    <row r="3559" spans="1:34" x14ac:dyDescent="0.3">
      <c r="A3559" s="4">
        <v>3773</v>
      </c>
      <c r="B3559" s="5">
        <v>3552</v>
      </c>
      <c r="C3559">
        <v>6806</v>
      </c>
      <c r="D3559" t="s">
        <v>2109</v>
      </c>
      <c r="E3559" t="s">
        <v>110</v>
      </c>
      <c r="F3559" t="s">
        <v>385</v>
      </c>
      <c r="G3559" t="s">
        <v>17173</v>
      </c>
      <c r="H3559">
        <v>17.88</v>
      </c>
      <c r="I3559">
        <v>0</v>
      </c>
      <c r="J3559">
        <v>0</v>
      </c>
      <c r="K3559">
        <v>0</v>
      </c>
      <c r="L3559">
        <v>7</v>
      </c>
      <c r="O3559">
        <v>7</v>
      </c>
      <c r="P3559">
        <v>4</v>
      </c>
      <c r="Q3559">
        <v>0</v>
      </c>
      <c r="R3559">
        <v>28.88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H3559">
        <v>28.88</v>
      </c>
    </row>
    <row r="3560" spans="1:34" x14ac:dyDescent="0.3">
      <c r="A3560" s="4">
        <v>3774</v>
      </c>
      <c r="B3560" s="5">
        <v>3553</v>
      </c>
      <c r="C3560">
        <v>4489</v>
      </c>
      <c r="D3560" t="s">
        <v>17174</v>
      </c>
      <c r="E3560" t="s">
        <v>2727</v>
      </c>
      <c r="F3560" t="s">
        <v>34</v>
      </c>
      <c r="G3560" t="s">
        <v>17175</v>
      </c>
      <c r="H3560">
        <v>17.88</v>
      </c>
      <c r="I3560">
        <v>0</v>
      </c>
      <c r="J3560">
        <v>0</v>
      </c>
      <c r="K3560">
        <v>0</v>
      </c>
      <c r="L3560">
        <v>7</v>
      </c>
      <c r="O3560">
        <v>7</v>
      </c>
      <c r="P3560">
        <v>4</v>
      </c>
      <c r="Q3560">
        <v>0</v>
      </c>
      <c r="R3560">
        <v>28.88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H3560">
        <v>28.88</v>
      </c>
    </row>
    <row r="3561" spans="1:34" x14ac:dyDescent="0.3">
      <c r="A3561" s="4">
        <v>3775</v>
      </c>
      <c r="B3561" s="5">
        <v>3554</v>
      </c>
      <c r="C3561">
        <v>13881</v>
      </c>
      <c r="D3561" t="s">
        <v>17176</v>
      </c>
      <c r="E3561" t="s">
        <v>29</v>
      </c>
      <c r="F3561" t="s">
        <v>652</v>
      </c>
      <c r="G3561" t="s">
        <v>17177</v>
      </c>
      <c r="H3561">
        <v>19.850000000000001</v>
      </c>
      <c r="I3561">
        <v>0</v>
      </c>
      <c r="J3561">
        <v>0</v>
      </c>
      <c r="K3561">
        <v>0</v>
      </c>
      <c r="N3561">
        <v>3</v>
      </c>
      <c r="O3561">
        <v>3</v>
      </c>
      <c r="P3561">
        <v>0</v>
      </c>
      <c r="Q3561">
        <v>0</v>
      </c>
      <c r="R3561">
        <v>22.85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6</v>
      </c>
      <c r="AC3561">
        <v>0</v>
      </c>
      <c r="AH3561">
        <v>28.85</v>
      </c>
    </row>
    <row r="3562" spans="1:34" x14ac:dyDescent="0.3">
      <c r="A3562" s="4">
        <v>3776</v>
      </c>
      <c r="B3562" s="5">
        <v>3555</v>
      </c>
      <c r="C3562">
        <v>11792</v>
      </c>
      <c r="D3562" t="s">
        <v>17178</v>
      </c>
      <c r="E3562" t="s">
        <v>372</v>
      </c>
      <c r="F3562" t="s">
        <v>55</v>
      </c>
      <c r="G3562" t="s">
        <v>17179</v>
      </c>
      <c r="H3562">
        <v>21.85</v>
      </c>
      <c r="I3562">
        <v>0</v>
      </c>
      <c r="J3562">
        <v>0</v>
      </c>
      <c r="K3562">
        <v>0</v>
      </c>
      <c r="N3562">
        <v>3</v>
      </c>
      <c r="O3562">
        <v>3</v>
      </c>
      <c r="P3562">
        <v>4</v>
      </c>
      <c r="Q3562">
        <v>0</v>
      </c>
      <c r="R3562">
        <v>28.85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H3562">
        <v>28.85</v>
      </c>
    </row>
    <row r="3563" spans="1:34" x14ac:dyDescent="0.3">
      <c r="A3563" s="4">
        <v>3777</v>
      </c>
      <c r="B3563" s="5">
        <v>3556</v>
      </c>
      <c r="C3563">
        <v>10616</v>
      </c>
      <c r="D3563" t="s">
        <v>165</v>
      </c>
      <c r="E3563" t="s">
        <v>62</v>
      </c>
      <c r="F3563" t="s">
        <v>117</v>
      </c>
      <c r="G3563" t="s">
        <v>17180</v>
      </c>
      <c r="H3563">
        <v>19.850000000000001</v>
      </c>
      <c r="I3563">
        <v>0</v>
      </c>
      <c r="J3563">
        <v>0</v>
      </c>
      <c r="K3563">
        <v>0</v>
      </c>
      <c r="N3563">
        <v>3</v>
      </c>
      <c r="O3563">
        <v>3</v>
      </c>
      <c r="P3563">
        <v>4</v>
      </c>
      <c r="Q3563">
        <v>2</v>
      </c>
      <c r="R3563">
        <v>28.85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H3563">
        <v>28.85</v>
      </c>
    </row>
    <row r="3564" spans="1:34" x14ac:dyDescent="0.3">
      <c r="A3564" s="4">
        <v>3778</v>
      </c>
      <c r="B3564" s="5">
        <v>3557</v>
      </c>
      <c r="C3564">
        <v>2286</v>
      </c>
      <c r="D3564" t="s">
        <v>10685</v>
      </c>
      <c r="E3564" t="s">
        <v>4239</v>
      </c>
      <c r="F3564" t="s">
        <v>136</v>
      </c>
      <c r="G3564" t="s">
        <v>17181</v>
      </c>
      <c r="H3564">
        <v>17.850000000000001</v>
      </c>
      <c r="I3564">
        <v>0</v>
      </c>
      <c r="J3564">
        <v>0</v>
      </c>
      <c r="K3564">
        <v>0</v>
      </c>
      <c r="L3564">
        <v>7</v>
      </c>
      <c r="O3564">
        <v>7</v>
      </c>
      <c r="P3564">
        <v>4</v>
      </c>
      <c r="Q3564">
        <v>0</v>
      </c>
      <c r="R3564">
        <v>28.85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H3564">
        <v>28.85</v>
      </c>
    </row>
    <row r="3565" spans="1:34" x14ac:dyDescent="0.3">
      <c r="A3565" s="4">
        <v>3779</v>
      </c>
      <c r="B3565" s="5">
        <v>3558</v>
      </c>
      <c r="C3565">
        <v>6476</v>
      </c>
      <c r="D3565" t="s">
        <v>17182</v>
      </c>
      <c r="E3565" t="s">
        <v>861</v>
      </c>
      <c r="F3565" t="s">
        <v>81</v>
      </c>
      <c r="G3565" t="s">
        <v>17183</v>
      </c>
      <c r="H3565">
        <v>17.850000000000001</v>
      </c>
      <c r="I3565">
        <v>0</v>
      </c>
      <c r="J3565">
        <v>0</v>
      </c>
      <c r="K3565">
        <v>0</v>
      </c>
      <c r="L3565">
        <v>7</v>
      </c>
      <c r="O3565">
        <v>7</v>
      </c>
      <c r="P3565">
        <v>4</v>
      </c>
      <c r="Q3565">
        <v>0</v>
      </c>
      <c r="R3565">
        <v>28.85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H3565">
        <v>28.85</v>
      </c>
    </row>
    <row r="3566" spans="1:34" x14ac:dyDescent="0.3">
      <c r="A3566" s="4">
        <v>3780</v>
      </c>
      <c r="B3566" s="5">
        <v>3559</v>
      </c>
      <c r="C3566">
        <v>2809</v>
      </c>
      <c r="D3566" t="s">
        <v>1613</v>
      </c>
      <c r="E3566" t="s">
        <v>54</v>
      </c>
      <c r="F3566" t="s">
        <v>34</v>
      </c>
      <c r="G3566" t="s">
        <v>17184</v>
      </c>
      <c r="H3566">
        <v>14.83</v>
      </c>
      <c r="I3566">
        <v>0</v>
      </c>
      <c r="J3566">
        <v>0</v>
      </c>
      <c r="K3566">
        <v>0</v>
      </c>
      <c r="M3566">
        <v>5</v>
      </c>
      <c r="O3566">
        <v>5</v>
      </c>
      <c r="P3566">
        <v>4</v>
      </c>
      <c r="Q3566">
        <v>2</v>
      </c>
      <c r="R3566">
        <v>25.83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3</v>
      </c>
      <c r="AC3566">
        <v>0</v>
      </c>
      <c r="AH3566">
        <v>28.83</v>
      </c>
    </row>
    <row r="3567" spans="1:34" x14ac:dyDescent="0.3">
      <c r="A3567" s="4">
        <v>3781</v>
      </c>
      <c r="B3567" s="5">
        <v>3560</v>
      </c>
      <c r="C3567">
        <v>7227</v>
      </c>
      <c r="D3567" t="s">
        <v>9205</v>
      </c>
      <c r="E3567" t="s">
        <v>744</v>
      </c>
      <c r="F3567" t="s">
        <v>190</v>
      </c>
      <c r="G3567" t="s">
        <v>17185</v>
      </c>
      <c r="H3567">
        <v>15.83</v>
      </c>
      <c r="I3567">
        <v>0</v>
      </c>
      <c r="J3567">
        <v>0</v>
      </c>
      <c r="K3567">
        <v>0</v>
      </c>
      <c r="L3567">
        <v>7</v>
      </c>
      <c r="O3567">
        <v>7</v>
      </c>
      <c r="P3567">
        <v>4</v>
      </c>
      <c r="Q3567">
        <v>2</v>
      </c>
      <c r="R3567">
        <v>28.83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H3567">
        <v>28.83</v>
      </c>
    </row>
    <row r="3568" spans="1:34" x14ac:dyDescent="0.3">
      <c r="A3568" s="4">
        <v>3782</v>
      </c>
      <c r="B3568" s="5">
        <v>3561</v>
      </c>
      <c r="C3568">
        <v>11676</v>
      </c>
      <c r="D3568" t="s">
        <v>17186</v>
      </c>
      <c r="E3568" t="s">
        <v>1997</v>
      </c>
      <c r="F3568" t="s">
        <v>20</v>
      </c>
      <c r="G3568" t="s">
        <v>17187</v>
      </c>
      <c r="H3568">
        <v>17.8</v>
      </c>
      <c r="I3568">
        <v>0</v>
      </c>
      <c r="J3568">
        <v>0</v>
      </c>
      <c r="K3568">
        <v>0</v>
      </c>
      <c r="L3568">
        <v>7</v>
      </c>
      <c r="O3568">
        <v>7</v>
      </c>
      <c r="P3568">
        <v>4</v>
      </c>
      <c r="Q3568">
        <v>0</v>
      </c>
      <c r="R3568">
        <v>28.8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H3568">
        <v>28.8</v>
      </c>
    </row>
    <row r="3569" spans="1:34" x14ac:dyDescent="0.3">
      <c r="A3569" s="4">
        <v>3783</v>
      </c>
      <c r="B3569" s="5">
        <v>3562</v>
      </c>
      <c r="C3569">
        <v>7253</v>
      </c>
      <c r="D3569" t="s">
        <v>17188</v>
      </c>
      <c r="E3569" t="s">
        <v>41</v>
      </c>
      <c r="F3569" t="s">
        <v>117</v>
      </c>
      <c r="G3569" t="s">
        <v>17189</v>
      </c>
      <c r="H3569">
        <v>16.78</v>
      </c>
      <c r="I3569">
        <v>0</v>
      </c>
      <c r="J3569">
        <v>0</v>
      </c>
      <c r="K3569">
        <v>0</v>
      </c>
      <c r="N3569">
        <v>3</v>
      </c>
      <c r="O3569">
        <v>3</v>
      </c>
      <c r="P3569">
        <v>4</v>
      </c>
      <c r="Q3569">
        <v>2</v>
      </c>
      <c r="R3569">
        <v>25.78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3</v>
      </c>
      <c r="AC3569">
        <v>0</v>
      </c>
      <c r="AD3569" t="s">
        <v>130</v>
      </c>
      <c r="AH3569">
        <v>28.78</v>
      </c>
    </row>
    <row r="3570" spans="1:34" x14ac:dyDescent="0.3">
      <c r="A3570" s="4">
        <v>3784</v>
      </c>
      <c r="B3570" s="5">
        <v>3563</v>
      </c>
      <c r="C3570">
        <v>2331</v>
      </c>
      <c r="D3570" t="s">
        <v>17190</v>
      </c>
      <c r="E3570" t="s">
        <v>132</v>
      </c>
      <c r="F3570" t="s">
        <v>375</v>
      </c>
      <c r="G3570" t="s">
        <v>17191</v>
      </c>
      <c r="H3570">
        <v>21.78</v>
      </c>
      <c r="I3570">
        <v>0</v>
      </c>
      <c r="J3570">
        <v>0</v>
      </c>
      <c r="K3570">
        <v>0</v>
      </c>
      <c r="L3570">
        <v>7</v>
      </c>
      <c r="O3570">
        <v>7</v>
      </c>
      <c r="P3570">
        <v>0</v>
      </c>
      <c r="Q3570">
        <v>0</v>
      </c>
      <c r="R3570">
        <v>28.78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H3570">
        <v>28.78</v>
      </c>
    </row>
    <row r="3571" spans="1:34" x14ac:dyDescent="0.3">
      <c r="A3571" s="4">
        <v>3785</v>
      </c>
      <c r="B3571" s="5">
        <v>3564</v>
      </c>
      <c r="C3571">
        <v>1764</v>
      </c>
      <c r="D3571" t="s">
        <v>226</v>
      </c>
      <c r="E3571" t="s">
        <v>26</v>
      </c>
      <c r="F3571" t="s">
        <v>20</v>
      </c>
      <c r="G3571" t="s">
        <v>17192</v>
      </c>
      <c r="H3571">
        <v>19.78</v>
      </c>
      <c r="I3571">
        <v>0</v>
      </c>
      <c r="J3571">
        <v>0</v>
      </c>
      <c r="K3571">
        <v>0</v>
      </c>
      <c r="N3571">
        <v>3</v>
      </c>
      <c r="O3571">
        <v>3</v>
      </c>
      <c r="P3571">
        <v>4</v>
      </c>
      <c r="Q3571">
        <v>2</v>
      </c>
      <c r="R3571">
        <v>28.78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H3571">
        <v>28.78</v>
      </c>
    </row>
    <row r="3572" spans="1:34" x14ac:dyDescent="0.3">
      <c r="A3572" s="4">
        <v>3786</v>
      </c>
      <c r="B3572" s="5">
        <v>3565</v>
      </c>
      <c r="C3572">
        <v>5846</v>
      </c>
      <c r="D3572" t="s">
        <v>17193</v>
      </c>
      <c r="E3572" t="s">
        <v>3948</v>
      </c>
      <c r="F3572" t="s">
        <v>346</v>
      </c>
      <c r="G3572" t="s">
        <v>17194</v>
      </c>
      <c r="H3572">
        <v>19.78</v>
      </c>
      <c r="I3572">
        <v>0</v>
      </c>
      <c r="J3572">
        <v>0</v>
      </c>
      <c r="K3572">
        <v>0</v>
      </c>
      <c r="L3572">
        <v>7</v>
      </c>
      <c r="O3572">
        <v>7</v>
      </c>
      <c r="P3572">
        <v>0</v>
      </c>
      <c r="Q3572">
        <v>2</v>
      </c>
      <c r="R3572">
        <v>28.78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H3572">
        <v>28.78</v>
      </c>
    </row>
    <row r="3573" spans="1:34" x14ac:dyDescent="0.3">
      <c r="A3573" s="4">
        <v>3787</v>
      </c>
      <c r="B3573" s="5">
        <v>3566</v>
      </c>
      <c r="C3573">
        <v>14733</v>
      </c>
      <c r="D3573" t="s">
        <v>12574</v>
      </c>
      <c r="E3573" t="s">
        <v>789</v>
      </c>
      <c r="F3573" t="s">
        <v>117</v>
      </c>
      <c r="G3573" t="s">
        <v>17195</v>
      </c>
      <c r="H3573">
        <v>18.78</v>
      </c>
      <c r="I3573">
        <v>0</v>
      </c>
      <c r="J3573">
        <v>0</v>
      </c>
      <c r="K3573">
        <v>0</v>
      </c>
      <c r="L3573">
        <v>7</v>
      </c>
      <c r="N3573">
        <v>3</v>
      </c>
      <c r="O3573">
        <v>10</v>
      </c>
      <c r="P3573">
        <v>0</v>
      </c>
      <c r="Q3573">
        <v>0</v>
      </c>
      <c r="R3573">
        <v>28.78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H3573">
        <v>28.78</v>
      </c>
    </row>
    <row r="3574" spans="1:34" x14ac:dyDescent="0.3">
      <c r="A3574" s="4">
        <v>3788</v>
      </c>
      <c r="B3574" s="5">
        <v>3567</v>
      </c>
      <c r="C3574">
        <v>3617</v>
      </c>
      <c r="D3574" t="s">
        <v>4872</v>
      </c>
      <c r="E3574" t="s">
        <v>147</v>
      </c>
      <c r="F3574" t="s">
        <v>117</v>
      </c>
      <c r="G3574" t="s">
        <v>17196</v>
      </c>
      <c r="H3574">
        <v>18.78</v>
      </c>
      <c r="I3574">
        <v>0</v>
      </c>
      <c r="J3574">
        <v>0</v>
      </c>
      <c r="K3574">
        <v>0</v>
      </c>
      <c r="L3574">
        <v>7</v>
      </c>
      <c r="N3574">
        <v>3</v>
      </c>
      <c r="O3574">
        <v>10</v>
      </c>
      <c r="P3574">
        <v>0</v>
      </c>
      <c r="Q3574">
        <v>0</v>
      </c>
      <c r="R3574">
        <v>28.78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H3574">
        <v>28.78</v>
      </c>
    </row>
    <row r="3575" spans="1:34" x14ac:dyDescent="0.3">
      <c r="A3575" s="4">
        <v>3789</v>
      </c>
      <c r="B3575" s="5">
        <v>3568</v>
      </c>
      <c r="C3575">
        <v>11118</v>
      </c>
      <c r="D3575" t="s">
        <v>17197</v>
      </c>
      <c r="E3575" t="s">
        <v>170</v>
      </c>
      <c r="F3575" t="s">
        <v>14</v>
      </c>
      <c r="G3575" t="s">
        <v>17198</v>
      </c>
      <c r="H3575">
        <v>18.78</v>
      </c>
      <c r="I3575">
        <v>0</v>
      </c>
      <c r="J3575">
        <v>0</v>
      </c>
      <c r="K3575">
        <v>0</v>
      </c>
      <c r="L3575">
        <v>7</v>
      </c>
      <c r="N3575">
        <v>3</v>
      </c>
      <c r="O3575">
        <v>10</v>
      </c>
      <c r="P3575">
        <v>0</v>
      </c>
      <c r="Q3575">
        <v>0</v>
      </c>
      <c r="R3575">
        <v>28.78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H3575">
        <v>28.78</v>
      </c>
    </row>
    <row r="3576" spans="1:34" x14ac:dyDescent="0.3">
      <c r="A3576" s="4">
        <v>3790</v>
      </c>
      <c r="B3576" s="5">
        <v>3569</v>
      </c>
      <c r="C3576">
        <v>13689</v>
      </c>
      <c r="D3576" t="s">
        <v>17199</v>
      </c>
      <c r="E3576" t="s">
        <v>54</v>
      </c>
      <c r="F3576" t="s">
        <v>158</v>
      </c>
      <c r="G3576" t="s">
        <v>17200</v>
      </c>
      <c r="H3576">
        <v>18.78</v>
      </c>
      <c r="I3576">
        <v>0</v>
      </c>
      <c r="J3576">
        <v>0</v>
      </c>
      <c r="K3576">
        <v>0</v>
      </c>
      <c r="L3576">
        <v>7</v>
      </c>
      <c r="N3576">
        <v>3</v>
      </c>
      <c r="O3576">
        <v>10</v>
      </c>
      <c r="P3576">
        <v>0</v>
      </c>
      <c r="Q3576">
        <v>0</v>
      </c>
      <c r="R3576">
        <v>28.78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H3576">
        <v>28.78</v>
      </c>
    </row>
    <row r="3577" spans="1:34" x14ac:dyDescent="0.3">
      <c r="A3577" s="4">
        <v>3791</v>
      </c>
      <c r="B3577" s="5">
        <v>3570</v>
      </c>
      <c r="C3577">
        <v>2706</v>
      </c>
      <c r="D3577" t="s">
        <v>17201</v>
      </c>
      <c r="E3577" t="s">
        <v>792</v>
      </c>
      <c r="F3577" t="s">
        <v>136</v>
      </c>
      <c r="G3577" t="s">
        <v>17202</v>
      </c>
      <c r="H3577">
        <v>17.78</v>
      </c>
      <c r="I3577">
        <v>0</v>
      </c>
      <c r="J3577">
        <v>0</v>
      </c>
      <c r="K3577">
        <v>0</v>
      </c>
      <c r="L3577">
        <v>7</v>
      </c>
      <c r="O3577">
        <v>7</v>
      </c>
      <c r="P3577">
        <v>4</v>
      </c>
      <c r="Q3577">
        <v>0</v>
      </c>
      <c r="R3577">
        <v>28.78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H3577">
        <v>28.78</v>
      </c>
    </row>
    <row r="3578" spans="1:34" x14ac:dyDescent="0.3">
      <c r="A3578" s="4">
        <v>3792</v>
      </c>
      <c r="B3578" s="5">
        <v>3571</v>
      </c>
      <c r="C3578">
        <v>3558</v>
      </c>
      <c r="D3578" t="s">
        <v>17203</v>
      </c>
      <c r="E3578" t="s">
        <v>9888</v>
      </c>
      <c r="F3578" t="s">
        <v>17</v>
      </c>
      <c r="G3578" t="s">
        <v>17204</v>
      </c>
      <c r="H3578">
        <v>15.78</v>
      </c>
      <c r="I3578">
        <v>0</v>
      </c>
      <c r="J3578">
        <v>0</v>
      </c>
      <c r="K3578">
        <v>0</v>
      </c>
      <c r="N3578">
        <v>3</v>
      </c>
      <c r="O3578">
        <v>3</v>
      </c>
      <c r="P3578">
        <v>4</v>
      </c>
      <c r="Q3578">
        <v>0</v>
      </c>
      <c r="R3578">
        <v>22.78</v>
      </c>
      <c r="S3578">
        <v>6</v>
      </c>
      <c r="T3578">
        <v>6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6</v>
      </c>
      <c r="AB3578">
        <v>0</v>
      </c>
      <c r="AC3578">
        <v>0</v>
      </c>
      <c r="AH3578">
        <v>28.78</v>
      </c>
    </row>
    <row r="3579" spans="1:34" x14ac:dyDescent="0.3">
      <c r="A3579" s="4">
        <v>3793</v>
      </c>
      <c r="B3579" s="5">
        <v>3572</v>
      </c>
      <c r="C3579">
        <v>12754</v>
      </c>
      <c r="D3579" t="s">
        <v>6556</v>
      </c>
      <c r="E3579" t="s">
        <v>22</v>
      </c>
      <c r="F3579" t="s">
        <v>17205</v>
      </c>
      <c r="G3579" t="s">
        <v>17206</v>
      </c>
      <c r="H3579">
        <v>17.75</v>
      </c>
      <c r="I3579">
        <v>0</v>
      </c>
      <c r="J3579">
        <v>0</v>
      </c>
      <c r="K3579">
        <v>0</v>
      </c>
      <c r="L3579">
        <v>7</v>
      </c>
      <c r="O3579">
        <v>7</v>
      </c>
      <c r="P3579">
        <v>4</v>
      </c>
      <c r="Q3579">
        <v>0</v>
      </c>
      <c r="R3579">
        <v>28.75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H3579">
        <v>28.75</v>
      </c>
    </row>
    <row r="3580" spans="1:34" x14ac:dyDescent="0.3">
      <c r="A3580" s="4">
        <v>3794</v>
      </c>
      <c r="B3580" s="5">
        <v>3573</v>
      </c>
      <c r="C3580">
        <v>7360</v>
      </c>
      <c r="D3580" t="s">
        <v>17207</v>
      </c>
      <c r="E3580" t="s">
        <v>5682</v>
      </c>
      <c r="F3580" t="s">
        <v>81</v>
      </c>
      <c r="G3580" t="s">
        <v>17208</v>
      </c>
      <c r="H3580">
        <v>19.73</v>
      </c>
      <c r="I3580">
        <v>0</v>
      </c>
      <c r="J3580">
        <v>0</v>
      </c>
      <c r="K3580">
        <v>0</v>
      </c>
      <c r="M3580">
        <v>5</v>
      </c>
      <c r="O3580">
        <v>5</v>
      </c>
      <c r="P3580">
        <v>4</v>
      </c>
      <c r="Q3580">
        <v>0</v>
      </c>
      <c r="R3580">
        <v>28.73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H3580">
        <v>28.73</v>
      </c>
    </row>
    <row r="3581" spans="1:34" x14ac:dyDescent="0.3">
      <c r="A3581" s="4">
        <v>3795</v>
      </c>
      <c r="B3581" s="5">
        <v>3574</v>
      </c>
      <c r="C3581">
        <v>22</v>
      </c>
      <c r="D3581" t="s">
        <v>17209</v>
      </c>
      <c r="E3581" t="s">
        <v>147</v>
      </c>
      <c r="F3581" t="s">
        <v>892</v>
      </c>
      <c r="G3581" t="s">
        <v>17210</v>
      </c>
      <c r="H3581">
        <v>19.73</v>
      </c>
      <c r="I3581">
        <v>0</v>
      </c>
      <c r="J3581">
        <v>0</v>
      </c>
      <c r="K3581">
        <v>0</v>
      </c>
      <c r="N3581">
        <v>3</v>
      </c>
      <c r="O3581">
        <v>3</v>
      </c>
      <c r="P3581">
        <v>4</v>
      </c>
      <c r="Q3581">
        <v>2</v>
      </c>
      <c r="R3581">
        <v>28.73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H3581">
        <v>28.73</v>
      </c>
    </row>
    <row r="3582" spans="1:34" x14ac:dyDescent="0.3">
      <c r="A3582" s="4">
        <v>3796</v>
      </c>
      <c r="B3582" s="5">
        <v>3575</v>
      </c>
      <c r="C3582">
        <v>7590</v>
      </c>
      <c r="D3582" t="s">
        <v>1950</v>
      </c>
      <c r="E3582" t="s">
        <v>17211</v>
      </c>
      <c r="F3582" t="s">
        <v>30</v>
      </c>
      <c r="G3582" t="s">
        <v>17212</v>
      </c>
      <c r="H3582">
        <v>18.73</v>
      </c>
      <c r="I3582">
        <v>0</v>
      </c>
      <c r="J3582">
        <v>0</v>
      </c>
      <c r="K3582">
        <v>0</v>
      </c>
      <c r="N3582">
        <v>6</v>
      </c>
      <c r="O3582">
        <v>6</v>
      </c>
      <c r="P3582">
        <v>4</v>
      </c>
      <c r="Q3582">
        <v>0</v>
      </c>
      <c r="R3582">
        <v>28.73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H3582">
        <v>28.73</v>
      </c>
    </row>
    <row r="3583" spans="1:34" x14ac:dyDescent="0.3">
      <c r="A3583" s="4">
        <v>3797</v>
      </c>
      <c r="B3583" s="5">
        <v>3576</v>
      </c>
      <c r="C3583">
        <v>12963</v>
      </c>
      <c r="D3583" t="s">
        <v>17213</v>
      </c>
      <c r="E3583" t="s">
        <v>38</v>
      </c>
      <c r="F3583" t="s">
        <v>91</v>
      </c>
      <c r="G3583" t="s">
        <v>17214</v>
      </c>
      <c r="H3583">
        <v>17.73</v>
      </c>
      <c r="I3583">
        <v>0</v>
      </c>
      <c r="J3583">
        <v>0</v>
      </c>
      <c r="K3583">
        <v>0</v>
      </c>
      <c r="L3583">
        <v>7</v>
      </c>
      <c r="O3583">
        <v>7</v>
      </c>
      <c r="P3583">
        <v>4</v>
      </c>
      <c r="Q3583">
        <v>0</v>
      </c>
      <c r="R3583">
        <v>28.73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H3583">
        <v>28.73</v>
      </c>
    </row>
    <row r="3584" spans="1:34" x14ac:dyDescent="0.3">
      <c r="A3584" s="4">
        <v>3798</v>
      </c>
      <c r="B3584" s="5">
        <v>3577</v>
      </c>
      <c r="C3584">
        <v>3774</v>
      </c>
      <c r="D3584" t="s">
        <v>9884</v>
      </c>
      <c r="E3584" t="s">
        <v>17215</v>
      </c>
      <c r="F3584" t="s">
        <v>4923</v>
      </c>
      <c r="G3584" t="s">
        <v>17216</v>
      </c>
      <c r="H3584">
        <v>17.73</v>
      </c>
      <c r="I3584">
        <v>0</v>
      </c>
      <c r="J3584">
        <v>0</v>
      </c>
      <c r="K3584">
        <v>0</v>
      </c>
      <c r="M3584">
        <v>5</v>
      </c>
      <c r="O3584">
        <v>5</v>
      </c>
      <c r="P3584">
        <v>4</v>
      </c>
      <c r="Q3584">
        <v>2</v>
      </c>
      <c r="R3584">
        <v>28.73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H3584">
        <v>28.73</v>
      </c>
    </row>
    <row r="3585" spans="1:34" x14ac:dyDescent="0.3">
      <c r="A3585" s="4">
        <v>3799</v>
      </c>
      <c r="B3585" s="5">
        <v>3578</v>
      </c>
      <c r="C3585">
        <v>4503</v>
      </c>
      <c r="D3585" t="s">
        <v>13352</v>
      </c>
      <c r="E3585" t="s">
        <v>17217</v>
      </c>
      <c r="F3585" t="s">
        <v>17218</v>
      </c>
      <c r="G3585" t="s">
        <v>17219</v>
      </c>
      <c r="H3585">
        <v>16.7</v>
      </c>
      <c r="I3585">
        <v>0</v>
      </c>
      <c r="J3585">
        <v>0</v>
      </c>
      <c r="K3585">
        <v>0</v>
      </c>
      <c r="M3585">
        <v>5</v>
      </c>
      <c r="O3585">
        <v>5</v>
      </c>
      <c r="P3585">
        <v>4</v>
      </c>
      <c r="Q3585">
        <v>0</v>
      </c>
      <c r="R3585">
        <v>25.7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3</v>
      </c>
      <c r="AC3585">
        <v>0</v>
      </c>
      <c r="AH3585">
        <v>28.7</v>
      </c>
    </row>
    <row r="3586" spans="1:34" x14ac:dyDescent="0.3">
      <c r="A3586" s="4">
        <v>3800</v>
      </c>
      <c r="B3586" s="5">
        <v>3579</v>
      </c>
      <c r="C3586">
        <v>917</v>
      </c>
      <c r="D3586" t="s">
        <v>8036</v>
      </c>
      <c r="E3586" t="s">
        <v>29</v>
      </c>
      <c r="F3586" t="s">
        <v>375</v>
      </c>
      <c r="G3586" t="s">
        <v>17220</v>
      </c>
      <c r="H3586">
        <v>19.7</v>
      </c>
      <c r="I3586">
        <v>0</v>
      </c>
      <c r="J3586">
        <v>0</v>
      </c>
      <c r="K3586">
        <v>0</v>
      </c>
      <c r="M3586">
        <v>5</v>
      </c>
      <c r="O3586">
        <v>5</v>
      </c>
      <c r="P3586">
        <v>4</v>
      </c>
      <c r="Q3586">
        <v>0</v>
      </c>
      <c r="R3586">
        <v>28.7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H3586">
        <v>28.7</v>
      </c>
    </row>
    <row r="3587" spans="1:34" x14ac:dyDescent="0.3">
      <c r="A3587" s="4">
        <v>3801</v>
      </c>
      <c r="B3587" s="5">
        <v>3580</v>
      </c>
      <c r="C3587">
        <v>8934</v>
      </c>
      <c r="D3587" t="s">
        <v>7127</v>
      </c>
      <c r="E3587" t="s">
        <v>37</v>
      </c>
      <c r="F3587" t="s">
        <v>38</v>
      </c>
      <c r="G3587" t="s">
        <v>17221</v>
      </c>
      <c r="H3587">
        <v>18.7</v>
      </c>
      <c r="I3587">
        <v>0</v>
      </c>
      <c r="J3587">
        <v>0</v>
      </c>
      <c r="K3587">
        <v>0</v>
      </c>
      <c r="N3587">
        <v>6</v>
      </c>
      <c r="O3587">
        <v>6</v>
      </c>
      <c r="P3587">
        <v>4</v>
      </c>
      <c r="Q3587">
        <v>0</v>
      </c>
      <c r="R3587">
        <v>28.7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H3587">
        <v>28.7</v>
      </c>
    </row>
    <row r="3588" spans="1:34" x14ac:dyDescent="0.3">
      <c r="A3588" s="4">
        <v>3802</v>
      </c>
      <c r="B3588" s="5">
        <v>3581</v>
      </c>
      <c r="C3588">
        <v>13715</v>
      </c>
      <c r="D3588" t="s">
        <v>1565</v>
      </c>
      <c r="E3588" t="s">
        <v>161</v>
      </c>
      <c r="F3588" t="s">
        <v>17</v>
      </c>
      <c r="G3588" t="s">
        <v>17222</v>
      </c>
      <c r="H3588">
        <v>17.7</v>
      </c>
      <c r="I3588">
        <v>0</v>
      </c>
      <c r="J3588">
        <v>0</v>
      </c>
      <c r="K3588">
        <v>0</v>
      </c>
      <c r="L3588">
        <v>7</v>
      </c>
      <c r="O3588">
        <v>7</v>
      </c>
      <c r="P3588">
        <v>4</v>
      </c>
      <c r="Q3588">
        <v>0</v>
      </c>
      <c r="R3588">
        <v>28.7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H3588">
        <v>28.7</v>
      </c>
    </row>
    <row r="3589" spans="1:34" x14ac:dyDescent="0.3">
      <c r="A3589" s="4">
        <v>3803</v>
      </c>
      <c r="B3589" s="5">
        <v>3582</v>
      </c>
      <c r="C3589">
        <v>11158</v>
      </c>
      <c r="D3589" t="s">
        <v>17223</v>
      </c>
      <c r="E3589" t="s">
        <v>166</v>
      </c>
      <c r="F3589" t="s">
        <v>117</v>
      </c>
      <c r="G3589" t="s">
        <v>17224</v>
      </c>
      <c r="H3589">
        <v>17.7</v>
      </c>
      <c r="I3589">
        <v>0</v>
      </c>
      <c r="J3589">
        <v>0</v>
      </c>
      <c r="K3589">
        <v>0</v>
      </c>
      <c r="L3589">
        <v>7</v>
      </c>
      <c r="O3589">
        <v>7</v>
      </c>
      <c r="P3589">
        <v>4</v>
      </c>
      <c r="Q3589">
        <v>0</v>
      </c>
      <c r="R3589">
        <v>28.7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H3589">
        <v>28.7</v>
      </c>
    </row>
    <row r="3590" spans="1:34" x14ac:dyDescent="0.3">
      <c r="A3590" s="4">
        <v>3804</v>
      </c>
      <c r="B3590" s="5">
        <v>3583</v>
      </c>
      <c r="C3590">
        <v>15615</v>
      </c>
      <c r="D3590" t="s">
        <v>2786</v>
      </c>
      <c r="E3590" t="s">
        <v>20</v>
      </c>
      <c r="F3590" t="s">
        <v>81</v>
      </c>
      <c r="G3590" t="s">
        <v>17225</v>
      </c>
      <c r="H3590">
        <v>17.7</v>
      </c>
      <c r="I3590">
        <v>0</v>
      </c>
      <c r="J3590">
        <v>0</v>
      </c>
      <c r="K3590">
        <v>0</v>
      </c>
      <c r="N3590">
        <v>3</v>
      </c>
      <c r="O3590">
        <v>3</v>
      </c>
      <c r="P3590">
        <v>4</v>
      </c>
      <c r="Q3590">
        <v>2</v>
      </c>
      <c r="R3590">
        <v>26.7</v>
      </c>
      <c r="S3590">
        <v>2</v>
      </c>
      <c r="T3590">
        <v>2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2</v>
      </c>
      <c r="AB3590">
        <v>0</v>
      </c>
      <c r="AC3590">
        <v>0</v>
      </c>
      <c r="AH3590">
        <v>28.7</v>
      </c>
    </row>
    <row r="3591" spans="1:34" x14ac:dyDescent="0.3">
      <c r="A3591" s="4">
        <v>3805</v>
      </c>
      <c r="B3591" s="5">
        <v>3584</v>
      </c>
      <c r="C3591">
        <v>14299</v>
      </c>
      <c r="D3591" t="s">
        <v>17226</v>
      </c>
      <c r="E3591" t="s">
        <v>170</v>
      </c>
      <c r="F3591" t="s">
        <v>55</v>
      </c>
      <c r="G3591" t="s">
        <v>17227</v>
      </c>
      <c r="H3591">
        <v>17.68</v>
      </c>
      <c r="I3591">
        <v>0</v>
      </c>
      <c r="J3591">
        <v>0</v>
      </c>
      <c r="K3591">
        <v>0</v>
      </c>
      <c r="L3591">
        <v>7</v>
      </c>
      <c r="O3591">
        <v>7</v>
      </c>
      <c r="P3591">
        <v>4</v>
      </c>
      <c r="Q3591">
        <v>0</v>
      </c>
      <c r="R3591">
        <v>28.68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H3591">
        <v>28.68</v>
      </c>
    </row>
    <row r="3592" spans="1:34" x14ac:dyDescent="0.3">
      <c r="A3592" s="4">
        <v>3806</v>
      </c>
      <c r="B3592" s="5">
        <v>3585</v>
      </c>
      <c r="C3592">
        <v>5922</v>
      </c>
      <c r="D3592" t="s">
        <v>15332</v>
      </c>
      <c r="E3592" t="s">
        <v>161</v>
      </c>
      <c r="F3592" t="s">
        <v>17</v>
      </c>
      <c r="G3592" t="s">
        <v>17228</v>
      </c>
      <c r="H3592">
        <v>16.649999999999999</v>
      </c>
      <c r="I3592">
        <v>0</v>
      </c>
      <c r="J3592">
        <v>0</v>
      </c>
      <c r="K3592">
        <v>0</v>
      </c>
      <c r="N3592">
        <v>3</v>
      </c>
      <c r="O3592">
        <v>3</v>
      </c>
      <c r="P3592">
        <v>4</v>
      </c>
      <c r="Q3592">
        <v>2</v>
      </c>
      <c r="R3592">
        <v>25.65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3</v>
      </c>
      <c r="AC3592">
        <v>0</v>
      </c>
      <c r="AH3592">
        <v>28.65</v>
      </c>
    </row>
    <row r="3593" spans="1:34" x14ac:dyDescent="0.3">
      <c r="A3593" s="4">
        <v>3807</v>
      </c>
      <c r="B3593" s="5">
        <v>3586</v>
      </c>
      <c r="C3593">
        <v>9069</v>
      </c>
      <c r="D3593" t="s">
        <v>6336</v>
      </c>
      <c r="E3593" t="s">
        <v>406</v>
      </c>
      <c r="F3593" t="s">
        <v>3439</v>
      </c>
      <c r="G3593" t="s">
        <v>17229</v>
      </c>
      <c r="H3593">
        <v>19.649999999999999</v>
      </c>
      <c r="I3593">
        <v>0</v>
      </c>
      <c r="J3593">
        <v>0</v>
      </c>
      <c r="K3593">
        <v>0</v>
      </c>
      <c r="M3593">
        <v>5</v>
      </c>
      <c r="O3593">
        <v>5</v>
      </c>
      <c r="P3593">
        <v>4</v>
      </c>
      <c r="Q3593">
        <v>0</v>
      </c>
      <c r="R3593">
        <v>28.65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H3593">
        <v>28.65</v>
      </c>
    </row>
    <row r="3594" spans="1:34" x14ac:dyDescent="0.3">
      <c r="A3594" s="4">
        <v>3808</v>
      </c>
      <c r="B3594" s="5">
        <v>3587</v>
      </c>
      <c r="C3594">
        <v>3810</v>
      </c>
      <c r="D3594" t="s">
        <v>17230</v>
      </c>
      <c r="E3594" t="s">
        <v>170</v>
      </c>
      <c r="F3594" t="s">
        <v>81</v>
      </c>
      <c r="G3594" t="s">
        <v>17231</v>
      </c>
      <c r="H3594">
        <v>17.649999999999999</v>
      </c>
      <c r="I3594">
        <v>0</v>
      </c>
      <c r="J3594">
        <v>0</v>
      </c>
      <c r="K3594">
        <v>0</v>
      </c>
      <c r="L3594">
        <v>7</v>
      </c>
      <c r="O3594">
        <v>7</v>
      </c>
      <c r="P3594">
        <v>4</v>
      </c>
      <c r="Q3594">
        <v>0</v>
      </c>
      <c r="R3594">
        <v>28.65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H3594">
        <v>28.65</v>
      </c>
    </row>
    <row r="3595" spans="1:34" x14ac:dyDescent="0.3">
      <c r="A3595" s="4">
        <v>3809</v>
      </c>
      <c r="B3595" s="5">
        <v>3588</v>
      </c>
      <c r="C3595">
        <v>11462</v>
      </c>
      <c r="D3595" t="s">
        <v>17232</v>
      </c>
      <c r="E3595" t="s">
        <v>20</v>
      </c>
      <c r="F3595" t="s">
        <v>62</v>
      </c>
      <c r="G3595" t="s">
        <v>17233</v>
      </c>
      <c r="H3595">
        <v>15.65</v>
      </c>
      <c r="I3595">
        <v>0</v>
      </c>
      <c r="J3595">
        <v>0</v>
      </c>
      <c r="K3595">
        <v>0</v>
      </c>
      <c r="L3595">
        <v>7</v>
      </c>
      <c r="O3595">
        <v>7</v>
      </c>
      <c r="P3595">
        <v>4</v>
      </c>
      <c r="Q3595">
        <v>2</v>
      </c>
      <c r="R3595">
        <v>28.65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H3595">
        <v>28.65</v>
      </c>
    </row>
    <row r="3596" spans="1:34" x14ac:dyDescent="0.3">
      <c r="A3596" s="4">
        <v>3810</v>
      </c>
      <c r="B3596" s="5">
        <v>3589</v>
      </c>
      <c r="C3596">
        <v>6626</v>
      </c>
      <c r="D3596" t="s">
        <v>11193</v>
      </c>
      <c r="E3596" t="s">
        <v>41</v>
      </c>
      <c r="F3596" t="s">
        <v>1806</v>
      </c>
      <c r="G3596" t="s">
        <v>17234</v>
      </c>
      <c r="H3596">
        <v>21.63</v>
      </c>
      <c r="I3596">
        <v>0</v>
      </c>
      <c r="J3596">
        <v>0</v>
      </c>
      <c r="K3596">
        <v>0</v>
      </c>
      <c r="N3596">
        <v>3</v>
      </c>
      <c r="O3596">
        <v>3</v>
      </c>
      <c r="P3596">
        <v>4</v>
      </c>
      <c r="Q3596">
        <v>0</v>
      </c>
      <c r="R3596">
        <v>28.63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H3596">
        <v>28.63</v>
      </c>
    </row>
    <row r="3597" spans="1:34" x14ac:dyDescent="0.3">
      <c r="A3597" s="4">
        <v>3811</v>
      </c>
      <c r="B3597" s="5">
        <v>3590</v>
      </c>
      <c r="C3597">
        <v>4852</v>
      </c>
      <c r="D3597" t="s">
        <v>5359</v>
      </c>
      <c r="E3597" t="s">
        <v>17235</v>
      </c>
      <c r="F3597" t="s">
        <v>91</v>
      </c>
      <c r="G3597" t="s">
        <v>17236</v>
      </c>
      <c r="H3597">
        <v>17.63</v>
      </c>
      <c r="I3597">
        <v>0</v>
      </c>
      <c r="J3597">
        <v>0</v>
      </c>
      <c r="K3597">
        <v>0</v>
      </c>
      <c r="L3597">
        <v>7</v>
      </c>
      <c r="O3597">
        <v>7</v>
      </c>
      <c r="P3597">
        <v>4</v>
      </c>
      <c r="Q3597">
        <v>0</v>
      </c>
      <c r="R3597">
        <v>28.63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H3597">
        <v>28.63</v>
      </c>
    </row>
    <row r="3598" spans="1:34" x14ac:dyDescent="0.3">
      <c r="A3598" s="4">
        <v>3812</v>
      </c>
      <c r="B3598" s="5">
        <v>3591</v>
      </c>
      <c r="C3598">
        <v>4353</v>
      </c>
      <c r="D3598" t="s">
        <v>8769</v>
      </c>
      <c r="E3598" t="s">
        <v>17237</v>
      </c>
      <c r="F3598" t="s">
        <v>136</v>
      </c>
      <c r="G3598" t="s">
        <v>17238</v>
      </c>
      <c r="H3598">
        <v>17.63</v>
      </c>
      <c r="I3598">
        <v>0</v>
      </c>
      <c r="J3598">
        <v>0</v>
      </c>
      <c r="K3598">
        <v>0</v>
      </c>
      <c r="L3598">
        <v>7</v>
      </c>
      <c r="O3598">
        <v>7</v>
      </c>
      <c r="P3598">
        <v>4</v>
      </c>
      <c r="Q3598">
        <v>0</v>
      </c>
      <c r="R3598">
        <v>28.63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 t="s">
        <v>130</v>
      </c>
      <c r="AH3598">
        <v>28.63</v>
      </c>
    </row>
    <row r="3599" spans="1:34" x14ac:dyDescent="0.3">
      <c r="A3599" s="4">
        <v>3813</v>
      </c>
      <c r="B3599" s="5">
        <v>3592</v>
      </c>
      <c r="C3599">
        <v>5381</v>
      </c>
      <c r="D3599" t="s">
        <v>715</v>
      </c>
      <c r="E3599" t="s">
        <v>29</v>
      </c>
      <c r="F3599" t="s">
        <v>124</v>
      </c>
      <c r="G3599" t="s">
        <v>17239</v>
      </c>
      <c r="H3599">
        <v>17.63</v>
      </c>
      <c r="I3599">
        <v>0</v>
      </c>
      <c r="J3599">
        <v>0</v>
      </c>
      <c r="K3599">
        <v>0</v>
      </c>
      <c r="L3599">
        <v>7</v>
      </c>
      <c r="O3599">
        <v>7</v>
      </c>
      <c r="P3599">
        <v>4</v>
      </c>
      <c r="Q3599">
        <v>0</v>
      </c>
      <c r="R3599">
        <v>28.63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H3599">
        <v>28.63</v>
      </c>
    </row>
    <row r="3600" spans="1:34" x14ac:dyDescent="0.3">
      <c r="A3600" s="4">
        <v>3814</v>
      </c>
      <c r="B3600" s="5">
        <v>3593</v>
      </c>
      <c r="C3600">
        <v>10698</v>
      </c>
      <c r="D3600" t="s">
        <v>17240</v>
      </c>
      <c r="E3600" t="s">
        <v>100</v>
      </c>
      <c r="F3600" t="s">
        <v>124</v>
      </c>
      <c r="G3600" t="s">
        <v>17241</v>
      </c>
      <c r="H3600">
        <v>17.63</v>
      </c>
      <c r="I3600">
        <v>0</v>
      </c>
      <c r="J3600">
        <v>0</v>
      </c>
      <c r="K3600">
        <v>0</v>
      </c>
      <c r="L3600">
        <v>7</v>
      </c>
      <c r="O3600">
        <v>7</v>
      </c>
      <c r="P3600">
        <v>4</v>
      </c>
      <c r="Q3600">
        <v>0</v>
      </c>
      <c r="R3600">
        <v>28.63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H3600">
        <v>28.63</v>
      </c>
    </row>
    <row r="3601" spans="1:34" x14ac:dyDescent="0.3">
      <c r="A3601" s="4">
        <v>3815</v>
      </c>
      <c r="B3601" s="5">
        <v>3594</v>
      </c>
      <c r="C3601">
        <v>14857</v>
      </c>
      <c r="D3601" t="s">
        <v>17242</v>
      </c>
      <c r="E3601" t="s">
        <v>17243</v>
      </c>
      <c r="F3601" t="s">
        <v>158</v>
      </c>
      <c r="G3601" t="s">
        <v>17244</v>
      </c>
      <c r="H3601">
        <v>21.6</v>
      </c>
      <c r="I3601">
        <v>0</v>
      </c>
      <c r="J3601">
        <v>0</v>
      </c>
      <c r="K3601">
        <v>0</v>
      </c>
      <c r="L3601">
        <v>7</v>
      </c>
      <c r="O3601">
        <v>7</v>
      </c>
      <c r="P3601">
        <v>0</v>
      </c>
      <c r="Q3601">
        <v>0</v>
      </c>
      <c r="R3601">
        <v>28.6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H3601">
        <v>28.6</v>
      </c>
    </row>
    <row r="3602" spans="1:34" x14ac:dyDescent="0.3">
      <c r="A3602" s="4">
        <v>3816</v>
      </c>
      <c r="B3602" s="5">
        <v>3595</v>
      </c>
      <c r="C3602">
        <v>12699</v>
      </c>
      <c r="D3602" t="s">
        <v>1528</v>
      </c>
      <c r="E3602" t="s">
        <v>41</v>
      </c>
      <c r="F3602" t="s">
        <v>343</v>
      </c>
      <c r="G3602" t="s">
        <v>17245</v>
      </c>
      <c r="H3602">
        <v>17.600000000000001</v>
      </c>
      <c r="I3602">
        <v>0</v>
      </c>
      <c r="J3602">
        <v>0</v>
      </c>
      <c r="K3602">
        <v>0</v>
      </c>
      <c r="L3602">
        <v>7</v>
      </c>
      <c r="O3602">
        <v>7</v>
      </c>
      <c r="P3602">
        <v>4</v>
      </c>
      <c r="Q3602">
        <v>0</v>
      </c>
      <c r="R3602">
        <v>28.6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H3602">
        <v>28.6</v>
      </c>
    </row>
    <row r="3603" spans="1:34" x14ac:dyDescent="0.3">
      <c r="A3603" s="4">
        <v>3817</v>
      </c>
      <c r="B3603" s="5">
        <v>3596</v>
      </c>
      <c r="C3603">
        <v>7935</v>
      </c>
      <c r="D3603" t="s">
        <v>421</v>
      </c>
      <c r="E3603" t="s">
        <v>17246</v>
      </c>
      <c r="F3603" t="s">
        <v>91</v>
      </c>
      <c r="G3603" t="s">
        <v>17247</v>
      </c>
      <c r="H3603">
        <v>17.600000000000001</v>
      </c>
      <c r="I3603">
        <v>0</v>
      </c>
      <c r="J3603">
        <v>0</v>
      </c>
      <c r="K3603">
        <v>0</v>
      </c>
      <c r="L3603">
        <v>7</v>
      </c>
      <c r="O3603">
        <v>7</v>
      </c>
      <c r="P3603">
        <v>4</v>
      </c>
      <c r="Q3603">
        <v>0</v>
      </c>
      <c r="R3603">
        <v>28.6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 t="s">
        <v>130</v>
      </c>
      <c r="AH3603">
        <v>28.6</v>
      </c>
    </row>
    <row r="3604" spans="1:34" x14ac:dyDescent="0.3">
      <c r="A3604" s="4">
        <v>3818</v>
      </c>
      <c r="B3604" s="5">
        <v>3597</v>
      </c>
      <c r="C3604">
        <v>2191</v>
      </c>
      <c r="D3604" t="s">
        <v>17248</v>
      </c>
      <c r="E3604" t="s">
        <v>390</v>
      </c>
      <c r="F3604" t="s">
        <v>20</v>
      </c>
      <c r="G3604" t="s">
        <v>17249</v>
      </c>
      <c r="H3604">
        <v>17.600000000000001</v>
      </c>
      <c r="I3604">
        <v>0</v>
      </c>
      <c r="J3604">
        <v>0</v>
      </c>
      <c r="K3604">
        <v>0</v>
      </c>
      <c r="L3604">
        <v>7</v>
      </c>
      <c r="O3604">
        <v>7</v>
      </c>
      <c r="P3604">
        <v>4</v>
      </c>
      <c r="Q3604">
        <v>0</v>
      </c>
      <c r="R3604">
        <v>28.6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H3604">
        <v>28.6</v>
      </c>
    </row>
    <row r="3605" spans="1:34" x14ac:dyDescent="0.3">
      <c r="A3605" s="4">
        <v>3819</v>
      </c>
      <c r="B3605" s="5">
        <v>3598</v>
      </c>
      <c r="C3605">
        <v>82</v>
      </c>
      <c r="D3605" t="s">
        <v>17250</v>
      </c>
      <c r="E3605" t="s">
        <v>255</v>
      </c>
      <c r="F3605" t="s">
        <v>167</v>
      </c>
      <c r="G3605" t="s">
        <v>17251</v>
      </c>
      <c r="H3605">
        <v>18.579999999999998</v>
      </c>
      <c r="I3605">
        <v>0</v>
      </c>
      <c r="J3605">
        <v>0</v>
      </c>
      <c r="K3605">
        <v>0</v>
      </c>
      <c r="N3605">
        <v>3</v>
      </c>
      <c r="O3605">
        <v>3</v>
      </c>
      <c r="P3605">
        <v>4</v>
      </c>
      <c r="Q3605">
        <v>0</v>
      </c>
      <c r="R3605">
        <v>25.58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3</v>
      </c>
      <c r="AC3605">
        <v>0</v>
      </c>
      <c r="AH3605">
        <v>28.58</v>
      </c>
    </row>
    <row r="3606" spans="1:34" x14ac:dyDescent="0.3">
      <c r="A3606" s="4">
        <v>3820</v>
      </c>
      <c r="B3606" s="5">
        <v>3599</v>
      </c>
      <c r="C3606">
        <v>14320</v>
      </c>
      <c r="D3606" t="s">
        <v>5225</v>
      </c>
      <c r="E3606" t="s">
        <v>54</v>
      </c>
      <c r="F3606" t="s">
        <v>81</v>
      </c>
      <c r="G3606" t="s">
        <v>17252</v>
      </c>
      <c r="H3606">
        <v>17.579999999999998</v>
      </c>
      <c r="I3606">
        <v>0</v>
      </c>
      <c r="J3606">
        <v>0</v>
      </c>
      <c r="K3606">
        <v>0</v>
      </c>
      <c r="L3606">
        <v>7</v>
      </c>
      <c r="O3606">
        <v>7</v>
      </c>
      <c r="P3606">
        <v>4</v>
      </c>
      <c r="Q3606">
        <v>0</v>
      </c>
      <c r="R3606">
        <v>28.58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H3606">
        <v>28.58</v>
      </c>
    </row>
    <row r="3607" spans="1:34" x14ac:dyDescent="0.3">
      <c r="A3607" s="4">
        <v>3821</v>
      </c>
      <c r="B3607" s="5">
        <v>3600</v>
      </c>
      <c r="C3607">
        <v>5649</v>
      </c>
      <c r="D3607" t="s">
        <v>17253</v>
      </c>
      <c r="E3607" t="s">
        <v>26</v>
      </c>
      <c r="F3607" t="s">
        <v>17254</v>
      </c>
      <c r="G3607" t="s">
        <v>17255</v>
      </c>
      <c r="H3607">
        <v>17.579999999999998</v>
      </c>
      <c r="I3607">
        <v>0</v>
      </c>
      <c r="J3607">
        <v>0</v>
      </c>
      <c r="K3607">
        <v>0</v>
      </c>
      <c r="L3607">
        <v>7</v>
      </c>
      <c r="O3607">
        <v>7</v>
      </c>
      <c r="P3607">
        <v>4</v>
      </c>
      <c r="Q3607">
        <v>0</v>
      </c>
      <c r="R3607">
        <v>28.58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H3607">
        <v>28.58</v>
      </c>
    </row>
    <row r="3608" spans="1:34" x14ac:dyDescent="0.3">
      <c r="A3608" s="4">
        <v>3822</v>
      </c>
      <c r="B3608" s="5">
        <v>3601</v>
      </c>
      <c r="C3608">
        <v>13326</v>
      </c>
      <c r="D3608" t="s">
        <v>100</v>
      </c>
      <c r="E3608" t="s">
        <v>10457</v>
      </c>
      <c r="F3608" t="s">
        <v>649</v>
      </c>
      <c r="G3608" t="s">
        <v>17256</v>
      </c>
      <c r="H3608">
        <v>16.579999999999998</v>
      </c>
      <c r="I3608">
        <v>0</v>
      </c>
      <c r="J3608">
        <v>0</v>
      </c>
      <c r="K3608">
        <v>0</v>
      </c>
      <c r="L3608">
        <v>7</v>
      </c>
      <c r="O3608">
        <v>7</v>
      </c>
      <c r="P3608">
        <v>0</v>
      </c>
      <c r="Q3608">
        <v>0</v>
      </c>
      <c r="R3608">
        <v>23.58</v>
      </c>
      <c r="S3608">
        <v>5</v>
      </c>
      <c r="T3608">
        <v>5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5</v>
      </c>
      <c r="AB3608">
        <v>0</v>
      </c>
      <c r="AC3608">
        <v>0</v>
      </c>
      <c r="AH3608">
        <v>28.58</v>
      </c>
    </row>
    <row r="3609" spans="1:34" x14ac:dyDescent="0.3">
      <c r="A3609" s="4">
        <v>3823</v>
      </c>
      <c r="B3609" s="5">
        <v>3602</v>
      </c>
      <c r="C3609">
        <v>6798</v>
      </c>
      <c r="D3609" t="s">
        <v>2989</v>
      </c>
      <c r="E3609" t="s">
        <v>26</v>
      </c>
      <c r="F3609" t="s">
        <v>136</v>
      </c>
      <c r="G3609" t="s">
        <v>17257</v>
      </c>
      <c r="H3609">
        <v>18.55</v>
      </c>
      <c r="I3609">
        <v>0</v>
      </c>
      <c r="J3609">
        <v>0</v>
      </c>
      <c r="K3609">
        <v>0</v>
      </c>
      <c r="L3609">
        <v>7</v>
      </c>
      <c r="N3609">
        <v>3</v>
      </c>
      <c r="O3609">
        <v>10</v>
      </c>
      <c r="P3609">
        <v>0</v>
      </c>
      <c r="Q3609">
        <v>0</v>
      </c>
      <c r="R3609">
        <v>28.55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H3609">
        <v>28.55</v>
      </c>
    </row>
    <row r="3610" spans="1:34" x14ac:dyDescent="0.3">
      <c r="A3610" s="4">
        <v>3824</v>
      </c>
      <c r="B3610" s="5">
        <v>3603</v>
      </c>
      <c r="C3610">
        <v>8678</v>
      </c>
      <c r="D3610" t="s">
        <v>1419</v>
      </c>
      <c r="E3610" t="s">
        <v>406</v>
      </c>
      <c r="F3610" t="s">
        <v>124</v>
      </c>
      <c r="G3610" t="s">
        <v>17258</v>
      </c>
      <c r="H3610">
        <v>16.53</v>
      </c>
      <c r="I3610">
        <v>0</v>
      </c>
      <c r="J3610">
        <v>0</v>
      </c>
      <c r="K3610">
        <v>0</v>
      </c>
      <c r="N3610">
        <v>3</v>
      </c>
      <c r="O3610">
        <v>3</v>
      </c>
      <c r="P3610">
        <v>0</v>
      </c>
      <c r="Q3610">
        <v>0</v>
      </c>
      <c r="R3610">
        <v>19.53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9</v>
      </c>
      <c r="AC3610">
        <v>0</v>
      </c>
      <c r="AH3610">
        <v>28.53</v>
      </c>
    </row>
    <row r="3611" spans="1:34" x14ac:dyDescent="0.3">
      <c r="A3611" s="4">
        <v>3825</v>
      </c>
      <c r="B3611" s="5">
        <v>3604</v>
      </c>
      <c r="C3611">
        <v>14053</v>
      </c>
      <c r="D3611" t="s">
        <v>8142</v>
      </c>
      <c r="E3611" t="s">
        <v>22</v>
      </c>
      <c r="F3611" t="s">
        <v>167</v>
      </c>
      <c r="G3611" t="s">
        <v>17259</v>
      </c>
      <c r="H3611">
        <v>20.53</v>
      </c>
      <c r="I3611">
        <v>0</v>
      </c>
      <c r="J3611">
        <v>0</v>
      </c>
      <c r="K3611">
        <v>0</v>
      </c>
      <c r="M3611">
        <v>5</v>
      </c>
      <c r="N3611">
        <v>3</v>
      </c>
      <c r="O3611">
        <v>8</v>
      </c>
      <c r="P3611">
        <v>0</v>
      </c>
      <c r="Q3611">
        <v>0</v>
      </c>
      <c r="R3611">
        <v>28.53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H3611">
        <v>28.53</v>
      </c>
    </row>
    <row r="3612" spans="1:34" x14ac:dyDescent="0.3">
      <c r="A3612" s="4">
        <v>3826</v>
      </c>
      <c r="B3612" s="5">
        <v>3605</v>
      </c>
      <c r="C3612">
        <v>5180</v>
      </c>
      <c r="D3612" t="s">
        <v>16403</v>
      </c>
      <c r="E3612" t="s">
        <v>2234</v>
      </c>
      <c r="F3612" t="s">
        <v>17</v>
      </c>
      <c r="G3612" t="s">
        <v>17260</v>
      </c>
      <c r="H3612">
        <v>18.53</v>
      </c>
      <c r="I3612">
        <v>0</v>
      </c>
      <c r="J3612">
        <v>0</v>
      </c>
      <c r="K3612">
        <v>0</v>
      </c>
      <c r="L3612">
        <v>7</v>
      </c>
      <c r="N3612">
        <v>3</v>
      </c>
      <c r="O3612">
        <v>10</v>
      </c>
      <c r="P3612">
        <v>0</v>
      </c>
      <c r="Q3612">
        <v>0</v>
      </c>
      <c r="R3612">
        <v>28.53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H3612">
        <v>28.53</v>
      </c>
    </row>
    <row r="3613" spans="1:34" x14ac:dyDescent="0.3">
      <c r="A3613" s="4">
        <v>3827</v>
      </c>
      <c r="B3613" s="5">
        <v>3606</v>
      </c>
      <c r="C3613">
        <v>9407</v>
      </c>
      <c r="D3613" t="s">
        <v>4355</v>
      </c>
      <c r="E3613" t="s">
        <v>255</v>
      </c>
      <c r="F3613" t="s">
        <v>34</v>
      </c>
      <c r="G3613" t="s">
        <v>17261</v>
      </c>
      <c r="H3613">
        <v>12.5</v>
      </c>
      <c r="I3613">
        <v>0</v>
      </c>
      <c r="J3613">
        <v>0</v>
      </c>
      <c r="K3613">
        <v>0</v>
      </c>
      <c r="L3613">
        <v>7</v>
      </c>
      <c r="O3613">
        <v>7</v>
      </c>
      <c r="P3613">
        <v>4</v>
      </c>
      <c r="Q3613">
        <v>2</v>
      </c>
      <c r="R3613">
        <v>25.5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3</v>
      </c>
      <c r="AC3613">
        <v>0</v>
      </c>
      <c r="AH3613">
        <v>28.5</v>
      </c>
    </row>
    <row r="3614" spans="1:34" x14ac:dyDescent="0.3">
      <c r="A3614" s="4">
        <v>3828</v>
      </c>
      <c r="B3614" s="5">
        <v>3607</v>
      </c>
      <c r="C3614">
        <v>15036</v>
      </c>
      <c r="D3614" t="s">
        <v>17262</v>
      </c>
      <c r="E3614" t="s">
        <v>104</v>
      </c>
      <c r="F3614" t="s">
        <v>38</v>
      </c>
      <c r="G3614" t="s">
        <v>17263</v>
      </c>
      <c r="H3614">
        <v>12.5</v>
      </c>
      <c r="I3614">
        <v>0</v>
      </c>
      <c r="J3614">
        <v>0</v>
      </c>
      <c r="K3614">
        <v>0</v>
      </c>
      <c r="L3614">
        <v>7</v>
      </c>
      <c r="O3614">
        <v>7</v>
      </c>
      <c r="P3614">
        <v>4</v>
      </c>
      <c r="Q3614">
        <v>2</v>
      </c>
      <c r="R3614">
        <v>25.5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3</v>
      </c>
      <c r="AC3614">
        <v>0</v>
      </c>
      <c r="AH3614">
        <v>28.5</v>
      </c>
    </row>
    <row r="3615" spans="1:34" x14ac:dyDescent="0.3">
      <c r="A3615" s="4">
        <v>3829</v>
      </c>
      <c r="B3615" s="5">
        <v>3608</v>
      </c>
      <c r="C3615">
        <v>3552</v>
      </c>
      <c r="D3615" t="s">
        <v>17264</v>
      </c>
      <c r="E3615" t="s">
        <v>17265</v>
      </c>
      <c r="F3615" t="s">
        <v>17266</v>
      </c>
      <c r="G3615" t="s">
        <v>17267</v>
      </c>
      <c r="H3615">
        <v>17.5</v>
      </c>
      <c r="I3615">
        <v>0</v>
      </c>
      <c r="J3615">
        <v>0</v>
      </c>
      <c r="K3615">
        <v>0</v>
      </c>
      <c r="L3615">
        <v>7</v>
      </c>
      <c r="O3615">
        <v>7</v>
      </c>
      <c r="P3615">
        <v>4</v>
      </c>
      <c r="Q3615">
        <v>0</v>
      </c>
      <c r="R3615">
        <v>28.5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H3615">
        <v>28.5</v>
      </c>
    </row>
    <row r="3616" spans="1:34" x14ac:dyDescent="0.3">
      <c r="A3616" s="4">
        <v>3830</v>
      </c>
      <c r="B3616" s="5">
        <v>3609</v>
      </c>
      <c r="C3616">
        <v>3976</v>
      </c>
      <c r="D3616" t="s">
        <v>17268</v>
      </c>
      <c r="E3616" t="s">
        <v>375</v>
      </c>
      <c r="F3616" t="s">
        <v>158</v>
      </c>
      <c r="G3616" t="s">
        <v>17269</v>
      </c>
      <c r="H3616">
        <v>17.5</v>
      </c>
      <c r="I3616">
        <v>0</v>
      </c>
      <c r="J3616">
        <v>0</v>
      </c>
      <c r="K3616">
        <v>0</v>
      </c>
      <c r="L3616">
        <v>7</v>
      </c>
      <c r="O3616">
        <v>7</v>
      </c>
      <c r="P3616">
        <v>4</v>
      </c>
      <c r="Q3616">
        <v>0</v>
      </c>
      <c r="R3616">
        <v>28.5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H3616">
        <v>28.5</v>
      </c>
    </row>
    <row r="3617" spans="1:34" x14ac:dyDescent="0.3">
      <c r="A3617" s="4">
        <v>3831</v>
      </c>
      <c r="B3617" s="5">
        <v>3610</v>
      </c>
      <c r="C3617">
        <v>899</v>
      </c>
      <c r="D3617" t="s">
        <v>860</v>
      </c>
      <c r="E3617" t="s">
        <v>22</v>
      </c>
      <c r="F3617" t="s">
        <v>81</v>
      </c>
      <c r="G3617" t="s">
        <v>17270</v>
      </c>
      <c r="H3617">
        <v>17.5</v>
      </c>
      <c r="I3617">
        <v>0</v>
      </c>
      <c r="J3617">
        <v>0</v>
      </c>
      <c r="K3617">
        <v>0</v>
      </c>
      <c r="L3617">
        <v>7</v>
      </c>
      <c r="O3617">
        <v>7</v>
      </c>
      <c r="P3617">
        <v>4</v>
      </c>
      <c r="Q3617">
        <v>0</v>
      </c>
      <c r="R3617">
        <v>28.5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H3617">
        <v>28.5</v>
      </c>
    </row>
    <row r="3618" spans="1:34" x14ac:dyDescent="0.3">
      <c r="A3618" s="4">
        <v>3832</v>
      </c>
      <c r="B3618" s="5">
        <v>3611</v>
      </c>
      <c r="C3618">
        <v>1081</v>
      </c>
      <c r="D3618" t="s">
        <v>5130</v>
      </c>
      <c r="E3618" t="s">
        <v>454</v>
      </c>
      <c r="F3618" t="s">
        <v>136</v>
      </c>
      <c r="G3618" t="s">
        <v>17271</v>
      </c>
      <c r="H3618">
        <v>12.5</v>
      </c>
      <c r="I3618">
        <v>0</v>
      </c>
      <c r="J3618">
        <v>0</v>
      </c>
      <c r="K3618">
        <v>0</v>
      </c>
      <c r="L3618">
        <v>7</v>
      </c>
      <c r="N3618">
        <v>3</v>
      </c>
      <c r="O3618">
        <v>10</v>
      </c>
      <c r="P3618">
        <v>4</v>
      </c>
      <c r="Q3618">
        <v>2</v>
      </c>
      <c r="R3618">
        <v>28.5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H3618">
        <v>28.5</v>
      </c>
    </row>
    <row r="3619" spans="1:34" x14ac:dyDescent="0.3">
      <c r="A3619" s="4">
        <v>3833</v>
      </c>
      <c r="B3619" s="5">
        <v>3612</v>
      </c>
      <c r="C3619">
        <v>8346</v>
      </c>
      <c r="D3619" t="s">
        <v>15827</v>
      </c>
      <c r="E3619" t="s">
        <v>789</v>
      </c>
      <c r="F3619" t="s">
        <v>343</v>
      </c>
      <c r="G3619" t="s">
        <v>17272</v>
      </c>
      <c r="H3619">
        <v>20.48</v>
      </c>
      <c r="I3619">
        <v>0</v>
      </c>
      <c r="J3619">
        <v>0</v>
      </c>
      <c r="K3619">
        <v>0</v>
      </c>
      <c r="N3619">
        <v>6</v>
      </c>
      <c r="O3619">
        <v>6</v>
      </c>
      <c r="P3619">
        <v>0</v>
      </c>
      <c r="Q3619">
        <v>2</v>
      </c>
      <c r="R3619">
        <v>28.48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H3619">
        <v>28.48</v>
      </c>
    </row>
    <row r="3620" spans="1:34" x14ac:dyDescent="0.3">
      <c r="A3620" s="4">
        <v>3834</v>
      </c>
      <c r="B3620" s="5">
        <v>3613</v>
      </c>
      <c r="C3620">
        <v>14434</v>
      </c>
      <c r="D3620" t="s">
        <v>17273</v>
      </c>
      <c r="E3620" t="s">
        <v>71</v>
      </c>
      <c r="F3620" t="s">
        <v>20</v>
      </c>
      <c r="G3620" t="s">
        <v>17274</v>
      </c>
      <c r="H3620">
        <v>17.48</v>
      </c>
      <c r="I3620">
        <v>0</v>
      </c>
      <c r="J3620">
        <v>0</v>
      </c>
      <c r="K3620">
        <v>0</v>
      </c>
      <c r="L3620">
        <v>7</v>
      </c>
      <c r="O3620">
        <v>7</v>
      </c>
      <c r="P3620">
        <v>4</v>
      </c>
      <c r="Q3620">
        <v>0</v>
      </c>
      <c r="R3620">
        <v>28.48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H3620">
        <v>28.48</v>
      </c>
    </row>
    <row r="3621" spans="1:34" x14ac:dyDescent="0.3">
      <c r="A3621" s="4">
        <v>3835</v>
      </c>
      <c r="B3621" s="5">
        <v>3614</v>
      </c>
      <c r="C3621">
        <v>10461</v>
      </c>
      <c r="D3621" t="s">
        <v>17275</v>
      </c>
      <c r="E3621" t="s">
        <v>182</v>
      </c>
      <c r="F3621" t="s">
        <v>17</v>
      </c>
      <c r="G3621" t="s">
        <v>17276</v>
      </c>
      <c r="H3621">
        <v>18.45</v>
      </c>
      <c r="I3621">
        <v>0</v>
      </c>
      <c r="J3621">
        <v>0</v>
      </c>
      <c r="K3621">
        <v>0</v>
      </c>
      <c r="O3621">
        <v>0</v>
      </c>
      <c r="P3621">
        <v>4</v>
      </c>
      <c r="Q3621">
        <v>2</v>
      </c>
      <c r="R3621">
        <v>24.45</v>
      </c>
      <c r="S3621">
        <v>1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1</v>
      </c>
      <c r="AB3621">
        <v>3</v>
      </c>
      <c r="AC3621">
        <v>0</v>
      </c>
      <c r="AD3621" t="s">
        <v>130</v>
      </c>
      <c r="AH3621">
        <v>28.45</v>
      </c>
    </row>
    <row r="3622" spans="1:34" x14ac:dyDescent="0.3">
      <c r="A3622" s="4">
        <v>3836</v>
      </c>
      <c r="B3622" s="5">
        <v>3615</v>
      </c>
      <c r="C3622">
        <v>7172</v>
      </c>
      <c r="D3622" t="s">
        <v>11104</v>
      </c>
      <c r="E3622" t="s">
        <v>29</v>
      </c>
      <c r="F3622" t="s">
        <v>20</v>
      </c>
      <c r="G3622" t="s">
        <v>17277</v>
      </c>
      <c r="H3622">
        <v>17.45</v>
      </c>
      <c r="I3622">
        <v>0</v>
      </c>
      <c r="J3622">
        <v>0</v>
      </c>
      <c r="K3622">
        <v>0</v>
      </c>
      <c r="L3622">
        <v>7</v>
      </c>
      <c r="O3622">
        <v>7</v>
      </c>
      <c r="P3622">
        <v>4</v>
      </c>
      <c r="Q3622">
        <v>0</v>
      </c>
      <c r="R3622">
        <v>28.45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H3622">
        <v>28.45</v>
      </c>
    </row>
    <row r="3623" spans="1:34" x14ac:dyDescent="0.3">
      <c r="A3623" s="4">
        <v>3837</v>
      </c>
      <c r="B3623" s="5">
        <v>3616</v>
      </c>
      <c r="C3623">
        <v>7785</v>
      </c>
      <c r="D3623" t="s">
        <v>17278</v>
      </c>
      <c r="E3623" t="s">
        <v>29</v>
      </c>
      <c r="F3623" t="s">
        <v>117</v>
      </c>
      <c r="G3623" t="s">
        <v>17279</v>
      </c>
      <c r="H3623">
        <v>17.45</v>
      </c>
      <c r="I3623">
        <v>0</v>
      </c>
      <c r="J3623">
        <v>0</v>
      </c>
      <c r="K3623">
        <v>0</v>
      </c>
      <c r="L3623">
        <v>7</v>
      </c>
      <c r="O3623">
        <v>7</v>
      </c>
      <c r="P3623">
        <v>4</v>
      </c>
      <c r="Q3623">
        <v>0</v>
      </c>
      <c r="R3623">
        <v>28.45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H3623">
        <v>28.45</v>
      </c>
    </row>
    <row r="3624" spans="1:34" x14ac:dyDescent="0.3">
      <c r="A3624" s="4">
        <v>3838</v>
      </c>
      <c r="B3624" s="5">
        <v>3617</v>
      </c>
      <c r="C3624">
        <v>14660</v>
      </c>
      <c r="D3624" t="s">
        <v>8863</v>
      </c>
      <c r="E3624" t="s">
        <v>16720</v>
      </c>
      <c r="F3624" t="s">
        <v>30</v>
      </c>
      <c r="G3624" t="s">
        <v>17280</v>
      </c>
      <c r="H3624">
        <v>21.43</v>
      </c>
      <c r="I3624">
        <v>0</v>
      </c>
      <c r="J3624">
        <v>0</v>
      </c>
      <c r="K3624">
        <v>0</v>
      </c>
      <c r="L3624">
        <v>7</v>
      </c>
      <c r="O3624">
        <v>7</v>
      </c>
      <c r="P3624">
        <v>0</v>
      </c>
      <c r="Q3624">
        <v>0</v>
      </c>
      <c r="R3624">
        <v>28.43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H3624">
        <v>28.43</v>
      </c>
    </row>
    <row r="3625" spans="1:34" x14ac:dyDescent="0.3">
      <c r="A3625" s="4">
        <v>3839</v>
      </c>
      <c r="B3625" s="5">
        <v>3618</v>
      </c>
      <c r="C3625">
        <v>12080</v>
      </c>
      <c r="D3625" t="s">
        <v>17281</v>
      </c>
      <c r="E3625" t="s">
        <v>390</v>
      </c>
      <c r="F3625" t="s">
        <v>375</v>
      </c>
      <c r="G3625" t="s">
        <v>17282</v>
      </c>
      <c r="H3625">
        <v>17.43</v>
      </c>
      <c r="I3625">
        <v>0</v>
      </c>
      <c r="J3625">
        <v>0</v>
      </c>
      <c r="K3625">
        <v>0</v>
      </c>
      <c r="L3625">
        <v>7</v>
      </c>
      <c r="O3625">
        <v>7</v>
      </c>
      <c r="P3625">
        <v>4</v>
      </c>
      <c r="Q3625">
        <v>0</v>
      </c>
      <c r="R3625">
        <v>28.43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H3625">
        <v>28.43</v>
      </c>
    </row>
    <row r="3626" spans="1:34" x14ac:dyDescent="0.3">
      <c r="A3626" s="4">
        <v>3840</v>
      </c>
      <c r="B3626" s="5">
        <v>3619</v>
      </c>
      <c r="C3626">
        <v>11090</v>
      </c>
      <c r="D3626" t="s">
        <v>17283</v>
      </c>
      <c r="E3626" t="s">
        <v>6216</v>
      </c>
      <c r="F3626" t="s">
        <v>62</v>
      </c>
      <c r="G3626" t="s">
        <v>17284</v>
      </c>
      <c r="H3626">
        <v>17.43</v>
      </c>
      <c r="I3626">
        <v>0</v>
      </c>
      <c r="J3626">
        <v>0</v>
      </c>
      <c r="K3626">
        <v>0</v>
      </c>
      <c r="L3626">
        <v>7</v>
      </c>
      <c r="O3626">
        <v>7</v>
      </c>
      <c r="P3626">
        <v>4</v>
      </c>
      <c r="Q3626">
        <v>0</v>
      </c>
      <c r="R3626">
        <v>28.43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H3626">
        <v>28.43</v>
      </c>
    </row>
    <row r="3627" spans="1:34" x14ac:dyDescent="0.3">
      <c r="A3627" s="4">
        <v>3841</v>
      </c>
      <c r="B3627" s="5">
        <v>3620</v>
      </c>
      <c r="C3627">
        <v>8788</v>
      </c>
      <c r="D3627" t="s">
        <v>17285</v>
      </c>
      <c r="E3627" t="s">
        <v>1465</v>
      </c>
      <c r="F3627" t="s">
        <v>343</v>
      </c>
      <c r="G3627" t="s">
        <v>17286</v>
      </c>
      <c r="H3627">
        <v>19.399999999999999</v>
      </c>
      <c r="I3627">
        <v>0</v>
      </c>
      <c r="J3627">
        <v>0</v>
      </c>
      <c r="K3627">
        <v>0</v>
      </c>
      <c r="L3627">
        <v>7</v>
      </c>
      <c r="O3627">
        <v>7</v>
      </c>
      <c r="P3627">
        <v>0</v>
      </c>
      <c r="Q3627">
        <v>2</v>
      </c>
      <c r="R3627">
        <v>28.4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H3627">
        <v>28.4</v>
      </c>
    </row>
    <row r="3628" spans="1:34" x14ac:dyDescent="0.3">
      <c r="A3628" s="4">
        <v>3842</v>
      </c>
      <c r="B3628" s="5">
        <v>3621</v>
      </c>
      <c r="C3628">
        <v>11153</v>
      </c>
      <c r="D3628" t="s">
        <v>17287</v>
      </c>
      <c r="E3628" t="s">
        <v>54</v>
      </c>
      <c r="F3628" t="s">
        <v>17</v>
      </c>
      <c r="G3628" t="s">
        <v>17288</v>
      </c>
      <c r="H3628">
        <v>21.38</v>
      </c>
      <c r="I3628">
        <v>0</v>
      </c>
      <c r="J3628">
        <v>0</v>
      </c>
      <c r="K3628">
        <v>0</v>
      </c>
      <c r="L3628">
        <v>7</v>
      </c>
      <c r="O3628">
        <v>7</v>
      </c>
      <c r="P3628">
        <v>0</v>
      </c>
      <c r="Q3628">
        <v>0</v>
      </c>
      <c r="R3628">
        <v>28.38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H3628">
        <v>28.38</v>
      </c>
    </row>
    <row r="3629" spans="1:34" x14ac:dyDescent="0.3">
      <c r="A3629" s="4">
        <v>3843</v>
      </c>
      <c r="B3629" s="5">
        <v>3622</v>
      </c>
      <c r="C3629">
        <v>8775</v>
      </c>
      <c r="D3629" t="s">
        <v>7108</v>
      </c>
      <c r="E3629" t="s">
        <v>22</v>
      </c>
      <c r="F3629" t="s">
        <v>68</v>
      </c>
      <c r="G3629">
        <v>312925</v>
      </c>
      <c r="H3629">
        <v>18.38</v>
      </c>
      <c r="I3629">
        <v>0</v>
      </c>
      <c r="J3629">
        <v>0</v>
      </c>
      <c r="K3629">
        <v>0</v>
      </c>
      <c r="L3629">
        <v>7</v>
      </c>
      <c r="N3629">
        <v>3</v>
      </c>
      <c r="O3629">
        <v>10</v>
      </c>
      <c r="P3629">
        <v>0</v>
      </c>
      <c r="Q3629">
        <v>0</v>
      </c>
      <c r="R3629">
        <v>28.38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H3629">
        <v>28.38</v>
      </c>
    </row>
    <row r="3630" spans="1:34" x14ac:dyDescent="0.3">
      <c r="A3630" s="4">
        <v>3844</v>
      </c>
      <c r="B3630" s="5">
        <v>3623</v>
      </c>
      <c r="C3630">
        <v>2326</v>
      </c>
      <c r="D3630" t="s">
        <v>14837</v>
      </c>
      <c r="E3630" t="s">
        <v>338</v>
      </c>
      <c r="F3630" t="s">
        <v>81</v>
      </c>
      <c r="G3630" t="s">
        <v>17289</v>
      </c>
      <c r="H3630">
        <v>15.35</v>
      </c>
      <c r="I3630">
        <v>0</v>
      </c>
      <c r="J3630">
        <v>0</v>
      </c>
      <c r="K3630">
        <v>0</v>
      </c>
      <c r="L3630">
        <v>7</v>
      </c>
      <c r="O3630">
        <v>7</v>
      </c>
      <c r="P3630">
        <v>4</v>
      </c>
      <c r="Q3630">
        <v>2</v>
      </c>
      <c r="R3630">
        <v>28.35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H3630">
        <v>28.35</v>
      </c>
    </row>
    <row r="3631" spans="1:34" x14ac:dyDescent="0.3">
      <c r="A3631" s="4">
        <v>3845</v>
      </c>
      <c r="B3631" s="5">
        <v>3624</v>
      </c>
      <c r="C3631">
        <v>1858</v>
      </c>
      <c r="D3631" t="s">
        <v>1258</v>
      </c>
      <c r="E3631" t="s">
        <v>26</v>
      </c>
      <c r="F3631" t="s">
        <v>14</v>
      </c>
      <c r="G3631" t="s">
        <v>17290</v>
      </c>
      <c r="H3631">
        <v>19.329999999999998</v>
      </c>
      <c r="I3631">
        <v>0</v>
      </c>
      <c r="J3631">
        <v>0</v>
      </c>
      <c r="K3631">
        <v>0</v>
      </c>
      <c r="N3631">
        <v>3</v>
      </c>
      <c r="O3631">
        <v>3</v>
      </c>
      <c r="P3631">
        <v>4</v>
      </c>
      <c r="Q3631">
        <v>2</v>
      </c>
      <c r="R3631">
        <v>28.33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 t="s">
        <v>130</v>
      </c>
      <c r="AH3631">
        <v>28.33</v>
      </c>
    </row>
    <row r="3632" spans="1:34" x14ac:dyDescent="0.3">
      <c r="A3632" s="4">
        <v>3846</v>
      </c>
      <c r="B3632" s="5">
        <v>3625</v>
      </c>
      <c r="C3632">
        <v>12984</v>
      </c>
      <c r="D3632" t="s">
        <v>3764</v>
      </c>
      <c r="E3632" t="s">
        <v>8216</v>
      </c>
      <c r="F3632" t="s">
        <v>1526</v>
      </c>
      <c r="G3632" t="s">
        <v>17291</v>
      </c>
      <c r="H3632">
        <v>17.329999999999998</v>
      </c>
      <c r="I3632">
        <v>0</v>
      </c>
      <c r="J3632">
        <v>0</v>
      </c>
      <c r="K3632">
        <v>0</v>
      </c>
      <c r="L3632">
        <v>7</v>
      </c>
      <c r="O3632">
        <v>7</v>
      </c>
      <c r="P3632">
        <v>4</v>
      </c>
      <c r="Q3632">
        <v>0</v>
      </c>
      <c r="R3632">
        <v>28.33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H3632">
        <v>28.33</v>
      </c>
    </row>
    <row r="3633" spans="1:34" x14ac:dyDescent="0.3">
      <c r="A3633" s="4">
        <v>3847</v>
      </c>
      <c r="B3633" s="5">
        <v>3626</v>
      </c>
      <c r="C3633">
        <v>14607</v>
      </c>
      <c r="D3633" t="s">
        <v>17292</v>
      </c>
      <c r="E3633" t="s">
        <v>7769</v>
      </c>
      <c r="F3633" t="s">
        <v>117</v>
      </c>
      <c r="G3633" t="s">
        <v>17293</v>
      </c>
      <c r="H3633">
        <v>17.329999999999998</v>
      </c>
      <c r="I3633">
        <v>0</v>
      </c>
      <c r="J3633">
        <v>0</v>
      </c>
      <c r="K3633">
        <v>0</v>
      </c>
      <c r="L3633">
        <v>7</v>
      </c>
      <c r="O3633">
        <v>7</v>
      </c>
      <c r="P3633">
        <v>4</v>
      </c>
      <c r="Q3633">
        <v>0</v>
      </c>
      <c r="R3633">
        <v>28.33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H3633">
        <v>28.33</v>
      </c>
    </row>
    <row r="3634" spans="1:34" x14ac:dyDescent="0.3">
      <c r="A3634" s="4">
        <v>3848</v>
      </c>
      <c r="B3634" s="5">
        <v>3627</v>
      </c>
      <c r="C3634">
        <v>11198</v>
      </c>
      <c r="D3634" t="s">
        <v>12181</v>
      </c>
      <c r="E3634" t="s">
        <v>1277</v>
      </c>
      <c r="F3634" t="s">
        <v>136</v>
      </c>
      <c r="G3634" t="s">
        <v>17294</v>
      </c>
      <c r="H3634">
        <v>21.3</v>
      </c>
      <c r="I3634">
        <v>0</v>
      </c>
      <c r="J3634">
        <v>0</v>
      </c>
      <c r="K3634">
        <v>0</v>
      </c>
      <c r="L3634">
        <v>7</v>
      </c>
      <c r="O3634">
        <v>7</v>
      </c>
      <c r="P3634">
        <v>0</v>
      </c>
      <c r="Q3634">
        <v>0</v>
      </c>
      <c r="R3634">
        <v>28.3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H3634">
        <v>28.3</v>
      </c>
    </row>
    <row r="3635" spans="1:34" x14ac:dyDescent="0.3">
      <c r="A3635" s="4">
        <v>3849</v>
      </c>
      <c r="B3635" s="5">
        <v>3628</v>
      </c>
      <c r="C3635">
        <v>15204</v>
      </c>
      <c r="D3635" t="s">
        <v>14837</v>
      </c>
      <c r="E3635" t="s">
        <v>37</v>
      </c>
      <c r="F3635" t="s">
        <v>68</v>
      </c>
      <c r="G3635" t="s">
        <v>17295</v>
      </c>
      <c r="H3635">
        <v>19.3</v>
      </c>
      <c r="I3635">
        <v>0</v>
      </c>
      <c r="J3635">
        <v>0</v>
      </c>
      <c r="K3635">
        <v>0</v>
      </c>
      <c r="N3635">
        <v>3</v>
      </c>
      <c r="O3635">
        <v>3</v>
      </c>
      <c r="P3635">
        <v>4</v>
      </c>
      <c r="Q3635">
        <v>2</v>
      </c>
      <c r="R3635">
        <v>28.3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H3635">
        <v>28.3</v>
      </c>
    </row>
    <row r="3636" spans="1:34" x14ac:dyDescent="0.3">
      <c r="A3636" s="4">
        <v>3850</v>
      </c>
      <c r="B3636" s="5">
        <v>3629</v>
      </c>
      <c r="C3636">
        <v>14097</v>
      </c>
      <c r="D3636" t="s">
        <v>2251</v>
      </c>
      <c r="E3636" t="s">
        <v>29</v>
      </c>
      <c r="F3636" t="s">
        <v>375</v>
      </c>
      <c r="G3636" t="s">
        <v>17296</v>
      </c>
      <c r="H3636">
        <v>18.3</v>
      </c>
      <c r="I3636">
        <v>0</v>
      </c>
      <c r="J3636">
        <v>0</v>
      </c>
      <c r="K3636">
        <v>0</v>
      </c>
      <c r="L3636">
        <v>7</v>
      </c>
      <c r="N3636">
        <v>3</v>
      </c>
      <c r="O3636">
        <v>10</v>
      </c>
      <c r="P3636">
        <v>0</v>
      </c>
      <c r="Q3636">
        <v>0</v>
      </c>
      <c r="R3636">
        <v>28.3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H3636">
        <v>28.3</v>
      </c>
    </row>
    <row r="3637" spans="1:34" x14ac:dyDescent="0.3">
      <c r="A3637" s="4">
        <v>3851</v>
      </c>
      <c r="B3637" s="5">
        <v>3630</v>
      </c>
      <c r="C3637">
        <v>10858</v>
      </c>
      <c r="D3637" t="s">
        <v>17297</v>
      </c>
      <c r="E3637" t="s">
        <v>213</v>
      </c>
      <c r="F3637" t="s">
        <v>38</v>
      </c>
      <c r="G3637" t="s">
        <v>17298</v>
      </c>
      <c r="H3637">
        <v>17.3</v>
      </c>
      <c r="I3637">
        <v>0</v>
      </c>
      <c r="J3637">
        <v>0</v>
      </c>
      <c r="K3637">
        <v>0</v>
      </c>
      <c r="L3637">
        <v>7</v>
      </c>
      <c r="O3637">
        <v>7</v>
      </c>
      <c r="P3637">
        <v>4</v>
      </c>
      <c r="Q3637">
        <v>0</v>
      </c>
      <c r="R3637">
        <v>28.3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H3637">
        <v>28.3</v>
      </c>
    </row>
    <row r="3638" spans="1:34" x14ac:dyDescent="0.3">
      <c r="A3638" s="4">
        <v>3852</v>
      </c>
      <c r="B3638" s="5">
        <v>3631</v>
      </c>
      <c r="C3638">
        <v>10998</v>
      </c>
      <c r="D3638" t="s">
        <v>17299</v>
      </c>
      <c r="E3638" t="s">
        <v>33</v>
      </c>
      <c r="F3638" t="s">
        <v>9300</v>
      </c>
      <c r="G3638" t="s">
        <v>17300</v>
      </c>
      <c r="H3638">
        <v>17.28</v>
      </c>
      <c r="I3638">
        <v>0</v>
      </c>
      <c r="J3638">
        <v>0</v>
      </c>
      <c r="K3638">
        <v>0</v>
      </c>
      <c r="M3638">
        <v>5</v>
      </c>
      <c r="O3638">
        <v>5</v>
      </c>
      <c r="P3638">
        <v>0</v>
      </c>
      <c r="Q3638">
        <v>0</v>
      </c>
      <c r="R3638">
        <v>22.28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6</v>
      </c>
      <c r="AC3638">
        <v>0</v>
      </c>
      <c r="AH3638">
        <v>28.28</v>
      </c>
    </row>
    <row r="3639" spans="1:34" x14ac:dyDescent="0.3">
      <c r="A3639" s="4">
        <v>3853</v>
      </c>
      <c r="B3639" s="5">
        <v>3632</v>
      </c>
      <c r="C3639">
        <v>4482</v>
      </c>
      <c r="D3639" t="s">
        <v>1599</v>
      </c>
      <c r="E3639" t="s">
        <v>320</v>
      </c>
      <c r="F3639" t="s">
        <v>68</v>
      </c>
      <c r="G3639" t="s">
        <v>17301</v>
      </c>
      <c r="H3639">
        <v>14.28</v>
      </c>
      <c r="I3639">
        <v>0</v>
      </c>
      <c r="J3639">
        <v>0</v>
      </c>
      <c r="K3639">
        <v>0</v>
      </c>
      <c r="L3639">
        <v>7</v>
      </c>
      <c r="O3639">
        <v>7</v>
      </c>
      <c r="P3639">
        <v>4</v>
      </c>
      <c r="Q3639">
        <v>0</v>
      </c>
      <c r="R3639">
        <v>25.28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3</v>
      </c>
      <c r="AC3639">
        <v>0</v>
      </c>
      <c r="AH3639">
        <v>28.28</v>
      </c>
    </row>
    <row r="3640" spans="1:34" x14ac:dyDescent="0.3">
      <c r="A3640" s="4">
        <v>3854</v>
      </c>
      <c r="B3640" s="5">
        <v>3633</v>
      </c>
      <c r="C3640">
        <v>7437</v>
      </c>
      <c r="D3640" t="s">
        <v>17302</v>
      </c>
      <c r="E3640" t="s">
        <v>41</v>
      </c>
      <c r="F3640" t="s">
        <v>55</v>
      </c>
      <c r="G3640" t="s">
        <v>17303</v>
      </c>
      <c r="H3640">
        <v>19.25</v>
      </c>
      <c r="I3640">
        <v>0</v>
      </c>
      <c r="J3640">
        <v>0</v>
      </c>
      <c r="K3640">
        <v>0</v>
      </c>
      <c r="M3640">
        <v>5</v>
      </c>
      <c r="O3640">
        <v>5</v>
      </c>
      <c r="P3640">
        <v>4</v>
      </c>
      <c r="Q3640">
        <v>0</v>
      </c>
      <c r="R3640">
        <v>28.25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H3640">
        <v>28.25</v>
      </c>
    </row>
    <row r="3641" spans="1:34" x14ac:dyDescent="0.3">
      <c r="A3641" s="4">
        <v>3855</v>
      </c>
      <c r="B3641" s="5">
        <v>3634</v>
      </c>
      <c r="C3641">
        <v>5910</v>
      </c>
      <c r="D3641" t="s">
        <v>3766</v>
      </c>
      <c r="E3641" t="s">
        <v>161</v>
      </c>
      <c r="F3641" t="s">
        <v>230</v>
      </c>
      <c r="G3641" t="s">
        <v>17304</v>
      </c>
      <c r="H3641">
        <v>17.25</v>
      </c>
      <c r="I3641">
        <v>0</v>
      </c>
      <c r="J3641">
        <v>0</v>
      </c>
      <c r="K3641">
        <v>0</v>
      </c>
      <c r="L3641">
        <v>7</v>
      </c>
      <c r="O3641">
        <v>7</v>
      </c>
      <c r="P3641">
        <v>4</v>
      </c>
      <c r="Q3641">
        <v>0</v>
      </c>
      <c r="R3641">
        <v>28.25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H3641">
        <v>28.25</v>
      </c>
    </row>
    <row r="3642" spans="1:34" x14ac:dyDescent="0.3">
      <c r="A3642" s="4">
        <v>3856</v>
      </c>
      <c r="B3642" s="5">
        <v>3635</v>
      </c>
      <c r="C3642">
        <v>3838</v>
      </c>
      <c r="D3642" t="s">
        <v>12454</v>
      </c>
      <c r="E3642" t="s">
        <v>143</v>
      </c>
      <c r="F3642" t="s">
        <v>136</v>
      </c>
      <c r="G3642" t="s">
        <v>17305</v>
      </c>
      <c r="H3642">
        <v>17.25</v>
      </c>
      <c r="I3642">
        <v>0</v>
      </c>
      <c r="J3642">
        <v>0</v>
      </c>
      <c r="K3642">
        <v>0</v>
      </c>
      <c r="L3642">
        <v>7</v>
      </c>
      <c r="O3642">
        <v>7</v>
      </c>
      <c r="P3642">
        <v>4</v>
      </c>
      <c r="Q3642">
        <v>0</v>
      </c>
      <c r="R3642">
        <v>28.25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H3642">
        <v>28.25</v>
      </c>
    </row>
    <row r="3643" spans="1:34" x14ac:dyDescent="0.3">
      <c r="A3643" s="4">
        <v>3857</v>
      </c>
      <c r="B3643" s="5">
        <v>3636</v>
      </c>
      <c r="C3643">
        <v>12599</v>
      </c>
      <c r="D3643" t="s">
        <v>198</v>
      </c>
      <c r="E3643" t="s">
        <v>54</v>
      </c>
      <c r="F3643" t="s">
        <v>17</v>
      </c>
      <c r="G3643" t="s">
        <v>17306</v>
      </c>
      <c r="H3643">
        <v>16.25</v>
      </c>
      <c r="I3643">
        <v>0</v>
      </c>
      <c r="J3643">
        <v>0</v>
      </c>
      <c r="K3643">
        <v>0</v>
      </c>
      <c r="M3643">
        <v>5</v>
      </c>
      <c r="N3643">
        <v>3</v>
      </c>
      <c r="O3643">
        <v>8</v>
      </c>
      <c r="P3643">
        <v>4</v>
      </c>
      <c r="Q3643">
        <v>0</v>
      </c>
      <c r="R3643">
        <v>28.25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H3643">
        <v>28.25</v>
      </c>
    </row>
    <row r="3644" spans="1:34" x14ac:dyDescent="0.3">
      <c r="A3644" s="4">
        <v>3858</v>
      </c>
      <c r="B3644" s="5">
        <v>3637</v>
      </c>
      <c r="C3644">
        <v>6638</v>
      </c>
      <c r="D3644" t="s">
        <v>9107</v>
      </c>
      <c r="E3644" t="s">
        <v>17307</v>
      </c>
      <c r="F3644" t="s">
        <v>38</v>
      </c>
      <c r="G3644" t="s">
        <v>17308</v>
      </c>
      <c r="H3644">
        <v>16.25</v>
      </c>
      <c r="I3644">
        <v>0</v>
      </c>
      <c r="J3644">
        <v>0</v>
      </c>
      <c r="K3644">
        <v>0</v>
      </c>
      <c r="M3644">
        <v>5</v>
      </c>
      <c r="N3644">
        <v>3</v>
      </c>
      <c r="O3644">
        <v>8</v>
      </c>
      <c r="P3644">
        <v>4</v>
      </c>
      <c r="Q3644">
        <v>0</v>
      </c>
      <c r="R3644">
        <v>28.25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H3644">
        <v>28.25</v>
      </c>
    </row>
    <row r="3645" spans="1:34" x14ac:dyDescent="0.3">
      <c r="A3645" s="4">
        <v>3859</v>
      </c>
      <c r="B3645" s="5">
        <v>3638</v>
      </c>
      <c r="C3645">
        <v>15296</v>
      </c>
      <c r="D3645" t="s">
        <v>9451</v>
      </c>
      <c r="E3645" t="s">
        <v>17309</v>
      </c>
      <c r="F3645" t="s">
        <v>81</v>
      </c>
      <c r="G3645" t="s">
        <v>17310</v>
      </c>
      <c r="H3645">
        <v>16.25</v>
      </c>
      <c r="I3645">
        <v>0</v>
      </c>
      <c r="J3645">
        <v>0</v>
      </c>
      <c r="K3645">
        <v>0</v>
      </c>
      <c r="L3645">
        <v>7</v>
      </c>
      <c r="M3645">
        <v>5</v>
      </c>
      <c r="O3645">
        <v>12</v>
      </c>
      <c r="P3645">
        <v>0</v>
      </c>
      <c r="Q3645">
        <v>0</v>
      </c>
      <c r="R3645">
        <v>28.25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E3645" t="s">
        <v>130</v>
      </c>
      <c r="AH3645">
        <v>28.25</v>
      </c>
    </row>
    <row r="3646" spans="1:34" x14ac:dyDescent="0.3">
      <c r="A3646" s="4">
        <v>3860</v>
      </c>
      <c r="B3646" s="5">
        <v>3639</v>
      </c>
      <c r="C3646">
        <v>3886</v>
      </c>
      <c r="D3646" t="s">
        <v>207</v>
      </c>
      <c r="E3646" t="s">
        <v>97</v>
      </c>
      <c r="F3646" t="s">
        <v>190</v>
      </c>
      <c r="G3646" t="s">
        <v>17311</v>
      </c>
      <c r="H3646">
        <v>18.25</v>
      </c>
      <c r="I3646">
        <v>0</v>
      </c>
      <c r="J3646">
        <v>0</v>
      </c>
      <c r="K3646">
        <v>0</v>
      </c>
      <c r="N3646">
        <v>3</v>
      </c>
      <c r="O3646">
        <v>3</v>
      </c>
      <c r="P3646">
        <v>0</v>
      </c>
      <c r="Q3646">
        <v>2</v>
      </c>
      <c r="R3646">
        <v>23.25</v>
      </c>
      <c r="S3646">
        <v>5</v>
      </c>
      <c r="T3646">
        <v>5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5</v>
      </c>
      <c r="AB3646">
        <v>0</v>
      </c>
      <c r="AC3646">
        <v>0</v>
      </c>
      <c r="AH3646">
        <v>28.25</v>
      </c>
    </row>
    <row r="3647" spans="1:34" x14ac:dyDescent="0.3">
      <c r="A3647" s="4">
        <v>3861</v>
      </c>
      <c r="B3647" s="5">
        <v>3640</v>
      </c>
      <c r="C3647">
        <v>5083</v>
      </c>
      <c r="D3647" t="s">
        <v>17312</v>
      </c>
      <c r="E3647" t="s">
        <v>17</v>
      </c>
      <c r="F3647" t="s">
        <v>190</v>
      </c>
      <c r="G3647" t="s">
        <v>17313</v>
      </c>
      <c r="H3647">
        <v>19.23</v>
      </c>
      <c r="I3647">
        <v>0</v>
      </c>
      <c r="J3647">
        <v>0</v>
      </c>
      <c r="K3647">
        <v>0</v>
      </c>
      <c r="N3647">
        <v>3</v>
      </c>
      <c r="O3647">
        <v>3</v>
      </c>
      <c r="P3647">
        <v>4</v>
      </c>
      <c r="Q3647">
        <v>2</v>
      </c>
      <c r="R3647">
        <v>28.23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H3647">
        <v>28.23</v>
      </c>
    </row>
    <row r="3648" spans="1:34" x14ac:dyDescent="0.3">
      <c r="A3648" s="4">
        <v>3862</v>
      </c>
      <c r="B3648" s="5">
        <v>3641</v>
      </c>
      <c r="C3648">
        <v>13281</v>
      </c>
      <c r="D3648" t="s">
        <v>17314</v>
      </c>
      <c r="E3648" t="s">
        <v>406</v>
      </c>
      <c r="F3648" t="s">
        <v>17</v>
      </c>
      <c r="G3648" t="s">
        <v>17315</v>
      </c>
      <c r="H3648">
        <v>17.23</v>
      </c>
      <c r="I3648">
        <v>0</v>
      </c>
      <c r="J3648">
        <v>0</v>
      </c>
      <c r="K3648">
        <v>0</v>
      </c>
      <c r="L3648">
        <v>7</v>
      </c>
      <c r="O3648">
        <v>7</v>
      </c>
      <c r="P3648">
        <v>4</v>
      </c>
      <c r="Q3648">
        <v>0</v>
      </c>
      <c r="R3648">
        <v>28.23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H3648">
        <v>28.23</v>
      </c>
    </row>
    <row r="3649" spans="1:34" x14ac:dyDescent="0.3">
      <c r="A3649" s="4">
        <v>3863</v>
      </c>
      <c r="B3649" s="5">
        <v>3642</v>
      </c>
      <c r="C3649">
        <v>4223</v>
      </c>
      <c r="D3649" t="s">
        <v>17316</v>
      </c>
      <c r="E3649" t="s">
        <v>55</v>
      </c>
      <c r="F3649" t="s">
        <v>38</v>
      </c>
      <c r="G3649" t="s">
        <v>17317</v>
      </c>
      <c r="H3649">
        <v>17.23</v>
      </c>
      <c r="I3649">
        <v>0</v>
      </c>
      <c r="J3649">
        <v>0</v>
      </c>
      <c r="K3649">
        <v>0</v>
      </c>
      <c r="L3649">
        <v>7</v>
      </c>
      <c r="O3649">
        <v>7</v>
      </c>
      <c r="P3649">
        <v>4</v>
      </c>
      <c r="Q3649">
        <v>0</v>
      </c>
      <c r="R3649">
        <v>28.23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H3649">
        <v>28.23</v>
      </c>
    </row>
    <row r="3650" spans="1:34" x14ac:dyDescent="0.3">
      <c r="A3650" s="4">
        <v>3864</v>
      </c>
      <c r="B3650" s="5">
        <v>3643</v>
      </c>
      <c r="C3650">
        <v>750</v>
      </c>
      <c r="D3650" t="s">
        <v>17318</v>
      </c>
      <c r="E3650" t="s">
        <v>132</v>
      </c>
      <c r="F3650" t="s">
        <v>79</v>
      </c>
      <c r="G3650" t="s">
        <v>17319</v>
      </c>
      <c r="H3650">
        <v>19.2</v>
      </c>
      <c r="I3650">
        <v>0</v>
      </c>
      <c r="J3650">
        <v>0</v>
      </c>
      <c r="K3650">
        <v>0</v>
      </c>
      <c r="N3650">
        <v>6</v>
      </c>
      <c r="O3650">
        <v>6</v>
      </c>
      <c r="P3650">
        <v>0</v>
      </c>
      <c r="Q3650">
        <v>0</v>
      </c>
      <c r="R3650">
        <v>25.2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3</v>
      </c>
      <c r="AC3650">
        <v>0</v>
      </c>
      <c r="AH3650">
        <v>28.2</v>
      </c>
    </row>
    <row r="3651" spans="1:34" x14ac:dyDescent="0.3">
      <c r="A3651" s="4">
        <v>3865</v>
      </c>
      <c r="B3651" s="5">
        <v>3644</v>
      </c>
      <c r="C3651">
        <v>12742</v>
      </c>
      <c r="D3651" t="s">
        <v>17320</v>
      </c>
      <c r="E3651" t="s">
        <v>361</v>
      </c>
      <c r="F3651" t="s">
        <v>136</v>
      </c>
      <c r="G3651" t="s">
        <v>17321</v>
      </c>
      <c r="H3651">
        <v>17.2</v>
      </c>
      <c r="I3651">
        <v>0</v>
      </c>
      <c r="J3651">
        <v>0</v>
      </c>
      <c r="K3651">
        <v>0</v>
      </c>
      <c r="L3651">
        <v>7</v>
      </c>
      <c r="O3651">
        <v>7</v>
      </c>
      <c r="P3651">
        <v>4</v>
      </c>
      <c r="Q3651">
        <v>0</v>
      </c>
      <c r="R3651">
        <v>28.2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H3651">
        <v>28.2</v>
      </c>
    </row>
    <row r="3652" spans="1:34" x14ac:dyDescent="0.3">
      <c r="A3652" s="4">
        <v>3866</v>
      </c>
      <c r="B3652" s="5">
        <v>3645</v>
      </c>
      <c r="C3652">
        <v>11923</v>
      </c>
      <c r="D3652" t="s">
        <v>17322</v>
      </c>
      <c r="E3652" t="s">
        <v>54</v>
      </c>
      <c r="F3652" t="s">
        <v>62</v>
      </c>
      <c r="G3652" t="s">
        <v>17323</v>
      </c>
      <c r="H3652">
        <v>19.149999999999999</v>
      </c>
      <c r="I3652">
        <v>0</v>
      </c>
      <c r="J3652">
        <v>0</v>
      </c>
      <c r="K3652">
        <v>0</v>
      </c>
      <c r="L3652">
        <v>7</v>
      </c>
      <c r="O3652">
        <v>7</v>
      </c>
      <c r="P3652">
        <v>0</v>
      </c>
      <c r="Q3652">
        <v>2</v>
      </c>
      <c r="R3652">
        <v>28.15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H3652">
        <v>28.15</v>
      </c>
    </row>
    <row r="3653" spans="1:34" x14ac:dyDescent="0.3">
      <c r="A3653" s="4">
        <v>3867</v>
      </c>
      <c r="B3653" s="5">
        <v>3646</v>
      </c>
      <c r="C3653">
        <v>10542</v>
      </c>
      <c r="D3653" t="s">
        <v>7289</v>
      </c>
      <c r="E3653" t="s">
        <v>161</v>
      </c>
      <c r="F3653" t="s">
        <v>17</v>
      </c>
      <c r="G3653" t="s">
        <v>17324</v>
      </c>
      <c r="H3653">
        <v>19.149999999999999</v>
      </c>
      <c r="I3653">
        <v>0</v>
      </c>
      <c r="J3653">
        <v>0</v>
      </c>
      <c r="K3653">
        <v>0</v>
      </c>
      <c r="M3653">
        <v>5</v>
      </c>
      <c r="O3653">
        <v>5</v>
      </c>
      <c r="P3653">
        <v>4</v>
      </c>
      <c r="Q3653">
        <v>0</v>
      </c>
      <c r="R3653">
        <v>28.15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H3653">
        <v>28.15</v>
      </c>
    </row>
    <row r="3654" spans="1:34" x14ac:dyDescent="0.3">
      <c r="A3654" s="4">
        <v>3868</v>
      </c>
      <c r="B3654" s="5">
        <v>3647</v>
      </c>
      <c r="C3654">
        <v>12835</v>
      </c>
      <c r="D3654" t="s">
        <v>17325</v>
      </c>
      <c r="E3654" t="s">
        <v>338</v>
      </c>
      <c r="F3654" t="s">
        <v>30</v>
      </c>
      <c r="G3654" t="s">
        <v>17326</v>
      </c>
      <c r="H3654">
        <v>18.149999999999999</v>
      </c>
      <c r="I3654">
        <v>0</v>
      </c>
      <c r="J3654">
        <v>0</v>
      </c>
      <c r="K3654">
        <v>0</v>
      </c>
      <c r="N3654">
        <v>6</v>
      </c>
      <c r="O3654">
        <v>6</v>
      </c>
      <c r="P3654">
        <v>4</v>
      </c>
      <c r="Q3654">
        <v>0</v>
      </c>
      <c r="R3654">
        <v>28.15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H3654">
        <v>28.15</v>
      </c>
    </row>
    <row r="3655" spans="1:34" x14ac:dyDescent="0.3">
      <c r="A3655" s="4">
        <v>3869</v>
      </c>
      <c r="B3655" s="5">
        <v>3648</v>
      </c>
      <c r="C3655">
        <v>12959</v>
      </c>
      <c r="D3655" t="s">
        <v>17327</v>
      </c>
      <c r="E3655" t="s">
        <v>6121</v>
      </c>
      <c r="F3655" t="s">
        <v>243</v>
      </c>
      <c r="G3655" t="s">
        <v>17328</v>
      </c>
      <c r="H3655">
        <v>18.149999999999999</v>
      </c>
      <c r="I3655">
        <v>0</v>
      </c>
      <c r="J3655">
        <v>0</v>
      </c>
      <c r="K3655">
        <v>0</v>
      </c>
      <c r="L3655">
        <v>7</v>
      </c>
      <c r="N3655">
        <v>3</v>
      </c>
      <c r="O3655">
        <v>10</v>
      </c>
      <c r="P3655">
        <v>0</v>
      </c>
      <c r="Q3655">
        <v>0</v>
      </c>
      <c r="R3655">
        <v>28.15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H3655">
        <v>28.15</v>
      </c>
    </row>
    <row r="3656" spans="1:34" x14ac:dyDescent="0.3">
      <c r="A3656" s="4">
        <v>3870</v>
      </c>
      <c r="B3656" s="5">
        <v>3649</v>
      </c>
      <c r="C3656">
        <v>5974</v>
      </c>
      <c r="D3656" t="s">
        <v>8895</v>
      </c>
      <c r="E3656" t="s">
        <v>789</v>
      </c>
      <c r="F3656" t="s">
        <v>1000</v>
      </c>
      <c r="G3656" t="s">
        <v>17329</v>
      </c>
      <c r="H3656">
        <v>17.149999999999999</v>
      </c>
      <c r="I3656">
        <v>0</v>
      </c>
      <c r="J3656">
        <v>0</v>
      </c>
      <c r="K3656">
        <v>0</v>
      </c>
      <c r="L3656">
        <v>7</v>
      </c>
      <c r="O3656">
        <v>7</v>
      </c>
      <c r="P3656">
        <v>4</v>
      </c>
      <c r="Q3656">
        <v>0</v>
      </c>
      <c r="R3656">
        <v>28.15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H3656">
        <v>28.15</v>
      </c>
    </row>
    <row r="3657" spans="1:34" x14ac:dyDescent="0.3">
      <c r="A3657" s="4">
        <v>3871</v>
      </c>
      <c r="B3657" s="5">
        <v>3650</v>
      </c>
      <c r="C3657">
        <v>1722</v>
      </c>
      <c r="D3657" t="s">
        <v>7165</v>
      </c>
      <c r="E3657" t="s">
        <v>71</v>
      </c>
      <c r="F3657" t="s">
        <v>328</v>
      </c>
      <c r="G3657" t="s">
        <v>17330</v>
      </c>
      <c r="H3657">
        <v>17.149999999999999</v>
      </c>
      <c r="I3657">
        <v>0</v>
      </c>
      <c r="J3657">
        <v>0</v>
      </c>
      <c r="K3657">
        <v>0</v>
      </c>
      <c r="M3657">
        <v>5</v>
      </c>
      <c r="O3657">
        <v>5</v>
      </c>
      <c r="P3657">
        <v>4</v>
      </c>
      <c r="Q3657">
        <v>2</v>
      </c>
      <c r="R3657">
        <v>28.15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H3657">
        <v>28.15</v>
      </c>
    </row>
    <row r="3658" spans="1:34" x14ac:dyDescent="0.3">
      <c r="A3658" s="4">
        <v>3872</v>
      </c>
      <c r="B3658" s="5">
        <v>3651</v>
      </c>
      <c r="C3658">
        <v>8891</v>
      </c>
      <c r="D3658" t="s">
        <v>17331</v>
      </c>
      <c r="E3658" t="s">
        <v>17332</v>
      </c>
      <c r="F3658" t="s">
        <v>81</v>
      </c>
      <c r="G3658" t="s">
        <v>17333</v>
      </c>
      <c r="H3658">
        <v>19.13</v>
      </c>
      <c r="I3658">
        <v>0</v>
      </c>
      <c r="J3658">
        <v>0</v>
      </c>
      <c r="K3658">
        <v>0</v>
      </c>
      <c r="M3658">
        <v>5</v>
      </c>
      <c r="O3658">
        <v>5</v>
      </c>
      <c r="P3658">
        <v>4</v>
      </c>
      <c r="Q3658">
        <v>0</v>
      </c>
      <c r="R3658">
        <v>28.13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H3658">
        <v>28.13</v>
      </c>
    </row>
    <row r="3659" spans="1:34" x14ac:dyDescent="0.3">
      <c r="A3659" s="4">
        <v>3873</v>
      </c>
      <c r="B3659" s="5">
        <v>3652</v>
      </c>
      <c r="C3659">
        <v>7963</v>
      </c>
      <c r="D3659" t="s">
        <v>17334</v>
      </c>
      <c r="E3659" t="s">
        <v>17335</v>
      </c>
      <c r="F3659" t="s">
        <v>2598</v>
      </c>
      <c r="G3659" t="s">
        <v>17336</v>
      </c>
      <c r="H3659">
        <v>17.100000000000001</v>
      </c>
      <c r="I3659">
        <v>0</v>
      </c>
      <c r="J3659">
        <v>0</v>
      </c>
      <c r="K3659">
        <v>0</v>
      </c>
      <c r="L3659">
        <v>7</v>
      </c>
      <c r="O3659">
        <v>7</v>
      </c>
      <c r="P3659">
        <v>4</v>
      </c>
      <c r="Q3659">
        <v>0</v>
      </c>
      <c r="R3659">
        <v>28.1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H3659">
        <v>28.1</v>
      </c>
    </row>
    <row r="3660" spans="1:34" x14ac:dyDescent="0.3">
      <c r="A3660" s="4">
        <v>3874</v>
      </c>
      <c r="B3660" s="5">
        <v>3653</v>
      </c>
      <c r="C3660">
        <v>4953</v>
      </c>
      <c r="D3660" t="s">
        <v>1304</v>
      </c>
      <c r="E3660" t="s">
        <v>188</v>
      </c>
      <c r="F3660" t="s">
        <v>20</v>
      </c>
      <c r="G3660" t="s">
        <v>17337</v>
      </c>
      <c r="H3660">
        <v>17.100000000000001</v>
      </c>
      <c r="I3660">
        <v>0</v>
      </c>
      <c r="J3660">
        <v>0</v>
      </c>
      <c r="K3660">
        <v>0</v>
      </c>
      <c r="L3660">
        <v>7</v>
      </c>
      <c r="O3660">
        <v>7</v>
      </c>
      <c r="P3660">
        <v>4</v>
      </c>
      <c r="Q3660">
        <v>0</v>
      </c>
      <c r="R3660">
        <v>28.1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H3660">
        <v>28.1</v>
      </c>
    </row>
    <row r="3661" spans="1:34" x14ac:dyDescent="0.3">
      <c r="A3661" s="4">
        <v>3875</v>
      </c>
      <c r="B3661" s="5">
        <v>3654</v>
      </c>
      <c r="C3661">
        <v>4178</v>
      </c>
      <c r="D3661" t="s">
        <v>17338</v>
      </c>
      <c r="E3661" t="s">
        <v>38</v>
      </c>
      <c r="F3661" t="s">
        <v>136</v>
      </c>
      <c r="G3661" t="s">
        <v>17339</v>
      </c>
      <c r="H3661">
        <v>17.05</v>
      </c>
      <c r="I3661">
        <v>0</v>
      </c>
      <c r="J3661">
        <v>0</v>
      </c>
      <c r="K3661">
        <v>0</v>
      </c>
      <c r="M3661">
        <v>5</v>
      </c>
      <c r="O3661">
        <v>5</v>
      </c>
      <c r="P3661">
        <v>4</v>
      </c>
      <c r="Q3661">
        <v>2</v>
      </c>
      <c r="R3661">
        <v>28.05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H3661">
        <v>28.05</v>
      </c>
    </row>
    <row r="3662" spans="1:34" x14ac:dyDescent="0.3">
      <c r="A3662" s="4">
        <v>3876</v>
      </c>
      <c r="B3662" s="5">
        <v>3655</v>
      </c>
      <c r="C3662">
        <v>12311</v>
      </c>
      <c r="D3662" t="s">
        <v>17340</v>
      </c>
      <c r="E3662" t="s">
        <v>5237</v>
      </c>
      <c r="F3662" t="s">
        <v>20</v>
      </c>
      <c r="G3662" t="s">
        <v>17341</v>
      </c>
      <c r="H3662">
        <v>17.05</v>
      </c>
      <c r="I3662">
        <v>0</v>
      </c>
      <c r="J3662">
        <v>0</v>
      </c>
      <c r="K3662">
        <v>0</v>
      </c>
      <c r="L3662">
        <v>7</v>
      </c>
      <c r="O3662">
        <v>7</v>
      </c>
      <c r="P3662">
        <v>4</v>
      </c>
      <c r="Q3662">
        <v>0</v>
      </c>
      <c r="R3662">
        <v>28.05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H3662">
        <v>28.05</v>
      </c>
    </row>
    <row r="3663" spans="1:34" x14ac:dyDescent="0.3">
      <c r="A3663" s="4">
        <v>3877</v>
      </c>
      <c r="B3663" s="5">
        <v>3656</v>
      </c>
      <c r="C3663">
        <v>4654</v>
      </c>
      <c r="D3663" t="s">
        <v>8546</v>
      </c>
      <c r="E3663" t="s">
        <v>1181</v>
      </c>
      <c r="F3663" t="s">
        <v>3130</v>
      </c>
      <c r="G3663" t="s">
        <v>17342</v>
      </c>
      <c r="H3663">
        <v>21.03</v>
      </c>
      <c r="I3663">
        <v>0</v>
      </c>
      <c r="J3663">
        <v>0</v>
      </c>
      <c r="K3663">
        <v>0</v>
      </c>
      <c r="L3663">
        <v>7</v>
      </c>
      <c r="O3663">
        <v>7</v>
      </c>
      <c r="P3663">
        <v>0</v>
      </c>
      <c r="Q3663">
        <v>0</v>
      </c>
      <c r="R3663">
        <v>28.03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H3663">
        <v>28.03</v>
      </c>
    </row>
    <row r="3664" spans="1:34" x14ac:dyDescent="0.3">
      <c r="A3664" s="4">
        <v>3878</v>
      </c>
      <c r="B3664" s="5">
        <v>3657</v>
      </c>
      <c r="C3664">
        <v>1318</v>
      </c>
      <c r="D3664" t="s">
        <v>17343</v>
      </c>
      <c r="E3664" t="s">
        <v>97</v>
      </c>
      <c r="F3664" t="s">
        <v>158</v>
      </c>
      <c r="G3664" t="s">
        <v>17344</v>
      </c>
      <c r="H3664">
        <v>21.03</v>
      </c>
      <c r="I3664">
        <v>0</v>
      </c>
      <c r="J3664">
        <v>0</v>
      </c>
      <c r="K3664">
        <v>0</v>
      </c>
      <c r="N3664">
        <v>3</v>
      </c>
      <c r="O3664">
        <v>3</v>
      </c>
      <c r="P3664">
        <v>4</v>
      </c>
      <c r="Q3664">
        <v>0</v>
      </c>
      <c r="R3664">
        <v>28.03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H3664">
        <v>28.03</v>
      </c>
    </row>
    <row r="3665" spans="1:34" x14ac:dyDescent="0.3">
      <c r="A3665" s="4">
        <v>3879</v>
      </c>
      <c r="B3665" s="5">
        <v>3658</v>
      </c>
      <c r="C3665">
        <v>7002</v>
      </c>
      <c r="D3665" t="s">
        <v>17345</v>
      </c>
      <c r="E3665" t="s">
        <v>17346</v>
      </c>
      <c r="F3665" t="s">
        <v>17</v>
      </c>
      <c r="G3665" t="s">
        <v>17347</v>
      </c>
      <c r="H3665">
        <v>21.03</v>
      </c>
      <c r="I3665">
        <v>0</v>
      </c>
      <c r="J3665">
        <v>0</v>
      </c>
      <c r="K3665">
        <v>0</v>
      </c>
      <c r="N3665">
        <v>3</v>
      </c>
      <c r="O3665">
        <v>3</v>
      </c>
      <c r="P3665">
        <v>4</v>
      </c>
      <c r="Q3665">
        <v>0</v>
      </c>
      <c r="R3665">
        <v>28.03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H3665">
        <v>28.03</v>
      </c>
    </row>
    <row r="3666" spans="1:34" x14ac:dyDescent="0.3">
      <c r="A3666" s="4">
        <v>3880</v>
      </c>
      <c r="B3666" s="5">
        <v>3659</v>
      </c>
      <c r="C3666">
        <v>6011</v>
      </c>
      <c r="D3666" t="s">
        <v>2666</v>
      </c>
      <c r="E3666" t="s">
        <v>3680</v>
      </c>
      <c r="F3666" t="s">
        <v>17</v>
      </c>
      <c r="G3666" t="s">
        <v>17348</v>
      </c>
      <c r="H3666">
        <v>21.03</v>
      </c>
      <c r="I3666">
        <v>0</v>
      </c>
      <c r="J3666">
        <v>0</v>
      </c>
      <c r="K3666">
        <v>0</v>
      </c>
      <c r="N3666">
        <v>3</v>
      </c>
      <c r="O3666">
        <v>3</v>
      </c>
      <c r="P3666">
        <v>4</v>
      </c>
      <c r="Q3666">
        <v>0</v>
      </c>
      <c r="R3666">
        <v>28.03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H3666">
        <v>28.03</v>
      </c>
    </row>
    <row r="3667" spans="1:34" x14ac:dyDescent="0.3">
      <c r="A3667" s="4">
        <v>3881</v>
      </c>
      <c r="B3667" s="5">
        <v>3660</v>
      </c>
      <c r="C3667">
        <v>13376</v>
      </c>
      <c r="D3667" t="s">
        <v>17349</v>
      </c>
      <c r="E3667" t="s">
        <v>41</v>
      </c>
      <c r="F3667" t="s">
        <v>68</v>
      </c>
      <c r="G3667" t="s">
        <v>17350</v>
      </c>
      <c r="H3667">
        <v>18.03</v>
      </c>
      <c r="I3667">
        <v>0</v>
      </c>
      <c r="J3667">
        <v>0</v>
      </c>
      <c r="K3667">
        <v>0</v>
      </c>
      <c r="L3667">
        <v>7</v>
      </c>
      <c r="N3667">
        <v>3</v>
      </c>
      <c r="O3667">
        <v>10</v>
      </c>
      <c r="P3667">
        <v>0</v>
      </c>
      <c r="Q3667">
        <v>0</v>
      </c>
      <c r="R3667">
        <v>28.03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H3667">
        <v>28.03</v>
      </c>
    </row>
    <row r="3668" spans="1:34" x14ac:dyDescent="0.3">
      <c r="A3668" s="4">
        <v>3882</v>
      </c>
      <c r="B3668" s="5">
        <v>3661</v>
      </c>
      <c r="C3668">
        <v>7738</v>
      </c>
      <c r="D3668" t="s">
        <v>17351</v>
      </c>
      <c r="E3668" t="s">
        <v>17352</v>
      </c>
      <c r="F3668" t="s">
        <v>230</v>
      </c>
      <c r="G3668" t="s">
        <v>17353</v>
      </c>
      <c r="H3668">
        <v>16.03</v>
      </c>
      <c r="I3668">
        <v>0</v>
      </c>
      <c r="J3668">
        <v>0</v>
      </c>
      <c r="K3668">
        <v>0</v>
      </c>
      <c r="L3668">
        <v>7</v>
      </c>
      <c r="O3668">
        <v>7</v>
      </c>
      <c r="P3668">
        <v>4</v>
      </c>
      <c r="Q3668">
        <v>0</v>
      </c>
      <c r="R3668">
        <v>27.03</v>
      </c>
      <c r="S3668">
        <v>1</v>
      </c>
      <c r="T3668">
        <v>1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1</v>
      </c>
      <c r="AB3668">
        <v>0</v>
      </c>
      <c r="AC3668">
        <v>0</v>
      </c>
      <c r="AH3668">
        <v>28.03</v>
      </c>
    </row>
    <row r="3669" spans="1:34" x14ac:dyDescent="0.3">
      <c r="A3669" s="4">
        <v>3883</v>
      </c>
      <c r="B3669" s="5">
        <v>3662</v>
      </c>
      <c r="C3669">
        <v>11310</v>
      </c>
      <c r="D3669" t="s">
        <v>17354</v>
      </c>
      <c r="E3669" t="s">
        <v>41</v>
      </c>
      <c r="F3669" t="s">
        <v>55</v>
      </c>
      <c r="G3669" t="s">
        <v>17355</v>
      </c>
      <c r="H3669">
        <v>17.03</v>
      </c>
      <c r="I3669">
        <v>0</v>
      </c>
      <c r="J3669">
        <v>0</v>
      </c>
      <c r="K3669">
        <v>0</v>
      </c>
      <c r="N3669">
        <v>3</v>
      </c>
      <c r="O3669">
        <v>3</v>
      </c>
      <c r="P3669">
        <v>0</v>
      </c>
      <c r="Q3669">
        <v>2</v>
      </c>
      <c r="R3669">
        <v>22.03</v>
      </c>
      <c r="S3669">
        <v>6</v>
      </c>
      <c r="T3669">
        <v>6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6</v>
      </c>
      <c r="AB3669">
        <v>0</v>
      </c>
      <c r="AC3669">
        <v>0</v>
      </c>
      <c r="AH3669">
        <v>28.03</v>
      </c>
    </row>
    <row r="3670" spans="1:34" x14ac:dyDescent="0.3">
      <c r="A3670" s="4">
        <v>3884</v>
      </c>
      <c r="B3670" s="5">
        <v>3663</v>
      </c>
      <c r="C3670">
        <v>1462</v>
      </c>
      <c r="D3670" t="s">
        <v>12020</v>
      </c>
      <c r="E3670" t="s">
        <v>255</v>
      </c>
      <c r="F3670" t="s">
        <v>227</v>
      </c>
      <c r="G3670" t="s">
        <v>17356</v>
      </c>
      <c r="H3670">
        <v>19</v>
      </c>
      <c r="I3670">
        <v>0</v>
      </c>
      <c r="J3670">
        <v>0</v>
      </c>
      <c r="K3670">
        <v>0</v>
      </c>
      <c r="N3670">
        <v>3</v>
      </c>
      <c r="O3670">
        <v>3</v>
      </c>
      <c r="P3670">
        <v>4</v>
      </c>
      <c r="Q3670">
        <v>2</v>
      </c>
      <c r="R3670">
        <v>28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 t="s">
        <v>130</v>
      </c>
      <c r="AH3670">
        <v>28</v>
      </c>
    </row>
    <row r="3671" spans="1:34" x14ac:dyDescent="0.3">
      <c r="A3671" s="4">
        <v>3885</v>
      </c>
      <c r="B3671" s="5">
        <v>3664</v>
      </c>
      <c r="C3671">
        <v>2490</v>
      </c>
      <c r="D3671" t="s">
        <v>112</v>
      </c>
      <c r="E3671" t="s">
        <v>550</v>
      </c>
      <c r="F3671" t="s">
        <v>68</v>
      </c>
      <c r="G3671" t="s">
        <v>17357</v>
      </c>
      <c r="H3671">
        <v>15.98</v>
      </c>
      <c r="I3671">
        <v>0</v>
      </c>
      <c r="J3671">
        <v>0</v>
      </c>
      <c r="K3671">
        <v>0</v>
      </c>
      <c r="N3671">
        <v>3</v>
      </c>
      <c r="O3671">
        <v>3</v>
      </c>
      <c r="P3671">
        <v>4</v>
      </c>
      <c r="Q3671">
        <v>2</v>
      </c>
      <c r="R3671">
        <v>24.98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3</v>
      </c>
      <c r="AC3671">
        <v>0</v>
      </c>
      <c r="AD3671" t="s">
        <v>130</v>
      </c>
      <c r="AH3671">
        <v>27.98</v>
      </c>
    </row>
    <row r="3672" spans="1:34" x14ac:dyDescent="0.3">
      <c r="A3672" s="4">
        <v>3886</v>
      </c>
      <c r="B3672" s="5">
        <v>3665</v>
      </c>
      <c r="C3672">
        <v>8050</v>
      </c>
      <c r="D3672" t="s">
        <v>17358</v>
      </c>
      <c r="E3672" t="s">
        <v>2643</v>
      </c>
      <c r="F3672" t="s">
        <v>17</v>
      </c>
      <c r="G3672" t="s">
        <v>17359</v>
      </c>
      <c r="H3672">
        <v>15.98</v>
      </c>
      <c r="I3672">
        <v>0</v>
      </c>
      <c r="J3672">
        <v>0</v>
      </c>
      <c r="K3672">
        <v>0</v>
      </c>
      <c r="N3672">
        <v>3</v>
      </c>
      <c r="O3672">
        <v>3</v>
      </c>
      <c r="P3672">
        <v>4</v>
      </c>
      <c r="Q3672">
        <v>2</v>
      </c>
      <c r="R3672">
        <v>24.98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3</v>
      </c>
      <c r="AC3672">
        <v>0</v>
      </c>
      <c r="AH3672">
        <v>27.98</v>
      </c>
    </row>
    <row r="3673" spans="1:34" x14ac:dyDescent="0.3">
      <c r="A3673" s="4">
        <v>3887</v>
      </c>
      <c r="B3673" s="5">
        <v>3666</v>
      </c>
      <c r="C3673">
        <v>3179</v>
      </c>
      <c r="D3673" t="s">
        <v>17360</v>
      </c>
      <c r="E3673" t="s">
        <v>2758</v>
      </c>
      <c r="F3673" t="s">
        <v>649</v>
      </c>
      <c r="G3673" t="s">
        <v>17361</v>
      </c>
      <c r="H3673">
        <v>20.98</v>
      </c>
      <c r="I3673">
        <v>0</v>
      </c>
      <c r="J3673">
        <v>0</v>
      </c>
      <c r="K3673">
        <v>0</v>
      </c>
      <c r="L3673">
        <v>7</v>
      </c>
      <c r="O3673">
        <v>7</v>
      </c>
      <c r="P3673">
        <v>0</v>
      </c>
      <c r="Q3673">
        <v>0</v>
      </c>
      <c r="R3673">
        <v>27.98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H3673">
        <v>27.98</v>
      </c>
    </row>
    <row r="3674" spans="1:34" x14ac:dyDescent="0.3">
      <c r="A3674" s="4">
        <v>3888</v>
      </c>
      <c r="B3674" s="5">
        <v>3667</v>
      </c>
      <c r="C3674">
        <v>11946</v>
      </c>
      <c r="D3674" t="s">
        <v>3983</v>
      </c>
      <c r="E3674" t="s">
        <v>132</v>
      </c>
      <c r="F3674" t="s">
        <v>20</v>
      </c>
      <c r="G3674" t="s">
        <v>17362</v>
      </c>
      <c r="H3674">
        <v>17.98</v>
      </c>
      <c r="I3674">
        <v>0</v>
      </c>
      <c r="J3674">
        <v>0</v>
      </c>
      <c r="K3674">
        <v>0</v>
      </c>
      <c r="L3674">
        <v>7</v>
      </c>
      <c r="N3674">
        <v>3</v>
      </c>
      <c r="O3674">
        <v>10</v>
      </c>
      <c r="P3674">
        <v>0</v>
      </c>
      <c r="Q3674">
        <v>0</v>
      </c>
      <c r="R3674">
        <v>27.98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H3674">
        <v>27.98</v>
      </c>
    </row>
    <row r="3675" spans="1:34" x14ac:dyDescent="0.3">
      <c r="A3675" s="4">
        <v>3889</v>
      </c>
      <c r="B3675" s="5">
        <v>3668</v>
      </c>
      <c r="C3675">
        <v>15412</v>
      </c>
      <c r="D3675" t="s">
        <v>17363</v>
      </c>
      <c r="E3675" t="s">
        <v>54</v>
      </c>
      <c r="F3675" t="s">
        <v>17</v>
      </c>
      <c r="G3675" t="s">
        <v>17364</v>
      </c>
      <c r="H3675">
        <v>17.98</v>
      </c>
      <c r="I3675">
        <v>0</v>
      </c>
      <c r="J3675">
        <v>0</v>
      </c>
      <c r="K3675">
        <v>0</v>
      </c>
      <c r="N3675">
        <v>6</v>
      </c>
      <c r="O3675">
        <v>6</v>
      </c>
      <c r="P3675">
        <v>4</v>
      </c>
      <c r="Q3675">
        <v>0</v>
      </c>
      <c r="R3675">
        <v>27.98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H3675">
        <v>27.98</v>
      </c>
    </row>
    <row r="3676" spans="1:34" x14ac:dyDescent="0.3">
      <c r="A3676" s="4">
        <v>3890</v>
      </c>
      <c r="B3676" s="5">
        <v>3669</v>
      </c>
      <c r="C3676">
        <v>2734</v>
      </c>
      <c r="D3676" t="s">
        <v>17365</v>
      </c>
      <c r="E3676" t="s">
        <v>520</v>
      </c>
      <c r="F3676" t="s">
        <v>17366</v>
      </c>
      <c r="G3676" t="s">
        <v>17367</v>
      </c>
      <c r="H3676">
        <v>20.95</v>
      </c>
      <c r="I3676">
        <v>0</v>
      </c>
      <c r="J3676">
        <v>0</v>
      </c>
      <c r="K3676">
        <v>0</v>
      </c>
      <c r="N3676">
        <v>3</v>
      </c>
      <c r="O3676">
        <v>3</v>
      </c>
      <c r="P3676">
        <v>4</v>
      </c>
      <c r="Q3676">
        <v>0</v>
      </c>
      <c r="R3676">
        <v>27.95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H3676">
        <v>27.95</v>
      </c>
    </row>
    <row r="3677" spans="1:34" x14ac:dyDescent="0.3">
      <c r="A3677" s="4">
        <v>3891</v>
      </c>
      <c r="B3677" s="5">
        <v>3670</v>
      </c>
      <c r="C3677">
        <v>11910</v>
      </c>
      <c r="D3677" t="s">
        <v>5342</v>
      </c>
      <c r="E3677" t="s">
        <v>22</v>
      </c>
      <c r="F3677" t="s">
        <v>393</v>
      </c>
      <c r="G3677" t="s">
        <v>17368</v>
      </c>
      <c r="H3677">
        <v>20.95</v>
      </c>
      <c r="I3677">
        <v>0</v>
      </c>
      <c r="J3677">
        <v>0</v>
      </c>
      <c r="K3677">
        <v>0</v>
      </c>
      <c r="N3677">
        <v>3</v>
      </c>
      <c r="O3677">
        <v>3</v>
      </c>
      <c r="P3677">
        <v>4</v>
      </c>
      <c r="Q3677">
        <v>0</v>
      </c>
      <c r="R3677">
        <v>27.95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H3677">
        <v>27.95</v>
      </c>
    </row>
    <row r="3678" spans="1:34" x14ac:dyDescent="0.3">
      <c r="A3678" s="4">
        <v>3892</v>
      </c>
      <c r="B3678" s="5">
        <v>3671</v>
      </c>
      <c r="C3678">
        <v>5322</v>
      </c>
      <c r="D3678" t="s">
        <v>17369</v>
      </c>
      <c r="E3678" t="s">
        <v>166</v>
      </c>
      <c r="F3678" t="s">
        <v>38</v>
      </c>
      <c r="G3678" t="s">
        <v>17370</v>
      </c>
      <c r="H3678">
        <v>18.95</v>
      </c>
      <c r="I3678">
        <v>0</v>
      </c>
      <c r="J3678">
        <v>0</v>
      </c>
      <c r="K3678">
        <v>0</v>
      </c>
      <c r="M3678">
        <v>5</v>
      </c>
      <c r="O3678">
        <v>5</v>
      </c>
      <c r="P3678">
        <v>4</v>
      </c>
      <c r="Q3678">
        <v>0</v>
      </c>
      <c r="R3678">
        <v>27.95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H3678">
        <v>27.95</v>
      </c>
    </row>
    <row r="3679" spans="1:34" x14ac:dyDescent="0.3">
      <c r="A3679" s="4">
        <v>3893</v>
      </c>
      <c r="B3679" s="5">
        <v>3672</v>
      </c>
      <c r="C3679">
        <v>8453</v>
      </c>
      <c r="D3679" t="s">
        <v>17371</v>
      </c>
      <c r="E3679" t="s">
        <v>4236</v>
      </c>
      <c r="F3679" t="s">
        <v>5060</v>
      </c>
      <c r="G3679" t="s">
        <v>17372</v>
      </c>
      <c r="H3679">
        <v>18.95</v>
      </c>
      <c r="I3679">
        <v>0</v>
      </c>
      <c r="J3679">
        <v>0</v>
      </c>
      <c r="K3679">
        <v>0</v>
      </c>
      <c r="L3679">
        <v>7</v>
      </c>
      <c r="O3679">
        <v>7</v>
      </c>
      <c r="P3679">
        <v>0</v>
      </c>
      <c r="Q3679">
        <v>2</v>
      </c>
      <c r="R3679">
        <v>27.95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H3679">
        <v>27.95</v>
      </c>
    </row>
    <row r="3680" spans="1:34" x14ac:dyDescent="0.3">
      <c r="A3680" s="4">
        <v>3894</v>
      </c>
      <c r="B3680" s="5">
        <v>3673</v>
      </c>
      <c r="C3680">
        <v>4732</v>
      </c>
      <c r="D3680" t="s">
        <v>17373</v>
      </c>
      <c r="E3680" t="s">
        <v>170</v>
      </c>
      <c r="F3680" t="s">
        <v>81</v>
      </c>
      <c r="G3680" t="s">
        <v>17374</v>
      </c>
      <c r="H3680">
        <v>20.93</v>
      </c>
      <c r="I3680">
        <v>0</v>
      </c>
      <c r="J3680">
        <v>0</v>
      </c>
      <c r="K3680">
        <v>0</v>
      </c>
      <c r="N3680">
        <v>3</v>
      </c>
      <c r="O3680">
        <v>3</v>
      </c>
      <c r="P3680">
        <v>4</v>
      </c>
      <c r="Q3680">
        <v>0</v>
      </c>
      <c r="R3680">
        <v>27.93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H3680">
        <v>27.93</v>
      </c>
    </row>
    <row r="3681" spans="1:34" x14ac:dyDescent="0.3">
      <c r="A3681" s="4">
        <v>3895</v>
      </c>
      <c r="B3681" s="5">
        <v>3674</v>
      </c>
      <c r="C3681">
        <v>13382</v>
      </c>
      <c r="D3681" t="s">
        <v>17375</v>
      </c>
      <c r="E3681" t="s">
        <v>1576</v>
      </c>
      <c r="F3681" t="s">
        <v>20</v>
      </c>
      <c r="G3681" t="s">
        <v>17376</v>
      </c>
      <c r="H3681">
        <v>17.93</v>
      </c>
      <c r="I3681">
        <v>0</v>
      </c>
      <c r="J3681">
        <v>0</v>
      </c>
      <c r="K3681">
        <v>0</v>
      </c>
      <c r="L3681">
        <v>7</v>
      </c>
      <c r="N3681">
        <v>3</v>
      </c>
      <c r="O3681">
        <v>10</v>
      </c>
      <c r="P3681">
        <v>0</v>
      </c>
      <c r="Q3681">
        <v>0</v>
      </c>
      <c r="R3681">
        <v>27.93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H3681">
        <v>27.93</v>
      </c>
    </row>
    <row r="3682" spans="1:34" x14ac:dyDescent="0.3">
      <c r="A3682" s="4">
        <v>3896</v>
      </c>
      <c r="B3682" s="5">
        <v>3675</v>
      </c>
      <c r="C3682">
        <v>14707</v>
      </c>
      <c r="D3682" t="s">
        <v>17377</v>
      </c>
      <c r="E3682" t="s">
        <v>652</v>
      </c>
      <c r="F3682" t="s">
        <v>81</v>
      </c>
      <c r="G3682" t="s">
        <v>17378</v>
      </c>
      <c r="H3682">
        <v>16.93</v>
      </c>
      <c r="I3682">
        <v>0</v>
      </c>
      <c r="J3682">
        <v>0</v>
      </c>
      <c r="K3682">
        <v>0</v>
      </c>
      <c r="L3682">
        <v>7</v>
      </c>
      <c r="O3682">
        <v>7</v>
      </c>
      <c r="P3682">
        <v>4</v>
      </c>
      <c r="Q3682">
        <v>0</v>
      </c>
      <c r="R3682">
        <v>27.93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H3682">
        <v>27.93</v>
      </c>
    </row>
    <row r="3683" spans="1:34" x14ac:dyDescent="0.3">
      <c r="A3683" s="4">
        <v>3897</v>
      </c>
      <c r="B3683" s="5">
        <v>3676</v>
      </c>
      <c r="C3683">
        <v>12871</v>
      </c>
      <c r="D3683" t="s">
        <v>1296</v>
      </c>
      <c r="E3683" t="s">
        <v>283</v>
      </c>
      <c r="F3683" t="s">
        <v>230</v>
      </c>
      <c r="G3683" t="s">
        <v>17379</v>
      </c>
      <c r="H3683">
        <v>16.93</v>
      </c>
      <c r="I3683">
        <v>0</v>
      </c>
      <c r="J3683">
        <v>0</v>
      </c>
      <c r="K3683">
        <v>0</v>
      </c>
      <c r="L3683">
        <v>7</v>
      </c>
      <c r="O3683">
        <v>7</v>
      </c>
      <c r="P3683">
        <v>4</v>
      </c>
      <c r="Q3683">
        <v>0</v>
      </c>
      <c r="R3683">
        <v>27.93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H3683">
        <v>27.93</v>
      </c>
    </row>
    <row r="3684" spans="1:34" x14ac:dyDescent="0.3">
      <c r="A3684" s="4">
        <v>3898</v>
      </c>
      <c r="B3684" s="5">
        <v>3677</v>
      </c>
      <c r="C3684">
        <v>1816</v>
      </c>
      <c r="D3684" t="s">
        <v>3522</v>
      </c>
      <c r="E3684" t="s">
        <v>41</v>
      </c>
      <c r="F3684" t="s">
        <v>750</v>
      </c>
      <c r="G3684" t="s">
        <v>17380</v>
      </c>
      <c r="H3684">
        <v>16.93</v>
      </c>
      <c r="I3684">
        <v>0</v>
      </c>
      <c r="J3684">
        <v>0</v>
      </c>
      <c r="K3684">
        <v>0</v>
      </c>
      <c r="L3684">
        <v>7</v>
      </c>
      <c r="O3684">
        <v>7</v>
      </c>
      <c r="P3684">
        <v>4</v>
      </c>
      <c r="Q3684">
        <v>0</v>
      </c>
      <c r="R3684">
        <v>27.93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 t="s">
        <v>130</v>
      </c>
      <c r="AH3684">
        <v>27.93</v>
      </c>
    </row>
    <row r="3685" spans="1:34" x14ac:dyDescent="0.3">
      <c r="A3685" s="4">
        <v>3899</v>
      </c>
      <c r="B3685" s="5">
        <v>3678</v>
      </c>
      <c r="C3685">
        <v>2573</v>
      </c>
      <c r="D3685" t="s">
        <v>7980</v>
      </c>
      <c r="E3685" t="s">
        <v>100</v>
      </c>
      <c r="F3685" t="s">
        <v>38</v>
      </c>
      <c r="G3685" t="s">
        <v>17381</v>
      </c>
      <c r="H3685">
        <v>20.9</v>
      </c>
      <c r="I3685">
        <v>0</v>
      </c>
      <c r="J3685">
        <v>0</v>
      </c>
      <c r="K3685">
        <v>0</v>
      </c>
      <c r="N3685">
        <v>3</v>
      </c>
      <c r="O3685">
        <v>3</v>
      </c>
      <c r="P3685">
        <v>4</v>
      </c>
      <c r="Q3685">
        <v>0</v>
      </c>
      <c r="R3685">
        <v>27.9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H3685">
        <v>27.9</v>
      </c>
    </row>
    <row r="3686" spans="1:34" x14ac:dyDescent="0.3">
      <c r="A3686" s="4">
        <v>3900</v>
      </c>
      <c r="B3686" s="5">
        <v>3679</v>
      </c>
      <c r="C3686">
        <v>8273</v>
      </c>
      <c r="D3686" t="s">
        <v>1314</v>
      </c>
      <c r="E3686" t="s">
        <v>29</v>
      </c>
      <c r="F3686" t="s">
        <v>68</v>
      </c>
      <c r="G3686" t="s">
        <v>17382</v>
      </c>
      <c r="H3686">
        <v>20.9</v>
      </c>
      <c r="I3686">
        <v>0</v>
      </c>
      <c r="J3686">
        <v>0</v>
      </c>
      <c r="K3686">
        <v>0</v>
      </c>
      <c r="L3686">
        <v>7</v>
      </c>
      <c r="O3686">
        <v>7</v>
      </c>
      <c r="P3686">
        <v>0</v>
      </c>
      <c r="Q3686">
        <v>0</v>
      </c>
      <c r="R3686">
        <v>27.9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H3686">
        <v>27.9</v>
      </c>
    </row>
    <row r="3687" spans="1:34" x14ac:dyDescent="0.3">
      <c r="A3687" s="4">
        <v>3901</v>
      </c>
      <c r="B3687" s="5">
        <v>3680</v>
      </c>
      <c r="C3687">
        <v>7610</v>
      </c>
      <c r="D3687" t="s">
        <v>2416</v>
      </c>
      <c r="E3687" t="s">
        <v>243</v>
      </c>
      <c r="F3687" t="s">
        <v>38</v>
      </c>
      <c r="G3687" t="s">
        <v>17383</v>
      </c>
      <c r="H3687">
        <v>17.899999999999999</v>
      </c>
      <c r="I3687">
        <v>0</v>
      </c>
      <c r="J3687">
        <v>0</v>
      </c>
      <c r="K3687">
        <v>0</v>
      </c>
      <c r="N3687">
        <v>6</v>
      </c>
      <c r="O3687">
        <v>6</v>
      </c>
      <c r="P3687">
        <v>4</v>
      </c>
      <c r="Q3687">
        <v>0</v>
      </c>
      <c r="R3687">
        <v>27.9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H3687">
        <v>27.9</v>
      </c>
    </row>
    <row r="3688" spans="1:34" x14ac:dyDescent="0.3">
      <c r="A3688" s="4">
        <v>3902</v>
      </c>
      <c r="B3688" s="5">
        <v>3681</v>
      </c>
      <c r="C3688">
        <v>8907</v>
      </c>
      <c r="D3688" t="s">
        <v>17384</v>
      </c>
      <c r="E3688" t="s">
        <v>188</v>
      </c>
      <c r="F3688" t="s">
        <v>136</v>
      </c>
      <c r="G3688" t="s">
        <v>17385</v>
      </c>
      <c r="H3688">
        <v>16.899999999999999</v>
      </c>
      <c r="I3688">
        <v>0</v>
      </c>
      <c r="J3688">
        <v>0</v>
      </c>
      <c r="K3688">
        <v>0</v>
      </c>
      <c r="L3688">
        <v>7</v>
      </c>
      <c r="O3688">
        <v>7</v>
      </c>
      <c r="P3688">
        <v>4</v>
      </c>
      <c r="Q3688">
        <v>0</v>
      </c>
      <c r="R3688">
        <v>27.9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H3688">
        <v>27.9</v>
      </c>
    </row>
    <row r="3689" spans="1:34" x14ac:dyDescent="0.3">
      <c r="A3689" s="4">
        <v>3903</v>
      </c>
      <c r="B3689" s="5">
        <v>3682</v>
      </c>
      <c r="C3689">
        <v>9151</v>
      </c>
      <c r="D3689" t="s">
        <v>17386</v>
      </c>
      <c r="E3689" t="s">
        <v>307</v>
      </c>
      <c r="F3689" t="s">
        <v>343</v>
      </c>
      <c r="G3689" t="s">
        <v>17387</v>
      </c>
      <c r="H3689">
        <v>14.9</v>
      </c>
      <c r="I3689">
        <v>0</v>
      </c>
      <c r="J3689">
        <v>0</v>
      </c>
      <c r="K3689">
        <v>0</v>
      </c>
      <c r="L3689">
        <v>7</v>
      </c>
      <c r="O3689">
        <v>7</v>
      </c>
      <c r="P3689">
        <v>4</v>
      </c>
      <c r="Q3689">
        <v>2</v>
      </c>
      <c r="R3689">
        <v>27.9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H3689">
        <v>27.9</v>
      </c>
    </row>
    <row r="3690" spans="1:34" x14ac:dyDescent="0.3">
      <c r="A3690" s="4">
        <v>3904</v>
      </c>
      <c r="B3690" s="5">
        <v>3683</v>
      </c>
      <c r="C3690">
        <v>5093</v>
      </c>
      <c r="D3690" t="s">
        <v>17388</v>
      </c>
      <c r="E3690" t="s">
        <v>166</v>
      </c>
      <c r="F3690" t="s">
        <v>3711</v>
      </c>
      <c r="G3690" t="s">
        <v>17389</v>
      </c>
      <c r="H3690">
        <v>18.88</v>
      </c>
      <c r="I3690">
        <v>0</v>
      </c>
      <c r="J3690">
        <v>0</v>
      </c>
      <c r="K3690">
        <v>0</v>
      </c>
      <c r="N3690">
        <v>3</v>
      </c>
      <c r="O3690">
        <v>3</v>
      </c>
      <c r="P3690">
        <v>4</v>
      </c>
      <c r="Q3690">
        <v>2</v>
      </c>
      <c r="R3690">
        <v>27.88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H3690">
        <v>27.88</v>
      </c>
    </row>
    <row r="3691" spans="1:34" x14ac:dyDescent="0.3">
      <c r="A3691" s="4">
        <v>3905</v>
      </c>
      <c r="B3691" s="5">
        <v>3684</v>
      </c>
      <c r="C3691">
        <v>5639</v>
      </c>
      <c r="D3691" t="s">
        <v>7106</v>
      </c>
      <c r="E3691" t="s">
        <v>1989</v>
      </c>
      <c r="F3691" t="s">
        <v>4680</v>
      </c>
      <c r="G3691" t="s">
        <v>17390</v>
      </c>
      <c r="H3691">
        <v>16.88</v>
      </c>
      <c r="I3691">
        <v>0</v>
      </c>
      <c r="J3691">
        <v>0</v>
      </c>
      <c r="K3691">
        <v>0</v>
      </c>
      <c r="L3691">
        <v>7</v>
      </c>
      <c r="O3691">
        <v>7</v>
      </c>
      <c r="P3691">
        <v>4</v>
      </c>
      <c r="Q3691">
        <v>0</v>
      </c>
      <c r="R3691">
        <v>27.88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H3691">
        <v>27.88</v>
      </c>
    </row>
    <row r="3692" spans="1:34" x14ac:dyDescent="0.3">
      <c r="A3692" s="4">
        <v>3906</v>
      </c>
      <c r="B3692" s="5">
        <v>3685</v>
      </c>
      <c r="C3692">
        <v>5859</v>
      </c>
      <c r="D3692" t="s">
        <v>17391</v>
      </c>
      <c r="E3692" t="s">
        <v>100</v>
      </c>
      <c r="F3692" t="s">
        <v>81</v>
      </c>
      <c r="G3692" t="s">
        <v>17392</v>
      </c>
      <c r="H3692">
        <v>14.88</v>
      </c>
      <c r="I3692">
        <v>0</v>
      </c>
      <c r="J3692">
        <v>0</v>
      </c>
      <c r="K3692">
        <v>0</v>
      </c>
      <c r="L3692">
        <v>7</v>
      </c>
      <c r="O3692">
        <v>7</v>
      </c>
      <c r="P3692">
        <v>4</v>
      </c>
      <c r="Q3692">
        <v>2</v>
      </c>
      <c r="R3692">
        <v>27.88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H3692">
        <v>27.88</v>
      </c>
    </row>
    <row r="3693" spans="1:34" x14ac:dyDescent="0.3">
      <c r="A3693" s="4">
        <v>3907</v>
      </c>
      <c r="B3693" s="5">
        <v>3686</v>
      </c>
      <c r="C3693">
        <v>7656</v>
      </c>
      <c r="D3693" t="s">
        <v>17393</v>
      </c>
      <c r="E3693" t="s">
        <v>2758</v>
      </c>
      <c r="F3693" t="s">
        <v>38</v>
      </c>
      <c r="G3693" t="s">
        <v>17394</v>
      </c>
      <c r="H3693">
        <v>16.850000000000001</v>
      </c>
      <c r="I3693">
        <v>0</v>
      </c>
      <c r="J3693">
        <v>0</v>
      </c>
      <c r="K3693">
        <v>0</v>
      </c>
      <c r="L3693">
        <v>7</v>
      </c>
      <c r="O3693">
        <v>7</v>
      </c>
      <c r="P3693">
        <v>4</v>
      </c>
      <c r="Q3693">
        <v>0</v>
      </c>
      <c r="R3693">
        <v>27.85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H3693">
        <v>27.85</v>
      </c>
    </row>
    <row r="3694" spans="1:34" x14ac:dyDescent="0.3">
      <c r="A3694" s="4">
        <v>3908</v>
      </c>
      <c r="B3694" s="5">
        <v>3687</v>
      </c>
      <c r="C3694">
        <v>7824</v>
      </c>
      <c r="D3694" t="s">
        <v>3983</v>
      </c>
      <c r="E3694" t="s">
        <v>30</v>
      </c>
      <c r="F3694" t="s">
        <v>81</v>
      </c>
      <c r="G3694" t="s">
        <v>17395</v>
      </c>
      <c r="H3694">
        <v>14.85</v>
      </c>
      <c r="I3694">
        <v>0</v>
      </c>
      <c r="J3694">
        <v>0</v>
      </c>
      <c r="K3694">
        <v>0</v>
      </c>
      <c r="L3694">
        <v>7</v>
      </c>
      <c r="O3694">
        <v>7</v>
      </c>
      <c r="P3694">
        <v>4</v>
      </c>
      <c r="Q3694">
        <v>2</v>
      </c>
      <c r="R3694">
        <v>27.85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H3694">
        <v>27.85</v>
      </c>
    </row>
    <row r="3695" spans="1:34" x14ac:dyDescent="0.3">
      <c r="A3695" s="4">
        <v>3909</v>
      </c>
      <c r="B3695" s="5">
        <v>3688</v>
      </c>
      <c r="C3695">
        <v>13563</v>
      </c>
      <c r="D3695" t="s">
        <v>17396</v>
      </c>
      <c r="E3695" t="s">
        <v>100</v>
      </c>
      <c r="F3695" t="s">
        <v>30</v>
      </c>
      <c r="G3695" t="s">
        <v>17397</v>
      </c>
      <c r="H3695">
        <v>20.83</v>
      </c>
      <c r="I3695">
        <v>0</v>
      </c>
      <c r="J3695">
        <v>0</v>
      </c>
      <c r="K3695">
        <v>0</v>
      </c>
      <c r="L3695">
        <v>7</v>
      </c>
      <c r="O3695">
        <v>7</v>
      </c>
      <c r="P3695">
        <v>0</v>
      </c>
      <c r="Q3695">
        <v>0</v>
      </c>
      <c r="R3695">
        <v>27.83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H3695">
        <v>27.83</v>
      </c>
    </row>
    <row r="3696" spans="1:34" x14ac:dyDescent="0.3">
      <c r="A3696" s="4">
        <v>3910</v>
      </c>
      <c r="B3696" s="5">
        <v>3689</v>
      </c>
      <c r="C3696">
        <v>2971</v>
      </c>
      <c r="D3696" t="s">
        <v>17398</v>
      </c>
      <c r="E3696" t="s">
        <v>17399</v>
      </c>
      <c r="F3696" t="s">
        <v>2598</v>
      </c>
      <c r="G3696" t="s">
        <v>17400</v>
      </c>
      <c r="H3696">
        <v>20.83</v>
      </c>
      <c r="I3696">
        <v>0</v>
      </c>
      <c r="J3696">
        <v>0</v>
      </c>
      <c r="K3696">
        <v>0</v>
      </c>
      <c r="L3696">
        <v>7</v>
      </c>
      <c r="O3696">
        <v>7</v>
      </c>
      <c r="P3696">
        <v>0</v>
      </c>
      <c r="Q3696">
        <v>0</v>
      </c>
      <c r="R3696">
        <v>27.83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H3696">
        <v>27.83</v>
      </c>
    </row>
    <row r="3697" spans="1:34" x14ac:dyDescent="0.3">
      <c r="A3697" s="4">
        <v>3911</v>
      </c>
      <c r="B3697" s="5">
        <v>3690</v>
      </c>
      <c r="C3697">
        <v>13712</v>
      </c>
      <c r="D3697" t="s">
        <v>17401</v>
      </c>
      <c r="E3697" t="s">
        <v>825</v>
      </c>
      <c r="F3697" t="s">
        <v>68</v>
      </c>
      <c r="G3697" t="s">
        <v>17402</v>
      </c>
      <c r="H3697">
        <v>17.8</v>
      </c>
      <c r="I3697">
        <v>0</v>
      </c>
      <c r="J3697">
        <v>0</v>
      </c>
      <c r="K3697">
        <v>0</v>
      </c>
      <c r="L3697">
        <v>7</v>
      </c>
      <c r="N3697">
        <v>3</v>
      </c>
      <c r="O3697">
        <v>10</v>
      </c>
      <c r="P3697">
        <v>0</v>
      </c>
      <c r="Q3697">
        <v>0</v>
      </c>
      <c r="R3697">
        <v>27.8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H3697">
        <v>27.8</v>
      </c>
    </row>
    <row r="3698" spans="1:34" x14ac:dyDescent="0.3">
      <c r="A3698" s="4">
        <v>3912</v>
      </c>
      <c r="B3698" s="5">
        <v>3691</v>
      </c>
      <c r="C3698">
        <v>6044</v>
      </c>
      <c r="D3698" t="s">
        <v>2036</v>
      </c>
      <c r="E3698" t="s">
        <v>104</v>
      </c>
      <c r="F3698" t="s">
        <v>68</v>
      </c>
      <c r="G3698" t="s">
        <v>17403</v>
      </c>
      <c r="H3698">
        <v>16.8</v>
      </c>
      <c r="I3698">
        <v>0</v>
      </c>
      <c r="J3698">
        <v>0</v>
      </c>
      <c r="K3698">
        <v>0</v>
      </c>
      <c r="L3698">
        <v>7</v>
      </c>
      <c r="O3698">
        <v>7</v>
      </c>
      <c r="P3698">
        <v>4</v>
      </c>
      <c r="Q3698">
        <v>0</v>
      </c>
      <c r="R3698">
        <v>27.8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H3698">
        <v>27.8</v>
      </c>
    </row>
    <row r="3699" spans="1:34" x14ac:dyDescent="0.3">
      <c r="A3699" s="4">
        <v>3913</v>
      </c>
      <c r="B3699" s="5">
        <v>3692</v>
      </c>
      <c r="C3699">
        <v>2811</v>
      </c>
      <c r="D3699" t="s">
        <v>17404</v>
      </c>
      <c r="E3699" t="s">
        <v>7597</v>
      </c>
      <c r="F3699" t="s">
        <v>34</v>
      </c>
      <c r="G3699" t="s">
        <v>17405</v>
      </c>
      <c r="H3699">
        <v>16.8</v>
      </c>
      <c r="I3699">
        <v>0</v>
      </c>
      <c r="J3699">
        <v>0</v>
      </c>
      <c r="K3699">
        <v>0</v>
      </c>
      <c r="L3699">
        <v>7</v>
      </c>
      <c r="O3699">
        <v>7</v>
      </c>
      <c r="P3699">
        <v>4</v>
      </c>
      <c r="Q3699">
        <v>0</v>
      </c>
      <c r="R3699">
        <v>27.8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H3699">
        <v>27.8</v>
      </c>
    </row>
    <row r="3700" spans="1:34" x14ac:dyDescent="0.3">
      <c r="A3700" s="4">
        <v>3914</v>
      </c>
      <c r="B3700" s="5">
        <v>3693</v>
      </c>
      <c r="C3700">
        <v>3370</v>
      </c>
      <c r="D3700" t="s">
        <v>1950</v>
      </c>
      <c r="E3700" t="s">
        <v>147</v>
      </c>
      <c r="F3700" t="s">
        <v>17</v>
      </c>
      <c r="G3700" t="s">
        <v>17406</v>
      </c>
      <c r="H3700">
        <v>16.78</v>
      </c>
      <c r="I3700">
        <v>0</v>
      </c>
      <c r="J3700">
        <v>0</v>
      </c>
      <c r="K3700">
        <v>0</v>
      </c>
      <c r="N3700">
        <v>3</v>
      </c>
      <c r="O3700">
        <v>3</v>
      </c>
      <c r="P3700">
        <v>0</v>
      </c>
      <c r="Q3700">
        <v>2</v>
      </c>
      <c r="R3700">
        <v>21.78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6</v>
      </c>
      <c r="AC3700">
        <v>0</v>
      </c>
      <c r="AH3700">
        <v>27.78</v>
      </c>
    </row>
    <row r="3701" spans="1:34" x14ac:dyDescent="0.3">
      <c r="A3701" s="4">
        <v>3915</v>
      </c>
      <c r="B3701" s="5">
        <v>3694</v>
      </c>
      <c r="C3701">
        <v>858</v>
      </c>
      <c r="D3701" t="s">
        <v>17407</v>
      </c>
      <c r="E3701" t="s">
        <v>81</v>
      </c>
      <c r="F3701" t="s">
        <v>375</v>
      </c>
      <c r="G3701" t="s">
        <v>17408</v>
      </c>
      <c r="H3701">
        <v>16.78</v>
      </c>
      <c r="I3701">
        <v>0</v>
      </c>
      <c r="J3701">
        <v>0</v>
      </c>
      <c r="K3701">
        <v>0</v>
      </c>
      <c r="M3701">
        <v>5</v>
      </c>
      <c r="O3701">
        <v>5</v>
      </c>
      <c r="P3701">
        <v>4</v>
      </c>
      <c r="Q3701">
        <v>2</v>
      </c>
      <c r="R3701">
        <v>27.78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H3701">
        <v>27.78</v>
      </c>
    </row>
    <row r="3702" spans="1:34" x14ac:dyDescent="0.3">
      <c r="A3702" s="4">
        <v>3916</v>
      </c>
      <c r="B3702" s="5">
        <v>3695</v>
      </c>
      <c r="C3702">
        <v>12455</v>
      </c>
      <c r="D3702" t="s">
        <v>2416</v>
      </c>
      <c r="E3702" t="s">
        <v>17409</v>
      </c>
      <c r="F3702" t="s">
        <v>30</v>
      </c>
      <c r="G3702" t="s">
        <v>17410</v>
      </c>
      <c r="H3702">
        <v>18.75</v>
      </c>
      <c r="I3702">
        <v>0</v>
      </c>
      <c r="J3702">
        <v>0</v>
      </c>
      <c r="K3702">
        <v>0</v>
      </c>
      <c r="N3702">
        <v>3</v>
      </c>
      <c r="O3702">
        <v>3</v>
      </c>
      <c r="P3702">
        <v>4</v>
      </c>
      <c r="Q3702">
        <v>2</v>
      </c>
      <c r="R3702">
        <v>27.75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H3702">
        <v>27.75</v>
      </c>
    </row>
    <row r="3703" spans="1:34" x14ac:dyDescent="0.3">
      <c r="A3703" s="4">
        <v>3917</v>
      </c>
      <c r="B3703" s="5">
        <v>3696</v>
      </c>
      <c r="C3703">
        <v>7192</v>
      </c>
      <c r="D3703" t="s">
        <v>17411</v>
      </c>
      <c r="E3703" t="s">
        <v>17</v>
      </c>
      <c r="F3703" t="s">
        <v>782</v>
      </c>
      <c r="G3703" t="s">
        <v>17412</v>
      </c>
      <c r="H3703">
        <v>20.73</v>
      </c>
      <c r="I3703">
        <v>0</v>
      </c>
      <c r="J3703">
        <v>0</v>
      </c>
      <c r="K3703">
        <v>0</v>
      </c>
      <c r="L3703">
        <v>7</v>
      </c>
      <c r="O3703">
        <v>7</v>
      </c>
      <c r="P3703">
        <v>0</v>
      </c>
      <c r="Q3703">
        <v>0</v>
      </c>
      <c r="R3703">
        <v>27.73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H3703">
        <v>27.73</v>
      </c>
    </row>
    <row r="3704" spans="1:34" x14ac:dyDescent="0.3">
      <c r="A3704" s="4">
        <v>3918</v>
      </c>
      <c r="B3704" s="5">
        <v>3697</v>
      </c>
      <c r="C3704">
        <v>15508</v>
      </c>
      <c r="D3704" t="s">
        <v>17413</v>
      </c>
      <c r="E3704" t="s">
        <v>1319</v>
      </c>
      <c r="F3704" t="s">
        <v>20</v>
      </c>
      <c r="G3704" t="s">
        <v>17414</v>
      </c>
      <c r="H3704">
        <v>20.73</v>
      </c>
      <c r="I3704">
        <v>0</v>
      </c>
      <c r="J3704">
        <v>0</v>
      </c>
      <c r="K3704">
        <v>0</v>
      </c>
      <c r="N3704">
        <v>3</v>
      </c>
      <c r="O3704">
        <v>3</v>
      </c>
      <c r="P3704">
        <v>4</v>
      </c>
      <c r="Q3704">
        <v>0</v>
      </c>
      <c r="R3704">
        <v>27.73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H3704">
        <v>27.73</v>
      </c>
    </row>
    <row r="3705" spans="1:34" x14ac:dyDescent="0.3">
      <c r="A3705" s="4">
        <v>3919</v>
      </c>
      <c r="B3705" s="5">
        <v>3698</v>
      </c>
      <c r="C3705">
        <v>12110</v>
      </c>
      <c r="D3705" t="s">
        <v>17415</v>
      </c>
      <c r="E3705" t="s">
        <v>29</v>
      </c>
      <c r="F3705" t="s">
        <v>68</v>
      </c>
      <c r="G3705" t="s">
        <v>17416</v>
      </c>
      <c r="H3705">
        <v>20.7</v>
      </c>
      <c r="I3705">
        <v>0</v>
      </c>
      <c r="J3705">
        <v>0</v>
      </c>
      <c r="K3705">
        <v>0</v>
      </c>
      <c r="L3705">
        <v>7</v>
      </c>
      <c r="O3705">
        <v>7</v>
      </c>
      <c r="P3705">
        <v>0</v>
      </c>
      <c r="Q3705">
        <v>0</v>
      </c>
      <c r="R3705">
        <v>27.7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H3705">
        <v>27.7</v>
      </c>
    </row>
    <row r="3706" spans="1:34" x14ac:dyDescent="0.3">
      <c r="A3706" s="4">
        <v>3920</v>
      </c>
      <c r="B3706" s="5">
        <v>3699</v>
      </c>
      <c r="C3706">
        <v>10391</v>
      </c>
      <c r="D3706" t="s">
        <v>891</v>
      </c>
      <c r="E3706" t="s">
        <v>858</v>
      </c>
      <c r="F3706" t="s">
        <v>136</v>
      </c>
      <c r="G3706" t="s">
        <v>17417</v>
      </c>
      <c r="H3706">
        <v>17.7</v>
      </c>
      <c r="I3706">
        <v>0</v>
      </c>
      <c r="J3706">
        <v>0</v>
      </c>
      <c r="K3706">
        <v>0</v>
      </c>
      <c r="N3706">
        <v>6</v>
      </c>
      <c r="O3706">
        <v>6</v>
      </c>
      <c r="P3706">
        <v>4</v>
      </c>
      <c r="Q3706">
        <v>0</v>
      </c>
      <c r="R3706">
        <v>27.7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H3706">
        <v>27.7</v>
      </c>
    </row>
    <row r="3707" spans="1:34" x14ac:dyDescent="0.3">
      <c r="A3707" s="4">
        <v>3921</v>
      </c>
      <c r="B3707" s="5">
        <v>3700</v>
      </c>
      <c r="C3707">
        <v>10344</v>
      </c>
      <c r="D3707" t="s">
        <v>9937</v>
      </c>
      <c r="E3707" t="s">
        <v>100</v>
      </c>
      <c r="F3707" t="s">
        <v>20</v>
      </c>
      <c r="G3707" t="s">
        <v>17418</v>
      </c>
      <c r="H3707">
        <v>16.7</v>
      </c>
      <c r="I3707">
        <v>0</v>
      </c>
      <c r="J3707">
        <v>0</v>
      </c>
      <c r="K3707">
        <v>0</v>
      </c>
      <c r="L3707">
        <v>7</v>
      </c>
      <c r="O3707">
        <v>7</v>
      </c>
      <c r="P3707">
        <v>4</v>
      </c>
      <c r="Q3707">
        <v>0</v>
      </c>
      <c r="R3707">
        <v>27.7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H3707">
        <v>27.7</v>
      </c>
    </row>
    <row r="3708" spans="1:34" x14ac:dyDescent="0.3">
      <c r="A3708" s="4">
        <v>3922</v>
      </c>
      <c r="B3708" s="5">
        <v>3701</v>
      </c>
      <c r="C3708">
        <v>7217</v>
      </c>
      <c r="D3708" t="s">
        <v>3960</v>
      </c>
      <c r="E3708" t="s">
        <v>29</v>
      </c>
      <c r="F3708" t="s">
        <v>81</v>
      </c>
      <c r="G3708" t="s">
        <v>17419</v>
      </c>
      <c r="H3708">
        <v>20.68</v>
      </c>
      <c r="I3708">
        <v>0</v>
      </c>
      <c r="J3708">
        <v>0</v>
      </c>
      <c r="K3708">
        <v>0</v>
      </c>
      <c r="N3708">
        <v>3</v>
      </c>
      <c r="O3708">
        <v>3</v>
      </c>
      <c r="P3708">
        <v>4</v>
      </c>
      <c r="Q3708">
        <v>0</v>
      </c>
      <c r="R3708">
        <v>27.68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H3708">
        <v>27.68</v>
      </c>
    </row>
    <row r="3709" spans="1:34" x14ac:dyDescent="0.3">
      <c r="A3709" s="4">
        <v>3923</v>
      </c>
      <c r="B3709" s="5">
        <v>3702</v>
      </c>
      <c r="C3709">
        <v>5940</v>
      </c>
      <c r="D3709" t="s">
        <v>3232</v>
      </c>
      <c r="E3709" t="s">
        <v>88</v>
      </c>
      <c r="F3709" t="s">
        <v>91</v>
      </c>
      <c r="G3709" t="s">
        <v>17420</v>
      </c>
      <c r="H3709">
        <v>18.68</v>
      </c>
      <c r="I3709">
        <v>0</v>
      </c>
      <c r="J3709">
        <v>0</v>
      </c>
      <c r="K3709">
        <v>0</v>
      </c>
      <c r="L3709">
        <v>7</v>
      </c>
      <c r="O3709">
        <v>7</v>
      </c>
      <c r="P3709">
        <v>0</v>
      </c>
      <c r="Q3709">
        <v>2</v>
      </c>
      <c r="R3709">
        <v>27.68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H3709">
        <v>27.68</v>
      </c>
    </row>
    <row r="3710" spans="1:34" x14ac:dyDescent="0.3">
      <c r="A3710" s="4">
        <v>3924</v>
      </c>
      <c r="B3710" s="5">
        <v>3703</v>
      </c>
      <c r="C3710">
        <v>14016</v>
      </c>
      <c r="D3710" t="s">
        <v>17421</v>
      </c>
      <c r="E3710" t="s">
        <v>3775</v>
      </c>
      <c r="F3710" t="s">
        <v>17</v>
      </c>
      <c r="G3710" t="s">
        <v>17422</v>
      </c>
      <c r="H3710">
        <v>16.68</v>
      </c>
      <c r="I3710">
        <v>0</v>
      </c>
      <c r="J3710">
        <v>0</v>
      </c>
      <c r="K3710">
        <v>0</v>
      </c>
      <c r="L3710">
        <v>7</v>
      </c>
      <c r="O3710">
        <v>7</v>
      </c>
      <c r="P3710">
        <v>4</v>
      </c>
      <c r="Q3710">
        <v>0</v>
      </c>
      <c r="R3710">
        <v>27.68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H3710">
        <v>27.68</v>
      </c>
    </row>
    <row r="3711" spans="1:34" x14ac:dyDescent="0.3">
      <c r="A3711" s="4">
        <v>3925</v>
      </c>
      <c r="B3711" s="5">
        <v>3704</v>
      </c>
      <c r="C3711">
        <v>5564</v>
      </c>
      <c r="D3711" t="s">
        <v>2666</v>
      </c>
      <c r="E3711" t="s">
        <v>29</v>
      </c>
      <c r="F3711" t="s">
        <v>136</v>
      </c>
      <c r="G3711" t="s">
        <v>17423</v>
      </c>
      <c r="H3711">
        <v>17.649999999999999</v>
      </c>
      <c r="I3711">
        <v>0</v>
      </c>
      <c r="J3711">
        <v>0</v>
      </c>
      <c r="K3711">
        <v>0</v>
      </c>
      <c r="L3711">
        <v>7</v>
      </c>
      <c r="N3711">
        <v>3</v>
      </c>
      <c r="O3711">
        <v>10</v>
      </c>
      <c r="P3711">
        <v>0</v>
      </c>
      <c r="Q3711">
        <v>0</v>
      </c>
      <c r="R3711">
        <v>27.65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H3711">
        <v>27.65</v>
      </c>
    </row>
    <row r="3712" spans="1:34" x14ac:dyDescent="0.3">
      <c r="A3712" s="4">
        <v>3926</v>
      </c>
      <c r="B3712" s="5">
        <v>3705</v>
      </c>
      <c r="C3712">
        <v>2830</v>
      </c>
      <c r="D3712" t="s">
        <v>17424</v>
      </c>
      <c r="E3712" t="s">
        <v>17425</v>
      </c>
      <c r="F3712" t="s">
        <v>124</v>
      </c>
      <c r="G3712" t="s">
        <v>17426</v>
      </c>
      <c r="H3712">
        <v>17.649999999999999</v>
      </c>
      <c r="I3712">
        <v>0</v>
      </c>
      <c r="J3712">
        <v>0</v>
      </c>
      <c r="K3712">
        <v>0</v>
      </c>
      <c r="L3712">
        <v>7</v>
      </c>
      <c r="N3712">
        <v>3</v>
      </c>
      <c r="O3712">
        <v>10</v>
      </c>
      <c r="P3712">
        <v>0</v>
      </c>
      <c r="Q3712">
        <v>0</v>
      </c>
      <c r="R3712">
        <v>27.65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H3712">
        <v>27.65</v>
      </c>
    </row>
    <row r="3713" spans="1:34" x14ac:dyDescent="0.3">
      <c r="A3713" s="4">
        <v>3927</v>
      </c>
      <c r="B3713" s="5">
        <v>3706</v>
      </c>
      <c r="C3713">
        <v>14270</v>
      </c>
      <c r="D3713" t="s">
        <v>17427</v>
      </c>
      <c r="E3713" t="s">
        <v>33</v>
      </c>
      <c r="F3713" t="s">
        <v>230</v>
      </c>
      <c r="G3713" t="s">
        <v>17428</v>
      </c>
      <c r="H3713">
        <v>20.63</v>
      </c>
      <c r="I3713">
        <v>0</v>
      </c>
      <c r="J3713">
        <v>0</v>
      </c>
      <c r="K3713">
        <v>0</v>
      </c>
      <c r="L3713">
        <v>7</v>
      </c>
      <c r="O3713">
        <v>7</v>
      </c>
      <c r="P3713">
        <v>0</v>
      </c>
      <c r="Q3713">
        <v>0</v>
      </c>
      <c r="R3713">
        <v>27.63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H3713">
        <v>27.63</v>
      </c>
    </row>
    <row r="3714" spans="1:34" x14ac:dyDescent="0.3">
      <c r="A3714" s="4">
        <v>3928</v>
      </c>
      <c r="B3714" s="5">
        <v>3707</v>
      </c>
      <c r="C3714">
        <v>13440</v>
      </c>
      <c r="D3714" t="s">
        <v>9098</v>
      </c>
      <c r="E3714" t="s">
        <v>178</v>
      </c>
      <c r="F3714" t="s">
        <v>649</v>
      </c>
      <c r="G3714" t="s">
        <v>17429</v>
      </c>
      <c r="H3714">
        <v>16.63</v>
      </c>
      <c r="I3714">
        <v>0</v>
      </c>
      <c r="J3714">
        <v>0</v>
      </c>
      <c r="K3714">
        <v>0</v>
      </c>
      <c r="L3714">
        <v>7</v>
      </c>
      <c r="O3714">
        <v>7</v>
      </c>
      <c r="P3714">
        <v>4</v>
      </c>
      <c r="Q3714">
        <v>0</v>
      </c>
      <c r="R3714">
        <v>27.63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H3714">
        <v>27.63</v>
      </c>
    </row>
    <row r="3715" spans="1:34" x14ac:dyDescent="0.3">
      <c r="A3715" s="4">
        <v>3929</v>
      </c>
      <c r="B3715" s="5">
        <v>3708</v>
      </c>
      <c r="C3715">
        <v>14803</v>
      </c>
      <c r="D3715" t="s">
        <v>17430</v>
      </c>
      <c r="E3715" t="s">
        <v>17431</v>
      </c>
      <c r="F3715" t="s">
        <v>230</v>
      </c>
      <c r="G3715" t="s">
        <v>17432</v>
      </c>
      <c r="H3715">
        <v>20.6</v>
      </c>
      <c r="I3715">
        <v>0</v>
      </c>
      <c r="J3715">
        <v>0</v>
      </c>
      <c r="K3715">
        <v>0</v>
      </c>
      <c r="L3715">
        <v>7</v>
      </c>
      <c r="O3715">
        <v>7</v>
      </c>
      <c r="P3715">
        <v>0</v>
      </c>
      <c r="Q3715">
        <v>0</v>
      </c>
      <c r="R3715">
        <v>27.6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H3715">
        <v>27.6</v>
      </c>
    </row>
    <row r="3716" spans="1:34" x14ac:dyDescent="0.3">
      <c r="A3716" s="4">
        <v>3930</v>
      </c>
      <c r="B3716" s="5">
        <v>3709</v>
      </c>
      <c r="C3716">
        <v>14106</v>
      </c>
      <c r="D3716" t="s">
        <v>1129</v>
      </c>
      <c r="E3716" t="s">
        <v>161</v>
      </c>
      <c r="F3716" t="s">
        <v>17</v>
      </c>
      <c r="G3716" t="s">
        <v>17433</v>
      </c>
      <c r="H3716">
        <v>18.600000000000001</v>
      </c>
      <c r="I3716">
        <v>0</v>
      </c>
      <c r="J3716">
        <v>0</v>
      </c>
      <c r="K3716">
        <v>0</v>
      </c>
      <c r="N3716">
        <v>3</v>
      </c>
      <c r="O3716">
        <v>3</v>
      </c>
      <c r="P3716">
        <v>4</v>
      </c>
      <c r="Q3716">
        <v>2</v>
      </c>
      <c r="R3716">
        <v>27.6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H3716">
        <v>27.6</v>
      </c>
    </row>
    <row r="3717" spans="1:34" x14ac:dyDescent="0.3">
      <c r="A3717" s="4">
        <v>3931</v>
      </c>
      <c r="B3717" s="5">
        <v>3710</v>
      </c>
      <c r="C3717">
        <v>5693</v>
      </c>
      <c r="D3717" t="s">
        <v>17434</v>
      </c>
      <c r="E3717" t="s">
        <v>88</v>
      </c>
      <c r="F3717" t="s">
        <v>62</v>
      </c>
      <c r="G3717" t="s">
        <v>17435</v>
      </c>
      <c r="H3717">
        <v>18.579999999999998</v>
      </c>
      <c r="I3717">
        <v>0</v>
      </c>
      <c r="J3717">
        <v>0</v>
      </c>
      <c r="K3717">
        <v>0</v>
      </c>
      <c r="N3717">
        <v>3</v>
      </c>
      <c r="O3717">
        <v>3</v>
      </c>
      <c r="P3717">
        <v>4</v>
      </c>
      <c r="Q3717">
        <v>2</v>
      </c>
      <c r="R3717">
        <v>27.58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H3717">
        <v>27.58</v>
      </c>
    </row>
    <row r="3718" spans="1:34" x14ac:dyDescent="0.3">
      <c r="A3718" s="4">
        <v>3932</v>
      </c>
      <c r="B3718" s="5">
        <v>3711</v>
      </c>
      <c r="C3718">
        <v>12042</v>
      </c>
      <c r="D3718" t="s">
        <v>17436</v>
      </c>
      <c r="E3718" t="s">
        <v>182</v>
      </c>
      <c r="F3718" t="s">
        <v>20</v>
      </c>
      <c r="G3718" t="s">
        <v>17437</v>
      </c>
      <c r="H3718">
        <v>16.55</v>
      </c>
      <c r="I3718">
        <v>0</v>
      </c>
      <c r="J3718">
        <v>0</v>
      </c>
      <c r="K3718">
        <v>0</v>
      </c>
      <c r="L3718">
        <v>7</v>
      </c>
      <c r="O3718">
        <v>7</v>
      </c>
      <c r="P3718">
        <v>4</v>
      </c>
      <c r="Q3718">
        <v>0</v>
      </c>
      <c r="R3718">
        <v>27.55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H3718">
        <v>27.55</v>
      </c>
    </row>
    <row r="3719" spans="1:34" x14ac:dyDescent="0.3">
      <c r="A3719" s="4">
        <v>3933</v>
      </c>
      <c r="B3719" s="5">
        <v>3712</v>
      </c>
      <c r="C3719">
        <v>10688</v>
      </c>
      <c r="D3719" t="s">
        <v>4708</v>
      </c>
      <c r="E3719" t="s">
        <v>173</v>
      </c>
      <c r="F3719" t="s">
        <v>81</v>
      </c>
      <c r="G3719" t="s">
        <v>17438</v>
      </c>
      <c r="H3719">
        <v>16.53</v>
      </c>
      <c r="I3719">
        <v>0</v>
      </c>
      <c r="J3719">
        <v>0</v>
      </c>
      <c r="K3719">
        <v>0</v>
      </c>
      <c r="O3719">
        <v>0</v>
      </c>
      <c r="P3719">
        <v>0</v>
      </c>
      <c r="Q3719">
        <v>2</v>
      </c>
      <c r="R3719">
        <v>18.53</v>
      </c>
      <c r="S3719">
        <v>6</v>
      </c>
      <c r="T3719">
        <v>6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6</v>
      </c>
      <c r="AB3719">
        <v>3</v>
      </c>
      <c r="AC3719">
        <v>0</v>
      </c>
      <c r="AH3719">
        <v>27.53</v>
      </c>
    </row>
    <row r="3720" spans="1:34" x14ac:dyDescent="0.3">
      <c r="A3720" s="4">
        <v>3934</v>
      </c>
      <c r="B3720" s="5">
        <v>3713</v>
      </c>
      <c r="C3720">
        <v>1150</v>
      </c>
      <c r="D3720" t="s">
        <v>4536</v>
      </c>
      <c r="E3720" t="s">
        <v>58</v>
      </c>
      <c r="F3720" t="s">
        <v>20</v>
      </c>
      <c r="G3720" t="s">
        <v>17439</v>
      </c>
      <c r="H3720">
        <v>16.53</v>
      </c>
      <c r="I3720">
        <v>0</v>
      </c>
      <c r="J3720">
        <v>0</v>
      </c>
      <c r="K3720">
        <v>0</v>
      </c>
      <c r="L3720">
        <v>7</v>
      </c>
      <c r="O3720">
        <v>7</v>
      </c>
      <c r="P3720">
        <v>4</v>
      </c>
      <c r="Q3720">
        <v>0</v>
      </c>
      <c r="R3720">
        <v>27.53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H3720">
        <v>27.53</v>
      </c>
    </row>
    <row r="3721" spans="1:34" x14ac:dyDescent="0.3">
      <c r="A3721" s="4">
        <v>3935</v>
      </c>
      <c r="B3721" s="5">
        <v>3714</v>
      </c>
      <c r="C3721">
        <v>12315</v>
      </c>
      <c r="D3721" t="s">
        <v>11141</v>
      </c>
      <c r="E3721" t="s">
        <v>667</v>
      </c>
      <c r="F3721" t="s">
        <v>81</v>
      </c>
      <c r="G3721" t="s">
        <v>17440</v>
      </c>
      <c r="H3721">
        <v>16.53</v>
      </c>
      <c r="I3721">
        <v>0</v>
      </c>
      <c r="J3721">
        <v>0</v>
      </c>
      <c r="K3721">
        <v>0</v>
      </c>
      <c r="M3721">
        <v>5</v>
      </c>
      <c r="O3721">
        <v>5</v>
      </c>
      <c r="P3721">
        <v>4</v>
      </c>
      <c r="Q3721">
        <v>2</v>
      </c>
      <c r="R3721">
        <v>27.53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H3721">
        <v>27.53</v>
      </c>
    </row>
    <row r="3722" spans="1:34" x14ac:dyDescent="0.3">
      <c r="A3722" s="4">
        <v>3936</v>
      </c>
      <c r="B3722" s="5">
        <v>3715</v>
      </c>
      <c r="C3722">
        <v>1655</v>
      </c>
      <c r="D3722" t="s">
        <v>17441</v>
      </c>
      <c r="E3722" t="s">
        <v>88</v>
      </c>
      <c r="F3722" t="s">
        <v>38</v>
      </c>
      <c r="G3722" t="s">
        <v>17442</v>
      </c>
      <c r="H3722">
        <v>18.5</v>
      </c>
      <c r="I3722">
        <v>0</v>
      </c>
      <c r="J3722">
        <v>0</v>
      </c>
      <c r="K3722">
        <v>0</v>
      </c>
      <c r="N3722">
        <v>3</v>
      </c>
      <c r="O3722">
        <v>3</v>
      </c>
      <c r="P3722">
        <v>0</v>
      </c>
      <c r="Q3722">
        <v>0</v>
      </c>
      <c r="R3722">
        <v>21.5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6</v>
      </c>
      <c r="AC3722">
        <v>0</v>
      </c>
      <c r="AH3722">
        <v>27.5</v>
      </c>
    </row>
    <row r="3723" spans="1:34" x14ac:dyDescent="0.3">
      <c r="A3723" s="4">
        <v>3937</v>
      </c>
      <c r="B3723" s="5">
        <v>3716</v>
      </c>
      <c r="C3723">
        <v>5003</v>
      </c>
      <c r="D3723" t="s">
        <v>17443</v>
      </c>
      <c r="E3723" t="s">
        <v>283</v>
      </c>
      <c r="F3723" t="s">
        <v>117</v>
      </c>
      <c r="G3723" t="s">
        <v>17444</v>
      </c>
      <c r="H3723">
        <v>12.5</v>
      </c>
      <c r="I3723">
        <v>0</v>
      </c>
      <c r="J3723">
        <v>0</v>
      </c>
      <c r="K3723">
        <v>0</v>
      </c>
      <c r="N3723">
        <v>3</v>
      </c>
      <c r="O3723">
        <v>3</v>
      </c>
      <c r="P3723">
        <v>4</v>
      </c>
      <c r="Q3723">
        <v>2</v>
      </c>
      <c r="R3723">
        <v>21.5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6</v>
      </c>
      <c r="AC3723">
        <v>0</v>
      </c>
      <c r="AH3723">
        <v>27.5</v>
      </c>
    </row>
    <row r="3724" spans="1:34" x14ac:dyDescent="0.3">
      <c r="A3724" s="4">
        <v>3938</v>
      </c>
      <c r="B3724" s="5">
        <v>3717</v>
      </c>
      <c r="C3724">
        <v>11034</v>
      </c>
      <c r="D3724" t="s">
        <v>17445</v>
      </c>
      <c r="E3724" t="s">
        <v>33</v>
      </c>
      <c r="F3724" t="s">
        <v>10802</v>
      </c>
      <c r="G3724" t="s">
        <v>17446</v>
      </c>
      <c r="H3724">
        <v>12.5</v>
      </c>
      <c r="I3724">
        <v>0</v>
      </c>
      <c r="J3724">
        <v>0</v>
      </c>
      <c r="K3724">
        <v>0</v>
      </c>
      <c r="L3724">
        <v>7</v>
      </c>
      <c r="O3724">
        <v>7</v>
      </c>
      <c r="P3724">
        <v>0</v>
      </c>
      <c r="Q3724">
        <v>2</v>
      </c>
      <c r="R3724">
        <v>21.5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6</v>
      </c>
      <c r="AC3724">
        <v>0</v>
      </c>
      <c r="AH3724">
        <v>27.5</v>
      </c>
    </row>
    <row r="3725" spans="1:34" x14ac:dyDescent="0.3">
      <c r="A3725" s="4">
        <v>3939</v>
      </c>
      <c r="B3725" s="5">
        <v>3718</v>
      </c>
      <c r="C3725">
        <v>7147</v>
      </c>
      <c r="D3725" t="s">
        <v>5130</v>
      </c>
      <c r="E3725" t="s">
        <v>636</v>
      </c>
      <c r="F3725" t="s">
        <v>238</v>
      </c>
      <c r="G3725" t="s">
        <v>17447</v>
      </c>
      <c r="H3725">
        <v>20.5</v>
      </c>
      <c r="I3725">
        <v>0</v>
      </c>
      <c r="J3725">
        <v>0</v>
      </c>
      <c r="K3725">
        <v>0</v>
      </c>
      <c r="L3725">
        <v>7</v>
      </c>
      <c r="O3725">
        <v>7</v>
      </c>
      <c r="P3725">
        <v>0</v>
      </c>
      <c r="Q3725">
        <v>0</v>
      </c>
      <c r="R3725">
        <v>27.5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H3725">
        <v>27.5</v>
      </c>
    </row>
    <row r="3726" spans="1:34" x14ac:dyDescent="0.3">
      <c r="A3726" s="4">
        <v>3940</v>
      </c>
      <c r="B3726" s="5">
        <v>3719</v>
      </c>
      <c r="C3726">
        <v>1501</v>
      </c>
      <c r="D3726" t="s">
        <v>17448</v>
      </c>
      <c r="E3726" t="s">
        <v>54</v>
      </c>
      <c r="F3726" t="s">
        <v>17449</v>
      </c>
      <c r="G3726" t="s">
        <v>17450</v>
      </c>
      <c r="H3726">
        <v>20.5</v>
      </c>
      <c r="I3726">
        <v>0</v>
      </c>
      <c r="J3726">
        <v>0</v>
      </c>
      <c r="K3726">
        <v>0</v>
      </c>
      <c r="L3726">
        <v>7</v>
      </c>
      <c r="O3726">
        <v>7</v>
      </c>
      <c r="P3726">
        <v>0</v>
      </c>
      <c r="Q3726">
        <v>0</v>
      </c>
      <c r="R3726">
        <v>27.5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H3726">
        <v>27.5</v>
      </c>
    </row>
    <row r="3727" spans="1:34" x14ac:dyDescent="0.3">
      <c r="A3727" s="4">
        <v>3941</v>
      </c>
      <c r="B3727" s="5">
        <v>3720</v>
      </c>
      <c r="C3727">
        <v>6177</v>
      </c>
      <c r="D3727" t="s">
        <v>4176</v>
      </c>
      <c r="E3727" t="s">
        <v>214</v>
      </c>
      <c r="F3727" t="s">
        <v>214</v>
      </c>
      <c r="G3727" t="s">
        <v>17451</v>
      </c>
      <c r="H3727">
        <v>18.5</v>
      </c>
      <c r="I3727">
        <v>0</v>
      </c>
      <c r="J3727">
        <v>0</v>
      </c>
      <c r="K3727">
        <v>0</v>
      </c>
      <c r="L3727">
        <v>7</v>
      </c>
      <c r="O3727">
        <v>7</v>
      </c>
      <c r="P3727">
        <v>0</v>
      </c>
      <c r="Q3727">
        <v>2</v>
      </c>
      <c r="R3727">
        <v>27.5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H3727">
        <v>27.5</v>
      </c>
    </row>
    <row r="3728" spans="1:34" x14ac:dyDescent="0.3">
      <c r="A3728" s="4">
        <v>3942</v>
      </c>
      <c r="B3728" s="5">
        <v>3721</v>
      </c>
      <c r="C3728">
        <v>8431</v>
      </c>
      <c r="D3728" t="s">
        <v>15214</v>
      </c>
      <c r="E3728" t="s">
        <v>178</v>
      </c>
      <c r="F3728" t="s">
        <v>11853</v>
      </c>
      <c r="G3728" t="s">
        <v>17452</v>
      </c>
      <c r="H3728">
        <v>16.5</v>
      </c>
      <c r="I3728">
        <v>0</v>
      </c>
      <c r="J3728">
        <v>0</v>
      </c>
      <c r="K3728">
        <v>0</v>
      </c>
      <c r="M3728">
        <v>5</v>
      </c>
      <c r="O3728">
        <v>5</v>
      </c>
      <c r="P3728">
        <v>4</v>
      </c>
      <c r="Q3728">
        <v>2</v>
      </c>
      <c r="R3728">
        <v>27.5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H3728">
        <v>27.5</v>
      </c>
    </row>
    <row r="3729" spans="1:34" x14ac:dyDescent="0.3">
      <c r="A3729" s="4">
        <v>3943</v>
      </c>
      <c r="B3729" s="5">
        <v>3722</v>
      </c>
      <c r="C3729">
        <v>12178</v>
      </c>
      <c r="D3729" t="s">
        <v>17453</v>
      </c>
      <c r="E3729" t="s">
        <v>41</v>
      </c>
      <c r="F3729" t="s">
        <v>17454</v>
      </c>
      <c r="G3729" t="s">
        <v>17455</v>
      </c>
      <c r="H3729">
        <v>12.5</v>
      </c>
      <c r="I3729">
        <v>0</v>
      </c>
      <c r="J3729">
        <v>0</v>
      </c>
      <c r="K3729">
        <v>0</v>
      </c>
      <c r="L3729">
        <v>7</v>
      </c>
      <c r="O3729">
        <v>7</v>
      </c>
      <c r="P3729">
        <v>0</v>
      </c>
      <c r="Q3729">
        <v>0</v>
      </c>
      <c r="R3729">
        <v>19.5</v>
      </c>
      <c r="S3729">
        <v>8</v>
      </c>
      <c r="T3729">
        <v>8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8</v>
      </c>
      <c r="AB3729">
        <v>0</v>
      </c>
      <c r="AC3729">
        <v>0</v>
      </c>
      <c r="AH3729">
        <v>27.5</v>
      </c>
    </row>
    <row r="3730" spans="1:34" x14ac:dyDescent="0.3">
      <c r="A3730" s="4">
        <v>3944</v>
      </c>
      <c r="B3730" s="5">
        <v>3723</v>
      </c>
      <c r="C3730">
        <v>11605</v>
      </c>
      <c r="D3730" t="s">
        <v>17456</v>
      </c>
      <c r="E3730" t="s">
        <v>17457</v>
      </c>
      <c r="F3730" t="s">
        <v>2225</v>
      </c>
      <c r="G3730" t="s">
        <v>17458</v>
      </c>
      <c r="H3730">
        <v>18.48</v>
      </c>
      <c r="I3730">
        <v>0</v>
      </c>
      <c r="J3730">
        <v>0</v>
      </c>
      <c r="K3730">
        <v>0</v>
      </c>
      <c r="N3730">
        <v>3</v>
      </c>
      <c r="O3730">
        <v>3</v>
      </c>
      <c r="P3730">
        <v>4</v>
      </c>
      <c r="Q3730">
        <v>2</v>
      </c>
      <c r="R3730">
        <v>27.48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H3730">
        <v>27.48</v>
      </c>
    </row>
    <row r="3731" spans="1:34" x14ac:dyDescent="0.3">
      <c r="A3731" s="4">
        <v>3945</v>
      </c>
      <c r="B3731" s="5">
        <v>3724</v>
      </c>
      <c r="C3731">
        <v>2251</v>
      </c>
      <c r="D3731" t="s">
        <v>569</v>
      </c>
      <c r="E3731" t="s">
        <v>188</v>
      </c>
      <c r="F3731" t="s">
        <v>58</v>
      </c>
      <c r="G3731" t="s">
        <v>17459</v>
      </c>
      <c r="H3731">
        <v>18.48</v>
      </c>
      <c r="I3731">
        <v>0</v>
      </c>
      <c r="J3731">
        <v>0</v>
      </c>
      <c r="K3731">
        <v>0</v>
      </c>
      <c r="N3731">
        <v>3</v>
      </c>
      <c r="O3731">
        <v>3</v>
      </c>
      <c r="P3731">
        <v>4</v>
      </c>
      <c r="Q3731">
        <v>2</v>
      </c>
      <c r="R3731">
        <v>27.48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H3731">
        <v>27.48</v>
      </c>
    </row>
    <row r="3732" spans="1:34" x14ac:dyDescent="0.3">
      <c r="A3732" s="4">
        <v>3946</v>
      </c>
      <c r="B3732" s="5">
        <v>3725</v>
      </c>
      <c r="C3732">
        <v>9357</v>
      </c>
      <c r="D3732" t="s">
        <v>5483</v>
      </c>
      <c r="E3732" t="s">
        <v>132</v>
      </c>
      <c r="F3732" t="s">
        <v>68</v>
      </c>
      <c r="G3732" t="s">
        <v>17460</v>
      </c>
      <c r="H3732">
        <v>17.48</v>
      </c>
      <c r="I3732">
        <v>0</v>
      </c>
      <c r="J3732">
        <v>0</v>
      </c>
      <c r="K3732">
        <v>0</v>
      </c>
      <c r="L3732">
        <v>7</v>
      </c>
      <c r="N3732">
        <v>3</v>
      </c>
      <c r="O3732">
        <v>10</v>
      </c>
      <c r="P3732">
        <v>0</v>
      </c>
      <c r="Q3732">
        <v>0</v>
      </c>
      <c r="R3732">
        <v>27.48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H3732">
        <v>27.48</v>
      </c>
    </row>
    <row r="3733" spans="1:34" x14ac:dyDescent="0.3">
      <c r="A3733" s="4">
        <v>3947</v>
      </c>
      <c r="B3733" s="5">
        <v>3726</v>
      </c>
      <c r="C3733">
        <v>6998</v>
      </c>
      <c r="D3733" t="s">
        <v>17461</v>
      </c>
      <c r="E3733" t="s">
        <v>33</v>
      </c>
      <c r="F3733" t="s">
        <v>17</v>
      </c>
      <c r="G3733" t="s">
        <v>17462</v>
      </c>
      <c r="H3733">
        <v>16.48</v>
      </c>
      <c r="I3733">
        <v>0</v>
      </c>
      <c r="J3733">
        <v>0</v>
      </c>
      <c r="K3733">
        <v>0</v>
      </c>
      <c r="L3733">
        <v>7</v>
      </c>
      <c r="O3733">
        <v>7</v>
      </c>
      <c r="P3733">
        <v>4</v>
      </c>
      <c r="Q3733">
        <v>0</v>
      </c>
      <c r="R3733">
        <v>27.48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H3733">
        <v>27.48</v>
      </c>
    </row>
    <row r="3734" spans="1:34" x14ac:dyDescent="0.3">
      <c r="A3734" s="4">
        <v>3948</v>
      </c>
      <c r="B3734" s="5">
        <v>3727</v>
      </c>
      <c r="C3734">
        <v>9333</v>
      </c>
      <c r="D3734" t="s">
        <v>17463</v>
      </c>
      <c r="E3734" t="s">
        <v>17464</v>
      </c>
      <c r="F3734" t="s">
        <v>17465</v>
      </c>
      <c r="G3734" t="s">
        <v>17466</v>
      </c>
      <c r="H3734">
        <v>16.48</v>
      </c>
      <c r="I3734">
        <v>0</v>
      </c>
      <c r="J3734">
        <v>0</v>
      </c>
      <c r="K3734">
        <v>0</v>
      </c>
      <c r="L3734">
        <v>7</v>
      </c>
      <c r="O3734">
        <v>7</v>
      </c>
      <c r="P3734">
        <v>4</v>
      </c>
      <c r="Q3734">
        <v>0</v>
      </c>
      <c r="R3734">
        <v>27.48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H3734">
        <v>27.48</v>
      </c>
    </row>
    <row r="3735" spans="1:34" x14ac:dyDescent="0.3">
      <c r="A3735" s="4">
        <v>3949</v>
      </c>
      <c r="B3735" s="5">
        <v>3728</v>
      </c>
      <c r="C3735">
        <v>37</v>
      </c>
      <c r="D3735" t="s">
        <v>8456</v>
      </c>
      <c r="E3735" t="s">
        <v>1117</v>
      </c>
      <c r="F3735" t="s">
        <v>17</v>
      </c>
      <c r="G3735" t="s">
        <v>17467</v>
      </c>
      <c r="H3735">
        <v>20.45</v>
      </c>
      <c r="I3735">
        <v>0</v>
      </c>
      <c r="J3735">
        <v>0</v>
      </c>
      <c r="K3735">
        <v>0</v>
      </c>
      <c r="N3735">
        <v>3</v>
      </c>
      <c r="O3735">
        <v>3</v>
      </c>
      <c r="P3735">
        <v>4</v>
      </c>
      <c r="Q3735">
        <v>0</v>
      </c>
      <c r="R3735">
        <v>27.45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H3735">
        <v>27.45</v>
      </c>
    </row>
    <row r="3736" spans="1:34" x14ac:dyDescent="0.3">
      <c r="A3736" s="4">
        <v>3950</v>
      </c>
      <c r="B3736" s="5">
        <v>3729</v>
      </c>
      <c r="C3736">
        <v>2457</v>
      </c>
      <c r="D3736" t="s">
        <v>9067</v>
      </c>
      <c r="E3736" t="s">
        <v>110</v>
      </c>
      <c r="F3736" t="s">
        <v>190</v>
      </c>
      <c r="G3736" t="s">
        <v>17468</v>
      </c>
      <c r="H3736">
        <v>20.45</v>
      </c>
      <c r="I3736">
        <v>0</v>
      </c>
      <c r="J3736">
        <v>0</v>
      </c>
      <c r="K3736">
        <v>0</v>
      </c>
      <c r="N3736">
        <v>3</v>
      </c>
      <c r="O3736">
        <v>3</v>
      </c>
      <c r="P3736">
        <v>4</v>
      </c>
      <c r="Q3736">
        <v>0</v>
      </c>
      <c r="R3736">
        <v>27.45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H3736">
        <v>27.45</v>
      </c>
    </row>
    <row r="3737" spans="1:34" x14ac:dyDescent="0.3">
      <c r="A3737" s="4">
        <v>3951</v>
      </c>
      <c r="B3737" s="5">
        <v>3730</v>
      </c>
      <c r="C3737">
        <v>5947</v>
      </c>
      <c r="D3737" t="s">
        <v>198</v>
      </c>
      <c r="E3737" t="s">
        <v>110</v>
      </c>
      <c r="F3737" t="s">
        <v>626</v>
      </c>
      <c r="G3737" t="s">
        <v>17469</v>
      </c>
      <c r="H3737">
        <v>20.45</v>
      </c>
      <c r="I3737">
        <v>0</v>
      </c>
      <c r="J3737">
        <v>0</v>
      </c>
      <c r="K3737">
        <v>0</v>
      </c>
      <c r="N3737">
        <v>3</v>
      </c>
      <c r="O3737">
        <v>3</v>
      </c>
      <c r="P3737">
        <v>4</v>
      </c>
      <c r="Q3737">
        <v>0</v>
      </c>
      <c r="R3737">
        <v>27.45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H3737">
        <v>27.45</v>
      </c>
    </row>
    <row r="3738" spans="1:34" x14ac:dyDescent="0.3">
      <c r="A3738" s="4">
        <v>3952</v>
      </c>
      <c r="B3738" s="5">
        <v>3731</v>
      </c>
      <c r="C3738">
        <v>5826</v>
      </c>
      <c r="D3738" t="s">
        <v>2416</v>
      </c>
      <c r="E3738" t="s">
        <v>5447</v>
      </c>
      <c r="F3738" t="s">
        <v>38</v>
      </c>
      <c r="G3738" t="s">
        <v>17470</v>
      </c>
      <c r="H3738">
        <v>19.45</v>
      </c>
      <c r="I3738">
        <v>0</v>
      </c>
      <c r="J3738">
        <v>0</v>
      </c>
      <c r="K3738">
        <v>0</v>
      </c>
      <c r="N3738">
        <v>3</v>
      </c>
      <c r="O3738">
        <v>3</v>
      </c>
      <c r="P3738">
        <v>0</v>
      </c>
      <c r="Q3738">
        <v>0</v>
      </c>
      <c r="R3738">
        <v>22.45</v>
      </c>
      <c r="S3738">
        <v>5</v>
      </c>
      <c r="T3738">
        <v>5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5</v>
      </c>
      <c r="AB3738">
        <v>0</v>
      </c>
      <c r="AC3738">
        <v>0</v>
      </c>
      <c r="AH3738">
        <v>27.45</v>
      </c>
    </row>
    <row r="3739" spans="1:34" x14ac:dyDescent="0.3">
      <c r="A3739" s="4">
        <v>3953</v>
      </c>
      <c r="B3739" s="5">
        <v>3732</v>
      </c>
      <c r="C3739">
        <v>5228</v>
      </c>
      <c r="D3739" t="s">
        <v>17471</v>
      </c>
      <c r="E3739" t="s">
        <v>276</v>
      </c>
      <c r="F3739" t="s">
        <v>30</v>
      </c>
      <c r="G3739" t="s">
        <v>17472</v>
      </c>
      <c r="H3739">
        <v>21.43</v>
      </c>
      <c r="I3739">
        <v>0</v>
      </c>
      <c r="J3739">
        <v>0</v>
      </c>
      <c r="K3739">
        <v>0</v>
      </c>
      <c r="N3739">
        <v>6</v>
      </c>
      <c r="O3739">
        <v>6</v>
      </c>
      <c r="P3739">
        <v>0</v>
      </c>
      <c r="Q3739">
        <v>0</v>
      </c>
      <c r="R3739">
        <v>27.43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H3739">
        <v>27.43</v>
      </c>
    </row>
    <row r="3740" spans="1:34" x14ac:dyDescent="0.3">
      <c r="A3740" s="4">
        <v>3954</v>
      </c>
      <c r="B3740" s="5">
        <v>3733</v>
      </c>
      <c r="C3740">
        <v>1408</v>
      </c>
      <c r="D3740" t="s">
        <v>17473</v>
      </c>
      <c r="E3740" t="s">
        <v>20</v>
      </c>
      <c r="F3740" t="s">
        <v>539</v>
      </c>
      <c r="G3740" t="s">
        <v>17474</v>
      </c>
      <c r="H3740">
        <v>18.43</v>
      </c>
      <c r="I3740">
        <v>0</v>
      </c>
      <c r="J3740">
        <v>0</v>
      </c>
      <c r="K3740">
        <v>0</v>
      </c>
      <c r="M3740">
        <v>5</v>
      </c>
      <c r="O3740">
        <v>5</v>
      </c>
      <c r="P3740">
        <v>4</v>
      </c>
      <c r="Q3740">
        <v>0</v>
      </c>
      <c r="R3740">
        <v>27.43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H3740">
        <v>27.43</v>
      </c>
    </row>
    <row r="3741" spans="1:34" x14ac:dyDescent="0.3">
      <c r="A3741" s="4">
        <v>3955</v>
      </c>
      <c r="B3741" s="5">
        <v>3734</v>
      </c>
      <c r="C3741">
        <v>6635</v>
      </c>
      <c r="D3741" t="s">
        <v>4879</v>
      </c>
      <c r="E3741" t="s">
        <v>17475</v>
      </c>
      <c r="F3741" t="s">
        <v>442</v>
      </c>
      <c r="G3741" t="s">
        <v>17476</v>
      </c>
      <c r="H3741">
        <v>18.43</v>
      </c>
      <c r="I3741">
        <v>0</v>
      </c>
      <c r="J3741">
        <v>0</v>
      </c>
      <c r="K3741">
        <v>0</v>
      </c>
      <c r="L3741">
        <v>7</v>
      </c>
      <c r="O3741">
        <v>7</v>
      </c>
      <c r="P3741">
        <v>0</v>
      </c>
      <c r="Q3741">
        <v>2</v>
      </c>
      <c r="R3741">
        <v>27.43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H3741">
        <v>27.43</v>
      </c>
    </row>
    <row r="3742" spans="1:34" x14ac:dyDescent="0.3">
      <c r="A3742" s="4">
        <v>3956</v>
      </c>
      <c r="B3742" s="5">
        <v>3735</v>
      </c>
      <c r="C3742">
        <v>2298</v>
      </c>
      <c r="D3742" t="s">
        <v>682</v>
      </c>
      <c r="E3742" t="s">
        <v>2372</v>
      </c>
      <c r="F3742" t="s">
        <v>1526</v>
      </c>
      <c r="G3742" t="s">
        <v>17477</v>
      </c>
      <c r="H3742">
        <v>17.399999999999999</v>
      </c>
      <c r="I3742">
        <v>0</v>
      </c>
      <c r="J3742">
        <v>0</v>
      </c>
      <c r="K3742">
        <v>0</v>
      </c>
      <c r="L3742">
        <v>7</v>
      </c>
      <c r="O3742">
        <v>7</v>
      </c>
      <c r="P3742">
        <v>0</v>
      </c>
      <c r="Q3742">
        <v>0</v>
      </c>
      <c r="R3742">
        <v>24.4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3</v>
      </c>
      <c r="AC3742">
        <v>0</v>
      </c>
      <c r="AH3742">
        <v>27.4</v>
      </c>
    </row>
    <row r="3743" spans="1:34" x14ac:dyDescent="0.3">
      <c r="A3743" s="4">
        <v>3957</v>
      </c>
      <c r="B3743" s="5">
        <v>3736</v>
      </c>
      <c r="C3743">
        <v>7971</v>
      </c>
      <c r="D3743" t="s">
        <v>6835</v>
      </c>
      <c r="E3743" t="s">
        <v>29</v>
      </c>
      <c r="F3743" t="s">
        <v>81</v>
      </c>
      <c r="G3743" t="s">
        <v>17478</v>
      </c>
      <c r="H3743">
        <v>21.38</v>
      </c>
      <c r="I3743">
        <v>0</v>
      </c>
      <c r="J3743">
        <v>0</v>
      </c>
      <c r="K3743">
        <v>0</v>
      </c>
      <c r="N3743">
        <v>6</v>
      </c>
      <c r="O3743">
        <v>6</v>
      </c>
      <c r="P3743">
        <v>0</v>
      </c>
      <c r="Q3743">
        <v>0</v>
      </c>
      <c r="R3743">
        <v>27.38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H3743">
        <v>27.38</v>
      </c>
    </row>
    <row r="3744" spans="1:34" x14ac:dyDescent="0.3">
      <c r="A3744" s="4">
        <v>3958</v>
      </c>
      <c r="B3744" s="5">
        <v>3737</v>
      </c>
      <c r="C3744">
        <v>222</v>
      </c>
      <c r="D3744" t="s">
        <v>17479</v>
      </c>
      <c r="E3744" t="s">
        <v>26</v>
      </c>
      <c r="F3744" t="s">
        <v>68</v>
      </c>
      <c r="G3744" t="s">
        <v>17480</v>
      </c>
      <c r="H3744">
        <v>20.38</v>
      </c>
      <c r="I3744">
        <v>0</v>
      </c>
      <c r="J3744">
        <v>0</v>
      </c>
      <c r="K3744">
        <v>0</v>
      </c>
      <c r="L3744">
        <v>7</v>
      </c>
      <c r="O3744">
        <v>7</v>
      </c>
      <c r="P3744">
        <v>0</v>
      </c>
      <c r="Q3744">
        <v>0</v>
      </c>
      <c r="R3744">
        <v>27.38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H3744">
        <v>27.38</v>
      </c>
    </row>
    <row r="3745" spans="1:34" x14ac:dyDescent="0.3">
      <c r="A3745" s="4">
        <v>3959</v>
      </c>
      <c r="B3745" s="5">
        <v>3738</v>
      </c>
      <c r="C3745">
        <v>7311</v>
      </c>
      <c r="D3745" t="s">
        <v>2227</v>
      </c>
      <c r="E3745" t="s">
        <v>17481</v>
      </c>
      <c r="F3745" t="s">
        <v>972</v>
      </c>
      <c r="G3745" t="s">
        <v>17482</v>
      </c>
      <c r="H3745">
        <v>20.38</v>
      </c>
      <c r="I3745">
        <v>0</v>
      </c>
      <c r="J3745">
        <v>0</v>
      </c>
      <c r="K3745">
        <v>0</v>
      </c>
      <c r="L3745">
        <v>7</v>
      </c>
      <c r="O3745">
        <v>7</v>
      </c>
      <c r="P3745">
        <v>0</v>
      </c>
      <c r="Q3745">
        <v>0</v>
      </c>
      <c r="R3745">
        <v>27.38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H3745">
        <v>27.38</v>
      </c>
    </row>
    <row r="3746" spans="1:34" x14ac:dyDescent="0.3">
      <c r="A3746" s="4">
        <v>3960</v>
      </c>
      <c r="B3746" s="5">
        <v>3739</v>
      </c>
      <c r="C3746">
        <v>6838</v>
      </c>
      <c r="D3746" t="s">
        <v>1764</v>
      </c>
      <c r="E3746" t="s">
        <v>22</v>
      </c>
      <c r="F3746" t="s">
        <v>62</v>
      </c>
      <c r="G3746" t="s">
        <v>17483</v>
      </c>
      <c r="H3746">
        <v>20.38</v>
      </c>
      <c r="I3746">
        <v>0</v>
      </c>
      <c r="J3746">
        <v>0</v>
      </c>
      <c r="K3746">
        <v>0</v>
      </c>
      <c r="N3746">
        <v>3</v>
      </c>
      <c r="O3746">
        <v>3</v>
      </c>
      <c r="P3746">
        <v>4</v>
      </c>
      <c r="Q3746">
        <v>0</v>
      </c>
      <c r="R3746">
        <v>27.38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H3746">
        <v>27.38</v>
      </c>
    </row>
    <row r="3747" spans="1:34" x14ac:dyDescent="0.3">
      <c r="A3747" s="4">
        <v>3961</v>
      </c>
      <c r="B3747" s="5">
        <v>3740</v>
      </c>
      <c r="C3747">
        <v>2030</v>
      </c>
      <c r="D3747" t="s">
        <v>17484</v>
      </c>
      <c r="E3747" t="s">
        <v>97</v>
      </c>
      <c r="F3747" t="s">
        <v>81</v>
      </c>
      <c r="G3747" t="s">
        <v>17485</v>
      </c>
      <c r="H3747">
        <v>17.350000000000001</v>
      </c>
      <c r="I3747">
        <v>0</v>
      </c>
      <c r="J3747">
        <v>0</v>
      </c>
      <c r="K3747">
        <v>0</v>
      </c>
      <c r="L3747">
        <v>7</v>
      </c>
      <c r="N3747">
        <v>3</v>
      </c>
      <c r="O3747">
        <v>10</v>
      </c>
      <c r="P3747">
        <v>0</v>
      </c>
      <c r="Q3747">
        <v>0</v>
      </c>
      <c r="R3747">
        <v>27.35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H3747">
        <v>27.35</v>
      </c>
    </row>
    <row r="3748" spans="1:34" x14ac:dyDescent="0.3">
      <c r="A3748" s="4">
        <v>3962</v>
      </c>
      <c r="B3748" s="5">
        <v>3741</v>
      </c>
      <c r="C3748">
        <v>4611</v>
      </c>
      <c r="D3748" t="s">
        <v>17486</v>
      </c>
      <c r="E3748" t="s">
        <v>17487</v>
      </c>
      <c r="F3748" t="s">
        <v>17488</v>
      </c>
      <c r="G3748" t="s">
        <v>17489</v>
      </c>
      <c r="H3748">
        <v>17.350000000000001</v>
      </c>
      <c r="I3748">
        <v>0</v>
      </c>
      <c r="J3748">
        <v>0</v>
      </c>
      <c r="K3748">
        <v>0</v>
      </c>
      <c r="N3748">
        <v>6</v>
      </c>
      <c r="O3748">
        <v>6</v>
      </c>
      <c r="P3748">
        <v>4</v>
      </c>
      <c r="Q3748">
        <v>0</v>
      </c>
      <c r="R3748">
        <v>27.35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H3748">
        <v>27.35</v>
      </c>
    </row>
    <row r="3749" spans="1:34" x14ac:dyDescent="0.3">
      <c r="A3749" s="4">
        <v>3963</v>
      </c>
      <c r="B3749" s="5">
        <v>3742</v>
      </c>
      <c r="C3749">
        <v>5336</v>
      </c>
      <c r="D3749" t="s">
        <v>17490</v>
      </c>
      <c r="E3749" t="s">
        <v>110</v>
      </c>
      <c r="F3749" t="s">
        <v>17</v>
      </c>
      <c r="G3749" t="s">
        <v>17491</v>
      </c>
      <c r="H3749">
        <v>18.329999999999998</v>
      </c>
      <c r="I3749">
        <v>0</v>
      </c>
      <c r="J3749">
        <v>0</v>
      </c>
      <c r="K3749">
        <v>0</v>
      </c>
      <c r="N3749">
        <v>3</v>
      </c>
      <c r="O3749">
        <v>3</v>
      </c>
      <c r="P3749">
        <v>0</v>
      </c>
      <c r="Q3749">
        <v>0</v>
      </c>
      <c r="R3749">
        <v>21.33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6</v>
      </c>
      <c r="AC3749">
        <v>0</v>
      </c>
      <c r="AH3749">
        <v>27.33</v>
      </c>
    </row>
    <row r="3750" spans="1:34" x14ac:dyDescent="0.3">
      <c r="A3750" s="4">
        <v>3964</v>
      </c>
      <c r="B3750" s="5">
        <v>3743</v>
      </c>
      <c r="C3750">
        <v>15610</v>
      </c>
      <c r="D3750" t="s">
        <v>17492</v>
      </c>
      <c r="E3750" t="s">
        <v>110</v>
      </c>
      <c r="F3750" t="s">
        <v>2721</v>
      </c>
      <c r="G3750" t="s">
        <v>17493</v>
      </c>
      <c r="H3750">
        <v>20.329999999999998</v>
      </c>
      <c r="I3750">
        <v>0</v>
      </c>
      <c r="J3750">
        <v>0</v>
      </c>
      <c r="K3750">
        <v>0</v>
      </c>
      <c r="N3750">
        <v>3</v>
      </c>
      <c r="O3750">
        <v>3</v>
      </c>
      <c r="P3750">
        <v>4</v>
      </c>
      <c r="Q3750">
        <v>0</v>
      </c>
      <c r="R3750">
        <v>27.33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H3750">
        <v>27.33</v>
      </c>
    </row>
    <row r="3751" spans="1:34" x14ac:dyDescent="0.3">
      <c r="A3751" s="4">
        <v>3965</v>
      </c>
      <c r="B3751" s="5">
        <v>3744</v>
      </c>
      <c r="C3751">
        <v>4023</v>
      </c>
      <c r="D3751" t="s">
        <v>11016</v>
      </c>
      <c r="E3751" t="s">
        <v>17494</v>
      </c>
      <c r="F3751" t="s">
        <v>38</v>
      </c>
      <c r="G3751" t="s">
        <v>17495</v>
      </c>
      <c r="H3751">
        <v>17.3</v>
      </c>
      <c r="I3751">
        <v>0</v>
      </c>
      <c r="J3751">
        <v>0</v>
      </c>
      <c r="K3751">
        <v>0</v>
      </c>
      <c r="M3751">
        <v>5</v>
      </c>
      <c r="O3751">
        <v>5</v>
      </c>
      <c r="P3751">
        <v>0</v>
      </c>
      <c r="Q3751">
        <v>2</v>
      </c>
      <c r="R3751">
        <v>24.3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3</v>
      </c>
      <c r="AC3751">
        <v>0</v>
      </c>
      <c r="AH3751">
        <v>27.3</v>
      </c>
    </row>
    <row r="3752" spans="1:34" x14ac:dyDescent="0.3">
      <c r="A3752" s="4">
        <v>3966</v>
      </c>
      <c r="B3752" s="5">
        <v>3745</v>
      </c>
      <c r="C3752">
        <v>5983</v>
      </c>
      <c r="D3752" t="s">
        <v>10059</v>
      </c>
      <c r="E3752" t="s">
        <v>88</v>
      </c>
      <c r="F3752" t="s">
        <v>442</v>
      </c>
      <c r="G3752" t="s">
        <v>17496</v>
      </c>
      <c r="H3752">
        <v>21.3</v>
      </c>
      <c r="I3752">
        <v>0</v>
      </c>
      <c r="J3752">
        <v>0</v>
      </c>
      <c r="K3752">
        <v>0</v>
      </c>
      <c r="O3752">
        <v>0</v>
      </c>
      <c r="P3752">
        <v>4</v>
      </c>
      <c r="Q3752">
        <v>2</v>
      </c>
      <c r="R3752">
        <v>27.3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H3752">
        <v>27.3</v>
      </c>
    </row>
    <row r="3753" spans="1:34" x14ac:dyDescent="0.3">
      <c r="A3753" s="4">
        <v>3967</v>
      </c>
      <c r="B3753" s="5">
        <v>3746</v>
      </c>
      <c r="C3753">
        <v>14131</v>
      </c>
      <c r="D3753" t="s">
        <v>17497</v>
      </c>
      <c r="E3753" t="s">
        <v>166</v>
      </c>
      <c r="F3753" t="s">
        <v>68</v>
      </c>
      <c r="G3753" t="s">
        <v>17498</v>
      </c>
      <c r="H3753">
        <v>20.3</v>
      </c>
      <c r="I3753">
        <v>0</v>
      </c>
      <c r="J3753">
        <v>0</v>
      </c>
      <c r="K3753">
        <v>0</v>
      </c>
      <c r="N3753">
        <v>3</v>
      </c>
      <c r="O3753">
        <v>3</v>
      </c>
      <c r="P3753">
        <v>4</v>
      </c>
      <c r="Q3753">
        <v>0</v>
      </c>
      <c r="R3753">
        <v>27.3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H3753">
        <v>27.3</v>
      </c>
    </row>
    <row r="3754" spans="1:34" x14ac:dyDescent="0.3">
      <c r="A3754" s="4">
        <v>3968</v>
      </c>
      <c r="B3754" s="5">
        <v>3747</v>
      </c>
      <c r="C3754">
        <v>11157</v>
      </c>
      <c r="D3754" t="s">
        <v>17499</v>
      </c>
      <c r="E3754" t="s">
        <v>381</v>
      </c>
      <c r="F3754" t="s">
        <v>158</v>
      </c>
      <c r="G3754" t="s">
        <v>17500</v>
      </c>
      <c r="H3754">
        <v>20.3</v>
      </c>
      <c r="I3754">
        <v>0</v>
      </c>
      <c r="J3754">
        <v>0</v>
      </c>
      <c r="K3754">
        <v>0</v>
      </c>
      <c r="L3754">
        <v>7</v>
      </c>
      <c r="O3754">
        <v>7</v>
      </c>
      <c r="P3754">
        <v>0</v>
      </c>
      <c r="Q3754">
        <v>0</v>
      </c>
      <c r="R3754">
        <v>27.3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H3754">
        <v>27.3</v>
      </c>
    </row>
    <row r="3755" spans="1:34" x14ac:dyDescent="0.3">
      <c r="A3755" s="4">
        <v>3969</v>
      </c>
      <c r="B3755" s="5">
        <v>3748</v>
      </c>
      <c r="C3755">
        <v>15541</v>
      </c>
      <c r="D3755" t="s">
        <v>5697</v>
      </c>
      <c r="E3755" t="s">
        <v>1953</v>
      </c>
      <c r="F3755" t="s">
        <v>30</v>
      </c>
      <c r="G3755" t="s">
        <v>17501</v>
      </c>
      <c r="H3755">
        <v>17.3</v>
      </c>
      <c r="I3755">
        <v>0</v>
      </c>
      <c r="J3755">
        <v>0</v>
      </c>
      <c r="K3755">
        <v>0</v>
      </c>
      <c r="N3755">
        <v>6</v>
      </c>
      <c r="O3755">
        <v>6</v>
      </c>
      <c r="P3755">
        <v>4</v>
      </c>
      <c r="Q3755">
        <v>0</v>
      </c>
      <c r="R3755">
        <v>27.3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H3755">
        <v>27.3</v>
      </c>
    </row>
    <row r="3756" spans="1:34" x14ac:dyDescent="0.3">
      <c r="A3756" s="4">
        <v>3970</v>
      </c>
      <c r="B3756" s="5">
        <v>3749</v>
      </c>
      <c r="C3756">
        <v>787</v>
      </c>
      <c r="D3756" t="s">
        <v>17502</v>
      </c>
      <c r="E3756" t="s">
        <v>29</v>
      </c>
      <c r="F3756" t="s">
        <v>38</v>
      </c>
      <c r="G3756" t="s">
        <v>17503</v>
      </c>
      <c r="H3756">
        <v>18.28</v>
      </c>
      <c r="I3756">
        <v>0</v>
      </c>
      <c r="J3756">
        <v>0</v>
      </c>
      <c r="K3756">
        <v>0</v>
      </c>
      <c r="N3756">
        <v>3</v>
      </c>
      <c r="O3756">
        <v>3</v>
      </c>
      <c r="P3756">
        <v>4</v>
      </c>
      <c r="Q3756">
        <v>2</v>
      </c>
      <c r="R3756">
        <v>27.28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H3756">
        <v>27.28</v>
      </c>
    </row>
    <row r="3757" spans="1:34" x14ac:dyDescent="0.3">
      <c r="A3757" s="4">
        <v>3971</v>
      </c>
      <c r="B3757" s="5">
        <v>3750</v>
      </c>
      <c r="C3757">
        <v>15397</v>
      </c>
      <c r="D3757" t="s">
        <v>17504</v>
      </c>
      <c r="E3757" t="s">
        <v>124</v>
      </c>
      <c r="F3757" t="s">
        <v>167</v>
      </c>
      <c r="G3757" t="s">
        <v>17505</v>
      </c>
      <c r="H3757">
        <v>18.28</v>
      </c>
      <c r="I3757">
        <v>0</v>
      </c>
      <c r="J3757">
        <v>0</v>
      </c>
      <c r="K3757">
        <v>0</v>
      </c>
      <c r="N3757">
        <v>3</v>
      </c>
      <c r="O3757">
        <v>3</v>
      </c>
      <c r="P3757">
        <v>0</v>
      </c>
      <c r="Q3757">
        <v>0</v>
      </c>
      <c r="R3757">
        <v>21.28</v>
      </c>
      <c r="S3757">
        <v>6</v>
      </c>
      <c r="T3757">
        <v>6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6</v>
      </c>
      <c r="AB3757">
        <v>0</v>
      </c>
      <c r="AC3757">
        <v>0</v>
      </c>
      <c r="AH3757">
        <v>27.28</v>
      </c>
    </row>
    <row r="3758" spans="1:34" x14ac:dyDescent="0.3">
      <c r="A3758" s="4">
        <v>3972</v>
      </c>
      <c r="B3758" s="5">
        <v>3751</v>
      </c>
      <c r="C3758">
        <v>1241</v>
      </c>
      <c r="D3758" t="s">
        <v>4927</v>
      </c>
      <c r="E3758" t="s">
        <v>17506</v>
      </c>
      <c r="F3758" t="s">
        <v>310</v>
      </c>
      <c r="G3758" t="s">
        <v>17507</v>
      </c>
      <c r="H3758">
        <v>20.25</v>
      </c>
      <c r="I3758">
        <v>0</v>
      </c>
      <c r="J3758">
        <v>0</v>
      </c>
      <c r="K3758">
        <v>0</v>
      </c>
      <c r="L3758">
        <v>7</v>
      </c>
      <c r="O3758">
        <v>7</v>
      </c>
      <c r="P3758">
        <v>0</v>
      </c>
      <c r="Q3758">
        <v>0</v>
      </c>
      <c r="R3758">
        <v>27.25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H3758">
        <v>27.25</v>
      </c>
    </row>
    <row r="3759" spans="1:34" x14ac:dyDescent="0.3">
      <c r="A3759" s="4">
        <v>3973</v>
      </c>
      <c r="B3759" s="5">
        <v>3752</v>
      </c>
      <c r="C3759">
        <v>10407</v>
      </c>
      <c r="D3759" t="s">
        <v>17508</v>
      </c>
      <c r="E3759" t="s">
        <v>1694</v>
      </c>
      <c r="F3759" t="s">
        <v>193</v>
      </c>
      <c r="G3759" t="s">
        <v>17509</v>
      </c>
      <c r="H3759">
        <v>20.25</v>
      </c>
      <c r="I3759">
        <v>0</v>
      </c>
      <c r="J3759">
        <v>0</v>
      </c>
      <c r="K3759">
        <v>0</v>
      </c>
      <c r="L3759">
        <v>7</v>
      </c>
      <c r="O3759">
        <v>7</v>
      </c>
      <c r="P3759">
        <v>0</v>
      </c>
      <c r="Q3759">
        <v>0</v>
      </c>
      <c r="R3759">
        <v>27.25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H3759">
        <v>27.25</v>
      </c>
    </row>
    <row r="3760" spans="1:34" x14ac:dyDescent="0.3">
      <c r="A3760" s="4">
        <v>3974</v>
      </c>
      <c r="B3760" s="5">
        <v>3753</v>
      </c>
      <c r="C3760">
        <v>14254</v>
      </c>
      <c r="D3760" t="s">
        <v>6156</v>
      </c>
      <c r="E3760" t="s">
        <v>178</v>
      </c>
      <c r="F3760" t="s">
        <v>68</v>
      </c>
      <c r="G3760" t="s">
        <v>17510</v>
      </c>
      <c r="H3760">
        <v>18.25</v>
      </c>
      <c r="I3760">
        <v>0</v>
      </c>
      <c r="J3760">
        <v>0</v>
      </c>
      <c r="K3760">
        <v>0</v>
      </c>
      <c r="L3760">
        <v>7</v>
      </c>
      <c r="O3760">
        <v>7</v>
      </c>
      <c r="P3760">
        <v>0</v>
      </c>
      <c r="Q3760">
        <v>2</v>
      </c>
      <c r="R3760">
        <v>27.25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H3760">
        <v>27.25</v>
      </c>
    </row>
    <row r="3761" spans="1:34" x14ac:dyDescent="0.3">
      <c r="A3761" s="4">
        <v>3975</v>
      </c>
      <c r="B3761" s="5">
        <v>3754</v>
      </c>
      <c r="C3761">
        <v>15377</v>
      </c>
      <c r="D3761" t="s">
        <v>17511</v>
      </c>
      <c r="E3761" t="s">
        <v>17512</v>
      </c>
      <c r="F3761" t="s">
        <v>626</v>
      </c>
      <c r="G3761" t="s">
        <v>17513</v>
      </c>
      <c r="H3761">
        <v>17.25</v>
      </c>
      <c r="I3761">
        <v>0</v>
      </c>
      <c r="J3761">
        <v>0</v>
      </c>
      <c r="K3761">
        <v>0</v>
      </c>
      <c r="L3761">
        <v>7</v>
      </c>
      <c r="N3761">
        <v>3</v>
      </c>
      <c r="O3761">
        <v>10</v>
      </c>
      <c r="P3761">
        <v>0</v>
      </c>
      <c r="Q3761">
        <v>0</v>
      </c>
      <c r="R3761">
        <v>27.25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H3761">
        <v>27.25</v>
      </c>
    </row>
    <row r="3762" spans="1:34" x14ac:dyDescent="0.3">
      <c r="A3762" s="4">
        <v>3976</v>
      </c>
      <c r="B3762" s="5">
        <v>3755</v>
      </c>
      <c r="C3762">
        <v>3599</v>
      </c>
      <c r="D3762" t="s">
        <v>9948</v>
      </c>
      <c r="E3762" t="s">
        <v>17514</v>
      </c>
      <c r="F3762" t="s">
        <v>30</v>
      </c>
      <c r="G3762" t="s">
        <v>17515</v>
      </c>
      <c r="H3762">
        <v>16.25</v>
      </c>
      <c r="I3762">
        <v>0</v>
      </c>
      <c r="J3762">
        <v>0</v>
      </c>
      <c r="K3762">
        <v>0</v>
      </c>
      <c r="L3762">
        <v>7</v>
      </c>
      <c r="O3762">
        <v>7</v>
      </c>
      <c r="P3762">
        <v>4</v>
      </c>
      <c r="Q3762">
        <v>0</v>
      </c>
      <c r="R3762">
        <v>27.25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H3762">
        <v>27.25</v>
      </c>
    </row>
    <row r="3763" spans="1:34" x14ac:dyDescent="0.3">
      <c r="A3763" s="4">
        <v>3977</v>
      </c>
      <c r="B3763" s="5">
        <v>3756</v>
      </c>
      <c r="C3763">
        <v>9858</v>
      </c>
      <c r="D3763" t="s">
        <v>562</v>
      </c>
      <c r="E3763" t="s">
        <v>563</v>
      </c>
      <c r="F3763" t="s">
        <v>55</v>
      </c>
      <c r="G3763" t="s">
        <v>564</v>
      </c>
      <c r="H3763">
        <v>16.25</v>
      </c>
      <c r="I3763">
        <v>0</v>
      </c>
      <c r="J3763">
        <v>0</v>
      </c>
      <c r="K3763">
        <v>0</v>
      </c>
      <c r="L3763">
        <v>7</v>
      </c>
      <c r="O3763">
        <v>7</v>
      </c>
      <c r="P3763">
        <v>4</v>
      </c>
      <c r="Q3763">
        <v>0</v>
      </c>
      <c r="R3763">
        <v>27.25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 t="s">
        <v>130</v>
      </c>
      <c r="AH3763">
        <v>27.25</v>
      </c>
    </row>
    <row r="3764" spans="1:34" x14ac:dyDescent="0.3">
      <c r="A3764" s="4">
        <v>3978</v>
      </c>
      <c r="B3764" s="5">
        <v>3757</v>
      </c>
      <c r="C3764">
        <v>13867</v>
      </c>
      <c r="D3764" t="s">
        <v>17516</v>
      </c>
      <c r="E3764" t="s">
        <v>17517</v>
      </c>
      <c r="F3764" t="s">
        <v>17518</v>
      </c>
      <c r="G3764" t="s">
        <v>17519</v>
      </c>
      <c r="H3764">
        <v>16.25</v>
      </c>
      <c r="I3764">
        <v>0</v>
      </c>
      <c r="J3764">
        <v>0</v>
      </c>
      <c r="K3764">
        <v>0</v>
      </c>
      <c r="L3764">
        <v>7</v>
      </c>
      <c r="O3764">
        <v>7</v>
      </c>
      <c r="P3764">
        <v>4</v>
      </c>
      <c r="Q3764">
        <v>0</v>
      </c>
      <c r="R3764">
        <v>27.25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H3764">
        <v>27.25</v>
      </c>
    </row>
    <row r="3765" spans="1:34" x14ac:dyDescent="0.3">
      <c r="A3765" s="4">
        <v>3979</v>
      </c>
      <c r="B3765" s="5">
        <v>3758</v>
      </c>
      <c r="C3765">
        <v>12821</v>
      </c>
      <c r="D3765" t="s">
        <v>17520</v>
      </c>
      <c r="E3765" t="s">
        <v>575</v>
      </c>
      <c r="F3765" t="s">
        <v>20</v>
      </c>
      <c r="G3765" t="s">
        <v>17521</v>
      </c>
      <c r="H3765">
        <v>16.25</v>
      </c>
      <c r="I3765">
        <v>0</v>
      </c>
      <c r="J3765">
        <v>0</v>
      </c>
      <c r="K3765">
        <v>0</v>
      </c>
      <c r="L3765">
        <v>7</v>
      </c>
      <c r="O3765">
        <v>7</v>
      </c>
      <c r="P3765">
        <v>4</v>
      </c>
      <c r="Q3765">
        <v>0</v>
      </c>
      <c r="R3765">
        <v>27.25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H3765">
        <v>27.25</v>
      </c>
    </row>
    <row r="3766" spans="1:34" x14ac:dyDescent="0.3">
      <c r="A3766" s="4">
        <v>3980</v>
      </c>
      <c r="B3766" s="5">
        <v>3759</v>
      </c>
      <c r="C3766">
        <v>87</v>
      </c>
      <c r="D3766" t="s">
        <v>2036</v>
      </c>
      <c r="E3766" t="s">
        <v>1652</v>
      </c>
      <c r="F3766" t="s">
        <v>167</v>
      </c>
      <c r="G3766" t="s">
        <v>17522</v>
      </c>
      <c r="H3766">
        <v>16.25</v>
      </c>
      <c r="I3766">
        <v>0</v>
      </c>
      <c r="J3766">
        <v>0</v>
      </c>
      <c r="K3766">
        <v>0</v>
      </c>
      <c r="L3766">
        <v>7</v>
      </c>
      <c r="O3766">
        <v>7</v>
      </c>
      <c r="P3766">
        <v>4</v>
      </c>
      <c r="Q3766">
        <v>0</v>
      </c>
      <c r="R3766">
        <v>27.25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H3766">
        <v>27.25</v>
      </c>
    </row>
    <row r="3767" spans="1:34" x14ac:dyDescent="0.3">
      <c r="A3767" s="4">
        <v>3981</v>
      </c>
      <c r="B3767" s="5">
        <v>3760</v>
      </c>
      <c r="C3767">
        <v>10925</v>
      </c>
      <c r="D3767" t="s">
        <v>17523</v>
      </c>
      <c r="E3767" t="s">
        <v>16025</v>
      </c>
      <c r="F3767" t="s">
        <v>375</v>
      </c>
      <c r="G3767" t="s">
        <v>17524</v>
      </c>
      <c r="H3767">
        <v>16.25</v>
      </c>
      <c r="I3767">
        <v>0</v>
      </c>
      <c r="J3767">
        <v>0</v>
      </c>
      <c r="K3767">
        <v>0</v>
      </c>
      <c r="L3767">
        <v>7</v>
      </c>
      <c r="O3767">
        <v>7</v>
      </c>
      <c r="P3767">
        <v>4</v>
      </c>
      <c r="Q3767">
        <v>0</v>
      </c>
      <c r="R3767">
        <v>27.25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H3767">
        <v>27.25</v>
      </c>
    </row>
    <row r="3768" spans="1:34" x14ac:dyDescent="0.3">
      <c r="A3768" s="4">
        <v>3982</v>
      </c>
      <c r="B3768" s="5">
        <v>3761</v>
      </c>
      <c r="C3768">
        <v>7894</v>
      </c>
      <c r="D3768" t="s">
        <v>17525</v>
      </c>
      <c r="E3768" t="s">
        <v>17</v>
      </c>
      <c r="F3768" t="s">
        <v>238</v>
      </c>
      <c r="G3768" t="s">
        <v>17526</v>
      </c>
      <c r="H3768">
        <v>16.25</v>
      </c>
      <c r="I3768">
        <v>0</v>
      </c>
      <c r="J3768">
        <v>0</v>
      </c>
      <c r="K3768">
        <v>0</v>
      </c>
      <c r="M3768">
        <v>5</v>
      </c>
      <c r="O3768">
        <v>5</v>
      </c>
      <c r="P3768">
        <v>4</v>
      </c>
      <c r="Q3768">
        <v>2</v>
      </c>
      <c r="R3768">
        <v>27.25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H3768">
        <v>27.25</v>
      </c>
    </row>
    <row r="3769" spans="1:34" x14ac:dyDescent="0.3">
      <c r="A3769" s="4">
        <v>3983</v>
      </c>
      <c r="B3769" s="5">
        <v>3762</v>
      </c>
      <c r="C3769">
        <v>2876</v>
      </c>
      <c r="D3769" t="s">
        <v>11848</v>
      </c>
      <c r="E3769" t="s">
        <v>22</v>
      </c>
      <c r="F3769" t="s">
        <v>81</v>
      </c>
      <c r="G3769" t="s">
        <v>17527</v>
      </c>
      <c r="H3769">
        <v>16.25</v>
      </c>
      <c r="I3769">
        <v>0</v>
      </c>
      <c r="J3769">
        <v>0</v>
      </c>
      <c r="K3769">
        <v>0</v>
      </c>
      <c r="L3769">
        <v>7</v>
      </c>
      <c r="O3769">
        <v>7</v>
      </c>
      <c r="P3769">
        <v>4</v>
      </c>
      <c r="Q3769">
        <v>0</v>
      </c>
      <c r="R3769">
        <v>27.25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H3769">
        <v>27.25</v>
      </c>
    </row>
    <row r="3770" spans="1:34" x14ac:dyDescent="0.3">
      <c r="A3770" s="4">
        <v>3984</v>
      </c>
      <c r="B3770" s="5">
        <v>3763</v>
      </c>
      <c r="C3770">
        <v>13192</v>
      </c>
      <c r="D3770" t="s">
        <v>3889</v>
      </c>
      <c r="E3770" t="s">
        <v>26</v>
      </c>
      <c r="F3770" t="s">
        <v>892</v>
      </c>
      <c r="G3770" t="s">
        <v>17528</v>
      </c>
      <c r="H3770">
        <v>16.25</v>
      </c>
      <c r="I3770">
        <v>0</v>
      </c>
      <c r="J3770">
        <v>0</v>
      </c>
      <c r="K3770">
        <v>0</v>
      </c>
      <c r="L3770">
        <v>7</v>
      </c>
      <c r="O3770">
        <v>7</v>
      </c>
      <c r="P3770">
        <v>4</v>
      </c>
      <c r="Q3770">
        <v>0</v>
      </c>
      <c r="R3770">
        <v>27.25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H3770">
        <v>27.25</v>
      </c>
    </row>
    <row r="3771" spans="1:34" x14ac:dyDescent="0.3">
      <c r="A3771" s="4">
        <v>3985</v>
      </c>
      <c r="B3771" s="5">
        <v>3764</v>
      </c>
      <c r="C3771">
        <v>4290</v>
      </c>
      <c r="D3771" t="s">
        <v>17529</v>
      </c>
      <c r="E3771" t="s">
        <v>825</v>
      </c>
      <c r="F3771" t="s">
        <v>17</v>
      </c>
      <c r="G3771" t="s">
        <v>17530</v>
      </c>
      <c r="H3771">
        <v>17.23</v>
      </c>
      <c r="I3771">
        <v>0</v>
      </c>
      <c r="J3771">
        <v>0</v>
      </c>
      <c r="K3771">
        <v>0</v>
      </c>
      <c r="N3771">
        <v>3</v>
      </c>
      <c r="O3771">
        <v>3</v>
      </c>
      <c r="P3771">
        <v>4</v>
      </c>
      <c r="Q3771">
        <v>0</v>
      </c>
      <c r="R3771">
        <v>24.23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3</v>
      </c>
      <c r="AC3771">
        <v>0</v>
      </c>
      <c r="AH3771">
        <v>27.23</v>
      </c>
    </row>
    <row r="3772" spans="1:34" x14ac:dyDescent="0.3">
      <c r="A3772" s="4">
        <v>3986</v>
      </c>
      <c r="B3772" s="5">
        <v>3765</v>
      </c>
      <c r="C3772">
        <v>6007</v>
      </c>
      <c r="D3772" t="s">
        <v>17531</v>
      </c>
      <c r="E3772" t="s">
        <v>166</v>
      </c>
      <c r="F3772" t="s">
        <v>117</v>
      </c>
      <c r="G3772" t="s">
        <v>17532</v>
      </c>
      <c r="H3772">
        <v>18.23</v>
      </c>
      <c r="I3772">
        <v>0</v>
      </c>
      <c r="J3772">
        <v>0</v>
      </c>
      <c r="K3772">
        <v>0</v>
      </c>
      <c r="M3772">
        <v>5</v>
      </c>
      <c r="O3772">
        <v>5</v>
      </c>
      <c r="P3772">
        <v>4</v>
      </c>
      <c r="Q3772">
        <v>0</v>
      </c>
      <c r="R3772">
        <v>27.23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H3772">
        <v>27.23</v>
      </c>
    </row>
    <row r="3773" spans="1:34" x14ac:dyDescent="0.3">
      <c r="A3773" s="4">
        <v>3987</v>
      </c>
      <c r="B3773" s="5">
        <v>3766</v>
      </c>
      <c r="C3773">
        <v>6317</v>
      </c>
      <c r="D3773" t="s">
        <v>17533</v>
      </c>
      <c r="E3773" t="s">
        <v>29</v>
      </c>
      <c r="F3773" t="s">
        <v>117</v>
      </c>
      <c r="G3773" t="s">
        <v>17534</v>
      </c>
      <c r="H3773">
        <v>20.2</v>
      </c>
      <c r="I3773">
        <v>0</v>
      </c>
      <c r="J3773">
        <v>0</v>
      </c>
      <c r="K3773">
        <v>0</v>
      </c>
      <c r="L3773">
        <v>7</v>
      </c>
      <c r="O3773">
        <v>7</v>
      </c>
      <c r="P3773">
        <v>0</v>
      </c>
      <c r="Q3773">
        <v>0</v>
      </c>
      <c r="R3773">
        <v>27.2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H3773">
        <v>27.2</v>
      </c>
    </row>
    <row r="3774" spans="1:34" x14ac:dyDescent="0.3">
      <c r="A3774" s="4">
        <v>3988</v>
      </c>
      <c r="B3774" s="5">
        <v>3767</v>
      </c>
      <c r="C3774">
        <v>949</v>
      </c>
      <c r="D3774" t="s">
        <v>4612</v>
      </c>
      <c r="E3774" t="s">
        <v>132</v>
      </c>
      <c r="F3774" t="s">
        <v>3968</v>
      </c>
      <c r="G3774" t="s">
        <v>17535</v>
      </c>
      <c r="H3774">
        <v>20.2</v>
      </c>
      <c r="I3774">
        <v>0</v>
      </c>
      <c r="J3774">
        <v>0</v>
      </c>
      <c r="K3774">
        <v>0</v>
      </c>
      <c r="L3774">
        <v>7</v>
      </c>
      <c r="O3774">
        <v>7</v>
      </c>
      <c r="P3774">
        <v>0</v>
      </c>
      <c r="Q3774">
        <v>0</v>
      </c>
      <c r="R3774">
        <v>27.2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H3774">
        <v>27.2</v>
      </c>
    </row>
    <row r="3775" spans="1:34" x14ac:dyDescent="0.3">
      <c r="A3775" s="4">
        <v>3989</v>
      </c>
      <c r="B3775" s="5">
        <v>3768</v>
      </c>
      <c r="C3775">
        <v>13797</v>
      </c>
      <c r="D3775" t="s">
        <v>2236</v>
      </c>
      <c r="E3775" t="s">
        <v>100</v>
      </c>
      <c r="F3775" t="s">
        <v>81</v>
      </c>
      <c r="G3775" t="s">
        <v>17536</v>
      </c>
      <c r="H3775">
        <v>16.2</v>
      </c>
      <c r="I3775">
        <v>0</v>
      </c>
      <c r="J3775">
        <v>0</v>
      </c>
      <c r="K3775">
        <v>0</v>
      </c>
      <c r="L3775">
        <v>7</v>
      </c>
      <c r="O3775">
        <v>7</v>
      </c>
      <c r="P3775">
        <v>4</v>
      </c>
      <c r="Q3775">
        <v>0</v>
      </c>
      <c r="R3775">
        <v>27.2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H3775">
        <v>27.2</v>
      </c>
    </row>
    <row r="3776" spans="1:34" x14ac:dyDescent="0.3">
      <c r="A3776" s="4">
        <v>3990</v>
      </c>
      <c r="B3776" s="5">
        <v>3769</v>
      </c>
      <c r="C3776">
        <v>9145</v>
      </c>
      <c r="D3776" t="s">
        <v>14582</v>
      </c>
      <c r="E3776" t="s">
        <v>97</v>
      </c>
      <c r="F3776" t="s">
        <v>17</v>
      </c>
      <c r="G3776" t="s">
        <v>17537</v>
      </c>
      <c r="H3776">
        <v>15.18</v>
      </c>
      <c r="I3776">
        <v>0</v>
      </c>
      <c r="J3776">
        <v>0</v>
      </c>
      <c r="K3776">
        <v>0</v>
      </c>
      <c r="L3776">
        <v>7</v>
      </c>
      <c r="O3776">
        <v>7</v>
      </c>
      <c r="P3776">
        <v>0</v>
      </c>
      <c r="Q3776">
        <v>2</v>
      </c>
      <c r="R3776">
        <v>24.18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3</v>
      </c>
      <c r="AC3776">
        <v>0</v>
      </c>
      <c r="AH3776">
        <v>27.18</v>
      </c>
    </row>
    <row r="3777" spans="1:34" x14ac:dyDescent="0.3">
      <c r="A3777" s="4">
        <v>3991</v>
      </c>
      <c r="B3777" s="5">
        <v>3770</v>
      </c>
      <c r="C3777">
        <v>4259</v>
      </c>
      <c r="D3777" t="s">
        <v>16571</v>
      </c>
      <c r="E3777" t="s">
        <v>54</v>
      </c>
      <c r="F3777" t="s">
        <v>2370</v>
      </c>
      <c r="G3777" t="s">
        <v>17538</v>
      </c>
      <c r="H3777">
        <v>20.18</v>
      </c>
      <c r="I3777">
        <v>0</v>
      </c>
      <c r="J3777">
        <v>0</v>
      </c>
      <c r="K3777">
        <v>0</v>
      </c>
      <c r="L3777">
        <v>7</v>
      </c>
      <c r="O3777">
        <v>7</v>
      </c>
      <c r="P3777">
        <v>0</v>
      </c>
      <c r="Q3777">
        <v>0</v>
      </c>
      <c r="R3777">
        <v>27.18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H3777">
        <v>27.18</v>
      </c>
    </row>
    <row r="3778" spans="1:34" x14ac:dyDescent="0.3">
      <c r="A3778" s="4">
        <v>3992</v>
      </c>
      <c r="B3778" s="5">
        <v>3771</v>
      </c>
      <c r="C3778">
        <v>15626</v>
      </c>
      <c r="D3778" t="s">
        <v>17539</v>
      </c>
      <c r="E3778" t="s">
        <v>33</v>
      </c>
      <c r="F3778" t="s">
        <v>626</v>
      </c>
      <c r="G3778" t="s">
        <v>17540</v>
      </c>
      <c r="H3778">
        <v>18.18</v>
      </c>
      <c r="I3778">
        <v>0</v>
      </c>
      <c r="J3778">
        <v>0</v>
      </c>
      <c r="K3778">
        <v>0</v>
      </c>
      <c r="N3778">
        <v>3</v>
      </c>
      <c r="O3778">
        <v>3</v>
      </c>
      <c r="P3778">
        <v>4</v>
      </c>
      <c r="Q3778">
        <v>2</v>
      </c>
      <c r="R3778">
        <v>27.18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H3778">
        <v>27.18</v>
      </c>
    </row>
    <row r="3779" spans="1:34" x14ac:dyDescent="0.3">
      <c r="A3779" s="4">
        <v>3993</v>
      </c>
      <c r="B3779" s="5">
        <v>3772</v>
      </c>
      <c r="C3779">
        <v>7381</v>
      </c>
      <c r="D3779" t="s">
        <v>17541</v>
      </c>
      <c r="E3779" t="s">
        <v>406</v>
      </c>
      <c r="F3779" t="s">
        <v>17</v>
      </c>
      <c r="G3779" t="s">
        <v>17542</v>
      </c>
      <c r="H3779">
        <v>20.149999999999999</v>
      </c>
      <c r="I3779">
        <v>0</v>
      </c>
      <c r="J3779">
        <v>0</v>
      </c>
      <c r="K3779">
        <v>0</v>
      </c>
      <c r="L3779">
        <v>7</v>
      </c>
      <c r="O3779">
        <v>7</v>
      </c>
      <c r="P3779">
        <v>0</v>
      </c>
      <c r="Q3779">
        <v>0</v>
      </c>
      <c r="R3779">
        <v>27.15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H3779">
        <v>27.15</v>
      </c>
    </row>
    <row r="3780" spans="1:34" x14ac:dyDescent="0.3">
      <c r="A3780" s="4">
        <v>3994</v>
      </c>
      <c r="B3780" s="5">
        <v>3773</v>
      </c>
      <c r="C3780">
        <v>10361</v>
      </c>
      <c r="D3780" t="s">
        <v>2365</v>
      </c>
      <c r="E3780" t="s">
        <v>1426</v>
      </c>
      <c r="F3780" t="s">
        <v>3642</v>
      </c>
      <c r="G3780" t="s">
        <v>17543</v>
      </c>
      <c r="H3780">
        <v>20.149999999999999</v>
      </c>
      <c r="I3780">
        <v>0</v>
      </c>
      <c r="J3780">
        <v>0</v>
      </c>
      <c r="K3780">
        <v>0</v>
      </c>
      <c r="L3780">
        <v>7</v>
      </c>
      <c r="O3780">
        <v>7</v>
      </c>
      <c r="P3780">
        <v>0</v>
      </c>
      <c r="Q3780">
        <v>0</v>
      </c>
      <c r="R3780">
        <v>27.15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H3780">
        <v>27.15</v>
      </c>
    </row>
    <row r="3781" spans="1:34" x14ac:dyDescent="0.3">
      <c r="A3781" s="4">
        <v>3995</v>
      </c>
      <c r="B3781" s="5">
        <v>3774</v>
      </c>
      <c r="C3781">
        <v>14353</v>
      </c>
      <c r="D3781" t="s">
        <v>12904</v>
      </c>
      <c r="E3781" t="s">
        <v>22</v>
      </c>
      <c r="F3781" t="s">
        <v>782</v>
      </c>
      <c r="G3781" t="s">
        <v>17544</v>
      </c>
      <c r="H3781">
        <v>18.149999999999999</v>
      </c>
      <c r="I3781">
        <v>0</v>
      </c>
      <c r="J3781">
        <v>0</v>
      </c>
      <c r="K3781">
        <v>0</v>
      </c>
      <c r="L3781">
        <v>7</v>
      </c>
      <c r="O3781">
        <v>7</v>
      </c>
      <c r="P3781">
        <v>0</v>
      </c>
      <c r="Q3781">
        <v>2</v>
      </c>
      <c r="R3781">
        <v>27.15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H3781">
        <v>27.15</v>
      </c>
    </row>
    <row r="3782" spans="1:34" x14ac:dyDescent="0.3">
      <c r="A3782" s="4">
        <v>3996</v>
      </c>
      <c r="B3782" s="5">
        <v>3775</v>
      </c>
      <c r="C3782">
        <v>15495</v>
      </c>
      <c r="D3782" t="s">
        <v>17545</v>
      </c>
      <c r="E3782" t="s">
        <v>29</v>
      </c>
      <c r="F3782" t="s">
        <v>79</v>
      </c>
      <c r="G3782" t="s">
        <v>17546</v>
      </c>
      <c r="H3782">
        <v>16.149999999999999</v>
      </c>
      <c r="I3782">
        <v>0</v>
      </c>
      <c r="J3782">
        <v>0</v>
      </c>
      <c r="K3782">
        <v>0</v>
      </c>
      <c r="L3782">
        <v>7</v>
      </c>
      <c r="O3782">
        <v>7</v>
      </c>
      <c r="P3782">
        <v>4</v>
      </c>
      <c r="Q3782">
        <v>0</v>
      </c>
      <c r="R3782">
        <v>27.15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H3782">
        <v>27.15</v>
      </c>
    </row>
    <row r="3783" spans="1:34" x14ac:dyDescent="0.3">
      <c r="A3783" s="4">
        <v>3997</v>
      </c>
      <c r="B3783" s="5">
        <v>3776</v>
      </c>
      <c r="C3783">
        <v>13604</v>
      </c>
      <c r="D3783" t="s">
        <v>17547</v>
      </c>
      <c r="E3783" t="s">
        <v>238</v>
      </c>
      <c r="F3783" t="s">
        <v>68</v>
      </c>
      <c r="G3783" t="s">
        <v>17548</v>
      </c>
      <c r="H3783">
        <v>16.149999999999999</v>
      </c>
      <c r="I3783">
        <v>0</v>
      </c>
      <c r="J3783">
        <v>0</v>
      </c>
      <c r="K3783">
        <v>0</v>
      </c>
      <c r="L3783">
        <v>7</v>
      </c>
      <c r="O3783">
        <v>7</v>
      </c>
      <c r="P3783">
        <v>4</v>
      </c>
      <c r="Q3783">
        <v>0</v>
      </c>
      <c r="R3783">
        <v>27.15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H3783">
        <v>27.15</v>
      </c>
    </row>
    <row r="3784" spans="1:34" x14ac:dyDescent="0.3">
      <c r="A3784" s="4">
        <v>3998</v>
      </c>
      <c r="B3784" s="5">
        <v>3777</v>
      </c>
      <c r="C3784">
        <v>13004</v>
      </c>
      <c r="D3784" t="s">
        <v>17549</v>
      </c>
      <c r="E3784" t="s">
        <v>166</v>
      </c>
      <c r="F3784" t="s">
        <v>38</v>
      </c>
      <c r="G3784" t="s">
        <v>17550</v>
      </c>
      <c r="H3784">
        <v>20.13</v>
      </c>
      <c r="I3784">
        <v>0</v>
      </c>
      <c r="J3784">
        <v>0</v>
      </c>
      <c r="K3784">
        <v>0</v>
      </c>
      <c r="M3784">
        <v>5</v>
      </c>
      <c r="O3784">
        <v>5</v>
      </c>
      <c r="P3784">
        <v>0</v>
      </c>
      <c r="Q3784">
        <v>2</v>
      </c>
      <c r="R3784">
        <v>27.13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H3784">
        <v>27.13</v>
      </c>
    </row>
    <row r="3785" spans="1:34" x14ac:dyDescent="0.3">
      <c r="A3785" s="4">
        <v>3999</v>
      </c>
      <c r="B3785" s="5">
        <v>3778</v>
      </c>
      <c r="C3785">
        <v>6749</v>
      </c>
      <c r="D3785" t="s">
        <v>682</v>
      </c>
      <c r="E3785" t="s">
        <v>454</v>
      </c>
      <c r="F3785" t="s">
        <v>167</v>
      </c>
      <c r="G3785" t="s">
        <v>17551</v>
      </c>
      <c r="H3785">
        <v>18.13</v>
      </c>
      <c r="I3785">
        <v>0</v>
      </c>
      <c r="J3785">
        <v>0</v>
      </c>
      <c r="K3785">
        <v>0</v>
      </c>
      <c r="N3785">
        <v>3</v>
      </c>
      <c r="O3785">
        <v>3</v>
      </c>
      <c r="P3785">
        <v>4</v>
      </c>
      <c r="Q3785">
        <v>2</v>
      </c>
      <c r="R3785">
        <v>27.13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H3785">
        <v>27.13</v>
      </c>
    </row>
    <row r="3786" spans="1:34" x14ac:dyDescent="0.3">
      <c r="A3786" s="4">
        <v>4000</v>
      </c>
      <c r="B3786" s="5">
        <v>3779</v>
      </c>
      <c r="C3786">
        <v>368</v>
      </c>
      <c r="D3786" t="s">
        <v>17552</v>
      </c>
      <c r="E3786" t="s">
        <v>166</v>
      </c>
      <c r="F3786" t="s">
        <v>2595</v>
      </c>
      <c r="G3786" t="s">
        <v>17553</v>
      </c>
      <c r="H3786">
        <v>16.13</v>
      </c>
      <c r="I3786">
        <v>0</v>
      </c>
      <c r="J3786">
        <v>0</v>
      </c>
      <c r="K3786">
        <v>0</v>
      </c>
      <c r="N3786">
        <v>3</v>
      </c>
      <c r="O3786">
        <v>3</v>
      </c>
      <c r="P3786">
        <v>4</v>
      </c>
      <c r="Q3786">
        <v>0</v>
      </c>
      <c r="R3786">
        <v>23.13</v>
      </c>
      <c r="S3786">
        <v>4</v>
      </c>
      <c r="T3786">
        <v>4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4</v>
      </c>
      <c r="AB3786">
        <v>0</v>
      </c>
      <c r="AC3786">
        <v>0</v>
      </c>
      <c r="AH3786">
        <v>27.13</v>
      </c>
    </row>
    <row r="3787" spans="1:34" x14ac:dyDescent="0.3">
      <c r="A3787" s="4">
        <v>4001</v>
      </c>
      <c r="B3787" s="5">
        <v>3780</v>
      </c>
      <c r="C3787">
        <v>4578</v>
      </c>
      <c r="D3787" t="s">
        <v>4978</v>
      </c>
      <c r="E3787" t="s">
        <v>17554</v>
      </c>
      <c r="F3787" t="s">
        <v>117</v>
      </c>
      <c r="G3787" t="s">
        <v>17555</v>
      </c>
      <c r="H3787">
        <v>20.100000000000001</v>
      </c>
      <c r="I3787">
        <v>0</v>
      </c>
      <c r="J3787">
        <v>0</v>
      </c>
      <c r="K3787">
        <v>0</v>
      </c>
      <c r="N3787">
        <v>3</v>
      </c>
      <c r="O3787">
        <v>3</v>
      </c>
      <c r="P3787">
        <v>4</v>
      </c>
      <c r="Q3787">
        <v>0</v>
      </c>
      <c r="R3787">
        <v>27.1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H3787">
        <v>27.1</v>
      </c>
    </row>
    <row r="3788" spans="1:34" x14ac:dyDescent="0.3">
      <c r="A3788" s="4">
        <v>4002</v>
      </c>
      <c r="B3788" s="5">
        <v>3781</v>
      </c>
      <c r="C3788">
        <v>1949</v>
      </c>
      <c r="D3788" t="s">
        <v>7364</v>
      </c>
      <c r="E3788" t="s">
        <v>2150</v>
      </c>
      <c r="F3788" t="s">
        <v>259</v>
      </c>
      <c r="G3788" t="s">
        <v>17556</v>
      </c>
      <c r="H3788">
        <v>20.100000000000001</v>
      </c>
      <c r="I3788">
        <v>0</v>
      </c>
      <c r="J3788">
        <v>0</v>
      </c>
      <c r="K3788">
        <v>0</v>
      </c>
      <c r="L3788">
        <v>7</v>
      </c>
      <c r="O3788">
        <v>7</v>
      </c>
      <c r="P3788">
        <v>0</v>
      </c>
      <c r="Q3788">
        <v>0</v>
      </c>
      <c r="R3788">
        <v>27.1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H3788">
        <v>27.1</v>
      </c>
    </row>
    <row r="3789" spans="1:34" x14ac:dyDescent="0.3">
      <c r="A3789" s="4">
        <v>4003</v>
      </c>
      <c r="B3789" s="5">
        <v>3782</v>
      </c>
      <c r="C3789">
        <v>7992</v>
      </c>
      <c r="D3789" t="s">
        <v>496</v>
      </c>
      <c r="E3789" t="s">
        <v>22</v>
      </c>
      <c r="F3789" t="s">
        <v>68</v>
      </c>
      <c r="G3789" t="s">
        <v>17557</v>
      </c>
      <c r="H3789">
        <v>17.100000000000001</v>
      </c>
      <c r="I3789">
        <v>0</v>
      </c>
      <c r="J3789">
        <v>0</v>
      </c>
      <c r="K3789">
        <v>0</v>
      </c>
      <c r="L3789">
        <v>7</v>
      </c>
      <c r="N3789">
        <v>3</v>
      </c>
      <c r="O3789">
        <v>10</v>
      </c>
      <c r="P3789">
        <v>0</v>
      </c>
      <c r="Q3789">
        <v>0</v>
      </c>
      <c r="R3789">
        <v>27.1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H3789">
        <v>27.1</v>
      </c>
    </row>
    <row r="3790" spans="1:34" x14ac:dyDescent="0.3">
      <c r="A3790" s="4">
        <v>4004</v>
      </c>
      <c r="B3790" s="5">
        <v>3783</v>
      </c>
      <c r="C3790">
        <v>10844</v>
      </c>
      <c r="D3790" t="s">
        <v>17558</v>
      </c>
      <c r="E3790" t="s">
        <v>29</v>
      </c>
      <c r="F3790" t="s">
        <v>17559</v>
      </c>
      <c r="G3790" t="s">
        <v>17560</v>
      </c>
      <c r="H3790">
        <v>16.100000000000001</v>
      </c>
      <c r="I3790">
        <v>0</v>
      </c>
      <c r="J3790">
        <v>0</v>
      </c>
      <c r="K3790">
        <v>0</v>
      </c>
      <c r="L3790">
        <v>7</v>
      </c>
      <c r="O3790">
        <v>7</v>
      </c>
      <c r="P3790">
        <v>4</v>
      </c>
      <c r="Q3790">
        <v>0</v>
      </c>
      <c r="R3790">
        <v>27.1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H3790">
        <v>27.1</v>
      </c>
    </row>
    <row r="3791" spans="1:34" x14ac:dyDescent="0.3">
      <c r="A3791" s="4">
        <v>4005</v>
      </c>
      <c r="B3791" s="5">
        <v>3784</v>
      </c>
      <c r="C3791">
        <v>14811</v>
      </c>
      <c r="D3791" t="s">
        <v>1422</v>
      </c>
      <c r="E3791" t="s">
        <v>41</v>
      </c>
      <c r="F3791" t="s">
        <v>81</v>
      </c>
      <c r="G3791" t="s">
        <v>17561</v>
      </c>
      <c r="H3791">
        <v>19.079999999999998</v>
      </c>
      <c r="I3791">
        <v>0</v>
      </c>
      <c r="J3791">
        <v>0</v>
      </c>
      <c r="K3791">
        <v>0</v>
      </c>
      <c r="M3791">
        <v>5</v>
      </c>
      <c r="N3791">
        <v>3</v>
      </c>
      <c r="O3791">
        <v>8</v>
      </c>
      <c r="P3791">
        <v>0</v>
      </c>
      <c r="Q3791">
        <v>0</v>
      </c>
      <c r="R3791">
        <v>27.08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H3791">
        <v>27.08</v>
      </c>
    </row>
    <row r="3792" spans="1:34" x14ac:dyDescent="0.3">
      <c r="A3792" s="4">
        <v>4006</v>
      </c>
      <c r="B3792" s="5">
        <v>3785</v>
      </c>
      <c r="C3792">
        <v>9666</v>
      </c>
      <c r="D3792" t="s">
        <v>17562</v>
      </c>
      <c r="E3792" t="s">
        <v>173</v>
      </c>
      <c r="F3792" t="s">
        <v>2561</v>
      </c>
      <c r="G3792" t="s">
        <v>17563</v>
      </c>
      <c r="H3792">
        <v>18.05</v>
      </c>
      <c r="I3792">
        <v>0</v>
      </c>
      <c r="J3792">
        <v>0</v>
      </c>
      <c r="K3792">
        <v>0</v>
      </c>
      <c r="L3792">
        <v>7</v>
      </c>
      <c r="O3792">
        <v>7</v>
      </c>
      <c r="P3792">
        <v>0</v>
      </c>
      <c r="Q3792">
        <v>2</v>
      </c>
      <c r="R3792">
        <v>27.05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H3792">
        <v>27.05</v>
      </c>
    </row>
    <row r="3793" spans="1:34" x14ac:dyDescent="0.3">
      <c r="A3793" s="4">
        <v>4007</v>
      </c>
      <c r="B3793" s="5">
        <v>3786</v>
      </c>
      <c r="C3793">
        <v>7780</v>
      </c>
      <c r="D3793" t="s">
        <v>17564</v>
      </c>
      <c r="E3793" t="s">
        <v>16756</v>
      </c>
      <c r="F3793" t="s">
        <v>52</v>
      </c>
      <c r="G3793" t="s">
        <v>17565</v>
      </c>
      <c r="H3793">
        <v>14.05</v>
      </c>
      <c r="I3793">
        <v>0</v>
      </c>
      <c r="J3793">
        <v>0</v>
      </c>
      <c r="K3793">
        <v>0</v>
      </c>
      <c r="L3793">
        <v>7</v>
      </c>
      <c r="O3793">
        <v>7</v>
      </c>
      <c r="P3793">
        <v>4</v>
      </c>
      <c r="Q3793">
        <v>2</v>
      </c>
      <c r="R3793">
        <v>27.05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H3793">
        <v>27.05</v>
      </c>
    </row>
    <row r="3794" spans="1:34" x14ac:dyDescent="0.3">
      <c r="A3794" s="4">
        <v>4008</v>
      </c>
      <c r="B3794" s="5">
        <v>3787</v>
      </c>
      <c r="C3794">
        <v>2415</v>
      </c>
      <c r="D3794" t="s">
        <v>17566</v>
      </c>
      <c r="E3794" t="s">
        <v>143</v>
      </c>
      <c r="F3794" t="s">
        <v>1450</v>
      </c>
      <c r="G3794" t="s">
        <v>17567</v>
      </c>
      <c r="H3794">
        <v>20.03</v>
      </c>
      <c r="I3794">
        <v>0</v>
      </c>
      <c r="J3794">
        <v>0</v>
      </c>
      <c r="K3794">
        <v>0</v>
      </c>
      <c r="L3794">
        <v>7</v>
      </c>
      <c r="O3794">
        <v>7</v>
      </c>
      <c r="P3794">
        <v>0</v>
      </c>
      <c r="Q3794">
        <v>0</v>
      </c>
      <c r="R3794">
        <v>27.03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H3794">
        <v>27.03</v>
      </c>
    </row>
    <row r="3795" spans="1:34" x14ac:dyDescent="0.3">
      <c r="A3795" s="4">
        <v>4009</v>
      </c>
      <c r="B3795" s="5">
        <v>3788</v>
      </c>
      <c r="C3795">
        <v>14216</v>
      </c>
      <c r="D3795" t="s">
        <v>17568</v>
      </c>
      <c r="E3795" t="s">
        <v>88</v>
      </c>
      <c r="F3795" t="s">
        <v>124</v>
      </c>
      <c r="G3795" t="s">
        <v>17569</v>
      </c>
      <c r="H3795">
        <v>18.03</v>
      </c>
      <c r="I3795">
        <v>0</v>
      </c>
      <c r="J3795">
        <v>0</v>
      </c>
      <c r="K3795">
        <v>0</v>
      </c>
      <c r="N3795">
        <v>3</v>
      </c>
      <c r="O3795">
        <v>3</v>
      </c>
      <c r="P3795">
        <v>4</v>
      </c>
      <c r="Q3795">
        <v>2</v>
      </c>
      <c r="R3795">
        <v>27.03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H3795">
        <v>27.03</v>
      </c>
    </row>
    <row r="3796" spans="1:34" x14ac:dyDescent="0.3">
      <c r="A3796" s="4">
        <v>4010</v>
      </c>
      <c r="B3796" s="5">
        <v>3789</v>
      </c>
      <c r="C3796">
        <v>311</v>
      </c>
      <c r="D3796" t="s">
        <v>4679</v>
      </c>
      <c r="E3796" t="s">
        <v>9158</v>
      </c>
      <c r="F3796" t="s">
        <v>30</v>
      </c>
      <c r="G3796" t="s">
        <v>17570</v>
      </c>
      <c r="H3796">
        <v>18.03</v>
      </c>
      <c r="I3796">
        <v>0</v>
      </c>
      <c r="J3796">
        <v>0</v>
      </c>
      <c r="K3796">
        <v>0</v>
      </c>
      <c r="L3796">
        <v>7</v>
      </c>
      <c r="O3796">
        <v>7</v>
      </c>
      <c r="P3796">
        <v>0</v>
      </c>
      <c r="Q3796">
        <v>2</v>
      </c>
      <c r="R3796">
        <v>27.03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H3796">
        <v>27.03</v>
      </c>
    </row>
    <row r="3797" spans="1:34" x14ac:dyDescent="0.3">
      <c r="A3797" s="4">
        <v>4011</v>
      </c>
      <c r="B3797" s="5">
        <v>3790</v>
      </c>
      <c r="C3797">
        <v>5971</v>
      </c>
      <c r="D3797" t="s">
        <v>190</v>
      </c>
      <c r="E3797" t="s">
        <v>88</v>
      </c>
      <c r="F3797" t="s">
        <v>167</v>
      </c>
      <c r="G3797" t="s">
        <v>17571</v>
      </c>
      <c r="H3797">
        <v>20</v>
      </c>
      <c r="I3797">
        <v>0</v>
      </c>
      <c r="J3797">
        <v>0</v>
      </c>
      <c r="K3797">
        <v>0</v>
      </c>
      <c r="M3797">
        <v>5</v>
      </c>
      <c r="O3797">
        <v>5</v>
      </c>
      <c r="P3797">
        <v>0</v>
      </c>
      <c r="Q3797">
        <v>2</v>
      </c>
      <c r="R3797">
        <v>27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H3797">
        <v>27</v>
      </c>
    </row>
    <row r="3798" spans="1:34" x14ac:dyDescent="0.3">
      <c r="A3798" s="4">
        <v>4012</v>
      </c>
      <c r="B3798" s="5">
        <v>3791</v>
      </c>
      <c r="C3798">
        <v>13505</v>
      </c>
      <c r="D3798" t="s">
        <v>1707</v>
      </c>
      <c r="E3798" t="s">
        <v>1053</v>
      </c>
      <c r="F3798" t="s">
        <v>1854</v>
      </c>
      <c r="G3798" t="s">
        <v>17572</v>
      </c>
      <c r="H3798">
        <v>17</v>
      </c>
      <c r="I3798">
        <v>0</v>
      </c>
      <c r="J3798">
        <v>0</v>
      </c>
      <c r="K3798">
        <v>0</v>
      </c>
      <c r="N3798">
        <v>6</v>
      </c>
      <c r="O3798">
        <v>6</v>
      </c>
      <c r="P3798">
        <v>4</v>
      </c>
      <c r="Q3798">
        <v>0</v>
      </c>
      <c r="R3798">
        <v>27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 t="s">
        <v>130</v>
      </c>
      <c r="AH3798">
        <v>27</v>
      </c>
    </row>
    <row r="3799" spans="1:34" x14ac:dyDescent="0.3">
      <c r="A3799" s="4">
        <v>4013</v>
      </c>
      <c r="B3799" s="5">
        <v>3792</v>
      </c>
      <c r="C3799">
        <v>13385</v>
      </c>
      <c r="D3799" t="s">
        <v>17573</v>
      </c>
      <c r="E3799" t="s">
        <v>29</v>
      </c>
      <c r="F3799" t="s">
        <v>30</v>
      </c>
      <c r="H3799">
        <v>16</v>
      </c>
      <c r="I3799">
        <v>0</v>
      </c>
      <c r="J3799">
        <v>0</v>
      </c>
      <c r="K3799">
        <v>0</v>
      </c>
      <c r="L3799">
        <v>7</v>
      </c>
      <c r="O3799">
        <v>7</v>
      </c>
      <c r="P3799">
        <v>4</v>
      </c>
      <c r="Q3799">
        <v>0</v>
      </c>
      <c r="R3799">
        <v>27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H3799">
        <v>27</v>
      </c>
    </row>
    <row r="3800" spans="1:34" x14ac:dyDescent="0.3">
      <c r="A3800" s="4">
        <v>4014</v>
      </c>
      <c r="B3800" s="5">
        <v>3793</v>
      </c>
      <c r="C3800">
        <v>6362</v>
      </c>
      <c r="D3800" t="s">
        <v>17574</v>
      </c>
      <c r="E3800" t="s">
        <v>54</v>
      </c>
      <c r="F3800" t="s">
        <v>570</v>
      </c>
      <c r="G3800" t="s">
        <v>17575</v>
      </c>
      <c r="H3800">
        <v>16</v>
      </c>
      <c r="I3800">
        <v>0</v>
      </c>
      <c r="J3800">
        <v>0</v>
      </c>
      <c r="K3800">
        <v>0</v>
      </c>
      <c r="L3800">
        <v>7</v>
      </c>
      <c r="O3800">
        <v>7</v>
      </c>
      <c r="P3800">
        <v>4</v>
      </c>
      <c r="Q3800">
        <v>0</v>
      </c>
      <c r="R3800">
        <v>27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H3800">
        <v>27</v>
      </c>
    </row>
    <row r="3801" spans="1:34" x14ac:dyDescent="0.3">
      <c r="A3801" s="4">
        <v>4015</v>
      </c>
      <c r="B3801" s="5">
        <v>3794</v>
      </c>
      <c r="C3801">
        <v>5917</v>
      </c>
      <c r="D3801" t="s">
        <v>17576</v>
      </c>
      <c r="E3801" t="s">
        <v>208</v>
      </c>
      <c r="F3801" t="s">
        <v>17</v>
      </c>
      <c r="G3801" t="s">
        <v>17577</v>
      </c>
      <c r="H3801">
        <v>19.98</v>
      </c>
      <c r="I3801">
        <v>0</v>
      </c>
      <c r="J3801">
        <v>0</v>
      </c>
      <c r="K3801">
        <v>0</v>
      </c>
      <c r="N3801">
        <v>3</v>
      </c>
      <c r="O3801">
        <v>3</v>
      </c>
      <c r="P3801">
        <v>4</v>
      </c>
      <c r="Q3801">
        <v>0</v>
      </c>
      <c r="R3801">
        <v>26.98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H3801">
        <v>26.98</v>
      </c>
    </row>
    <row r="3802" spans="1:34" x14ac:dyDescent="0.3">
      <c r="A3802" s="4">
        <v>4016</v>
      </c>
      <c r="B3802" s="5">
        <v>3795</v>
      </c>
      <c r="C3802">
        <v>15224</v>
      </c>
      <c r="D3802" t="s">
        <v>2036</v>
      </c>
      <c r="E3802" t="s">
        <v>4695</v>
      </c>
      <c r="F3802" t="s">
        <v>17</v>
      </c>
      <c r="G3802" t="s">
        <v>17578</v>
      </c>
      <c r="H3802">
        <v>19.98</v>
      </c>
      <c r="I3802">
        <v>0</v>
      </c>
      <c r="J3802">
        <v>0</v>
      </c>
      <c r="K3802">
        <v>0</v>
      </c>
      <c r="L3802">
        <v>7</v>
      </c>
      <c r="O3802">
        <v>7</v>
      </c>
      <c r="P3802">
        <v>0</v>
      </c>
      <c r="Q3802">
        <v>0</v>
      </c>
      <c r="R3802">
        <v>26.98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H3802">
        <v>26.98</v>
      </c>
    </row>
    <row r="3803" spans="1:34" x14ac:dyDescent="0.3">
      <c r="A3803" s="4">
        <v>4017</v>
      </c>
      <c r="B3803" s="5">
        <v>3796</v>
      </c>
      <c r="C3803">
        <v>14413</v>
      </c>
      <c r="D3803" t="s">
        <v>1078</v>
      </c>
      <c r="E3803" t="s">
        <v>6996</v>
      </c>
      <c r="F3803" t="s">
        <v>892</v>
      </c>
      <c r="G3803" t="s">
        <v>17579</v>
      </c>
      <c r="H3803">
        <v>17.98</v>
      </c>
      <c r="I3803">
        <v>0</v>
      </c>
      <c r="J3803">
        <v>0</v>
      </c>
      <c r="K3803">
        <v>0</v>
      </c>
      <c r="N3803">
        <v>3</v>
      </c>
      <c r="O3803">
        <v>3</v>
      </c>
      <c r="P3803">
        <v>0</v>
      </c>
      <c r="Q3803">
        <v>0</v>
      </c>
      <c r="R3803">
        <v>20.98</v>
      </c>
      <c r="S3803">
        <v>6</v>
      </c>
      <c r="T3803">
        <v>6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6</v>
      </c>
      <c r="AB3803">
        <v>0</v>
      </c>
      <c r="AC3803">
        <v>0</v>
      </c>
      <c r="AH3803">
        <v>26.98</v>
      </c>
    </row>
    <row r="3804" spans="1:34" x14ac:dyDescent="0.3">
      <c r="A3804" s="4">
        <v>4018</v>
      </c>
      <c r="B3804" s="5">
        <v>3797</v>
      </c>
      <c r="C3804">
        <v>11105</v>
      </c>
      <c r="D3804" t="s">
        <v>16225</v>
      </c>
      <c r="E3804" t="s">
        <v>29</v>
      </c>
      <c r="F3804" t="s">
        <v>158</v>
      </c>
      <c r="G3804" t="s">
        <v>17580</v>
      </c>
      <c r="H3804">
        <v>17.95</v>
      </c>
      <c r="I3804">
        <v>0</v>
      </c>
      <c r="J3804">
        <v>0</v>
      </c>
      <c r="K3804">
        <v>0</v>
      </c>
      <c r="M3804">
        <v>5</v>
      </c>
      <c r="O3804">
        <v>5</v>
      </c>
      <c r="P3804">
        <v>4</v>
      </c>
      <c r="Q3804">
        <v>0</v>
      </c>
      <c r="R3804">
        <v>26.95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H3804">
        <v>26.95</v>
      </c>
    </row>
    <row r="3805" spans="1:34" x14ac:dyDescent="0.3">
      <c r="A3805" s="4">
        <v>4019</v>
      </c>
      <c r="B3805" s="5">
        <v>3798</v>
      </c>
      <c r="C3805">
        <v>2651</v>
      </c>
      <c r="D3805" t="s">
        <v>3200</v>
      </c>
      <c r="E3805" t="s">
        <v>33</v>
      </c>
      <c r="F3805" t="s">
        <v>158</v>
      </c>
      <c r="G3805" t="s">
        <v>17581</v>
      </c>
      <c r="H3805">
        <v>17.95</v>
      </c>
      <c r="I3805">
        <v>0</v>
      </c>
      <c r="J3805">
        <v>0</v>
      </c>
      <c r="K3805">
        <v>0</v>
      </c>
      <c r="N3805">
        <v>3</v>
      </c>
      <c r="O3805">
        <v>3</v>
      </c>
      <c r="P3805">
        <v>4</v>
      </c>
      <c r="Q3805">
        <v>2</v>
      </c>
      <c r="R3805">
        <v>26.95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H3805">
        <v>26.95</v>
      </c>
    </row>
    <row r="3806" spans="1:34" x14ac:dyDescent="0.3">
      <c r="A3806" s="4">
        <v>4020</v>
      </c>
      <c r="B3806" s="5">
        <v>3799</v>
      </c>
      <c r="C3806">
        <v>5755</v>
      </c>
      <c r="D3806" t="s">
        <v>3587</v>
      </c>
      <c r="E3806" t="s">
        <v>88</v>
      </c>
      <c r="F3806" t="s">
        <v>117</v>
      </c>
      <c r="G3806" t="s">
        <v>17582</v>
      </c>
      <c r="H3806">
        <v>17.93</v>
      </c>
      <c r="I3806">
        <v>0</v>
      </c>
      <c r="J3806">
        <v>0</v>
      </c>
      <c r="K3806">
        <v>0</v>
      </c>
      <c r="L3806">
        <v>7</v>
      </c>
      <c r="O3806">
        <v>7</v>
      </c>
      <c r="P3806">
        <v>0</v>
      </c>
      <c r="Q3806">
        <v>2</v>
      </c>
      <c r="R3806">
        <v>26.93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H3806">
        <v>26.93</v>
      </c>
    </row>
    <row r="3807" spans="1:34" x14ac:dyDescent="0.3">
      <c r="A3807" s="4">
        <v>4021</v>
      </c>
      <c r="B3807" s="5">
        <v>3800</v>
      </c>
      <c r="C3807">
        <v>6196</v>
      </c>
      <c r="D3807" t="s">
        <v>212</v>
      </c>
      <c r="E3807" t="s">
        <v>15186</v>
      </c>
      <c r="F3807" t="s">
        <v>124</v>
      </c>
      <c r="G3807" t="s">
        <v>17583</v>
      </c>
      <c r="H3807">
        <v>16.93</v>
      </c>
      <c r="I3807">
        <v>0</v>
      </c>
      <c r="J3807">
        <v>0</v>
      </c>
      <c r="K3807">
        <v>0</v>
      </c>
      <c r="N3807">
        <v>6</v>
      </c>
      <c r="O3807">
        <v>6</v>
      </c>
      <c r="P3807">
        <v>4</v>
      </c>
      <c r="Q3807">
        <v>0</v>
      </c>
      <c r="R3807">
        <v>26.93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H3807">
        <v>26.93</v>
      </c>
    </row>
    <row r="3808" spans="1:34" x14ac:dyDescent="0.3">
      <c r="A3808" s="4">
        <v>4022</v>
      </c>
      <c r="B3808" s="5">
        <v>3801</v>
      </c>
      <c r="C3808">
        <v>7830</v>
      </c>
      <c r="D3808" t="s">
        <v>4841</v>
      </c>
      <c r="E3808" t="s">
        <v>33</v>
      </c>
      <c r="F3808" t="s">
        <v>20</v>
      </c>
      <c r="G3808" t="s">
        <v>17584</v>
      </c>
      <c r="H3808">
        <v>19.899999999999999</v>
      </c>
      <c r="I3808">
        <v>0</v>
      </c>
      <c r="J3808">
        <v>0</v>
      </c>
      <c r="K3808">
        <v>0</v>
      </c>
      <c r="N3808">
        <v>3</v>
      </c>
      <c r="O3808">
        <v>3</v>
      </c>
      <c r="P3808">
        <v>4</v>
      </c>
      <c r="Q3808">
        <v>0</v>
      </c>
      <c r="R3808">
        <v>26.9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H3808">
        <v>26.9</v>
      </c>
    </row>
    <row r="3809" spans="1:34" x14ac:dyDescent="0.3">
      <c r="A3809" s="4">
        <v>4023</v>
      </c>
      <c r="B3809" s="5">
        <v>3802</v>
      </c>
      <c r="C3809">
        <v>11144</v>
      </c>
      <c r="D3809" t="s">
        <v>17585</v>
      </c>
      <c r="E3809" t="s">
        <v>170</v>
      </c>
      <c r="F3809" t="s">
        <v>38</v>
      </c>
      <c r="G3809" t="s">
        <v>17586</v>
      </c>
      <c r="H3809">
        <v>17.899999999999999</v>
      </c>
      <c r="I3809">
        <v>0</v>
      </c>
      <c r="J3809">
        <v>0</v>
      </c>
      <c r="K3809">
        <v>0</v>
      </c>
      <c r="L3809">
        <v>7</v>
      </c>
      <c r="O3809">
        <v>7</v>
      </c>
      <c r="P3809">
        <v>0</v>
      </c>
      <c r="Q3809">
        <v>2</v>
      </c>
      <c r="R3809">
        <v>26.9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H3809">
        <v>26.9</v>
      </c>
    </row>
    <row r="3810" spans="1:34" x14ac:dyDescent="0.3">
      <c r="A3810" s="4">
        <v>4024</v>
      </c>
      <c r="B3810" s="5">
        <v>3803</v>
      </c>
      <c r="C3810">
        <v>10928</v>
      </c>
      <c r="D3810" t="s">
        <v>17587</v>
      </c>
      <c r="E3810" t="s">
        <v>1189</v>
      </c>
      <c r="F3810" t="s">
        <v>20</v>
      </c>
      <c r="G3810" t="s">
        <v>17588</v>
      </c>
      <c r="H3810">
        <v>19.88</v>
      </c>
      <c r="I3810">
        <v>0</v>
      </c>
      <c r="J3810">
        <v>0</v>
      </c>
      <c r="K3810">
        <v>0</v>
      </c>
      <c r="L3810">
        <v>7</v>
      </c>
      <c r="O3810">
        <v>7</v>
      </c>
      <c r="P3810">
        <v>0</v>
      </c>
      <c r="Q3810">
        <v>0</v>
      </c>
      <c r="R3810">
        <v>26.88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H3810">
        <v>26.88</v>
      </c>
    </row>
    <row r="3811" spans="1:34" x14ac:dyDescent="0.3">
      <c r="A3811" s="4">
        <v>4025</v>
      </c>
      <c r="B3811" s="5">
        <v>3804</v>
      </c>
      <c r="C3811">
        <v>12880</v>
      </c>
      <c r="D3811" t="s">
        <v>17589</v>
      </c>
      <c r="E3811" t="s">
        <v>4956</v>
      </c>
      <c r="F3811" t="s">
        <v>17</v>
      </c>
      <c r="G3811" t="s">
        <v>17590</v>
      </c>
      <c r="H3811">
        <v>15.88</v>
      </c>
      <c r="I3811">
        <v>0</v>
      </c>
      <c r="J3811">
        <v>0</v>
      </c>
      <c r="K3811">
        <v>0</v>
      </c>
      <c r="L3811">
        <v>7</v>
      </c>
      <c r="O3811">
        <v>7</v>
      </c>
      <c r="P3811">
        <v>4</v>
      </c>
      <c r="Q3811">
        <v>0</v>
      </c>
      <c r="R3811">
        <v>26.88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H3811">
        <v>26.88</v>
      </c>
    </row>
    <row r="3812" spans="1:34" x14ac:dyDescent="0.3">
      <c r="A3812" s="4">
        <v>4026</v>
      </c>
      <c r="B3812" s="5">
        <v>3805</v>
      </c>
      <c r="C3812">
        <v>15522</v>
      </c>
      <c r="D3812" t="s">
        <v>17591</v>
      </c>
      <c r="E3812" t="s">
        <v>17592</v>
      </c>
      <c r="F3812" t="s">
        <v>167</v>
      </c>
      <c r="G3812" t="s">
        <v>17593</v>
      </c>
      <c r="H3812">
        <v>19.829999999999998</v>
      </c>
      <c r="I3812">
        <v>0</v>
      </c>
      <c r="J3812">
        <v>0</v>
      </c>
      <c r="K3812">
        <v>0</v>
      </c>
      <c r="L3812">
        <v>7</v>
      </c>
      <c r="O3812">
        <v>7</v>
      </c>
      <c r="P3812">
        <v>0</v>
      </c>
      <c r="Q3812">
        <v>0</v>
      </c>
      <c r="R3812">
        <v>26.83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H3812">
        <v>26.83</v>
      </c>
    </row>
    <row r="3813" spans="1:34" x14ac:dyDescent="0.3">
      <c r="A3813" s="4">
        <v>4027</v>
      </c>
      <c r="B3813" s="5">
        <v>3806</v>
      </c>
      <c r="C3813">
        <v>290</v>
      </c>
      <c r="D3813" t="s">
        <v>15648</v>
      </c>
      <c r="E3813" t="s">
        <v>967</v>
      </c>
      <c r="F3813" t="s">
        <v>259</v>
      </c>
      <c r="G3813" t="s">
        <v>17594</v>
      </c>
      <c r="H3813">
        <v>19.829999999999998</v>
      </c>
      <c r="I3813">
        <v>0</v>
      </c>
      <c r="J3813">
        <v>0</v>
      </c>
      <c r="K3813">
        <v>0</v>
      </c>
      <c r="N3813">
        <v>3</v>
      </c>
      <c r="O3813">
        <v>3</v>
      </c>
      <c r="P3813">
        <v>4</v>
      </c>
      <c r="Q3813">
        <v>0</v>
      </c>
      <c r="R3813">
        <v>26.83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H3813">
        <v>26.83</v>
      </c>
    </row>
    <row r="3814" spans="1:34" x14ac:dyDescent="0.3">
      <c r="A3814" s="4">
        <v>4028</v>
      </c>
      <c r="B3814" s="5">
        <v>3807</v>
      </c>
      <c r="C3814">
        <v>5954</v>
      </c>
      <c r="D3814" t="s">
        <v>17595</v>
      </c>
      <c r="E3814" t="s">
        <v>143</v>
      </c>
      <c r="F3814" t="s">
        <v>158</v>
      </c>
      <c r="G3814" t="s">
        <v>17596</v>
      </c>
      <c r="H3814">
        <v>17.8</v>
      </c>
      <c r="I3814">
        <v>0</v>
      </c>
      <c r="J3814">
        <v>0</v>
      </c>
      <c r="K3814">
        <v>0</v>
      </c>
      <c r="L3814">
        <v>7</v>
      </c>
      <c r="O3814">
        <v>7</v>
      </c>
      <c r="P3814">
        <v>0</v>
      </c>
      <c r="Q3814">
        <v>2</v>
      </c>
      <c r="R3814">
        <v>26.8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H3814">
        <v>26.8</v>
      </c>
    </row>
    <row r="3815" spans="1:34" x14ac:dyDescent="0.3">
      <c r="A3815" s="4">
        <v>4029</v>
      </c>
      <c r="B3815" s="5">
        <v>3808</v>
      </c>
      <c r="C3815">
        <v>11563</v>
      </c>
      <c r="D3815" t="s">
        <v>17597</v>
      </c>
      <c r="E3815" t="s">
        <v>10121</v>
      </c>
      <c r="F3815" t="s">
        <v>158</v>
      </c>
      <c r="G3815" t="s">
        <v>17598</v>
      </c>
      <c r="H3815">
        <v>19.78</v>
      </c>
      <c r="I3815">
        <v>0</v>
      </c>
      <c r="J3815">
        <v>0</v>
      </c>
      <c r="K3815">
        <v>0</v>
      </c>
      <c r="N3815">
        <v>3</v>
      </c>
      <c r="O3815">
        <v>3</v>
      </c>
      <c r="P3815">
        <v>4</v>
      </c>
      <c r="Q3815">
        <v>0</v>
      </c>
      <c r="R3815">
        <v>26.78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H3815">
        <v>26.78</v>
      </c>
    </row>
    <row r="3816" spans="1:34" x14ac:dyDescent="0.3">
      <c r="A3816" s="4">
        <v>4030</v>
      </c>
      <c r="B3816" s="5">
        <v>3809</v>
      </c>
      <c r="C3816">
        <v>9738</v>
      </c>
      <c r="D3816" t="s">
        <v>17599</v>
      </c>
      <c r="E3816" t="s">
        <v>471</v>
      </c>
      <c r="F3816" t="s">
        <v>81</v>
      </c>
      <c r="G3816" t="s">
        <v>17600</v>
      </c>
      <c r="H3816">
        <v>17.78</v>
      </c>
      <c r="I3816">
        <v>0</v>
      </c>
      <c r="J3816">
        <v>0</v>
      </c>
      <c r="K3816">
        <v>0</v>
      </c>
      <c r="N3816">
        <v>3</v>
      </c>
      <c r="O3816">
        <v>3</v>
      </c>
      <c r="P3816">
        <v>4</v>
      </c>
      <c r="Q3816">
        <v>2</v>
      </c>
      <c r="R3816">
        <v>26.78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H3816">
        <v>26.78</v>
      </c>
    </row>
    <row r="3817" spans="1:34" x14ac:dyDescent="0.3">
      <c r="A3817" s="4">
        <v>4031</v>
      </c>
      <c r="B3817" s="5">
        <v>3810</v>
      </c>
      <c r="C3817">
        <v>10370</v>
      </c>
      <c r="D3817" t="s">
        <v>4803</v>
      </c>
      <c r="E3817" t="s">
        <v>88</v>
      </c>
      <c r="F3817" t="s">
        <v>20</v>
      </c>
      <c r="G3817" t="s">
        <v>17601</v>
      </c>
      <c r="H3817">
        <v>17.78</v>
      </c>
      <c r="I3817">
        <v>0</v>
      </c>
      <c r="J3817">
        <v>0</v>
      </c>
      <c r="K3817">
        <v>0</v>
      </c>
      <c r="N3817">
        <v>3</v>
      </c>
      <c r="O3817">
        <v>3</v>
      </c>
      <c r="P3817">
        <v>4</v>
      </c>
      <c r="Q3817">
        <v>2</v>
      </c>
      <c r="R3817">
        <v>26.78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 t="s">
        <v>130</v>
      </c>
      <c r="AH3817">
        <v>26.78</v>
      </c>
    </row>
    <row r="3818" spans="1:34" x14ac:dyDescent="0.3">
      <c r="A3818" s="4">
        <v>4032</v>
      </c>
      <c r="B3818" s="5">
        <v>3811</v>
      </c>
      <c r="C3818">
        <v>592</v>
      </c>
      <c r="D3818" t="s">
        <v>3819</v>
      </c>
      <c r="E3818" t="s">
        <v>29</v>
      </c>
      <c r="F3818" t="s">
        <v>30</v>
      </c>
      <c r="G3818" t="s">
        <v>17602</v>
      </c>
      <c r="H3818">
        <v>17.78</v>
      </c>
      <c r="I3818">
        <v>0</v>
      </c>
      <c r="J3818">
        <v>0</v>
      </c>
      <c r="K3818">
        <v>0</v>
      </c>
      <c r="N3818">
        <v>3</v>
      </c>
      <c r="O3818">
        <v>3</v>
      </c>
      <c r="P3818">
        <v>4</v>
      </c>
      <c r="Q3818">
        <v>2</v>
      </c>
      <c r="R3818">
        <v>26.78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H3818">
        <v>26.78</v>
      </c>
    </row>
    <row r="3819" spans="1:34" x14ac:dyDescent="0.3">
      <c r="A3819" s="4">
        <v>4033</v>
      </c>
      <c r="B3819" s="5">
        <v>3812</v>
      </c>
      <c r="C3819">
        <v>9462</v>
      </c>
      <c r="D3819" t="s">
        <v>17603</v>
      </c>
      <c r="E3819" t="s">
        <v>147</v>
      </c>
      <c r="F3819" t="s">
        <v>17604</v>
      </c>
      <c r="G3819" t="s">
        <v>17605</v>
      </c>
      <c r="H3819">
        <v>22.75</v>
      </c>
      <c r="I3819">
        <v>0</v>
      </c>
      <c r="J3819">
        <v>0</v>
      </c>
      <c r="K3819">
        <v>0</v>
      </c>
      <c r="O3819">
        <v>0</v>
      </c>
      <c r="P3819">
        <v>4</v>
      </c>
      <c r="Q3819">
        <v>0</v>
      </c>
      <c r="R3819">
        <v>26.75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H3819">
        <v>26.75</v>
      </c>
    </row>
    <row r="3820" spans="1:34" x14ac:dyDescent="0.3">
      <c r="A3820" s="4">
        <v>4034</v>
      </c>
      <c r="B3820" s="5">
        <v>3813</v>
      </c>
      <c r="C3820">
        <v>13578</v>
      </c>
      <c r="D3820" t="s">
        <v>10241</v>
      </c>
      <c r="E3820" t="s">
        <v>7929</v>
      </c>
      <c r="F3820" t="s">
        <v>343</v>
      </c>
      <c r="G3820" t="s">
        <v>17606</v>
      </c>
      <c r="H3820">
        <v>17.75</v>
      </c>
      <c r="I3820">
        <v>0</v>
      </c>
      <c r="J3820">
        <v>0</v>
      </c>
      <c r="K3820">
        <v>0</v>
      </c>
      <c r="L3820">
        <v>7</v>
      </c>
      <c r="O3820">
        <v>7</v>
      </c>
      <c r="P3820">
        <v>0</v>
      </c>
      <c r="Q3820">
        <v>2</v>
      </c>
      <c r="R3820">
        <v>26.75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H3820">
        <v>26.75</v>
      </c>
    </row>
    <row r="3821" spans="1:34" x14ac:dyDescent="0.3">
      <c r="A3821" s="4">
        <v>4035</v>
      </c>
      <c r="B3821" s="5">
        <v>3814</v>
      </c>
      <c r="C3821">
        <v>9598</v>
      </c>
      <c r="D3821" t="s">
        <v>1240</v>
      </c>
      <c r="E3821" t="s">
        <v>188</v>
      </c>
      <c r="F3821" t="s">
        <v>17</v>
      </c>
      <c r="G3821" t="s">
        <v>17607</v>
      </c>
      <c r="H3821">
        <v>17.75</v>
      </c>
      <c r="I3821">
        <v>0</v>
      </c>
      <c r="J3821">
        <v>0</v>
      </c>
      <c r="K3821">
        <v>0</v>
      </c>
      <c r="L3821">
        <v>7</v>
      </c>
      <c r="O3821">
        <v>7</v>
      </c>
      <c r="P3821">
        <v>0</v>
      </c>
      <c r="Q3821">
        <v>2</v>
      </c>
      <c r="R3821">
        <v>26.75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H3821">
        <v>26.75</v>
      </c>
    </row>
    <row r="3822" spans="1:34" x14ac:dyDescent="0.3">
      <c r="A3822" s="4">
        <v>4036</v>
      </c>
      <c r="B3822" s="5">
        <v>3815</v>
      </c>
      <c r="C3822">
        <v>5199</v>
      </c>
      <c r="D3822" t="s">
        <v>17608</v>
      </c>
      <c r="E3822" t="s">
        <v>136</v>
      </c>
      <c r="F3822" t="s">
        <v>117</v>
      </c>
      <c r="G3822" t="s">
        <v>17609</v>
      </c>
      <c r="H3822">
        <v>18.73</v>
      </c>
      <c r="I3822">
        <v>0</v>
      </c>
      <c r="J3822">
        <v>0</v>
      </c>
      <c r="K3822">
        <v>0</v>
      </c>
      <c r="M3822">
        <v>5</v>
      </c>
      <c r="N3822">
        <v>3</v>
      </c>
      <c r="O3822">
        <v>8</v>
      </c>
      <c r="P3822">
        <v>0</v>
      </c>
      <c r="Q3822">
        <v>0</v>
      </c>
      <c r="R3822">
        <v>26.73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H3822">
        <v>26.73</v>
      </c>
    </row>
    <row r="3823" spans="1:34" x14ac:dyDescent="0.3">
      <c r="A3823" s="4">
        <v>4037</v>
      </c>
      <c r="B3823" s="5">
        <v>3816</v>
      </c>
      <c r="C3823">
        <v>15535</v>
      </c>
      <c r="D3823" t="s">
        <v>8684</v>
      </c>
      <c r="E3823" t="s">
        <v>22</v>
      </c>
      <c r="F3823" t="s">
        <v>1076</v>
      </c>
      <c r="G3823" t="s">
        <v>17610</v>
      </c>
      <c r="H3823">
        <v>17.73</v>
      </c>
      <c r="I3823">
        <v>0</v>
      </c>
      <c r="J3823">
        <v>0</v>
      </c>
      <c r="K3823">
        <v>0</v>
      </c>
      <c r="M3823">
        <v>5</v>
      </c>
      <c r="O3823">
        <v>5</v>
      </c>
      <c r="P3823">
        <v>4</v>
      </c>
      <c r="Q3823">
        <v>0</v>
      </c>
      <c r="R3823">
        <v>26.73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H3823">
        <v>26.73</v>
      </c>
    </row>
    <row r="3824" spans="1:34" x14ac:dyDescent="0.3">
      <c r="A3824" s="4">
        <v>4038</v>
      </c>
      <c r="B3824" s="5">
        <v>3817</v>
      </c>
      <c r="C3824">
        <v>8138</v>
      </c>
      <c r="D3824" t="s">
        <v>4332</v>
      </c>
      <c r="E3824" t="s">
        <v>132</v>
      </c>
      <c r="F3824" t="s">
        <v>30</v>
      </c>
      <c r="G3824" t="s">
        <v>17611</v>
      </c>
      <c r="H3824">
        <v>17.73</v>
      </c>
      <c r="I3824">
        <v>0</v>
      </c>
      <c r="J3824">
        <v>0</v>
      </c>
      <c r="K3824">
        <v>0</v>
      </c>
      <c r="N3824">
        <v>3</v>
      </c>
      <c r="O3824">
        <v>3</v>
      </c>
      <c r="P3824">
        <v>4</v>
      </c>
      <c r="Q3824">
        <v>2</v>
      </c>
      <c r="R3824">
        <v>26.73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H3824">
        <v>26.73</v>
      </c>
    </row>
    <row r="3825" spans="1:34" x14ac:dyDescent="0.3">
      <c r="A3825" s="4">
        <v>4039</v>
      </c>
      <c r="B3825" s="5">
        <v>3818</v>
      </c>
      <c r="C3825">
        <v>960</v>
      </c>
      <c r="D3825" t="s">
        <v>17612</v>
      </c>
      <c r="E3825" t="s">
        <v>38</v>
      </c>
      <c r="F3825" t="s">
        <v>17</v>
      </c>
      <c r="G3825" t="s">
        <v>17613</v>
      </c>
      <c r="H3825">
        <v>15.73</v>
      </c>
      <c r="I3825">
        <v>0</v>
      </c>
      <c r="J3825">
        <v>0</v>
      </c>
      <c r="K3825">
        <v>0</v>
      </c>
      <c r="L3825">
        <v>7</v>
      </c>
      <c r="O3825">
        <v>7</v>
      </c>
      <c r="P3825">
        <v>4</v>
      </c>
      <c r="Q3825">
        <v>0</v>
      </c>
      <c r="R3825">
        <v>26.73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H3825">
        <v>26.73</v>
      </c>
    </row>
    <row r="3826" spans="1:34" x14ac:dyDescent="0.3">
      <c r="A3826" s="4">
        <v>4040</v>
      </c>
      <c r="B3826" s="5">
        <v>3819</v>
      </c>
      <c r="C3826">
        <v>3911</v>
      </c>
      <c r="D3826" t="s">
        <v>4603</v>
      </c>
      <c r="E3826" t="s">
        <v>17614</v>
      </c>
      <c r="F3826" t="s">
        <v>20</v>
      </c>
      <c r="G3826" t="s">
        <v>17615</v>
      </c>
      <c r="H3826">
        <v>19.7</v>
      </c>
      <c r="I3826">
        <v>0</v>
      </c>
      <c r="J3826">
        <v>0</v>
      </c>
      <c r="K3826">
        <v>0</v>
      </c>
      <c r="L3826">
        <v>7</v>
      </c>
      <c r="O3826">
        <v>7</v>
      </c>
      <c r="P3826">
        <v>0</v>
      </c>
      <c r="Q3826">
        <v>0</v>
      </c>
      <c r="R3826">
        <v>26.7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H3826">
        <v>26.7</v>
      </c>
    </row>
    <row r="3827" spans="1:34" x14ac:dyDescent="0.3">
      <c r="A3827" s="4">
        <v>4041</v>
      </c>
      <c r="B3827" s="5">
        <v>3820</v>
      </c>
      <c r="C3827">
        <v>3586</v>
      </c>
      <c r="D3827" t="s">
        <v>10917</v>
      </c>
      <c r="E3827" t="s">
        <v>7012</v>
      </c>
      <c r="F3827" t="s">
        <v>17</v>
      </c>
      <c r="G3827" t="s">
        <v>17616</v>
      </c>
      <c r="H3827">
        <v>19.7</v>
      </c>
      <c r="I3827">
        <v>0</v>
      </c>
      <c r="J3827">
        <v>0</v>
      </c>
      <c r="K3827">
        <v>0</v>
      </c>
      <c r="L3827">
        <v>7</v>
      </c>
      <c r="O3827">
        <v>7</v>
      </c>
      <c r="P3827">
        <v>0</v>
      </c>
      <c r="Q3827">
        <v>0</v>
      </c>
      <c r="R3827">
        <v>26.7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H3827">
        <v>26.7</v>
      </c>
    </row>
    <row r="3828" spans="1:34" x14ac:dyDescent="0.3">
      <c r="A3828" s="4">
        <v>4042</v>
      </c>
      <c r="B3828" s="5">
        <v>3821</v>
      </c>
      <c r="C3828">
        <v>12563</v>
      </c>
      <c r="D3828" t="s">
        <v>2335</v>
      </c>
      <c r="E3828" t="s">
        <v>1189</v>
      </c>
      <c r="F3828" t="s">
        <v>38</v>
      </c>
      <c r="G3828" t="s">
        <v>17617</v>
      </c>
      <c r="H3828">
        <v>17.7</v>
      </c>
      <c r="I3828">
        <v>0</v>
      </c>
      <c r="J3828">
        <v>0</v>
      </c>
      <c r="K3828">
        <v>0</v>
      </c>
      <c r="N3828">
        <v>3</v>
      </c>
      <c r="O3828">
        <v>3</v>
      </c>
      <c r="P3828">
        <v>4</v>
      </c>
      <c r="Q3828">
        <v>2</v>
      </c>
      <c r="R3828">
        <v>26.7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H3828">
        <v>26.7</v>
      </c>
    </row>
    <row r="3829" spans="1:34" x14ac:dyDescent="0.3">
      <c r="A3829" s="4">
        <v>4043</v>
      </c>
      <c r="B3829" s="5">
        <v>3822</v>
      </c>
      <c r="C3829">
        <v>13751</v>
      </c>
      <c r="D3829" t="s">
        <v>17618</v>
      </c>
      <c r="E3829" t="s">
        <v>38</v>
      </c>
      <c r="F3829" t="s">
        <v>62</v>
      </c>
      <c r="G3829" t="s">
        <v>17619</v>
      </c>
      <c r="H3829">
        <v>17.7</v>
      </c>
      <c r="I3829">
        <v>0</v>
      </c>
      <c r="J3829">
        <v>0</v>
      </c>
      <c r="K3829">
        <v>0</v>
      </c>
      <c r="M3829">
        <v>5</v>
      </c>
      <c r="O3829">
        <v>5</v>
      </c>
      <c r="P3829">
        <v>4</v>
      </c>
      <c r="Q3829">
        <v>0</v>
      </c>
      <c r="R3829">
        <v>26.7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H3829">
        <v>26.7</v>
      </c>
    </row>
    <row r="3830" spans="1:34" x14ac:dyDescent="0.3">
      <c r="A3830" s="4">
        <v>4044</v>
      </c>
      <c r="B3830" s="5">
        <v>3823</v>
      </c>
      <c r="C3830">
        <v>14510</v>
      </c>
      <c r="D3830" t="s">
        <v>4693</v>
      </c>
      <c r="E3830" t="s">
        <v>161</v>
      </c>
      <c r="F3830" t="s">
        <v>190</v>
      </c>
      <c r="G3830" t="s">
        <v>17620</v>
      </c>
      <c r="H3830">
        <v>17.68</v>
      </c>
      <c r="I3830">
        <v>0</v>
      </c>
      <c r="J3830">
        <v>0</v>
      </c>
      <c r="K3830">
        <v>0</v>
      </c>
      <c r="O3830">
        <v>0</v>
      </c>
      <c r="P3830">
        <v>0</v>
      </c>
      <c r="Q3830">
        <v>0</v>
      </c>
      <c r="R3830">
        <v>17.68</v>
      </c>
      <c r="S3830">
        <v>6</v>
      </c>
      <c r="T3830">
        <v>6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6</v>
      </c>
      <c r="AB3830">
        <v>3</v>
      </c>
      <c r="AC3830">
        <v>0</v>
      </c>
      <c r="AH3830">
        <v>26.68</v>
      </c>
    </row>
    <row r="3831" spans="1:34" x14ac:dyDescent="0.3">
      <c r="A3831" s="4">
        <v>4045</v>
      </c>
      <c r="B3831" s="5">
        <v>3824</v>
      </c>
      <c r="C3831">
        <v>4690</v>
      </c>
      <c r="D3831" t="s">
        <v>17621</v>
      </c>
      <c r="E3831" t="s">
        <v>255</v>
      </c>
      <c r="F3831" t="s">
        <v>10805</v>
      </c>
      <c r="G3831" t="s">
        <v>17622</v>
      </c>
      <c r="H3831">
        <v>19.68</v>
      </c>
      <c r="I3831">
        <v>0</v>
      </c>
      <c r="J3831">
        <v>0</v>
      </c>
      <c r="K3831">
        <v>0</v>
      </c>
      <c r="L3831">
        <v>7</v>
      </c>
      <c r="O3831">
        <v>7</v>
      </c>
      <c r="P3831">
        <v>0</v>
      </c>
      <c r="Q3831">
        <v>0</v>
      </c>
      <c r="R3831">
        <v>26.68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H3831">
        <v>26.68</v>
      </c>
    </row>
    <row r="3832" spans="1:34" x14ac:dyDescent="0.3">
      <c r="A3832" s="4">
        <v>4046</v>
      </c>
      <c r="B3832" s="5">
        <v>3825</v>
      </c>
      <c r="C3832">
        <v>13613</v>
      </c>
      <c r="D3832" t="s">
        <v>17623</v>
      </c>
      <c r="E3832" t="s">
        <v>115</v>
      </c>
      <c r="F3832" t="s">
        <v>17</v>
      </c>
      <c r="G3832">
        <v>79500</v>
      </c>
      <c r="H3832">
        <v>19.68</v>
      </c>
      <c r="I3832">
        <v>0</v>
      </c>
      <c r="J3832">
        <v>0</v>
      </c>
      <c r="K3832">
        <v>0</v>
      </c>
      <c r="L3832">
        <v>7</v>
      </c>
      <c r="O3832">
        <v>7</v>
      </c>
      <c r="P3832">
        <v>0</v>
      </c>
      <c r="Q3832">
        <v>0</v>
      </c>
      <c r="R3832">
        <v>26.68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H3832">
        <v>26.68</v>
      </c>
    </row>
    <row r="3833" spans="1:34" x14ac:dyDescent="0.3">
      <c r="A3833" s="4">
        <v>4047</v>
      </c>
      <c r="B3833" s="5">
        <v>3826</v>
      </c>
      <c r="C3833">
        <v>15635</v>
      </c>
      <c r="D3833" t="s">
        <v>717</v>
      </c>
      <c r="E3833" t="s">
        <v>789</v>
      </c>
      <c r="F3833" t="s">
        <v>30</v>
      </c>
      <c r="G3833" t="s">
        <v>17624</v>
      </c>
      <c r="H3833">
        <v>19.63</v>
      </c>
      <c r="I3833">
        <v>0</v>
      </c>
      <c r="J3833">
        <v>0</v>
      </c>
      <c r="K3833">
        <v>0</v>
      </c>
      <c r="L3833">
        <v>7</v>
      </c>
      <c r="O3833">
        <v>7</v>
      </c>
      <c r="P3833">
        <v>0</v>
      </c>
      <c r="Q3833">
        <v>0</v>
      </c>
      <c r="R3833">
        <v>26.63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H3833">
        <v>26.63</v>
      </c>
    </row>
    <row r="3834" spans="1:34" x14ac:dyDescent="0.3">
      <c r="A3834" s="4">
        <v>4048</v>
      </c>
      <c r="B3834" s="5">
        <v>3827</v>
      </c>
      <c r="C3834">
        <v>6487</v>
      </c>
      <c r="D3834" t="s">
        <v>11393</v>
      </c>
      <c r="E3834" t="s">
        <v>178</v>
      </c>
      <c r="F3834" t="s">
        <v>238</v>
      </c>
      <c r="G3834" t="s">
        <v>17625</v>
      </c>
      <c r="H3834">
        <v>17.600000000000001</v>
      </c>
      <c r="I3834">
        <v>0</v>
      </c>
      <c r="J3834">
        <v>0</v>
      </c>
      <c r="K3834">
        <v>0</v>
      </c>
      <c r="M3834">
        <v>5</v>
      </c>
      <c r="O3834">
        <v>5</v>
      </c>
      <c r="P3834">
        <v>4</v>
      </c>
      <c r="Q3834">
        <v>0</v>
      </c>
      <c r="R3834">
        <v>26.6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H3834">
        <v>26.6</v>
      </c>
    </row>
    <row r="3835" spans="1:34" x14ac:dyDescent="0.3">
      <c r="A3835" s="4">
        <v>4049</v>
      </c>
      <c r="B3835" s="5">
        <v>3828</v>
      </c>
      <c r="C3835">
        <v>7415</v>
      </c>
      <c r="D3835" t="s">
        <v>8800</v>
      </c>
      <c r="E3835" t="s">
        <v>188</v>
      </c>
      <c r="F3835" t="s">
        <v>68</v>
      </c>
      <c r="G3835" t="s">
        <v>17626</v>
      </c>
      <c r="H3835">
        <v>17.600000000000001</v>
      </c>
      <c r="I3835">
        <v>0</v>
      </c>
      <c r="J3835">
        <v>0</v>
      </c>
      <c r="K3835">
        <v>0</v>
      </c>
      <c r="N3835">
        <v>3</v>
      </c>
      <c r="O3835">
        <v>3</v>
      </c>
      <c r="P3835">
        <v>4</v>
      </c>
      <c r="Q3835">
        <v>2</v>
      </c>
      <c r="R3835">
        <v>26.6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H3835">
        <v>26.6</v>
      </c>
    </row>
    <row r="3836" spans="1:34" x14ac:dyDescent="0.3">
      <c r="A3836" s="4">
        <v>4050</v>
      </c>
      <c r="B3836" s="5">
        <v>3829</v>
      </c>
      <c r="C3836">
        <v>11659</v>
      </c>
      <c r="D3836" t="s">
        <v>93</v>
      </c>
      <c r="E3836" t="s">
        <v>161</v>
      </c>
      <c r="F3836" t="s">
        <v>30</v>
      </c>
      <c r="G3836" t="s">
        <v>17627</v>
      </c>
      <c r="H3836">
        <v>16.579999999999998</v>
      </c>
      <c r="I3836">
        <v>0</v>
      </c>
      <c r="J3836">
        <v>0</v>
      </c>
      <c r="K3836">
        <v>0</v>
      </c>
      <c r="N3836">
        <v>3</v>
      </c>
      <c r="O3836">
        <v>3</v>
      </c>
      <c r="P3836">
        <v>4</v>
      </c>
      <c r="Q3836">
        <v>0</v>
      </c>
      <c r="R3836">
        <v>23.58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3</v>
      </c>
      <c r="AC3836">
        <v>0</v>
      </c>
      <c r="AH3836">
        <v>26.58</v>
      </c>
    </row>
    <row r="3837" spans="1:34" x14ac:dyDescent="0.3">
      <c r="A3837" s="4">
        <v>4051</v>
      </c>
      <c r="B3837" s="5">
        <v>3830</v>
      </c>
      <c r="C3837">
        <v>12538</v>
      </c>
      <c r="D3837" t="s">
        <v>17628</v>
      </c>
      <c r="E3837" t="s">
        <v>17629</v>
      </c>
      <c r="F3837" t="s">
        <v>6192</v>
      </c>
      <c r="G3837" t="s">
        <v>17630</v>
      </c>
      <c r="H3837">
        <v>18.579999999999998</v>
      </c>
      <c r="I3837">
        <v>0</v>
      </c>
      <c r="J3837">
        <v>0</v>
      </c>
      <c r="K3837">
        <v>0</v>
      </c>
      <c r="M3837">
        <v>5</v>
      </c>
      <c r="N3837">
        <v>3</v>
      </c>
      <c r="O3837">
        <v>8</v>
      </c>
      <c r="P3837">
        <v>0</v>
      </c>
      <c r="Q3837">
        <v>0</v>
      </c>
      <c r="R3837">
        <v>26.58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H3837">
        <v>26.58</v>
      </c>
    </row>
    <row r="3838" spans="1:34" x14ac:dyDescent="0.3">
      <c r="A3838" s="4">
        <v>4052</v>
      </c>
      <c r="B3838" s="5">
        <v>3831</v>
      </c>
      <c r="C3838">
        <v>4328</v>
      </c>
      <c r="D3838" t="s">
        <v>74</v>
      </c>
      <c r="E3838" t="s">
        <v>29</v>
      </c>
      <c r="F3838" t="s">
        <v>158</v>
      </c>
      <c r="G3838" t="s">
        <v>17631</v>
      </c>
      <c r="H3838">
        <v>17.579999999999998</v>
      </c>
      <c r="I3838">
        <v>0</v>
      </c>
      <c r="J3838">
        <v>0</v>
      </c>
      <c r="K3838">
        <v>0</v>
      </c>
      <c r="L3838">
        <v>7</v>
      </c>
      <c r="O3838">
        <v>7</v>
      </c>
      <c r="P3838">
        <v>0</v>
      </c>
      <c r="Q3838">
        <v>2</v>
      </c>
      <c r="R3838">
        <v>26.58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H3838">
        <v>26.58</v>
      </c>
    </row>
    <row r="3839" spans="1:34" x14ac:dyDescent="0.3">
      <c r="A3839" s="4">
        <v>4053</v>
      </c>
      <c r="B3839" s="5">
        <v>3832</v>
      </c>
      <c r="C3839">
        <v>15020</v>
      </c>
      <c r="D3839" t="s">
        <v>17632</v>
      </c>
      <c r="E3839" t="s">
        <v>29</v>
      </c>
      <c r="F3839" t="s">
        <v>17</v>
      </c>
      <c r="G3839" t="s">
        <v>17633</v>
      </c>
      <c r="H3839">
        <v>16.579999999999998</v>
      </c>
      <c r="I3839">
        <v>0</v>
      </c>
      <c r="J3839">
        <v>0</v>
      </c>
      <c r="K3839">
        <v>0</v>
      </c>
      <c r="L3839">
        <v>7</v>
      </c>
      <c r="N3839">
        <v>3</v>
      </c>
      <c r="O3839">
        <v>10</v>
      </c>
      <c r="P3839">
        <v>0</v>
      </c>
      <c r="Q3839">
        <v>0</v>
      </c>
      <c r="R3839">
        <v>26.58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H3839">
        <v>26.58</v>
      </c>
    </row>
    <row r="3840" spans="1:34" x14ac:dyDescent="0.3">
      <c r="A3840" s="4">
        <v>4054</v>
      </c>
      <c r="B3840" s="5">
        <v>3833</v>
      </c>
      <c r="C3840">
        <v>12582</v>
      </c>
      <c r="D3840" t="s">
        <v>17634</v>
      </c>
      <c r="E3840" t="s">
        <v>454</v>
      </c>
      <c r="F3840" t="s">
        <v>79</v>
      </c>
      <c r="G3840" t="s">
        <v>17635</v>
      </c>
      <c r="H3840">
        <v>19.55</v>
      </c>
      <c r="I3840">
        <v>0</v>
      </c>
      <c r="J3840">
        <v>0</v>
      </c>
      <c r="K3840">
        <v>0</v>
      </c>
      <c r="L3840">
        <v>7</v>
      </c>
      <c r="O3840">
        <v>7</v>
      </c>
      <c r="P3840">
        <v>0</v>
      </c>
      <c r="Q3840">
        <v>0</v>
      </c>
      <c r="R3840">
        <v>26.55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H3840">
        <v>26.55</v>
      </c>
    </row>
    <row r="3841" spans="1:34" x14ac:dyDescent="0.3">
      <c r="A3841" s="4">
        <v>4055</v>
      </c>
      <c r="B3841" s="5">
        <v>3834</v>
      </c>
      <c r="C3841">
        <v>10771</v>
      </c>
      <c r="D3841" t="s">
        <v>9971</v>
      </c>
      <c r="E3841" t="s">
        <v>29</v>
      </c>
      <c r="F3841" t="s">
        <v>81</v>
      </c>
      <c r="G3841" t="s">
        <v>17636</v>
      </c>
      <c r="H3841">
        <v>19.55</v>
      </c>
      <c r="I3841">
        <v>0</v>
      </c>
      <c r="J3841">
        <v>0</v>
      </c>
      <c r="K3841">
        <v>0</v>
      </c>
      <c r="L3841">
        <v>7</v>
      </c>
      <c r="O3841">
        <v>7</v>
      </c>
      <c r="P3841">
        <v>0</v>
      </c>
      <c r="Q3841">
        <v>0</v>
      </c>
      <c r="R3841">
        <v>26.55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H3841">
        <v>26.55</v>
      </c>
    </row>
    <row r="3842" spans="1:34" x14ac:dyDescent="0.3">
      <c r="A3842" s="4">
        <v>4056</v>
      </c>
      <c r="B3842" s="5">
        <v>3835</v>
      </c>
      <c r="C3842">
        <v>3102</v>
      </c>
      <c r="D3842" t="s">
        <v>17637</v>
      </c>
      <c r="E3842" t="s">
        <v>17638</v>
      </c>
      <c r="F3842" t="s">
        <v>17</v>
      </c>
      <c r="G3842" t="s">
        <v>17639</v>
      </c>
      <c r="H3842">
        <v>19.55</v>
      </c>
      <c r="I3842">
        <v>0</v>
      </c>
      <c r="J3842">
        <v>0</v>
      </c>
      <c r="K3842">
        <v>0</v>
      </c>
      <c r="L3842">
        <v>7</v>
      </c>
      <c r="O3842">
        <v>7</v>
      </c>
      <c r="P3842">
        <v>0</v>
      </c>
      <c r="Q3842">
        <v>0</v>
      </c>
      <c r="R3842">
        <v>26.55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H3842">
        <v>26.55</v>
      </c>
    </row>
    <row r="3843" spans="1:34" x14ac:dyDescent="0.3">
      <c r="A3843" s="4">
        <v>4057</v>
      </c>
      <c r="B3843" s="5">
        <v>3836</v>
      </c>
      <c r="C3843">
        <v>9323</v>
      </c>
      <c r="D3843" t="s">
        <v>17640</v>
      </c>
      <c r="E3843" t="s">
        <v>54</v>
      </c>
      <c r="F3843" t="s">
        <v>17</v>
      </c>
      <c r="G3843" t="s">
        <v>17641</v>
      </c>
      <c r="H3843">
        <v>18.55</v>
      </c>
      <c r="I3843">
        <v>0</v>
      </c>
      <c r="J3843">
        <v>0</v>
      </c>
      <c r="K3843">
        <v>0</v>
      </c>
      <c r="M3843">
        <v>5</v>
      </c>
      <c r="N3843">
        <v>3</v>
      </c>
      <c r="O3843">
        <v>8</v>
      </c>
      <c r="P3843">
        <v>0</v>
      </c>
      <c r="Q3843">
        <v>0</v>
      </c>
      <c r="R3843">
        <v>26.55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H3843">
        <v>26.55</v>
      </c>
    </row>
    <row r="3844" spans="1:34" x14ac:dyDescent="0.3">
      <c r="A3844" s="4">
        <v>4058</v>
      </c>
      <c r="B3844" s="5">
        <v>3837</v>
      </c>
      <c r="C3844">
        <v>3396</v>
      </c>
      <c r="D3844" t="s">
        <v>17642</v>
      </c>
      <c r="E3844" t="s">
        <v>550</v>
      </c>
      <c r="F3844" t="s">
        <v>17</v>
      </c>
      <c r="G3844" t="s">
        <v>17643</v>
      </c>
      <c r="H3844">
        <v>19.53</v>
      </c>
      <c r="I3844">
        <v>0</v>
      </c>
      <c r="J3844">
        <v>0</v>
      </c>
      <c r="K3844">
        <v>0</v>
      </c>
      <c r="L3844">
        <v>7</v>
      </c>
      <c r="O3844">
        <v>7</v>
      </c>
      <c r="P3844">
        <v>0</v>
      </c>
      <c r="Q3844">
        <v>0</v>
      </c>
      <c r="R3844">
        <v>26.53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H3844">
        <v>26.53</v>
      </c>
    </row>
    <row r="3845" spans="1:34" x14ac:dyDescent="0.3">
      <c r="A3845" s="4">
        <v>4059</v>
      </c>
      <c r="B3845" s="5">
        <v>3838</v>
      </c>
      <c r="C3845">
        <v>7537</v>
      </c>
      <c r="D3845" t="s">
        <v>549</v>
      </c>
      <c r="E3845" t="s">
        <v>1016</v>
      </c>
      <c r="F3845" t="s">
        <v>17644</v>
      </c>
      <c r="G3845" t="s">
        <v>17645</v>
      </c>
      <c r="H3845">
        <v>16.53</v>
      </c>
      <c r="I3845">
        <v>0</v>
      </c>
      <c r="J3845">
        <v>0</v>
      </c>
      <c r="K3845">
        <v>0</v>
      </c>
      <c r="N3845">
        <v>6</v>
      </c>
      <c r="O3845">
        <v>6</v>
      </c>
      <c r="P3845">
        <v>4</v>
      </c>
      <c r="Q3845">
        <v>0</v>
      </c>
      <c r="R3845">
        <v>26.53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H3845">
        <v>26.53</v>
      </c>
    </row>
    <row r="3846" spans="1:34" x14ac:dyDescent="0.3">
      <c r="A3846" s="4">
        <v>4060</v>
      </c>
      <c r="B3846" s="5">
        <v>3839</v>
      </c>
      <c r="C3846">
        <v>8955</v>
      </c>
      <c r="D3846" t="s">
        <v>17646</v>
      </c>
      <c r="E3846" t="s">
        <v>259</v>
      </c>
      <c r="F3846" t="s">
        <v>17647</v>
      </c>
      <c r="G3846">
        <v>1016128</v>
      </c>
      <c r="H3846">
        <v>12.5</v>
      </c>
      <c r="I3846">
        <v>0</v>
      </c>
      <c r="J3846">
        <v>0</v>
      </c>
      <c r="K3846">
        <v>0</v>
      </c>
      <c r="L3846">
        <v>7</v>
      </c>
      <c r="O3846">
        <v>7</v>
      </c>
      <c r="P3846">
        <v>4</v>
      </c>
      <c r="Q3846">
        <v>0</v>
      </c>
      <c r="R3846">
        <v>23.5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3</v>
      </c>
      <c r="AC3846">
        <v>0</v>
      </c>
      <c r="AH3846">
        <v>26.5</v>
      </c>
    </row>
    <row r="3847" spans="1:34" x14ac:dyDescent="0.3">
      <c r="A3847" s="4">
        <v>4061</v>
      </c>
      <c r="B3847" s="5">
        <v>3840</v>
      </c>
      <c r="C3847">
        <v>3520</v>
      </c>
      <c r="D3847" t="s">
        <v>1822</v>
      </c>
      <c r="E3847" t="s">
        <v>29</v>
      </c>
      <c r="F3847" t="s">
        <v>30</v>
      </c>
      <c r="G3847" t="s">
        <v>17648</v>
      </c>
      <c r="H3847">
        <v>12.5</v>
      </c>
      <c r="I3847">
        <v>0</v>
      </c>
      <c r="J3847">
        <v>0</v>
      </c>
      <c r="K3847">
        <v>0</v>
      </c>
      <c r="L3847">
        <v>7</v>
      </c>
      <c r="O3847">
        <v>7</v>
      </c>
      <c r="P3847">
        <v>4</v>
      </c>
      <c r="Q3847">
        <v>0</v>
      </c>
      <c r="R3847">
        <v>23.5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3</v>
      </c>
      <c r="AC3847">
        <v>0</v>
      </c>
      <c r="AH3847">
        <v>26.5</v>
      </c>
    </row>
    <row r="3848" spans="1:34" x14ac:dyDescent="0.3">
      <c r="A3848" s="4">
        <v>4062</v>
      </c>
      <c r="B3848" s="5">
        <v>3841</v>
      </c>
      <c r="C3848">
        <v>9803</v>
      </c>
      <c r="D3848" t="s">
        <v>17649</v>
      </c>
      <c r="E3848" t="s">
        <v>88</v>
      </c>
      <c r="F3848" t="s">
        <v>1023</v>
      </c>
      <c r="G3848" t="s">
        <v>17650</v>
      </c>
      <c r="H3848">
        <v>19.5</v>
      </c>
      <c r="I3848">
        <v>0</v>
      </c>
      <c r="J3848">
        <v>0</v>
      </c>
      <c r="K3848">
        <v>0</v>
      </c>
      <c r="L3848">
        <v>7</v>
      </c>
      <c r="O3848">
        <v>7</v>
      </c>
      <c r="P3848">
        <v>0</v>
      </c>
      <c r="Q3848">
        <v>0</v>
      </c>
      <c r="R3848">
        <v>26.5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H3848">
        <v>26.5</v>
      </c>
    </row>
    <row r="3849" spans="1:34" x14ac:dyDescent="0.3">
      <c r="A3849" s="4">
        <v>4063</v>
      </c>
      <c r="B3849" s="5">
        <v>3842</v>
      </c>
      <c r="C3849">
        <v>7733</v>
      </c>
      <c r="D3849" t="s">
        <v>17651</v>
      </c>
      <c r="E3849" t="s">
        <v>132</v>
      </c>
      <c r="F3849" t="s">
        <v>375</v>
      </c>
      <c r="G3849" t="s">
        <v>17652</v>
      </c>
      <c r="H3849">
        <v>19.5</v>
      </c>
      <c r="I3849">
        <v>0</v>
      </c>
      <c r="J3849">
        <v>0</v>
      </c>
      <c r="K3849">
        <v>0</v>
      </c>
      <c r="L3849">
        <v>7</v>
      </c>
      <c r="O3849">
        <v>7</v>
      </c>
      <c r="P3849">
        <v>0</v>
      </c>
      <c r="Q3849">
        <v>0</v>
      </c>
      <c r="R3849">
        <v>26.5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H3849">
        <v>26.5</v>
      </c>
    </row>
    <row r="3850" spans="1:34" x14ac:dyDescent="0.3">
      <c r="A3850" s="4">
        <v>4064</v>
      </c>
      <c r="B3850" s="5">
        <v>3843</v>
      </c>
      <c r="C3850">
        <v>13255</v>
      </c>
      <c r="D3850" t="s">
        <v>17653</v>
      </c>
      <c r="E3850" t="s">
        <v>471</v>
      </c>
      <c r="F3850" t="s">
        <v>52</v>
      </c>
      <c r="G3850" t="s">
        <v>17654</v>
      </c>
      <c r="H3850">
        <v>17.5</v>
      </c>
      <c r="I3850">
        <v>0</v>
      </c>
      <c r="J3850">
        <v>0</v>
      </c>
      <c r="K3850">
        <v>0</v>
      </c>
      <c r="M3850">
        <v>5</v>
      </c>
      <c r="O3850">
        <v>5</v>
      </c>
      <c r="P3850">
        <v>4</v>
      </c>
      <c r="Q3850">
        <v>0</v>
      </c>
      <c r="R3850">
        <v>26.5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H3850">
        <v>26.5</v>
      </c>
    </row>
    <row r="3851" spans="1:34" x14ac:dyDescent="0.3">
      <c r="A3851" s="4">
        <v>4065</v>
      </c>
      <c r="B3851" s="5">
        <v>3844</v>
      </c>
      <c r="C3851">
        <v>5304</v>
      </c>
      <c r="D3851" t="s">
        <v>2056</v>
      </c>
      <c r="E3851" t="s">
        <v>51</v>
      </c>
      <c r="F3851" t="s">
        <v>1566</v>
      </c>
      <c r="G3851" t="s">
        <v>17655</v>
      </c>
      <c r="H3851">
        <v>12.5</v>
      </c>
      <c r="I3851">
        <v>0</v>
      </c>
      <c r="J3851">
        <v>0</v>
      </c>
      <c r="K3851">
        <v>0</v>
      </c>
      <c r="L3851">
        <v>7</v>
      </c>
      <c r="N3851">
        <v>3</v>
      </c>
      <c r="O3851">
        <v>10</v>
      </c>
      <c r="P3851">
        <v>4</v>
      </c>
      <c r="Q3851">
        <v>0</v>
      </c>
      <c r="R3851">
        <v>26.5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H3851">
        <v>26.5</v>
      </c>
    </row>
    <row r="3852" spans="1:34" x14ac:dyDescent="0.3">
      <c r="A3852" s="4">
        <v>4066</v>
      </c>
      <c r="B3852" s="5">
        <v>3845</v>
      </c>
      <c r="C3852">
        <v>6040</v>
      </c>
      <c r="D3852" t="s">
        <v>17656</v>
      </c>
      <c r="E3852" t="s">
        <v>17657</v>
      </c>
      <c r="F3852" t="s">
        <v>81</v>
      </c>
      <c r="G3852" t="s">
        <v>17658</v>
      </c>
      <c r="H3852">
        <v>12.5</v>
      </c>
      <c r="I3852">
        <v>0</v>
      </c>
      <c r="J3852">
        <v>0</v>
      </c>
      <c r="K3852">
        <v>0</v>
      </c>
      <c r="L3852">
        <v>7</v>
      </c>
      <c r="N3852">
        <v>3</v>
      </c>
      <c r="O3852">
        <v>10</v>
      </c>
      <c r="P3852">
        <v>4</v>
      </c>
      <c r="Q3852">
        <v>0</v>
      </c>
      <c r="R3852">
        <v>26.5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H3852">
        <v>26.5</v>
      </c>
    </row>
    <row r="3853" spans="1:34" x14ac:dyDescent="0.3">
      <c r="A3853" s="4">
        <v>4067</v>
      </c>
      <c r="B3853" s="5">
        <v>3846</v>
      </c>
      <c r="C3853">
        <v>2315</v>
      </c>
      <c r="D3853" t="s">
        <v>17659</v>
      </c>
      <c r="E3853" t="s">
        <v>17660</v>
      </c>
      <c r="F3853" t="s">
        <v>17661</v>
      </c>
      <c r="G3853" t="s">
        <v>17662</v>
      </c>
      <c r="H3853">
        <v>12.5</v>
      </c>
      <c r="I3853">
        <v>0</v>
      </c>
      <c r="J3853">
        <v>0</v>
      </c>
      <c r="K3853">
        <v>0</v>
      </c>
      <c r="M3853">
        <v>5</v>
      </c>
      <c r="N3853">
        <v>3</v>
      </c>
      <c r="O3853">
        <v>8</v>
      </c>
      <c r="P3853">
        <v>4</v>
      </c>
      <c r="Q3853">
        <v>2</v>
      </c>
      <c r="R3853">
        <v>26.5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H3853">
        <v>26.5</v>
      </c>
    </row>
    <row r="3854" spans="1:34" x14ac:dyDescent="0.3">
      <c r="A3854" s="4">
        <v>4068</v>
      </c>
      <c r="B3854" s="5">
        <v>3847</v>
      </c>
      <c r="C3854">
        <v>1365</v>
      </c>
      <c r="D3854" t="s">
        <v>17663</v>
      </c>
      <c r="E3854" t="s">
        <v>2011</v>
      </c>
      <c r="F3854" t="s">
        <v>81</v>
      </c>
      <c r="G3854" t="s">
        <v>17664</v>
      </c>
      <c r="H3854">
        <v>19.48</v>
      </c>
      <c r="I3854">
        <v>0</v>
      </c>
      <c r="J3854">
        <v>0</v>
      </c>
      <c r="K3854">
        <v>0</v>
      </c>
      <c r="N3854">
        <v>3</v>
      </c>
      <c r="O3854">
        <v>3</v>
      </c>
      <c r="P3854">
        <v>4</v>
      </c>
      <c r="Q3854">
        <v>0</v>
      </c>
      <c r="R3854">
        <v>26.48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H3854">
        <v>26.48</v>
      </c>
    </row>
    <row r="3855" spans="1:34" x14ac:dyDescent="0.3">
      <c r="A3855" s="4">
        <v>4069</v>
      </c>
      <c r="B3855" s="5">
        <v>3848</v>
      </c>
      <c r="C3855">
        <v>11422</v>
      </c>
      <c r="D3855" t="s">
        <v>17665</v>
      </c>
      <c r="E3855" t="s">
        <v>692</v>
      </c>
      <c r="F3855" t="s">
        <v>343</v>
      </c>
      <c r="G3855" t="s">
        <v>17666</v>
      </c>
      <c r="H3855">
        <v>19.48</v>
      </c>
      <c r="I3855">
        <v>0</v>
      </c>
      <c r="J3855">
        <v>0</v>
      </c>
      <c r="K3855">
        <v>0</v>
      </c>
      <c r="L3855">
        <v>7</v>
      </c>
      <c r="O3855">
        <v>7</v>
      </c>
      <c r="P3855">
        <v>0</v>
      </c>
      <c r="Q3855">
        <v>0</v>
      </c>
      <c r="R3855">
        <v>26.48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H3855">
        <v>26.48</v>
      </c>
    </row>
    <row r="3856" spans="1:34" x14ac:dyDescent="0.3">
      <c r="A3856" s="4">
        <v>4070</v>
      </c>
      <c r="B3856" s="5">
        <v>3849</v>
      </c>
      <c r="C3856">
        <v>6257</v>
      </c>
      <c r="D3856" t="s">
        <v>17667</v>
      </c>
      <c r="E3856" t="s">
        <v>355</v>
      </c>
      <c r="F3856" t="s">
        <v>34</v>
      </c>
      <c r="G3856" t="s">
        <v>17668</v>
      </c>
      <c r="H3856">
        <v>19.399999999999999</v>
      </c>
      <c r="I3856">
        <v>0</v>
      </c>
      <c r="J3856">
        <v>0</v>
      </c>
      <c r="K3856">
        <v>0</v>
      </c>
      <c r="L3856">
        <v>7</v>
      </c>
      <c r="O3856">
        <v>7</v>
      </c>
      <c r="P3856">
        <v>0</v>
      </c>
      <c r="Q3856">
        <v>0</v>
      </c>
      <c r="R3856">
        <v>26.4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H3856">
        <v>26.4</v>
      </c>
    </row>
    <row r="3857" spans="1:34" x14ac:dyDescent="0.3">
      <c r="A3857" s="4">
        <v>4071</v>
      </c>
      <c r="B3857" s="5">
        <v>3850</v>
      </c>
      <c r="C3857">
        <v>11367</v>
      </c>
      <c r="D3857" t="s">
        <v>17669</v>
      </c>
      <c r="E3857" t="s">
        <v>132</v>
      </c>
      <c r="F3857" t="s">
        <v>20</v>
      </c>
      <c r="G3857" t="s">
        <v>17670</v>
      </c>
      <c r="H3857">
        <v>18.38</v>
      </c>
      <c r="I3857">
        <v>0</v>
      </c>
      <c r="J3857">
        <v>0</v>
      </c>
      <c r="K3857">
        <v>0</v>
      </c>
      <c r="N3857">
        <v>3</v>
      </c>
      <c r="O3857">
        <v>3</v>
      </c>
      <c r="P3857">
        <v>0</v>
      </c>
      <c r="Q3857">
        <v>2</v>
      </c>
      <c r="R3857">
        <v>23.38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3</v>
      </c>
      <c r="AC3857">
        <v>0</v>
      </c>
      <c r="AH3857">
        <v>26.38</v>
      </c>
    </row>
    <row r="3858" spans="1:34" x14ac:dyDescent="0.3">
      <c r="A3858" s="4">
        <v>4072</v>
      </c>
      <c r="B3858" s="5">
        <v>3851</v>
      </c>
      <c r="C3858">
        <v>3811</v>
      </c>
      <c r="D3858" t="s">
        <v>5155</v>
      </c>
      <c r="E3858" t="s">
        <v>12378</v>
      </c>
      <c r="F3858" t="s">
        <v>136</v>
      </c>
      <c r="G3858" t="s">
        <v>17671</v>
      </c>
      <c r="H3858">
        <v>17.38</v>
      </c>
      <c r="I3858">
        <v>0</v>
      </c>
      <c r="J3858">
        <v>0</v>
      </c>
      <c r="K3858">
        <v>0</v>
      </c>
      <c r="N3858">
        <v>6</v>
      </c>
      <c r="O3858">
        <v>6</v>
      </c>
      <c r="P3858">
        <v>0</v>
      </c>
      <c r="Q3858">
        <v>0</v>
      </c>
      <c r="R3858">
        <v>23.38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3</v>
      </c>
      <c r="AC3858">
        <v>0</v>
      </c>
      <c r="AH3858">
        <v>26.38</v>
      </c>
    </row>
    <row r="3859" spans="1:34" x14ac:dyDescent="0.3">
      <c r="A3859" s="4">
        <v>4073</v>
      </c>
      <c r="B3859" s="5">
        <v>3852</v>
      </c>
      <c r="C3859">
        <v>7297</v>
      </c>
      <c r="D3859" t="s">
        <v>17672</v>
      </c>
      <c r="E3859" t="s">
        <v>88</v>
      </c>
      <c r="F3859" t="s">
        <v>14973</v>
      </c>
      <c r="G3859" t="s">
        <v>17673</v>
      </c>
      <c r="H3859">
        <v>19.38</v>
      </c>
      <c r="I3859">
        <v>0</v>
      </c>
      <c r="J3859">
        <v>0</v>
      </c>
      <c r="K3859">
        <v>0</v>
      </c>
      <c r="L3859">
        <v>7</v>
      </c>
      <c r="O3859">
        <v>7</v>
      </c>
      <c r="P3859">
        <v>0</v>
      </c>
      <c r="Q3859">
        <v>0</v>
      </c>
      <c r="R3859">
        <v>26.38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H3859">
        <v>26.38</v>
      </c>
    </row>
    <row r="3860" spans="1:34" x14ac:dyDescent="0.3">
      <c r="A3860" s="4">
        <v>4074</v>
      </c>
      <c r="B3860" s="5">
        <v>3853</v>
      </c>
      <c r="C3860">
        <v>8387</v>
      </c>
      <c r="D3860" t="s">
        <v>218</v>
      </c>
      <c r="E3860" t="s">
        <v>3680</v>
      </c>
      <c r="F3860" t="s">
        <v>20</v>
      </c>
      <c r="G3860" t="s">
        <v>17674</v>
      </c>
      <c r="H3860">
        <v>19.38</v>
      </c>
      <c r="I3860">
        <v>0</v>
      </c>
      <c r="J3860">
        <v>0</v>
      </c>
      <c r="K3860">
        <v>0</v>
      </c>
      <c r="L3860">
        <v>7</v>
      </c>
      <c r="O3860">
        <v>7</v>
      </c>
      <c r="P3860">
        <v>0</v>
      </c>
      <c r="Q3860">
        <v>0</v>
      </c>
      <c r="R3860">
        <v>26.38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H3860">
        <v>26.38</v>
      </c>
    </row>
    <row r="3861" spans="1:34" x14ac:dyDescent="0.3">
      <c r="A3861" s="4">
        <v>4075</v>
      </c>
      <c r="B3861" s="5">
        <v>3854</v>
      </c>
      <c r="C3861">
        <v>282</v>
      </c>
      <c r="D3861" t="s">
        <v>17675</v>
      </c>
      <c r="E3861" t="s">
        <v>789</v>
      </c>
      <c r="F3861" t="s">
        <v>38</v>
      </c>
      <c r="G3861" t="s">
        <v>17676</v>
      </c>
      <c r="H3861">
        <v>17.38</v>
      </c>
      <c r="I3861">
        <v>0</v>
      </c>
      <c r="J3861">
        <v>0</v>
      </c>
      <c r="K3861">
        <v>0</v>
      </c>
      <c r="N3861">
        <v>3</v>
      </c>
      <c r="O3861">
        <v>3</v>
      </c>
      <c r="P3861">
        <v>4</v>
      </c>
      <c r="Q3861">
        <v>2</v>
      </c>
      <c r="R3861">
        <v>26.38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H3861">
        <v>26.38</v>
      </c>
    </row>
    <row r="3862" spans="1:34" x14ac:dyDescent="0.3">
      <c r="A3862" s="4">
        <v>4076</v>
      </c>
      <c r="B3862" s="5">
        <v>3855</v>
      </c>
      <c r="C3862">
        <v>7803</v>
      </c>
      <c r="D3862" t="s">
        <v>17677</v>
      </c>
      <c r="E3862" t="s">
        <v>9983</v>
      </c>
      <c r="F3862" t="s">
        <v>346</v>
      </c>
      <c r="G3862" t="s">
        <v>17678</v>
      </c>
      <c r="H3862">
        <v>19.350000000000001</v>
      </c>
      <c r="I3862">
        <v>0</v>
      </c>
      <c r="J3862">
        <v>0</v>
      </c>
      <c r="K3862">
        <v>0</v>
      </c>
      <c r="L3862">
        <v>7</v>
      </c>
      <c r="O3862">
        <v>7</v>
      </c>
      <c r="P3862">
        <v>0</v>
      </c>
      <c r="Q3862">
        <v>0</v>
      </c>
      <c r="R3862">
        <v>26.35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H3862">
        <v>26.35</v>
      </c>
    </row>
    <row r="3863" spans="1:34" x14ac:dyDescent="0.3">
      <c r="A3863" s="4">
        <v>4077</v>
      </c>
      <c r="B3863" s="5">
        <v>3856</v>
      </c>
      <c r="C3863">
        <v>2798</v>
      </c>
      <c r="D3863" t="s">
        <v>3595</v>
      </c>
      <c r="E3863" t="s">
        <v>17679</v>
      </c>
      <c r="F3863" t="s">
        <v>171</v>
      </c>
      <c r="G3863">
        <v>292145</v>
      </c>
      <c r="H3863">
        <v>17.350000000000001</v>
      </c>
      <c r="I3863">
        <v>0</v>
      </c>
      <c r="J3863">
        <v>0</v>
      </c>
      <c r="K3863">
        <v>0</v>
      </c>
      <c r="N3863">
        <v>3</v>
      </c>
      <c r="O3863">
        <v>3</v>
      </c>
      <c r="P3863">
        <v>4</v>
      </c>
      <c r="Q3863">
        <v>2</v>
      </c>
      <c r="R3863">
        <v>26.35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H3863">
        <v>26.35</v>
      </c>
    </row>
    <row r="3864" spans="1:34" x14ac:dyDescent="0.3">
      <c r="A3864" s="4">
        <v>4078</v>
      </c>
      <c r="B3864" s="5">
        <v>3857</v>
      </c>
      <c r="C3864">
        <v>8165</v>
      </c>
      <c r="D3864" t="s">
        <v>28</v>
      </c>
      <c r="E3864" t="s">
        <v>479</v>
      </c>
      <c r="F3864" t="s">
        <v>62</v>
      </c>
      <c r="G3864" t="s">
        <v>17680</v>
      </c>
      <c r="H3864">
        <v>15.35</v>
      </c>
      <c r="I3864">
        <v>0</v>
      </c>
      <c r="J3864">
        <v>0</v>
      </c>
      <c r="K3864">
        <v>0</v>
      </c>
      <c r="L3864">
        <v>7</v>
      </c>
      <c r="O3864">
        <v>7</v>
      </c>
      <c r="P3864">
        <v>4</v>
      </c>
      <c r="Q3864">
        <v>0</v>
      </c>
      <c r="R3864">
        <v>26.35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H3864">
        <v>26.35</v>
      </c>
    </row>
    <row r="3865" spans="1:34" x14ac:dyDescent="0.3">
      <c r="A3865" s="4">
        <v>4079</v>
      </c>
      <c r="B3865" s="5">
        <v>3858</v>
      </c>
      <c r="C3865">
        <v>1292</v>
      </c>
      <c r="D3865" t="s">
        <v>17681</v>
      </c>
      <c r="E3865" t="s">
        <v>471</v>
      </c>
      <c r="F3865" t="s">
        <v>17</v>
      </c>
      <c r="G3865" t="s">
        <v>17682</v>
      </c>
      <c r="H3865">
        <v>19.3</v>
      </c>
      <c r="I3865">
        <v>0</v>
      </c>
      <c r="J3865">
        <v>0</v>
      </c>
      <c r="K3865">
        <v>0</v>
      </c>
      <c r="L3865">
        <v>7</v>
      </c>
      <c r="O3865">
        <v>7</v>
      </c>
      <c r="P3865">
        <v>0</v>
      </c>
      <c r="Q3865">
        <v>0</v>
      </c>
      <c r="R3865">
        <v>26.3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H3865">
        <v>26.3</v>
      </c>
    </row>
    <row r="3866" spans="1:34" x14ac:dyDescent="0.3">
      <c r="A3866" s="4">
        <v>4080</v>
      </c>
      <c r="B3866" s="5">
        <v>3859</v>
      </c>
      <c r="C3866">
        <v>1642</v>
      </c>
      <c r="D3866" t="s">
        <v>205</v>
      </c>
      <c r="E3866" t="s">
        <v>29</v>
      </c>
      <c r="F3866" t="s">
        <v>38</v>
      </c>
      <c r="G3866" t="s">
        <v>17683</v>
      </c>
      <c r="H3866">
        <v>19.3</v>
      </c>
      <c r="I3866">
        <v>0</v>
      </c>
      <c r="J3866">
        <v>0</v>
      </c>
      <c r="K3866">
        <v>0</v>
      </c>
      <c r="M3866">
        <v>5</v>
      </c>
      <c r="O3866">
        <v>5</v>
      </c>
      <c r="P3866">
        <v>0</v>
      </c>
      <c r="Q3866">
        <v>2</v>
      </c>
      <c r="R3866">
        <v>26.3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H3866">
        <v>26.3</v>
      </c>
    </row>
    <row r="3867" spans="1:34" x14ac:dyDescent="0.3">
      <c r="A3867" s="4">
        <v>4081</v>
      </c>
      <c r="B3867" s="5">
        <v>3860</v>
      </c>
      <c r="C3867">
        <v>14383</v>
      </c>
      <c r="D3867" t="s">
        <v>17684</v>
      </c>
      <c r="E3867" t="s">
        <v>132</v>
      </c>
      <c r="F3867" t="s">
        <v>17</v>
      </c>
      <c r="G3867" t="s">
        <v>17685</v>
      </c>
      <c r="H3867">
        <v>18.3</v>
      </c>
      <c r="I3867">
        <v>0</v>
      </c>
      <c r="J3867">
        <v>0</v>
      </c>
      <c r="K3867">
        <v>0</v>
      </c>
      <c r="M3867">
        <v>5</v>
      </c>
      <c r="N3867">
        <v>3</v>
      </c>
      <c r="O3867">
        <v>8</v>
      </c>
      <c r="P3867">
        <v>0</v>
      </c>
      <c r="Q3867">
        <v>0</v>
      </c>
      <c r="R3867">
        <v>26.3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H3867">
        <v>26.3</v>
      </c>
    </row>
    <row r="3868" spans="1:34" x14ac:dyDescent="0.3">
      <c r="A3868" s="4">
        <v>4082</v>
      </c>
      <c r="B3868" s="5">
        <v>3861</v>
      </c>
      <c r="C3868">
        <v>5606</v>
      </c>
      <c r="D3868" t="s">
        <v>4366</v>
      </c>
      <c r="E3868" t="s">
        <v>17686</v>
      </c>
      <c r="F3868" t="s">
        <v>167</v>
      </c>
      <c r="G3868" t="s">
        <v>17687</v>
      </c>
      <c r="H3868">
        <v>18.3</v>
      </c>
      <c r="I3868">
        <v>0</v>
      </c>
      <c r="J3868">
        <v>0</v>
      </c>
      <c r="K3868">
        <v>0</v>
      </c>
      <c r="M3868">
        <v>5</v>
      </c>
      <c r="N3868">
        <v>3</v>
      </c>
      <c r="O3868">
        <v>8</v>
      </c>
      <c r="P3868">
        <v>0</v>
      </c>
      <c r="Q3868">
        <v>0</v>
      </c>
      <c r="R3868">
        <v>26.3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H3868">
        <v>26.3</v>
      </c>
    </row>
    <row r="3869" spans="1:34" x14ac:dyDescent="0.3">
      <c r="A3869" s="4">
        <v>4083</v>
      </c>
      <c r="B3869" s="5">
        <v>3862</v>
      </c>
      <c r="C3869">
        <v>4458</v>
      </c>
      <c r="D3869" t="s">
        <v>11802</v>
      </c>
      <c r="E3869" t="s">
        <v>29</v>
      </c>
      <c r="F3869" t="s">
        <v>68</v>
      </c>
      <c r="G3869" t="s">
        <v>17688</v>
      </c>
      <c r="H3869">
        <v>17.3</v>
      </c>
      <c r="I3869">
        <v>0</v>
      </c>
      <c r="J3869">
        <v>0</v>
      </c>
      <c r="K3869">
        <v>0</v>
      </c>
      <c r="N3869">
        <v>3</v>
      </c>
      <c r="O3869">
        <v>3</v>
      </c>
      <c r="P3869">
        <v>4</v>
      </c>
      <c r="Q3869">
        <v>2</v>
      </c>
      <c r="R3869">
        <v>26.3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H3869">
        <v>26.3</v>
      </c>
    </row>
    <row r="3870" spans="1:34" x14ac:dyDescent="0.3">
      <c r="A3870" s="4">
        <v>4084</v>
      </c>
      <c r="B3870" s="5">
        <v>3863</v>
      </c>
      <c r="C3870">
        <v>2017</v>
      </c>
      <c r="D3870" t="s">
        <v>17689</v>
      </c>
      <c r="E3870" t="s">
        <v>188</v>
      </c>
      <c r="F3870" t="s">
        <v>17</v>
      </c>
      <c r="G3870" t="s">
        <v>17690</v>
      </c>
      <c r="H3870">
        <v>19.28</v>
      </c>
      <c r="I3870">
        <v>0</v>
      </c>
      <c r="J3870">
        <v>0</v>
      </c>
      <c r="K3870">
        <v>0</v>
      </c>
      <c r="N3870">
        <v>3</v>
      </c>
      <c r="O3870">
        <v>3</v>
      </c>
      <c r="P3870">
        <v>4</v>
      </c>
      <c r="Q3870">
        <v>0</v>
      </c>
      <c r="R3870">
        <v>26.28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H3870">
        <v>26.28</v>
      </c>
    </row>
    <row r="3871" spans="1:34" x14ac:dyDescent="0.3">
      <c r="A3871" s="4">
        <v>4085</v>
      </c>
      <c r="B3871" s="5">
        <v>3864</v>
      </c>
      <c r="C3871">
        <v>5804</v>
      </c>
      <c r="D3871" t="s">
        <v>715</v>
      </c>
      <c r="E3871" t="s">
        <v>100</v>
      </c>
      <c r="F3871" t="s">
        <v>214</v>
      </c>
      <c r="G3871" t="s">
        <v>17691</v>
      </c>
      <c r="H3871">
        <v>19.28</v>
      </c>
      <c r="I3871">
        <v>0</v>
      </c>
      <c r="J3871">
        <v>0</v>
      </c>
      <c r="K3871">
        <v>0</v>
      </c>
      <c r="N3871">
        <v>3</v>
      </c>
      <c r="O3871">
        <v>3</v>
      </c>
      <c r="P3871">
        <v>4</v>
      </c>
      <c r="Q3871">
        <v>0</v>
      </c>
      <c r="R3871">
        <v>26.28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H3871">
        <v>26.28</v>
      </c>
    </row>
    <row r="3872" spans="1:34" x14ac:dyDescent="0.3">
      <c r="A3872" s="4">
        <v>4086</v>
      </c>
      <c r="B3872" s="5">
        <v>3865</v>
      </c>
      <c r="C3872">
        <v>11246</v>
      </c>
      <c r="D3872" t="s">
        <v>10165</v>
      </c>
      <c r="E3872" t="s">
        <v>213</v>
      </c>
      <c r="F3872" t="s">
        <v>68</v>
      </c>
      <c r="G3872" t="s">
        <v>17692</v>
      </c>
      <c r="H3872">
        <v>17.28</v>
      </c>
      <c r="I3872">
        <v>0</v>
      </c>
      <c r="J3872">
        <v>0</v>
      </c>
      <c r="K3872">
        <v>0</v>
      </c>
      <c r="N3872">
        <v>3</v>
      </c>
      <c r="O3872">
        <v>3</v>
      </c>
      <c r="P3872">
        <v>4</v>
      </c>
      <c r="Q3872">
        <v>2</v>
      </c>
      <c r="R3872">
        <v>26.28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H3872">
        <v>26.28</v>
      </c>
    </row>
    <row r="3873" spans="1:34" x14ac:dyDescent="0.3">
      <c r="A3873" s="4">
        <v>4087</v>
      </c>
      <c r="B3873" s="5">
        <v>3866</v>
      </c>
      <c r="C3873">
        <v>54</v>
      </c>
      <c r="D3873" t="s">
        <v>17693</v>
      </c>
      <c r="E3873" t="s">
        <v>29</v>
      </c>
      <c r="F3873" t="s">
        <v>34</v>
      </c>
      <c r="G3873" t="s">
        <v>17694</v>
      </c>
      <c r="H3873">
        <v>15.28</v>
      </c>
      <c r="I3873">
        <v>0</v>
      </c>
      <c r="J3873">
        <v>0</v>
      </c>
      <c r="K3873">
        <v>0</v>
      </c>
      <c r="L3873">
        <v>7</v>
      </c>
      <c r="O3873">
        <v>7</v>
      </c>
      <c r="P3873">
        <v>4</v>
      </c>
      <c r="Q3873">
        <v>0</v>
      </c>
      <c r="R3873">
        <v>26.28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H3873">
        <v>26.28</v>
      </c>
    </row>
    <row r="3874" spans="1:34" x14ac:dyDescent="0.3">
      <c r="A3874" s="4">
        <v>4088</v>
      </c>
      <c r="B3874" s="5">
        <v>3867</v>
      </c>
      <c r="C3874">
        <v>1558</v>
      </c>
      <c r="D3874" t="s">
        <v>17695</v>
      </c>
      <c r="E3874" t="s">
        <v>238</v>
      </c>
      <c r="F3874" t="s">
        <v>101</v>
      </c>
      <c r="G3874" t="s">
        <v>17696</v>
      </c>
      <c r="H3874">
        <v>16.25</v>
      </c>
      <c r="I3874">
        <v>0</v>
      </c>
      <c r="J3874">
        <v>0</v>
      </c>
      <c r="K3874">
        <v>0</v>
      </c>
      <c r="L3874">
        <v>7</v>
      </c>
      <c r="O3874">
        <v>7</v>
      </c>
      <c r="P3874">
        <v>0</v>
      </c>
      <c r="Q3874">
        <v>0</v>
      </c>
      <c r="R3874">
        <v>23.25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3</v>
      </c>
      <c r="AC3874">
        <v>0</v>
      </c>
      <c r="AH3874">
        <v>26.25</v>
      </c>
    </row>
    <row r="3875" spans="1:34" x14ac:dyDescent="0.3">
      <c r="A3875" s="4">
        <v>4089</v>
      </c>
      <c r="B3875" s="5">
        <v>3868</v>
      </c>
      <c r="C3875">
        <v>10704</v>
      </c>
      <c r="D3875" t="s">
        <v>17697</v>
      </c>
      <c r="E3875" t="s">
        <v>100</v>
      </c>
      <c r="F3875" t="s">
        <v>190</v>
      </c>
      <c r="G3875" t="s">
        <v>17698</v>
      </c>
      <c r="H3875">
        <v>16.25</v>
      </c>
      <c r="I3875">
        <v>0</v>
      </c>
      <c r="J3875">
        <v>0</v>
      </c>
      <c r="K3875">
        <v>0</v>
      </c>
      <c r="N3875">
        <v>3</v>
      </c>
      <c r="O3875">
        <v>3</v>
      </c>
      <c r="P3875">
        <v>4</v>
      </c>
      <c r="Q3875">
        <v>0</v>
      </c>
      <c r="R3875">
        <v>23.25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3</v>
      </c>
      <c r="AC3875">
        <v>0</v>
      </c>
      <c r="AH3875">
        <v>26.25</v>
      </c>
    </row>
    <row r="3876" spans="1:34" x14ac:dyDescent="0.3">
      <c r="A3876" s="4">
        <v>4090</v>
      </c>
      <c r="B3876" s="5">
        <v>3869</v>
      </c>
      <c r="C3876">
        <v>9050</v>
      </c>
      <c r="D3876" t="s">
        <v>11708</v>
      </c>
      <c r="E3876" t="s">
        <v>255</v>
      </c>
      <c r="F3876" t="s">
        <v>20</v>
      </c>
      <c r="G3876" t="s">
        <v>17699</v>
      </c>
      <c r="H3876">
        <v>16.25</v>
      </c>
      <c r="I3876">
        <v>0</v>
      </c>
      <c r="J3876">
        <v>0</v>
      </c>
      <c r="K3876">
        <v>0</v>
      </c>
      <c r="N3876">
        <v>3</v>
      </c>
      <c r="O3876">
        <v>3</v>
      </c>
      <c r="P3876">
        <v>4</v>
      </c>
      <c r="Q3876">
        <v>0</v>
      </c>
      <c r="R3876">
        <v>23.25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3</v>
      </c>
      <c r="AC3876">
        <v>0</v>
      </c>
      <c r="AH3876">
        <v>26.25</v>
      </c>
    </row>
    <row r="3877" spans="1:34" x14ac:dyDescent="0.3">
      <c r="A3877" s="4">
        <v>4091</v>
      </c>
      <c r="B3877" s="5">
        <v>3870</v>
      </c>
      <c r="C3877">
        <v>11322</v>
      </c>
      <c r="D3877" t="s">
        <v>17700</v>
      </c>
      <c r="E3877" t="s">
        <v>17701</v>
      </c>
      <c r="F3877" t="s">
        <v>38</v>
      </c>
      <c r="G3877" t="s">
        <v>17702</v>
      </c>
      <c r="H3877">
        <v>19.25</v>
      </c>
      <c r="I3877">
        <v>0</v>
      </c>
      <c r="J3877">
        <v>0</v>
      </c>
      <c r="K3877">
        <v>0</v>
      </c>
      <c r="L3877">
        <v>7</v>
      </c>
      <c r="O3877">
        <v>7</v>
      </c>
      <c r="P3877">
        <v>0</v>
      </c>
      <c r="Q3877">
        <v>0</v>
      </c>
      <c r="R3877">
        <v>26.25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H3877">
        <v>26.25</v>
      </c>
    </row>
    <row r="3878" spans="1:34" x14ac:dyDescent="0.3">
      <c r="A3878" s="4">
        <v>4092</v>
      </c>
      <c r="B3878" s="5">
        <v>3871</v>
      </c>
      <c r="C3878">
        <v>9383</v>
      </c>
      <c r="D3878" t="s">
        <v>17703</v>
      </c>
      <c r="E3878" t="s">
        <v>964</v>
      </c>
      <c r="F3878" t="s">
        <v>20</v>
      </c>
      <c r="G3878" t="s">
        <v>17704</v>
      </c>
      <c r="H3878">
        <v>17.25</v>
      </c>
      <c r="I3878">
        <v>0</v>
      </c>
      <c r="J3878">
        <v>0</v>
      </c>
      <c r="K3878">
        <v>0</v>
      </c>
      <c r="N3878">
        <v>3</v>
      </c>
      <c r="O3878">
        <v>3</v>
      </c>
      <c r="P3878">
        <v>4</v>
      </c>
      <c r="Q3878">
        <v>2</v>
      </c>
      <c r="R3878">
        <v>26.25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H3878">
        <v>26.25</v>
      </c>
    </row>
    <row r="3879" spans="1:34" x14ac:dyDescent="0.3">
      <c r="A3879" s="4">
        <v>4093</v>
      </c>
      <c r="B3879" s="5">
        <v>3872</v>
      </c>
      <c r="C3879">
        <v>14425</v>
      </c>
      <c r="D3879" t="s">
        <v>93</v>
      </c>
      <c r="E3879" t="s">
        <v>17705</v>
      </c>
      <c r="F3879" t="s">
        <v>17</v>
      </c>
      <c r="G3879" t="s">
        <v>17706</v>
      </c>
      <c r="H3879">
        <v>17.25</v>
      </c>
      <c r="I3879">
        <v>0</v>
      </c>
      <c r="J3879">
        <v>0</v>
      </c>
      <c r="K3879">
        <v>0</v>
      </c>
      <c r="M3879">
        <v>5</v>
      </c>
      <c r="O3879">
        <v>5</v>
      </c>
      <c r="P3879">
        <v>4</v>
      </c>
      <c r="Q3879">
        <v>0</v>
      </c>
      <c r="R3879">
        <v>26.25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H3879">
        <v>26.25</v>
      </c>
    </row>
    <row r="3880" spans="1:34" x14ac:dyDescent="0.3">
      <c r="A3880" s="4">
        <v>4094</v>
      </c>
      <c r="B3880" s="5">
        <v>3873</v>
      </c>
      <c r="C3880">
        <v>1614</v>
      </c>
      <c r="D3880" t="s">
        <v>577</v>
      </c>
      <c r="E3880" t="s">
        <v>97</v>
      </c>
      <c r="F3880" t="s">
        <v>136</v>
      </c>
      <c r="G3880" t="s">
        <v>17707</v>
      </c>
      <c r="H3880">
        <v>17.25</v>
      </c>
      <c r="I3880">
        <v>0</v>
      </c>
      <c r="J3880">
        <v>0</v>
      </c>
      <c r="K3880">
        <v>0</v>
      </c>
      <c r="N3880">
        <v>3</v>
      </c>
      <c r="O3880">
        <v>3</v>
      </c>
      <c r="P3880">
        <v>4</v>
      </c>
      <c r="Q3880">
        <v>2</v>
      </c>
      <c r="R3880">
        <v>26.25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H3880">
        <v>26.25</v>
      </c>
    </row>
    <row r="3881" spans="1:34" x14ac:dyDescent="0.3">
      <c r="A3881" s="4">
        <v>4095</v>
      </c>
      <c r="B3881" s="5">
        <v>3874</v>
      </c>
      <c r="C3881">
        <v>11188</v>
      </c>
      <c r="D3881" t="s">
        <v>17708</v>
      </c>
      <c r="E3881" t="s">
        <v>878</v>
      </c>
      <c r="F3881" t="s">
        <v>136</v>
      </c>
      <c r="G3881" t="s">
        <v>17709</v>
      </c>
      <c r="H3881">
        <v>16.25</v>
      </c>
      <c r="I3881">
        <v>0</v>
      </c>
      <c r="J3881">
        <v>0</v>
      </c>
      <c r="K3881">
        <v>0</v>
      </c>
      <c r="L3881">
        <v>7</v>
      </c>
      <c r="N3881">
        <v>3</v>
      </c>
      <c r="O3881">
        <v>10</v>
      </c>
      <c r="P3881">
        <v>0</v>
      </c>
      <c r="Q3881">
        <v>0</v>
      </c>
      <c r="R3881">
        <v>26.25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H3881">
        <v>26.25</v>
      </c>
    </row>
    <row r="3882" spans="1:34" x14ac:dyDescent="0.3">
      <c r="A3882" s="4">
        <v>4096</v>
      </c>
      <c r="B3882" s="5">
        <v>3875</v>
      </c>
      <c r="C3882">
        <v>14761</v>
      </c>
      <c r="D3882" t="s">
        <v>1962</v>
      </c>
      <c r="E3882" t="s">
        <v>147</v>
      </c>
      <c r="F3882" t="s">
        <v>62</v>
      </c>
      <c r="G3882" t="s">
        <v>17710</v>
      </c>
      <c r="H3882">
        <v>16.25</v>
      </c>
      <c r="I3882">
        <v>0</v>
      </c>
      <c r="J3882">
        <v>0</v>
      </c>
      <c r="K3882">
        <v>0</v>
      </c>
      <c r="L3882">
        <v>7</v>
      </c>
      <c r="N3882">
        <v>3</v>
      </c>
      <c r="O3882">
        <v>10</v>
      </c>
      <c r="P3882">
        <v>0</v>
      </c>
      <c r="Q3882">
        <v>0</v>
      </c>
      <c r="R3882">
        <v>26.25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H3882">
        <v>26.25</v>
      </c>
    </row>
    <row r="3883" spans="1:34" x14ac:dyDescent="0.3">
      <c r="A3883" s="4">
        <v>4097</v>
      </c>
      <c r="B3883" s="5">
        <v>3876</v>
      </c>
      <c r="C3883">
        <v>2295</v>
      </c>
      <c r="D3883" t="s">
        <v>17711</v>
      </c>
      <c r="E3883" t="s">
        <v>17712</v>
      </c>
      <c r="F3883" t="s">
        <v>375</v>
      </c>
      <c r="G3883" t="s">
        <v>17713</v>
      </c>
      <c r="H3883">
        <v>16.25</v>
      </c>
      <c r="I3883">
        <v>0</v>
      </c>
      <c r="J3883">
        <v>0</v>
      </c>
      <c r="K3883">
        <v>0</v>
      </c>
      <c r="N3883">
        <v>6</v>
      </c>
      <c r="O3883">
        <v>6</v>
      </c>
      <c r="P3883">
        <v>4</v>
      </c>
      <c r="Q3883">
        <v>0</v>
      </c>
      <c r="R3883">
        <v>26.25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H3883">
        <v>26.25</v>
      </c>
    </row>
    <row r="3884" spans="1:34" x14ac:dyDescent="0.3">
      <c r="A3884" s="4">
        <v>4098</v>
      </c>
      <c r="B3884" s="5">
        <v>3877</v>
      </c>
      <c r="C3884">
        <v>5005</v>
      </c>
      <c r="D3884" t="s">
        <v>17714</v>
      </c>
      <c r="E3884" t="s">
        <v>17715</v>
      </c>
      <c r="F3884" t="s">
        <v>136</v>
      </c>
      <c r="G3884" t="s">
        <v>17716</v>
      </c>
      <c r="H3884">
        <v>16.25</v>
      </c>
      <c r="I3884">
        <v>0</v>
      </c>
      <c r="J3884">
        <v>0</v>
      </c>
      <c r="K3884">
        <v>0</v>
      </c>
      <c r="L3884">
        <v>7</v>
      </c>
      <c r="N3884">
        <v>3</v>
      </c>
      <c r="O3884">
        <v>10</v>
      </c>
      <c r="P3884">
        <v>0</v>
      </c>
      <c r="Q3884">
        <v>0</v>
      </c>
      <c r="R3884">
        <v>26.25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H3884">
        <v>26.25</v>
      </c>
    </row>
    <row r="3885" spans="1:34" x14ac:dyDescent="0.3">
      <c r="A3885" s="4">
        <v>4099</v>
      </c>
      <c r="B3885" s="5">
        <v>3878</v>
      </c>
      <c r="C3885">
        <v>14163</v>
      </c>
      <c r="D3885" t="s">
        <v>17717</v>
      </c>
      <c r="E3885" t="s">
        <v>100</v>
      </c>
      <c r="F3885" t="s">
        <v>38</v>
      </c>
      <c r="G3885" t="s">
        <v>17718</v>
      </c>
      <c r="H3885">
        <v>19.23</v>
      </c>
      <c r="I3885">
        <v>0</v>
      </c>
      <c r="J3885">
        <v>0</v>
      </c>
      <c r="K3885">
        <v>0</v>
      </c>
      <c r="L3885">
        <v>7</v>
      </c>
      <c r="O3885">
        <v>7</v>
      </c>
      <c r="P3885">
        <v>0</v>
      </c>
      <c r="Q3885">
        <v>0</v>
      </c>
      <c r="R3885">
        <v>26.23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H3885">
        <v>26.23</v>
      </c>
    </row>
    <row r="3886" spans="1:34" x14ac:dyDescent="0.3">
      <c r="A3886" s="4">
        <v>4100</v>
      </c>
      <c r="B3886" s="5">
        <v>3879</v>
      </c>
      <c r="C3886">
        <v>12692</v>
      </c>
      <c r="D3886" t="s">
        <v>17719</v>
      </c>
      <c r="E3886" t="s">
        <v>29</v>
      </c>
      <c r="F3886" t="s">
        <v>136</v>
      </c>
      <c r="G3886" t="s">
        <v>17720</v>
      </c>
      <c r="H3886">
        <v>16.23</v>
      </c>
      <c r="I3886">
        <v>0</v>
      </c>
      <c r="J3886">
        <v>0</v>
      </c>
      <c r="K3886">
        <v>0</v>
      </c>
      <c r="N3886">
        <v>6</v>
      </c>
      <c r="O3886">
        <v>6</v>
      </c>
      <c r="P3886">
        <v>4</v>
      </c>
      <c r="Q3886">
        <v>0</v>
      </c>
      <c r="R3886">
        <v>26.23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H3886">
        <v>26.23</v>
      </c>
    </row>
    <row r="3887" spans="1:34" x14ac:dyDescent="0.3">
      <c r="A3887" s="4">
        <v>4101</v>
      </c>
      <c r="B3887" s="5">
        <v>3880</v>
      </c>
      <c r="C3887">
        <v>12081</v>
      </c>
      <c r="D3887" t="s">
        <v>17721</v>
      </c>
      <c r="E3887" t="s">
        <v>1659</v>
      </c>
      <c r="F3887" t="s">
        <v>68</v>
      </c>
      <c r="G3887" t="s">
        <v>17722</v>
      </c>
      <c r="H3887">
        <v>17.2</v>
      </c>
      <c r="I3887">
        <v>0</v>
      </c>
      <c r="J3887">
        <v>0</v>
      </c>
      <c r="K3887">
        <v>0</v>
      </c>
      <c r="N3887">
        <v>3</v>
      </c>
      <c r="O3887">
        <v>3</v>
      </c>
      <c r="P3887">
        <v>0</v>
      </c>
      <c r="Q3887">
        <v>0</v>
      </c>
      <c r="R3887">
        <v>20.2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6</v>
      </c>
      <c r="AC3887">
        <v>0</v>
      </c>
      <c r="AH3887">
        <v>26.2</v>
      </c>
    </row>
    <row r="3888" spans="1:34" x14ac:dyDescent="0.3">
      <c r="A3888" s="4">
        <v>4102</v>
      </c>
      <c r="B3888" s="5">
        <v>3881</v>
      </c>
      <c r="C3888">
        <v>2462</v>
      </c>
      <c r="D3888" t="s">
        <v>2490</v>
      </c>
      <c r="E3888" t="s">
        <v>33</v>
      </c>
      <c r="F3888" t="s">
        <v>158</v>
      </c>
      <c r="G3888" t="s">
        <v>17723</v>
      </c>
      <c r="H3888">
        <v>19.18</v>
      </c>
      <c r="I3888">
        <v>0</v>
      </c>
      <c r="J3888">
        <v>0</v>
      </c>
      <c r="K3888">
        <v>0</v>
      </c>
      <c r="N3888">
        <v>3</v>
      </c>
      <c r="O3888">
        <v>3</v>
      </c>
      <c r="P3888">
        <v>4</v>
      </c>
      <c r="Q3888">
        <v>0</v>
      </c>
      <c r="R3888">
        <v>26.18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H3888">
        <v>26.18</v>
      </c>
    </row>
    <row r="3889" spans="1:34" x14ac:dyDescent="0.3">
      <c r="A3889" s="4">
        <v>4103</v>
      </c>
      <c r="B3889" s="5">
        <v>3882</v>
      </c>
      <c r="C3889">
        <v>15618</v>
      </c>
      <c r="D3889" t="s">
        <v>17724</v>
      </c>
      <c r="E3889" t="s">
        <v>182</v>
      </c>
      <c r="F3889" t="s">
        <v>1622</v>
      </c>
      <c r="G3889" t="s">
        <v>17725</v>
      </c>
      <c r="H3889">
        <v>18.149999999999999</v>
      </c>
      <c r="I3889">
        <v>0</v>
      </c>
      <c r="J3889">
        <v>0</v>
      </c>
      <c r="K3889">
        <v>0</v>
      </c>
      <c r="N3889">
        <v>6</v>
      </c>
      <c r="O3889">
        <v>6</v>
      </c>
      <c r="P3889">
        <v>0</v>
      </c>
      <c r="Q3889">
        <v>2</v>
      </c>
      <c r="R3889">
        <v>26.15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H3889">
        <v>26.15</v>
      </c>
    </row>
    <row r="3890" spans="1:34" x14ac:dyDescent="0.3">
      <c r="A3890" s="4">
        <v>4104</v>
      </c>
      <c r="B3890" s="5">
        <v>3883</v>
      </c>
      <c r="C3890">
        <v>10694</v>
      </c>
      <c r="D3890" t="s">
        <v>17726</v>
      </c>
      <c r="E3890" t="s">
        <v>213</v>
      </c>
      <c r="F3890" t="s">
        <v>38</v>
      </c>
      <c r="G3890" t="s">
        <v>17727</v>
      </c>
      <c r="H3890">
        <v>17.149999999999999</v>
      </c>
      <c r="I3890">
        <v>0</v>
      </c>
      <c r="J3890">
        <v>0</v>
      </c>
      <c r="K3890">
        <v>0</v>
      </c>
      <c r="L3890">
        <v>7</v>
      </c>
      <c r="O3890">
        <v>7</v>
      </c>
      <c r="P3890">
        <v>0</v>
      </c>
      <c r="Q3890">
        <v>2</v>
      </c>
      <c r="R3890">
        <v>26.15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H3890">
        <v>26.15</v>
      </c>
    </row>
    <row r="3891" spans="1:34" x14ac:dyDescent="0.3">
      <c r="A3891" s="4">
        <v>4105</v>
      </c>
      <c r="B3891" s="5">
        <v>3884</v>
      </c>
      <c r="C3891">
        <v>15469</v>
      </c>
      <c r="D3891" t="s">
        <v>17728</v>
      </c>
      <c r="E3891" t="s">
        <v>26</v>
      </c>
      <c r="F3891" t="s">
        <v>17</v>
      </c>
      <c r="G3891" t="s">
        <v>17729</v>
      </c>
      <c r="H3891">
        <v>19.13</v>
      </c>
      <c r="I3891">
        <v>0</v>
      </c>
      <c r="J3891">
        <v>0</v>
      </c>
      <c r="K3891">
        <v>0</v>
      </c>
      <c r="L3891">
        <v>7</v>
      </c>
      <c r="O3891">
        <v>7</v>
      </c>
      <c r="P3891">
        <v>0</v>
      </c>
      <c r="Q3891">
        <v>0</v>
      </c>
      <c r="R3891">
        <v>26.13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H3891">
        <v>26.13</v>
      </c>
    </row>
    <row r="3892" spans="1:34" x14ac:dyDescent="0.3">
      <c r="A3892" s="4">
        <v>4106</v>
      </c>
      <c r="B3892" s="5">
        <v>3885</v>
      </c>
      <c r="C3892">
        <v>7389</v>
      </c>
      <c r="D3892" t="s">
        <v>17730</v>
      </c>
      <c r="E3892" t="s">
        <v>1652</v>
      </c>
      <c r="F3892" t="s">
        <v>2318</v>
      </c>
      <c r="G3892" t="s">
        <v>17731</v>
      </c>
      <c r="H3892">
        <v>17.13</v>
      </c>
      <c r="I3892">
        <v>0</v>
      </c>
      <c r="J3892">
        <v>0</v>
      </c>
      <c r="K3892">
        <v>0</v>
      </c>
      <c r="M3892">
        <v>5</v>
      </c>
      <c r="O3892">
        <v>5</v>
      </c>
      <c r="P3892">
        <v>4</v>
      </c>
      <c r="Q3892">
        <v>0</v>
      </c>
      <c r="R3892">
        <v>26.13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H3892">
        <v>26.13</v>
      </c>
    </row>
    <row r="3893" spans="1:34" x14ac:dyDescent="0.3">
      <c r="A3893" s="4">
        <v>4107</v>
      </c>
      <c r="B3893" s="5">
        <v>3886</v>
      </c>
      <c r="C3893">
        <v>11183</v>
      </c>
      <c r="D3893" t="s">
        <v>5985</v>
      </c>
      <c r="E3893" t="s">
        <v>17732</v>
      </c>
      <c r="F3893" t="s">
        <v>124</v>
      </c>
      <c r="G3893" t="s">
        <v>17733</v>
      </c>
      <c r="H3893">
        <v>22.1</v>
      </c>
      <c r="I3893">
        <v>0</v>
      </c>
      <c r="J3893">
        <v>0</v>
      </c>
      <c r="K3893">
        <v>0</v>
      </c>
      <c r="O3893">
        <v>0</v>
      </c>
      <c r="P3893">
        <v>4</v>
      </c>
      <c r="Q3893">
        <v>0</v>
      </c>
      <c r="R3893">
        <v>26.1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H3893">
        <v>26.1</v>
      </c>
    </row>
    <row r="3894" spans="1:34" x14ac:dyDescent="0.3">
      <c r="A3894" s="4">
        <v>4108</v>
      </c>
      <c r="B3894" s="5">
        <v>3887</v>
      </c>
      <c r="C3894">
        <v>8126</v>
      </c>
      <c r="D3894" t="s">
        <v>17734</v>
      </c>
      <c r="E3894" t="s">
        <v>17735</v>
      </c>
      <c r="F3894" t="s">
        <v>17736</v>
      </c>
      <c r="G3894" t="s">
        <v>17737</v>
      </c>
      <c r="H3894">
        <v>16.079999999999998</v>
      </c>
      <c r="I3894">
        <v>0</v>
      </c>
      <c r="J3894">
        <v>0</v>
      </c>
      <c r="K3894">
        <v>0</v>
      </c>
      <c r="O3894">
        <v>0</v>
      </c>
      <c r="P3894">
        <v>4</v>
      </c>
      <c r="Q3894">
        <v>0</v>
      </c>
      <c r="R3894">
        <v>20.079999999999998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6</v>
      </c>
      <c r="AC3894">
        <v>0</v>
      </c>
      <c r="AH3894">
        <v>26.08</v>
      </c>
    </row>
    <row r="3895" spans="1:34" x14ac:dyDescent="0.3">
      <c r="A3895" s="4">
        <v>4109</v>
      </c>
      <c r="B3895" s="5">
        <v>3888</v>
      </c>
      <c r="C3895">
        <v>1671</v>
      </c>
      <c r="D3895" t="s">
        <v>12970</v>
      </c>
      <c r="E3895" t="s">
        <v>110</v>
      </c>
      <c r="F3895" t="s">
        <v>4680</v>
      </c>
      <c r="G3895" t="s">
        <v>17738</v>
      </c>
      <c r="H3895">
        <v>19.079999999999998</v>
      </c>
      <c r="I3895">
        <v>0</v>
      </c>
      <c r="J3895">
        <v>0</v>
      </c>
      <c r="K3895">
        <v>0</v>
      </c>
      <c r="L3895">
        <v>7</v>
      </c>
      <c r="O3895">
        <v>7</v>
      </c>
      <c r="P3895">
        <v>0</v>
      </c>
      <c r="Q3895">
        <v>0</v>
      </c>
      <c r="R3895">
        <v>26.08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H3895">
        <v>26.08</v>
      </c>
    </row>
    <row r="3896" spans="1:34" x14ac:dyDescent="0.3">
      <c r="A3896" s="4">
        <v>4110</v>
      </c>
      <c r="B3896" s="5">
        <v>3889</v>
      </c>
      <c r="C3896">
        <v>11473</v>
      </c>
      <c r="D3896" t="s">
        <v>17739</v>
      </c>
      <c r="E3896" t="s">
        <v>33</v>
      </c>
      <c r="F3896" t="s">
        <v>17</v>
      </c>
      <c r="G3896" t="s">
        <v>17740</v>
      </c>
      <c r="H3896">
        <v>17.05</v>
      </c>
      <c r="I3896">
        <v>0</v>
      </c>
      <c r="J3896">
        <v>0</v>
      </c>
      <c r="K3896">
        <v>0</v>
      </c>
      <c r="M3896">
        <v>5</v>
      </c>
      <c r="O3896">
        <v>5</v>
      </c>
      <c r="P3896">
        <v>4</v>
      </c>
      <c r="Q3896">
        <v>0</v>
      </c>
      <c r="R3896">
        <v>26.05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H3896">
        <v>26.05</v>
      </c>
    </row>
    <row r="3897" spans="1:34" x14ac:dyDescent="0.3">
      <c r="A3897" s="4">
        <v>4111</v>
      </c>
      <c r="B3897" s="5">
        <v>3890</v>
      </c>
      <c r="C3897">
        <v>15642</v>
      </c>
      <c r="D3897" t="s">
        <v>17741</v>
      </c>
      <c r="E3897" t="s">
        <v>54</v>
      </c>
      <c r="F3897" t="s">
        <v>81</v>
      </c>
      <c r="G3897" t="s">
        <v>17742</v>
      </c>
      <c r="H3897">
        <v>17.03</v>
      </c>
      <c r="I3897">
        <v>0</v>
      </c>
      <c r="J3897">
        <v>0</v>
      </c>
      <c r="K3897">
        <v>0</v>
      </c>
      <c r="M3897">
        <v>5</v>
      </c>
      <c r="O3897">
        <v>5</v>
      </c>
      <c r="P3897">
        <v>4</v>
      </c>
      <c r="Q3897">
        <v>0</v>
      </c>
      <c r="R3897">
        <v>26.03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H3897">
        <v>26.03</v>
      </c>
    </row>
    <row r="3898" spans="1:34" x14ac:dyDescent="0.3">
      <c r="A3898" s="4">
        <v>4112</v>
      </c>
      <c r="B3898" s="5">
        <v>3891</v>
      </c>
      <c r="C3898">
        <v>797</v>
      </c>
      <c r="D3898" t="s">
        <v>17743</v>
      </c>
      <c r="E3898" t="s">
        <v>147</v>
      </c>
      <c r="F3898" t="s">
        <v>20</v>
      </c>
      <c r="G3898" t="s">
        <v>17744</v>
      </c>
      <c r="H3898">
        <v>16.98</v>
      </c>
      <c r="I3898">
        <v>0</v>
      </c>
      <c r="J3898">
        <v>0</v>
      </c>
      <c r="K3898">
        <v>0</v>
      </c>
      <c r="N3898">
        <v>3</v>
      </c>
      <c r="O3898">
        <v>3</v>
      </c>
      <c r="P3898">
        <v>4</v>
      </c>
      <c r="Q3898">
        <v>2</v>
      </c>
      <c r="R3898">
        <v>25.98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H3898">
        <v>25.98</v>
      </c>
    </row>
    <row r="3899" spans="1:34" x14ac:dyDescent="0.3">
      <c r="A3899" s="4">
        <v>4113</v>
      </c>
      <c r="B3899" s="5">
        <v>3892</v>
      </c>
      <c r="C3899">
        <v>8147</v>
      </c>
      <c r="D3899" t="s">
        <v>17745</v>
      </c>
      <c r="E3899" t="s">
        <v>208</v>
      </c>
      <c r="F3899" t="s">
        <v>124</v>
      </c>
      <c r="G3899" t="s">
        <v>17746</v>
      </c>
      <c r="H3899">
        <v>16.95</v>
      </c>
      <c r="I3899">
        <v>0</v>
      </c>
      <c r="J3899">
        <v>0</v>
      </c>
      <c r="K3899">
        <v>0</v>
      </c>
      <c r="N3899">
        <v>3</v>
      </c>
      <c r="O3899">
        <v>3</v>
      </c>
      <c r="P3899">
        <v>4</v>
      </c>
      <c r="Q3899">
        <v>2</v>
      </c>
      <c r="R3899">
        <v>25.95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 t="s">
        <v>130</v>
      </c>
      <c r="AH3899">
        <v>25.95</v>
      </c>
    </row>
    <row r="3900" spans="1:34" x14ac:dyDescent="0.3">
      <c r="A3900" s="4">
        <v>4114</v>
      </c>
      <c r="B3900" s="5">
        <v>3893</v>
      </c>
      <c r="C3900">
        <v>7777</v>
      </c>
      <c r="D3900" t="s">
        <v>6876</v>
      </c>
      <c r="E3900" t="s">
        <v>110</v>
      </c>
      <c r="F3900" t="s">
        <v>230</v>
      </c>
      <c r="G3900" t="s">
        <v>17747</v>
      </c>
      <c r="H3900">
        <v>18.93</v>
      </c>
      <c r="I3900">
        <v>0</v>
      </c>
      <c r="J3900">
        <v>0</v>
      </c>
      <c r="K3900">
        <v>0</v>
      </c>
      <c r="N3900">
        <v>3</v>
      </c>
      <c r="O3900">
        <v>3</v>
      </c>
      <c r="P3900">
        <v>4</v>
      </c>
      <c r="Q3900">
        <v>0</v>
      </c>
      <c r="R3900">
        <v>25.93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H3900">
        <v>25.93</v>
      </c>
    </row>
    <row r="3901" spans="1:34" x14ac:dyDescent="0.3">
      <c r="A3901" s="4">
        <v>4115</v>
      </c>
      <c r="B3901" s="5">
        <v>3894</v>
      </c>
      <c r="C3901">
        <v>11639</v>
      </c>
      <c r="D3901" t="s">
        <v>11698</v>
      </c>
      <c r="E3901" t="s">
        <v>6996</v>
      </c>
      <c r="F3901" t="s">
        <v>20</v>
      </c>
      <c r="G3901" t="s">
        <v>17748</v>
      </c>
      <c r="H3901">
        <v>18.93</v>
      </c>
      <c r="I3901">
        <v>0</v>
      </c>
      <c r="J3901">
        <v>0</v>
      </c>
      <c r="K3901">
        <v>0</v>
      </c>
      <c r="L3901">
        <v>7</v>
      </c>
      <c r="O3901">
        <v>7</v>
      </c>
      <c r="P3901">
        <v>0</v>
      </c>
      <c r="Q3901">
        <v>0</v>
      </c>
      <c r="R3901">
        <v>25.93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H3901">
        <v>25.93</v>
      </c>
    </row>
    <row r="3902" spans="1:34" x14ac:dyDescent="0.3">
      <c r="A3902" s="4">
        <v>4116</v>
      </c>
      <c r="B3902" s="5">
        <v>3895</v>
      </c>
      <c r="C3902">
        <v>135</v>
      </c>
      <c r="D3902" t="s">
        <v>7029</v>
      </c>
      <c r="E3902" t="s">
        <v>17</v>
      </c>
      <c r="F3902" t="s">
        <v>20</v>
      </c>
      <c r="G3902" t="s">
        <v>17749</v>
      </c>
      <c r="H3902">
        <v>18.93</v>
      </c>
      <c r="I3902">
        <v>0</v>
      </c>
      <c r="J3902">
        <v>0</v>
      </c>
      <c r="K3902">
        <v>0</v>
      </c>
      <c r="N3902">
        <v>3</v>
      </c>
      <c r="O3902">
        <v>3</v>
      </c>
      <c r="P3902">
        <v>4</v>
      </c>
      <c r="Q3902">
        <v>0</v>
      </c>
      <c r="R3902">
        <v>25.93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H3902">
        <v>25.93</v>
      </c>
    </row>
    <row r="3903" spans="1:34" x14ac:dyDescent="0.3">
      <c r="A3903" s="4">
        <v>4117</v>
      </c>
      <c r="B3903" s="5">
        <v>3896</v>
      </c>
      <c r="C3903">
        <v>3234</v>
      </c>
      <c r="D3903" t="s">
        <v>3119</v>
      </c>
      <c r="E3903" t="s">
        <v>188</v>
      </c>
      <c r="F3903" t="s">
        <v>81</v>
      </c>
      <c r="G3903" t="s">
        <v>17750</v>
      </c>
      <c r="H3903">
        <v>18.899999999999999</v>
      </c>
      <c r="I3903">
        <v>0</v>
      </c>
      <c r="J3903">
        <v>0</v>
      </c>
      <c r="K3903">
        <v>0</v>
      </c>
      <c r="N3903">
        <v>3</v>
      </c>
      <c r="O3903">
        <v>3</v>
      </c>
      <c r="P3903">
        <v>4</v>
      </c>
      <c r="Q3903">
        <v>0</v>
      </c>
      <c r="R3903">
        <v>25.9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H3903">
        <v>25.9</v>
      </c>
    </row>
    <row r="3904" spans="1:34" x14ac:dyDescent="0.3">
      <c r="A3904" s="4">
        <v>4118</v>
      </c>
      <c r="B3904" s="5">
        <v>3897</v>
      </c>
      <c r="C3904">
        <v>10081</v>
      </c>
      <c r="D3904" t="s">
        <v>11435</v>
      </c>
      <c r="E3904" t="s">
        <v>10256</v>
      </c>
      <c r="F3904" t="s">
        <v>190</v>
      </c>
      <c r="G3904" t="s">
        <v>17751</v>
      </c>
      <c r="H3904">
        <v>20.88</v>
      </c>
      <c r="I3904">
        <v>0</v>
      </c>
      <c r="J3904">
        <v>0</v>
      </c>
      <c r="K3904">
        <v>0</v>
      </c>
      <c r="M3904">
        <v>5</v>
      </c>
      <c r="O3904">
        <v>5</v>
      </c>
      <c r="P3904">
        <v>0</v>
      </c>
      <c r="Q3904">
        <v>0</v>
      </c>
      <c r="R3904">
        <v>25.88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H3904">
        <v>25.88</v>
      </c>
    </row>
    <row r="3905" spans="1:34" x14ac:dyDescent="0.3">
      <c r="A3905" s="4">
        <v>4119</v>
      </c>
      <c r="B3905" s="5">
        <v>3898</v>
      </c>
      <c r="C3905">
        <v>7540</v>
      </c>
      <c r="D3905" t="s">
        <v>2416</v>
      </c>
      <c r="E3905" t="s">
        <v>208</v>
      </c>
      <c r="F3905" t="s">
        <v>17</v>
      </c>
      <c r="G3905" t="s">
        <v>17752</v>
      </c>
      <c r="H3905">
        <v>18.88</v>
      </c>
      <c r="I3905">
        <v>0</v>
      </c>
      <c r="J3905">
        <v>0</v>
      </c>
      <c r="K3905">
        <v>0</v>
      </c>
      <c r="L3905">
        <v>7</v>
      </c>
      <c r="O3905">
        <v>7</v>
      </c>
      <c r="P3905">
        <v>0</v>
      </c>
      <c r="Q3905">
        <v>0</v>
      </c>
      <c r="R3905">
        <v>25.88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H3905">
        <v>25.88</v>
      </c>
    </row>
    <row r="3906" spans="1:34" x14ac:dyDescent="0.3">
      <c r="A3906" s="4">
        <v>4120</v>
      </c>
      <c r="B3906" s="5">
        <v>3899</v>
      </c>
      <c r="C3906">
        <v>10731</v>
      </c>
      <c r="D3906" t="s">
        <v>17753</v>
      </c>
      <c r="E3906" t="s">
        <v>182</v>
      </c>
      <c r="F3906" t="s">
        <v>20</v>
      </c>
      <c r="G3906" t="s">
        <v>17754</v>
      </c>
      <c r="H3906">
        <v>18.88</v>
      </c>
      <c r="I3906">
        <v>0</v>
      </c>
      <c r="J3906">
        <v>0</v>
      </c>
      <c r="K3906">
        <v>0</v>
      </c>
      <c r="L3906">
        <v>7</v>
      </c>
      <c r="O3906">
        <v>7</v>
      </c>
      <c r="P3906">
        <v>0</v>
      </c>
      <c r="Q3906">
        <v>0</v>
      </c>
      <c r="R3906">
        <v>25.88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H3906">
        <v>25.88</v>
      </c>
    </row>
    <row r="3907" spans="1:34" x14ac:dyDescent="0.3">
      <c r="A3907" s="4">
        <v>4121</v>
      </c>
      <c r="B3907" s="5">
        <v>3900</v>
      </c>
      <c r="C3907">
        <v>8385</v>
      </c>
      <c r="D3907" t="s">
        <v>17755</v>
      </c>
      <c r="E3907" t="s">
        <v>17756</v>
      </c>
      <c r="F3907" t="s">
        <v>34</v>
      </c>
      <c r="G3907" t="s">
        <v>17757</v>
      </c>
      <c r="H3907">
        <v>18.88</v>
      </c>
      <c r="I3907">
        <v>0</v>
      </c>
      <c r="J3907">
        <v>0</v>
      </c>
      <c r="K3907">
        <v>0</v>
      </c>
      <c r="L3907">
        <v>7</v>
      </c>
      <c r="O3907">
        <v>7</v>
      </c>
      <c r="P3907">
        <v>0</v>
      </c>
      <c r="Q3907">
        <v>0</v>
      </c>
      <c r="R3907">
        <v>25.88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E3907" t="s">
        <v>130</v>
      </c>
      <c r="AH3907">
        <v>25.88</v>
      </c>
    </row>
    <row r="3908" spans="1:34" x14ac:dyDescent="0.3">
      <c r="A3908" s="4">
        <v>4122</v>
      </c>
      <c r="B3908" s="5">
        <v>3901</v>
      </c>
      <c r="C3908">
        <v>13252</v>
      </c>
      <c r="D3908" t="s">
        <v>17758</v>
      </c>
      <c r="E3908" t="s">
        <v>29</v>
      </c>
      <c r="F3908" t="s">
        <v>343</v>
      </c>
      <c r="G3908" t="s">
        <v>17759</v>
      </c>
      <c r="H3908">
        <v>16.88</v>
      </c>
      <c r="I3908">
        <v>0</v>
      </c>
      <c r="J3908">
        <v>0</v>
      </c>
      <c r="K3908">
        <v>0</v>
      </c>
      <c r="L3908">
        <v>7</v>
      </c>
      <c r="O3908">
        <v>7</v>
      </c>
      <c r="P3908">
        <v>0</v>
      </c>
      <c r="Q3908">
        <v>2</v>
      </c>
      <c r="R3908">
        <v>25.88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H3908">
        <v>25.88</v>
      </c>
    </row>
    <row r="3909" spans="1:34" x14ac:dyDescent="0.3">
      <c r="A3909" s="4">
        <v>4123</v>
      </c>
      <c r="B3909" s="5">
        <v>3902</v>
      </c>
      <c r="C3909">
        <v>12116</v>
      </c>
      <c r="D3909" t="s">
        <v>17760</v>
      </c>
      <c r="E3909" t="s">
        <v>17761</v>
      </c>
      <c r="F3909" t="s">
        <v>190</v>
      </c>
      <c r="G3909" t="s">
        <v>17762</v>
      </c>
      <c r="H3909">
        <v>14.88</v>
      </c>
      <c r="I3909">
        <v>0</v>
      </c>
      <c r="J3909">
        <v>0</v>
      </c>
      <c r="K3909">
        <v>0</v>
      </c>
      <c r="L3909">
        <v>7</v>
      </c>
      <c r="O3909">
        <v>7</v>
      </c>
      <c r="P3909">
        <v>4</v>
      </c>
      <c r="Q3909">
        <v>0</v>
      </c>
      <c r="R3909">
        <v>25.88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H3909">
        <v>25.88</v>
      </c>
    </row>
    <row r="3910" spans="1:34" x14ac:dyDescent="0.3">
      <c r="A3910" s="4">
        <v>4124</v>
      </c>
      <c r="B3910" s="5">
        <v>3903</v>
      </c>
      <c r="C3910">
        <v>9017</v>
      </c>
      <c r="D3910" t="s">
        <v>17763</v>
      </c>
      <c r="E3910" t="s">
        <v>516</v>
      </c>
      <c r="F3910" t="s">
        <v>2237</v>
      </c>
      <c r="G3910" t="s">
        <v>17764</v>
      </c>
      <c r="H3910">
        <v>19.850000000000001</v>
      </c>
      <c r="I3910">
        <v>0</v>
      </c>
      <c r="J3910">
        <v>0</v>
      </c>
      <c r="K3910">
        <v>0</v>
      </c>
      <c r="N3910">
        <v>3</v>
      </c>
      <c r="O3910">
        <v>3</v>
      </c>
      <c r="P3910">
        <v>0</v>
      </c>
      <c r="Q3910">
        <v>0</v>
      </c>
      <c r="R3910">
        <v>22.85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3</v>
      </c>
      <c r="AC3910">
        <v>0</v>
      </c>
      <c r="AH3910">
        <v>25.85</v>
      </c>
    </row>
    <row r="3911" spans="1:34" x14ac:dyDescent="0.3">
      <c r="A3911" s="4">
        <v>4125</v>
      </c>
      <c r="B3911" s="5">
        <v>3904</v>
      </c>
      <c r="C3911">
        <v>6658</v>
      </c>
      <c r="D3911" t="s">
        <v>17765</v>
      </c>
      <c r="E3911" t="s">
        <v>208</v>
      </c>
      <c r="F3911" t="s">
        <v>343</v>
      </c>
      <c r="G3911" t="s">
        <v>17766</v>
      </c>
      <c r="H3911">
        <v>19.850000000000001</v>
      </c>
      <c r="I3911">
        <v>0</v>
      </c>
      <c r="J3911">
        <v>0</v>
      </c>
      <c r="K3911">
        <v>0</v>
      </c>
      <c r="O3911">
        <v>0</v>
      </c>
      <c r="P3911">
        <v>4</v>
      </c>
      <c r="Q3911">
        <v>2</v>
      </c>
      <c r="R3911">
        <v>25.85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H3911">
        <v>25.85</v>
      </c>
    </row>
    <row r="3912" spans="1:34" x14ac:dyDescent="0.3">
      <c r="A3912" s="4">
        <v>4126</v>
      </c>
      <c r="B3912" s="5">
        <v>3905</v>
      </c>
      <c r="C3912">
        <v>13436</v>
      </c>
      <c r="D3912" t="s">
        <v>17767</v>
      </c>
      <c r="E3912" t="s">
        <v>41</v>
      </c>
      <c r="F3912" t="s">
        <v>158</v>
      </c>
      <c r="G3912" t="s">
        <v>17768</v>
      </c>
      <c r="H3912">
        <v>18.850000000000001</v>
      </c>
      <c r="I3912">
        <v>0</v>
      </c>
      <c r="J3912">
        <v>0</v>
      </c>
      <c r="K3912">
        <v>0</v>
      </c>
      <c r="N3912">
        <v>3</v>
      </c>
      <c r="O3912">
        <v>3</v>
      </c>
      <c r="P3912">
        <v>4</v>
      </c>
      <c r="Q3912">
        <v>0</v>
      </c>
      <c r="R3912">
        <v>25.85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H3912">
        <v>25.85</v>
      </c>
    </row>
    <row r="3913" spans="1:34" x14ac:dyDescent="0.3">
      <c r="A3913" s="4">
        <v>4127</v>
      </c>
      <c r="B3913" s="5">
        <v>3906</v>
      </c>
      <c r="C3913">
        <v>10788</v>
      </c>
      <c r="D3913" t="s">
        <v>7041</v>
      </c>
      <c r="E3913" t="s">
        <v>33</v>
      </c>
      <c r="F3913" t="s">
        <v>38</v>
      </c>
      <c r="G3913" t="s">
        <v>17769</v>
      </c>
      <c r="H3913">
        <v>16.850000000000001</v>
      </c>
      <c r="I3913">
        <v>0</v>
      </c>
      <c r="J3913">
        <v>0</v>
      </c>
      <c r="K3913">
        <v>0</v>
      </c>
      <c r="N3913">
        <v>3</v>
      </c>
      <c r="O3913">
        <v>3</v>
      </c>
      <c r="P3913">
        <v>4</v>
      </c>
      <c r="Q3913">
        <v>2</v>
      </c>
      <c r="R3913">
        <v>25.85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H3913">
        <v>25.85</v>
      </c>
    </row>
    <row r="3914" spans="1:34" x14ac:dyDescent="0.3">
      <c r="A3914" s="4">
        <v>4128</v>
      </c>
      <c r="B3914" s="5">
        <v>3907</v>
      </c>
      <c r="C3914">
        <v>14496</v>
      </c>
      <c r="D3914" t="s">
        <v>5785</v>
      </c>
      <c r="E3914" t="s">
        <v>29</v>
      </c>
      <c r="F3914" t="s">
        <v>17</v>
      </c>
      <c r="G3914" t="s">
        <v>17770</v>
      </c>
      <c r="H3914">
        <v>15.85</v>
      </c>
      <c r="I3914">
        <v>0</v>
      </c>
      <c r="J3914">
        <v>0</v>
      </c>
      <c r="K3914">
        <v>0</v>
      </c>
      <c r="L3914">
        <v>7</v>
      </c>
      <c r="N3914">
        <v>3</v>
      </c>
      <c r="O3914">
        <v>10</v>
      </c>
      <c r="P3914">
        <v>0</v>
      </c>
      <c r="Q3914">
        <v>0</v>
      </c>
      <c r="R3914">
        <v>25.85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H3914">
        <v>25.85</v>
      </c>
    </row>
    <row r="3915" spans="1:34" x14ac:dyDescent="0.3">
      <c r="A3915" s="4">
        <v>4129</v>
      </c>
      <c r="B3915" s="5">
        <v>3908</v>
      </c>
      <c r="C3915">
        <v>2728</v>
      </c>
      <c r="D3915" t="s">
        <v>17771</v>
      </c>
      <c r="E3915" t="s">
        <v>29</v>
      </c>
      <c r="F3915" t="s">
        <v>17</v>
      </c>
      <c r="G3915" t="s">
        <v>17772</v>
      </c>
      <c r="H3915">
        <v>16.829999999999998</v>
      </c>
      <c r="I3915">
        <v>0</v>
      </c>
      <c r="J3915">
        <v>0</v>
      </c>
      <c r="K3915">
        <v>0</v>
      </c>
      <c r="N3915">
        <v>3</v>
      </c>
      <c r="O3915">
        <v>3</v>
      </c>
      <c r="P3915">
        <v>4</v>
      </c>
      <c r="Q3915">
        <v>2</v>
      </c>
      <c r="R3915">
        <v>25.83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H3915">
        <v>25.83</v>
      </c>
    </row>
    <row r="3916" spans="1:34" x14ac:dyDescent="0.3">
      <c r="A3916" s="4">
        <v>4130</v>
      </c>
      <c r="B3916" s="5">
        <v>3909</v>
      </c>
      <c r="C3916">
        <v>6230</v>
      </c>
      <c r="D3916" t="s">
        <v>17773</v>
      </c>
      <c r="E3916" t="s">
        <v>132</v>
      </c>
      <c r="F3916" t="s">
        <v>17774</v>
      </c>
      <c r="G3916" t="s">
        <v>17775</v>
      </c>
      <c r="H3916">
        <v>16.829999999999998</v>
      </c>
      <c r="I3916">
        <v>0</v>
      </c>
      <c r="J3916">
        <v>0</v>
      </c>
      <c r="K3916">
        <v>0</v>
      </c>
      <c r="N3916">
        <v>3</v>
      </c>
      <c r="O3916">
        <v>3</v>
      </c>
      <c r="P3916">
        <v>4</v>
      </c>
      <c r="Q3916">
        <v>2</v>
      </c>
      <c r="R3916">
        <v>25.83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H3916">
        <v>25.83</v>
      </c>
    </row>
    <row r="3917" spans="1:34" x14ac:dyDescent="0.3">
      <c r="A3917" s="4">
        <v>4131</v>
      </c>
      <c r="B3917" s="5">
        <v>3910</v>
      </c>
      <c r="C3917">
        <v>7061</v>
      </c>
      <c r="D3917" t="s">
        <v>1296</v>
      </c>
      <c r="E3917" t="s">
        <v>41</v>
      </c>
      <c r="F3917" t="s">
        <v>259</v>
      </c>
      <c r="G3917" t="s">
        <v>17776</v>
      </c>
      <c r="H3917">
        <v>16.8</v>
      </c>
      <c r="I3917">
        <v>0</v>
      </c>
      <c r="J3917">
        <v>0</v>
      </c>
      <c r="K3917">
        <v>0</v>
      </c>
      <c r="N3917">
        <v>3</v>
      </c>
      <c r="O3917">
        <v>3</v>
      </c>
      <c r="P3917">
        <v>4</v>
      </c>
      <c r="Q3917">
        <v>2</v>
      </c>
      <c r="R3917">
        <v>25.8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 t="s">
        <v>130</v>
      </c>
      <c r="AH3917">
        <v>25.8</v>
      </c>
    </row>
    <row r="3918" spans="1:34" x14ac:dyDescent="0.3">
      <c r="A3918" s="4">
        <v>4132</v>
      </c>
      <c r="B3918" s="5">
        <v>3911</v>
      </c>
      <c r="C3918">
        <v>7616</v>
      </c>
      <c r="D3918" t="s">
        <v>7406</v>
      </c>
      <c r="E3918" t="s">
        <v>188</v>
      </c>
      <c r="F3918" t="s">
        <v>158</v>
      </c>
      <c r="G3918" t="s">
        <v>17777</v>
      </c>
      <c r="H3918">
        <v>18.75</v>
      </c>
      <c r="I3918">
        <v>0</v>
      </c>
      <c r="J3918">
        <v>0</v>
      </c>
      <c r="K3918">
        <v>0</v>
      </c>
      <c r="N3918">
        <v>3</v>
      </c>
      <c r="O3918">
        <v>3</v>
      </c>
      <c r="P3918">
        <v>4</v>
      </c>
      <c r="Q3918">
        <v>0</v>
      </c>
      <c r="R3918">
        <v>25.75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H3918">
        <v>25.75</v>
      </c>
    </row>
    <row r="3919" spans="1:34" x14ac:dyDescent="0.3">
      <c r="A3919" s="4">
        <v>4133</v>
      </c>
      <c r="B3919" s="5">
        <v>3912</v>
      </c>
      <c r="C3919">
        <v>4029</v>
      </c>
      <c r="D3919" t="s">
        <v>17778</v>
      </c>
      <c r="E3919" t="s">
        <v>342</v>
      </c>
      <c r="F3919" t="s">
        <v>343</v>
      </c>
      <c r="G3919" t="s">
        <v>17779</v>
      </c>
      <c r="H3919">
        <v>18.73</v>
      </c>
      <c r="I3919">
        <v>0</v>
      </c>
      <c r="J3919">
        <v>0</v>
      </c>
      <c r="K3919">
        <v>0</v>
      </c>
      <c r="N3919">
        <v>3</v>
      </c>
      <c r="O3919">
        <v>3</v>
      </c>
      <c r="P3919">
        <v>4</v>
      </c>
      <c r="Q3919">
        <v>0</v>
      </c>
      <c r="R3919">
        <v>25.73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H3919">
        <v>25.73</v>
      </c>
    </row>
    <row r="3920" spans="1:34" x14ac:dyDescent="0.3">
      <c r="A3920" s="4">
        <v>4134</v>
      </c>
      <c r="B3920" s="5">
        <v>3913</v>
      </c>
      <c r="C3920">
        <v>9771</v>
      </c>
      <c r="D3920" t="s">
        <v>60</v>
      </c>
      <c r="E3920" t="s">
        <v>132</v>
      </c>
      <c r="F3920" t="s">
        <v>14</v>
      </c>
      <c r="G3920" t="s">
        <v>17780</v>
      </c>
      <c r="H3920">
        <v>18.7</v>
      </c>
      <c r="I3920">
        <v>0</v>
      </c>
      <c r="J3920">
        <v>0</v>
      </c>
      <c r="K3920">
        <v>0</v>
      </c>
      <c r="L3920">
        <v>7</v>
      </c>
      <c r="O3920">
        <v>7</v>
      </c>
      <c r="P3920">
        <v>0</v>
      </c>
      <c r="Q3920">
        <v>0</v>
      </c>
      <c r="R3920">
        <v>25.7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H3920">
        <v>25.7</v>
      </c>
    </row>
    <row r="3921" spans="1:34" x14ac:dyDescent="0.3">
      <c r="A3921" s="4">
        <v>4135</v>
      </c>
      <c r="B3921" s="5">
        <v>3914</v>
      </c>
      <c r="C3921">
        <v>6425</v>
      </c>
      <c r="D3921" t="s">
        <v>549</v>
      </c>
      <c r="E3921" t="s">
        <v>97</v>
      </c>
      <c r="F3921" t="s">
        <v>230</v>
      </c>
      <c r="G3921" t="s">
        <v>32009</v>
      </c>
      <c r="H3921">
        <v>15.7</v>
      </c>
      <c r="I3921">
        <v>0</v>
      </c>
      <c r="J3921">
        <v>0</v>
      </c>
      <c r="K3921">
        <v>0</v>
      </c>
      <c r="N3921">
        <v>6</v>
      </c>
      <c r="O3921">
        <v>6</v>
      </c>
      <c r="P3921">
        <v>4</v>
      </c>
      <c r="Q3921">
        <v>0</v>
      </c>
      <c r="R3921">
        <v>25.7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H3921">
        <v>25.7</v>
      </c>
    </row>
    <row r="3922" spans="1:34" x14ac:dyDescent="0.3">
      <c r="A3922" s="4">
        <v>4136</v>
      </c>
      <c r="B3922" s="5">
        <v>3915</v>
      </c>
      <c r="C3922">
        <v>11999</v>
      </c>
      <c r="D3922" t="s">
        <v>17781</v>
      </c>
      <c r="E3922" t="s">
        <v>5009</v>
      </c>
      <c r="F3922" t="s">
        <v>230</v>
      </c>
      <c r="G3922" t="s">
        <v>17782</v>
      </c>
      <c r="H3922">
        <v>18.68</v>
      </c>
      <c r="I3922">
        <v>0</v>
      </c>
      <c r="J3922">
        <v>0</v>
      </c>
      <c r="K3922">
        <v>0</v>
      </c>
      <c r="L3922">
        <v>7</v>
      </c>
      <c r="O3922">
        <v>7</v>
      </c>
      <c r="P3922">
        <v>0</v>
      </c>
      <c r="Q3922">
        <v>0</v>
      </c>
      <c r="R3922">
        <v>25.68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H3922">
        <v>25.68</v>
      </c>
    </row>
    <row r="3923" spans="1:34" x14ac:dyDescent="0.3">
      <c r="A3923" s="4">
        <v>4137</v>
      </c>
      <c r="B3923" s="5">
        <v>3916</v>
      </c>
      <c r="C3923">
        <v>5422</v>
      </c>
      <c r="D3923" t="s">
        <v>17783</v>
      </c>
      <c r="E3923" t="s">
        <v>17784</v>
      </c>
      <c r="F3923" t="s">
        <v>30</v>
      </c>
      <c r="G3923" t="s">
        <v>17785</v>
      </c>
      <c r="H3923">
        <v>18.68</v>
      </c>
      <c r="I3923">
        <v>0</v>
      </c>
      <c r="J3923">
        <v>0</v>
      </c>
      <c r="K3923">
        <v>0</v>
      </c>
      <c r="L3923">
        <v>7</v>
      </c>
      <c r="O3923">
        <v>7</v>
      </c>
      <c r="P3923">
        <v>0</v>
      </c>
      <c r="Q3923">
        <v>0</v>
      </c>
      <c r="R3923">
        <v>25.68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H3923">
        <v>25.68</v>
      </c>
    </row>
    <row r="3924" spans="1:34" x14ac:dyDescent="0.3">
      <c r="A3924" s="4">
        <v>4138</v>
      </c>
      <c r="B3924" s="5">
        <v>3917</v>
      </c>
      <c r="C3924">
        <v>3422</v>
      </c>
      <c r="D3924" t="s">
        <v>17786</v>
      </c>
      <c r="E3924" t="s">
        <v>29</v>
      </c>
      <c r="F3924" t="s">
        <v>52</v>
      </c>
      <c r="G3924" t="s">
        <v>17787</v>
      </c>
      <c r="H3924">
        <v>19.649999999999999</v>
      </c>
      <c r="I3924">
        <v>0</v>
      </c>
      <c r="J3924">
        <v>0</v>
      </c>
      <c r="K3924">
        <v>0</v>
      </c>
      <c r="O3924">
        <v>0</v>
      </c>
      <c r="P3924">
        <v>0</v>
      </c>
      <c r="Q3924">
        <v>0</v>
      </c>
      <c r="R3924">
        <v>19.649999999999999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6</v>
      </c>
      <c r="AC3924">
        <v>0</v>
      </c>
      <c r="AH3924">
        <v>25.65</v>
      </c>
    </row>
    <row r="3925" spans="1:34" x14ac:dyDescent="0.3">
      <c r="A3925" s="4">
        <v>4139</v>
      </c>
      <c r="B3925" s="5">
        <v>3918</v>
      </c>
      <c r="C3925">
        <v>11595</v>
      </c>
      <c r="D3925" t="s">
        <v>17788</v>
      </c>
      <c r="E3925" t="s">
        <v>375</v>
      </c>
      <c r="F3925" t="s">
        <v>1023</v>
      </c>
      <c r="G3925" t="s">
        <v>17789</v>
      </c>
      <c r="H3925">
        <v>18.649999999999999</v>
      </c>
      <c r="I3925">
        <v>0</v>
      </c>
      <c r="J3925">
        <v>0</v>
      </c>
      <c r="K3925">
        <v>0</v>
      </c>
      <c r="N3925">
        <v>3</v>
      </c>
      <c r="O3925">
        <v>3</v>
      </c>
      <c r="P3925">
        <v>4</v>
      </c>
      <c r="Q3925">
        <v>0</v>
      </c>
      <c r="R3925">
        <v>25.65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H3925">
        <v>25.65</v>
      </c>
    </row>
    <row r="3926" spans="1:34" x14ac:dyDescent="0.3">
      <c r="A3926" s="4">
        <v>4140</v>
      </c>
      <c r="B3926" s="5">
        <v>3919</v>
      </c>
      <c r="C3926">
        <v>1092</v>
      </c>
      <c r="D3926" t="s">
        <v>2008</v>
      </c>
      <c r="E3926" t="s">
        <v>13460</v>
      </c>
      <c r="F3926" t="s">
        <v>20</v>
      </c>
      <c r="G3926" t="s">
        <v>17790</v>
      </c>
      <c r="H3926">
        <v>19.63</v>
      </c>
      <c r="I3926">
        <v>0</v>
      </c>
      <c r="J3926">
        <v>0</v>
      </c>
      <c r="K3926">
        <v>0</v>
      </c>
      <c r="N3926">
        <v>6</v>
      </c>
      <c r="O3926">
        <v>6</v>
      </c>
      <c r="P3926">
        <v>0</v>
      </c>
      <c r="Q3926">
        <v>0</v>
      </c>
      <c r="R3926">
        <v>25.63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H3926">
        <v>25.63</v>
      </c>
    </row>
    <row r="3927" spans="1:34" x14ac:dyDescent="0.3">
      <c r="A3927" s="4">
        <v>4141</v>
      </c>
      <c r="B3927" s="5">
        <v>3920</v>
      </c>
      <c r="C3927">
        <v>13275</v>
      </c>
      <c r="D3927" t="s">
        <v>17791</v>
      </c>
      <c r="E3927" t="s">
        <v>188</v>
      </c>
      <c r="F3927" t="s">
        <v>17792</v>
      </c>
      <c r="G3927" t="s">
        <v>17793</v>
      </c>
      <c r="H3927">
        <v>18.63</v>
      </c>
      <c r="I3927">
        <v>0</v>
      </c>
      <c r="J3927">
        <v>0</v>
      </c>
      <c r="K3927">
        <v>0</v>
      </c>
      <c r="N3927">
        <v>3</v>
      </c>
      <c r="O3927">
        <v>3</v>
      </c>
      <c r="P3927">
        <v>4</v>
      </c>
      <c r="Q3927">
        <v>0</v>
      </c>
      <c r="R3927">
        <v>25.63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H3927">
        <v>25.63</v>
      </c>
    </row>
    <row r="3928" spans="1:34" x14ac:dyDescent="0.3">
      <c r="A3928" s="4">
        <v>4142</v>
      </c>
      <c r="B3928" s="5">
        <v>3921</v>
      </c>
      <c r="C3928">
        <v>11599</v>
      </c>
      <c r="D3928" t="s">
        <v>547</v>
      </c>
      <c r="E3928" t="s">
        <v>17794</v>
      </c>
      <c r="F3928" t="s">
        <v>328</v>
      </c>
      <c r="G3928" t="s">
        <v>17795</v>
      </c>
      <c r="H3928">
        <v>16.63</v>
      </c>
      <c r="I3928">
        <v>0</v>
      </c>
      <c r="J3928">
        <v>0</v>
      </c>
      <c r="K3928">
        <v>0</v>
      </c>
      <c r="N3928">
        <v>3</v>
      </c>
      <c r="O3928">
        <v>3</v>
      </c>
      <c r="P3928">
        <v>0</v>
      </c>
      <c r="Q3928">
        <v>0</v>
      </c>
      <c r="R3928">
        <v>19.63</v>
      </c>
      <c r="S3928">
        <v>6</v>
      </c>
      <c r="T3928">
        <v>6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6</v>
      </c>
      <c r="AB3928">
        <v>0</v>
      </c>
      <c r="AC3928">
        <v>0</v>
      </c>
      <c r="AH3928">
        <v>25.63</v>
      </c>
    </row>
    <row r="3929" spans="1:34" x14ac:dyDescent="0.3">
      <c r="A3929" s="4">
        <v>4143</v>
      </c>
      <c r="B3929" s="5">
        <v>3922</v>
      </c>
      <c r="C3929">
        <v>14108</v>
      </c>
      <c r="D3929" t="s">
        <v>3056</v>
      </c>
      <c r="E3929" t="s">
        <v>992</v>
      </c>
      <c r="F3929" t="s">
        <v>20</v>
      </c>
      <c r="G3929" t="s">
        <v>17796</v>
      </c>
      <c r="H3929">
        <v>18.600000000000001</v>
      </c>
      <c r="I3929">
        <v>0</v>
      </c>
      <c r="J3929">
        <v>0</v>
      </c>
      <c r="K3929">
        <v>0</v>
      </c>
      <c r="L3929">
        <v>7</v>
      </c>
      <c r="O3929">
        <v>7</v>
      </c>
      <c r="P3929">
        <v>0</v>
      </c>
      <c r="Q3929">
        <v>0</v>
      </c>
      <c r="R3929">
        <v>25.6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H3929">
        <v>25.6</v>
      </c>
    </row>
    <row r="3930" spans="1:34" x14ac:dyDescent="0.3">
      <c r="A3930" s="4">
        <v>4144</v>
      </c>
      <c r="B3930" s="5">
        <v>3923</v>
      </c>
      <c r="C3930">
        <v>1767</v>
      </c>
      <c r="D3930" t="s">
        <v>17797</v>
      </c>
      <c r="E3930" t="s">
        <v>892</v>
      </c>
      <c r="F3930" t="s">
        <v>81</v>
      </c>
      <c r="G3930" t="s">
        <v>17798</v>
      </c>
      <c r="H3930">
        <v>16.600000000000001</v>
      </c>
      <c r="I3930">
        <v>0</v>
      </c>
      <c r="J3930">
        <v>0</v>
      </c>
      <c r="K3930">
        <v>0</v>
      </c>
      <c r="N3930">
        <v>3</v>
      </c>
      <c r="O3930">
        <v>3</v>
      </c>
      <c r="P3930">
        <v>4</v>
      </c>
      <c r="Q3930">
        <v>2</v>
      </c>
      <c r="R3930">
        <v>25.6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H3930">
        <v>25.6</v>
      </c>
    </row>
    <row r="3931" spans="1:34" x14ac:dyDescent="0.3">
      <c r="A3931" s="4">
        <v>4145</v>
      </c>
      <c r="B3931" s="5">
        <v>3924</v>
      </c>
      <c r="C3931">
        <v>5875</v>
      </c>
      <c r="D3931" t="s">
        <v>9296</v>
      </c>
      <c r="E3931" t="s">
        <v>188</v>
      </c>
      <c r="F3931" t="s">
        <v>38</v>
      </c>
      <c r="G3931" t="s">
        <v>17799</v>
      </c>
      <c r="H3931">
        <v>16.600000000000001</v>
      </c>
      <c r="I3931">
        <v>0</v>
      </c>
      <c r="J3931">
        <v>0</v>
      </c>
      <c r="K3931">
        <v>0</v>
      </c>
      <c r="L3931">
        <v>7</v>
      </c>
      <c r="O3931">
        <v>7</v>
      </c>
      <c r="P3931">
        <v>0</v>
      </c>
      <c r="Q3931">
        <v>2</v>
      </c>
      <c r="R3931">
        <v>25.6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H3931">
        <v>25.6</v>
      </c>
    </row>
    <row r="3932" spans="1:34" x14ac:dyDescent="0.3">
      <c r="A3932" s="4">
        <v>4146</v>
      </c>
      <c r="B3932" s="5">
        <v>3925</v>
      </c>
      <c r="C3932">
        <v>1895</v>
      </c>
      <c r="D3932" t="s">
        <v>2449</v>
      </c>
      <c r="E3932" t="s">
        <v>178</v>
      </c>
      <c r="F3932" t="s">
        <v>136</v>
      </c>
      <c r="G3932" t="s">
        <v>17800</v>
      </c>
      <c r="H3932">
        <v>20.58</v>
      </c>
      <c r="I3932">
        <v>0</v>
      </c>
      <c r="J3932">
        <v>0</v>
      </c>
      <c r="K3932">
        <v>0</v>
      </c>
      <c r="N3932">
        <v>3</v>
      </c>
      <c r="O3932">
        <v>3</v>
      </c>
      <c r="P3932">
        <v>0</v>
      </c>
      <c r="Q3932">
        <v>2</v>
      </c>
      <c r="R3932">
        <v>25.58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H3932">
        <v>25.58</v>
      </c>
    </row>
    <row r="3933" spans="1:34" x14ac:dyDescent="0.3">
      <c r="A3933" s="4">
        <v>4147</v>
      </c>
      <c r="B3933" s="5">
        <v>3926</v>
      </c>
      <c r="C3933">
        <v>5096</v>
      </c>
      <c r="D3933" t="s">
        <v>1599</v>
      </c>
      <c r="E3933" t="s">
        <v>166</v>
      </c>
      <c r="F3933" t="s">
        <v>81</v>
      </c>
      <c r="G3933" t="s">
        <v>17801</v>
      </c>
      <c r="H3933">
        <v>18.579999999999998</v>
      </c>
      <c r="I3933">
        <v>0</v>
      </c>
      <c r="J3933">
        <v>0</v>
      </c>
      <c r="K3933">
        <v>0</v>
      </c>
      <c r="M3933">
        <v>5</v>
      </c>
      <c r="O3933">
        <v>5</v>
      </c>
      <c r="P3933">
        <v>0</v>
      </c>
      <c r="Q3933">
        <v>2</v>
      </c>
      <c r="R3933">
        <v>25.58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H3933">
        <v>25.58</v>
      </c>
    </row>
    <row r="3934" spans="1:34" x14ac:dyDescent="0.3">
      <c r="A3934" s="4">
        <v>4148</v>
      </c>
      <c r="B3934" s="5">
        <v>3927</v>
      </c>
      <c r="C3934">
        <v>8896</v>
      </c>
      <c r="D3934" t="s">
        <v>17802</v>
      </c>
      <c r="E3934" t="s">
        <v>22</v>
      </c>
      <c r="F3934" t="s">
        <v>17803</v>
      </c>
      <c r="G3934" t="s">
        <v>17804</v>
      </c>
      <c r="H3934">
        <v>18.579999999999998</v>
      </c>
      <c r="I3934">
        <v>0</v>
      </c>
      <c r="J3934">
        <v>0</v>
      </c>
      <c r="K3934">
        <v>0</v>
      </c>
      <c r="N3934">
        <v>3</v>
      </c>
      <c r="O3934">
        <v>3</v>
      </c>
      <c r="P3934">
        <v>4</v>
      </c>
      <c r="Q3934">
        <v>0</v>
      </c>
      <c r="R3934">
        <v>25.58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H3934">
        <v>25.58</v>
      </c>
    </row>
    <row r="3935" spans="1:34" x14ac:dyDescent="0.3">
      <c r="A3935" s="4">
        <v>4149</v>
      </c>
      <c r="B3935" s="5">
        <v>3928</v>
      </c>
      <c r="C3935">
        <v>9410</v>
      </c>
      <c r="D3935" t="s">
        <v>17805</v>
      </c>
      <c r="E3935" t="s">
        <v>9456</v>
      </c>
      <c r="F3935" t="s">
        <v>17</v>
      </c>
      <c r="G3935" t="s">
        <v>17806</v>
      </c>
      <c r="H3935">
        <v>18.579999999999998</v>
      </c>
      <c r="I3935">
        <v>0</v>
      </c>
      <c r="J3935">
        <v>0</v>
      </c>
      <c r="K3935">
        <v>0</v>
      </c>
      <c r="L3935">
        <v>7</v>
      </c>
      <c r="O3935">
        <v>7</v>
      </c>
      <c r="P3935">
        <v>0</v>
      </c>
      <c r="Q3935">
        <v>0</v>
      </c>
      <c r="R3935">
        <v>25.58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H3935">
        <v>25.58</v>
      </c>
    </row>
    <row r="3936" spans="1:34" x14ac:dyDescent="0.3">
      <c r="A3936" s="4">
        <v>4150</v>
      </c>
      <c r="B3936" s="5">
        <v>3929</v>
      </c>
      <c r="C3936">
        <v>8682</v>
      </c>
      <c r="D3936" t="s">
        <v>3983</v>
      </c>
      <c r="E3936" t="s">
        <v>62</v>
      </c>
      <c r="F3936" t="s">
        <v>136</v>
      </c>
      <c r="G3936" t="s">
        <v>17807</v>
      </c>
      <c r="H3936">
        <v>18.55</v>
      </c>
      <c r="I3936">
        <v>0</v>
      </c>
      <c r="J3936">
        <v>0</v>
      </c>
      <c r="K3936">
        <v>0</v>
      </c>
      <c r="L3936">
        <v>7</v>
      </c>
      <c r="O3936">
        <v>7</v>
      </c>
      <c r="P3936">
        <v>0</v>
      </c>
      <c r="Q3936">
        <v>0</v>
      </c>
      <c r="R3936">
        <v>25.55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H3936">
        <v>25.55</v>
      </c>
    </row>
    <row r="3937" spans="1:34" x14ac:dyDescent="0.3">
      <c r="A3937" s="4">
        <v>4151</v>
      </c>
      <c r="B3937" s="5">
        <v>3930</v>
      </c>
      <c r="C3937">
        <v>14158</v>
      </c>
      <c r="D3937" t="s">
        <v>17808</v>
      </c>
      <c r="E3937" t="s">
        <v>22</v>
      </c>
      <c r="F3937" t="s">
        <v>782</v>
      </c>
      <c r="G3937" t="s">
        <v>17809</v>
      </c>
      <c r="H3937">
        <v>18.53</v>
      </c>
      <c r="I3937">
        <v>0</v>
      </c>
      <c r="J3937">
        <v>0</v>
      </c>
      <c r="K3937">
        <v>0</v>
      </c>
      <c r="L3937">
        <v>7</v>
      </c>
      <c r="O3937">
        <v>7</v>
      </c>
      <c r="P3937">
        <v>0</v>
      </c>
      <c r="Q3937">
        <v>0</v>
      </c>
      <c r="R3937">
        <v>25.53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H3937">
        <v>25.53</v>
      </c>
    </row>
    <row r="3938" spans="1:34" x14ac:dyDescent="0.3">
      <c r="A3938" s="4">
        <v>4152</v>
      </c>
      <c r="B3938" s="5">
        <v>3931</v>
      </c>
      <c r="C3938">
        <v>11625</v>
      </c>
      <c r="D3938" t="s">
        <v>4051</v>
      </c>
      <c r="E3938" t="s">
        <v>17810</v>
      </c>
      <c r="F3938" t="s">
        <v>243</v>
      </c>
      <c r="G3938" t="s">
        <v>17811</v>
      </c>
      <c r="H3938">
        <v>15.53</v>
      </c>
      <c r="I3938">
        <v>0</v>
      </c>
      <c r="J3938">
        <v>0</v>
      </c>
      <c r="K3938">
        <v>0</v>
      </c>
      <c r="N3938">
        <v>6</v>
      </c>
      <c r="O3938">
        <v>6</v>
      </c>
      <c r="P3938">
        <v>4</v>
      </c>
      <c r="Q3938">
        <v>0</v>
      </c>
      <c r="R3938">
        <v>25.53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H3938">
        <v>25.53</v>
      </c>
    </row>
    <row r="3939" spans="1:34" x14ac:dyDescent="0.3">
      <c r="A3939" s="4">
        <v>4153</v>
      </c>
      <c r="B3939" s="5">
        <v>3932</v>
      </c>
      <c r="C3939">
        <v>6287</v>
      </c>
      <c r="D3939" t="s">
        <v>12757</v>
      </c>
      <c r="E3939" t="s">
        <v>29</v>
      </c>
      <c r="F3939" t="s">
        <v>117</v>
      </c>
      <c r="G3939" t="s">
        <v>17812</v>
      </c>
      <c r="H3939">
        <v>12.5</v>
      </c>
      <c r="I3939">
        <v>0</v>
      </c>
      <c r="J3939">
        <v>0</v>
      </c>
      <c r="K3939">
        <v>0</v>
      </c>
      <c r="N3939">
        <v>3</v>
      </c>
      <c r="O3939">
        <v>3</v>
      </c>
      <c r="P3939">
        <v>4</v>
      </c>
      <c r="Q3939">
        <v>0</v>
      </c>
      <c r="R3939">
        <v>19.5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6</v>
      </c>
      <c r="AC3939">
        <v>0</v>
      </c>
      <c r="AH3939">
        <v>25.5</v>
      </c>
    </row>
    <row r="3940" spans="1:34" x14ac:dyDescent="0.3">
      <c r="A3940" s="4">
        <v>4154</v>
      </c>
      <c r="B3940" s="5">
        <v>3933</v>
      </c>
      <c r="C3940">
        <v>4060</v>
      </c>
      <c r="D3940" t="s">
        <v>17813</v>
      </c>
      <c r="E3940" t="s">
        <v>1155</v>
      </c>
      <c r="F3940" t="s">
        <v>124</v>
      </c>
      <c r="G3940" t="s">
        <v>17814</v>
      </c>
      <c r="H3940">
        <v>12.5</v>
      </c>
      <c r="I3940">
        <v>0</v>
      </c>
      <c r="J3940">
        <v>0</v>
      </c>
      <c r="K3940">
        <v>0</v>
      </c>
      <c r="L3940">
        <v>7</v>
      </c>
      <c r="O3940">
        <v>7</v>
      </c>
      <c r="P3940">
        <v>4</v>
      </c>
      <c r="Q3940">
        <v>2</v>
      </c>
      <c r="R3940">
        <v>25.5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H3940">
        <v>25.5</v>
      </c>
    </row>
    <row r="3941" spans="1:34" x14ac:dyDescent="0.3">
      <c r="A3941" s="4">
        <v>4155</v>
      </c>
      <c r="B3941" s="5">
        <v>3934</v>
      </c>
      <c r="C3941">
        <v>3720</v>
      </c>
      <c r="D3941" t="s">
        <v>6587</v>
      </c>
      <c r="E3941" t="s">
        <v>6507</v>
      </c>
      <c r="F3941" t="s">
        <v>20</v>
      </c>
      <c r="G3941" t="s">
        <v>17815</v>
      </c>
      <c r="H3941">
        <v>12.5</v>
      </c>
      <c r="I3941">
        <v>0</v>
      </c>
      <c r="J3941">
        <v>0</v>
      </c>
      <c r="K3941">
        <v>0</v>
      </c>
      <c r="L3941">
        <v>7</v>
      </c>
      <c r="O3941">
        <v>7</v>
      </c>
      <c r="P3941">
        <v>4</v>
      </c>
      <c r="Q3941">
        <v>2</v>
      </c>
      <c r="R3941">
        <v>25.5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H3941">
        <v>25.5</v>
      </c>
    </row>
    <row r="3942" spans="1:34" x14ac:dyDescent="0.3">
      <c r="A3942" s="4">
        <v>4156</v>
      </c>
      <c r="B3942" s="5">
        <v>3935</v>
      </c>
      <c r="C3942">
        <v>15093</v>
      </c>
      <c r="D3942" t="s">
        <v>17816</v>
      </c>
      <c r="E3942" t="s">
        <v>30</v>
      </c>
      <c r="F3942" t="s">
        <v>17</v>
      </c>
      <c r="G3942" t="s">
        <v>17817</v>
      </c>
      <c r="H3942">
        <v>12.5</v>
      </c>
      <c r="I3942">
        <v>0</v>
      </c>
      <c r="J3942">
        <v>0</v>
      </c>
      <c r="K3942">
        <v>0</v>
      </c>
      <c r="L3942">
        <v>7</v>
      </c>
      <c r="O3942">
        <v>7</v>
      </c>
      <c r="P3942">
        <v>4</v>
      </c>
      <c r="Q3942">
        <v>2</v>
      </c>
      <c r="R3942">
        <v>25.5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H3942">
        <v>25.5</v>
      </c>
    </row>
    <row r="3943" spans="1:34" x14ac:dyDescent="0.3">
      <c r="A3943" s="4">
        <v>4157</v>
      </c>
      <c r="B3943" s="5">
        <v>3936</v>
      </c>
      <c r="C3943">
        <v>3734</v>
      </c>
      <c r="D3943" t="s">
        <v>2416</v>
      </c>
      <c r="E3943" t="s">
        <v>136</v>
      </c>
      <c r="F3943" t="s">
        <v>17</v>
      </c>
      <c r="G3943" t="s">
        <v>17818</v>
      </c>
      <c r="H3943">
        <v>12.5</v>
      </c>
      <c r="I3943">
        <v>0</v>
      </c>
      <c r="J3943">
        <v>0</v>
      </c>
      <c r="K3943">
        <v>0</v>
      </c>
      <c r="L3943">
        <v>7</v>
      </c>
      <c r="O3943">
        <v>7</v>
      </c>
      <c r="P3943">
        <v>4</v>
      </c>
      <c r="Q3943">
        <v>2</v>
      </c>
      <c r="R3943">
        <v>25.5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H3943">
        <v>25.5</v>
      </c>
    </row>
    <row r="3944" spans="1:34" x14ac:dyDescent="0.3">
      <c r="A3944" s="4">
        <v>4158</v>
      </c>
      <c r="B3944" s="5">
        <v>3937</v>
      </c>
      <c r="C3944">
        <v>70</v>
      </c>
      <c r="D3944" t="s">
        <v>12656</v>
      </c>
      <c r="E3944" t="s">
        <v>54</v>
      </c>
      <c r="F3944" t="s">
        <v>20</v>
      </c>
      <c r="G3944" t="s">
        <v>17819</v>
      </c>
      <c r="H3944">
        <v>12.5</v>
      </c>
      <c r="I3944">
        <v>0</v>
      </c>
      <c r="J3944">
        <v>0</v>
      </c>
      <c r="K3944">
        <v>0</v>
      </c>
      <c r="L3944">
        <v>7</v>
      </c>
      <c r="O3944">
        <v>7</v>
      </c>
      <c r="P3944">
        <v>4</v>
      </c>
      <c r="Q3944">
        <v>2</v>
      </c>
      <c r="R3944">
        <v>25.5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H3944">
        <v>25.5</v>
      </c>
    </row>
    <row r="3945" spans="1:34" x14ac:dyDescent="0.3">
      <c r="A3945" s="4">
        <v>4159</v>
      </c>
      <c r="B3945" s="5">
        <v>3938</v>
      </c>
      <c r="C3945">
        <v>4181</v>
      </c>
      <c r="D3945" t="s">
        <v>17820</v>
      </c>
      <c r="E3945" t="s">
        <v>54</v>
      </c>
      <c r="F3945" t="s">
        <v>243</v>
      </c>
      <c r="G3945" t="s">
        <v>17821</v>
      </c>
      <c r="H3945">
        <v>19.48</v>
      </c>
      <c r="I3945">
        <v>0</v>
      </c>
      <c r="J3945">
        <v>0</v>
      </c>
      <c r="K3945">
        <v>0</v>
      </c>
      <c r="O3945">
        <v>0</v>
      </c>
      <c r="P3945">
        <v>4</v>
      </c>
      <c r="Q3945">
        <v>2</v>
      </c>
      <c r="R3945">
        <v>25.48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H3945">
        <v>25.48</v>
      </c>
    </row>
    <row r="3946" spans="1:34" x14ac:dyDescent="0.3">
      <c r="A3946" s="4">
        <v>4160</v>
      </c>
      <c r="B3946" s="5">
        <v>3939</v>
      </c>
      <c r="C3946">
        <v>11116</v>
      </c>
      <c r="D3946" t="s">
        <v>17822</v>
      </c>
      <c r="E3946" t="s">
        <v>29</v>
      </c>
      <c r="F3946" t="s">
        <v>20</v>
      </c>
      <c r="G3946" t="s">
        <v>17823</v>
      </c>
      <c r="H3946">
        <v>18.48</v>
      </c>
      <c r="I3946">
        <v>0</v>
      </c>
      <c r="J3946">
        <v>0</v>
      </c>
      <c r="K3946">
        <v>0</v>
      </c>
      <c r="N3946">
        <v>3</v>
      </c>
      <c r="O3946">
        <v>3</v>
      </c>
      <c r="P3946">
        <v>4</v>
      </c>
      <c r="Q3946">
        <v>0</v>
      </c>
      <c r="R3946">
        <v>25.48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H3946">
        <v>25.48</v>
      </c>
    </row>
    <row r="3947" spans="1:34" x14ac:dyDescent="0.3">
      <c r="A3947" s="4">
        <v>4161</v>
      </c>
      <c r="B3947" s="5">
        <v>3940</v>
      </c>
      <c r="C3947">
        <v>11390</v>
      </c>
      <c r="D3947" t="s">
        <v>17824</v>
      </c>
      <c r="E3947" t="s">
        <v>188</v>
      </c>
      <c r="F3947" t="s">
        <v>38</v>
      </c>
      <c r="G3947" t="s">
        <v>17825</v>
      </c>
      <c r="H3947">
        <v>18.48</v>
      </c>
      <c r="I3947">
        <v>0</v>
      </c>
      <c r="J3947">
        <v>0</v>
      </c>
      <c r="K3947">
        <v>0</v>
      </c>
      <c r="L3947">
        <v>7</v>
      </c>
      <c r="O3947">
        <v>7</v>
      </c>
      <c r="P3947">
        <v>0</v>
      </c>
      <c r="Q3947">
        <v>0</v>
      </c>
      <c r="R3947">
        <v>25.48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H3947">
        <v>25.48</v>
      </c>
    </row>
    <row r="3948" spans="1:34" x14ac:dyDescent="0.3">
      <c r="A3948" s="4">
        <v>4162</v>
      </c>
      <c r="B3948" s="5">
        <v>3941</v>
      </c>
      <c r="C3948">
        <v>9909</v>
      </c>
      <c r="D3948" t="s">
        <v>17826</v>
      </c>
      <c r="E3948" t="s">
        <v>17</v>
      </c>
      <c r="F3948" t="s">
        <v>167</v>
      </c>
      <c r="G3948" t="s">
        <v>17827</v>
      </c>
      <c r="H3948">
        <v>18.45</v>
      </c>
      <c r="I3948">
        <v>0</v>
      </c>
      <c r="J3948">
        <v>0</v>
      </c>
      <c r="K3948">
        <v>0</v>
      </c>
      <c r="L3948">
        <v>7</v>
      </c>
      <c r="O3948">
        <v>7</v>
      </c>
      <c r="P3948">
        <v>0</v>
      </c>
      <c r="Q3948">
        <v>0</v>
      </c>
      <c r="R3948">
        <v>25.45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H3948">
        <v>25.45</v>
      </c>
    </row>
    <row r="3949" spans="1:34" x14ac:dyDescent="0.3">
      <c r="A3949" s="4">
        <v>4163</v>
      </c>
      <c r="B3949" s="5">
        <v>3942</v>
      </c>
      <c r="C3949">
        <v>13106</v>
      </c>
      <c r="D3949" t="s">
        <v>1654</v>
      </c>
      <c r="E3949" t="s">
        <v>100</v>
      </c>
      <c r="F3949" t="s">
        <v>20</v>
      </c>
      <c r="G3949" t="s">
        <v>17828</v>
      </c>
      <c r="H3949">
        <v>18.45</v>
      </c>
      <c r="I3949">
        <v>0</v>
      </c>
      <c r="J3949">
        <v>0</v>
      </c>
      <c r="K3949">
        <v>0</v>
      </c>
      <c r="N3949">
        <v>3</v>
      </c>
      <c r="O3949">
        <v>3</v>
      </c>
      <c r="P3949">
        <v>4</v>
      </c>
      <c r="Q3949">
        <v>0</v>
      </c>
      <c r="R3949">
        <v>25.45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H3949">
        <v>25.45</v>
      </c>
    </row>
    <row r="3950" spans="1:34" x14ac:dyDescent="0.3">
      <c r="A3950" s="4">
        <v>4164</v>
      </c>
      <c r="B3950" s="5">
        <v>3943</v>
      </c>
      <c r="C3950">
        <v>11810</v>
      </c>
      <c r="D3950" t="s">
        <v>17829</v>
      </c>
      <c r="E3950" t="s">
        <v>54</v>
      </c>
      <c r="F3950" t="s">
        <v>136</v>
      </c>
      <c r="G3950" t="s">
        <v>17830</v>
      </c>
      <c r="H3950">
        <v>18.45</v>
      </c>
      <c r="I3950">
        <v>0</v>
      </c>
      <c r="J3950">
        <v>0</v>
      </c>
      <c r="K3950">
        <v>0</v>
      </c>
      <c r="N3950">
        <v>3</v>
      </c>
      <c r="O3950">
        <v>3</v>
      </c>
      <c r="P3950">
        <v>4</v>
      </c>
      <c r="Q3950">
        <v>0</v>
      </c>
      <c r="R3950">
        <v>25.45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H3950">
        <v>25.45</v>
      </c>
    </row>
    <row r="3951" spans="1:34" x14ac:dyDescent="0.3">
      <c r="A3951" s="4">
        <v>4165</v>
      </c>
      <c r="B3951" s="5">
        <v>3944</v>
      </c>
      <c r="C3951">
        <v>15221</v>
      </c>
      <c r="D3951" t="s">
        <v>2416</v>
      </c>
      <c r="E3951" t="s">
        <v>3153</v>
      </c>
      <c r="F3951" t="s">
        <v>238</v>
      </c>
      <c r="G3951" t="s">
        <v>17831</v>
      </c>
      <c r="H3951">
        <v>16.45</v>
      </c>
      <c r="I3951">
        <v>0</v>
      </c>
      <c r="J3951">
        <v>0</v>
      </c>
      <c r="K3951">
        <v>0</v>
      </c>
      <c r="N3951">
        <v>3</v>
      </c>
      <c r="O3951">
        <v>3</v>
      </c>
      <c r="P3951">
        <v>4</v>
      </c>
      <c r="Q3951">
        <v>2</v>
      </c>
      <c r="R3951">
        <v>25.45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H3951">
        <v>25.45</v>
      </c>
    </row>
    <row r="3952" spans="1:34" x14ac:dyDescent="0.3">
      <c r="A3952" s="4">
        <v>4166</v>
      </c>
      <c r="B3952" s="5">
        <v>3945</v>
      </c>
      <c r="C3952">
        <v>11253</v>
      </c>
      <c r="D3952" t="s">
        <v>15614</v>
      </c>
      <c r="E3952" t="s">
        <v>17832</v>
      </c>
      <c r="F3952" t="s">
        <v>158</v>
      </c>
      <c r="G3952" t="s">
        <v>17833</v>
      </c>
      <c r="H3952">
        <v>18.43</v>
      </c>
      <c r="I3952">
        <v>0</v>
      </c>
      <c r="J3952">
        <v>0</v>
      </c>
      <c r="K3952">
        <v>0</v>
      </c>
      <c r="L3952">
        <v>7</v>
      </c>
      <c r="O3952">
        <v>7</v>
      </c>
      <c r="P3952">
        <v>0</v>
      </c>
      <c r="Q3952">
        <v>0</v>
      </c>
      <c r="R3952">
        <v>25.43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H3952">
        <v>25.43</v>
      </c>
    </row>
    <row r="3953" spans="1:34" x14ac:dyDescent="0.3">
      <c r="A3953" s="4">
        <v>4167</v>
      </c>
      <c r="B3953" s="5">
        <v>3946</v>
      </c>
      <c r="C3953">
        <v>12490</v>
      </c>
      <c r="D3953" t="s">
        <v>17834</v>
      </c>
      <c r="E3953" t="s">
        <v>1975</v>
      </c>
      <c r="F3953" t="s">
        <v>652</v>
      </c>
      <c r="G3953" t="s">
        <v>17835</v>
      </c>
      <c r="H3953">
        <v>16.43</v>
      </c>
      <c r="I3953">
        <v>0</v>
      </c>
      <c r="J3953">
        <v>0</v>
      </c>
      <c r="K3953">
        <v>0</v>
      </c>
      <c r="L3953">
        <v>7</v>
      </c>
      <c r="O3953">
        <v>7</v>
      </c>
      <c r="P3953">
        <v>0</v>
      </c>
      <c r="Q3953">
        <v>2</v>
      </c>
      <c r="R3953">
        <v>25.43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H3953">
        <v>25.43</v>
      </c>
    </row>
    <row r="3954" spans="1:34" x14ac:dyDescent="0.3">
      <c r="A3954" s="4">
        <v>4168</v>
      </c>
      <c r="B3954" s="5">
        <v>3947</v>
      </c>
      <c r="C3954">
        <v>11931</v>
      </c>
      <c r="D3954" t="s">
        <v>1419</v>
      </c>
      <c r="E3954" t="s">
        <v>17836</v>
      </c>
      <c r="F3954" t="s">
        <v>136</v>
      </c>
      <c r="H3954">
        <v>18.38</v>
      </c>
      <c r="I3954">
        <v>0</v>
      </c>
      <c r="J3954">
        <v>0</v>
      </c>
      <c r="K3954">
        <v>0</v>
      </c>
      <c r="L3954">
        <v>7</v>
      </c>
      <c r="O3954">
        <v>7</v>
      </c>
      <c r="P3954">
        <v>0</v>
      </c>
      <c r="Q3954">
        <v>0</v>
      </c>
      <c r="R3954">
        <v>25.38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H3954">
        <v>25.38</v>
      </c>
    </row>
    <row r="3955" spans="1:34" x14ac:dyDescent="0.3">
      <c r="A3955" s="4">
        <v>4169</v>
      </c>
      <c r="B3955" s="5">
        <v>3948</v>
      </c>
      <c r="C3955">
        <v>5476</v>
      </c>
      <c r="D3955" t="s">
        <v>1604</v>
      </c>
      <c r="E3955" t="s">
        <v>29</v>
      </c>
      <c r="F3955" t="s">
        <v>652</v>
      </c>
      <c r="G3955" t="s">
        <v>17837</v>
      </c>
      <c r="H3955">
        <v>20.329999999999998</v>
      </c>
      <c r="I3955">
        <v>0</v>
      </c>
      <c r="J3955">
        <v>0</v>
      </c>
      <c r="K3955">
        <v>0</v>
      </c>
      <c r="N3955">
        <v>3</v>
      </c>
      <c r="O3955">
        <v>3</v>
      </c>
      <c r="P3955">
        <v>0</v>
      </c>
      <c r="Q3955">
        <v>2</v>
      </c>
      <c r="R3955">
        <v>25.33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H3955">
        <v>25.33</v>
      </c>
    </row>
    <row r="3956" spans="1:34" x14ac:dyDescent="0.3">
      <c r="A3956" s="4">
        <v>4170</v>
      </c>
      <c r="B3956" s="5">
        <v>3949</v>
      </c>
      <c r="C3956">
        <v>9781</v>
      </c>
      <c r="D3956" t="s">
        <v>17838</v>
      </c>
      <c r="E3956" t="s">
        <v>406</v>
      </c>
      <c r="F3956" t="s">
        <v>38</v>
      </c>
      <c r="G3956" t="s">
        <v>17839</v>
      </c>
      <c r="H3956">
        <v>18.329999999999998</v>
      </c>
      <c r="I3956">
        <v>0</v>
      </c>
      <c r="J3956">
        <v>0</v>
      </c>
      <c r="K3956">
        <v>0</v>
      </c>
      <c r="N3956">
        <v>3</v>
      </c>
      <c r="O3956">
        <v>3</v>
      </c>
      <c r="P3956">
        <v>4</v>
      </c>
      <c r="Q3956">
        <v>0</v>
      </c>
      <c r="R3956">
        <v>25.33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H3956">
        <v>25.33</v>
      </c>
    </row>
    <row r="3957" spans="1:34" x14ac:dyDescent="0.3">
      <c r="A3957" s="4">
        <v>4171</v>
      </c>
      <c r="B3957" s="5">
        <v>3950</v>
      </c>
      <c r="C3957">
        <v>4009</v>
      </c>
      <c r="D3957" t="s">
        <v>17840</v>
      </c>
      <c r="E3957" t="s">
        <v>550</v>
      </c>
      <c r="F3957" t="s">
        <v>17</v>
      </c>
      <c r="G3957" t="s">
        <v>17841</v>
      </c>
      <c r="H3957">
        <v>18.329999999999998</v>
      </c>
      <c r="I3957">
        <v>0</v>
      </c>
      <c r="J3957">
        <v>0</v>
      </c>
      <c r="K3957">
        <v>0</v>
      </c>
      <c r="N3957">
        <v>3</v>
      </c>
      <c r="O3957">
        <v>3</v>
      </c>
      <c r="P3957">
        <v>4</v>
      </c>
      <c r="Q3957">
        <v>0</v>
      </c>
      <c r="R3957">
        <v>25.33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H3957">
        <v>25.33</v>
      </c>
    </row>
    <row r="3958" spans="1:34" x14ac:dyDescent="0.3">
      <c r="A3958" s="4">
        <v>4172</v>
      </c>
      <c r="B3958" s="5">
        <v>3951</v>
      </c>
      <c r="C3958">
        <v>7594</v>
      </c>
      <c r="D3958" t="s">
        <v>10440</v>
      </c>
      <c r="E3958" t="s">
        <v>2481</v>
      </c>
      <c r="F3958" t="s">
        <v>167</v>
      </c>
      <c r="G3958" t="s">
        <v>17842</v>
      </c>
      <c r="H3958">
        <v>16.329999999999998</v>
      </c>
      <c r="I3958">
        <v>0</v>
      </c>
      <c r="J3958">
        <v>0</v>
      </c>
      <c r="K3958">
        <v>0</v>
      </c>
      <c r="N3958">
        <v>3</v>
      </c>
      <c r="O3958">
        <v>3</v>
      </c>
      <c r="P3958">
        <v>4</v>
      </c>
      <c r="Q3958">
        <v>2</v>
      </c>
      <c r="R3958">
        <v>25.33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H3958">
        <v>25.33</v>
      </c>
    </row>
    <row r="3959" spans="1:34" x14ac:dyDescent="0.3">
      <c r="A3959" s="4">
        <v>4173</v>
      </c>
      <c r="B3959" s="5">
        <v>3952</v>
      </c>
      <c r="C3959">
        <v>14801</v>
      </c>
      <c r="D3959" t="s">
        <v>1015</v>
      </c>
      <c r="E3959" t="s">
        <v>41</v>
      </c>
      <c r="F3959" t="s">
        <v>190</v>
      </c>
      <c r="G3959" t="s">
        <v>17843</v>
      </c>
      <c r="H3959">
        <v>20.3</v>
      </c>
      <c r="I3959">
        <v>0</v>
      </c>
      <c r="J3959">
        <v>0</v>
      </c>
      <c r="K3959">
        <v>0</v>
      </c>
      <c r="N3959">
        <v>3</v>
      </c>
      <c r="O3959">
        <v>3</v>
      </c>
      <c r="P3959">
        <v>0</v>
      </c>
      <c r="Q3959">
        <v>2</v>
      </c>
      <c r="R3959">
        <v>25.3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H3959">
        <v>25.3</v>
      </c>
    </row>
    <row r="3960" spans="1:34" x14ac:dyDescent="0.3">
      <c r="A3960" s="4">
        <v>4174</v>
      </c>
      <c r="B3960" s="5">
        <v>3953</v>
      </c>
      <c r="C3960">
        <v>8118</v>
      </c>
      <c r="D3960" t="s">
        <v>1286</v>
      </c>
      <c r="E3960" t="s">
        <v>29</v>
      </c>
      <c r="F3960" t="s">
        <v>136</v>
      </c>
      <c r="G3960" t="s">
        <v>17844</v>
      </c>
      <c r="H3960">
        <v>18.3</v>
      </c>
      <c r="I3960">
        <v>0</v>
      </c>
      <c r="J3960">
        <v>0</v>
      </c>
      <c r="K3960">
        <v>0</v>
      </c>
      <c r="L3960">
        <v>7</v>
      </c>
      <c r="O3960">
        <v>7</v>
      </c>
      <c r="P3960">
        <v>0</v>
      </c>
      <c r="Q3960">
        <v>0</v>
      </c>
      <c r="R3960">
        <v>25.3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H3960">
        <v>25.3</v>
      </c>
    </row>
    <row r="3961" spans="1:34" x14ac:dyDescent="0.3">
      <c r="A3961" s="4">
        <v>4175</v>
      </c>
      <c r="B3961" s="5">
        <v>3954</v>
      </c>
      <c r="C3961">
        <v>4315</v>
      </c>
      <c r="D3961" t="s">
        <v>3700</v>
      </c>
      <c r="E3961" t="s">
        <v>7647</v>
      </c>
      <c r="F3961" t="s">
        <v>570</v>
      </c>
      <c r="G3961" t="s">
        <v>17845</v>
      </c>
      <c r="H3961">
        <v>18.28</v>
      </c>
      <c r="I3961">
        <v>0</v>
      </c>
      <c r="J3961">
        <v>0</v>
      </c>
      <c r="K3961">
        <v>0</v>
      </c>
      <c r="N3961">
        <v>3</v>
      </c>
      <c r="O3961">
        <v>3</v>
      </c>
      <c r="P3961">
        <v>4</v>
      </c>
      <c r="Q3961">
        <v>0</v>
      </c>
      <c r="R3961">
        <v>25.28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H3961">
        <v>25.28</v>
      </c>
    </row>
    <row r="3962" spans="1:34" x14ac:dyDescent="0.3">
      <c r="A3962" s="4">
        <v>4176</v>
      </c>
      <c r="B3962" s="5">
        <v>3955</v>
      </c>
      <c r="C3962">
        <v>8026</v>
      </c>
      <c r="D3962" t="s">
        <v>17846</v>
      </c>
      <c r="E3962" t="s">
        <v>81</v>
      </c>
      <c r="F3962" t="s">
        <v>17</v>
      </c>
      <c r="G3962" t="s">
        <v>17847</v>
      </c>
      <c r="H3962">
        <v>18.25</v>
      </c>
      <c r="I3962">
        <v>0</v>
      </c>
      <c r="J3962">
        <v>0</v>
      </c>
      <c r="K3962">
        <v>0</v>
      </c>
      <c r="N3962">
        <v>3</v>
      </c>
      <c r="O3962">
        <v>3</v>
      </c>
      <c r="P3962">
        <v>4</v>
      </c>
      <c r="Q3962">
        <v>0</v>
      </c>
      <c r="R3962">
        <v>25.25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H3962">
        <v>25.25</v>
      </c>
    </row>
    <row r="3963" spans="1:34" x14ac:dyDescent="0.3">
      <c r="A3963" s="4">
        <v>4177</v>
      </c>
      <c r="B3963" s="5">
        <v>3956</v>
      </c>
      <c r="C3963">
        <v>8928</v>
      </c>
      <c r="D3963" t="s">
        <v>669</v>
      </c>
      <c r="E3963" t="s">
        <v>29</v>
      </c>
      <c r="F3963" t="s">
        <v>878</v>
      </c>
      <c r="G3963" t="s">
        <v>17848</v>
      </c>
      <c r="H3963">
        <v>18.25</v>
      </c>
      <c r="I3963">
        <v>0</v>
      </c>
      <c r="J3963">
        <v>0</v>
      </c>
      <c r="K3963">
        <v>0</v>
      </c>
      <c r="N3963">
        <v>3</v>
      </c>
      <c r="O3963">
        <v>3</v>
      </c>
      <c r="P3963">
        <v>4</v>
      </c>
      <c r="Q3963">
        <v>0</v>
      </c>
      <c r="R3963">
        <v>25.25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H3963">
        <v>25.25</v>
      </c>
    </row>
    <row r="3964" spans="1:34" x14ac:dyDescent="0.3">
      <c r="A3964" s="4">
        <v>4178</v>
      </c>
      <c r="B3964" s="5">
        <v>3957</v>
      </c>
      <c r="C3964">
        <v>3687</v>
      </c>
      <c r="D3964" t="s">
        <v>3230</v>
      </c>
      <c r="E3964" t="s">
        <v>100</v>
      </c>
      <c r="F3964" t="s">
        <v>2333</v>
      </c>
      <c r="G3964" t="s">
        <v>17849</v>
      </c>
      <c r="H3964">
        <v>16.25</v>
      </c>
      <c r="I3964">
        <v>0</v>
      </c>
      <c r="J3964">
        <v>0</v>
      </c>
      <c r="K3964">
        <v>0</v>
      </c>
      <c r="N3964">
        <v>3</v>
      </c>
      <c r="O3964">
        <v>3</v>
      </c>
      <c r="P3964">
        <v>4</v>
      </c>
      <c r="Q3964">
        <v>2</v>
      </c>
      <c r="R3964">
        <v>25.25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H3964">
        <v>25.25</v>
      </c>
    </row>
    <row r="3965" spans="1:34" x14ac:dyDescent="0.3">
      <c r="A3965" s="4">
        <v>4179</v>
      </c>
      <c r="B3965" s="5">
        <v>3958</v>
      </c>
      <c r="C3965">
        <v>6020</v>
      </c>
      <c r="D3965" t="s">
        <v>17850</v>
      </c>
      <c r="E3965" t="s">
        <v>166</v>
      </c>
      <c r="F3965" t="s">
        <v>171</v>
      </c>
      <c r="G3965" t="s">
        <v>17851</v>
      </c>
      <c r="H3965">
        <v>16.25</v>
      </c>
      <c r="I3965">
        <v>0</v>
      </c>
      <c r="J3965">
        <v>0</v>
      </c>
      <c r="K3965">
        <v>0</v>
      </c>
      <c r="L3965">
        <v>7</v>
      </c>
      <c r="O3965">
        <v>7</v>
      </c>
      <c r="P3965">
        <v>0</v>
      </c>
      <c r="Q3965">
        <v>2</v>
      </c>
      <c r="R3965">
        <v>25.25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H3965">
        <v>25.25</v>
      </c>
    </row>
    <row r="3966" spans="1:34" x14ac:dyDescent="0.3">
      <c r="A3966" s="4">
        <v>4180</v>
      </c>
      <c r="B3966" s="5">
        <v>3959</v>
      </c>
      <c r="C3966">
        <v>14891</v>
      </c>
      <c r="D3966" t="s">
        <v>17852</v>
      </c>
      <c r="E3966" t="s">
        <v>2758</v>
      </c>
      <c r="F3966" t="s">
        <v>17853</v>
      </c>
      <c r="G3966" t="s">
        <v>17854</v>
      </c>
      <c r="H3966">
        <v>16.25</v>
      </c>
      <c r="I3966">
        <v>0</v>
      </c>
      <c r="J3966">
        <v>0</v>
      </c>
      <c r="K3966">
        <v>0</v>
      </c>
      <c r="M3966">
        <v>5</v>
      </c>
      <c r="O3966">
        <v>5</v>
      </c>
      <c r="P3966">
        <v>4</v>
      </c>
      <c r="Q3966">
        <v>0</v>
      </c>
      <c r="R3966">
        <v>25.25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H3966">
        <v>25.25</v>
      </c>
    </row>
    <row r="3967" spans="1:34" x14ac:dyDescent="0.3">
      <c r="A3967" s="4">
        <v>4181</v>
      </c>
      <c r="B3967" s="5">
        <v>3960</v>
      </c>
      <c r="C3967">
        <v>13831</v>
      </c>
      <c r="D3967" t="s">
        <v>17855</v>
      </c>
      <c r="E3967" t="s">
        <v>17856</v>
      </c>
      <c r="F3967" t="s">
        <v>17857</v>
      </c>
      <c r="G3967" t="s">
        <v>17858</v>
      </c>
      <c r="H3967">
        <v>18.23</v>
      </c>
      <c r="I3967">
        <v>0</v>
      </c>
      <c r="J3967">
        <v>0</v>
      </c>
      <c r="K3967">
        <v>0</v>
      </c>
      <c r="L3967">
        <v>7</v>
      </c>
      <c r="O3967">
        <v>7</v>
      </c>
      <c r="P3967">
        <v>0</v>
      </c>
      <c r="Q3967">
        <v>0</v>
      </c>
      <c r="R3967">
        <v>25.23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H3967">
        <v>25.23</v>
      </c>
    </row>
    <row r="3968" spans="1:34" x14ac:dyDescent="0.3">
      <c r="A3968" s="4">
        <v>4182</v>
      </c>
      <c r="B3968" s="5">
        <v>3961</v>
      </c>
      <c r="C3968">
        <v>12246</v>
      </c>
      <c r="D3968" t="s">
        <v>17859</v>
      </c>
      <c r="E3968" t="s">
        <v>17860</v>
      </c>
      <c r="F3968" t="s">
        <v>117</v>
      </c>
      <c r="G3968" t="s">
        <v>17861</v>
      </c>
      <c r="H3968">
        <v>18.23</v>
      </c>
      <c r="I3968">
        <v>0</v>
      </c>
      <c r="J3968">
        <v>0</v>
      </c>
      <c r="K3968">
        <v>0</v>
      </c>
      <c r="L3968">
        <v>7</v>
      </c>
      <c r="O3968">
        <v>7</v>
      </c>
      <c r="P3968">
        <v>0</v>
      </c>
      <c r="Q3968">
        <v>0</v>
      </c>
      <c r="R3968">
        <v>25.23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H3968">
        <v>25.23</v>
      </c>
    </row>
    <row r="3969" spans="1:34" x14ac:dyDescent="0.3">
      <c r="A3969" s="4">
        <v>4183</v>
      </c>
      <c r="B3969" s="5">
        <v>3962</v>
      </c>
      <c r="C3969">
        <v>4462</v>
      </c>
      <c r="D3969" t="s">
        <v>17862</v>
      </c>
      <c r="E3969" t="s">
        <v>17863</v>
      </c>
      <c r="F3969" t="s">
        <v>17</v>
      </c>
      <c r="G3969" t="s">
        <v>17864</v>
      </c>
      <c r="H3969">
        <v>18.2</v>
      </c>
      <c r="I3969">
        <v>0</v>
      </c>
      <c r="J3969">
        <v>0</v>
      </c>
      <c r="K3969">
        <v>0</v>
      </c>
      <c r="N3969">
        <v>3</v>
      </c>
      <c r="O3969">
        <v>3</v>
      </c>
      <c r="P3969">
        <v>4</v>
      </c>
      <c r="Q3969">
        <v>0</v>
      </c>
      <c r="R3969">
        <v>25.2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 t="s">
        <v>130</v>
      </c>
      <c r="AH3969">
        <v>25.2</v>
      </c>
    </row>
    <row r="3970" spans="1:34" x14ac:dyDescent="0.3">
      <c r="A3970" s="4">
        <v>4184</v>
      </c>
      <c r="B3970" s="5">
        <v>3963</v>
      </c>
      <c r="C3970">
        <v>11162</v>
      </c>
      <c r="D3970" t="s">
        <v>60</v>
      </c>
      <c r="E3970" t="s">
        <v>48</v>
      </c>
      <c r="F3970" t="s">
        <v>30</v>
      </c>
      <c r="G3970" t="s">
        <v>17865</v>
      </c>
      <c r="H3970">
        <v>16.18</v>
      </c>
      <c r="I3970">
        <v>0</v>
      </c>
      <c r="J3970">
        <v>0</v>
      </c>
      <c r="K3970">
        <v>0</v>
      </c>
      <c r="N3970">
        <v>3</v>
      </c>
      <c r="O3970">
        <v>3</v>
      </c>
      <c r="P3970">
        <v>4</v>
      </c>
      <c r="Q3970">
        <v>2</v>
      </c>
      <c r="R3970">
        <v>25.18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H3970">
        <v>25.18</v>
      </c>
    </row>
    <row r="3971" spans="1:34" x14ac:dyDescent="0.3">
      <c r="A3971" s="4">
        <v>4185</v>
      </c>
      <c r="B3971" s="5">
        <v>3964</v>
      </c>
      <c r="C3971">
        <v>6528</v>
      </c>
      <c r="D3971" t="s">
        <v>17866</v>
      </c>
      <c r="E3971" t="s">
        <v>29</v>
      </c>
      <c r="F3971" t="s">
        <v>17</v>
      </c>
      <c r="G3971" t="s">
        <v>17867</v>
      </c>
      <c r="H3971">
        <v>18.149999999999999</v>
      </c>
      <c r="I3971">
        <v>0</v>
      </c>
      <c r="J3971">
        <v>0</v>
      </c>
      <c r="K3971">
        <v>0</v>
      </c>
      <c r="L3971">
        <v>7</v>
      </c>
      <c r="O3971">
        <v>7</v>
      </c>
      <c r="P3971">
        <v>0</v>
      </c>
      <c r="Q3971">
        <v>0</v>
      </c>
      <c r="R3971">
        <v>25.15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H3971">
        <v>25.15</v>
      </c>
    </row>
    <row r="3972" spans="1:34" x14ac:dyDescent="0.3">
      <c r="A3972" s="4">
        <v>4186</v>
      </c>
      <c r="B3972" s="5">
        <v>3965</v>
      </c>
      <c r="C3972">
        <v>8409</v>
      </c>
      <c r="D3972" t="s">
        <v>5234</v>
      </c>
      <c r="E3972" t="s">
        <v>26</v>
      </c>
      <c r="F3972" t="s">
        <v>17868</v>
      </c>
      <c r="G3972" t="s">
        <v>17869</v>
      </c>
      <c r="H3972">
        <v>22.13</v>
      </c>
      <c r="I3972">
        <v>0</v>
      </c>
      <c r="J3972">
        <v>0</v>
      </c>
      <c r="K3972">
        <v>0</v>
      </c>
      <c r="N3972">
        <v>3</v>
      </c>
      <c r="O3972">
        <v>3</v>
      </c>
      <c r="P3972">
        <v>0</v>
      </c>
      <c r="Q3972">
        <v>0</v>
      </c>
      <c r="R3972">
        <v>25.13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H3972">
        <v>25.13</v>
      </c>
    </row>
    <row r="3973" spans="1:34" x14ac:dyDescent="0.3">
      <c r="A3973" s="4">
        <v>4187</v>
      </c>
      <c r="B3973" s="5">
        <v>3966</v>
      </c>
      <c r="C3973">
        <v>14951</v>
      </c>
      <c r="D3973" t="s">
        <v>17870</v>
      </c>
      <c r="E3973" t="s">
        <v>188</v>
      </c>
      <c r="F3973" t="s">
        <v>117</v>
      </c>
      <c r="G3973" t="s">
        <v>17871</v>
      </c>
      <c r="H3973">
        <v>18.13</v>
      </c>
      <c r="I3973">
        <v>0</v>
      </c>
      <c r="J3973">
        <v>0</v>
      </c>
      <c r="K3973">
        <v>0</v>
      </c>
      <c r="N3973">
        <v>3</v>
      </c>
      <c r="O3973">
        <v>3</v>
      </c>
      <c r="P3973">
        <v>4</v>
      </c>
      <c r="Q3973">
        <v>0</v>
      </c>
      <c r="R3973">
        <v>25.13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H3973">
        <v>25.13</v>
      </c>
    </row>
    <row r="3974" spans="1:34" x14ac:dyDescent="0.3">
      <c r="A3974" s="4">
        <v>4188</v>
      </c>
      <c r="B3974" s="5">
        <v>3967</v>
      </c>
      <c r="C3974">
        <v>6340</v>
      </c>
      <c r="D3974" t="s">
        <v>3434</v>
      </c>
      <c r="E3974" t="s">
        <v>789</v>
      </c>
      <c r="F3974" t="s">
        <v>20</v>
      </c>
      <c r="G3974" t="s">
        <v>17872</v>
      </c>
      <c r="H3974">
        <v>15.1</v>
      </c>
      <c r="I3974">
        <v>0</v>
      </c>
      <c r="J3974">
        <v>0</v>
      </c>
      <c r="K3974">
        <v>0</v>
      </c>
      <c r="L3974">
        <v>7</v>
      </c>
      <c r="O3974">
        <v>7</v>
      </c>
      <c r="P3974">
        <v>0</v>
      </c>
      <c r="Q3974">
        <v>0</v>
      </c>
      <c r="R3974">
        <v>22.1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3</v>
      </c>
      <c r="AC3974">
        <v>0</v>
      </c>
      <c r="AH3974">
        <v>25.1</v>
      </c>
    </row>
    <row r="3975" spans="1:34" x14ac:dyDescent="0.3">
      <c r="A3975" s="4">
        <v>4189</v>
      </c>
      <c r="B3975" s="5">
        <v>3968</v>
      </c>
      <c r="C3975">
        <v>1963</v>
      </c>
      <c r="D3975" t="s">
        <v>17873</v>
      </c>
      <c r="E3975" t="s">
        <v>4695</v>
      </c>
      <c r="F3975" t="s">
        <v>62</v>
      </c>
      <c r="G3975" t="s">
        <v>17874</v>
      </c>
      <c r="H3975">
        <v>18.100000000000001</v>
      </c>
      <c r="I3975">
        <v>0</v>
      </c>
      <c r="J3975">
        <v>0</v>
      </c>
      <c r="K3975">
        <v>0</v>
      </c>
      <c r="L3975">
        <v>7</v>
      </c>
      <c r="O3975">
        <v>7</v>
      </c>
      <c r="P3975">
        <v>0</v>
      </c>
      <c r="Q3975">
        <v>0</v>
      </c>
      <c r="R3975">
        <v>25.1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H3975">
        <v>25.1</v>
      </c>
    </row>
    <row r="3976" spans="1:34" x14ac:dyDescent="0.3">
      <c r="A3976" s="4">
        <v>4190</v>
      </c>
      <c r="B3976" s="5">
        <v>3969</v>
      </c>
      <c r="C3976">
        <v>8112</v>
      </c>
      <c r="D3976" t="s">
        <v>17875</v>
      </c>
      <c r="E3976" t="s">
        <v>30</v>
      </c>
      <c r="F3976" t="s">
        <v>20</v>
      </c>
      <c r="G3976" t="s">
        <v>17876</v>
      </c>
      <c r="H3976">
        <v>18.100000000000001</v>
      </c>
      <c r="I3976">
        <v>0</v>
      </c>
      <c r="J3976">
        <v>0</v>
      </c>
      <c r="K3976">
        <v>0</v>
      </c>
      <c r="L3976">
        <v>7</v>
      </c>
      <c r="O3976">
        <v>7</v>
      </c>
      <c r="P3976">
        <v>0</v>
      </c>
      <c r="Q3976">
        <v>0</v>
      </c>
      <c r="R3976">
        <v>25.1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H3976">
        <v>25.1</v>
      </c>
    </row>
    <row r="3977" spans="1:34" x14ac:dyDescent="0.3">
      <c r="A3977" s="4">
        <v>4191</v>
      </c>
      <c r="B3977" s="5">
        <v>3970</v>
      </c>
      <c r="C3977">
        <v>15322</v>
      </c>
      <c r="D3977" t="s">
        <v>8769</v>
      </c>
      <c r="E3977" t="s">
        <v>258</v>
      </c>
      <c r="F3977" t="s">
        <v>68</v>
      </c>
      <c r="G3977" t="s">
        <v>17877</v>
      </c>
      <c r="H3977">
        <v>18.079999999999998</v>
      </c>
      <c r="I3977">
        <v>0</v>
      </c>
      <c r="J3977">
        <v>0</v>
      </c>
      <c r="K3977">
        <v>0</v>
      </c>
      <c r="L3977">
        <v>7</v>
      </c>
      <c r="O3977">
        <v>7</v>
      </c>
      <c r="P3977">
        <v>0</v>
      </c>
      <c r="Q3977">
        <v>0</v>
      </c>
      <c r="R3977">
        <v>25.08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H3977">
        <v>25.08</v>
      </c>
    </row>
    <row r="3978" spans="1:34" x14ac:dyDescent="0.3">
      <c r="A3978" s="4">
        <v>4192</v>
      </c>
      <c r="B3978" s="5">
        <v>3971</v>
      </c>
      <c r="C3978">
        <v>10824</v>
      </c>
      <c r="D3978" t="s">
        <v>9455</v>
      </c>
      <c r="E3978" t="s">
        <v>54</v>
      </c>
      <c r="F3978" t="s">
        <v>158</v>
      </c>
      <c r="G3978" t="s">
        <v>17878</v>
      </c>
      <c r="H3978">
        <v>18.05</v>
      </c>
      <c r="I3978">
        <v>0</v>
      </c>
      <c r="J3978">
        <v>0</v>
      </c>
      <c r="K3978">
        <v>0</v>
      </c>
      <c r="L3978">
        <v>7</v>
      </c>
      <c r="O3978">
        <v>7</v>
      </c>
      <c r="P3978">
        <v>0</v>
      </c>
      <c r="Q3978">
        <v>0</v>
      </c>
      <c r="R3978">
        <v>25.05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H3978">
        <v>25.05</v>
      </c>
    </row>
    <row r="3979" spans="1:34" x14ac:dyDescent="0.3">
      <c r="A3979" s="4">
        <v>4193</v>
      </c>
      <c r="B3979" s="5">
        <v>3972</v>
      </c>
      <c r="C3979">
        <v>8527</v>
      </c>
      <c r="D3979" t="s">
        <v>17879</v>
      </c>
      <c r="E3979" t="s">
        <v>88</v>
      </c>
      <c r="F3979" t="s">
        <v>124</v>
      </c>
      <c r="G3979" t="s">
        <v>17880</v>
      </c>
      <c r="H3979">
        <v>18.05</v>
      </c>
      <c r="I3979">
        <v>0</v>
      </c>
      <c r="J3979">
        <v>0</v>
      </c>
      <c r="K3979">
        <v>0</v>
      </c>
      <c r="N3979">
        <v>3</v>
      </c>
      <c r="O3979">
        <v>3</v>
      </c>
      <c r="P3979">
        <v>4</v>
      </c>
      <c r="Q3979">
        <v>0</v>
      </c>
      <c r="R3979">
        <v>25.05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H3979">
        <v>25.05</v>
      </c>
    </row>
    <row r="3980" spans="1:34" x14ac:dyDescent="0.3">
      <c r="A3980" s="4">
        <v>4194</v>
      </c>
      <c r="B3980" s="5">
        <v>3973</v>
      </c>
      <c r="C3980">
        <v>13568</v>
      </c>
      <c r="D3980" t="s">
        <v>17881</v>
      </c>
      <c r="E3980" t="s">
        <v>68</v>
      </c>
      <c r="F3980" t="s">
        <v>328</v>
      </c>
      <c r="G3980" t="s">
        <v>17882</v>
      </c>
      <c r="H3980">
        <v>18</v>
      </c>
      <c r="I3980">
        <v>0</v>
      </c>
      <c r="J3980">
        <v>0</v>
      </c>
      <c r="K3980">
        <v>0</v>
      </c>
      <c r="O3980">
        <v>0</v>
      </c>
      <c r="P3980">
        <v>4</v>
      </c>
      <c r="Q3980">
        <v>0</v>
      </c>
      <c r="R3980">
        <v>22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3</v>
      </c>
      <c r="AC3980">
        <v>0</v>
      </c>
      <c r="AH3980">
        <v>25</v>
      </c>
    </row>
    <row r="3981" spans="1:34" x14ac:dyDescent="0.3">
      <c r="A3981" s="4">
        <v>4195</v>
      </c>
      <c r="B3981" s="5">
        <v>3974</v>
      </c>
      <c r="C3981">
        <v>4740</v>
      </c>
      <c r="D3981" t="s">
        <v>17883</v>
      </c>
      <c r="E3981" t="s">
        <v>626</v>
      </c>
      <c r="F3981" t="s">
        <v>38</v>
      </c>
      <c r="G3981" t="s">
        <v>17884</v>
      </c>
      <c r="H3981">
        <v>22</v>
      </c>
      <c r="I3981">
        <v>0</v>
      </c>
      <c r="J3981">
        <v>0</v>
      </c>
      <c r="K3981">
        <v>0</v>
      </c>
      <c r="N3981">
        <v>3</v>
      </c>
      <c r="O3981">
        <v>3</v>
      </c>
      <c r="P3981">
        <v>0</v>
      </c>
      <c r="Q3981">
        <v>0</v>
      </c>
      <c r="R3981">
        <v>25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H3981">
        <v>25</v>
      </c>
    </row>
    <row r="3982" spans="1:34" x14ac:dyDescent="0.3">
      <c r="A3982" s="4">
        <v>4196</v>
      </c>
      <c r="B3982" s="5">
        <v>3975</v>
      </c>
      <c r="C3982">
        <v>9712</v>
      </c>
      <c r="D3982" t="s">
        <v>16832</v>
      </c>
      <c r="E3982" t="s">
        <v>258</v>
      </c>
      <c r="F3982" t="s">
        <v>30</v>
      </c>
      <c r="G3982" t="s">
        <v>17885</v>
      </c>
      <c r="H3982">
        <v>18</v>
      </c>
      <c r="I3982">
        <v>0</v>
      </c>
      <c r="J3982">
        <v>0</v>
      </c>
      <c r="K3982">
        <v>0</v>
      </c>
      <c r="N3982">
        <v>3</v>
      </c>
      <c r="O3982">
        <v>3</v>
      </c>
      <c r="P3982">
        <v>4</v>
      </c>
      <c r="Q3982">
        <v>0</v>
      </c>
      <c r="R3982">
        <v>25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H3982">
        <v>25</v>
      </c>
    </row>
    <row r="3983" spans="1:34" x14ac:dyDescent="0.3">
      <c r="A3983" s="4">
        <v>4197</v>
      </c>
      <c r="B3983" s="5">
        <v>3976</v>
      </c>
      <c r="C3983">
        <v>15062</v>
      </c>
      <c r="D3983" t="s">
        <v>17886</v>
      </c>
      <c r="E3983" t="s">
        <v>170</v>
      </c>
      <c r="F3983" t="s">
        <v>20</v>
      </c>
      <c r="G3983" t="s">
        <v>17887</v>
      </c>
      <c r="H3983">
        <v>21.98</v>
      </c>
      <c r="I3983">
        <v>0</v>
      </c>
      <c r="J3983">
        <v>0</v>
      </c>
      <c r="K3983">
        <v>0</v>
      </c>
      <c r="N3983">
        <v>3</v>
      </c>
      <c r="O3983">
        <v>3</v>
      </c>
      <c r="P3983">
        <v>0</v>
      </c>
      <c r="Q3983">
        <v>0</v>
      </c>
      <c r="R3983">
        <v>24.98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H3983">
        <v>24.98</v>
      </c>
    </row>
    <row r="3984" spans="1:34" x14ac:dyDescent="0.3">
      <c r="A3984" s="4">
        <v>4198</v>
      </c>
      <c r="B3984" s="5">
        <v>3977</v>
      </c>
      <c r="C3984">
        <v>600</v>
      </c>
      <c r="D3984" t="s">
        <v>17888</v>
      </c>
      <c r="E3984" t="s">
        <v>17889</v>
      </c>
      <c r="F3984" t="s">
        <v>17890</v>
      </c>
      <c r="G3984" t="s">
        <v>17891</v>
      </c>
      <c r="H3984">
        <v>17.95</v>
      </c>
      <c r="I3984">
        <v>0</v>
      </c>
      <c r="J3984">
        <v>0</v>
      </c>
      <c r="K3984">
        <v>0</v>
      </c>
      <c r="N3984">
        <v>3</v>
      </c>
      <c r="O3984">
        <v>3</v>
      </c>
      <c r="P3984">
        <v>4</v>
      </c>
      <c r="Q3984">
        <v>0</v>
      </c>
      <c r="R3984">
        <v>24.95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H3984">
        <v>24.95</v>
      </c>
    </row>
    <row r="3985" spans="1:34" x14ac:dyDescent="0.3">
      <c r="A3985" s="4">
        <v>4199</v>
      </c>
      <c r="B3985" s="5">
        <v>3978</v>
      </c>
      <c r="C3985">
        <v>6363</v>
      </c>
      <c r="D3985" t="s">
        <v>17892</v>
      </c>
      <c r="E3985" t="s">
        <v>219</v>
      </c>
      <c r="F3985" t="s">
        <v>91</v>
      </c>
      <c r="G3985" t="s">
        <v>17893</v>
      </c>
      <c r="H3985">
        <v>17.93</v>
      </c>
      <c r="I3985">
        <v>0</v>
      </c>
      <c r="J3985">
        <v>0</v>
      </c>
      <c r="K3985">
        <v>0</v>
      </c>
      <c r="L3985">
        <v>7</v>
      </c>
      <c r="O3985">
        <v>7</v>
      </c>
      <c r="P3985">
        <v>0</v>
      </c>
      <c r="Q3985">
        <v>0</v>
      </c>
      <c r="R3985">
        <v>24.93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H3985">
        <v>24.93</v>
      </c>
    </row>
    <row r="3986" spans="1:34" x14ac:dyDescent="0.3">
      <c r="A3986" s="4">
        <v>4200</v>
      </c>
      <c r="B3986" s="5">
        <v>3979</v>
      </c>
      <c r="C3986">
        <v>13247</v>
      </c>
      <c r="D3986" t="s">
        <v>17894</v>
      </c>
      <c r="E3986" t="s">
        <v>136</v>
      </c>
      <c r="F3986" t="s">
        <v>652</v>
      </c>
      <c r="G3986" t="s">
        <v>17895</v>
      </c>
      <c r="H3986">
        <v>16.93</v>
      </c>
      <c r="I3986">
        <v>0</v>
      </c>
      <c r="J3986">
        <v>0</v>
      </c>
      <c r="K3986">
        <v>0</v>
      </c>
      <c r="M3986">
        <v>5</v>
      </c>
      <c r="N3986">
        <v>3</v>
      </c>
      <c r="O3986">
        <v>8</v>
      </c>
      <c r="P3986">
        <v>0</v>
      </c>
      <c r="Q3986">
        <v>0</v>
      </c>
      <c r="R3986">
        <v>24.93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H3986">
        <v>24.93</v>
      </c>
    </row>
    <row r="3987" spans="1:34" x14ac:dyDescent="0.3">
      <c r="A3987" s="4">
        <v>4201</v>
      </c>
      <c r="B3987" s="5">
        <v>3980</v>
      </c>
      <c r="C3987">
        <v>7289</v>
      </c>
      <c r="D3987" t="s">
        <v>17896</v>
      </c>
      <c r="E3987" t="s">
        <v>97</v>
      </c>
      <c r="F3987" t="s">
        <v>375</v>
      </c>
      <c r="G3987" t="s">
        <v>17897</v>
      </c>
      <c r="H3987">
        <v>17.899999999999999</v>
      </c>
      <c r="I3987">
        <v>0</v>
      </c>
      <c r="J3987">
        <v>0</v>
      </c>
      <c r="K3987">
        <v>0</v>
      </c>
      <c r="N3987">
        <v>3</v>
      </c>
      <c r="O3987">
        <v>3</v>
      </c>
      <c r="P3987">
        <v>4</v>
      </c>
      <c r="Q3987">
        <v>0</v>
      </c>
      <c r="R3987">
        <v>24.9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H3987">
        <v>24.9</v>
      </c>
    </row>
    <row r="3988" spans="1:34" x14ac:dyDescent="0.3">
      <c r="A3988" s="4">
        <v>4202</v>
      </c>
      <c r="B3988" s="5">
        <v>3981</v>
      </c>
      <c r="C3988">
        <v>7884</v>
      </c>
      <c r="D3988" t="s">
        <v>2043</v>
      </c>
      <c r="E3988" t="s">
        <v>166</v>
      </c>
      <c r="F3988" t="s">
        <v>136</v>
      </c>
      <c r="G3988" t="s">
        <v>17898</v>
      </c>
      <c r="H3988">
        <v>17.88</v>
      </c>
      <c r="I3988">
        <v>0</v>
      </c>
      <c r="J3988">
        <v>0</v>
      </c>
      <c r="K3988">
        <v>0</v>
      </c>
      <c r="N3988">
        <v>3</v>
      </c>
      <c r="O3988">
        <v>3</v>
      </c>
      <c r="P3988">
        <v>4</v>
      </c>
      <c r="Q3988">
        <v>0</v>
      </c>
      <c r="R3988">
        <v>24.88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H3988">
        <v>24.88</v>
      </c>
    </row>
    <row r="3989" spans="1:34" x14ac:dyDescent="0.3">
      <c r="A3989" s="4">
        <v>4203</v>
      </c>
      <c r="B3989" s="5">
        <v>3982</v>
      </c>
      <c r="C3989">
        <v>15552</v>
      </c>
      <c r="D3989" t="s">
        <v>17899</v>
      </c>
      <c r="E3989" t="s">
        <v>208</v>
      </c>
      <c r="F3989" t="s">
        <v>1748</v>
      </c>
      <c r="G3989" t="s">
        <v>17900</v>
      </c>
      <c r="H3989">
        <v>17.88</v>
      </c>
      <c r="I3989">
        <v>0</v>
      </c>
      <c r="J3989">
        <v>0</v>
      </c>
      <c r="K3989">
        <v>0</v>
      </c>
      <c r="N3989">
        <v>3</v>
      </c>
      <c r="O3989">
        <v>3</v>
      </c>
      <c r="P3989">
        <v>4</v>
      </c>
      <c r="Q3989">
        <v>0</v>
      </c>
      <c r="R3989">
        <v>24.88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 t="s">
        <v>130</v>
      </c>
      <c r="AH3989">
        <v>24.88</v>
      </c>
    </row>
    <row r="3990" spans="1:34" x14ac:dyDescent="0.3">
      <c r="A3990" s="4">
        <v>4204</v>
      </c>
      <c r="B3990" s="5">
        <v>3983</v>
      </c>
      <c r="C3990">
        <v>12994</v>
      </c>
      <c r="D3990" t="s">
        <v>17901</v>
      </c>
      <c r="E3990" t="s">
        <v>17902</v>
      </c>
      <c r="F3990" t="s">
        <v>124</v>
      </c>
      <c r="G3990" t="s">
        <v>17903</v>
      </c>
      <c r="H3990">
        <v>17.829999999999998</v>
      </c>
      <c r="I3990">
        <v>0</v>
      </c>
      <c r="J3990">
        <v>0</v>
      </c>
      <c r="K3990">
        <v>0</v>
      </c>
      <c r="N3990">
        <v>3</v>
      </c>
      <c r="O3990">
        <v>3</v>
      </c>
      <c r="P3990">
        <v>4</v>
      </c>
      <c r="Q3990">
        <v>0</v>
      </c>
      <c r="R3990">
        <v>24.83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H3990">
        <v>24.83</v>
      </c>
    </row>
    <row r="3991" spans="1:34" x14ac:dyDescent="0.3">
      <c r="A3991" s="4">
        <v>4205</v>
      </c>
      <c r="B3991" s="5">
        <v>3984</v>
      </c>
      <c r="C3991">
        <v>6543</v>
      </c>
      <c r="D3991" t="s">
        <v>5306</v>
      </c>
      <c r="E3991" t="s">
        <v>29</v>
      </c>
      <c r="F3991" t="s">
        <v>38</v>
      </c>
      <c r="G3991" t="s">
        <v>17904</v>
      </c>
      <c r="H3991">
        <v>16.8</v>
      </c>
      <c r="I3991">
        <v>0</v>
      </c>
      <c r="J3991">
        <v>0</v>
      </c>
      <c r="K3991">
        <v>0</v>
      </c>
      <c r="M3991">
        <v>5</v>
      </c>
      <c r="O3991">
        <v>5</v>
      </c>
      <c r="P3991">
        <v>0</v>
      </c>
      <c r="Q3991">
        <v>0</v>
      </c>
      <c r="R3991">
        <v>21.8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3</v>
      </c>
      <c r="AC3991">
        <v>0</v>
      </c>
      <c r="AH3991">
        <v>24.8</v>
      </c>
    </row>
    <row r="3992" spans="1:34" x14ac:dyDescent="0.3">
      <c r="A3992" s="4">
        <v>4206</v>
      </c>
      <c r="B3992" s="5">
        <v>3985</v>
      </c>
      <c r="C3992">
        <v>11738</v>
      </c>
      <c r="D3992" t="s">
        <v>17905</v>
      </c>
      <c r="E3992" t="s">
        <v>283</v>
      </c>
      <c r="F3992" t="s">
        <v>68</v>
      </c>
      <c r="G3992" t="s">
        <v>17906</v>
      </c>
      <c r="H3992">
        <v>15.8</v>
      </c>
      <c r="I3992">
        <v>0</v>
      </c>
      <c r="J3992">
        <v>0</v>
      </c>
      <c r="K3992">
        <v>0</v>
      </c>
      <c r="O3992">
        <v>0</v>
      </c>
      <c r="P3992">
        <v>4</v>
      </c>
      <c r="Q3992">
        <v>2</v>
      </c>
      <c r="R3992">
        <v>21.8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3</v>
      </c>
      <c r="AC3992">
        <v>0</v>
      </c>
      <c r="AH3992">
        <v>24.8</v>
      </c>
    </row>
    <row r="3993" spans="1:34" x14ac:dyDescent="0.3">
      <c r="A3993" s="4">
        <v>4207</v>
      </c>
      <c r="B3993" s="5">
        <v>3986</v>
      </c>
      <c r="C3993">
        <v>14985</v>
      </c>
      <c r="D3993" t="s">
        <v>9098</v>
      </c>
      <c r="E3993" t="s">
        <v>110</v>
      </c>
      <c r="F3993" t="s">
        <v>570</v>
      </c>
      <c r="G3993" t="s">
        <v>17907</v>
      </c>
      <c r="H3993">
        <v>17.75</v>
      </c>
      <c r="I3993">
        <v>0</v>
      </c>
      <c r="J3993">
        <v>0</v>
      </c>
      <c r="K3993">
        <v>0</v>
      </c>
      <c r="N3993">
        <v>3</v>
      </c>
      <c r="O3993">
        <v>3</v>
      </c>
      <c r="P3993">
        <v>4</v>
      </c>
      <c r="Q3993">
        <v>0</v>
      </c>
      <c r="R3993">
        <v>24.75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 t="s">
        <v>130</v>
      </c>
      <c r="AH3993">
        <v>24.75</v>
      </c>
    </row>
    <row r="3994" spans="1:34" x14ac:dyDescent="0.3">
      <c r="A3994" s="4">
        <v>4208</v>
      </c>
      <c r="B3994" s="5">
        <v>3987</v>
      </c>
      <c r="C3994">
        <v>15366</v>
      </c>
      <c r="D3994" t="s">
        <v>7337</v>
      </c>
      <c r="E3994" t="s">
        <v>132</v>
      </c>
      <c r="F3994" t="s">
        <v>81</v>
      </c>
      <c r="G3994" t="s">
        <v>17908</v>
      </c>
      <c r="H3994">
        <v>17.73</v>
      </c>
      <c r="I3994">
        <v>0</v>
      </c>
      <c r="J3994">
        <v>0</v>
      </c>
      <c r="K3994">
        <v>0</v>
      </c>
      <c r="N3994">
        <v>3</v>
      </c>
      <c r="O3994">
        <v>3</v>
      </c>
      <c r="P3994">
        <v>4</v>
      </c>
      <c r="Q3994">
        <v>0</v>
      </c>
      <c r="R3994">
        <v>24.73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H3994">
        <v>24.73</v>
      </c>
    </row>
    <row r="3995" spans="1:34" x14ac:dyDescent="0.3">
      <c r="A3995" s="4">
        <v>4209</v>
      </c>
      <c r="B3995" s="5">
        <v>3988</v>
      </c>
      <c r="C3995">
        <v>11186</v>
      </c>
      <c r="D3995" t="s">
        <v>17909</v>
      </c>
      <c r="E3995" t="s">
        <v>2435</v>
      </c>
      <c r="F3995" t="s">
        <v>3705</v>
      </c>
      <c r="G3995" t="s">
        <v>17910</v>
      </c>
      <c r="H3995">
        <v>18.7</v>
      </c>
      <c r="I3995">
        <v>0</v>
      </c>
      <c r="J3995">
        <v>0</v>
      </c>
      <c r="K3995">
        <v>0</v>
      </c>
      <c r="N3995">
        <v>6</v>
      </c>
      <c r="O3995">
        <v>6</v>
      </c>
      <c r="P3995">
        <v>0</v>
      </c>
      <c r="Q3995">
        <v>0</v>
      </c>
      <c r="R3995">
        <v>24.7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H3995">
        <v>24.7</v>
      </c>
    </row>
    <row r="3996" spans="1:34" x14ac:dyDescent="0.3">
      <c r="A3996" s="4">
        <v>4210</v>
      </c>
      <c r="B3996" s="5">
        <v>3989</v>
      </c>
      <c r="C3996">
        <v>3060</v>
      </c>
      <c r="D3996" t="s">
        <v>767</v>
      </c>
      <c r="E3996" t="s">
        <v>54</v>
      </c>
      <c r="F3996" t="s">
        <v>587</v>
      </c>
      <c r="G3996" t="s">
        <v>17911</v>
      </c>
      <c r="H3996">
        <v>17.7</v>
      </c>
      <c r="I3996">
        <v>0</v>
      </c>
      <c r="J3996">
        <v>0</v>
      </c>
      <c r="K3996">
        <v>0</v>
      </c>
      <c r="N3996">
        <v>3</v>
      </c>
      <c r="O3996">
        <v>3</v>
      </c>
      <c r="P3996">
        <v>4</v>
      </c>
      <c r="Q3996">
        <v>0</v>
      </c>
      <c r="R3996">
        <v>24.7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H3996">
        <v>24.7</v>
      </c>
    </row>
    <row r="3997" spans="1:34" x14ac:dyDescent="0.3">
      <c r="A3997" s="4">
        <v>4211</v>
      </c>
      <c r="B3997" s="5">
        <v>3990</v>
      </c>
      <c r="C3997">
        <v>11903</v>
      </c>
      <c r="D3997" t="s">
        <v>5772</v>
      </c>
      <c r="E3997" t="s">
        <v>29</v>
      </c>
      <c r="F3997" t="s">
        <v>91</v>
      </c>
      <c r="G3997" t="s">
        <v>17912</v>
      </c>
      <c r="H3997">
        <v>15.7</v>
      </c>
      <c r="I3997">
        <v>0</v>
      </c>
      <c r="J3997">
        <v>0</v>
      </c>
      <c r="K3997">
        <v>0</v>
      </c>
      <c r="L3997">
        <v>7</v>
      </c>
      <c r="O3997">
        <v>7</v>
      </c>
      <c r="P3997">
        <v>0</v>
      </c>
      <c r="Q3997">
        <v>2</v>
      </c>
      <c r="R3997">
        <v>24.7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H3997">
        <v>24.7</v>
      </c>
    </row>
    <row r="3998" spans="1:34" x14ac:dyDescent="0.3">
      <c r="A3998" s="4">
        <v>4212</v>
      </c>
      <c r="B3998" s="5">
        <v>3991</v>
      </c>
      <c r="C3998">
        <v>3941</v>
      </c>
      <c r="D3998" t="s">
        <v>17913</v>
      </c>
      <c r="E3998" t="s">
        <v>136</v>
      </c>
      <c r="F3998" t="s">
        <v>20</v>
      </c>
      <c r="G3998" t="s">
        <v>17914</v>
      </c>
      <c r="H3998">
        <v>15.7</v>
      </c>
      <c r="I3998">
        <v>0</v>
      </c>
      <c r="J3998">
        <v>0</v>
      </c>
      <c r="K3998">
        <v>0</v>
      </c>
      <c r="N3998">
        <v>3</v>
      </c>
      <c r="O3998">
        <v>3</v>
      </c>
      <c r="P3998">
        <v>4</v>
      </c>
      <c r="Q3998">
        <v>2</v>
      </c>
      <c r="R3998">
        <v>24.7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H3998">
        <v>24.7</v>
      </c>
    </row>
    <row r="3999" spans="1:34" x14ac:dyDescent="0.3">
      <c r="A3999" s="4">
        <v>4213</v>
      </c>
      <c r="B3999" s="5">
        <v>3992</v>
      </c>
      <c r="C3999">
        <v>5002</v>
      </c>
      <c r="D3999" t="s">
        <v>17915</v>
      </c>
      <c r="E3999" t="s">
        <v>858</v>
      </c>
      <c r="F3999" t="s">
        <v>1023</v>
      </c>
      <c r="G3999" t="s">
        <v>17916</v>
      </c>
      <c r="H3999">
        <v>16.649999999999999</v>
      </c>
      <c r="I3999">
        <v>0</v>
      </c>
      <c r="J3999">
        <v>0</v>
      </c>
      <c r="K3999">
        <v>0</v>
      </c>
      <c r="N3999">
        <v>3</v>
      </c>
      <c r="O3999">
        <v>3</v>
      </c>
      <c r="P3999">
        <v>0</v>
      </c>
      <c r="Q3999">
        <v>2</v>
      </c>
      <c r="R3999">
        <v>21.65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3</v>
      </c>
      <c r="AC3999">
        <v>0</v>
      </c>
      <c r="AD3999" t="s">
        <v>130</v>
      </c>
      <c r="AH3999">
        <v>24.65</v>
      </c>
    </row>
    <row r="4000" spans="1:34" x14ac:dyDescent="0.3">
      <c r="A4000" s="4">
        <v>4214</v>
      </c>
      <c r="B4000" s="5">
        <v>3993</v>
      </c>
      <c r="C4000">
        <v>9071</v>
      </c>
      <c r="D4000" t="s">
        <v>17917</v>
      </c>
      <c r="E4000" t="s">
        <v>166</v>
      </c>
      <c r="F4000" t="s">
        <v>17</v>
      </c>
      <c r="G4000" t="s">
        <v>17918</v>
      </c>
      <c r="H4000">
        <v>17.649999999999999</v>
      </c>
      <c r="I4000">
        <v>0</v>
      </c>
      <c r="J4000">
        <v>0</v>
      </c>
      <c r="K4000">
        <v>0</v>
      </c>
      <c r="L4000">
        <v>7</v>
      </c>
      <c r="O4000">
        <v>7</v>
      </c>
      <c r="P4000">
        <v>0</v>
      </c>
      <c r="Q4000">
        <v>0</v>
      </c>
      <c r="R4000">
        <v>24.65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H4000">
        <v>24.65</v>
      </c>
    </row>
    <row r="4001" spans="1:34" x14ac:dyDescent="0.3">
      <c r="A4001" s="4">
        <v>4215</v>
      </c>
      <c r="B4001" s="5">
        <v>3994</v>
      </c>
      <c r="C4001">
        <v>6754</v>
      </c>
      <c r="D4001" t="s">
        <v>17919</v>
      </c>
      <c r="E4001" t="s">
        <v>26</v>
      </c>
      <c r="F4001" t="s">
        <v>81</v>
      </c>
      <c r="G4001" t="s">
        <v>17920</v>
      </c>
      <c r="H4001">
        <v>17.600000000000001</v>
      </c>
      <c r="I4001">
        <v>0</v>
      </c>
      <c r="J4001">
        <v>0</v>
      </c>
      <c r="K4001">
        <v>0</v>
      </c>
      <c r="N4001">
        <v>3</v>
      </c>
      <c r="O4001">
        <v>3</v>
      </c>
      <c r="P4001">
        <v>4</v>
      </c>
      <c r="Q4001">
        <v>0</v>
      </c>
      <c r="R4001">
        <v>24.6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H4001">
        <v>24.6</v>
      </c>
    </row>
    <row r="4002" spans="1:34" x14ac:dyDescent="0.3">
      <c r="A4002" s="4">
        <v>4216</v>
      </c>
      <c r="B4002" s="5">
        <v>3995</v>
      </c>
      <c r="C4002">
        <v>10122</v>
      </c>
      <c r="D4002" t="s">
        <v>784</v>
      </c>
      <c r="E4002" t="s">
        <v>3775</v>
      </c>
      <c r="F4002" t="s">
        <v>38</v>
      </c>
      <c r="G4002" t="s">
        <v>17921</v>
      </c>
      <c r="H4002">
        <v>17.55</v>
      </c>
      <c r="I4002">
        <v>0</v>
      </c>
      <c r="J4002">
        <v>0</v>
      </c>
      <c r="K4002">
        <v>0</v>
      </c>
      <c r="L4002">
        <v>7</v>
      </c>
      <c r="O4002">
        <v>7</v>
      </c>
      <c r="P4002">
        <v>0</v>
      </c>
      <c r="Q4002">
        <v>0</v>
      </c>
      <c r="R4002">
        <v>24.55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H4002">
        <v>24.55</v>
      </c>
    </row>
    <row r="4003" spans="1:34" x14ac:dyDescent="0.3">
      <c r="A4003" s="4">
        <v>4217</v>
      </c>
      <c r="B4003" s="5">
        <v>3996</v>
      </c>
      <c r="C4003">
        <v>6646</v>
      </c>
      <c r="D4003" t="s">
        <v>17922</v>
      </c>
      <c r="E4003" t="s">
        <v>539</v>
      </c>
      <c r="F4003" t="s">
        <v>167</v>
      </c>
      <c r="G4003" t="s">
        <v>17923</v>
      </c>
      <c r="H4003">
        <v>17.55</v>
      </c>
      <c r="I4003">
        <v>0</v>
      </c>
      <c r="J4003">
        <v>0</v>
      </c>
      <c r="K4003">
        <v>0</v>
      </c>
      <c r="L4003">
        <v>7</v>
      </c>
      <c r="O4003">
        <v>7</v>
      </c>
      <c r="P4003">
        <v>0</v>
      </c>
      <c r="Q4003">
        <v>0</v>
      </c>
      <c r="R4003">
        <v>24.55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H4003">
        <v>24.55</v>
      </c>
    </row>
    <row r="4004" spans="1:34" x14ac:dyDescent="0.3">
      <c r="A4004" s="4">
        <v>4218</v>
      </c>
      <c r="B4004" s="5">
        <v>3997</v>
      </c>
      <c r="C4004">
        <v>2878</v>
      </c>
      <c r="D4004" t="s">
        <v>17924</v>
      </c>
      <c r="E4004" t="s">
        <v>792</v>
      </c>
      <c r="F4004" t="s">
        <v>4873</v>
      </c>
      <c r="G4004">
        <v>829656</v>
      </c>
      <c r="H4004">
        <v>17.55</v>
      </c>
      <c r="I4004">
        <v>0</v>
      </c>
      <c r="J4004">
        <v>0</v>
      </c>
      <c r="K4004">
        <v>0</v>
      </c>
      <c r="N4004">
        <v>3</v>
      </c>
      <c r="O4004">
        <v>3</v>
      </c>
      <c r="P4004">
        <v>4</v>
      </c>
      <c r="Q4004">
        <v>0</v>
      </c>
      <c r="R4004">
        <v>24.55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H4004">
        <v>24.55</v>
      </c>
    </row>
    <row r="4005" spans="1:34" x14ac:dyDescent="0.3">
      <c r="A4005" s="4">
        <v>4219</v>
      </c>
      <c r="B4005" s="5">
        <v>3998</v>
      </c>
      <c r="C4005">
        <v>15115</v>
      </c>
      <c r="D4005" t="s">
        <v>2129</v>
      </c>
      <c r="E4005" t="s">
        <v>208</v>
      </c>
      <c r="F4005" t="s">
        <v>136</v>
      </c>
      <c r="G4005" t="s">
        <v>17925</v>
      </c>
      <c r="H4005">
        <v>15.55</v>
      </c>
      <c r="I4005">
        <v>0</v>
      </c>
      <c r="J4005">
        <v>0</v>
      </c>
      <c r="K4005">
        <v>0</v>
      </c>
      <c r="N4005">
        <v>3</v>
      </c>
      <c r="O4005">
        <v>3</v>
      </c>
      <c r="P4005">
        <v>4</v>
      </c>
      <c r="Q4005">
        <v>2</v>
      </c>
      <c r="R4005">
        <v>24.55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H4005">
        <v>24.55</v>
      </c>
    </row>
    <row r="4006" spans="1:34" x14ac:dyDescent="0.3">
      <c r="A4006" s="4">
        <v>4220</v>
      </c>
      <c r="B4006" s="5">
        <v>3999</v>
      </c>
      <c r="C4006">
        <v>210</v>
      </c>
      <c r="D4006" t="s">
        <v>17926</v>
      </c>
      <c r="E4006" t="s">
        <v>161</v>
      </c>
      <c r="F4006" t="s">
        <v>52</v>
      </c>
      <c r="G4006" t="s">
        <v>17927</v>
      </c>
      <c r="H4006">
        <v>17.53</v>
      </c>
      <c r="I4006">
        <v>0</v>
      </c>
      <c r="J4006">
        <v>0</v>
      </c>
      <c r="K4006">
        <v>0</v>
      </c>
      <c r="N4006">
        <v>3</v>
      </c>
      <c r="O4006">
        <v>3</v>
      </c>
      <c r="P4006">
        <v>4</v>
      </c>
      <c r="Q4006">
        <v>0</v>
      </c>
      <c r="R4006">
        <v>24.53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H4006">
        <v>24.53</v>
      </c>
    </row>
    <row r="4007" spans="1:34" x14ac:dyDescent="0.3">
      <c r="A4007" s="4">
        <v>4221</v>
      </c>
      <c r="B4007" s="5">
        <v>4000</v>
      </c>
      <c r="C4007">
        <v>11864</v>
      </c>
      <c r="D4007" t="s">
        <v>17928</v>
      </c>
      <c r="E4007" t="s">
        <v>17929</v>
      </c>
      <c r="F4007" t="s">
        <v>9291</v>
      </c>
      <c r="G4007" t="s">
        <v>17930</v>
      </c>
      <c r="H4007">
        <v>17.53</v>
      </c>
      <c r="I4007">
        <v>0</v>
      </c>
      <c r="J4007">
        <v>0</v>
      </c>
      <c r="K4007">
        <v>0</v>
      </c>
      <c r="N4007">
        <v>3</v>
      </c>
      <c r="O4007">
        <v>3</v>
      </c>
      <c r="P4007">
        <v>4</v>
      </c>
      <c r="Q4007">
        <v>0</v>
      </c>
      <c r="R4007">
        <v>24.53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 t="s">
        <v>130</v>
      </c>
      <c r="AH4007">
        <v>24.53</v>
      </c>
    </row>
    <row r="4008" spans="1:34" x14ac:dyDescent="0.3">
      <c r="A4008" s="4">
        <v>4222</v>
      </c>
      <c r="B4008" s="5">
        <v>4001</v>
      </c>
      <c r="C4008">
        <v>14853</v>
      </c>
      <c r="D4008" t="s">
        <v>17931</v>
      </c>
      <c r="E4008" t="s">
        <v>62</v>
      </c>
      <c r="F4008" t="s">
        <v>136</v>
      </c>
      <c r="G4008" t="s">
        <v>17932</v>
      </c>
      <c r="H4008">
        <v>12.5</v>
      </c>
      <c r="I4008">
        <v>0</v>
      </c>
      <c r="J4008">
        <v>0</v>
      </c>
      <c r="K4008">
        <v>0</v>
      </c>
      <c r="N4008">
        <v>3</v>
      </c>
      <c r="O4008">
        <v>3</v>
      </c>
      <c r="P4008">
        <v>0</v>
      </c>
      <c r="Q4008">
        <v>0</v>
      </c>
      <c r="R4008">
        <v>15.5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9</v>
      </c>
      <c r="AC4008">
        <v>0</v>
      </c>
      <c r="AH4008">
        <v>24.5</v>
      </c>
    </row>
    <row r="4009" spans="1:34" x14ac:dyDescent="0.3">
      <c r="A4009" s="4">
        <v>4223</v>
      </c>
      <c r="B4009" s="5">
        <v>4002</v>
      </c>
      <c r="C4009">
        <v>5121</v>
      </c>
      <c r="D4009" t="s">
        <v>17144</v>
      </c>
      <c r="E4009" t="s">
        <v>115</v>
      </c>
      <c r="F4009" t="s">
        <v>17</v>
      </c>
      <c r="G4009" t="s">
        <v>17933</v>
      </c>
      <c r="H4009">
        <v>17.5</v>
      </c>
      <c r="I4009">
        <v>0</v>
      </c>
      <c r="J4009">
        <v>0</v>
      </c>
      <c r="K4009">
        <v>0</v>
      </c>
      <c r="L4009">
        <v>7</v>
      </c>
      <c r="O4009">
        <v>7</v>
      </c>
      <c r="P4009">
        <v>0</v>
      </c>
      <c r="Q4009">
        <v>0</v>
      </c>
      <c r="R4009">
        <v>24.5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H4009">
        <v>24.5</v>
      </c>
    </row>
    <row r="4010" spans="1:34" x14ac:dyDescent="0.3">
      <c r="A4010" s="4">
        <v>4224</v>
      </c>
      <c r="B4010" s="5">
        <v>4003</v>
      </c>
      <c r="C4010">
        <v>14589</v>
      </c>
      <c r="D4010" t="s">
        <v>17934</v>
      </c>
      <c r="E4010" t="s">
        <v>26</v>
      </c>
      <c r="F4010" t="s">
        <v>20</v>
      </c>
      <c r="G4010" t="s">
        <v>17935</v>
      </c>
      <c r="H4010">
        <v>17.5</v>
      </c>
      <c r="I4010">
        <v>0</v>
      </c>
      <c r="J4010">
        <v>0</v>
      </c>
      <c r="K4010">
        <v>0</v>
      </c>
      <c r="N4010">
        <v>3</v>
      </c>
      <c r="O4010">
        <v>3</v>
      </c>
      <c r="P4010">
        <v>4</v>
      </c>
      <c r="Q4010">
        <v>0</v>
      </c>
      <c r="R4010">
        <v>24.5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H4010">
        <v>24.5</v>
      </c>
    </row>
    <row r="4011" spans="1:34" x14ac:dyDescent="0.3">
      <c r="A4011" s="4">
        <v>4225</v>
      </c>
      <c r="B4011" s="5">
        <v>4004</v>
      </c>
      <c r="C4011">
        <v>10404</v>
      </c>
      <c r="D4011" t="s">
        <v>17936</v>
      </c>
      <c r="E4011" t="s">
        <v>20</v>
      </c>
      <c r="F4011" t="s">
        <v>136</v>
      </c>
      <c r="G4011" t="s">
        <v>17937</v>
      </c>
      <c r="H4011">
        <v>17.5</v>
      </c>
      <c r="I4011">
        <v>0</v>
      </c>
      <c r="J4011">
        <v>0</v>
      </c>
      <c r="K4011">
        <v>0</v>
      </c>
      <c r="L4011">
        <v>7</v>
      </c>
      <c r="O4011">
        <v>7</v>
      </c>
      <c r="P4011">
        <v>0</v>
      </c>
      <c r="Q4011">
        <v>0</v>
      </c>
      <c r="R4011">
        <v>24.5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H4011">
        <v>24.5</v>
      </c>
    </row>
    <row r="4012" spans="1:34" x14ac:dyDescent="0.3">
      <c r="A4012" s="4">
        <v>4226</v>
      </c>
      <c r="B4012" s="5">
        <v>4005</v>
      </c>
      <c r="C4012">
        <v>8758</v>
      </c>
      <c r="D4012" t="s">
        <v>17938</v>
      </c>
      <c r="E4012" t="s">
        <v>178</v>
      </c>
      <c r="F4012" t="s">
        <v>62</v>
      </c>
      <c r="G4012" t="s">
        <v>17939</v>
      </c>
      <c r="H4012">
        <v>12.5</v>
      </c>
      <c r="I4012">
        <v>0</v>
      </c>
      <c r="J4012">
        <v>0</v>
      </c>
      <c r="K4012">
        <v>0</v>
      </c>
      <c r="L4012">
        <v>7</v>
      </c>
      <c r="N4012">
        <v>3</v>
      </c>
      <c r="O4012">
        <v>10</v>
      </c>
      <c r="P4012">
        <v>0</v>
      </c>
      <c r="Q4012">
        <v>2</v>
      </c>
      <c r="R4012">
        <v>24.5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H4012">
        <v>24.5</v>
      </c>
    </row>
    <row r="4013" spans="1:34" x14ac:dyDescent="0.3">
      <c r="A4013" s="4">
        <v>4227</v>
      </c>
      <c r="B4013" s="5">
        <v>4006</v>
      </c>
      <c r="C4013">
        <v>4449</v>
      </c>
      <c r="D4013" t="s">
        <v>17940</v>
      </c>
      <c r="E4013" t="s">
        <v>789</v>
      </c>
      <c r="F4013" t="s">
        <v>442</v>
      </c>
      <c r="G4013" t="s">
        <v>17941</v>
      </c>
      <c r="H4013">
        <v>12.5</v>
      </c>
      <c r="I4013">
        <v>0</v>
      </c>
      <c r="J4013">
        <v>0</v>
      </c>
      <c r="K4013">
        <v>0</v>
      </c>
      <c r="L4013">
        <v>7</v>
      </c>
      <c r="N4013">
        <v>3</v>
      </c>
      <c r="O4013">
        <v>10</v>
      </c>
      <c r="P4013">
        <v>0</v>
      </c>
      <c r="Q4013">
        <v>2</v>
      </c>
      <c r="R4013">
        <v>24.5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H4013">
        <v>24.5</v>
      </c>
    </row>
    <row r="4014" spans="1:34" x14ac:dyDescent="0.3">
      <c r="A4014" s="4">
        <v>4228</v>
      </c>
      <c r="B4014" s="5">
        <v>4007</v>
      </c>
      <c r="C4014">
        <v>13036</v>
      </c>
      <c r="D4014" t="s">
        <v>17942</v>
      </c>
      <c r="E4014" t="s">
        <v>219</v>
      </c>
      <c r="F4014" t="s">
        <v>259</v>
      </c>
      <c r="G4014" t="s">
        <v>17943</v>
      </c>
      <c r="H4014">
        <v>17.48</v>
      </c>
      <c r="I4014">
        <v>0</v>
      </c>
      <c r="J4014">
        <v>0</v>
      </c>
      <c r="K4014">
        <v>0</v>
      </c>
      <c r="L4014">
        <v>7</v>
      </c>
      <c r="O4014">
        <v>7</v>
      </c>
      <c r="P4014">
        <v>0</v>
      </c>
      <c r="Q4014">
        <v>0</v>
      </c>
      <c r="R4014">
        <v>24.48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H4014">
        <v>24.48</v>
      </c>
    </row>
    <row r="4015" spans="1:34" x14ac:dyDescent="0.3">
      <c r="A4015" s="4">
        <v>4229</v>
      </c>
      <c r="B4015" s="5">
        <v>4008</v>
      </c>
      <c r="C4015">
        <v>13032</v>
      </c>
      <c r="D4015" t="s">
        <v>17944</v>
      </c>
      <c r="E4015" t="s">
        <v>132</v>
      </c>
      <c r="F4015" t="s">
        <v>91</v>
      </c>
      <c r="G4015" t="s">
        <v>17945</v>
      </c>
      <c r="H4015">
        <v>21.45</v>
      </c>
      <c r="I4015">
        <v>0</v>
      </c>
      <c r="J4015">
        <v>0</v>
      </c>
      <c r="K4015">
        <v>0</v>
      </c>
      <c r="N4015">
        <v>3</v>
      </c>
      <c r="O4015">
        <v>3</v>
      </c>
      <c r="P4015">
        <v>0</v>
      </c>
      <c r="Q4015">
        <v>0</v>
      </c>
      <c r="R4015">
        <v>24.45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H4015">
        <v>24.45</v>
      </c>
    </row>
    <row r="4016" spans="1:34" x14ac:dyDescent="0.3">
      <c r="A4016" s="4">
        <v>4230</v>
      </c>
      <c r="B4016" s="5">
        <v>4009</v>
      </c>
      <c r="C4016">
        <v>15514</v>
      </c>
      <c r="D4016" t="s">
        <v>11191</v>
      </c>
      <c r="E4016" t="s">
        <v>17946</v>
      </c>
      <c r="F4016" t="s">
        <v>17</v>
      </c>
      <c r="G4016" t="s">
        <v>17947</v>
      </c>
      <c r="H4016">
        <v>19.45</v>
      </c>
      <c r="I4016">
        <v>0</v>
      </c>
      <c r="J4016">
        <v>0</v>
      </c>
      <c r="K4016">
        <v>0</v>
      </c>
      <c r="M4016">
        <v>5</v>
      </c>
      <c r="O4016">
        <v>5</v>
      </c>
      <c r="P4016">
        <v>0</v>
      </c>
      <c r="Q4016">
        <v>0</v>
      </c>
      <c r="R4016">
        <v>24.45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H4016">
        <v>24.45</v>
      </c>
    </row>
    <row r="4017" spans="1:34" x14ac:dyDescent="0.3">
      <c r="A4017" s="4">
        <v>4231</v>
      </c>
      <c r="B4017" s="5">
        <v>4010</v>
      </c>
      <c r="C4017">
        <v>11811</v>
      </c>
      <c r="D4017" t="s">
        <v>5408</v>
      </c>
      <c r="E4017" t="s">
        <v>100</v>
      </c>
      <c r="F4017" t="s">
        <v>81</v>
      </c>
      <c r="G4017" t="s">
        <v>17948</v>
      </c>
      <c r="H4017">
        <v>17.43</v>
      </c>
      <c r="I4017">
        <v>0</v>
      </c>
      <c r="J4017">
        <v>0</v>
      </c>
      <c r="K4017">
        <v>0</v>
      </c>
      <c r="N4017">
        <v>3</v>
      </c>
      <c r="O4017">
        <v>3</v>
      </c>
      <c r="P4017">
        <v>4</v>
      </c>
      <c r="Q4017">
        <v>0</v>
      </c>
      <c r="R4017">
        <v>24.43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H4017">
        <v>24.43</v>
      </c>
    </row>
    <row r="4018" spans="1:34" x14ac:dyDescent="0.3">
      <c r="A4018" s="4">
        <v>4232</v>
      </c>
      <c r="B4018" s="5">
        <v>4011</v>
      </c>
      <c r="C4018">
        <v>3415</v>
      </c>
      <c r="D4018" t="s">
        <v>17949</v>
      </c>
      <c r="E4018" t="s">
        <v>17950</v>
      </c>
      <c r="F4018" t="s">
        <v>832</v>
      </c>
      <c r="G4018" t="s">
        <v>17951</v>
      </c>
      <c r="H4018">
        <v>17.399999999999999</v>
      </c>
      <c r="I4018">
        <v>0</v>
      </c>
      <c r="J4018">
        <v>0</v>
      </c>
      <c r="K4018">
        <v>0</v>
      </c>
      <c r="N4018">
        <v>3</v>
      </c>
      <c r="O4018">
        <v>3</v>
      </c>
      <c r="P4018">
        <v>4</v>
      </c>
      <c r="Q4018">
        <v>0</v>
      </c>
      <c r="R4018">
        <v>24.4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H4018">
        <v>24.4</v>
      </c>
    </row>
    <row r="4019" spans="1:34" x14ac:dyDescent="0.3">
      <c r="A4019" s="4">
        <v>4233</v>
      </c>
      <c r="B4019" s="5">
        <v>4012</v>
      </c>
      <c r="C4019">
        <v>9009</v>
      </c>
      <c r="D4019" t="s">
        <v>17952</v>
      </c>
      <c r="E4019" t="s">
        <v>667</v>
      </c>
      <c r="F4019" t="s">
        <v>68</v>
      </c>
      <c r="G4019" t="s">
        <v>17953</v>
      </c>
      <c r="H4019">
        <v>17.38</v>
      </c>
      <c r="I4019">
        <v>0</v>
      </c>
      <c r="J4019">
        <v>0</v>
      </c>
      <c r="K4019">
        <v>0</v>
      </c>
      <c r="L4019">
        <v>7</v>
      </c>
      <c r="O4019">
        <v>7</v>
      </c>
      <c r="P4019">
        <v>0</v>
      </c>
      <c r="Q4019">
        <v>0</v>
      </c>
      <c r="R4019">
        <v>24.38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H4019">
        <v>24.38</v>
      </c>
    </row>
    <row r="4020" spans="1:34" x14ac:dyDescent="0.3">
      <c r="A4020" s="4">
        <v>4234</v>
      </c>
      <c r="B4020" s="5">
        <v>4013</v>
      </c>
      <c r="C4020">
        <v>14970</v>
      </c>
      <c r="D4020" t="s">
        <v>775</v>
      </c>
      <c r="E4020" t="s">
        <v>17954</v>
      </c>
      <c r="F4020" t="s">
        <v>259</v>
      </c>
      <c r="G4020" t="s">
        <v>32062</v>
      </c>
      <c r="H4020">
        <v>17.38</v>
      </c>
      <c r="I4020">
        <v>0</v>
      </c>
      <c r="J4020">
        <v>0</v>
      </c>
      <c r="K4020">
        <v>0</v>
      </c>
      <c r="L4020">
        <v>7</v>
      </c>
      <c r="O4020">
        <v>7</v>
      </c>
      <c r="P4020">
        <v>0</v>
      </c>
      <c r="Q4020">
        <v>0</v>
      </c>
      <c r="R4020">
        <v>24.38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H4020">
        <v>24.38</v>
      </c>
    </row>
    <row r="4021" spans="1:34" x14ac:dyDescent="0.3">
      <c r="A4021" s="4">
        <v>4235</v>
      </c>
      <c r="B4021" s="5">
        <v>4014</v>
      </c>
      <c r="C4021">
        <v>4630</v>
      </c>
      <c r="D4021" t="s">
        <v>7480</v>
      </c>
      <c r="E4021" t="s">
        <v>1043</v>
      </c>
      <c r="F4021" t="s">
        <v>68</v>
      </c>
      <c r="G4021" t="s">
        <v>17955</v>
      </c>
      <c r="H4021">
        <v>19.350000000000001</v>
      </c>
      <c r="I4021">
        <v>0</v>
      </c>
      <c r="J4021">
        <v>0</v>
      </c>
      <c r="K4021">
        <v>0</v>
      </c>
      <c r="M4021">
        <v>5</v>
      </c>
      <c r="O4021">
        <v>5</v>
      </c>
      <c r="P4021">
        <v>0</v>
      </c>
      <c r="Q4021">
        <v>0</v>
      </c>
      <c r="R4021">
        <v>24.35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H4021">
        <v>24.35</v>
      </c>
    </row>
    <row r="4022" spans="1:34" x14ac:dyDescent="0.3">
      <c r="A4022" s="4">
        <v>4236</v>
      </c>
      <c r="B4022" s="5">
        <v>4015</v>
      </c>
      <c r="C4022">
        <v>14594</v>
      </c>
      <c r="D4022" t="s">
        <v>17956</v>
      </c>
      <c r="E4022" t="s">
        <v>17957</v>
      </c>
      <c r="F4022" t="s">
        <v>539</v>
      </c>
      <c r="G4022" t="s">
        <v>17958</v>
      </c>
      <c r="H4022">
        <v>17.329999999999998</v>
      </c>
      <c r="I4022">
        <v>0</v>
      </c>
      <c r="J4022">
        <v>0</v>
      </c>
      <c r="K4022">
        <v>0</v>
      </c>
      <c r="N4022">
        <v>3</v>
      </c>
      <c r="O4022">
        <v>3</v>
      </c>
      <c r="P4022">
        <v>4</v>
      </c>
      <c r="Q4022">
        <v>0</v>
      </c>
      <c r="R4022">
        <v>24.33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H4022">
        <v>24.33</v>
      </c>
    </row>
    <row r="4023" spans="1:34" x14ac:dyDescent="0.3">
      <c r="A4023" s="4">
        <v>4237</v>
      </c>
      <c r="B4023" s="5">
        <v>4016</v>
      </c>
      <c r="C4023">
        <v>3889</v>
      </c>
      <c r="D4023" t="s">
        <v>17959</v>
      </c>
      <c r="E4023" t="s">
        <v>110</v>
      </c>
      <c r="F4023" t="s">
        <v>91</v>
      </c>
      <c r="G4023" t="s">
        <v>17960</v>
      </c>
      <c r="H4023">
        <v>21.25</v>
      </c>
      <c r="I4023">
        <v>0</v>
      </c>
      <c r="J4023">
        <v>0</v>
      </c>
      <c r="K4023">
        <v>0</v>
      </c>
      <c r="N4023">
        <v>3</v>
      </c>
      <c r="O4023">
        <v>3</v>
      </c>
      <c r="P4023">
        <v>0</v>
      </c>
      <c r="Q4023">
        <v>0</v>
      </c>
      <c r="R4023">
        <v>24.25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H4023">
        <v>24.25</v>
      </c>
    </row>
    <row r="4024" spans="1:34" x14ac:dyDescent="0.3">
      <c r="A4024" s="4">
        <v>4238</v>
      </c>
      <c r="B4024" s="5">
        <v>4017</v>
      </c>
      <c r="C4024">
        <v>8437</v>
      </c>
      <c r="D4024" t="s">
        <v>17961</v>
      </c>
      <c r="E4024" t="s">
        <v>16025</v>
      </c>
      <c r="F4024" t="s">
        <v>1450</v>
      </c>
      <c r="G4024" t="s">
        <v>17962</v>
      </c>
      <c r="H4024">
        <v>19.25</v>
      </c>
      <c r="I4024">
        <v>0</v>
      </c>
      <c r="J4024">
        <v>0</v>
      </c>
      <c r="K4024">
        <v>0</v>
      </c>
      <c r="M4024">
        <v>5</v>
      </c>
      <c r="O4024">
        <v>5</v>
      </c>
      <c r="P4024">
        <v>0</v>
      </c>
      <c r="Q4024">
        <v>0</v>
      </c>
      <c r="R4024">
        <v>24.25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H4024">
        <v>24.25</v>
      </c>
    </row>
    <row r="4025" spans="1:34" x14ac:dyDescent="0.3">
      <c r="A4025" s="4">
        <v>4239</v>
      </c>
      <c r="B4025" s="5">
        <v>4018</v>
      </c>
      <c r="C4025">
        <v>12397</v>
      </c>
      <c r="D4025" t="s">
        <v>17963</v>
      </c>
      <c r="E4025" t="s">
        <v>789</v>
      </c>
      <c r="F4025" t="s">
        <v>91</v>
      </c>
      <c r="G4025" t="s">
        <v>17964</v>
      </c>
      <c r="H4025">
        <v>17.25</v>
      </c>
      <c r="I4025">
        <v>0</v>
      </c>
      <c r="J4025">
        <v>0</v>
      </c>
      <c r="K4025">
        <v>0</v>
      </c>
      <c r="N4025">
        <v>3</v>
      </c>
      <c r="O4025">
        <v>3</v>
      </c>
      <c r="P4025">
        <v>4</v>
      </c>
      <c r="Q4025">
        <v>0</v>
      </c>
      <c r="R4025">
        <v>24.25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H4025">
        <v>24.25</v>
      </c>
    </row>
    <row r="4026" spans="1:34" x14ac:dyDescent="0.3">
      <c r="A4026" s="4">
        <v>4240</v>
      </c>
      <c r="B4026" s="5">
        <v>4019</v>
      </c>
      <c r="C4026">
        <v>4351</v>
      </c>
      <c r="D4026" t="s">
        <v>17965</v>
      </c>
      <c r="E4026" t="s">
        <v>29</v>
      </c>
      <c r="F4026" t="s">
        <v>20</v>
      </c>
      <c r="G4026" t="s">
        <v>17966</v>
      </c>
      <c r="H4026">
        <v>17.25</v>
      </c>
      <c r="I4026">
        <v>0</v>
      </c>
      <c r="J4026">
        <v>0</v>
      </c>
      <c r="K4026">
        <v>0</v>
      </c>
      <c r="L4026">
        <v>7</v>
      </c>
      <c r="O4026">
        <v>7</v>
      </c>
      <c r="P4026">
        <v>0</v>
      </c>
      <c r="Q4026">
        <v>0</v>
      </c>
      <c r="R4026">
        <v>24.25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H4026">
        <v>24.25</v>
      </c>
    </row>
    <row r="4027" spans="1:34" x14ac:dyDescent="0.3">
      <c r="A4027" s="4">
        <v>4241</v>
      </c>
      <c r="B4027" s="5">
        <v>4020</v>
      </c>
      <c r="C4027">
        <v>15068</v>
      </c>
      <c r="D4027" t="s">
        <v>2416</v>
      </c>
      <c r="E4027" t="s">
        <v>41</v>
      </c>
      <c r="F4027" t="s">
        <v>91</v>
      </c>
      <c r="G4027" t="s">
        <v>17967</v>
      </c>
      <c r="H4027">
        <v>17.25</v>
      </c>
      <c r="I4027">
        <v>0</v>
      </c>
      <c r="J4027">
        <v>0</v>
      </c>
      <c r="K4027">
        <v>0</v>
      </c>
      <c r="L4027">
        <v>7</v>
      </c>
      <c r="O4027">
        <v>7</v>
      </c>
      <c r="P4027">
        <v>0</v>
      </c>
      <c r="Q4027">
        <v>0</v>
      </c>
      <c r="R4027">
        <v>24.25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H4027">
        <v>24.25</v>
      </c>
    </row>
    <row r="4028" spans="1:34" x14ac:dyDescent="0.3">
      <c r="A4028" s="4">
        <v>4242</v>
      </c>
      <c r="B4028" s="5">
        <v>4021</v>
      </c>
      <c r="C4028">
        <v>13187</v>
      </c>
      <c r="D4028" t="s">
        <v>1894</v>
      </c>
      <c r="E4028" t="s">
        <v>5537</v>
      </c>
      <c r="F4028" t="s">
        <v>101</v>
      </c>
      <c r="G4028" t="s">
        <v>17968</v>
      </c>
      <c r="H4028">
        <v>16.25</v>
      </c>
      <c r="I4028">
        <v>0</v>
      </c>
      <c r="J4028">
        <v>0</v>
      </c>
      <c r="K4028">
        <v>0</v>
      </c>
      <c r="M4028">
        <v>5</v>
      </c>
      <c r="N4028">
        <v>3</v>
      </c>
      <c r="O4028">
        <v>8</v>
      </c>
      <c r="P4028">
        <v>0</v>
      </c>
      <c r="Q4028">
        <v>0</v>
      </c>
      <c r="R4028">
        <v>24.25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H4028">
        <v>24.25</v>
      </c>
    </row>
    <row r="4029" spans="1:34" x14ac:dyDescent="0.3">
      <c r="A4029" s="4">
        <v>4243</v>
      </c>
      <c r="B4029" s="5">
        <v>4022</v>
      </c>
      <c r="C4029">
        <v>5469</v>
      </c>
      <c r="D4029" t="s">
        <v>245</v>
      </c>
      <c r="E4029" t="s">
        <v>575</v>
      </c>
      <c r="F4029" t="s">
        <v>68</v>
      </c>
      <c r="G4029" t="s">
        <v>17969</v>
      </c>
      <c r="H4029">
        <v>16.2</v>
      </c>
      <c r="I4029">
        <v>0</v>
      </c>
      <c r="J4029">
        <v>0</v>
      </c>
      <c r="K4029">
        <v>0</v>
      </c>
      <c r="M4029">
        <v>5</v>
      </c>
      <c r="N4029">
        <v>3</v>
      </c>
      <c r="O4029">
        <v>8</v>
      </c>
      <c r="P4029">
        <v>0</v>
      </c>
      <c r="Q4029">
        <v>0</v>
      </c>
      <c r="R4029">
        <v>24.2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H4029">
        <v>24.2</v>
      </c>
    </row>
    <row r="4030" spans="1:34" x14ac:dyDescent="0.3">
      <c r="A4030" s="4">
        <v>4244</v>
      </c>
      <c r="B4030" s="5">
        <v>4023</v>
      </c>
      <c r="C4030">
        <v>2582</v>
      </c>
      <c r="D4030" t="s">
        <v>17970</v>
      </c>
      <c r="E4030" t="s">
        <v>188</v>
      </c>
      <c r="F4030" t="s">
        <v>230</v>
      </c>
      <c r="G4030" t="s">
        <v>17971</v>
      </c>
      <c r="H4030">
        <v>19.18</v>
      </c>
      <c r="I4030">
        <v>0</v>
      </c>
      <c r="J4030">
        <v>0</v>
      </c>
      <c r="K4030">
        <v>0</v>
      </c>
      <c r="N4030">
        <v>3</v>
      </c>
      <c r="O4030">
        <v>3</v>
      </c>
      <c r="P4030">
        <v>0</v>
      </c>
      <c r="Q4030">
        <v>2</v>
      </c>
      <c r="R4030">
        <v>24.18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H4030">
        <v>24.18</v>
      </c>
    </row>
    <row r="4031" spans="1:34" x14ac:dyDescent="0.3">
      <c r="A4031" s="4">
        <v>4245</v>
      </c>
      <c r="B4031" s="5">
        <v>4024</v>
      </c>
      <c r="C4031">
        <v>623</v>
      </c>
      <c r="D4031" t="s">
        <v>1565</v>
      </c>
      <c r="E4031" t="s">
        <v>117</v>
      </c>
      <c r="F4031" t="s">
        <v>136</v>
      </c>
      <c r="G4031" t="s">
        <v>17972</v>
      </c>
      <c r="H4031">
        <v>17.18</v>
      </c>
      <c r="I4031">
        <v>0</v>
      </c>
      <c r="J4031">
        <v>0</v>
      </c>
      <c r="K4031">
        <v>0</v>
      </c>
      <c r="L4031">
        <v>7</v>
      </c>
      <c r="O4031">
        <v>7</v>
      </c>
      <c r="P4031">
        <v>0</v>
      </c>
      <c r="Q4031">
        <v>0</v>
      </c>
      <c r="R4031">
        <v>24.18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H4031">
        <v>24.18</v>
      </c>
    </row>
    <row r="4032" spans="1:34" x14ac:dyDescent="0.3">
      <c r="A4032" s="4">
        <v>4246</v>
      </c>
      <c r="B4032" s="5">
        <v>4025</v>
      </c>
      <c r="C4032">
        <v>2823</v>
      </c>
      <c r="D4032" t="s">
        <v>17973</v>
      </c>
      <c r="E4032" t="s">
        <v>17974</v>
      </c>
      <c r="F4032" t="s">
        <v>17</v>
      </c>
      <c r="G4032" t="s">
        <v>17975</v>
      </c>
      <c r="H4032">
        <v>17.18</v>
      </c>
      <c r="I4032">
        <v>0</v>
      </c>
      <c r="J4032">
        <v>0</v>
      </c>
      <c r="K4032">
        <v>0</v>
      </c>
      <c r="L4032">
        <v>7</v>
      </c>
      <c r="O4032">
        <v>7</v>
      </c>
      <c r="P4032">
        <v>0</v>
      </c>
      <c r="Q4032">
        <v>0</v>
      </c>
      <c r="R4032">
        <v>24.18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H4032">
        <v>24.18</v>
      </c>
    </row>
    <row r="4033" spans="1:34" x14ac:dyDescent="0.3">
      <c r="A4033" s="4">
        <v>4247</v>
      </c>
      <c r="B4033" s="5">
        <v>4026</v>
      </c>
      <c r="C4033">
        <v>5433</v>
      </c>
      <c r="D4033" t="s">
        <v>451</v>
      </c>
      <c r="E4033" t="s">
        <v>100</v>
      </c>
      <c r="F4033" t="s">
        <v>20</v>
      </c>
      <c r="G4033" t="s">
        <v>17976</v>
      </c>
      <c r="H4033">
        <v>17.13</v>
      </c>
      <c r="I4033">
        <v>0</v>
      </c>
      <c r="J4033">
        <v>0</v>
      </c>
      <c r="K4033">
        <v>0</v>
      </c>
      <c r="N4033">
        <v>3</v>
      </c>
      <c r="O4033">
        <v>3</v>
      </c>
      <c r="P4033">
        <v>4</v>
      </c>
      <c r="Q4033">
        <v>0</v>
      </c>
      <c r="R4033">
        <v>24.13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H4033">
        <v>24.13</v>
      </c>
    </row>
    <row r="4034" spans="1:34" x14ac:dyDescent="0.3">
      <c r="A4034" s="4">
        <v>4248</v>
      </c>
      <c r="B4034" s="5">
        <v>4027</v>
      </c>
      <c r="C4034">
        <v>11395</v>
      </c>
      <c r="D4034" t="s">
        <v>17977</v>
      </c>
      <c r="E4034" t="s">
        <v>161</v>
      </c>
      <c r="F4034" t="s">
        <v>17</v>
      </c>
      <c r="G4034" t="s">
        <v>17978</v>
      </c>
      <c r="H4034">
        <v>19.079999999999998</v>
      </c>
      <c r="I4034">
        <v>0</v>
      </c>
      <c r="J4034">
        <v>0</v>
      </c>
      <c r="K4034">
        <v>0</v>
      </c>
      <c r="N4034">
        <v>3</v>
      </c>
      <c r="O4034">
        <v>3</v>
      </c>
      <c r="P4034">
        <v>0</v>
      </c>
      <c r="Q4034">
        <v>2</v>
      </c>
      <c r="R4034">
        <v>24.08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H4034">
        <v>24.08</v>
      </c>
    </row>
    <row r="4035" spans="1:34" x14ac:dyDescent="0.3">
      <c r="A4035" s="4">
        <v>4249</v>
      </c>
      <c r="B4035" s="5">
        <v>4028</v>
      </c>
      <c r="C4035">
        <v>5460</v>
      </c>
      <c r="D4035" t="s">
        <v>17979</v>
      </c>
      <c r="E4035" t="s">
        <v>20</v>
      </c>
      <c r="F4035" t="s">
        <v>38</v>
      </c>
      <c r="G4035" t="s">
        <v>17980</v>
      </c>
      <c r="H4035">
        <v>19.079999999999998</v>
      </c>
      <c r="I4035">
        <v>0</v>
      </c>
      <c r="J4035">
        <v>0</v>
      </c>
      <c r="K4035">
        <v>0</v>
      </c>
      <c r="M4035">
        <v>5</v>
      </c>
      <c r="O4035">
        <v>5</v>
      </c>
      <c r="P4035">
        <v>0</v>
      </c>
      <c r="Q4035">
        <v>0</v>
      </c>
      <c r="R4035">
        <v>24.08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H4035">
        <v>24.08</v>
      </c>
    </row>
    <row r="4036" spans="1:34" x14ac:dyDescent="0.3">
      <c r="A4036" s="4">
        <v>4250</v>
      </c>
      <c r="B4036" s="5">
        <v>4029</v>
      </c>
      <c r="C4036">
        <v>4871</v>
      </c>
      <c r="D4036" t="s">
        <v>17981</v>
      </c>
      <c r="E4036" t="s">
        <v>744</v>
      </c>
      <c r="F4036" t="s">
        <v>20</v>
      </c>
      <c r="G4036" t="s">
        <v>17982</v>
      </c>
      <c r="H4036">
        <v>17.079999999999998</v>
      </c>
      <c r="I4036">
        <v>0</v>
      </c>
      <c r="J4036">
        <v>0</v>
      </c>
      <c r="K4036">
        <v>0</v>
      </c>
      <c r="N4036">
        <v>3</v>
      </c>
      <c r="O4036">
        <v>3</v>
      </c>
      <c r="P4036">
        <v>4</v>
      </c>
      <c r="Q4036">
        <v>0</v>
      </c>
      <c r="R4036">
        <v>24.08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H4036">
        <v>24.08</v>
      </c>
    </row>
    <row r="4037" spans="1:34" x14ac:dyDescent="0.3">
      <c r="A4037" s="4">
        <v>4251</v>
      </c>
      <c r="B4037" s="5">
        <v>4030</v>
      </c>
      <c r="C4037">
        <v>12775</v>
      </c>
      <c r="D4037" t="s">
        <v>2210</v>
      </c>
      <c r="E4037" t="s">
        <v>17983</v>
      </c>
      <c r="F4037" t="s">
        <v>20</v>
      </c>
      <c r="G4037" t="s">
        <v>17984</v>
      </c>
      <c r="H4037">
        <v>17.079999999999998</v>
      </c>
      <c r="I4037">
        <v>0</v>
      </c>
      <c r="J4037">
        <v>0</v>
      </c>
      <c r="K4037">
        <v>0</v>
      </c>
      <c r="N4037">
        <v>3</v>
      </c>
      <c r="O4037">
        <v>3</v>
      </c>
      <c r="P4037">
        <v>4</v>
      </c>
      <c r="Q4037">
        <v>0</v>
      </c>
      <c r="R4037">
        <v>24.08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H4037">
        <v>24.08</v>
      </c>
    </row>
    <row r="4038" spans="1:34" x14ac:dyDescent="0.3">
      <c r="A4038" s="4">
        <v>4252</v>
      </c>
      <c r="B4038" s="5">
        <v>4031</v>
      </c>
      <c r="C4038">
        <v>4646</v>
      </c>
      <c r="D4038" t="s">
        <v>1630</v>
      </c>
      <c r="E4038" t="s">
        <v>97</v>
      </c>
      <c r="F4038" t="s">
        <v>2595</v>
      </c>
      <c r="G4038" t="s">
        <v>17985</v>
      </c>
      <c r="H4038">
        <v>15.08</v>
      </c>
      <c r="I4038">
        <v>0</v>
      </c>
      <c r="J4038">
        <v>0</v>
      </c>
      <c r="K4038">
        <v>0</v>
      </c>
      <c r="N4038">
        <v>3</v>
      </c>
      <c r="O4038">
        <v>3</v>
      </c>
      <c r="P4038">
        <v>4</v>
      </c>
      <c r="Q4038">
        <v>2</v>
      </c>
      <c r="R4038">
        <v>24.08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H4038">
        <v>24.08</v>
      </c>
    </row>
    <row r="4039" spans="1:34" x14ac:dyDescent="0.3">
      <c r="A4039" s="4">
        <v>4253</v>
      </c>
      <c r="B4039" s="5">
        <v>4032</v>
      </c>
      <c r="C4039">
        <v>1939</v>
      </c>
      <c r="D4039" t="s">
        <v>17986</v>
      </c>
      <c r="E4039" t="s">
        <v>273</v>
      </c>
      <c r="F4039" t="s">
        <v>136</v>
      </c>
      <c r="G4039" t="s">
        <v>17987</v>
      </c>
      <c r="H4039">
        <v>18.05</v>
      </c>
      <c r="I4039">
        <v>0</v>
      </c>
      <c r="J4039">
        <v>0</v>
      </c>
      <c r="K4039">
        <v>0</v>
      </c>
      <c r="N4039">
        <v>6</v>
      </c>
      <c r="O4039">
        <v>6</v>
      </c>
      <c r="P4039">
        <v>0</v>
      </c>
      <c r="Q4039">
        <v>0</v>
      </c>
      <c r="R4039">
        <v>24.05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H4039">
        <v>24.05</v>
      </c>
    </row>
    <row r="4040" spans="1:34" x14ac:dyDescent="0.3">
      <c r="A4040" s="4">
        <v>4254</v>
      </c>
      <c r="B4040" s="5">
        <v>4033</v>
      </c>
      <c r="C4040">
        <v>6167</v>
      </c>
      <c r="D4040" t="s">
        <v>4051</v>
      </c>
      <c r="E4040" t="s">
        <v>51</v>
      </c>
      <c r="F4040" t="s">
        <v>801</v>
      </c>
      <c r="G4040" t="s">
        <v>17988</v>
      </c>
      <c r="H4040">
        <v>15.05</v>
      </c>
      <c r="I4040">
        <v>0</v>
      </c>
      <c r="J4040">
        <v>0</v>
      </c>
      <c r="K4040">
        <v>0</v>
      </c>
      <c r="N4040">
        <v>3</v>
      </c>
      <c r="O4040">
        <v>3</v>
      </c>
      <c r="P4040">
        <v>4</v>
      </c>
      <c r="Q4040">
        <v>2</v>
      </c>
      <c r="R4040">
        <v>24.05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H4040">
        <v>24.05</v>
      </c>
    </row>
    <row r="4041" spans="1:34" x14ac:dyDescent="0.3">
      <c r="A4041" s="4">
        <v>4255</v>
      </c>
      <c r="B4041" s="5">
        <v>4034</v>
      </c>
      <c r="C4041">
        <v>12705</v>
      </c>
      <c r="D4041" t="s">
        <v>2416</v>
      </c>
      <c r="E4041" t="s">
        <v>161</v>
      </c>
      <c r="F4041" t="s">
        <v>30</v>
      </c>
      <c r="G4041" t="s">
        <v>17989</v>
      </c>
      <c r="H4041">
        <v>18.03</v>
      </c>
      <c r="I4041">
        <v>0</v>
      </c>
      <c r="J4041">
        <v>0</v>
      </c>
      <c r="K4041">
        <v>0</v>
      </c>
      <c r="O4041">
        <v>0</v>
      </c>
      <c r="P4041">
        <v>4</v>
      </c>
      <c r="Q4041">
        <v>2</v>
      </c>
      <c r="R4041">
        <v>24.03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H4041">
        <v>24.03</v>
      </c>
    </row>
    <row r="4042" spans="1:34" x14ac:dyDescent="0.3">
      <c r="A4042" s="4">
        <v>4256</v>
      </c>
      <c r="B4042" s="5">
        <v>4035</v>
      </c>
      <c r="C4042">
        <v>14961</v>
      </c>
      <c r="D4042" t="s">
        <v>17990</v>
      </c>
      <c r="E4042" t="s">
        <v>283</v>
      </c>
      <c r="F4042" t="s">
        <v>17</v>
      </c>
      <c r="G4042" t="s">
        <v>17991</v>
      </c>
      <c r="H4042">
        <v>17</v>
      </c>
      <c r="I4042">
        <v>0</v>
      </c>
      <c r="J4042">
        <v>0</v>
      </c>
      <c r="K4042">
        <v>0</v>
      </c>
      <c r="L4042">
        <v>7</v>
      </c>
      <c r="O4042">
        <v>7</v>
      </c>
      <c r="P4042">
        <v>0</v>
      </c>
      <c r="Q4042">
        <v>0</v>
      </c>
      <c r="R4042">
        <v>24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H4042">
        <v>24</v>
      </c>
    </row>
    <row r="4043" spans="1:34" x14ac:dyDescent="0.3">
      <c r="A4043" s="4">
        <v>4257</v>
      </c>
      <c r="B4043" s="5">
        <v>4036</v>
      </c>
      <c r="C4043">
        <v>13784</v>
      </c>
      <c r="D4043" t="s">
        <v>17992</v>
      </c>
      <c r="E4043" t="s">
        <v>1242</v>
      </c>
      <c r="F4043" t="s">
        <v>2598</v>
      </c>
      <c r="G4043" t="s">
        <v>17993</v>
      </c>
      <c r="H4043">
        <v>17</v>
      </c>
      <c r="I4043">
        <v>0</v>
      </c>
      <c r="J4043">
        <v>0</v>
      </c>
      <c r="K4043">
        <v>0</v>
      </c>
      <c r="N4043">
        <v>3</v>
      </c>
      <c r="O4043">
        <v>3</v>
      </c>
      <c r="P4043">
        <v>4</v>
      </c>
      <c r="Q4043">
        <v>0</v>
      </c>
      <c r="R4043">
        <v>24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H4043">
        <v>24</v>
      </c>
    </row>
    <row r="4044" spans="1:34" x14ac:dyDescent="0.3">
      <c r="A4044" s="4">
        <v>4258</v>
      </c>
      <c r="B4044" s="5">
        <v>4037</v>
      </c>
      <c r="C4044">
        <v>4399</v>
      </c>
      <c r="D4044" t="s">
        <v>54</v>
      </c>
      <c r="E4044" t="s">
        <v>181</v>
      </c>
      <c r="F4044" t="s">
        <v>81</v>
      </c>
      <c r="G4044" t="s">
        <v>17994</v>
      </c>
      <c r="H4044">
        <v>19.98</v>
      </c>
      <c r="I4044">
        <v>0</v>
      </c>
      <c r="J4044">
        <v>0</v>
      </c>
      <c r="K4044">
        <v>0</v>
      </c>
      <c r="O4044">
        <v>0</v>
      </c>
      <c r="P4044">
        <v>4</v>
      </c>
      <c r="Q4044">
        <v>0</v>
      </c>
      <c r="R4044">
        <v>23.98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H4044">
        <v>23.98</v>
      </c>
    </row>
    <row r="4045" spans="1:34" x14ac:dyDescent="0.3">
      <c r="A4045" s="4">
        <v>4259</v>
      </c>
      <c r="B4045" s="5">
        <v>4038</v>
      </c>
      <c r="C4045">
        <v>2095</v>
      </c>
      <c r="D4045" t="s">
        <v>1422</v>
      </c>
      <c r="E4045" t="s">
        <v>825</v>
      </c>
      <c r="F4045" t="s">
        <v>38</v>
      </c>
      <c r="G4045" t="s">
        <v>17995</v>
      </c>
      <c r="H4045">
        <v>14.98</v>
      </c>
      <c r="I4045">
        <v>0</v>
      </c>
      <c r="J4045">
        <v>0</v>
      </c>
      <c r="K4045">
        <v>0</v>
      </c>
      <c r="N4045">
        <v>3</v>
      </c>
      <c r="O4045">
        <v>3</v>
      </c>
      <c r="P4045">
        <v>4</v>
      </c>
      <c r="Q4045">
        <v>2</v>
      </c>
      <c r="R4045">
        <v>23.98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H4045">
        <v>23.98</v>
      </c>
    </row>
    <row r="4046" spans="1:34" x14ac:dyDescent="0.3">
      <c r="A4046" s="4">
        <v>4260</v>
      </c>
      <c r="B4046" s="5">
        <v>4039</v>
      </c>
      <c r="C4046">
        <v>13092</v>
      </c>
      <c r="D4046" t="s">
        <v>17996</v>
      </c>
      <c r="E4046" t="s">
        <v>6299</v>
      </c>
      <c r="F4046" t="s">
        <v>91</v>
      </c>
      <c r="G4046" t="s">
        <v>17997</v>
      </c>
      <c r="H4046">
        <v>18.95</v>
      </c>
      <c r="I4046">
        <v>0</v>
      </c>
      <c r="J4046">
        <v>0</v>
      </c>
      <c r="K4046">
        <v>0</v>
      </c>
      <c r="N4046">
        <v>3</v>
      </c>
      <c r="O4046">
        <v>3</v>
      </c>
      <c r="P4046">
        <v>0</v>
      </c>
      <c r="Q4046">
        <v>2</v>
      </c>
      <c r="R4046">
        <v>23.95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H4046">
        <v>23.95</v>
      </c>
    </row>
    <row r="4047" spans="1:34" x14ac:dyDescent="0.3">
      <c r="A4047" s="4">
        <v>4261</v>
      </c>
      <c r="B4047" s="5">
        <v>4040</v>
      </c>
      <c r="C4047">
        <v>5528</v>
      </c>
      <c r="D4047" t="s">
        <v>17998</v>
      </c>
      <c r="E4047" t="s">
        <v>166</v>
      </c>
      <c r="F4047" t="s">
        <v>238</v>
      </c>
      <c r="G4047" t="s">
        <v>17999</v>
      </c>
      <c r="H4047">
        <v>16.899999999999999</v>
      </c>
      <c r="I4047">
        <v>0</v>
      </c>
      <c r="J4047">
        <v>0</v>
      </c>
      <c r="K4047">
        <v>0</v>
      </c>
      <c r="L4047">
        <v>7</v>
      </c>
      <c r="O4047">
        <v>7</v>
      </c>
      <c r="P4047">
        <v>0</v>
      </c>
      <c r="Q4047">
        <v>0</v>
      </c>
      <c r="R4047">
        <v>23.9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H4047">
        <v>23.9</v>
      </c>
    </row>
    <row r="4048" spans="1:34" x14ac:dyDescent="0.3">
      <c r="A4048" s="4">
        <v>4262</v>
      </c>
      <c r="B4048" s="5">
        <v>4041</v>
      </c>
      <c r="C4048">
        <v>15012</v>
      </c>
      <c r="D4048" t="s">
        <v>18000</v>
      </c>
      <c r="E4048" t="s">
        <v>286</v>
      </c>
      <c r="F4048" t="s">
        <v>214</v>
      </c>
      <c r="G4048" t="s">
        <v>18001</v>
      </c>
      <c r="H4048">
        <v>16.899999999999999</v>
      </c>
      <c r="I4048">
        <v>0</v>
      </c>
      <c r="J4048">
        <v>0</v>
      </c>
      <c r="K4048">
        <v>0</v>
      </c>
      <c r="N4048">
        <v>3</v>
      </c>
      <c r="O4048">
        <v>3</v>
      </c>
      <c r="P4048">
        <v>4</v>
      </c>
      <c r="Q4048">
        <v>0</v>
      </c>
      <c r="R4048">
        <v>23.9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H4048">
        <v>23.9</v>
      </c>
    </row>
    <row r="4049" spans="1:34" x14ac:dyDescent="0.3">
      <c r="A4049" s="4">
        <v>4263</v>
      </c>
      <c r="B4049" s="5">
        <v>4042</v>
      </c>
      <c r="C4049">
        <v>9680</v>
      </c>
      <c r="D4049" t="s">
        <v>1711</v>
      </c>
      <c r="E4049" t="s">
        <v>283</v>
      </c>
      <c r="F4049" t="s">
        <v>652</v>
      </c>
      <c r="G4049" t="s">
        <v>18002</v>
      </c>
      <c r="H4049">
        <v>20.88</v>
      </c>
      <c r="I4049">
        <v>0</v>
      </c>
      <c r="J4049">
        <v>0</v>
      </c>
      <c r="K4049">
        <v>0</v>
      </c>
      <c r="N4049">
        <v>3</v>
      </c>
      <c r="O4049">
        <v>3</v>
      </c>
      <c r="P4049">
        <v>0</v>
      </c>
      <c r="Q4049">
        <v>0</v>
      </c>
      <c r="R4049">
        <v>23.88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H4049">
        <v>23.88</v>
      </c>
    </row>
    <row r="4050" spans="1:34" x14ac:dyDescent="0.3">
      <c r="A4050" s="4">
        <v>4264</v>
      </c>
      <c r="B4050" s="5">
        <v>4043</v>
      </c>
      <c r="C4050">
        <v>15378</v>
      </c>
      <c r="D4050" t="s">
        <v>12342</v>
      </c>
      <c r="E4050" t="s">
        <v>6225</v>
      </c>
      <c r="F4050" t="s">
        <v>117</v>
      </c>
      <c r="G4050" t="s">
        <v>18003</v>
      </c>
      <c r="H4050">
        <v>17.88</v>
      </c>
      <c r="I4050">
        <v>0</v>
      </c>
      <c r="J4050">
        <v>0</v>
      </c>
      <c r="K4050">
        <v>0</v>
      </c>
      <c r="N4050">
        <v>6</v>
      </c>
      <c r="O4050">
        <v>6</v>
      </c>
      <c r="P4050">
        <v>0</v>
      </c>
      <c r="Q4050">
        <v>0</v>
      </c>
      <c r="R4050">
        <v>23.88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H4050">
        <v>23.88</v>
      </c>
    </row>
    <row r="4051" spans="1:34" x14ac:dyDescent="0.3">
      <c r="A4051" s="4">
        <v>4265</v>
      </c>
      <c r="B4051" s="5">
        <v>4044</v>
      </c>
      <c r="C4051">
        <v>15065</v>
      </c>
      <c r="D4051" t="s">
        <v>18004</v>
      </c>
      <c r="E4051" t="s">
        <v>161</v>
      </c>
      <c r="F4051" t="s">
        <v>4176</v>
      </c>
      <c r="G4051" t="s">
        <v>18005</v>
      </c>
      <c r="H4051">
        <v>16.88</v>
      </c>
      <c r="I4051">
        <v>0</v>
      </c>
      <c r="J4051">
        <v>0</v>
      </c>
      <c r="K4051">
        <v>0</v>
      </c>
      <c r="N4051">
        <v>3</v>
      </c>
      <c r="O4051">
        <v>3</v>
      </c>
      <c r="P4051">
        <v>4</v>
      </c>
      <c r="Q4051">
        <v>0</v>
      </c>
      <c r="R4051">
        <v>23.88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H4051">
        <v>23.88</v>
      </c>
    </row>
    <row r="4052" spans="1:34" x14ac:dyDescent="0.3">
      <c r="A4052" s="4">
        <v>4266</v>
      </c>
      <c r="B4052" s="5">
        <v>4045</v>
      </c>
      <c r="C4052">
        <v>2705</v>
      </c>
      <c r="D4052" t="s">
        <v>18006</v>
      </c>
      <c r="E4052" t="s">
        <v>14</v>
      </c>
      <c r="F4052" t="s">
        <v>124</v>
      </c>
      <c r="G4052" t="s">
        <v>18007</v>
      </c>
      <c r="H4052">
        <v>16.850000000000001</v>
      </c>
      <c r="I4052">
        <v>0</v>
      </c>
      <c r="J4052">
        <v>0</v>
      </c>
      <c r="K4052">
        <v>0</v>
      </c>
      <c r="L4052">
        <v>7</v>
      </c>
      <c r="O4052">
        <v>7</v>
      </c>
      <c r="P4052">
        <v>0</v>
      </c>
      <c r="Q4052">
        <v>0</v>
      </c>
      <c r="R4052">
        <v>23.85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H4052">
        <v>23.85</v>
      </c>
    </row>
    <row r="4053" spans="1:34" x14ac:dyDescent="0.3">
      <c r="A4053" s="4">
        <v>4267</v>
      </c>
      <c r="B4053" s="5">
        <v>4046</v>
      </c>
      <c r="C4053">
        <v>961</v>
      </c>
      <c r="D4053" t="s">
        <v>10941</v>
      </c>
      <c r="E4053" t="s">
        <v>26</v>
      </c>
      <c r="F4053" t="s">
        <v>81</v>
      </c>
      <c r="G4053" t="s">
        <v>18008</v>
      </c>
      <c r="H4053">
        <v>16.850000000000001</v>
      </c>
      <c r="I4053">
        <v>0</v>
      </c>
      <c r="J4053">
        <v>0</v>
      </c>
      <c r="K4053">
        <v>0</v>
      </c>
      <c r="L4053">
        <v>7</v>
      </c>
      <c r="O4053">
        <v>7</v>
      </c>
      <c r="P4053">
        <v>0</v>
      </c>
      <c r="Q4053">
        <v>0</v>
      </c>
      <c r="R4053">
        <v>23.85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H4053">
        <v>23.85</v>
      </c>
    </row>
    <row r="4054" spans="1:34" x14ac:dyDescent="0.3">
      <c r="A4054" s="4">
        <v>4268</v>
      </c>
      <c r="B4054" s="5">
        <v>4047</v>
      </c>
      <c r="C4054">
        <v>11181</v>
      </c>
      <c r="D4054" t="s">
        <v>18009</v>
      </c>
      <c r="E4054" t="s">
        <v>18010</v>
      </c>
      <c r="F4054" t="s">
        <v>801</v>
      </c>
      <c r="G4054" t="s">
        <v>18011</v>
      </c>
      <c r="H4054">
        <v>16.829999999999998</v>
      </c>
      <c r="I4054">
        <v>0</v>
      </c>
      <c r="J4054">
        <v>0</v>
      </c>
      <c r="K4054">
        <v>0</v>
      </c>
      <c r="N4054">
        <v>3</v>
      </c>
      <c r="O4054">
        <v>3</v>
      </c>
      <c r="P4054">
        <v>4</v>
      </c>
      <c r="Q4054">
        <v>0</v>
      </c>
      <c r="R4054">
        <v>23.83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H4054">
        <v>23.83</v>
      </c>
    </row>
    <row r="4055" spans="1:34" x14ac:dyDescent="0.3">
      <c r="A4055" s="4">
        <v>4269</v>
      </c>
      <c r="B4055" s="5">
        <v>4048</v>
      </c>
      <c r="C4055">
        <v>4184</v>
      </c>
      <c r="D4055" t="s">
        <v>18012</v>
      </c>
      <c r="E4055" t="s">
        <v>29</v>
      </c>
      <c r="F4055" t="s">
        <v>158</v>
      </c>
      <c r="G4055" t="s">
        <v>18013</v>
      </c>
      <c r="H4055">
        <v>16.8</v>
      </c>
      <c r="I4055">
        <v>0</v>
      </c>
      <c r="J4055">
        <v>0</v>
      </c>
      <c r="K4055">
        <v>0</v>
      </c>
      <c r="N4055">
        <v>3</v>
      </c>
      <c r="O4055">
        <v>3</v>
      </c>
      <c r="P4055">
        <v>4</v>
      </c>
      <c r="Q4055">
        <v>0</v>
      </c>
      <c r="R4055">
        <v>23.8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H4055">
        <v>23.8</v>
      </c>
    </row>
    <row r="4056" spans="1:34" x14ac:dyDescent="0.3">
      <c r="A4056" s="4">
        <v>4270</v>
      </c>
      <c r="B4056" s="5">
        <v>4049</v>
      </c>
      <c r="C4056">
        <v>11113</v>
      </c>
      <c r="D4056" t="s">
        <v>18014</v>
      </c>
      <c r="E4056" t="s">
        <v>1694</v>
      </c>
      <c r="F4056" t="s">
        <v>230</v>
      </c>
      <c r="G4056" t="s">
        <v>18015</v>
      </c>
      <c r="H4056">
        <v>18.78</v>
      </c>
      <c r="I4056">
        <v>0</v>
      </c>
      <c r="J4056">
        <v>0</v>
      </c>
      <c r="K4056">
        <v>0</v>
      </c>
      <c r="M4056">
        <v>5</v>
      </c>
      <c r="O4056">
        <v>5</v>
      </c>
      <c r="P4056">
        <v>0</v>
      </c>
      <c r="Q4056">
        <v>0</v>
      </c>
      <c r="R4056">
        <v>23.78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H4056">
        <v>23.78</v>
      </c>
    </row>
    <row r="4057" spans="1:34" x14ac:dyDescent="0.3">
      <c r="A4057" s="4">
        <v>4271</v>
      </c>
      <c r="B4057" s="5">
        <v>4050</v>
      </c>
      <c r="C4057">
        <v>570</v>
      </c>
      <c r="D4057" t="s">
        <v>18016</v>
      </c>
      <c r="E4057" t="s">
        <v>18017</v>
      </c>
      <c r="F4057" t="s">
        <v>17</v>
      </c>
      <c r="G4057" t="s">
        <v>18018</v>
      </c>
      <c r="H4057">
        <v>17.78</v>
      </c>
      <c r="I4057">
        <v>0</v>
      </c>
      <c r="J4057">
        <v>0</v>
      </c>
      <c r="K4057">
        <v>0</v>
      </c>
      <c r="O4057">
        <v>0</v>
      </c>
      <c r="P4057">
        <v>4</v>
      </c>
      <c r="Q4057">
        <v>2</v>
      </c>
      <c r="R4057">
        <v>23.78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H4057">
        <v>23.78</v>
      </c>
    </row>
    <row r="4058" spans="1:34" x14ac:dyDescent="0.3">
      <c r="A4058" s="4">
        <v>4272</v>
      </c>
      <c r="B4058" s="5">
        <v>4051</v>
      </c>
      <c r="C4058">
        <v>13186</v>
      </c>
      <c r="D4058" t="s">
        <v>3072</v>
      </c>
      <c r="E4058" t="s">
        <v>182</v>
      </c>
      <c r="F4058" t="s">
        <v>55</v>
      </c>
      <c r="G4058" t="s">
        <v>3978</v>
      </c>
      <c r="H4058">
        <v>17.78</v>
      </c>
      <c r="I4058">
        <v>0</v>
      </c>
      <c r="J4058">
        <v>0</v>
      </c>
      <c r="K4058">
        <v>0</v>
      </c>
      <c r="O4058">
        <v>0</v>
      </c>
      <c r="P4058">
        <v>0</v>
      </c>
      <c r="Q4058">
        <v>2</v>
      </c>
      <c r="R4058">
        <v>19.78</v>
      </c>
      <c r="S4058">
        <v>4</v>
      </c>
      <c r="T4058">
        <v>4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4</v>
      </c>
      <c r="AB4058">
        <v>0</v>
      </c>
      <c r="AC4058">
        <v>0</v>
      </c>
      <c r="AH4058">
        <v>23.78</v>
      </c>
    </row>
    <row r="4059" spans="1:34" x14ac:dyDescent="0.3">
      <c r="A4059" s="4">
        <v>4273</v>
      </c>
      <c r="B4059" s="5">
        <v>4052</v>
      </c>
      <c r="C4059">
        <v>13660</v>
      </c>
      <c r="D4059" t="s">
        <v>18019</v>
      </c>
      <c r="E4059" t="s">
        <v>117</v>
      </c>
      <c r="F4059" t="s">
        <v>158</v>
      </c>
      <c r="G4059" t="s">
        <v>18020</v>
      </c>
      <c r="H4059">
        <v>18.75</v>
      </c>
      <c r="I4059">
        <v>0</v>
      </c>
      <c r="J4059">
        <v>0</v>
      </c>
      <c r="K4059">
        <v>0</v>
      </c>
      <c r="M4059">
        <v>5</v>
      </c>
      <c r="O4059">
        <v>5</v>
      </c>
      <c r="P4059">
        <v>0</v>
      </c>
      <c r="Q4059">
        <v>0</v>
      </c>
      <c r="R4059">
        <v>23.75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H4059">
        <v>23.75</v>
      </c>
    </row>
    <row r="4060" spans="1:34" x14ac:dyDescent="0.3">
      <c r="A4060" s="4">
        <v>4274</v>
      </c>
      <c r="B4060" s="5">
        <v>4053</v>
      </c>
      <c r="C4060">
        <v>11852</v>
      </c>
      <c r="D4060" t="s">
        <v>18021</v>
      </c>
      <c r="E4060" t="s">
        <v>81</v>
      </c>
      <c r="F4060" t="s">
        <v>136</v>
      </c>
      <c r="G4060" t="s">
        <v>18022</v>
      </c>
      <c r="H4060">
        <v>16.73</v>
      </c>
      <c r="I4060">
        <v>0</v>
      </c>
      <c r="J4060">
        <v>0</v>
      </c>
      <c r="K4060">
        <v>0</v>
      </c>
      <c r="N4060">
        <v>3</v>
      </c>
      <c r="O4060">
        <v>3</v>
      </c>
      <c r="P4060">
        <v>4</v>
      </c>
      <c r="Q4060">
        <v>0</v>
      </c>
      <c r="R4060">
        <v>23.73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H4060">
        <v>23.73</v>
      </c>
    </row>
    <row r="4061" spans="1:34" x14ac:dyDescent="0.3">
      <c r="A4061" s="4">
        <v>4275</v>
      </c>
      <c r="B4061" s="5">
        <v>4054</v>
      </c>
      <c r="C4061">
        <v>13941</v>
      </c>
      <c r="D4061" t="s">
        <v>2052</v>
      </c>
      <c r="E4061" t="s">
        <v>182</v>
      </c>
      <c r="F4061" t="s">
        <v>30</v>
      </c>
      <c r="H4061">
        <v>16.73</v>
      </c>
      <c r="I4061">
        <v>0</v>
      </c>
      <c r="J4061">
        <v>0</v>
      </c>
      <c r="K4061">
        <v>0</v>
      </c>
      <c r="N4061">
        <v>3</v>
      </c>
      <c r="O4061">
        <v>3</v>
      </c>
      <c r="P4061">
        <v>4</v>
      </c>
      <c r="Q4061">
        <v>0</v>
      </c>
      <c r="R4061">
        <v>23.73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H4061">
        <v>23.73</v>
      </c>
    </row>
    <row r="4062" spans="1:34" x14ac:dyDescent="0.3">
      <c r="A4062" s="4">
        <v>4276</v>
      </c>
      <c r="B4062" s="5">
        <v>4055</v>
      </c>
      <c r="C4062">
        <v>6803</v>
      </c>
      <c r="D4062" t="s">
        <v>18023</v>
      </c>
      <c r="E4062" t="s">
        <v>97</v>
      </c>
      <c r="F4062" t="s">
        <v>6703</v>
      </c>
      <c r="G4062" t="s">
        <v>18024</v>
      </c>
      <c r="H4062">
        <v>18.7</v>
      </c>
      <c r="I4062">
        <v>0</v>
      </c>
      <c r="J4062">
        <v>0</v>
      </c>
      <c r="K4062">
        <v>0</v>
      </c>
      <c r="M4062">
        <v>5</v>
      </c>
      <c r="O4062">
        <v>5</v>
      </c>
      <c r="P4062">
        <v>0</v>
      </c>
      <c r="Q4062">
        <v>0</v>
      </c>
      <c r="R4062">
        <v>23.7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H4062">
        <v>23.7</v>
      </c>
    </row>
    <row r="4063" spans="1:34" x14ac:dyDescent="0.3">
      <c r="A4063" s="4">
        <v>4277</v>
      </c>
      <c r="B4063" s="5">
        <v>4056</v>
      </c>
      <c r="C4063">
        <v>8276</v>
      </c>
      <c r="D4063" t="s">
        <v>5215</v>
      </c>
      <c r="E4063" t="s">
        <v>22</v>
      </c>
      <c r="F4063" t="s">
        <v>626</v>
      </c>
      <c r="G4063" t="s">
        <v>18025</v>
      </c>
      <c r="H4063">
        <v>16.7</v>
      </c>
      <c r="I4063">
        <v>0</v>
      </c>
      <c r="J4063">
        <v>0</v>
      </c>
      <c r="K4063">
        <v>0</v>
      </c>
      <c r="L4063">
        <v>7</v>
      </c>
      <c r="O4063">
        <v>7</v>
      </c>
      <c r="P4063">
        <v>0</v>
      </c>
      <c r="Q4063">
        <v>0</v>
      </c>
      <c r="R4063">
        <v>23.7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H4063">
        <v>23.7</v>
      </c>
    </row>
    <row r="4064" spans="1:34" x14ac:dyDescent="0.3">
      <c r="A4064" s="4">
        <v>4278</v>
      </c>
      <c r="B4064" s="5">
        <v>4057</v>
      </c>
      <c r="C4064">
        <v>6929</v>
      </c>
      <c r="D4064" t="s">
        <v>1907</v>
      </c>
      <c r="E4064" t="s">
        <v>26</v>
      </c>
      <c r="F4064" t="s">
        <v>17</v>
      </c>
      <c r="G4064" t="s">
        <v>18026</v>
      </c>
      <c r="H4064">
        <v>17.649999999999999</v>
      </c>
      <c r="I4064">
        <v>0</v>
      </c>
      <c r="J4064">
        <v>0</v>
      </c>
      <c r="K4064">
        <v>0</v>
      </c>
      <c r="O4064">
        <v>0</v>
      </c>
      <c r="P4064">
        <v>4</v>
      </c>
      <c r="Q4064">
        <v>2</v>
      </c>
      <c r="R4064">
        <v>23.65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H4064">
        <v>23.65</v>
      </c>
    </row>
    <row r="4065" spans="1:34" x14ac:dyDescent="0.3">
      <c r="A4065" s="4">
        <v>4279</v>
      </c>
      <c r="B4065" s="5">
        <v>4058</v>
      </c>
      <c r="C4065">
        <v>12811</v>
      </c>
      <c r="D4065" t="s">
        <v>60</v>
      </c>
      <c r="E4065" t="s">
        <v>178</v>
      </c>
      <c r="F4065" t="s">
        <v>243</v>
      </c>
      <c r="G4065" t="s">
        <v>18027</v>
      </c>
      <c r="H4065">
        <v>16.649999999999999</v>
      </c>
      <c r="I4065">
        <v>0</v>
      </c>
      <c r="J4065">
        <v>0</v>
      </c>
      <c r="K4065">
        <v>0</v>
      </c>
      <c r="M4065">
        <v>5</v>
      </c>
      <c r="O4065">
        <v>5</v>
      </c>
      <c r="P4065">
        <v>0</v>
      </c>
      <c r="Q4065">
        <v>2</v>
      </c>
      <c r="R4065">
        <v>23.65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H4065">
        <v>23.65</v>
      </c>
    </row>
    <row r="4066" spans="1:34" x14ac:dyDescent="0.3">
      <c r="A4066" s="4">
        <v>4280</v>
      </c>
      <c r="B4066" s="5">
        <v>4059</v>
      </c>
      <c r="C4066">
        <v>7597</v>
      </c>
      <c r="D4066" t="s">
        <v>7135</v>
      </c>
      <c r="E4066" t="s">
        <v>26</v>
      </c>
      <c r="F4066" t="s">
        <v>30</v>
      </c>
      <c r="G4066" t="s">
        <v>18028</v>
      </c>
      <c r="H4066">
        <v>16.649999999999999</v>
      </c>
      <c r="I4066">
        <v>0</v>
      </c>
      <c r="J4066">
        <v>0</v>
      </c>
      <c r="K4066">
        <v>0</v>
      </c>
      <c r="N4066">
        <v>3</v>
      </c>
      <c r="O4066">
        <v>3</v>
      </c>
      <c r="P4066">
        <v>4</v>
      </c>
      <c r="Q4066">
        <v>0</v>
      </c>
      <c r="R4066">
        <v>23.65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H4066">
        <v>23.65</v>
      </c>
    </row>
    <row r="4067" spans="1:34" x14ac:dyDescent="0.3">
      <c r="A4067" s="4">
        <v>4281</v>
      </c>
      <c r="B4067" s="5">
        <v>4060</v>
      </c>
      <c r="C4067">
        <v>14401</v>
      </c>
      <c r="D4067" t="s">
        <v>1304</v>
      </c>
      <c r="E4067" t="s">
        <v>182</v>
      </c>
      <c r="F4067" t="s">
        <v>227</v>
      </c>
      <c r="G4067" t="s">
        <v>18029</v>
      </c>
      <c r="H4067">
        <v>14.6</v>
      </c>
      <c r="I4067">
        <v>0</v>
      </c>
      <c r="J4067">
        <v>0</v>
      </c>
      <c r="K4067">
        <v>0</v>
      </c>
      <c r="M4067">
        <v>5</v>
      </c>
      <c r="O4067">
        <v>5</v>
      </c>
      <c r="P4067">
        <v>4</v>
      </c>
      <c r="Q4067">
        <v>0</v>
      </c>
      <c r="R4067">
        <v>23.6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H4067">
        <v>23.6</v>
      </c>
    </row>
    <row r="4068" spans="1:34" x14ac:dyDescent="0.3">
      <c r="A4068" s="4">
        <v>4282</v>
      </c>
      <c r="B4068" s="5">
        <v>4061</v>
      </c>
      <c r="C4068">
        <v>10372</v>
      </c>
      <c r="D4068" t="s">
        <v>18030</v>
      </c>
      <c r="E4068" t="s">
        <v>1426</v>
      </c>
      <c r="F4068" t="s">
        <v>17</v>
      </c>
      <c r="G4068" t="s">
        <v>18031</v>
      </c>
      <c r="H4068">
        <v>16.579999999999998</v>
      </c>
      <c r="I4068">
        <v>0</v>
      </c>
      <c r="J4068">
        <v>0</v>
      </c>
      <c r="K4068">
        <v>0</v>
      </c>
      <c r="L4068">
        <v>7</v>
      </c>
      <c r="O4068">
        <v>7</v>
      </c>
      <c r="P4068">
        <v>0</v>
      </c>
      <c r="Q4068">
        <v>0</v>
      </c>
      <c r="R4068">
        <v>23.58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H4068">
        <v>23.58</v>
      </c>
    </row>
    <row r="4069" spans="1:34" x14ac:dyDescent="0.3">
      <c r="A4069" s="4">
        <v>4283</v>
      </c>
      <c r="B4069" s="5">
        <v>4062</v>
      </c>
      <c r="C4069">
        <v>15144</v>
      </c>
      <c r="D4069" t="s">
        <v>18032</v>
      </c>
      <c r="E4069" t="s">
        <v>166</v>
      </c>
      <c r="F4069" t="s">
        <v>230</v>
      </c>
      <c r="G4069" t="s">
        <v>18033</v>
      </c>
      <c r="H4069">
        <v>16.579999999999998</v>
      </c>
      <c r="I4069">
        <v>0</v>
      </c>
      <c r="J4069">
        <v>0</v>
      </c>
      <c r="K4069">
        <v>0</v>
      </c>
      <c r="L4069">
        <v>7</v>
      </c>
      <c r="O4069">
        <v>7</v>
      </c>
      <c r="P4069">
        <v>0</v>
      </c>
      <c r="Q4069">
        <v>0</v>
      </c>
      <c r="R4069">
        <v>23.58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H4069">
        <v>23.58</v>
      </c>
    </row>
    <row r="4070" spans="1:34" x14ac:dyDescent="0.3">
      <c r="A4070" s="4">
        <v>4284</v>
      </c>
      <c r="B4070" s="5">
        <v>4063</v>
      </c>
      <c r="C4070">
        <v>563</v>
      </c>
      <c r="D4070" t="s">
        <v>3434</v>
      </c>
      <c r="E4070" t="s">
        <v>161</v>
      </c>
      <c r="F4070" t="s">
        <v>136</v>
      </c>
      <c r="G4070" t="s">
        <v>18034</v>
      </c>
      <c r="H4070">
        <v>18.55</v>
      </c>
      <c r="I4070">
        <v>0</v>
      </c>
      <c r="J4070">
        <v>0</v>
      </c>
      <c r="K4070">
        <v>0</v>
      </c>
      <c r="N4070">
        <v>3</v>
      </c>
      <c r="O4070">
        <v>3</v>
      </c>
      <c r="P4070">
        <v>0</v>
      </c>
      <c r="Q4070">
        <v>2</v>
      </c>
      <c r="R4070">
        <v>23.55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H4070">
        <v>23.55</v>
      </c>
    </row>
    <row r="4071" spans="1:34" x14ac:dyDescent="0.3">
      <c r="A4071" s="4">
        <v>4285</v>
      </c>
      <c r="B4071" s="5">
        <v>4064</v>
      </c>
      <c r="C4071">
        <v>10760</v>
      </c>
      <c r="D4071" t="s">
        <v>6839</v>
      </c>
      <c r="E4071" t="s">
        <v>18035</v>
      </c>
      <c r="F4071" t="s">
        <v>782</v>
      </c>
      <c r="G4071" t="s">
        <v>18036</v>
      </c>
      <c r="H4071">
        <v>17.53</v>
      </c>
      <c r="I4071">
        <v>0</v>
      </c>
      <c r="J4071">
        <v>0</v>
      </c>
      <c r="K4071">
        <v>0</v>
      </c>
      <c r="N4071">
        <v>6</v>
      </c>
      <c r="O4071">
        <v>6</v>
      </c>
      <c r="P4071">
        <v>0</v>
      </c>
      <c r="Q4071">
        <v>0</v>
      </c>
      <c r="R4071">
        <v>23.53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H4071">
        <v>23.53</v>
      </c>
    </row>
    <row r="4072" spans="1:34" x14ac:dyDescent="0.3">
      <c r="A4072" s="4">
        <v>4286</v>
      </c>
      <c r="B4072" s="5">
        <v>4065</v>
      </c>
      <c r="C4072">
        <v>5179</v>
      </c>
      <c r="D4072" t="s">
        <v>18037</v>
      </c>
      <c r="E4072" t="s">
        <v>147</v>
      </c>
      <c r="F4072" t="s">
        <v>570</v>
      </c>
      <c r="G4072" t="s">
        <v>18038</v>
      </c>
      <c r="H4072">
        <v>16.53</v>
      </c>
      <c r="I4072">
        <v>0</v>
      </c>
      <c r="J4072">
        <v>0</v>
      </c>
      <c r="K4072">
        <v>0</v>
      </c>
      <c r="N4072">
        <v>3</v>
      </c>
      <c r="O4072">
        <v>3</v>
      </c>
      <c r="P4072">
        <v>4</v>
      </c>
      <c r="Q4072">
        <v>0</v>
      </c>
      <c r="R4072">
        <v>23.53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H4072">
        <v>23.53</v>
      </c>
    </row>
    <row r="4073" spans="1:34" x14ac:dyDescent="0.3">
      <c r="A4073" s="4">
        <v>4287</v>
      </c>
      <c r="B4073" s="5">
        <v>4066</v>
      </c>
      <c r="C4073">
        <v>12301</v>
      </c>
      <c r="D4073" t="s">
        <v>18039</v>
      </c>
      <c r="E4073" t="s">
        <v>30</v>
      </c>
      <c r="F4073" t="s">
        <v>1023</v>
      </c>
      <c r="G4073" t="s">
        <v>18040</v>
      </c>
      <c r="H4073">
        <v>16.53</v>
      </c>
      <c r="I4073">
        <v>0</v>
      </c>
      <c r="J4073">
        <v>0</v>
      </c>
      <c r="K4073">
        <v>0</v>
      </c>
      <c r="N4073">
        <v>3</v>
      </c>
      <c r="O4073">
        <v>3</v>
      </c>
      <c r="P4073">
        <v>4</v>
      </c>
      <c r="Q4073">
        <v>0</v>
      </c>
      <c r="R4073">
        <v>23.53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H4073">
        <v>23.53</v>
      </c>
    </row>
    <row r="4074" spans="1:34" x14ac:dyDescent="0.3">
      <c r="A4074" s="4">
        <v>4288</v>
      </c>
      <c r="B4074" s="5">
        <v>4067</v>
      </c>
      <c r="C4074">
        <v>13839</v>
      </c>
      <c r="D4074" t="s">
        <v>3072</v>
      </c>
      <c r="E4074" t="s">
        <v>14276</v>
      </c>
      <c r="F4074" t="s">
        <v>20</v>
      </c>
      <c r="G4074" t="s">
        <v>18041</v>
      </c>
      <c r="H4074">
        <v>16.5</v>
      </c>
      <c r="I4074">
        <v>0</v>
      </c>
      <c r="J4074">
        <v>0</v>
      </c>
      <c r="K4074">
        <v>0</v>
      </c>
      <c r="L4074">
        <v>7</v>
      </c>
      <c r="O4074">
        <v>7</v>
      </c>
      <c r="P4074">
        <v>0</v>
      </c>
      <c r="Q4074">
        <v>0</v>
      </c>
      <c r="R4074">
        <v>23.5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H4074">
        <v>23.5</v>
      </c>
    </row>
    <row r="4075" spans="1:34" x14ac:dyDescent="0.3">
      <c r="A4075" s="4">
        <v>4289</v>
      </c>
      <c r="B4075" s="5">
        <v>4068</v>
      </c>
      <c r="C4075">
        <v>6645</v>
      </c>
      <c r="D4075" t="s">
        <v>1304</v>
      </c>
      <c r="E4075" t="s">
        <v>166</v>
      </c>
      <c r="F4075" t="s">
        <v>81</v>
      </c>
      <c r="G4075" t="s">
        <v>18042</v>
      </c>
      <c r="H4075">
        <v>16.5</v>
      </c>
      <c r="I4075">
        <v>0</v>
      </c>
      <c r="J4075">
        <v>0</v>
      </c>
      <c r="K4075">
        <v>0</v>
      </c>
      <c r="N4075">
        <v>3</v>
      </c>
      <c r="O4075">
        <v>3</v>
      </c>
      <c r="P4075">
        <v>4</v>
      </c>
      <c r="Q4075">
        <v>0</v>
      </c>
      <c r="R4075">
        <v>23.5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H4075">
        <v>23.5</v>
      </c>
    </row>
    <row r="4076" spans="1:34" x14ac:dyDescent="0.3">
      <c r="A4076" s="4">
        <v>4290</v>
      </c>
      <c r="B4076" s="5">
        <v>4069</v>
      </c>
      <c r="C4076">
        <v>5920</v>
      </c>
      <c r="D4076" t="s">
        <v>577</v>
      </c>
      <c r="E4076" t="s">
        <v>18043</v>
      </c>
      <c r="F4076" t="s">
        <v>38</v>
      </c>
      <c r="G4076" t="s">
        <v>18044</v>
      </c>
      <c r="H4076">
        <v>16.5</v>
      </c>
      <c r="I4076">
        <v>0</v>
      </c>
      <c r="J4076">
        <v>0</v>
      </c>
      <c r="K4076">
        <v>0</v>
      </c>
      <c r="N4076">
        <v>3</v>
      </c>
      <c r="O4076">
        <v>3</v>
      </c>
      <c r="P4076">
        <v>4</v>
      </c>
      <c r="Q4076">
        <v>0</v>
      </c>
      <c r="R4076">
        <v>23.5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H4076">
        <v>23.5</v>
      </c>
    </row>
    <row r="4077" spans="1:34" x14ac:dyDescent="0.3">
      <c r="A4077" s="4">
        <v>4291</v>
      </c>
      <c r="B4077" s="5">
        <v>4070</v>
      </c>
      <c r="C4077">
        <v>9576</v>
      </c>
      <c r="D4077" t="s">
        <v>18045</v>
      </c>
      <c r="E4077" t="s">
        <v>964</v>
      </c>
      <c r="F4077" t="s">
        <v>18046</v>
      </c>
      <c r="G4077" t="s">
        <v>18047</v>
      </c>
      <c r="H4077">
        <v>12.5</v>
      </c>
      <c r="I4077">
        <v>0</v>
      </c>
      <c r="J4077">
        <v>0</v>
      </c>
      <c r="K4077">
        <v>0</v>
      </c>
      <c r="M4077">
        <v>5</v>
      </c>
      <c r="O4077">
        <v>5</v>
      </c>
      <c r="P4077">
        <v>4</v>
      </c>
      <c r="Q4077">
        <v>2</v>
      </c>
      <c r="R4077">
        <v>23.5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H4077">
        <v>23.5</v>
      </c>
    </row>
    <row r="4078" spans="1:34" x14ac:dyDescent="0.3">
      <c r="A4078" s="4">
        <v>4292</v>
      </c>
      <c r="B4078" s="5">
        <v>4071</v>
      </c>
      <c r="C4078">
        <v>9954</v>
      </c>
      <c r="D4078" t="s">
        <v>18048</v>
      </c>
      <c r="E4078" t="s">
        <v>17</v>
      </c>
      <c r="F4078" t="s">
        <v>20</v>
      </c>
      <c r="G4078" t="s">
        <v>18049</v>
      </c>
      <c r="H4078">
        <v>12.5</v>
      </c>
      <c r="I4078">
        <v>0</v>
      </c>
      <c r="J4078">
        <v>0</v>
      </c>
      <c r="K4078">
        <v>0</v>
      </c>
      <c r="L4078">
        <v>7</v>
      </c>
      <c r="O4078">
        <v>7</v>
      </c>
      <c r="P4078">
        <v>4</v>
      </c>
      <c r="Q4078">
        <v>0</v>
      </c>
      <c r="R4078">
        <v>23.5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H4078">
        <v>23.5</v>
      </c>
    </row>
    <row r="4079" spans="1:34" x14ac:dyDescent="0.3">
      <c r="A4079" s="4">
        <v>4293</v>
      </c>
      <c r="B4079" s="5">
        <v>4072</v>
      </c>
      <c r="C4079">
        <v>11901</v>
      </c>
      <c r="D4079" t="s">
        <v>18050</v>
      </c>
      <c r="E4079" t="s">
        <v>29</v>
      </c>
      <c r="F4079" t="s">
        <v>17</v>
      </c>
      <c r="G4079" t="s">
        <v>18051</v>
      </c>
      <c r="H4079">
        <v>12.5</v>
      </c>
      <c r="I4079">
        <v>0</v>
      </c>
      <c r="J4079">
        <v>0</v>
      </c>
      <c r="K4079">
        <v>0</v>
      </c>
      <c r="L4079">
        <v>7</v>
      </c>
      <c r="O4079">
        <v>7</v>
      </c>
      <c r="P4079">
        <v>4</v>
      </c>
      <c r="Q4079">
        <v>0</v>
      </c>
      <c r="R4079">
        <v>23.5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H4079">
        <v>23.5</v>
      </c>
    </row>
    <row r="4080" spans="1:34" x14ac:dyDescent="0.3">
      <c r="A4080" s="4">
        <v>4294</v>
      </c>
      <c r="B4080" s="5">
        <v>4073</v>
      </c>
      <c r="C4080">
        <v>13304</v>
      </c>
      <c r="D4080" t="s">
        <v>1337</v>
      </c>
      <c r="E4080" t="s">
        <v>132</v>
      </c>
      <c r="F4080" t="s">
        <v>425</v>
      </c>
      <c r="G4080" t="s">
        <v>18052</v>
      </c>
      <c r="H4080">
        <v>12.5</v>
      </c>
      <c r="I4080">
        <v>0</v>
      </c>
      <c r="J4080">
        <v>0</v>
      </c>
      <c r="K4080">
        <v>0</v>
      </c>
      <c r="L4080">
        <v>7</v>
      </c>
      <c r="O4080">
        <v>7</v>
      </c>
      <c r="P4080">
        <v>4</v>
      </c>
      <c r="Q4080">
        <v>0</v>
      </c>
      <c r="R4080">
        <v>23.5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H4080">
        <v>23.5</v>
      </c>
    </row>
    <row r="4081" spans="1:34" x14ac:dyDescent="0.3">
      <c r="A4081" s="4">
        <v>4295</v>
      </c>
      <c r="B4081" s="5">
        <v>4074</v>
      </c>
      <c r="C4081">
        <v>11959</v>
      </c>
      <c r="D4081" t="s">
        <v>18053</v>
      </c>
      <c r="E4081" t="s">
        <v>88</v>
      </c>
      <c r="F4081" t="s">
        <v>17</v>
      </c>
      <c r="G4081" t="s">
        <v>18054</v>
      </c>
      <c r="H4081">
        <v>12.5</v>
      </c>
      <c r="I4081">
        <v>0</v>
      </c>
      <c r="J4081">
        <v>0</v>
      </c>
      <c r="K4081">
        <v>0</v>
      </c>
      <c r="L4081">
        <v>7</v>
      </c>
      <c r="O4081">
        <v>7</v>
      </c>
      <c r="P4081">
        <v>4</v>
      </c>
      <c r="Q4081">
        <v>0</v>
      </c>
      <c r="R4081">
        <v>23.5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H4081">
        <v>23.5</v>
      </c>
    </row>
    <row r="4082" spans="1:34" x14ac:dyDescent="0.3">
      <c r="A4082" s="4">
        <v>4296</v>
      </c>
      <c r="B4082" s="5">
        <v>4075</v>
      </c>
      <c r="C4082">
        <v>2636</v>
      </c>
      <c r="D4082" t="s">
        <v>18055</v>
      </c>
      <c r="E4082" t="s">
        <v>358</v>
      </c>
      <c r="F4082" t="s">
        <v>17</v>
      </c>
      <c r="G4082" t="s">
        <v>18056</v>
      </c>
      <c r="H4082">
        <v>12.5</v>
      </c>
      <c r="I4082">
        <v>0</v>
      </c>
      <c r="J4082">
        <v>0</v>
      </c>
      <c r="K4082">
        <v>0</v>
      </c>
      <c r="L4082">
        <v>7</v>
      </c>
      <c r="O4082">
        <v>7</v>
      </c>
      <c r="P4082">
        <v>4</v>
      </c>
      <c r="Q4082">
        <v>0</v>
      </c>
      <c r="R4082">
        <v>23.5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 t="s">
        <v>130</v>
      </c>
      <c r="AH4082">
        <v>23.5</v>
      </c>
    </row>
    <row r="4083" spans="1:34" x14ac:dyDescent="0.3">
      <c r="A4083" s="4">
        <v>4297</v>
      </c>
      <c r="B4083" s="5">
        <v>4076</v>
      </c>
      <c r="C4083">
        <v>1735</v>
      </c>
      <c r="D4083" t="s">
        <v>18057</v>
      </c>
      <c r="E4083" t="s">
        <v>587</v>
      </c>
      <c r="F4083" t="s">
        <v>17</v>
      </c>
      <c r="G4083" t="s">
        <v>18058</v>
      </c>
      <c r="H4083">
        <v>12.5</v>
      </c>
      <c r="I4083">
        <v>0</v>
      </c>
      <c r="J4083">
        <v>0</v>
      </c>
      <c r="K4083">
        <v>0</v>
      </c>
      <c r="L4083">
        <v>7</v>
      </c>
      <c r="O4083">
        <v>7</v>
      </c>
      <c r="P4083">
        <v>4</v>
      </c>
      <c r="Q4083">
        <v>0</v>
      </c>
      <c r="R4083">
        <v>23.5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H4083">
        <v>23.5</v>
      </c>
    </row>
    <row r="4084" spans="1:34" x14ac:dyDescent="0.3">
      <c r="A4084" s="4">
        <v>4298</v>
      </c>
      <c r="B4084" s="5">
        <v>4077</v>
      </c>
      <c r="C4084">
        <v>7034</v>
      </c>
      <c r="D4084" t="s">
        <v>10035</v>
      </c>
      <c r="E4084" t="s">
        <v>1652</v>
      </c>
      <c r="F4084" t="s">
        <v>328</v>
      </c>
      <c r="G4084" t="s">
        <v>10036</v>
      </c>
      <c r="H4084">
        <v>12.5</v>
      </c>
      <c r="I4084">
        <v>7</v>
      </c>
      <c r="J4084">
        <v>0</v>
      </c>
      <c r="K4084">
        <v>0</v>
      </c>
      <c r="O4084">
        <v>0</v>
      </c>
      <c r="P4084">
        <v>4</v>
      </c>
      <c r="Q4084">
        <v>0</v>
      </c>
      <c r="R4084">
        <v>23.5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H4084">
        <v>23.5</v>
      </c>
    </row>
    <row r="4085" spans="1:34" x14ac:dyDescent="0.3">
      <c r="A4085" s="4">
        <v>4299</v>
      </c>
      <c r="B4085" s="5">
        <v>4078</v>
      </c>
      <c r="C4085">
        <v>6015</v>
      </c>
      <c r="D4085" t="s">
        <v>28</v>
      </c>
      <c r="E4085" t="s">
        <v>1815</v>
      </c>
      <c r="F4085" t="s">
        <v>1023</v>
      </c>
      <c r="G4085" t="s">
        <v>18059</v>
      </c>
      <c r="H4085">
        <v>12.5</v>
      </c>
      <c r="I4085">
        <v>0</v>
      </c>
      <c r="J4085">
        <v>0</v>
      </c>
      <c r="K4085">
        <v>0</v>
      </c>
      <c r="L4085">
        <v>7</v>
      </c>
      <c r="O4085">
        <v>7</v>
      </c>
      <c r="P4085">
        <v>4</v>
      </c>
      <c r="Q4085">
        <v>0</v>
      </c>
      <c r="R4085">
        <v>23.5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H4085">
        <v>23.5</v>
      </c>
    </row>
    <row r="4086" spans="1:34" x14ac:dyDescent="0.3">
      <c r="A4086" s="4">
        <v>4300</v>
      </c>
      <c r="B4086" s="5">
        <v>4079</v>
      </c>
      <c r="C4086">
        <v>6457</v>
      </c>
      <c r="D4086" t="s">
        <v>18060</v>
      </c>
      <c r="E4086" t="s">
        <v>2122</v>
      </c>
      <c r="F4086" t="s">
        <v>20</v>
      </c>
      <c r="G4086" t="s">
        <v>18061</v>
      </c>
      <c r="H4086">
        <v>18.48</v>
      </c>
      <c r="I4086">
        <v>0</v>
      </c>
      <c r="J4086">
        <v>0</v>
      </c>
      <c r="K4086">
        <v>0</v>
      </c>
      <c r="M4086">
        <v>5</v>
      </c>
      <c r="O4086">
        <v>5</v>
      </c>
      <c r="P4086">
        <v>0</v>
      </c>
      <c r="Q4086">
        <v>0</v>
      </c>
      <c r="R4086">
        <v>23.48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H4086">
        <v>23.48</v>
      </c>
    </row>
    <row r="4087" spans="1:34" x14ac:dyDescent="0.3">
      <c r="A4087" s="4">
        <v>4301</v>
      </c>
      <c r="B4087" s="5">
        <v>4080</v>
      </c>
      <c r="C4087">
        <v>9505</v>
      </c>
      <c r="D4087" t="s">
        <v>11956</v>
      </c>
      <c r="E4087" t="s">
        <v>18062</v>
      </c>
      <c r="F4087" t="s">
        <v>17</v>
      </c>
      <c r="G4087" t="s">
        <v>18063</v>
      </c>
      <c r="H4087">
        <v>16.48</v>
      </c>
      <c r="I4087">
        <v>0</v>
      </c>
      <c r="J4087">
        <v>0</v>
      </c>
      <c r="K4087">
        <v>0</v>
      </c>
      <c r="N4087">
        <v>3</v>
      </c>
      <c r="O4087">
        <v>3</v>
      </c>
      <c r="P4087">
        <v>4</v>
      </c>
      <c r="Q4087">
        <v>0</v>
      </c>
      <c r="R4087">
        <v>23.48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H4087">
        <v>23.48</v>
      </c>
    </row>
    <row r="4088" spans="1:34" x14ac:dyDescent="0.3">
      <c r="A4088" s="4">
        <v>4302</v>
      </c>
      <c r="B4088" s="5">
        <v>4081</v>
      </c>
      <c r="C4088">
        <v>12914</v>
      </c>
      <c r="D4088" t="s">
        <v>18064</v>
      </c>
      <c r="E4088" t="s">
        <v>173</v>
      </c>
      <c r="F4088" t="s">
        <v>18065</v>
      </c>
      <c r="G4088" t="s">
        <v>18066</v>
      </c>
      <c r="H4088">
        <v>16.48</v>
      </c>
      <c r="I4088">
        <v>0</v>
      </c>
      <c r="J4088">
        <v>0</v>
      </c>
      <c r="K4088">
        <v>0</v>
      </c>
      <c r="N4088">
        <v>3</v>
      </c>
      <c r="O4088">
        <v>3</v>
      </c>
      <c r="P4088">
        <v>4</v>
      </c>
      <c r="Q4088">
        <v>0</v>
      </c>
      <c r="R4088">
        <v>23.48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H4088">
        <v>23.48</v>
      </c>
    </row>
    <row r="4089" spans="1:34" x14ac:dyDescent="0.3">
      <c r="A4089" s="4">
        <v>4303</v>
      </c>
      <c r="B4089" s="5">
        <v>4082</v>
      </c>
      <c r="C4089">
        <v>11151</v>
      </c>
      <c r="D4089" t="s">
        <v>18067</v>
      </c>
      <c r="E4089" t="s">
        <v>1277</v>
      </c>
      <c r="F4089" t="s">
        <v>55</v>
      </c>
      <c r="G4089" t="s">
        <v>18068</v>
      </c>
      <c r="H4089">
        <v>16.45</v>
      </c>
      <c r="I4089">
        <v>0</v>
      </c>
      <c r="J4089">
        <v>0</v>
      </c>
      <c r="K4089">
        <v>0</v>
      </c>
      <c r="L4089">
        <v>7</v>
      </c>
      <c r="O4089">
        <v>7</v>
      </c>
      <c r="P4089">
        <v>0</v>
      </c>
      <c r="Q4089">
        <v>0</v>
      </c>
      <c r="R4089">
        <v>23.45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H4089">
        <v>23.45</v>
      </c>
    </row>
    <row r="4090" spans="1:34" x14ac:dyDescent="0.3">
      <c r="A4090" s="4">
        <v>4304</v>
      </c>
      <c r="B4090" s="5">
        <v>4083</v>
      </c>
      <c r="C4090">
        <v>13025</v>
      </c>
      <c r="D4090" t="s">
        <v>18069</v>
      </c>
      <c r="E4090" t="s">
        <v>219</v>
      </c>
      <c r="F4090" t="s">
        <v>23</v>
      </c>
      <c r="G4090" t="s">
        <v>18070</v>
      </c>
      <c r="H4090">
        <v>16.43</v>
      </c>
      <c r="I4090">
        <v>0</v>
      </c>
      <c r="J4090">
        <v>0</v>
      </c>
      <c r="K4090">
        <v>0</v>
      </c>
      <c r="O4090">
        <v>0</v>
      </c>
      <c r="P4090">
        <v>4</v>
      </c>
      <c r="Q4090">
        <v>0</v>
      </c>
      <c r="R4090">
        <v>20.43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3</v>
      </c>
      <c r="AC4090">
        <v>0</v>
      </c>
      <c r="AH4090">
        <v>23.43</v>
      </c>
    </row>
    <row r="4091" spans="1:34" x14ac:dyDescent="0.3">
      <c r="A4091" s="4">
        <v>4305</v>
      </c>
      <c r="B4091" s="5">
        <v>4084</v>
      </c>
      <c r="C4091">
        <v>13618</v>
      </c>
      <c r="D4091" t="s">
        <v>195</v>
      </c>
      <c r="E4091" t="s">
        <v>957</v>
      </c>
      <c r="F4091" t="s">
        <v>17</v>
      </c>
      <c r="G4091" t="s">
        <v>18071</v>
      </c>
      <c r="H4091">
        <v>18.43</v>
      </c>
      <c r="I4091">
        <v>0</v>
      </c>
      <c r="J4091">
        <v>0</v>
      </c>
      <c r="K4091">
        <v>0</v>
      </c>
      <c r="N4091">
        <v>3</v>
      </c>
      <c r="O4091">
        <v>3</v>
      </c>
      <c r="P4091">
        <v>0</v>
      </c>
      <c r="Q4091">
        <v>2</v>
      </c>
      <c r="R4091">
        <v>23.43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H4091">
        <v>23.43</v>
      </c>
    </row>
    <row r="4092" spans="1:34" x14ac:dyDescent="0.3">
      <c r="A4092" s="4">
        <v>4306</v>
      </c>
      <c r="B4092" s="5">
        <v>4085</v>
      </c>
      <c r="C4092">
        <v>4354</v>
      </c>
      <c r="D4092" t="s">
        <v>112</v>
      </c>
      <c r="E4092" t="s">
        <v>166</v>
      </c>
      <c r="F4092" t="s">
        <v>38</v>
      </c>
      <c r="G4092" t="s">
        <v>18072</v>
      </c>
      <c r="H4092">
        <v>16.399999999999999</v>
      </c>
      <c r="I4092">
        <v>0</v>
      </c>
      <c r="J4092">
        <v>0</v>
      </c>
      <c r="K4092">
        <v>0</v>
      </c>
      <c r="N4092">
        <v>3</v>
      </c>
      <c r="O4092">
        <v>3</v>
      </c>
      <c r="P4092">
        <v>4</v>
      </c>
      <c r="Q4092">
        <v>0</v>
      </c>
      <c r="R4092">
        <v>23.4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H4092">
        <v>23.4</v>
      </c>
    </row>
    <row r="4093" spans="1:34" x14ac:dyDescent="0.3">
      <c r="A4093" s="4">
        <v>4307</v>
      </c>
      <c r="B4093" s="5">
        <v>4086</v>
      </c>
      <c r="C4093">
        <v>10177</v>
      </c>
      <c r="D4093" t="s">
        <v>18073</v>
      </c>
      <c r="E4093" t="s">
        <v>18074</v>
      </c>
      <c r="F4093" t="s">
        <v>158</v>
      </c>
      <c r="G4093" t="s">
        <v>18075</v>
      </c>
      <c r="H4093">
        <v>18.38</v>
      </c>
      <c r="I4093">
        <v>0</v>
      </c>
      <c r="J4093">
        <v>0</v>
      </c>
      <c r="K4093">
        <v>0</v>
      </c>
      <c r="N4093">
        <v>3</v>
      </c>
      <c r="O4093">
        <v>3</v>
      </c>
      <c r="P4093">
        <v>0</v>
      </c>
      <c r="Q4093">
        <v>2</v>
      </c>
      <c r="R4093">
        <v>23.38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H4093">
        <v>23.38</v>
      </c>
    </row>
    <row r="4094" spans="1:34" x14ac:dyDescent="0.3">
      <c r="A4094" s="4">
        <v>4308</v>
      </c>
      <c r="B4094" s="5">
        <v>4087</v>
      </c>
      <c r="C4094">
        <v>4969</v>
      </c>
      <c r="D4094" t="s">
        <v>2237</v>
      </c>
      <c r="E4094" t="s">
        <v>20</v>
      </c>
      <c r="F4094" t="s">
        <v>17</v>
      </c>
      <c r="G4094" t="s">
        <v>18076</v>
      </c>
      <c r="H4094">
        <v>16.350000000000001</v>
      </c>
      <c r="I4094">
        <v>0</v>
      </c>
      <c r="J4094">
        <v>0</v>
      </c>
      <c r="K4094">
        <v>0</v>
      </c>
      <c r="N4094">
        <v>3</v>
      </c>
      <c r="O4094">
        <v>3</v>
      </c>
      <c r="P4094">
        <v>4</v>
      </c>
      <c r="Q4094">
        <v>0</v>
      </c>
      <c r="R4094">
        <v>23.35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H4094">
        <v>23.35</v>
      </c>
    </row>
    <row r="4095" spans="1:34" x14ac:dyDescent="0.3">
      <c r="A4095" s="4">
        <v>4309</v>
      </c>
      <c r="B4095" s="5">
        <v>4088</v>
      </c>
      <c r="C4095">
        <v>2031</v>
      </c>
      <c r="D4095" t="s">
        <v>18077</v>
      </c>
      <c r="E4095" t="s">
        <v>123</v>
      </c>
      <c r="F4095" t="s">
        <v>17</v>
      </c>
      <c r="G4095" t="s">
        <v>18078</v>
      </c>
      <c r="H4095">
        <v>20.329999999999998</v>
      </c>
      <c r="I4095">
        <v>0</v>
      </c>
      <c r="J4095">
        <v>0</v>
      </c>
      <c r="K4095">
        <v>0</v>
      </c>
      <c r="N4095">
        <v>3</v>
      </c>
      <c r="O4095">
        <v>3</v>
      </c>
      <c r="P4095">
        <v>0</v>
      </c>
      <c r="Q4095">
        <v>0</v>
      </c>
      <c r="R4095">
        <v>23.33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H4095">
        <v>23.33</v>
      </c>
    </row>
    <row r="4096" spans="1:34" x14ac:dyDescent="0.3">
      <c r="A4096" s="4">
        <v>4310</v>
      </c>
      <c r="B4096" s="5">
        <v>4089</v>
      </c>
      <c r="C4096">
        <v>12773</v>
      </c>
      <c r="D4096" t="s">
        <v>18079</v>
      </c>
      <c r="E4096" t="s">
        <v>307</v>
      </c>
      <c r="F4096" t="s">
        <v>328</v>
      </c>
      <c r="G4096" t="s">
        <v>18080</v>
      </c>
      <c r="H4096">
        <v>17.329999999999998</v>
      </c>
      <c r="I4096">
        <v>0</v>
      </c>
      <c r="J4096">
        <v>0</v>
      </c>
      <c r="K4096">
        <v>0</v>
      </c>
      <c r="O4096">
        <v>0</v>
      </c>
      <c r="P4096">
        <v>0</v>
      </c>
      <c r="Q4096">
        <v>0</v>
      </c>
      <c r="R4096">
        <v>17.329999999999998</v>
      </c>
      <c r="S4096">
        <v>6</v>
      </c>
      <c r="T4096">
        <v>6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6</v>
      </c>
      <c r="AB4096">
        <v>0</v>
      </c>
      <c r="AC4096">
        <v>0</v>
      </c>
      <c r="AH4096">
        <v>23.33</v>
      </c>
    </row>
    <row r="4097" spans="1:34" x14ac:dyDescent="0.3">
      <c r="A4097" s="4">
        <v>4311</v>
      </c>
      <c r="B4097" s="5">
        <v>4090</v>
      </c>
      <c r="C4097">
        <v>5316</v>
      </c>
      <c r="D4097" t="s">
        <v>6863</v>
      </c>
      <c r="E4097" t="s">
        <v>41</v>
      </c>
      <c r="F4097" t="s">
        <v>81</v>
      </c>
      <c r="G4097" t="s">
        <v>18081</v>
      </c>
      <c r="H4097">
        <v>20.3</v>
      </c>
      <c r="I4097">
        <v>0</v>
      </c>
      <c r="J4097">
        <v>0</v>
      </c>
      <c r="K4097">
        <v>0</v>
      </c>
      <c r="N4097">
        <v>3</v>
      </c>
      <c r="O4097">
        <v>3</v>
      </c>
      <c r="P4097">
        <v>0</v>
      </c>
      <c r="Q4097">
        <v>0</v>
      </c>
      <c r="R4097">
        <v>23.3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H4097">
        <v>23.3</v>
      </c>
    </row>
    <row r="4098" spans="1:34" x14ac:dyDescent="0.3">
      <c r="A4098" s="4">
        <v>4312</v>
      </c>
      <c r="B4098" s="5">
        <v>4091</v>
      </c>
      <c r="C4098">
        <v>4786</v>
      </c>
      <c r="D4098" t="s">
        <v>18082</v>
      </c>
      <c r="E4098" t="s">
        <v>17</v>
      </c>
      <c r="F4098" t="s">
        <v>38</v>
      </c>
      <c r="G4098" t="s">
        <v>18083</v>
      </c>
      <c r="H4098">
        <v>16.28</v>
      </c>
      <c r="I4098">
        <v>0</v>
      </c>
      <c r="J4098">
        <v>0</v>
      </c>
      <c r="K4098">
        <v>0</v>
      </c>
      <c r="L4098">
        <v>7</v>
      </c>
      <c r="O4098">
        <v>7</v>
      </c>
      <c r="P4098">
        <v>0</v>
      </c>
      <c r="Q4098">
        <v>0</v>
      </c>
      <c r="R4098">
        <v>23.28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H4098">
        <v>23.28</v>
      </c>
    </row>
    <row r="4099" spans="1:34" x14ac:dyDescent="0.3">
      <c r="A4099" s="4">
        <v>4313</v>
      </c>
      <c r="B4099" s="5">
        <v>4092</v>
      </c>
      <c r="C4099">
        <v>9177</v>
      </c>
      <c r="D4099" t="s">
        <v>18084</v>
      </c>
      <c r="E4099" t="s">
        <v>88</v>
      </c>
      <c r="F4099" t="s">
        <v>136</v>
      </c>
      <c r="G4099" t="s">
        <v>18085</v>
      </c>
      <c r="H4099">
        <v>16.25</v>
      </c>
      <c r="I4099">
        <v>0</v>
      </c>
      <c r="J4099">
        <v>0</v>
      </c>
      <c r="K4099">
        <v>0</v>
      </c>
      <c r="O4099">
        <v>0</v>
      </c>
      <c r="P4099">
        <v>4</v>
      </c>
      <c r="Q4099">
        <v>0</v>
      </c>
      <c r="R4099">
        <v>20.25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3</v>
      </c>
      <c r="AC4099">
        <v>0</v>
      </c>
      <c r="AH4099">
        <v>23.25</v>
      </c>
    </row>
    <row r="4100" spans="1:34" x14ac:dyDescent="0.3">
      <c r="A4100" s="4">
        <v>4314</v>
      </c>
      <c r="B4100" s="5">
        <v>4093</v>
      </c>
      <c r="C4100">
        <v>14294</v>
      </c>
      <c r="D4100" t="s">
        <v>18086</v>
      </c>
      <c r="E4100" t="s">
        <v>18087</v>
      </c>
      <c r="F4100" t="s">
        <v>20</v>
      </c>
      <c r="G4100" t="s">
        <v>18088</v>
      </c>
      <c r="H4100">
        <v>16.25</v>
      </c>
      <c r="I4100">
        <v>0</v>
      </c>
      <c r="J4100">
        <v>0</v>
      </c>
      <c r="K4100">
        <v>0</v>
      </c>
      <c r="L4100">
        <v>7</v>
      </c>
      <c r="O4100">
        <v>7</v>
      </c>
      <c r="P4100">
        <v>0</v>
      </c>
      <c r="Q4100">
        <v>0</v>
      </c>
      <c r="R4100">
        <v>23.25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H4100">
        <v>23.25</v>
      </c>
    </row>
    <row r="4101" spans="1:34" x14ac:dyDescent="0.3">
      <c r="A4101" s="4">
        <v>4315</v>
      </c>
      <c r="B4101" s="5">
        <v>4094</v>
      </c>
      <c r="C4101">
        <v>8247</v>
      </c>
      <c r="D4101" t="s">
        <v>1907</v>
      </c>
      <c r="E4101" t="s">
        <v>26</v>
      </c>
      <c r="F4101" t="s">
        <v>124</v>
      </c>
      <c r="G4101" t="s">
        <v>18089</v>
      </c>
      <c r="H4101">
        <v>16.25</v>
      </c>
      <c r="I4101">
        <v>0</v>
      </c>
      <c r="J4101">
        <v>0</v>
      </c>
      <c r="K4101">
        <v>0</v>
      </c>
      <c r="L4101">
        <v>7</v>
      </c>
      <c r="O4101">
        <v>7</v>
      </c>
      <c r="P4101">
        <v>0</v>
      </c>
      <c r="Q4101">
        <v>0</v>
      </c>
      <c r="R4101">
        <v>23.25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H4101">
        <v>23.25</v>
      </c>
    </row>
    <row r="4102" spans="1:34" x14ac:dyDescent="0.3">
      <c r="A4102" s="4">
        <v>4316</v>
      </c>
      <c r="B4102" s="5">
        <v>4095</v>
      </c>
      <c r="C4102">
        <v>12392</v>
      </c>
      <c r="D4102" t="s">
        <v>122</v>
      </c>
      <c r="E4102" t="s">
        <v>147</v>
      </c>
      <c r="F4102" t="s">
        <v>488</v>
      </c>
      <c r="G4102" t="s">
        <v>18090</v>
      </c>
      <c r="H4102">
        <v>16.25</v>
      </c>
      <c r="I4102">
        <v>0</v>
      </c>
      <c r="J4102">
        <v>0</v>
      </c>
      <c r="K4102">
        <v>0</v>
      </c>
      <c r="N4102">
        <v>3</v>
      </c>
      <c r="O4102">
        <v>3</v>
      </c>
      <c r="P4102">
        <v>4</v>
      </c>
      <c r="Q4102">
        <v>0</v>
      </c>
      <c r="R4102">
        <v>23.25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H4102">
        <v>23.25</v>
      </c>
    </row>
    <row r="4103" spans="1:34" x14ac:dyDescent="0.3">
      <c r="A4103" s="4">
        <v>4317</v>
      </c>
      <c r="B4103" s="5">
        <v>4096</v>
      </c>
      <c r="C4103">
        <v>4746</v>
      </c>
      <c r="D4103" t="s">
        <v>8824</v>
      </c>
      <c r="E4103" t="s">
        <v>71</v>
      </c>
      <c r="F4103" t="s">
        <v>79</v>
      </c>
      <c r="G4103" t="s">
        <v>18091</v>
      </c>
      <c r="H4103">
        <v>16.25</v>
      </c>
      <c r="I4103">
        <v>0</v>
      </c>
      <c r="J4103">
        <v>0</v>
      </c>
      <c r="K4103">
        <v>0</v>
      </c>
      <c r="L4103">
        <v>7</v>
      </c>
      <c r="O4103">
        <v>7</v>
      </c>
      <c r="P4103">
        <v>0</v>
      </c>
      <c r="Q4103">
        <v>0</v>
      </c>
      <c r="R4103">
        <v>23.25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H4103">
        <v>23.25</v>
      </c>
    </row>
    <row r="4104" spans="1:34" x14ac:dyDescent="0.3">
      <c r="A4104" s="4">
        <v>4318</v>
      </c>
      <c r="B4104" s="5">
        <v>4097</v>
      </c>
      <c r="C4104">
        <v>2141</v>
      </c>
      <c r="D4104" t="s">
        <v>18092</v>
      </c>
      <c r="E4104" t="s">
        <v>5539</v>
      </c>
      <c r="F4104" t="s">
        <v>17</v>
      </c>
      <c r="G4104" t="s">
        <v>18093</v>
      </c>
      <c r="H4104">
        <v>16.25</v>
      </c>
      <c r="I4104">
        <v>0</v>
      </c>
      <c r="J4104">
        <v>0</v>
      </c>
      <c r="K4104">
        <v>0</v>
      </c>
      <c r="N4104">
        <v>3</v>
      </c>
      <c r="O4104">
        <v>3</v>
      </c>
      <c r="P4104">
        <v>4</v>
      </c>
      <c r="Q4104">
        <v>0</v>
      </c>
      <c r="R4104">
        <v>23.25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H4104">
        <v>23.25</v>
      </c>
    </row>
    <row r="4105" spans="1:34" x14ac:dyDescent="0.3">
      <c r="A4105" s="4">
        <v>4319</v>
      </c>
      <c r="B4105" s="5">
        <v>4098</v>
      </c>
      <c r="C4105">
        <v>4170</v>
      </c>
      <c r="D4105" t="s">
        <v>18094</v>
      </c>
      <c r="E4105" t="s">
        <v>1426</v>
      </c>
      <c r="F4105" t="s">
        <v>4176</v>
      </c>
      <c r="G4105" t="s">
        <v>18095</v>
      </c>
      <c r="H4105">
        <v>16.25</v>
      </c>
      <c r="I4105">
        <v>0</v>
      </c>
      <c r="J4105">
        <v>0</v>
      </c>
      <c r="K4105">
        <v>0</v>
      </c>
      <c r="L4105">
        <v>7</v>
      </c>
      <c r="O4105">
        <v>7</v>
      </c>
      <c r="P4105">
        <v>0</v>
      </c>
      <c r="Q4105">
        <v>0</v>
      </c>
      <c r="R4105">
        <v>23.25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H4105">
        <v>23.25</v>
      </c>
    </row>
    <row r="4106" spans="1:34" x14ac:dyDescent="0.3">
      <c r="A4106" s="4">
        <v>4320</v>
      </c>
      <c r="B4106" s="5">
        <v>4099</v>
      </c>
      <c r="C4106">
        <v>5109</v>
      </c>
      <c r="D4106" t="s">
        <v>11037</v>
      </c>
      <c r="E4106" t="s">
        <v>1694</v>
      </c>
      <c r="F4106" t="s">
        <v>124</v>
      </c>
      <c r="G4106" t="s">
        <v>18096</v>
      </c>
      <c r="H4106">
        <v>18.23</v>
      </c>
      <c r="I4106">
        <v>0</v>
      </c>
      <c r="J4106">
        <v>0</v>
      </c>
      <c r="K4106">
        <v>0</v>
      </c>
      <c r="M4106">
        <v>5</v>
      </c>
      <c r="O4106">
        <v>5</v>
      </c>
      <c r="P4106">
        <v>0</v>
      </c>
      <c r="Q4106">
        <v>0</v>
      </c>
      <c r="R4106">
        <v>23.23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H4106">
        <v>23.23</v>
      </c>
    </row>
    <row r="4107" spans="1:34" x14ac:dyDescent="0.3">
      <c r="A4107" s="4">
        <v>4321</v>
      </c>
      <c r="B4107" s="5">
        <v>4100</v>
      </c>
      <c r="C4107">
        <v>8906</v>
      </c>
      <c r="D4107" t="s">
        <v>18097</v>
      </c>
      <c r="E4107" t="s">
        <v>26</v>
      </c>
      <c r="F4107" t="s">
        <v>38</v>
      </c>
      <c r="G4107" t="s">
        <v>18098</v>
      </c>
      <c r="H4107">
        <v>16.23</v>
      </c>
      <c r="I4107">
        <v>0</v>
      </c>
      <c r="J4107">
        <v>0</v>
      </c>
      <c r="K4107">
        <v>0</v>
      </c>
      <c r="L4107">
        <v>7</v>
      </c>
      <c r="O4107">
        <v>7</v>
      </c>
      <c r="P4107">
        <v>0</v>
      </c>
      <c r="Q4107">
        <v>0</v>
      </c>
      <c r="R4107">
        <v>23.23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H4107">
        <v>23.23</v>
      </c>
    </row>
    <row r="4108" spans="1:34" x14ac:dyDescent="0.3">
      <c r="A4108" s="4">
        <v>4322</v>
      </c>
      <c r="B4108" s="5">
        <v>4101</v>
      </c>
      <c r="C4108">
        <v>14488</v>
      </c>
      <c r="D4108" t="s">
        <v>18099</v>
      </c>
      <c r="E4108" t="s">
        <v>1659</v>
      </c>
      <c r="F4108" t="s">
        <v>18100</v>
      </c>
      <c r="G4108" t="s">
        <v>18101</v>
      </c>
      <c r="H4108">
        <v>16.2</v>
      </c>
      <c r="I4108">
        <v>0</v>
      </c>
      <c r="J4108">
        <v>0</v>
      </c>
      <c r="K4108">
        <v>0</v>
      </c>
      <c r="N4108">
        <v>3</v>
      </c>
      <c r="O4108">
        <v>3</v>
      </c>
      <c r="P4108">
        <v>4</v>
      </c>
      <c r="Q4108">
        <v>0</v>
      </c>
      <c r="R4108">
        <v>23.2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H4108">
        <v>23.2</v>
      </c>
    </row>
    <row r="4109" spans="1:34" x14ac:dyDescent="0.3">
      <c r="A4109" s="4">
        <v>4323</v>
      </c>
      <c r="B4109" s="5">
        <v>4102</v>
      </c>
      <c r="C4109">
        <v>15427</v>
      </c>
      <c r="D4109" t="s">
        <v>18102</v>
      </c>
      <c r="E4109" t="s">
        <v>149</v>
      </c>
      <c r="F4109" t="s">
        <v>230</v>
      </c>
      <c r="G4109" t="s">
        <v>18103</v>
      </c>
      <c r="H4109">
        <v>20.18</v>
      </c>
      <c r="I4109">
        <v>0</v>
      </c>
      <c r="J4109">
        <v>0</v>
      </c>
      <c r="K4109">
        <v>0</v>
      </c>
      <c r="N4109">
        <v>3</v>
      </c>
      <c r="O4109">
        <v>3</v>
      </c>
      <c r="P4109">
        <v>0</v>
      </c>
      <c r="Q4109">
        <v>0</v>
      </c>
      <c r="R4109">
        <v>23.18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H4109">
        <v>23.18</v>
      </c>
    </row>
    <row r="4110" spans="1:34" x14ac:dyDescent="0.3">
      <c r="A4110" s="4">
        <v>4324</v>
      </c>
      <c r="B4110" s="5">
        <v>4103</v>
      </c>
      <c r="C4110">
        <v>1332</v>
      </c>
      <c r="D4110" t="s">
        <v>4603</v>
      </c>
      <c r="E4110" t="s">
        <v>54</v>
      </c>
      <c r="F4110" t="s">
        <v>158</v>
      </c>
      <c r="G4110" t="s">
        <v>18104</v>
      </c>
      <c r="H4110">
        <v>17.149999999999999</v>
      </c>
      <c r="I4110">
        <v>0</v>
      </c>
      <c r="J4110">
        <v>0</v>
      </c>
      <c r="K4110">
        <v>0</v>
      </c>
      <c r="N4110">
        <v>3</v>
      </c>
      <c r="O4110">
        <v>3</v>
      </c>
      <c r="P4110">
        <v>0</v>
      </c>
      <c r="Q4110">
        <v>0</v>
      </c>
      <c r="R4110">
        <v>20.149999999999999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3</v>
      </c>
      <c r="AC4110">
        <v>0</v>
      </c>
      <c r="AH4110">
        <v>23.15</v>
      </c>
    </row>
    <row r="4111" spans="1:34" x14ac:dyDescent="0.3">
      <c r="A4111" s="4">
        <v>4325</v>
      </c>
      <c r="B4111" s="5">
        <v>4104</v>
      </c>
      <c r="C4111">
        <v>15228</v>
      </c>
      <c r="D4111" t="s">
        <v>974</v>
      </c>
      <c r="E4111" t="s">
        <v>7022</v>
      </c>
      <c r="F4111" t="s">
        <v>101</v>
      </c>
      <c r="G4111" t="s">
        <v>18105</v>
      </c>
      <c r="H4111">
        <v>19.149999999999999</v>
      </c>
      <c r="I4111">
        <v>0</v>
      </c>
      <c r="J4111">
        <v>0</v>
      </c>
      <c r="K4111">
        <v>0</v>
      </c>
      <c r="O4111">
        <v>0</v>
      </c>
      <c r="P4111">
        <v>4</v>
      </c>
      <c r="Q4111">
        <v>0</v>
      </c>
      <c r="R4111">
        <v>23.15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H4111">
        <v>23.15</v>
      </c>
    </row>
    <row r="4112" spans="1:34" x14ac:dyDescent="0.3">
      <c r="A4112" s="4">
        <v>4326</v>
      </c>
      <c r="B4112" s="5">
        <v>4105</v>
      </c>
      <c r="C4112">
        <v>10384</v>
      </c>
      <c r="D4112" t="s">
        <v>10119</v>
      </c>
      <c r="E4112" t="s">
        <v>29</v>
      </c>
      <c r="F4112" t="s">
        <v>17</v>
      </c>
      <c r="G4112" t="s">
        <v>18106</v>
      </c>
      <c r="H4112">
        <v>20.079999999999998</v>
      </c>
      <c r="I4112">
        <v>0</v>
      </c>
      <c r="J4112">
        <v>0</v>
      </c>
      <c r="K4112">
        <v>0</v>
      </c>
      <c r="N4112">
        <v>3</v>
      </c>
      <c r="O4112">
        <v>3</v>
      </c>
      <c r="P4112">
        <v>0</v>
      </c>
      <c r="Q4112">
        <v>0</v>
      </c>
      <c r="R4112">
        <v>23.08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H4112">
        <v>23.08</v>
      </c>
    </row>
    <row r="4113" spans="1:34" x14ac:dyDescent="0.3">
      <c r="A4113" s="4">
        <v>4327</v>
      </c>
      <c r="B4113" s="5">
        <v>4106</v>
      </c>
      <c r="C4113">
        <v>12857</v>
      </c>
      <c r="D4113" t="s">
        <v>18107</v>
      </c>
      <c r="E4113" t="s">
        <v>147</v>
      </c>
      <c r="F4113" t="s">
        <v>17</v>
      </c>
      <c r="G4113" t="s">
        <v>18108</v>
      </c>
      <c r="H4113">
        <v>20.079999999999998</v>
      </c>
      <c r="I4113">
        <v>0</v>
      </c>
      <c r="J4113">
        <v>0</v>
      </c>
      <c r="K4113">
        <v>0</v>
      </c>
      <c r="N4113">
        <v>3</v>
      </c>
      <c r="O4113">
        <v>3</v>
      </c>
      <c r="P4113">
        <v>0</v>
      </c>
      <c r="Q4113">
        <v>0</v>
      </c>
      <c r="R4113">
        <v>23.08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H4113">
        <v>23.08</v>
      </c>
    </row>
    <row r="4114" spans="1:34" x14ac:dyDescent="0.3">
      <c r="A4114" s="4">
        <v>4328</v>
      </c>
      <c r="B4114" s="5">
        <v>4107</v>
      </c>
      <c r="C4114">
        <v>6486</v>
      </c>
      <c r="D4114" t="s">
        <v>4863</v>
      </c>
      <c r="E4114" t="s">
        <v>413</v>
      </c>
      <c r="F4114" t="s">
        <v>539</v>
      </c>
      <c r="G4114" t="s">
        <v>18109</v>
      </c>
      <c r="H4114">
        <v>20.05</v>
      </c>
      <c r="I4114">
        <v>0</v>
      </c>
      <c r="J4114">
        <v>0</v>
      </c>
      <c r="K4114">
        <v>0</v>
      </c>
      <c r="N4114">
        <v>3</v>
      </c>
      <c r="O4114">
        <v>3</v>
      </c>
      <c r="P4114">
        <v>0</v>
      </c>
      <c r="Q4114">
        <v>0</v>
      </c>
      <c r="R4114">
        <v>23.05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H4114">
        <v>23.05</v>
      </c>
    </row>
    <row r="4115" spans="1:34" x14ac:dyDescent="0.3">
      <c r="A4115" s="4">
        <v>4329</v>
      </c>
      <c r="B4115" s="5">
        <v>4108</v>
      </c>
      <c r="C4115">
        <v>5496</v>
      </c>
      <c r="D4115" t="s">
        <v>18110</v>
      </c>
      <c r="E4115" t="s">
        <v>1315</v>
      </c>
      <c r="F4115" t="s">
        <v>136</v>
      </c>
      <c r="G4115" t="s">
        <v>18111</v>
      </c>
      <c r="H4115">
        <v>18.05</v>
      </c>
      <c r="I4115">
        <v>0</v>
      </c>
      <c r="J4115">
        <v>0</v>
      </c>
      <c r="K4115">
        <v>0</v>
      </c>
      <c r="N4115">
        <v>3</v>
      </c>
      <c r="O4115">
        <v>3</v>
      </c>
      <c r="P4115">
        <v>0</v>
      </c>
      <c r="Q4115">
        <v>2</v>
      </c>
      <c r="R4115">
        <v>23.05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H4115">
        <v>23.05</v>
      </c>
    </row>
    <row r="4116" spans="1:34" x14ac:dyDescent="0.3">
      <c r="A4116" s="4">
        <v>4330</v>
      </c>
      <c r="B4116" s="5">
        <v>4109</v>
      </c>
      <c r="C4116">
        <v>697</v>
      </c>
      <c r="D4116" t="s">
        <v>14177</v>
      </c>
      <c r="E4116" t="s">
        <v>5537</v>
      </c>
      <c r="F4116" t="s">
        <v>18112</v>
      </c>
      <c r="G4116" t="s">
        <v>18113</v>
      </c>
      <c r="H4116">
        <v>16</v>
      </c>
      <c r="I4116">
        <v>0</v>
      </c>
      <c r="J4116">
        <v>0</v>
      </c>
      <c r="K4116">
        <v>0</v>
      </c>
      <c r="O4116">
        <v>0</v>
      </c>
      <c r="P4116">
        <v>4</v>
      </c>
      <c r="Q4116">
        <v>0</v>
      </c>
      <c r="R4116">
        <v>20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3</v>
      </c>
      <c r="AC4116">
        <v>0</v>
      </c>
      <c r="AH4116">
        <v>23</v>
      </c>
    </row>
    <row r="4117" spans="1:34" x14ac:dyDescent="0.3">
      <c r="A4117" s="4">
        <v>4331</v>
      </c>
      <c r="B4117" s="5">
        <v>4110</v>
      </c>
      <c r="C4117">
        <v>7220</v>
      </c>
      <c r="D4117" t="s">
        <v>5681</v>
      </c>
      <c r="E4117" t="s">
        <v>88</v>
      </c>
      <c r="F4117" t="s">
        <v>91</v>
      </c>
      <c r="G4117" t="s">
        <v>18114</v>
      </c>
      <c r="H4117">
        <v>20</v>
      </c>
      <c r="I4117">
        <v>0</v>
      </c>
      <c r="J4117">
        <v>0</v>
      </c>
      <c r="K4117">
        <v>0</v>
      </c>
      <c r="N4117">
        <v>3</v>
      </c>
      <c r="O4117">
        <v>3</v>
      </c>
      <c r="P4117">
        <v>0</v>
      </c>
      <c r="Q4117">
        <v>0</v>
      </c>
      <c r="R4117">
        <v>23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H4117">
        <v>23</v>
      </c>
    </row>
    <row r="4118" spans="1:34" x14ac:dyDescent="0.3">
      <c r="A4118" s="4">
        <v>4332</v>
      </c>
      <c r="B4118" s="5">
        <v>4111</v>
      </c>
      <c r="C4118">
        <v>6587</v>
      </c>
      <c r="D4118" t="s">
        <v>18115</v>
      </c>
      <c r="E4118" t="s">
        <v>8150</v>
      </c>
      <c r="F4118" t="s">
        <v>18116</v>
      </c>
      <c r="G4118" t="s">
        <v>18117</v>
      </c>
      <c r="H4118">
        <v>18</v>
      </c>
      <c r="I4118">
        <v>0</v>
      </c>
      <c r="J4118">
        <v>0</v>
      </c>
      <c r="K4118">
        <v>0</v>
      </c>
      <c r="N4118">
        <v>3</v>
      </c>
      <c r="O4118">
        <v>3</v>
      </c>
      <c r="P4118">
        <v>0</v>
      </c>
      <c r="Q4118">
        <v>2</v>
      </c>
      <c r="R4118">
        <v>23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H4118">
        <v>23</v>
      </c>
    </row>
    <row r="4119" spans="1:34" x14ac:dyDescent="0.3">
      <c r="A4119" s="4">
        <v>4333</v>
      </c>
      <c r="B4119" s="5">
        <v>4112</v>
      </c>
      <c r="C4119">
        <v>10525</v>
      </c>
      <c r="D4119" t="s">
        <v>18118</v>
      </c>
      <c r="E4119" t="s">
        <v>2758</v>
      </c>
      <c r="F4119" t="s">
        <v>1806</v>
      </c>
      <c r="G4119" t="s">
        <v>18119</v>
      </c>
      <c r="H4119">
        <v>16</v>
      </c>
      <c r="I4119">
        <v>0</v>
      </c>
      <c r="J4119">
        <v>0</v>
      </c>
      <c r="K4119">
        <v>0</v>
      </c>
      <c r="L4119">
        <v>7</v>
      </c>
      <c r="O4119">
        <v>7</v>
      </c>
      <c r="P4119">
        <v>0</v>
      </c>
      <c r="Q4119">
        <v>0</v>
      </c>
      <c r="R4119">
        <v>23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H4119">
        <v>23</v>
      </c>
    </row>
    <row r="4120" spans="1:34" x14ac:dyDescent="0.3">
      <c r="A4120" s="4">
        <v>4334</v>
      </c>
      <c r="B4120" s="5">
        <v>4113</v>
      </c>
      <c r="C4120">
        <v>1903</v>
      </c>
      <c r="D4120" t="s">
        <v>9760</v>
      </c>
      <c r="E4120" t="s">
        <v>1474</v>
      </c>
      <c r="F4120" t="s">
        <v>167</v>
      </c>
      <c r="G4120" t="s">
        <v>18120</v>
      </c>
      <c r="H4120">
        <v>13.98</v>
      </c>
      <c r="I4120">
        <v>0</v>
      </c>
      <c r="J4120">
        <v>0</v>
      </c>
      <c r="K4120">
        <v>0</v>
      </c>
      <c r="N4120">
        <v>3</v>
      </c>
      <c r="O4120">
        <v>3</v>
      </c>
      <c r="P4120">
        <v>4</v>
      </c>
      <c r="Q4120">
        <v>2</v>
      </c>
      <c r="R4120">
        <v>22.98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H4120">
        <v>22.98</v>
      </c>
    </row>
    <row r="4121" spans="1:34" x14ac:dyDescent="0.3">
      <c r="A4121" s="4">
        <v>4335</v>
      </c>
      <c r="B4121" s="5">
        <v>4114</v>
      </c>
      <c r="C4121">
        <v>14732</v>
      </c>
      <c r="D4121" t="s">
        <v>18121</v>
      </c>
      <c r="E4121" t="s">
        <v>166</v>
      </c>
      <c r="F4121" t="s">
        <v>393</v>
      </c>
      <c r="G4121" t="s">
        <v>18122</v>
      </c>
      <c r="H4121">
        <v>19.95</v>
      </c>
      <c r="I4121">
        <v>0</v>
      </c>
      <c r="J4121">
        <v>0</v>
      </c>
      <c r="K4121">
        <v>0</v>
      </c>
      <c r="N4121">
        <v>3</v>
      </c>
      <c r="O4121">
        <v>3</v>
      </c>
      <c r="P4121">
        <v>0</v>
      </c>
      <c r="Q4121">
        <v>0</v>
      </c>
      <c r="R4121">
        <v>22.95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H4121">
        <v>22.95</v>
      </c>
    </row>
    <row r="4122" spans="1:34" x14ac:dyDescent="0.3">
      <c r="A4122" s="4">
        <v>4336</v>
      </c>
      <c r="B4122" s="5">
        <v>4115</v>
      </c>
      <c r="C4122">
        <v>9655</v>
      </c>
      <c r="D4122" t="s">
        <v>18123</v>
      </c>
      <c r="E4122" t="s">
        <v>178</v>
      </c>
      <c r="F4122" t="s">
        <v>17</v>
      </c>
      <c r="G4122" t="s">
        <v>18124</v>
      </c>
      <c r="H4122">
        <v>15.93</v>
      </c>
      <c r="I4122">
        <v>0</v>
      </c>
      <c r="J4122">
        <v>0</v>
      </c>
      <c r="K4122">
        <v>0</v>
      </c>
      <c r="L4122">
        <v>7</v>
      </c>
      <c r="O4122">
        <v>7</v>
      </c>
      <c r="P4122">
        <v>0</v>
      </c>
      <c r="Q4122">
        <v>0</v>
      </c>
      <c r="R4122">
        <v>22.93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H4122">
        <v>22.93</v>
      </c>
    </row>
    <row r="4123" spans="1:34" x14ac:dyDescent="0.3">
      <c r="A4123" s="4">
        <v>4337</v>
      </c>
      <c r="B4123" s="5">
        <v>4116</v>
      </c>
      <c r="C4123">
        <v>15598</v>
      </c>
      <c r="D4123" t="s">
        <v>18125</v>
      </c>
      <c r="E4123" t="s">
        <v>22</v>
      </c>
      <c r="F4123" t="s">
        <v>328</v>
      </c>
      <c r="G4123" t="s">
        <v>18126</v>
      </c>
      <c r="H4123">
        <v>18.88</v>
      </c>
      <c r="I4123">
        <v>0</v>
      </c>
      <c r="J4123">
        <v>0</v>
      </c>
      <c r="K4123">
        <v>0</v>
      </c>
      <c r="O4123">
        <v>0</v>
      </c>
      <c r="P4123">
        <v>4</v>
      </c>
      <c r="Q4123">
        <v>0</v>
      </c>
      <c r="R4123">
        <v>22.88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H4123">
        <v>22.88</v>
      </c>
    </row>
    <row r="4124" spans="1:34" x14ac:dyDescent="0.3">
      <c r="A4124" s="4">
        <v>4338</v>
      </c>
      <c r="B4124" s="5">
        <v>4117</v>
      </c>
      <c r="C4124">
        <v>5541</v>
      </c>
      <c r="D4124" t="s">
        <v>18127</v>
      </c>
      <c r="E4124" t="s">
        <v>18128</v>
      </c>
      <c r="F4124" t="s">
        <v>17</v>
      </c>
      <c r="G4124" t="s">
        <v>18129</v>
      </c>
      <c r="H4124">
        <v>17.88</v>
      </c>
      <c r="I4124">
        <v>0</v>
      </c>
      <c r="J4124">
        <v>0</v>
      </c>
      <c r="K4124">
        <v>0</v>
      </c>
      <c r="M4124">
        <v>5</v>
      </c>
      <c r="O4124">
        <v>5</v>
      </c>
      <c r="P4124">
        <v>0</v>
      </c>
      <c r="Q4124">
        <v>0</v>
      </c>
      <c r="R4124">
        <v>22.88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H4124">
        <v>22.88</v>
      </c>
    </row>
    <row r="4125" spans="1:34" x14ac:dyDescent="0.3">
      <c r="A4125" s="4">
        <v>4339</v>
      </c>
      <c r="B4125" s="5">
        <v>4118</v>
      </c>
      <c r="C4125">
        <v>9891</v>
      </c>
      <c r="D4125" t="s">
        <v>18130</v>
      </c>
      <c r="E4125" t="s">
        <v>3130</v>
      </c>
      <c r="F4125" t="s">
        <v>30</v>
      </c>
      <c r="G4125" t="s">
        <v>18131</v>
      </c>
      <c r="H4125">
        <v>15.83</v>
      </c>
      <c r="I4125">
        <v>0</v>
      </c>
      <c r="J4125">
        <v>0</v>
      </c>
      <c r="K4125">
        <v>0</v>
      </c>
      <c r="N4125">
        <v>3</v>
      </c>
      <c r="O4125">
        <v>3</v>
      </c>
      <c r="P4125">
        <v>4</v>
      </c>
      <c r="Q4125">
        <v>0</v>
      </c>
      <c r="R4125">
        <v>22.83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H4125">
        <v>22.83</v>
      </c>
    </row>
    <row r="4126" spans="1:34" x14ac:dyDescent="0.3">
      <c r="A4126" s="4">
        <v>4340</v>
      </c>
      <c r="B4126" s="5">
        <v>4119</v>
      </c>
      <c r="C4126">
        <v>1403</v>
      </c>
      <c r="D4126" t="s">
        <v>18132</v>
      </c>
      <c r="E4126" t="s">
        <v>18133</v>
      </c>
      <c r="F4126" t="s">
        <v>136</v>
      </c>
      <c r="G4126" t="s">
        <v>18134</v>
      </c>
      <c r="H4126">
        <v>17.8</v>
      </c>
      <c r="I4126">
        <v>0</v>
      </c>
      <c r="J4126">
        <v>0</v>
      </c>
      <c r="K4126">
        <v>0</v>
      </c>
      <c r="N4126">
        <v>3</v>
      </c>
      <c r="O4126">
        <v>3</v>
      </c>
      <c r="P4126">
        <v>0</v>
      </c>
      <c r="Q4126">
        <v>2</v>
      </c>
      <c r="R4126">
        <v>22.8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H4126">
        <v>22.8</v>
      </c>
    </row>
    <row r="4127" spans="1:34" x14ac:dyDescent="0.3">
      <c r="A4127" s="4">
        <v>4341</v>
      </c>
      <c r="B4127" s="5">
        <v>4120</v>
      </c>
      <c r="C4127">
        <v>13626</v>
      </c>
      <c r="D4127" t="s">
        <v>18135</v>
      </c>
      <c r="E4127" t="s">
        <v>22</v>
      </c>
      <c r="F4127" t="s">
        <v>17</v>
      </c>
      <c r="G4127" t="s">
        <v>18136</v>
      </c>
      <c r="H4127">
        <v>16.8</v>
      </c>
      <c r="I4127">
        <v>0</v>
      </c>
      <c r="J4127">
        <v>0</v>
      </c>
      <c r="K4127">
        <v>0</v>
      </c>
      <c r="O4127">
        <v>0</v>
      </c>
      <c r="P4127">
        <v>4</v>
      </c>
      <c r="Q4127">
        <v>2</v>
      </c>
      <c r="R4127">
        <v>22.8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H4127">
        <v>22.8</v>
      </c>
    </row>
    <row r="4128" spans="1:34" x14ac:dyDescent="0.3">
      <c r="A4128" s="4">
        <v>4342</v>
      </c>
      <c r="B4128" s="5">
        <v>4121</v>
      </c>
      <c r="C4128">
        <v>11729</v>
      </c>
      <c r="D4128" t="s">
        <v>18137</v>
      </c>
      <c r="E4128" t="s">
        <v>100</v>
      </c>
      <c r="F4128" t="s">
        <v>62</v>
      </c>
      <c r="G4128" t="s">
        <v>18138</v>
      </c>
      <c r="H4128">
        <v>19.78</v>
      </c>
      <c r="I4128">
        <v>0</v>
      </c>
      <c r="J4128">
        <v>0</v>
      </c>
      <c r="K4128">
        <v>0</v>
      </c>
      <c r="N4128">
        <v>3</v>
      </c>
      <c r="O4128">
        <v>3</v>
      </c>
      <c r="P4128">
        <v>0</v>
      </c>
      <c r="Q4128">
        <v>0</v>
      </c>
      <c r="R4128">
        <v>22.78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H4128">
        <v>22.78</v>
      </c>
    </row>
    <row r="4129" spans="1:34" x14ac:dyDescent="0.3">
      <c r="A4129" s="4">
        <v>4343</v>
      </c>
      <c r="B4129" s="5">
        <v>4122</v>
      </c>
      <c r="C4129">
        <v>7868</v>
      </c>
      <c r="D4129" t="s">
        <v>18139</v>
      </c>
      <c r="E4129" t="s">
        <v>18140</v>
      </c>
      <c r="F4129" t="s">
        <v>18141</v>
      </c>
      <c r="G4129" t="s">
        <v>18142</v>
      </c>
      <c r="H4129">
        <v>15.78</v>
      </c>
      <c r="I4129">
        <v>0</v>
      </c>
      <c r="J4129">
        <v>0</v>
      </c>
      <c r="K4129">
        <v>0</v>
      </c>
      <c r="N4129">
        <v>3</v>
      </c>
      <c r="O4129">
        <v>3</v>
      </c>
      <c r="P4129">
        <v>4</v>
      </c>
      <c r="Q4129">
        <v>0</v>
      </c>
      <c r="R4129">
        <v>22.78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H4129">
        <v>22.78</v>
      </c>
    </row>
    <row r="4130" spans="1:34" x14ac:dyDescent="0.3">
      <c r="A4130" s="4">
        <v>4344</v>
      </c>
      <c r="B4130" s="5">
        <v>4123</v>
      </c>
      <c r="C4130">
        <v>14448</v>
      </c>
      <c r="D4130" t="s">
        <v>18143</v>
      </c>
      <c r="E4130" t="s">
        <v>3948</v>
      </c>
      <c r="F4130" t="s">
        <v>892</v>
      </c>
      <c r="G4130" t="s">
        <v>18144</v>
      </c>
      <c r="H4130">
        <v>17.7</v>
      </c>
      <c r="I4130">
        <v>0</v>
      </c>
      <c r="J4130">
        <v>0</v>
      </c>
      <c r="K4130">
        <v>0</v>
      </c>
      <c r="N4130">
        <v>3</v>
      </c>
      <c r="O4130">
        <v>3</v>
      </c>
      <c r="P4130">
        <v>0</v>
      </c>
      <c r="Q4130">
        <v>2</v>
      </c>
      <c r="R4130">
        <v>22.7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H4130">
        <v>22.7</v>
      </c>
    </row>
    <row r="4131" spans="1:34" x14ac:dyDescent="0.3">
      <c r="A4131" s="4">
        <v>4345</v>
      </c>
      <c r="B4131" s="5">
        <v>4124</v>
      </c>
      <c r="C4131">
        <v>9689</v>
      </c>
      <c r="D4131" t="s">
        <v>18145</v>
      </c>
      <c r="E4131" t="s">
        <v>166</v>
      </c>
      <c r="F4131" t="s">
        <v>2598</v>
      </c>
      <c r="G4131" t="s">
        <v>18146</v>
      </c>
      <c r="H4131">
        <v>15.68</v>
      </c>
      <c r="I4131">
        <v>0</v>
      </c>
      <c r="J4131">
        <v>0</v>
      </c>
      <c r="K4131">
        <v>0</v>
      </c>
      <c r="N4131">
        <v>3</v>
      </c>
      <c r="O4131">
        <v>3</v>
      </c>
      <c r="P4131">
        <v>4</v>
      </c>
      <c r="Q4131">
        <v>0</v>
      </c>
      <c r="R4131">
        <v>22.68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H4131">
        <v>22.68</v>
      </c>
    </row>
    <row r="4132" spans="1:34" x14ac:dyDescent="0.3">
      <c r="A4132" s="4">
        <v>4346</v>
      </c>
      <c r="B4132" s="5">
        <v>4125</v>
      </c>
      <c r="C4132">
        <v>14202</v>
      </c>
      <c r="D4132" t="s">
        <v>18147</v>
      </c>
      <c r="E4132" t="s">
        <v>161</v>
      </c>
      <c r="F4132" t="s">
        <v>62</v>
      </c>
      <c r="G4132" t="s">
        <v>18148</v>
      </c>
      <c r="H4132">
        <v>18.63</v>
      </c>
      <c r="I4132">
        <v>0</v>
      </c>
      <c r="J4132">
        <v>0</v>
      </c>
      <c r="K4132">
        <v>0</v>
      </c>
      <c r="O4132">
        <v>0</v>
      </c>
      <c r="P4132">
        <v>4</v>
      </c>
      <c r="Q4132">
        <v>0</v>
      </c>
      <c r="R4132">
        <v>22.63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H4132">
        <v>22.63</v>
      </c>
    </row>
    <row r="4133" spans="1:34" x14ac:dyDescent="0.3">
      <c r="A4133" s="4">
        <v>4347</v>
      </c>
      <c r="B4133" s="5">
        <v>4126</v>
      </c>
      <c r="C4133">
        <v>11000</v>
      </c>
      <c r="D4133" t="s">
        <v>860</v>
      </c>
      <c r="E4133" t="s">
        <v>178</v>
      </c>
      <c r="F4133" t="s">
        <v>18149</v>
      </c>
      <c r="G4133" t="s">
        <v>18150</v>
      </c>
      <c r="H4133">
        <v>17.63</v>
      </c>
      <c r="I4133">
        <v>0</v>
      </c>
      <c r="J4133">
        <v>0</v>
      </c>
      <c r="K4133">
        <v>0</v>
      </c>
      <c r="M4133">
        <v>5</v>
      </c>
      <c r="O4133">
        <v>5</v>
      </c>
      <c r="P4133">
        <v>0</v>
      </c>
      <c r="Q4133">
        <v>0</v>
      </c>
      <c r="R4133">
        <v>22.63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H4133">
        <v>22.63</v>
      </c>
    </row>
    <row r="4134" spans="1:34" x14ac:dyDescent="0.3">
      <c r="A4134" s="4">
        <v>4348</v>
      </c>
      <c r="B4134" s="5">
        <v>4127</v>
      </c>
      <c r="C4134">
        <v>4615</v>
      </c>
      <c r="D4134" t="s">
        <v>786</v>
      </c>
      <c r="E4134" t="s">
        <v>38</v>
      </c>
      <c r="F4134" t="s">
        <v>17</v>
      </c>
      <c r="G4134" t="s">
        <v>18151</v>
      </c>
      <c r="H4134">
        <v>15.63</v>
      </c>
      <c r="I4134">
        <v>0</v>
      </c>
      <c r="J4134">
        <v>0</v>
      </c>
      <c r="K4134">
        <v>0</v>
      </c>
      <c r="L4134">
        <v>7</v>
      </c>
      <c r="O4134">
        <v>7</v>
      </c>
      <c r="P4134">
        <v>0</v>
      </c>
      <c r="Q4134">
        <v>0</v>
      </c>
      <c r="R4134">
        <v>22.63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H4134">
        <v>22.63</v>
      </c>
    </row>
    <row r="4135" spans="1:34" x14ac:dyDescent="0.3">
      <c r="A4135" s="4">
        <v>4349</v>
      </c>
      <c r="B4135" s="5">
        <v>4128</v>
      </c>
      <c r="C4135">
        <v>2620</v>
      </c>
      <c r="D4135" t="s">
        <v>1361</v>
      </c>
      <c r="E4135" t="s">
        <v>173</v>
      </c>
      <c r="F4135" t="s">
        <v>17</v>
      </c>
      <c r="G4135" t="s">
        <v>18152</v>
      </c>
      <c r="H4135">
        <v>19.600000000000001</v>
      </c>
      <c r="I4135">
        <v>0</v>
      </c>
      <c r="J4135">
        <v>0</v>
      </c>
      <c r="K4135">
        <v>0</v>
      </c>
      <c r="N4135">
        <v>3</v>
      </c>
      <c r="O4135">
        <v>3</v>
      </c>
      <c r="P4135">
        <v>0</v>
      </c>
      <c r="Q4135">
        <v>0</v>
      </c>
      <c r="R4135">
        <v>22.6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H4135">
        <v>22.6</v>
      </c>
    </row>
    <row r="4136" spans="1:34" x14ac:dyDescent="0.3">
      <c r="A4136" s="4">
        <v>4350</v>
      </c>
      <c r="B4136" s="5">
        <v>4129</v>
      </c>
      <c r="C4136">
        <v>15230</v>
      </c>
      <c r="D4136" t="s">
        <v>18153</v>
      </c>
      <c r="E4136" t="s">
        <v>115</v>
      </c>
      <c r="F4136" t="s">
        <v>214</v>
      </c>
      <c r="G4136" t="s">
        <v>18154</v>
      </c>
      <c r="H4136">
        <v>19.579999999999998</v>
      </c>
      <c r="I4136">
        <v>0</v>
      </c>
      <c r="J4136">
        <v>0</v>
      </c>
      <c r="K4136">
        <v>0</v>
      </c>
      <c r="N4136">
        <v>3</v>
      </c>
      <c r="O4136">
        <v>3</v>
      </c>
      <c r="P4136">
        <v>0</v>
      </c>
      <c r="Q4136">
        <v>0</v>
      </c>
      <c r="R4136">
        <v>22.58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H4136">
        <v>22.58</v>
      </c>
    </row>
    <row r="4137" spans="1:34" x14ac:dyDescent="0.3">
      <c r="A4137" s="4">
        <v>4351</v>
      </c>
      <c r="B4137" s="5">
        <v>4130</v>
      </c>
      <c r="C4137">
        <v>7730</v>
      </c>
      <c r="D4137" t="s">
        <v>18155</v>
      </c>
      <c r="E4137" t="s">
        <v>26</v>
      </c>
      <c r="F4137" t="s">
        <v>68</v>
      </c>
      <c r="G4137" t="s">
        <v>18156</v>
      </c>
      <c r="H4137">
        <v>19.579999999999998</v>
      </c>
      <c r="I4137">
        <v>0</v>
      </c>
      <c r="J4137">
        <v>0</v>
      </c>
      <c r="K4137">
        <v>0</v>
      </c>
      <c r="N4137">
        <v>3</v>
      </c>
      <c r="O4137">
        <v>3</v>
      </c>
      <c r="P4137">
        <v>0</v>
      </c>
      <c r="Q4137">
        <v>0</v>
      </c>
      <c r="R4137">
        <v>22.58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H4137">
        <v>22.58</v>
      </c>
    </row>
    <row r="4138" spans="1:34" x14ac:dyDescent="0.3">
      <c r="A4138" s="4">
        <v>4352</v>
      </c>
      <c r="B4138" s="5">
        <v>4131</v>
      </c>
      <c r="C4138">
        <v>6241</v>
      </c>
      <c r="D4138" t="s">
        <v>18157</v>
      </c>
      <c r="E4138" t="s">
        <v>406</v>
      </c>
      <c r="F4138" t="s">
        <v>81</v>
      </c>
      <c r="G4138" t="s">
        <v>18158</v>
      </c>
      <c r="H4138">
        <v>15.58</v>
      </c>
      <c r="I4138">
        <v>0</v>
      </c>
      <c r="J4138">
        <v>0</v>
      </c>
      <c r="K4138">
        <v>0</v>
      </c>
      <c r="N4138">
        <v>3</v>
      </c>
      <c r="O4138">
        <v>3</v>
      </c>
      <c r="P4138">
        <v>4</v>
      </c>
      <c r="Q4138">
        <v>0</v>
      </c>
      <c r="R4138">
        <v>22.58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H4138">
        <v>22.58</v>
      </c>
    </row>
    <row r="4139" spans="1:34" x14ac:dyDescent="0.3">
      <c r="A4139" s="4">
        <v>4353</v>
      </c>
      <c r="B4139" s="5">
        <v>4132</v>
      </c>
      <c r="C4139">
        <v>5590</v>
      </c>
      <c r="D4139" t="s">
        <v>1399</v>
      </c>
      <c r="E4139" t="s">
        <v>117</v>
      </c>
      <c r="F4139" t="s">
        <v>167</v>
      </c>
      <c r="G4139" t="s">
        <v>18159</v>
      </c>
      <c r="H4139">
        <v>15.58</v>
      </c>
      <c r="I4139">
        <v>0</v>
      </c>
      <c r="J4139">
        <v>0</v>
      </c>
      <c r="K4139">
        <v>0</v>
      </c>
      <c r="N4139">
        <v>3</v>
      </c>
      <c r="O4139">
        <v>3</v>
      </c>
      <c r="P4139">
        <v>4</v>
      </c>
      <c r="Q4139">
        <v>0</v>
      </c>
      <c r="R4139">
        <v>22.58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H4139">
        <v>22.58</v>
      </c>
    </row>
    <row r="4140" spans="1:34" x14ac:dyDescent="0.3">
      <c r="A4140" s="4">
        <v>4354</v>
      </c>
      <c r="B4140" s="5">
        <v>4133</v>
      </c>
      <c r="C4140">
        <v>4577</v>
      </c>
      <c r="D4140" t="s">
        <v>18160</v>
      </c>
      <c r="E4140" t="s">
        <v>213</v>
      </c>
      <c r="F4140" t="s">
        <v>17</v>
      </c>
      <c r="G4140" t="s">
        <v>18161</v>
      </c>
      <c r="H4140">
        <v>17.55</v>
      </c>
      <c r="I4140">
        <v>0</v>
      </c>
      <c r="J4140">
        <v>0</v>
      </c>
      <c r="K4140">
        <v>0</v>
      </c>
      <c r="O4140">
        <v>0</v>
      </c>
      <c r="P4140">
        <v>0</v>
      </c>
      <c r="Q4140">
        <v>2</v>
      </c>
      <c r="R4140">
        <v>19.55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3</v>
      </c>
      <c r="AC4140">
        <v>0</v>
      </c>
      <c r="AH4140">
        <v>22.55</v>
      </c>
    </row>
    <row r="4141" spans="1:34" x14ac:dyDescent="0.3">
      <c r="A4141" s="4">
        <v>4355</v>
      </c>
      <c r="B4141" s="5">
        <v>4134</v>
      </c>
      <c r="C4141">
        <v>7646</v>
      </c>
      <c r="D4141" t="s">
        <v>3889</v>
      </c>
      <c r="E4141" t="s">
        <v>3964</v>
      </c>
      <c r="F4141" t="s">
        <v>68</v>
      </c>
      <c r="G4141" t="s">
        <v>18162</v>
      </c>
      <c r="H4141">
        <v>12.5</v>
      </c>
      <c r="I4141">
        <v>0</v>
      </c>
      <c r="J4141">
        <v>0</v>
      </c>
      <c r="K4141">
        <v>0</v>
      </c>
      <c r="N4141">
        <v>3</v>
      </c>
      <c r="O4141">
        <v>3</v>
      </c>
      <c r="P4141">
        <v>4</v>
      </c>
      <c r="Q4141">
        <v>0</v>
      </c>
      <c r="R4141">
        <v>19.5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3</v>
      </c>
      <c r="AC4141">
        <v>0</v>
      </c>
      <c r="AH4141">
        <v>22.5</v>
      </c>
    </row>
    <row r="4142" spans="1:34" x14ac:dyDescent="0.3">
      <c r="A4142" s="4">
        <v>4356</v>
      </c>
      <c r="B4142" s="5">
        <v>4135</v>
      </c>
      <c r="C4142">
        <v>3600</v>
      </c>
      <c r="D4142" t="s">
        <v>11417</v>
      </c>
      <c r="E4142" t="s">
        <v>132</v>
      </c>
      <c r="F4142" t="s">
        <v>259</v>
      </c>
      <c r="G4142" t="s">
        <v>18163</v>
      </c>
      <c r="H4142">
        <v>17.5</v>
      </c>
      <c r="I4142">
        <v>0</v>
      </c>
      <c r="J4142">
        <v>0</v>
      </c>
      <c r="K4142">
        <v>0</v>
      </c>
      <c r="N4142">
        <v>3</v>
      </c>
      <c r="O4142">
        <v>3</v>
      </c>
      <c r="P4142">
        <v>0</v>
      </c>
      <c r="Q4142">
        <v>2</v>
      </c>
      <c r="R4142">
        <v>22.5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H4142">
        <v>22.5</v>
      </c>
    </row>
    <row r="4143" spans="1:34" x14ac:dyDescent="0.3">
      <c r="A4143" s="4">
        <v>4357</v>
      </c>
      <c r="B4143" s="5">
        <v>4136</v>
      </c>
      <c r="C4143">
        <v>15467</v>
      </c>
      <c r="D4143" t="s">
        <v>18164</v>
      </c>
      <c r="E4143" t="s">
        <v>54</v>
      </c>
      <c r="F4143" t="s">
        <v>117</v>
      </c>
      <c r="H4143">
        <v>12.5</v>
      </c>
      <c r="I4143">
        <v>0</v>
      </c>
      <c r="J4143">
        <v>0</v>
      </c>
      <c r="K4143">
        <v>0</v>
      </c>
      <c r="N4143">
        <v>6</v>
      </c>
      <c r="O4143">
        <v>6</v>
      </c>
      <c r="P4143">
        <v>4</v>
      </c>
      <c r="Q4143">
        <v>0</v>
      </c>
      <c r="R4143">
        <v>22.5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H4143">
        <v>22.5</v>
      </c>
    </row>
    <row r="4144" spans="1:34" x14ac:dyDescent="0.3">
      <c r="A4144" s="4">
        <v>4358</v>
      </c>
      <c r="B4144" s="5">
        <v>4137</v>
      </c>
      <c r="C4144">
        <v>3828</v>
      </c>
      <c r="D4144" t="s">
        <v>18165</v>
      </c>
      <c r="E4144" t="s">
        <v>126</v>
      </c>
      <c r="F4144" t="s">
        <v>91</v>
      </c>
      <c r="G4144" t="s">
        <v>18166</v>
      </c>
      <c r="H4144">
        <v>12.5</v>
      </c>
      <c r="I4144">
        <v>0</v>
      </c>
      <c r="J4144">
        <v>0</v>
      </c>
      <c r="K4144">
        <v>0</v>
      </c>
      <c r="L4144">
        <v>7</v>
      </c>
      <c r="N4144">
        <v>3</v>
      </c>
      <c r="O4144">
        <v>10</v>
      </c>
      <c r="P4144">
        <v>0</v>
      </c>
      <c r="Q4144">
        <v>0</v>
      </c>
      <c r="R4144">
        <v>22.5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H4144">
        <v>22.5</v>
      </c>
    </row>
    <row r="4145" spans="1:34" x14ac:dyDescent="0.3">
      <c r="A4145" s="4">
        <v>4359</v>
      </c>
      <c r="B4145" s="5">
        <v>4138</v>
      </c>
      <c r="C4145">
        <v>13091</v>
      </c>
      <c r="D4145" t="s">
        <v>18167</v>
      </c>
      <c r="E4145" t="s">
        <v>471</v>
      </c>
      <c r="F4145" t="s">
        <v>167</v>
      </c>
      <c r="G4145" t="s">
        <v>18168</v>
      </c>
      <c r="H4145">
        <v>12.5</v>
      </c>
      <c r="I4145">
        <v>0</v>
      </c>
      <c r="J4145">
        <v>0</v>
      </c>
      <c r="K4145">
        <v>0</v>
      </c>
      <c r="L4145">
        <v>7</v>
      </c>
      <c r="N4145">
        <v>3</v>
      </c>
      <c r="O4145">
        <v>10</v>
      </c>
      <c r="P4145">
        <v>0</v>
      </c>
      <c r="Q4145">
        <v>0</v>
      </c>
      <c r="R4145">
        <v>22.5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H4145">
        <v>22.5</v>
      </c>
    </row>
    <row r="4146" spans="1:34" x14ac:dyDescent="0.3">
      <c r="A4146" s="4">
        <v>4360</v>
      </c>
      <c r="B4146" s="5">
        <v>4139</v>
      </c>
      <c r="C4146">
        <v>4818</v>
      </c>
      <c r="D4146" t="s">
        <v>12745</v>
      </c>
      <c r="E4146" t="s">
        <v>1280</v>
      </c>
      <c r="F4146" t="s">
        <v>17</v>
      </c>
      <c r="G4146" t="s">
        <v>18169</v>
      </c>
      <c r="H4146">
        <v>19.48</v>
      </c>
      <c r="I4146">
        <v>0</v>
      </c>
      <c r="J4146">
        <v>0</v>
      </c>
      <c r="K4146">
        <v>0</v>
      </c>
      <c r="N4146">
        <v>3</v>
      </c>
      <c r="O4146">
        <v>3</v>
      </c>
      <c r="P4146">
        <v>0</v>
      </c>
      <c r="Q4146">
        <v>0</v>
      </c>
      <c r="R4146">
        <v>22.48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H4146">
        <v>22.48</v>
      </c>
    </row>
    <row r="4147" spans="1:34" x14ac:dyDescent="0.3">
      <c r="A4147" s="4">
        <v>4361</v>
      </c>
      <c r="B4147" s="5">
        <v>4140</v>
      </c>
      <c r="C4147">
        <v>4848</v>
      </c>
      <c r="D4147" t="s">
        <v>18170</v>
      </c>
      <c r="E4147" t="s">
        <v>2601</v>
      </c>
      <c r="F4147" t="s">
        <v>1090</v>
      </c>
      <c r="G4147" t="s">
        <v>18171</v>
      </c>
      <c r="H4147">
        <v>15.48</v>
      </c>
      <c r="I4147">
        <v>0</v>
      </c>
      <c r="J4147">
        <v>0</v>
      </c>
      <c r="K4147">
        <v>0</v>
      </c>
      <c r="N4147">
        <v>3</v>
      </c>
      <c r="O4147">
        <v>3</v>
      </c>
      <c r="P4147">
        <v>4</v>
      </c>
      <c r="Q4147">
        <v>0</v>
      </c>
      <c r="R4147">
        <v>22.48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H4147">
        <v>22.48</v>
      </c>
    </row>
    <row r="4148" spans="1:34" x14ac:dyDescent="0.3">
      <c r="A4148" s="4">
        <v>4362</v>
      </c>
      <c r="B4148" s="5">
        <v>4141</v>
      </c>
      <c r="C4148">
        <v>14086</v>
      </c>
      <c r="D4148" t="s">
        <v>18172</v>
      </c>
      <c r="E4148" t="s">
        <v>286</v>
      </c>
      <c r="F4148" t="s">
        <v>375</v>
      </c>
      <c r="G4148" t="s">
        <v>18173</v>
      </c>
      <c r="H4148">
        <v>16.43</v>
      </c>
      <c r="I4148">
        <v>0</v>
      </c>
      <c r="J4148">
        <v>0</v>
      </c>
      <c r="K4148">
        <v>0</v>
      </c>
      <c r="O4148">
        <v>0</v>
      </c>
      <c r="P4148">
        <v>0</v>
      </c>
      <c r="Q4148">
        <v>0</v>
      </c>
      <c r="R4148">
        <v>16.43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6</v>
      </c>
      <c r="AC4148">
        <v>0</v>
      </c>
      <c r="AH4148">
        <v>22.43</v>
      </c>
    </row>
    <row r="4149" spans="1:34" x14ac:dyDescent="0.3">
      <c r="A4149" s="4">
        <v>4363</v>
      </c>
      <c r="B4149" s="5">
        <v>4142</v>
      </c>
      <c r="C4149">
        <v>11507</v>
      </c>
      <c r="D4149" t="s">
        <v>9265</v>
      </c>
      <c r="E4149" t="s">
        <v>1140</v>
      </c>
      <c r="F4149" t="s">
        <v>34</v>
      </c>
      <c r="G4149" t="s">
        <v>18174</v>
      </c>
      <c r="H4149">
        <v>19.399999999999999</v>
      </c>
      <c r="I4149">
        <v>0</v>
      </c>
      <c r="J4149">
        <v>0</v>
      </c>
      <c r="K4149">
        <v>0</v>
      </c>
      <c r="N4149">
        <v>3</v>
      </c>
      <c r="O4149">
        <v>3</v>
      </c>
      <c r="P4149">
        <v>0</v>
      </c>
      <c r="Q4149">
        <v>0</v>
      </c>
      <c r="R4149">
        <v>22.4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H4149">
        <v>22.4</v>
      </c>
    </row>
    <row r="4150" spans="1:34" x14ac:dyDescent="0.3">
      <c r="A4150" s="4">
        <v>4364</v>
      </c>
      <c r="B4150" s="5">
        <v>4143</v>
      </c>
      <c r="C4150">
        <v>5126</v>
      </c>
      <c r="D4150" t="s">
        <v>18175</v>
      </c>
      <c r="E4150" t="s">
        <v>166</v>
      </c>
      <c r="F4150" t="s">
        <v>1526</v>
      </c>
      <c r="G4150" t="s">
        <v>18176</v>
      </c>
      <c r="H4150">
        <v>19.38</v>
      </c>
      <c r="I4150">
        <v>0</v>
      </c>
      <c r="J4150">
        <v>0</v>
      </c>
      <c r="K4150">
        <v>0</v>
      </c>
      <c r="N4150">
        <v>3</v>
      </c>
      <c r="O4150">
        <v>3</v>
      </c>
      <c r="P4150">
        <v>0</v>
      </c>
      <c r="Q4150">
        <v>0</v>
      </c>
      <c r="R4150">
        <v>22.38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H4150">
        <v>22.38</v>
      </c>
    </row>
    <row r="4151" spans="1:34" x14ac:dyDescent="0.3">
      <c r="A4151" s="4">
        <v>4365</v>
      </c>
      <c r="B4151" s="5">
        <v>4144</v>
      </c>
      <c r="C4151">
        <v>15501</v>
      </c>
      <c r="D4151" t="s">
        <v>18177</v>
      </c>
      <c r="E4151" t="s">
        <v>342</v>
      </c>
      <c r="F4151" t="s">
        <v>328</v>
      </c>
      <c r="G4151" t="s">
        <v>18178</v>
      </c>
      <c r="H4151">
        <v>19.38</v>
      </c>
      <c r="I4151">
        <v>0</v>
      </c>
      <c r="J4151">
        <v>0</v>
      </c>
      <c r="K4151">
        <v>0</v>
      </c>
      <c r="N4151">
        <v>3</v>
      </c>
      <c r="O4151">
        <v>3</v>
      </c>
      <c r="P4151">
        <v>0</v>
      </c>
      <c r="Q4151">
        <v>0</v>
      </c>
      <c r="R4151">
        <v>22.38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H4151">
        <v>22.38</v>
      </c>
    </row>
    <row r="4152" spans="1:34" x14ac:dyDescent="0.3">
      <c r="A4152" s="4">
        <v>4366</v>
      </c>
      <c r="B4152" s="5">
        <v>4145</v>
      </c>
      <c r="C4152">
        <v>15662</v>
      </c>
      <c r="D4152" t="s">
        <v>18179</v>
      </c>
      <c r="E4152" t="s">
        <v>18180</v>
      </c>
      <c r="F4152" t="s">
        <v>4873</v>
      </c>
      <c r="G4152" t="s">
        <v>18181</v>
      </c>
      <c r="H4152">
        <v>15.38</v>
      </c>
      <c r="I4152">
        <v>0</v>
      </c>
      <c r="J4152">
        <v>0</v>
      </c>
      <c r="K4152">
        <v>0</v>
      </c>
      <c r="N4152">
        <v>3</v>
      </c>
      <c r="O4152">
        <v>3</v>
      </c>
      <c r="P4152">
        <v>4</v>
      </c>
      <c r="Q4152">
        <v>0</v>
      </c>
      <c r="R4152">
        <v>22.38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H4152">
        <v>22.38</v>
      </c>
    </row>
    <row r="4153" spans="1:34" x14ac:dyDescent="0.3">
      <c r="A4153" s="4">
        <v>4367</v>
      </c>
      <c r="B4153" s="5">
        <v>4146</v>
      </c>
      <c r="C4153">
        <v>14714</v>
      </c>
      <c r="D4153" t="s">
        <v>13614</v>
      </c>
      <c r="E4153" t="s">
        <v>117</v>
      </c>
      <c r="F4153" t="s">
        <v>626</v>
      </c>
      <c r="G4153" t="s">
        <v>18182</v>
      </c>
      <c r="H4153">
        <v>15.35</v>
      </c>
      <c r="I4153">
        <v>0</v>
      </c>
      <c r="J4153">
        <v>0</v>
      </c>
      <c r="K4153">
        <v>0</v>
      </c>
      <c r="L4153">
        <v>7</v>
      </c>
      <c r="O4153">
        <v>7</v>
      </c>
      <c r="P4153">
        <v>0</v>
      </c>
      <c r="Q4153">
        <v>0</v>
      </c>
      <c r="R4153">
        <v>22.35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H4153">
        <v>22.35</v>
      </c>
    </row>
    <row r="4154" spans="1:34" x14ac:dyDescent="0.3">
      <c r="A4154" s="4">
        <v>4368</v>
      </c>
      <c r="B4154" s="5">
        <v>4147</v>
      </c>
      <c r="C4154">
        <v>14221</v>
      </c>
      <c r="D4154" t="s">
        <v>18183</v>
      </c>
      <c r="E4154" t="s">
        <v>41</v>
      </c>
      <c r="F4154" t="s">
        <v>38</v>
      </c>
      <c r="G4154" t="s">
        <v>18184</v>
      </c>
      <c r="H4154">
        <v>15.33</v>
      </c>
      <c r="I4154">
        <v>0</v>
      </c>
      <c r="J4154">
        <v>0</v>
      </c>
      <c r="K4154">
        <v>0</v>
      </c>
      <c r="N4154">
        <v>3</v>
      </c>
      <c r="O4154">
        <v>3</v>
      </c>
      <c r="P4154">
        <v>4</v>
      </c>
      <c r="Q4154">
        <v>0</v>
      </c>
      <c r="R4154">
        <v>22.33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H4154">
        <v>22.33</v>
      </c>
    </row>
    <row r="4155" spans="1:34" x14ac:dyDescent="0.3">
      <c r="A4155" s="4">
        <v>4369</v>
      </c>
      <c r="B4155" s="5">
        <v>4148</v>
      </c>
      <c r="C4155">
        <v>5771</v>
      </c>
      <c r="D4155" t="s">
        <v>18185</v>
      </c>
      <c r="E4155" t="s">
        <v>1694</v>
      </c>
      <c r="F4155" t="s">
        <v>52</v>
      </c>
      <c r="G4155" t="s">
        <v>18186</v>
      </c>
      <c r="H4155">
        <v>18.28</v>
      </c>
      <c r="I4155">
        <v>0</v>
      </c>
      <c r="J4155">
        <v>0</v>
      </c>
      <c r="K4155">
        <v>0</v>
      </c>
      <c r="O4155">
        <v>0</v>
      </c>
      <c r="P4155">
        <v>4</v>
      </c>
      <c r="Q4155">
        <v>0</v>
      </c>
      <c r="R4155">
        <v>22.28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H4155">
        <v>22.28</v>
      </c>
    </row>
    <row r="4156" spans="1:34" x14ac:dyDescent="0.3">
      <c r="A4156" s="4">
        <v>4370</v>
      </c>
      <c r="B4156" s="5">
        <v>4149</v>
      </c>
      <c r="C4156">
        <v>12429</v>
      </c>
      <c r="D4156" t="s">
        <v>18187</v>
      </c>
      <c r="E4156" t="s">
        <v>132</v>
      </c>
      <c r="F4156" t="s">
        <v>62</v>
      </c>
      <c r="G4156" t="s">
        <v>18188</v>
      </c>
      <c r="H4156">
        <v>19.2</v>
      </c>
      <c r="I4156">
        <v>0</v>
      </c>
      <c r="J4156">
        <v>0</v>
      </c>
      <c r="K4156">
        <v>0</v>
      </c>
      <c r="N4156">
        <v>3</v>
      </c>
      <c r="O4156">
        <v>3</v>
      </c>
      <c r="P4156">
        <v>0</v>
      </c>
      <c r="Q4156">
        <v>0</v>
      </c>
      <c r="R4156">
        <v>22.2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H4156">
        <v>22.2</v>
      </c>
    </row>
    <row r="4157" spans="1:34" x14ac:dyDescent="0.3">
      <c r="A4157" s="4">
        <v>4371</v>
      </c>
      <c r="B4157" s="5">
        <v>4150</v>
      </c>
      <c r="C4157">
        <v>1622</v>
      </c>
      <c r="D4157" t="s">
        <v>3181</v>
      </c>
      <c r="E4157" t="s">
        <v>8982</v>
      </c>
      <c r="F4157" t="s">
        <v>259</v>
      </c>
      <c r="G4157" t="s">
        <v>18189</v>
      </c>
      <c r="H4157">
        <v>19.18</v>
      </c>
      <c r="I4157">
        <v>0</v>
      </c>
      <c r="J4157">
        <v>0</v>
      </c>
      <c r="K4157">
        <v>0</v>
      </c>
      <c r="N4157">
        <v>3</v>
      </c>
      <c r="O4157">
        <v>3</v>
      </c>
      <c r="P4157">
        <v>0</v>
      </c>
      <c r="Q4157">
        <v>0</v>
      </c>
      <c r="R4157">
        <v>22.18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H4157">
        <v>22.18</v>
      </c>
    </row>
    <row r="4158" spans="1:34" x14ac:dyDescent="0.3">
      <c r="A4158" s="4">
        <v>4372</v>
      </c>
      <c r="B4158" s="5">
        <v>4151</v>
      </c>
      <c r="C4158">
        <v>6614</v>
      </c>
      <c r="D4158" t="s">
        <v>11708</v>
      </c>
      <c r="E4158" t="s">
        <v>29</v>
      </c>
      <c r="F4158" t="s">
        <v>20</v>
      </c>
      <c r="G4158" t="s">
        <v>18190</v>
      </c>
      <c r="H4158">
        <v>18.05</v>
      </c>
      <c r="I4158">
        <v>0</v>
      </c>
      <c r="J4158">
        <v>0</v>
      </c>
      <c r="K4158">
        <v>0</v>
      </c>
      <c r="O4158">
        <v>0</v>
      </c>
      <c r="P4158">
        <v>4</v>
      </c>
      <c r="Q4158">
        <v>0</v>
      </c>
      <c r="R4158">
        <v>22.05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H4158">
        <v>22.05</v>
      </c>
    </row>
    <row r="4159" spans="1:34" x14ac:dyDescent="0.3">
      <c r="A4159" s="4">
        <v>4373</v>
      </c>
      <c r="B4159" s="5">
        <v>4152</v>
      </c>
      <c r="C4159">
        <v>1878</v>
      </c>
      <c r="D4159" t="s">
        <v>2490</v>
      </c>
      <c r="E4159" t="s">
        <v>208</v>
      </c>
      <c r="F4159" t="s">
        <v>17</v>
      </c>
      <c r="G4159" t="s">
        <v>18191</v>
      </c>
      <c r="H4159">
        <v>15.03</v>
      </c>
      <c r="I4159">
        <v>0</v>
      </c>
      <c r="J4159">
        <v>0</v>
      </c>
      <c r="K4159">
        <v>0</v>
      </c>
      <c r="N4159">
        <v>3</v>
      </c>
      <c r="O4159">
        <v>3</v>
      </c>
      <c r="P4159">
        <v>4</v>
      </c>
      <c r="Q4159">
        <v>0</v>
      </c>
      <c r="R4159">
        <v>22.03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H4159">
        <v>22.03</v>
      </c>
    </row>
    <row r="4160" spans="1:34" x14ac:dyDescent="0.3">
      <c r="A4160" s="4">
        <v>4374</v>
      </c>
      <c r="B4160" s="5">
        <v>4153</v>
      </c>
      <c r="C4160">
        <v>5128</v>
      </c>
      <c r="D4160" t="s">
        <v>18192</v>
      </c>
      <c r="E4160" t="s">
        <v>178</v>
      </c>
      <c r="F4160" t="s">
        <v>190</v>
      </c>
      <c r="G4160" t="s">
        <v>18193</v>
      </c>
      <c r="H4160">
        <v>22</v>
      </c>
      <c r="I4160">
        <v>0</v>
      </c>
      <c r="J4160">
        <v>0</v>
      </c>
      <c r="K4160">
        <v>0</v>
      </c>
      <c r="O4160">
        <v>0</v>
      </c>
      <c r="P4160">
        <v>0</v>
      </c>
      <c r="Q4160">
        <v>0</v>
      </c>
      <c r="R4160">
        <v>22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H4160">
        <v>22</v>
      </c>
    </row>
    <row r="4161" spans="1:34" x14ac:dyDescent="0.3">
      <c r="A4161" s="4">
        <v>4375</v>
      </c>
      <c r="B4161" s="5">
        <v>4154</v>
      </c>
      <c r="C4161">
        <v>15437</v>
      </c>
      <c r="D4161" t="s">
        <v>18194</v>
      </c>
      <c r="E4161" t="s">
        <v>158</v>
      </c>
      <c r="F4161" t="s">
        <v>17</v>
      </c>
      <c r="G4161" t="s">
        <v>18195</v>
      </c>
      <c r="H4161">
        <v>17</v>
      </c>
      <c r="I4161">
        <v>0</v>
      </c>
      <c r="J4161">
        <v>0</v>
      </c>
      <c r="K4161">
        <v>0</v>
      </c>
      <c r="M4161">
        <v>5</v>
      </c>
      <c r="O4161">
        <v>5</v>
      </c>
      <c r="P4161">
        <v>0</v>
      </c>
      <c r="Q4161">
        <v>0</v>
      </c>
      <c r="R4161">
        <v>22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H4161">
        <v>22</v>
      </c>
    </row>
    <row r="4162" spans="1:34" x14ac:dyDescent="0.3">
      <c r="A4162" s="4">
        <v>4376</v>
      </c>
      <c r="B4162" s="5">
        <v>4155</v>
      </c>
      <c r="C4162">
        <v>7075</v>
      </c>
      <c r="D4162" t="s">
        <v>18196</v>
      </c>
      <c r="E4162" t="s">
        <v>143</v>
      </c>
      <c r="F4162" t="s">
        <v>167</v>
      </c>
      <c r="G4162" t="s">
        <v>32063</v>
      </c>
      <c r="H4162">
        <v>18.93</v>
      </c>
      <c r="I4162">
        <v>0</v>
      </c>
      <c r="J4162">
        <v>0</v>
      </c>
      <c r="K4162">
        <v>0</v>
      </c>
      <c r="N4162">
        <v>3</v>
      </c>
      <c r="O4162">
        <v>3</v>
      </c>
      <c r="P4162">
        <v>0</v>
      </c>
      <c r="Q4162">
        <v>0</v>
      </c>
      <c r="R4162">
        <v>21.93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H4162">
        <v>21.93</v>
      </c>
    </row>
    <row r="4163" spans="1:34" x14ac:dyDescent="0.3">
      <c r="A4163" s="4">
        <v>4377</v>
      </c>
      <c r="B4163" s="5">
        <v>4156</v>
      </c>
      <c r="C4163">
        <v>194</v>
      </c>
      <c r="D4163" t="s">
        <v>18197</v>
      </c>
      <c r="E4163" t="s">
        <v>136</v>
      </c>
      <c r="F4163" t="s">
        <v>68</v>
      </c>
      <c r="G4163" t="s">
        <v>18198</v>
      </c>
      <c r="H4163">
        <v>14.9</v>
      </c>
      <c r="I4163">
        <v>0</v>
      </c>
      <c r="J4163">
        <v>0</v>
      </c>
      <c r="K4163">
        <v>0</v>
      </c>
      <c r="N4163">
        <v>3</v>
      </c>
      <c r="O4163">
        <v>3</v>
      </c>
      <c r="P4163">
        <v>4</v>
      </c>
      <c r="Q4163">
        <v>0</v>
      </c>
      <c r="R4163">
        <v>21.9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H4163">
        <v>21.9</v>
      </c>
    </row>
    <row r="4164" spans="1:34" x14ac:dyDescent="0.3">
      <c r="A4164" s="4">
        <v>4378</v>
      </c>
      <c r="B4164" s="5">
        <v>4157</v>
      </c>
      <c r="C4164">
        <v>14606</v>
      </c>
      <c r="D4164" t="s">
        <v>18199</v>
      </c>
      <c r="E4164" t="s">
        <v>343</v>
      </c>
      <c r="F4164" t="s">
        <v>17</v>
      </c>
      <c r="G4164" t="s">
        <v>18200</v>
      </c>
      <c r="H4164">
        <v>15.75</v>
      </c>
      <c r="I4164">
        <v>0</v>
      </c>
      <c r="J4164">
        <v>0</v>
      </c>
      <c r="K4164">
        <v>0</v>
      </c>
      <c r="O4164">
        <v>0</v>
      </c>
      <c r="P4164">
        <v>4</v>
      </c>
      <c r="Q4164">
        <v>2</v>
      </c>
      <c r="R4164">
        <v>21.75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H4164">
        <v>21.75</v>
      </c>
    </row>
    <row r="4165" spans="1:34" x14ac:dyDescent="0.3">
      <c r="A4165" s="4">
        <v>4379</v>
      </c>
      <c r="B4165" s="5">
        <v>4158</v>
      </c>
      <c r="C4165">
        <v>7552</v>
      </c>
      <c r="D4165" t="s">
        <v>6264</v>
      </c>
      <c r="E4165" t="s">
        <v>29</v>
      </c>
      <c r="F4165" t="s">
        <v>68</v>
      </c>
      <c r="G4165" t="s">
        <v>18201</v>
      </c>
      <c r="H4165">
        <v>18.73</v>
      </c>
      <c r="I4165">
        <v>0</v>
      </c>
      <c r="J4165">
        <v>0</v>
      </c>
      <c r="K4165">
        <v>0</v>
      </c>
      <c r="N4165">
        <v>3</v>
      </c>
      <c r="O4165">
        <v>3</v>
      </c>
      <c r="P4165">
        <v>0</v>
      </c>
      <c r="Q4165">
        <v>0</v>
      </c>
      <c r="R4165">
        <v>21.73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H4165">
        <v>21.73</v>
      </c>
    </row>
    <row r="4166" spans="1:34" x14ac:dyDescent="0.3">
      <c r="A4166" s="4">
        <v>4380</v>
      </c>
      <c r="B4166" s="5">
        <v>4159</v>
      </c>
      <c r="C4166">
        <v>14736</v>
      </c>
      <c r="D4166" t="s">
        <v>18202</v>
      </c>
      <c r="E4166" t="s">
        <v>88</v>
      </c>
      <c r="F4166" t="s">
        <v>385</v>
      </c>
      <c r="G4166" t="s">
        <v>18203</v>
      </c>
      <c r="H4166">
        <v>18.7</v>
      </c>
      <c r="I4166">
        <v>0</v>
      </c>
      <c r="J4166">
        <v>0</v>
      </c>
      <c r="K4166">
        <v>0</v>
      </c>
      <c r="N4166">
        <v>3</v>
      </c>
      <c r="O4166">
        <v>3</v>
      </c>
      <c r="P4166">
        <v>0</v>
      </c>
      <c r="Q4166">
        <v>0</v>
      </c>
      <c r="R4166">
        <v>21.7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H4166">
        <v>21.7</v>
      </c>
    </row>
    <row r="4167" spans="1:34" x14ac:dyDescent="0.3">
      <c r="A4167" s="4">
        <v>4381</v>
      </c>
      <c r="B4167" s="5">
        <v>4160</v>
      </c>
      <c r="C4167">
        <v>14438</v>
      </c>
      <c r="D4167" t="s">
        <v>18204</v>
      </c>
      <c r="E4167" t="s">
        <v>188</v>
      </c>
      <c r="F4167" t="s">
        <v>346</v>
      </c>
      <c r="G4167" t="s">
        <v>18205</v>
      </c>
      <c r="H4167">
        <v>16.68</v>
      </c>
      <c r="I4167">
        <v>0</v>
      </c>
      <c r="J4167">
        <v>0</v>
      </c>
      <c r="K4167">
        <v>0</v>
      </c>
      <c r="N4167">
        <v>3</v>
      </c>
      <c r="O4167">
        <v>3</v>
      </c>
      <c r="P4167">
        <v>0</v>
      </c>
      <c r="Q4167">
        <v>2</v>
      </c>
      <c r="R4167">
        <v>21.68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H4167">
        <v>21.68</v>
      </c>
    </row>
    <row r="4168" spans="1:34" x14ac:dyDescent="0.3">
      <c r="A4168" s="4">
        <v>4382</v>
      </c>
      <c r="B4168" s="5">
        <v>4161</v>
      </c>
      <c r="C4168">
        <v>12165</v>
      </c>
      <c r="D4168" t="s">
        <v>2460</v>
      </c>
      <c r="E4168" t="s">
        <v>54</v>
      </c>
      <c r="F4168" t="s">
        <v>892</v>
      </c>
      <c r="G4168" t="s">
        <v>18206</v>
      </c>
      <c r="H4168">
        <v>18.63</v>
      </c>
      <c r="I4168">
        <v>0</v>
      </c>
      <c r="J4168">
        <v>0</v>
      </c>
      <c r="K4168">
        <v>0</v>
      </c>
      <c r="N4168">
        <v>3</v>
      </c>
      <c r="O4168">
        <v>3</v>
      </c>
      <c r="P4168">
        <v>0</v>
      </c>
      <c r="Q4168">
        <v>0</v>
      </c>
      <c r="R4168">
        <v>21.63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H4168">
        <v>21.63</v>
      </c>
    </row>
    <row r="4169" spans="1:34" x14ac:dyDescent="0.3">
      <c r="A4169" s="4">
        <v>4383</v>
      </c>
      <c r="B4169" s="5">
        <v>4162</v>
      </c>
      <c r="C4169">
        <v>13628</v>
      </c>
      <c r="D4169" t="s">
        <v>60</v>
      </c>
      <c r="E4169" t="s">
        <v>18207</v>
      </c>
      <c r="F4169" t="s">
        <v>17</v>
      </c>
      <c r="G4169" t="s">
        <v>18208</v>
      </c>
      <c r="H4169">
        <v>16.600000000000001</v>
      </c>
      <c r="I4169">
        <v>0</v>
      </c>
      <c r="J4169">
        <v>0</v>
      </c>
      <c r="K4169">
        <v>0</v>
      </c>
      <c r="N4169">
        <v>3</v>
      </c>
      <c r="O4169">
        <v>3</v>
      </c>
      <c r="P4169">
        <v>0</v>
      </c>
      <c r="Q4169">
        <v>2</v>
      </c>
      <c r="R4169">
        <v>21.6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H4169">
        <v>21.6</v>
      </c>
    </row>
    <row r="4170" spans="1:34" x14ac:dyDescent="0.3">
      <c r="A4170" s="4">
        <v>4384</v>
      </c>
      <c r="B4170" s="5">
        <v>4163</v>
      </c>
      <c r="C4170">
        <v>3406</v>
      </c>
      <c r="D4170" t="s">
        <v>3970</v>
      </c>
      <c r="E4170" t="s">
        <v>789</v>
      </c>
      <c r="F4170" t="s">
        <v>38</v>
      </c>
      <c r="G4170" t="s">
        <v>18209</v>
      </c>
      <c r="H4170">
        <v>21.58</v>
      </c>
      <c r="I4170">
        <v>0</v>
      </c>
      <c r="J4170">
        <v>0</v>
      </c>
      <c r="K4170">
        <v>0</v>
      </c>
      <c r="O4170">
        <v>0</v>
      </c>
      <c r="P4170">
        <v>0</v>
      </c>
      <c r="Q4170">
        <v>0</v>
      </c>
      <c r="R4170">
        <v>21.58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H4170">
        <v>21.58</v>
      </c>
    </row>
    <row r="4171" spans="1:34" x14ac:dyDescent="0.3">
      <c r="A4171" s="4">
        <v>4385</v>
      </c>
      <c r="B4171" s="5">
        <v>4164</v>
      </c>
      <c r="C4171">
        <v>14178</v>
      </c>
      <c r="D4171" t="s">
        <v>18210</v>
      </c>
      <c r="E4171" t="s">
        <v>18211</v>
      </c>
      <c r="F4171" t="s">
        <v>2855</v>
      </c>
      <c r="G4171" t="s">
        <v>18212</v>
      </c>
      <c r="H4171">
        <v>18.579999999999998</v>
      </c>
      <c r="I4171">
        <v>0</v>
      </c>
      <c r="J4171">
        <v>0</v>
      </c>
      <c r="K4171">
        <v>0</v>
      </c>
      <c r="N4171">
        <v>3</v>
      </c>
      <c r="O4171">
        <v>3</v>
      </c>
      <c r="P4171">
        <v>0</v>
      </c>
      <c r="Q4171">
        <v>0</v>
      </c>
      <c r="R4171">
        <v>21.58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H4171">
        <v>21.58</v>
      </c>
    </row>
    <row r="4172" spans="1:34" x14ac:dyDescent="0.3">
      <c r="A4172" s="4">
        <v>4386</v>
      </c>
      <c r="B4172" s="5">
        <v>4165</v>
      </c>
      <c r="C4172">
        <v>8554</v>
      </c>
      <c r="D4172" t="s">
        <v>9603</v>
      </c>
      <c r="E4172" t="s">
        <v>18213</v>
      </c>
      <c r="F4172" t="s">
        <v>81</v>
      </c>
      <c r="G4172" t="s">
        <v>18214</v>
      </c>
      <c r="H4172">
        <v>18.579999999999998</v>
      </c>
      <c r="I4172">
        <v>0</v>
      </c>
      <c r="J4172">
        <v>0</v>
      </c>
      <c r="K4172">
        <v>0</v>
      </c>
      <c r="N4172">
        <v>3</v>
      </c>
      <c r="O4172">
        <v>3</v>
      </c>
      <c r="P4172">
        <v>0</v>
      </c>
      <c r="Q4172">
        <v>0</v>
      </c>
      <c r="R4172">
        <v>21.58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H4172">
        <v>21.58</v>
      </c>
    </row>
    <row r="4173" spans="1:34" x14ac:dyDescent="0.3">
      <c r="A4173" s="4">
        <v>4387</v>
      </c>
      <c r="B4173" s="5">
        <v>4166</v>
      </c>
      <c r="C4173">
        <v>10683</v>
      </c>
      <c r="D4173" t="s">
        <v>4955</v>
      </c>
      <c r="E4173" t="s">
        <v>744</v>
      </c>
      <c r="F4173" t="s">
        <v>136</v>
      </c>
      <c r="G4173" t="s">
        <v>18215</v>
      </c>
      <c r="H4173">
        <v>18.55</v>
      </c>
      <c r="I4173">
        <v>0</v>
      </c>
      <c r="J4173">
        <v>0</v>
      </c>
      <c r="K4173">
        <v>0</v>
      </c>
      <c r="N4173">
        <v>3</v>
      </c>
      <c r="O4173">
        <v>3</v>
      </c>
      <c r="P4173">
        <v>0</v>
      </c>
      <c r="Q4173">
        <v>0</v>
      </c>
      <c r="R4173">
        <v>21.55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H4173">
        <v>21.55</v>
      </c>
    </row>
    <row r="4174" spans="1:34" x14ac:dyDescent="0.3">
      <c r="A4174" s="4">
        <v>4388</v>
      </c>
      <c r="B4174" s="5">
        <v>4167</v>
      </c>
      <c r="C4174">
        <v>15283</v>
      </c>
      <c r="D4174" t="s">
        <v>18216</v>
      </c>
      <c r="E4174" t="s">
        <v>343</v>
      </c>
      <c r="F4174" t="s">
        <v>101</v>
      </c>
      <c r="G4174" t="s">
        <v>18217</v>
      </c>
      <c r="H4174">
        <v>16.55</v>
      </c>
      <c r="I4174">
        <v>0</v>
      </c>
      <c r="J4174">
        <v>0</v>
      </c>
      <c r="K4174">
        <v>0</v>
      </c>
      <c r="M4174">
        <v>5</v>
      </c>
      <c r="O4174">
        <v>5</v>
      </c>
      <c r="P4174">
        <v>0</v>
      </c>
      <c r="Q4174">
        <v>0</v>
      </c>
      <c r="R4174">
        <v>21.55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H4174">
        <v>21.55</v>
      </c>
    </row>
    <row r="4175" spans="1:34" x14ac:dyDescent="0.3">
      <c r="A4175" s="4">
        <v>4389</v>
      </c>
      <c r="B4175" s="5">
        <v>4168</v>
      </c>
      <c r="C4175">
        <v>15628</v>
      </c>
      <c r="D4175" t="s">
        <v>18218</v>
      </c>
      <c r="E4175" t="s">
        <v>33</v>
      </c>
      <c r="F4175" t="s">
        <v>30</v>
      </c>
      <c r="G4175" t="s">
        <v>18219</v>
      </c>
      <c r="H4175">
        <v>12.5</v>
      </c>
      <c r="I4175">
        <v>0</v>
      </c>
      <c r="J4175">
        <v>0</v>
      </c>
      <c r="K4175">
        <v>0</v>
      </c>
      <c r="O4175">
        <v>0</v>
      </c>
      <c r="P4175">
        <v>0</v>
      </c>
      <c r="Q4175">
        <v>0</v>
      </c>
      <c r="R4175">
        <v>12.5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9</v>
      </c>
      <c r="AC4175">
        <v>0</v>
      </c>
      <c r="AH4175">
        <v>21.5</v>
      </c>
    </row>
    <row r="4176" spans="1:34" x14ac:dyDescent="0.3">
      <c r="A4176" s="4">
        <v>4390</v>
      </c>
      <c r="B4176" s="5">
        <v>4169</v>
      </c>
      <c r="C4176">
        <v>255</v>
      </c>
      <c r="D4176" t="s">
        <v>18220</v>
      </c>
      <c r="E4176" t="s">
        <v>8982</v>
      </c>
      <c r="F4176" t="s">
        <v>136</v>
      </c>
      <c r="G4176" t="s">
        <v>18221</v>
      </c>
      <c r="H4176">
        <v>12.5</v>
      </c>
      <c r="I4176">
        <v>0</v>
      </c>
      <c r="J4176">
        <v>0</v>
      </c>
      <c r="K4176">
        <v>0</v>
      </c>
      <c r="N4176">
        <v>3</v>
      </c>
      <c r="O4176">
        <v>3</v>
      </c>
      <c r="P4176">
        <v>0</v>
      </c>
      <c r="Q4176">
        <v>0</v>
      </c>
      <c r="R4176">
        <v>15.5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6</v>
      </c>
      <c r="AC4176">
        <v>0</v>
      </c>
      <c r="AH4176">
        <v>21.5</v>
      </c>
    </row>
    <row r="4177" spans="1:34" x14ac:dyDescent="0.3">
      <c r="A4177" s="4">
        <v>4391</v>
      </c>
      <c r="B4177" s="5">
        <v>4170</v>
      </c>
      <c r="C4177">
        <v>6565</v>
      </c>
      <c r="D4177" t="s">
        <v>18222</v>
      </c>
      <c r="E4177" t="s">
        <v>54</v>
      </c>
      <c r="F4177" t="s">
        <v>30</v>
      </c>
      <c r="G4177" t="s">
        <v>18223</v>
      </c>
      <c r="H4177">
        <v>12.5</v>
      </c>
      <c r="I4177">
        <v>0</v>
      </c>
      <c r="J4177">
        <v>0</v>
      </c>
      <c r="K4177">
        <v>0</v>
      </c>
      <c r="O4177">
        <v>0</v>
      </c>
      <c r="P4177">
        <v>4</v>
      </c>
      <c r="Q4177">
        <v>2</v>
      </c>
      <c r="R4177">
        <v>18.5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3</v>
      </c>
      <c r="AC4177">
        <v>0</v>
      </c>
      <c r="AH4177">
        <v>21.5</v>
      </c>
    </row>
    <row r="4178" spans="1:34" x14ac:dyDescent="0.3">
      <c r="A4178" s="4">
        <v>4392</v>
      </c>
      <c r="B4178" s="5">
        <v>4171</v>
      </c>
      <c r="C4178">
        <v>15288</v>
      </c>
      <c r="D4178" t="s">
        <v>18224</v>
      </c>
      <c r="E4178" t="s">
        <v>29</v>
      </c>
      <c r="F4178" t="s">
        <v>38</v>
      </c>
      <c r="G4178" t="s">
        <v>18225</v>
      </c>
      <c r="H4178">
        <v>16.5</v>
      </c>
      <c r="I4178">
        <v>0</v>
      </c>
      <c r="J4178">
        <v>0</v>
      </c>
      <c r="K4178">
        <v>0</v>
      </c>
      <c r="N4178">
        <v>3</v>
      </c>
      <c r="O4178">
        <v>3</v>
      </c>
      <c r="P4178">
        <v>0</v>
      </c>
      <c r="Q4178">
        <v>2</v>
      </c>
      <c r="R4178">
        <v>21.5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H4178">
        <v>21.5</v>
      </c>
    </row>
    <row r="4179" spans="1:34" x14ac:dyDescent="0.3">
      <c r="A4179" s="4">
        <v>4393</v>
      </c>
      <c r="B4179" s="5">
        <v>4172</v>
      </c>
      <c r="C4179">
        <v>10092</v>
      </c>
      <c r="D4179" t="s">
        <v>18226</v>
      </c>
      <c r="E4179" t="s">
        <v>136</v>
      </c>
      <c r="F4179" t="s">
        <v>17</v>
      </c>
      <c r="G4179" t="s">
        <v>18227</v>
      </c>
      <c r="H4179">
        <v>12.5</v>
      </c>
      <c r="I4179">
        <v>0</v>
      </c>
      <c r="J4179">
        <v>0</v>
      </c>
      <c r="K4179">
        <v>0</v>
      </c>
      <c r="N4179">
        <v>3</v>
      </c>
      <c r="O4179">
        <v>3</v>
      </c>
      <c r="P4179">
        <v>4</v>
      </c>
      <c r="Q4179">
        <v>2</v>
      </c>
      <c r="R4179">
        <v>21.5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H4179">
        <v>21.5</v>
      </c>
    </row>
    <row r="4180" spans="1:34" x14ac:dyDescent="0.3">
      <c r="A4180" s="4">
        <v>4394</v>
      </c>
      <c r="B4180" s="5">
        <v>4173</v>
      </c>
      <c r="C4180">
        <v>8080</v>
      </c>
      <c r="D4180" t="s">
        <v>18228</v>
      </c>
      <c r="E4180" t="s">
        <v>439</v>
      </c>
      <c r="F4180" t="s">
        <v>570</v>
      </c>
      <c r="G4180" t="s">
        <v>18229</v>
      </c>
      <c r="H4180">
        <v>12.5</v>
      </c>
      <c r="I4180">
        <v>0</v>
      </c>
      <c r="J4180">
        <v>0</v>
      </c>
      <c r="K4180">
        <v>0</v>
      </c>
      <c r="N4180">
        <v>3</v>
      </c>
      <c r="O4180">
        <v>3</v>
      </c>
      <c r="P4180">
        <v>4</v>
      </c>
      <c r="Q4180">
        <v>2</v>
      </c>
      <c r="R4180">
        <v>21.5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H4180">
        <v>21.5</v>
      </c>
    </row>
    <row r="4181" spans="1:34" x14ac:dyDescent="0.3">
      <c r="A4181" s="4">
        <v>4395</v>
      </c>
      <c r="B4181" s="5">
        <v>4174</v>
      </c>
      <c r="C4181">
        <v>8776</v>
      </c>
      <c r="D4181" t="s">
        <v>18230</v>
      </c>
      <c r="E4181" t="s">
        <v>18231</v>
      </c>
      <c r="F4181" t="s">
        <v>20</v>
      </c>
      <c r="G4181" t="s">
        <v>18232</v>
      </c>
      <c r="H4181">
        <v>12.5</v>
      </c>
      <c r="I4181">
        <v>0</v>
      </c>
      <c r="J4181">
        <v>0</v>
      </c>
      <c r="K4181">
        <v>0</v>
      </c>
      <c r="L4181">
        <v>7</v>
      </c>
      <c r="O4181">
        <v>7</v>
      </c>
      <c r="P4181">
        <v>0</v>
      </c>
      <c r="Q4181">
        <v>2</v>
      </c>
      <c r="R4181">
        <v>21.5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H4181">
        <v>21.5</v>
      </c>
    </row>
    <row r="4182" spans="1:34" x14ac:dyDescent="0.3">
      <c r="A4182" s="4">
        <v>4396</v>
      </c>
      <c r="B4182" s="5">
        <v>4175</v>
      </c>
      <c r="C4182">
        <v>2173</v>
      </c>
      <c r="D4182" t="s">
        <v>18233</v>
      </c>
      <c r="E4182" t="s">
        <v>18234</v>
      </c>
      <c r="F4182" t="s">
        <v>79</v>
      </c>
      <c r="G4182" t="s">
        <v>18235</v>
      </c>
      <c r="H4182">
        <v>12.5</v>
      </c>
      <c r="I4182">
        <v>0</v>
      </c>
      <c r="J4182">
        <v>0</v>
      </c>
      <c r="K4182">
        <v>0</v>
      </c>
      <c r="M4182">
        <v>5</v>
      </c>
      <c r="O4182">
        <v>5</v>
      </c>
      <c r="P4182">
        <v>4</v>
      </c>
      <c r="Q4182">
        <v>0</v>
      </c>
      <c r="R4182">
        <v>21.5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H4182">
        <v>21.5</v>
      </c>
    </row>
    <row r="4183" spans="1:34" x14ac:dyDescent="0.3">
      <c r="A4183" s="4">
        <v>4397</v>
      </c>
      <c r="B4183" s="5">
        <v>4176</v>
      </c>
      <c r="C4183">
        <v>15346</v>
      </c>
      <c r="D4183" t="s">
        <v>18236</v>
      </c>
      <c r="E4183" t="s">
        <v>18237</v>
      </c>
      <c r="F4183" t="s">
        <v>328</v>
      </c>
      <c r="G4183" t="s">
        <v>18238</v>
      </c>
      <c r="H4183">
        <v>12.5</v>
      </c>
      <c r="I4183">
        <v>0</v>
      </c>
      <c r="J4183">
        <v>0</v>
      </c>
      <c r="K4183">
        <v>0</v>
      </c>
      <c r="N4183">
        <v>3</v>
      </c>
      <c r="O4183">
        <v>3</v>
      </c>
      <c r="P4183">
        <v>4</v>
      </c>
      <c r="Q4183">
        <v>2</v>
      </c>
      <c r="R4183">
        <v>21.5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H4183">
        <v>21.5</v>
      </c>
    </row>
    <row r="4184" spans="1:34" x14ac:dyDescent="0.3">
      <c r="A4184" s="4">
        <v>4398</v>
      </c>
      <c r="B4184" s="5">
        <v>4177</v>
      </c>
      <c r="C4184">
        <v>15043</v>
      </c>
      <c r="D4184" t="s">
        <v>18239</v>
      </c>
      <c r="E4184" t="s">
        <v>20</v>
      </c>
      <c r="F4184" t="s">
        <v>2427</v>
      </c>
      <c r="G4184" t="s">
        <v>18240</v>
      </c>
      <c r="H4184">
        <v>12.5</v>
      </c>
      <c r="I4184">
        <v>0</v>
      </c>
      <c r="J4184">
        <v>0</v>
      </c>
      <c r="K4184">
        <v>0</v>
      </c>
      <c r="N4184">
        <v>3</v>
      </c>
      <c r="O4184">
        <v>3</v>
      </c>
      <c r="P4184">
        <v>4</v>
      </c>
      <c r="Q4184">
        <v>2</v>
      </c>
      <c r="R4184">
        <v>21.5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H4184">
        <v>21.5</v>
      </c>
    </row>
    <row r="4185" spans="1:34" x14ac:dyDescent="0.3">
      <c r="A4185" s="4">
        <v>4399</v>
      </c>
      <c r="B4185" s="5">
        <v>4178</v>
      </c>
      <c r="C4185">
        <v>14096</v>
      </c>
      <c r="D4185" t="s">
        <v>18241</v>
      </c>
      <c r="E4185" t="s">
        <v>2333</v>
      </c>
      <c r="F4185" t="s">
        <v>17</v>
      </c>
      <c r="G4185" t="s">
        <v>18242</v>
      </c>
      <c r="H4185">
        <v>12.5</v>
      </c>
      <c r="I4185">
        <v>0</v>
      </c>
      <c r="J4185">
        <v>0</v>
      </c>
      <c r="K4185">
        <v>0</v>
      </c>
      <c r="L4185">
        <v>7</v>
      </c>
      <c r="O4185">
        <v>7</v>
      </c>
      <c r="P4185">
        <v>0</v>
      </c>
      <c r="Q4185">
        <v>2</v>
      </c>
      <c r="R4185">
        <v>21.5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H4185">
        <v>21.5</v>
      </c>
    </row>
    <row r="4186" spans="1:34" x14ac:dyDescent="0.3">
      <c r="A4186" s="4">
        <v>4400</v>
      </c>
      <c r="B4186" s="5">
        <v>4179</v>
      </c>
      <c r="C4186">
        <v>10493</v>
      </c>
      <c r="D4186" t="s">
        <v>6462</v>
      </c>
      <c r="E4186" t="s">
        <v>22</v>
      </c>
      <c r="F4186" t="s">
        <v>909</v>
      </c>
      <c r="G4186" t="s">
        <v>18243</v>
      </c>
      <c r="H4186">
        <v>12.5</v>
      </c>
      <c r="I4186">
        <v>0</v>
      </c>
      <c r="J4186">
        <v>0</v>
      </c>
      <c r="K4186">
        <v>0</v>
      </c>
      <c r="N4186">
        <v>3</v>
      </c>
      <c r="O4186">
        <v>3</v>
      </c>
      <c r="P4186">
        <v>4</v>
      </c>
      <c r="Q4186">
        <v>2</v>
      </c>
      <c r="R4186">
        <v>21.5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H4186">
        <v>21.5</v>
      </c>
    </row>
    <row r="4187" spans="1:34" x14ac:dyDescent="0.3">
      <c r="A4187" s="4">
        <v>4401</v>
      </c>
      <c r="B4187" s="5">
        <v>4180</v>
      </c>
      <c r="C4187">
        <v>6992</v>
      </c>
      <c r="D4187" t="s">
        <v>18244</v>
      </c>
      <c r="E4187" t="s">
        <v>2595</v>
      </c>
      <c r="F4187" t="s">
        <v>17</v>
      </c>
      <c r="G4187" t="s">
        <v>18245</v>
      </c>
      <c r="H4187">
        <v>12.5</v>
      </c>
      <c r="I4187">
        <v>0</v>
      </c>
      <c r="J4187">
        <v>0</v>
      </c>
      <c r="K4187">
        <v>0</v>
      </c>
      <c r="L4187">
        <v>7</v>
      </c>
      <c r="O4187">
        <v>7</v>
      </c>
      <c r="P4187">
        <v>0</v>
      </c>
      <c r="Q4187">
        <v>2</v>
      </c>
      <c r="R4187">
        <v>21.5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H4187">
        <v>21.5</v>
      </c>
    </row>
    <row r="4188" spans="1:34" x14ac:dyDescent="0.3">
      <c r="A4188" s="4">
        <v>4402</v>
      </c>
      <c r="B4188" s="5">
        <v>4181</v>
      </c>
      <c r="C4188">
        <v>12560</v>
      </c>
      <c r="D4188" t="s">
        <v>18246</v>
      </c>
      <c r="E4188" t="s">
        <v>100</v>
      </c>
      <c r="F4188" t="s">
        <v>17</v>
      </c>
      <c r="G4188" t="s">
        <v>32010</v>
      </c>
      <c r="H4188">
        <v>12.5</v>
      </c>
      <c r="I4188">
        <v>0</v>
      </c>
      <c r="J4188">
        <v>0</v>
      </c>
      <c r="K4188">
        <v>0</v>
      </c>
      <c r="N4188">
        <v>3</v>
      </c>
      <c r="O4188">
        <v>3</v>
      </c>
      <c r="P4188">
        <v>4</v>
      </c>
      <c r="Q4188">
        <v>2</v>
      </c>
      <c r="R4188">
        <v>21.5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H4188">
        <v>21.5</v>
      </c>
    </row>
    <row r="4189" spans="1:34" x14ac:dyDescent="0.3">
      <c r="A4189" s="4">
        <v>4403</v>
      </c>
      <c r="B4189" s="5">
        <v>4182</v>
      </c>
      <c r="C4189">
        <v>14052</v>
      </c>
      <c r="D4189" t="s">
        <v>16950</v>
      </c>
      <c r="E4189" t="s">
        <v>15630</v>
      </c>
      <c r="F4189" t="s">
        <v>117</v>
      </c>
      <c r="G4189" t="s">
        <v>18247</v>
      </c>
      <c r="H4189">
        <v>12.5</v>
      </c>
      <c r="I4189">
        <v>0</v>
      </c>
      <c r="J4189">
        <v>0</v>
      </c>
      <c r="K4189">
        <v>0</v>
      </c>
      <c r="N4189">
        <v>3</v>
      </c>
      <c r="O4189">
        <v>3</v>
      </c>
      <c r="P4189">
        <v>4</v>
      </c>
      <c r="Q4189">
        <v>2</v>
      </c>
      <c r="R4189">
        <v>21.5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H4189">
        <v>21.5</v>
      </c>
    </row>
    <row r="4190" spans="1:34" x14ac:dyDescent="0.3">
      <c r="A4190" s="4">
        <v>4404</v>
      </c>
      <c r="B4190" s="5">
        <v>4183</v>
      </c>
      <c r="C4190">
        <v>2187</v>
      </c>
      <c r="D4190" t="s">
        <v>18248</v>
      </c>
      <c r="E4190" t="s">
        <v>166</v>
      </c>
      <c r="F4190" t="s">
        <v>17</v>
      </c>
      <c r="G4190" t="s">
        <v>18249</v>
      </c>
      <c r="H4190">
        <v>12.5</v>
      </c>
      <c r="I4190">
        <v>0</v>
      </c>
      <c r="J4190">
        <v>0</v>
      </c>
      <c r="K4190">
        <v>0</v>
      </c>
      <c r="N4190">
        <v>3</v>
      </c>
      <c r="O4190">
        <v>3</v>
      </c>
      <c r="P4190">
        <v>4</v>
      </c>
      <c r="Q4190">
        <v>2</v>
      </c>
      <c r="R4190">
        <v>21.5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H4190">
        <v>21.5</v>
      </c>
    </row>
    <row r="4191" spans="1:34" x14ac:dyDescent="0.3">
      <c r="A4191" s="4">
        <v>4405</v>
      </c>
      <c r="B4191" s="5">
        <v>4184</v>
      </c>
      <c r="C4191">
        <v>10527</v>
      </c>
      <c r="D4191" t="s">
        <v>1663</v>
      </c>
      <c r="E4191" t="s">
        <v>18250</v>
      </c>
      <c r="F4191" t="s">
        <v>117</v>
      </c>
      <c r="G4191" t="s">
        <v>18251</v>
      </c>
      <c r="H4191">
        <v>12.5</v>
      </c>
      <c r="I4191">
        <v>0</v>
      </c>
      <c r="J4191">
        <v>0</v>
      </c>
      <c r="K4191">
        <v>0</v>
      </c>
      <c r="N4191">
        <v>3</v>
      </c>
      <c r="O4191">
        <v>3</v>
      </c>
      <c r="P4191">
        <v>4</v>
      </c>
      <c r="Q4191">
        <v>2</v>
      </c>
      <c r="R4191">
        <v>21.5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H4191">
        <v>21.5</v>
      </c>
    </row>
    <row r="4192" spans="1:34" x14ac:dyDescent="0.3">
      <c r="A4192" s="4">
        <v>4406</v>
      </c>
      <c r="B4192" s="5">
        <v>4185</v>
      </c>
      <c r="C4192">
        <v>15491</v>
      </c>
      <c r="D4192" t="s">
        <v>18252</v>
      </c>
      <c r="E4192" t="s">
        <v>29</v>
      </c>
      <c r="F4192" t="s">
        <v>38</v>
      </c>
      <c r="G4192" t="s">
        <v>18253</v>
      </c>
      <c r="H4192">
        <v>14.48</v>
      </c>
      <c r="I4192">
        <v>0</v>
      </c>
      <c r="J4192">
        <v>0</v>
      </c>
      <c r="K4192">
        <v>0</v>
      </c>
      <c r="L4192">
        <v>7</v>
      </c>
      <c r="O4192">
        <v>7</v>
      </c>
      <c r="P4192">
        <v>0</v>
      </c>
      <c r="Q4192">
        <v>0</v>
      </c>
      <c r="R4192">
        <v>21.48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H4192">
        <v>21.48</v>
      </c>
    </row>
    <row r="4193" spans="1:34" x14ac:dyDescent="0.3">
      <c r="A4193" s="4">
        <v>4407</v>
      </c>
      <c r="B4193" s="5">
        <v>4186</v>
      </c>
      <c r="C4193">
        <v>4990</v>
      </c>
      <c r="D4193" t="s">
        <v>18254</v>
      </c>
      <c r="E4193" t="s">
        <v>29</v>
      </c>
      <c r="F4193" t="s">
        <v>20</v>
      </c>
      <c r="G4193" t="s">
        <v>18255</v>
      </c>
      <c r="H4193">
        <v>15.45</v>
      </c>
      <c r="I4193">
        <v>0</v>
      </c>
      <c r="J4193">
        <v>0</v>
      </c>
      <c r="K4193">
        <v>0</v>
      </c>
      <c r="O4193">
        <v>0</v>
      </c>
      <c r="P4193">
        <v>0</v>
      </c>
      <c r="Q4193">
        <v>0</v>
      </c>
      <c r="R4193">
        <v>15.45</v>
      </c>
      <c r="S4193">
        <v>6</v>
      </c>
      <c r="T4193">
        <v>6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6</v>
      </c>
      <c r="AB4193">
        <v>0</v>
      </c>
      <c r="AC4193">
        <v>0</v>
      </c>
      <c r="AH4193">
        <v>21.45</v>
      </c>
    </row>
    <row r="4194" spans="1:34" x14ac:dyDescent="0.3">
      <c r="A4194" s="4">
        <v>4408</v>
      </c>
      <c r="B4194" s="5">
        <v>4187</v>
      </c>
      <c r="C4194">
        <v>7965</v>
      </c>
      <c r="D4194" t="s">
        <v>18256</v>
      </c>
      <c r="E4194" t="s">
        <v>697</v>
      </c>
      <c r="F4194" t="s">
        <v>30</v>
      </c>
      <c r="G4194">
        <v>365638</v>
      </c>
      <c r="H4194">
        <v>16.350000000000001</v>
      </c>
      <c r="I4194">
        <v>0</v>
      </c>
      <c r="J4194">
        <v>0</v>
      </c>
      <c r="K4194">
        <v>0</v>
      </c>
      <c r="N4194">
        <v>3</v>
      </c>
      <c r="O4194">
        <v>3</v>
      </c>
      <c r="P4194">
        <v>0</v>
      </c>
      <c r="Q4194">
        <v>2</v>
      </c>
      <c r="R4194">
        <v>21.35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H4194">
        <v>21.35</v>
      </c>
    </row>
    <row r="4195" spans="1:34" x14ac:dyDescent="0.3">
      <c r="A4195" s="4">
        <v>4409</v>
      </c>
      <c r="B4195" s="5">
        <v>4188</v>
      </c>
      <c r="C4195">
        <v>9399</v>
      </c>
      <c r="D4195" t="s">
        <v>18257</v>
      </c>
      <c r="E4195" t="s">
        <v>22</v>
      </c>
      <c r="F4195" t="s">
        <v>10259</v>
      </c>
      <c r="G4195" t="s">
        <v>18258</v>
      </c>
      <c r="H4195">
        <v>18.329999999999998</v>
      </c>
      <c r="I4195">
        <v>0</v>
      </c>
      <c r="J4195">
        <v>0</v>
      </c>
      <c r="K4195">
        <v>0</v>
      </c>
      <c r="N4195">
        <v>3</v>
      </c>
      <c r="O4195">
        <v>3</v>
      </c>
      <c r="P4195">
        <v>0</v>
      </c>
      <c r="Q4195">
        <v>0</v>
      </c>
      <c r="R4195">
        <v>21.33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H4195">
        <v>21.33</v>
      </c>
    </row>
    <row r="4196" spans="1:34" x14ac:dyDescent="0.3">
      <c r="A4196" s="4">
        <v>4410</v>
      </c>
      <c r="B4196" s="5">
        <v>4189</v>
      </c>
      <c r="C4196">
        <v>313</v>
      </c>
      <c r="D4196" t="s">
        <v>7004</v>
      </c>
      <c r="E4196" t="s">
        <v>65</v>
      </c>
      <c r="F4196" t="s">
        <v>68</v>
      </c>
      <c r="G4196" t="s">
        <v>18259</v>
      </c>
      <c r="H4196">
        <v>18.329999999999998</v>
      </c>
      <c r="I4196">
        <v>0</v>
      </c>
      <c r="J4196">
        <v>0</v>
      </c>
      <c r="K4196">
        <v>0</v>
      </c>
      <c r="N4196">
        <v>3</v>
      </c>
      <c r="O4196">
        <v>3</v>
      </c>
      <c r="P4196">
        <v>0</v>
      </c>
      <c r="Q4196">
        <v>0</v>
      </c>
      <c r="R4196">
        <v>21.33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H4196">
        <v>21.33</v>
      </c>
    </row>
    <row r="4197" spans="1:34" x14ac:dyDescent="0.3">
      <c r="A4197" s="4">
        <v>4411</v>
      </c>
      <c r="B4197" s="5">
        <v>4190</v>
      </c>
      <c r="C4197">
        <v>11788</v>
      </c>
      <c r="D4197" t="s">
        <v>673</v>
      </c>
      <c r="E4197" t="s">
        <v>208</v>
      </c>
      <c r="F4197" t="s">
        <v>81</v>
      </c>
      <c r="G4197" t="s">
        <v>18260</v>
      </c>
      <c r="H4197">
        <v>18.329999999999998</v>
      </c>
      <c r="I4197">
        <v>0</v>
      </c>
      <c r="J4197">
        <v>0</v>
      </c>
      <c r="K4197">
        <v>0</v>
      </c>
      <c r="N4197">
        <v>3</v>
      </c>
      <c r="O4197">
        <v>3</v>
      </c>
      <c r="P4197">
        <v>0</v>
      </c>
      <c r="Q4197">
        <v>0</v>
      </c>
      <c r="R4197">
        <v>21.33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H4197">
        <v>21.33</v>
      </c>
    </row>
    <row r="4198" spans="1:34" x14ac:dyDescent="0.3">
      <c r="A4198" s="4">
        <v>4412</v>
      </c>
      <c r="B4198" s="5">
        <v>4191</v>
      </c>
      <c r="C4198">
        <v>2533</v>
      </c>
      <c r="D4198" t="s">
        <v>4712</v>
      </c>
      <c r="E4198" t="s">
        <v>358</v>
      </c>
      <c r="F4198" t="s">
        <v>81</v>
      </c>
      <c r="G4198" t="s">
        <v>18261</v>
      </c>
      <c r="H4198">
        <v>18.3</v>
      </c>
      <c r="I4198">
        <v>0</v>
      </c>
      <c r="J4198">
        <v>0</v>
      </c>
      <c r="K4198">
        <v>0</v>
      </c>
      <c r="N4198">
        <v>3</v>
      </c>
      <c r="O4198">
        <v>3</v>
      </c>
      <c r="P4198">
        <v>0</v>
      </c>
      <c r="Q4198">
        <v>0</v>
      </c>
      <c r="R4198">
        <v>21.3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H4198">
        <v>21.3</v>
      </c>
    </row>
    <row r="4199" spans="1:34" x14ac:dyDescent="0.3">
      <c r="A4199" s="4">
        <v>4413</v>
      </c>
      <c r="B4199" s="5">
        <v>4192</v>
      </c>
      <c r="C4199">
        <v>378</v>
      </c>
      <c r="D4199" t="s">
        <v>18262</v>
      </c>
      <c r="E4199" t="s">
        <v>41</v>
      </c>
      <c r="F4199" t="s">
        <v>91</v>
      </c>
      <c r="G4199" t="s">
        <v>18263</v>
      </c>
      <c r="H4199">
        <v>18.3</v>
      </c>
      <c r="I4199">
        <v>0</v>
      </c>
      <c r="J4199">
        <v>0</v>
      </c>
      <c r="K4199">
        <v>0</v>
      </c>
      <c r="N4199">
        <v>3</v>
      </c>
      <c r="O4199">
        <v>3</v>
      </c>
      <c r="P4199">
        <v>0</v>
      </c>
      <c r="Q4199">
        <v>0</v>
      </c>
      <c r="R4199">
        <v>21.3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H4199">
        <v>21.3</v>
      </c>
    </row>
    <row r="4200" spans="1:34" x14ac:dyDescent="0.3">
      <c r="A4200" s="4">
        <v>4414</v>
      </c>
      <c r="B4200" s="5">
        <v>4193</v>
      </c>
      <c r="C4200">
        <v>6902</v>
      </c>
      <c r="D4200" t="s">
        <v>18264</v>
      </c>
      <c r="E4200" t="s">
        <v>26</v>
      </c>
      <c r="F4200" t="s">
        <v>17</v>
      </c>
      <c r="G4200" t="s">
        <v>18265</v>
      </c>
      <c r="H4200">
        <v>18.28</v>
      </c>
      <c r="I4200">
        <v>0</v>
      </c>
      <c r="J4200">
        <v>0</v>
      </c>
      <c r="K4200">
        <v>0</v>
      </c>
      <c r="N4200">
        <v>3</v>
      </c>
      <c r="O4200">
        <v>3</v>
      </c>
      <c r="P4200">
        <v>0</v>
      </c>
      <c r="Q4200">
        <v>0</v>
      </c>
      <c r="R4200">
        <v>21.28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H4200">
        <v>21.28</v>
      </c>
    </row>
    <row r="4201" spans="1:34" x14ac:dyDescent="0.3">
      <c r="A4201" s="4">
        <v>4415</v>
      </c>
      <c r="B4201" s="5">
        <v>4194</v>
      </c>
      <c r="C4201">
        <v>2094</v>
      </c>
      <c r="D4201" t="s">
        <v>18266</v>
      </c>
      <c r="E4201" t="s">
        <v>20</v>
      </c>
      <c r="F4201" t="s">
        <v>3705</v>
      </c>
      <c r="G4201" t="s">
        <v>18267</v>
      </c>
      <c r="H4201">
        <v>18.25</v>
      </c>
      <c r="I4201">
        <v>0</v>
      </c>
      <c r="J4201">
        <v>0</v>
      </c>
      <c r="K4201">
        <v>0</v>
      </c>
      <c r="N4201">
        <v>3</v>
      </c>
      <c r="O4201">
        <v>3</v>
      </c>
      <c r="P4201">
        <v>0</v>
      </c>
      <c r="Q4201">
        <v>0</v>
      </c>
      <c r="R4201">
        <v>21.25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H4201">
        <v>21.25</v>
      </c>
    </row>
    <row r="4202" spans="1:34" x14ac:dyDescent="0.3">
      <c r="A4202" s="4">
        <v>4416</v>
      </c>
      <c r="B4202" s="5">
        <v>4195</v>
      </c>
      <c r="C4202">
        <v>15700</v>
      </c>
      <c r="D4202" t="s">
        <v>1528</v>
      </c>
      <c r="E4202" t="s">
        <v>5101</v>
      </c>
      <c r="F4202" t="s">
        <v>34</v>
      </c>
      <c r="G4202" t="s">
        <v>18268</v>
      </c>
      <c r="H4202">
        <v>18.2</v>
      </c>
      <c r="I4202">
        <v>0</v>
      </c>
      <c r="J4202">
        <v>0</v>
      </c>
      <c r="K4202">
        <v>0</v>
      </c>
      <c r="N4202">
        <v>3</v>
      </c>
      <c r="O4202">
        <v>3</v>
      </c>
      <c r="P4202">
        <v>0</v>
      </c>
      <c r="Q4202">
        <v>0</v>
      </c>
      <c r="R4202">
        <v>21.2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H4202">
        <v>21.2</v>
      </c>
    </row>
    <row r="4203" spans="1:34" x14ac:dyDescent="0.3">
      <c r="A4203" s="4">
        <v>4417</v>
      </c>
      <c r="B4203" s="5">
        <v>4196</v>
      </c>
      <c r="C4203">
        <v>950</v>
      </c>
      <c r="D4203" t="s">
        <v>1419</v>
      </c>
      <c r="E4203" t="s">
        <v>170</v>
      </c>
      <c r="F4203" t="s">
        <v>2333</v>
      </c>
      <c r="G4203" t="s">
        <v>18269</v>
      </c>
      <c r="H4203">
        <v>18.18</v>
      </c>
      <c r="I4203">
        <v>0</v>
      </c>
      <c r="J4203">
        <v>0</v>
      </c>
      <c r="K4203">
        <v>0</v>
      </c>
      <c r="N4203">
        <v>3</v>
      </c>
      <c r="O4203">
        <v>3</v>
      </c>
      <c r="P4203">
        <v>0</v>
      </c>
      <c r="Q4203">
        <v>0</v>
      </c>
      <c r="R4203">
        <v>21.18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H4203">
        <v>21.18</v>
      </c>
    </row>
    <row r="4204" spans="1:34" x14ac:dyDescent="0.3">
      <c r="A4204" s="4">
        <v>4418</v>
      </c>
      <c r="B4204" s="5">
        <v>4197</v>
      </c>
      <c r="C4204">
        <v>9342</v>
      </c>
      <c r="D4204" t="s">
        <v>8708</v>
      </c>
      <c r="E4204" t="s">
        <v>26</v>
      </c>
      <c r="F4204" t="s">
        <v>81</v>
      </c>
      <c r="G4204" t="s">
        <v>18270</v>
      </c>
      <c r="H4204">
        <v>18.18</v>
      </c>
      <c r="I4204">
        <v>0</v>
      </c>
      <c r="J4204">
        <v>0</v>
      </c>
      <c r="K4204">
        <v>0</v>
      </c>
      <c r="N4204">
        <v>3</v>
      </c>
      <c r="O4204">
        <v>3</v>
      </c>
      <c r="P4204">
        <v>0</v>
      </c>
      <c r="Q4204">
        <v>0</v>
      </c>
      <c r="R4204">
        <v>21.18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H4204">
        <v>21.18</v>
      </c>
    </row>
    <row r="4205" spans="1:34" x14ac:dyDescent="0.3">
      <c r="A4205" s="4">
        <v>4419</v>
      </c>
      <c r="B4205" s="5">
        <v>4198</v>
      </c>
      <c r="C4205">
        <v>3075</v>
      </c>
      <c r="D4205" t="s">
        <v>16101</v>
      </c>
      <c r="E4205" t="s">
        <v>166</v>
      </c>
      <c r="F4205" t="s">
        <v>20</v>
      </c>
      <c r="G4205" t="s">
        <v>18271</v>
      </c>
      <c r="H4205">
        <v>18.13</v>
      </c>
      <c r="I4205">
        <v>0</v>
      </c>
      <c r="J4205">
        <v>0</v>
      </c>
      <c r="K4205">
        <v>0</v>
      </c>
      <c r="N4205">
        <v>3</v>
      </c>
      <c r="O4205">
        <v>3</v>
      </c>
      <c r="P4205">
        <v>0</v>
      </c>
      <c r="Q4205">
        <v>0</v>
      </c>
      <c r="R4205">
        <v>21.13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H4205">
        <v>21.13</v>
      </c>
    </row>
    <row r="4206" spans="1:34" x14ac:dyDescent="0.3">
      <c r="A4206" s="4">
        <v>4420</v>
      </c>
      <c r="B4206" s="5">
        <v>4199</v>
      </c>
      <c r="C4206">
        <v>8969</v>
      </c>
      <c r="D4206" t="s">
        <v>18272</v>
      </c>
      <c r="E4206" t="s">
        <v>283</v>
      </c>
      <c r="F4206" t="s">
        <v>243</v>
      </c>
      <c r="G4206" t="s">
        <v>18273</v>
      </c>
      <c r="H4206">
        <v>18.03</v>
      </c>
      <c r="I4206">
        <v>0</v>
      </c>
      <c r="J4206">
        <v>0</v>
      </c>
      <c r="K4206">
        <v>0</v>
      </c>
      <c r="N4206">
        <v>3</v>
      </c>
      <c r="O4206">
        <v>3</v>
      </c>
      <c r="P4206">
        <v>0</v>
      </c>
      <c r="Q4206">
        <v>0</v>
      </c>
      <c r="R4206">
        <v>21.03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H4206">
        <v>21.03</v>
      </c>
    </row>
    <row r="4207" spans="1:34" x14ac:dyDescent="0.3">
      <c r="A4207" s="4">
        <v>4421</v>
      </c>
      <c r="B4207" s="5">
        <v>4200</v>
      </c>
      <c r="C4207">
        <v>6640</v>
      </c>
      <c r="D4207" t="s">
        <v>18274</v>
      </c>
      <c r="E4207" t="s">
        <v>29</v>
      </c>
      <c r="F4207" t="s">
        <v>38</v>
      </c>
      <c r="G4207" t="s">
        <v>18275</v>
      </c>
      <c r="H4207">
        <v>18.03</v>
      </c>
      <c r="I4207">
        <v>0</v>
      </c>
      <c r="J4207">
        <v>0</v>
      </c>
      <c r="K4207">
        <v>0</v>
      </c>
      <c r="N4207">
        <v>3</v>
      </c>
      <c r="O4207">
        <v>3</v>
      </c>
      <c r="P4207">
        <v>0</v>
      </c>
      <c r="Q4207">
        <v>0</v>
      </c>
      <c r="R4207">
        <v>21.03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H4207">
        <v>21.03</v>
      </c>
    </row>
    <row r="4208" spans="1:34" x14ac:dyDescent="0.3">
      <c r="A4208" s="4">
        <v>4422</v>
      </c>
      <c r="B4208" s="5">
        <v>4201</v>
      </c>
      <c r="C4208">
        <v>6579</v>
      </c>
      <c r="D4208" t="s">
        <v>18276</v>
      </c>
      <c r="E4208" t="s">
        <v>100</v>
      </c>
      <c r="F4208" t="s">
        <v>20</v>
      </c>
      <c r="G4208" t="s">
        <v>18277</v>
      </c>
      <c r="H4208">
        <v>16.850000000000001</v>
      </c>
      <c r="I4208">
        <v>0</v>
      </c>
      <c r="J4208">
        <v>0</v>
      </c>
      <c r="K4208">
        <v>0</v>
      </c>
      <c r="O4208">
        <v>0</v>
      </c>
      <c r="P4208">
        <v>4</v>
      </c>
      <c r="Q4208">
        <v>0</v>
      </c>
      <c r="R4208">
        <v>20.85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H4208">
        <v>20.85</v>
      </c>
    </row>
    <row r="4209" spans="1:34" x14ac:dyDescent="0.3">
      <c r="A4209" s="4">
        <v>4423</v>
      </c>
      <c r="B4209" s="5">
        <v>4202</v>
      </c>
      <c r="C4209">
        <v>14631</v>
      </c>
      <c r="D4209" t="s">
        <v>18278</v>
      </c>
      <c r="E4209" t="s">
        <v>54</v>
      </c>
      <c r="F4209" t="s">
        <v>243</v>
      </c>
      <c r="G4209" t="s">
        <v>18279</v>
      </c>
      <c r="H4209">
        <v>17.78</v>
      </c>
      <c r="I4209">
        <v>0</v>
      </c>
      <c r="J4209">
        <v>0</v>
      </c>
      <c r="K4209">
        <v>0</v>
      </c>
      <c r="N4209">
        <v>3</v>
      </c>
      <c r="O4209">
        <v>3</v>
      </c>
      <c r="P4209">
        <v>0</v>
      </c>
      <c r="Q4209">
        <v>0</v>
      </c>
      <c r="R4209">
        <v>20.78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H4209">
        <v>20.78</v>
      </c>
    </row>
    <row r="4210" spans="1:34" x14ac:dyDescent="0.3">
      <c r="A4210" s="4">
        <v>4424</v>
      </c>
      <c r="B4210" s="5">
        <v>4203</v>
      </c>
      <c r="C4210">
        <v>15588</v>
      </c>
      <c r="D4210" t="s">
        <v>18280</v>
      </c>
      <c r="E4210" t="s">
        <v>283</v>
      </c>
      <c r="F4210" t="s">
        <v>124</v>
      </c>
      <c r="G4210" t="s">
        <v>18281</v>
      </c>
      <c r="H4210">
        <v>15.78</v>
      </c>
      <c r="I4210">
        <v>0</v>
      </c>
      <c r="J4210">
        <v>0</v>
      </c>
      <c r="K4210">
        <v>0</v>
      </c>
      <c r="N4210">
        <v>3</v>
      </c>
      <c r="O4210">
        <v>3</v>
      </c>
      <c r="P4210">
        <v>0</v>
      </c>
      <c r="Q4210">
        <v>2</v>
      </c>
      <c r="R4210">
        <v>20.78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H4210">
        <v>20.78</v>
      </c>
    </row>
    <row r="4211" spans="1:34" x14ac:dyDescent="0.3">
      <c r="A4211" s="4">
        <v>4425</v>
      </c>
      <c r="B4211" s="5">
        <v>4204</v>
      </c>
      <c r="C4211">
        <v>10898</v>
      </c>
      <c r="D4211" t="s">
        <v>12162</v>
      </c>
      <c r="E4211" t="s">
        <v>342</v>
      </c>
      <c r="F4211" t="s">
        <v>18282</v>
      </c>
      <c r="G4211" t="s">
        <v>18283</v>
      </c>
      <c r="H4211">
        <v>16.75</v>
      </c>
      <c r="I4211">
        <v>0</v>
      </c>
      <c r="J4211">
        <v>0</v>
      </c>
      <c r="K4211">
        <v>0</v>
      </c>
      <c r="O4211">
        <v>0</v>
      </c>
      <c r="P4211">
        <v>4</v>
      </c>
      <c r="Q4211">
        <v>0</v>
      </c>
      <c r="R4211">
        <v>20.75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H4211">
        <v>20.75</v>
      </c>
    </row>
    <row r="4212" spans="1:34" x14ac:dyDescent="0.3">
      <c r="A4212" s="4">
        <v>4426</v>
      </c>
      <c r="B4212" s="5">
        <v>4205</v>
      </c>
      <c r="C4212">
        <v>1724</v>
      </c>
      <c r="D4212" t="s">
        <v>2182</v>
      </c>
      <c r="E4212" t="s">
        <v>149</v>
      </c>
      <c r="F4212" t="s">
        <v>20</v>
      </c>
      <c r="G4212" t="s">
        <v>18284</v>
      </c>
      <c r="H4212">
        <v>16.73</v>
      </c>
      <c r="I4212">
        <v>0</v>
      </c>
      <c r="J4212">
        <v>0</v>
      </c>
      <c r="K4212">
        <v>0</v>
      </c>
      <c r="O4212">
        <v>0</v>
      </c>
      <c r="P4212">
        <v>4</v>
      </c>
      <c r="Q4212">
        <v>0</v>
      </c>
      <c r="R4212">
        <v>20.73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H4212">
        <v>20.73</v>
      </c>
    </row>
    <row r="4213" spans="1:34" x14ac:dyDescent="0.3">
      <c r="A4213" s="4">
        <v>4427</v>
      </c>
      <c r="B4213" s="5">
        <v>4206</v>
      </c>
      <c r="C4213">
        <v>13887</v>
      </c>
      <c r="D4213" t="s">
        <v>264</v>
      </c>
      <c r="E4213" t="s">
        <v>166</v>
      </c>
      <c r="F4213" t="s">
        <v>17</v>
      </c>
      <c r="G4213" t="s">
        <v>18285</v>
      </c>
      <c r="H4213">
        <v>17.579999999999998</v>
      </c>
      <c r="I4213">
        <v>0</v>
      </c>
      <c r="J4213">
        <v>0</v>
      </c>
      <c r="K4213">
        <v>0</v>
      </c>
      <c r="N4213">
        <v>3</v>
      </c>
      <c r="O4213">
        <v>3</v>
      </c>
      <c r="P4213">
        <v>0</v>
      </c>
      <c r="Q4213">
        <v>0</v>
      </c>
      <c r="R4213">
        <v>20.58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H4213">
        <v>20.58</v>
      </c>
    </row>
    <row r="4214" spans="1:34" x14ac:dyDescent="0.3">
      <c r="A4214" s="4">
        <v>4428</v>
      </c>
      <c r="B4214" s="5">
        <v>4207</v>
      </c>
      <c r="C4214">
        <v>9639</v>
      </c>
      <c r="D4214" t="s">
        <v>18286</v>
      </c>
      <c r="E4214" t="s">
        <v>4935</v>
      </c>
      <c r="F4214" t="s">
        <v>230</v>
      </c>
      <c r="G4214" t="s">
        <v>18287</v>
      </c>
      <c r="H4214">
        <v>15.53</v>
      </c>
      <c r="I4214">
        <v>0</v>
      </c>
      <c r="J4214">
        <v>0</v>
      </c>
      <c r="K4214">
        <v>0</v>
      </c>
      <c r="N4214">
        <v>3</v>
      </c>
      <c r="O4214">
        <v>3</v>
      </c>
      <c r="P4214">
        <v>0</v>
      </c>
      <c r="Q4214">
        <v>2</v>
      </c>
      <c r="R4214">
        <v>20.53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H4214">
        <v>20.53</v>
      </c>
    </row>
    <row r="4215" spans="1:34" x14ac:dyDescent="0.3">
      <c r="A4215" s="4">
        <v>4429</v>
      </c>
      <c r="B4215" s="5">
        <v>4208</v>
      </c>
      <c r="C4215">
        <v>1414</v>
      </c>
      <c r="D4215" t="s">
        <v>6480</v>
      </c>
      <c r="E4215" t="s">
        <v>57</v>
      </c>
      <c r="F4215" t="s">
        <v>2582</v>
      </c>
      <c r="G4215" t="s">
        <v>18288</v>
      </c>
      <c r="H4215">
        <v>14.5</v>
      </c>
      <c r="I4215">
        <v>0</v>
      </c>
      <c r="J4215">
        <v>0</v>
      </c>
      <c r="K4215">
        <v>0</v>
      </c>
      <c r="N4215">
        <v>3</v>
      </c>
      <c r="O4215">
        <v>3</v>
      </c>
      <c r="P4215">
        <v>0</v>
      </c>
      <c r="Q4215">
        <v>0</v>
      </c>
      <c r="R4215">
        <v>17.5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3</v>
      </c>
      <c r="AC4215">
        <v>0</v>
      </c>
      <c r="AH4215">
        <v>20.5</v>
      </c>
    </row>
    <row r="4216" spans="1:34" x14ac:dyDescent="0.3">
      <c r="A4216" s="4">
        <v>4430</v>
      </c>
      <c r="B4216" s="5">
        <v>4209</v>
      </c>
      <c r="C4216">
        <v>12579</v>
      </c>
      <c r="D4216" t="s">
        <v>18289</v>
      </c>
      <c r="E4216" t="s">
        <v>37</v>
      </c>
      <c r="F4216" t="s">
        <v>17</v>
      </c>
      <c r="G4216" t="s">
        <v>18290</v>
      </c>
      <c r="H4216">
        <v>17.350000000000001</v>
      </c>
      <c r="I4216">
        <v>0</v>
      </c>
      <c r="J4216">
        <v>0</v>
      </c>
      <c r="K4216">
        <v>0</v>
      </c>
      <c r="N4216">
        <v>3</v>
      </c>
      <c r="O4216">
        <v>3</v>
      </c>
      <c r="P4216">
        <v>0</v>
      </c>
      <c r="Q4216">
        <v>0</v>
      </c>
      <c r="R4216">
        <v>20.350000000000001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H4216">
        <v>20.350000000000001</v>
      </c>
    </row>
    <row r="4217" spans="1:34" x14ac:dyDescent="0.3">
      <c r="A4217" s="4">
        <v>4431</v>
      </c>
      <c r="B4217" s="5">
        <v>4210</v>
      </c>
      <c r="C4217">
        <v>13895</v>
      </c>
      <c r="D4217" t="s">
        <v>18291</v>
      </c>
      <c r="E4217" t="s">
        <v>539</v>
      </c>
      <c r="F4217" t="s">
        <v>136</v>
      </c>
      <c r="G4217" t="s">
        <v>18292</v>
      </c>
      <c r="H4217">
        <v>16.28</v>
      </c>
      <c r="I4217">
        <v>0</v>
      </c>
      <c r="J4217">
        <v>0</v>
      </c>
      <c r="K4217">
        <v>0</v>
      </c>
      <c r="O4217">
        <v>0</v>
      </c>
      <c r="P4217">
        <v>4</v>
      </c>
      <c r="Q4217">
        <v>0</v>
      </c>
      <c r="R4217">
        <v>20.28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H4217">
        <v>20.28</v>
      </c>
    </row>
    <row r="4218" spans="1:34" x14ac:dyDescent="0.3">
      <c r="A4218" s="4">
        <v>4432</v>
      </c>
      <c r="B4218" s="5">
        <v>4211</v>
      </c>
      <c r="C4218">
        <v>875</v>
      </c>
      <c r="D4218" t="s">
        <v>18293</v>
      </c>
      <c r="E4218" t="s">
        <v>18294</v>
      </c>
      <c r="F4218" t="s">
        <v>20</v>
      </c>
      <c r="G4218" t="s">
        <v>18295</v>
      </c>
      <c r="H4218">
        <v>17.25</v>
      </c>
      <c r="I4218">
        <v>0</v>
      </c>
      <c r="J4218">
        <v>0</v>
      </c>
      <c r="K4218">
        <v>0</v>
      </c>
      <c r="O4218">
        <v>0</v>
      </c>
      <c r="P4218">
        <v>0</v>
      </c>
      <c r="Q4218">
        <v>0</v>
      </c>
      <c r="R4218">
        <v>17.25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3</v>
      </c>
      <c r="AC4218">
        <v>0</v>
      </c>
      <c r="AH4218">
        <v>20.25</v>
      </c>
    </row>
    <row r="4219" spans="1:34" x14ac:dyDescent="0.3">
      <c r="A4219" s="4">
        <v>4433</v>
      </c>
      <c r="B4219" s="5">
        <v>4212</v>
      </c>
      <c r="C4219">
        <v>10060</v>
      </c>
      <c r="D4219" t="s">
        <v>1565</v>
      </c>
      <c r="E4219" t="s">
        <v>17</v>
      </c>
      <c r="F4219" t="s">
        <v>20</v>
      </c>
      <c r="G4219" t="s">
        <v>18296</v>
      </c>
      <c r="H4219">
        <v>16.25</v>
      </c>
      <c r="I4219">
        <v>0</v>
      </c>
      <c r="J4219">
        <v>0</v>
      </c>
      <c r="K4219">
        <v>0</v>
      </c>
      <c r="O4219">
        <v>0</v>
      </c>
      <c r="P4219">
        <v>4</v>
      </c>
      <c r="Q4219">
        <v>0</v>
      </c>
      <c r="R4219">
        <v>20.25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H4219">
        <v>20.25</v>
      </c>
    </row>
    <row r="4220" spans="1:34" x14ac:dyDescent="0.3">
      <c r="A4220" s="4">
        <v>4434</v>
      </c>
      <c r="B4220" s="5">
        <v>4213</v>
      </c>
      <c r="C4220">
        <v>5153</v>
      </c>
      <c r="D4220" t="s">
        <v>15100</v>
      </c>
      <c r="E4220" t="s">
        <v>88</v>
      </c>
      <c r="F4220" t="s">
        <v>10317</v>
      </c>
      <c r="G4220" t="s">
        <v>18297</v>
      </c>
      <c r="H4220">
        <v>16.25</v>
      </c>
      <c r="I4220">
        <v>0</v>
      </c>
      <c r="J4220">
        <v>0</v>
      </c>
      <c r="K4220">
        <v>0</v>
      </c>
      <c r="O4220">
        <v>0</v>
      </c>
      <c r="P4220">
        <v>4</v>
      </c>
      <c r="Q4220">
        <v>0</v>
      </c>
      <c r="R4220">
        <v>20.25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H4220">
        <v>20.25</v>
      </c>
    </row>
    <row r="4221" spans="1:34" x14ac:dyDescent="0.3">
      <c r="A4221" s="4">
        <v>4435</v>
      </c>
      <c r="B4221" s="5">
        <v>4214</v>
      </c>
      <c r="C4221">
        <v>2591</v>
      </c>
      <c r="D4221" t="s">
        <v>3309</v>
      </c>
      <c r="E4221" t="s">
        <v>166</v>
      </c>
      <c r="F4221" t="s">
        <v>14</v>
      </c>
      <c r="G4221" t="s">
        <v>18298</v>
      </c>
      <c r="H4221">
        <v>17.18</v>
      </c>
      <c r="I4221">
        <v>0</v>
      </c>
      <c r="J4221">
        <v>0</v>
      </c>
      <c r="K4221">
        <v>0</v>
      </c>
      <c r="N4221">
        <v>3</v>
      </c>
      <c r="O4221">
        <v>3</v>
      </c>
      <c r="P4221">
        <v>0</v>
      </c>
      <c r="Q4221">
        <v>0</v>
      </c>
      <c r="R4221">
        <v>20.18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H4221">
        <v>20.18</v>
      </c>
    </row>
    <row r="4222" spans="1:34" x14ac:dyDescent="0.3">
      <c r="A4222" s="4">
        <v>4436</v>
      </c>
      <c r="B4222" s="5">
        <v>4215</v>
      </c>
      <c r="C4222">
        <v>14454</v>
      </c>
      <c r="D4222" t="s">
        <v>18299</v>
      </c>
      <c r="E4222" t="s">
        <v>1081</v>
      </c>
      <c r="F4222" t="s">
        <v>17</v>
      </c>
      <c r="G4222" t="s">
        <v>18300</v>
      </c>
      <c r="H4222">
        <v>17.100000000000001</v>
      </c>
      <c r="I4222">
        <v>0</v>
      </c>
      <c r="J4222">
        <v>0</v>
      </c>
      <c r="K4222">
        <v>0</v>
      </c>
      <c r="N4222">
        <v>3</v>
      </c>
      <c r="O4222">
        <v>3</v>
      </c>
      <c r="P4222">
        <v>0</v>
      </c>
      <c r="Q4222">
        <v>0</v>
      </c>
      <c r="R4222">
        <v>20.100000000000001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H4222">
        <v>20.100000000000001</v>
      </c>
    </row>
    <row r="4223" spans="1:34" x14ac:dyDescent="0.3">
      <c r="A4223" s="4">
        <v>4437</v>
      </c>
      <c r="B4223" s="5">
        <v>4216</v>
      </c>
      <c r="C4223">
        <v>6737</v>
      </c>
      <c r="D4223" t="s">
        <v>18301</v>
      </c>
      <c r="E4223" t="s">
        <v>626</v>
      </c>
      <c r="F4223" t="s">
        <v>167</v>
      </c>
      <c r="G4223" t="s">
        <v>18302</v>
      </c>
      <c r="H4223">
        <v>16.73</v>
      </c>
      <c r="I4223">
        <v>0</v>
      </c>
      <c r="J4223">
        <v>0</v>
      </c>
      <c r="K4223">
        <v>0</v>
      </c>
      <c r="N4223">
        <v>3</v>
      </c>
      <c r="O4223">
        <v>3</v>
      </c>
      <c r="P4223">
        <v>0</v>
      </c>
      <c r="Q4223">
        <v>0</v>
      </c>
      <c r="R4223">
        <v>19.73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H4223">
        <v>19.73</v>
      </c>
    </row>
    <row r="4224" spans="1:34" x14ac:dyDescent="0.3">
      <c r="A4224" s="4">
        <v>4438</v>
      </c>
      <c r="B4224" s="5">
        <v>4217</v>
      </c>
      <c r="C4224">
        <v>2783</v>
      </c>
      <c r="D4224" t="s">
        <v>18303</v>
      </c>
      <c r="E4224" t="s">
        <v>3235</v>
      </c>
      <c r="F4224" t="s">
        <v>17</v>
      </c>
      <c r="G4224" t="s">
        <v>18304</v>
      </c>
      <c r="H4224">
        <v>19.63</v>
      </c>
      <c r="I4224">
        <v>0</v>
      </c>
      <c r="J4224">
        <v>0</v>
      </c>
      <c r="K4224">
        <v>0</v>
      </c>
      <c r="O4224">
        <v>0</v>
      </c>
      <c r="P4224">
        <v>0</v>
      </c>
      <c r="Q4224">
        <v>0</v>
      </c>
      <c r="R4224">
        <v>19.63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H4224">
        <v>19.63</v>
      </c>
    </row>
    <row r="4225" spans="1:34" x14ac:dyDescent="0.3">
      <c r="A4225" s="4">
        <v>4439</v>
      </c>
      <c r="B4225" s="5">
        <v>4218</v>
      </c>
      <c r="C4225">
        <v>15338</v>
      </c>
      <c r="D4225" t="s">
        <v>8189</v>
      </c>
      <c r="E4225" t="s">
        <v>213</v>
      </c>
      <c r="F4225" t="s">
        <v>801</v>
      </c>
      <c r="G4225" t="s">
        <v>18305</v>
      </c>
      <c r="H4225">
        <v>16.63</v>
      </c>
      <c r="I4225">
        <v>0</v>
      </c>
      <c r="J4225">
        <v>0</v>
      </c>
      <c r="K4225">
        <v>0</v>
      </c>
      <c r="N4225">
        <v>3</v>
      </c>
      <c r="O4225">
        <v>3</v>
      </c>
      <c r="P4225">
        <v>0</v>
      </c>
      <c r="Q4225">
        <v>0</v>
      </c>
      <c r="R4225">
        <v>19.63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H4225">
        <v>19.63</v>
      </c>
    </row>
    <row r="4226" spans="1:34" x14ac:dyDescent="0.3">
      <c r="A4226" s="4">
        <v>4440</v>
      </c>
      <c r="B4226" s="5">
        <v>4219</v>
      </c>
      <c r="C4226">
        <v>811</v>
      </c>
      <c r="D4226" t="s">
        <v>10885</v>
      </c>
      <c r="E4226" t="s">
        <v>54</v>
      </c>
      <c r="F4226" t="s">
        <v>782</v>
      </c>
      <c r="G4226" t="s">
        <v>18306</v>
      </c>
      <c r="H4226">
        <v>19.55</v>
      </c>
      <c r="I4226">
        <v>0</v>
      </c>
      <c r="J4226">
        <v>0</v>
      </c>
      <c r="K4226">
        <v>0</v>
      </c>
      <c r="O4226">
        <v>0</v>
      </c>
      <c r="P4226">
        <v>0</v>
      </c>
      <c r="Q4226">
        <v>0</v>
      </c>
      <c r="R4226">
        <v>19.55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H4226">
        <v>19.55</v>
      </c>
    </row>
    <row r="4227" spans="1:34" x14ac:dyDescent="0.3">
      <c r="A4227" s="4">
        <v>4441</v>
      </c>
      <c r="B4227" s="5">
        <v>4220</v>
      </c>
      <c r="C4227">
        <v>15402</v>
      </c>
      <c r="D4227" t="s">
        <v>6133</v>
      </c>
      <c r="E4227" t="s">
        <v>342</v>
      </c>
      <c r="F4227" t="s">
        <v>158</v>
      </c>
      <c r="G4227" t="s">
        <v>18307</v>
      </c>
      <c r="H4227">
        <v>16.55</v>
      </c>
      <c r="I4227">
        <v>0</v>
      </c>
      <c r="J4227">
        <v>0</v>
      </c>
      <c r="K4227">
        <v>0</v>
      </c>
      <c r="N4227">
        <v>3</v>
      </c>
      <c r="O4227">
        <v>3</v>
      </c>
      <c r="P4227">
        <v>0</v>
      </c>
      <c r="Q4227">
        <v>0</v>
      </c>
      <c r="R4227">
        <v>19.55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H4227">
        <v>19.55</v>
      </c>
    </row>
    <row r="4228" spans="1:34" x14ac:dyDescent="0.3">
      <c r="A4228" s="4">
        <v>4442</v>
      </c>
      <c r="B4228" s="5">
        <v>4221</v>
      </c>
      <c r="C4228">
        <v>13725</v>
      </c>
      <c r="D4228" t="s">
        <v>18308</v>
      </c>
      <c r="E4228" t="s">
        <v>5614</v>
      </c>
      <c r="F4228" t="s">
        <v>81</v>
      </c>
      <c r="G4228" t="s">
        <v>18309</v>
      </c>
      <c r="H4228">
        <v>15.55</v>
      </c>
      <c r="I4228">
        <v>0</v>
      </c>
      <c r="J4228">
        <v>0</v>
      </c>
      <c r="K4228">
        <v>0</v>
      </c>
      <c r="O4228">
        <v>0</v>
      </c>
      <c r="P4228">
        <v>4</v>
      </c>
      <c r="Q4228">
        <v>0</v>
      </c>
      <c r="R4228">
        <v>19.55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H4228">
        <v>19.55</v>
      </c>
    </row>
    <row r="4229" spans="1:34" x14ac:dyDescent="0.3">
      <c r="A4229" s="4">
        <v>4443</v>
      </c>
      <c r="B4229" s="5">
        <v>4222</v>
      </c>
      <c r="C4229">
        <v>3377</v>
      </c>
      <c r="D4229" t="s">
        <v>181</v>
      </c>
      <c r="E4229" t="s">
        <v>18310</v>
      </c>
      <c r="F4229" t="s">
        <v>136</v>
      </c>
      <c r="G4229" t="s">
        <v>18311</v>
      </c>
      <c r="H4229">
        <v>15.55</v>
      </c>
      <c r="I4229">
        <v>0</v>
      </c>
      <c r="J4229">
        <v>0</v>
      </c>
      <c r="K4229">
        <v>0</v>
      </c>
      <c r="O4229">
        <v>0</v>
      </c>
      <c r="P4229">
        <v>4</v>
      </c>
      <c r="Q4229">
        <v>0</v>
      </c>
      <c r="R4229">
        <v>19.55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H4229">
        <v>19.55</v>
      </c>
    </row>
    <row r="4230" spans="1:34" x14ac:dyDescent="0.3">
      <c r="A4230" s="4">
        <v>4444</v>
      </c>
      <c r="B4230" s="5">
        <v>4223</v>
      </c>
      <c r="C4230">
        <v>12379</v>
      </c>
      <c r="D4230" t="s">
        <v>18312</v>
      </c>
      <c r="E4230" t="s">
        <v>626</v>
      </c>
      <c r="F4230" t="s">
        <v>328</v>
      </c>
      <c r="G4230" t="s">
        <v>18313</v>
      </c>
      <c r="H4230">
        <v>16.5</v>
      </c>
      <c r="I4230">
        <v>0</v>
      </c>
      <c r="J4230">
        <v>0</v>
      </c>
      <c r="K4230">
        <v>0</v>
      </c>
      <c r="N4230">
        <v>3</v>
      </c>
      <c r="O4230">
        <v>3</v>
      </c>
      <c r="P4230">
        <v>0</v>
      </c>
      <c r="Q4230">
        <v>0</v>
      </c>
      <c r="R4230">
        <v>19.5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H4230">
        <v>19.5</v>
      </c>
    </row>
    <row r="4231" spans="1:34" x14ac:dyDescent="0.3">
      <c r="A4231" s="4">
        <v>4445</v>
      </c>
      <c r="B4231" s="5">
        <v>4224</v>
      </c>
      <c r="C4231">
        <v>15194</v>
      </c>
      <c r="D4231" t="s">
        <v>18314</v>
      </c>
      <c r="E4231" t="s">
        <v>136</v>
      </c>
      <c r="F4231" t="s">
        <v>38</v>
      </c>
      <c r="G4231" t="s">
        <v>18315</v>
      </c>
      <c r="H4231">
        <v>12.5</v>
      </c>
      <c r="I4231">
        <v>0</v>
      </c>
      <c r="J4231">
        <v>0</v>
      </c>
      <c r="K4231">
        <v>0</v>
      </c>
      <c r="N4231">
        <v>3</v>
      </c>
      <c r="O4231">
        <v>3</v>
      </c>
      <c r="P4231">
        <v>4</v>
      </c>
      <c r="Q4231">
        <v>0</v>
      </c>
      <c r="R4231">
        <v>19.5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H4231">
        <v>19.5</v>
      </c>
    </row>
    <row r="4232" spans="1:34" x14ac:dyDescent="0.3">
      <c r="A4232" s="4">
        <v>4446</v>
      </c>
      <c r="B4232" s="5">
        <v>4225</v>
      </c>
      <c r="C4232">
        <v>6707</v>
      </c>
      <c r="D4232" t="s">
        <v>16244</v>
      </c>
      <c r="E4232" t="s">
        <v>71</v>
      </c>
      <c r="F4232" t="s">
        <v>81</v>
      </c>
      <c r="G4232" t="s">
        <v>18316</v>
      </c>
      <c r="H4232">
        <v>12.5</v>
      </c>
      <c r="I4232">
        <v>0</v>
      </c>
      <c r="J4232">
        <v>0</v>
      </c>
      <c r="K4232">
        <v>0</v>
      </c>
      <c r="N4232">
        <v>3</v>
      </c>
      <c r="O4232">
        <v>3</v>
      </c>
      <c r="P4232">
        <v>4</v>
      </c>
      <c r="Q4232">
        <v>0</v>
      </c>
      <c r="R4232">
        <v>19.5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H4232">
        <v>19.5</v>
      </c>
    </row>
    <row r="4233" spans="1:34" x14ac:dyDescent="0.3">
      <c r="A4233" s="4">
        <v>4447</v>
      </c>
      <c r="B4233" s="5">
        <v>4226</v>
      </c>
      <c r="C4233">
        <v>12953</v>
      </c>
      <c r="D4233" t="s">
        <v>18317</v>
      </c>
      <c r="E4233" t="s">
        <v>132</v>
      </c>
      <c r="F4233" t="s">
        <v>136</v>
      </c>
      <c r="G4233" t="s">
        <v>18318</v>
      </c>
      <c r="H4233">
        <v>12.5</v>
      </c>
      <c r="I4233">
        <v>0</v>
      </c>
      <c r="J4233">
        <v>0</v>
      </c>
      <c r="K4233">
        <v>0</v>
      </c>
      <c r="L4233">
        <v>7</v>
      </c>
      <c r="O4233">
        <v>7</v>
      </c>
      <c r="P4233">
        <v>0</v>
      </c>
      <c r="Q4233">
        <v>0</v>
      </c>
      <c r="R4233">
        <v>19.5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H4233">
        <v>19.5</v>
      </c>
    </row>
    <row r="4234" spans="1:34" x14ac:dyDescent="0.3">
      <c r="A4234" s="4">
        <v>4448</v>
      </c>
      <c r="B4234" s="5">
        <v>4227</v>
      </c>
      <c r="C4234">
        <v>12235</v>
      </c>
      <c r="D4234" t="s">
        <v>18319</v>
      </c>
      <c r="E4234" t="s">
        <v>219</v>
      </c>
      <c r="F4234" t="s">
        <v>238</v>
      </c>
      <c r="G4234" t="s">
        <v>18320</v>
      </c>
      <c r="H4234">
        <v>12.5</v>
      </c>
      <c r="I4234">
        <v>0</v>
      </c>
      <c r="J4234">
        <v>0</v>
      </c>
      <c r="K4234">
        <v>0</v>
      </c>
      <c r="N4234">
        <v>3</v>
      </c>
      <c r="O4234">
        <v>3</v>
      </c>
      <c r="P4234">
        <v>4</v>
      </c>
      <c r="Q4234">
        <v>0</v>
      </c>
      <c r="R4234">
        <v>19.5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H4234">
        <v>19.5</v>
      </c>
    </row>
    <row r="4235" spans="1:34" x14ac:dyDescent="0.3">
      <c r="A4235" s="4">
        <v>4449</v>
      </c>
      <c r="B4235" s="5">
        <v>4228</v>
      </c>
      <c r="C4235">
        <v>1521</v>
      </c>
      <c r="D4235" t="s">
        <v>2162</v>
      </c>
      <c r="E4235" t="s">
        <v>29</v>
      </c>
      <c r="F4235" t="s">
        <v>62</v>
      </c>
      <c r="G4235" t="s">
        <v>18321</v>
      </c>
      <c r="H4235">
        <v>12.5</v>
      </c>
      <c r="I4235">
        <v>0</v>
      </c>
      <c r="J4235">
        <v>0</v>
      </c>
      <c r="K4235">
        <v>0</v>
      </c>
      <c r="N4235">
        <v>3</v>
      </c>
      <c r="O4235">
        <v>3</v>
      </c>
      <c r="P4235">
        <v>4</v>
      </c>
      <c r="Q4235">
        <v>0</v>
      </c>
      <c r="R4235">
        <v>19.5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H4235">
        <v>19.5</v>
      </c>
    </row>
    <row r="4236" spans="1:34" x14ac:dyDescent="0.3">
      <c r="A4236" s="4">
        <v>4450</v>
      </c>
      <c r="B4236" s="5">
        <v>4229</v>
      </c>
      <c r="C4236">
        <v>5546</v>
      </c>
      <c r="D4236" t="s">
        <v>18322</v>
      </c>
      <c r="E4236" t="s">
        <v>1508</v>
      </c>
      <c r="F4236" t="s">
        <v>30</v>
      </c>
      <c r="G4236" t="s">
        <v>18323</v>
      </c>
      <c r="H4236">
        <v>12.5</v>
      </c>
      <c r="I4236">
        <v>0</v>
      </c>
      <c r="J4236">
        <v>0</v>
      </c>
      <c r="K4236">
        <v>0</v>
      </c>
      <c r="M4236">
        <v>5</v>
      </c>
      <c r="O4236">
        <v>5</v>
      </c>
      <c r="P4236">
        <v>0</v>
      </c>
      <c r="Q4236">
        <v>2</v>
      </c>
      <c r="R4236">
        <v>19.5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H4236">
        <v>19.5</v>
      </c>
    </row>
    <row r="4237" spans="1:34" x14ac:dyDescent="0.3">
      <c r="A4237" s="4">
        <v>4451</v>
      </c>
      <c r="B4237" s="5">
        <v>4230</v>
      </c>
      <c r="C4237">
        <v>11045</v>
      </c>
      <c r="D4237" t="s">
        <v>2121</v>
      </c>
      <c r="E4237" t="s">
        <v>18324</v>
      </c>
      <c r="F4237" t="s">
        <v>38</v>
      </c>
      <c r="G4237" t="s">
        <v>18325</v>
      </c>
      <c r="H4237">
        <v>12.5</v>
      </c>
      <c r="I4237">
        <v>0</v>
      </c>
      <c r="J4237">
        <v>0</v>
      </c>
      <c r="K4237">
        <v>0</v>
      </c>
      <c r="N4237">
        <v>3</v>
      </c>
      <c r="O4237">
        <v>3</v>
      </c>
      <c r="P4237">
        <v>4</v>
      </c>
      <c r="Q4237">
        <v>0</v>
      </c>
      <c r="R4237">
        <v>19.5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H4237">
        <v>19.5</v>
      </c>
    </row>
    <row r="4238" spans="1:34" x14ac:dyDescent="0.3">
      <c r="A4238" s="4">
        <v>4452</v>
      </c>
      <c r="B4238" s="5">
        <v>4231</v>
      </c>
      <c r="C4238">
        <v>14222</v>
      </c>
      <c r="D4238" t="s">
        <v>13730</v>
      </c>
      <c r="E4238" t="s">
        <v>667</v>
      </c>
      <c r="F4238" t="s">
        <v>214</v>
      </c>
      <c r="G4238" t="s">
        <v>18326</v>
      </c>
      <c r="H4238">
        <v>12.5</v>
      </c>
      <c r="I4238">
        <v>0</v>
      </c>
      <c r="J4238">
        <v>0</v>
      </c>
      <c r="K4238">
        <v>0</v>
      </c>
      <c r="N4238">
        <v>3</v>
      </c>
      <c r="O4238">
        <v>3</v>
      </c>
      <c r="P4238">
        <v>4</v>
      </c>
      <c r="Q4238">
        <v>0</v>
      </c>
      <c r="R4238">
        <v>19.5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H4238">
        <v>19.5</v>
      </c>
    </row>
    <row r="4239" spans="1:34" x14ac:dyDescent="0.3">
      <c r="A4239" s="4">
        <v>4453</v>
      </c>
      <c r="B4239" s="5">
        <v>4232</v>
      </c>
      <c r="C4239">
        <v>14207</v>
      </c>
      <c r="D4239" t="s">
        <v>11877</v>
      </c>
      <c r="E4239" t="s">
        <v>1000</v>
      </c>
      <c r="F4239" t="s">
        <v>167</v>
      </c>
      <c r="G4239" t="s">
        <v>18327</v>
      </c>
      <c r="H4239">
        <v>12.5</v>
      </c>
      <c r="I4239">
        <v>0</v>
      </c>
      <c r="J4239">
        <v>0</v>
      </c>
      <c r="K4239">
        <v>0</v>
      </c>
      <c r="N4239">
        <v>3</v>
      </c>
      <c r="O4239">
        <v>3</v>
      </c>
      <c r="P4239">
        <v>4</v>
      </c>
      <c r="Q4239">
        <v>0</v>
      </c>
      <c r="R4239">
        <v>19.5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H4239">
        <v>19.5</v>
      </c>
    </row>
    <row r="4240" spans="1:34" x14ac:dyDescent="0.3">
      <c r="A4240" s="4">
        <v>4454</v>
      </c>
      <c r="B4240" s="5">
        <v>4233</v>
      </c>
      <c r="C4240">
        <v>8703</v>
      </c>
      <c r="D4240" t="s">
        <v>18328</v>
      </c>
      <c r="E4240" t="s">
        <v>242</v>
      </c>
      <c r="F4240" t="s">
        <v>38</v>
      </c>
      <c r="G4240" t="s">
        <v>18329</v>
      </c>
      <c r="H4240">
        <v>12.5</v>
      </c>
      <c r="I4240">
        <v>0</v>
      </c>
      <c r="J4240">
        <v>0</v>
      </c>
      <c r="K4240">
        <v>0</v>
      </c>
      <c r="L4240">
        <v>7</v>
      </c>
      <c r="O4240">
        <v>7</v>
      </c>
      <c r="P4240">
        <v>0</v>
      </c>
      <c r="Q4240">
        <v>0</v>
      </c>
      <c r="R4240">
        <v>19.5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H4240">
        <v>19.5</v>
      </c>
    </row>
    <row r="4241" spans="1:34" x14ac:dyDescent="0.3">
      <c r="A4241" s="4">
        <v>4455</v>
      </c>
      <c r="B4241" s="5">
        <v>4234</v>
      </c>
      <c r="C4241">
        <v>84</v>
      </c>
      <c r="D4241" t="s">
        <v>18330</v>
      </c>
      <c r="E4241" t="s">
        <v>789</v>
      </c>
      <c r="F4241" t="s">
        <v>2427</v>
      </c>
      <c r="G4241" t="s">
        <v>18331</v>
      </c>
      <c r="H4241">
        <v>12.5</v>
      </c>
      <c r="I4241">
        <v>0</v>
      </c>
      <c r="J4241">
        <v>0</v>
      </c>
      <c r="K4241">
        <v>0</v>
      </c>
      <c r="L4241">
        <v>7</v>
      </c>
      <c r="O4241">
        <v>7</v>
      </c>
      <c r="P4241">
        <v>0</v>
      </c>
      <c r="Q4241">
        <v>0</v>
      </c>
      <c r="R4241">
        <v>19.5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H4241">
        <v>19.5</v>
      </c>
    </row>
    <row r="4242" spans="1:34" x14ac:dyDescent="0.3">
      <c r="A4242" s="4">
        <v>4456</v>
      </c>
      <c r="B4242" s="5">
        <v>4235</v>
      </c>
      <c r="C4242">
        <v>1641</v>
      </c>
      <c r="D4242" t="s">
        <v>18332</v>
      </c>
      <c r="E4242" t="s">
        <v>178</v>
      </c>
      <c r="F4242" t="s">
        <v>193</v>
      </c>
      <c r="G4242" t="s">
        <v>18333</v>
      </c>
      <c r="H4242">
        <v>12.5</v>
      </c>
      <c r="I4242">
        <v>0</v>
      </c>
      <c r="J4242">
        <v>0</v>
      </c>
      <c r="K4242">
        <v>0</v>
      </c>
      <c r="L4242">
        <v>7</v>
      </c>
      <c r="O4242">
        <v>7</v>
      </c>
      <c r="P4242">
        <v>0</v>
      </c>
      <c r="Q4242">
        <v>0</v>
      </c>
      <c r="R4242">
        <v>19.5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H4242">
        <v>19.5</v>
      </c>
    </row>
    <row r="4243" spans="1:34" x14ac:dyDescent="0.3">
      <c r="A4243" s="4">
        <v>4457</v>
      </c>
      <c r="B4243" s="5">
        <v>4236</v>
      </c>
      <c r="C4243">
        <v>3705</v>
      </c>
      <c r="D4243" t="s">
        <v>18334</v>
      </c>
      <c r="E4243" t="s">
        <v>100</v>
      </c>
      <c r="F4243" t="s">
        <v>587</v>
      </c>
      <c r="G4243" t="s">
        <v>18335</v>
      </c>
      <c r="H4243">
        <v>12.5</v>
      </c>
      <c r="I4243">
        <v>0</v>
      </c>
      <c r="J4243">
        <v>0</v>
      </c>
      <c r="K4243">
        <v>0</v>
      </c>
      <c r="L4243">
        <v>7</v>
      </c>
      <c r="O4243">
        <v>7</v>
      </c>
      <c r="P4243">
        <v>0</v>
      </c>
      <c r="Q4243">
        <v>0</v>
      </c>
      <c r="R4243">
        <v>19.5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H4243">
        <v>19.5</v>
      </c>
    </row>
    <row r="4244" spans="1:34" x14ac:dyDescent="0.3">
      <c r="A4244" s="4">
        <v>4458</v>
      </c>
      <c r="B4244" s="5">
        <v>4237</v>
      </c>
      <c r="C4244">
        <v>6830</v>
      </c>
      <c r="D4244" t="s">
        <v>18336</v>
      </c>
      <c r="E4244" t="s">
        <v>18337</v>
      </c>
      <c r="F4244" t="s">
        <v>782</v>
      </c>
      <c r="G4244" t="s">
        <v>18338</v>
      </c>
      <c r="H4244">
        <v>12.5</v>
      </c>
      <c r="I4244">
        <v>0</v>
      </c>
      <c r="J4244">
        <v>0</v>
      </c>
      <c r="K4244">
        <v>0</v>
      </c>
      <c r="N4244">
        <v>3</v>
      </c>
      <c r="O4244">
        <v>3</v>
      </c>
      <c r="P4244">
        <v>4</v>
      </c>
      <c r="Q4244">
        <v>0</v>
      </c>
      <c r="R4244">
        <v>19.5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H4244">
        <v>19.5</v>
      </c>
    </row>
    <row r="4245" spans="1:34" x14ac:dyDescent="0.3">
      <c r="A4245" s="4">
        <v>4459</v>
      </c>
      <c r="B4245" s="5">
        <v>4238</v>
      </c>
      <c r="C4245">
        <v>8633</v>
      </c>
      <c r="D4245" t="s">
        <v>4343</v>
      </c>
      <c r="E4245" t="s">
        <v>2743</v>
      </c>
      <c r="F4245" t="s">
        <v>79</v>
      </c>
      <c r="G4245" t="s">
        <v>18339</v>
      </c>
      <c r="H4245">
        <v>12.5</v>
      </c>
      <c r="I4245">
        <v>0</v>
      </c>
      <c r="J4245">
        <v>0</v>
      </c>
      <c r="K4245">
        <v>0</v>
      </c>
      <c r="N4245">
        <v>3</v>
      </c>
      <c r="O4245">
        <v>3</v>
      </c>
      <c r="P4245">
        <v>4</v>
      </c>
      <c r="Q4245">
        <v>0</v>
      </c>
      <c r="R4245">
        <v>19.5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H4245">
        <v>19.5</v>
      </c>
    </row>
    <row r="4246" spans="1:34" x14ac:dyDescent="0.3">
      <c r="A4246" s="4">
        <v>4460</v>
      </c>
      <c r="B4246" s="5">
        <v>4239</v>
      </c>
      <c r="C4246">
        <v>7788</v>
      </c>
      <c r="D4246" t="s">
        <v>18340</v>
      </c>
      <c r="E4246" t="s">
        <v>4963</v>
      </c>
      <c r="F4246" t="s">
        <v>81</v>
      </c>
      <c r="G4246" t="s">
        <v>18341</v>
      </c>
      <c r="H4246">
        <v>12.5</v>
      </c>
      <c r="I4246">
        <v>0</v>
      </c>
      <c r="J4246">
        <v>0</v>
      </c>
      <c r="K4246">
        <v>0</v>
      </c>
      <c r="O4246">
        <v>0</v>
      </c>
      <c r="P4246">
        <v>4</v>
      </c>
      <c r="Q4246">
        <v>2</v>
      </c>
      <c r="R4246">
        <v>18.5</v>
      </c>
      <c r="S4246">
        <v>1</v>
      </c>
      <c r="T4246">
        <v>1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1</v>
      </c>
      <c r="AB4246">
        <v>0</v>
      </c>
      <c r="AC4246">
        <v>0</v>
      </c>
      <c r="AH4246">
        <v>19.5</v>
      </c>
    </row>
    <row r="4247" spans="1:34" x14ac:dyDescent="0.3">
      <c r="A4247" s="4">
        <v>4461</v>
      </c>
      <c r="B4247" s="5">
        <v>4240</v>
      </c>
      <c r="C4247">
        <v>15250</v>
      </c>
      <c r="D4247" t="s">
        <v>18342</v>
      </c>
      <c r="E4247" t="s">
        <v>2573</v>
      </c>
      <c r="F4247" t="s">
        <v>18343</v>
      </c>
      <c r="G4247" t="s">
        <v>32011</v>
      </c>
      <c r="H4247">
        <v>16.28</v>
      </c>
      <c r="I4247">
        <v>0</v>
      </c>
      <c r="J4247">
        <v>0</v>
      </c>
      <c r="K4247">
        <v>0</v>
      </c>
      <c r="O4247">
        <v>0</v>
      </c>
      <c r="P4247">
        <v>0</v>
      </c>
      <c r="Q4247">
        <v>0</v>
      </c>
      <c r="R4247">
        <v>16.28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3</v>
      </c>
      <c r="AC4247">
        <v>0</v>
      </c>
      <c r="AH4247">
        <v>19.28</v>
      </c>
    </row>
    <row r="4248" spans="1:34" x14ac:dyDescent="0.3">
      <c r="A4248" s="4">
        <v>4462</v>
      </c>
      <c r="B4248" s="5">
        <v>4241</v>
      </c>
      <c r="C4248">
        <v>760</v>
      </c>
      <c r="D4248" t="s">
        <v>18344</v>
      </c>
      <c r="E4248" t="s">
        <v>8144</v>
      </c>
      <c r="F4248" t="s">
        <v>117</v>
      </c>
      <c r="G4248" t="s">
        <v>18345</v>
      </c>
      <c r="H4248">
        <v>19.28</v>
      </c>
      <c r="I4248">
        <v>0</v>
      </c>
      <c r="J4248">
        <v>0</v>
      </c>
      <c r="K4248">
        <v>0</v>
      </c>
      <c r="O4248">
        <v>0</v>
      </c>
      <c r="P4248">
        <v>0</v>
      </c>
      <c r="Q4248">
        <v>0</v>
      </c>
      <c r="R4248">
        <v>19.28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H4248">
        <v>19.28</v>
      </c>
    </row>
    <row r="4249" spans="1:34" x14ac:dyDescent="0.3">
      <c r="A4249" s="4">
        <v>4463</v>
      </c>
      <c r="B4249" s="5">
        <v>4242</v>
      </c>
      <c r="C4249">
        <v>12865</v>
      </c>
      <c r="D4249" t="s">
        <v>18346</v>
      </c>
      <c r="E4249" t="s">
        <v>15918</v>
      </c>
      <c r="F4249" t="s">
        <v>18347</v>
      </c>
      <c r="G4249" t="s">
        <v>18348</v>
      </c>
      <c r="H4249">
        <v>16.25</v>
      </c>
      <c r="I4249">
        <v>0</v>
      </c>
      <c r="J4249">
        <v>0</v>
      </c>
      <c r="K4249">
        <v>0</v>
      </c>
      <c r="O4249">
        <v>0</v>
      </c>
      <c r="P4249">
        <v>0</v>
      </c>
      <c r="Q4249">
        <v>0</v>
      </c>
      <c r="R4249">
        <v>16.25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3</v>
      </c>
      <c r="AC4249">
        <v>0</v>
      </c>
      <c r="AH4249">
        <v>19.25</v>
      </c>
    </row>
    <row r="4250" spans="1:34" x14ac:dyDescent="0.3">
      <c r="A4250" s="4">
        <v>4464</v>
      </c>
      <c r="B4250" s="5">
        <v>4243</v>
      </c>
      <c r="C4250">
        <v>5832</v>
      </c>
      <c r="D4250" t="s">
        <v>18349</v>
      </c>
      <c r="E4250" t="s">
        <v>1639</v>
      </c>
      <c r="F4250" t="s">
        <v>38</v>
      </c>
      <c r="G4250" t="s">
        <v>18350</v>
      </c>
      <c r="H4250">
        <v>16.25</v>
      </c>
      <c r="I4250">
        <v>0</v>
      </c>
      <c r="J4250">
        <v>0</v>
      </c>
      <c r="K4250">
        <v>0</v>
      </c>
      <c r="N4250">
        <v>3</v>
      </c>
      <c r="O4250">
        <v>3</v>
      </c>
      <c r="P4250">
        <v>0</v>
      </c>
      <c r="Q4250">
        <v>0</v>
      </c>
      <c r="R4250">
        <v>19.25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H4250">
        <v>19.25</v>
      </c>
    </row>
    <row r="4251" spans="1:34" x14ac:dyDescent="0.3">
      <c r="A4251" s="4">
        <v>4465</v>
      </c>
      <c r="B4251" s="5">
        <v>4244</v>
      </c>
      <c r="C4251">
        <v>809</v>
      </c>
      <c r="D4251" t="s">
        <v>4189</v>
      </c>
      <c r="E4251" t="s">
        <v>166</v>
      </c>
      <c r="F4251" t="s">
        <v>243</v>
      </c>
      <c r="G4251" t="s">
        <v>18351</v>
      </c>
      <c r="H4251">
        <v>16.25</v>
      </c>
      <c r="I4251">
        <v>0</v>
      </c>
      <c r="J4251">
        <v>0</v>
      </c>
      <c r="K4251">
        <v>0</v>
      </c>
      <c r="N4251">
        <v>3</v>
      </c>
      <c r="O4251">
        <v>3</v>
      </c>
      <c r="P4251">
        <v>0</v>
      </c>
      <c r="Q4251">
        <v>0</v>
      </c>
      <c r="R4251">
        <v>19.25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H4251">
        <v>19.25</v>
      </c>
    </row>
    <row r="4252" spans="1:34" x14ac:dyDescent="0.3">
      <c r="A4252" s="4">
        <v>4466</v>
      </c>
      <c r="B4252" s="5">
        <v>4245</v>
      </c>
      <c r="C4252">
        <v>2167</v>
      </c>
      <c r="D4252" t="s">
        <v>3091</v>
      </c>
      <c r="E4252" t="s">
        <v>88</v>
      </c>
      <c r="F4252" t="s">
        <v>570</v>
      </c>
      <c r="G4252" t="s">
        <v>18352</v>
      </c>
      <c r="H4252">
        <v>16.25</v>
      </c>
      <c r="I4252">
        <v>0</v>
      </c>
      <c r="J4252">
        <v>0</v>
      </c>
      <c r="K4252">
        <v>0</v>
      </c>
      <c r="N4252">
        <v>3</v>
      </c>
      <c r="O4252">
        <v>3</v>
      </c>
      <c r="P4252">
        <v>0</v>
      </c>
      <c r="Q4252">
        <v>0</v>
      </c>
      <c r="R4252">
        <v>19.25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 t="s">
        <v>130</v>
      </c>
      <c r="AH4252">
        <v>19.25</v>
      </c>
    </row>
    <row r="4253" spans="1:34" x14ac:dyDescent="0.3">
      <c r="A4253" s="4">
        <v>4467</v>
      </c>
      <c r="B4253" s="5">
        <v>4246</v>
      </c>
      <c r="C4253">
        <v>6450</v>
      </c>
      <c r="D4253" t="s">
        <v>1752</v>
      </c>
      <c r="E4253" t="s">
        <v>18353</v>
      </c>
      <c r="F4253" t="s">
        <v>62</v>
      </c>
      <c r="G4253" t="s">
        <v>18354</v>
      </c>
      <c r="H4253">
        <v>16.25</v>
      </c>
      <c r="I4253">
        <v>0</v>
      </c>
      <c r="J4253">
        <v>0</v>
      </c>
      <c r="K4253">
        <v>0</v>
      </c>
      <c r="N4253">
        <v>3</v>
      </c>
      <c r="O4253">
        <v>3</v>
      </c>
      <c r="P4253">
        <v>0</v>
      </c>
      <c r="Q4253">
        <v>0</v>
      </c>
      <c r="R4253">
        <v>19.25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H4253">
        <v>19.25</v>
      </c>
    </row>
    <row r="4254" spans="1:34" x14ac:dyDescent="0.3">
      <c r="A4254" s="4">
        <v>4468</v>
      </c>
      <c r="B4254" s="5">
        <v>4247</v>
      </c>
      <c r="C4254">
        <v>15426</v>
      </c>
      <c r="D4254" t="s">
        <v>2651</v>
      </c>
      <c r="E4254" t="s">
        <v>255</v>
      </c>
      <c r="F4254" t="s">
        <v>17</v>
      </c>
      <c r="G4254" t="s">
        <v>18355</v>
      </c>
      <c r="H4254">
        <v>16.25</v>
      </c>
      <c r="I4254">
        <v>0</v>
      </c>
      <c r="J4254">
        <v>0</v>
      </c>
      <c r="K4254">
        <v>0</v>
      </c>
      <c r="N4254">
        <v>3</v>
      </c>
      <c r="O4254">
        <v>3</v>
      </c>
      <c r="P4254">
        <v>0</v>
      </c>
      <c r="Q4254">
        <v>0</v>
      </c>
      <c r="R4254">
        <v>19.25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H4254">
        <v>19.25</v>
      </c>
    </row>
    <row r="4255" spans="1:34" x14ac:dyDescent="0.3">
      <c r="A4255" s="4">
        <v>4469</v>
      </c>
      <c r="B4255" s="5">
        <v>4248</v>
      </c>
      <c r="C4255">
        <v>11143</v>
      </c>
      <c r="D4255" t="s">
        <v>4783</v>
      </c>
      <c r="E4255" t="s">
        <v>8934</v>
      </c>
      <c r="F4255" t="s">
        <v>158</v>
      </c>
      <c r="G4255" t="s">
        <v>18356</v>
      </c>
      <c r="H4255">
        <v>16.25</v>
      </c>
      <c r="I4255">
        <v>0</v>
      </c>
      <c r="J4255">
        <v>0</v>
      </c>
      <c r="K4255">
        <v>0</v>
      </c>
      <c r="N4255">
        <v>3</v>
      </c>
      <c r="O4255">
        <v>3</v>
      </c>
      <c r="P4255">
        <v>0</v>
      </c>
      <c r="Q4255">
        <v>0</v>
      </c>
      <c r="R4255">
        <v>19.25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H4255">
        <v>19.25</v>
      </c>
    </row>
    <row r="4256" spans="1:34" x14ac:dyDescent="0.3">
      <c r="A4256" s="4">
        <v>4470</v>
      </c>
      <c r="B4256" s="5">
        <v>4249</v>
      </c>
      <c r="C4256">
        <v>7503</v>
      </c>
      <c r="D4256" t="s">
        <v>18357</v>
      </c>
      <c r="E4256" t="s">
        <v>68</v>
      </c>
      <c r="F4256" t="s">
        <v>38</v>
      </c>
      <c r="G4256" t="s">
        <v>18358</v>
      </c>
      <c r="H4256">
        <v>19.23</v>
      </c>
      <c r="I4256">
        <v>0</v>
      </c>
      <c r="J4256">
        <v>0</v>
      </c>
      <c r="K4256">
        <v>0</v>
      </c>
      <c r="O4256">
        <v>0</v>
      </c>
      <c r="P4256">
        <v>0</v>
      </c>
      <c r="Q4256">
        <v>0</v>
      </c>
      <c r="R4256">
        <v>19.23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H4256">
        <v>19.23</v>
      </c>
    </row>
    <row r="4257" spans="1:34" x14ac:dyDescent="0.3">
      <c r="A4257" s="4">
        <v>4471</v>
      </c>
      <c r="B4257" s="5">
        <v>4250</v>
      </c>
      <c r="C4257">
        <v>13428</v>
      </c>
      <c r="D4257" t="s">
        <v>18359</v>
      </c>
      <c r="E4257" t="s">
        <v>355</v>
      </c>
      <c r="F4257" t="s">
        <v>117</v>
      </c>
      <c r="G4257" t="s">
        <v>18360</v>
      </c>
      <c r="H4257">
        <v>19.13</v>
      </c>
      <c r="I4257">
        <v>0</v>
      </c>
      <c r="J4257">
        <v>0</v>
      </c>
      <c r="K4257">
        <v>0</v>
      </c>
      <c r="O4257">
        <v>0</v>
      </c>
      <c r="P4257">
        <v>0</v>
      </c>
      <c r="Q4257">
        <v>0</v>
      </c>
      <c r="R4257">
        <v>19.13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H4257">
        <v>19.13</v>
      </c>
    </row>
    <row r="4258" spans="1:34" x14ac:dyDescent="0.3">
      <c r="A4258" s="4">
        <v>4472</v>
      </c>
      <c r="B4258" s="5">
        <v>4251</v>
      </c>
      <c r="C4258">
        <v>13417</v>
      </c>
      <c r="D4258" t="s">
        <v>18361</v>
      </c>
      <c r="E4258" t="s">
        <v>935</v>
      </c>
      <c r="F4258" t="s">
        <v>7899</v>
      </c>
      <c r="G4258">
        <v>437553</v>
      </c>
      <c r="H4258">
        <v>19</v>
      </c>
      <c r="I4258">
        <v>0</v>
      </c>
      <c r="J4258">
        <v>0</v>
      </c>
      <c r="K4258">
        <v>0</v>
      </c>
      <c r="O4258">
        <v>0</v>
      </c>
      <c r="P4258">
        <v>0</v>
      </c>
      <c r="Q4258">
        <v>0</v>
      </c>
      <c r="R4258">
        <v>19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H4258">
        <v>19</v>
      </c>
    </row>
    <row r="4259" spans="1:34" x14ac:dyDescent="0.3">
      <c r="A4259" s="4">
        <v>4473</v>
      </c>
      <c r="B4259" s="5">
        <v>4252</v>
      </c>
      <c r="C4259">
        <v>2312</v>
      </c>
      <c r="D4259" t="s">
        <v>7020</v>
      </c>
      <c r="E4259" t="s">
        <v>825</v>
      </c>
      <c r="F4259" t="s">
        <v>18362</v>
      </c>
      <c r="G4259">
        <v>965773</v>
      </c>
      <c r="H4259">
        <v>19</v>
      </c>
      <c r="I4259">
        <v>0</v>
      </c>
      <c r="J4259">
        <v>0</v>
      </c>
      <c r="K4259">
        <v>0</v>
      </c>
      <c r="O4259">
        <v>0</v>
      </c>
      <c r="P4259">
        <v>0</v>
      </c>
      <c r="Q4259">
        <v>0</v>
      </c>
      <c r="R4259">
        <v>19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H4259">
        <v>19</v>
      </c>
    </row>
    <row r="4260" spans="1:34" x14ac:dyDescent="0.3">
      <c r="A4260" s="4">
        <v>4474</v>
      </c>
      <c r="B4260" s="5">
        <v>4253</v>
      </c>
      <c r="C4260">
        <v>5207</v>
      </c>
      <c r="D4260" t="s">
        <v>18363</v>
      </c>
      <c r="E4260" t="s">
        <v>789</v>
      </c>
      <c r="F4260" t="s">
        <v>158</v>
      </c>
      <c r="G4260" t="s">
        <v>18364</v>
      </c>
      <c r="H4260">
        <v>15.83</v>
      </c>
      <c r="I4260">
        <v>0</v>
      </c>
      <c r="J4260">
        <v>0</v>
      </c>
      <c r="K4260">
        <v>0</v>
      </c>
      <c r="N4260">
        <v>3</v>
      </c>
      <c r="O4260">
        <v>3</v>
      </c>
      <c r="P4260">
        <v>0</v>
      </c>
      <c r="Q4260">
        <v>0</v>
      </c>
      <c r="R4260">
        <v>18.829999999999998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H4260">
        <v>18.829999999999998</v>
      </c>
    </row>
    <row r="4261" spans="1:34" x14ac:dyDescent="0.3">
      <c r="A4261" s="4">
        <v>4475</v>
      </c>
      <c r="B4261" s="5">
        <v>4254</v>
      </c>
      <c r="C4261">
        <v>15549</v>
      </c>
      <c r="D4261" t="s">
        <v>18365</v>
      </c>
      <c r="E4261" t="s">
        <v>539</v>
      </c>
      <c r="F4261" t="s">
        <v>117</v>
      </c>
      <c r="G4261" t="s">
        <v>18366</v>
      </c>
      <c r="H4261">
        <v>18.75</v>
      </c>
      <c r="I4261">
        <v>0</v>
      </c>
      <c r="J4261">
        <v>0</v>
      </c>
      <c r="K4261">
        <v>0</v>
      </c>
      <c r="O4261">
        <v>0</v>
      </c>
      <c r="P4261">
        <v>0</v>
      </c>
      <c r="Q4261">
        <v>0</v>
      </c>
      <c r="R4261">
        <v>18.75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H4261">
        <v>18.75</v>
      </c>
    </row>
    <row r="4262" spans="1:34" x14ac:dyDescent="0.3">
      <c r="A4262" s="4">
        <v>4476</v>
      </c>
      <c r="B4262" s="5">
        <v>4255</v>
      </c>
      <c r="C4262">
        <v>517</v>
      </c>
      <c r="D4262" t="s">
        <v>18367</v>
      </c>
      <c r="E4262" t="s">
        <v>539</v>
      </c>
      <c r="F4262" t="s">
        <v>38</v>
      </c>
      <c r="G4262" t="s">
        <v>18368</v>
      </c>
      <c r="H4262">
        <v>15.7</v>
      </c>
      <c r="I4262">
        <v>0</v>
      </c>
      <c r="J4262">
        <v>0</v>
      </c>
      <c r="K4262">
        <v>0</v>
      </c>
      <c r="N4262">
        <v>3</v>
      </c>
      <c r="O4262">
        <v>3</v>
      </c>
      <c r="P4262">
        <v>0</v>
      </c>
      <c r="Q4262">
        <v>0</v>
      </c>
      <c r="R4262">
        <v>18.7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H4262">
        <v>18.7</v>
      </c>
    </row>
    <row r="4263" spans="1:34" x14ac:dyDescent="0.3">
      <c r="A4263" s="4">
        <v>4477</v>
      </c>
      <c r="B4263" s="5">
        <v>4256</v>
      </c>
      <c r="C4263">
        <v>2819</v>
      </c>
      <c r="D4263" t="s">
        <v>8480</v>
      </c>
      <c r="E4263" t="s">
        <v>68</v>
      </c>
      <c r="F4263" t="s">
        <v>117</v>
      </c>
      <c r="G4263" t="s">
        <v>18369</v>
      </c>
      <c r="H4263">
        <v>15.55</v>
      </c>
      <c r="I4263">
        <v>0</v>
      </c>
      <c r="J4263">
        <v>0</v>
      </c>
      <c r="K4263">
        <v>0</v>
      </c>
      <c r="N4263">
        <v>3</v>
      </c>
      <c r="O4263">
        <v>3</v>
      </c>
      <c r="P4263">
        <v>0</v>
      </c>
      <c r="Q4263">
        <v>0</v>
      </c>
      <c r="R4263">
        <v>18.55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H4263">
        <v>18.55</v>
      </c>
    </row>
    <row r="4264" spans="1:34" x14ac:dyDescent="0.3">
      <c r="A4264" s="4">
        <v>4478</v>
      </c>
      <c r="B4264" s="5">
        <v>4257</v>
      </c>
      <c r="C4264">
        <v>13322</v>
      </c>
      <c r="D4264" t="s">
        <v>18370</v>
      </c>
      <c r="E4264" t="s">
        <v>88</v>
      </c>
      <c r="F4264" t="s">
        <v>4873</v>
      </c>
      <c r="G4264" t="s">
        <v>18371</v>
      </c>
      <c r="H4264">
        <v>12.5</v>
      </c>
      <c r="I4264">
        <v>0</v>
      </c>
      <c r="J4264">
        <v>0</v>
      </c>
      <c r="K4264">
        <v>0</v>
      </c>
      <c r="N4264">
        <v>6</v>
      </c>
      <c r="O4264">
        <v>6</v>
      </c>
      <c r="P4264">
        <v>0</v>
      </c>
      <c r="Q4264">
        <v>0</v>
      </c>
      <c r="R4264">
        <v>18.5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H4264">
        <v>18.5</v>
      </c>
    </row>
    <row r="4265" spans="1:34" x14ac:dyDescent="0.3">
      <c r="A4265" s="4">
        <v>4479</v>
      </c>
      <c r="B4265" s="5">
        <v>4258</v>
      </c>
      <c r="C4265">
        <v>12198</v>
      </c>
      <c r="D4265" t="s">
        <v>18372</v>
      </c>
      <c r="E4265" t="s">
        <v>219</v>
      </c>
      <c r="F4265" t="s">
        <v>17</v>
      </c>
      <c r="G4265" t="s">
        <v>18373</v>
      </c>
      <c r="H4265">
        <v>18.43</v>
      </c>
      <c r="I4265">
        <v>0</v>
      </c>
      <c r="J4265">
        <v>0</v>
      </c>
      <c r="K4265">
        <v>0</v>
      </c>
      <c r="O4265">
        <v>0</v>
      </c>
      <c r="P4265">
        <v>0</v>
      </c>
      <c r="Q4265">
        <v>0</v>
      </c>
      <c r="R4265">
        <v>18.43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H4265">
        <v>18.43</v>
      </c>
    </row>
    <row r="4266" spans="1:34" x14ac:dyDescent="0.3">
      <c r="A4266" s="4">
        <v>4480</v>
      </c>
      <c r="B4266" s="5">
        <v>4259</v>
      </c>
      <c r="C4266">
        <v>13879</v>
      </c>
      <c r="D4266" t="s">
        <v>10258</v>
      </c>
      <c r="E4266" t="s">
        <v>406</v>
      </c>
      <c r="F4266" t="s">
        <v>8480</v>
      </c>
      <c r="G4266" t="s">
        <v>18374</v>
      </c>
      <c r="H4266">
        <v>16.25</v>
      </c>
      <c r="I4266">
        <v>0</v>
      </c>
      <c r="J4266">
        <v>0</v>
      </c>
      <c r="K4266">
        <v>0</v>
      </c>
      <c r="O4266">
        <v>0</v>
      </c>
      <c r="P4266">
        <v>0</v>
      </c>
      <c r="Q4266">
        <v>2</v>
      </c>
      <c r="R4266">
        <v>18.25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H4266">
        <v>18.25</v>
      </c>
    </row>
    <row r="4267" spans="1:34" x14ac:dyDescent="0.3">
      <c r="A4267" s="4">
        <v>4481</v>
      </c>
      <c r="B4267" s="5">
        <v>4260</v>
      </c>
      <c r="C4267">
        <v>9063</v>
      </c>
      <c r="D4267" t="s">
        <v>18375</v>
      </c>
      <c r="E4267" t="s">
        <v>697</v>
      </c>
      <c r="F4267" t="s">
        <v>124</v>
      </c>
      <c r="G4267" t="s">
        <v>18376</v>
      </c>
      <c r="H4267">
        <v>15.23</v>
      </c>
      <c r="I4267">
        <v>0</v>
      </c>
      <c r="J4267">
        <v>0</v>
      </c>
      <c r="K4267">
        <v>0</v>
      </c>
      <c r="O4267">
        <v>0</v>
      </c>
      <c r="P4267">
        <v>0</v>
      </c>
      <c r="Q4267">
        <v>0</v>
      </c>
      <c r="R4267">
        <v>15.23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3</v>
      </c>
      <c r="AC4267">
        <v>0</v>
      </c>
      <c r="AH4267">
        <v>18.23</v>
      </c>
    </row>
    <row r="4268" spans="1:34" x14ac:dyDescent="0.3">
      <c r="A4268" s="4">
        <v>4482</v>
      </c>
      <c r="B4268" s="5">
        <v>4261</v>
      </c>
      <c r="C4268">
        <v>6326</v>
      </c>
      <c r="D4268" t="s">
        <v>1845</v>
      </c>
      <c r="E4268" t="s">
        <v>97</v>
      </c>
      <c r="F4268" t="s">
        <v>91</v>
      </c>
      <c r="G4268" t="s">
        <v>18377</v>
      </c>
      <c r="H4268">
        <v>16.23</v>
      </c>
      <c r="I4268">
        <v>0</v>
      </c>
      <c r="J4268">
        <v>0</v>
      </c>
      <c r="K4268">
        <v>0</v>
      </c>
      <c r="O4268">
        <v>0</v>
      </c>
      <c r="P4268">
        <v>0</v>
      </c>
      <c r="Q4268">
        <v>2</v>
      </c>
      <c r="R4268">
        <v>18.23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H4268">
        <v>18.23</v>
      </c>
    </row>
    <row r="4269" spans="1:34" x14ac:dyDescent="0.3">
      <c r="A4269" s="4">
        <v>4483</v>
      </c>
      <c r="B4269" s="5">
        <v>4262</v>
      </c>
      <c r="C4269">
        <v>10777</v>
      </c>
      <c r="D4269" t="s">
        <v>9046</v>
      </c>
      <c r="E4269" t="s">
        <v>208</v>
      </c>
      <c r="F4269" t="s">
        <v>136</v>
      </c>
      <c r="G4269" t="s">
        <v>18378</v>
      </c>
      <c r="H4269">
        <v>18.100000000000001</v>
      </c>
      <c r="I4269">
        <v>0</v>
      </c>
      <c r="J4269">
        <v>0</v>
      </c>
      <c r="K4269">
        <v>0</v>
      </c>
      <c r="O4269">
        <v>0</v>
      </c>
      <c r="P4269">
        <v>0</v>
      </c>
      <c r="Q4269">
        <v>0</v>
      </c>
      <c r="R4269">
        <v>18.100000000000001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H4269">
        <v>18.100000000000001</v>
      </c>
    </row>
    <row r="4270" spans="1:34" x14ac:dyDescent="0.3">
      <c r="A4270" s="4">
        <v>4484</v>
      </c>
      <c r="B4270" s="5">
        <v>4263</v>
      </c>
      <c r="C4270">
        <v>11177</v>
      </c>
      <c r="D4270" t="s">
        <v>18379</v>
      </c>
      <c r="E4270" t="s">
        <v>68</v>
      </c>
      <c r="F4270" t="s">
        <v>81</v>
      </c>
      <c r="G4270" t="s">
        <v>18380</v>
      </c>
      <c r="H4270">
        <v>17.98</v>
      </c>
      <c r="I4270">
        <v>0</v>
      </c>
      <c r="J4270">
        <v>0</v>
      </c>
      <c r="K4270">
        <v>0</v>
      </c>
      <c r="O4270">
        <v>0</v>
      </c>
      <c r="P4270">
        <v>0</v>
      </c>
      <c r="Q4270">
        <v>0</v>
      </c>
      <c r="R4270">
        <v>17.98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H4270">
        <v>17.98</v>
      </c>
    </row>
    <row r="4271" spans="1:34" x14ac:dyDescent="0.3">
      <c r="A4271" s="4">
        <v>4485</v>
      </c>
      <c r="B4271" s="5">
        <v>4264</v>
      </c>
      <c r="C4271">
        <v>13038</v>
      </c>
      <c r="D4271" t="s">
        <v>18381</v>
      </c>
      <c r="E4271" t="s">
        <v>219</v>
      </c>
      <c r="F4271" t="s">
        <v>343</v>
      </c>
      <c r="G4271" t="s">
        <v>18382</v>
      </c>
      <c r="H4271">
        <v>17.95</v>
      </c>
      <c r="I4271">
        <v>0</v>
      </c>
      <c r="J4271">
        <v>0</v>
      </c>
      <c r="K4271">
        <v>0</v>
      </c>
      <c r="O4271">
        <v>0</v>
      </c>
      <c r="P4271">
        <v>0</v>
      </c>
      <c r="Q4271">
        <v>0</v>
      </c>
      <c r="R4271">
        <v>17.95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H4271">
        <v>17.95</v>
      </c>
    </row>
    <row r="4272" spans="1:34" x14ac:dyDescent="0.3">
      <c r="A4272" s="4">
        <v>4486</v>
      </c>
      <c r="B4272" s="5">
        <v>4265</v>
      </c>
      <c r="C4272">
        <v>7481</v>
      </c>
      <c r="D4272" t="s">
        <v>18383</v>
      </c>
      <c r="E4272" t="s">
        <v>22</v>
      </c>
      <c r="F4272" t="s">
        <v>442</v>
      </c>
      <c r="G4272" t="s">
        <v>18384</v>
      </c>
      <c r="H4272">
        <v>17.850000000000001</v>
      </c>
      <c r="I4272">
        <v>0</v>
      </c>
      <c r="J4272">
        <v>0</v>
      </c>
      <c r="K4272">
        <v>0</v>
      </c>
      <c r="O4272">
        <v>0</v>
      </c>
      <c r="P4272">
        <v>0</v>
      </c>
      <c r="Q4272">
        <v>0</v>
      </c>
      <c r="R4272">
        <v>17.850000000000001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H4272">
        <v>17.850000000000001</v>
      </c>
    </row>
    <row r="4273" spans="1:34" x14ac:dyDescent="0.3">
      <c r="A4273" s="4">
        <v>4487</v>
      </c>
      <c r="B4273" s="5">
        <v>4266</v>
      </c>
      <c r="C4273">
        <v>6617</v>
      </c>
      <c r="D4273" t="s">
        <v>18385</v>
      </c>
      <c r="E4273" t="s">
        <v>4258</v>
      </c>
      <c r="F4273" t="s">
        <v>158</v>
      </c>
      <c r="G4273" t="s">
        <v>18386</v>
      </c>
      <c r="H4273">
        <v>17.68</v>
      </c>
      <c r="I4273">
        <v>0</v>
      </c>
      <c r="J4273">
        <v>0</v>
      </c>
      <c r="K4273">
        <v>0</v>
      </c>
      <c r="O4273">
        <v>0</v>
      </c>
      <c r="P4273">
        <v>0</v>
      </c>
      <c r="Q4273">
        <v>0</v>
      </c>
      <c r="R4273">
        <v>17.68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H4273">
        <v>17.68</v>
      </c>
    </row>
    <row r="4274" spans="1:34" x14ac:dyDescent="0.3">
      <c r="A4274" s="4">
        <v>4488</v>
      </c>
      <c r="B4274" s="5">
        <v>4267</v>
      </c>
      <c r="C4274">
        <v>15530</v>
      </c>
      <c r="D4274" t="s">
        <v>16501</v>
      </c>
      <c r="E4274" t="s">
        <v>18387</v>
      </c>
      <c r="F4274" t="s">
        <v>158</v>
      </c>
      <c r="G4274" t="s">
        <v>18388</v>
      </c>
      <c r="H4274">
        <v>17.579999999999998</v>
      </c>
      <c r="I4274">
        <v>0</v>
      </c>
      <c r="J4274">
        <v>0</v>
      </c>
      <c r="K4274">
        <v>0</v>
      </c>
      <c r="O4274">
        <v>0</v>
      </c>
      <c r="P4274">
        <v>0</v>
      </c>
      <c r="Q4274">
        <v>0</v>
      </c>
      <c r="R4274">
        <v>17.579999999999998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H4274">
        <v>17.579999999999998</v>
      </c>
    </row>
    <row r="4275" spans="1:34" x14ac:dyDescent="0.3">
      <c r="A4275" s="4">
        <v>4489</v>
      </c>
      <c r="B4275" s="5">
        <v>4268</v>
      </c>
      <c r="C4275">
        <v>14708</v>
      </c>
      <c r="D4275" t="s">
        <v>18389</v>
      </c>
      <c r="E4275" t="s">
        <v>7737</v>
      </c>
      <c r="F4275" t="s">
        <v>343</v>
      </c>
      <c r="G4275" t="s">
        <v>18390</v>
      </c>
      <c r="H4275">
        <v>12.5</v>
      </c>
      <c r="I4275">
        <v>0</v>
      </c>
      <c r="J4275">
        <v>0</v>
      </c>
      <c r="K4275">
        <v>0</v>
      </c>
      <c r="N4275">
        <v>3</v>
      </c>
      <c r="O4275">
        <v>3</v>
      </c>
      <c r="P4275">
        <v>0</v>
      </c>
      <c r="Q4275">
        <v>2</v>
      </c>
      <c r="R4275">
        <v>17.5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H4275">
        <v>17.5</v>
      </c>
    </row>
    <row r="4276" spans="1:34" x14ac:dyDescent="0.3">
      <c r="A4276" s="4">
        <v>4490</v>
      </c>
      <c r="B4276" s="5">
        <v>4269</v>
      </c>
      <c r="C4276">
        <v>6663</v>
      </c>
      <c r="D4276" t="s">
        <v>18391</v>
      </c>
      <c r="E4276" t="s">
        <v>188</v>
      </c>
      <c r="F4276" t="s">
        <v>18392</v>
      </c>
      <c r="G4276" t="s">
        <v>18393</v>
      </c>
      <c r="H4276">
        <v>12.5</v>
      </c>
      <c r="I4276">
        <v>0</v>
      </c>
      <c r="J4276">
        <v>0</v>
      </c>
      <c r="K4276">
        <v>0</v>
      </c>
      <c r="M4276">
        <v>5</v>
      </c>
      <c r="O4276">
        <v>5</v>
      </c>
      <c r="P4276">
        <v>0</v>
      </c>
      <c r="Q4276">
        <v>0</v>
      </c>
      <c r="R4276">
        <v>17.5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H4276">
        <v>17.5</v>
      </c>
    </row>
    <row r="4277" spans="1:34" x14ac:dyDescent="0.3">
      <c r="A4277" s="4">
        <v>4491</v>
      </c>
      <c r="B4277" s="5">
        <v>4270</v>
      </c>
      <c r="C4277">
        <v>12443</v>
      </c>
      <c r="D4277" t="s">
        <v>18394</v>
      </c>
      <c r="E4277" t="s">
        <v>5549</v>
      </c>
      <c r="F4277" t="s">
        <v>4370</v>
      </c>
      <c r="G4277" t="s">
        <v>18395</v>
      </c>
      <c r="H4277">
        <v>12.5</v>
      </c>
      <c r="I4277">
        <v>0</v>
      </c>
      <c r="J4277">
        <v>0</v>
      </c>
      <c r="K4277">
        <v>0</v>
      </c>
      <c r="M4277">
        <v>5</v>
      </c>
      <c r="O4277">
        <v>5</v>
      </c>
      <c r="P4277">
        <v>0</v>
      </c>
      <c r="Q4277">
        <v>0</v>
      </c>
      <c r="R4277">
        <v>17.5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H4277">
        <v>17.5</v>
      </c>
    </row>
    <row r="4278" spans="1:34" x14ac:dyDescent="0.3">
      <c r="A4278" s="4">
        <v>4492</v>
      </c>
      <c r="B4278" s="5">
        <v>4271</v>
      </c>
      <c r="C4278">
        <v>3460</v>
      </c>
      <c r="D4278" t="s">
        <v>8744</v>
      </c>
      <c r="E4278" t="s">
        <v>29</v>
      </c>
      <c r="F4278" t="s">
        <v>230</v>
      </c>
      <c r="G4278" t="s">
        <v>18396</v>
      </c>
      <c r="H4278">
        <v>12.5</v>
      </c>
      <c r="I4278">
        <v>0</v>
      </c>
      <c r="J4278">
        <v>0</v>
      </c>
      <c r="K4278">
        <v>0</v>
      </c>
      <c r="N4278">
        <v>3</v>
      </c>
      <c r="O4278">
        <v>3</v>
      </c>
      <c r="P4278">
        <v>0</v>
      </c>
      <c r="Q4278">
        <v>2</v>
      </c>
      <c r="R4278">
        <v>17.5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H4278">
        <v>17.5</v>
      </c>
    </row>
    <row r="4279" spans="1:34" x14ac:dyDescent="0.3">
      <c r="A4279" s="4">
        <v>4493</v>
      </c>
      <c r="B4279" s="5">
        <v>4272</v>
      </c>
      <c r="C4279">
        <v>13679</v>
      </c>
      <c r="D4279" t="s">
        <v>16058</v>
      </c>
      <c r="E4279" t="s">
        <v>439</v>
      </c>
      <c r="F4279" t="s">
        <v>298</v>
      </c>
      <c r="G4279" t="s">
        <v>18397</v>
      </c>
      <c r="H4279">
        <v>12.5</v>
      </c>
      <c r="I4279">
        <v>0</v>
      </c>
      <c r="J4279">
        <v>0</v>
      </c>
      <c r="K4279">
        <v>0</v>
      </c>
      <c r="N4279">
        <v>3</v>
      </c>
      <c r="O4279">
        <v>3</v>
      </c>
      <c r="P4279">
        <v>0</v>
      </c>
      <c r="Q4279">
        <v>2</v>
      </c>
      <c r="R4279">
        <v>17.5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H4279">
        <v>17.5</v>
      </c>
    </row>
    <row r="4280" spans="1:34" x14ac:dyDescent="0.3">
      <c r="A4280" s="4">
        <v>4494</v>
      </c>
      <c r="B4280" s="5">
        <v>4273</v>
      </c>
      <c r="C4280">
        <v>14462</v>
      </c>
      <c r="D4280" t="s">
        <v>18398</v>
      </c>
      <c r="E4280" t="s">
        <v>18399</v>
      </c>
      <c r="F4280" t="s">
        <v>18400</v>
      </c>
      <c r="G4280" t="s">
        <v>18401</v>
      </c>
      <c r="H4280">
        <v>12.5</v>
      </c>
      <c r="I4280">
        <v>0</v>
      </c>
      <c r="J4280">
        <v>0</v>
      </c>
      <c r="K4280">
        <v>0</v>
      </c>
      <c r="N4280">
        <v>3</v>
      </c>
      <c r="O4280">
        <v>3</v>
      </c>
      <c r="P4280">
        <v>0</v>
      </c>
      <c r="Q4280">
        <v>2</v>
      </c>
      <c r="R4280">
        <v>17.5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H4280">
        <v>17.5</v>
      </c>
    </row>
    <row r="4281" spans="1:34" x14ac:dyDescent="0.3">
      <c r="A4281" s="4">
        <v>4495</v>
      </c>
      <c r="B4281" s="5">
        <v>4274</v>
      </c>
      <c r="C4281">
        <v>13759</v>
      </c>
      <c r="D4281" t="s">
        <v>18402</v>
      </c>
      <c r="E4281" t="s">
        <v>18403</v>
      </c>
      <c r="F4281" t="s">
        <v>17</v>
      </c>
      <c r="G4281" t="s">
        <v>18404</v>
      </c>
      <c r="H4281">
        <v>17.43</v>
      </c>
      <c r="I4281">
        <v>0</v>
      </c>
      <c r="J4281">
        <v>0</v>
      </c>
      <c r="K4281">
        <v>0</v>
      </c>
      <c r="O4281">
        <v>0</v>
      </c>
      <c r="P4281">
        <v>0</v>
      </c>
      <c r="Q4281">
        <v>0</v>
      </c>
      <c r="R4281">
        <v>17.43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H4281">
        <v>17.43</v>
      </c>
    </row>
    <row r="4282" spans="1:34" x14ac:dyDescent="0.3">
      <c r="A4282" s="4">
        <v>4496</v>
      </c>
      <c r="B4282" s="5">
        <v>4275</v>
      </c>
      <c r="C4282">
        <v>3890</v>
      </c>
      <c r="D4282" t="s">
        <v>12283</v>
      </c>
      <c r="E4282" t="s">
        <v>29</v>
      </c>
      <c r="F4282" t="s">
        <v>81</v>
      </c>
      <c r="G4282" t="s">
        <v>18405</v>
      </c>
      <c r="H4282">
        <v>17.329999999999998</v>
      </c>
      <c r="I4282">
        <v>0</v>
      </c>
      <c r="J4282">
        <v>0</v>
      </c>
      <c r="K4282">
        <v>0</v>
      </c>
      <c r="O4282">
        <v>0</v>
      </c>
      <c r="P4282">
        <v>0</v>
      </c>
      <c r="Q4282">
        <v>0</v>
      </c>
      <c r="R4282">
        <v>17.329999999999998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H4282">
        <v>17.329999999999998</v>
      </c>
    </row>
    <row r="4283" spans="1:34" x14ac:dyDescent="0.3">
      <c r="A4283" s="4">
        <v>4497</v>
      </c>
      <c r="B4283" s="5">
        <v>4276</v>
      </c>
      <c r="C4283">
        <v>11707</v>
      </c>
      <c r="D4283" t="s">
        <v>11119</v>
      </c>
      <c r="E4283" t="s">
        <v>41</v>
      </c>
      <c r="F4283" t="s">
        <v>124</v>
      </c>
      <c r="G4283" t="s">
        <v>32064</v>
      </c>
      <c r="H4283">
        <v>16.8</v>
      </c>
      <c r="I4283">
        <v>0</v>
      </c>
      <c r="J4283">
        <v>0</v>
      </c>
      <c r="K4283">
        <v>0</v>
      </c>
      <c r="O4283">
        <v>0</v>
      </c>
      <c r="P4283">
        <v>0</v>
      </c>
      <c r="Q4283">
        <v>0</v>
      </c>
      <c r="R4283">
        <v>16.8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H4283">
        <v>16.8</v>
      </c>
    </row>
    <row r="4284" spans="1:34" x14ac:dyDescent="0.3">
      <c r="A4284" s="4">
        <v>4498</v>
      </c>
      <c r="B4284" s="5">
        <v>4277</v>
      </c>
      <c r="C4284">
        <v>5390</v>
      </c>
      <c r="D4284" t="s">
        <v>18406</v>
      </c>
      <c r="E4284" t="s">
        <v>54</v>
      </c>
      <c r="F4284" t="s">
        <v>190</v>
      </c>
      <c r="G4284" t="s">
        <v>18407</v>
      </c>
      <c r="H4284">
        <v>12.5</v>
      </c>
      <c r="I4284">
        <v>0</v>
      </c>
      <c r="J4284">
        <v>0</v>
      </c>
      <c r="K4284">
        <v>0</v>
      </c>
      <c r="O4284">
        <v>0</v>
      </c>
      <c r="P4284">
        <v>4</v>
      </c>
      <c r="Q4284">
        <v>0</v>
      </c>
      <c r="R4284">
        <v>16.5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H4284">
        <v>16.5</v>
      </c>
    </row>
    <row r="4285" spans="1:34" x14ac:dyDescent="0.3">
      <c r="A4285" s="4">
        <v>4499</v>
      </c>
      <c r="B4285" s="5">
        <v>4278</v>
      </c>
      <c r="C4285">
        <v>14140</v>
      </c>
      <c r="D4285" t="s">
        <v>18408</v>
      </c>
      <c r="E4285" t="s">
        <v>54</v>
      </c>
      <c r="F4285" t="s">
        <v>17</v>
      </c>
      <c r="G4285" t="s">
        <v>18409</v>
      </c>
      <c r="H4285">
        <v>12.5</v>
      </c>
      <c r="I4285">
        <v>0</v>
      </c>
      <c r="J4285">
        <v>0</v>
      </c>
      <c r="K4285">
        <v>0</v>
      </c>
      <c r="O4285">
        <v>0</v>
      </c>
      <c r="P4285">
        <v>4</v>
      </c>
      <c r="Q4285">
        <v>0</v>
      </c>
      <c r="R4285">
        <v>16.5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H4285">
        <v>16.5</v>
      </c>
    </row>
    <row r="4286" spans="1:34" x14ac:dyDescent="0.3">
      <c r="A4286" s="4">
        <v>4500</v>
      </c>
      <c r="B4286" s="5">
        <v>4279</v>
      </c>
      <c r="C4286">
        <v>13181</v>
      </c>
      <c r="D4286" t="s">
        <v>18410</v>
      </c>
      <c r="E4286" t="s">
        <v>18411</v>
      </c>
      <c r="F4286" t="s">
        <v>18412</v>
      </c>
      <c r="G4286" t="s">
        <v>18413</v>
      </c>
      <c r="H4286">
        <v>12.5</v>
      </c>
      <c r="I4286">
        <v>0</v>
      </c>
      <c r="J4286">
        <v>0</v>
      </c>
      <c r="K4286">
        <v>0</v>
      </c>
      <c r="O4286">
        <v>0</v>
      </c>
      <c r="P4286">
        <v>4</v>
      </c>
      <c r="Q4286">
        <v>0</v>
      </c>
      <c r="R4286">
        <v>16.5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H4286">
        <v>16.5</v>
      </c>
    </row>
    <row r="4287" spans="1:34" x14ac:dyDescent="0.3">
      <c r="A4287" s="4">
        <v>4501</v>
      </c>
      <c r="B4287" s="5">
        <v>4280</v>
      </c>
      <c r="C4287">
        <v>14389</v>
      </c>
      <c r="D4287" t="s">
        <v>18414</v>
      </c>
      <c r="E4287" t="s">
        <v>243</v>
      </c>
      <c r="F4287" t="s">
        <v>1806</v>
      </c>
      <c r="G4287" t="s">
        <v>18415</v>
      </c>
      <c r="H4287">
        <v>12.5</v>
      </c>
      <c r="I4287">
        <v>0</v>
      </c>
      <c r="J4287">
        <v>0</v>
      </c>
      <c r="K4287">
        <v>0</v>
      </c>
      <c r="O4287">
        <v>0</v>
      </c>
      <c r="P4287">
        <v>4</v>
      </c>
      <c r="Q4287">
        <v>0</v>
      </c>
      <c r="R4287">
        <v>16.5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H4287">
        <v>16.5</v>
      </c>
    </row>
    <row r="4288" spans="1:34" x14ac:dyDescent="0.3">
      <c r="A4288" s="4">
        <v>4502</v>
      </c>
      <c r="B4288" s="5">
        <v>4281</v>
      </c>
      <c r="C4288">
        <v>8318</v>
      </c>
      <c r="D4288" t="s">
        <v>18416</v>
      </c>
      <c r="E4288" t="s">
        <v>33</v>
      </c>
      <c r="F4288" t="s">
        <v>17</v>
      </c>
      <c r="G4288" t="s">
        <v>18417</v>
      </c>
      <c r="H4288">
        <v>12.5</v>
      </c>
      <c r="I4288">
        <v>0</v>
      </c>
      <c r="J4288">
        <v>0</v>
      </c>
      <c r="K4288">
        <v>0</v>
      </c>
      <c r="O4288">
        <v>0</v>
      </c>
      <c r="P4288">
        <v>4</v>
      </c>
      <c r="Q4288">
        <v>0</v>
      </c>
      <c r="R4288">
        <v>16.5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H4288">
        <v>16.5</v>
      </c>
    </row>
    <row r="4289" spans="1:34" x14ac:dyDescent="0.3">
      <c r="A4289" s="4">
        <v>4503</v>
      </c>
      <c r="B4289" s="5">
        <v>4282</v>
      </c>
      <c r="C4289">
        <v>4785</v>
      </c>
      <c r="D4289" t="s">
        <v>18418</v>
      </c>
      <c r="E4289" t="s">
        <v>342</v>
      </c>
      <c r="F4289" t="s">
        <v>30</v>
      </c>
      <c r="G4289" t="s">
        <v>18419</v>
      </c>
      <c r="H4289">
        <v>16.350000000000001</v>
      </c>
      <c r="I4289">
        <v>0</v>
      </c>
      <c r="J4289">
        <v>0</v>
      </c>
      <c r="K4289">
        <v>0</v>
      </c>
      <c r="O4289">
        <v>0</v>
      </c>
      <c r="P4289">
        <v>0</v>
      </c>
      <c r="Q4289">
        <v>0</v>
      </c>
      <c r="R4289">
        <v>16.350000000000001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H4289">
        <v>16.350000000000001</v>
      </c>
    </row>
    <row r="4290" spans="1:34" x14ac:dyDescent="0.3">
      <c r="A4290" s="4">
        <v>4504</v>
      </c>
      <c r="B4290" s="5">
        <v>4283</v>
      </c>
      <c r="C4290">
        <v>15005</v>
      </c>
      <c r="D4290" t="s">
        <v>18420</v>
      </c>
      <c r="E4290" t="s">
        <v>17</v>
      </c>
      <c r="F4290" t="s">
        <v>521</v>
      </c>
      <c r="G4290">
        <v>76556</v>
      </c>
      <c r="H4290">
        <v>16.23</v>
      </c>
      <c r="I4290">
        <v>0</v>
      </c>
      <c r="J4290">
        <v>0</v>
      </c>
      <c r="K4290">
        <v>0</v>
      </c>
      <c r="O4290">
        <v>0</v>
      </c>
      <c r="P4290">
        <v>0</v>
      </c>
      <c r="Q4290">
        <v>0</v>
      </c>
      <c r="R4290">
        <v>16.23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H4290">
        <v>16.23</v>
      </c>
    </row>
    <row r="4291" spans="1:34" x14ac:dyDescent="0.3">
      <c r="A4291" s="4">
        <v>4505</v>
      </c>
      <c r="B4291" s="5">
        <v>4284</v>
      </c>
      <c r="C4291">
        <v>13012</v>
      </c>
      <c r="D4291" t="s">
        <v>18421</v>
      </c>
      <c r="E4291" t="s">
        <v>343</v>
      </c>
      <c r="F4291" t="s">
        <v>17</v>
      </c>
      <c r="G4291" t="s">
        <v>18422</v>
      </c>
      <c r="H4291">
        <v>15.83</v>
      </c>
      <c r="I4291">
        <v>0</v>
      </c>
      <c r="J4291">
        <v>0</v>
      </c>
      <c r="K4291">
        <v>0</v>
      </c>
      <c r="O4291">
        <v>0</v>
      </c>
      <c r="P4291">
        <v>0</v>
      </c>
      <c r="Q4291">
        <v>0</v>
      </c>
      <c r="R4291">
        <v>15.83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H4291">
        <v>15.83</v>
      </c>
    </row>
    <row r="4292" spans="1:34" x14ac:dyDescent="0.3">
      <c r="A4292" s="4">
        <v>4506</v>
      </c>
      <c r="B4292" s="5">
        <v>4285</v>
      </c>
      <c r="C4292">
        <v>7208</v>
      </c>
      <c r="D4292" t="s">
        <v>18423</v>
      </c>
      <c r="E4292" t="s">
        <v>132</v>
      </c>
      <c r="F4292" t="s">
        <v>30</v>
      </c>
      <c r="G4292" t="s">
        <v>18424</v>
      </c>
      <c r="H4292">
        <v>12.5</v>
      </c>
      <c r="I4292">
        <v>0</v>
      </c>
      <c r="J4292">
        <v>0</v>
      </c>
      <c r="K4292">
        <v>0</v>
      </c>
      <c r="O4292">
        <v>0</v>
      </c>
      <c r="P4292">
        <v>0</v>
      </c>
      <c r="Q4292">
        <v>0</v>
      </c>
      <c r="R4292">
        <v>12.5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3</v>
      </c>
      <c r="AC4292">
        <v>0</v>
      </c>
      <c r="AH4292">
        <v>15.5</v>
      </c>
    </row>
    <row r="4293" spans="1:34" x14ac:dyDescent="0.3">
      <c r="A4293" s="4">
        <v>4507</v>
      </c>
      <c r="B4293" s="5">
        <v>4286</v>
      </c>
      <c r="C4293">
        <v>11748</v>
      </c>
      <c r="D4293" t="s">
        <v>18425</v>
      </c>
      <c r="E4293" t="s">
        <v>48</v>
      </c>
      <c r="F4293" t="s">
        <v>136</v>
      </c>
      <c r="G4293" t="s">
        <v>18426</v>
      </c>
      <c r="H4293">
        <v>12.5</v>
      </c>
      <c r="I4293">
        <v>0</v>
      </c>
      <c r="J4293">
        <v>0</v>
      </c>
      <c r="K4293">
        <v>0</v>
      </c>
      <c r="N4293">
        <v>3</v>
      </c>
      <c r="O4293">
        <v>3</v>
      </c>
      <c r="P4293">
        <v>0</v>
      </c>
      <c r="Q4293">
        <v>0</v>
      </c>
      <c r="R4293">
        <v>15.5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H4293">
        <v>15.5</v>
      </c>
    </row>
    <row r="4294" spans="1:34" x14ac:dyDescent="0.3">
      <c r="A4294" s="4">
        <v>4508</v>
      </c>
      <c r="B4294" s="5">
        <v>4287</v>
      </c>
      <c r="C4294">
        <v>15185</v>
      </c>
      <c r="D4294" t="s">
        <v>18427</v>
      </c>
      <c r="E4294" t="s">
        <v>38</v>
      </c>
      <c r="F4294" t="s">
        <v>227</v>
      </c>
      <c r="G4294" t="s">
        <v>18428</v>
      </c>
      <c r="H4294">
        <v>12.5</v>
      </c>
      <c r="I4294">
        <v>0</v>
      </c>
      <c r="J4294">
        <v>0</v>
      </c>
      <c r="K4294">
        <v>0</v>
      </c>
      <c r="N4294">
        <v>3</v>
      </c>
      <c r="O4294">
        <v>3</v>
      </c>
      <c r="P4294">
        <v>0</v>
      </c>
      <c r="Q4294">
        <v>0</v>
      </c>
      <c r="R4294">
        <v>15.5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H4294">
        <v>15.5</v>
      </c>
    </row>
    <row r="4295" spans="1:34" x14ac:dyDescent="0.3">
      <c r="A4295" s="4">
        <v>4509</v>
      </c>
      <c r="B4295" s="5">
        <v>4288</v>
      </c>
      <c r="C4295">
        <v>14166</v>
      </c>
      <c r="D4295" t="s">
        <v>16916</v>
      </c>
      <c r="E4295" t="s">
        <v>1016</v>
      </c>
      <c r="F4295" t="s">
        <v>81</v>
      </c>
      <c r="G4295" t="s">
        <v>18429</v>
      </c>
      <c r="H4295">
        <v>12.5</v>
      </c>
      <c r="I4295">
        <v>0</v>
      </c>
      <c r="J4295">
        <v>0</v>
      </c>
      <c r="K4295">
        <v>0</v>
      </c>
      <c r="N4295">
        <v>3</v>
      </c>
      <c r="O4295">
        <v>3</v>
      </c>
      <c r="P4295">
        <v>0</v>
      </c>
      <c r="Q4295">
        <v>0</v>
      </c>
      <c r="R4295">
        <v>15.5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H4295">
        <v>15.5</v>
      </c>
    </row>
    <row r="4296" spans="1:34" x14ac:dyDescent="0.3">
      <c r="A4296" s="4">
        <v>4510</v>
      </c>
      <c r="B4296" s="5">
        <v>4289</v>
      </c>
      <c r="C4296">
        <v>14393</v>
      </c>
      <c r="D4296" t="s">
        <v>18430</v>
      </c>
      <c r="E4296" t="s">
        <v>88</v>
      </c>
      <c r="F4296" t="s">
        <v>20</v>
      </c>
      <c r="G4296" t="s">
        <v>18431</v>
      </c>
      <c r="H4296">
        <v>12.5</v>
      </c>
      <c r="I4296">
        <v>0</v>
      </c>
      <c r="J4296">
        <v>0</v>
      </c>
      <c r="K4296">
        <v>0</v>
      </c>
      <c r="N4296">
        <v>3</v>
      </c>
      <c r="O4296">
        <v>3</v>
      </c>
      <c r="P4296">
        <v>0</v>
      </c>
      <c r="Q4296">
        <v>0</v>
      </c>
      <c r="R4296">
        <v>15.5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H4296">
        <v>15.5</v>
      </c>
    </row>
    <row r="4297" spans="1:34" x14ac:dyDescent="0.3">
      <c r="A4297" s="4">
        <v>4511</v>
      </c>
      <c r="B4297" s="5">
        <v>4290</v>
      </c>
      <c r="C4297">
        <v>5110</v>
      </c>
      <c r="D4297" t="s">
        <v>18432</v>
      </c>
      <c r="E4297" t="s">
        <v>18433</v>
      </c>
      <c r="F4297" t="s">
        <v>7403</v>
      </c>
      <c r="G4297" t="s">
        <v>18434</v>
      </c>
      <c r="H4297">
        <v>12.5</v>
      </c>
      <c r="I4297">
        <v>0</v>
      </c>
      <c r="J4297">
        <v>0</v>
      </c>
      <c r="K4297">
        <v>0</v>
      </c>
      <c r="N4297">
        <v>3</v>
      </c>
      <c r="O4297">
        <v>3</v>
      </c>
      <c r="P4297">
        <v>0</v>
      </c>
      <c r="Q4297">
        <v>0</v>
      </c>
      <c r="R4297">
        <v>15.5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H4297">
        <v>15.5</v>
      </c>
    </row>
    <row r="4298" spans="1:34" x14ac:dyDescent="0.3">
      <c r="A4298" s="4">
        <v>4512</v>
      </c>
      <c r="B4298" s="5">
        <v>4291</v>
      </c>
      <c r="C4298">
        <v>11832</v>
      </c>
      <c r="D4298" t="s">
        <v>18435</v>
      </c>
      <c r="E4298" t="s">
        <v>81</v>
      </c>
      <c r="F4298" t="s">
        <v>38</v>
      </c>
      <c r="G4298" t="s">
        <v>18436</v>
      </c>
      <c r="H4298">
        <v>12.5</v>
      </c>
      <c r="I4298">
        <v>0</v>
      </c>
      <c r="J4298">
        <v>0</v>
      </c>
      <c r="K4298">
        <v>0</v>
      </c>
      <c r="N4298">
        <v>3</v>
      </c>
      <c r="O4298">
        <v>3</v>
      </c>
      <c r="P4298">
        <v>0</v>
      </c>
      <c r="Q4298">
        <v>0</v>
      </c>
      <c r="R4298">
        <v>15.5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H4298">
        <v>15.5</v>
      </c>
    </row>
    <row r="4299" spans="1:34" x14ac:dyDescent="0.3">
      <c r="A4299" s="4">
        <v>4513</v>
      </c>
      <c r="B4299" s="5">
        <v>4292</v>
      </c>
      <c r="C4299">
        <v>9674</v>
      </c>
      <c r="D4299" t="s">
        <v>18437</v>
      </c>
      <c r="E4299" t="s">
        <v>182</v>
      </c>
      <c r="F4299" t="s">
        <v>17</v>
      </c>
      <c r="G4299" t="s">
        <v>18438</v>
      </c>
      <c r="H4299">
        <v>12.5</v>
      </c>
      <c r="I4299">
        <v>0</v>
      </c>
      <c r="J4299">
        <v>0</v>
      </c>
      <c r="K4299">
        <v>0</v>
      </c>
      <c r="N4299">
        <v>3</v>
      </c>
      <c r="O4299">
        <v>3</v>
      </c>
      <c r="P4299">
        <v>0</v>
      </c>
      <c r="Q4299">
        <v>0</v>
      </c>
      <c r="R4299">
        <v>15.5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H4299">
        <v>15.5</v>
      </c>
    </row>
    <row r="4300" spans="1:34" x14ac:dyDescent="0.3">
      <c r="A4300" s="4">
        <v>4514</v>
      </c>
      <c r="B4300" s="5">
        <v>4293</v>
      </c>
      <c r="C4300">
        <v>15703</v>
      </c>
      <c r="D4300" t="s">
        <v>18439</v>
      </c>
      <c r="E4300" t="s">
        <v>132</v>
      </c>
      <c r="F4300" t="s">
        <v>167</v>
      </c>
      <c r="G4300" t="s">
        <v>18440</v>
      </c>
      <c r="H4300">
        <v>12.5</v>
      </c>
      <c r="I4300">
        <v>0</v>
      </c>
      <c r="J4300">
        <v>0</v>
      </c>
      <c r="K4300">
        <v>0</v>
      </c>
      <c r="N4300">
        <v>3</v>
      </c>
      <c r="O4300">
        <v>3</v>
      </c>
      <c r="P4300">
        <v>0</v>
      </c>
      <c r="Q4300">
        <v>0</v>
      </c>
      <c r="R4300">
        <v>15.5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H4300">
        <v>15.5</v>
      </c>
    </row>
    <row r="4301" spans="1:34" x14ac:dyDescent="0.3">
      <c r="A4301" s="4">
        <v>4515</v>
      </c>
      <c r="B4301" s="5">
        <v>4294</v>
      </c>
      <c r="C4301">
        <v>3974</v>
      </c>
      <c r="D4301" t="s">
        <v>18441</v>
      </c>
      <c r="E4301" t="s">
        <v>29</v>
      </c>
      <c r="F4301" t="s">
        <v>52</v>
      </c>
      <c r="G4301" t="s">
        <v>18442</v>
      </c>
      <c r="H4301">
        <v>14.75</v>
      </c>
      <c r="I4301">
        <v>0</v>
      </c>
      <c r="J4301">
        <v>0</v>
      </c>
      <c r="K4301">
        <v>0</v>
      </c>
      <c r="O4301">
        <v>0</v>
      </c>
      <c r="P4301">
        <v>0</v>
      </c>
      <c r="Q4301">
        <v>0</v>
      </c>
      <c r="R4301">
        <v>14.75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H4301">
        <v>14.75</v>
      </c>
    </row>
    <row r="4302" spans="1:34" x14ac:dyDescent="0.3">
      <c r="A4302" s="4">
        <v>4516</v>
      </c>
      <c r="B4302" s="5">
        <v>4295</v>
      </c>
      <c r="C4302">
        <v>12862</v>
      </c>
      <c r="D4302" t="s">
        <v>18443</v>
      </c>
      <c r="E4302" t="s">
        <v>8016</v>
      </c>
      <c r="F4302" t="s">
        <v>38</v>
      </c>
      <c r="G4302" t="s">
        <v>18444</v>
      </c>
      <c r="H4302">
        <v>14.58</v>
      </c>
      <c r="I4302">
        <v>0</v>
      </c>
      <c r="J4302">
        <v>0</v>
      </c>
      <c r="K4302">
        <v>0</v>
      </c>
      <c r="O4302">
        <v>0</v>
      </c>
      <c r="P4302">
        <v>0</v>
      </c>
      <c r="Q4302">
        <v>0</v>
      </c>
      <c r="R4302">
        <v>14.58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H4302">
        <v>14.58</v>
      </c>
    </row>
    <row r="4303" spans="1:34" x14ac:dyDescent="0.3">
      <c r="A4303" s="4">
        <v>4517</v>
      </c>
      <c r="B4303" s="5">
        <v>4296</v>
      </c>
      <c r="C4303">
        <v>6151</v>
      </c>
      <c r="D4303" t="s">
        <v>9328</v>
      </c>
      <c r="E4303" t="s">
        <v>37</v>
      </c>
      <c r="F4303" t="s">
        <v>81</v>
      </c>
      <c r="G4303" t="s">
        <v>18445</v>
      </c>
      <c r="H4303">
        <v>12.5</v>
      </c>
      <c r="I4303">
        <v>0</v>
      </c>
      <c r="J4303">
        <v>0</v>
      </c>
      <c r="K4303">
        <v>0</v>
      </c>
      <c r="O4303">
        <v>0</v>
      </c>
      <c r="P4303">
        <v>0</v>
      </c>
      <c r="Q4303">
        <v>0</v>
      </c>
      <c r="R4303">
        <v>12.5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H4303">
        <v>12.5</v>
      </c>
    </row>
    <row r="4304" spans="1:34" x14ac:dyDescent="0.3">
      <c r="A4304" s="4">
        <v>4518</v>
      </c>
      <c r="B4304" s="5">
        <v>4297</v>
      </c>
      <c r="C4304">
        <v>14326</v>
      </c>
      <c r="D4304" t="s">
        <v>18446</v>
      </c>
      <c r="E4304" t="s">
        <v>439</v>
      </c>
      <c r="F4304" t="s">
        <v>18447</v>
      </c>
      <c r="G4304" t="s">
        <v>18448</v>
      </c>
      <c r="H4304">
        <v>12.5</v>
      </c>
      <c r="I4304">
        <v>0</v>
      </c>
      <c r="J4304">
        <v>0</v>
      </c>
      <c r="K4304">
        <v>0</v>
      </c>
      <c r="O4304">
        <v>0</v>
      </c>
      <c r="P4304">
        <v>0</v>
      </c>
      <c r="Q4304">
        <v>0</v>
      </c>
      <c r="R4304">
        <v>12.5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H4304">
        <v>12.5</v>
      </c>
    </row>
    <row r="4305" spans="1:34" x14ac:dyDescent="0.3">
      <c r="A4305" s="4">
        <v>4519</v>
      </c>
      <c r="B4305" s="5">
        <v>4298</v>
      </c>
      <c r="C4305">
        <v>14371</v>
      </c>
      <c r="D4305" t="s">
        <v>18449</v>
      </c>
      <c r="E4305" t="s">
        <v>26</v>
      </c>
      <c r="F4305" t="s">
        <v>17</v>
      </c>
      <c r="G4305" t="s">
        <v>18450</v>
      </c>
      <c r="H4305">
        <v>12.5</v>
      </c>
      <c r="I4305">
        <v>0</v>
      </c>
      <c r="J4305">
        <v>0</v>
      </c>
      <c r="K4305">
        <v>0</v>
      </c>
      <c r="O4305">
        <v>0</v>
      </c>
      <c r="P4305">
        <v>0</v>
      </c>
      <c r="Q4305">
        <v>0</v>
      </c>
      <c r="R4305">
        <v>12.5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H4305">
        <v>12.5</v>
      </c>
    </row>
    <row r="4306" spans="1:34" x14ac:dyDescent="0.3">
      <c r="A4306" s="4">
        <v>4520</v>
      </c>
      <c r="B4306" s="5">
        <v>4299</v>
      </c>
      <c r="C4306">
        <v>3312</v>
      </c>
      <c r="D4306" t="s">
        <v>4332</v>
      </c>
      <c r="E4306" t="s">
        <v>9158</v>
      </c>
      <c r="F4306" t="s">
        <v>136</v>
      </c>
      <c r="G4306" t="s">
        <v>18451</v>
      </c>
      <c r="H4306">
        <v>12.5</v>
      </c>
      <c r="I4306">
        <v>0</v>
      </c>
      <c r="J4306">
        <v>0</v>
      </c>
      <c r="K4306">
        <v>0</v>
      </c>
      <c r="O4306">
        <v>0</v>
      </c>
      <c r="P4306">
        <v>0</v>
      </c>
      <c r="Q4306">
        <v>0</v>
      </c>
      <c r="R4306">
        <v>12.5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H4306">
        <v>12.5</v>
      </c>
    </row>
    <row r="4308" spans="1:34" s="4" customFormat="1" x14ac:dyDescent="0.3">
      <c r="A4308" s="3" t="s">
        <v>8356</v>
      </c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</row>
    <row r="4309" spans="1:34" s="4" customFormat="1" x14ac:dyDescent="0.3">
      <c r="A4309" s="3" t="s">
        <v>10724</v>
      </c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</row>
    <row r="4310" spans="1:34" s="4" customFormat="1" x14ac:dyDescent="0.3">
      <c r="A4310" s="3" t="s">
        <v>10725</v>
      </c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</row>
    <row r="4311" spans="1:34" s="4" customFormat="1" x14ac:dyDescent="0.3">
      <c r="A4311" s="3" t="s">
        <v>10726</v>
      </c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</row>
    <row r="4312" spans="1:34" s="4" customFormat="1" x14ac:dyDescent="0.3">
      <c r="A4312" s="3" t="s">
        <v>10727</v>
      </c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</row>
    <row r="4313" spans="1:34" s="4" customFormat="1" x14ac:dyDescent="0.3">
      <c r="A4313" s="3" t="s">
        <v>10728</v>
      </c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</row>
    <row r="4314" spans="1:34" s="4" customFormat="1" x14ac:dyDescent="0.3">
      <c r="A4314" s="3" t="s">
        <v>10729</v>
      </c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</row>
    <row r="4315" spans="1:34" s="4" customFormat="1" x14ac:dyDescent="0.3">
      <c r="A4315" s="3" t="s">
        <v>10730</v>
      </c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</row>
    <row r="4316" spans="1:34" s="4" customFormat="1" x14ac:dyDescent="0.3">
      <c r="A4316" s="3" t="s">
        <v>10731</v>
      </c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</row>
    <row r="4317" spans="1:34" s="4" customFormat="1" x14ac:dyDescent="0.3">
      <c r="A4317" s="3" t="s">
        <v>10732</v>
      </c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</row>
    <row r="4318" spans="1:34" s="4" customFormat="1" x14ac:dyDescent="0.3">
      <c r="A4318" s="3" t="s">
        <v>10733</v>
      </c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</row>
    <row r="4319" spans="1:34" s="4" customFormat="1" x14ac:dyDescent="0.3">
      <c r="A4319" s="3" t="s">
        <v>10734</v>
      </c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</row>
    <row r="4320" spans="1:34" s="4" customFormat="1" x14ac:dyDescent="0.3">
      <c r="A4320" s="3" t="s">
        <v>10735</v>
      </c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</row>
    <row r="4321" spans="1:34" s="4" customFormat="1" x14ac:dyDescent="0.3">
      <c r="A4321" s="3" t="s">
        <v>10736</v>
      </c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</row>
    <row r="4322" spans="1:34" s="4" customFormat="1" x14ac:dyDescent="0.3">
      <c r="A4322" s="3" t="s">
        <v>10737</v>
      </c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</row>
    <row r="4323" spans="1:34" s="4" customFormat="1" x14ac:dyDescent="0.3">
      <c r="A4323" s="3" t="s">
        <v>10738</v>
      </c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</row>
    <row r="4324" spans="1:34" s="4" customFormat="1" x14ac:dyDescent="0.3">
      <c r="A4324" s="3" t="s">
        <v>10739</v>
      </c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</row>
    <row r="4325" spans="1:34" s="4" customFormat="1" x14ac:dyDescent="0.3">
      <c r="A4325" s="3" t="s">
        <v>10740</v>
      </c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</row>
    <row r="4326" spans="1:34" s="4" customFormat="1" x14ac:dyDescent="0.3">
      <c r="A4326" s="3" t="s">
        <v>10741</v>
      </c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</row>
    <row r="4327" spans="1:34" s="4" customFormat="1" x14ac:dyDescent="0.3">
      <c r="A4327" s="3" t="s">
        <v>10742</v>
      </c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</row>
    <row r="4328" spans="1:34" s="4" customFormat="1" x14ac:dyDescent="0.3">
      <c r="A4328" s="3" t="s">
        <v>10743</v>
      </c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</row>
    <row r="4329" spans="1:34" s="4" customFormat="1" x14ac:dyDescent="0.3">
      <c r="A4329" s="3" t="s">
        <v>10744</v>
      </c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</row>
    <row r="4330" spans="1:34" s="4" customFormat="1" x14ac:dyDescent="0.3">
      <c r="A4330" s="3" t="s">
        <v>10745</v>
      </c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</row>
    <row r="4331" spans="1:34" s="4" customFormat="1" x14ac:dyDescent="0.3">
      <c r="A4331" s="3" t="s">
        <v>10746</v>
      </c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</row>
    <row r="4332" spans="1:34" s="4" customFormat="1" x14ac:dyDescent="0.3">
      <c r="A4332" s="3" t="s">
        <v>10747</v>
      </c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</row>
    <row r="4333" spans="1:34" s="4" customFormat="1" x14ac:dyDescent="0.3">
      <c r="A4333" s="3" t="s">
        <v>10748</v>
      </c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</row>
    <row r="4334" spans="1:34" s="4" customFormat="1" x14ac:dyDescent="0.3">
      <c r="A4334" s="3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</row>
    <row r="4335" spans="1:34" s="4" customFormat="1" x14ac:dyDescent="0.3">
      <c r="A4335" s="3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</row>
    <row r="4336" spans="1:34" s="4" customFormat="1" x14ac:dyDescent="0.3">
      <c r="A4336" s="3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Φύλλο13"/>
  <dimension ref="A1:AH4176"/>
  <sheetViews>
    <sheetView workbookViewId="0">
      <selection activeCell="A8" sqref="A8:AH4269"/>
    </sheetView>
  </sheetViews>
  <sheetFormatPr defaultRowHeight="14.4" x14ac:dyDescent="0.3"/>
  <cols>
    <col min="1" max="2" width="9.109375" style="4"/>
    <col min="3" max="3" width="6" customWidth="1"/>
    <col min="4" max="4" width="29.6640625" bestFit="1" customWidth="1"/>
    <col min="5" max="5" width="31.6640625" bestFit="1" customWidth="1"/>
    <col min="6" max="6" width="24.44140625" bestFit="1" customWidth="1"/>
    <col min="7" max="7" width="10.44140625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18452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2</v>
      </c>
      <c r="B8" s="5">
        <v>1</v>
      </c>
      <c r="C8">
        <v>1100</v>
      </c>
      <c r="D8" t="s">
        <v>18453</v>
      </c>
      <c r="E8" t="s">
        <v>17</v>
      </c>
      <c r="F8" t="s">
        <v>68</v>
      </c>
      <c r="G8" t="s">
        <v>18454</v>
      </c>
      <c r="H8">
        <v>17.95</v>
      </c>
      <c r="I8">
        <v>0</v>
      </c>
      <c r="J8">
        <v>0</v>
      </c>
      <c r="K8">
        <v>20</v>
      </c>
      <c r="L8">
        <v>7</v>
      </c>
      <c r="O8">
        <v>7</v>
      </c>
      <c r="P8">
        <v>4</v>
      </c>
      <c r="Q8">
        <v>2</v>
      </c>
      <c r="R8">
        <v>50.95</v>
      </c>
      <c r="S8">
        <v>35</v>
      </c>
      <c r="T8">
        <v>35</v>
      </c>
      <c r="U8">
        <v>18</v>
      </c>
      <c r="V8">
        <v>36</v>
      </c>
      <c r="W8">
        <v>0</v>
      </c>
      <c r="X8">
        <v>0</v>
      </c>
      <c r="Y8">
        <v>0</v>
      </c>
      <c r="Z8">
        <v>0</v>
      </c>
      <c r="AA8">
        <v>71</v>
      </c>
      <c r="AB8">
        <v>0</v>
      </c>
      <c r="AC8">
        <v>0</v>
      </c>
      <c r="AF8" t="s">
        <v>130</v>
      </c>
      <c r="AH8">
        <v>121.95</v>
      </c>
    </row>
    <row r="9" spans="1:34" x14ac:dyDescent="0.3">
      <c r="A9" s="4">
        <v>3</v>
      </c>
      <c r="B9" s="5">
        <v>2</v>
      </c>
      <c r="C9">
        <v>88</v>
      </c>
      <c r="D9" t="s">
        <v>2989</v>
      </c>
      <c r="E9" t="s">
        <v>471</v>
      </c>
      <c r="F9" t="s">
        <v>4176</v>
      </c>
      <c r="G9" t="s">
        <v>18455</v>
      </c>
      <c r="H9">
        <v>19.2</v>
      </c>
      <c r="I9">
        <v>0</v>
      </c>
      <c r="J9">
        <v>0</v>
      </c>
      <c r="K9">
        <v>20</v>
      </c>
      <c r="N9">
        <v>3</v>
      </c>
      <c r="O9">
        <v>3</v>
      </c>
      <c r="P9">
        <v>4</v>
      </c>
      <c r="Q9">
        <v>2</v>
      </c>
      <c r="R9">
        <v>48.2</v>
      </c>
      <c r="S9">
        <v>37</v>
      </c>
      <c r="T9">
        <v>37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37</v>
      </c>
      <c r="AB9">
        <v>0</v>
      </c>
      <c r="AC9">
        <v>36</v>
      </c>
      <c r="AF9" t="s">
        <v>130</v>
      </c>
      <c r="AH9">
        <v>121.2</v>
      </c>
    </row>
    <row r="10" spans="1:34" x14ac:dyDescent="0.3">
      <c r="A10" s="4">
        <v>4</v>
      </c>
      <c r="B10" s="5">
        <v>3</v>
      </c>
      <c r="C10">
        <v>1359</v>
      </c>
      <c r="D10" t="s">
        <v>3487</v>
      </c>
      <c r="E10" t="s">
        <v>54</v>
      </c>
      <c r="F10" t="s">
        <v>62</v>
      </c>
      <c r="G10" t="s">
        <v>18456</v>
      </c>
      <c r="H10">
        <v>22.1</v>
      </c>
      <c r="I10">
        <v>0</v>
      </c>
      <c r="J10">
        <v>0</v>
      </c>
      <c r="K10">
        <v>20</v>
      </c>
      <c r="L10">
        <v>14</v>
      </c>
      <c r="O10">
        <v>14</v>
      </c>
      <c r="P10">
        <v>4</v>
      </c>
      <c r="Q10">
        <v>2</v>
      </c>
      <c r="R10">
        <v>62.1</v>
      </c>
      <c r="S10">
        <v>34</v>
      </c>
      <c r="T10">
        <v>34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34</v>
      </c>
      <c r="AB10">
        <v>0</v>
      </c>
      <c r="AC10">
        <v>24</v>
      </c>
      <c r="AD10" t="s">
        <v>130</v>
      </c>
      <c r="AF10" t="s">
        <v>130</v>
      </c>
      <c r="AH10">
        <v>120.1</v>
      </c>
    </row>
    <row r="11" spans="1:34" x14ac:dyDescent="0.3">
      <c r="A11" s="4">
        <v>9</v>
      </c>
      <c r="B11" s="5">
        <v>4</v>
      </c>
      <c r="C11">
        <v>8243</v>
      </c>
      <c r="D11" t="s">
        <v>62</v>
      </c>
      <c r="E11" t="s">
        <v>18457</v>
      </c>
      <c r="F11" t="s">
        <v>20</v>
      </c>
      <c r="G11" t="s">
        <v>18458</v>
      </c>
      <c r="H11">
        <v>18.63</v>
      </c>
      <c r="I11">
        <v>0</v>
      </c>
      <c r="J11">
        <v>0</v>
      </c>
      <c r="K11">
        <v>28</v>
      </c>
      <c r="N11">
        <v>3</v>
      </c>
      <c r="O11">
        <v>3</v>
      </c>
      <c r="P11">
        <v>4</v>
      </c>
      <c r="Q11">
        <v>0</v>
      </c>
      <c r="R11">
        <v>53.63</v>
      </c>
      <c r="S11">
        <v>61</v>
      </c>
      <c r="T11">
        <v>61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61</v>
      </c>
      <c r="AB11">
        <v>0</v>
      </c>
      <c r="AC11">
        <v>0</v>
      </c>
      <c r="AF11" t="s">
        <v>130</v>
      </c>
      <c r="AH11">
        <v>114.63</v>
      </c>
    </row>
    <row r="12" spans="1:34" x14ac:dyDescent="0.3">
      <c r="A12" s="4">
        <v>12</v>
      </c>
      <c r="B12" s="5">
        <v>5</v>
      </c>
      <c r="C12">
        <v>3684</v>
      </c>
      <c r="D12" t="s">
        <v>18460</v>
      </c>
      <c r="E12" t="s">
        <v>100</v>
      </c>
      <c r="F12" t="s">
        <v>5614</v>
      </c>
      <c r="G12" t="s">
        <v>18461</v>
      </c>
      <c r="H12">
        <v>20.83</v>
      </c>
      <c r="I12">
        <v>7</v>
      </c>
      <c r="J12">
        <v>40</v>
      </c>
      <c r="K12">
        <v>20</v>
      </c>
      <c r="N12">
        <v>3</v>
      </c>
      <c r="O12">
        <v>3</v>
      </c>
      <c r="P12">
        <v>4</v>
      </c>
      <c r="Q12">
        <v>0</v>
      </c>
      <c r="R12">
        <v>94.83</v>
      </c>
      <c r="S12">
        <v>18</v>
      </c>
      <c r="T12">
        <v>18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18</v>
      </c>
      <c r="AB12">
        <v>0</v>
      </c>
      <c r="AC12">
        <v>0</v>
      </c>
      <c r="AF12" t="s">
        <v>130</v>
      </c>
      <c r="AH12">
        <v>112.83</v>
      </c>
    </row>
    <row r="13" spans="1:34" x14ac:dyDescent="0.3">
      <c r="A13" s="4">
        <v>13</v>
      </c>
      <c r="B13" s="5">
        <v>6</v>
      </c>
      <c r="C13">
        <v>1050</v>
      </c>
      <c r="D13" t="s">
        <v>18462</v>
      </c>
      <c r="E13" t="s">
        <v>81</v>
      </c>
      <c r="F13" t="s">
        <v>136</v>
      </c>
      <c r="G13" t="s">
        <v>18463</v>
      </c>
      <c r="H13">
        <v>18.63</v>
      </c>
      <c r="I13">
        <v>0</v>
      </c>
      <c r="J13">
        <v>0</v>
      </c>
      <c r="K13">
        <v>20</v>
      </c>
      <c r="L13">
        <v>7</v>
      </c>
      <c r="O13">
        <v>7</v>
      </c>
      <c r="P13">
        <v>4</v>
      </c>
      <c r="Q13">
        <v>2</v>
      </c>
      <c r="R13">
        <v>51.63</v>
      </c>
      <c r="S13">
        <v>61</v>
      </c>
      <c r="T13">
        <v>61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61</v>
      </c>
      <c r="AB13">
        <v>0</v>
      </c>
      <c r="AC13">
        <v>0</v>
      </c>
      <c r="AF13" t="s">
        <v>130</v>
      </c>
      <c r="AH13">
        <v>112.63</v>
      </c>
    </row>
    <row r="14" spans="1:34" x14ac:dyDescent="0.3">
      <c r="A14" s="4">
        <v>14</v>
      </c>
      <c r="B14" s="5">
        <v>7</v>
      </c>
      <c r="C14">
        <v>9717</v>
      </c>
      <c r="D14" t="s">
        <v>18464</v>
      </c>
      <c r="E14" t="s">
        <v>255</v>
      </c>
      <c r="F14" t="s">
        <v>55</v>
      </c>
      <c r="G14" t="s">
        <v>18465</v>
      </c>
      <c r="H14">
        <v>20.45</v>
      </c>
      <c r="I14">
        <v>7</v>
      </c>
      <c r="J14">
        <v>0</v>
      </c>
      <c r="K14">
        <v>20</v>
      </c>
      <c r="L14">
        <v>7</v>
      </c>
      <c r="M14">
        <v>5</v>
      </c>
      <c r="O14">
        <v>12</v>
      </c>
      <c r="P14">
        <v>4</v>
      </c>
      <c r="Q14">
        <v>2</v>
      </c>
      <c r="R14">
        <v>65.45</v>
      </c>
      <c r="S14">
        <v>47</v>
      </c>
      <c r="T14">
        <v>47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47</v>
      </c>
      <c r="AB14">
        <v>0</v>
      </c>
      <c r="AC14">
        <v>0</v>
      </c>
      <c r="AF14" t="s">
        <v>130</v>
      </c>
      <c r="AH14">
        <v>112.45</v>
      </c>
    </row>
    <row r="15" spans="1:34" x14ac:dyDescent="0.3">
      <c r="A15" s="4">
        <v>19</v>
      </c>
      <c r="B15" s="5">
        <v>8</v>
      </c>
      <c r="C15">
        <v>10300</v>
      </c>
      <c r="D15" t="s">
        <v>26</v>
      </c>
      <c r="E15" t="s">
        <v>18466</v>
      </c>
      <c r="F15" t="s">
        <v>55</v>
      </c>
      <c r="G15" t="s">
        <v>18467</v>
      </c>
      <c r="H15">
        <v>17.93</v>
      </c>
      <c r="I15">
        <v>0</v>
      </c>
      <c r="J15">
        <v>0</v>
      </c>
      <c r="K15">
        <v>20</v>
      </c>
      <c r="N15">
        <v>3</v>
      </c>
      <c r="O15">
        <v>3</v>
      </c>
      <c r="P15">
        <v>4</v>
      </c>
      <c r="Q15">
        <v>0</v>
      </c>
      <c r="R15">
        <v>44.93</v>
      </c>
      <c r="S15">
        <v>54</v>
      </c>
      <c r="T15">
        <v>54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54</v>
      </c>
      <c r="AB15">
        <v>12</v>
      </c>
      <c r="AC15">
        <v>0</v>
      </c>
      <c r="AF15" t="s">
        <v>130</v>
      </c>
      <c r="AH15">
        <v>110.93</v>
      </c>
    </row>
    <row r="16" spans="1:34" x14ac:dyDescent="0.3">
      <c r="A16" s="4">
        <v>20</v>
      </c>
      <c r="B16" s="5">
        <v>9</v>
      </c>
      <c r="C16">
        <v>1897</v>
      </c>
      <c r="D16" t="s">
        <v>481</v>
      </c>
      <c r="E16" t="s">
        <v>479</v>
      </c>
      <c r="F16" t="s">
        <v>117</v>
      </c>
      <c r="G16" t="s">
        <v>18468</v>
      </c>
      <c r="H16">
        <v>18.829999999999998</v>
      </c>
      <c r="I16">
        <v>0</v>
      </c>
      <c r="J16">
        <v>0</v>
      </c>
      <c r="K16">
        <v>20</v>
      </c>
      <c r="N16">
        <v>3</v>
      </c>
      <c r="O16">
        <v>3</v>
      </c>
      <c r="P16">
        <v>4</v>
      </c>
      <c r="Q16">
        <v>2</v>
      </c>
      <c r="R16">
        <v>47.83</v>
      </c>
      <c r="S16">
        <v>60</v>
      </c>
      <c r="T16">
        <v>60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60</v>
      </c>
      <c r="AB16">
        <v>3</v>
      </c>
      <c r="AC16">
        <v>0</v>
      </c>
      <c r="AF16" t="s">
        <v>130</v>
      </c>
      <c r="AH16">
        <v>110.83</v>
      </c>
    </row>
    <row r="17" spans="1:34" x14ac:dyDescent="0.3">
      <c r="A17" s="4">
        <v>22</v>
      </c>
      <c r="B17" s="5">
        <v>10</v>
      </c>
      <c r="C17">
        <v>7741</v>
      </c>
      <c r="D17" t="s">
        <v>5357</v>
      </c>
      <c r="E17" t="s">
        <v>88</v>
      </c>
      <c r="F17" t="s">
        <v>62</v>
      </c>
      <c r="G17" t="s">
        <v>18469</v>
      </c>
      <c r="H17">
        <v>16.149999999999999</v>
      </c>
      <c r="I17">
        <v>0</v>
      </c>
      <c r="J17">
        <v>0</v>
      </c>
      <c r="K17">
        <v>0</v>
      </c>
      <c r="N17">
        <v>3</v>
      </c>
      <c r="O17">
        <v>3</v>
      </c>
      <c r="P17">
        <v>0</v>
      </c>
      <c r="Q17">
        <v>0</v>
      </c>
      <c r="R17">
        <v>19.149999999999999</v>
      </c>
      <c r="S17">
        <v>85</v>
      </c>
      <c r="T17">
        <v>85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85</v>
      </c>
      <c r="AB17">
        <v>6</v>
      </c>
      <c r="AC17">
        <v>0</v>
      </c>
      <c r="AF17" t="s">
        <v>130</v>
      </c>
      <c r="AH17">
        <v>110.15</v>
      </c>
    </row>
    <row r="18" spans="1:34" x14ac:dyDescent="0.3">
      <c r="A18" s="4">
        <v>24</v>
      </c>
      <c r="B18" s="5">
        <v>11</v>
      </c>
      <c r="C18">
        <v>7370</v>
      </c>
      <c r="D18" t="s">
        <v>12682</v>
      </c>
      <c r="E18" t="s">
        <v>88</v>
      </c>
      <c r="F18" t="s">
        <v>539</v>
      </c>
      <c r="G18" t="s">
        <v>18470</v>
      </c>
      <c r="H18">
        <v>17</v>
      </c>
      <c r="I18">
        <v>0</v>
      </c>
      <c r="J18">
        <v>0</v>
      </c>
      <c r="K18">
        <v>20</v>
      </c>
      <c r="L18">
        <v>7</v>
      </c>
      <c r="M18">
        <v>5</v>
      </c>
      <c r="O18">
        <v>12</v>
      </c>
      <c r="P18">
        <v>4</v>
      </c>
      <c r="Q18">
        <v>0</v>
      </c>
      <c r="R18">
        <v>53</v>
      </c>
      <c r="S18">
        <v>53</v>
      </c>
      <c r="T18">
        <v>53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53</v>
      </c>
      <c r="AB18">
        <v>3</v>
      </c>
      <c r="AC18">
        <v>0</v>
      </c>
      <c r="AF18" t="s">
        <v>130</v>
      </c>
      <c r="AH18">
        <v>109</v>
      </c>
    </row>
    <row r="19" spans="1:34" x14ac:dyDescent="0.3">
      <c r="A19" s="4">
        <v>25</v>
      </c>
      <c r="B19" s="5">
        <v>12</v>
      </c>
      <c r="C19">
        <v>2139</v>
      </c>
      <c r="D19" t="s">
        <v>18471</v>
      </c>
      <c r="E19" t="s">
        <v>100</v>
      </c>
      <c r="F19" t="s">
        <v>259</v>
      </c>
      <c r="G19" t="s">
        <v>18472</v>
      </c>
      <c r="H19">
        <v>18.649999999999999</v>
      </c>
      <c r="I19">
        <v>0</v>
      </c>
      <c r="J19">
        <v>0</v>
      </c>
      <c r="K19">
        <v>20</v>
      </c>
      <c r="L19">
        <v>7</v>
      </c>
      <c r="O19">
        <v>7</v>
      </c>
      <c r="P19">
        <v>4</v>
      </c>
      <c r="Q19">
        <v>2</v>
      </c>
      <c r="R19">
        <v>51.65</v>
      </c>
      <c r="S19">
        <v>57</v>
      </c>
      <c r="T19">
        <v>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57</v>
      </c>
      <c r="AB19">
        <v>0</v>
      </c>
      <c r="AC19">
        <v>0</v>
      </c>
      <c r="AD19" t="s">
        <v>130</v>
      </c>
      <c r="AF19" t="s">
        <v>130</v>
      </c>
      <c r="AH19">
        <v>108.65</v>
      </c>
    </row>
    <row r="20" spans="1:34" x14ac:dyDescent="0.3">
      <c r="A20" s="4">
        <v>29</v>
      </c>
      <c r="B20" s="5">
        <v>13</v>
      </c>
      <c r="C20">
        <v>3244</v>
      </c>
      <c r="D20" t="s">
        <v>18473</v>
      </c>
      <c r="E20" t="s">
        <v>2843</v>
      </c>
      <c r="F20" t="s">
        <v>17</v>
      </c>
      <c r="G20" t="s">
        <v>18474</v>
      </c>
      <c r="H20">
        <v>21.78</v>
      </c>
      <c r="I20">
        <v>0</v>
      </c>
      <c r="J20">
        <v>0</v>
      </c>
      <c r="K20">
        <v>20</v>
      </c>
      <c r="L20">
        <v>7</v>
      </c>
      <c r="O20">
        <v>7</v>
      </c>
      <c r="P20">
        <v>4</v>
      </c>
      <c r="Q20">
        <v>2</v>
      </c>
      <c r="R20">
        <v>54.78</v>
      </c>
      <c r="S20">
        <v>53</v>
      </c>
      <c r="T20">
        <v>53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53</v>
      </c>
      <c r="AB20">
        <v>0</v>
      </c>
      <c r="AC20">
        <v>0</v>
      </c>
      <c r="AD20" t="s">
        <v>130</v>
      </c>
      <c r="AF20" t="s">
        <v>130</v>
      </c>
      <c r="AH20">
        <v>107.78</v>
      </c>
    </row>
    <row r="21" spans="1:34" x14ac:dyDescent="0.3">
      <c r="A21" s="4">
        <v>30</v>
      </c>
      <c r="B21" s="5">
        <v>14</v>
      </c>
      <c r="C21">
        <v>8962</v>
      </c>
      <c r="D21" t="s">
        <v>18475</v>
      </c>
      <c r="E21" t="s">
        <v>54</v>
      </c>
      <c r="F21" t="s">
        <v>18476</v>
      </c>
      <c r="G21" t="s">
        <v>18477</v>
      </c>
      <c r="H21">
        <v>19.73</v>
      </c>
      <c r="I21">
        <v>0</v>
      </c>
      <c r="J21">
        <v>0</v>
      </c>
      <c r="K21">
        <v>20</v>
      </c>
      <c r="L21">
        <v>7</v>
      </c>
      <c r="N21">
        <v>3</v>
      </c>
      <c r="O21">
        <v>10</v>
      </c>
      <c r="P21">
        <v>4</v>
      </c>
      <c r="Q21">
        <v>2</v>
      </c>
      <c r="R21">
        <v>55.73</v>
      </c>
      <c r="S21">
        <v>52</v>
      </c>
      <c r="T21">
        <v>52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52</v>
      </c>
      <c r="AB21">
        <v>0</v>
      </c>
      <c r="AC21">
        <v>0</v>
      </c>
      <c r="AE21" t="s">
        <v>130</v>
      </c>
      <c r="AF21" t="s">
        <v>130</v>
      </c>
      <c r="AH21">
        <v>107.73</v>
      </c>
    </row>
    <row r="22" spans="1:34" x14ac:dyDescent="0.3">
      <c r="A22" s="4">
        <v>33</v>
      </c>
      <c r="B22" s="5">
        <v>15</v>
      </c>
      <c r="C22">
        <v>3488</v>
      </c>
      <c r="D22" t="s">
        <v>18478</v>
      </c>
      <c r="E22" t="s">
        <v>2481</v>
      </c>
      <c r="F22" t="s">
        <v>136</v>
      </c>
      <c r="G22" t="s">
        <v>18479</v>
      </c>
      <c r="H22">
        <v>18.45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2</v>
      </c>
      <c r="R22">
        <v>51.45</v>
      </c>
      <c r="S22">
        <v>50</v>
      </c>
      <c r="T22">
        <v>50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50</v>
      </c>
      <c r="AB22">
        <v>6</v>
      </c>
      <c r="AC22">
        <v>0</v>
      </c>
      <c r="AF22" t="s">
        <v>130</v>
      </c>
      <c r="AH22">
        <v>107.45</v>
      </c>
    </row>
    <row r="23" spans="1:34" x14ac:dyDescent="0.3">
      <c r="A23" s="4">
        <v>34</v>
      </c>
      <c r="B23" s="5">
        <v>16</v>
      </c>
      <c r="C23">
        <v>11313</v>
      </c>
      <c r="D23" t="s">
        <v>5149</v>
      </c>
      <c r="E23" t="s">
        <v>29</v>
      </c>
      <c r="F23" t="s">
        <v>81</v>
      </c>
      <c r="G23" t="s">
        <v>18480</v>
      </c>
      <c r="H23">
        <v>17.23</v>
      </c>
      <c r="I23">
        <v>0</v>
      </c>
      <c r="J23">
        <v>0</v>
      </c>
      <c r="K23">
        <v>20</v>
      </c>
      <c r="L23">
        <v>7</v>
      </c>
      <c r="O23">
        <v>7</v>
      </c>
      <c r="P23">
        <v>4</v>
      </c>
      <c r="Q23">
        <v>2</v>
      </c>
      <c r="R23">
        <v>50.23</v>
      </c>
      <c r="S23">
        <v>54</v>
      </c>
      <c r="T23">
        <v>54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54</v>
      </c>
      <c r="AB23">
        <v>3</v>
      </c>
      <c r="AC23">
        <v>0</v>
      </c>
      <c r="AF23" t="s">
        <v>130</v>
      </c>
      <c r="AH23">
        <v>107.23</v>
      </c>
    </row>
    <row r="24" spans="1:34" x14ac:dyDescent="0.3">
      <c r="A24" s="4">
        <v>35</v>
      </c>
      <c r="B24" s="5">
        <v>17</v>
      </c>
      <c r="C24">
        <v>10514</v>
      </c>
      <c r="D24" t="s">
        <v>4319</v>
      </c>
      <c r="E24" t="s">
        <v>825</v>
      </c>
      <c r="F24" t="s">
        <v>652</v>
      </c>
      <c r="G24" t="s">
        <v>18481</v>
      </c>
      <c r="H24">
        <v>20.149999999999999</v>
      </c>
      <c r="I24">
        <v>0</v>
      </c>
      <c r="J24">
        <v>0</v>
      </c>
      <c r="K24">
        <v>20</v>
      </c>
      <c r="L24">
        <v>7</v>
      </c>
      <c r="O24">
        <v>7</v>
      </c>
      <c r="P24">
        <v>4</v>
      </c>
      <c r="Q24">
        <v>2</v>
      </c>
      <c r="R24">
        <v>53.15</v>
      </c>
      <c r="S24">
        <v>54</v>
      </c>
      <c r="T24">
        <v>54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54</v>
      </c>
      <c r="AB24">
        <v>0</v>
      </c>
      <c r="AC24">
        <v>0</v>
      </c>
      <c r="AD24" t="s">
        <v>130</v>
      </c>
      <c r="AF24" t="s">
        <v>130</v>
      </c>
      <c r="AH24">
        <v>107.15</v>
      </c>
    </row>
    <row r="25" spans="1:34" x14ac:dyDescent="0.3">
      <c r="A25" s="4">
        <v>38</v>
      </c>
      <c r="B25" s="5">
        <v>18</v>
      </c>
      <c r="C25">
        <v>12630</v>
      </c>
      <c r="D25" t="s">
        <v>18482</v>
      </c>
      <c r="E25" t="s">
        <v>349</v>
      </c>
      <c r="F25" t="s">
        <v>20</v>
      </c>
      <c r="G25" t="s">
        <v>18483</v>
      </c>
      <c r="H25">
        <v>22.75</v>
      </c>
      <c r="I25">
        <v>0</v>
      </c>
      <c r="J25">
        <v>0</v>
      </c>
      <c r="K25">
        <v>20</v>
      </c>
      <c r="L25">
        <v>7</v>
      </c>
      <c r="O25">
        <v>7</v>
      </c>
      <c r="P25">
        <v>4</v>
      </c>
      <c r="Q25">
        <v>0</v>
      </c>
      <c r="R25">
        <v>53.75</v>
      </c>
      <c r="S25">
        <v>47</v>
      </c>
      <c r="T25">
        <v>47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47</v>
      </c>
      <c r="AB25">
        <v>6</v>
      </c>
      <c r="AC25">
        <v>0</v>
      </c>
      <c r="AF25" t="s">
        <v>130</v>
      </c>
      <c r="AH25">
        <v>106.75</v>
      </c>
    </row>
    <row r="26" spans="1:34" x14ac:dyDescent="0.3">
      <c r="A26" s="4">
        <v>39</v>
      </c>
      <c r="B26" s="5">
        <v>19</v>
      </c>
      <c r="C26">
        <v>12790</v>
      </c>
      <c r="D26" t="s">
        <v>18484</v>
      </c>
      <c r="E26" t="s">
        <v>18485</v>
      </c>
      <c r="F26" t="s">
        <v>38</v>
      </c>
      <c r="G26" t="s">
        <v>18486</v>
      </c>
      <c r="H26">
        <v>18.75</v>
      </c>
      <c r="I26">
        <v>0</v>
      </c>
      <c r="J26">
        <v>0</v>
      </c>
      <c r="K26">
        <v>20</v>
      </c>
      <c r="L26">
        <v>7</v>
      </c>
      <c r="O26">
        <v>7</v>
      </c>
      <c r="P26">
        <v>4</v>
      </c>
      <c r="Q26">
        <v>2</v>
      </c>
      <c r="R26">
        <v>51.75</v>
      </c>
      <c r="S26">
        <v>52</v>
      </c>
      <c r="T26">
        <v>52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52</v>
      </c>
      <c r="AB26">
        <v>3</v>
      </c>
      <c r="AC26">
        <v>0</v>
      </c>
      <c r="AF26" t="s">
        <v>130</v>
      </c>
      <c r="AH26">
        <v>106.75</v>
      </c>
    </row>
    <row r="27" spans="1:34" x14ac:dyDescent="0.3">
      <c r="A27" s="4">
        <v>42</v>
      </c>
      <c r="B27" s="5">
        <v>20</v>
      </c>
      <c r="C27">
        <v>5255</v>
      </c>
      <c r="D27" t="s">
        <v>18487</v>
      </c>
      <c r="E27" t="s">
        <v>29</v>
      </c>
      <c r="F27" t="s">
        <v>425</v>
      </c>
      <c r="G27" t="s">
        <v>18488</v>
      </c>
      <c r="H27">
        <v>18.899999999999999</v>
      </c>
      <c r="I27">
        <v>0</v>
      </c>
      <c r="J27">
        <v>0</v>
      </c>
      <c r="K27">
        <v>20</v>
      </c>
      <c r="L27">
        <v>7</v>
      </c>
      <c r="O27">
        <v>7</v>
      </c>
      <c r="P27">
        <v>4</v>
      </c>
      <c r="Q27">
        <v>2</v>
      </c>
      <c r="R27">
        <v>51.9</v>
      </c>
      <c r="S27">
        <v>54</v>
      </c>
      <c r="T27">
        <v>54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54</v>
      </c>
      <c r="AB27">
        <v>0</v>
      </c>
      <c r="AC27">
        <v>0</v>
      </c>
      <c r="AF27" t="s">
        <v>130</v>
      </c>
      <c r="AH27">
        <v>105.9</v>
      </c>
    </row>
    <row r="28" spans="1:34" x14ac:dyDescent="0.3">
      <c r="A28" s="4">
        <v>43</v>
      </c>
      <c r="B28" s="5">
        <v>21</v>
      </c>
      <c r="C28">
        <v>12722</v>
      </c>
      <c r="D28" t="s">
        <v>14910</v>
      </c>
      <c r="E28" t="s">
        <v>22</v>
      </c>
      <c r="F28" t="s">
        <v>343</v>
      </c>
      <c r="G28" t="s">
        <v>18489</v>
      </c>
      <c r="H28">
        <v>21.78</v>
      </c>
      <c r="I28">
        <v>0</v>
      </c>
      <c r="J28">
        <v>0</v>
      </c>
      <c r="K28">
        <v>20</v>
      </c>
      <c r="N28">
        <v>3</v>
      </c>
      <c r="O28">
        <v>3</v>
      </c>
      <c r="P28">
        <v>4</v>
      </c>
      <c r="Q28">
        <v>0</v>
      </c>
      <c r="R28">
        <v>48.78</v>
      </c>
      <c r="S28">
        <v>54</v>
      </c>
      <c r="T28">
        <v>54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54</v>
      </c>
      <c r="AB28">
        <v>3</v>
      </c>
      <c r="AC28">
        <v>0</v>
      </c>
      <c r="AF28" t="s">
        <v>130</v>
      </c>
      <c r="AH28">
        <v>105.78</v>
      </c>
    </row>
    <row r="29" spans="1:34" x14ac:dyDescent="0.3">
      <c r="A29" s="4">
        <v>44</v>
      </c>
      <c r="B29" s="5">
        <v>22</v>
      </c>
      <c r="C29">
        <v>4488</v>
      </c>
      <c r="D29" t="s">
        <v>18490</v>
      </c>
      <c r="E29" t="s">
        <v>33</v>
      </c>
      <c r="F29" t="s">
        <v>193</v>
      </c>
      <c r="G29" t="s">
        <v>18491</v>
      </c>
      <c r="H29">
        <v>21.65</v>
      </c>
      <c r="I29">
        <v>0</v>
      </c>
      <c r="J29">
        <v>0</v>
      </c>
      <c r="K29">
        <v>20</v>
      </c>
      <c r="L29">
        <v>7</v>
      </c>
      <c r="N29">
        <v>3</v>
      </c>
      <c r="O29">
        <v>10</v>
      </c>
      <c r="P29">
        <v>4</v>
      </c>
      <c r="Q29">
        <v>2</v>
      </c>
      <c r="R29">
        <v>57.65</v>
      </c>
      <c r="S29">
        <v>45</v>
      </c>
      <c r="T29">
        <v>45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45</v>
      </c>
      <c r="AB29">
        <v>3</v>
      </c>
      <c r="AC29">
        <v>0</v>
      </c>
      <c r="AD29" t="s">
        <v>130</v>
      </c>
      <c r="AF29" t="s">
        <v>130</v>
      </c>
      <c r="AH29">
        <v>105.65</v>
      </c>
    </row>
    <row r="30" spans="1:34" x14ac:dyDescent="0.3">
      <c r="A30" s="4">
        <v>45</v>
      </c>
      <c r="B30" s="5">
        <v>23</v>
      </c>
      <c r="C30">
        <v>7728</v>
      </c>
      <c r="D30" t="s">
        <v>18492</v>
      </c>
      <c r="E30" t="s">
        <v>1300</v>
      </c>
      <c r="F30" t="s">
        <v>20</v>
      </c>
      <c r="G30" t="s">
        <v>18493</v>
      </c>
      <c r="H30">
        <v>19.5</v>
      </c>
      <c r="I30">
        <v>0</v>
      </c>
      <c r="J30">
        <v>0</v>
      </c>
      <c r="K30">
        <v>20</v>
      </c>
      <c r="N30">
        <v>3</v>
      </c>
      <c r="O30">
        <v>3</v>
      </c>
      <c r="P30">
        <v>4</v>
      </c>
      <c r="Q30">
        <v>2</v>
      </c>
      <c r="R30">
        <v>48.5</v>
      </c>
      <c r="S30">
        <v>54</v>
      </c>
      <c r="T30">
        <v>54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54</v>
      </c>
      <c r="AB30">
        <v>3</v>
      </c>
      <c r="AC30">
        <v>0</v>
      </c>
      <c r="AD30" t="s">
        <v>130</v>
      </c>
      <c r="AF30" t="s">
        <v>130</v>
      </c>
      <c r="AH30">
        <v>105.5</v>
      </c>
    </row>
    <row r="31" spans="1:34" x14ac:dyDescent="0.3">
      <c r="A31" s="4">
        <v>46</v>
      </c>
      <c r="B31" s="5">
        <v>24</v>
      </c>
      <c r="C31">
        <v>4693</v>
      </c>
      <c r="D31" t="s">
        <v>18494</v>
      </c>
      <c r="E31" t="s">
        <v>37</v>
      </c>
      <c r="F31" t="s">
        <v>81</v>
      </c>
      <c r="G31" t="s">
        <v>18495</v>
      </c>
      <c r="H31">
        <v>18.399999999999999</v>
      </c>
      <c r="I31">
        <v>0</v>
      </c>
      <c r="J31">
        <v>0</v>
      </c>
      <c r="K31">
        <v>20</v>
      </c>
      <c r="M31">
        <v>5</v>
      </c>
      <c r="N31">
        <v>3</v>
      </c>
      <c r="O31">
        <v>8</v>
      </c>
      <c r="P31">
        <v>4</v>
      </c>
      <c r="Q31">
        <v>2</v>
      </c>
      <c r="R31">
        <v>52.4</v>
      </c>
      <c r="S31">
        <v>53</v>
      </c>
      <c r="T31">
        <v>53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53</v>
      </c>
      <c r="AB31">
        <v>0</v>
      </c>
      <c r="AC31">
        <v>0</v>
      </c>
      <c r="AF31" t="s">
        <v>130</v>
      </c>
      <c r="AH31">
        <v>105.4</v>
      </c>
    </row>
    <row r="32" spans="1:34" x14ac:dyDescent="0.3">
      <c r="A32" s="4">
        <v>47</v>
      </c>
      <c r="B32" s="5">
        <v>25</v>
      </c>
      <c r="C32">
        <v>1287</v>
      </c>
      <c r="D32" t="s">
        <v>18496</v>
      </c>
      <c r="E32" t="s">
        <v>29</v>
      </c>
      <c r="F32" t="s">
        <v>167</v>
      </c>
      <c r="G32" t="s">
        <v>18497</v>
      </c>
      <c r="H32">
        <v>16.25</v>
      </c>
      <c r="I32">
        <v>0</v>
      </c>
      <c r="J32">
        <v>0</v>
      </c>
      <c r="K32">
        <v>20</v>
      </c>
      <c r="L32">
        <v>7</v>
      </c>
      <c r="O32">
        <v>7</v>
      </c>
      <c r="P32">
        <v>4</v>
      </c>
      <c r="Q32">
        <v>2</v>
      </c>
      <c r="R32">
        <v>49.25</v>
      </c>
      <c r="S32">
        <v>33</v>
      </c>
      <c r="T32">
        <v>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33</v>
      </c>
      <c r="AB32">
        <v>3</v>
      </c>
      <c r="AC32">
        <v>20</v>
      </c>
      <c r="AD32" t="s">
        <v>130</v>
      </c>
      <c r="AF32" t="s">
        <v>130</v>
      </c>
      <c r="AH32">
        <v>105.25</v>
      </c>
    </row>
    <row r="33" spans="1:34" x14ac:dyDescent="0.3">
      <c r="A33" s="4">
        <v>48</v>
      </c>
      <c r="B33" s="5">
        <v>26</v>
      </c>
      <c r="C33">
        <v>264</v>
      </c>
      <c r="D33" t="s">
        <v>18498</v>
      </c>
      <c r="E33" t="s">
        <v>20</v>
      </c>
      <c r="F33" t="s">
        <v>136</v>
      </c>
      <c r="G33" t="s">
        <v>18499</v>
      </c>
      <c r="H33">
        <v>19.18</v>
      </c>
      <c r="I33">
        <v>0</v>
      </c>
      <c r="J33">
        <v>0</v>
      </c>
      <c r="K33">
        <v>28</v>
      </c>
      <c r="N33">
        <v>3</v>
      </c>
      <c r="O33">
        <v>3</v>
      </c>
      <c r="P33">
        <v>4</v>
      </c>
      <c r="Q33">
        <v>2</v>
      </c>
      <c r="R33">
        <v>56.18</v>
      </c>
      <c r="S33">
        <v>46</v>
      </c>
      <c r="T33">
        <v>46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46</v>
      </c>
      <c r="AB33">
        <v>3</v>
      </c>
      <c r="AC33">
        <v>0</v>
      </c>
      <c r="AF33" t="s">
        <v>130</v>
      </c>
      <c r="AH33">
        <v>105.18</v>
      </c>
    </row>
    <row r="34" spans="1:34" x14ac:dyDescent="0.3">
      <c r="A34" s="4">
        <v>50</v>
      </c>
      <c r="B34" s="5">
        <v>27</v>
      </c>
      <c r="C34">
        <v>3074</v>
      </c>
      <c r="D34" t="s">
        <v>18500</v>
      </c>
      <c r="E34" t="s">
        <v>110</v>
      </c>
      <c r="F34" t="s">
        <v>117</v>
      </c>
      <c r="G34" t="s">
        <v>18501</v>
      </c>
      <c r="H34">
        <v>19</v>
      </c>
      <c r="I34">
        <v>7</v>
      </c>
      <c r="J34">
        <v>40</v>
      </c>
      <c r="K34">
        <v>28</v>
      </c>
      <c r="L34">
        <v>7</v>
      </c>
      <c r="O34">
        <v>7</v>
      </c>
      <c r="P34">
        <v>4</v>
      </c>
      <c r="Q34">
        <v>0</v>
      </c>
      <c r="R34">
        <v>105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F34" t="s">
        <v>130</v>
      </c>
      <c r="AH34">
        <v>105</v>
      </c>
    </row>
    <row r="35" spans="1:34" x14ac:dyDescent="0.3">
      <c r="A35" s="4">
        <v>51</v>
      </c>
      <c r="B35" s="5">
        <v>28</v>
      </c>
      <c r="C35">
        <v>12060</v>
      </c>
      <c r="D35" t="s">
        <v>4597</v>
      </c>
      <c r="E35" t="s">
        <v>18502</v>
      </c>
      <c r="F35" t="s">
        <v>488</v>
      </c>
      <c r="G35" t="s">
        <v>18503</v>
      </c>
      <c r="H35">
        <v>17.98</v>
      </c>
      <c r="I35">
        <v>0</v>
      </c>
      <c r="J35">
        <v>0</v>
      </c>
      <c r="K35">
        <v>20</v>
      </c>
      <c r="N35">
        <v>3</v>
      </c>
      <c r="O35">
        <v>3</v>
      </c>
      <c r="P35">
        <v>4</v>
      </c>
      <c r="Q35">
        <v>2</v>
      </c>
      <c r="R35">
        <v>46.98</v>
      </c>
      <c r="S35">
        <v>55</v>
      </c>
      <c r="T35">
        <v>55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55</v>
      </c>
      <c r="AB35">
        <v>3</v>
      </c>
      <c r="AC35">
        <v>0</v>
      </c>
      <c r="AD35" t="s">
        <v>130</v>
      </c>
      <c r="AF35" t="s">
        <v>130</v>
      </c>
      <c r="AH35">
        <v>104.98</v>
      </c>
    </row>
    <row r="36" spans="1:34" x14ac:dyDescent="0.3">
      <c r="A36" s="4">
        <v>52</v>
      </c>
      <c r="B36" s="5">
        <v>29</v>
      </c>
      <c r="C36">
        <v>2408</v>
      </c>
      <c r="D36" t="s">
        <v>18504</v>
      </c>
      <c r="E36" t="s">
        <v>124</v>
      </c>
      <c r="F36" t="s">
        <v>20</v>
      </c>
      <c r="G36" t="s">
        <v>18505</v>
      </c>
      <c r="H36">
        <v>17.829999999999998</v>
      </c>
      <c r="I36">
        <v>0</v>
      </c>
      <c r="J36">
        <v>0</v>
      </c>
      <c r="K36">
        <v>20</v>
      </c>
      <c r="N36">
        <v>3</v>
      </c>
      <c r="O36">
        <v>3</v>
      </c>
      <c r="P36">
        <v>4</v>
      </c>
      <c r="Q36">
        <v>2</v>
      </c>
      <c r="R36">
        <v>46.83</v>
      </c>
      <c r="S36">
        <v>58</v>
      </c>
      <c r="T36">
        <v>58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58</v>
      </c>
      <c r="AB36">
        <v>0</v>
      </c>
      <c r="AC36">
        <v>0</v>
      </c>
      <c r="AF36" t="s">
        <v>130</v>
      </c>
      <c r="AH36">
        <v>104.83</v>
      </c>
    </row>
    <row r="37" spans="1:34" x14ac:dyDescent="0.3">
      <c r="A37" s="4">
        <v>53</v>
      </c>
      <c r="B37" s="5">
        <v>30</v>
      </c>
      <c r="C37">
        <v>6378</v>
      </c>
      <c r="D37" t="s">
        <v>784</v>
      </c>
      <c r="E37" t="s">
        <v>166</v>
      </c>
      <c r="F37" t="s">
        <v>18506</v>
      </c>
      <c r="G37" t="s">
        <v>18507</v>
      </c>
      <c r="H37">
        <v>18.73</v>
      </c>
      <c r="I37">
        <v>0</v>
      </c>
      <c r="J37">
        <v>0</v>
      </c>
      <c r="K37">
        <v>20</v>
      </c>
      <c r="L37">
        <v>7</v>
      </c>
      <c r="N37">
        <v>3</v>
      </c>
      <c r="O37">
        <v>10</v>
      </c>
      <c r="P37">
        <v>4</v>
      </c>
      <c r="Q37">
        <v>2</v>
      </c>
      <c r="R37">
        <v>54.73</v>
      </c>
      <c r="S37">
        <v>47</v>
      </c>
      <c r="T37">
        <v>47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47</v>
      </c>
      <c r="AB37">
        <v>3</v>
      </c>
      <c r="AC37">
        <v>0</v>
      </c>
      <c r="AF37" t="s">
        <v>130</v>
      </c>
      <c r="AH37">
        <v>104.73</v>
      </c>
    </row>
    <row r="38" spans="1:34" x14ac:dyDescent="0.3">
      <c r="A38" s="4">
        <v>55</v>
      </c>
      <c r="B38" s="5">
        <v>31</v>
      </c>
      <c r="C38">
        <v>11443</v>
      </c>
      <c r="D38" t="s">
        <v>357</v>
      </c>
      <c r="E38" t="s">
        <v>54</v>
      </c>
      <c r="F38" t="s">
        <v>539</v>
      </c>
      <c r="G38" t="s">
        <v>18508</v>
      </c>
      <c r="H38">
        <v>21.15</v>
      </c>
      <c r="I38">
        <v>0</v>
      </c>
      <c r="J38">
        <v>0</v>
      </c>
      <c r="K38">
        <v>28</v>
      </c>
      <c r="M38">
        <v>5</v>
      </c>
      <c r="O38">
        <v>5</v>
      </c>
      <c r="P38">
        <v>4</v>
      </c>
      <c r="Q38">
        <v>2</v>
      </c>
      <c r="R38">
        <v>60.15</v>
      </c>
      <c r="S38">
        <v>44</v>
      </c>
      <c r="T38">
        <v>44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44</v>
      </c>
      <c r="AB38">
        <v>0</v>
      </c>
      <c r="AC38">
        <v>0</v>
      </c>
      <c r="AD38" t="s">
        <v>130</v>
      </c>
      <c r="AF38" t="s">
        <v>130</v>
      </c>
      <c r="AH38">
        <v>104.15</v>
      </c>
    </row>
    <row r="39" spans="1:34" x14ac:dyDescent="0.3">
      <c r="A39" s="4">
        <v>56</v>
      </c>
      <c r="B39" s="5">
        <v>32</v>
      </c>
      <c r="C39">
        <v>8853</v>
      </c>
      <c r="D39" t="s">
        <v>18509</v>
      </c>
      <c r="E39" t="s">
        <v>18510</v>
      </c>
      <c r="F39" t="s">
        <v>38</v>
      </c>
      <c r="G39" t="s">
        <v>18511</v>
      </c>
      <c r="H39">
        <v>18.149999999999999</v>
      </c>
      <c r="I39">
        <v>0</v>
      </c>
      <c r="J39">
        <v>0</v>
      </c>
      <c r="K39">
        <v>20</v>
      </c>
      <c r="L39">
        <v>7</v>
      </c>
      <c r="O39">
        <v>7</v>
      </c>
      <c r="P39">
        <v>4</v>
      </c>
      <c r="Q39">
        <v>2</v>
      </c>
      <c r="R39">
        <v>51.15</v>
      </c>
      <c r="S39">
        <v>53</v>
      </c>
      <c r="T39">
        <v>53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53</v>
      </c>
      <c r="AB39">
        <v>0</v>
      </c>
      <c r="AC39">
        <v>0</v>
      </c>
      <c r="AF39" t="s">
        <v>130</v>
      </c>
      <c r="AH39">
        <v>104.15</v>
      </c>
    </row>
    <row r="40" spans="1:34" x14ac:dyDescent="0.3">
      <c r="A40" s="4">
        <v>58</v>
      </c>
      <c r="B40" s="5">
        <v>33</v>
      </c>
      <c r="C40">
        <v>3028</v>
      </c>
      <c r="D40" t="s">
        <v>18512</v>
      </c>
      <c r="E40" t="s">
        <v>10969</v>
      </c>
      <c r="F40" t="s">
        <v>81</v>
      </c>
      <c r="G40" t="s">
        <v>18513</v>
      </c>
      <c r="H40">
        <v>19.95</v>
      </c>
      <c r="I40">
        <v>0</v>
      </c>
      <c r="J40">
        <v>0</v>
      </c>
      <c r="K40">
        <v>20</v>
      </c>
      <c r="L40">
        <v>7</v>
      </c>
      <c r="M40">
        <v>5</v>
      </c>
      <c r="O40">
        <v>12</v>
      </c>
      <c r="P40">
        <v>4</v>
      </c>
      <c r="Q40">
        <v>2</v>
      </c>
      <c r="R40">
        <v>57.95</v>
      </c>
      <c r="S40">
        <v>46</v>
      </c>
      <c r="T40">
        <v>46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46</v>
      </c>
      <c r="AB40">
        <v>0</v>
      </c>
      <c r="AC40">
        <v>0</v>
      </c>
      <c r="AD40" t="s">
        <v>130</v>
      </c>
      <c r="AF40" t="s">
        <v>130</v>
      </c>
      <c r="AH40">
        <v>103.95</v>
      </c>
    </row>
    <row r="41" spans="1:34" x14ac:dyDescent="0.3">
      <c r="A41" s="4">
        <v>59</v>
      </c>
      <c r="B41" s="5">
        <v>34</v>
      </c>
      <c r="C41">
        <v>11498</v>
      </c>
      <c r="D41" t="s">
        <v>4978</v>
      </c>
      <c r="E41" t="s">
        <v>97</v>
      </c>
      <c r="F41" t="s">
        <v>17</v>
      </c>
      <c r="G41" t="s">
        <v>18514</v>
      </c>
      <c r="H41">
        <v>19.7</v>
      </c>
      <c r="I41">
        <v>0</v>
      </c>
      <c r="J41">
        <v>0</v>
      </c>
      <c r="K41">
        <v>20</v>
      </c>
      <c r="L41">
        <v>7</v>
      </c>
      <c r="O41">
        <v>7</v>
      </c>
      <c r="P41">
        <v>4</v>
      </c>
      <c r="Q41">
        <v>2</v>
      </c>
      <c r="R41">
        <v>52.7</v>
      </c>
      <c r="S41">
        <v>45</v>
      </c>
      <c r="T41">
        <v>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45</v>
      </c>
      <c r="AB41">
        <v>6</v>
      </c>
      <c r="AC41">
        <v>0</v>
      </c>
      <c r="AF41" t="s">
        <v>130</v>
      </c>
      <c r="AH41">
        <v>103.7</v>
      </c>
    </row>
    <row r="42" spans="1:34" x14ac:dyDescent="0.3">
      <c r="A42" s="4">
        <v>60</v>
      </c>
      <c r="B42" s="5">
        <v>35</v>
      </c>
      <c r="C42">
        <v>1382</v>
      </c>
      <c r="D42" t="s">
        <v>18515</v>
      </c>
      <c r="E42" t="s">
        <v>13</v>
      </c>
      <c r="F42" t="s">
        <v>17</v>
      </c>
      <c r="G42" t="s">
        <v>18516</v>
      </c>
      <c r="H42">
        <v>19.48</v>
      </c>
      <c r="I42">
        <v>0</v>
      </c>
      <c r="J42">
        <v>0</v>
      </c>
      <c r="K42">
        <v>20</v>
      </c>
      <c r="O42">
        <v>0</v>
      </c>
      <c r="P42">
        <v>4</v>
      </c>
      <c r="Q42">
        <v>2</v>
      </c>
      <c r="R42">
        <v>45.48</v>
      </c>
      <c r="S42">
        <v>46</v>
      </c>
      <c r="T42">
        <v>46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46</v>
      </c>
      <c r="AB42">
        <v>12</v>
      </c>
      <c r="AC42">
        <v>0</v>
      </c>
      <c r="AF42" t="s">
        <v>130</v>
      </c>
      <c r="AH42">
        <v>103.48</v>
      </c>
    </row>
    <row r="43" spans="1:34" x14ac:dyDescent="0.3">
      <c r="A43" s="4">
        <v>61</v>
      </c>
      <c r="B43" s="5">
        <v>36</v>
      </c>
      <c r="C43">
        <v>4444</v>
      </c>
      <c r="D43" t="s">
        <v>2682</v>
      </c>
      <c r="E43" t="s">
        <v>110</v>
      </c>
      <c r="F43" t="s">
        <v>570</v>
      </c>
      <c r="G43" t="s">
        <v>18517</v>
      </c>
      <c r="H43">
        <v>17.45</v>
      </c>
      <c r="I43">
        <v>0</v>
      </c>
      <c r="J43">
        <v>0</v>
      </c>
      <c r="K43">
        <v>20</v>
      </c>
      <c r="L43">
        <v>7</v>
      </c>
      <c r="O43">
        <v>7</v>
      </c>
      <c r="P43">
        <v>4</v>
      </c>
      <c r="Q43">
        <v>0</v>
      </c>
      <c r="R43">
        <v>48.45</v>
      </c>
      <c r="S43">
        <v>52</v>
      </c>
      <c r="T43">
        <v>52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52</v>
      </c>
      <c r="AB43">
        <v>3</v>
      </c>
      <c r="AC43">
        <v>0</v>
      </c>
      <c r="AE43" t="s">
        <v>130</v>
      </c>
      <c r="AF43" t="s">
        <v>130</v>
      </c>
      <c r="AH43">
        <v>103.45</v>
      </c>
    </row>
    <row r="44" spans="1:34" x14ac:dyDescent="0.3">
      <c r="A44" s="4">
        <v>62</v>
      </c>
      <c r="B44" s="5">
        <v>37</v>
      </c>
      <c r="C44">
        <v>5800</v>
      </c>
      <c r="D44" t="s">
        <v>18518</v>
      </c>
      <c r="E44" t="s">
        <v>22</v>
      </c>
      <c r="F44" t="s">
        <v>521</v>
      </c>
      <c r="G44" t="s">
        <v>18519</v>
      </c>
      <c r="H44">
        <v>19.350000000000001</v>
      </c>
      <c r="I44">
        <v>0</v>
      </c>
      <c r="J44">
        <v>0</v>
      </c>
      <c r="K44">
        <v>20</v>
      </c>
      <c r="N44">
        <v>3</v>
      </c>
      <c r="O44">
        <v>3</v>
      </c>
      <c r="P44">
        <v>4</v>
      </c>
      <c r="Q44">
        <v>2</v>
      </c>
      <c r="R44">
        <v>48.35</v>
      </c>
      <c r="S44">
        <v>55</v>
      </c>
      <c r="T44">
        <v>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55</v>
      </c>
      <c r="AB44">
        <v>0</v>
      </c>
      <c r="AC44">
        <v>0</v>
      </c>
      <c r="AD44" t="s">
        <v>130</v>
      </c>
      <c r="AF44" t="s">
        <v>130</v>
      </c>
      <c r="AH44">
        <v>103.35</v>
      </c>
    </row>
    <row r="45" spans="1:34" x14ac:dyDescent="0.3">
      <c r="A45" s="4">
        <v>63</v>
      </c>
      <c r="B45" s="5">
        <v>38</v>
      </c>
      <c r="C45">
        <v>1896</v>
      </c>
      <c r="D45" t="s">
        <v>18520</v>
      </c>
      <c r="E45" t="s">
        <v>167</v>
      </c>
      <c r="F45" t="s">
        <v>68</v>
      </c>
      <c r="G45" t="s">
        <v>18521</v>
      </c>
      <c r="H45">
        <v>18.23</v>
      </c>
      <c r="I45">
        <v>0</v>
      </c>
      <c r="J45">
        <v>40</v>
      </c>
      <c r="K45">
        <v>20</v>
      </c>
      <c r="L45">
        <v>7</v>
      </c>
      <c r="O45">
        <v>7</v>
      </c>
      <c r="P45">
        <v>4</v>
      </c>
      <c r="Q45">
        <v>2</v>
      </c>
      <c r="R45">
        <v>91.23</v>
      </c>
      <c r="S45">
        <v>6</v>
      </c>
      <c r="T45">
        <v>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6</v>
      </c>
      <c r="AB45">
        <v>6</v>
      </c>
      <c r="AC45">
        <v>0</v>
      </c>
      <c r="AF45" t="s">
        <v>130</v>
      </c>
      <c r="AH45">
        <v>103.23</v>
      </c>
    </row>
    <row r="46" spans="1:34" x14ac:dyDescent="0.3">
      <c r="A46" s="4">
        <v>64</v>
      </c>
      <c r="B46" s="5">
        <v>39</v>
      </c>
      <c r="C46">
        <v>4358</v>
      </c>
      <c r="D46" t="s">
        <v>18522</v>
      </c>
      <c r="E46" t="s">
        <v>692</v>
      </c>
      <c r="F46" t="s">
        <v>68</v>
      </c>
      <c r="G46" t="s">
        <v>18523</v>
      </c>
      <c r="H46">
        <v>18.2</v>
      </c>
      <c r="I46">
        <v>0</v>
      </c>
      <c r="J46">
        <v>0</v>
      </c>
      <c r="K46">
        <v>20</v>
      </c>
      <c r="O46">
        <v>0</v>
      </c>
      <c r="P46">
        <v>4</v>
      </c>
      <c r="Q46">
        <v>0</v>
      </c>
      <c r="R46">
        <v>42.2</v>
      </c>
      <c r="S46">
        <v>61</v>
      </c>
      <c r="T46">
        <v>61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61</v>
      </c>
      <c r="AB46">
        <v>0</v>
      </c>
      <c r="AC46">
        <v>0</v>
      </c>
      <c r="AF46" t="s">
        <v>130</v>
      </c>
      <c r="AH46">
        <v>103.2</v>
      </c>
    </row>
    <row r="47" spans="1:34" x14ac:dyDescent="0.3">
      <c r="A47" s="4">
        <v>65</v>
      </c>
      <c r="B47" s="5">
        <v>40</v>
      </c>
      <c r="C47">
        <v>1720</v>
      </c>
      <c r="D47" t="s">
        <v>18524</v>
      </c>
      <c r="E47" t="s">
        <v>81</v>
      </c>
      <c r="F47" t="s">
        <v>17</v>
      </c>
      <c r="G47" t="s">
        <v>18525</v>
      </c>
      <c r="H47">
        <v>18.079999999999998</v>
      </c>
      <c r="I47">
        <v>0</v>
      </c>
      <c r="J47">
        <v>0</v>
      </c>
      <c r="K47">
        <v>20</v>
      </c>
      <c r="N47">
        <v>3</v>
      </c>
      <c r="O47">
        <v>3</v>
      </c>
      <c r="P47">
        <v>4</v>
      </c>
      <c r="Q47">
        <v>2</v>
      </c>
      <c r="R47">
        <v>47.08</v>
      </c>
      <c r="S47">
        <v>50</v>
      </c>
      <c r="T47">
        <v>50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50</v>
      </c>
      <c r="AB47">
        <v>6</v>
      </c>
      <c r="AC47">
        <v>0</v>
      </c>
      <c r="AF47" t="s">
        <v>130</v>
      </c>
      <c r="AH47">
        <v>103.08</v>
      </c>
    </row>
    <row r="48" spans="1:34" x14ac:dyDescent="0.3">
      <c r="A48" s="4">
        <v>67</v>
      </c>
      <c r="B48" s="5">
        <v>41</v>
      </c>
      <c r="C48">
        <v>3293</v>
      </c>
      <c r="D48" t="s">
        <v>18526</v>
      </c>
      <c r="E48" t="s">
        <v>136</v>
      </c>
      <c r="F48" t="s">
        <v>68</v>
      </c>
      <c r="G48" t="s">
        <v>18527</v>
      </c>
      <c r="H48">
        <v>16.93</v>
      </c>
      <c r="I48">
        <v>0</v>
      </c>
      <c r="J48">
        <v>0</v>
      </c>
      <c r="K48">
        <v>20</v>
      </c>
      <c r="M48">
        <v>5</v>
      </c>
      <c r="O48">
        <v>5</v>
      </c>
      <c r="P48">
        <v>4</v>
      </c>
      <c r="Q48">
        <v>2</v>
      </c>
      <c r="R48">
        <v>47.93</v>
      </c>
      <c r="S48">
        <v>55</v>
      </c>
      <c r="T48">
        <v>55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55</v>
      </c>
      <c r="AB48">
        <v>0</v>
      </c>
      <c r="AC48">
        <v>0</v>
      </c>
      <c r="AF48" t="s">
        <v>130</v>
      </c>
      <c r="AH48">
        <v>102.93</v>
      </c>
    </row>
    <row r="49" spans="1:34" x14ac:dyDescent="0.3">
      <c r="A49" s="4">
        <v>68</v>
      </c>
      <c r="B49" s="5">
        <v>42</v>
      </c>
      <c r="C49">
        <v>2207</v>
      </c>
      <c r="D49" t="s">
        <v>4597</v>
      </c>
      <c r="E49" t="s">
        <v>29</v>
      </c>
      <c r="F49" t="s">
        <v>136</v>
      </c>
      <c r="G49" t="s">
        <v>18528</v>
      </c>
      <c r="H49">
        <v>18.78</v>
      </c>
      <c r="I49">
        <v>0</v>
      </c>
      <c r="J49">
        <v>0</v>
      </c>
      <c r="K49">
        <v>20</v>
      </c>
      <c r="L49">
        <v>7</v>
      </c>
      <c r="N49">
        <v>3</v>
      </c>
      <c r="O49">
        <v>10</v>
      </c>
      <c r="P49">
        <v>4</v>
      </c>
      <c r="Q49">
        <v>2</v>
      </c>
      <c r="R49">
        <v>54.78</v>
      </c>
      <c r="S49">
        <v>45</v>
      </c>
      <c r="T49">
        <v>45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45</v>
      </c>
      <c r="AB49">
        <v>3</v>
      </c>
      <c r="AC49">
        <v>0</v>
      </c>
      <c r="AF49" t="s">
        <v>130</v>
      </c>
      <c r="AH49">
        <v>102.78</v>
      </c>
    </row>
    <row r="50" spans="1:34" x14ac:dyDescent="0.3">
      <c r="A50" s="4">
        <v>69</v>
      </c>
      <c r="B50" s="5">
        <v>43</v>
      </c>
      <c r="C50">
        <v>12005</v>
      </c>
      <c r="D50" t="s">
        <v>18529</v>
      </c>
      <c r="E50" t="s">
        <v>22</v>
      </c>
      <c r="F50" t="s">
        <v>136</v>
      </c>
      <c r="G50" t="s">
        <v>18530</v>
      </c>
      <c r="H50">
        <v>20.75</v>
      </c>
      <c r="I50">
        <v>0</v>
      </c>
      <c r="J50">
        <v>0</v>
      </c>
      <c r="K50">
        <v>20</v>
      </c>
      <c r="L50">
        <v>7</v>
      </c>
      <c r="N50">
        <v>3</v>
      </c>
      <c r="O50">
        <v>10</v>
      </c>
      <c r="P50">
        <v>4</v>
      </c>
      <c r="Q50">
        <v>2</v>
      </c>
      <c r="R50">
        <v>56.75</v>
      </c>
      <c r="S50">
        <v>46</v>
      </c>
      <c r="T50">
        <v>46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46</v>
      </c>
      <c r="AB50">
        <v>0</v>
      </c>
      <c r="AC50">
        <v>0</v>
      </c>
      <c r="AD50" t="s">
        <v>130</v>
      </c>
      <c r="AF50" t="s">
        <v>130</v>
      </c>
      <c r="AH50">
        <v>102.75</v>
      </c>
    </row>
    <row r="51" spans="1:34" x14ac:dyDescent="0.3">
      <c r="A51" s="4">
        <v>70</v>
      </c>
      <c r="B51" s="5">
        <v>44</v>
      </c>
      <c r="C51">
        <v>5996</v>
      </c>
      <c r="D51" t="s">
        <v>6906</v>
      </c>
      <c r="E51" t="s">
        <v>178</v>
      </c>
      <c r="F51" t="s">
        <v>17</v>
      </c>
      <c r="G51" t="s">
        <v>18531</v>
      </c>
      <c r="H51">
        <v>18.28</v>
      </c>
      <c r="I51">
        <v>0</v>
      </c>
      <c r="J51">
        <v>0</v>
      </c>
      <c r="K51">
        <v>20</v>
      </c>
      <c r="L51">
        <v>7</v>
      </c>
      <c r="O51">
        <v>7</v>
      </c>
      <c r="P51">
        <v>4</v>
      </c>
      <c r="Q51">
        <v>2</v>
      </c>
      <c r="R51">
        <v>51.28</v>
      </c>
      <c r="S51">
        <v>45</v>
      </c>
      <c r="T51">
        <v>45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45</v>
      </c>
      <c r="AB51">
        <v>6</v>
      </c>
      <c r="AC51">
        <v>0</v>
      </c>
      <c r="AF51" t="s">
        <v>130</v>
      </c>
      <c r="AH51">
        <v>102.28</v>
      </c>
    </row>
    <row r="52" spans="1:34" x14ac:dyDescent="0.3">
      <c r="A52" s="4">
        <v>71</v>
      </c>
      <c r="B52" s="5">
        <v>45</v>
      </c>
      <c r="C52">
        <v>9826</v>
      </c>
      <c r="D52" t="s">
        <v>18532</v>
      </c>
      <c r="E52" t="s">
        <v>649</v>
      </c>
      <c r="F52" t="s">
        <v>117</v>
      </c>
      <c r="G52" t="s">
        <v>18533</v>
      </c>
      <c r="H52">
        <v>17.25</v>
      </c>
      <c r="I52">
        <v>0</v>
      </c>
      <c r="J52">
        <v>0</v>
      </c>
      <c r="K52">
        <v>20</v>
      </c>
      <c r="N52">
        <v>3</v>
      </c>
      <c r="O52">
        <v>3</v>
      </c>
      <c r="P52">
        <v>4</v>
      </c>
      <c r="Q52">
        <v>0</v>
      </c>
      <c r="R52">
        <v>44.25</v>
      </c>
      <c r="S52">
        <v>55</v>
      </c>
      <c r="T52">
        <v>55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55</v>
      </c>
      <c r="AB52">
        <v>3</v>
      </c>
      <c r="AC52">
        <v>0</v>
      </c>
      <c r="AF52" t="s">
        <v>130</v>
      </c>
      <c r="AH52">
        <v>102.25</v>
      </c>
    </row>
    <row r="53" spans="1:34" x14ac:dyDescent="0.3">
      <c r="A53" s="4">
        <v>73</v>
      </c>
      <c r="B53" s="5">
        <v>46</v>
      </c>
      <c r="C53">
        <v>9420</v>
      </c>
      <c r="D53" t="s">
        <v>18534</v>
      </c>
      <c r="E53" t="s">
        <v>29</v>
      </c>
      <c r="F53" t="s">
        <v>124</v>
      </c>
      <c r="G53" t="s">
        <v>18535</v>
      </c>
      <c r="H53">
        <v>20.079999999999998</v>
      </c>
      <c r="I53">
        <v>0</v>
      </c>
      <c r="J53">
        <v>0</v>
      </c>
      <c r="K53">
        <v>20</v>
      </c>
      <c r="N53">
        <v>3</v>
      </c>
      <c r="O53">
        <v>3</v>
      </c>
      <c r="P53">
        <v>4</v>
      </c>
      <c r="Q53">
        <v>2</v>
      </c>
      <c r="R53">
        <v>49.08</v>
      </c>
      <c r="S53">
        <v>53</v>
      </c>
      <c r="T53">
        <v>53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53</v>
      </c>
      <c r="AB53">
        <v>0</v>
      </c>
      <c r="AC53">
        <v>0</v>
      </c>
      <c r="AD53" t="s">
        <v>130</v>
      </c>
      <c r="AF53" t="s">
        <v>130</v>
      </c>
      <c r="AH53">
        <v>102.08</v>
      </c>
    </row>
    <row r="54" spans="1:34" x14ac:dyDescent="0.3">
      <c r="A54" s="4">
        <v>75</v>
      </c>
      <c r="B54" s="5">
        <v>47</v>
      </c>
      <c r="C54">
        <v>4612</v>
      </c>
      <c r="D54" t="s">
        <v>18536</v>
      </c>
      <c r="E54" t="s">
        <v>2643</v>
      </c>
      <c r="F54" t="s">
        <v>52</v>
      </c>
      <c r="G54" t="s">
        <v>18537</v>
      </c>
      <c r="H54">
        <v>18</v>
      </c>
      <c r="I54">
        <v>0</v>
      </c>
      <c r="J54">
        <v>0</v>
      </c>
      <c r="K54">
        <v>20</v>
      </c>
      <c r="N54">
        <v>3</v>
      </c>
      <c r="O54">
        <v>3</v>
      </c>
      <c r="P54">
        <v>4</v>
      </c>
      <c r="Q54">
        <v>0</v>
      </c>
      <c r="R54">
        <v>45</v>
      </c>
      <c r="S54">
        <v>34</v>
      </c>
      <c r="T54">
        <v>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34</v>
      </c>
      <c r="AB54">
        <v>3</v>
      </c>
      <c r="AC54">
        <v>20</v>
      </c>
      <c r="AF54" t="s">
        <v>130</v>
      </c>
      <c r="AH54">
        <v>102</v>
      </c>
    </row>
    <row r="55" spans="1:34" x14ac:dyDescent="0.3">
      <c r="A55" s="4">
        <v>76</v>
      </c>
      <c r="B55" s="5">
        <v>48</v>
      </c>
      <c r="C55">
        <v>7887</v>
      </c>
      <c r="D55" t="s">
        <v>2254</v>
      </c>
      <c r="E55" t="s">
        <v>166</v>
      </c>
      <c r="F55" t="s">
        <v>81</v>
      </c>
      <c r="G55" t="s">
        <v>18538</v>
      </c>
      <c r="H55">
        <v>20</v>
      </c>
      <c r="I55">
        <v>0</v>
      </c>
      <c r="J55">
        <v>0</v>
      </c>
      <c r="K55">
        <v>20</v>
      </c>
      <c r="L55">
        <v>7</v>
      </c>
      <c r="O55">
        <v>7</v>
      </c>
      <c r="P55">
        <v>4</v>
      </c>
      <c r="Q55">
        <v>2</v>
      </c>
      <c r="R55">
        <v>53</v>
      </c>
      <c r="S55">
        <v>46</v>
      </c>
      <c r="T55">
        <v>46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46</v>
      </c>
      <c r="AB55">
        <v>3</v>
      </c>
      <c r="AC55">
        <v>0</v>
      </c>
      <c r="AF55" t="s">
        <v>130</v>
      </c>
      <c r="AH55">
        <v>102</v>
      </c>
    </row>
    <row r="56" spans="1:34" x14ac:dyDescent="0.3">
      <c r="A56" s="4">
        <v>77</v>
      </c>
      <c r="B56" s="5">
        <v>49</v>
      </c>
      <c r="C56">
        <v>9283</v>
      </c>
      <c r="D56" t="s">
        <v>18539</v>
      </c>
      <c r="E56" t="s">
        <v>38</v>
      </c>
      <c r="F56" t="s">
        <v>158</v>
      </c>
      <c r="G56" t="s">
        <v>18540</v>
      </c>
      <c r="H56">
        <v>20</v>
      </c>
      <c r="I56">
        <v>7</v>
      </c>
      <c r="J56">
        <v>0</v>
      </c>
      <c r="K56">
        <v>20</v>
      </c>
      <c r="O56">
        <v>0</v>
      </c>
      <c r="P56">
        <v>4</v>
      </c>
      <c r="Q56">
        <v>2</v>
      </c>
      <c r="R56">
        <v>53</v>
      </c>
      <c r="S56">
        <v>46</v>
      </c>
      <c r="T56">
        <v>46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46</v>
      </c>
      <c r="AB56">
        <v>3</v>
      </c>
      <c r="AC56">
        <v>0</v>
      </c>
      <c r="AF56" t="s">
        <v>130</v>
      </c>
      <c r="AH56">
        <v>102</v>
      </c>
    </row>
    <row r="57" spans="1:34" x14ac:dyDescent="0.3">
      <c r="A57" s="4">
        <v>78</v>
      </c>
      <c r="B57" s="5">
        <v>50</v>
      </c>
      <c r="C57">
        <v>283</v>
      </c>
      <c r="D57" t="s">
        <v>18541</v>
      </c>
      <c r="E57" t="s">
        <v>132</v>
      </c>
      <c r="F57" t="s">
        <v>193</v>
      </c>
      <c r="G57" t="s">
        <v>18542</v>
      </c>
      <c r="H57">
        <v>19.78</v>
      </c>
      <c r="I57">
        <v>0</v>
      </c>
      <c r="J57">
        <v>0</v>
      </c>
      <c r="K57">
        <v>20</v>
      </c>
      <c r="M57">
        <v>5</v>
      </c>
      <c r="O57">
        <v>5</v>
      </c>
      <c r="P57">
        <v>4</v>
      </c>
      <c r="Q57">
        <v>2</v>
      </c>
      <c r="R57">
        <v>50.78</v>
      </c>
      <c r="S57">
        <v>45</v>
      </c>
      <c r="T57">
        <v>45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45</v>
      </c>
      <c r="AB57">
        <v>6</v>
      </c>
      <c r="AC57">
        <v>0</v>
      </c>
      <c r="AF57" t="s">
        <v>130</v>
      </c>
      <c r="AH57">
        <v>101.78</v>
      </c>
    </row>
    <row r="58" spans="1:34" x14ac:dyDescent="0.3">
      <c r="A58" s="4">
        <v>79</v>
      </c>
      <c r="B58" s="5">
        <v>51</v>
      </c>
      <c r="C58">
        <v>56</v>
      </c>
      <c r="D58" t="s">
        <v>18543</v>
      </c>
      <c r="E58" t="s">
        <v>29</v>
      </c>
      <c r="F58" t="s">
        <v>801</v>
      </c>
      <c r="G58" t="s">
        <v>18544</v>
      </c>
      <c r="H58">
        <v>18.18</v>
      </c>
      <c r="I58">
        <v>7</v>
      </c>
      <c r="J58">
        <v>0</v>
      </c>
      <c r="K58">
        <v>0</v>
      </c>
      <c r="L58">
        <v>7</v>
      </c>
      <c r="O58">
        <v>7</v>
      </c>
      <c r="P58">
        <v>4</v>
      </c>
      <c r="Q58">
        <v>0</v>
      </c>
      <c r="R58">
        <v>36.18</v>
      </c>
      <c r="S58">
        <v>45</v>
      </c>
      <c r="T58">
        <v>45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45</v>
      </c>
      <c r="AB58">
        <v>0</v>
      </c>
      <c r="AC58">
        <v>20</v>
      </c>
      <c r="AF58" t="s">
        <v>130</v>
      </c>
      <c r="AH58">
        <v>101.18</v>
      </c>
    </row>
    <row r="59" spans="1:34" x14ac:dyDescent="0.3">
      <c r="A59" s="4">
        <v>80</v>
      </c>
      <c r="B59" s="5">
        <v>52</v>
      </c>
      <c r="C59">
        <v>11138</v>
      </c>
      <c r="D59" t="s">
        <v>18545</v>
      </c>
      <c r="E59" t="s">
        <v>29</v>
      </c>
      <c r="F59" t="s">
        <v>136</v>
      </c>
      <c r="G59" t="s">
        <v>18546</v>
      </c>
      <c r="H59">
        <v>16.18</v>
      </c>
      <c r="I59">
        <v>0</v>
      </c>
      <c r="J59">
        <v>0</v>
      </c>
      <c r="K59">
        <v>20</v>
      </c>
      <c r="N59">
        <v>3</v>
      </c>
      <c r="O59">
        <v>3</v>
      </c>
      <c r="P59">
        <v>4</v>
      </c>
      <c r="Q59">
        <v>2</v>
      </c>
      <c r="R59">
        <v>45.18</v>
      </c>
      <c r="S59">
        <v>47</v>
      </c>
      <c r="T59">
        <v>47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47</v>
      </c>
      <c r="AB59">
        <v>9</v>
      </c>
      <c r="AC59">
        <v>0</v>
      </c>
      <c r="AD59" t="s">
        <v>130</v>
      </c>
      <c r="AF59" t="s">
        <v>130</v>
      </c>
      <c r="AH59">
        <v>101.18</v>
      </c>
    </row>
    <row r="60" spans="1:34" x14ac:dyDescent="0.3">
      <c r="A60" s="4">
        <v>81</v>
      </c>
      <c r="B60" s="5">
        <v>53</v>
      </c>
      <c r="C60">
        <v>3880</v>
      </c>
      <c r="D60" t="s">
        <v>18547</v>
      </c>
      <c r="E60" t="s">
        <v>18548</v>
      </c>
      <c r="F60" t="s">
        <v>18549</v>
      </c>
      <c r="G60" t="s">
        <v>18550</v>
      </c>
      <c r="H60">
        <v>22.75</v>
      </c>
      <c r="I60">
        <v>7</v>
      </c>
      <c r="J60">
        <v>0</v>
      </c>
      <c r="K60">
        <v>20</v>
      </c>
      <c r="L60">
        <v>7</v>
      </c>
      <c r="N60">
        <v>3</v>
      </c>
      <c r="O60">
        <v>10</v>
      </c>
      <c r="P60">
        <v>4</v>
      </c>
      <c r="Q60">
        <v>2</v>
      </c>
      <c r="R60">
        <v>65.75</v>
      </c>
      <c r="S60">
        <v>35</v>
      </c>
      <c r="T60">
        <v>35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35</v>
      </c>
      <c r="AB60">
        <v>0</v>
      </c>
      <c r="AC60">
        <v>0</v>
      </c>
      <c r="AD60" t="s">
        <v>130</v>
      </c>
      <c r="AF60" t="s">
        <v>130</v>
      </c>
      <c r="AH60">
        <v>100.75</v>
      </c>
    </row>
    <row r="61" spans="1:34" x14ac:dyDescent="0.3">
      <c r="A61" s="4">
        <v>82</v>
      </c>
      <c r="B61" s="5">
        <v>54</v>
      </c>
      <c r="C61">
        <v>3903</v>
      </c>
      <c r="D61" t="s">
        <v>18551</v>
      </c>
      <c r="E61" t="s">
        <v>18552</v>
      </c>
      <c r="F61" t="s">
        <v>17</v>
      </c>
      <c r="G61" t="s">
        <v>18553</v>
      </c>
      <c r="H61">
        <v>23.48</v>
      </c>
      <c r="I61">
        <v>7</v>
      </c>
      <c r="J61">
        <v>0</v>
      </c>
      <c r="K61">
        <v>20</v>
      </c>
      <c r="L61">
        <v>7</v>
      </c>
      <c r="O61">
        <v>7</v>
      </c>
      <c r="P61">
        <v>4</v>
      </c>
      <c r="Q61">
        <v>2</v>
      </c>
      <c r="R61">
        <v>63.48</v>
      </c>
      <c r="S61">
        <v>37</v>
      </c>
      <c r="T61">
        <v>37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37</v>
      </c>
      <c r="AB61">
        <v>0</v>
      </c>
      <c r="AC61">
        <v>0</v>
      </c>
      <c r="AF61" t="s">
        <v>130</v>
      </c>
      <c r="AH61">
        <v>100.48</v>
      </c>
    </row>
    <row r="62" spans="1:34" x14ac:dyDescent="0.3">
      <c r="A62" s="4">
        <v>83</v>
      </c>
      <c r="B62" s="5">
        <v>55</v>
      </c>
      <c r="C62">
        <v>14</v>
      </c>
      <c r="D62" t="s">
        <v>18554</v>
      </c>
      <c r="E62" t="s">
        <v>81</v>
      </c>
      <c r="F62" t="s">
        <v>17</v>
      </c>
      <c r="G62" t="s">
        <v>18555</v>
      </c>
      <c r="H62">
        <v>18.350000000000001</v>
      </c>
      <c r="I62">
        <v>0</v>
      </c>
      <c r="J62">
        <v>0</v>
      </c>
      <c r="K62">
        <v>20</v>
      </c>
      <c r="N62">
        <v>3</v>
      </c>
      <c r="O62">
        <v>3</v>
      </c>
      <c r="P62">
        <v>4</v>
      </c>
      <c r="Q62">
        <v>2</v>
      </c>
      <c r="R62">
        <v>47.35</v>
      </c>
      <c r="S62">
        <v>53</v>
      </c>
      <c r="T62">
        <v>53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53</v>
      </c>
      <c r="AB62">
        <v>0</v>
      </c>
      <c r="AC62">
        <v>0</v>
      </c>
      <c r="AF62" t="s">
        <v>130</v>
      </c>
      <c r="AH62">
        <v>100.35</v>
      </c>
    </row>
    <row r="63" spans="1:34" x14ac:dyDescent="0.3">
      <c r="A63" s="4">
        <v>84</v>
      </c>
      <c r="B63" s="5">
        <v>56</v>
      </c>
      <c r="C63">
        <v>5893</v>
      </c>
      <c r="D63" t="s">
        <v>18556</v>
      </c>
      <c r="E63" t="s">
        <v>29</v>
      </c>
      <c r="F63" t="s">
        <v>17</v>
      </c>
      <c r="G63" t="s">
        <v>18557</v>
      </c>
      <c r="H63">
        <v>23.13</v>
      </c>
      <c r="I63">
        <v>7</v>
      </c>
      <c r="J63">
        <v>0</v>
      </c>
      <c r="K63">
        <v>20</v>
      </c>
      <c r="L63">
        <v>7</v>
      </c>
      <c r="O63">
        <v>7</v>
      </c>
      <c r="P63">
        <v>4</v>
      </c>
      <c r="Q63">
        <v>2</v>
      </c>
      <c r="R63">
        <v>63.13</v>
      </c>
      <c r="S63">
        <v>37</v>
      </c>
      <c r="T63">
        <v>37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37</v>
      </c>
      <c r="AB63">
        <v>0</v>
      </c>
      <c r="AC63">
        <v>0</v>
      </c>
      <c r="AF63" t="s">
        <v>130</v>
      </c>
      <c r="AH63">
        <v>100.13</v>
      </c>
    </row>
    <row r="64" spans="1:34" x14ac:dyDescent="0.3">
      <c r="A64" s="4">
        <v>88</v>
      </c>
      <c r="B64" s="5">
        <v>57</v>
      </c>
      <c r="C64">
        <v>5709</v>
      </c>
      <c r="D64" t="s">
        <v>18558</v>
      </c>
      <c r="E64" t="s">
        <v>1371</v>
      </c>
      <c r="F64" t="s">
        <v>20</v>
      </c>
      <c r="G64" t="s">
        <v>18559</v>
      </c>
      <c r="H64">
        <v>17.68</v>
      </c>
      <c r="I64">
        <v>0</v>
      </c>
      <c r="J64">
        <v>0</v>
      </c>
      <c r="K64">
        <v>20</v>
      </c>
      <c r="N64">
        <v>3</v>
      </c>
      <c r="O64">
        <v>3</v>
      </c>
      <c r="P64">
        <v>4</v>
      </c>
      <c r="Q64">
        <v>2</v>
      </c>
      <c r="R64">
        <v>46.68</v>
      </c>
      <c r="S64">
        <v>53</v>
      </c>
      <c r="T64">
        <v>53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53</v>
      </c>
      <c r="AB64">
        <v>0</v>
      </c>
      <c r="AC64">
        <v>0</v>
      </c>
      <c r="AF64" t="s">
        <v>130</v>
      </c>
      <c r="AH64">
        <v>99.68</v>
      </c>
    </row>
    <row r="65" spans="1:34" x14ac:dyDescent="0.3">
      <c r="A65" s="4">
        <v>89</v>
      </c>
      <c r="B65" s="5">
        <v>58</v>
      </c>
      <c r="C65">
        <v>11812</v>
      </c>
      <c r="D65" t="s">
        <v>421</v>
      </c>
      <c r="E65" t="s">
        <v>100</v>
      </c>
      <c r="F65" t="s">
        <v>1854</v>
      </c>
      <c r="G65" t="s">
        <v>18560</v>
      </c>
      <c r="H65">
        <v>18.55</v>
      </c>
      <c r="I65">
        <v>0</v>
      </c>
      <c r="J65">
        <v>0</v>
      </c>
      <c r="K65">
        <v>20</v>
      </c>
      <c r="N65">
        <v>3</v>
      </c>
      <c r="O65">
        <v>3</v>
      </c>
      <c r="P65">
        <v>4</v>
      </c>
      <c r="Q65">
        <v>2</v>
      </c>
      <c r="R65">
        <v>47.55</v>
      </c>
      <c r="S65">
        <v>46</v>
      </c>
      <c r="T65">
        <v>46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46</v>
      </c>
      <c r="AB65">
        <v>6</v>
      </c>
      <c r="AC65">
        <v>0</v>
      </c>
      <c r="AF65" t="s">
        <v>130</v>
      </c>
      <c r="AH65">
        <v>99.55</v>
      </c>
    </row>
    <row r="66" spans="1:34" x14ac:dyDescent="0.3">
      <c r="A66" s="4">
        <v>90</v>
      </c>
      <c r="B66" s="5">
        <v>59</v>
      </c>
      <c r="C66">
        <v>12049</v>
      </c>
      <c r="D66" t="s">
        <v>9048</v>
      </c>
      <c r="E66" t="s">
        <v>100</v>
      </c>
      <c r="F66" t="s">
        <v>972</v>
      </c>
      <c r="G66" t="s">
        <v>18561</v>
      </c>
      <c r="H66">
        <v>19.399999999999999</v>
      </c>
      <c r="I66">
        <v>0</v>
      </c>
      <c r="J66">
        <v>0</v>
      </c>
      <c r="K66">
        <v>20</v>
      </c>
      <c r="N66">
        <v>3</v>
      </c>
      <c r="O66">
        <v>3</v>
      </c>
      <c r="P66">
        <v>4</v>
      </c>
      <c r="Q66">
        <v>2</v>
      </c>
      <c r="R66">
        <v>48.4</v>
      </c>
      <c r="S66">
        <v>45</v>
      </c>
      <c r="T66">
        <v>45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45</v>
      </c>
      <c r="AB66">
        <v>6</v>
      </c>
      <c r="AC66">
        <v>0</v>
      </c>
      <c r="AF66" t="s">
        <v>130</v>
      </c>
      <c r="AH66">
        <v>99.4</v>
      </c>
    </row>
    <row r="67" spans="1:34" x14ac:dyDescent="0.3">
      <c r="A67" s="4">
        <v>92</v>
      </c>
      <c r="B67" s="5">
        <v>60</v>
      </c>
      <c r="C67">
        <v>394</v>
      </c>
      <c r="D67" t="s">
        <v>18562</v>
      </c>
      <c r="E67" t="s">
        <v>29</v>
      </c>
      <c r="F67" t="s">
        <v>17</v>
      </c>
      <c r="G67" t="s">
        <v>18563</v>
      </c>
      <c r="H67">
        <v>18.18</v>
      </c>
      <c r="I67">
        <v>0</v>
      </c>
      <c r="J67">
        <v>0</v>
      </c>
      <c r="K67">
        <v>20</v>
      </c>
      <c r="N67">
        <v>3</v>
      </c>
      <c r="O67">
        <v>3</v>
      </c>
      <c r="P67">
        <v>4</v>
      </c>
      <c r="Q67">
        <v>2</v>
      </c>
      <c r="R67">
        <v>47.18</v>
      </c>
      <c r="S67">
        <v>46</v>
      </c>
      <c r="T67">
        <v>46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46</v>
      </c>
      <c r="AB67">
        <v>6</v>
      </c>
      <c r="AC67">
        <v>0</v>
      </c>
      <c r="AF67" t="s">
        <v>130</v>
      </c>
      <c r="AH67">
        <v>99.18</v>
      </c>
    </row>
    <row r="68" spans="1:34" x14ac:dyDescent="0.3">
      <c r="A68" s="4">
        <v>93</v>
      </c>
      <c r="B68" s="5">
        <v>61</v>
      </c>
      <c r="C68">
        <v>1610</v>
      </c>
      <c r="D68" t="s">
        <v>18564</v>
      </c>
      <c r="E68" t="s">
        <v>88</v>
      </c>
      <c r="F68" t="s">
        <v>167</v>
      </c>
      <c r="G68" t="s">
        <v>18565</v>
      </c>
      <c r="H68">
        <v>19.05</v>
      </c>
      <c r="I68">
        <v>0</v>
      </c>
      <c r="J68">
        <v>0</v>
      </c>
      <c r="K68">
        <v>20</v>
      </c>
      <c r="L68">
        <v>7</v>
      </c>
      <c r="O68">
        <v>7</v>
      </c>
      <c r="P68">
        <v>4</v>
      </c>
      <c r="Q68">
        <v>2</v>
      </c>
      <c r="R68">
        <v>52.05</v>
      </c>
      <c r="S68">
        <v>47</v>
      </c>
      <c r="T68">
        <v>47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47</v>
      </c>
      <c r="AB68">
        <v>0</v>
      </c>
      <c r="AC68">
        <v>0</v>
      </c>
      <c r="AF68" t="s">
        <v>130</v>
      </c>
      <c r="AH68">
        <v>99.05</v>
      </c>
    </row>
    <row r="69" spans="1:34" x14ac:dyDescent="0.3">
      <c r="A69" s="4">
        <v>94</v>
      </c>
      <c r="B69" s="5">
        <v>62</v>
      </c>
      <c r="C69">
        <v>2234</v>
      </c>
      <c r="D69" t="s">
        <v>18566</v>
      </c>
      <c r="E69" t="s">
        <v>161</v>
      </c>
      <c r="F69" t="s">
        <v>17</v>
      </c>
      <c r="G69" t="s">
        <v>18567</v>
      </c>
      <c r="H69">
        <v>19.93</v>
      </c>
      <c r="I69">
        <v>0</v>
      </c>
      <c r="J69">
        <v>0</v>
      </c>
      <c r="K69">
        <v>20</v>
      </c>
      <c r="L69">
        <v>7</v>
      </c>
      <c r="O69">
        <v>7</v>
      </c>
      <c r="P69">
        <v>4</v>
      </c>
      <c r="Q69">
        <v>2</v>
      </c>
      <c r="R69">
        <v>52.93</v>
      </c>
      <c r="S69">
        <v>43</v>
      </c>
      <c r="T69">
        <v>43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43</v>
      </c>
      <c r="AB69">
        <v>3</v>
      </c>
      <c r="AC69">
        <v>0</v>
      </c>
      <c r="AF69" t="s">
        <v>130</v>
      </c>
      <c r="AH69">
        <v>98.93</v>
      </c>
    </row>
    <row r="70" spans="1:34" x14ac:dyDescent="0.3">
      <c r="A70" s="4">
        <v>95</v>
      </c>
      <c r="B70" s="5">
        <v>63</v>
      </c>
      <c r="C70">
        <v>3692</v>
      </c>
      <c r="D70" t="s">
        <v>18568</v>
      </c>
      <c r="E70" t="s">
        <v>29</v>
      </c>
      <c r="F70" t="s">
        <v>38</v>
      </c>
      <c r="G70" t="s">
        <v>18569</v>
      </c>
      <c r="H70">
        <v>17.73</v>
      </c>
      <c r="I70">
        <v>0</v>
      </c>
      <c r="J70">
        <v>0</v>
      </c>
      <c r="K70">
        <v>28</v>
      </c>
      <c r="L70">
        <v>7</v>
      </c>
      <c r="O70">
        <v>7</v>
      </c>
      <c r="P70">
        <v>4</v>
      </c>
      <c r="Q70">
        <v>2</v>
      </c>
      <c r="R70">
        <v>58.73</v>
      </c>
      <c r="S70">
        <v>34</v>
      </c>
      <c r="T70">
        <v>34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34</v>
      </c>
      <c r="AB70">
        <v>6</v>
      </c>
      <c r="AC70">
        <v>0</v>
      </c>
      <c r="AD70" t="s">
        <v>130</v>
      </c>
      <c r="AF70" t="s">
        <v>130</v>
      </c>
      <c r="AH70">
        <v>98.73</v>
      </c>
    </row>
    <row r="71" spans="1:34" x14ac:dyDescent="0.3">
      <c r="A71" s="4">
        <v>96</v>
      </c>
      <c r="B71" s="5">
        <v>64</v>
      </c>
      <c r="C71">
        <v>4069</v>
      </c>
      <c r="D71" t="s">
        <v>18570</v>
      </c>
      <c r="E71" t="s">
        <v>18571</v>
      </c>
      <c r="F71" t="s">
        <v>18572</v>
      </c>
      <c r="G71" t="s">
        <v>18573</v>
      </c>
      <c r="H71">
        <v>19.5</v>
      </c>
      <c r="I71">
        <v>0</v>
      </c>
      <c r="J71">
        <v>0</v>
      </c>
      <c r="K71">
        <v>0</v>
      </c>
      <c r="L71">
        <v>7</v>
      </c>
      <c r="O71">
        <v>7</v>
      </c>
      <c r="P71">
        <v>4</v>
      </c>
      <c r="Q71">
        <v>2</v>
      </c>
      <c r="R71">
        <v>32.5</v>
      </c>
      <c r="S71">
        <v>63</v>
      </c>
      <c r="T71">
        <v>63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63</v>
      </c>
      <c r="AB71">
        <v>3</v>
      </c>
      <c r="AC71">
        <v>0</v>
      </c>
      <c r="AF71" t="s">
        <v>130</v>
      </c>
      <c r="AH71">
        <v>98.5</v>
      </c>
    </row>
    <row r="72" spans="1:34" x14ac:dyDescent="0.3">
      <c r="A72" s="4">
        <v>97</v>
      </c>
      <c r="B72" s="5">
        <v>65</v>
      </c>
      <c r="C72">
        <v>2334</v>
      </c>
      <c r="D72" t="s">
        <v>7027</v>
      </c>
      <c r="E72" t="s">
        <v>18574</v>
      </c>
      <c r="F72" t="s">
        <v>2513</v>
      </c>
      <c r="G72" t="s">
        <v>18575</v>
      </c>
      <c r="H72">
        <v>20.5</v>
      </c>
      <c r="I72">
        <v>0</v>
      </c>
      <c r="J72">
        <v>0</v>
      </c>
      <c r="K72">
        <v>20</v>
      </c>
      <c r="L72">
        <v>7</v>
      </c>
      <c r="O72">
        <v>7</v>
      </c>
      <c r="P72">
        <v>4</v>
      </c>
      <c r="Q72">
        <v>2</v>
      </c>
      <c r="R72">
        <v>53.5</v>
      </c>
      <c r="S72">
        <v>45</v>
      </c>
      <c r="T72">
        <v>45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45</v>
      </c>
      <c r="AB72">
        <v>0</v>
      </c>
      <c r="AC72">
        <v>0</v>
      </c>
      <c r="AF72" t="s">
        <v>130</v>
      </c>
      <c r="AH72">
        <v>98.5</v>
      </c>
    </row>
    <row r="73" spans="1:34" x14ac:dyDescent="0.3">
      <c r="A73" s="4">
        <v>98</v>
      </c>
      <c r="B73" s="5">
        <v>66</v>
      </c>
      <c r="C73">
        <v>2011</v>
      </c>
      <c r="D73" t="s">
        <v>18576</v>
      </c>
      <c r="E73" t="s">
        <v>29</v>
      </c>
      <c r="F73" t="s">
        <v>1076</v>
      </c>
      <c r="G73" t="s">
        <v>18577</v>
      </c>
      <c r="H73">
        <v>20.38</v>
      </c>
      <c r="I73">
        <v>0</v>
      </c>
      <c r="J73">
        <v>0</v>
      </c>
      <c r="K73">
        <v>20</v>
      </c>
      <c r="L73">
        <v>7</v>
      </c>
      <c r="O73">
        <v>7</v>
      </c>
      <c r="P73">
        <v>4</v>
      </c>
      <c r="Q73">
        <v>2</v>
      </c>
      <c r="R73">
        <v>53.38</v>
      </c>
      <c r="S73">
        <v>45</v>
      </c>
      <c r="T73">
        <v>45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45</v>
      </c>
      <c r="AB73">
        <v>0</v>
      </c>
      <c r="AC73">
        <v>0</v>
      </c>
      <c r="AF73" t="s">
        <v>130</v>
      </c>
      <c r="AH73">
        <v>98.38</v>
      </c>
    </row>
    <row r="74" spans="1:34" x14ac:dyDescent="0.3">
      <c r="A74" s="4">
        <v>99</v>
      </c>
      <c r="B74" s="5">
        <v>67</v>
      </c>
      <c r="C74">
        <v>3989</v>
      </c>
      <c r="D74" t="s">
        <v>18578</v>
      </c>
      <c r="E74" t="s">
        <v>11312</v>
      </c>
      <c r="F74" t="s">
        <v>38</v>
      </c>
      <c r="G74" t="s">
        <v>18579</v>
      </c>
      <c r="H74">
        <v>19.25</v>
      </c>
      <c r="I74">
        <v>0</v>
      </c>
      <c r="J74">
        <v>40</v>
      </c>
      <c r="K74">
        <v>20</v>
      </c>
      <c r="L74">
        <v>7</v>
      </c>
      <c r="O74">
        <v>7</v>
      </c>
      <c r="P74">
        <v>4</v>
      </c>
      <c r="Q74">
        <v>2</v>
      </c>
      <c r="R74">
        <v>92.25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6</v>
      </c>
      <c r="AC74">
        <v>0</v>
      </c>
      <c r="AF74" t="s">
        <v>130</v>
      </c>
      <c r="AH74">
        <v>98.25</v>
      </c>
    </row>
    <row r="75" spans="1:34" x14ac:dyDescent="0.3">
      <c r="A75" s="4">
        <v>100</v>
      </c>
      <c r="B75" s="5">
        <v>68</v>
      </c>
      <c r="C75">
        <v>4164</v>
      </c>
      <c r="D75" t="s">
        <v>18580</v>
      </c>
      <c r="E75" t="s">
        <v>328</v>
      </c>
      <c r="F75" t="s">
        <v>10326</v>
      </c>
      <c r="G75" t="s">
        <v>18581</v>
      </c>
      <c r="H75">
        <v>18.850000000000001</v>
      </c>
      <c r="I75">
        <v>0</v>
      </c>
      <c r="J75">
        <v>0</v>
      </c>
      <c r="K75">
        <v>20</v>
      </c>
      <c r="L75">
        <v>7</v>
      </c>
      <c r="O75">
        <v>7</v>
      </c>
      <c r="P75">
        <v>4</v>
      </c>
      <c r="Q75">
        <v>2</v>
      </c>
      <c r="R75">
        <v>51.85</v>
      </c>
      <c r="S75">
        <v>43</v>
      </c>
      <c r="T75">
        <v>43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43</v>
      </c>
      <c r="AB75">
        <v>3</v>
      </c>
      <c r="AC75">
        <v>0</v>
      </c>
      <c r="AF75" t="s">
        <v>130</v>
      </c>
      <c r="AH75">
        <v>97.85</v>
      </c>
    </row>
    <row r="76" spans="1:34" x14ac:dyDescent="0.3">
      <c r="A76" s="4">
        <v>101</v>
      </c>
      <c r="B76" s="5">
        <v>69</v>
      </c>
      <c r="C76">
        <v>8849</v>
      </c>
      <c r="D76" t="s">
        <v>18582</v>
      </c>
      <c r="E76" t="s">
        <v>88</v>
      </c>
      <c r="F76" t="s">
        <v>68</v>
      </c>
      <c r="G76" t="s">
        <v>18583</v>
      </c>
      <c r="H76">
        <v>19.829999999999998</v>
      </c>
      <c r="I76">
        <v>0</v>
      </c>
      <c r="J76">
        <v>0</v>
      </c>
      <c r="K76">
        <v>0</v>
      </c>
      <c r="N76">
        <v>3</v>
      </c>
      <c r="O76">
        <v>3</v>
      </c>
      <c r="P76">
        <v>4</v>
      </c>
      <c r="Q76">
        <v>2</v>
      </c>
      <c r="R76">
        <v>28.83</v>
      </c>
      <c r="S76">
        <v>35</v>
      </c>
      <c r="T76">
        <v>35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35</v>
      </c>
      <c r="AB76">
        <v>0</v>
      </c>
      <c r="AC76">
        <v>34</v>
      </c>
      <c r="AF76" t="s">
        <v>130</v>
      </c>
      <c r="AH76">
        <v>97.83</v>
      </c>
    </row>
    <row r="77" spans="1:34" x14ac:dyDescent="0.3">
      <c r="A77" s="4">
        <v>103</v>
      </c>
      <c r="B77" s="5">
        <v>70</v>
      </c>
      <c r="C77">
        <v>10987</v>
      </c>
      <c r="D77" t="s">
        <v>18584</v>
      </c>
      <c r="E77" t="s">
        <v>837</v>
      </c>
      <c r="F77" t="s">
        <v>117</v>
      </c>
      <c r="G77" t="s">
        <v>18585</v>
      </c>
      <c r="H77">
        <v>19.350000000000001</v>
      </c>
      <c r="I77">
        <v>0</v>
      </c>
      <c r="J77">
        <v>0</v>
      </c>
      <c r="K77">
        <v>20</v>
      </c>
      <c r="L77">
        <v>7</v>
      </c>
      <c r="O77">
        <v>7</v>
      </c>
      <c r="P77">
        <v>4</v>
      </c>
      <c r="Q77">
        <v>2</v>
      </c>
      <c r="R77">
        <v>52.35</v>
      </c>
      <c r="S77">
        <v>27</v>
      </c>
      <c r="T77">
        <v>27</v>
      </c>
      <c r="U77">
        <v>9</v>
      </c>
      <c r="V77">
        <v>18</v>
      </c>
      <c r="W77">
        <v>0</v>
      </c>
      <c r="X77">
        <v>0</v>
      </c>
      <c r="Y77">
        <v>0</v>
      </c>
      <c r="Z77">
        <v>0</v>
      </c>
      <c r="AA77">
        <v>45</v>
      </c>
      <c r="AB77">
        <v>0</v>
      </c>
      <c r="AC77">
        <v>0</v>
      </c>
      <c r="AF77" t="s">
        <v>130</v>
      </c>
      <c r="AH77">
        <v>97.35</v>
      </c>
    </row>
    <row r="78" spans="1:34" x14ac:dyDescent="0.3">
      <c r="A78" s="4">
        <v>104</v>
      </c>
      <c r="B78" s="5">
        <v>71</v>
      </c>
      <c r="C78">
        <v>1004</v>
      </c>
      <c r="D78" t="s">
        <v>7056</v>
      </c>
      <c r="E78" t="s">
        <v>283</v>
      </c>
      <c r="F78" t="s">
        <v>136</v>
      </c>
      <c r="G78" t="s">
        <v>18586</v>
      </c>
      <c r="H78">
        <v>19.98</v>
      </c>
      <c r="I78">
        <v>0</v>
      </c>
      <c r="J78">
        <v>0</v>
      </c>
      <c r="K78">
        <v>20</v>
      </c>
      <c r="N78">
        <v>3</v>
      </c>
      <c r="O78">
        <v>3</v>
      </c>
      <c r="P78">
        <v>4</v>
      </c>
      <c r="Q78">
        <v>2</v>
      </c>
      <c r="R78">
        <v>48.98</v>
      </c>
      <c r="S78">
        <v>45</v>
      </c>
      <c r="T78">
        <v>45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45</v>
      </c>
      <c r="AB78">
        <v>3</v>
      </c>
      <c r="AC78">
        <v>0</v>
      </c>
      <c r="AF78" t="s">
        <v>130</v>
      </c>
      <c r="AH78">
        <v>96.98</v>
      </c>
    </row>
    <row r="79" spans="1:34" x14ac:dyDescent="0.3">
      <c r="A79" s="4">
        <v>105</v>
      </c>
      <c r="B79" s="5">
        <v>72</v>
      </c>
      <c r="C79">
        <v>5106</v>
      </c>
      <c r="D79" t="s">
        <v>2094</v>
      </c>
      <c r="E79" t="s">
        <v>71</v>
      </c>
      <c r="F79" t="s">
        <v>34</v>
      </c>
      <c r="G79" t="s">
        <v>18587</v>
      </c>
      <c r="H79">
        <v>18.95</v>
      </c>
      <c r="I79">
        <v>0</v>
      </c>
      <c r="J79">
        <v>0</v>
      </c>
      <c r="K79">
        <v>20</v>
      </c>
      <c r="O79">
        <v>0</v>
      </c>
      <c r="P79">
        <v>4</v>
      </c>
      <c r="Q79">
        <v>2</v>
      </c>
      <c r="R79">
        <v>44.95</v>
      </c>
      <c r="S79">
        <v>49</v>
      </c>
      <c r="T79">
        <v>49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49</v>
      </c>
      <c r="AB79">
        <v>3</v>
      </c>
      <c r="AC79">
        <v>0</v>
      </c>
      <c r="AF79" t="s">
        <v>130</v>
      </c>
      <c r="AH79">
        <v>96.95</v>
      </c>
    </row>
    <row r="80" spans="1:34" x14ac:dyDescent="0.3">
      <c r="A80" s="4">
        <v>106</v>
      </c>
      <c r="B80" s="5">
        <v>73</v>
      </c>
      <c r="C80">
        <v>389</v>
      </c>
      <c r="D80" t="s">
        <v>18588</v>
      </c>
      <c r="E80" t="s">
        <v>29</v>
      </c>
      <c r="F80" t="s">
        <v>136</v>
      </c>
      <c r="G80" t="s">
        <v>18589</v>
      </c>
      <c r="H80">
        <v>18.88</v>
      </c>
      <c r="I80">
        <v>0</v>
      </c>
      <c r="J80">
        <v>0</v>
      </c>
      <c r="K80">
        <v>0</v>
      </c>
      <c r="N80">
        <v>3</v>
      </c>
      <c r="O80">
        <v>3</v>
      </c>
      <c r="P80">
        <v>4</v>
      </c>
      <c r="Q80">
        <v>2</v>
      </c>
      <c r="R80">
        <v>27.88</v>
      </c>
      <c r="S80">
        <v>63</v>
      </c>
      <c r="T80">
        <v>63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63</v>
      </c>
      <c r="AB80">
        <v>6</v>
      </c>
      <c r="AC80">
        <v>0</v>
      </c>
      <c r="AF80" t="s">
        <v>130</v>
      </c>
      <c r="AH80">
        <v>96.88</v>
      </c>
    </row>
    <row r="81" spans="1:34" x14ac:dyDescent="0.3">
      <c r="A81" s="4">
        <v>107</v>
      </c>
      <c r="B81" s="5">
        <v>74</v>
      </c>
      <c r="C81">
        <v>2685</v>
      </c>
      <c r="D81" t="s">
        <v>3216</v>
      </c>
      <c r="E81" t="s">
        <v>1809</v>
      </c>
      <c r="F81" t="s">
        <v>158</v>
      </c>
      <c r="G81" t="s">
        <v>18590</v>
      </c>
      <c r="H81">
        <v>20.8</v>
      </c>
      <c r="I81">
        <v>0</v>
      </c>
      <c r="J81">
        <v>0</v>
      </c>
      <c r="K81">
        <v>20</v>
      </c>
      <c r="L81">
        <v>7</v>
      </c>
      <c r="O81">
        <v>7</v>
      </c>
      <c r="P81">
        <v>4</v>
      </c>
      <c r="Q81">
        <v>2</v>
      </c>
      <c r="R81">
        <v>53.8</v>
      </c>
      <c r="S81">
        <v>34</v>
      </c>
      <c r="T81">
        <v>34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34</v>
      </c>
      <c r="AB81">
        <v>9</v>
      </c>
      <c r="AC81">
        <v>0</v>
      </c>
      <c r="AF81" t="s">
        <v>130</v>
      </c>
      <c r="AH81">
        <v>96.8</v>
      </c>
    </row>
    <row r="82" spans="1:34" x14ac:dyDescent="0.3">
      <c r="A82" s="4">
        <v>108</v>
      </c>
      <c r="B82" s="5">
        <v>75</v>
      </c>
      <c r="C82">
        <v>854</v>
      </c>
      <c r="D82" t="s">
        <v>18591</v>
      </c>
      <c r="E82" t="s">
        <v>117</v>
      </c>
      <c r="F82" t="s">
        <v>158</v>
      </c>
      <c r="G82" t="s">
        <v>18592</v>
      </c>
      <c r="H82">
        <v>21.53</v>
      </c>
      <c r="I82">
        <v>0</v>
      </c>
      <c r="J82">
        <v>40</v>
      </c>
      <c r="K82">
        <v>20</v>
      </c>
      <c r="N82">
        <v>3</v>
      </c>
      <c r="O82">
        <v>3</v>
      </c>
      <c r="P82">
        <v>4</v>
      </c>
      <c r="Q82">
        <v>2</v>
      </c>
      <c r="R82">
        <v>90.53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6</v>
      </c>
      <c r="AC82">
        <v>0</v>
      </c>
      <c r="AF82" t="s">
        <v>130</v>
      </c>
      <c r="AH82">
        <v>96.53</v>
      </c>
    </row>
    <row r="83" spans="1:34" x14ac:dyDescent="0.3">
      <c r="A83" s="4">
        <v>110</v>
      </c>
      <c r="B83" s="5">
        <v>76</v>
      </c>
      <c r="C83">
        <v>3225</v>
      </c>
      <c r="D83" t="s">
        <v>18593</v>
      </c>
      <c r="E83" t="s">
        <v>132</v>
      </c>
      <c r="F83" t="s">
        <v>68</v>
      </c>
      <c r="G83" t="s">
        <v>18594</v>
      </c>
      <c r="H83">
        <v>19.23</v>
      </c>
      <c r="I83">
        <v>0</v>
      </c>
      <c r="J83">
        <v>0</v>
      </c>
      <c r="K83">
        <v>20</v>
      </c>
      <c r="L83">
        <v>7</v>
      </c>
      <c r="O83">
        <v>7</v>
      </c>
      <c r="P83">
        <v>4</v>
      </c>
      <c r="Q83">
        <v>0</v>
      </c>
      <c r="R83">
        <v>50.23</v>
      </c>
      <c r="S83">
        <v>43</v>
      </c>
      <c r="T83">
        <v>43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43</v>
      </c>
      <c r="AB83">
        <v>3</v>
      </c>
      <c r="AC83">
        <v>0</v>
      </c>
      <c r="AD83" t="s">
        <v>130</v>
      </c>
      <c r="AF83" t="s">
        <v>130</v>
      </c>
      <c r="AH83">
        <v>96.23</v>
      </c>
    </row>
    <row r="84" spans="1:34" x14ac:dyDescent="0.3">
      <c r="A84" s="4">
        <v>111</v>
      </c>
      <c r="B84" s="5">
        <v>77</v>
      </c>
      <c r="C84">
        <v>907</v>
      </c>
      <c r="D84" t="s">
        <v>18595</v>
      </c>
      <c r="E84" t="s">
        <v>97</v>
      </c>
      <c r="F84" t="s">
        <v>179</v>
      </c>
      <c r="G84" t="s">
        <v>18596</v>
      </c>
      <c r="H84">
        <v>19.13</v>
      </c>
      <c r="I84">
        <v>0</v>
      </c>
      <c r="J84">
        <v>0</v>
      </c>
      <c r="K84">
        <v>20</v>
      </c>
      <c r="N84">
        <v>3</v>
      </c>
      <c r="O84">
        <v>3</v>
      </c>
      <c r="P84">
        <v>4</v>
      </c>
      <c r="Q84">
        <v>2</v>
      </c>
      <c r="R84">
        <v>48.13</v>
      </c>
      <c r="S84">
        <v>45</v>
      </c>
      <c r="T84">
        <v>45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45</v>
      </c>
      <c r="AB84">
        <v>3</v>
      </c>
      <c r="AC84">
        <v>0</v>
      </c>
      <c r="AD84" t="s">
        <v>130</v>
      </c>
      <c r="AF84" t="s">
        <v>130</v>
      </c>
      <c r="AH84">
        <v>96.13</v>
      </c>
    </row>
    <row r="85" spans="1:34" x14ac:dyDescent="0.3">
      <c r="A85" s="4">
        <v>112</v>
      </c>
      <c r="B85" s="5">
        <v>78</v>
      </c>
      <c r="C85">
        <v>9156</v>
      </c>
      <c r="D85" t="s">
        <v>8302</v>
      </c>
      <c r="E85" t="s">
        <v>17246</v>
      </c>
      <c r="F85" t="s">
        <v>649</v>
      </c>
      <c r="G85" t="s">
        <v>18597</v>
      </c>
      <c r="H85">
        <v>20.05</v>
      </c>
      <c r="I85">
        <v>0</v>
      </c>
      <c r="J85">
        <v>0</v>
      </c>
      <c r="K85">
        <v>20</v>
      </c>
      <c r="L85">
        <v>7</v>
      </c>
      <c r="O85">
        <v>7</v>
      </c>
      <c r="P85">
        <v>4</v>
      </c>
      <c r="Q85">
        <v>2</v>
      </c>
      <c r="R85">
        <v>53.05</v>
      </c>
      <c r="S85">
        <v>37</v>
      </c>
      <c r="T85">
        <v>37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37</v>
      </c>
      <c r="AB85">
        <v>6</v>
      </c>
      <c r="AC85">
        <v>0</v>
      </c>
      <c r="AF85" t="s">
        <v>130</v>
      </c>
      <c r="AH85">
        <v>96.05</v>
      </c>
    </row>
    <row r="86" spans="1:34" x14ac:dyDescent="0.3">
      <c r="A86" s="4">
        <v>113</v>
      </c>
      <c r="B86" s="5">
        <v>79</v>
      </c>
      <c r="C86">
        <v>3635</v>
      </c>
      <c r="D86" t="s">
        <v>18598</v>
      </c>
      <c r="E86" t="s">
        <v>18599</v>
      </c>
      <c r="F86" t="s">
        <v>81</v>
      </c>
      <c r="G86" t="s">
        <v>18600</v>
      </c>
      <c r="H86">
        <v>17.98</v>
      </c>
      <c r="I86">
        <v>0</v>
      </c>
      <c r="J86">
        <v>0</v>
      </c>
      <c r="K86">
        <v>20</v>
      </c>
      <c r="L86">
        <v>7</v>
      </c>
      <c r="O86">
        <v>7</v>
      </c>
      <c r="P86">
        <v>4</v>
      </c>
      <c r="Q86">
        <v>2</v>
      </c>
      <c r="R86">
        <v>50.98</v>
      </c>
      <c r="S86">
        <v>45</v>
      </c>
      <c r="T86">
        <v>45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45</v>
      </c>
      <c r="AB86">
        <v>0</v>
      </c>
      <c r="AC86">
        <v>0</v>
      </c>
      <c r="AD86" t="s">
        <v>130</v>
      </c>
      <c r="AF86" t="s">
        <v>130</v>
      </c>
      <c r="AH86">
        <v>95.98</v>
      </c>
    </row>
    <row r="87" spans="1:34" x14ac:dyDescent="0.3">
      <c r="A87" s="4">
        <v>114</v>
      </c>
      <c r="B87" s="5">
        <v>80</v>
      </c>
      <c r="C87">
        <v>96</v>
      </c>
      <c r="D87" t="s">
        <v>18601</v>
      </c>
      <c r="E87" t="s">
        <v>167</v>
      </c>
      <c r="F87" t="s">
        <v>136</v>
      </c>
      <c r="G87" t="s">
        <v>18602</v>
      </c>
      <c r="H87">
        <v>17.95</v>
      </c>
      <c r="I87">
        <v>0</v>
      </c>
      <c r="J87">
        <v>0</v>
      </c>
      <c r="K87">
        <v>20</v>
      </c>
      <c r="L87">
        <v>7</v>
      </c>
      <c r="O87">
        <v>7</v>
      </c>
      <c r="P87">
        <v>4</v>
      </c>
      <c r="Q87">
        <v>2</v>
      </c>
      <c r="R87">
        <v>50.95</v>
      </c>
      <c r="S87">
        <v>42</v>
      </c>
      <c r="T87">
        <v>42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42</v>
      </c>
      <c r="AB87">
        <v>3</v>
      </c>
      <c r="AC87">
        <v>0</v>
      </c>
      <c r="AF87" t="s">
        <v>130</v>
      </c>
      <c r="AH87">
        <v>95.95</v>
      </c>
    </row>
    <row r="88" spans="1:34" x14ac:dyDescent="0.3">
      <c r="A88" s="4">
        <v>115</v>
      </c>
      <c r="B88" s="5">
        <v>81</v>
      </c>
      <c r="C88">
        <v>5848</v>
      </c>
      <c r="D88" t="s">
        <v>3649</v>
      </c>
      <c r="E88" t="s">
        <v>161</v>
      </c>
      <c r="F88" t="s">
        <v>20</v>
      </c>
      <c r="G88" t="s">
        <v>18603</v>
      </c>
      <c r="H88">
        <v>21.88</v>
      </c>
      <c r="I88">
        <v>0</v>
      </c>
      <c r="J88">
        <v>0</v>
      </c>
      <c r="K88">
        <v>20</v>
      </c>
      <c r="N88">
        <v>6</v>
      </c>
      <c r="O88">
        <v>6</v>
      </c>
      <c r="P88">
        <v>4</v>
      </c>
      <c r="Q88">
        <v>2</v>
      </c>
      <c r="R88">
        <v>53.88</v>
      </c>
      <c r="S88">
        <v>36</v>
      </c>
      <c r="T88">
        <v>36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36</v>
      </c>
      <c r="AB88">
        <v>6</v>
      </c>
      <c r="AC88">
        <v>0</v>
      </c>
      <c r="AF88" t="s">
        <v>130</v>
      </c>
      <c r="AH88">
        <v>95.88</v>
      </c>
    </row>
    <row r="89" spans="1:34" x14ac:dyDescent="0.3">
      <c r="A89" s="4">
        <v>116</v>
      </c>
      <c r="B89" s="5">
        <v>82</v>
      </c>
      <c r="C89">
        <v>1260</v>
      </c>
      <c r="D89" t="s">
        <v>5919</v>
      </c>
      <c r="E89" t="s">
        <v>29</v>
      </c>
      <c r="F89" t="s">
        <v>230</v>
      </c>
      <c r="G89" t="s">
        <v>18604</v>
      </c>
      <c r="H89">
        <v>21.7</v>
      </c>
      <c r="I89">
        <v>0</v>
      </c>
      <c r="J89">
        <v>0</v>
      </c>
      <c r="K89">
        <v>20</v>
      </c>
      <c r="N89">
        <v>3</v>
      </c>
      <c r="O89">
        <v>3</v>
      </c>
      <c r="P89">
        <v>4</v>
      </c>
      <c r="Q89">
        <v>2</v>
      </c>
      <c r="R89">
        <v>50.7</v>
      </c>
      <c r="S89">
        <v>45</v>
      </c>
      <c r="T89">
        <v>45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45</v>
      </c>
      <c r="AB89">
        <v>0</v>
      </c>
      <c r="AC89">
        <v>0</v>
      </c>
      <c r="AD89" t="s">
        <v>130</v>
      </c>
      <c r="AF89" t="s">
        <v>130</v>
      </c>
      <c r="AH89">
        <v>95.7</v>
      </c>
    </row>
    <row r="90" spans="1:34" x14ac:dyDescent="0.3">
      <c r="A90" s="4">
        <v>118</v>
      </c>
      <c r="B90" s="5">
        <v>83</v>
      </c>
      <c r="C90">
        <v>14272</v>
      </c>
      <c r="D90" t="s">
        <v>18605</v>
      </c>
      <c r="E90" t="s">
        <v>41</v>
      </c>
      <c r="F90" t="s">
        <v>20</v>
      </c>
      <c r="G90" t="s">
        <v>18606</v>
      </c>
      <c r="H90">
        <v>20.38</v>
      </c>
      <c r="I90">
        <v>0</v>
      </c>
      <c r="J90">
        <v>0</v>
      </c>
      <c r="K90">
        <v>20</v>
      </c>
      <c r="N90">
        <v>6</v>
      </c>
      <c r="O90">
        <v>6</v>
      </c>
      <c r="P90">
        <v>4</v>
      </c>
      <c r="Q90">
        <v>0</v>
      </c>
      <c r="R90">
        <v>50.38</v>
      </c>
      <c r="S90">
        <v>36</v>
      </c>
      <c r="T90">
        <v>36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36</v>
      </c>
      <c r="AB90">
        <v>9</v>
      </c>
      <c r="AC90">
        <v>0</v>
      </c>
      <c r="AD90" t="s">
        <v>130</v>
      </c>
      <c r="AF90" t="s">
        <v>130</v>
      </c>
      <c r="AH90">
        <v>95.38</v>
      </c>
    </row>
    <row r="91" spans="1:34" x14ac:dyDescent="0.3">
      <c r="A91" s="4">
        <v>119</v>
      </c>
      <c r="B91" s="5">
        <v>84</v>
      </c>
      <c r="C91">
        <v>4191</v>
      </c>
      <c r="D91" t="s">
        <v>1740</v>
      </c>
      <c r="E91" t="s">
        <v>18607</v>
      </c>
      <c r="F91" t="s">
        <v>91</v>
      </c>
      <c r="G91" t="s">
        <v>18608</v>
      </c>
      <c r="H91">
        <v>16.350000000000001</v>
      </c>
      <c r="I91">
        <v>0</v>
      </c>
      <c r="J91">
        <v>40</v>
      </c>
      <c r="K91">
        <v>28</v>
      </c>
      <c r="M91">
        <v>5</v>
      </c>
      <c r="O91">
        <v>5</v>
      </c>
      <c r="P91">
        <v>4</v>
      </c>
      <c r="Q91">
        <v>2</v>
      </c>
      <c r="R91">
        <v>95.35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F91" t="s">
        <v>130</v>
      </c>
      <c r="AH91">
        <v>95.35</v>
      </c>
    </row>
    <row r="92" spans="1:34" x14ac:dyDescent="0.3">
      <c r="A92" s="4">
        <v>120</v>
      </c>
      <c r="B92" s="5">
        <v>85</v>
      </c>
      <c r="C92">
        <v>3026</v>
      </c>
      <c r="D92" t="s">
        <v>4781</v>
      </c>
      <c r="E92" t="s">
        <v>3449</v>
      </c>
      <c r="F92" t="s">
        <v>4781</v>
      </c>
      <c r="G92" t="s">
        <v>18609</v>
      </c>
      <c r="H92">
        <v>19.25</v>
      </c>
      <c r="I92">
        <v>0</v>
      </c>
      <c r="J92">
        <v>0</v>
      </c>
      <c r="K92">
        <v>20</v>
      </c>
      <c r="M92">
        <v>5</v>
      </c>
      <c r="O92">
        <v>5</v>
      </c>
      <c r="P92">
        <v>4</v>
      </c>
      <c r="Q92">
        <v>2</v>
      </c>
      <c r="R92">
        <v>50.25</v>
      </c>
      <c r="S92">
        <v>45</v>
      </c>
      <c r="T92">
        <v>45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45</v>
      </c>
      <c r="AB92">
        <v>0</v>
      </c>
      <c r="AC92">
        <v>0</v>
      </c>
      <c r="AF92" t="s">
        <v>130</v>
      </c>
      <c r="AH92">
        <v>95.25</v>
      </c>
    </row>
    <row r="93" spans="1:34" x14ac:dyDescent="0.3">
      <c r="A93" s="4">
        <v>121</v>
      </c>
      <c r="B93" s="5">
        <v>86</v>
      </c>
      <c r="C93">
        <v>12414</v>
      </c>
      <c r="D93" t="s">
        <v>18610</v>
      </c>
      <c r="E93" t="s">
        <v>38</v>
      </c>
      <c r="F93" t="s">
        <v>20</v>
      </c>
      <c r="G93" t="s">
        <v>18611</v>
      </c>
      <c r="H93">
        <v>19.25</v>
      </c>
      <c r="I93">
        <v>0</v>
      </c>
      <c r="J93">
        <v>0</v>
      </c>
      <c r="K93">
        <v>20</v>
      </c>
      <c r="N93">
        <v>3</v>
      </c>
      <c r="O93">
        <v>3</v>
      </c>
      <c r="P93">
        <v>4</v>
      </c>
      <c r="Q93">
        <v>2</v>
      </c>
      <c r="R93">
        <v>48.25</v>
      </c>
      <c r="S93">
        <v>47</v>
      </c>
      <c r="T93">
        <v>47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47</v>
      </c>
      <c r="AB93">
        <v>0</v>
      </c>
      <c r="AC93">
        <v>0</v>
      </c>
      <c r="AD93" t="s">
        <v>130</v>
      </c>
      <c r="AF93" t="s">
        <v>130</v>
      </c>
      <c r="AH93">
        <v>95.25</v>
      </c>
    </row>
    <row r="94" spans="1:34" x14ac:dyDescent="0.3">
      <c r="A94" s="4">
        <v>122</v>
      </c>
      <c r="B94" s="5">
        <v>87</v>
      </c>
      <c r="C94">
        <v>12069</v>
      </c>
      <c r="D94" t="s">
        <v>1530</v>
      </c>
      <c r="E94" t="s">
        <v>22</v>
      </c>
      <c r="F94" t="s">
        <v>972</v>
      </c>
      <c r="G94" t="s">
        <v>18612</v>
      </c>
      <c r="H94">
        <v>19.100000000000001</v>
      </c>
      <c r="I94">
        <v>0</v>
      </c>
      <c r="J94">
        <v>0</v>
      </c>
      <c r="K94">
        <v>28</v>
      </c>
      <c r="N94">
        <v>3</v>
      </c>
      <c r="O94">
        <v>3</v>
      </c>
      <c r="P94">
        <v>4</v>
      </c>
      <c r="Q94">
        <v>2</v>
      </c>
      <c r="R94">
        <v>56.1</v>
      </c>
      <c r="S94">
        <v>36</v>
      </c>
      <c r="T94">
        <v>36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36</v>
      </c>
      <c r="AB94">
        <v>3</v>
      </c>
      <c r="AC94">
        <v>0</v>
      </c>
      <c r="AF94" t="s">
        <v>130</v>
      </c>
      <c r="AH94">
        <v>95.1</v>
      </c>
    </row>
    <row r="95" spans="1:34" x14ac:dyDescent="0.3">
      <c r="A95" s="4">
        <v>124</v>
      </c>
      <c r="B95" s="5">
        <v>88</v>
      </c>
      <c r="C95">
        <v>12241</v>
      </c>
      <c r="D95" t="s">
        <v>16924</v>
      </c>
      <c r="E95" t="s">
        <v>54</v>
      </c>
      <c r="F95" t="s">
        <v>124</v>
      </c>
      <c r="G95" t="s">
        <v>18613</v>
      </c>
      <c r="H95">
        <v>19.03</v>
      </c>
      <c r="I95">
        <v>0</v>
      </c>
      <c r="J95">
        <v>0</v>
      </c>
      <c r="K95">
        <v>20</v>
      </c>
      <c r="N95">
        <v>3</v>
      </c>
      <c r="O95">
        <v>3</v>
      </c>
      <c r="P95">
        <v>4</v>
      </c>
      <c r="Q95">
        <v>2</v>
      </c>
      <c r="R95">
        <v>48.03</v>
      </c>
      <c r="S95">
        <v>44</v>
      </c>
      <c r="T95">
        <v>44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44</v>
      </c>
      <c r="AB95">
        <v>3</v>
      </c>
      <c r="AC95">
        <v>0</v>
      </c>
      <c r="AD95" t="s">
        <v>130</v>
      </c>
      <c r="AF95" t="s">
        <v>130</v>
      </c>
      <c r="AH95">
        <v>95.03</v>
      </c>
    </row>
    <row r="96" spans="1:34" x14ac:dyDescent="0.3">
      <c r="A96" s="4">
        <v>125</v>
      </c>
      <c r="B96" s="5">
        <v>89</v>
      </c>
      <c r="C96">
        <v>1144</v>
      </c>
      <c r="D96" t="s">
        <v>18614</v>
      </c>
      <c r="E96" t="s">
        <v>927</v>
      </c>
      <c r="F96" t="s">
        <v>626</v>
      </c>
      <c r="G96" t="s">
        <v>18615</v>
      </c>
      <c r="H96">
        <v>16</v>
      </c>
      <c r="I96">
        <v>0</v>
      </c>
      <c r="J96">
        <v>0</v>
      </c>
      <c r="K96">
        <v>28</v>
      </c>
      <c r="N96">
        <v>3</v>
      </c>
      <c r="O96">
        <v>3</v>
      </c>
      <c r="P96">
        <v>4</v>
      </c>
      <c r="Q96">
        <v>2</v>
      </c>
      <c r="R96">
        <v>53</v>
      </c>
      <c r="S96">
        <v>42</v>
      </c>
      <c r="T96">
        <v>42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42</v>
      </c>
      <c r="AB96">
        <v>0</v>
      </c>
      <c r="AC96">
        <v>0</v>
      </c>
      <c r="AF96" t="s">
        <v>130</v>
      </c>
      <c r="AH96">
        <v>95</v>
      </c>
    </row>
    <row r="97" spans="1:34" x14ac:dyDescent="0.3">
      <c r="A97" s="4">
        <v>126</v>
      </c>
      <c r="B97" s="5">
        <v>90</v>
      </c>
      <c r="C97">
        <v>7</v>
      </c>
      <c r="D97" t="s">
        <v>18616</v>
      </c>
      <c r="E97" t="s">
        <v>166</v>
      </c>
      <c r="F97" t="s">
        <v>801</v>
      </c>
      <c r="G97" t="s">
        <v>18617</v>
      </c>
      <c r="H97">
        <v>18.93</v>
      </c>
      <c r="I97">
        <v>0</v>
      </c>
      <c r="J97">
        <v>0</v>
      </c>
      <c r="K97">
        <v>0</v>
      </c>
      <c r="L97">
        <v>7</v>
      </c>
      <c r="O97">
        <v>7</v>
      </c>
      <c r="P97">
        <v>4</v>
      </c>
      <c r="Q97">
        <v>2</v>
      </c>
      <c r="R97">
        <v>31.93</v>
      </c>
      <c r="S97">
        <v>63</v>
      </c>
      <c r="T97">
        <v>63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63</v>
      </c>
      <c r="AB97">
        <v>0</v>
      </c>
      <c r="AC97">
        <v>0</v>
      </c>
      <c r="AF97" t="s">
        <v>130</v>
      </c>
      <c r="AH97">
        <v>94.93</v>
      </c>
    </row>
    <row r="98" spans="1:34" x14ac:dyDescent="0.3">
      <c r="A98" s="4">
        <v>127</v>
      </c>
      <c r="B98" s="5">
        <v>91</v>
      </c>
      <c r="C98">
        <v>7548</v>
      </c>
      <c r="D98" t="s">
        <v>2206</v>
      </c>
      <c r="E98" t="s">
        <v>29</v>
      </c>
      <c r="F98" t="s">
        <v>12716</v>
      </c>
      <c r="G98" t="s">
        <v>18618</v>
      </c>
      <c r="H98">
        <v>18.88</v>
      </c>
      <c r="I98">
        <v>7</v>
      </c>
      <c r="J98">
        <v>0</v>
      </c>
      <c r="K98">
        <v>20</v>
      </c>
      <c r="L98">
        <v>7</v>
      </c>
      <c r="O98">
        <v>7</v>
      </c>
      <c r="P98">
        <v>4</v>
      </c>
      <c r="Q98">
        <v>2</v>
      </c>
      <c r="R98">
        <v>58.88</v>
      </c>
      <c r="S98">
        <v>30</v>
      </c>
      <c r="T98">
        <v>30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30</v>
      </c>
      <c r="AB98">
        <v>6</v>
      </c>
      <c r="AC98">
        <v>0</v>
      </c>
      <c r="AD98" t="s">
        <v>130</v>
      </c>
      <c r="AF98" t="s">
        <v>130</v>
      </c>
      <c r="AH98">
        <v>94.88</v>
      </c>
    </row>
    <row r="99" spans="1:34" x14ac:dyDescent="0.3">
      <c r="A99" s="4">
        <v>130</v>
      </c>
      <c r="B99" s="5">
        <v>92</v>
      </c>
      <c r="C99">
        <v>3894</v>
      </c>
      <c r="D99" t="s">
        <v>2100</v>
      </c>
      <c r="E99" t="s">
        <v>29</v>
      </c>
      <c r="F99" t="s">
        <v>466</v>
      </c>
      <c r="G99" t="s">
        <v>18619</v>
      </c>
      <c r="H99">
        <v>21.65</v>
      </c>
      <c r="I99">
        <v>0</v>
      </c>
      <c r="J99">
        <v>0</v>
      </c>
      <c r="K99">
        <v>20</v>
      </c>
      <c r="N99">
        <v>3</v>
      </c>
      <c r="O99">
        <v>3</v>
      </c>
      <c r="P99">
        <v>4</v>
      </c>
      <c r="Q99">
        <v>2</v>
      </c>
      <c r="R99">
        <v>50.65</v>
      </c>
      <c r="S99">
        <v>44</v>
      </c>
      <c r="T99">
        <v>44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44</v>
      </c>
      <c r="AB99">
        <v>0</v>
      </c>
      <c r="AC99">
        <v>0</v>
      </c>
      <c r="AF99" t="s">
        <v>130</v>
      </c>
      <c r="AH99">
        <v>94.65</v>
      </c>
    </row>
    <row r="100" spans="1:34" x14ac:dyDescent="0.3">
      <c r="A100" s="4">
        <v>131</v>
      </c>
      <c r="B100" s="5">
        <v>93</v>
      </c>
      <c r="C100">
        <v>2849</v>
      </c>
      <c r="D100" t="s">
        <v>18620</v>
      </c>
      <c r="E100" t="s">
        <v>1426</v>
      </c>
      <c r="F100" t="s">
        <v>91</v>
      </c>
      <c r="G100" t="s">
        <v>18621</v>
      </c>
      <c r="H100">
        <v>21.58</v>
      </c>
      <c r="I100">
        <v>7</v>
      </c>
      <c r="J100">
        <v>0</v>
      </c>
      <c r="K100">
        <v>20</v>
      </c>
      <c r="M100">
        <v>5</v>
      </c>
      <c r="O100">
        <v>5</v>
      </c>
      <c r="P100">
        <v>4</v>
      </c>
      <c r="Q100">
        <v>0</v>
      </c>
      <c r="R100">
        <v>57.58</v>
      </c>
      <c r="S100">
        <v>37</v>
      </c>
      <c r="T100">
        <v>37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37</v>
      </c>
      <c r="AB100">
        <v>0</v>
      </c>
      <c r="AC100">
        <v>0</v>
      </c>
      <c r="AD100" t="s">
        <v>130</v>
      </c>
      <c r="AF100" t="s">
        <v>130</v>
      </c>
      <c r="AH100">
        <v>94.58</v>
      </c>
    </row>
    <row r="101" spans="1:34" x14ac:dyDescent="0.3">
      <c r="A101" s="4">
        <v>132</v>
      </c>
      <c r="B101" s="5">
        <v>94</v>
      </c>
      <c r="C101">
        <v>6839</v>
      </c>
      <c r="D101" t="s">
        <v>18622</v>
      </c>
      <c r="E101" t="s">
        <v>20</v>
      </c>
      <c r="F101" t="s">
        <v>167</v>
      </c>
      <c r="G101" t="s">
        <v>18623</v>
      </c>
      <c r="H101">
        <v>16.53</v>
      </c>
      <c r="I101">
        <v>0</v>
      </c>
      <c r="J101">
        <v>0</v>
      </c>
      <c r="K101">
        <v>20</v>
      </c>
      <c r="L101">
        <v>7</v>
      </c>
      <c r="O101">
        <v>7</v>
      </c>
      <c r="P101">
        <v>4</v>
      </c>
      <c r="Q101">
        <v>0</v>
      </c>
      <c r="R101">
        <v>47.53</v>
      </c>
      <c r="S101">
        <v>44</v>
      </c>
      <c r="T101">
        <v>44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44</v>
      </c>
      <c r="AB101">
        <v>3</v>
      </c>
      <c r="AC101">
        <v>0</v>
      </c>
      <c r="AD101" t="s">
        <v>130</v>
      </c>
      <c r="AF101" t="s">
        <v>130</v>
      </c>
      <c r="AH101">
        <v>94.53</v>
      </c>
    </row>
    <row r="102" spans="1:34" x14ac:dyDescent="0.3">
      <c r="A102" s="4">
        <v>133</v>
      </c>
      <c r="B102" s="5">
        <v>95</v>
      </c>
      <c r="C102">
        <v>4106</v>
      </c>
      <c r="D102" t="s">
        <v>18187</v>
      </c>
      <c r="E102" t="s">
        <v>100</v>
      </c>
      <c r="F102" t="s">
        <v>38</v>
      </c>
      <c r="G102" t="s">
        <v>18624</v>
      </c>
      <c r="H102">
        <v>18.5</v>
      </c>
      <c r="I102">
        <v>0</v>
      </c>
      <c r="J102">
        <v>0</v>
      </c>
      <c r="K102">
        <v>20</v>
      </c>
      <c r="N102">
        <v>3</v>
      </c>
      <c r="O102">
        <v>3</v>
      </c>
      <c r="P102">
        <v>4</v>
      </c>
      <c r="Q102">
        <v>2</v>
      </c>
      <c r="R102">
        <v>47.5</v>
      </c>
      <c r="S102">
        <v>44</v>
      </c>
      <c r="T102">
        <v>44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44</v>
      </c>
      <c r="AB102">
        <v>3</v>
      </c>
      <c r="AC102">
        <v>0</v>
      </c>
      <c r="AD102" t="s">
        <v>130</v>
      </c>
      <c r="AF102" t="s">
        <v>130</v>
      </c>
      <c r="AH102">
        <v>94.5</v>
      </c>
    </row>
    <row r="103" spans="1:34" x14ac:dyDescent="0.3">
      <c r="A103" s="4">
        <v>134</v>
      </c>
      <c r="B103" s="5">
        <v>96</v>
      </c>
      <c r="C103">
        <v>3648</v>
      </c>
      <c r="D103" t="s">
        <v>902</v>
      </c>
      <c r="E103" t="s">
        <v>29</v>
      </c>
      <c r="F103" t="s">
        <v>62</v>
      </c>
      <c r="G103" t="s">
        <v>18625</v>
      </c>
      <c r="H103">
        <v>22.5</v>
      </c>
      <c r="I103">
        <v>0</v>
      </c>
      <c r="J103">
        <v>0</v>
      </c>
      <c r="K103">
        <v>20</v>
      </c>
      <c r="O103">
        <v>0</v>
      </c>
      <c r="P103">
        <v>4</v>
      </c>
      <c r="Q103">
        <v>2</v>
      </c>
      <c r="R103">
        <v>48.5</v>
      </c>
      <c r="S103">
        <v>46</v>
      </c>
      <c r="T103">
        <v>46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46</v>
      </c>
      <c r="AB103">
        <v>0</v>
      </c>
      <c r="AC103">
        <v>0</v>
      </c>
      <c r="AD103" t="s">
        <v>130</v>
      </c>
      <c r="AF103" t="s">
        <v>130</v>
      </c>
      <c r="AH103">
        <v>94.5</v>
      </c>
    </row>
    <row r="104" spans="1:34" x14ac:dyDescent="0.3">
      <c r="A104" s="4">
        <v>135</v>
      </c>
      <c r="B104" s="5">
        <v>97</v>
      </c>
      <c r="C104">
        <v>9010</v>
      </c>
      <c r="D104" t="s">
        <v>2772</v>
      </c>
      <c r="E104" t="s">
        <v>161</v>
      </c>
      <c r="F104" t="s">
        <v>1526</v>
      </c>
      <c r="G104" t="s">
        <v>18626</v>
      </c>
      <c r="H104">
        <v>18.48</v>
      </c>
      <c r="I104">
        <v>0</v>
      </c>
      <c r="J104">
        <v>0</v>
      </c>
      <c r="K104">
        <v>20</v>
      </c>
      <c r="N104">
        <v>6</v>
      </c>
      <c r="O104">
        <v>6</v>
      </c>
      <c r="P104">
        <v>4</v>
      </c>
      <c r="Q104">
        <v>0</v>
      </c>
      <c r="R104">
        <v>48.48</v>
      </c>
      <c r="S104">
        <v>46</v>
      </c>
      <c r="T104">
        <v>46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46</v>
      </c>
      <c r="AB104">
        <v>0</v>
      </c>
      <c r="AC104">
        <v>0</v>
      </c>
      <c r="AF104" t="s">
        <v>130</v>
      </c>
      <c r="AH104">
        <v>94.48</v>
      </c>
    </row>
    <row r="105" spans="1:34" x14ac:dyDescent="0.3">
      <c r="A105" s="4">
        <v>136</v>
      </c>
      <c r="B105" s="5">
        <v>98</v>
      </c>
      <c r="C105">
        <v>6</v>
      </c>
      <c r="D105" t="s">
        <v>18627</v>
      </c>
      <c r="E105" t="s">
        <v>539</v>
      </c>
      <c r="F105" t="s">
        <v>17</v>
      </c>
      <c r="G105" t="s">
        <v>18628</v>
      </c>
      <c r="H105">
        <v>16.399999999999999</v>
      </c>
      <c r="I105">
        <v>0</v>
      </c>
      <c r="J105">
        <v>0</v>
      </c>
      <c r="K105">
        <v>20</v>
      </c>
      <c r="L105">
        <v>7</v>
      </c>
      <c r="O105">
        <v>7</v>
      </c>
      <c r="P105">
        <v>4</v>
      </c>
      <c r="Q105">
        <v>2</v>
      </c>
      <c r="R105">
        <v>49.4</v>
      </c>
      <c r="S105">
        <v>45</v>
      </c>
      <c r="T105">
        <v>45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45</v>
      </c>
      <c r="AB105">
        <v>0</v>
      </c>
      <c r="AC105">
        <v>0</v>
      </c>
      <c r="AD105" t="s">
        <v>130</v>
      </c>
      <c r="AF105" t="s">
        <v>130</v>
      </c>
      <c r="AH105">
        <v>94.4</v>
      </c>
    </row>
    <row r="106" spans="1:34" x14ac:dyDescent="0.3">
      <c r="A106" s="4">
        <v>137</v>
      </c>
      <c r="B106" s="5">
        <v>99</v>
      </c>
      <c r="C106">
        <v>5321</v>
      </c>
      <c r="D106" t="s">
        <v>6930</v>
      </c>
      <c r="E106" t="s">
        <v>2481</v>
      </c>
      <c r="F106" t="s">
        <v>136</v>
      </c>
      <c r="G106" t="s">
        <v>18629</v>
      </c>
      <c r="H106">
        <v>19.23</v>
      </c>
      <c r="I106">
        <v>0</v>
      </c>
      <c r="J106">
        <v>0</v>
      </c>
      <c r="K106">
        <v>20</v>
      </c>
      <c r="N106">
        <v>3</v>
      </c>
      <c r="O106">
        <v>3</v>
      </c>
      <c r="P106">
        <v>4</v>
      </c>
      <c r="Q106">
        <v>2</v>
      </c>
      <c r="R106">
        <v>48.23</v>
      </c>
      <c r="S106">
        <v>46</v>
      </c>
      <c r="T106">
        <v>46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46</v>
      </c>
      <c r="AB106">
        <v>0</v>
      </c>
      <c r="AC106">
        <v>0</v>
      </c>
      <c r="AF106" t="s">
        <v>130</v>
      </c>
      <c r="AH106">
        <v>94.23</v>
      </c>
    </row>
    <row r="107" spans="1:34" x14ac:dyDescent="0.3">
      <c r="A107" s="4">
        <v>138</v>
      </c>
      <c r="B107" s="5">
        <v>100</v>
      </c>
      <c r="C107">
        <v>2788</v>
      </c>
      <c r="D107" t="s">
        <v>10217</v>
      </c>
      <c r="E107" t="s">
        <v>208</v>
      </c>
      <c r="F107" t="s">
        <v>17</v>
      </c>
      <c r="G107" t="s">
        <v>18630</v>
      </c>
      <c r="H107">
        <v>19.149999999999999</v>
      </c>
      <c r="I107">
        <v>0</v>
      </c>
      <c r="J107">
        <v>0</v>
      </c>
      <c r="K107">
        <v>20</v>
      </c>
      <c r="N107">
        <v>3</v>
      </c>
      <c r="O107">
        <v>3</v>
      </c>
      <c r="P107">
        <v>4</v>
      </c>
      <c r="Q107">
        <v>2</v>
      </c>
      <c r="R107">
        <v>48.15</v>
      </c>
      <c r="S107">
        <v>46</v>
      </c>
      <c r="T107">
        <v>46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46</v>
      </c>
      <c r="AB107">
        <v>0</v>
      </c>
      <c r="AC107">
        <v>0</v>
      </c>
      <c r="AF107" t="s">
        <v>130</v>
      </c>
      <c r="AH107">
        <v>94.15</v>
      </c>
    </row>
    <row r="108" spans="1:34" x14ac:dyDescent="0.3">
      <c r="A108" s="4">
        <v>140</v>
      </c>
      <c r="B108" s="5">
        <v>101</v>
      </c>
      <c r="C108">
        <v>4316</v>
      </c>
      <c r="D108" t="s">
        <v>18631</v>
      </c>
      <c r="E108" t="s">
        <v>22</v>
      </c>
      <c r="F108" t="s">
        <v>38</v>
      </c>
      <c r="G108" t="s">
        <v>18632</v>
      </c>
      <c r="H108">
        <v>18.8</v>
      </c>
      <c r="I108">
        <v>0</v>
      </c>
      <c r="J108">
        <v>0</v>
      </c>
      <c r="K108">
        <v>20</v>
      </c>
      <c r="L108">
        <v>7</v>
      </c>
      <c r="O108">
        <v>7</v>
      </c>
      <c r="P108">
        <v>4</v>
      </c>
      <c r="Q108">
        <v>2</v>
      </c>
      <c r="R108">
        <v>51.8</v>
      </c>
      <c r="S108">
        <v>42</v>
      </c>
      <c r="T108">
        <v>42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42</v>
      </c>
      <c r="AB108">
        <v>0</v>
      </c>
      <c r="AC108">
        <v>0</v>
      </c>
      <c r="AF108" t="s">
        <v>130</v>
      </c>
      <c r="AH108">
        <v>93.8</v>
      </c>
    </row>
    <row r="109" spans="1:34" x14ac:dyDescent="0.3">
      <c r="A109" s="4">
        <v>141</v>
      </c>
      <c r="B109" s="5">
        <v>102</v>
      </c>
      <c r="C109">
        <v>2952</v>
      </c>
      <c r="D109" t="s">
        <v>18633</v>
      </c>
      <c r="E109" t="s">
        <v>110</v>
      </c>
      <c r="F109" t="s">
        <v>1854</v>
      </c>
      <c r="G109" t="s">
        <v>18634</v>
      </c>
      <c r="H109">
        <v>20.45</v>
      </c>
      <c r="I109">
        <v>0</v>
      </c>
      <c r="J109">
        <v>0</v>
      </c>
      <c r="K109">
        <v>20</v>
      </c>
      <c r="N109">
        <v>6</v>
      </c>
      <c r="O109">
        <v>6</v>
      </c>
      <c r="P109">
        <v>4</v>
      </c>
      <c r="Q109">
        <v>2</v>
      </c>
      <c r="R109">
        <v>52.45</v>
      </c>
      <c r="S109">
        <v>41</v>
      </c>
      <c r="T109">
        <v>41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41</v>
      </c>
      <c r="AB109">
        <v>0</v>
      </c>
      <c r="AC109">
        <v>0</v>
      </c>
      <c r="AF109" t="s">
        <v>130</v>
      </c>
      <c r="AH109">
        <v>93.45</v>
      </c>
    </row>
    <row r="110" spans="1:34" x14ac:dyDescent="0.3">
      <c r="A110" s="4">
        <v>142</v>
      </c>
      <c r="B110" s="5">
        <v>103</v>
      </c>
      <c r="C110">
        <v>10861</v>
      </c>
      <c r="D110" t="s">
        <v>18635</v>
      </c>
      <c r="E110" t="s">
        <v>166</v>
      </c>
      <c r="F110" t="s">
        <v>34</v>
      </c>
      <c r="G110" t="s">
        <v>18636</v>
      </c>
      <c r="H110">
        <v>19.45</v>
      </c>
      <c r="I110">
        <v>0</v>
      </c>
      <c r="J110">
        <v>0</v>
      </c>
      <c r="K110">
        <v>20</v>
      </c>
      <c r="N110">
        <v>3</v>
      </c>
      <c r="O110">
        <v>3</v>
      </c>
      <c r="P110">
        <v>4</v>
      </c>
      <c r="Q110">
        <v>2</v>
      </c>
      <c r="R110">
        <v>48.45</v>
      </c>
      <c r="S110">
        <v>45</v>
      </c>
      <c r="T110">
        <v>45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45</v>
      </c>
      <c r="AB110">
        <v>0</v>
      </c>
      <c r="AC110">
        <v>0</v>
      </c>
      <c r="AD110" t="s">
        <v>130</v>
      </c>
      <c r="AF110" t="s">
        <v>130</v>
      </c>
      <c r="AH110">
        <v>93.45</v>
      </c>
    </row>
    <row r="111" spans="1:34" x14ac:dyDescent="0.3">
      <c r="A111" s="4">
        <v>143</v>
      </c>
      <c r="B111" s="5">
        <v>104</v>
      </c>
      <c r="C111">
        <v>9154</v>
      </c>
      <c r="D111" t="s">
        <v>3996</v>
      </c>
      <c r="E111" t="s">
        <v>18637</v>
      </c>
      <c r="F111" t="s">
        <v>20</v>
      </c>
      <c r="G111" t="s">
        <v>18638</v>
      </c>
      <c r="H111">
        <v>18.45</v>
      </c>
      <c r="I111">
        <v>0</v>
      </c>
      <c r="J111">
        <v>0</v>
      </c>
      <c r="K111">
        <v>20</v>
      </c>
      <c r="N111">
        <v>3</v>
      </c>
      <c r="O111">
        <v>3</v>
      </c>
      <c r="P111">
        <v>4</v>
      </c>
      <c r="Q111">
        <v>2</v>
      </c>
      <c r="R111">
        <v>47.45</v>
      </c>
      <c r="S111">
        <v>46</v>
      </c>
      <c r="T111">
        <v>46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46</v>
      </c>
      <c r="AB111">
        <v>0</v>
      </c>
      <c r="AC111">
        <v>0</v>
      </c>
      <c r="AF111" t="s">
        <v>130</v>
      </c>
      <c r="AH111">
        <v>93.45</v>
      </c>
    </row>
    <row r="112" spans="1:34" x14ac:dyDescent="0.3">
      <c r="A112" s="4">
        <v>145</v>
      </c>
      <c r="B112" s="5">
        <v>105</v>
      </c>
      <c r="C112">
        <v>8502</v>
      </c>
      <c r="D112" t="s">
        <v>5761</v>
      </c>
      <c r="E112" t="s">
        <v>4935</v>
      </c>
      <c r="F112" t="s">
        <v>68</v>
      </c>
      <c r="G112" t="s">
        <v>18639</v>
      </c>
      <c r="H112">
        <v>21.35</v>
      </c>
      <c r="I112">
        <v>0</v>
      </c>
      <c r="J112">
        <v>0</v>
      </c>
      <c r="K112">
        <v>0</v>
      </c>
      <c r="L112">
        <v>7</v>
      </c>
      <c r="O112">
        <v>7</v>
      </c>
      <c r="P112">
        <v>4</v>
      </c>
      <c r="Q112">
        <v>2</v>
      </c>
      <c r="R112">
        <v>34.35</v>
      </c>
      <c r="S112">
        <v>53</v>
      </c>
      <c r="T112">
        <v>53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53</v>
      </c>
      <c r="AB112">
        <v>6</v>
      </c>
      <c r="AC112">
        <v>0</v>
      </c>
      <c r="AF112" t="s">
        <v>130</v>
      </c>
      <c r="AH112">
        <v>93.35</v>
      </c>
    </row>
    <row r="113" spans="1:34" x14ac:dyDescent="0.3">
      <c r="A113" s="4">
        <v>147</v>
      </c>
      <c r="B113" s="5">
        <v>106</v>
      </c>
      <c r="C113">
        <v>9393</v>
      </c>
      <c r="D113" t="s">
        <v>18640</v>
      </c>
      <c r="E113" t="s">
        <v>424</v>
      </c>
      <c r="F113" t="s">
        <v>30</v>
      </c>
      <c r="G113" t="s">
        <v>18641</v>
      </c>
      <c r="H113">
        <v>18.329999999999998</v>
      </c>
      <c r="I113">
        <v>0</v>
      </c>
      <c r="J113">
        <v>0</v>
      </c>
      <c r="K113">
        <v>20</v>
      </c>
      <c r="M113">
        <v>5</v>
      </c>
      <c r="O113">
        <v>5</v>
      </c>
      <c r="P113">
        <v>4</v>
      </c>
      <c r="Q113">
        <v>2</v>
      </c>
      <c r="R113">
        <v>49.33</v>
      </c>
      <c r="S113">
        <v>44</v>
      </c>
      <c r="T113">
        <v>44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44</v>
      </c>
      <c r="AB113">
        <v>0</v>
      </c>
      <c r="AC113">
        <v>0</v>
      </c>
      <c r="AF113" t="s">
        <v>130</v>
      </c>
      <c r="AH113">
        <v>93.33</v>
      </c>
    </row>
    <row r="114" spans="1:34" x14ac:dyDescent="0.3">
      <c r="A114" s="4">
        <v>149</v>
      </c>
      <c r="B114" s="5">
        <v>107</v>
      </c>
      <c r="C114">
        <v>2596</v>
      </c>
      <c r="D114" t="s">
        <v>18642</v>
      </c>
      <c r="E114" t="s">
        <v>9621</v>
      </c>
      <c r="F114" t="s">
        <v>20</v>
      </c>
      <c r="G114" t="s">
        <v>18643</v>
      </c>
      <c r="H114">
        <v>19.2</v>
      </c>
      <c r="I114">
        <v>0</v>
      </c>
      <c r="J114">
        <v>0</v>
      </c>
      <c r="K114">
        <v>20</v>
      </c>
      <c r="N114">
        <v>3</v>
      </c>
      <c r="O114">
        <v>3</v>
      </c>
      <c r="P114">
        <v>4</v>
      </c>
      <c r="Q114">
        <v>2</v>
      </c>
      <c r="R114">
        <v>48.2</v>
      </c>
      <c r="S114">
        <v>45</v>
      </c>
      <c r="T114">
        <v>45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45</v>
      </c>
      <c r="AB114">
        <v>0</v>
      </c>
      <c r="AC114">
        <v>0</v>
      </c>
      <c r="AF114" t="s">
        <v>130</v>
      </c>
      <c r="AH114">
        <v>93.2</v>
      </c>
    </row>
    <row r="115" spans="1:34" x14ac:dyDescent="0.3">
      <c r="A115" s="4">
        <v>150</v>
      </c>
      <c r="B115" s="5">
        <v>108</v>
      </c>
      <c r="C115">
        <v>5837</v>
      </c>
      <c r="D115" t="s">
        <v>18644</v>
      </c>
      <c r="E115" t="s">
        <v>18645</v>
      </c>
      <c r="F115" t="s">
        <v>17</v>
      </c>
      <c r="G115" t="s">
        <v>18646</v>
      </c>
      <c r="H115">
        <v>21.15</v>
      </c>
      <c r="I115">
        <v>0</v>
      </c>
      <c r="J115">
        <v>0</v>
      </c>
      <c r="K115">
        <v>20</v>
      </c>
      <c r="O115">
        <v>0</v>
      </c>
      <c r="P115">
        <v>4</v>
      </c>
      <c r="Q115">
        <v>2</v>
      </c>
      <c r="R115">
        <v>47.15</v>
      </c>
      <c r="S115">
        <v>46</v>
      </c>
      <c r="T115">
        <v>46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46</v>
      </c>
      <c r="AB115">
        <v>0</v>
      </c>
      <c r="AC115">
        <v>0</v>
      </c>
      <c r="AF115" t="s">
        <v>130</v>
      </c>
      <c r="AH115">
        <v>93.15</v>
      </c>
    </row>
    <row r="116" spans="1:34" x14ac:dyDescent="0.3">
      <c r="A116" s="4">
        <v>151</v>
      </c>
      <c r="B116" s="5">
        <v>109</v>
      </c>
      <c r="C116">
        <v>1121</v>
      </c>
      <c r="D116" t="s">
        <v>18647</v>
      </c>
      <c r="E116" t="s">
        <v>166</v>
      </c>
      <c r="F116" t="s">
        <v>17</v>
      </c>
      <c r="G116" t="s">
        <v>18648</v>
      </c>
      <c r="H116">
        <v>20.13</v>
      </c>
      <c r="I116">
        <v>0</v>
      </c>
      <c r="J116">
        <v>0</v>
      </c>
      <c r="K116">
        <v>20</v>
      </c>
      <c r="L116">
        <v>7</v>
      </c>
      <c r="N116">
        <v>3</v>
      </c>
      <c r="O116">
        <v>10</v>
      </c>
      <c r="P116">
        <v>4</v>
      </c>
      <c r="Q116">
        <v>2</v>
      </c>
      <c r="R116">
        <v>56.13</v>
      </c>
      <c r="S116">
        <v>37</v>
      </c>
      <c r="T116">
        <v>37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37</v>
      </c>
      <c r="AB116">
        <v>0</v>
      </c>
      <c r="AC116">
        <v>0</v>
      </c>
      <c r="AF116" t="s">
        <v>130</v>
      </c>
      <c r="AH116">
        <v>93.13</v>
      </c>
    </row>
    <row r="117" spans="1:34" x14ac:dyDescent="0.3">
      <c r="A117" s="4">
        <v>152</v>
      </c>
      <c r="B117" s="5">
        <v>110</v>
      </c>
      <c r="C117">
        <v>2449</v>
      </c>
      <c r="D117" t="s">
        <v>18649</v>
      </c>
      <c r="E117" t="s">
        <v>167</v>
      </c>
      <c r="F117" t="s">
        <v>34</v>
      </c>
      <c r="G117" t="s">
        <v>18650</v>
      </c>
      <c r="H117">
        <v>17.98</v>
      </c>
      <c r="I117">
        <v>0</v>
      </c>
      <c r="J117">
        <v>0</v>
      </c>
      <c r="K117">
        <v>20</v>
      </c>
      <c r="M117">
        <v>5</v>
      </c>
      <c r="O117">
        <v>5</v>
      </c>
      <c r="P117">
        <v>4</v>
      </c>
      <c r="Q117">
        <v>2</v>
      </c>
      <c r="R117">
        <v>48.98</v>
      </c>
      <c r="S117">
        <v>44</v>
      </c>
      <c r="T117">
        <v>44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44</v>
      </c>
      <c r="AB117">
        <v>0</v>
      </c>
      <c r="AC117">
        <v>0</v>
      </c>
      <c r="AF117" t="s">
        <v>130</v>
      </c>
      <c r="AH117">
        <v>92.98</v>
      </c>
    </row>
    <row r="118" spans="1:34" x14ac:dyDescent="0.3">
      <c r="A118" s="4">
        <v>154</v>
      </c>
      <c r="B118" s="5">
        <v>111</v>
      </c>
      <c r="C118">
        <v>2027</v>
      </c>
      <c r="D118" t="s">
        <v>18651</v>
      </c>
      <c r="E118" t="s">
        <v>132</v>
      </c>
      <c r="F118" t="s">
        <v>20</v>
      </c>
      <c r="G118" t="s">
        <v>18652</v>
      </c>
      <c r="H118">
        <v>19.93</v>
      </c>
      <c r="I118">
        <v>0</v>
      </c>
      <c r="J118">
        <v>0</v>
      </c>
      <c r="K118">
        <v>20</v>
      </c>
      <c r="L118">
        <v>7</v>
      </c>
      <c r="N118">
        <v>3</v>
      </c>
      <c r="O118">
        <v>10</v>
      </c>
      <c r="P118">
        <v>4</v>
      </c>
      <c r="Q118">
        <v>2</v>
      </c>
      <c r="R118">
        <v>55.93</v>
      </c>
      <c r="S118">
        <v>37</v>
      </c>
      <c r="T118">
        <v>37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37</v>
      </c>
      <c r="AB118">
        <v>0</v>
      </c>
      <c r="AC118">
        <v>0</v>
      </c>
      <c r="AF118" t="s">
        <v>130</v>
      </c>
      <c r="AH118">
        <v>92.93</v>
      </c>
    </row>
    <row r="119" spans="1:34" x14ac:dyDescent="0.3">
      <c r="A119" s="4">
        <v>156</v>
      </c>
      <c r="B119" s="5">
        <v>112</v>
      </c>
      <c r="C119">
        <v>6885</v>
      </c>
      <c r="D119" t="s">
        <v>18653</v>
      </c>
      <c r="E119" t="s">
        <v>33</v>
      </c>
      <c r="F119" t="s">
        <v>259</v>
      </c>
      <c r="G119" t="s">
        <v>18654</v>
      </c>
      <c r="H119">
        <v>20.78</v>
      </c>
      <c r="I119">
        <v>0</v>
      </c>
      <c r="J119">
        <v>0</v>
      </c>
      <c r="K119">
        <v>28</v>
      </c>
      <c r="L119">
        <v>7</v>
      </c>
      <c r="O119">
        <v>7</v>
      </c>
      <c r="P119">
        <v>4</v>
      </c>
      <c r="Q119">
        <v>2</v>
      </c>
      <c r="R119">
        <v>61.78</v>
      </c>
      <c r="S119">
        <v>25</v>
      </c>
      <c r="T119">
        <v>25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25</v>
      </c>
      <c r="AB119">
        <v>6</v>
      </c>
      <c r="AC119">
        <v>0</v>
      </c>
      <c r="AD119" t="s">
        <v>130</v>
      </c>
      <c r="AF119" t="s">
        <v>130</v>
      </c>
      <c r="AH119">
        <v>92.78</v>
      </c>
    </row>
    <row r="120" spans="1:34" x14ac:dyDescent="0.3">
      <c r="A120" s="4">
        <v>157</v>
      </c>
      <c r="B120" s="5">
        <v>113</v>
      </c>
      <c r="C120">
        <v>10125</v>
      </c>
      <c r="D120" t="s">
        <v>18655</v>
      </c>
      <c r="E120" t="s">
        <v>29</v>
      </c>
      <c r="F120" t="s">
        <v>2595</v>
      </c>
      <c r="G120" t="s">
        <v>18656</v>
      </c>
      <c r="H120">
        <v>16.7</v>
      </c>
      <c r="I120">
        <v>0</v>
      </c>
      <c r="J120">
        <v>0</v>
      </c>
      <c r="K120">
        <v>20</v>
      </c>
      <c r="L120">
        <v>7</v>
      </c>
      <c r="O120">
        <v>7</v>
      </c>
      <c r="P120">
        <v>4</v>
      </c>
      <c r="Q120">
        <v>2</v>
      </c>
      <c r="R120">
        <v>49.7</v>
      </c>
      <c r="S120">
        <v>43</v>
      </c>
      <c r="T120">
        <v>43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43</v>
      </c>
      <c r="AB120">
        <v>0</v>
      </c>
      <c r="AC120">
        <v>0</v>
      </c>
      <c r="AF120" t="s">
        <v>130</v>
      </c>
      <c r="AH120">
        <v>92.7</v>
      </c>
    </row>
    <row r="121" spans="1:34" x14ac:dyDescent="0.3">
      <c r="A121" s="4">
        <v>158</v>
      </c>
      <c r="B121" s="5">
        <v>114</v>
      </c>
      <c r="C121">
        <v>605</v>
      </c>
      <c r="D121" t="s">
        <v>18657</v>
      </c>
      <c r="E121" t="s">
        <v>54</v>
      </c>
      <c r="F121" t="s">
        <v>167</v>
      </c>
      <c r="G121" t="s">
        <v>18658</v>
      </c>
      <c r="H121">
        <v>18.600000000000001</v>
      </c>
      <c r="I121">
        <v>0</v>
      </c>
      <c r="J121">
        <v>0</v>
      </c>
      <c r="K121">
        <v>20</v>
      </c>
      <c r="N121">
        <v>3</v>
      </c>
      <c r="O121">
        <v>3</v>
      </c>
      <c r="P121">
        <v>4</v>
      </c>
      <c r="Q121">
        <v>2</v>
      </c>
      <c r="R121">
        <v>47.6</v>
      </c>
      <c r="S121">
        <v>45</v>
      </c>
      <c r="T121">
        <v>45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45</v>
      </c>
      <c r="AB121">
        <v>0</v>
      </c>
      <c r="AC121">
        <v>0</v>
      </c>
      <c r="AF121" t="s">
        <v>130</v>
      </c>
      <c r="AH121">
        <v>92.6</v>
      </c>
    </row>
    <row r="122" spans="1:34" x14ac:dyDescent="0.3">
      <c r="A122" s="4">
        <v>159</v>
      </c>
      <c r="B122" s="5">
        <v>115</v>
      </c>
      <c r="C122">
        <v>1435</v>
      </c>
      <c r="D122" t="s">
        <v>2304</v>
      </c>
      <c r="E122" t="s">
        <v>33</v>
      </c>
      <c r="F122" t="s">
        <v>38</v>
      </c>
      <c r="G122" t="s">
        <v>18659</v>
      </c>
      <c r="H122">
        <v>19.399999999999999</v>
      </c>
      <c r="I122">
        <v>0</v>
      </c>
      <c r="J122">
        <v>0</v>
      </c>
      <c r="K122">
        <v>20</v>
      </c>
      <c r="L122">
        <v>7</v>
      </c>
      <c r="N122">
        <v>3</v>
      </c>
      <c r="O122">
        <v>10</v>
      </c>
      <c r="P122">
        <v>4</v>
      </c>
      <c r="Q122">
        <v>0</v>
      </c>
      <c r="R122">
        <v>53.4</v>
      </c>
      <c r="S122">
        <v>36</v>
      </c>
      <c r="T122">
        <v>36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36</v>
      </c>
      <c r="AB122">
        <v>3</v>
      </c>
      <c r="AC122">
        <v>0</v>
      </c>
      <c r="AF122" t="s">
        <v>130</v>
      </c>
      <c r="AH122">
        <v>92.4</v>
      </c>
    </row>
    <row r="123" spans="1:34" x14ac:dyDescent="0.3">
      <c r="A123" s="4">
        <v>160</v>
      </c>
      <c r="B123" s="5">
        <v>116</v>
      </c>
      <c r="C123">
        <v>6522</v>
      </c>
      <c r="D123" t="s">
        <v>4857</v>
      </c>
      <c r="E123" t="s">
        <v>29</v>
      </c>
      <c r="F123" t="s">
        <v>81</v>
      </c>
      <c r="G123" t="s">
        <v>18660</v>
      </c>
      <c r="H123">
        <v>20.38</v>
      </c>
      <c r="I123">
        <v>0</v>
      </c>
      <c r="J123">
        <v>0</v>
      </c>
      <c r="K123">
        <v>20</v>
      </c>
      <c r="L123">
        <v>7</v>
      </c>
      <c r="M123">
        <v>5</v>
      </c>
      <c r="O123">
        <v>12</v>
      </c>
      <c r="P123">
        <v>4</v>
      </c>
      <c r="Q123">
        <v>2</v>
      </c>
      <c r="R123">
        <v>58.38</v>
      </c>
      <c r="S123">
        <v>34</v>
      </c>
      <c r="T123">
        <v>34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34</v>
      </c>
      <c r="AB123">
        <v>0</v>
      </c>
      <c r="AC123">
        <v>0</v>
      </c>
      <c r="AF123" t="s">
        <v>130</v>
      </c>
      <c r="AH123">
        <v>92.38</v>
      </c>
    </row>
    <row r="124" spans="1:34" x14ac:dyDescent="0.3">
      <c r="A124" s="4">
        <v>161</v>
      </c>
      <c r="B124" s="5">
        <v>117</v>
      </c>
      <c r="C124">
        <v>10672</v>
      </c>
      <c r="D124" t="s">
        <v>18661</v>
      </c>
      <c r="E124" t="s">
        <v>5776</v>
      </c>
      <c r="F124" t="s">
        <v>30</v>
      </c>
      <c r="G124" t="s">
        <v>18662</v>
      </c>
      <c r="H124">
        <v>18.350000000000001</v>
      </c>
      <c r="I124">
        <v>0</v>
      </c>
      <c r="J124">
        <v>40</v>
      </c>
      <c r="K124">
        <v>20</v>
      </c>
      <c r="L124">
        <v>7</v>
      </c>
      <c r="N124">
        <v>3</v>
      </c>
      <c r="O124">
        <v>10</v>
      </c>
      <c r="P124">
        <v>4</v>
      </c>
      <c r="Q124">
        <v>0</v>
      </c>
      <c r="R124">
        <v>92.35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F124" t="s">
        <v>130</v>
      </c>
      <c r="AH124">
        <v>92.35</v>
      </c>
    </row>
    <row r="125" spans="1:34" x14ac:dyDescent="0.3">
      <c r="A125" s="4">
        <v>162</v>
      </c>
      <c r="B125" s="5">
        <v>118</v>
      </c>
      <c r="C125">
        <v>2302</v>
      </c>
      <c r="D125" t="s">
        <v>10831</v>
      </c>
      <c r="E125" t="s">
        <v>403</v>
      </c>
      <c r="F125" t="s">
        <v>30</v>
      </c>
      <c r="G125" t="s">
        <v>18663</v>
      </c>
      <c r="H125">
        <v>20.350000000000001</v>
      </c>
      <c r="I125">
        <v>7</v>
      </c>
      <c r="J125">
        <v>0</v>
      </c>
      <c r="K125">
        <v>20</v>
      </c>
      <c r="N125">
        <v>3</v>
      </c>
      <c r="O125">
        <v>3</v>
      </c>
      <c r="P125">
        <v>4</v>
      </c>
      <c r="Q125">
        <v>2</v>
      </c>
      <c r="R125">
        <v>56.35</v>
      </c>
      <c r="S125">
        <v>36</v>
      </c>
      <c r="T125">
        <v>36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36</v>
      </c>
      <c r="AB125">
        <v>0</v>
      </c>
      <c r="AC125">
        <v>0</v>
      </c>
      <c r="AF125" t="s">
        <v>130</v>
      </c>
      <c r="AH125">
        <v>92.35</v>
      </c>
    </row>
    <row r="126" spans="1:34" x14ac:dyDescent="0.3">
      <c r="A126" s="4">
        <v>163</v>
      </c>
      <c r="B126" s="5">
        <v>119</v>
      </c>
      <c r="C126">
        <v>3605</v>
      </c>
      <c r="D126" t="s">
        <v>18664</v>
      </c>
      <c r="E126" t="s">
        <v>37</v>
      </c>
      <c r="F126" t="s">
        <v>136</v>
      </c>
      <c r="G126" t="s">
        <v>18665</v>
      </c>
      <c r="H126">
        <v>21.23</v>
      </c>
      <c r="I126">
        <v>0</v>
      </c>
      <c r="J126">
        <v>0</v>
      </c>
      <c r="K126">
        <v>20</v>
      </c>
      <c r="O126">
        <v>0</v>
      </c>
      <c r="P126">
        <v>4</v>
      </c>
      <c r="Q126">
        <v>2</v>
      </c>
      <c r="R126">
        <v>47.23</v>
      </c>
      <c r="S126">
        <v>45</v>
      </c>
      <c r="T126">
        <v>45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45</v>
      </c>
      <c r="AB126">
        <v>0</v>
      </c>
      <c r="AC126">
        <v>0</v>
      </c>
      <c r="AF126" t="s">
        <v>130</v>
      </c>
      <c r="AH126">
        <v>92.23</v>
      </c>
    </row>
    <row r="127" spans="1:34" x14ac:dyDescent="0.3">
      <c r="A127" s="4">
        <v>164</v>
      </c>
      <c r="B127" s="5">
        <v>120</v>
      </c>
      <c r="C127">
        <v>397</v>
      </c>
      <c r="D127" t="s">
        <v>18666</v>
      </c>
      <c r="E127" t="s">
        <v>33</v>
      </c>
      <c r="F127" t="s">
        <v>2442</v>
      </c>
      <c r="G127" t="s">
        <v>18667</v>
      </c>
      <c r="H127">
        <v>20.13</v>
      </c>
      <c r="I127">
        <v>0</v>
      </c>
      <c r="J127">
        <v>0</v>
      </c>
      <c r="K127">
        <v>20</v>
      </c>
      <c r="L127">
        <v>7</v>
      </c>
      <c r="O127">
        <v>7</v>
      </c>
      <c r="P127">
        <v>4</v>
      </c>
      <c r="Q127">
        <v>2</v>
      </c>
      <c r="R127">
        <v>53.13</v>
      </c>
      <c r="S127">
        <v>36</v>
      </c>
      <c r="T127">
        <v>36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36</v>
      </c>
      <c r="AB127">
        <v>3</v>
      </c>
      <c r="AC127">
        <v>0</v>
      </c>
      <c r="AF127" t="s">
        <v>130</v>
      </c>
      <c r="AH127">
        <v>92.13</v>
      </c>
    </row>
    <row r="128" spans="1:34" x14ac:dyDescent="0.3">
      <c r="A128" s="4">
        <v>165</v>
      </c>
      <c r="B128" s="5">
        <v>121</v>
      </c>
      <c r="C128">
        <v>1907</v>
      </c>
      <c r="D128" t="s">
        <v>18668</v>
      </c>
      <c r="E128" t="s">
        <v>117</v>
      </c>
      <c r="F128" t="s">
        <v>17</v>
      </c>
      <c r="G128" t="s">
        <v>18669</v>
      </c>
      <c r="H128">
        <v>18.13</v>
      </c>
      <c r="I128">
        <v>0</v>
      </c>
      <c r="J128">
        <v>0</v>
      </c>
      <c r="K128">
        <v>20</v>
      </c>
      <c r="N128">
        <v>3</v>
      </c>
      <c r="O128">
        <v>3</v>
      </c>
      <c r="P128">
        <v>4</v>
      </c>
      <c r="Q128">
        <v>2</v>
      </c>
      <c r="R128">
        <v>47.13</v>
      </c>
      <c r="S128">
        <v>45</v>
      </c>
      <c r="T128">
        <v>45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45</v>
      </c>
      <c r="AB128">
        <v>0</v>
      </c>
      <c r="AC128">
        <v>0</v>
      </c>
      <c r="AF128" t="s">
        <v>130</v>
      </c>
      <c r="AH128">
        <v>92.13</v>
      </c>
    </row>
    <row r="129" spans="1:34" x14ac:dyDescent="0.3">
      <c r="A129" s="4">
        <v>166</v>
      </c>
      <c r="B129" s="5">
        <v>122</v>
      </c>
      <c r="C129">
        <v>4272</v>
      </c>
      <c r="D129" t="s">
        <v>1304</v>
      </c>
      <c r="E129" t="s">
        <v>18670</v>
      </c>
      <c r="F129" t="s">
        <v>328</v>
      </c>
      <c r="G129" t="s">
        <v>18671</v>
      </c>
      <c r="H129">
        <v>17.100000000000001</v>
      </c>
      <c r="I129">
        <v>0</v>
      </c>
      <c r="J129">
        <v>0</v>
      </c>
      <c r="K129">
        <v>20</v>
      </c>
      <c r="L129">
        <v>7</v>
      </c>
      <c r="O129">
        <v>7</v>
      </c>
      <c r="P129">
        <v>4</v>
      </c>
      <c r="Q129">
        <v>2</v>
      </c>
      <c r="R129">
        <v>50.1</v>
      </c>
      <c r="S129">
        <v>36</v>
      </c>
      <c r="T129">
        <v>36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36</v>
      </c>
      <c r="AB129">
        <v>6</v>
      </c>
      <c r="AC129">
        <v>0</v>
      </c>
      <c r="AF129" t="s">
        <v>130</v>
      </c>
      <c r="AH129">
        <v>92.1</v>
      </c>
    </row>
    <row r="130" spans="1:34" x14ac:dyDescent="0.3">
      <c r="A130" s="4">
        <v>167</v>
      </c>
      <c r="B130" s="5">
        <v>123</v>
      </c>
      <c r="C130">
        <v>4637</v>
      </c>
      <c r="D130" t="s">
        <v>4664</v>
      </c>
      <c r="E130" t="s">
        <v>1367</v>
      </c>
      <c r="F130" t="s">
        <v>230</v>
      </c>
      <c r="G130" t="s">
        <v>18672</v>
      </c>
      <c r="H130">
        <v>19.600000000000001</v>
      </c>
      <c r="I130">
        <v>0</v>
      </c>
      <c r="J130">
        <v>0</v>
      </c>
      <c r="K130">
        <v>20</v>
      </c>
      <c r="L130">
        <v>7</v>
      </c>
      <c r="O130">
        <v>7</v>
      </c>
      <c r="P130">
        <v>4</v>
      </c>
      <c r="Q130">
        <v>2</v>
      </c>
      <c r="R130">
        <v>52.6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9</v>
      </c>
      <c r="AC130">
        <v>30.4</v>
      </c>
      <c r="AF130" t="s">
        <v>130</v>
      </c>
      <c r="AH130">
        <v>92</v>
      </c>
    </row>
    <row r="131" spans="1:34" x14ac:dyDescent="0.3">
      <c r="A131" s="4">
        <v>168</v>
      </c>
      <c r="B131" s="5">
        <v>124</v>
      </c>
      <c r="C131">
        <v>14598</v>
      </c>
      <c r="D131" t="s">
        <v>860</v>
      </c>
      <c r="E131" t="s">
        <v>1016</v>
      </c>
      <c r="F131" t="s">
        <v>136</v>
      </c>
      <c r="G131" t="s">
        <v>18673</v>
      </c>
      <c r="H131">
        <v>18.8</v>
      </c>
      <c r="I131">
        <v>0</v>
      </c>
      <c r="J131">
        <v>0</v>
      </c>
      <c r="K131">
        <v>20</v>
      </c>
      <c r="O131">
        <v>0</v>
      </c>
      <c r="P131">
        <v>4</v>
      </c>
      <c r="Q131">
        <v>0</v>
      </c>
      <c r="R131">
        <v>42.8</v>
      </c>
      <c r="S131">
        <v>43</v>
      </c>
      <c r="T131">
        <v>43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43</v>
      </c>
      <c r="AB131">
        <v>6</v>
      </c>
      <c r="AC131">
        <v>0</v>
      </c>
      <c r="AF131" t="s">
        <v>130</v>
      </c>
      <c r="AH131">
        <v>91.8</v>
      </c>
    </row>
    <row r="132" spans="1:34" x14ac:dyDescent="0.3">
      <c r="A132" s="4">
        <v>169</v>
      </c>
      <c r="B132" s="5">
        <v>125</v>
      </c>
      <c r="C132">
        <v>11417</v>
      </c>
      <c r="D132" t="s">
        <v>11605</v>
      </c>
      <c r="E132" t="s">
        <v>115</v>
      </c>
      <c r="F132" t="s">
        <v>17</v>
      </c>
      <c r="G132" t="s">
        <v>18674</v>
      </c>
      <c r="H132">
        <v>16.68</v>
      </c>
      <c r="I132">
        <v>7</v>
      </c>
      <c r="J132">
        <v>0</v>
      </c>
      <c r="K132">
        <v>20</v>
      </c>
      <c r="L132">
        <v>7</v>
      </c>
      <c r="N132">
        <v>3</v>
      </c>
      <c r="O132">
        <v>10</v>
      </c>
      <c r="P132">
        <v>4</v>
      </c>
      <c r="Q132">
        <v>2</v>
      </c>
      <c r="R132">
        <v>59.68</v>
      </c>
      <c r="S132">
        <v>32</v>
      </c>
      <c r="T132">
        <v>32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32</v>
      </c>
      <c r="AB132">
        <v>0</v>
      </c>
      <c r="AC132">
        <v>0</v>
      </c>
      <c r="AF132" t="s">
        <v>130</v>
      </c>
      <c r="AH132">
        <v>91.68</v>
      </c>
    </row>
    <row r="133" spans="1:34" x14ac:dyDescent="0.3">
      <c r="A133" s="4">
        <v>170</v>
      </c>
      <c r="B133" s="5">
        <v>126</v>
      </c>
      <c r="C133">
        <v>15260</v>
      </c>
      <c r="D133" t="s">
        <v>1240</v>
      </c>
      <c r="E133" t="s">
        <v>208</v>
      </c>
      <c r="F133" t="s">
        <v>457</v>
      </c>
      <c r="G133" t="s">
        <v>18675</v>
      </c>
      <c r="H133">
        <v>18.63</v>
      </c>
      <c r="I133">
        <v>0</v>
      </c>
      <c r="J133">
        <v>0</v>
      </c>
      <c r="K133">
        <v>20</v>
      </c>
      <c r="N133">
        <v>3</v>
      </c>
      <c r="O133">
        <v>3</v>
      </c>
      <c r="P133">
        <v>4</v>
      </c>
      <c r="Q133">
        <v>2</v>
      </c>
      <c r="R133">
        <v>47.63</v>
      </c>
      <c r="S133">
        <v>44</v>
      </c>
      <c r="T133">
        <v>44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44</v>
      </c>
      <c r="AB133">
        <v>0</v>
      </c>
      <c r="AC133">
        <v>0</v>
      </c>
      <c r="AF133" t="s">
        <v>130</v>
      </c>
      <c r="AH133">
        <v>91.63</v>
      </c>
    </row>
    <row r="134" spans="1:34" x14ac:dyDescent="0.3">
      <c r="A134" s="4">
        <v>171</v>
      </c>
      <c r="B134" s="5">
        <v>127</v>
      </c>
      <c r="C134">
        <v>8315</v>
      </c>
      <c r="D134" t="s">
        <v>7337</v>
      </c>
      <c r="E134" t="s">
        <v>41</v>
      </c>
      <c r="F134" t="s">
        <v>17</v>
      </c>
      <c r="G134" t="s">
        <v>18676</v>
      </c>
      <c r="H134">
        <v>17.600000000000001</v>
      </c>
      <c r="I134">
        <v>0</v>
      </c>
      <c r="J134">
        <v>0</v>
      </c>
      <c r="K134">
        <v>20</v>
      </c>
      <c r="O134">
        <v>0</v>
      </c>
      <c r="P134">
        <v>4</v>
      </c>
      <c r="Q134">
        <v>2</v>
      </c>
      <c r="R134">
        <v>43.6</v>
      </c>
      <c r="S134">
        <v>42</v>
      </c>
      <c r="T134">
        <v>42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42</v>
      </c>
      <c r="AB134">
        <v>6</v>
      </c>
      <c r="AC134">
        <v>0</v>
      </c>
      <c r="AF134" t="s">
        <v>130</v>
      </c>
      <c r="AH134">
        <v>91.6</v>
      </c>
    </row>
    <row r="135" spans="1:34" x14ac:dyDescent="0.3">
      <c r="A135" s="4">
        <v>174</v>
      </c>
      <c r="B135" s="5">
        <v>128</v>
      </c>
      <c r="C135">
        <v>4981</v>
      </c>
      <c r="D135" t="s">
        <v>1528</v>
      </c>
      <c r="E135" t="s">
        <v>29</v>
      </c>
      <c r="F135" t="s">
        <v>230</v>
      </c>
      <c r="G135" t="s">
        <v>18678</v>
      </c>
      <c r="H135">
        <v>18.53</v>
      </c>
      <c r="I135">
        <v>0</v>
      </c>
      <c r="J135">
        <v>0</v>
      </c>
      <c r="K135">
        <v>20</v>
      </c>
      <c r="L135">
        <v>7</v>
      </c>
      <c r="O135">
        <v>7</v>
      </c>
      <c r="P135">
        <v>4</v>
      </c>
      <c r="Q135">
        <v>2</v>
      </c>
      <c r="R135">
        <v>51.53</v>
      </c>
      <c r="S135">
        <v>37</v>
      </c>
      <c r="T135">
        <v>37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37</v>
      </c>
      <c r="AB135">
        <v>3</v>
      </c>
      <c r="AC135">
        <v>0</v>
      </c>
      <c r="AF135" t="s">
        <v>130</v>
      </c>
      <c r="AH135">
        <v>91.53</v>
      </c>
    </row>
    <row r="136" spans="1:34" x14ac:dyDescent="0.3">
      <c r="A136" s="4">
        <v>175</v>
      </c>
      <c r="B136" s="5">
        <v>129</v>
      </c>
      <c r="C136">
        <v>3538</v>
      </c>
      <c r="D136" t="s">
        <v>18633</v>
      </c>
      <c r="E136" t="s">
        <v>188</v>
      </c>
      <c r="F136" t="s">
        <v>1854</v>
      </c>
      <c r="G136" t="s">
        <v>18679</v>
      </c>
      <c r="H136">
        <v>21.45</v>
      </c>
      <c r="I136">
        <v>0</v>
      </c>
      <c r="J136">
        <v>0</v>
      </c>
      <c r="K136">
        <v>20</v>
      </c>
      <c r="N136">
        <v>3</v>
      </c>
      <c r="O136">
        <v>3</v>
      </c>
      <c r="P136">
        <v>4</v>
      </c>
      <c r="Q136">
        <v>2</v>
      </c>
      <c r="R136">
        <v>50.45</v>
      </c>
      <c r="S136">
        <v>41</v>
      </c>
      <c r="T136">
        <v>41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41</v>
      </c>
      <c r="AB136">
        <v>0</v>
      </c>
      <c r="AC136">
        <v>0</v>
      </c>
      <c r="AF136" t="s">
        <v>130</v>
      </c>
      <c r="AH136">
        <v>91.45</v>
      </c>
    </row>
    <row r="137" spans="1:34" x14ac:dyDescent="0.3">
      <c r="A137" s="4">
        <v>176</v>
      </c>
      <c r="B137" s="5">
        <v>130</v>
      </c>
      <c r="C137">
        <v>11150</v>
      </c>
      <c r="D137" t="s">
        <v>18680</v>
      </c>
      <c r="E137" t="s">
        <v>29</v>
      </c>
      <c r="F137" t="s">
        <v>17</v>
      </c>
      <c r="G137" t="s">
        <v>18681</v>
      </c>
      <c r="H137">
        <v>20.45</v>
      </c>
      <c r="I137">
        <v>0</v>
      </c>
      <c r="J137">
        <v>0</v>
      </c>
      <c r="K137">
        <v>20</v>
      </c>
      <c r="O137">
        <v>0</v>
      </c>
      <c r="P137">
        <v>4</v>
      </c>
      <c r="Q137">
        <v>2</v>
      </c>
      <c r="R137">
        <v>46.45</v>
      </c>
      <c r="S137">
        <v>45</v>
      </c>
      <c r="T137">
        <v>45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45</v>
      </c>
      <c r="AB137">
        <v>0</v>
      </c>
      <c r="AC137">
        <v>0</v>
      </c>
      <c r="AD137" t="s">
        <v>130</v>
      </c>
      <c r="AF137" t="s">
        <v>130</v>
      </c>
      <c r="AH137">
        <v>91.45</v>
      </c>
    </row>
    <row r="138" spans="1:34" x14ac:dyDescent="0.3">
      <c r="A138" s="4">
        <v>177</v>
      </c>
      <c r="B138" s="5">
        <v>131</v>
      </c>
      <c r="C138">
        <v>3639</v>
      </c>
      <c r="D138" t="s">
        <v>18682</v>
      </c>
      <c r="E138" t="s">
        <v>789</v>
      </c>
      <c r="F138" t="s">
        <v>20</v>
      </c>
      <c r="G138" t="s">
        <v>18683</v>
      </c>
      <c r="H138">
        <v>18.43</v>
      </c>
      <c r="I138">
        <v>0</v>
      </c>
      <c r="J138">
        <v>0</v>
      </c>
      <c r="K138">
        <v>0</v>
      </c>
      <c r="L138">
        <v>7</v>
      </c>
      <c r="O138">
        <v>7</v>
      </c>
      <c r="P138">
        <v>4</v>
      </c>
      <c r="Q138">
        <v>2</v>
      </c>
      <c r="R138">
        <v>31.43</v>
      </c>
      <c r="S138">
        <v>60</v>
      </c>
      <c r="T138">
        <v>60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60</v>
      </c>
      <c r="AB138">
        <v>0</v>
      </c>
      <c r="AC138">
        <v>0</v>
      </c>
      <c r="AF138" t="s">
        <v>130</v>
      </c>
      <c r="AH138">
        <v>91.43</v>
      </c>
    </row>
    <row r="139" spans="1:34" x14ac:dyDescent="0.3">
      <c r="A139" s="4">
        <v>178</v>
      </c>
      <c r="B139" s="5">
        <v>132</v>
      </c>
      <c r="C139">
        <v>1524</v>
      </c>
      <c r="D139" t="s">
        <v>4679</v>
      </c>
      <c r="E139" t="s">
        <v>166</v>
      </c>
      <c r="F139" t="s">
        <v>124</v>
      </c>
      <c r="G139" t="s">
        <v>18684</v>
      </c>
      <c r="H139">
        <v>17.3</v>
      </c>
      <c r="I139">
        <v>0</v>
      </c>
      <c r="J139">
        <v>0</v>
      </c>
      <c r="K139">
        <v>20</v>
      </c>
      <c r="L139">
        <v>7</v>
      </c>
      <c r="O139">
        <v>7</v>
      </c>
      <c r="P139">
        <v>4</v>
      </c>
      <c r="Q139">
        <v>2</v>
      </c>
      <c r="R139">
        <v>50.3</v>
      </c>
      <c r="S139">
        <v>35</v>
      </c>
      <c r="T139">
        <v>35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35</v>
      </c>
      <c r="AB139">
        <v>6</v>
      </c>
      <c r="AC139">
        <v>0</v>
      </c>
      <c r="AF139" t="s">
        <v>130</v>
      </c>
      <c r="AH139">
        <v>91.3</v>
      </c>
    </row>
    <row r="140" spans="1:34" x14ac:dyDescent="0.3">
      <c r="A140" s="4">
        <v>179</v>
      </c>
      <c r="B140" s="5">
        <v>133</v>
      </c>
      <c r="C140">
        <v>15200</v>
      </c>
      <c r="D140" t="s">
        <v>6660</v>
      </c>
      <c r="E140" t="s">
        <v>188</v>
      </c>
      <c r="F140" t="s">
        <v>136</v>
      </c>
      <c r="G140" t="s">
        <v>18685</v>
      </c>
      <c r="H140">
        <v>19.25</v>
      </c>
      <c r="I140">
        <v>0</v>
      </c>
      <c r="J140">
        <v>0</v>
      </c>
      <c r="K140">
        <v>20</v>
      </c>
      <c r="L140">
        <v>7</v>
      </c>
      <c r="O140">
        <v>7</v>
      </c>
      <c r="P140">
        <v>4</v>
      </c>
      <c r="Q140">
        <v>2</v>
      </c>
      <c r="R140">
        <v>52.25</v>
      </c>
      <c r="S140">
        <v>39</v>
      </c>
      <c r="T140">
        <v>39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39</v>
      </c>
      <c r="AB140">
        <v>0</v>
      </c>
      <c r="AC140">
        <v>0</v>
      </c>
      <c r="AF140" t="s">
        <v>130</v>
      </c>
      <c r="AH140">
        <v>91.25</v>
      </c>
    </row>
    <row r="141" spans="1:34" x14ac:dyDescent="0.3">
      <c r="A141" s="4">
        <v>184</v>
      </c>
      <c r="B141" s="5">
        <v>134</v>
      </c>
      <c r="C141">
        <v>33</v>
      </c>
      <c r="D141" t="s">
        <v>18688</v>
      </c>
      <c r="E141" t="s">
        <v>22</v>
      </c>
      <c r="F141" t="s">
        <v>117</v>
      </c>
      <c r="G141" t="s">
        <v>18689</v>
      </c>
      <c r="H141">
        <v>20</v>
      </c>
      <c r="I141">
        <v>0</v>
      </c>
      <c r="J141">
        <v>0</v>
      </c>
      <c r="K141">
        <v>20</v>
      </c>
      <c r="O141">
        <v>0</v>
      </c>
      <c r="P141">
        <v>4</v>
      </c>
      <c r="Q141">
        <v>0</v>
      </c>
      <c r="R141">
        <v>44</v>
      </c>
      <c r="S141">
        <v>44</v>
      </c>
      <c r="T141">
        <v>44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44</v>
      </c>
      <c r="AB141">
        <v>3</v>
      </c>
      <c r="AC141">
        <v>0</v>
      </c>
      <c r="AF141" t="s">
        <v>130</v>
      </c>
      <c r="AH141">
        <v>91</v>
      </c>
    </row>
    <row r="142" spans="1:34" x14ac:dyDescent="0.3">
      <c r="A142" s="4">
        <v>185</v>
      </c>
      <c r="B142" s="5">
        <v>135</v>
      </c>
      <c r="C142">
        <v>1054</v>
      </c>
      <c r="D142" t="s">
        <v>12824</v>
      </c>
      <c r="E142" t="s">
        <v>957</v>
      </c>
      <c r="F142" t="s">
        <v>17</v>
      </c>
      <c r="G142" t="s">
        <v>18690</v>
      </c>
      <c r="H142">
        <v>22.9</v>
      </c>
      <c r="I142">
        <v>0</v>
      </c>
      <c r="J142">
        <v>0</v>
      </c>
      <c r="K142">
        <v>20</v>
      </c>
      <c r="N142">
        <v>3</v>
      </c>
      <c r="O142">
        <v>3</v>
      </c>
      <c r="P142">
        <v>4</v>
      </c>
      <c r="Q142">
        <v>2</v>
      </c>
      <c r="R142">
        <v>51.9</v>
      </c>
      <c r="S142">
        <v>36</v>
      </c>
      <c r="T142">
        <v>36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36</v>
      </c>
      <c r="AB142">
        <v>3</v>
      </c>
      <c r="AC142">
        <v>0</v>
      </c>
      <c r="AF142" t="s">
        <v>130</v>
      </c>
      <c r="AH142">
        <v>90.9</v>
      </c>
    </row>
    <row r="143" spans="1:34" x14ac:dyDescent="0.3">
      <c r="A143" s="4">
        <v>186</v>
      </c>
      <c r="B143" s="5">
        <v>136</v>
      </c>
      <c r="C143">
        <v>2369</v>
      </c>
      <c r="D143" t="s">
        <v>5328</v>
      </c>
      <c r="E143" t="s">
        <v>18691</v>
      </c>
      <c r="F143" t="s">
        <v>832</v>
      </c>
      <c r="G143" t="s">
        <v>18692</v>
      </c>
      <c r="H143">
        <v>18.829999999999998</v>
      </c>
      <c r="I143">
        <v>0</v>
      </c>
      <c r="J143">
        <v>0</v>
      </c>
      <c r="K143">
        <v>20</v>
      </c>
      <c r="N143">
        <v>3</v>
      </c>
      <c r="O143">
        <v>3</v>
      </c>
      <c r="P143">
        <v>4</v>
      </c>
      <c r="Q143">
        <v>0</v>
      </c>
      <c r="R143">
        <v>45.83</v>
      </c>
      <c r="S143">
        <v>45</v>
      </c>
      <c r="T143">
        <v>45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45</v>
      </c>
      <c r="AB143">
        <v>0</v>
      </c>
      <c r="AC143">
        <v>0</v>
      </c>
      <c r="AD143" t="s">
        <v>130</v>
      </c>
      <c r="AF143" t="s">
        <v>130</v>
      </c>
      <c r="AH143">
        <v>90.83</v>
      </c>
    </row>
    <row r="144" spans="1:34" x14ac:dyDescent="0.3">
      <c r="A144" s="4">
        <v>187</v>
      </c>
      <c r="B144" s="5">
        <v>137</v>
      </c>
      <c r="C144">
        <v>1364</v>
      </c>
      <c r="D144" t="s">
        <v>18693</v>
      </c>
      <c r="E144" t="s">
        <v>123</v>
      </c>
      <c r="F144" t="s">
        <v>190</v>
      </c>
      <c r="G144" t="s">
        <v>18694</v>
      </c>
      <c r="H144">
        <v>18.73</v>
      </c>
      <c r="I144">
        <v>0</v>
      </c>
      <c r="J144">
        <v>0</v>
      </c>
      <c r="K144">
        <v>20</v>
      </c>
      <c r="L144">
        <v>7</v>
      </c>
      <c r="O144">
        <v>7</v>
      </c>
      <c r="P144">
        <v>4</v>
      </c>
      <c r="Q144">
        <v>2</v>
      </c>
      <c r="R144">
        <v>51.73</v>
      </c>
      <c r="S144">
        <v>36</v>
      </c>
      <c r="T144">
        <v>36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36</v>
      </c>
      <c r="AB144">
        <v>3</v>
      </c>
      <c r="AC144">
        <v>0</v>
      </c>
      <c r="AF144" t="s">
        <v>130</v>
      </c>
      <c r="AH144">
        <v>90.73</v>
      </c>
    </row>
    <row r="145" spans="1:34" x14ac:dyDescent="0.3">
      <c r="A145" s="4">
        <v>189</v>
      </c>
      <c r="B145" s="5">
        <v>138</v>
      </c>
      <c r="C145">
        <v>13069</v>
      </c>
      <c r="D145" t="s">
        <v>2113</v>
      </c>
      <c r="E145" t="s">
        <v>18237</v>
      </c>
      <c r="F145" t="s">
        <v>38</v>
      </c>
      <c r="G145" t="s">
        <v>18695</v>
      </c>
      <c r="H145">
        <v>18.48</v>
      </c>
      <c r="I145">
        <v>0</v>
      </c>
      <c r="J145">
        <v>0</v>
      </c>
      <c r="K145">
        <v>20</v>
      </c>
      <c r="N145">
        <v>3</v>
      </c>
      <c r="O145">
        <v>3</v>
      </c>
      <c r="P145">
        <v>4</v>
      </c>
      <c r="Q145">
        <v>2</v>
      </c>
      <c r="R145">
        <v>47.48</v>
      </c>
      <c r="S145">
        <v>43</v>
      </c>
      <c r="T145">
        <v>43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43</v>
      </c>
      <c r="AB145">
        <v>0</v>
      </c>
      <c r="AC145">
        <v>0</v>
      </c>
      <c r="AF145" t="s">
        <v>130</v>
      </c>
      <c r="AH145">
        <v>90.48</v>
      </c>
    </row>
    <row r="146" spans="1:34" x14ac:dyDescent="0.3">
      <c r="A146" s="4">
        <v>190</v>
      </c>
      <c r="B146" s="5">
        <v>139</v>
      </c>
      <c r="C146">
        <v>13195</v>
      </c>
      <c r="D146" t="s">
        <v>165</v>
      </c>
      <c r="E146" t="s">
        <v>7954</v>
      </c>
      <c r="F146" t="s">
        <v>230</v>
      </c>
      <c r="G146" t="s">
        <v>18696</v>
      </c>
      <c r="H146">
        <v>18.350000000000001</v>
      </c>
      <c r="I146">
        <v>0</v>
      </c>
      <c r="J146">
        <v>0</v>
      </c>
      <c r="K146">
        <v>20</v>
      </c>
      <c r="L146">
        <v>7</v>
      </c>
      <c r="O146">
        <v>7</v>
      </c>
      <c r="P146">
        <v>4</v>
      </c>
      <c r="Q146">
        <v>2</v>
      </c>
      <c r="R146">
        <v>51.35</v>
      </c>
      <c r="S146">
        <v>36</v>
      </c>
      <c r="T146">
        <v>36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36</v>
      </c>
      <c r="AB146">
        <v>3</v>
      </c>
      <c r="AC146">
        <v>0</v>
      </c>
      <c r="AF146" t="s">
        <v>130</v>
      </c>
      <c r="AH146">
        <v>90.35</v>
      </c>
    </row>
    <row r="147" spans="1:34" x14ac:dyDescent="0.3">
      <c r="A147" s="4">
        <v>191</v>
      </c>
      <c r="B147" s="5">
        <v>140</v>
      </c>
      <c r="C147">
        <v>8045</v>
      </c>
      <c r="D147" t="s">
        <v>18697</v>
      </c>
      <c r="E147" t="s">
        <v>957</v>
      </c>
      <c r="F147" t="s">
        <v>68</v>
      </c>
      <c r="G147" t="s">
        <v>18698</v>
      </c>
      <c r="H147">
        <v>18.3</v>
      </c>
      <c r="I147">
        <v>0</v>
      </c>
      <c r="J147">
        <v>0</v>
      </c>
      <c r="K147">
        <v>0</v>
      </c>
      <c r="N147">
        <v>3</v>
      </c>
      <c r="O147">
        <v>3</v>
      </c>
      <c r="P147">
        <v>4</v>
      </c>
      <c r="Q147">
        <v>2</v>
      </c>
      <c r="R147">
        <v>27.3</v>
      </c>
      <c r="S147">
        <v>43</v>
      </c>
      <c r="T147">
        <v>43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43</v>
      </c>
      <c r="AB147">
        <v>0</v>
      </c>
      <c r="AC147">
        <v>20</v>
      </c>
      <c r="AF147" t="s">
        <v>130</v>
      </c>
      <c r="AH147">
        <v>90.3</v>
      </c>
    </row>
    <row r="148" spans="1:34" x14ac:dyDescent="0.3">
      <c r="A148" s="4">
        <v>192</v>
      </c>
      <c r="B148" s="5">
        <v>141</v>
      </c>
      <c r="C148">
        <v>8383</v>
      </c>
      <c r="D148" t="s">
        <v>18699</v>
      </c>
      <c r="E148" t="s">
        <v>697</v>
      </c>
      <c r="F148" t="s">
        <v>55</v>
      </c>
      <c r="G148" t="s">
        <v>18700</v>
      </c>
      <c r="H148">
        <v>18.3</v>
      </c>
      <c r="I148">
        <v>0</v>
      </c>
      <c r="J148">
        <v>0</v>
      </c>
      <c r="K148">
        <v>20</v>
      </c>
      <c r="N148">
        <v>3</v>
      </c>
      <c r="O148">
        <v>3</v>
      </c>
      <c r="P148">
        <v>4</v>
      </c>
      <c r="Q148">
        <v>2</v>
      </c>
      <c r="R148">
        <v>47.3</v>
      </c>
      <c r="S148">
        <v>43</v>
      </c>
      <c r="T148">
        <v>43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43</v>
      </c>
      <c r="AB148">
        <v>0</v>
      </c>
      <c r="AC148">
        <v>0</v>
      </c>
      <c r="AD148" t="s">
        <v>130</v>
      </c>
      <c r="AF148" t="s">
        <v>130</v>
      </c>
      <c r="AH148">
        <v>90.3</v>
      </c>
    </row>
    <row r="149" spans="1:34" x14ac:dyDescent="0.3">
      <c r="A149" s="4">
        <v>194</v>
      </c>
      <c r="B149" s="5">
        <v>142</v>
      </c>
      <c r="C149">
        <v>7003</v>
      </c>
      <c r="D149" t="s">
        <v>3542</v>
      </c>
      <c r="E149" t="s">
        <v>182</v>
      </c>
      <c r="F149" t="s">
        <v>243</v>
      </c>
      <c r="G149" t="s">
        <v>18701</v>
      </c>
      <c r="H149">
        <v>21.08</v>
      </c>
      <c r="I149">
        <v>0</v>
      </c>
      <c r="J149">
        <v>0</v>
      </c>
      <c r="K149">
        <v>0</v>
      </c>
      <c r="L149">
        <v>7</v>
      </c>
      <c r="O149">
        <v>7</v>
      </c>
      <c r="P149">
        <v>4</v>
      </c>
      <c r="Q149">
        <v>2</v>
      </c>
      <c r="R149">
        <v>34.08</v>
      </c>
      <c r="S149">
        <v>56</v>
      </c>
      <c r="T149">
        <v>56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56</v>
      </c>
      <c r="AB149">
        <v>0</v>
      </c>
      <c r="AC149">
        <v>0</v>
      </c>
      <c r="AF149" t="s">
        <v>130</v>
      </c>
      <c r="AH149">
        <v>90.08</v>
      </c>
    </row>
    <row r="150" spans="1:34" x14ac:dyDescent="0.3">
      <c r="A150" s="4">
        <v>195</v>
      </c>
      <c r="B150" s="5">
        <v>143</v>
      </c>
      <c r="C150">
        <v>9814</v>
      </c>
      <c r="D150" t="s">
        <v>18702</v>
      </c>
      <c r="E150" t="s">
        <v>41</v>
      </c>
      <c r="F150" t="s">
        <v>20</v>
      </c>
      <c r="G150" t="s">
        <v>18703</v>
      </c>
      <c r="H150">
        <v>19.05</v>
      </c>
      <c r="I150">
        <v>0</v>
      </c>
      <c r="J150">
        <v>0</v>
      </c>
      <c r="K150">
        <v>20</v>
      </c>
      <c r="N150">
        <v>3</v>
      </c>
      <c r="O150">
        <v>3</v>
      </c>
      <c r="P150">
        <v>4</v>
      </c>
      <c r="Q150">
        <v>2</v>
      </c>
      <c r="R150">
        <v>48.05</v>
      </c>
      <c r="S150">
        <v>36</v>
      </c>
      <c r="T150">
        <v>36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36</v>
      </c>
      <c r="AB150">
        <v>6</v>
      </c>
      <c r="AC150">
        <v>0</v>
      </c>
      <c r="AF150" t="s">
        <v>130</v>
      </c>
      <c r="AH150">
        <v>90.05</v>
      </c>
    </row>
    <row r="151" spans="1:34" x14ac:dyDescent="0.3">
      <c r="A151" s="4">
        <v>196</v>
      </c>
      <c r="B151" s="5">
        <v>144</v>
      </c>
      <c r="C151">
        <v>3372</v>
      </c>
      <c r="D151" t="s">
        <v>18704</v>
      </c>
      <c r="E151" t="s">
        <v>8000</v>
      </c>
      <c r="F151" t="s">
        <v>124</v>
      </c>
      <c r="G151" t="s">
        <v>18705</v>
      </c>
      <c r="H151">
        <v>17.05</v>
      </c>
      <c r="I151">
        <v>0</v>
      </c>
      <c r="J151">
        <v>0</v>
      </c>
      <c r="K151">
        <v>0</v>
      </c>
      <c r="N151">
        <v>3</v>
      </c>
      <c r="O151">
        <v>3</v>
      </c>
      <c r="P151">
        <v>4</v>
      </c>
      <c r="Q151">
        <v>2</v>
      </c>
      <c r="R151">
        <v>26.05</v>
      </c>
      <c r="S151">
        <v>58</v>
      </c>
      <c r="T151">
        <v>58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58</v>
      </c>
      <c r="AB151">
        <v>6</v>
      </c>
      <c r="AC151">
        <v>0</v>
      </c>
      <c r="AF151" t="s">
        <v>130</v>
      </c>
      <c r="AH151">
        <v>90.05</v>
      </c>
    </row>
    <row r="152" spans="1:34" x14ac:dyDescent="0.3">
      <c r="A152" s="4">
        <v>197</v>
      </c>
      <c r="B152" s="5">
        <v>145</v>
      </c>
      <c r="C152">
        <v>1438</v>
      </c>
      <c r="D152" t="s">
        <v>18706</v>
      </c>
      <c r="E152" t="s">
        <v>18707</v>
      </c>
      <c r="F152" t="s">
        <v>18708</v>
      </c>
      <c r="G152" t="s">
        <v>18709</v>
      </c>
      <c r="H152">
        <v>17.95</v>
      </c>
      <c r="I152">
        <v>0</v>
      </c>
      <c r="J152">
        <v>0</v>
      </c>
      <c r="K152">
        <v>20</v>
      </c>
      <c r="N152">
        <v>3</v>
      </c>
      <c r="O152">
        <v>3</v>
      </c>
      <c r="P152">
        <v>4</v>
      </c>
      <c r="Q152">
        <v>0</v>
      </c>
      <c r="R152">
        <v>44.95</v>
      </c>
      <c r="S152">
        <v>45</v>
      </c>
      <c r="T152">
        <v>45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45</v>
      </c>
      <c r="AB152">
        <v>0</v>
      </c>
      <c r="AC152">
        <v>0</v>
      </c>
      <c r="AF152" t="s">
        <v>130</v>
      </c>
      <c r="AH152">
        <v>89.95</v>
      </c>
    </row>
    <row r="153" spans="1:34" x14ac:dyDescent="0.3">
      <c r="A153" s="4">
        <v>198</v>
      </c>
      <c r="B153" s="5">
        <v>146</v>
      </c>
      <c r="C153">
        <v>674</v>
      </c>
      <c r="D153" t="s">
        <v>18710</v>
      </c>
      <c r="E153" t="s">
        <v>697</v>
      </c>
      <c r="F153" t="s">
        <v>17</v>
      </c>
      <c r="G153" t="s">
        <v>18711</v>
      </c>
      <c r="H153">
        <v>16.899999999999999</v>
      </c>
      <c r="I153">
        <v>0</v>
      </c>
      <c r="J153">
        <v>0</v>
      </c>
      <c r="K153">
        <v>28</v>
      </c>
      <c r="N153">
        <v>3</v>
      </c>
      <c r="O153">
        <v>3</v>
      </c>
      <c r="P153">
        <v>4</v>
      </c>
      <c r="Q153">
        <v>2</v>
      </c>
      <c r="R153">
        <v>53.9</v>
      </c>
      <c r="S153">
        <v>36</v>
      </c>
      <c r="T153">
        <v>36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36</v>
      </c>
      <c r="AB153">
        <v>0</v>
      </c>
      <c r="AC153">
        <v>0</v>
      </c>
      <c r="AF153" t="s">
        <v>130</v>
      </c>
      <c r="AH153">
        <v>89.9</v>
      </c>
    </row>
    <row r="154" spans="1:34" x14ac:dyDescent="0.3">
      <c r="A154" s="4">
        <v>199</v>
      </c>
      <c r="B154" s="5">
        <v>147</v>
      </c>
      <c r="C154">
        <v>15440</v>
      </c>
      <c r="D154" t="s">
        <v>18712</v>
      </c>
      <c r="E154" t="s">
        <v>147</v>
      </c>
      <c r="F154" t="s">
        <v>17</v>
      </c>
      <c r="G154" t="s">
        <v>18713</v>
      </c>
      <c r="H154">
        <v>18.88</v>
      </c>
      <c r="I154">
        <v>0</v>
      </c>
      <c r="J154">
        <v>0</v>
      </c>
      <c r="K154">
        <v>28</v>
      </c>
      <c r="L154">
        <v>7</v>
      </c>
      <c r="O154">
        <v>7</v>
      </c>
      <c r="P154">
        <v>4</v>
      </c>
      <c r="Q154">
        <v>2</v>
      </c>
      <c r="R154">
        <v>59.88</v>
      </c>
      <c r="S154">
        <v>27</v>
      </c>
      <c r="T154">
        <v>27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27</v>
      </c>
      <c r="AB154">
        <v>3</v>
      </c>
      <c r="AC154">
        <v>0</v>
      </c>
      <c r="AF154" t="s">
        <v>130</v>
      </c>
      <c r="AH154">
        <v>89.88</v>
      </c>
    </row>
    <row r="155" spans="1:34" x14ac:dyDescent="0.3">
      <c r="A155" s="4">
        <v>201</v>
      </c>
      <c r="B155" s="5">
        <v>148</v>
      </c>
      <c r="C155">
        <v>7383</v>
      </c>
      <c r="D155" t="s">
        <v>18714</v>
      </c>
      <c r="E155" t="s">
        <v>29</v>
      </c>
      <c r="F155" t="s">
        <v>81</v>
      </c>
      <c r="G155" t="s">
        <v>18715</v>
      </c>
      <c r="H155">
        <v>19.8</v>
      </c>
      <c r="I155">
        <v>0</v>
      </c>
      <c r="J155">
        <v>0</v>
      </c>
      <c r="K155">
        <v>20</v>
      </c>
      <c r="O155">
        <v>0</v>
      </c>
      <c r="P155">
        <v>4</v>
      </c>
      <c r="Q155">
        <v>2</v>
      </c>
      <c r="R155">
        <v>45.8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12</v>
      </c>
      <c r="AC155">
        <v>32</v>
      </c>
      <c r="AD155" t="s">
        <v>130</v>
      </c>
      <c r="AF155" t="s">
        <v>130</v>
      </c>
      <c r="AH155">
        <v>89.8</v>
      </c>
    </row>
    <row r="156" spans="1:34" x14ac:dyDescent="0.3">
      <c r="A156" s="4">
        <v>202</v>
      </c>
      <c r="B156" s="5">
        <v>149</v>
      </c>
      <c r="C156">
        <v>13134</v>
      </c>
      <c r="D156" t="s">
        <v>4108</v>
      </c>
      <c r="E156" t="s">
        <v>41</v>
      </c>
      <c r="F156" t="s">
        <v>136</v>
      </c>
      <c r="G156" t="s">
        <v>18716</v>
      </c>
      <c r="H156">
        <v>16.73</v>
      </c>
      <c r="I156">
        <v>0</v>
      </c>
      <c r="J156">
        <v>40</v>
      </c>
      <c r="K156">
        <v>20</v>
      </c>
      <c r="N156">
        <v>6</v>
      </c>
      <c r="O156">
        <v>6</v>
      </c>
      <c r="P156">
        <v>4</v>
      </c>
      <c r="Q156">
        <v>2</v>
      </c>
      <c r="R156">
        <v>88.73</v>
      </c>
      <c r="S156">
        <v>1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1</v>
      </c>
      <c r="AB156">
        <v>0</v>
      </c>
      <c r="AC156">
        <v>0</v>
      </c>
      <c r="AF156" t="s">
        <v>130</v>
      </c>
      <c r="AH156">
        <v>89.73</v>
      </c>
    </row>
    <row r="157" spans="1:34" x14ac:dyDescent="0.3">
      <c r="A157" s="4">
        <v>204</v>
      </c>
      <c r="B157" s="5">
        <v>150</v>
      </c>
      <c r="C157">
        <v>913</v>
      </c>
      <c r="D157" t="s">
        <v>18717</v>
      </c>
      <c r="E157" t="s">
        <v>29</v>
      </c>
      <c r="F157" t="s">
        <v>343</v>
      </c>
      <c r="G157" t="s">
        <v>18718</v>
      </c>
      <c r="H157">
        <v>23.68</v>
      </c>
      <c r="I157">
        <v>0</v>
      </c>
      <c r="J157">
        <v>0</v>
      </c>
      <c r="K157">
        <v>20</v>
      </c>
      <c r="N157">
        <v>3</v>
      </c>
      <c r="O157">
        <v>3</v>
      </c>
      <c r="P157">
        <v>4</v>
      </c>
      <c r="Q157">
        <v>2</v>
      </c>
      <c r="R157">
        <v>52.68</v>
      </c>
      <c r="S157">
        <v>37</v>
      </c>
      <c r="T157">
        <v>37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37</v>
      </c>
      <c r="AB157">
        <v>0</v>
      </c>
      <c r="AC157">
        <v>0</v>
      </c>
      <c r="AF157" t="s">
        <v>130</v>
      </c>
      <c r="AH157">
        <v>89.68</v>
      </c>
    </row>
    <row r="158" spans="1:34" x14ac:dyDescent="0.3">
      <c r="A158" s="4">
        <v>205</v>
      </c>
      <c r="B158" s="5">
        <v>151</v>
      </c>
      <c r="C158">
        <v>421</v>
      </c>
      <c r="D158" t="s">
        <v>18719</v>
      </c>
      <c r="E158" t="s">
        <v>132</v>
      </c>
      <c r="F158" t="s">
        <v>81</v>
      </c>
      <c r="G158" t="s">
        <v>18720</v>
      </c>
      <c r="H158">
        <v>17.600000000000001</v>
      </c>
      <c r="I158">
        <v>0</v>
      </c>
      <c r="J158">
        <v>0</v>
      </c>
      <c r="K158">
        <v>20</v>
      </c>
      <c r="L158">
        <v>7</v>
      </c>
      <c r="O158">
        <v>7</v>
      </c>
      <c r="P158">
        <v>4</v>
      </c>
      <c r="Q158">
        <v>2</v>
      </c>
      <c r="R158">
        <v>50.6</v>
      </c>
      <c r="S158">
        <v>36</v>
      </c>
      <c r="T158">
        <v>36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36</v>
      </c>
      <c r="AB158">
        <v>3</v>
      </c>
      <c r="AC158">
        <v>0</v>
      </c>
      <c r="AF158" t="s">
        <v>130</v>
      </c>
      <c r="AH158">
        <v>89.6</v>
      </c>
    </row>
    <row r="159" spans="1:34" x14ac:dyDescent="0.3">
      <c r="A159" s="4">
        <v>206</v>
      </c>
      <c r="B159" s="5">
        <v>152</v>
      </c>
      <c r="C159">
        <v>13328</v>
      </c>
      <c r="D159" t="s">
        <v>3428</v>
      </c>
      <c r="E159" t="s">
        <v>170</v>
      </c>
      <c r="F159" t="s">
        <v>136</v>
      </c>
      <c r="G159" t="s">
        <v>18721</v>
      </c>
      <c r="H159">
        <v>18.53</v>
      </c>
      <c r="I159">
        <v>0</v>
      </c>
      <c r="J159">
        <v>0</v>
      </c>
      <c r="K159">
        <v>20</v>
      </c>
      <c r="L159">
        <v>7</v>
      </c>
      <c r="O159">
        <v>7</v>
      </c>
      <c r="P159">
        <v>4</v>
      </c>
      <c r="Q159">
        <v>2</v>
      </c>
      <c r="R159">
        <v>51.53</v>
      </c>
      <c r="S159">
        <v>35</v>
      </c>
      <c r="T159">
        <v>35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35</v>
      </c>
      <c r="AB159">
        <v>3</v>
      </c>
      <c r="AC159">
        <v>0</v>
      </c>
      <c r="AF159" t="s">
        <v>130</v>
      </c>
      <c r="AH159">
        <v>89.53</v>
      </c>
    </row>
    <row r="160" spans="1:34" x14ac:dyDescent="0.3">
      <c r="A160" s="4">
        <v>207</v>
      </c>
      <c r="B160" s="5">
        <v>153</v>
      </c>
      <c r="C160">
        <v>857</v>
      </c>
      <c r="D160" t="s">
        <v>10979</v>
      </c>
      <c r="E160" t="s">
        <v>161</v>
      </c>
      <c r="F160" t="s">
        <v>20</v>
      </c>
      <c r="G160" t="s">
        <v>18722</v>
      </c>
      <c r="H160">
        <v>17.350000000000001</v>
      </c>
      <c r="I160">
        <v>0</v>
      </c>
      <c r="J160">
        <v>0</v>
      </c>
      <c r="K160">
        <v>20</v>
      </c>
      <c r="N160">
        <v>3</v>
      </c>
      <c r="O160">
        <v>3</v>
      </c>
      <c r="P160">
        <v>4</v>
      </c>
      <c r="Q160">
        <v>2</v>
      </c>
      <c r="R160">
        <v>46.35</v>
      </c>
      <c r="S160">
        <v>37</v>
      </c>
      <c r="T160">
        <v>37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37</v>
      </c>
      <c r="AB160">
        <v>6</v>
      </c>
      <c r="AC160">
        <v>0</v>
      </c>
      <c r="AF160" t="s">
        <v>130</v>
      </c>
      <c r="AH160">
        <v>89.35</v>
      </c>
    </row>
    <row r="161" spans="1:34" x14ac:dyDescent="0.3">
      <c r="A161" s="4">
        <v>208</v>
      </c>
      <c r="B161" s="5">
        <v>154</v>
      </c>
      <c r="C161">
        <v>9390</v>
      </c>
      <c r="D161" t="s">
        <v>18723</v>
      </c>
      <c r="E161" t="s">
        <v>18724</v>
      </c>
      <c r="F161" t="s">
        <v>346</v>
      </c>
      <c r="G161" t="s">
        <v>18725</v>
      </c>
      <c r="H161">
        <v>17.329999999999998</v>
      </c>
      <c r="I161">
        <v>0</v>
      </c>
      <c r="J161">
        <v>0</v>
      </c>
      <c r="K161">
        <v>20</v>
      </c>
      <c r="L161">
        <v>7</v>
      </c>
      <c r="M161">
        <v>5</v>
      </c>
      <c r="O161">
        <v>12</v>
      </c>
      <c r="P161">
        <v>4</v>
      </c>
      <c r="Q161">
        <v>0</v>
      </c>
      <c r="R161">
        <v>53.33</v>
      </c>
      <c r="S161">
        <v>36</v>
      </c>
      <c r="T161">
        <v>36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36</v>
      </c>
      <c r="AB161">
        <v>0</v>
      </c>
      <c r="AC161">
        <v>0</v>
      </c>
      <c r="AD161" t="s">
        <v>130</v>
      </c>
      <c r="AF161" t="s">
        <v>130</v>
      </c>
      <c r="AH161">
        <v>89.33</v>
      </c>
    </row>
    <row r="162" spans="1:34" x14ac:dyDescent="0.3">
      <c r="A162" s="4">
        <v>209</v>
      </c>
      <c r="B162" s="5">
        <v>155</v>
      </c>
      <c r="C162">
        <v>13338</v>
      </c>
      <c r="D162" t="s">
        <v>18726</v>
      </c>
      <c r="E162" t="s">
        <v>166</v>
      </c>
      <c r="F162" t="s">
        <v>14</v>
      </c>
      <c r="G162" t="s">
        <v>18727</v>
      </c>
      <c r="H162">
        <v>21.28</v>
      </c>
      <c r="I162">
        <v>0</v>
      </c>
      <c r="J162">
        <v>0</v>
      </c>
      <c r="K162">
        <v>20</v>
      </c>
      <c r="L162">
        <v>7</v>
      </c>
      <c r="O162">
        <v>7</v>
      </c>
      <c r="P162">
        <v>4</v>
      </c>
      <c r="Q162">
        <v>2</v>
      </c>
      <c r="R162">
        <v>54.28</v>
      </c>
      <c r="S162">
        <v>35</v>
      </c>
      <c r="T162">
        <v>35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35</v>
      </c>
      <c r="AB162">
        <v>0</v>
      </c>
      <c r="AC162">
        <v>0</v>
      </c>
      <c r="AF162" t="s">
        <v>130</v>
      </c>
      <c r="AH162">
        <v>89.28</v>
      </c>
    </row>
    <row r="163" spans="1:34" x14ac:dyDescent="0.3">
      <c r="A163" s="4">
        <v>210</v>
      </c>
      <c r="B163" s="5">
        <v>156</v>
      </c>
      <c r="C163">
        <v>4910</v>
      </c>
      <c r="D163" t="s">
        <v>18728</v>
      </c>
      <c r="E163" t="s">
        <v>110</v>
      </c>
      <c r="F163" t="s">
        <v>230</v>
      </c>
      <c r="G163" t="s">
        <v>18729</v>
      </c>
      <c r="H163">
        <v>17.2</v>
      </c>
      <c r="I163">
        <v>0</v>
      </c>
      <c r="J163">
        <v>0</v>
      </c>
      <c r="K163">
        <v>20</v>
      </c>
      <c r="O163">
        <v>0</v>
      </c>
      <c r="P163">
        <v>4</v>
      </c>
      <c r="Q163">
        <v>2</v>
      </c>
      <c r="R163">
        <v>43.2</v>
      </c>
      <c r="S163">
        <v>46</v>
      </c>
      <c r="T163">
        <v>46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46</v>
      </c>
      <c r="AB163">
        <v>0</v>
      </c>
      <c r="AC163">
        <v>0</v>
      </c>
      <c r="AF163" t="s">
        <v>130</v>
      </c>
      <c r="AH163">
        <v>89.2</v>
      </c>
    </row>
    <row r="164" spans="1:34" x14ac:dyDescent="0.3">
      <c r="A164" s="4">
        <v>211</v>
      </c>
      <c r="B164" s="5">
        <v>157</v>
      </c>
      <c r="C164">
        <v>984</v>
      </c>
      <c r="D164" t="s">
        <v>18730</v>
      </c>
      <c r="E164" t="s">
        <v>372</v>
      </c>
      <c r="F164" t="s">
        <v>18731</v>
      </c>
      <c r="G164" t="s">
        <v>18732</v>
      </c>
      <c r="H164">
        <v>18.13</v>
      </c>
      <c r="I164">
        <v>0</v>
      </c>
      <c r="J164">
        <v>0</v>
      </c>
      <c r="K164">
        <v>20</v>
      </c>
      <c r="L164">
        <v>14</v>
      </c>
      <c r="O164">
        <v>14</v>
      </c>
      <c r="P164">
        <v>4</v>
      </c>
      <c r="Q164">
        <v>2</v>
      </c>
      <c r="R164">
        <v>58.13</v>
      </c>
      <c r="S164">
        <v>31</v>
      </c>
      <c r="T164">
        <v>31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31</v>
      </c>
      <c r="AB164">
        <v>0</v>
      </c>
      <c r="AC164">
        <v>0</v>
      </c>
      <c r="AF164" t="s">
        <v>130</v>
      </c>
      <c r="AH164">
        <v>89.13</v>
      </c>
    </row>
    <row r="165" spans="1:34" x14ac:dyDescent="0.3">
      <c r="A165" s="4">
        <v>213</v>
      </c>
      <c r="B165" s="5">
        <v>158</v>
      </c>
      <c r="C165">
        <v>1792</v>
      </c>
      <c r="D165" t="s">
        <v>18733</v>
      </c>
      <c r="E165" t="s">
        <v>18734</v>
      </c>
      <c r="F165" t="s">
        <v>68</v>
      </c>
      <c r="G165" t="s">
        <v>18735</v>
      </c>
      <c r="H165">
        <v>19.13</v>
      </c>
      <c r="I165">
        <v>0</v>
      </c>
      <c r="J165">
        <v>0</v>
      </c>
      <c r="K165">
        <v>20</v>
      </c>
      <c r="L165">
        <v>7</v>
      </c>
      <c r="O165">
        <v>7</v>
      </c>
      <c r="P165">
        <v>4</v>
      </c>
      <c r="Q165">
        <v>2</v>
      </c>
      <c r="R165">
        <v>52.13</v>
      </c>
      <c r="S165">
        <v>37</v>
      </c>
      <c r="T165">
        <v>37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37</v>
      </c>
      <c r="AB165">
        <v>0</v>
      </c>
      <c r="AC165">
        <v>0</v>
      </c>
      <c r="AF165" t="s">
        <v>130</v>
      </c>
      <c r="AH165">
        <v>89.13</v>
      </c>
    </row>
    <row r="166" spans="1:34" x14ac:dyDescent="0.3">
      <c r="A166" s="4">
        <v>215</v>
      </c>
      <c r="B166" s="5">
        <v>159</v>
      </c>
      <c r="C166">
        <v>10986</v>
      </c>
      <c r="D166" t="s">
        <v>18736</v>
      </c>
      <c r="E166" t="s">
        <v>29</v>
      </c>
      <c r="F166" t="s">
        <v>8147</v>
      </c>
      <c r="G166" t="s">
        <v>18737</v>
      </c>
      <c r="H166">
        <v>18</v>
      </c>
      <c r="I166">
        <v>0</v>
      </c>
      <c r="J166">
        <v>0</v>
      </c>
      <c r="K166">
        <v>20</v>
      </c>
      <c r="N166">
        <v>3</v>
      </c>
      <c r="O166">
        <v>3</v>
      </c>
      <c r="P166">
        <v>4</v>
      </c>
      <c r="Q166">
        <v>2</v>
      </c>
      <c r="R166">
        <v>47</v>
      </c>
      <c r="S166">
        <v>36</v>
      </c>
      <c r="T166">
        <v>36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36</v>
      </c>
      <c r="AB166">
        <v>6</v>
      </c>
      <c r="AC166">
        <v>0</v>
      </c>
      <c r="AF166" t="s">
        <v>130</v>
      </c>
      <c r="AH166">
        <v>89</v>
      </c>
    </row>
    <row r="167" spans="1:34" x14ac:dyDescent="0.3">
      <c r="A167" s="4">
        <v>217</v>
      </c>
      <c r="B167" s="5">
        <v>160</v>
      </c>
      <c r="C167">
        <v>1679</v>
      </c>
      <c r="D167" t="s">
        <v>11912</v>
      </c>
      <c r="E167" t="s">
        <v>406</v>
      </c>
      <c r="F167" t="s">
        <v>570</v>
      </c>
      <c r="G167" t="s">
        <v>18738</v>
      </c>
      <c r="H167">
        <v>20.95</v>
      </c>
      <c r="I167">
        <v>0</v>
      </c>
      <c r="J167">
        <v>0</v>
      </c>
      <c r="K167">
        <v>20</v>
      </c>
      <c r="L167">
        <v>7</v>
      </c>
      <c r="O167">
        <v>7</v>
      </c>
      <c r="P167">
        <v>4</v>
      </c>
      <c r="Q167">
        <v>2</v>
      </c>
      <c r="R167">
        <v>53.95</v>
      </c>
      <c r="S167">
        <v>35</v>
      </c>
      <c r="T167">
        <v>35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35</v>
      </c>
      <c r="AB167">
        <v>0</v>
      </c>
      <c r="AC167">
        <v>0</v>
      </c>
      <c r="AF167" t="s">
        <v>130</v>
      </c>
      <c r="AH167">
        <v>88.95</v>
      </c>
    </row>
    <row r="168" spans="1:34" x14ac:dyDescent="0.3">
      <c r="A168" s="4">
        <v>220</v>
      </c>
      <c r="B168" s="5">
        <v>161</v>
      </c>
      <c r="C168">
        <v>1618</v>
      </c>
      <c r="D168" t="s">
        <v>18739</v>
      </c>
      <c r="E168" t="s">
        <v>400</v>
      </c>
      <c r="F168" t="s">
        <v>6828</v>
      </c>
      <c r="G168" t="s">
        <v>18740</v>
      </c>
      <c r="H168">
        <v>16.88</v>
      </c>
      <c r="I168">
        <v>0</v>
      </c>
      <c r="J168">
        <v>0</v>
      </c>
      <c r="K168">
        <v>20</v>
      </c>
      <c r="L168">
        <v>7</v>
      </c>
      <c r="N168">
        <v>3</v>
      </c>
      <c r="O168">
        <v>10</v>
      </c>
      <c r="P168">
        <v>4</v>
      </c>
      <c r="Q168">
        <v>2</v>
      </c>
      <c r="R168">
        <v>52.88</v>
      </c>
      <c r="S168">
        <v>36</v>
      </c>
      <c r="T168">
        <v>36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36</v>
      </c>
      <c r="AB168">
        <v>0</v>
      </c>
      <c r="AC168">
        <v>0</v>
      </c>
      <c r="AF168" t="s">
        <v>130</v>
      </c>
      <c r="AH168">
        <v>88.88</v>
      </c>
    </row>
    <row r="169" spans="1:34" x14ac:dyDescent="0.3">
      <c r="A169" s="4">
        <v>221</v>
      </c>
      <c r="B169" s="5">
        <v>162</v>
      </c>
      <c r="C169">
        <v>5463</v>
      </c>
      <c r="D169" t="s">
        <v>18741</v>
      </c>
      <c r="E169" t="s">
        <v>97</v>
      </c>
      <c r="F169" t="s">
        <v>18742</v>
      </c>
      <c r="G169" t="s">
        <v>18743</v>
      </c>
      <c r="H169">
        <v>19.829999999999998</v>
      </c>
      <c r="I169">
        <v>0</v>
      </c>
      <c r="J169">
        <v>0</v>
      </c>
      <c r="K169">
        <v>20</v>
      </c>
      <c r="L169">
        <v>7</v>
      </c>
      <c r="O169">
        <v>7</v>
      </c>
      <c r="P169">
        <v>4</v>
      </c>
      <c r="Q169">
        <v>2</v>
      </c>
      <c r="R169">
        <v>52.83</v>
      </c>
      <c r="S169">
        <v>33</v>
      </c>
      <c r="T169">
        <v>33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33</v>
      </c>
      <c r="AB169">
        <v>3</v>
      </c>
      <c r="AC169">
        <v>0</v>
      </c>
      <c r="AF169" t="s">
        <v>130</v>
      </c>
      <c r="AH169">
        <v>88.83</v>
      </c>
    </row>
    <row r="170" spans="1:34" x14ac:dyDescent="0.3">
      <c r="A170" s="4">
        <v>223</v>
      </c>
      <c r="B170" s="5">
        <v>163</v>
      </c>
      <c r="C170">
        <v>2867</v>
      </c>
      <c r="D170" t="s">
        <v>4186</v>
      </c>
      <c r="E170" t="s">
        <v>636</v>
      </c>
      <c r="F170" t="s">
        <v>17</v>
      </c>
      <c r="G170" t="s">
        <v>18745</v>
      </c>
      <c r="H170">
        <v>17.75</v>
      </c>
      <c r="I170">
        <v>0</v>
      </c>
      <c r="J170">
        <v>0</v>
      </c>
      <c r="K170">
        <v>20</v>
      </c>
      <c r="N170">
        <v>3</v>
      </c>
      <c r="O170">
        <v>3</v>
      </c>
      <c r="P170">
        <v>4</v>
      </c>
      <c r="Q170">
        <v>2</v>
      </c>
      <c r="R170">
        <v>46.75</v>
      </c>
      <c r="S170">
        <v>36</v>
      </c>
      <c r="T170">
        <v>36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36</v>
      </c>
      <c r="AB170">
        <v>6</v>
      </c>
      <c r="AC170">
        <v>0</v>
      </c>
      <c r="AF170" t="s">
        <v>130</v>
      </c>
      <c r="AH170">
        <v>88.75</v>
      </c>
    </row>
    <row r="171" spans="1:34" x14ac:dyDescent="0.3">
      <c r="A171" s="4">
        <v>224</v>
      </c>
      <c r="B171" s="5">
        <v>164</v>
      </c>
      <c r="C171">
        <v>13450</v>
      </c>
      <c r="D171" t="s">
        <v>4308</v>
      </c>
      <c r="E171" t="s">
        <v>29</v>
      </c>
      <c r="F171" t="s">
        <v>17</v>
      </c>
      <c r="G171" t="s">
        <v>18746</v>
      </c>
      <c r="H171">
        <v>19.75</v>
      </c>
      <c r="I171">
        <v>0</v>
      </c>
      <c r="J171">
        <v>0</v>
      </c>
      <c r="K171">
        <v>0</v>
      </c>
      <c r="N171">
        <v>3</v>
      </c>
      <c r="O171">
        <v>3</v>
      </c>
      <c r="P171">
        <v>4</v>
      </c>
      <c r="Q171">
        <v>2</v>
      </c>
      <c r="R171">
        <v>28.75</v>
      </c>
      <c r="S171">
        <v>54</v>
      </c>
      <c r="T171">
        <v>54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54</v>
      </c>
      <c r="AB171">
        <v>6</v>
      </c>
      <c r="AC171">
        <v>0</v>
      </c>
      <c r="AF171" t="s">
        <v>130</v>
      </c>
      <c r="AH171">
        <v>88.75</v>
      </c>
    </row>
    <row r="172" spans="1:34" x14ac:dyDescent="0.3">
      <c r="A172" s="4">
        <v>225</v>
      </c>
      <c r="B172" s="5">
        <v>165</v>
      </c>
      <c r="C172">
        <v>4457</v>
      </c>
      <c r="D172" t="s">
        <v>1240</v>
      </c>
      <c r="E172" t="s">
        <v>110</v>
      </c>
      <c r="F172" t="s">
        <v>442</v>
      </c>
      <c r="G172" t="s">
        <v>18747</v>
      </c>
      <c r="H172">
        <v>18.63</v>
      </c>
      <c r="I172">
        <v>0</v>
      </c>
      <c r="J172">
        <v>0</v>
      </c>
      <c r="K172">
        <v>20</v>
      </c>
      <c r="L172">
        <v>7</v>
      </c>
      <c r="O172">
        <v>7</v>
      </c>
      <c r="P172">
        <v>4</v>
      </c>
      <c r="Q172">
        <v>2</v>
      </c>
      <c r="R172">
        <v>51.63</v>
      </c>
      <c r="S172">
        <v>37</v>
      </c>
      <c r="T172">
        <v>37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37</v>
      </c>
      <c r="AB172">
        <v>0</v>
      </c>
      <c r="AC172">
        <v>0</v>
      </c>
      <c r="AF172" t="s">
        <v>130</v>
      </c>
      <c r="AH172">
        <v>88.63</v>
      </c>
    </row>
    <row r="173" spans="1:34" x14ac:dyDescent="0.3">
      <c r="A173" s="4">
        <v>226</v>
      </c>
      <c r="B173" s="5">
        <v>166</v>
      </c>
      <c r="C173">
        <v>3973</v>
      </c>
      <c r="D173" t="s">
        <v>3266</v>
      </c>
      <c r="E173" t="s">
        <v>37</v>
      </c>
      <c r="F173" t="s">
        <v>38</v>
      </c>
      <c r="G173" t="s">
        <v>18748</v>
      </c>
      <c r="H173">
        <v>17.63</v>
      </c>
      <c r="I173">
        <v>0</v>
      </c>
      <c r="J173">
        <v>0</v>
      </c>
      <c r="K173">
        <v>0</v>
      </c>
      <c r="L173">
        <v>7</v>
      </c>
      <c r="O173">
        <v>7</v>
      </c>
      <c r="P173">
        <v>4</v>
      </c>
      <c r="Q173">
        <v>2</v>
      </c>
      <c r="R173">
        <v>30.63</v>
      </c>
      <c r="S173">
        <v>58</v>
      </c>
      <c r="T173">
        <v>58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58</v>
      </c>
      <c r="AB173">
        <v>0</v>
      </c>
      <c r="AC173">
        <v>0</v>
      </c>
      <c r="AF173" t="s">
        <v>130</v>
      </c>
      <c r="AH173">
        <v>88.63</v>
      </c>
    </row>
    <row r="174" spans="1:34" x14ac:dyDescent="0.3">
      <c r="A174" s="4">
        <v>227</v>
      </c>
      <c r="B174" s="5">
        <v>167</v>
      </c>
      <c r="C174">
        <v>12679</v>
      </c>
      <c r="D174" t="s">
        <v>18749</v>
      </c>
      <c r="E174" t="s">
        <v>259</v>
      </c>
      <c r="F174" t="s">
        <v>52</v>
      </c>
      <c r="G174" t="s">
        <v>18750</v>
      </c>
      <c r="H174">
        <v>16.399999999999999</v>
      </c>
      <c r="I174">
        <v>0</v>
      </c>
      <c r="J174">
        <v>0</v>
      </c>
      <c r="K174">
        <v>0</v>
      </c>
      <c r="N174">
        <v>3</v>
      </c>
      <c r="O174">
        <v>3</v>
      </c>
      <c r="P174">
        <v>4</v>
      </c>
      <c r="Q174">
        <v>0</v>
      </c>
      <c r="R174">
        <v>23.4</v>
      </c>
      <c r="S174">
        <v>62</v>
      </c>
      <c r="T174">
        <v>62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62</v>
      </c>
      <c r="AB174">
        <v>3</v>
      </c>
      <c r="AC174">
        <v>0</v>
      </c>
      <c r="AF174" t="s">
        <v>130</v>
      </c>
      <c r="AH174">
        <v>88.4</v>
      </c>
    </row>
    <row r="175" spans="1:34" x14ac:dyDescent="0.3">
      <c r="A175" s="4">
        <v>228</v>
      </c>
      <c r="B175" s="5">
        <v>168</v>
      </c>
      <c r="C175">
        <v>1286</v>
      </c>
      <c r="D175" t="s">
        <v>8837</v>
      </c>
      <c r="E175" t="s">
        <v>68</v>
      </c>
      <c r="F175" t="s">
        <v>91</v>
      </c>
      <c r="G175" t="s">
        <v>18751</v>
      </c>
      <c r="H175">
        <v>19.350000000000001</v>
      </c>
      <c r="I175">
        <v>0</v>
      </c>
      <c r="J175">
        <v>0</v>
      </c>
      <c r="K175">
        <v>0</v>
      </c>
      <c r="O175">
        <v>0</v>
      </c>
      <c r="P175">
        <v>4</v>
      </c>
      <c r="Q175">
        <v>0</v>
      </c>
      <c r="R175">
        <v>23.35</v>
      </c>
      <c r="S175">
        <v>45</v>
      </c>
      <c r="T175">
        <v>45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45</v>
      </c>
      <c r="AB175">
        <v>0</v>
      </c>
      <c r="AC175">
        <v>20</v>
      </c>
      <c r="AD175" t="s">
        <v>130</v>
      </c>
      <c r="AF175" t="s">
        <v>130</v>
      </c>
      <c r="AH175">
        <v>88.35</v>
      </c>
    </row>
    <row r="176" spans="1:34" x14ac:dyDescent="0.3">
      <c r="A176" s="4">
        <v>229</v>
      </c>
      <c r="B176" s="5">
        <v>169</v>
      </c>
      <c r="C176">
        <v>7229</v>
      </c>
      <c r="D176" t="s">
        <v>6738</v>
      </c>
      <c r="E176" t="s">
        <v>97</v>
      </c>
      <c r="F176" t="s">
        <v>124</v>
      </c>
      <c r="G176" t="s">
        <v>18752</v>
      </c>
      <c r="H176">
        <v>19.350000000000001</v>
      </c>
      <c r="I176">
        <v>0</v>
      </c>
      <c r="J176">
        <v>0</v>
      </c>
      <c r="K176">
        <v>20</v>
      </c>
      <c r="N176">
        <v>3</v>
      </c>
      <c r="O176">
        <v>3</v>
      </c>
      <c r="P176">
        <v>4</v>
      </c>
      <c r="Q176">
        <v>2</v>
      </c>
      <c r="R176">
        <v>48.35</v>
      </c>
      <c r="S176">
        <v>37</v>
      </c>
      <c r="T176">
        <v>37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37</v>
      </c>
      <c r="AB176">
        <v>3</v>
      </c>
      <c r="AC176">
        <v>0</v>
      </c>
      <c r="AD176" t="s">
        <v>130</v>
      </c>
      <c r="AF176" t="s">
        <v>130</v>
      </c>
      <c r="AH176">
        <v>88.35</v>
      </c>
    </row>
    <row r="177" spans="1:34" x14ac:dyDescent="0.3">
      <c r="A177" s="4">
        <v>231</v>
      </c>
      <c r="B177" s="5">
        <v>170</v>
      </c>
      <c r="C177">
        <v>2877</v>
      </c>
      <c r="D177" t="s">
        <v>434</v>
      </c>
      <c r="E177" t="s">
        <v>132</v>
      </c>
      <c r="F177" t="s">
        <v>17</v>
      </c>
      <c r="G177" t="s">
        <v>18753</v>
      </c>
      <c r="H177">
        <v>18.25</v>
      </c>
      <c r="I177">
        <v>0</v>
      </c>
      <c r="J177">
        <v>0</v>
      </c>
      <c r="K177">
        <v>0</v>
      </c>
      <c r="N177">
        <v>3</v>
      </c>
      <c r="O177">
        <v>3</v>
      </c>
      <c r="P177">
        <v>4</v>
      </c>
      <c r="Q177">
        <v>2</v>
      </c>
      <c r="R177">
        <v>27.25</v>
      </c>
      <c r="S177">
        <v>61</v>
      </c>
      <c r="T177">
        <v>61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61</v>
      </c>
      <c r="AB177">
        <v>0</v>
      </c>
      <c r="AC177">
        <v>0</v>
      </c>
      <c r="AF177" t="s">
        <v>130</v>
      </c>
      <c r="AH177">
        <v>88.25</v>
      </c>
    </row>
    <row r="178" spans="1:34" x14ac:dyDescent="0.3">
      <c r="A178" s="4">
        <v>232</v>
      </c>
      <c r="B178" s="5">
        <v>171</v>
      </c>
      <c r="C178">
        <v>2327</v>
      </c>
      <c r="D178" t="s">
        <v>7731</v>
      </c>
      <c r="E178" t="s">
        <v>1387</v>
      </c>
      <c r="F178" t="s">
        <v>81</v>
      </c>
      <c r="G178" t="s">
        <v>18754</v>
      </c>
      <c r="H178">
        <v>17.149999999999999</v>
      </c>
      <c r="I178">
        <v>0</v>
      </c>
      <c r="J178">
        <v>0</v>
      </c>
      <c r="K178">
        <v>0</v>
      </c>
      <c r="O178">
        <v>0</v>
      </c>
      <c r="P178">
        <v>4</v>
      </c>
      <c r="Q178">
        <v>2</v>
      </c>
      <c r="R178">
        <v>23.15</v>
      </c>
      <c r="S178">
        <v>62</v>
      </c>
      <c r="T178">
        <v>62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62</v>
      </c>
      <c r="AB178">
        <v>3</v>
      </c>
      <c r="AC178">
        <v>0</v>
      </c>
      <c r="AF178" t="s">
        <v>130</v>
      </c>
      <c r="AH178">
        <v>88.15</v>
      </c>
    </row>
    <row r="179" spans="1:34" x14ac:dyDescent="0.3">
      <c r="A179" s="4">
        <v>234</v>
      </c>
      <c r="B179" s="5">
        <v>172</v>
      </c>
      <c r="C179">
        <v>8988</v>
      </c>
      <c r="D179" t="s">
        <v>18755</v>
      </c>
      <c r="E179" t="s">
        <v>12921</v>
      </c>
      <c r="F179" t="s">
        <v>5698</v>
      </c>
      <c r="G179" t="s">
        <v>18756</v>
      </c>
      <c r="H179">
        <v>21.05</v>
      </c>
      <c r="I179">
        <v>0</v>
      </c>
      <c r="J179">
        <v>0</v>
      </c>
      <c r="K179">
        <v>20</v>
      </c>
      <c r="N179">
        <v>3</v>
      </c>
      <c r="O179">
        <v>3</v>
      </c>
      <c r="P179">
        <v>4</v>
      </c>
      <c r="Q179">
        <v>2</v>
      </c>
      <c r="R179">
        <v>50.05</v>
      </c>
      <c r="S179">
        <v>35</v>
      </c>
      <c r="T179">
        <v>35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35</v>
      </c>
      <c r="AB179">
        <v>3</v>
      </c>
      <c r="AC179">
        <v>0</v>
      </c>
      <c r="AF179" t="s">
        <v>130</v>
      </c>
      <c r="AH179">
        <v>88.05</v>
      </c>
    </row>
    <row r="180" spans="1:34" x14ac:dyDescent="0.3">
      <c r="A180" s="4">
        <v>235</v>
      </c>
      <c r="B180" s="5">
        <v>173</v>
      </c>
      <c r="C180">
        <v>7819</v>
      </c>
      <c r="D180" t="s">
        <v>15147</v>
      </c>
      <c r="E180" t="s">
        <v>29</v>
      </c>
      <c r="F180" t="s">
        <v>190</v>
      </c>
      <c r="G180" t="s">
        <v>18757</v>
      </c>
      <c r="H180">
        <v>21.9</v>
      </c>
      <c r="I180">
        <v>0</v>
      </c>
      <c r="J180">
        <v>0</v>
      </c>
      <c r="K180">
        <v>0</v>
      </c>
      <c r="N180">
        <v>3</v>
      </c>
      <c r="O180">
        <v>3</v>
      </c>
      <c r="P180">
        <v>4</v>
      </c>
      <c r="Q180">
        <v>2</v>
      </c>
      <c r="R180">
        <v>30.9</v>
      </c>
      <c r="S180">
        <v>54</v>
      </c>
      <c r="T180">
        <v>54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54</v>
      </c>
      <c r="AB180">
        <v>3</v>
      </c>
      <c r="AC180">
        <v>0</v>
      </c>
      <c r="AF180" t="s">
        <v>130</v>
      </c>
      <c r="AH180">
        <v>87.9</v>
      </c>
    </row>
    <row r="181" spans="1:34" x14ac:dyDescent="0.3">
      <c r="A181" s="4">
        <v>237</v>
      </c>
      <c r="B181" s="5">
        <v>174</v>
      </c>
      <c r="C181">
        <v>3717</v>
      </c>
      <c r="D181" t="s">
        <v>831</v>
      </c>
      <c r="E181" t="s">
        <v>88</v>
      </c>
      <c r="F181" t="s">
        <v>20</v>
      </c>
      <c r="G181" t="s">
        <v>18758</v>
      </c>
      <c r="H181">
        <v>18.78</v>
      </c>
      <c r="I181">
        <v>0</v>
      </c>
      <c r="J181">
        <v>0</v>
      </c>
      <c r="K181">
        <v>0</v>
      </c>
      <c r="N181">
        <v>6</v>
      </c>
      <c r="O181">
        <v>6</v>
      </c>
      <c r="P181">
        <v>4</v>
      </c>
      <c r="Q181">
        <v>2</v>
      </c>
      <c r="R181">
        <v>30.78</v>
      </c>
      <c r="S181">
        <v>54</v>
      </c>
      <c r="T181">
        <v>54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54</v>
      </c>
      <c r="AB181">
        <v>3</v>
      </c>
      <c r="AC181">
        <v>0</v>
      </c>
      <c r="AF181" t="s">
        <v>130</v>
      </c>
      <c r="AH181">
        <v>87.78</v>
      </c>
    </row>
    <row r="182" spans="1:34" x14ac:dyDescent="0.3">
      <c r="A182" s="4">
        <v>238</v>
      </c>
      <c r="B182" s="5">
        <v>175</v>
      </c>
      <c r="C182">
        <v>1469</v>
      </c>
      <c r="D182" t="s">
        <v>18759</v>
      </c>
      <c r="E182" t="s">
        <v>136</v>
      </c>
      <c r="F182" t="s">
        <v>124</v>
      </c>
      <c r="G182" t="s">
        <v>18760</v>
      </c>
      <c r="H182">
        <v>19.7</v>
      </c>
      <c r="I182">
        <v>0</v>
      </c>
      <c r="J182">
        <v>0</v>
      </c>
      <c r="K182">
        <v>20</v>
      </c>
      <c r="L182">
        <v>7</v>
      </c>
      <c r="O182">
        <v>7</v>
      </c>
      <c r="P182">
        <v>4</v>
      </c>
      <c r="Q182">
        <v>2</v>
      </c>
      <c r="R182">
        <v>52.7</v>
      </c>
      <c r="S182">
        <v>35</v>
      </c>
      <c r="T182">
        <v>35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35</v>
      </c>
      <c r="AB182">
        <v>0</v>
      </c>
      <c r="AC182">
        <v>0</v>
      </c>
      <c r="AF182" t="s">
        <v>130</v>
      </c>
      <c r="AH182">
        <v>87.7</v>
      </c>
    </row>
    <row r="183" spans="1:34" x14ac:dyDescent="0.3">
      <c r="A183" s="4">
        <v>239</v>
      </c>
      <c r="B183" s="5">
        <v>176</v>
      </c>
      <c r="C183">
        <v>778</v>
      </c>
      <c r="D183" t="s">
        <v>11529</v>
      </c>
      <c r="E183" t="s">
        <v>41</v>
      </c>
      <c r="F183" t="s">
        <v>20</v>
      </c>
      <c r="G183" t="s">
        <v>18761</v>
      </c>
      <c r="H183">
        <v>18.55</v>
      </c>
      <c r="I183">
        <v>0</v>
      </c>
      <c r="J183">
        <v>0</v>
      </c>
      <c r="K183">
        <v>20</v>
      </c>
      <c r="L183">
        <v>7</v>
      </c>
      <c r="O183">
        <v>7</v>
      </c>
      <c r="P183">
        <v>4</v>
      </c>
      <c r="Q183">
        <v>2</v>
      </c>
      <c r="R183">
        <v>51.55</v>
      </c>
      <c r="S183">
        <v>36</v>
      </c>
      <c r="T183">
        <v>36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36</v>
      </c>
      <c r="AB183">
        <v>0</v>
      </c>
      <c r="AC183">
        <v>0</v>
      </c>
      <c r="AD183" t="s">
        <v>130</v>
      </c>
      <c r="AF183" t="s">
        <v>130</v>
      </c>
      <c r="AH183">
        <v>87.55</v>
      </c>
    </row>
    <row r="184" spans="1:34" x14ac:dyDescent="0.3">
      <c r="A184" s="6">
        <v>240</v>
      </c>
      <c r="B184" s="5">
        <v>177</v>
      </c>
      <c r="C184" s="1">
        <v>13574</v>
      </c>
      <c r="D184" s="1" t="s">
        <v>4893</v>
      </c>
      <c r="E184" s="1" t="s">
        <v>182</v>
      </c>
      <c r="F184" s="1" t="s">
        <v>972</v>
      </c>
      <c r="G184" s="1" t="s">
        <v>18762</v>
      </c>
      <c r="H184" s="1">
        <v>19.5</v>
      </c>
      <c r="I184" s="1">
        <v>0</v>
      </c>
      <c r="J184" s="1">
        <v>0</v>
      </c>
      <c r="K184" s="1">
        <v>20</v>
      </c>
      <c r="L184" s="1"/>
      <c r="M184" s="1"/>
      <c r="N184" s="1">
        <v>3</v>
      </c>
      <c r="O184" s="1">
        <v>3</v>
      </c>
      <c r="P184" s="1">
        <v>4</v>
      </c>
      <c r="Q184" s="1">
        <v>2</v>
      </c>
      <c r="R184" s="1">
        <v>48.5</v>
      </c>
      <c r="S184" s="1">
        <v>39</v>
      </c>
      <c r="T184" s="1">
        <v>39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39</v>
      </c>
      <c r="AB184" s="1">
        <v>0</v>
      </c>
      <c r="AC184" s="1">
        <v>0</v>
      </c>
      <c r="AD184" s="1" t="s">
        <v>130</v>
      </c>
      <c r="AE184" s="1"/>
      <c r="AF184" s="1" t="s">
        <v>130</v>
      </c>
      <c r="AG184" s="1"/>
      <c r="AH184" s="1">
        <v>87.5</v>
      </c>
    </row>
    <row r="185" spans="1:34" x14ac:dyDescent="0.3">
      <c r="A185" s="4">
        <v>241</v>
      </c>
      <c r="B185" s="5">
        <v>178</v>
      </c>
      <c r="C185">
        <v>8580</v>
      </c>
      <c r="D185" t="s">
        <v>9064</v>
      </c>
      <c r="E185" t="s">
        <v>115</v>
      </c>
      <c r="F185" t="s">
        <v>38</v>
      </c>
      <c r="G185" t="s">
        <v>18763</v>
      </c>
      <c r="H185">
        <v>20.48</v>
      </c>
      <c r="I185">
        <v>0</v>
      </c>
      <c r="J185">
        <v>0</v>
      </c>
      <c r="K185">
        <v>20</v>
      </c>
      <c r="L185">
        <v>7</v>
      </c>
      <c r="O185">
        <v>7</v>
      </c>
      <c r="P185">
        <v>4</v>
      </c>
      <c r="Q185">
        <v>2</v>
      </c>
      <c r="R185">
        <v>53.48</v>
      </c>
      <c r="S185">
        <v>34</v>
      </c>
      <c r="T185">
        <v>34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34</v>
      </c>
      <c r="AB185">
        <v>0</v>
      </c>
      <c r="AC185">
        <v>0</v>
      </c>
      <c r="AD185" t="s">
        <v>130</v>
      </c>
      <c r="AF185" t="s">
        <v>130</v>
      </c>
      <c r="AH185">
        <v>87.48</v>
      </c>
    </row>
    <row r="186" spans="1:34" x14ac:dyDescent="0.3">
      <c r="A186" s="4">
        <v>242</v>
      </c>
      <c r="B186" s="5">
        <v>179</v>
      </c>
      <c r="C186">
        <v>11838</v>
      </c>
      <c r="D186" t="s">
        <v>18764</v>
      </c>
      <c r="E186" t="s">
        <v>3120</v>
      </c>
      <c r="F186" t="s">
        <v>30</v>
      </c>
      <c r="G186" t="s">
        <v>18765</v>
      </c>
      <c r="H186">
        <v>18.28</v>
      </c>
      <c r="I186">
        <v>0</v>
      </c>
      <c r="J186">
        <v>0</v>
      </c>
      <c r="K186">
        <v>20</v>
      </c>
      <c r="N186">
        <v>3</v>
      </c>
      <c r="O186">
        <v>3</v>
      </c>
      <c r="P186">
        <v>4</v>
      </c>
      <c r="Q186">
        <v>0</v>
      </c>
      <c r="R186">
        <v>45.28</v>
      </c>
      <c r="S186">
        <v>42</v>
      </c>
      <c r="T186">
        <v>42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42</v>
      </c>
      <c r="AB186">
        <v>0</v>
      </c>
      <c r="AC186">
        <v>0</v>
      </c>
      <c r="AF186" t="s">
        <v>130</v>
      </c>
      <c r="AH186">
        <v>87.28</v>
      </c>
    </row>
    <row r="187" spans="1:34" x14ac:dyDescent="0.3">
      <c r="A187" s="4">
        <v>245</v>
      </c>
      <c r="B187" s="5">
        <v>180</v>
      </c>
      <c r="C187">
        <v>713</v>
      </c>
      <c r="D187" t="s">
        <v>18766</v>
      </c>
      <c r="E187" t="s">
        <v>62</v>
      </c>
      <c r="F187" t="s">
        <v>1023</v>
      </c>
      <c r="G187" t="s">
        <v>18767</v>
      </c>
      <c r="H187">
        <v>17.18</v>
      </c>
      <c r="I187">
        <v>0</v>
      </c>
      <c r="J187">
        <v>0</v>
      </c>
      <c r="K187">
        <v>28</v>
      </c>
      <c r="L187">
        <v>7</v>
      </c>
      <c r="O187">
        <v>7</v>
      </c>
      <c r="P187">
        <v>4</v>
      </c>
      <c r="Q187">
        <v>0</v>
      </c>
      <c r="R187">
        <v>56.18</v>
      </c>
      <c r="S187">
        <v>28</v>
      </c>
      <c r="T187">
        <v>28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28</v>
      </c>
      <c r="AB187">
        <v>3</v>
      </c>
      <c r="AC187">
        <v>0</v>
      </c>
      <c r="AF187" t="s">
        <v>130</v>
      </c>
      <c r="AH187">
        <v>87.18</v>
      </c>
    </row>
    <row r="188" spans="1:34" x14ac:dyDescent="0.3">
      <c r="A188" s="4">
        <v>246</v>
      </c>
      <c r="B188" s="5">
        <v>181</v>
      </c>
      <c r="C188">
        <v>11775</v>
      </c>
      <c r="D188" t="s">
        <v>18768</v>
      </c>
      <c r="E188" t="s">
        <v>18769</v>
      </c>
      <c r="F188" t="s">
        <v>7183</v>
      </c>
      <c r="G188" t="s">
        <v>18770</v>
      </c>
      <c r="H188">
        <v>16.13</v>
      </c>
      <c r="I188">
        <v>0</v>
      </c>
      <c r="J188">
        <v>0</v>
      </c>
      <c r="K188">
        <v>20</v>
      </c>
      <c r="L188">
        <v>14</v>
      </c>
      <c r="O188">
        <v>14</v>
      </c>
      <c r="P188">
        <v>4</v>
      </c>
      <c r="Q188">
        <v>2</v>
      </c>
      <c r="R188">
        <v>56.13</v>
      </c>
      <c r="S188">
        <v>31</v>
      </c>
      <c r="T188">
        <v>31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31</v>
      </c>
      <c r="AB188">
        <v>0</v>
      </c>
      <c r="AC188">
        <v>0</v>
      </c>
      <c r="AD188" t="s">
        <v>130</v>
      </c>
      <c r="AF188" t="s">
        <v>130</v>
      </c>
      <c r="AH188">
        <v>87.13</v>
      </c>
    </row>
    <row r="189" spans="1:34" x14ac:dyDescent="0.3">
      <c r="A189" s="4">
        <v>247</v>
      </c>
      <c r="B189" s="5">
        <v>182</v>
      </c>
      <c r="C189">
        <v>894</v>
      </c>
      <c r="D189" t="s">
        <v>1752</v>
      </c>
      <c r="E189" t="s">
        <v>161</v>
      </c>
      <c r="F189" t="s">
        <v>442</v>
      </c>
      <c r="G189" t="s">
        <v>18771</v>
      </c>
      <c r="H189">
        <v>19.079999999999998</v>
      </c>
      <c r="I189">
        <v>0</v>
      </c>
      <c r="J189">
        <v>0</v>
      </c>
      <c r="K189">
        <v>20</v>
      </c>
      <c r="N189">
        <v>3</v>
      </c>
      <c r="O189">
        <v>3</v>
      </c>
      <c r="P189">
        <v>4</v>
      </c>
      <c r="Q189">
        <v>2</v>
      </c>
      <c r="R189">
        <v>48.08</v>
      </c>
      <c r="S189">
        <v>33</v>
      </c>
      <c r="T189">
        <v>33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33</v>
      </c>
      <c r="AB189">
        <v>6</v>
      </c>
      <c r="AC189">
        <v>0</v>
      </c>
      <c r="AF189" t="s">
        <v>130</v>
      </c>
      <c r="AH189">
        <v>87.08</v>
      </c>
    </row>
    <row r="190" spans="1:34" x14ac:dyDescent="0.3">
      <c r="A190" s="4">
        <v>248</v>
      </c>
      <c r="B190" s="5">
        <v>183</v>
      </c>
      <c r="C190">
        <v>5152</v>
      </c>
      <c r="D190" t="s">
        <v>18772</v>
      </c>
      <c r="E190" t="s">
        <v>178</v>
      </c>
      <c r="F190" t="s">
        <v>230</v>
      </c>
      <c r="G190" t="s">
        <v>18773</v>
      </c>
      <c r="H190">
        <v>19.05</v>
      </c>
      <c r="I190">
        <v>0</v>
      </c>
      <c r="J190">
        <v>0</v>
      </c>
      <c r="K190">
        <v>20</v>
      </c>
      <c r="L190">
        <v>7</v>
      </c>
      <c r="O190">
        <v>7</v>
      </c>
      <c r="P190">
        <v>4</v>
      </c>
      <c r="Q190">
        <v>2</v>
      </c>
      <c r="R190">
        <v>52.05</v>
      </c>
      <c r="S190">
        <v>35</v>
      </c>
      <c r="T190">
        <v>35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35</v>
      </c>
      <c r="AB190">
        <v>0</v>
      </c>
      <c r="AC190">
        <v>0</v>
      </c>
      <c r="AF190" t="s">
        <v>130</v>
      </c>
      <c r="AH190">
        <v>87.05</v>
      </c>
    </row>
    <row r="191" spans="1:34" x14ac:dyDescent="0.3">
      <c r="A191" s="4">
        <v>249</v>
      </c>
      <c r="B191" s="5">
        <v>184</v>
      </c>
      <c r="C191">
        <v>3453</v>
      </c>
      <c r="D191" t="s">
        <v>11006</v>
      </c>
      <c r="E191" t="s">
        <v>26</v>
      </c>
      <c r="F191" t="s">
        <v>158</v>
      </c>
      <c r="G191" t="s">
        <v>18774</v>
      </c>
      <c r="H191">
        <v>21.05</v>
      </c>
      <c r="I191">
        <v>0</v>
      </c>
      <c r="J191">
        <v>0</v>
      </c>
      <c r="K191">
        <v>20</v>
      </c>
      <c r="N191">
        <v>3</v>
      </c>
      <c r="O191">
        <v>3</v>
      </c>
      <c r="P191">
        <v>4</v>
      </c>
      <c r="Q191">
        <v>2</v>
      </c>
      <c r="R191">
        <v>50.05</v>
      </c>
      <c r="S191">
        <v>37</v>
      </c>
      <c r="T191">
        <v>37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37</v>
      </c>
      <c r="AB191">
        <v>0</v>
      </c>
      <c r="AC191">
        <v>0</v>
      </c>
      <c r="AF191" t="s">
        <v>130</v>
      </c>
      <c r="AH191">
        <v>87.05</v>
      </c>
    </row>
    <row r="192" spans="1:34" x14ac:dyDescent="0.3">
      <c r="A192" s="4">
        <v>251</v>
      </c>
      <c r="B192" s="5">
        <v>185</v>
      </c>
      <c r="C192">
        <v>11190</v>
      </c>
      <c r="D192" t="s">
        <v>18775</v>
      </c>
      <c r="E192" t="s">
        <v>7022</v>
      </c>
      <c r="F192" t="s">
        <v>158</v>
      </c>
      <c r="G192" t="s">
        <v>18776</v>
      </c>
      <c r="H192">
        <v>19.88</v>
      </c>
      <c r="I192">
        <v>0</v>
      </c>
      <c r="J192">
        <v>0</v>
      </c>
      <c r="K192">
        <v>20</v>
      </c>
      <c r="L192">
        <v>7</v>
      </c>
      <c r="O192">
        <v>7</v>
      </c>
      <c r="P192">
        <v>4</v>
      </c>
      <c r="Q192">
        <v>2</v>
      </c>
      <c r="R192">
        <v>52.88</v>
      </c>
      <c r="S192">
        <v>34</v>
      </c>
      <c r="T192">
        <v>34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34</v>
      </c>
      <c r="AB192">
        <v>0</v>
      </c>
      <c r="AC192">
        <v>0</v>
      </c>
      <c r="AF192" t="s">
        <v>130</v>
      </c>
      <c r="AH192">
        <v>86.88</v>
      </c>
    </row>
    <row r="193" spans="1:34" x14ac:dyDescent="0.3">
      <c r="A193" s="4">
        <v>252</v>
      </c>
      <c r="B193" s="5">
        <v>186</v>
      </c>
      <c r="C193">
        <v>3397</v>
      </c>
      <c r="D193" t="s">
        <v>18777</v>
      </c>
      <c r="E193" t="s">
        <v>1053</v>
      </c>
      <c r="F193" t="s">
        <v>117</v>
      </c>
      <c r="G193" t="s">
        <v>18778</v>
      </c>
      <c r="H193">
        <v>17.78</v>
      </c>
      <c r="I193">
        <v>0</v>
      </c>
      <c r="J193">
        <v>0</v>
      </c>
      <c r="K193">
        <v>20</v>
      </c>
      <c r="L193">
        <v>7</v>
      </c>
      <c r="O193">
        <v>7</v>
      </c>
      <c r="P193">
        <v>4</v>
      </c>
      <c r="Q193">
        <v>2</v>
      </c>
      <c r="R193">
        <v>50.78</v>
      </c>
      <c r="S193">
        <v>36</v>
      </c>
      <c r="T193">
        <v>36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36</v>
      </c>
      <c r="AB193">
        <v>0</v>
      </c>
      <c r="AC193">
        <v>0</v>
      </c>
      <c r="AD193" t="s">
        <v>130</v>
      </c>
      <c r="AF193" t="s">
        <v>130</v>
      </c>
      <c r="AH193">
        <v>86.78</v>
      </c>
    </row>
    <row r="194" spans="1:34" x14ac:dyDescent="0.3">
      <c r="A194" s="4">
        <v>254</v>
      </c>
      <c r="B194" s="5">
        <v>187</v>
      </c>
      <c r="C194">
        <v>2873</v>
      </c>
      <c r="D194" t="s">
        <v>18779</v>
      </c>
      <c r="E194" t="s">
        <v>255</v>
      </c>
      <c r="F194" t="s">
        <v>328</v>
      </c>
      <c r="G194" t="s">
        <v>18780</v>
      </c>
      <c r="H194">
        <v>20.73</v>
      </c>
      <c r="I194">
        <v>0</v>
      </c>
      <c r="J194">
        <v>0</v>
      </c>
      <c r="K194">
        <v>0</v>
      </c>
      <c r="L194">
        <v>7</v>
      </c>
      <c r="O194">
        <v>7</v>
      </c>
      <c r="P194">
        <v>4</v>
      </c>
      <c r="Q194">
        <v>2</v>
      </c>
      <c r="R194">
        <v>33.729999999999997</v>
      </c>
      <c r="S194">
        <v>53</v>
      </c>
      <c r="T194">
        <v>53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53</v>
      </c>
      <c r="AB194">
        <v>0</v>
      </c>
      <c r="AC194">
        <v>0</v>
      </c>
      <c r="AF194" t="s">
        <v>130</v>
      </c>
      <c r="AH194">
        <v>86.73</v>
      </c>
    </row>
    <row r="195" spans="1:34" x14ac:dyDescent="0.3">
      <c r="A195" s="4">
        <v>255</v>
      </c>
      <c r="B195" s="5">
        <v>188</v>
      </c>
      <c r="C195">
        <v>2933</v>
      </c>
      <c r="D195" t="s">
        <v>5328</v>
      </c>
      <c r="E195" t="s">
        <v>161</v>
      </c>
      <c r="F195" t="s">
        <v>38</v>
      </c>
      <c r="G195" t="s">
        <v>18781</v>
      </c>
      <c r="H195">
        <v>16.7</v>
      </c>
      <c r="I195">
        <v>0</v>
      </c>
      <c r="J195">
        <v>0</v>
      </c>
      <c r="K195">
        <v>20</v>
      </c>
      <c r="L195">
        <v>7</v>
      </c>
      <c r="N195">
        <v>3</v>
      </c>
      <c r="O195">
        <v>10</v>
      </c>
      <c r="P195">
        <v>4</v>
      </c>
      <c r="Q195">
        <v>2</v>
      </c>
      <c r="R195">
        <v>52.7</v>
      </c>
      <c r="S195">
        <v>34</v>
      </c>
      <c r="T195">
        <v>34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34</v>
      </c>
      <c r="AB195">
        <v>0</v>
      </c>
      <c r="AC195">
        <v>0</v>
      </c>
      <c r="AF195" t="s">
        <v>130</v>
      </c>
      <c r="AH195">
        <v>86.7</v>
      </c>
    </row>
    <row r="196" spans="1:34" x14ac:dyDescent="0.3">
      <c r="A196" s="4">
        <v>256</v>
      </c>
      <c r="B196" s="5">
        <v>189</v>
      </c>
      <c r="C196">
        <v>4014</v>
      </c>
      <c r="D196" t="s">
        <v>18782</v>
      </c>
      <c r="E196" t="s">
        <v>68</v>
      </c>
      <c r="F196" t="s">
        <v>375</v>
      </c>
      <c r="G196" t="s">
        <v>18783</v>
      </c>
      <c r="H196">
        <v>20.68</v>
      </c>
      <c r="I196">
        <v>0</v>
      </c>
      <c r="J196">
        <v>0</v>
      </c>
      <c r="K196">
        <v>20</v>
      </c>
      <c r="N196">
        <v>3</v>
      </c>
      <c r="O196">
        <v>3</v>
      </c>
      <c r="P196">
        <v>4</v>
      </c>
      <c r="Q196">
        <v>2</v>
      </c>
      <c r="R196">
        <v>49.68</v>
      </c>
      <c r="S196">
        <v>37</v>
      </c>
      <c r="T196">
        <v>37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37</v>
      </c>
      <c r="AB196">
        <v>0</v>
      </c>
      <c r="AC196">
        <v>0</v>
      </c>
      <c r="AF196" t="s">
        <v>130</v>
      </c>
      <c r="AH196">
        <v>86.68</v>
      </c>
    </row>
    <row r="197" spans="1:34" x14ac:dyDescent="0.3">
      <c r="A197" s="4">
        <v>257</v>
      </c>
      <c r="B197" s="5">
        <v>190</v>
      </c>
      <c r="C197">
        <v>7018</v>
      </c>
      <c r="D197" t="s">
        <v>4857</v>
      </c>
      <c r="E197" t="s">
        <v>2838</v>
      </c>
      <c r="F197" t="s">
        <v>30</v>
      </c>
      <c r="G197" t="s">
        <v>18784</v>
      </c>
      <c r="H197">
        <v>17.579999999999998</v>
      </c>
      <c r="I197">
        <v>0</v>
      </c>
      <c r="J197">
        <v>0</v>
      </c>
      <c r="K197">
        <v>20</v>
      </c>
      <c r="L197">
        <v>7</v>
      </c>
      <c r="O197">
        <v>7</v>
      </c>
      <c r="P197">
        <v>4</v>
      </c>
      <c r="Q197">
        <v>2</v>
      </c>
      <c r="R197">
        <v>50.58</v>
      </c>
      <c r="S197">
        <v>36</v>
      </c>
      <c r="T197">
        <v>36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36</v>
      </c>
      <c r="AB197">
        <v>0</v>
      </c>
      <c r="AC197">
        <v>0</v>
      </c>
      <c r="AF197" t="s">
        <v>130</v>
      </c>
      <c r="AH197">
        <v>86.58</v>
      </c>
    </row>
    <row r="198" spans="1:34" x14ac:dyDescent="0.3">
      <c r="A198" s="4">
        <v>258</v>
      </c>
      <c r="B198" s="5">
        <v>191</v>
      </c>
      <c r="C198">
        <v>6783</v>
      </c>
      <c r="D198" t="s">
        <v>11016</v>
      </c>
      <c r="E198" t="s">
        <v>88</v>
      </c>
      <c r="F198" t="s">
        <v>136</v>
      </c>
      <c r="G198" t="s">
        <v>18785</v>
      </c>
      <c r="H198">
        <v>16.579999999999998</v>
      </c>
      <c r="I198">
        <v>0</v>
      </c>
      <c r="J198">
        <v>0</v>
      </c>
      <c r="K198">
        <v>20</v>
      </c>
      <c r="N198">
        <v>3</v>
      </c>
      <c r="O198">
        <v>3</v>
      </c>
      <c r="P198">
        <v>4</v>
      </c>
      <c r="Q198">
        <v>0</v>
      </c>
      <c r="R198">
        <v>43.58</v>
      </c>
      <c r="S198">
        <v>43</v>
      </c>
      <c r="T198">
        <v>43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43</v>
      </c>
      <c r="AB198">
        <v>0</v>
      </c>
      <c r="AC198">
        <v>0</v>
      </c>
      <c r="AF198" t="s">
        <v>130</v>
      </c>
      <c r="AH198">
        <v>86.58</v>
      </c>
    </row>
    <row r="199" spans="1:34" x14ac:dyDescent="0.3">
      <c r="A199" s="4">
        <v>259</v>
      </c>
      <c r="B199" s="5">
        <v>192</v>
      </c>
      <c r="C199">
        <v>10302</v>
      </c>
      <c r="D199" t="s">
        <v>18786</v>
      </c>
      <c r="E199" t="s">
        <v>170</v>
      </c>
      <c r="F199" t="s">
        <v>81</v>
      </c>
      <c r="G199" t="s">
        <v>18787</v>
      </c>
      <c r="H199">
        <v>18.53</v>
      </c>
      <c r="I199">
        <v>0</v>
      </c>
      <c r="J199">
        <v>0</v>
      </c>
      <c r="K199">
        <v>20</v>
      </c>
      <c r="N199">
        <v>3</v>
      </c>
      <c r="O199">
        <v>3</v>
      </c>
      <c r="P199">
        <v>4</v>
      </c>
      <c r="Q199">
        <v>2</v>
      </c>
      <c r="R199">
        <v>47.53</v>
      </c>
      <c r="S199">
        <v>36</v>
      </c>
      <c r="T199">
        <v>36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36</v>
      </c>
      <c r="AB199">
        <v>3</v>
      </c>
      <c r="AC199">
        <v>0</v>
      </c>
      <c r="AF199" t="s">
        <v>130</v>
      </c>
      <c r="AH199">
        <v>86.53</v>
      </c>
    </row>
    <row r="200" spans="1:34" x14ac:dyDescent="0.3">
      <c r="A200" s="4">
        <v>262</v>
      </c>
      <c r="B200" s="5">
        <v>193</v>
      </c>
      <c r="C200">
        <v>7973</v>
      </c>
      <c r="D200" t="s">
        <v>18788</v>
      </c>
      <c r="E200" t="s">
        <v>158</v>
      </c>
      <c r="F200" t="s">
        <v>30</v>
      </c>
      <c r="G200" t="s">
        <v>18789</v>
      </c>
      <c r="H200">
        <v>19.45</v>
      </c>
      <c r="I200">
        <v>0</v>
      </c>
      <c r="J200">
        <v>0</v>
      </c>
      <c r="K200">
        <v>20</v>
      </c>
      <c r="N200">
        <v>3</v>
      </c>
      <c r="O200">
        <v>3</v>
      </c>
      <c r="P200">
        <v>4</v>
      </c>
      <c r="Q200">
        <v>2</v>
      </c>
      <c r="R200">
        <v>48.45</v>
      </c>
      <c r="S200">
        <v>35</v>
      </c>
      <c r="T200">
        <v>35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35</v>
      </c>
      <c r="AB200">
        <v>3</v>
      </c>
      <c r="AC200">
        <v>0</v>
      </c>
      <c r="AF200" t="s">
        <v>130</v>
      </c>
      <c r="AH200">
        <v>86.45</v>
      </c>
    </row>
    <row r="201" spans="1:34" x14ac:dyDescent="0.3">
      <c r="A201" s="4">
        <v>264</v>
      </c>
      <c r="B201" s="5">
        <v>194</v>
      </c>
      <c r="C201">
        <v>2945</v>
      </c>
      <c r="D201" t="s">
        <v>2859</v>
      </c>
      <c r="E201" t="s">
        <v>166</v>
      </c>
      <c r="F201" t="s">
        <v>7403</v>
      </c>
      <c r="G201" t="s">
        <v>18790</v>
      </c>
      <c r="H201">
        <v>21.38</v>
      </c>
      <c r="I201">
        <v>0</v>
      </c>
      <c r="J201">
        <v>0</v>
      </c>
      <c r="K201">
        <v>20</v>
      </c>
      <c r="N201">
        <v>3</v>
      </c>
      <c r="O201">
        <v>3</v>
      </c>
      <c r="P201">
        <v>4</v>
      </c>
      <c r="Q201">
        <v>2</v>
      </c>
      <c r="R201">
        <v>50.38</v>
      </c>
      <c r="S201">
        <v>36</v>
      </c>
      <c r="T201">
        <v>36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36</v>
      </c>
      <c r="AB201">
        <v>0</v>
      </c>
      <c r="AC201">
        <v>0</v>
      </c>
      <c r="AF201" t="s">
        <v>130</v>
      </c>
      <c r="AH201">
        <v>86.38</v>
      </c>
    </row>
    <row r="202" spans="1:34" x14ac:dyDescent="0.3">
      <c r="A202" s="4">
        <v>265</v>
      </c>
      <c r="B202" s="5">
        <v>195</v>
      </c>
      <c r="C202">
        <v>2937</v>
      </c>
      <c r="D202" t="s">
        <v>18791</v>
      </c>
      <c r="E202" t="s">
        <v>166</v>
      </c>
      <c r="F202" t="s">
        <v>136</v>
      </c>
      <c r="G202" t="s">
        <v>18792</v>
      </c>
      <c r="H202">
        <v>17.329999999999998</v>
      </c>
      <c r="I202">
        <v>0</v>
      </c>
      <c r="J202">
        <v>0</v>
      </c>
      <c r="K202">
        <v>20</v>
      </c>
      <c r="O202">
        <v>0</v>
      </c>
      <c r="P202">
        <v>4</v>
      </c>
      <c r="Q202">
        <v>0</v>
      </c>
      <c r="R202">
        <v>41.33</v>
      </c>
      <c r="S202">
        <v>45</v>
      </c>
      <c r="T202">
        <v>45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45</v>
      </c>
      <c r="AB202">
        <v>0</v>
      </c>
      <c r="AC202">
        <v>0</v>
      </c>
      <c r="AF202" t="s">
        <v>130</v>
      </c>
      <c r="AH202">
        <v>86.33</v>
      </c>
    </row>
    <row r="203" spans="1:34" x14ac:dyDescent="0.3">
      <c r="A203" s="4">
        <v>266</v>
      </c>
      <c r="B203" s="5">
        <v>196</v>
      </c>
      <c r="C203">
        <v>11664</v>
      </c>
      <c r="D203" t="s">
        <v>18793</v>
      </c>
      <c r="E203" t="s">
        <v>18794</v>
      </c>
      <c r="F203" t="s">
        <v>18795</v>
      </c>
      <c r="G203" t="s">
        <v>18796</v>
      </c>
      <c r="H203">
        <v>17.3</v>
      </c>
      <c r="I203">
        <v>0</v>
      </c>
      <c r="J203">
        <v>0</v>
      </c>
      <c r="K203">
        <v>20</v>
      </c>
      <c r="N203">
        <v>3</v>
      </c>
      <c r="O203">
        <v>3</v>
      </c>
      <c r="P203">
        <v>4</v>
      </c>
      <c r="Q203">
        <v>2</v>
      </c>
      <c r="R203">
        <v>46.3</v>
      </c>
      <c r="S203">
        <v>37</v>
      </c>
      <c r="T203">
        <v>37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37</v>
      </c>
      <c r="AB203">
        <v>3</v>
      </c>
      <c r="AC203">
        <v>0</v>
      </c>
      <c r="AF203" t="s">
        <v>130</v>
      </c>
      <c r="AH203">
        <v>86.3</v>
      </c>
    </row>
    <row r="204" spans="1:34" x14ac:dyDescent="0.3">
      <c r="A204" s="4">
        <v>267</v>
      </c>
      <c r="B204" s="5">
        <v>197</v>
      </c>
      <c r="C204">
        <v>4361</v>
      </c>
      <c r="D204" t="s">
        <v>18797</v>
      </c>
      <c r="E204" t="s">
        <v>54</v>
      </c>
      <c r="F204" t="s">
        <v>136</v>
      </c>
      <c r="G204" t="s">
        <v>18798</v>
      </c>
      <c r="H204">
        <v>18.28</v>
      </c>
      <c r="I204">
        <v>0</v>
      </c>
      <c r="J204">
        <v>0</v>
      </c>
      <c r="K204">
        <v>20</v>
      </c>
      <c r="L204">
        <v>7</v>
      </c>
      <c r="O204">
        <v>7</v>
      </c>
      <c r="P204">
        <v>4</v>
      </c>
      <c r="Q204">
        <v>0</v>
      </c>
      <c r="R204">
        <v>49.28</v>
      </c>
      <c r="S204">
        <v>31</v>
      </c>
      <c r="T204">
        <v>31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31</v>
      </c>
      <c r="AB204">
        <v>6</v>
      </c>
      <c r="AC204">
        <v>0</v>
      </c>
      <c r="AF204" t="s">
        <v>130</v>
      </c>
      <c r="AH204">
        <v>86.28</v>
      </c>
    </row>
    <row r="205" spans="1:34" x14ac:dyDescent="0.3">
      <c r="A205" s="4">
        <v>268</v>
      </c>
      <c r="B205" s="5">
        <v>198</v>
      </c>
      <c r="C205">
        <v>13037</v>
      </c>
      <c r="D205" t="s">
        <v>7333</v>
      </c>
      <c r="E205" t="s">
        <v>166</v>
      </c>
      <c r="F205" t="s">
        <v>190</v>
      </c>
      <c r="G205" t="s">
        <v>18799</v>
      </c>
      <c r="H205">
        <v>17.149999999999999</v>
      </c>
      <c r="I205">
        <v>0</v>
      </c>
      <c r="J205">
        <v>0</v>
      </c>
      <c r="K205">
        <v>20</v>
      </c>
      <c r="L205">
        <v>7</v>
      </c>
      <c r="O205">
        <v>7</v>
      </c>
      <c r="P205">
        <v>4</v>
      </c>
      <c r="Q205">
        <v>2</v>
      </c>
      <c r="R205">
        <v>50.15</v>
      </c>
      <c r="S205">
        <v>36</v>
      </c>
      <c r="T205">
        <v>36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36</v>
      </c>
      <c r="AB205">
        <v>0</v>
      </c>
      <c r="AC205">
        <v>0</v>
      </c>
      <c r="AF205" t="s">
        <v>130</v>
      </c>
      <c r="AH205">
        <v>86.15</v>
      </c>
    </row>
    <row r="206" spans="1:34" x14ac:dyDescent="0.3">
      <c r="A206" s="4">
        <v>269</v>
      </c>
      <c r="B206" s="5">
        <v>199</v>
      </c>
      <c r="C206">
        <v>11398</v>
      </c>
      <c r="D206" t="s">
        <v>18800</v>
      </c>
      <c r="E206" t="s">
        <v>132</v>
      </c>
      <c r="F206" t="s">
        <v>190</v>
      </c>
      <c r="G206" t="s">
        <v>18801</v>
      </c>
      <c r="H206">
        <v>18.100000000000001</v>
      </c>
      <c r="I206">
        <v>0</v>
      </c>
      <c r="J206">
        <v>0</v>
      </c>
      <c r="K206">
        <v>20</v>
      </c>
      <c r="M206">
        <v>5</v>
      </c>
      <c r="O206">
        <v>5</v>
      </c>
      <c r="P206">
        <v>4</v>
      </c>
      <c r="Q206">
        <v>2</v>
      </c>
      <c r="R206">
        <v>49.1</v>
      </c>
      <c r="S206">
        <v>37</v>
      </c>
      <c r="T206">
        <v>37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37</v>
      </c>
      <c r="AB206">
        <v>0</v>
      </c>
      <c r="AC206">
        <v>0</v>
      </c>
      <c r="AF206" t="s">
        <v>130</v>
      </c>
      <c r="AH206">
        <v>86.1</v>
      </c>
    </row>
    <row r="207" spans="1:34" x14ac:dyDescent="0.3">
      <c r="A207" s="4">
        <v>270</v>
      </c>
      <c r="B207" s="5">
        <v>200</v>
      </c>
      <c r="C207">
        <v>7716</v>
      </c>
      <c r="D207" t="s">
        <v>1088</v>
      </c>
      <c r="E207" t="s">
        <v>219</v>
      </c>
      <c r="F207" t="s">
        <v>5060</v>
      </c>
      <c r="G207" t="s">
        <v>18802</v>
      </c>
      <c r="H207">
        <v>18</v>
      </c>
      <c r="I207">
        <v>0</v>
      </c>
      <c r="J207">
        <v>0</v>
      </c>
      <c r="K207">
        <v>20</v>
      </c>
      <c r="L207">
        <v>7</v>
      </c>
      <c r="O207">
        <v>7</v>
      </c>
      <c r="P207">
        <v>4</v>
      </c>
      <c r="Q207">
        <v>2</v>
      </c>
      <c r="R207">
        <v>51</v>
      </c>
      <c r="S207">
        <v>35</v>
      </c>
      <c r="T207">
        <v>35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35</v>
      </c>
      <c r="AB207">
        <v>0</v>
      </c>
      <c r="AC207">
        <v>0</v>
      </c>
      <c r="AF207" t="s">
        <v>130</v>
      </c>
      <c r="AH207">
        <v>86</v>
      </c>
    </row>
    <row r="208" spans="1:34" x14ac:dyDescent="0.3">
      <c r="A208" s="4">
        <v>273</v>
      </c>
      <c r="B208" s="5">
        <v>201</v>
      </c>
      <c r="C208">
        <v>10744</v>
      </c>
      <c r="D208" t="s">
        <v>3695</v>
      </c>
      <c r="E208" t="s">
        <v>33</v>
      </c>
      <c r="F208" t="s">
        <v>17</v>
      </c>
      <c r="G208" t="s">
        <v>18803</v>
      </c>
      <c r="H208">
        <v>17.93</v>
      </c>
      <c r="I208">
        <v>0</v>
      </c>
      <c r="J208">
        <v>0</v>
      </c>
      <c r="K208">
        <v>20</v>
      </c>
      <c r="N208">
        <v>3</v>
      </c>
      <c r="O208">
        <v>3</v>
      </c>
      <c r="P208">
        <v>4</v>
      </c>
      <c r="Q208">
        <v>0</v>
      </c>
      <c r="R208">
        <v>44.93</v>
      </c>
      <c r="S208">
        <v>35</v>
      </c>
      <c r="T208">
        <v>35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35</v>
      </c>
      <c r="AB208">
        <v>6</v>
      </c>
      <c r="AC208">
        <v>0</v>
      </c>
      <c r="AF208" t="s">
        <v>130</v>
      </c>
      <c r="AH208">
        <v>85.93</v>
      </c>
    </row>
    <row r="209" spans="1:34" x14ac:dyDescent="0.3">
      <c r="A209" s="4">
        <v>274</v>
      </c>
      <c r="B209" s="5">
        <v>202</v>
      </c>
      <c r="C209">
        <v>12962</v>
      </c>
      <c r="D209" t="s">
        <v>18804</v>
      </c>
      <c r="E209" t="s">
        <v>26</v>
      </c>
      <c r="F209" t="s">
        <v>124</v>
      </c>
      <c r="G209" t="s">
        <v>18805</v>
      </c>
      <c r="H209">
        <v>22.9</v>
      </c>
      <c r="I209">
        <v>0</v>
      </c>
      <c r="J209">
        <v>0</v>
      </c>
      <c r="K209">
        <v>0</v>
      </c>
      <c r="N209">
        <v>3</v>
      </c>
      <c r="O209">
        <v>3</v>
      </c>
      <c r="P209">
        <v>4</v>
      </c>
      <c r="Q209">
        <v>2</v>
      </c>
      <c r="R209">
        <v>31.9</v>
      </c>
      <c r="S209">
        <v>54</v>
      </c>
      <c r="T209">
        <v>54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54</v>
      </c>
      <c r="AB209">
        <v>0</v>
      </c>
      <c r="AC209">
        <v>0</v>
      </c>
      <c r="AF209" t="s">
        <v>130</v>
      </c>
      <c r="AH209">
        <v>85.9</v>
      </c>
    </row>
    <row r="210" spans="1:34" x14ac:dyDescent="0.3">
      <c r="A210" s="4">
        <v>275</v>
      </c>
      <c r="B210" s="5">
        <v>203</v>
      </c>
      <c r="C210">
        <v>6900</v>
      </c>
      <c r="D210" t="s">
        <v>11405</v>
      </c>
      <c r="E210" t="s">
        <v>29</v>
      </c>
      <c r="F210" t="s">
        <v>136</v>
      </c>
      <c r="G210" t="s">
        <v>18806</v>
      </c>
      <c r="H210">
        <v>18.75</v>
      </c>
      <c r="I210">
        <v>0</v>
      </c>
      <c r="J210">
        <v>0</v>
      </c>
      <c r="K210">
        <v>0</v>
      </c>
      <c r="N210">
        <v>3</v>
      </c>
      <c r="O210">
        <v>3</v>
      </c>
      <c r="P210">
        <v>4</v>
      </c>
      <c r="Q210">
        <v>2</v>
      </c>
      <c r="R210">
        <v>27.75</v>
      </c>
      <c r="S210">
        <v>52</v>
      </c>
      <c r="T210">
        <v>52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52</v>
      </c>
      <c r="AB210">
        <v>6</v>
      </c>
      <c r="AC210">
        <v>0</v>
      </c>
      <c r="AF210" t="s">
        <v>130</v>
      </c>
      <c r="AH210">
        <v>85.75</v>
      </c>
    </row>
    <row r="211" spans="1:34" x14ac:dyDescent="0.3">
      <c r="A211" s="4">
        <v>276</v>
      </c>
      <c r="B211" s="5">
        <v>204</v>
      </c>
      <c r="C211">
        <v>3836</v>
      </c>
      <c r="D211" t="s">
        <v>18807</v>
      </c>
      <c r="E211" t="s">
        <v>166</v>
      </c>
      <c r="F211" t="s">
        <v>385</v>
      </c>
      <c r="G211" t="s">
        <v>18808</v>
      </c>
      <c r="H211">
        <v>16.7</v>
      </c>
      <c r="I211">
        <v>0</v>
      </c>
      <c r="J211">
        <v>0</v>
      </c>
      <c r="K211">
        <v>20</v>
      </c>
      <c r="L211">
        <v>7</v>
      </c>
      <c r="O211">
        <v>7</v>
      </c>
      <c r="P211">
        <v>4</v>
      </c>
      <c r="Q211">
        <v>2</v>
      </c>
      <c r="R211">
        <v>49.7</v>
      </c>
      <c r="S211">
        <v>36</v>
      </c>
      <c r="T211">
        <v>36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36</v>
      </c>
      <c r="AB211">
        <v>0</v>
      </c>
      <c r="AC211">
        <v>0</v>
      </c>
      <c r="AF211" t="s">
        <v>130</v>
      </c>
      <c r="AH211">
        <v>85.7</v>
      </c>
    </row>
    <row r="212" spans="1:34" x14ac:dyDescent="0.3">
      <c r="A212" s="4">
        <v>277</v>
      </c>
      <c r="B212" s="5">
        <v>205</v>
      </c>
      <c r="C212">
        <v>9722</v>
      </c>
      <c r="D212" t="s">
        <v>8681</v>
      </c>
      <c r="E212" t="s">
        <v>166</v>
      </c>
      <c r="F212" t="s">
        <v>136</v>
      </c>
      <c r="G212" t="s">
        <v>18809</v>
      </c>
      <c r="H212">
        <v>20.68</v>
      </c>
      <c r="I212">
        <v>0</v>
      </c>
      <c r="J212">
        <v>0</v>
      </c>
      <c r="K212">
        <v>20</v>
      </c>
      <c r="N212">
        <v>3</v>
      </c>
      <c r="O212">
        <v>3</v>
      </c>
      <c r="P212">
        <v>4</v>
      </c>
      <c r="Q212">
        <v>2</v>
      </c>
      <c r="R212">
        <v>49.68</v>
      </c>
      <c r="S212">
        <v>36</v>
      </c>
      <c r="T212">
        <v>36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36</v>
      </c>
      <c r="AB212">
        <v>0</v>
      </c>
      <c r="AC212">
        <v>0</v>
      </c>
      <c r="AF212" t="s">
        <v>130</v>
      </c>
      <c r="AH212">
        <v>85.68</v>
      </c>
    </row>
    <row r="213" spans="1:34" x14ac:dyDescent="0.3">
      <c r="A213" s="4">
        <v>278</v>
      </c>
      <c r="B213" s="5">
        <v>206</v>
      </c>
      <c r="C213">
        <v>3592</v>
      </c>
      <c r="D213" t="s">
        <v>18810</v>
      </c>
      <c r="E213" t="s">
        <v>88</v>
      </c>
      <c r="F213" t="s">
        <v>20</v>
      </c>
      <c r="G213" t="s">
        <v>18811</v>
      </c>
      <c r="H213">
        <v>20.6</v>
      </c>
      <c r="I213">
        <v>0</v>
      </c>
      <c r="J213">
        <v>0</v>
      </c>
      <c r="K213">
        <v>20</v>
      </c>
      <c r="L213">
        <v>7</v>
      </c>
      <c r="M213">
        <v>5</v>
      </c>
      <c r="O213">
        <v>12</v>
      </c>
      <c r="P213">
        <v>4</v>
      </c>
      <c r="Q213">
        <v>2</v>
      </c>
      <c r="R213">
        <v>58.6</v>
      </c>
      <c r="S213">
        <v>27</v>
      </c>
      <c r="T213">
        <v>27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27</v>
      </c>
      <c r="AB213">
        <v>0</v>
      </c>
      <c r="AC213">
        <v>0</v>
      </c>
      <c r="AF213" t="s">
        <v>130</v>
      </c>
      <c r="AH213">
        <v>85.6</v>
      </c>
    </row>
    <row r="214" spans="1:34" x14ac:dyDescent="0.3">
      <c r="A214" s="4">
        <v>280</v>
      </c>
      <c r="B214" s="5">
        <v>207</v>
      </c>
      <c r="C214">
        <v>3092</v>
      </c>
      <c r="D214" t="s">
        <v>7098</v>
      </c>
      <c r="E214" t="s">
        <v>147</v>
      </c>
      <c r="F214" t="s">
        <v>81</v>
      </c>
      <c r="G214" t="s">
        <v>18812</v>
      </c>
      <c r="H214">
        <v>20.399999999999999</v>
      </c>
      <c r="I214">
        <v>0</v>
      </c>
      <c r="J214">
        <v>0</v>
      </c>
      <c r="K214">
        <v>20</v>
      </c>
      <c r="N214">
        <v>3</v>
      </c>
      <c r="O214">
        <v>3</v>
      </c>
      <c r="P214">
        <v>4</v>
      </c>
      <c r="Q214">
        <v>2</v>
      </c>
      <c r="R214">
        <v>49.4</v>
      </c>
      <c r="S214">
        <v>30</v>
      </c>
      <c r="T214">
        <v>30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30</v>
      </c>
      <c r="AB214">
        <v>6</v>
      </c>
      <c r="AC214">
        <v>0</v>
      </c>
      <c r="AF214" t="s">
        <v>130</v>
      </c>
      <c r="AH214">
        <v>85.4</v>
      </c>
    </row>
    <row r="215" spans="1:34" x14ac:dyDescent="0.3">
      <c r="A215" s="4">
        <v>281</v>
      </c>
      <c r="B215" s="5">
        <v>208</v>
      </c>
      <c r="C215">
        <v>11170</v>
      </c>
      <c r="D215" t="s">
        <v>1752</v>
      </c>
      <c r="E215" t="s">
        <v>18813</v>
      </c>
      <c r="F215" t="s">
        <v>230</v>
      </c>
      <c r="G215" t="s">
        <v>18814</v>
      </c>
      <c r="H215">
        <v>22.35</v>
      </c>
      <c r="I215">
        <v>0</v>
      </c>
      <c r="J215">
        <v>0</v>
      </c>
      <c r="K215">
        <v>20</v>
      </c>
      <c r="O215">
        <v>0</v>
      </c>
      <c r="P215">
        <v>4</v>
      </c>
      <c r="Q215">
        <v>2</v>
      </c>
      <c r="R215">
        <v>48.35</v>
      </c>
      <c r="S215">
        <v>37</v>
      </c>
      <c r="T215">
        <v>37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37</v>
      </c>
      <c r="AB215">
        <v>0</v>
      </c>
      <c r="AC215">
        <v>0</v>
      </c>
      <c r="AF215" t="s">
        <v>130</v>
      </c>
      <c r="AH215">
        <v>85.35</v>
      </c>
    </row>
    <row r="216" spans="1:34" x14ac:dyDescent="0.3">
      <c r="A216" s="4">
        <v>283</v>
      </c>
      <c r="B216" s="5">
        <v>209</v>
      </c>
      <c r="C216">
        <v>889</v>
      </c>
      <c r="D216" t="s">
        <v>18815</v>
      </c>
      <c r="E216" t="s">
        <v>406</v>
      </c>
      <c r="F216" t="s">
        <v>38</v>
      </c>
      <c r="G216" t="s">
        <v>18816</v>
      </c>
      <c r="H216">
        <v>18.2</v>
      </c>
      <c r="I216">
        <v>0</v>
      </c>
      <c r="J216">
        <v>0</v>
      </c>
      <c r="K216">
        <v>20</v>
      </c>
      <c r="L216">
        <v>7</v>
      </c>
      <c r="O216">
        <v>7</v>
      </c>
      <c r="P216">
        <v>4</v>
      </c>
      <c r="Q216">
        <v>2</v>
      </c>
      <c r="R216">
        <v>51.2</v>
      </c>
      <c r="S216">
        <v>34</v>
      </c>
      <c r="T216">
        <v>34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34</v>
      </c>
      <c r="AB216">
        <v>0</v>
      </c>
      <c r="AC216">
        <v>0</v>
      </c>
      <c r="AF216" t="s">
        <v>130</v>
      </c>
      <c r="AH216">
        <v>85.2</v>
      </c>
    </row>
    <row r="217" spans="1:34" x14ac:dyDescent="0.3">
      <c r="A217" s="4">
        <v>284</v>
      </c>
      <c r="B217" s="5">
        <v>210</v>
      </c>
      <c r="C217">
        <v>3638</v>
      </c>
      <c r="D217" t="s">
        <v>18817</v>
      </c>
      <c r="E217" t="s">
        <v>454</v>
      </c>
      <c r="F217" t="s">
        <v>2830</v>
      </c>
      <c r="G217" t="s">
        <v>18818</v>
      </c>
      <c r="H217">
        <v>18.18</v>
      </c>
      <c r="I217">
        <v>0</v>
      </c>
      <c r="J217">
        <v>0</v>
      </c>
      <c r="K217">
        <v>0</v>
      </c>
      <c r="N217">
        <v>3</v>
      </c>
      <c r="O217">
        <v>3</v>
      </c>
      <c r="P217">
        <v>4</v>
      </c>
      <c r="Q217">
        <v>2</v>
      </c>
      <c r="R217">
        <v>27.18</v>
      </c>
      <c r="S217">
        <v>58</v>
      </c>
      <c r="T217">
        <v>58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58</v>
      </c>
      <c r="AB217">
        <v>0</v>
      </c>
      <c r="AC217">
        <v>0</v>
      </c>
      <c r="AF217" t="s">
        <v>130</v>
      </c>
      <c r="AH217">
        <v>85.18</v>
      </c>
    </row>
    <row r="218" spans="1:34" x14ac:dyDescent="0.3">
      <c r="A218" s="4">
        <v>285</v>
      </c>
      <c r="B218" s="5">
        <v>211</v>
      </c>
      <c r="C218">
        <v>4486</v>
      </c>
      <c r="D218" t="s">
        <v>18819</v>
      </c>
      <c r="E218" t="s">
        <v>1075</v>
      </c>
      <c r="F218" t="s">
        <v>1076</v>
      </c>
      <c r="G218" t="s">
        <v>18820</v>
      </c>
      <c r="H218">
        <v>17.13</v>
      </c>
      <c r="I218">
        <v>0</v>
      </c>
      <c r="J218">
        <v>0</v>
      </c>
      <c r="K218">
        <v>0</v>
      </c>
      <c r="N218">
        <v>3</v>
      </c>
      <c r="O218">
        <v>3</v>
      </c>
      <c r="P218">
        <v>4</v>
      </c>
      <c r="Q218">
        <v>2</v>
      </c>
      <c r="R218">
        <v>26.13</v>
      </c>
      <c r="S218">
        <v>56</v>
      </c>
      <c r="T218">
        <v>56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56</v>
      </c>
      <c r="AB218">
        <v>3</v>
      </c>
      <c r="AC218">
        <v>0</v>
      </c>
      <c r="AF218" t="s">
        <v>130</v>
      </c>
      <c r="AH218">
        <v>85.13</v>
      </c>
    </row>
    <row r="219" spans="1:34" x14ac:dyDescent="0.3">
      <c r="A219" s="4">
        <v>288</v>
      </c>
      <c r="B219" s="5">
        <v>212</v>
      </c>
      <c r="C219">
        <v>13458</v>
      </c>
      <c r="D219" t="s">
        <v>18821</v>
      </c>
      <c r="E219" t="s">
        <v>744</v>
      </c>
      <c r="F219" t="s">
        <v>81</v>
      </c>
      <c r="G219" t="s">
        <v>18822</v>
      </c>
      <c r="H219">
        <v>21.03</v>
      </c>
      <c r="I219">
        <v>0</v>
      </c>
      <c r="J219">
        <v>0</v>
      </c>
      <c r="K219">
        <v>20</v>
      </c>
      <c r="N219">
        <v>3</v>
      </c>
      <c r="O219">
        <v>3</v>
      </c>
      <c r="P219">
        <v>4</v>
      </c>
      <c r="Q219">
        <v>0</v>
      </c>
      <c r="R219">
        <v>48.03</v>
      </c>
      <c r="S219">
        <v>34</v>
      </c>
      <c r="T219">
        <v>34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34</v>
      </c>
      <c r="AB219">
        <v>3</v>
      </c>
      <c r="AC219">
        <v>0</v>
      </c>
      <c r="AF219" t="s">
        <v>130</v>
      </c>
      <c r="AH219">
        <v>85.03</v>
      </c>
    </row>
    <row r="220" spans="1:34" x14ac:dyDescent="0.3">
      <c r="A220" s="4">
        <v>289</v>
      </c>
      <c r="B220" s="5">
        <v>213</v>
      </c>
      <c r="C220">
        <v>609</v>
      </c>
      <c r="D220" t="s">
        <v>18823</v>
      </c>
      <c r="E220" t="s">
        <v>18824</v>
      </c>
      <c r="F220" t="s">
        <v>136</v>
      </c>
      <c r="G220" t="s">
        <v>18825</v>
      </c>
      <c r="H220">
        <v>19.03</v>
      </c>
      <c r="I220">
        <v>0</v>
      </c>
      <c r="J220">
        <v>0</v>
      </c>
      <c r="K220">
        <v>20</v>
      </c>
      <c r="N220">
        <v>3</v>
      </c>
      <c r="O220">
        <v>3</v>
      </c>
      <c r="P220">
        <v>4</v>
      </c>
      <c r="Q220">
        <v>2</v>
      </c>
      <c r="R220">
        <v>48.03</v>
      </c>
      <c r="S220">
        <v>34</v>
      </c>
      <c r="T220">
        <v>34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34</v>
      </c>
      <c r="AB220">
        <v>3</v>
      </c>
      <c r="AC220">
        <v>0</v>
      </c>
      <c r="AF220" t="s">
        <v>130</v>
      </c>
      <c r="AH220">
        <v>85.03</v>
      </c>
    </row>
    <row r="221" spans="1:34" x14ac:dyDescent="0.3">
      <c r="A221" s="4">
        <v>290</v>
      </c>
      <c r="B221" s="5">
        <v>214</v>
      </c>
      <c r="C221">
        <v>3352</v>
      </c>
      <c r="D221" t="s">
        <v>549</v>
      </c>
      <c r="E221" t="s">
        <v>178</v>
      </c>
      <c r="F221" t="s">
        <v>20</v>
      </c>
      <c r="G221" t="s">
        <v>18826</v>
      </c>
      <c r="H221">
        <v>18.399999999999999</v>
      </c>
      <c r="I221">
        <v>0</v>
      </c>
      <c r="J221">
        <v>0</v>
      </c>
      <c r="K221">
        <v>20</v>
      </c>
      <c r="N221">
        <v>3</v>
      </c>
      <c r="O221">
        <v>3</v>
      </c>
      <c r="P221">
        <v>4</v>
      </c>
      <c r="Q221">
        <v>0</v>
      </c>
      <c r="R221">
        <v>45.4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6</v>
      </c>
      <c r="AC221">
        <v>33.6</v>
      </c>
      <c r="AF221" t="s">
        <v>130</v>
      </c>
      <c r="AH221">
        <v>85</v>
      </c>
    </row>
    <row r="222" spans="1:34" x14ac:dyDescent="0.3">
      <c r="A222" s="4">
        <v>291</v>
      </c>
      <c r="B222" s="5">
        <v>215</v>
      </c>
      <c r="C222">
        <v>5677</v>
      </c>
      <c r="D222" t="s">
        <v>18827</v>
      </c>
      <c r="E222" t="s">
        <v>22</v>
      </c>
      <c r="F222" t="s">
        <v>782</v>
      </c>
      <c r="G222" t="s">
        <v>18828</v>
      </c>
      <c r="H222">
        <v>20.93</v>
      </c>
      <c r="I222">
        <v>0</v>
      </c>
      <c r="J222">
        <v>0</v>
      </c>
      <c r="K222">
        <v>20</v>
      </c>
      <c r="N222">
        <v>3</v>
      </c>
      <c r="O222">
        <v>3</v>
      </c>
      <c r="P222">
        <v>4</v>
      </c>
      <c r="Q222">
        <v>2</v>
      </c>
      <c r="R222">
        <v>49.93</v>
      </c>
      <c r="S222">
        <v>35</v>
      </c>
      <c r="T222">
        <v>35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35</v>
      </c>
      <c r="AB222">
        <v>0</v>
      </c>
      <c r="AC222">
        <v>0</v>
      </c>
      <c r="AF222" t="s">
        <v>130</v>
      </c>
      <c r="AH222">
        <v>84.93</v>
      </c>
    </row>
    <row r="223" spans="1:34" x14ac:dyDescent="0.3">
      <c r="A223" s="4">
        <v>293</v>
      </c>
      <c r="B223" s="5">
        <v>216</v>
      </c>
      <c r="C223">
        <v>11740</v>
      </c>
      <c r="D223" t="s">
        <v>18830</v>
      </c>
      <c r="E223" t="s">
        <v>29</v>
      </c>
      <c r="F223" t="s">
        <v>55</v>
      </c>
      <c r="G223" t="s">
        <v>18831</v>
      </c>
      <c r="H223">
        <v>18.829999999999998</v>
      </c>
      <c r="I223">
        <v>0</v>
      </c>
      <c r="J223">
        <v>0</v>
      </c>
      <c r="K223">
        <v>20</v>
      </c>
      <c r="N223">
        <v>3</v>
      </c>
      <c r="O223">
        <v>3</v>
      </c>
      <c r="P223">
        <v>4</v>
      </c>
      <c r="Q223">
        <v>2</v>
      </c>
      <c r="R223">
        <v>47.83</v>
      </c>
      <c r="S223">
        <v>37</v>
      </c>
      <c r="T223">
        <v>37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37</v>
      </c>
      <c r="AB223">
        <v>0</v>
      </c>
      <c r="AC223">
        <v>0</v>
      </c>
      <c r="AF223" t="s">
        <v>130</v>
      </c>
      <c r="AH223">
        <v>84.83</v>
      </c>
    </row>
    <row r="224" spans="1:34" x14ac:dyDescent="0.3">
      <c r="A224" s="4">
        <v>294</v>
      </c>
      <c r="B224" s="5">
        <v>217</v>
      </c>
      <c r="C224">
        <v>10615</v>
      </c>
      <c r="D224" t="s">
        <v>18832</v>
      </c>
      <c r="E224" t="s">
        <v>20</v>
      </c>
      <c r="F224" t="s">
        <v>158</v>
      </c>
      <c r="G224" t="s">
        <v>18833</v>
      </c>
      <c r="H224">
        <v>18.75</v>
      </c>
      <c r="I224">
        <v>0</v>
      </c>
      <c r="J224">
        <v>0</v>
      </c>
      <c r="K224">
        <v>20</v>
      </c>
      <c r="O224">
        <v>0</v>
      </c>
      <c r="P224">
        <v>4</v>
      </c>
      <c r="Q224">
        <v>2</v>
      </c>
      <c r="R224">
        <v>44.75</v>
      </c>
      <c r="S224">
        <v>37</v>
      </c>
      <c r="T224">
        <v>37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37</v>
      </c>
      <c r="AB224">
        <v>3</v>
      </c>
      <c r="AC224">
        <v>0</v>
      </c>
      <c r="AF224" t="s">
        <v>130</v>
      </c>
      <c r="AH224">
        <v>84.75</v>
      </c>
    </row>
    <row r="225" spans="1:34" x14ac:dyDescent="0.3">
      <c r="A225" s="4">
        <v>295</v>
      </c>
      <c r="B225" s="5">
        <v>218</v>
      </c>
      <c r="C225">
        <v>7627</v>
      </c>
      <c r="D225" t="s">
        <v>2966</v>
      </c>
      <c r="E225" t="s">
        <v>54</v>
      </c>
      <c r="F225" t="s">
        <v>81</v>
      </c>
      <c r="G225" t="s">
        <v>18834</v>
      </c>
      <c r="H225">
        <v>18.73</v>
      </c>
      <c r="I225">
        <v>0</v>
      </c>
      <c r="J225">
        <v>0</v>
      </c>
      <c r="K225">
        <v>0</v>
      </c>
      <c r="L225">
        <v>7</v>
      </c>
      <c r="O225">
        <v>7</v>
      </c>
      <c r="P225">
        <v>4</v>
      </c>
      <c r="Q225">
        <v>2</v>
      </c>
      <c r="R225">
        <v>31.73</v>
      </c>
      <c r="S225">
        <v>53</v>
      </c>
      <c r="T225">
        <v>53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53</v>
      </c>
      <c r="AB225">
        <v>0</v>
      </c>
      <c r="AC225">
        <v>0</v>
      </c>
      <c r="AD225" t="s">
        <v>130</v>
      </c>
      <c r="AF225" t="s">
        <v>130</v>
      </c>
      <c r="AH225">
        <v>84.73</v>
      </c>
    </row>
    <row r="226" spans="1:34" x14ac:dyDescent="0.3">
      <c r="A226" s="4">
        <v>296</v>
      </c>
      <c r="B226" s="5">
        <v>219</v>
      </c>
      <c r="C226">
        <v>6819</v>
      </c>
      <c r="D226" t="s">
        <v>18835</v>
      </c>
      <c r="E226" t="s">
        <v>182</v>
      </c>
      <c r="F226" t="s">
        <v>18836</v>
      </c>
      <c r="G226" t="s">
        <v>18837</v>
      </c>
      <c r="H226">
        <v>17.649999999999999</v>
      </c>
      <c r="I226">
        <v>0</v>
      </c>
      <c r="J226">
        <v>0</v>
      </c>
      <c r="K226">
        <v>20</v>
      </c>
      <c r="O226">
        <v>0</v>
      </c>
      <c r="P226">
        <v>4</v>
      </c>
      <c r="Q226">
        <v>0</v>
      </c>
      <c r="R226">
        <v>41.65</v>
      </c>
      <c r="S226">
        <v>43</v>
      </c>
      <c r="T226">
        <v>43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43</v>
      </c>
      <c r="AB226">
        <v>0</v>
      </c>
      <c r="AC226">
        <v>0</v>
      </c>
      <c r="AD226" t="s">
        <v>130</v>
      </c>
      <c r="AF226" t="s">
        <v>130</v>
      </c>
      <c r="AH226">
        <v>84.65</v>
      </c>
    </row>
    <row r="227" spans="1:34" x14ac:dyDescent="0.3">
      <c r="A227" s="4">
        <v>297</v>
      </c>
      <c r="B227" s="5">
        <v>220</v>
      </c>
      <c r="C227">
        <v>11048</v>
      </c>
      <c r="D227" t="s">
        <v>2094</v>
      </c>
      <c r="E227" t="s">
        <v>406</v>
      </c>
      <c r="F227" t="s">
        <v>81</v>
      </c>
      <c r="G227" t="s">
        <v>18838</v>
      </c>
      <c r="H227">
        <v>21.55</v>
      </c>
      <c r="I227">
        <v>0</v>
      </c>
      <c r="J227">
        <v>0</v>
      </c>
      <c r="K227">
        <v>20</v>
      </c>
      <c r="N227">
        <v>3</v>
      </c>
      <c r="O227">
        <v>3</v>
      </c>
      <c r="P227">
        <v>4</v>
      </c>
      <c r="Q227">
        <v>2</v>
      </c>
      <c r="R227">
        <v>50.55</v>
      </c>
      <c r="S227">
        <v>34</v>
      </c>
      <c r="T227">
        <v>34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34</v>
      </c>
      <c r="AB227">
        <v>0</v>
      </c>
      <c r="AC227">
        <v>0</v>
      </c>
      <c r="AF227" t="s">
        <v>130</v>
      </c>
      <c r="AH227">
        <v>84.55</v>
      </c>
    </row>
    <row r="228" spans="1:34" x14ac:dyDescent="0.3">
      <c r="A228" s="4">
        <v>299</v>
      </c>
      <c r="B228" s="5">
        <v>221</v>
      </c>
      <c r="C228">
        <v>6485</v>
      </c>
      <c r="D228" t="s">
        <v>18839</v>
      </c>
      <c r="E228" t="s">
        <v>3120</v>
      </c>
      <c r="F228" t="s">
        <v>20</v>
      </c>
      <c r="G228" t="s">
        <v>18840</v>
      </c>
      <c r="H228">
        <v>18.48</v>
      </c>
      <c r="I228">
        <v>0</v>
      </c>
      <c r="J228">
        <v>0</v>
      </c>
      <c r="K228">
        <v>20</v>
      </c>
      <c r="N228">
        <v>3</v>
      </c>
      <c r="O228">
        <v>3</v>
      </c>
      <c r="P228">
        <v>4</v>
      </c>
      <c r="Q228">
        <v>2</v>
      </c>
      <c r="R228">
        <v>47.48</v>
      </c>
      <c r="S228">
        <v>37</v>
      </c>
      <c r="T228">
        <v>37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37</v>
      </c>
      <c r="AB228">
        <v>0</v>
      </c>
      <c r="AC228">
        <v>0</v>
      </c>
      <c r="AF228" t="s">
        <v>130</v>
      </c>
      <c r="AH228">
        <v>84.48</v>
      </c>
    </row>
    <row r="229" spans="1:34" x14ac:dyDescent="0.3">
      <c r="A229" s="4">
        <v>300</v>
      </c>
      <c r="B229" s="5">
        <v>222</v>
      </c>
      <c r="C229">
        <v>7793</v>
      </c>
      <c r="D229" t="s">
        <v>18841</v>
      </c>
      <c r="E229" t="s">
        <v>1140</v>
      </c>
      <c r="F229" t="s">
        <v>158</v>
      </c>
      <c r="G229" t="s">
        <v>18842</v>
      </c>
      <c r="H229">
        <v>17.43</v>
      </c>
      <c r="I229">
        <v>0</v>
      </c>
      <c r="J229">
        <v>0</v>
      </c>
      <c r="K229">
        <v>20</v>
      </c>
      <c r="N229">
        <v>3</v>
      </c>
      <c r="O229">
        <v>3</v>
      </c>
      <c r="P229">
        <v>4</v>
      </c>
      <c r="Q229">
        <v>0</v>
      </c>
      <c r="R229">
        <v>44.43</v>
      </c>
      <c r="S229">
        <v>37</v>
      </c>
      <c r="T229">
        <v>37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37</v>
      </c>
      <c r="AB229">
        <v>3</v>
      </c>
      <c r="AC229">
        <v>0</v>
      </c>
      <c r="AF229" t="s">
        <v>130</v>
      </c>
      <c r="AH229">
        <v>84.43</v>
      </c>
    </row>
    <row r="230" spans="1:34" x14ac:dyDescent="0.3">
      <c r="A230" s="4">
        <v>301</v>
      </c>
      <c r="B230" s="5">
        <v>223</v>
      </c>
      <c r="C230">
        <v>12677</v>
      </c>
      <c r="D230" t="s">
        <v>1654</v>
      </c>
      <c r="E230" t="s">
        <v>289</v>
      </c>
      <c r="F230" t="s">
        <v>136</v>
      </c>
      <c r="G230" t="s">
        <v>18843</v>
      </c>
      <c r="H230">
        <v>20.399999999999999</v>
      </c>
      <c r="I230">
        <v>7</v>
      </c>
      <c r="J230">
        <v>0</v>
      </c>
      <c r="K230">
        <v>20</v>
      </c>
      <c r="L230">
        <v>7</v>
      </c>
      <c r="O230">
        <v>7</v>
      </c>
      <c r="P230">
        <v>4</v>
      </c>
      <c r="Q230">
        <v>2</v>
      </c>
      <c r="R230">
        <v>60.4</v>
      </c>
      <c r="S230">
        <v>18</v>
      </c>
      <c r="T230">
        <v>18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18</v>
      </c>
      <c r="AB230">
        <v>6</v>
      </c>
      <c r="AC230">
        <v>0</v>
      </c>
      <c r="AF230" t="s">
        <v>130</v>
      </c>
      <c r="AH230">
        <v>84.4</v>
      </c>
    </row>
    <row r="231" spans="1:34" x14ac:dyDescent="0.3">
      <c r="A231" s="4">
        <v>302</v>
      </c>
      <c r="B231" s="5">
        <v>224</v>
      </c>
      <c r="C231">
        <v>13502</v>
      </c>
      <c r="D231" t="s">
        <v>4038</v>
      </c>
      <c r="E231" t="s">
        <v>403</v>
      </c>
      <c r="F231" t="s">
        <v>20</v>
      </c>
      <c r="G231" t="s">
        <v>18844</v>
      </c>
      <c r="H231">
        <v>18.329999999999998</v>
      </c>
      <c r="I231">
        <v>0</v>
      </c>
      <c r="J231">
        <v>0</v>
      </c>
      <c r="K231">
        <v>20</v>
      </c>
      <c r="N231">
        <v>3</v>
      </c>
      <c r="O231">
        <v>3</v>
      </c>
      <c r="P231">
        <v>4</v>
      </c>
      <c r="Q231">
        <v>0</v>
      </c>
      <c r="R231">
        <v>45.33</v>
      </c>
      <c r="S231">
        <v>39</v>
      </c>
      <c r="T231">
        <v>39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39</v>
      </c>
      <c r="AB231">
        <v>0</v>
      </c>
      <c r="AC231">
        <v>0</v>
      </c>
      <c r="AF231" t="s">
        <v>130</v>
      </c>
      <c r="AH231">
        <v>84.33</v>
      </c>
    </row>
    <row r="232" spans="1:34" x14ac:dyDescent="0.3">
      <c r="A232" s="4">
        <v>303</v>
      </c>
      <c r="B232" s="5">
        <v>225</v>
      </c>
      <c r="C232">
        <v>8150</v>
      </c>
      <c r="D232" t="s">
        <v>17829</v>
      </c>
      <c r="E232" t="s">
        <v>29</v>
      </c>
      <c r="F232" t="s">
        <v>190</v>
      </c>
      <c r="G232" t="s">
        <v>18845</v>
      </c>
      <c r="H232">
        <v>19.100000000000001</v>
      </c>
      <c r="I232">
        <v>0</v>
      </c>
      <c r="J232">
        <v>0</v>
      </c>
      <c r="K232">
        <v>20</v>
      </c>
      <c r="N232">
        <v>3</v>
      </c>
      <c r="O232">
        <v>3</v>
      </c>
      <c r="P232">
        <v>4</v>
      </c>
      <c r="Q232">
        <v>2</v>
      </c>
      <c r="R232">
        <v>48.1</v>
      </c>
      <c r="S232">
        <v>36</v>
      </c>
      <c r="T232">
        <v>36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36</v>
      </c>
      <c r="AB232">
        <v>0</v>
      </c>
      <c r="AC232">
        <v>0</v>
      </c>
      <c r="AF232" t="s">
        <v>130</v>
      </c>
      <c r="AH232">
        <v>84.1</v>
      </c>
    </row>
    <row r="233" spans="1:34" x14ac:dyDescent="0.3">
      <c r="A233" s="4">
        <v>304</v>
      </c>
      <c r="B233" s="5">
        <v>226</v>
      </c>
      <c r="C233">
        <v>7974</v>
      </c>
      <c r="D233" t="s">
        <v>12503</v>
      </c>
      <c r="E233" t="s">
        <v>2758</v>
      </c>
      <c r="F233" t="s">
        <v>68</v>
      </c>
      <c r="G233" t="s">
        <v>18846</v>
      </c>
      <c r="H233">
        <v>17.079999999999998</v>
      </c>
      <c r="I233">
        <v>0</v>
      </c>
      <c r="J233">
        <v>0</v>
      </c>
      <c r="K233">
        <v>0</v>
      </c>
      <c r="M233">
        <v>5</v>
      </c>
      <c r="O233">
        <v>5</v>
      </c>
      <c r="P233">
        <v>4</v>
      </c>
      <c r="Q233">
        <v>2</v>
      </c>
      <c r="R233">
        <v>28.08</v>
      </c>
      <c r="S233">
        <v>53</v>
      </c>
      <c r="T233">
        <v>53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53</v>
      </c>
      <c r="AB233">
        <v>3</v>
      </c>
      <c r="AC233">
        <v>0</v>
      </c>
      <c r="AF233" t="s">
        <v>130</v>
      </c>
      <c r="AH233">
        <v>84.08</v>
      </c>
    </row>
    <row r="234" spans="1:34" x14ac:dyDescent="0.3">
      <c r="A234" s="4">
        <v>306</v>
      </c>
      <c r="B234" s="5">
        <v>227</v>
      </c>
      <c r="C234">
        <v>3129</v>
      </c>
      <c r="D234" t="s">
        <v>18847</v>
      </c>
      <c r="E234" t="s">
        <v>3120</v>
      </c>
      <c r="F234" t="s">
        <v>17</v>
      </c>
      <c r="G234" t="s">
        <v>18848</v>
      </c>
      <c r="H234">
        <v>19.03</v>
      </c>
      <c r="I234">
        <v>0</v>
      </c>
      <c r="J234">
        <v>0</v>
      </c>
      <c r="K234">
        <v>20</v>
      </c>
      <c r="L234">
        <v>7</v>
      </c>
      <c r="O234">
        <v>7</v>
      </c>
      <c r="P234">
        <v>4</v>
      </c>
      <c r="Q234">
        <v>2</v>
      </c>
      <c r="R234">
        <v>52.03</v>
      </c>
      <c r="S234">
        <v>32</v>
      </c>
      <c r="T234">
        <v>32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32</v>
      </c>
      <c r="AB234">
        <v>0</v>
      </c>
      <c r="AC234">
        <v>0</v>
      </c>
      <c r="AF234" t="s">
        <v>130</v>
      </c>
      <c r="AH234">
        <v>84.03</v>
      </c>
    </row>
    <row r="235" spans="1:34" x14ac:dyDescent="0.3">
      <c r="A235" s="4">
        <v>307</v>
      </c>
      <c r="B235" s="5">
        <v>228</v>
      </c>
      <c r="C235">
        <v>9068</v>
      </c>
      <c r="D235" t="s">
        <v>18849</v>
      </c>
      <c r="E235" t="s">
        <v>51</v>
      </c>
      <c r="F235" t="s">
        <v>62</v>
      </c>
      <c r="G235" t="s">
        <v>18850</v>
      </c>
      <c r="H235">
        <v>17.03</v>
      </c>
      <c r="I235">
        <v>0</v>
      </c>
      <c r="J235">
        <v>0</v>
      </c>
      <c r="K235">
        <v>0</v>
      </c>
      <c r="N235">
        <v>6</v>
      </c>
      <c r="O235">
        <v>6</v>
      </c>
      <c r="P235">
        <v>4</v>
      </c>
      <c r="Q235">
        <v>0</v>
      </c>
      <c r="R235">
        <v>27.03</v>
      </c>
      <c r="S235">
        <v>57</v>
      </c>
      <c r="T235">
        <v>57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57</v>
      </c>
      <c r="AB235">
        <v>0</v>
      </c>
      <c r="AC235">
        <v>0</v>
      </c>
      <c r="AF235" t="s">
        <v>130</v>
      </c>
      <c r="AH235">
        <v>84.03</v>
      </c>
    </row>
    <row r="236" spans="1:34" x14ac:dyDescent="0.3">
      <c r="A236" s="4">
        <v>308</v>
      </c>
      <c r="B236" s="5">
        <v>229</v>
      </c>
      <c r="C236">
        <v>9960</v>
      </c>
      <c r="D236" t="s">
        <v>18851</v>
      </c>
      <c r="E236" t="s">
        <v>208</v>
      </c>
      <c r="F236" t="s">
        <v>81</v>
      </c>
      <c r="G236" t="s">
        <v>18852</v>
      </c>
      <c r="H236">
        <v>18</v>
      </c>
      <c r="I236">
        <v>0</v>
      </c>
      <c r="J236">
        <v>0</v>
      </c>
      <c r="K236">
        <v>20</v>
      </c>
      <c r="N236">
        <v>6</v>
      </c>
      <c r="O236">
        <v>6</v>
      </c>
      <c r="P236">
        <v>4</v>
      </c>
      <c r="Q236">
        <v>2</v>
      </c>
      <c r="R236">
        <v>50</v>
      </c>
      <c r="S236">
        <v>34</v>
      </c>
      <c r="T236">
        <v>34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34</v>
      </c>
      <c r="AB236">
        <v>0</v>
      </c>
      <c r="AC236">
        <v>0</v>
      </c>
      <c r="AF236" t="s">
        <v>130</v>
      </c>
      <c r="AH236">
        <v>84</v>
      </c>
    </row>
    <row r="237" spans="1:34" x14ac:dyDescent="0.3">
      <c r="A237" s="4">
        <v>309</v>
      </c>
      <c r="B237" s="5">
        <v>230</v>
      </c>
      <c r="C237">
        <v>6387</v>
      </c>
      <c r="D237" t="s">
        <v>8758</v>
      </c>
      <c r="E237" t="s">
        <v>71</v>
      </c>
      <c r="F237" t="s">
        <v>18853</v>
      </c>
      <c r="G237" t="s">
        <v>18854</v>
      </c>
      <c r="H237">
        <v>18.95</v>
      </c>
      <c r="I237">
        <v>0</v>
      </c>
      <c r="J237">
        <v>0</v>
      </c>
      <c r="K237">
        <v>0</v>
      </c>
      <c r="N237">
        <v>3</v>
      </c>
      <c r="O237">
        <v>3</v>
      </c>
      <c r="P237">
        <v>4</v>
      </c>
      <c r="Q237">
        <v>2</v>
      </c>
      <c r="R237">
        <v>27.95</v>
      </c>
      <c r="S237">
        <v>53</v>
      </c>
      <c r="T237">
        <v>53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53</v>
      </c>
      <c r="AB237">
        <v>3</v>
      </c>
      <c r="AC237">
        <v>0</v>
      </c>
      <c r="AF237" t="s">
        <v>130</v>
      </c>
      <c r="AH237">
        <v>83.95</v>
      </c>
    </row>
    <row r="238" spans="1:34" x14ac:dyDescent="0.3">
      <c r="A238" s="4">
        <v>310</v>
      </c>
      <c r="B238" s="5">
        <v>231</v>
      </c>
      <c r="C238">
        <v>1875</v>
      </c>
      <c r="D238" t="s">
        <v>13257</v>
      </c>
      <c r="E238" t="s">
        <v>51</v>
      </c>
      <c r="F238" t="s">
        <v>230</v>
      </c>
      <c r="G238" t="s">
        <v>18855</v>
      </c>
      <c r="H238">
        <v>17.95</v>
      </c>
      <c r="I238">
        <v>0</v>
      </c>
      <c r="J238">
        <v>0</v>
      </c>
      <c r="K238">
        <v>20</v>
      </c>
      <c r="L238">
        <v>7</v>
      </c>
      <c r="O238">
        <v>7</v>
      </c>
      <c r="P238">
        <v>4</v>
      </c>
      <c r="Q238">
        <v>2</v>
      </c>
      <c r="R238">
        <v>50.95</v>
      </c>
      <c r="S238">
        <v>33</v>
      </c>
      <c r="T238">
        <v>33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33</v>
      </c>
      <c r="AB238">
        <v>0</v>
      </c>
      <c r="AC238">
        <v>0</v>
      </c>
      <c r="AD238" t="s">
        <v>130</v>
      </c>
      <c r="AF238" t="s">
        <v>130</v>
      </c>
      <c r="AH238">
        <v>83.95</v>
      </c>
    </row>
    <row r="239" spans="1:34" x14ac:dyDescent="0.3">
      <c r="A239" s="4">
        <v>311</v>
      </c>
      <c r="B239" s="5">
        <v>232</v>
      </c>
      <c r="C239">
        <v>9770</v>
      </c>
      <c r="D239" t="s">
        <v>18856</v>
      </c>
      <c r="E239" t="s">
        <v>6956</v>
      </c>
      <c r="F239" t="s">
        <v>17</v>
      </c>
      <c r="G239" t="s">
        <v>18857</v>
      </c>
      <c r="H239">
        <v>18.95</v>
      </c>
      <c r="I239">
        <v>0</v>
      </c>
      <c r="J239">
        <v>0</v>
      </c>
      <c r="K239">
        <v>20</v>
      </c>
      <c r="N239">
        <v>3</v>
      </c>
      <c r="O239">
        <v>3</v>
      </c>
      <c r="P239">
        <v>4</v>
      </c>
      <c r="Q239">
        <v>2</v>
      </c>
      <c r="R239">
        <v>47.95</v>
      </c>
      <c r="S239">
        <v>36</v>
      </c>
      <c r="T239">
        <v>36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36</v>
      </c>
      <c r="AB239">
        <v>0</v>
      </c>
      <c r="AC239">
        <v>0</v>
      </c>
      <c r="AD239" t="s">
        <v>130</v>
      </c>
      <c r="AF239" t="s">
        <v>130</v>
      </c>
      <c r="AH239">
        <v>83.95</v>
      </c>
    </row>
    <row r="240" spans="1:34" x14ac:dyDescent="0.3">
      <c r="A240" s="4">
        <v>312</v>
      </c>
      <c r="B240" s="5">
        <v>233</v>
      </c>
      <c r="C240">
        <v>9036</v>
      </c>
      <c r="D240" t="s">
        <v>7421</v>
      </c>
      <c r="E240" t="s">
        <v>276</v>
      </c>
      <c r="F240" t="s">
        <v>2582</v>
      </c>
      <c r="G240" t="s">
        <v>18858</v>
      </c>
      <c r="H240">
        <v>18.850000000000001</v>
      </c>
      <c r="I240">
        <v>0</v>
      </c>
      <c r="J240">
        <v>0</v>
      </c>
      <c r="K240">
        <v>0</v>
      </c>
      <c r="N240">
        <v>3</v>
      </c>
      <c r="O240">
        <v>3</v>
      </c>
      <c r="P240">
        <v>4</v>
      </c>
      <c r="Q240">
        <v>2</v>
      </c>
      <c r="R240">
        <v>27.85</v>
      </c>
      <c r="S240">
        <v>47</v>
      </c>
      <c r="T240">
        <v>47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47</v>
      </c>
      <c r="AB240">
        <v>9</v>
      </c>
      <c r="AC240">
        <v>0</v>
      </c>
      <c r="AF240" t="s">
        <v>130</v>
      </c>
      <c r="AH240">
        <v>83.85</v>
      </c>
    </row>
    <row r="241" spans="1:34" x14ac:dyDescent="0.3">
      <c r="A241" s="4">
        <v>313</v>
      </c>
      <c r="B241" s="5">
        <v>234</v>
      </c>
      <c r="C241">
        <v>6407</v>
      </c>
      <c r="D241" t="s">
        <v>18859</v>
      </c>
      <c r="E241" t="s">
        <v>1152</v>
      </c>
      <c r="F241" t="s">
        <v>38</v>
      </c>
      <c r="G241" t="s">
        <v>18860</v>
      </c>
      <c r="H241">
        <v>19.75</v>
      </c>
      <c r="I241">
        <v>0</v>
      </c>
      <c r="J241">
        <v>0</v>
      </c>
      <c r="K241">
        <v>20</v>
      </c>
      <c r="N241">
        <v>3</v>
      </c>
      <c r="O241">
        <v>3</v>
      </c>
      <c r="P241">
        <v>4</v>
      </c>
      <c r="Q241">
        <v>0</v>
      </c>
      <c r="R241">
        <v>46.75</v>
      </c>
      <c r="S241">
        <v>37</v>
      </c>
      <c r="T241">
        <v>37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37</v>
      </c>
      <c r="AB241">
        <v>0</v>
      </c>
      <c r="AC241">
        <v>0</v>
      </c>
      <c r="AD241" t="s">
        <v>130</v>
      </c>
      <c r="AF241" t="s">
        <v>130</v>
      </c>
      <c r="AH241">
        <v>83.75</v>
      </c>
    </row>
    <row r="242" spans="1:34" x14ac:dyDescent="0.3">
      <c r="A242" s="4">
        <v>316</v>
      </c>
      <c r="B242" s="5">
        <v>235</v>
      </c>
      <c r="C242">
        <v>13662</v>
      </c>
      <c r="D242" t="s">
        <v>18861</v>
      </c>
      <c r="E242" t="s">
        <v>213</v>
      </c>
      <c r="F242" t="s">
        <v>878</v>
      </c>
      <c r="G242" t="s">
        <v>18862</v>
      </c>
      <c r="H242">
        <v>19.63</v>
      </c>
      <c r="I242">
        <v>0</v>
      </c>
      <c r="J242">
        <v>0</v>
      </c>
      <c r="K242">
        <v>0</v>
      </c>
      <c r="N242">
        <v>3</v>
      </c>
      <c r="O242">
        <v>3</v>
      </c>
      <c r="P242">
        <v>4</v>
      </c>
      <c r="Q242">
        <v>0</v>
      </c>
      <c r="R242">
        <v>26.63</v>
      </c>
      <c r="S242">
        <v>51</v>
      </c>
      <c r="T242">
        <v>51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51</v>
      </c>
      <c r="AB242">
        <v>6</v>
      </c>
      <c r="AC242">
        <v>0</v>
      </c>
      <c r="AF242" t="s">
        <v>130</v>
      </c>
      <c r="AH242">
        <v>83.63</v>
      </c>
    </row>
    <row r="243" spans="1:34" x14ac:dyDescent="0.3">
      <c r="A243" s="4">
        <v>317</v>
      </c>
      <c r="B243" s="5">
        <v>236</v>
      </c>
      <c r="C243">
        <v>13133</v>
      </c>
      <c r="D243" t="s">
        <v>15502</v>
      </c>
      <c r="E243" t="s">
        <v>132</v>
      </c>
      <c r="F243" t="s">
        <v>17</v>
      </c>
      <c r="G243" t="s">
        <v>18863</v>
      </c>
      <c r="H243">
        <v>21.63</v>
      </c>
      <c r="I243">
        <v>0</v>
      </c>
      <c r="J243">
        <v>0</v>
      </c>
      <c r="K243">
        <v>28</v>
      </c>
      <c r="L243">
        <v>7</v>
      </c>
      <c r="N243">
        <v>3</v>
      </c>
      <c r="O243">
        <v>10</v>
      </c>
      <c r="P243">
        <v>4</v>
      </c>
      <c r="Q243">
        <v>2</v>
      </c>
      <c r="R243">
        <v>65.63</v>
      </c>
      <c r="S243">
        <v>18</v>
      </c>
      <c r="T243">
        <v>18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18</v>
      </c>
      <c r="AB243">
        <v>0</v>
      </c>
      <c r="AC243">
        <v>0</v>
      </c>
      <c r="AF243" t="s">
        <v>130</v>
      </c>
      <c r="AH243">
        <v>83.63</v>
      </c>
    </row>
    <row r="244" spans="1:34" x14ac:dyDescent="0.3">
      <c r="A244" s="4">
        <v>318</v>
      </c>
      <c r="B244" s="5">
        <v>237</v>
      </c>
      <c r="C244">
        <v>11072</v>
      </c>
      <c r="D244" t="s">
        <v>18864</v>
      </c>
      <c r="E244" t="s">
        <v>488</v>
      </c>
      <c r="F244" t="s">
        <v>328</v>
      </c>
      <c r="G244" t="s">
        <v>18865</v>
      </c>
      <c r="H244">
        <v>17.600000000000001</v>
      </c>
      <c r="I244">
        <v>0</v>
      </c>
      <c r="J244">
        <v>0</v>
      </c>
      <c r="K244">
        <v>20</v>
      </c>
      <c r="N244">
        <v>3</v>
      </c>
      <c r="O244">
        <v>3</v>
      </c>
      <c r="P244">
        <v>4</v>
      </c>
      <c r="Q244">
        <v>2</v>
      </c>
      <c r="R244">
        <v>46.6</v>
      </c>
      <c r="S244">
        <v>37</v>
      </c>
      <c r="T244">
        <v>37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37</v>
      </c>
      <c r="AB244">
        <v>0</v>
      </c>
      <c r="AC244">
        <v>0</v>
      </c>
      <c r="AF244" t="s">
        <v>130</v>
      </c>
      <c r="AH244">
        <v>83.6</v>
      </c>
    </row>
    <row r="245" spans="1:34" x14ac:dyDescent="0.3">
      <c r="A245" s="4">
        <v>319</v>
      </c>
      <c r="B245" s="5">
        <v>238</v>
      </c>
      <c r="C245">
        <v>15284</v>
      </c>
      <c r="D245" t="s">
        <v>6676</v>
      </c>
      <c r="E245" t="s">
        <v>26</v>
      </c>
      <c r="F245" t="s">
        <v>117</v>
      </c>
      <c r="G245" t="s">
        <v>18866</v>
      </c>
      <c r="H245">
        <v>18.55</v>
      </c>
      <c r="I245">
        <v>0</v>
      </c>
      <c r="J245">
        <v>0</v>
      </c>
      <c r="K245">
        <v>20</v>
      </c>
      <c r="N245">
        <v>3</v>
      </c>
      <c r="O245">
        <v>3</v>
      </c>
      <c r="P245">
        <v>4</v>
      </c>
      <c r="Q245">
        <v>2</v>
      </c>
      <c r="R245">
        <v>47.55</v>
      </c>
      <c r="S245">
        <v>36</v>
      </c>
      <c r="T245">
        <v>36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36</v>
      </c>
      <c r="AB245">
        <v>0</v>
      </c>
      <c r="AC245">
        <v>0</v>
      </c>
      <c r="AF245" t="s">
        <v>130</v>
      </c>
      <c r="AH245">
        <v>83.55</v>
      </c>
    </row>
    <row r="246" spans="1:34" x14ac:dyDescent="0.3">
      <c r="A246" s="4">
        <v>321</v>
      </c>
      <c r="B246" s="5">
        <v>239</v>
      </c>
      <c r="C246">
        <v>7247</v>
      </c>
      <c r="D246" t="s">
        <v>18867</v>
      </c>
      <c r="E246" t="s">
        <v>139</v>
      </c>
      <c r="F246" t="s">
        <v>117</v>
      </c>
      <c r="G246" t="s">
        <v>18868</v>
      </c>
      <c r="H246">
        <v>19.45</v>
      </c>
      <c r="I246">
        <v>0</v>
      </c>
      <c r="J246">
        <v>0</v>
      </c>
      <c r="K246">
        <v>20</v>
      </c>
      <c r="L246">
        <v>7</v>
      </c>
      <c r="N246">
        <v>3</v>
      </c>
      <c r="O246">
        <v>10</v>
      </c>
      <c r="P246">
        <v>4</v>
      </c>
      <c r="Q246">
        <v>0</v>
      </c>
      <c r="R246">
        <v>53.45</v>
      </c>
      <c r="S246">
        <v>18</v>
      </c>
      <c r="T246">
        <v>18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18</v>
      </c>
      <c r="AB246">
        <v>12</v>
      </c>
      <c r="AC246">
        <v>0</v>
      </c>
      <c r="AF246" t="s">
        <v>130</v>
      </c>
      <c r="AH246">
        <v>83.45</v>
      </c>
    </row>
    <row r="247" spans="1:34" x14ac:dyDescent="0.3">
      <c r="A247" s="4">
        <v>322</v>
      </c>
      <c r="B247" s="5">
        <v>240</v>
      </c>
      <c r="C247">
        <v>8037</v>
      </c>
      <c r="D247" t="s">
        <v>18869</v>
      </c>
      <c r="E247" t="s">
        <v>1189</v>
      </c>
      <c r="F247" t="s">
        <v>17</v>
      </c>
      <c r="G247" t="s">
        <v>18870</v>
      </c>
      <c r="H247">
        <v>19.350000000000001</v>
      </c>
      <c r="I247">
        <v>0</v>
      </c>
      <c r="J247">
        <v>0</v>
      </c>
      <c r="K247">
        <v>20</v>
      </c>
      <c r="N247">
        <v>3</v>
      </c>
      <c r="O247">
        <v>3</v>
      </c>
      <c r="P247">
        <v>4</v>
      </c>
      <c r="Q247">
        <v>2</v>
      </c>
      <c r="R247">
        <v>48.35</v>
      </c>
      <c r="S247">
        <v>35</v>
      </c>
      <c r="T247">
        <v>35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35</v>
      </c>
      <c r="AB247">
        <v>0</v>
      </c>
      <c r="AC247">
        <v>0</v>
      </c>
      <c r="AF247" t="s">
        <v>130</v>
      </c>
      <c r="AH247">
        <v>83.35</v>
      </c>
    </row>
    <row r="248" spans="1:34" x14ac:dyDescent="0.3">
      <c r="A248" s="4">
        <v>323</v>
      </c>
      <c r="B248" s="5">
        <v>241</v>
      </c>
      <c r="C248">
        <v>7588</v>
      </c>
      <c r="D248" t="s">
        <v>173</v>
      </c>
      <c r="E248" t="s">
        <v>563</v>
      </c>
      <c r="F248" t="s">
        <v>570</v>
      </c>
      <c r="G248" t="s">
        <v>18871</v>
      </c>
      <c r="H248">
        <v>17.329999999999998</v>
      </c>
      <c r="I248">
        <v>0</v>
      </c>
      <c r="J248">
        <v>0</v>
      </c>
      <c r="K248">
        <v>0</v>
      </c>
      <c r="N248">
        <v>3</v>
      </c>
      <c r="O248">
        <v>3</v>
      </c>
      <c r="P248">
        <v>0</v>
      </c>
      <c r="Q248">
        <v>0</v>
      </c>
      <c r="R248">
        <v>20.329999999999998</v>
      </c>
      <c r="S248">
        <v>43</v>
      </c>
      <c r="T248">
        <v>43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43</v>
      </c>
      <c r="AB248">
        <v>0</v>
      </c>
      <c r="AC248">
        <v>20</v>
      </c>
      <c r="AF248" t="s">
        <v>130</v>
      </c>
      <c r="AH248">
        <v>83.33</v>
      </c>
    </row>
    <row r="249" spans="1:34" x14ac:dyDescent="0.3">
      <c r="A249" s="4">
        <v>324</v>
      </c>
      <c r="B249" s="5">
        <v>242</v>
      </c>
      <c r="C249">
        <v>5187</v>
      </c>
      <c r="D249" t="s">
        <v>4332</v>
      </c>
      <c r="E249" t="s">
        <v>208</v>
      </c>
      <c r="F249" t="s">
        <v>259</v>
      </c>
      <c r="G249" t="s">
        <v>18872</v>
      </c>
      <c r="H249">
        <v>18.329999999999998</v>
      </c>
      <c r="I249">
        <v>0</v>
      </c>
      <c r="J249">
        <v>0</v>
      </c>
      <c r="K249">
        <v>20</v>
      </c>
      <c r="N249">
        <v>3</v>
      </c>
      <c r="O249">
        <v>3</v>
      </c>
      <c r="P249">
        <v>4</v>
      </c>
      <c r="Q249">
        <v>2</v>
      </c>
      <c r="R249">
        <v>47.33</v>
      </c>
      <c r="S249">
        <v>36</v>
      </c>
      <c r="T249">
        <v>36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36</v>
      </c>
      <c r="AB249">
        <v>0</v>
      </c>
      <c r="AC249">
        <v>0</v>
      </c>
      <c r="AF249" t="s">
        <v>130</v>
      </c>
      <c r="AH249">
        <v>83.33</v>
      </c>
    </row>
    <row r="250" spans="1:34" x14ac:dyDescent="0.3">
      <c r="A250" s="4">
        <v>326</v>
      </c>
      <c r="B250" s="5">
        <v>243</v>
      </c>
      <c r="C250">
        <v>2804</v>
      </c>
      <c r="D250" t="s">
        <v>18873</v>
      </c>
      <c r="E250" t="s">
        <v>825</v>
      </c>
      <c r="F250" t="s">
        <v>30</v>
      </c>
      <c r="G250" t="s">
        <v>18874</v>
      </c>
      <c r="H250">
        <v>20.03</v>
      </c>
      <c r="I250">
        <v>0</v>
      </c>
      <c r="J250">
        <v>0</v>
      </c>
      <c r="K250">
        <v>0</v>
      </c>
      <c r="N250">
        <v>6</v>
      </c>
      <c r="O250">
        <v>6</v>
      </c>
      <c r="P250">
        <v>4</v>
      </c>
      <c r="Q250">
        <v>2</v>
      </c>
      <c r="R250">
        <v>32.03</v>
      </c>
      <c r="S250">
        <v>51</v>
      </c>
      <c r="T250">
        <v>51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51</v>
      </c>
      <c r="AB250">
        <v>0</v>
      </c>
      <c r="AC250">
        <v>0</v>
      </c>
      <c r="AF250" t="s">
        <v>130</v>
      </c>
      <c r="AH250">
        <v>83.03</v>
      </c>
    </row>
    <row r="251" spans="1:34" x14ac:dyDescent="0.3">
      <c r="A251" s="4">
        <v>327</v>
      </c>
      <c r="B251" s="5">
        <v>244</v>
      </c>
      <c r="C251">
        <v>10238</v>
      </c>
      <c r="D251" t="s">
        <v>17870</v>
      </c>
      <c r="E251" t="s">
        <v>22</v>
      </c>
      <c r="F251" t="s">
        <v>30</v>
      </c>
      <c r="G251" t="s">
        <v>18875</v>
      </c>
      <c r="H251">
        <v>19</v>
      </c>
      <c r="I251">
        <v>7</v>
      </c>
      <c r="J251">
        <v>0</v>
      </c>
      <c r="K251">
        <v>0</v>
      </c>
      <c r="L251">
        <v>7</v>
      </c>
      <c r="O251">
        <v>7</v>
      </c>
      <c r="P251">
        <v>0</v>
      </c>
      <c r="Q251">
        <v>0</v>
      </c>
      <c r="R251">
        <v>33</v>
      </c>
      <c r="S251">
        <v>47</v>
      </c>
      <c r="T251">
        <v>47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47</v>
      </c>
      <c r="AB251">
        <v>3</v>
      </c>
      <c r="AC251">
        <v>0</v>
      </c>
      <c r="AF251" t="s">
        <v>130</v>
      </c>
      <c r="AH251">
        <v>83</v>
      </c>
    </row>
    <row r="252" spans="1:34" x14ac:dyDescent="0.3">
      <c r="A252" s="4">
        <v>328</v>
      </c>
      <c r="B252" s="5">
        <v>245</v>
      </c>
      <c r="C252">
        <v>2805</v>
      </c>
      <c r="D252" t="s">
        <v>3630</v>
      </c>
      <c r="E252" t="s">
        <v>29</v>
      </c>
      <c r="F252" t="s">
        <v>124</v>
      </c>
      <c r="G252" t="s">
        <v>18876</v>
      </c>
      <c r="H252">
        <v>16.98</v>
      </c>
      <c r="I252">
        <v>0</v>
      </c>
      <c r="J252">
        <v>0</v>
      </c>
      <c r="K252">
        <v>0</v>
      </c>
      <c r="L252">
        <v>7</v>
      </c>
      <c r="O252">
        <v>7</v>
      </c>
      <c r="P252">
        <v>4</v>
      </c>
      <c r="Q252">
        <v>2</v>
      </c>
      <c r="R252">
        <v>29.98</v>
      </c>
      <c r="S252">
        <v>47</v>
      </c>
      <c r="T252">
        <v>47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47</v>
      </c>
      <c r="AB252">
        <v>6</v>
      </c>
      <c r="AC252">
        <v>0</v>
      </c>
      <c r="AF252" t="s">
        <v>130</v>
      </c>
      <c r="AH252">
        <v>82.98</v>
      </c>
    </row>
    <row r="253" spans="1:34" x14ac:dyDescent="0.3">
      <c r="A253" s="4">
        <v>331</v>
      </c>
      <c r="B253" s="5">
        <v>246</v>
      </c>
      <c r="C253">
        <v>1187</v>
      </c>
      <c r="D253" t="s">
        <v>18877</v>
      </c>
      <c r="E253" t="s">
        <v>26</v>
      </c>
      <c r="F253" t="s">
        <v>652</v>
      </c>
      <c r="G253" t="s">
        <v>18878</v>
      </c>
      <c r="H253">
        <v>21.8</v>
      </c>
      <c r="I253">
        <v>0</v>
      </c>
      <c r="J253">
        <v>0</v>
      </c>
      <c r="K253">
        <v>0</v>
      </c>
      <c r="O253">
        <v>0</v>
      </c>
      <c r="P253">
        <v>4</v>
      </c>
      <c r="Q253">
        <v>0</v>
      </c>
      <c r="R253">
        <v>25.8</v>
      </c>
      <c r="S253">
        <v>54</v>
      </c>
      <c r="T253">
        <v>54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54</v>
      </c>
      <c r="AB253">
        <v>3</v>
      </c>
      <c r="AC253">
        <v>0</v>
      </c>
      <c r="AF253" t="s">
        <v>130</v>
      </c>
      <c r="AH253">
        <v>82.8</v>
      </c>
    </row>
    <row r="254" spans="1:34" x14ac:dyDescent="0.3">
      <c r="A254" s="4">
        <v>332</v>
      </c>
      <c r="B254" s="5">
        <v>247</v>
      </c>
      <c r="C254">
        <v>1436</v>
      </c>
      <c r="D254" t="s">
        <v>18879</v>
      </c>
      <c r="E254" t="s">
        <v>38</v>
      </c>
      <c r="F254" t="s">
        <v>230</v>
      </c>
      <c r="G254" t="s">
        <v>18880</v>
      </c>
      <c r="H254">
        <v>17.75</v>
      </c>
      <c r="I254">
        <v>0</v>
      </c>
      <c r="J254">
        <v>0</v>
      </c>
      <c r="K254">
        <v>20</v>
      </c>
      <c r="N254">
        <v>3</v>
      </c>
      <c r="O254">
        <v>3</v>
      </c>
      <c r="P254">
        <v>4</v>
      </c>
      <c r="Q254">
        <v>2</v>
      </c>
      <c r="R254">
        <v>46.75</v>
      </c>
      <c r="S254">
        <v>36</v>
      </c>
      <c r="T254">
        <v>36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36</v>
      </c>
      <c r="AB254">
        <v>0</v>
      </c>
      <c r="AC254">
        <v>0</v>
      </c>
      <c r="AF254" t="s">
        <v>130</v>
      </c>
      <c r="AH254">
        <v>82.75</v>
      </c>
    </row>
    <row r="255" spans="1:34" x14ac:dyDescent="0.3">
      <c r="A255" s="4">
        <v>333</v>
      </c>
      <c r="B255" s="5">
        <v>248</v>
      </c>
      <c r="C255">
        <v>3784</v>
      </c>
      <c r="D255" t="s">
        <v>1857</v>
      </c>
      <c r="E255" t="s">
        <v>516</v>
      </c>
      <c r="F255" t="s">
        <v>81</v>
      </c>
      <c r="G255" t="s">
        <v>18881</v>
      </c>
      <c r="H255">
        <v>20.73</v>
      </c>
      <c r="I255">
        <v>0</v>
      </c>
      <c r="J255">
        <v>0</v>
      </c>
      <c r="K255">
        <v>0</v>
      </c>
      <c r="L255">
        <v>7</v>
      </c>
      <c r="O255">
        <v>7</v>
      </c>
      <c r="P255">
        <v>4</v>
      </c>
      <c r="Q255">
        <v>2</v>
      </c>
      <c r="R255">
        <v>33.729999999999997</v>
      </c>
      <c r="S255">
        <v>46</v>
      </c>
      <c r="T255">
        <v>46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46</v>
      </c>
      <c r="AB255">
        <v>3</v>
      </c>
      <c r="AC255">
        <v>0</v>
      </c>
      <c r="AD255" t="s">
        <v>130</v>
      </c>
      <c r="AF255" t="s">
        <v>130</v>
      </c>
      <c r="AH255">
        <v>82.73</v>
      </c>
    </row>
    <row r="256" spans="1:34" x14ac:dyDescent="0.3">
      <c r="A256" s="4">
        <v>335</v>
      </c>
      <c r="B256" s="5">
        <v>249</v>
      </c>
      <c r="C256">
        <v>1424</v>
      </c>
      <c r="D256" t="s">
        <v>18882</v>
      </c>
      <c r="E256" t="s">
        <v>132</v>
      </c>
      <c r="F256" t="s">
        <v>81</v>
      </c>
      <c r="G256" t="s">
        <v>18883</v>
      </c>
      <c r="H256">
        <v>17.579999999999998</v>
      </c>
      <c r="I256">
        <v>0</v>
      </c>
      <c r="J256">
        <v>0</v>
      </c>
      <c r="K256">
        <v>20</v>
      </c>
      <c r="L256">
        <v>7</v>
      </c>
      <c r="O256">
        <v>7</v>
      </c>
      <c r="P256">
        <v>4</v>
      </c>
      <c r="Q256">
        <v>0</v>
      </c>
      <c r="R256">
        <v>48.58</v>
      </c>
      <c r="S256">
        <v>8</v>
      </c>
      <c r="T256">
        <v>8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8</v>
      </c>
      <c r="AB256">
        <v>6</v>
      </c>
      <c r="AC256">
        <v>20</v>
      </c>
      <c r="AF256" t="s">
        <v>130</v>
      </c>
      <c r="AH256">
        <v>82.58</v>
      </c>
    </row>
    <row r="257" spans="1:34" x14ac:dyDescent="0.3">
      <c r="A257" s="4">
        <v>336</v>
      </c>
      <c r="B257" s="5">
        <v>250</v>
      </c>
      <c r="C257">
        <v>6802</v>
      </c>
      <c r="D257" t="s">
        <v>18884</v>
      </c>
      <c r="E257" t="s">
        <v>29</v>
      </c>
      <c r="F257" t="s">
        <v>11145</v>
      </c>
      <c r="G257" t="s">
        <v>18885</v>
      </c>
      <c r="H257">
        <v>18.45</v>
      </c>
      <c r="I257">
        <v>0</v>
      </c>
      <c r="J257">
        <v>0</v>
      </c>
      <c r="K257">
        <v>20</v>
      </c>
      <c r="O257">
        <v>0</v>
      </c>
      <c r="P257">
        <v>4</v>
      </c>
      <c r="Q257">
        <v>2</v>
      </c>
      <c r="R257">
        <v>44.45</v>
      </c>
      <c r="S257">
        <v>35</v>
      </c>
      <c r="T257">
        <v>35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35</v>
      </c>
      <c r="AB257">
        <v>3</v>
      </c>
      <c r="AC257">
        <v>0</v>
      </c>
      <c r="AF257" t="s">
        <v>130</v>
      </c>
      <c r="AH257">
        <v>82.45</v>
      </c>
    </row>
    <row r="258" spans="1:34" x14ac:dyDescent="0.3">
      <c r="A258" s="4">
        <v>337</v>
      </c>
      <c r="B258" s="5">
        <v>251</v>
      </c>
      <c r="C258">
        <v>2333</v>
      </c>
      <c r="D258" t="s">
        <v>18886</v>
      </c>
      <c r="E258" t="s">
        <v>563</v>
      </c>
      <c r="F258" t="s">
        <v>30</v>
      </c>
      <c r="G258" t="s">
        <v>18887</v>
      </c>
      <c r="H258">
        <v>19.399999999999999</v>
      </c>
      <c r="I258">
        <v>0</v>
      </c>
      <c r="J258">
        <v>0</v>
      </c>
      <c r="K258">
        <v>0</v>
      </c>
      <c r="N258">
        <v>3</v>
      </c>
      <c r="O258">
        <v>3</v>
      </c>
      <c r="P258">
        <v>4</v>
      </c>
      <c r="Q258">
        <v>2</v>
      </c>
      <c r="R258">
        <v>28.4</v>
      </c>
      <c r="S258">
        <v>54</v>
      </c>
      <c r="T258">
        <v>54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54</v>
      </c>
      <c r="AB258">
        <v>0</v>
      </c>
      <c r="AC258">
        <v>0</v>
      </c>
      <c r="AF258" t="s">
        <v>130</v>
      </c>
      <c r="AH258">
        <v>82.4</v>
      </c>
    </row>
    <row r="259" spans="1:34" x14ac:dyDescent="0.3">
      <c r="A259" s="4">
        <v>338</v>
      </c>
      <c r="B259" s="5">
        <v>252</v>
      </c>
      <c r="C259">
        <v>6907</v>
      </c>
      <c r="D259" t="s">
        <v>18888</v>
      </c>
      <c r="E259" t="s">
        <v>289</v>
      </c>
      <c r="F259" t="s">
        <v>158</v>
      </c>
      <c r="G259" t="s">
        <v>18889</v>
      </c>
      <c r="H259">
        <v>17.350000000000001</v>
      </c>
      <c r="I259">
        <v>0</v>
      </c>
      <c r="J259">
        <v>0</v>
      </c>
      <c r="K259">
        <v>20</v>
      </c>
      <c r="N259">
        <v>3</v>
      </c>
      <c r="O259">
        <v>3</v>
      </c>
      <c r="P259">
        <v>4</v>
      </c>
      <c r="Q259">
        <v>0</v>
      </c>
      <c r="R259">
        <v>44.35</v>
      </c>
      <c r="S259">
        <v>32</v>
      </c>
      <c r="T259">
        <v>32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32</v>
      </c>
      <c r="AB259">
        <v>6</v>
      </c>
      <c r="AC259">
        <v>0</v>
      </c>
      <c r="AF259" t="s">
        <v>130</v>
      </c>
      <c r="AH259">
        <v>82.35</v>
      </c>
    </row>
    <row r="260" spans="1:34" x14ac:dyDescent="0.3">
      <c r="A260" s="4">
        <v>340</v>
      </c>
      <c r="B260" s="5">
        <v>253</v>
      </c>
      <c r="C260">
        <v>4957</v>
      </c>
      <c r="D260" t="s">
        <v>14848</v>
      </c>
      <c r="E260" t="s">
        <v>3439</v>
      </c>
      <c r="F260" t="s">
        <v>30</v>
      </c>
      <c r="G260" t="s">
        <v>18890</v>
      </c>
      <c r="H260">
        <v>20.23</v>
      </c>
      <c r="I260">
        <v>0</v>
      </c>
      <c r="J260">
        <v>0</v>
      </c>
      <c r="K260">
        <v>20</v>
      </c>
      <c r="O260">
        <v>0</v>
      </c>
      <c r="P260">
        <v>4</v>
      </c>
      <c r="Q260">
        <v>2</v>
      </c>
      <c r="R260">
        <v>46.23</v>
      </c>
      <c r="S260">
        <v>36</v>
      </c>
      <c r="T260">
        <v>36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36</v>
      </c>
      <c r="AB260">
        <v>0</v>
      </c>
      <c r="AC260">
        <v>0</v>
      </c>
      <c r="AF260" t="s">
        <v>130</v>
      </c>
      <c r="AH260">
        <v>82.23</v>
      </c>
    </row>
    <row r="261" spans="1:34" x14ac:dyDescent="0.3">
      <c r="A261" s="4">
        <v>341</v>
      </c>
      <c r="B261" s="5">
        <v>254</v>
      </c>
      <c r="C261">
        <v>5158</v>
      </c>
      <c r="D261" t="s">
        <v>18891</v>
      </c>
      <c r="E261" t="s">
        <v>161</v>
      </c>
      <c r="F261" t="s">
        <v>18892</v>
      </c>
      <c r="G261" t="s">
        <v>18893</v>
      </c>
      <c r="H261">
        <v>18.100000000000001</v>
      </c>
      <c r="I261">
        <v>0</v>
      </c>
      <c r="J261">
        <v>0</v>
      </c>
      <c r="K261">
        <v>0</v>
      </c>
      <c r="N261">
        <v>3</v>
      </c>
      <c r="O261">
        <v>3</v>
      </c>
      <c r="P261">
        <v>4</v>
      </c>
      <c r="Q261">
        <v>0</v>
      </c>
      <c r="R261">
        <v>25.1</v>
      </c>
      <c r="S261">
        <v>54</v>
      </c>
      <c r="T261">
        <v>54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54</v>
      </c>
      <c r="AB261">
        <v>3</v>
      </c>
      <c r="AC261">
        <v>0</v>
      </c>
      <c r="AF261" t="s">
        <v>130</v>
      </c>
      <c r="AH261">
        <v>82.1</v>
      </c>
    </row>
    <row r="262" spans="1:34" x14ac:dyDescent="0.3">
      <c r="A262" s="4">
        <v>342</v>
      </c>
      <c r="B262" s="5">
        <v>255</v>
      </c>
      <c r="C262">
        <v>4474</v>
      </c>
      <c r="D262" t="s">
        <v>18894</v>
      </c>
      <c r="E262" t="s">
        <v>18895</v>
      </c>
      <c r="F262" t="s">
        <v>23</v>
      </c>
      <c r="G262" t="s">
        <v>18896</v>
      </c>
      <c r="H262">
        <v>19.079999999999998</v>
      </c>
      <c r="I262">
        <v>0</v>
      </c>
      <c r="J262">
        <v>0</v>
      </c>
      <c r="K262">
        <v>0</v>
      </c>
      <c r="N262">
        <v>3</v>
      </c>
      <c r="O262">
        <v>3</v>
      </c>
      <c r="P262">
        <v>4</v>
      </c>
      <c r="Q262">
        <v>2</v>
      </c>
      <c r="R262">
        <v>28.08</v>
      </c>
      <c r="S262">
        <v>45</v>
      </c>
      <c r="T262">
        <v>45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45</v>
      </c>
      <c r="AB262">
        <v>9</v>
      </c>
      <c r="AC262">
        <v>0</v>
      </c>
      <c r="AF262" t="s">
        <v>130</v>
      </c>
      <c r="AH262">
        <v>82.08</v>
      </c>
    </row>
    <row r="263" spans="1:34" x14ac:dyDescent="0.3">
      <c r="A263" s="4">
        <v>343</v>
      </c>
      <c r="B263" s="5">
        <v>256</v>
      </c>
      <c r="C263">
        <v>8110</v>
      </c>
      <c r="D263" t="s">
        <v>28</v>
      </c>
      <c r="E263" t="s">
        <v>182</v>
      </c>
      <c r="F263" t="s">
        <v>18897</v>
      </c>
      <c r="G263" t="s">
        <v>18898</v>
      </c>
      <c r="H263">
        <v>18.03</v>
      </c>
      <c r="I263">
        <v>0</v>
      </c>
      <c r="J263">
        <v>0</v>
      </c>
      <c r="K263">
        <v>0</v>
      </c>
      <c r="N263">
        <v>3</v>
      </c>
      <c r="O263">
        <v>3</v>
      </c>
      <c r="P263">
        <v>4</v>
      </c>
      <c r="Q263">
        <v>0</v>
      </c>
      <c r="R263">
        <v>25.03</v>
      </c>
      <c r="S263">
        <v>51</v>
      </c>
      <c r="T263">
        <v>51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51</v>
      </c>
      <c r="AB263">
        <v>6</v>
      </c>
      <c r="AC263">
        <v>0</v>
      </c>
      <c r="AF263" t="s">
        <v>130</v>
      </c>
      <c r="AH263">
        <v>82.03</v>
      </c>
    </row>
    <row r="264" spans="1:34" x14ac:dyDescent="0.3">
      <c r="A264" s="4">
        <v>345</v>
      </c>
      <c r="B264" s="5">
        <v>257</v>
      </c>
      <c r="C264">
        <v>1787</v>
      </c>
      <c r="D264" t="s">
        <v>18899</v>
      </c>
      <c r="E264" t="s">
        <v>65</v>
      </c>
      <c r="F264" t="s">
        <v>17</v>
      </c>
      <c r="G264" t="s">
        <v>18900</v>
      </c>
      <c r="H264">
        <v>17.95</v>
      </c>
      <c r="I264">
        <v>7</v>
      </c>
      <c r="J264">
        <v>0</v>
      </c>
      <c r="K264">
        <v>28</v>
      </c>
      <c r="L264">
        <v>7</v>
      </c>
      <c r="O264">
        <v>7</v>
      </c>
      <c r="P264">
        <v>4</v>
      </c>
      <c r="Q264">
        <v>2</v>
      </c>
      <c r="R264">
        <v>65.95</v>
      </c>
      <c r="S264">
        <v>10</v>
      </c>
      <c r="T264">
        <v>10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10</v>
      </c>
      <c r="AB264">
        <v>6</v>
      </c>
      <c r="AC264">
        <v>0</v>
      </c>
      <c r="AD264" t="s">
        <v>130</v>
      </c>
      <c r="AF264" t="s">
        <v>130</v>
      </c>
      <c r="AH264">
        <v>81.95</v>
      </c>
    </row>
    <row r="265" spans="1:34" x14ac:dyDescent="0.3">
      <c r="A265" s="4">
        <v>346</v>
      </c>
      <c r="B265" s="5">
        <v>258</v>
      </c>
      <c r="C265">
        <v>5512</v>
      </c>
      <c r="D265" t="s">
        <v>18901</v>
      </c>
      <c r="E265" t="s">
        <v>2088</v>
      </c>
      <c r="F265" t="s">
        <v>38</v>
      </c>
      <c r="G265" t="s">
        <v>18902</v>
      </c>
      <c r="H265">
        <v>16.88</v>
      </c>
      <c r="I265">
        <v>0</v>
      </c>
      <c r="J265">
        <v>0</v>
      </c>
      <c r="K265">
        <v>20</v>
      </c>
      <c r="N265">
        <v>3</v>
      </c>
      <c r="O265">
        <v>3</v>
      </c>
      <c r="P265">
        <v>4</v>
      </c>
      <c r="Q265">
        <v>0</v>
      </c>
      <c r="R265">
        <v>43.88</v>
      </c>
      <c r="S265">
        <v>18</v>
      </c>
      <c r="T265">
        <v>18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18</v>
      </c>
      <c r="AB265">
        <v>0</v>
      </c>
      <c r="AC265">
        <v>20</v>
      </c>
      <c r="AD265" t="s">
        <v>130</v>
      </c>
      <c r="AF265" t="s">
        <v>130</v>
      </c>
      <c r="AH265">
        <v>81.88</v>
      </c>
    </row>
    <row r="266" spans="1:34" x14ac:dyDescent="0.3">
      <c r="A266" s="4">
        <v>347</v>
      </c>
      <c r="B266" s="5">
        <v>259</v>
      </c>
      <c r="C266">
        <v>2583</v>
      </c>
      <c r="D266" t="s">
        <v>3762</v>
      </c>
      <c r="E266" t="s">
        <v>22</v>
      </c>
      <c r="F266" t="s">
        <v>17</v>
      </c>
      <c r="G266" t="s">
        <v>18903</v>
      </c>
      <c r="H266">
        <v>17.88</v>
      </c>
      <c r="I266">
        <v>0</v>
      </c>
      <c r="J266">
        <v>0</v>
      </c>
      <c r="K266">
        <v>0</v>
      </c>
      <c r="L266">
        <v>7</v>
      </c>
      <c r="O266">
        <v>7</v>
      </c>
      <c r="P266">
        <v>4</v>
      </c>
      <c r="Q266">
        <v>2</v>
      </c>
      <c r="R266">
        <v>30.88</v>
      </c>
      <c r="S266">
        <v>51</v>
      </c>
      <c r="T266">
        <v>51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51</v>
      </c>
      <c r="AB266">
        <v>0</v>
      </c>
      <c r="AC266">
        <v>0</v>
      </c>
      <c r="AF266" t="s">
        <v>130</v>
      </c>
      <c r="AH266">
        <v>81.88</v>
      </c>
    </row>
    <row r="267" spans="1:34" x14ac:dyDescent="0.3">
      <c r="A267" s="4">
        <v>348</v>
      </c>
      <c r="B267" s="5">
        <v>260</v>
      </c>
      <c r="C267">
        <v>5536</v>
      </c>
      <c r="D267" t="s">
        <v>18904</v>
      </c>
      <c r="E267" t="s">
        <v>18387</v>
      </c>
      <c r="F267" t="s">
        <v>361</v>
      </c>
      <c r="G267" t="s">
        <v>18905</v>
      </c>
      <c r="H267">
        <v>16.78</v>
      </c>
      <c r="I267">
        <v>0</v>
      </c>
      <c r="J267">
        <v>0</v>
      </c>
      <c r="K267">
        <v>0</v>
      </c>
      <c r="N267">
        <v>3</v>
      </c>
      <c r="O267">
        <v>3</v>
      </c>
      <c r="P267">
        <v>4</v>
      </c>
      <c r="Q267">
        <v>2</v>
      </c>
      <c r="R267">
        <v>25.78</v>
      </c>
      <c r="S267">
        <v>50</v>
      </c>
      <c r="T267">
        <v>50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50</v>
      </c>
      <c r="AB267">
        <v>6</v>
      </c>
      <c r="AC267">
        <v>0</v>
      </c>
      <c r="AD267" t="s">
        <v>130</v>
      </c>
      <c r="AF267" t="s">
        <v>130</v>
      </c>
      <c r="AH267">
        <v>81.78</v>
      </c>
    </row>
    <row r="268" spans="1:34" x14ac:dyDescent="0.3">
      <c r="A268" s="4">
        <v>349</v>
      </c>
      <c r="B268" s="5">
        <v>261</v>
      </c>
      <c r="C268">
        <v>7581</v>
      </c>
      <c r="D268" t="s">
        <v>3430</v>
      </c>
      <c r="E268" t="s">
        <v>789</v>
      </c>
      <c r="F268" t="s">
        <v>136</v>
      </c>
      <c r="G268" t="s">
        <v>18906</v>
      </c>
      <c r="H268">
        <v>17.7</v>
      </c>
      <c r="I268">
        <v>0</v>
      </c>
      <c r="J268">
        <v>0</v>
      </c>
      <c r="K268">
        <v>0</v>
      </c>
      <c r="N268">
        <v>3</v>
      </c>
      <c r="O268">
        <v>3</v>
      </c>
      <c r="P268">
        <v>4</v>
      </c>
      <c r="Q268">
        <v>2</v>
      </c>
      <c r="R268">
        <v>26.7</v>
      </c>
      <c r="S268">
        <v>52</v>
      </c>
      <c r="T268">
        <v>52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52</v>
      </c>
      <c r="AB268">
        <v>3</v>
      </c>
      <c r="AC268">
        <v>0</v>
      </c>
      <c r="AF268" t="s">
        <v>130</v>
      </c>
      <c r="AH268">
        <v>81.7</v>
      </c>
    </row>
    <row r="269" spans="1:34" x14ac:dyDescent="0.3">
      <c r="A269" s="4">
        <v>350</v>
      </c>
      <c r="B269" s="5">
        <v>262</v>
      </c>
      <c r="C269">
        <v>9268</v>
      </c>
      <c r="D269" t="s">
        <v>18907</v>
      </c>
      <c r="E269" t="s">
        <v>173</v>
      </c>
      <c r="F269" t="s">
        <v>81</v>
      </c>
      <c r="G269" t="s">
        <v>18908</v>
      </c>
      <c r="H269">
        <v>15.6</v>
      </c>
      <c r="I269">
        <v>0</v>
      </c>
      <c r="J269">
        <v>0</v>
      </c>
      <c r="K269">
        <v>20</v>
      </c>
      <c r="N269">
        <v>3</v>
      </c>
      <c r="O269">
        <v>3</v>
      </c>
      <c r="P269">
        <v>4</v>
      </c>
      <c r="Q269">
        <v>0</v>
      </c>
      <c r="R269">
        <v>42.6</v>
      </c>
      <c r="S269">
        <v>36</v>
      </c>
      <c r="T269">
        <v>36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36</v>
      </c>
      <c r="AB269">
        <v>3</v>
      </c>
      <c r="AC269">
        <v>0</v>
      </c>
      <c r="AF269" t="s">
        <v>130</v>
      </c>
      <c r="AH269">
        <v>81.599999999999994</v>
      </c>
    </row>
    <row r="270" spans="1:34" x14ac:dyDescent="0.3">
      <c r="A270" s="4">
        <v>352</v>
      </c>
      <c r="B270" s="5">
        <v>263</v>
      </c>
      <c r="C270">
        <v>7505</v>
      </c>
      <c r="D270" t="s">
        <v>11633</v>
      </c>
      <c r="E270" t="s">
        <v>147</v>
      </c>
      <c r="F270" t="s">
        <v>38</v>
      </c>
      <c r="G270" t="s">
        <v>18909</v>
      </c>
      <c r="H270">
        <v>17.5</v>
      </c>
      <c r="I270">
        <v>0</v>
      </c>
      <c r="J270">
        <v>0</v>
      </c>
      <c r="K270">
        <v>20</v>
      </c>
      <c r="L270">
        <v>7</v>
      </c>
      <c r="O270">
        <v>7</v>
      </c>
      <c r="P270">
        <v>4</v>
      </c>
      <c r="Q270">
        <v>0</v>
      </c>
      <c r="R270">
        <v>48.5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6</v>
      </c>
      <c r="AC270">
        <v>26.8</v>
      </c>
      <c r="AF270" t="s">
        <v>130</v>
      </c>
      <c r="AH270">
        <v>81.3</v>
      </c>
    </row>
    <row r="271" spans="1:34" x14ac:dyDescent="0.3">
      <c r="A271" s="4">
        <v>353</v>
      </c>
      <c r="B271" s="5">
        <v>264</v>
      </c>
      <c r="C271">
        <v>24</v>
      </c>
      <c r="D271" t="s">
        <v>18910</v>
      </c>
      <c r="E271" t="s">
        <v>29</v>
      </c>
      <c r="F271" t="s">
        <v>38</v>
      </c>
      <c r="G271" t="s">
        <v>18911</v>
      </c>
      <c r="H271">
        <v>18.3</v>
      </c>
      <c r="I271">
        <v>0</v>
      </c>
      <c r="J271">
        <v>0</v>
      </c>
      <c r="K271">
        <v>0</v>
      </c>
      <c r="N271">
        <v>3</v>
      </c>
      <c r="O271">
        <v>3</v>
      </c>
      <c r="P271">
        <v>4</v>
      </c>
      <c r="Q271">
        <v>2</v>
      </c>
      <c r="R271">
        <v>27.3</v>
      </c>
      <c r="S271">
        <v>54</v>
      </c>
      <c r="T271">
        <v>54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54</v>
      </c>
      <c r="AB271">
        <v>0</v>
      </c>
      <c r="AC271">
        <v>0</v>
      </c>
      <c r="AD271" t="s">
        <v>130</v>
      </c>
      <c r="AF271" t="s">
        <v>130</v>
      </c>
      <c r="AH271">
        <v>81.3</v>
      </c>
    </row>
    <row r="272" spans="1:34" x14ac:dyDescent="0.3">
      <c r="A272" s="4">
        <v>355</v>
      </c>
      <c r="B272" s="5">
        <v>265</v>
      </c>
      <c r="C272">
        <v>7982</v>
      </c>
      <c r="D272" t="s">
        <v>18912</v>
      </c>
      <c r="E272" t="s">
        <v>41</v>
      </c>
      <c r="F272" t="s">
        <v>79</v>
      </c>
      <c r="G272" t="s">
        <v>18913</v>
      </c>
      <c r="H272">
        <v>19.850000000000001</v>
      </c>
      <c r="I272">
        <v>0</v>
      </c>
      <c r="J272">
        <v>0</v>
      </c>
      <c r="K272">
        <v>20</v>
      </c>
      <c r="O272">
        <v>0</v>
      </c>
      <c r="P272">
        <v>4</v>
      </c>
      <c r="Q272">
        <v>2</v>
      </c>
      <c r="R272">
        <v>45.85</v>
      </c>
      <c r="S272">
        <v>35</v>
      </c>
      <c r="T272">
        <v>35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35</v>
      </c>
      <c r="AB272">
        <v>0</v>
      </c>
      <c r="AC272">
        <v>0</v>
      </c>
      <c r="AF272" t="s">
        <v>130</v>
      </c>
      <c r="AH272">
        <v>80.849999999999994</v>
      </c>
    </row>
    <row r="273" spans="1:34" x14ac:dyDescent="0.3">
      <c r="A273" s="4">
        <v>356</v>
      </c>
      <c r="B273" s="5">
        <v>266</v>
      </c>
      <c r="C273">
        <v>2646</v>
      </c>
      <c r="D273" t="s">
        <v>3181</v>
      </c>
      <c r="E273" t="s">
        <v>2150</v>
      </c>
      <c r="F273" t="s">
        <v>17</v>
      </c>
      <c r="G273" t="s">
        <v>18914</v>
      </c>
      <c r="H273">
        <v>16.829999999999998</v>
      </c>
      <c r="I273">
        <v>0</v>
      </c>
      <c r="J273">
        <v>0</v>
      </c>
      <c r="K273">
        <v>20</v>
      </c>
      <c r="L273">
        <v>7</v>
      </c>
      <c r="O273">
        <v>7</v>
      </c>
      <c r="P273">
        <v>4</v>
      </c>
      <c r="Q273">
        <v>0</v>
      </c>
      <c r="R273">
        <v>47.83</v>
      </c>
      <c r="S273">
        <v>33</v>
      </c>
      <c r="T273">
        <v>33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33</v>
      </c>
      <c r="AB273">
        <v>0</v>
      </c>
      <c r="AC273">
        <v>0</v>
      </c>
      <c r="AF273" t="s">
        <v>130</v>
      </c>
      <c r="AH273">
        <v>80.83</v>
      </c>
    </row>
    <row r="274" spans="1:34" x14ac:dyDescent="0.3">
      <c r="A274" s="4">
        <v>357</v>
      </c>
      <c r="B274" s="5">
        <v>267</v>
      </c>
      <c r="C274">
        <v>14583</v>
      </c>
      <c r="D274" t="s">
        <v>221</v>
      </c>
      <c r="E274" t="s">
        <v>100</v>
      </c>
      <c r="F274" t="s">
        <v>652</v>
      </c>
      <c r="G274" t="s">
        <v>18915</v>
      </c>
      <c r="H274">
        <v>18.8</v>
      </c>
      <c r="I274">
        <v>0</v>
      </c>
      <c r="J274">
        <v>0</v>
      </c>
      <c r="K274">
        <v>20</v>
      </c>
      <c r="L274">
        <v>7</v>
      </c>
      <c r="N274">
        <v>3</v>
      </c>
      <c r="O274">
        <v>10</v>
      </c>
      <c r="P274">
        <v>4</v>
      </c>
      <c r="Q274">
        <v>2</v>
      </c>
      <c r="R274">
        <v>54.8</v>
      </c>
      <c r="S274">
        <v>26</v>
      </c>
      <c r="T274">
        <v>26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26</v>
      </c>
      <c r="AB274">
        <v>0</v>
      </c>
      <c r="AC274">
        <v>0</v>
      </c>
      <c r="AF274" t="s">
        <v>130</v>
      </c>
      <c r="AH274">
        <v>80.8</v>
      </c>
    </row>
    <row r="275" spans="1:34" x14ac:dyDescent="0.3">
      <c r="A275" s="4">
        <v>358</v>
      </c>
      <c r="B275" s="5">
        <v>268</v>
      </c>
      <c r="C275">
        <v>72</v>
      </c>
      <c r="D275" t="s">
        <v>3662</v>
      </c>
      <c r="E275" t="s">
        <v>1084</v>
      </c>
      <c r="F275" t="s">
        <v>68</v>
      </c>
      <c r="G275" t="s">
        <v>18916</v>
      </c>
      <c r="H275">
        <v>17.7</v>
      </c>
      <c r="I275">
        <v>0</v>
      </c>
      <c r="J275">
        <v>0</v>
      </c>
      <c r="K275">
        <v>20</v>
      </c>
      <c r="N275">
        <v>3</v>
      </c>
      <c r="O275">
        <v>3</v>
      </c>
      <c r="P275">
        <v>4</v>
      </c>
      <c r="Q275">
        <v>0</v>
      </c>
      <c r="R275">
        <v>44.7</v>
      </c>
      <c r="S275">
        <v>36</v>
      </c>
      <c r="T275">
        <v>36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36</v>
      </c>
      <c r="AB275">
        <v>0</v>
      </c>
      <c r="AC275">
        <v>0</v>
      </c>
      <c r="AF275" t="s">
        <v>130</v>
      </c>
      <c r="AH275">
        <v>80.7</v>
      </c>
    </row>
    <row r="276" spans="1:34" x14ac:dyDescent="0.3">
      <c r="A276" s="4">
        <v>359</v>
      </c>
      <c r="B276" s="5">
        <v>269</v>
      </c>
      <c r="C276">
        <v>7975</v>
      </c>
      <c r="D276" t="s">
        <v>18917</v>
      </c>
      <c r="E276" t="s">
        <v>18918</v>
      </c>
      <c r="F276" t="s">
        <v>18919</v>
      </c>
      <c r="G276" t="s">
        <v>18920</v>
      </c>
      <c r="H276">
        <v>18.600000000000001</v>
      </c>
      <c r="I276">
        <v>0</v>
      </c>
      <c r="J276">
        <v>0</v>
      </c>
      <c r="K276">
        <v>20</v>
      </c>
      <c r="O276">
        <v>0</v>
      </c>
      <c r="P276">
        <v>4</v>
      </c>
      <c r="Q276">
        <v>2</v>
      </c>
      <c r="R276">
        <v>44.6</v>
      </c>
      <c r="S276">
        <v>10</v>
      </c>
      <c r="T276">
        <v>10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10</v>
      </c>
      <c r="AB276">
        <v>6</v>
      </c>
      <c r="AC276">
        <v>20</v>
      </c>
      <c r="AD276" t="s">
        <v>130</v>
      </c>
      <c r="AF276" t="s">
        <v>130</v>
      </c>
      <c r="AH276">
        <v>80.599999999999994</v>
      </c>
    </row>
    <row r="277" spans="1:34" x14ac:dyDescent="0.3">
      <c r="A277" s="4">
        <v>360</v>
      </c>
      <c r="B277" s="5">
        <v>270</v>
      </c>
      <c r="C277">
        <v>2766</v>
      </c>
      <c r="D277" t="s">
        <v>18921</v>
      </c>
      <c r="E277" t="s">
        <v>286</v>
      </c>
      <c r="F277" t="s">
        <v>2225</v>
      </c>
      <c r="G277" t="s">
        <v>18922</v>
      </c>
      <c r="H277">
        <v>20.58</v>
      </c>
      <c r="I277">
        <v>0</v>
      </c>
      <c r="J277">
        <v>0</v>
      </c>
      <c r="K277">
        <v>0</v>
      </c>
      <c r="L277">
        <v>7</v>
      </c>
      <c r="O277">
        <v>7</v>
      </c>
      <c r="P277">
        <v>4</v>
      </c>
      <c r="Q277">
        <v>2</v>
      </c>
      <c r="R277">
        <v>33.58</v>
      </c>
      <c r="S277">
        <v>47</v>
      </c>
      <c r="T277">
        <v>47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47</v>
      </c>
      <c r="AB277">
        <v>0</v>
      </c>
      <c r="AC277">
        <v>0</v>
      </c>
      <c r="AF277" t="s">
        <v>130</v>
      </c>
      <c r="AH277">
        <v>80.58</v>
      </c>
    </row>
    <row r="278" spans="1:34" x14ac:dyDescent="0.3">
      <c r="A278" s="4">
        <v>361</v>
      </c>
      <c r="B278" s="5">
        <v>271</v>
      </c>
      <c r="C278">
        <v>8759</v>
      </c>
      <c r="D278" t="s">
        <v>18923</v>
      </c>
      <c r="E278" t="s">
        <v>88</v>
      </c>
      <c r="F278" t="s">
        <v>136</v>
      </c>
      <c r="G278" t="s">
        <v>18924</v>
      </c>
      <c r="H278">
        <v>18.5</v>
      </c>
      <c r="I278">
        <v>0</v>
      </c>
      <c r="J278">
        <v>0</v>
      </c>
      <c r="K278">
        <v>20</v>
      </c>
      <c r="O278">
        <v>0</v>
      </c>
      <c r="P278">
        <v>4</v>
      </c>
      <c r="Q278">
        <v>2</v>
      </c>
      <c r="R278">
        <v>44.5</v>
      </c>
      <c r="S278">
        <v>30</v>
      </c>
      <c r="T278">
        <v>30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30</v>
      </c>
      <c r="AB278">
        <v>6</v>
      </c>
      <c r="AC278">
        <v>0</v>
      </c>
      <c r="AF278" t="s">
        <v>130</v>
      </c>
      <c r="AH278">
        <v>80.5</v>
      </c>
    </row>
    <row r="279" spans="1:34" x14ac:dyDescent="0.3">
      <c r="A279" s="4">
        <v>362</v>
      </c>
      <c r="B279" s="5">
        <v>272</v>
      </c>
      <c r="C279">
        <v>3432</v>
      </c>
      <c r="D279" t="s">
        <v>944</v>
      </c>
      <c r="E279" t="s">
        <v>166</v>
      </c>
      <c r="F279" t="s">
        <v>385</v>
      </c>
      <c r="G279" t="s">
        <v>18925</v>
      </c>
      <c r="H279">
        <v>18.5</v>
      </c>
      <c r="I279">
        <v>0</v>
      </c>
      <c r="J279">
        <v>0</v>
      </c>
      <c r="K279">
        <v>28</v>
      </c>
      <c r="L279">
        <v>7</v>
      </c>
      <c r="O279">
        <v>7</v>
      </c>
      <c r="P279">
        <v>4</v>
      </c>
      <c r="Q279">
        <v>2</v>
      </c>
      <c r="R279">
        <v>59.5</v>
      </c>
      <c r="S279">
        <v>8</v>
      </c>
      <c r="T279">
        <v>8</v>
      </c>
      <c r="U279">
        <v>0</v>
      </c>
      <c r="V279">
        <v>0</v>
      </c>
      <c r="W279">
        <v>7</v>
      </c>
      <c r="X279">
        <v>10</v>
      </c>
      <c r="Y279">
        <v>0</v>
      </c>
      <c r="Z279">
        <v>0</v>
      </c>
      <c r="AA279">
        <v>18</v>
      </c>
      <c r="AB279">
        <v>3</v>
      </c>
      <c r="AC279">
        <v>0</v>
      </c>
      <c r="AF279" t="s">
        <v>130</v>
      </c>
      <c r="AH279">
        <v>80.5</v>
      </c>
    </row>
    <row r="280" spans="1:34" x14ac:dyDescent="0.3">
      <c r="A280" s="4">
        <v>363</v>
      </c>
      <c r="B280" s="5">
        <v>273</v>
      </c>
      <c r="C280">
        <v>938</v>
      </c>
      <c r="D280" t="s">
        <v>11925</v>
      </c>
      <c r="E280" t="s">
        <v>33</v>
      </c>
      <c r="F280" t="s">
        <v>20</v>
      </c>
      <c r="G280" t="s">
        <v>18926</v>
      </c>
      <c r="H280">
        <v>17.350000000000001</v>
      </c>
      <c r="I280">
        <v>0</v>
      </c>
      <c r="J280">
        <v>0</v>
      </c>
      <c r="K280">
        <v>20</v>
      </c>
      <c r="N280">
        <v>3</v>
      </c>
      <c r="O280">
        <v>3</v>
      </c>
      <c r="P280">
        <v>4</v>
      </c>
      <c r="Q280">
        <v>2</v>
      </c>
      <c r="R280">
        <v>46.35</v>
      </c>
      <c r="S280">
        <v>28</v>
      </c>
      <c r="T280">
        <v>28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28</v>
      </c>
      <c r="AB280">
        <v>6</v>
      </c>
      <c r="AC280">
        <v>0</v>
      </c>
      <c r="AF280" t="s">
        <v>130</v>
      </c>
      <c r="AH280">
        <v>80.349999999999994</v>
      </c>
    </row>
    <row r="281" spans="1:34" x14ac:dyDescent="0.3">
      <c r="A281" s="4">
        <v>365</v>
      </c>
      <c r="B281" s="5">
        <v>274</v>
      </c>
      <c r="C281">
        <v>360</v>
      </c>
      <c r="D281" t="s">
        <v>18927</v>
      </c>
      <c r="E281" t="s">
        <v>20</v>
      </c>
      <c r="F281" t="s">
        <v>18928</v>
      </c>
      <c r="G281" t="s">
        <v>18929</v>
      </c>
      <c r="H281">
        <v>16.329999999999998</v>
      </c>
      <c r="I281">
        <v>7</v>
      </c>
      <c r="J281">
        <v>0</v>
      </c>
      <c r="K281">
        <v>20</v>
      </c>
      <c r="O281">
        <v>0</v>
      </c>
      <c r="P281">
        <v>4</v>
      </c>
      <c r="Q281">
        <v>0</v>
      </c>
      <c r="R281">
        <v>47.33</v>
      </c>
      <c r="S281">
        <v>18</v>
      </c>
      <c r="T281">
        <v>18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18</v>
      </c>
      <c r="AB281">
        <v>15</v>
      </c>
      <c r="AC281">
        <v>0</v>
      </c>
      <c r="AF281" t="s">
        <v>130</v>
      </c>
      <c r="AH281">
        <v>80.33</v>
      </c>
    </row>
    <row r="282" spans="1:34" x14ac:dyDescent="0.3">
      <c r="A282" s="4">
        <v>366</v>
      </c>
      <c r="B282" s="5">
        <v>275</v>
      </c>
      <c r="C282">
        <v>1759</v>
      </c>
      <c r="D282" t="s">
        <v>18930</v>
      </c>
      <c r="E282" t="s">
        <v>149</v>
      </c>
      <c r="F282" t="s">
        <v>62</v>
      </c>
      <c r="G282" t="s">
        <v>18931</v>
      </c>
      <c r="H282">
        <v>22.25</v>
      </c>
      <c r="I282">
        <v>7</v>
      </c>
      <c r="J282">
        <v>0</v>
      </c>
      <c r="K282">
        <v>0</v>
      </c>
      <c r="N282">
        <v>3</v>
      </c>
      <c r="O282">
        <v>3</v>
      </c>
      <c r="P282">
        <v>4</v>
      </c>
      <c r="Q282">
        <v>2</v>
      </c>
      <c r="R282">
        <v>38.25</v>
      </c>
      <c r="S282">
        <v>36</v>
      </c>
      <c r="T282">
        <v>36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36</v>
      </c>
      <c r="AB282">
        <v>6</v>
      </c>
      <c r="AC282">
        <v>0</v>
      </c>
      <c r="AF282" t="s">
        <v>130</v>
      </c>
      <c r="AH282">
        <v>80.25</v>
      </c>
    </row>
    <row r="283" spans="1:34" x14ac:dyDescent="0.3">
      <c r="A283" s="4">
        <v>367</v>
      </c>
      <c r="B283" s="5">
        <v>276</v>
      </c>
      <c r="C283">
        <v>11050</v>
      </c>
      <c r="D283" t="s">
        <v>322</v>
      </c>
      <c r="E283" t="s">
        <v>188</v>
      </c>
      <c r="F283" t="s">
        <v>136</v>
      </c>
      <c r="G283" t="s">
        <v>18932</v>
      </c>
      <c r="H283">
        <v>19.18</v>
      </c>
      <c r="I283">
        <v>0</v>
      </c>
      <c r="J283">
        <v>0</v>
      </c>
      <c r="K283">
        <v>20</v>
      </c>
      <c r="N283">
        <v>3</v>
      </c>
      <c r="O283">
        <v>3</v>
      </c>
      <c r="P283">
        <v>4</v>
      </c>
      <c r="Q283">
        <v>2</v>
      </c>
      <c r="R283">
        <v>48.18</v>
      </c>
      <c r="S283">
        <v>32</v>
      </c>
      <c r="T283">
        <v>32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32</v>
      </c>
      <c r="AB283">
        <v>0</v>
      </c>
      <c r="AC283">
        <v>0</v>
      </c>
      <c r="AD283" t="s">
        <v>130</v>
      </c>
      <c r="AF283" t="s">
        <v>130</v>
      </c>
      <c r="AH283">
        <v>80.180000000000007</v>
      </c>
    </row>
    <row r="284" spans="1:34" x14ac:dyDescent="0.3">
      <c r="A284" s="4">
        <v>368</v>
      </c>
      <c r="B284" s="5">
        <v>277</v>
      </c>
      <c r="C284">
        <v>590</v>
      </c>
      <c r="D284" t="s">
        <v>18933</v>
      </c>
      <c r="E284" t="s">
        <v>18934</v>
      </c>
      <c r="F284" t="s">
        <v>30</v>
      </c>
      <c r="G284" t="s">
        <v>18935</v>
      </c>
      <c r="H284">
        <v>19.13</v>
      </c>
      <c r="I284">
        <v>0</v>
      </c>
      <c r="J284">
        <v>0</v>
      </c>
      <c r="K284">
        <v>20</v>
      </c>
      <c r="L284">
        <v>7</v>
      </c>
      <c r="O284">
        <v>7</v>
      </c>
      <c r="P284">
        <v>4</v>
      </c>
      <c r="Q284">
        <v>2</v>
      </c>
      <c r="R284">
        <v>52.13</v>
      </c>
      <c r="S284">
        <v>28</v>
      </c>
      <c r="T284">
        <v>28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28</v>
      </c>
      <c r="AB284">
        <v>0</v>
      </c>
      <c r="AC284">
        <v>0</v>
      </c>
      <c r="AD284" t="s">
        <v>130</v>
      </c>
      <c r="AF284" t="s">
        <v>130</v>
      </c>
      <c r="AH284">
        <v>80.13</v>
      </c>
    </row>
    <row r="285" spans="1:34" x14ac:dyDescent="0.3">
      <c r="A285" s="4">
        <v>369</v>
      </c>
      <c r="B285" s="5">
        <v>278</v>
      </c>
      <c r="C285">
        <v>13276</v>
      </c>
      <c r="D285" t="s">
        <v>8546</v>
      </c>
      <c r="E285" t="s">
        <v>173</v>
      </c>
      <c r="F285" t="s">
        <v>68</v>
      </c>
      <c r="G285" t="s">
        <v>18936</v>
      </c>
      <c r="H285">
        <v>19.100000000000001</v>
      </c>
      <c r="I285">
        <v>7</v>
      </c>
      <c r="J285">
        <v>0</v>
      </c>
      <c r="K285">
        <v>20</v>
      </c>
      <c r="L285">
        <v>7</v>
      </c>
      <c r="M285">
        <v>5</v>
      </c>
      <c r="O285">
        <v>12</v>
      </c>
      <c r="P285">
        <v>4</v>
      </c>
      <c r="Q285">
        <v>0</v>
      </c>
      <c r="R285">
        <v>62.1</v>
      </c>
      <c r="S285">
        <v>18</v>
      </c>
      <c r="T285">
        <v>18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18</v>
      </c>
      <c r="AB285">
        <v>0</v>
      </c>
      <c r="AC285">
        <v>0</v>
      </c>
      <c r="AF285" t="s">
        <v>130</v>
      </c>
      <c r="AH285">
        <v>80.099999999999994</v>
      </c>
    </row>
    <row r="286" spans="1:34" x14ac:dyDescent="0.3">
      <c r="A286" s="4">
        <v>370</v>
      </c>
      <c r="B286" s="5">
        <v>279</v>
      </c>
      <c r="C286">
        <v>9596</v>
      </c>
      <c r="D286" t="s">
        <v>18937</v>
      </c>
      <c r="E286" t="s">
        <v>692</v>
      </c>
      <c r="F286" t="s">
        <v>81</v>
      </c>
      <c r="G286" t="s">
        <v>18938</v>
      </c>
      <c r="H286">
        <v>18.25</v>
      </c>
      <c r="I286">
        <v>0</v>
      </c>
      <c r="J286">
        <v>0</v>
      </c>
      <c r="K286">
        <v>20</v>
      </c>
      <c r="N286">
        <v>3</v>
      </c>
      <c r="O286">
        <v>3</v>
      </c>
      <c r="P286">
        <v>4</v>
      </c>
      <c r="Q286">
        <v>2</v>
      </c>
      <c r="R286">
        <v>47.25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6</v>
      </c>
      <c r="AC286">
        <v>26.8</v>
      </c>
      <c r="AF286" t="s">
        <v>130</v>
      </c>
      <c r="AH286">
        <v>80.05</v>
      </c>
    </row>
    <row r="287" spans="1:34" x14ac:dyDescent="0.3">
      <c r="A287" s="4">
        <v>371</v>
      </c>
      <c r="B287" s="5">
        <v>280</v>
      </c>
      <c r="C287">
        <v>12814</v>
      </c>
      <c r="D287" t="s">
        <v>18939</v>
      </c>
      <c r="E287" t="s">
        <v>51</v>
      </c>
      <c r="F287" t="s">
        <v>30</v>
      </c>
      <c r="G287" t="s">
        <v>18940</v>
      </c>
      <c r="H287">
        <v>18</v>
      </c>
      <c r="I287">
        <v>0</v>
      </c>
      <c r="J287">
        <v>0</v>
      </c>
      <c r="K287">
        <v>0</v>
      </c>
      <c r="L287">
        <v>7</v>
      </c>
      <c r="O287">
        <v>7</v>
      </c>
      <c r="P287">
        <v>4</v>
      </c>
      <c r="Q287">
        <v>2</v>
      </c>
      <c r="R287">
        <v>31</v>
      </c>
      <c r="S287">
        <v>46</v>
      </c>
      <c r="T287">
        <v>46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46</v>
      </c>
      <c r="AB287">
        <v>3</v>
      </c>
      <c r="AC287">
        <v>0</v>
      </c>
      <c r="AF287" t="s">
        <v>130</v>
      </c>
      <c r="AH287">
        <v>80</v>
      </c>
    </row>
    <row r="288" spans="1:34" x14ac:dyDescent="0.3">
      <c r="A288" s="4">
        <v>372</v>
      </c>
      <c r="B288" s="5">
        <v>281</v>
      </c>
      <c r="C288">
        <v>1550</v>
      </c>
      <c r="D288" t="s">
        <v>18941</v>
      </c>
      <c r="E288" t="s">
        <v>208</v>
      </c>
      <c r="F288" t="s">
        <v>136</v>
      </c>
      <c r="G288" t="s">
        <v>18942</v>
      </c>
      <c r="H288">
        <v>15.98</v>
      </c>
      <c r="I288">
        <v>0</v>
      </c>
      <c r="J288">
        <v>0</v>
      </c>
      <c r="K288">
        <v>20</v>
      </c>
      <c r="L288">
        <v>7</v>
      </c>
      <c r="N288">
        <v>3</v>
      </c>
      <c r="O288">
        <v>10</v>
      </c>
      <c r="P288">
        <v>4</v>
      </c>
      <c r="Q288">
        <v>2</v>
      </c>
      <c r="R288">
        <v>51.98</v>
      </c>
      <c r="S288">
        <v>28</v>
      </c>
      <c r="T288">
        <v>28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28</v>
      </c>
      <c r="AB288">
        <v>0</v>
      </c>
      <c r="AC288">
        <v>0</v>
      </c>
      <c r="AF288" t="s">
        <v>130</v>
      </c>
      <c r="AH288">
        <v>79.98</v>
      </c>
    </row>
    <row r="289" spans="1:34" x14ac:dyDescent="0.3">
      <c r="A289" s="4">
        <v>373</v>
      </c>
      <c r="B289" s="5">
        <v>282</v>
      </c>
      <c r="C289">
        <v>9401</v>
      </c>
      <c r="D289" t="s">
        <v>11832</v>
      </c>
      <c r="E289" t="s">
        <v>182</v>
      </c>
      <c r="F289" t="s">
        <v>346</v>
      </c>
      <c r="G289" t="s">
        <v>18943</v>
      </c>
      <c r="H289">
        <v>17.93</v>
      </c>
      <c r="I289">
        <v>0</v>
      </c>
      <c r="J289">
        <v>0</v>
      </c>
      <c r="K289">
        <v>20</v>
      </c>
      <c r="O289">
        <v>0</v>
      </c>
      <c r="P289">
        <v>4</v>
      </c>
      <c r="Q289">
        <v>2</v>
      </c>
      <c r="R289">
        <v>43.93</v>
      </c>
      <c r="S289">
        <v>36</v>
      </c>
      <c r="T289">
        <v>36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36</v>
      </c>
      <c r="AB289">
        <v>0</v>
      </c>
      <c r="AC289">
        <v>0</v>
      </c>
      <c r="AF289" t="s">
        <v>130</v>
      </c>
      <c r="AH289">
        <v>79.930000000000007</v>
      </c>
    </row>
    <row r="290" spans="1:34" x14ac:dyDescent="0.3">
      <c r="A290" s="4">
        <v>374</v>
      </c>
      <c r="B290" s="5">
        <v>283</v>
      </c>
      <c r="C290">
        <v>12689</v>
      </c>
      <c r="D290" t="s">
        <v>18944</v>
      </c>
      <c r="E290" t="s">
        <v>88</v>
      </c>
      <c r="F290" t="s">
        <v>158</v>
      </c>
      <c r="G290" t="s">
        <v>18945</v>
      </c>
      <c r="H290">
        <v>17.899999999999999</v>
      </c>
      <c r="I290">
        <v>0</v>
      </c>
      <c r="J290">
        <v>0</v>
      </c>
      <c r="K290">
        <v>0</v>
      </c>
      <c r="M290">
        <v>5</v>
      </c>
      <c r="O290">
        <v>5</v>
      </c>
      <c r="P290">
        <v>4</v>
      </c>
      <c r="Q290">
        <v>2</v>
      </c>
      <c r="R290">
        <v>28.9</v>
      </c>
      <c r="S290">
        <v>25</v>
      </c>
      <c r="T290">
        <v>25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25</v>
      </c>
      <c r="AB290">
        <v>6</v>
      </c>
      <c r="AC290">
        <v>20</v>
      </c>
      <c r="AF290" t="s">
        <v>130</v>
      </c>
      <c r="AH290">
        <v>79.900000000000006</v>
      </c>
    </row>
    <row r="291" spans="1:34" x14ac:dyDescent="0.3">
      <c r="A291" s="4">
        <v>375</v>
      </c>
      <c r="B291" s="5">
        <v>284</v>
      </c>
      <c r="C291">
        <v>6681</v>
      </c>
      <c r="D291" t="s">
        <v>18946</v>
      </c>
      <c r="E291" t="s">
        <v>161</v>
      </c>
      <c r="F291" t="s">
        <v>30</v>
      </c>
      <c r="G291" t="s">
        <v>18947</v>
      </c>
      <c r="H291">
        <v>17.8</v>
      </c>
      <c r="I291">
        <v>0</v>
      </c>
      <c r="J291">
        <v>0</v>
      </c>
      <c r="K291">
        <v>0</v>
      </c>
      <c r="O291">
        <v>0</v>
      </c>
      <c r="P291">
        <v>0</v>
      </c>
      <c r="Q291">
        <v>2</v>
      </c>
      <c r="R291">
        <v>19.8</v>
      </c>
      <c r="S291">
        <v>60</v>
      </c>
      <c r="T291">
        <v>60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60</v>
      </c>
      <c r="AB291">
        <v>0</v>
      </c>
      <c r="AC291">
        <v>0</v>
      </c>
      <c r="AF291" t="s">
        <v>130</v>
      </c>
      <c r="AH291">
        <v>79.8</v>
      </c>
    </row>
    <row r="292" spans="1:34" x14ac:dyDescent="0.3">
      <c r="A292" s="4">
        <v>376</v>
      </c>
      <c r="B292" s="5">
        <v>285</v>
      </c>
      <c r="C292">
        <v>2621</v>
      </c>
      <c r="D292" t="s">
        <v>18948</v>
      </c>
      <c r="E292" t="s">
        <v>54</v>
      </c>
      <c r="F292" t="s">
        <v>158</v>
      </c>
      <c r="G292" t="s">
        <v>18949</v>
      </c>
      <c r="H292">
        <v>18.78</v>
      </c>
      <c r="I292">
        <v>0</v>
      </c>
      <c r="J292">
        <v>0</v>
      </c>
      <c r="K292">
        <v>0</v>
      </c>
      <c r="N292">
        <v>3</v>
      </c>
      <c r="O292">
        <v>3</v>
      </c>
      <c r="P292">
        <v>4</v>
      </c>
      <c r="Q292">
        <v>2</v>
      </c>
      <c r="R292">
        <v>27.78</v>
      </c>
      <c r="S292">
        <v>52</v>
      </c>
      <c r="T292">
        <v>52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52</v>
      </c>
      <c r="AB292">
        <v>0</v>
      </c>
      <c r="AC292">
        <v>0</v>
      </c>
      <c r="AE292" t="s">
        <v>130</v>
      </c>
      <c r="AF292" t="s">
        <v>130</v>
      </c>
      <c r="AH292">
        <v>79.78</v>
      </c>
    </row>
    <row r="293" spans="1:34" x14ac:dyDescent="0.3">
      <c r="A293" s="4">
        <v>377</v>
      </c>
      <c r="B293" s="5">
        <v>286</v>
      </c>
      <c r="C293">
        <v>13240</v>
      </c>
      <c r="D293" t="s">
        <v>18950</v>
      </c>
      <c r="E293" t="s">
        <v>17</v>
      </c>
      <c r="F293" t="s">
        <v>20</v>
      </c>
      <c r="G293" t="s">
        <v>18951</v>
      </c>
      <c r="H293">
        <v>18.7</v>
      </c>
      <c r="I293">
        <v>0</v>
      </c>
      <c r="J293">
        <v>0</v>
      </c>
      <c r="K293">
        <v>0</v>
      </c>
      <c r="N293">
        <v>3</v>
      </c>
      <c r="O293">
        <v>3</v>
      </c>
      <c r="P293">
        <v>4</v>
      </c>
      <c r="Q293">
        <v>0</v>
      </c>
      <c r="R293">
        <v>25.7</v>
      </c>
      <c r="S293">
        <v>54</v>
      </c>
      <c r="T293">
        <v>54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54</v>
      </c>
      <c r="AB293">
        <v>0</v>
      </c>
      <c r="AC293">
        <v>0</v>
      </c>
      <c r="AF293" t="s">
        <v>130</v>
      </c>
      <c r="AH293">
        <v>79.7</v>
      </c>
    </row>
    <row r="294" spans="1:34" x14ac:dyDescent="0.3">
      <c r="A294" s="4">
        <v>378</v>
      </c>
      <c r="B294" s="5">
        <v>287</v>
      </c>
      <c r="C294">
        <v>12609</v>
      </c>
      <c r="D294" t="s">
        <v>6906</v>
      </c>
      <c r="E294" t="s">
        <v>188</v>
      </c>
      <c r="F294" t="s">
        <v>38</v>
      </c>
      <c r="G294" t="s">
        <v>18952</v>
      </c>
      <c r="H294">
        <v>21.65</v>
      </c>
      <c r="I294">
        <v>0</v>
      </c>
      <c r="J294">
        <v>0</v>
      </c>
      <c r="K294">
        <v>0</v>
      </c>
      <c r="N294">
        <v>3</v>
      </c>
      <c r="O294">
        <v>3</v>
      </c>
      <c r="P294">
        <v>4</v>
      </c>
      <c r="Q294">
        <v>2</v>
      </c>
      <c r="R294">
        <v>30.65</v>
      </c>
      <c r="S294">
        <v>46</v>
      </c>
      <c r="T294">
        <v>46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46</v>
      </c>
      <c r="AB294">
        <v>3</v>
      </c>
      <c r="AC294">
        <v>0</v>
      </c>
      <c r="AF294" t="s">
        <v>130</v>
      </c>
      <c r="AH294">
        <v>79.650000000000006</v>
      </c>
    </row>
    <row r="295" spans="1:34" x14ac:dyDescent="0.3">
      <c r="A295" s="4">
        <v>379</v>
      </c>
      <c r="B295" s="5">
        <v>288</v>
      </c>
      <c r="C295">
        <v>12704</v>
      </c>
      <c r="D295" t="s">
        <v>3889</v>
      </c>
      <c r="E295" t="s">
        <v>18953</v>
      </c>
      <c r="F295" t="s">
        <v>230</v>
      </c>
      <c r="G295" t="s">
        <v>18954</v>
      </c>
      <c r="H295">
        <v>19.649999999999999</v>
      </c>
      <c r="I295">
        <v>0</v>
      </c>
      <c r="J295">
        <v>0</v>
      </c>
      <c r="K295">
        <v>20</v>
      </c>
      <c r="L295">
        <v>7</v>
      </c>
      <c r="O295">
        <v>7</v>
      </c>
      <c r="P295">
        <v>4</v>
      </c>
      <c r="Q295">
        <v>2</v>
      </c>
      <c r="R295">
        <v>52.65</v>
      </c>
      <c r="S295">
        <v>27</v>
      </c>
      <c r="T295">
        <v>27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27</v>
      </c>
      <c r="AB295">
        <v>0</v>
      </c>
      <c r="AC295">
        <v>0</v>
      </c>
      <c r="AD295" t="s">
        <v>130</v>
      </c>
      <c r="AF295" t="s">
        <v>130</v>
      </c>
      <c r="AH295">
        <v>79.650000000000006</v>
      </c>
    </row>
    <row r="296" spans="1:34" x14ac:dyDescent="0.3">
      <c r="A296" s="4">
        <v>380</v>
      </c>
      <c r="B296" s="5">
        <v>289</v>
      </c>
      <c r="C296">
        <v>9776</v>
      </c>
      <c r="D296" t="s">
        <v>18955</v>
      </c>
      <c r="E296" t="s">
        <v>100</v>
      </c>
      <c r="F296" t="s">
        <v>68</v>
      </c>
      <c r="G296" t="s">
        <v>18956</v>
      </c>
      <c r="H296">
        <v>20.63</v>
      </c>
      <c r="I296">
        <v>0</v>
      </c>
      <c r="J296">
        <v>0</v>
      </c>
      <c r="K296">
        <v>20</v>
      </c>
      <c r="L296">
        <v>7</v>
      </c>
      <c r="O296">
        <v>7</v>
      </c>
      <c r="P296">
        <v>4</v>
      </c>
      <c r="Q296">
        <v>2</v>
      </c>
      <c r="R296">
        <v>53.63</v>
      </c>
      <c r="S296">
        <v>26</v>
      </c>
      <c r="T296">
        <v>26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26</v>
      </c>
      <c r="AB296">
        <v>0</v>
      </c>
      <c r="AC296">
        <v>0</v>
      </c>
      <c r="AF296" t="s">
        <v>130</v>
      </c>
      <c r="AH296">
        <v>79.63</v>
      </c>
    </row>
    <row r="297" spans="1:34" x14ac:dyDescent="0.3">
      <c r="A297" s="4">
        <v>381</v>
      </c>
      <c r="B297" s="5">
        <v>290</v>
      </c>
      <c r="C297">
        <v>7664</v>
      </c>
      <c r="D297" t="s">
        <v>5985</v>
      </c>
      <c r="E297" t="s">
        <v>208</v>
      </c>
      <c r="F297" t="s">
        <v>17</v>
      </c>
      <c r="G297" t="s">
        <v>18957</v>
      </c>
      <c r="H297">
        <v>17.600000000000001</v>
      </c>
      <c r="I297">
        <v>0</v>
      </c>
      <c r="J297">
        <v>0</v>
      </c>
      <c r="K297">
        <v>20</v>
      </c>
      <c r="O297">
        <v>0</v>
      </c>
      <c r="P297">
        <v>4</v>
      </c>
      <c r="Q297">
        <v>2</v>
      </c>
      <c r="R297">
        <v>43.6</v>
      </c>
      <c r="S297">
        <v>36</v>
      </c>
      <c r="T297">
        <v>36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36</v>
      </c>
      <c r="AB297">
        <v>0</v>
      </c>
      <c r="AC297">
        <v>0</v>
      </c>
      <c r="AF297" t="s">
        <v>130</v>
      </c>
      <c r="AH297">
        <v>79.599999999999994</v>
      </c>
    </row>
    <row r="298" spans="1:34" x14ac:dyDescent="0.3">
      <c r="A298" s="4">
        <v>382</v>
      </c>
      <c r="B298" s="5">
        <v>291</v>
      </c>
      <c r="C298">
        <v>1746</v>
      </c>
      <c r="D298" t="s">
        <v>18958</v>
      </c>
      <c r="E298" t="s">
        <v>255</v>
      </c>
      <c r="F298" t="s">
        <v>801</v>
      </c>
      <c r="G298" t="s">
        <v>18959</v>
      </c>
      <c r="H298">
        <v>17.75</v>
      </c>
      <c r="I298">
        <v>0</v>
      </c>
      <c r="J298">
        <v>0</v>
      </c>
      <c r="K298">
        <v>20</v>
      </c>
      <c r="N298">
        <v>3</v>
      </c>
      <c r="O298">
        <v>3</v>
      </c>
      <c r="P298">
        <v>4</v>
      </c>
      <c r="Q298">
        <v>2</v>
      </c>
      <c r="R298">
        <v>46.75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6</v>
      </c>
      <c r="AC298">
        <v>26.8</v>
      </c>
      <c r="AF298" t="s">
        <v>130</v>
      </c>
      <c r="AH298">
        <v>79.55</v>
      </c>
    </row>
    <row r="299" spans="1:34" x14ac:dyDescent="0.3">
      <c r="A299" s="4">
        <v>384</v>
      </c>
      <c r="B299" s="5">
        <v>292</v>
      </c>
      <c r="C299">
        <v>2281</v>
      </c>
      <c r="D299" t="s">
        <v>18960</v>
      </c>
      <c r="E299" t="s">
        <v>38</v>
      </c>
      <c r="F299" t="s">
        <v>68</v>
      </c>
      <c r="G299" t="s">
        <v>18961</v>
      </c>
      <c r="H299">
        <v>16.350000000000001</v>
      </c>
      <c r="I299">
        <v>0</v>
      </c>
      <c r="J299">
        <v>0</v>
      </c>
      <c r="K299">
        <v>20</v>
      </c>
      <c r="M299">
        <v>5</v>
      </c>
      <c r="O299">
        <v>5</v>
      </c>
      <c r="P299">
        <v>4</v>
      </c>
      <c r="Q299">
        <v>2</v>
      </c>
      <c r="R299">
        <v>47.35</v>
      </c>
      <c r="S299">
        <v>32</v>
      </c>
      <c r="T299">
        <v>32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32</v>
      </c>
      <c r="AB299">
        <v>0</v>
      </c>
      <c r="AC299">
        <v>0</v>
      </c>
      <c r="AF299" t="s">
        <v>130</v>
      </c>
      <c r="AH299">
        <v>79.349999999999994</v>
      </c>
    </row>
    <row r="300" spans="1:34" x14ac:dyDescent="0.3">
      <c r="A300" s="4">
        <v>386</v>
      </c>
      <c r="B300" s="5">
        <v>293</v>
      </c>
      <c r="C300">
        <v>5091</v>
      </c>
      <c r="D300" t="s">
        <v>932</v>
      </c>
      <c r="E300" t="s">
        <v>390</v>
      </c>
      <c r="F300" t="s">
        <v>167</v>
      </c>
      <c r="G300" t="s">
        <v>18962</v>
      </c>
      <c r="H300">
        <v>19.100000000000001</v>
      </c>
      <c r="I300">
        <v>7</v>
      </c>
      <c r="J300">
        <v>0</v>
      </c>
      <c r="K300">
        <v>0</v>
      </c>
      <c r="N300">
        <v>6</v>
      </c>
      <c r="O300">
        <v>6</v>
      </c>
      <c r="P300">
        <v>4</v>
      </c>
      <c r="Q300">
        <v>0</v>
      </c>
      <c r="R300">
        <v>36.1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15</v>
      </c>
      <c r="AC300">
        <v>28</v>
      </c>
      <c r="AF300" t="s">
        <v>130</v>
      </c>
      <c r="AH300">
        <v>79.099999999999994</v>
      </c>
    </row>
    <row r="301" spans="1:34" x14ac:dyDescent="0.3">
      <c r="A301" s="4">
        <v>387</v>
      </c>
      <c r="B301" s="5">
        <v>294</v>
      </c>
      <c r="C301">
        <v>13123</v>
      </c>
      <c r="D301" t="s">
        <v>18963</v>
      </c>
      <c r="E301" t="s">
        <v>213</v>
      </c>
      <c r="F301" t="s">
        <v>5304</v>
      </c>
      <c r="G301" t="s">
        <v>18964</v>
      </c>
      <c r="H301">
        <v>18.079999999999998</v>
      </c>
      <c r="I301">
        <v>0</v>
      </c>
      <c r="J301">
        <v>0</v>
      </c>
      <c r="K301">
        <v>0</v>
      </c>
      <c r="N301">
        <v>3</v>
      </c>
      <c r="O301">
        <v>3</v>
      </c>
      <c r="P301">
        <v>4</v>
      </c>
      <c r="Q301">
        <v>2</v>
      </c>
      <c r="R301">
        <v>27.08</v>
      </c>
      <c r="S301">
        <v>46</v>
      </c>
      <c r="T301">
        <v>46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46</v>
      </c>
      <c r="AB301">
        <v>6</v>
      </c>
      <c r="AC301">
        <v>0</v>
      </c>
      <c r="AF301" t="s">
        <v>130</v>
      </c>
      <c r="AH301">
        <v>79.08</v>
      </c>
    </row>
    <row r="302" spans="1:34" x14ac:dyDescent="0.3">
      <c r="A302" s="4">
        <v>389</v>
      </c>
      <c r="B302" s="5">
        <v>295</v>
      </c>
      <c r="C302">
        <v>11102</v>
      </c>
      <c r="D302" t="s">
        <v>82</v>
      </c>
      <c r="E302" t="s">
        <v>1659</v>
      </c>
      <c r="F302" t="s">
        <v>416</v>
      </c>
      <c r="G302" t="s">
        <v>18966</v>
      </c>
      <c r="H302">
        <v>21.95</v>
      </c>
      <c r="I302">
        <v>7</v>
      </c>
      <c r="J302">
        <v>0</v>
      </c>
      <c r="K302">
        <v>28</v>
      </c>
      <c r="L302">
        <v>7</v>
      </c>
      <c r="N302">
        <v>3</v>
      </c>
      <c r="O302">
        <v>10</v>
      </c>
      <c r="P302">
        <v>4</v>
      </c>
      <c r="Q302">
        <v>2</v>
      </c>
      <c r="R302">
        <v>72.95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6</v>
      </c>
      <c r="AC302">
        <v>0</v>
      </c>
      <c r="AF302" t="s">
        <v>130</v>
      </c>
      <c r="AH302">
        <v>78.95</v>
      </c>
    </row>
    <row r="303" spans="1:34" x14ac:dyDescent="0.3">
      <c r="A303" s="4">
        <v>391</v>
      </c>
      <c r="B303" s="5">
        <v>296</v>
      </c>
      <c r="C303">
        <v>10718</v>
      </c>
      <c r="D303" t="s">
        <v>18968</v>
      </c>
      <c r="E303" t="s">
        <v>18969</v>
      </c>
      <c r="F303" t="s">
        <v>2855</v>
      </c>
      <c r="G303" t="s">
        <v>18970</v>
      </c>
      <c r="H303">
        <v>21.73</v>
      </c>
      <c r="I303">
        <v>0</v>
      </c>
      <c r="J303">
        <v>0</v>
      </c>
      <c r="K303">
        <v>28</v>
      </c>
      <c r="M303">
        <v>5</v>
      </c>
      <c r="O303">
        <v>5</v>
      </c>
      <c r="P303">
        <v>4</v>
      </c>
      <c r="Q303">
        <v>2</v>
      </c>
      <c r="R303">
        <v>60.73</v>
      </c>
      <c r="S303">
        <v>18</v>
      </c>
      <c r="T303">
        <v>18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18</v>
      </c>
      <c r="AB303">
        <v>0</v>
      </c>
      <c r="AC303">
        <v>0</v>
      </c>
      <c r="AF303" t="s">
        <v>130</v>
      </c>
      <c r="AH303">
        <v>78.73</v>
      </c>
    </row>
    <row r="304" spans="1:34" x14ac:dyDescent="0.3">
      <c r="A304" s="4">
        <v>392</v>
      </c>
      <c r="B304" s="5">
        <v>297</v>
      </c>
      <c r="C304">
        <v>5481</v>
      </c>
      <c r="D304" t="s">
        <v>4615</v>
      </c>
      <c r="E304" t="s">
        <v>5424</v>
      </c>
      <c r="F304" t="s">
        <v>55</v>
      </c>
      <c r="G304" t="s">
        <v>18971</v>
      </c>
      <c r="H304">
        <v>17.7</v>
      </c>
      <c r="I304">
        <v>0</v>
      </c>
      <c r="J304">
        <v>0</v>
      </c>
      <c r="K304">
        <v>20</v>
      </c>
      <c r="L304">
        <v>7</v>
      </c>
      <c r="O304">
        <v>7</v>
      </c>
      <c r="P304">
        <v>4</v>
      </c>
      <c r="Q304">
        <v>2</v>
      </c>
      <c r="R304">
        <v>50.7</v>
      </c>
      <c r="S304">
        <v>28</v>
      </c>
      <c r="T304">
        <v>28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28</v>
      </c>
      <c r="AB304">
        <v>0</v>
      </c>
      <c r="AC304">
        <v>0</v>
      </c>
      <c r="AF304" t="s">
        <v>130</v>
      </c>
      <c r="AH304">
        <v>78.7</v>
      </c>
    </row>
    <row r="305" spans="1:34" x14ac:dyDescent="0.3">
      <c r="A305" s="4">
        <v>393</v>
      </c>
      <c r="B305" s="5">
        <v>298</v>
      </c>
      <c r="C305">
        <v>3393</v>
      </c>
      <c r="D305" t="s">
        <v>18972</v>
      </c>
      <c r="E305" t="s">
        <v>255</v>
      </c>
      <c r="F305" t="s">
        <v>81</v>
      </c>
      <c r="G305" t="s">
        <v>18973</v>
      </c>
      <c r="H305">
        <v>19.68</v>
      </c>
      <c r="I305">
        <v>0</v>
      </c>
      <c r="J305">
        <v>0</v>
      </c>
      <c r="K305">
        <v>0</v>
      </c>
      <c r="L305">
        <v>7</v>
      </c>
      <c r="O305">
        <v>7</v>
      </c>
      <c r="P305">
        <v>4</v>
      </c>
      <c r="Q305">
        <v>2</v>
      </c>
      <c r="R305">
        <v>32.68</v>
      </c>
      <c r="S305">
        <v>46</v>
      </c>
      <c r="T305">
        <v>46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46</v>
      </c>
      <c r="AB305">
        <v>0</v>
      </c>
      <c r="AC305">
        <v>0</v>
      </c>
      <c r="AF305" t="s">
        <v>130</v>
      </c>
      <c r="AH305">
        <v>78.680000000000007</v>
      </c>
    </row>
    <row r="306" spans="1:34" x14ac:dyDescent="0.3">
      <c r="A306" s="4">
        <v>394</v>
      </c>
      <c r="B306" s="5">
        <v>299</v>
      </c>
      <c r="C306">
        <v>13323</v>
      </c>
      <c r="D306" t="s">
        <v>18974</v>
      </c>
      <c r="E306" t="s">
        <v>54</v>
      </c>
      <c r="F306" t="s">
        <v>17</v>
      </c>
      <c r="G306" t="s">
        <v>18975</v>
      </c>
      <c r="H306">
        <v>17.53</v>
      </c>
      <c r="I306">
        <v>0</v>
      </c>
      <c r="J306">
        <v>0</v>
      </c>
      <c r="K306">
        <v>20</v>
      </c>
      <c r="L306">
        <v>7</v>
      </c>
      <c r="O306">
        <v>7</v>
      </c>
      <c r="P306">
        <v>4</v>
      </c>
      <c r="Q306">
        <v>2</v>
      </c>
      <c r="R306">
        <v>50.53</v>
      </c>
      <c r="S306">
        <v>28</v>
      </c>
      <c r="T306">
        <v>28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28</v>
      </c>
      <c r="AB306">
        <v>0</v>
      </c>
      <c r="AC306">
        <v>0</v>
      </c>
      <c r="AF306" t="s">
        <v>130</v>
      </c>
      <c r="AH306">
        <v>78.53</v>
      </c>
    </row>
    <row r="307" spans="1:34" x14ac:dyDescent="0.3">
      <c r="A307" s="4">
        <v>395</v>
      </c>
      <c r="B307" s="5">
        <v>300</v>
      </c>
      <c r="C307">
        <v>6763</v>
      </c>
      <c r="D307" t="s">
        <v>15509</v>
      </c>
      <c r="E307" t="s">
        <v>29</v>
      </c>
      <c r="F307" t="s">
        <v>117</v>
      </c>
      <c r="G307" t="s">
        <v>18976</v>
      </c>
      <c r="H307">
        <v>19.48</v>
      </c>
      <c r="I307">
        <v>0</v>
      </c>
      <c r="J307">
        <v>0</v>
      </c>
      <c r="K307">
        <v>20</v>
      </c>
      <c r="M307">
        <v>5</v>
      </c>
      <c r="O307">
        <v>5</v>
      </c>
      <c r="P307">
        <v>4</v>
      </c>
      <c r="Q307">
        <v>2</v>
      </c>
      <c r="R307">
        <v>50.48</v>
      </c>
      <c r="S307">
        <v>28</v>
      </c>
      <c r="T307">
        <v>28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28</v>
      </c>
      <c r="AB307">
        <v>0</v>
      </c>
      <c r="AC307">
        <v>0</v>
      </c>
      <c r="AF307" t="s">
        <v>130</v>
      </c>
      <c r="AH307">
        <v>78.48</v>
      </c>
    </row>
    <row r="308" spans="1:34" x14ac:dyDescent="0.3">
      <c r="A308" s="4">
        <v>396</v>
      </c>
      <c r="B308" s="5">
        <v>301</v>
      </c>
      <c r="C308">
        <v>6246</v>
      </c>
      <c r="D308" t="s">
        <v>16545</v>
      </c>
      <c r="E308" t="s">
        <v>18977</v>
      </c>
      <c r="F308" t="s">
        <v>6216</v>
      </c>
      <c r="G308" t="s">
        <v>18978</v>
      </c>
      <c r="H308">
        <v>18.48</v>
      </c>
      <c r="I308">
        <v>0</v>
      </c>
      <c r="J308">
        <v>0</v>
      </c>
      <c r="K308">
        <v>20</v>
      </c>
      <c r="N308">
        <v>3</v>
      </c>
      <c r="O308">
        <v>3</v>
      </c>
      <c r="P308">
        <v>4</v>
      </c>
      <c r="Q308">
        <v>2</v>
      </c>
      <c r="R308">
        <v>47.48</v>
      </c>
      <c r="S308">
        <v>31</v>
      </c>
      <c r="T308">
        <v>31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31</v>
      </c>
      <c r="AB308">
        <v>0</v>
      </c>
      <c r="AC308">
        <v>0</v>
      </c>
      <c r="AD308" t="s">
        <v>130</v>
      </c>
      <c r="AF308" t="s">
        <v>130</v>
      </c>
      <c r="AH308">
        <v>78.48</v>
      </c>
    </row>
    <row r="309" spans="1:34" x14ac:dyDescent="0.3">
      <c r="A309" s="4">
        <v>397</v>
      </c>
      <c r="B309" s="5">
        <v>302</v>
      </c>
      <c r="C309">
        <v>5478</v>
      </c>
      <c r="D309" t="s">
        <v>5130</v>
      </c>
      <c r="E309" t="s">
        <v>166</v>
      </c>
      <c r="F309" t="s">
        <v>328</v>
      </c>
      <c r="G309" t="s">
        <v>18979</v>
      </c>
      <c r="H309">
        <v>19.45</v>
      </c>
      <c r="I309">
        <v>0</v>
      </c>
      <c r="J309">
        <v>0</v>
      </c>
      <c r="K309">
        <v>0</v>
      </c>
      <c r="L309">
        <v>7</v>
      </c>
      <c r="O309">
        <v>7</v>
      </c>
      <c r="P309">
        <v>4</v>
      </c>
      <c r="Q309">
        <v>2</v>
      </c>
      <c r="R309">
        <v>32.450000000000003</v>
      </c>
      <c r="S309">
        <v>40</v>
      </c>
      <c r="T309">
        <v>40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40</v>
      </c>
      <c r="AB309">
        <v>6</v>
      </c>
      <c r="AC309">
        <v>0</v>
      </c>
      <c r="AF309" t="s">
        <v>130</v>
      </c>
      <c r="AH309">
        <v>78.45</v>
      </c>
    </row>
    <row r="310" spans="1:34" x14ac:dyDescent="0.3">
      <c r="A310" s="4">
        <v>398</v>
      </c>
      <c r="B310" s="5">
        <v>303</v>
      </c>
      <c r="C310">
        <v>14070</v>
      </c>
      <c r="D310" t="s">
        <v>18980</v>
      </c>
      <c r="E310" t="s">
        <v>41</v>
      </c>
      <c r="F310" t="s">
        <v>652</v>
      </c>
      <c r="G310" t="s">
        <v>18981</v>
      </c>
      <c r="H310">
        <v>20.43</v>
      </c>
      <c r="I310">
        <v>0</v>
      </c>
      <c r="J310">
        <v>0</v>
      </c>
      <c r="K310">
        <v>0</v>
      </c>
      <c r="N310">
        <v>3</v>
      </c>
      <c r="O310">
        <v>3</v>
      </c>
      <c r="P310">
        <v>4</v>
      </c>
      <c r="Q310">
        <v>2</v>
      </c>
      <c r="R310">
        <v>29.43</v>
      </c>
      <c r="S310">
        <v>46</v>
      </c>
      <c r="T310">
        <v>46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46</v>
      </c>
      <c r="AB310">
        <v>3</v>
      </c>
      <c r="AC310">
        <v>0</v>
      </c>
      <c r="AF310" t="s">
        <v>130</v>
      </c>
      <c r="AH310">
        <v>78.430000000000007</v>
      </c>
    </row>
    <row r="311" spans="1:34" x14ac:dyDescent="0.3">
      <c r="A311" s="4">
        <v>399</v>
      </c>
      <c r="B311" s="5">
        <v>304</v>
      </c>
      <c r="C311">
        <v>13222</v>
      </c>
      <c r="D311" t="s">
        <v>4332</v>
      </c>
      <c r="E311" t="s">
        <v>110</v>
      </c>
      <c r="F311" t="s">
        <v>17</v>
      </c>
      <c r="G311" t="s">
        <v>18982</v>
      </c>
      <c r="H311">
        <v>19.28</v>
      </c>
      <c r="I311">
        <v>0</v>
      </c>
      <c r="J311">
        <v>0</v>
      </c>
      <c r="K311">
        <v>0</v>
      </c>
      <c r="L311">
        <v>7</v>
      </c>
      <c r="O311">
        <v>7</v>
      </c>
      <c r="P311">
        <v>4</v>
      </c>
      <c r="Q311">
        <v>2</v>
      </c>
      <c r="R311">
        <v>32.28</v>
      </c>
      <c r="S311">
        <v>46</v>
      </c>
      <c r="T311">
        <v>46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46</v>
      </c>
      <c r="AB311">
        <v>0</v>
      </c>
      <c r="AC311">
        <v>0</v>
      </c>
      <c r="AD311" t="s">
        <v>130</v>
      </c>
      <c r="AF311" t="s">
        <v>130</v>
      </c>
      <c r="AH311">
        <v>78.28</v>
      </c>
    </row>
    <row r="312" spans="1:34" x14ac:dyDescent="0.3">
      <c r="A312" s="4">
        <v>400</v>
      </c>
      <c r="B312" s="5">
        <v>305</v>
      </c>
      <c r="C312">
        <v>8230</v>
      </c>
      <c r="D312" t="s">
        <v>18983</v>
      </c>
      <c r="E312" t="s">
        <v>147</v>
      </c>
      <c r="F312" t="s">
        <v>124</v>
      </c>
      <c r="G312" t="s">
        <v>18984</v>
      </c>
      <c r="H312">
        <v>22.25</v>
      </c>
      <c r="I312">
        <v>0</v>
      </c>
      <c r="J312">
        <v>0</v>
      </c>
      <c r="K312">
        <v>20</v>
      </c>
      <c r="L312">
        <v>7</v>
      </c>
      <c r="O312">
        <v>7</v>
      </c>
      <c r="P312">
        <v>4</v>
      </c>
      <c r="Q312">
        <v>2</v>
      </c>
      <c r="R312">
        <v>55.25</v>
      </c>
      <c r="S312">
        <v>23</v>
      </c>
      <c r="T312">
        <v>23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23</v>
      </c>
      <c r="AB312">
        <v>0</v>
      </c>
      <c r="AC312">
        <v>0</v>
      </c>
      <c r="AF312" t="s">
        <v>130</v>
      </c>
      <c r="AH312">
        <v>78.25</v>
      </c>
    </row>
    <row r="313" spans="1:34" x14ac:dyDescent="0.3">
      <c r="A313" s="4">
        <v>401</v>
      </c>
      <c r="B313" s="5">
        <v>306</v>
      </c>
      <c r="C313">
        <v>5213</v>
      </c>
      <c r="D313" t="s">
        <v>4597</v>
      </c>
      <c r="E313" t="s">
        <v>147</v>
      </c>
      <c r="F313" t="s">
        <v>626</v>
      </c>
      <c r="G313" t="s">
        <v>18985</v>
      </c>
      <c r="H313">
        <v>18.23</v>
      </c>
      <c r="I313">
        <v>0</v>
      </c>
      <c r="J313">
        <v>0</v>
      </c>
      <c r="K313">
        <v>0</v>
      </c>
      <c r="O313">
        <v>0</v>
      </c>
      <c r="P313">
        <v>4</v>
      </c>
      <c r="Q313">
        <v>2</v>
      </c>
      <c r="R313">
        <v>24.23</v>
      </c>
      <c r="S313">
        <v>48</v>
      </c>
      <c r="T313">
        <v>48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48</v>
      </c>
      <c r="AB313">
        <v>6</v>
      </c>
      <c r="AC313">
        <v>0</v>
      </c>
      <c r="AF313" t="s">
        <v>130</v>
      </c>
      <c r="AH313">
        <v>78.23</v>
      </c>
    </row>
    <row r="314" spans="1:34" x14ac:dyDescent="0.3">
      <c r="A314" s="4">
        <v>402</v>
      </c>
      <c r="B314" s="5">
        <v>307</v>
      </c>
      <c r="C314">
        <v>1945</v>
      </c>
      <c r="D314" t="s">
        <v>18986</v>
      </c>
      <c r="E314" t="s">
        <v>41</v>
      </c>
      <c r="F314" t="s">
        <v>17</v>
      </c>
      <c r="G314" t="s">
        <v>18987</v>
      </c>
      <c r="H314">
        <v>17.149999999999999</v>
      </c>
      <c r="I314">
        <v>0</v>
      </c>
      <c r="J314">
        <v>0</v>
      </c>
      <c r="K314">
        <v>20</v>
      </c>
      <c r="L314">
        <v>7</v>
      </c>
      <c r="O314">
        <v>7</v>
      </c>
      <c r="P314">
        <v>4</v>
      </c>
      <c r="Q314">
        <v>2</v>
      </c>
      <c r="R314">
        <v>50.15</v>
      </c>
      <c r="S314">
        <v>28</v>
      </c>
      <c r="T314">
        <v>28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28</v>
      </c>
      <c r="AB314">
        <v>0</v>
      </c>
      <c r="AC314">
        <v>0</v>
      </c>
      <c r="AF314" t="s">
        <v>130</v>
      </c>
      <c r="AH314">
        <v>78.150000000000006</v>
      </c>
    </row>
    <row r="315" spans="1:34" x14ac:dyDescent="0.3">
      <c r="A315" s="4">
        <v>403</v>
      </c>
      <c r="B315" s="5">
        <v>308</v>
      </c>
      <c r="C315">
        <v>2644</v>
      </c>
      <c r="D315" t="s">
        <v>9532</v>
      </c>
      <c r="E315" t="s">
        <v>54</v>
      </c>
      <c r="F315" t="s">
        <v>81</v>
      </c>
      <c r="G315" t="s">
        <v>18988</v>
      </c>
      <c r="H315">
        <v>20.100000000000001</v>
      </c>
      <c r="I315">
        <v>0</v>
      </c>
      <c r="J315">
        <v>0</v>
      </c>
      <c r="K315">
        <v>20</v>
      </c>
      <c r="M315">
        <v>5</v>
      </c>
      <c r="O315">
        <v>5</v>
      </c>
      <c r="P315">
        <v>4</v>
      </c>
      <c r="Q315">
        <v>2</v>
      </c>
      <c r="R315">
        <v>51.1</v>
      </c>
      <c r="S315">
        <v>27</v>
      </c>
      <c r="T315">
        <v>27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27</v>
      </c>
      <c r="AB315">
        <v>0</v>
      </c>
      <c r="AC315">
        <v>0</v>
      </c>
      <c r="AF315" t="s">
        <v>130</v>
      </c>
      <c r="AH315">
        <v>78.099999999999994</v>
      </c>
    </row>
    <row r="316" spans="1:34" x14ac:dyDescent="0.3">
      <c r="A316" s="4">
        <v>404</v>
      </c>
      <c r="B316" s="5">
        <v>309</v>
      </c>
      <c r="C316">
        <v>9902</v>
      </c>
      <c r="D316" t="s">
        <v>18989</v>
      </c>
      <c r="E316" t="s">
        <v>18990</v>
      </c>
      <c r="F316" t="s">
        <v>343</v>
      </c>
      <c r="G316" t="s">
        <v>18991</v>
      </c>
      <c r="H316">
        <v>18</v>
      </c>
      <c r="I316">
        <v>0</v>
      </c>
      <c r="J316">
        <v>0</v>
      </c>
      <c r="K316">
        <v>20</v>
      </c>
      <c r="O316">
        <v>0</v>
      </c>
      <c r="P316">
        <v>4</v>
      </c>
      <c r="Q316">
        <v>2</v>
      </c>
      <c r="R316">
        <v>44</v>
      </c>
      <c r="S316">
        <v>34</v>
      </c>
      <c r="T316">
        <v>34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34</v>
      </c>
      <c r="AB316">
        <v>0</v>
      </c>
      <c r="AC316">
        <v>0</v>
      </c>
      <c r="AD316" t="s">
        <v>130</v>
      </c>
      <c r="AF316" t="s">
        <v>130</v>
      </c>
      <c r="AH316">
        <v>78</v>
      </c>
    </row>
    <row r="317" spans="1:34" x14ac:dyDescent="0.3">
      <c r="A317" s="4">
        <v>405</v>
      </c>
      <c r="B317" s="5">
        <v>310</v>
      </c>
      <c r="C317">
        <v>1654</v>
      </c>
      <c r="D317" t="s">
        <v>18992</v>
      </c>
      <c r="E317" t="s">
        <v>54</v>
      </c>
      <c r="F317" t="s">
        <v>343</v>
      </c>
      <c r="G317" t="s">
        <v>18993</v>
      </c>
      <c r="H317">
        <v>18.95</v>
      </c>
      <c r="I317">
        <v>7</v>
      </c>
      <c r="J317">
        <v>0</v>
      </c>
      <c r="K317">
        <v>0</v>
      </c>
      <c r="N317">
        <v>3</v>
      </c>
      <c r="O317">
        <v>3</v>
      </c>
      <c r="P317">
        <v>4</v>
      </c>
      <c r="Q317">
        <v>2</v>
      </c>
      <c r="R317">
        <v>34.950000000000003</v>
      </c>
      <c r="S317">
        <v>37</v>
      </c>
      <c r="T317">
        <v>37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37</v>
      </c>
      <c r="AB317">
        <v>6</v>
      </c>
      <c r="AC317">
        <v>0</v>
      </c>
      <c r="AF317" t="s">
        <v>130</v>
      </c>
      <c r="AH317">
        <v>77.95</v>
      </c>
    </row>
    <row r="318" spans="1:34" x14ac:dyDescent="0.3">
      <c r="A318" s="4">
        <v>406</v>
      </c>
      <c r="B318" s="5">
        <v>311</v>
      </c>
      <c r="C318">
        <v>2406</v>
      </c>
      <c r="D318" t="s">
        <v>18994</v>
      </c>
      <c r="E318" t="s">
        <v>34</v>
      </c>
      <c r="F318" t="s">
        <v>136</v>
      </c>
      <c r="G318" t="s">
        <v>18995</v>
      </c>
      <c r="H318">
        <v>18.8</v>
      </c>
      <c r="I318">
        <v>0</v>
      </c>
      <c r="J318">
        <v>0</v>
      </c>
      <c r="K318">
        <v>20</v>
      </c>
      <c r="L318">
        <v>7</v>
      </c>
      <c r="O318">
        <v>7</v>
      </c>
      <c r="P318">
        <v>4</v>
      </c>
      <c r="Q318">
        <v>2</v>
      </c>
      <c r="R318">
        <v>51.8</v>
      </c>
      <c r="S318">
        <v>10</v>
      </c>
      <c r="T318">
        <v>10</v>
      </c>
      <c r="U318">
        <v>8</v>
      </c>
      <c r="V318">
        <v>16</v>
      </c>
      <c r="W318">
        <v>0</v>
      </c>
      <c r="X318">
        <v>0</v>
      </c>
      <c r="Y318">
        <v>0</v>
      </c>
      <c r="Z318">
        <v>0</v>
      </c>
      <c r="AA318">
        <v>26</v>
      </c>
      <c r="AB318">
        <v>0</v>
      </c>
      <c r="AC318">
        <v>0</v>
      </c>
      <c r="AF318" t="s">
        <v>130</v>
      </c>
      <c r="AH318">
        <v>77.8</v>
      </c>
    </row>
    <row r="319" spans="1:34" x14ac:dyDescent="0.3">
      <c r="A319" s="4">
        <v>407</v>
      </c>
      <c r="B319" s="5">
        <v>312</v>
      </c>
      <c r="C319">
        <v>146</v>
      </c>
      <c r="D319" t="s">
        <v>18996</v>
      </c>
      <c r="E319" t="s">
        <v>110</v>
      </c>
      <c r="F319" t="s">
        <v>30</v>
      </c>
      <c r="G319" t="s">
        <v>18997</v>
      </c>
      <c r="H319">
        <v>18.75</v>
      </c>
      <c r="I319">
        <v>0</v>
      </c>
      <c r="J319">
        <v>0</v>
      </c>
      <c r="K319">
        <v>20</v>
      </c>
      <c r="O319">
        <v>0</v>
      </c>
      <c r="P319">
        <v>4</v>
      </c>
      <c r="Q319">
        <v>0</v>
      </c>
      <c r="R319">
        <v>42.75</v>
      </c>
      <c r="S319">
        <v>35</v>
      </c>
      <c r="T319">
        <v>35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35</v>
      </c>
      <c r="AB319">
        <v>0</v>
      </c>
      <c r="AC319">
        <v>0</v>
      </c>
      <c r="AD319" t="s">
        <v>130</v>
      </c>
      <c r="AF319" t="s">
        <v>130</v>
      </c>
      <c r="AH319">
        <v>77.75</v>
      </c>
    </row>
    <row r="320" spans="1:34" x14ac:dyDescent="0.3">
      <c r="A320" s="4">
        <v>408</v>
      </c>
      <c r="B320" s="5">
        <v>313</v>
      </c>
      <c r="C320">
        <v>843</v>
      </c>
      <c r="D320" t="s">
        <v>7093</v>
      </c>
      <c r="E320" t="s">
        <v>41</v>
      </c>
      <c r="F320" t="s">
        <v>20</v>
      </c>
      <c r="G320" t="s">
        <v>18998</v>
      </c>
      <c r="H320">
        <v>17.68</v>
      </c>
      <c r="I320">
        <v>0</v>
      </c>
      <c r="J320">
        <v>0</v>
      </c>
      <c r="K320">
        <v>0</v>
      </c>
      <c r="N320">
        <v>3</v>
      </c>
      <c r="O320">
        <v>3</v>
      </c>
      <c r="P320">
        <v>4</v>
      </c>
      <c r="Q320">
        <v>0</v>
      </c>
      <c r="R320">
        <v>24.68</v>
      </c>
      <c r="S320">
        <v>50</v>
      </c>
      <c r="T320">
        <v>50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50</v>
      </c>
      <c r="AB320">
        <v>3</v>
      </c>
      <c r="AC320">
        <v>0</v>
      </c>
      <c r="AF320" t="s">
        <v>130</v>
      </c>
      <c r="AH320">
        <v>77.680000000000007</v>
      </c>
    </row>
    <row r="321" spans="1:34" x14ac:dyDescent="0.3">
      <c r="A321" s="4">
        <v>409</v>
      </c>
      <c r="B321" s="5">
        <v>314</v>
      </c>
      <c r="C321">
        <v>10596</v>
      </c>
      <c r="D321" t="s">
        <v>12670</v>
      </c>
      <c r="E321" t="s">
        <v>170</v>
      </c>
      <c r="F321" t="s">
        <v>20</v>
      </c>
      <c r="G321" t="s">
        <v>18999</v>
      </c>
      <c r="H321">
        <v>20.63</v>
      </c>
      <c r="I321">
        <v>7</v>
      </c>
      <c r="J321">
        <v>0</v>
      </c>
      <c r="K321">
        <v>20</v>
      </c>
      <c r="L321">
        <v>7</v>
      </c>
      <c r="O321">
        <v>7</v>
      </c>
      <c r="P321">
        <v>4</v>
      </c>
      <c r="Q321">
        <v>0</v>
      </c>
      <c r="R321">
        <v>58.63</v>
      </c>
      <c r="S321">
        <v>13</v>
      </c>
      <c r="T321">
        <v>13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13</v>
      </c>
      <c r="AB321">
        <v>6</v>
      </c>
      <c r="AC321">
        <v>0</v>
      </c>
      <c r="AF321" t="s">
        <v>130</v>
      </c>
      <c r="AH321">
        <v>77.63</v>
      </c>
    </row>
    <row r="322" spans="1:34" x14ac:dyDescent="0.3">
      <c r="A322" s="4">
        <v>410</v>
      </c>
      <c r="B322" s="5">
        <v>315</v>
      </c>
      <c r="C322">
        <v>3015</v>
      </c>
      <c r="D322" t="s">
        <v>2162</v>
      </c>
      <c r="E322" t="s">
        <v>166</v>
      </c>
      <c r="F322" t="s">
        <v>190</v>
      </c>
      <c r="G322" t="s">
        <v>19000</v>
      </c>
      <c r="H322">
        <v>18.600000000000001</v>
      </c>
      <c r="I322">
        <v>0</v>
      </c>
      <c r="J322">
        <v>0</v>
      </c>
      <c r="K322">
        <v>20</v>
      </c>
      <c r="L322">
        <v>7</v>
      </c>
      <c r="O322">
        <v>7</v>
      </c>
      <c r="P322">
        <v>4</v>
      </c>
      <c r="Q322">
        <v>2</v>
      </c>
      <c r="R322">
        <v>51.6</v>
      </c>
      <c r="S322">
        <v>26</v>
      </c>
      <c r="T322">
        <v>26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26</v>
      </c>
      <c r="AB322">
        <v>0</v>
      </c>
      <c r="AC322">
        <v>0</v>
      </c>
      <c r="AF322" t="s">
        <v>130</v>
      </c>
      <c r="AH322">
        <v>77.599999999999994</v>
      </c>
    </row>
    <row r="323" spans="1:34" x14ac:dyDescent="0.3">
      <c r="A323" s="4">
        <v>411</v>
      </c>
      <c r="B323" s="5">
        <v>316</v>
      </c>
      <c r="C323">
        <v>11314</v>
      </c>
      <c r="D323" t="s">
        <v>19001</v>
      </c>
      <c r="E323" t="s">
        <v>20</v>
      </c>
      <c r="F323" t="s">
        <v>17</v>
      </c>
      <c r="G323" t="s">
        <v>19002</v>
      </c>
      <c r="H323">
        <v>16.53</v>
      </c>
      <c r="I323">
        <v>0</v>
      </c>
      <c r="J323">
        <v>0</v>
      </c>
      <c r="K323">
        <v>0</v>
      </c>
      <c r="N323">
        <v>3</v>
      </c>
      <c r="O323">
        <v>3</v>
      </c>
      <c r="P323">
        <v>4</v>
      </c>
      <c r="Q323">
        <v>2</v>
      </c>
      <c r="R323">
        <v>25.53</v>
      </c>
      <c r="S323">
        <v>52</v>
      </c>
      <c r="T323">
        <v>52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52</v>
      </c>
      <c r="AB323">
        <v>0</v>
      </c>
      <c r="AC323">
        <v>0</v>
      </c>
      <c r="AF323" t="s">
        <v>130</v>
      </c>
      <c r="AH323">
        <v>77.53</v>
      </c>
    </row>
    <row r="324" spans="1:34" x14ac:dyDescent="0.3">
      <c r="A324" s="4">
        <v>412</v>
      </c>
      <c r="B324" s="5">
        <v>317</v>
      </c>
      <c r="C324">
        <v>6897</v>
      </c>
      <c r="D324" t="s">
        <v>3741</v>
      </c>
      <c r="E324" t="s">
        <v>3221</v>
      </c>
      <c r="F324" t="s">
        <v>117</v>
      </c>
      <c r="G324" t="s">
        <v>19003</v>
      </c>
      <c r="H324">
        <v>21.28</v>
      </c>
      <c r="I324">
        <v>0</v>
      </c>
      <c r="J324">
        <v>0</v>
      </c>
      <c r="K324">
        <v>0</v>
      </c>
      <c r="N324">
        <v>3</v>
      </c>
      <c r="O324">
        <v>3</v>
      </c>
      <c r="P324">
        <v>4</v>
      </c>
      <c r="Q324">
        <v>0</v>
      </c>
      <c r="R324">
        <v>28.28</v>
      </c>
      <c r="S324">
        <v>46</v>
      </c>
      <c r="T324">
        <v>46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46</v>
      </c>
      <c r="AB324">
        <v>3</v>
      </c>
      <c r="AC324">
        <v>0</v>
      </c>
      <c r="AD324" t="s">
        <v>130</v>
      </c>
      <c r="AF324" t="s">
        <v>130</v>
      </c>
      <c r="AH324">
        <v>77.28</v>
      </c>
    </row>
    <row r="325" spans="1:34" x14ac:dyDescent="0.3">
      <c r="A325" s="4">
        <v>413</v>
      </c>
      <c r="B325" s="5">
        <v>318</v>
      </c>
      <c r="C325">
        <v>5617</v>
      </c>
      <c r="D325" t="s">
        <v>19004</v>
      </c>
      <c r="E325" t="s">
        <v>6507</v>
      </c>
      <c r="F325" t="s">
        <v>136</v>
      </c>
      <c r="G325" t="s">
        <v>19005</v>
      </c>
      <c r="H325">
        <v>19.25</v>
      </c>
      <c r="I325">
        <v>0</v>
      </c>
      <c r="J325">
        <v>0</v>
      </c>
      <c r="K325">
        <v>20</v>
      </c>
      <c r="O325">
        <v>0</v>
      </c>
      <c r="P325">
        <v>4</v>
      </c>
      <c r="Q325">
        <v>2</v>
      </c>
      <c r="R325">
        <v>45.25</v>
      </c>
      <c r="S325">
        <v>29</v>
      </c>
      <c r="T325">
        <v>29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29</v>
      </c>
      <c r="AB325">
        <v>3</v>
      </c>
      <c r="AC325">
        <v>0</v>
      </c>
      <c r="AF325" t="s">
        <v>130</v>
      </c>
      <c r="AH325">
        <v>77.25</v>
      </c>
    </row>
    <row r="326" spans="1:34" x14ac:dyDescent="0.3">
      <c r="A326" s="4">
        <v>414</v>
      </c>
      <c r="B326" s="5">
        <v>319</v>
      </c>
      <c r="C326">
        <v>12142</v>
      </c>
      <c r="D326" t="s">
        <v>11141</v>
      </c>
      <c r="E326" t="s">
        <v>182</v>
      </c>
      <c r="F326" t="s">
        <v>17</v>
      </c>
      <c r="G326" t="s">
        <v>19006</v>
      </c>
      <c r="H326">
        <v>18.149999999999999</v>
      </c>
      <c r="I326">
        <v>0</v>
      </c>
      <c r="J326">
        <v>0</v>
      </c>
      <c r="K326">
        <v>20</v>
      </c>
      <c r="L326">
        <v>7</v>
      </c>
      <c r="O326">
        <v>7</v>
      </c>
      <c r="P326">
        <v>4</v>
      </c>
      <c r="Q326">
        <v>2</v>
      </c>
      <c r="R326">
        <v>51.15</v>
      </c>
      <c r="S326">
        <v>26</v>
      </c>
      <c r="T326">
        <v>26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26</v>
      </c>
      <c r="AB326">
        <v>0</v>
      </c>
      <c r="AC326">
        <v>0</v>
      </c>
      <c r="AD326" t="s">
        <v>130</v>
      </c>
      <c r="AF326" t="s">
        <v>130</v>
      </c>
      <c r="AH326">
        <v>77.150000000000006</v>
      </c>
    </row>
    <row r="327" spans="1:34" x14ac:dyDescent="0.3">
      <c r="A327" s="4">
        <v>415</v>
      </c>
      <c r="B327" s="5">
        <v>320</v>
      </c>
      <c r="C327">
        <v>8448</v>
      </c>
      <c r="D327" t="s">
        <v>19007</v>
      </c>
      <c r="E327" t="s">
        <v>54</v>
      </c>
      <c r="F327" t="s">
        <v>55</v>
      </c>
      <c r="G327" t="s">
        <v>19008</v>
      </c>
      <c r="H327">
        <v>21.1</v>
      </c>
      <c r="I327">
        <v>0</v>
      </c>
      <c r="J327">
        <v>0</v>
      </c>
      <c r="K327">
        <v>20</v>
      </c>
      <c r="N327">
        <v>3</v>
      </c>
      <c r="O327">
        <v>3</v>
      </c>
      <c r="P327">
        <v>4</v>
      </c>
      <c r="Q327">
        <v>2</v>
      </c>
      <c r="R327">
        <v>50.1</v>
      </c>
      <c r="S327">
        <v>18</v>
      </c>
      <c r="T327">
        <v>18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18</v>
      </c>
      <c r="AB327">
        <v>9</v>
      </c>
      <c r="AC327">
        <v>0</v>
      </c>
      <c r="AF327" t="s">
        <v>130</v>
      </c>
      <c r="AH327">
        <v>77.099999999999994</v>
      </c>
    </row>
    <row r="328" spans="1:34" x14ac:dyDescent="0.3">
      <c r="A328" s="4">
        <v>416</v>
      </c>
      <c r="B328" s="5">
        <v>321</v>
      </c>
      <c r="C328">
        <v>15171</v>
      </c>
      <c r="D328" t="s">
        <v>2484</v>
      </c>
      <c r="E328" t="s">
        <v>120</v>
      </c>
      <c r="F328" t="s">
        <v>158</v>
      </c>
      <c r="G328" t="s">
        <v>19009</v>
      </c>
      <c r="H328">
        <v>20.079999999999998</v>
      </c>
      <c r="I328">
        <v>7</v>
      </c>
      <c r="J328">
        <v>0</v>
      </c>
      <c r="K328">
        <v>28</v>
      </c>
      <c r="L328">
        <v>7</v>
      </c>
      <c r="O328">
        <v>7</v>
      </c>
      <c r="P328">
        <v>4</v>
      </c>
      <c r="Q328">
        <v>2</v>
      </c>
      <c r="R328">
        <v>68.08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9</v>
      </c>
      <c r="AC328">
        <v>0</v>
      </c>
      <c r="AF328" t="s">
        <v>130</v>
      </c>
      <c r="AH328">
        <v>77.08</v>
      </c>
    </row>
    <row r="329" spans="1:34" x14ac:dyDescent="0.3">
      <c r="A329" s="4">
        <v>418</v>
      </c>
      <c r="B329" s="5">
        <v>322</v>
      </c>
      <c r="C329">
        <v>7678</v>
      </c>
      <c r="D329" t="s">
        <v>6630</v>
      </c>
      <c r="E329" t="s">
        <v>100</v>
      </c>
      <c r="F329" t="s">
        <v>17</v>
      </c>
      <c r="G329" t="s">
        <v>19010</v>
      </c>
      <c r="H329">
        <v>18.8</v>
      </c>
      <c r="I329">
        <v>0</v>
      </c>
      <c r="J329">
        <v>0</v>
      </c>
      <c r="K329">
        <v>0</v>
      </c>
      <c r="L329">
        <v>7</v>
      </c>
      <c r="O329">
        <v>7</v>
      </c>
      <c r="P329">
        <v>4</v>
      </c>
      <c r="Q329">
        <v>2</v>
      </c>
      <c r="R329">
        <v>31.8</v>
      </c>
      <c r="S329">
        <v>45</v>
      </c>
      <c r="T329">
        <v>45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45</v>
      </c>
      <c r="AB329">
        <v>0</v>
      </c>
      <c r="AC329">
        <v>0</v>
      </c>
      <c r="AF329" t="s">
        <v>130</v>
      </c>
      <c r="AH329">
        <v>76.8</v>
      </c>
    </row>
    <row r="330" spans="1:34" x14ac:dyDescent="0.3">
      <c r="A330" s="4">
        <v>419</v>
      </c>
      <c r="B330" s="5">
        <v>323</v>
      </c>
      <c r="C330">
        <v>1404</v>
      </c>
      <c r="D330" t="s">
        <v>12125</v>
      </c>
      <c r="E330" t="s">
        <v>161</v>
      </c>
      <c r="F330" t="s">
        <v>38</v>
      </c>
      <c r="G330" t="s">
        <v>19011</v>
      </c>
      <c r="H330">
        <v>18.78</v>
      </c>
      <c r="I330">
        <v>0</v>
      </c>
      <c r="J330">
        <v>0</v>
      </c>
      <c r="K330">
        <v>0</v>
      </c>
      <c r="N330">
        <v>3</v>
      </c>
      <c r="O330">
        <v>3</v>
      </c>
      <c r="P330">
        <v>4</v>
      </c>
      <c r="Q330">
        <v>2</v>
      </c>
      <c r="R330">
        <v>27.78</v>
      </c>
      <c r="S330">
        <v>46</v>
      </c>
      <c r="T330">
        <v>46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46</v>
      </c>
      <c r="AB330">
        <v>3</v>
      </c>
      <c r="AC330">
        <v>0</v>
      </c>
      <c r="AF330" t="s">
        <v>130</v>
      </c>
      <c r="AH330">
        <v>76.78</v>
      </c>
    </row>
    <row r="331" spans="1:34" x14ac:dyDescent="0.3">
      <c r="A331" s="4">
        <v>420</v>
      </c>
      <c r="B331" s="5">
        <v>324</v>
      </c>
      <c r="C331">
        <v>5671</v>
      </c>
      <c r="D331" t="s">
        <v>7283</v>
      </c>
      <c r="E331" t="s">
        <v>255</v>
      </c>
      <c r="F331" t="s">
        <v>136</v>
      </c>
      <c r="G331" t="s">
        <v>19012</v>
      </c>
      <c r="H331">
        <v>17.75</v>
      </c>
      <c r="I331">
        <v>0</v>
      </c>
      <c r="J331">
        <v>0</v>
      </c>
      <c r="K331">
        <v>0</v>
      </c>
      <c r="L331">
        <v>7</v>
      </c>
      <c r="O331">
        <v>7</v>
      </c>
      <c r="P331">
        <v>4</v>
      </c>
      <c r="Q331">
        <v>2</v>
      </c>
      <c r="R331">
        <v>30.75</v>
      </c>
      <c r="S331">
        <v>43</v>
      </c>
      <c r="T331">
        <v>43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43</v>
      </c>
      <c r="AB331">
        <v>3</v>
      </c>
      <c r="AC331">
        <v>0</v>
      </c>
      <c r="AF331" t="s">
        <v>130</v>
      </c>
      <c r="AH331">
        <v>76.75</v>
      </c>
    </row>
    <row r="332" spans="1:34" x14ac:dyDescent="0.3">
      <c r="A332" s="4">
        <v>421</v>
      </c>
      <c r="B332" s="5">
        <v>325</v>
      </c>
      <c r="C332">
        <v>4744</v>
      </c>
      <c r="D332" t="s">
        <v>13020</v>
      </c>
      <c r="E332" t="s">
        <v>1371</v>
      </c>
      <c r="F332" t="s">
        <v>17</v>
      </c>
      <c r="G332" t="s">
        <v>19013</v>
      </c>
      <c r="H332">
        <v>19.7</v>
      </c>
      <c r="I332">
        <v>0</v>
      </c>
      <c r="J332">
        <v>0</v>
      </c>
      <c r="K332">
        <v>20</v>
      </c>
      <c r="N332">
        <v>3</v>
      </c>
      <c r="O332">
        <v>3</v>
      </c>
      <c r="P332">
        <v>4</v>
      </c>
      <c r="Q332">
        <v>2</v>
      </c>
      <c r="R332">
        <v>48.7</v>
      </c>
      <c r="S332">
        <v>28</v>
      </c>
      <c r="T332">
        <v>28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28</v>
      </c>
      <c r="AB332">
        <v>0</v>
      </c>
      <c r="AC332">
        <v>0</v>
      </c>
      <c r="AF332" t="s">
        <v>130</v>
      </c>
      <c r="AH332">
        <v>76.7</v>
      </c>
    </row>
    <row r="333" spans="1:34" x14ac:dyDescent="0.3">
      <c r="A333" s="4">
        <v>422</v>
      </c>
      <c r="B333" s="5">
        <v>326</v>
      </c>
      <c r="C333">
        <v>10251</v>
      </c>
      <c r="D333" t="s">
        <v>971</v>
      </c>
      <c r="E333" t="s">
        <v>1152</v>
      </c>
      <c r="F333" t="s">
        <v>328</v>
      </c>
      <c r="G333" t="s">
        <v>19014</v>
      </c>
      <c r="H333">
        <v>16.7</v>
      </c>
      <c r="I333">
        <v>0</v>
      </c>
      <c r="J333">
        <v>0</v>
      </c>
      <c r="K333">
        <v>20</v>
      </c>
      <c r="N333">
        <v>3</v>
      </c>
      <c r="O333">
        <v>3</v>
      </c>
      <c r="P333">
        <v>4</v>
      </c>
      <c r="Q333">
        <v>0</v>
      </c>
      <c r="R333">
        <v>43.7</v>
      </c>
      <c r="S333">
        <v>33</v>
      </c>
      <c r="T333">
        <v>33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33</v>
      </c>
      <c r="AB333">
        <v>0</v>
      </c>
      <c r="AC333">
        <v>0</v>
      </c>
      <c r="AD333" t="s">
        <v>130</v>
      </c>
      <c r="AF333" t="s">
        <v>130</v>
      </c>
      <c r="AH333">
        <v>76.7</v>
      </c>
    </row>
    <row r="334" spans="1:34" x14ac:dyDescent="0.3">
      <c r="A334" s="4">
        <v>423</v>
      </c>
      <c r="B334" s="5">
        <v>327</v>
      </c>
      <c r="C334">
        <v>11736</v>
      </c>
      <c r="D334" t="s">
        <v>19015</v>
      </c>
      <c r="E334" t="s">
        <v>179</v>
      </c>
      <c r="F334" t="s">
        <v>38</v>
      </c>
      <c r="G334" t="s">
        <v>19016</v>
      </c>
      <c r="H334">
        <v>17.579999999999998</v>
      </c>
      <c r="I334">
        <v>0</v>
      </c>
      <c r="J334">
        <v>0</v>
      </c>
      <c r="K334">
        <v>20</v>
      </c>
      <c r="L334">
        <v>7</v>
      </c>
      <c r="O334">
        <v>7</v>
      </c>
      <c r="P334">
        <v>4</v>
      </c>
      <c r="Q334">
        <v>2</v>
      </c>
      <c r="R334">
        <v>50.58</v>
      </c>
      <c r="S334">
        <v>26</v>
      </c>
      <c r="T334">
        <v>26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26</v>
      </c>
      <c r="AB334">
        <v>0</v>
      </c>
      <c r="AC334">
        <v>0</v>
      </c>
      <c r="AF334" t="s">
        <v>130</v>
      </c>
      <c r="AH334">
        <v>76.58</v>
      </c>
    </row>
    <row r="335" spans="1:34" x14ac:dyDescent="0.3">
      <c r="A335" s="4">
        <v>424</v>
      </c>
      <c r="B335" s="5">
        <v>328</v>
      </c>
      <c r="C335">
        <v>9801</v>
      </c>
      <c r="D335" t="s">
        <v>7073</v>
      </c>
      <c r="E335" t="s">
        <v>19017</v>
      </c>
      <c r="F335" t="s">
        <v>81</v>
      </c>
      <c r="G335" t="s">
        <v>19018</v>
      </c>
      <c r="H335">
        <v>18.53</v>
      </c>
      <c r="I335">
        <v>0</v>
      </c>
      <c r="J335">
        <v>0</v>
      </c>
      <c r="K335">
        <v>0</v>
      </c>
      <c r="N335">
        <v>3</v>
      </c>
      <c r="O335">
        <v>3</v>
      </c>
      <c r="P335">
        <v>4</v>
      </c>
      <c r="Q335">
        <v>0</v>
      </c>
      <c r="R335">
        <v>25.53</v>
      </c>
      <c r="S335">
        <v>51</v>
      </c>
      <c r="T335">
        <v>51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51</v>
      </c>
      <c r="AB335">
        <v>0</v>
      </c>
      <c r="AC335">
        <v>0</v>
      </c>
      <c r="AF335" t="s">
        <v>130</v>
      </c>
      <c r="AH335">
        <v>76.53</v>
      </c>
    </row>
    <row r="336" spans="1:34" x14ac:dyDescent="0.3">
      <c r="A336" s="4">
        <v>425</v>
      </c>
      <c r="B336" s="5">
        <v>329</v>
      </c>
      <c r="C336">
        <v>14215</v>
      </c>
      <c r="D336" t="s">
        <v>5866</v>
      </c>
      <c r="E336" t="s">
        <v>6507</v>
      </c>
      <c r="F336" t="s">
        <v>30</v>
      </c>
      <c r="G336" t="s">
        <v>19019</v>
      </c>
      <c r="H336">
        <v>18.5</v>
      </c>
      <c r="I336">
        <v>0</v>
      </c>
      <c r="J336">
        <v>0</v>
      </c>
      <c r="K336">
        <v>20</v>
      </c>
      <c r="L336">
        <v>7</v>
      </c>
      <c r="O336">
        <v>7</v>
      </c>
      <c r="P336">
        <v>4</v>
      </c>
      <c r="Q336">
        <v>2</v>
      </c>
      <c r="R336">
        <v>51.5</v>
      </c>
      <c r="S336">
        <v>25</v>
      </c>
      <c r="T336">
        <v>25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25</v>
      </c>
      <c r="AB336">
        <v>0</v>
      </c>
      <c r="AC336">
        <v>0</v>
      </c>
      <c r="AF336" t="s">
        <v>130</v>
      </c>
      <c r="AH336">
        <v>76.5</v>
      </c>
    </row>
    <row r="337" spans="1:34" x14ac:dyDescent="0.3">
      <c r="A337" s="4">
        <v>426</v>
      </c>
      <c r="B337" s="5">
        <v>330</v>
      </c>
      <c r="C337">
        <v>1920</v>
      </c>
      <c r="D337" t="s">
        <v>19020</v>
      </c>
      <c r="E337" t="s">
        <v>132</v>
      </c>
      <c r="F337" t="s">
        <v>68</v>
      </c>
      <c r="G337" t="s">
        <v>19021</v>
      </c>
      <c r="H337">
        <v>19.329999999999998</v>
      </c>
      <c r="I337">
        <v>0</v>
      </c>
      <c r="J337">
        <v>0</v>
      </c>
      <c r="K337">
        <v>20</v>
      </c>
      <c r="L337">
        <v>7</v>
      </c>
      <c r="O337">
        <v>7</v>
      </c>
      <c r="P337">
        <v>4</v>
      </c>
      <c r="Q337">
        <v>2</v>
      </c>
      <c r="R337">
        <v>52.33</v>
      </c>
      <c r="S337">
        <v>18</v>
      </c>
      <c r="T337">
        <v>18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18</v>
      </c>
      <c r="AB337">
        <v>6</v>
      </c>
      <c r="AC337">
        <v>0</v>
      </c>
      <c r="AF337" t="s">
        <v>130</v>
      </c>
      <c r="AH337">
        <v>76.33</v>
      </c>
    </row>
    <row r="338" spans="1:34" x14ac:dyDescent="0.3">
      <c r="A338" s="4">
        <v>427</v>
      </c>
      <c r="B338" s="5">
        <v>331</v>
      </c>
      <c r="C338">
        <v>10035</v>
      </c>
      <c r="D338" t="s">
        <v>552</v>
      </c>
      <c r="E338" t="s">
        <v>26</v>
      </c>
      <c r="F338" t="s">
        <v>17</v>
      </c>
      <c r="G338" t="s">
        <v>19022</v>
      </c>
      <c r="H338">
        <v>18.3</v>
      </c>
      <c r="I338">
        <v>0</v>
      </c>
      <c r="J338">
        <v>0</v>
      </c>
      <c r="K338">
        <v>20</v>
      </c>
      <c r="L338">
        <v>7</v>
      </c>
      <c r="N338">
        <v>3</v>
      </c>
      <c r="O338">
        <v>10</v>
      </c>
      <c r="P338">
        <v>4</v>
      </c>
      <c r="Q338">
        <v>2</v>
      </c>
      <c r="R338">
        <v>54.3</v>
      </c>
      <c r="S338">
        <v>16</v>
      </c>
      <c r="T338">
        <v>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16</v>
      </c>
      <c r="AB338">
        <v>6</v>
      </c>
      <c r="AC338">
        <v>0</v>
      </c>
      <c r="AF338" t="s">
        <v>130</v>
      </c>
      <c r="AH338">
        <v>76.3</v>
      </c>
    </row>
    <row r="339" spans="1:34" x14ac:dyDescent="0.3">
      <c r="A339" s="4">
        <v>428</v>
      </c>
      <c r="B339" s="5">
        <v>332</v>
      </c>
      <c r="C339">
        <v>1387</v>
      </c>
      <c r="D339" t="s">
        <v>1530</v>
      </c>
      <c r="E339" t="s">
        <v>182</v>
      </c>
      <c r="F339" t="s">
        <v>17</v>
      </c>
      <c r="G339" t="s">
        <v>19023</v>
      </c>
      <c r="H339">
        <v>19.3</v>
      </c>
      <c r="I339">
        <v>0</v>
      </c>
      <c r="J339">
        <v>0</v>
      </c>
      <c r="K339">
        <v>20</v>
      </c>
      <c r="O339">
        <v>0</v>
      </c>
      <c r="P339">
        <v>4</v>
      </c>
      <c r="Q339">
        <v>2</v>
      </c>
      <c r="R339">
        <v>45.3</v>
      </c>
      <c r="S339">
        <v>28</v>
      </c>
      <c r="T339">
        <v>28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28</v>
      </c>
      <c r="AB339">
        <v>3</v>
      </c>
      <c r="AC339">
        <v>0</v>
      </c>
      <c r="AF339" t="s">
        <v>130</v>
      </c>
      <c r="AH339">
        <v>76.3</v>
      </c>
    </row>
    <row r="340" spans="1:34" x14ac:dyDescent="0.3">
      <c r="A340" s="4">
        <v>429</v>
      </c>
      <c r="B340" s="5">
        <v>333</v>
      </c>
      <c r="C340">
        <v>10647</v>
      </c>
      <c r="D340" t="s">
        <v>1604</v>
      </c>
      <c r="E340" t="s">
        <v>3175</v>
      </c>
      <c r="F340" t="s">
        <v>1526</v>
      </c>
      <c r="G340" t="s">
        <v>19024</v>
      </c>
      <c r="H340">
        <v>19.3</v>
      </c>
      <c r="I340">
        <v>0</v>
      </c>
      <c r="J340">
        <v>0</v>
      </c>
      <c r="K340">
        <v>28</v>
      </c>
      <c r="M340">
        <v>5</v>
      </c>
      <c r="O340">
        <v>5</v>
      </c>
      <c r="P340">
        <v>4</v>
      </c>
      <c r="Q340">
        <v>2</v>
      </c>
      <c r="R340">
        <v>58.3</v>
      </c>
      <c r="S340">
        <v>18</v>
      </c>
      <c r="T340">
        <v>18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18</v>
      </c>
      <c r="AB340">
        <v>0</v>
      </c>
      <c r="AC340">
        <v>0</v>
      </c>
      <c r="AD340" t="s">
        <v>130</v>
      </c>
      <c r="AF340" t="s">
        <v>130</v>
      </c>
      <c r="AH340">
        <v>76.3</v>
      </c>
    </row>
    <row r="341" spans="1:34" x14ac:dyDescent="0.3">
      <c r="A341" s="4">
        <v>430</v>
      </c>
      <c r="B341" s="5">
        <v>334</v>
      </c>
      <c r="C341">
        <v>7936</v>
      </c>
      <c r="D341" t="s">
        <v>19025</v>
      </c>
      <c r="E341" t="s">
        <v>3130</v>
      </c>
      <c r="F341" t="s">
        <v>17</v>
      </c>
      <c r="G341" t="s">
        <v>19026</v>
      </c>
      <c r="H341">
        <v>15.23</v>
      </c>
      <c r="I341">
        <v>0</v>
      </c>
      <c r="J341">
        <v>0</v>
      </c>
      <c r="K341">
        <v>20</v>
      </c>
      <c r="O341">
        <v>0</v>
      </c>
      <c r="P341">
        <v>4</v>
      </c>
      <c r="Q341">
        <v>2</v>
      </c>
      <c r="R341">
        <v>41.23</v>
      </c>
      <c r="S341">
        <v>35</v>
      </c>
      <c r="T341">
        <v>35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35</v>
      </c>
      <c r="AB341">
        <v>0</v>
      </c>
      <c r="AC341">
        <v>0</v>
      </c>
      <c r="AF341" t="s">
        <v>130</v>
      </c>
      <c r="AH341">
        <v>76.23</v>
      </c>
    </row>
    <row r="342" spans="1:34" x14ac:dyDescent="0.3">
      <c r="A342" s="4">
        <v>431</v>
      </c>
      <c r="B342" s="5">
        <v>335</v>
      </c>
      <c r="C342">
        <v>11309</v>
      </c>
      <c r="D342" t="s">
        <v>2100</v>
      </c>
      <c r="E342" t="s">
        <v>100</v>
      </c>
      <c r="F342" t="s">
        <v>3439</v>
      </c>
      <c r="G342" t="s">
        <v>19027</v>
      </c>
      <c r="H342">
        <v>18.2</v>
      </c>
      <c r="I342">
        <v>0</v>
      </c>
      <c r="J342">
        <v>0</v>
      </c>
      <c r="K342">
        <v>0</v>
      </c>
      <c r="L342">
        <v>7</v>
      </c>
      <c r="O342">
        <v>7</v>
      </c>
      <c r="P342">
        <v>4</v>
      </c>
      <c r="Q342">
        <v>2</v>
      </c>
      <c r="R342">
        <v>31.2</v>
      </c>
      <c r="S342">
        <v>45</v>
      </c>
      <c r="T342">
        <v>45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45</v>
      </c>
      <c r="AB342">
        <v>0</v>
      </c>
      <c r="AC342">
        <v>0</v>
      </c>
      <c r="AF342" t="s">
        <v>130</v>
      </c>
      <c r="AH342">
        <v>76.2</v>
      </c>
    </row>
    <row r="343" spans="1:34" x14ac:dyDescent="0.3">
      <c r="A343" s="4">
        <v>432</v>
      </c>
      <c r="B343" s="5">
        <v>336</v>
      </c>
      <c r="C343">
        <v>9224</v>
      </c>
      <c r="D343" t="s">
        <v>5227</v>
      </c>
      <c r="E343" t="s">
        <v>1694</v>
      </c>
      <c r="F343" t="s">
        <v>81</v>
      </c>
      <c r="G343" t="s">
        <v>19028</v>
      </c>
      <c r="H343">
        <v>18.100000000000001</v>
      </c>
      <c r="I343">
        <v>0</v>
      </c>
      <c r="J343">
        <v>0</v>
      </c>
      <c r="K343">
        <v>20</v>
      </c>
      <c r="L343">
        <v>7</v>
      </c>
      <c r="O343">
        <v>7</v>
      </c>
      <c r="P343">
        <v>4</v>
      </c>
      <c r="Q343">
        <v>2</v>
      </c>
      <c r="R343">
        <v>51.1</v>
      </c>
      <c r="S343">
        <v>25</v>
      </c>
      <c r="T343">
        <v>25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25</v>
      </c>
      <c r="AB343">
        <v>0</v>
      </c>
      <c r="AC343">
        <v>0</v>
      </c>
      <c r="AD343" t="s">
        <v>130</v>
      </c>
      <c r="AF343" t="s">
        <v>130</v>
      </c>
      <c r="AH343">
        <v>76.099999999999994</v>
      </c>
    </row>
    <row r="344" spans="1:34" x14ac:dyDescent="0.3">
      <c r="A344" s="4">
        <v>433</v>
      </c>
      <c r="B344" s="5">
        <v>337</v>
      </c>
      <c r="C344">
        <v>3051</v>
      </c>
      <c r="D344" t="s">
        <v>3309</v>
      </c>
      <c r="E344" t="s">
        <v>22</v>
      </c>
      <c r="F344" t="s">
        <v>91</v>
      </c>
      <c r="G344" t="s">
        <v>19029</v>
      </c>
      <c r="H344">
        <v>17.05</v>
      </c>
      <c r="I344">
        <v>0</v>
      </c>
      <c r="J344">
        <v>0</v>
      </c>
      <c r="K344">
        <v>0</v>
      </c>
      <c r="O344">
        <v>0</v>
      </c>
      <c r="P344">
        <v>4</v>
      </c>
      <c r="Q344">
        <v>2</v>
      </c>
      <c r="R344">
        <v>23.05</v>
      </c>
      <c r="S344">
        <v>53</v>
      </c>
      <c r="T344">
        <v>53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53</v>
      </c>
      <c r="AB344">
        <v>0</v>
      </c>
      <c r="AC344">
        <v>0</v>
      </c>
      <c r="AF344" t="s">
        <v>130</v>
      </c>
      <c r="AH344">
        <v>76.05</v>
      </c>
    </row>
    <row r="345" spans="1:34" x14ac:dyDescent="0.3">
      <c r="A345" s="4">
        <v>434</v>
      </c>
      <c r="B345" s="5">
        <v>338</v>
      </c>
      <c r="C345">
        <v>13158</v>
      </c>
      <c r="D345" t="s">
        <v>12054</v>
      </c>
      <c r="E345" t="s">
        <v>29</v>
      </c>
      <c r="F345" t="s">
        <v>34</v>
      </c>
      <c r="G345" t="s">
        <v>19030</v>
      </c>
      <c r="H345">
        <v>20</v>
      </c>
      <c r="I345">
        <v>0</v>
      </c>
      <c r="J345">
        <v>0</v>
      </c>
      <c r="K345">
        <v>20</v>
      </c>
      <c r="N345">
        <v>3</v>
      </c>
      <c r="O345">
        <v>3</v>
      </c>
      <c r="P345">
        <v>4</v>
      </c>
      <c r="Q345">
        <v>2</v>
      </c>
      <c r="R345">
        <v>49</v>
      </c>
      <c r="S345">
        <v>18</v>
      </c>
      <c r="T345">
        <v>18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18</v>
      </c>
      <c r="AB345">
        <v>9</v>
      </c>
      <c r="AC345">
        <v>0</v>
      </c>
      <c r="AF345" t="s">
        <v>130</v>
      </c>
      <c r="AH345">
        <v>76</v>
      </c>
    </row>
    <row r="346" spans="1:34" x14ac:dyDescent="0.3">
      <c r="A346" s="4">
        <v>435</v>
      </c>
      <c r="B346" s="5">
        <v>339</v>
      </c>
      <c r="C346">
        <v>12555</v>
      </c>
      <c r="D346" t="s">
        <v>3430</v>
      </c>
      <c r="E346" t="s">
        <v>41</v>
      </c>
      <c r="F346" t="s">
        <v>30</v>
      </c>
      <c r="G346" t="s">
        <v>19031</v>
      </c>
      <c r="H346">
        <v>20</v>
      </c>
      <c r="I346">
        <v>0</v>
      </c>
      <c r="J346">
        <v>0</v>
      </c>
      <c r="K346">
        <v>0</v>
      </c>
      <c r="M346">
        <v>5</v>
      </c>
      <c r="O346">
        <v>5</v>
      </c>
      <c r="P346">
        <v>4</v>
      </c>
      <c r="Q346">
        <v>2</v>
      </c>
      <c r="R346">
        <v>31</v>
      </c>
      <c r="S346">
        <v>42</v>
      </c>
      <c r="T346">
        <v>42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42</v>
      </c>
      <c r="AB346">
        <v>3</v>
      </c>
      <c r="AC346">
        <v>0</v>
      </c>
      <c r="AF346" t="s">
        <v>130</v>
      </c>
      <c r="AH346">
        <v>76</v>
      </c>
    </row>
    <row r="347" spans="1:34" x14ac:dyDescent="0.3">
      <c r="A347" s="4">
        <v>436</v>
      </c>
      <c r="B347" s="5">
        <v>340</v>
      </c>
      <c r="C347">
        <v>4387</v>
      </c>
      <c r="D347" t="s">
        <v>5697</v>
      </c>
      <c r="E347" t="s">
        <v>213</v>
      </c>
      <c r="F347" t="s">
        <v>38</v>
      </c>
      <c r="G347" t="s">
        <v>19032</v>
      </c>
      <c r="H347">
        <v>17.829999999999998</v>
      </c>
      <c r="I347">
        <v>0</v>
      </c>
      <c r="J347">
        <v>0</v>
      </c>
      <c r="K347">
        <v>0</v>
      </c>
      <c r="N347">
        <v>3</v>
      </c>
      <c r="O347">
        <v>3</v>
      </c>
      <c r="P347">
        <v>4</v>
      </c>
      <c r="Q347">
        <v>2</v>
      </c>
      <c r="R347">
        <v>26.83</v>
      </c>
      <c r="S347">
        <v>49</v>
      </c>
      <c r="T347">
        <v>49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49</v>
      </c>
      <c r="AB347">
        <v>0</v>
      </c>
      <c r="AC347">
        <v>0</v>
      </c>
      <c r="AF347" t="s">
        <v>130</v>
      </c>
      <c r="AH347">
        <v>75.83</v>
      </c>
    </row>
    <row r="348" spans="1:34" x14ac:dyDescent="0.3">
      <c r="A348" s="4">
        <v>437</v>
      </c>
      <c r="B348" s="5">
        <v>341</v>
      </c>
      <c r="C348">
        <v>7216</v>
      </c>
      <c r="D348" t="s">
        <v>19033</v>
      </c>
      <c r="E348" t="s">
        <v>9354</v>
      </c>
      <c r="F348" t="s">
        <v>38</v>
      </c>
      <c r="G348" t="s">
        <v>19034</v>
      </c>
      <c r="H348">
        <v>17.75</v>
      </c>
      <c r="I348">
        <v>0</v>
      </c>
      <c r="J348">
        <v>0</v>
      </c>
      <c r="K348">
        <v>0</v>
      </c>
      <c r="L348">
        <v>7</v>
      </c>
      <c r="O348">
        <v>7</v>
      </c>
      <c r="P348">
        <v>4</v>
      </c>
      <c r="Q348">
        <v>2</v>
      </c>
      <c r="R348">
        <v>30.75</v>
      </c>
      <c r="S348">
        <v>36</v>
      </c>
      <c r="T348">
        <v>36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36</v>
      </c>
      <c r="AB348">
        <v>9</v>
      </c>
      <c r="AC348">
        <v>0</v>
      </c>
      <c r="AF348" t="s">
        <v>130</v>
      </c>
      <c r="AH348">
        <v>75.75</v>
      </c>
    </row>
    <row r="349" spans="1:34" x14ac:dyDescent="0.3">
      <c r="A349" s="4">
        <v>438</v>
      </c>
      <c r="B349" s="5">
        <v>342</v>
      </c>
      <c r="C349">
        <v>4652</v>
      </c>
      <c r="D349" t="s">
        <v>19035</v>
      </c>
      <c r="E349" t="s">
        <v>110</v>
      </c>
      <c r="F349" t="s">
        <v>158</v>
      </c>
      <c r="G349" t="s">
        <v>19036</v>
      </c>
      <c r="H349">
        <v>17.600000000000001</v>
      </c>
      <c r="I349">
        <v>0</v>
      </c>
      <c r="J349">
        <v>0</v>
      </c>
      <c r="K349">
        <v>0</v>
      </c>
      <c r="O349">
        <v>0</v>
      </c>
      <c r="P349">
        <v>4</v>
      </c>
      <c r="Q349">
        <v>0</v>
      </c>
      <c r="R349">
        <v>21.6</v>
      </c>
      <c r="S349">
        <v>54</v>
      </c>
      <c r="T349">
        <v>54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54</v>
      </c>
      <c r="AB349">
        <v>0</v>
      </c>
      <c r="AC349">
        <v>0</v>
      </c>
      <c r="AF349" t="s">
        <v>130</v>
      </c>
      <c r="AH349">
        <v>75.599999999999994</v>
      </c>
    </row>
    <row r="350" spans="1:34" x14ac:dyDescent="0.3">
      <c r="A350" s="4">
        <v>439</v>
      </c>
      <c r="B350" s="5">
        <v>343</v>
      </c>
      <c r="C350">
        <v>4940</v>
      </c>
      <c r="D350" t="s">
        <v>5849</v>
      </c>
      <c r="E350" t="s">
        <v>54</v>
      </c>
      <c r="F350" t="s">
        <v>81</v>
      </c>
      <c r="G350" t="s">
        <v>19037</v>
      </c>
      <c r="H350">
        <v>21.73</v>
      </c>
      <c r="I350">
        <v>7</v>
      </c>
      <c r="J350">
        <v>0</v>
      </c>
      <c r="K350">
        <v>0</v>
      </c>
      <c r="L350">
        <v>7</v>
      </c>
      <c r="O350">
        <v>7</v>
      </c>
      <c r="P350">
        <v>4</v>
      </c>
      <c r="Q350">
        <v>0</v>
      </c>
      <c r="R350">
        <v>39.729999999999997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9</v>
      </c>
      <c r="AC350">
        <v>26.8</v>
      </c>
      <c r="AF350" t="s">
        <v>130</v>
      </c>
      <c r="AH350">
        <v>75.53</v>
      </c>
    </row>
    <row r="351" spans="1:34" x14ac:dyDescent="0.3">
      <c r="A351" s="4">
        <v>440</v>
      </c>
      <c r="B351" s="5">
        <v>344</v>
      </c>
      <c r="C351">
        <v>9879</v>
      </c>
      <c r="D351" t="s">
        <v>2991</v>
      </c>
      <c r="E351" t="s">
        <v>789</v>
      </c>
      <c r="F351" t="s">
        <v>892</v>
      </c>
      <c r="G351" t="s">
        <v>19038</v>
      </c>
      <c r="H351">
        <v>17.5</v>
      </c>
      <c r="I351">
        <v>0</v>
      </c>
      <c r="J351">
        <v>0</v>
      </c>
      <c r="K351">
        <v>0</v>
      </c>
      <c r="O351">
        <v>0</v>
      </c>
      <c r="P351">
        <v>4</v>
      </c>
      <c r="Q351">
        <v>2</v>
      </c>
      <c r="R351">
        <v>23.5</v>
      </c>
      <c r="S351">
        <v>46</v>
      </c>
      <c r="T351">
        <v>46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46</v>
      </c>
      <c r="AB351">
        <v>6</v>
      </c>
      <c r="AC351">
        <v>0</v>
      </c>
      <c r="AF351" t="s">
        <v>130</v>
      </c>
      <c r="AH351">
        <v>75.5</v>
      </c>
    </row>
    <row r="352" spans="1:34" x14ac:dyDescent="0.3">
      <c r="A352" s="4">
        <v>441</v>
      </c>
      <c r="B352" s="5">
        <v>345</v>
      </c>
      <c r="C352">
        <v>2760</v>
      </c>
      <c r="D352" t="s">
        <v>3910</v>
      </c>
      <c r="E352" t="s">
        <v>54</v>
      </c>
      <c r="F352" t="s">
        <v>20</v>
      </c>
      <c r="G352" t="s">
        <v>19039</v>
      </c>
      <c r="H352">
        <v>19.48</v>
      </c>
      <c r="I352">
        <v>7</v>
      </c>
      <c r="J352">
        <v>0</v>
      </c>
      <c r="K352">
        <v>0</v>
      </c>
      <c r="N352">
        <v>3</v>
      </c>
      <c r="O352">
        <v>3</v>
      </c>
      <c r="P352">
        <v>4</v>
      </c>
      <c r="Q352">
        <v>0</v>
      </c>
      <c r="R352">
        <v>33.479999999999997</v>
      </c>
      <c r="S352">
        <v>36</v>
      </c>
      <c r="T352">
        <v>36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36</v>
      </c>
      <c r="AB352">
        <v>6</v>
      </c>
      <c r="AC352">
        <v>0</v>
      </c>
      <c r="AF352" t="s">
        <v>130</v>
      </c>
      <c r="AH352">
        <v>75.48</v>
      </c>
    </row>
    <row r="353" spans="1:34" x14ac:dyDescent="0.3">
      <c r="A353" s="4">
        <v>442</v>
      </c>
      <c r="B353" s="5">
        <v>346</v>
      </c>
      <c r="C353">
        <v>1745</v>
      </c>
      <c r="D353" t="s">
        <v>19040</v>
      </c>
      <c r="E353" t="s">
        <v>19041</v>
      </c>
      <c r="F353" t="s">
        <v>81</v>
      </c>
      <c r="G353" t="s">
        <v>19042</v>
      </c>
      <c r="H353">
        <v>17.399999999999999</v>
      </c>
      <c r="I353">
        <v>0</v>
      </c>
      <c r="J353">
        <v>0</v>
      </c>
      <c r="K353">
        <v>20</v>
      </c>
      <c r="M353">
        <v>5</v>
      </c>
      <c r="N353">
        <v>3</v>
      </c>
      <c r="O353">
        <v>8</v>
      </c>
      <c r="P353">
        <v>4</v>
      </c>
      <c r="Q353">
        <v>0</v>
      </c>
      <c r="R353">
        <v>49.4</v>
      </c>
      <c r="S353">
        <v>26</v>
      </c>
      <c r="T353">
        <v>26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26</v>
      </c>
      <c r="AB353">
        <v>0</v>
      </c>
      <c r="AC353">
        <v>0</v>
      </c>
      <c r="AF353" t="s">
        <v>130</v>
      </c>
      <c r="AH353">
        <v>75.400000000000006</v>
      </c>
    </row>
    <row r="354" spans="1:34" x14ac:dyDescent="0.3">
      <c r="A354" s="4">
        <v>443</v>
      </c>
      <c r="B354" s="5">
        <v>347</v>
      </c>
      <c r="C354">
        <v>4417</v>
      </c>
      <c r="D354" t="s">
        <v>19043</v>
      </c>
      <c r="E354" t="s">
        <v>41</v>
      </c>
      <c r="F354" t="s">
        <v>230</v>
      </c>
      <c r="G354" t="s">
        <v>19044</v>
      </c>
      <c r="H354">
        <v>19.38</v>
      </c>
      <c r="I354">
        <v>0</v>
      </c>
      <c r="J354">
        <v>0</v>
      </c>
      <c r="K354">
        <v>0</v>
      </c>
      <c r="O354">
        <v>0</v>
      </c>
      <c r="P354">
        <v>4</v>
      </c>
      <c r="Q354">
        <v>0</v>
      </c>
      <c r="R354">
        <v>23.38</v>
      </c>
      <c r="S354">
        <v>46</v>
      </c>
      <c r="T354">
        <v>46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46</v>
      </c>
      <c r="AB354">
        <v>6</v>
      </c>
      <c r="AC354">
        <v>0</v>
      </c>
      <c r="AF354" t="s">
        <v>130</v>
      </c>
      <c r="AH354">
        <v>75.38</v>
      </c>
    </row>
    <row r="355" spans="1:34" x14ac:dyDescent="0.3">
      <c r="A355" s="4">
        <v>444</v>
      </c>
      <c r="B355" s="5">
        <v>348</v>
      </c>
      <c r="C355">
        <v>2194</v>
      </c>
      <c r="D355" t="s">
        <v>19045</v>
      </c>
      <c r="E355" t="s">
        <v>17309</v>
      </c>
      <c r="F355" t="s">
        <v>17</v>
      </c>
      <c r="G355" t="s">
        <v>19046</v>
      </c>
      <c r="H355">
        <v>18.3</v>
      </c>
      <c r="I355">
        <v>0</v>
      </c>
      <c r="J355">
        <v>0</v>
      </c>
      <c r="K355">
        <v>20</v>
      </c>
      <c r="O355">
        <v>0</v>
      </c>
      <c r="P355">
        <v>4</v>
      </c>
      <c r="Q355">
        <v>2</v>
      </c>
      <c r="R355">
        <v>44.3</v>
      </c>
      <c r="S355">
        <v>25</v>
      </c>
      <c r="T355">
        <v>25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25</v>
      </c>
      <c r="AB355">
        <v>6</v>
      </c>
      <c r="AC355">
        <v>0</v>
      </c>
      <c r="AD355" t="s">
        <v>130</v>
      </c>
      <c r="AF355" t="s">
        <v>130</v>
      </c>
      <c r="AH355">
        <v>75.3</v>
      </c>
    </row>
    <row r="356" spans="1:34" x14ac:dyDescent="0.3">
      <c r="A356" s="4">
        <v>445</v>
      </c>
      <c r="B356" s="5">
        <v>349</v>
      </c>
      <c r="C356">
        <v>10849</v>
      </c>
      <c r="D356" t="s">
        <v>19047</v>
      </c>
      <c r="E356" t="s">
        <v>29</v>
      </c>
      <c r="F356" t="s">
        <v>117</v>
      </c>
      <c r="G356" t="s">
        <v>19048</v>
      </c>
      <c r="H356">
        <v>19.28</v>
      </c>
      <c r="I356">
        <v>0</v>
      </c>
      <c r="J356">
        <v>0</v>
      </c>
      <c r="K356">
        <v>0</v>
      </c>
      <c r="N356">
        <v>3</v>
      </c>
      <c r="O356">
        <v>3</v>
      </c>
      <c r="P356">
        <v>4</v>
      </c>
      <c r="Q356">
        <v>0</v>
      </c>
      <c r="R356">
        <v>26.28</v>
      </c>
      <c r="S356">
        <v>46</v>
      </c>
      <c r="T356">
        <v>46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46</v>
      </c>
      <c r="AB356">
        <v>3</v>
      </c>
      <c r="AC356">
        <v>0</v>
      </c>
      <c r="AD356" t="s">
        <v>130</v>
      </c>
      <c r="AF356" t="s">
        <v>130</v>
      </c>
      <c r="AH356">
        <v>75.28</v>
      </c>
    </row>
    <row r="357" spans="1:34" x14ac:dyDescent="0.3">
      <c r="A357" s="4">
        <v>446</v>
      </c>
      <c r="B357" s="5">
        <v>350</v>
      </c>
      <c r="C357">
        <v>7729</v>
      </c>
      <c r="D357" t="s">
        <v>19049</v>
      </c>
      <c r="E357" t="s">
        <v>68</v>
      </c>
      <c r="F357" t="s">
        <v>570</v>
      </c>
      <c r="G357" t="s">
        <v>19050</v>
      </c>
      <c r="H357">
        <v>19.23</v>
      </c>
      <c r="I357">
        <v>0</v>
      </c>
      <c r="J357">
        <v>0</v>
      </c>
      <c r="K357">
        <v>20</v>
      </c>
      <c r="N357">
        <v>3</v>
      </c>
      <c r="O357">
        <v>3</v>
      </c>
      <c r="P357">
        <v>4</v>
      </c>
      <c r="Q357">
        <v>2</v>
      </c>
      <c r="R357">
        <v>48.23</v>
      </c>
      <c r="S357">
        <v>27</v>
      </c>
      <c r="T357">
        <v>27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27</v>
      </c>
      <c r="AB357">
        <v>0</v>
      </c>
      <c r="AC357">
        <v>0</v>
      </c>
      <c r="AF357" t="s">
        <v>130</v>
      </c>
      <c r="AH357">
        <v>75.23</v>
      </c>
    </row>
    <row r="358" spans="1:34" x14ac:dyDescent="0.3">
      <c r="A358" s="4">
        <v>447</v>
      </c>
      <c r="B358" s="5">
        <v>351</v>
      </c>
      <c r="C358">
        <v>6665</v>
      </c>
      <c r="D358" t="s">
        <v>1321</v>
      </c>
      <c r="E358" t="s">
        <v>54</v>
      </c>
      <c r="F358" t="s">
        <v>81</v>
      </c>
      <c r="G358" t="s">
        <v>19051</v>
      </c>
      <c r="H358">
        <v>17.149999999999999</v>
      </c>
      <c r="I358">
        <v>0</v>
      </c>
      <c r="J358">
        <v>0</v>
      </c>
      <c r="K358">
        <v>20</v>
      </c>
      <c r="L358">
        <v>7</v>
      </c>
      <c r="O358">
        <v>7</v>
      </c>
      <c r="P358">
        <v>4</v>
      </c>
      <c r="Q358">
        <v>0</v>
      </c>
      <c r="R358">
        <v>48.15</v>
      </c>
      <c r="S358">
        <v>21</v>
      </c>
      <c r="T358">
        <v>21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21</v>
      </c>
      <c r="AB358">
        <v>6</v>
      </c>
      <c r="AC358">
        <v>0</v>
      </c>
      <c r="AF358" t="s">
        <v>130</v>
      </c>
      <c r="AH358">
        <v>75.150000000000006</v>
      </c>
    </row>
    <row r="359" spans="1:34" x14ac:dyDescent="0.3">
      <c r="A359" s="4">
        <v>448</v>
      </c>
      <c r="B359" s="5">
        <v>352</v>
      </c>
      <c r="C359">
        <v>7899</v>
      </c>
      <c r="D359" t="s">
        <v>288</v>
      </c>
      <c r="E359" t="s">
        <v>65</v>
      </c>
      <c r="F359" t="s">
        <v>68</v>
      </c>
      <c r="G359" t="s">
        <v>19052</v>
      </c>
      <c r="H359">
        <v>16.100000000000001</v>
      </c>
      <c r="I359">
        <v>0</v>
      </c>
      <c r="J359">
        <v>0</v>
      </c>
      <c r="K359">
        <v>20</v>
      </c>
      <c r="N359">
        <v>3</v>
      </c>
      <c r="O359">
        <v>3</v>
      </c>
      <c r="P359">
        <v>4</v>
      </c>
      <c r="Q359">
        <v>2</v>
      </c>
      <c r="R359">
        <v>45.1</v>
      </c>
      <c r="S359">
        <v>18</v>
      </c>
      <c r="T359">
        <v>18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18</v>
      </c>
      <c r="AB359">
        <v>12</v>
      </c>
      <c r="AC359">
        <v>0</v>
      </c>
      <c r="AF359" t="s">
        <v>130</v>
      </c>
      <c r="AH359">
        <v>75.099999999999994</v>
      </c>
    </row>
    <row r="360" spans="1:34" x14ac:dyDescent="0.3">
      <c r="A360" s="4">
        <v>449</v>
      </c>
      <c r="B360" s="5">
        <v>353</v>
      </c>
      <c r="C360">
        <v>15158</v>
      </c>
      <c r="D360" t="s">
        <v>16806</v>
      </c>
      <c r="E360" t="s">
        <v>88</v>
      </c>
      <c r="F360" t="s">
        <v>17</v>
      </c>
      <c r="G360" t="s">
        <v>19053</v>
      </c>
      <c r="H360">
        <v>19</v>
      </c>
      <c r="I360">
        <v>0</v>
      </c>
      <c r="J360">
        <v>0</v>
      </c>
      <c r="K360">
        <v>20</v>
      </c>
      <c r="N360">
        <v>3</v>
      </c>
      <c r="O360">
        <v>3</v>
      </c>
      <c r="P360">
        <v>4</v>
      </c>
      <c r="Q360">
        <v>2</v>
      </c>
      <c r="R360">
        <v>48</v>
      </c>
      <c r="S360">
        <v>18</v>
      </c>
      <c r="T360">
        <v>18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18</v>
      </c>
      <c r="AB360">
        <v>9</v>
      </c>
      <c r="AC360">
        <v>0</v>
      </c>
      <c r="AF360" t="s">
        <v>130</v>
      </c>
      <c r="AH360">
        <v>75</v>
      </c>
    </row>
    <row r="361" spans="1:34" x14ac:dyDescent="0.3">
      <c r="A361" s="4">
        <v>451</v>
      </c>
      <c r="B361" s="5">
        <v>354</v>
      </c>
      <c r="C361">
        <v>10246</v>
      </c>
      <c r="D361" t="s">
        <v>19055</v>
      </c>
      <c r="E361" t="s">
        <v>29</v>
      </c>
      <c r="F361" t="s">
        <v>346</v>
      </c>
      <c r="G361" t="s">
        <v>19056</v>
      </c>
      <c r="H361">
        <v>17.899999999999999</v>
      </c>
      <c r="I361">
        <v>0</v>
      </c>
      <c r="J361">
        <v>0</v>
      </c>
      <c r="K361">
        <v>20</v>
      </c>
      <c r="L361">
        <v>7</v>
      </c>
      <c r="O361">
        <v>7</v>
      </c>
      <c r="P361">
        <v>4</v>
      </c>
      <c r="Q361">
        <v>2</v>
      </c>
      <c r="R361">
        <v>50.9</v>
      </c>
      <c r="S361">
        <v>18</v>
      </c>
      <c r="T361">
        <v>18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18</v>
      </c>
      <c r="AB361">
        <v>6</v>
      </c>
      <c r="AC361">
        <v>0</v>
      </c>
      <c r="AF361" t="s">
        <v>130</v>
      </c>
      <c r="AH361">
        <v>74.900000000000006</v>
      </c>
    </row>
    <row r="362" spans="1:34" x14ac:dyDescent="0.3">
      <c r="A362" s="4">
        <v>452</v>
      </c>
      <c r="B362" s="5">
        <v>355</v>
      </c>
      <c r="C362">
        <v>2182</v>
      </c>
      <c r="D362" t="s">
        <v>181</v>
      </c>
      <c r="E362" t="s">
        <v>8216</v>
      </c>
      <c r="F362" t="s">
        <v>20</v>
      </c>
      <c r="G362" t="s">
        <v>19057</v>
      </c>
      <c r="H362">
        <v>17.75</v>
      </c>
      <c r="I362">
        <v>0</v>
      </c>
      <c r="J362">
        <v>0</v>
      </c>
      <c r="K362">
        <v>0</v>
      </c>
      <c r="N362">
        <v>3</v>
      </c>
      <c r="O362">
        <v>3</v>
      </c>
      <c r="P362">
        <v>4</v>
      </c>
      <c r="Q362">
        <v>2</v>
      </c>
      <c r="R362">
        <v>26.75</v>
      </c>
      <c r="S362">
        <v>45</v>
      </c>
      <c r="T362">
        <v>45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45</v>
      </c>
      <c r="AB362">
        <v>3</v>
      </c>
      <c r="AC362">
        <v>0</v>
      </c>
      <c r="AD362" t="s">
        <v>130</v>
      </c>
      <c r="AF362" t="s">
        <v>130</v>
      </c>
      <c r="AH362">
        <v>74.75</v>
      </c>
    </row>
    <row r="363" spans="1:34" x14ac:dyDescent="0.3">
      <c r="A363" s="4">
        <v>453</v>
      </c>
      <c r="B363" s="5">
        <v>356</v>
      </c>
      <c r="C363">
        <v>10147</v>
      </c>
      <c r="D363" t="s">
        <v>19058</v>
      </c>
      <c r="E363" t="s">
        <v>38</v>
      </c>
      <c r="F363" t="s">
        <v>158</v>
      </c>
      <c r="G363" t="s">
        <v>19059</v>
      </c>
      <c r="H363">
        <v>22.75</v>
      </c>
      <c r="I363">
        <v>0</v>
      </c>
      <c r="J363">
        <v>0</v>
      </c>
      <c r="K363">
        <v>0</v>
      </c>
      <c r="L363">
        <v>7</v>
      </c>
      <c r="N363">
        <v>3</v>
      </c>
      <c r="O363">
        <v>10</v>
      </c>
      <c r="P363">
        <v>4</v>
      </c>
      <c r="Q363">
        <v>2</v>
      </c>
      <c r="R363">
        <v>38.75</v>
      </c>
      <c r="S363">
        <v>36</v>
      </c>
      <c r="T363">
        <v>36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36</v>
      </c>
      <c r="AB363">
        <v>0</v>
      </c>
      <c r="AC363">
        <v>0</v>
      </c>
      <c r="AF363" t="s">
        <v>130</v>
      </c>
      <c r="AH363">
        <v>74.75</v>
      </c>
    </row>
    <row r="364" spans="1:34" x14ac:dyDescent="0.3">
      <c r="A364" s="4">
        <v>454</v>
      </c>
      <c r="B364" s="5">
        <v>357</v>
      </c>
      <c r="C364">
        <v>14687</v>
      </c>
      <c r="D364" t="s">
        <v>2460</v>
      </c>
      <c r="E364" t="s">
        <v>54</v>
      </c>
      <c r="F364" t="s">
        <v>136</v>
      </c>
      <c r="G364" t="s">
        <v>19060</v>
      </c>
      <c r="H364">
        <v>17.73</v>
      </c>
      <c r="I364">
        <v>0</v>
      </c>
      <c r="J364">
        <v>0</v>
      </c>
      <c r="K364">
        <v>0</v>
      </c>
      <c r="L364">
        <v>7</v>
      </c>
      <c r="N364">
        <v>3</v>
      </c>
      <c r="O364">
        <v>10</v>
      </c>
      <c r="P364">
        <v>4</v>
      </c>
      <c r="Q364">
        <v>2</v>
      </c>
      <c r="R364">
        <v>33.729999999999997</v>
      </c>
      <c r="S364">
        <v>35</v>
      </c>
      <c r="T364">
        <v>35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35</v>
      </c>
      <c r="AB364">
        <v>6</v>
      </c>
      <c r="AC364">
        <v>0</v>
      </c>
      <c r="AF364" t="s">
        <v>130</v>
      </c>
      <c r="AH364">
        <v>74.73</v>
      </c>
    </row>
    <row r="365" spans="1:34" x14ac:dyDescent="0.3">
      <c r="A365" s="4">
        <v>455</v>
      </c>
      <c r="B365" s="5">
        <v>358</v>
      </c>
      <c r="C365">
        <v>6605</v>
      </c>
      <c r="D365" t="s">
        <v>10649</v>
      </c>
      <c r="E365" t="s">
        <v>406</v>
      </c>
      <c r="F365" t="s">
        <v>1225</v>
      </c>
      <c r="G365" t="s">
        <v>19061</v>
      </c>
      <c r="H365">
        <v>18.53</v>
      </c>
      <c r="I365">
        <v>0</v>
      </c>
      <c r="J365">
        <v>0</v>
      </c>
      <c r="K365">
        <v>0</v>
      </c>
      <c r="L365">
        <v>7</v>
      </c>
      <c r="O365">
        <v>7</v>
      </c>
      <c r="P365">
        <v>4</v>
      </c>
      <c r="Q365">
        <v>2</v>
      </c>
      <c r="R365">
        <v>31.53</v>
      </c>
      <c r="S365">
        <v>43</v>
      </c>
      <c r="T365">
        <v>43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43</v>
      </c>
      <c r="AB365">
        <v>0</v>
      </c>
      <c r="AC365">
        <v>0</v>
      </c>
      <c r="AF365" t="s">
        <v>130</v>
      </c>
      <c r="AH365">
        <v>74.53</v>
      </c>
    </row>
    <row r="366" spans="1:34" x14ac:dyDescent="0.3">
      <c r="A366" s="4">
        <v>456</v>
      </c>
      <c r="B366" s="5">
        <v>359</v>
      </c>
      <c r="C366">
        <v>5056</v>
      </c>
      <c r="D366" t="s">
        <v>232</v>
      </c>
      <c r="E366" t="s">
        <v>182</v>
      </c>
      <c r="F366" t="s">
        <v>5060</v>
      </c>
      <c r="G366" t="s">
        <v>19062</v>
      </c>
      <c r="H366">
        <v>17.53</v>
      </c>
      <c r="I366">
        <v>0</v>
      </c>
      <c r="J366">
        <v>0</v>
      </c>
      <c r="K366">
        <v>0</v>
      </c>
      <c r="N366">
        <v>3</v>
      </c>
      <c r="O366">
        <v>3</v>
      </c>
      <c r="P366">
        <v>4</v>
      </c>
      <c r="Q366">
        <v>2</v>
      </c>
      <c r="R366">
        <v>26.53</v>
      </c>
      <c r="S366">
        <v>48</v>
      </c>
      <c r="T366">
        <v>48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48</v>
      </c>
      <c r="AB366">
        <v>0</v>
      </c>
      <c r="AC366">
        <v>0</v>
      </c>
      <c r="AF366" t="s">
        <v>130</v>
      </c>
      <c r="AH366">
        <v>74.53</v>
      </c>
    </row>
    <row r="367" spans="1:34" x14ac:dyDescent="0.3">
      <c r="A367" s="4">
        <v>457</v>
      </c>
      <c r="B367" s="5">
        <v>360</v>
      </c>
      <c r="C367">
        <v>15227</v>
      </c>
      <c r="D367" t="s">
        <v>19063</v>
      </c>
      <c r="E367" t="s">
        <v>182</v>
      </c>
      <c r="F367" t="s">
        <v>19064</v>
      </c>
      <c r="G367" t="s">
        <v>19065</v>
      </c>
      <c r="H367">
        <v>18.5</v>
      </c>
      <c r="I367">
        <v>0</v>
      </c>
      <c r="J367">
        <v>0</v>
      </c>
      <c r="K367">
        <v>20</v>
      </c>
      <c r="N367">
        <v>3</v>
      </c>
      <c r="O367">
        <v>3</v>
      </c>
      <c r="P367">
        <v>4</v>
      </c>
      <c r="Q367">
        <v>2</v>
      </c>
      <c r="R367">
        <v>47.5</v>
      </c>
      <c r="S367">
        <v>18</v>
      </c>
      <c r="T367">
        <v>18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18</v>
      </c>
      <c r="AB367">
        <v>9</v>
      </c>
      <c r="AC367">
        <v>0</v>
      </c>
      <c r="AF367" t="s">
        <v>130</v>
      </c>
      <c r="AH367">
        <v>74.5</v>
      </c>
    </row>
    <row r="368" spans="1:34" x14ac:dyDescent="0.3">
      <c r="A368" s="4">
        <v>458</v>
      </c>
      <c r="B368" s="5">
        <v>361</v>
      </c>
      <c r="C368">
        <v>2109</v>
      </c>
      <c r="D368" t="s">
        <v>19066</v>
      </c>
      <c r="E368" t="s">
        <v>268</v>
      </c>
      <c r="F368" t="s">
        <v>1854</v>
      </c>
      <c r="G368" t="s">
        <v>19067</v>
      </c>
      <c r="H368">
        <v>18.48</v>
      </c>
      <c r="I368">
        <v>0</v>
      </c>
      <c r="J368">
        <v>0</v>
      </c>
      <c r="K368">
        <v>20</v>
      </c>
      <c r="L368">
        <v>7</v>
      </c>
      <c r="O368">
        <v>7</v>
      </c>
      <c r="P368">
        <v>4</v>
      </c>
      <c r="Q368">
        <v>2</v>
      </c>
      <c r="R368">
        <v>51.48</v>
      </c>
      <c r="S368">
        <v>17</v>
      </c>
      <c r="T368">
        <v>17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17</v>
      </c>
      <c r="AB368">
        <v>6</v>
      </c>
      <c r="AC368">
        <v>0</v>
      </c>
      <c r="AD368" t="s">
        <v>130</v>
      </c>
      <c r="AF368" t="s">
        <v>130</v>
      </c>
      <c r="AH368">
        <v>74.48</v>
      </c>
    </row>
    <row r="369" spans="1:34" x14ac:dyDescent="0.3">
      <c r="A369" s="4">
        <v>459</v>
      </c>
      <c r="B369" s="5">
        <v>362</v>
      </c>
      <c r="C369">
        <v>4718</v>
      </c>
      <c r="D369" t="s">
        <v>19068</v>
      </c>
      <c r="E369" t="s">
        <v>406</v>
      </c>
      <c r="F369" t="s">
        <v>1526</v>
      </c>
      <c r="G369" t="s">
        <v>19069</v>
      </c>
      <c r="H369">
        <v>19.350000000000001</v>
      </c>
      <c r="I369">
        <v>0</v>
      </c>
      <c r="J369">
        <v>0</v>
      </c>
      <c r="K369">
        <v>0</v>
      </c>
      <c r="N369">
        <v>3</v>
      </c>
      <c r="O369">
        <v>3</v>
      </c>
      <c r="P369">
        <v>4</v>
      </c>
      <c r="Q369">
        <v>2</v>
      </c>
      <c r="R369">
        <v>28.35</v>
      </c>
      <c r="S369">
        <v>40</v>
      </c>
      <c r="T369">
        <v>40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40</v>
      </c>
      <c r="AB369">
        <v>6</v>
      </c>
      <c r="AC369">
        <v>0</v>
      </c>
      <c r="AF369" t="s">
        <v>130</v>
      </c>
      <c r="AH369">
        <v>74.349999999999994</v>
      </c>
    </row>
    <row r="370" spans="1:34" x14ac:dyDescent="0.3">
      <c r="A370" s="4">
        <v>460</v>
      </c>
      <c r="B370" s="5">
        <v>363</v>
      </c>
      <c r="C370">
        <v>3972</v>
      </c>
      <c r="D370" t="s">
        <v>19070</v>
      </c>
      <c r="E370" t="s">
        <v>136</v>
      </c>
      <c r="F370" t="s">
        <v>17</v>
      </c>
      <c r="G370" t="s">
        <v>19071</v>
      </c>
      <c r="H370">
        <v>18.23</v>
      </c>
      <c r="I370">
        <v>0</v>
      </c>
      <c r="J370">
        <v>0</v>
      </c>
      <c r="K370">
        <v>0</v>
      </c>
      <c r="O370">
        <v>0</v>
      </c>
      <c r="P370">
        <v>4</v>
      </c>
      <c r="Q370">
        <v>0</v>
      </c>
      <c r="R370">
        <v>22.23</v>
      </c>
      <c r="S370">
        <v>52</v>
      </c>
      <c r="T370">
        <v>52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52</v>
      </c>
      <c r="AB370">
        <v>0</v>
      </c>
      <c r="AC370">
        <v>0</v>
      </c>
      <c r="AF370" t="s">
        <v>130</v>
      </c>
      <c r="AH370">
        <v>74.23</v>
      </c>
    </row>
    <row r="371" spans="1:34" x14ac:dyDescent="0.3">
      <c r="A371" s="4">
        <v>461</v>
      </c>
      <c r="B371" s="5">
        <v>364</v>
      </c>
      <c r="C371">
        <v>1837</v>
      </c>
      <c r="D371" t="s">
        <v>1693</v>
      </c>
      <c r="E371" t="s">
        <v>738</v>
      </c>
      <c r="F371" t="s">
        <v>17</v>
      </c>
      <c r="G371" t="s">
        <v>19072</v>
      </c>
      <c r="H371">
        <v>20.18</v>
      </c>
      <c r="I371">
        <v>0</v>
      </c>
      <c r="J371">
        <v>0</v>
      </c>
      <c r="K371">
        <v>20</v>
      </c>
      <c r="L371">
        <v>7</v>
      </c>
      <c r="O371">
        <v>7</v>
      </c>
      <c r="P371">
        <v>4</v>
      </c>
      <c r="Q371">
        <v>2</v>
      </c>
      <c r="R371">
        <v>53.18</v>
      </c>
      <c r="S371">
        <v>15</v>
      </c>
      <c r="T371">
        <v>15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15</v>
      </c>
      <c r="AB371">
        <v>6</v>
      </c>
      <c r="AC371">
        <v>0</v>
      </c>
      <c r="AF371" t="s">
        <v>130</v>
      </c>
      <c r="AH371">
        <v>74.180000000000007</v>
      </c>
    </row>
    <row r="372" spans="1:34" x14ac:dyDescent="0.3">
      <c r="A372" s="4">
        <v>462</v>
      </c>
      <c r="B372" s="5">
        <v>365</v>
      </c>
      <c r="C372">
        <v>5287</v>
      </c>
      <c r="D372" t="s">
        <v>261</v>
      </c>
      <c r="E372" t="s">
        <v>41</v>
      </c>
      <c r="F372" t="s">
        <v>68</v>
      </c>
      <c r="G372" t="s">
        <v>19073</v>
      </c>
      <c r="H372">
        <v>18.13</v>
      </c>
      <c r="I372">
        <v>0</v>
      </c>
      <c r="J372">
        <v>0</v>
      </c>
      <c r="K372">
        <v>0</v>
      </c>
      <c r="N372">
        <v>3</v>
      </c>
      <c r="O372">
        <v>3</v>
      </c>
      <c r="P372">
        <v>4</v>
      </c>
      <c r="Q372">
        <v>2</v>
      </c>
      <c r="R372">
        <v>27.13</v>
      </c>
      <c r="S372">
        <v>41</v>
      </c>
      <c r="T372">
        <v>41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41</v>
      </c>
      <c r="AB372">
        <v>6</v>
      </c>
      <c r="AC372">
        <v>0</v>
      </c>
      <c r="AF372" t="s">
        <v>130</v>
      </c>
      <c r="AH372">
        <v>74.13</v>
      </c>
    </row>
    <row r="373" spans="1:34" x14ac:dyDescent="0.3">
      <c r="A373" s="4">
        <v>463</v>
      </c>
      <c r="B373" s="5">
        <v>366</v>
      </c>
      <c r="C373">
        <v>2928</v>
      </c>
      <c r="D373" t="s">
        <v>19074</v>
      </c>
      <c r="E373" t="s">
        <v>2372</v>
      </c>
      <c r="F373" t="s">
        <v>117</v>
      </c>
      <c r="G373" t="s">
        <v>19075</v>
      </c>
      <c r="H373">
        <v>20.100000000000001</v>
      </c>
      <c r="I373">
        <v>0</v>
      </c>
      <c r="J373">
        <v>0</v>
      </c>
      <c r="K373">
        <v>20</v>
      </c>
      <c r="L373">
        <v>7</v>
      </c>
      <c r="N373">
        <v>3</v>
      </c>
      <c r="O373">
        <v>10</v>
      </c>
      <c r="P373">
        <v>4</v>
      </c>
      <c r="Q373">
        <v>2</v>
      </c>
      <c r="R373">
        <v>56.1</v>
      </c>
      <c r="S373">
        <v>18</v>
      </c>
      <c r="T373">
        <v>18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18</v>
      </c>
      <c r="AB373">
        <v>0</v>
      </c>
      <c r="AC373">
        <v>0</v>
      </c>
      <c r="AF373" t="s">
        <v>130</v>
      </c>
      <c r="AH373">
        <v>74.099999999999994</v>
      </c>
    </row>
    <row r="374" spans="1:34" x14ac:dyDescent="0.3">
      <c r="A374" s="4">
        <v>464</v>
      </c>
      <c r="B374" s="5">
        <v>367</v>
      </c>
      <c r="C374">
        <v>1942</v>
      </c>
      <c r="D374" t="s">
        <v>3549</v>
      </c>
      <c r="E374" t="s">
        <v>100</v>
      </c>
      <c r="F374" t="s">
        <v>158</v>
      </c>
      <c r="G374" t="s">
        <v>19076</v>
      </c>
      <c r="H374">
        <v>18.079999999999998</v>
      </c>
      <c r="I374">
        <v>0</v>
      </c>
      <c r="J374">
        <v>0</v>
      </c>
      <c r="K374">
        <v>0</v>
      </c>
      <c r="L374">
        <v>7</v>
      </c>
      <c r="O374">
        <v>7</v>
      </c>
      <c r="P374">
        <v>4</v>
      </c>
      <c r="Q374">
        <v>2</v>
      </c>
      <c r="R374">
        <v>31.08</v>
      </c>
      <c r="S374">
        <v>43</v>
      </c>
      <c r="T374">
        <v>43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43</v>
      </c>
      <c r="AB374">
        <v>0</v>
      </c>
      <c r="AC374">
        <v>0</v>
      </c>
      <c r="AF374" t="s">
        <v>130</v>
      </c>
      <c r="AH374">
        <v>74.08</v>
      </c>
    </row>
    <row r="375" spans="1:34" x14ac:dyDescent="0.3">
      <c r="A375" s="4">
        <v>465</v>
      </c>
      <c r="B375" s="5">
        <v>368</v>
      </c>
      <c r="C375">
        <v>3957</v>
      </c>
      <c r="D375" t="s">
        <v>207</v>
      </c>
      <c r="E375" t="s">
        <v>816</v>
      </c>
      <c r="F375" t="s">
        <v>190</v>
      </c>
      <c r="G375" t="s">
        <v>19077</v>
      </c>
      <c r="H375">
        <v>18.03</v>
      </c>
      <c r="I375">
        <v>0</v>
      </c>
      <c r="J375">
        <v>0</v>
      </c>
      <c r="K375">
        <v>0</v>
      </c>
      <c r="O375">
        <v>0</v>
      </c>
      <c r="P375">
        <v>4</v>
      </c>
      <c r="Q375">
        <v>0</v>
      </c>
      <c r="R375">
        <v>22.03</v>
      </c>
      <c r="S375">
        <v>46</v>
      </c>
      <c r="T375">
        <v>46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46</v>
      </c>
      <c r="AB375">
        <v>6</v>
      </c>
      <c r="AC375">
        <v>0</v>
      </c>
      <c r="AF375" t="s">
        <v>130</v>
      </c>
      <c r="AH375">
        <v>74.03</v>
      </c>
    </row>
    <row r="376" spans="1:34" x14ac:dyDescent="0.3">
      <c r="A376" s="4">
        <v>466</v>
      </c>
      <c r="B376" s="5">
        <v>369</v>
      </c>
      <c r="C376">
        <v>4141</v>
      </c>
      <c r="D376" t="s">
        <v>19078</v>
      </c>
      <c r="E376" t="s">
        <v>26</v>
      </c>
      <c r="F376" t="s">
        <v>310</v>
      </c>
      <c r="G376" t="s">
        <v>19079</v>
      </c>
      <c r="H376">
        <v>20.03</v>
      </c>
      <c r="I376">
        <v>0</v>
      </c>
      <c r="J376">
        <v>0</v>
      </c>
      <c r="K376">
        <v>0</v>
      </c>
      <c r="N376">
        <v>3</v>
      </c>
      <c r="O376">
        <v>3</v>
      </c>
      <c r="P376">
        <v>4</v>
      </c>
      <c r="Q376">
        <v>2</v>
      </c>
      <c r="R376">
        <v>29.03</v>
      </c>
      <c r="S376">
        <v>45</v>
      </c>
      <c r="T376">
        <v>45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45</v>
      </c>
      <c r="AB376">
        <v>0</v>
      </c>
      <c r="AC376">
        <v>0</v>
      </c>
      <c r="AF376" t="s">
        <v>130</v>
      </c>
      <c r="AH376">
        <v>74.03</v>
      </c>
    </row>
    <row r="377" spans="1:34" x14ac:dyDescent="0.3">
      <c r="A377" s="4">
        <v>467</v>
      </c>
      <c r="B377" s="5">
        <v>370</v>
      </c>
      <c r="C377">
        <v>6078</v>
      </c>
      <c r="D377" t="s">
        <v>18815</v>
      </c>
      <c r="E377" t="s">
        <v>19080</v>
      </c>
      <c r="F377" t="s">
        <v>17</v>
      </c>
      <c r="G377" t="s">
        <v>19081</v>
      </c>
      <c r="H377">
        <v>18</v>
      </c>
      <c r="I377">
        <v>0</v>
      </c>
      <c r="J377">
        <v>0</v>
      </c>
      <c r="K377">
        <v>0</v>
      </c>
      <c r="L377">
        <v>7</v>
      </c>
      <c r="O377">
        <v>7</v>
      </c>
      <c r="P377">
        <v>4</v>
      </c>
      <c r="Q377">
        <v>0</v>
      </c>
      <c r="R377">
        <v>29</v>
      </c>
      <c r="S377">
        <v>42</v>
      </c>
      <c r="T377">
        <v>42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42</v>
      </c>
      <c r="AB377">
        <v>3</v>
      </c>
      <c r="AC377">
        <v>0</v>
      </c>
      <c r="AF377" t="s">
        <v>130</v>
      </c>
      <c r="AH377">
        <v>74</v>
      </c>
    </row>
    <row r="378" spans="1:34" x14ac:dyDescent="0.3">
      <c r="A378" s="4">
        <v>468</v>
      </c>
      <c r="B378" s="5">
        <v>371</v>
      </c>
      <c r="C378">
        <v>11661</v>
      </c>
      <c r="D378" t="s">
        <v>19082</v>
      </c>
      <c r="E378" t="s">
        <v>132</v>
      </c>
      <c r="F378" t="s">
        <v>626</v>
      </c>
      <c r="G378" t="s">
        <v>19083</v>
      </c>
      <c r="H378">
        <v>16.93</v>
      </c>
      <c r="I378">
        <v>0</v>
      </c>
      <c r="J378">
        <v>0</v>
      </c>
      <c r="K378">
        <v>20</v>
      </c>
      <c r="L378">
        <v>7</v>
      </c>
      <c r="O378">
        <v>7</v>
      </c>
      <c r="P378">
        <v>4</v>
      </c>
      <c r="Q378">
        <v>2</v>
      </c>
      <c r="R378">
        <v>49.93</v>
      </c>
      <c r="S378">
        <v>21</v>
      </c>
      <c r="T378">
        <v>21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21</v>
      </c>
      <c r="AB378">
        <v>3</v>
      </c>
      <c r="AC378">
        <v>0</v>
      </c>
      <c r="AD378" t="s">
        <v>130</v>
      </c>
      <c r="AF378" t="s">
        <v>130</v>
      </c>
      <c r="AH378">
        <v>73.930000000000007</v>
      </c>
    </row>
    <row r="379" spans="1:34" x14ac:dyDescent="0.3">
      <c r="A379" s="4">
        <v>469</v>
      </c>
      <c r="B379" s="5">
        <v>372</v>
      </c>
      <c r="C379">
        <v>3872</v>
      </c>
      <c r="D379" t="s">
        <v>2365</v>
      </c>
      <c r="E379" t="s">
        <v>161</v>
      </c>
      <c r="F379" t="s">
        <v>68</v>
      </c>
      <c r="G379" t="s">
        <v>19084</v>
      </c>
      <c r="H379">
        <v>16.93</v>
      </c>
      <c r="I379">
        <v>0</v>
      </c>
      <c r="J379">
        <v>0</v>
      </c>
      <c r="K379">
        <v>20</v>
      </c>
      <c r="M379">
        <v>5</v>
      </c>
      <c r="O379">
        <v>5</v>
      </c>
      <c r="P379">
        <v>4</v>
      </c>
      <c r="Q379">
        <v>2</v>
      </c>
      <c r="R379">
        <v>47.93</v>
      </c>
      <c r="S379">
        <v>26</v>
      </c>
      <c r="T379">
        <v>26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26</v>
      </c>
      <c r="AB379">
        <v>0</v>
      </c>
      <c r="AC379">
        <v>0</v>
      </c>
      <c r="AF379" t="s">
        <v>130</v>
      </c>
      <c r="AH379">
        <v>73.930000000000007</v>
      </c>
    </row>
    <row r="380" spans="1:34" x14ac:dyDescent="0.3">
      <c r="A380" s="4">
        <v>470</v>
      </c>
      <c r="B380" s="5">
        <v>373</v>
      </c>
      <c r="C380">
        <v>5819</v>
      </c>
      <c r="D380" t="s">
        <v>19085</v>
      </c>
      <c r="E380" t="s">
        <v>416</v>
      </c>
      <c r="F380" t="s">
        <v>346</v>
      </c>
      <c r="G380" t="s">
        <v>19086</v>
      </c>
      <c r="H380">
        <v>17.88</v>
      </c>
      <c r="I380">
        <v>0</v>
      </c>
      <c r="J380">
        <v>0</v>
      </c>
      <c r="K380">
        <v>0</v>
      </c>
      <c r="L380">
        <v>7</v>
      </c>
      <c r="O380">
        <v>7</v>
      </c>
      <c r="P380">
        <v>4</v>
      </c>
      <c r="Q380">
        <v>2</v>
      </c>
      <c r="R380">
        <v>30.88</v>
      </c>
      <c r="S380">
        <v>43</v>
      </c>
      <c r="T380">
        <v>43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43</v>
      </c>
      <c r="AB380">
        <v>0</v>
      </c>
      <c r="AC380">
        <v>0</v>
      </c>
      <c r="AF380" t="s">
        <v>130</v>
      </c>
      <c r="AH380">
        <v>73.88</v>
      </c>
    </row>
    <row r="381" spans="1:34" x14ac:dyDescent="0.3">
      <c r="A381" s="4">
        <v>471</v>
      </c>
      <c r="B381" s="5">
        <v>374</v>
      </c>
      <c r="C381">
        <v>930</v>
      </c>
      <c r="D381" t="s">
        <v>11633</v>
      </c>
      <c r="E381" t="s">
        <v>100</v>
      </c>
      <c r="F381" t="s">
        <v>30</v>
      </c>
      <c r="G381" t="s">
        <v>19087</v>
      </c>
      <c r="H381">
        <v>21.85</v>
      </c>
      <c r="I381">
        <v>7</v>
      </c>
      <c r="J381">
        <v>0</v>
      </c>
      <c r="K381">
        <v>20</v>
      </c>
      <c r="L381">
        <v>7</v>
      </c>
      <c r="M381">
        <v>5</v>
      </c>
      <c r="O381">
        <v>12</v>
      </c>
      <c r="P381">
        <v>4</v>
      </c>
      <c r="Q381">
        <v>0</v>
      </c>
      <c r="R381">
        <v>64.849999999999994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9</v>
      </c>
      <c r="AC381">
        <v>0</v>
      </c>
      <c r="AF381" t="s">
        <v>130</v>
      </c>
      <c r="AH381">
        <v>73.849999999999994</v>
      </c>
    </row>
    <row r="382" spans="1:34" x14ac:dyDescent="0.3">
      <c r="A382" s="4">
        <v>472</v>
      </c>
      <c r="B382" s="5">
        <v>375</v>
      </c>
      <c r="C382">
        <v>4836</v>
      </c>
      <c r="D382" t="s">
        <v>7811</v>
      </c>
      <c r="E382" t="s">
        <v>68</v>
      </c>
      <c r="F382" t="s">
        <v>20</v>
      </c>
      <c r="G382" t="s">
        <v>19088</v>
      </c>
      <c r="H382">
        <v>19.829999999999998</v>
      </c>
      <c r="I382">
        <v>0</v>
      </c>
      <c r="J382">
        <v>0</v>
      </c>
      <c r="K382">
        <v>20</v>
      </c>
      <c r="L382">
        <v>7</v>
      </c>
      <c r="O382">
        <v>7</v>
      </c>
      <c r="P382">
        <v>4</v>
      </c>
      <c r="Q382">
        <v>2</v>
      </c>
      <c r="R382">
        <v>52.83</v>
      </c>
      <c r="S382">
        <v>18</v>
      </c>
      <c r="T382">
        <v>18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18</v>
      </c>
      <c r="AB382">
        <v>3</v>
      </c>
      <c r="AC382">
        <v>0</v>
      </c>
      <c r="AF382" t="s">
        <v>130</v>
      </c>
      <c r="AH382">
        <v>73.83</v>
      </c>
    </row>
    <row r="383" spans="1:34" x14ac:dyDescent="0.3">
      <c r="A383" s="4">
        <v>473</v>
      </c>
      <c r="B383" s="5">
        <v>376</v>
      </c>
      <c r="C383">
        <v>6235</v>
      </c>
      <c r="D383" t="s">
        <v>19089</v>
      </c>
      <c r="E383" t="s">
        <v>19090</v>
      </c>
      <c r="F383" t="s">
        <v>34</v>
      </c>
      <c r="G383" t="s">
        <v>19091</v>
      </c>
      <c r="H383">
        <v>18.75</v>
      </c>
      <c r="I383">
        <v>0</v>
      </c>
      <c r="J383">
        <v>0</v>
      </c>
      <c r="K383">
        <v>20</v>
      </c>
      <c r="L383">
        <v>7</v>
      </c>
      <c r="O383">
        <v>7</v>
      </c>
      <c r="P383">
        <v>4</v>
      </c>
      <c r="Q383">
        <v>2</v>
      </c>
      <c r="R383">
        <v>51.75</v>
      </c>
      <c r="S383">
        <v>16</v>
      </c>
      <c r="T383">
        <v>16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16</v>
      </c>
      <c r="AB383">
        <v>6</v>
      </c>
      <c r="AC383">
        <v>0</v>
      </c>
      <c r="AD383" t="s">
        <v>130</v>
      </c>
      <c r="AF383" t="s">
        <v>130</v>
      </c>
      <c r="AH383">
        <v>73.75</v>
      </c>
    </row>
    <row r="384" spans="1:34" x14ac:dyDescent="0.3">
      <c r="A384" s="4">
        <v>474</v>
      </c>
      <c r="B384" s="5">
        <v>377</v>
      </c>
      <c r="C384">
        <v>3378</v>
      </c>
      <c r="D384" t="s">
        <v>10504</v>
      </c>
      <c r="E384" t="s">
        <v>2843</v>
      </c>
      <c r="F384" t="s">
        <v>328</v>
      </c>
      <c r="G384" t="s">
        <v>19092</v>
      </c>
      <c r="H384">
        <v>22.68</v>
      </c>
      <c r="I384">
        <v>0</v>
      </c>
      <c r="J384">
        <v>0</v>
      </c>
      <c r="K384">
        <v>20</v>
      </c>
      <c r="L384">
        <v>7</v>
      </c>
      <c r="O384">
        <v>7</v>
      </c>
      <c r="P384">
        <v>4</v>
      </c>
      <c r="Q384">
        <v>2</v>
      </c>
      <c r="R384">
        <v>55.68</v>
      </c>
      <c r="S384">
        <v>18</v>
      </c>
      <c r="T384">
        <v>18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18</v>
      </c>
      <c r="AB384">
        <v>0</v>
      </c>
      <c r="AC384">
        <v>0</v>
      </c>
      <c r="AF384" t="s">
        <v>130</v>
      </c>
      <c r="AH384">
        <v>73.680000000000007</v>
      </c>
    </row>
    <row r="385" spans="1:34" x14ac:dyDescent="0.3">
      <c r="A385" s="4">
        <v>475</v>
      </c>
      <c r="B385" s="5">
        <v>378</v>
      </c>
      <c r="C385">
        <v>8049</v>
      </c>
      <c r="D385" t="s">
        <v>19093</v>
      </c>
      <c r="E385" t="s">
        <v>17</v>
      </c>
      <c r="F385" t="s">
        <v>72</v>
      </c>
      <c r="G385" t="s">
        <v>19094</v>
      </c>
      <c r="H385">
        <v>17.63</v>
      </c>
      <c r="I385">
        <v>0</v>
      </c>
      <c r="J385">
        <v>0</v>
      </c>
      <c r="K385">
        <v>20</v>
      </c>
      <c r="M385">
        <v>5</v>
      </c>
      <c r="O385">
        <v>5</v>
      </c>
      <c r="P385">
        <v>4</v>
      </c>
      <c r="Q385">
        <v>2</v>
      </c>
      <c r="R385">
        <v>48.63</v>
      </c>
      <c r="S385">
        <v>25</v>
      </c>
      <c r="T385">
        <v>25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25</v>
      </c>
      <c r="AB385">
        <v>0</v>
      </c>
      <c r="AC385">
        <v>0</v>
      </c>
      <c r="AF385" t="s">
        <v>130</v>
      </c>
      <c r="AH385">
        <v>73.63</v>
      </c>
    </row>
    <row r="386" spans="1:34" x14ac:dyDescent="0.3">
      <c r="A386" s="4">
        <v>476</v>
      </c>
      <c r="B386" s="5">
        <v>379</v>
      </c>
      <c r="C386">
        <v>1649</v>
      </c>
      <c r="D386" t="s">
        <v>12030</v>
      </c>
      <c r="E386" t="s">
        <v>110</v>
      </c>
      <c r="F386" t="s">
        <v>117</v>
      </c>
      <c r="G386" t="s">
        <v>19095</v>
      </c>
      <c r="H386">
        <v>17.55</v>
      </c>
      <c r="I386">
        <v>0</v>
      </c>
      <c r="J386">
        <v>0</v>
      </c>
      <c r="K386">
        <v>0</v>
      </c>
      <c r="N386">
        <v>3</v>
      </c>
      <c r="O386">
        <v>3</v>
      </c>
      <c r="P386">
        <v>4</v>
      </c>
      <c r="Q386">
        <v>2</v>
      </c>
      <c r="R386">
        <v>26.55</v>
      </c>
      <c r="S386">
        <v>44</v>
      </c>
      <c r="T386">
        <v>44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44</v>
      </c>
      <c r="AB386">
        <v>3</v>
      </c>
      <c r="AC386">
        <v>0</v>
      </c>
      <c r="AF386" t="s">
        <v>130</v>
      </c>
      <c r="AH386">
        <v>73.55</v>
      </c>
    </row>
    <row r="387" spans="1:34" x14ac:dyDescent="0.3">
      <c r="A387" s="4">
        <v>477</v>
      </c>
      <c r="B387" s="5">
        <v>380</v>
      </c>
      <c r="C387">
        <v>15594</v>
      </c>
      <c r="D387" t="s">
        <v>6644</v>
      </c>
      <c r="E387" t="s">
        <v>213</v>
      </c>
      <c r="F387" t="s">
        <v>136</v>
      </c>
      <c r="G387" t="s">
        <v>19096</v>
      </c>
      <c r="H387">
        <v>20.5</v>
      </c>
      <c r="I387">
        <v>7</v>
      </c>
      <c r="J387">
        <v>0</v>
      </c>
      <c r="K387">
        <v>20</v>
      </c>
      <c r="L387">
        <v>14</v>
      </c>
      <c r="O387">
        <v>14</v>
      </c>
      <c r="P387">
        <v>4</v>
      </c>
      <c r="Q387">
        <v>2</v>
      </c>
      <c r="R387">
        <v>67.5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6</v>
      </c>
      <c r="AC387">
        <v>0</v>
      </c>
      <c r="AF387" t="s">
        <v>130</v>
      </c>
      <c r="AH387">
        <v>73.5</v>
      </c>
    </row>
    <row r="388" spans="1:34" x14ac:dyDescent="0.3">
      <c r="A388" s="4">
        <v>478</v>
      </c>
      <c r="B388" s="5">
        <v>381</v>
      </c>
      <c r="C388">
        <v>4421</v>
      </c>
      <c r="D388" t="s">
        <v>19097</v>
      </c>
      <c r="E388" t="s">
        <v>81</v>
      </c>
      <c r="F388" t="s">
        <v>38</v>
      </c>
      <c r="G388" t="s">
        <v>19098</v>
      </c>
      <c r="H388">
        <v>18.5</v>
      </c>
      <c r="I388">
        <v>0</v>
      </c>
      <c r="J388">
        <v>0</v>
      </c>
      <c r="K388">
        <v>0</v>
      </c>
      <c r="O388">
        <v>0</v>
      </c>
      <c r="P388">
        <v>4</v>
      </c>
      <c r="Q388">
        <v>2</v>
      </c>
      <c r="R388">
        <v>24.5</v>
      </c>
      <c r="S388">
        <v>46</v>
      </c>
      <c r="T388">
        <v>46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46</v>
      </c>
      <c r="AB388">
        <v>3</v>
      </c>
      <c r="AC388">
        <v>0</v>
      </c>
      <c r="AD388" t="s">
        <v>130</v>
      </c>
      <c r="AF388" t="s">
        <v>130</v>
      </c>
      <c r="AH388">
        <v>73.5</v>
      </c>
    </row>
    <row r="389" spans="1:34" x14ac:dyDescent="0.3">
      <c r="A389" s="4">
        <v>479</v>
      </c>
      <c r="B389" s="5">
        <v>382</v>
      </c>
      <c r="C389">
        <v>7357</v>
      </c>
      <c r="D389" t="s">
        <v>19099</v>
      </c>
      <c r="E389" t="s">
        <v>3130</v>
      </c>
      <c r="F389" t="s">
        <v>17</v>
      </c>
      <c r="G389" t="s">
        <v>19100</v>
      </c>
      <c r="H389">
        <v>22.15</v>
      </c>
      <c r="I389">
        <v>0</v>
      </c>
      <c r="J389">
        <v>0</v>
      </c>
      <c r="K389">
        <v>0</v>
      </c>
      <c r="N389">
        <v>3</v>
      </c>
      <c r="O389">
        <v>3</v>
      </c>
      <c r="P389">
        <v>4</v>
      </c>
      <c r="Q389">
        <v>2</v>
      </c>
      <c r="R389">
        <v>31.15</v>
      </c>
      <c r="S389">
        <v>36</v>
      </c>
      <c r="T389">
        <v>36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36</v>
      </c>
      <c r="AB389">
        <v>6</v>
      </c>
      <c r="AC389">
        <v>0</v>
      </c>
      <c r="AD389" t="s">
        <v>130</v>
      </c>
      <c r="AF389" t="s">
        <v>130</v>
      </c>
      <c r="AH389">
        <v>73.150000000000006</v>
      </c>
    </row>
    <row r="390" spans="1:34" x14ac:dyDescent="0.3">
      <c r="A390" s="4">
        <v>480</v>
      </c>
      <c r="B390" s="5">
        <v>383</v>
      </c>
      <c r="C390">
        <v>2176</v>
      </c>
      <c r="D390" t="s">
        <v>19101</v>
      </c>
      <c r="E390" t="s">
        <v>143</v>
      </c>
      <c r="F390" t="s">
        <v>136</v>
      </c>
      <c r="G390" t="s">
        <v>19102</v>
      </c>
      <c r="H390">
        <v>20.100000000000001</v>
      </c>
      <c r="I390">
        <v>0</v>
      </c>
      <c r="J390">
        <v>0</v>
      </c>
      <c r="K390">
        <v>0</v>
      </c>
      <c r="N390">
        <v>3</v>
      </c>
      <c r="O390">
        <v>3</v>
      </c>
      <c r="P390">
        <v>4</v>
      </c>
      <c r="Q390">
        <v>2</v>
      </c>
      <c r="R390">
        <v>29.1</v>
      </c>
      <c r="S390">
        <v>44</v>
      </c>
      <c r="T390">
        <v>44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44</v>
      </c>
      <c r="AB390">
        <v>0</v>
      </c>
      <c r="AC390">
        <v>0</v>
      </c>
      <c r="AF390" t="s">
        <v>130</v>
      </c>
      <c r="AH390">
        <v>73.099999999999994</v>
      </c>
    </row>
    <row r="391" spans="1:34" x14ac:dyDescent="0.3">
      <c r="A391" s="4">
        <v>481</v>
      </c>
      <c r="B391" s="5">
        <v>384</v>
      </c>
      <c r="C391">
        <v>8510</v>
      </c>
      <c r="D391" t="s">
        <v>19103</v>
      </c>
      <c r="E391" t="s">
        <v>26</v>
      </c>
      <c r="F391" t="s">
        <v>20</v>
      </c>
      <c r="G391" t="s">
        <v>19104</v>
      </c>
      <c r="H391">
        <v>19.100000000000001</v>
      </c>
      <c r="I391">
        <v>0</v>
      </c>
      <c r="J391">
        <v>0</v>
      </c>
      <c r="K391">
        <v>0</v>
      </c>
      <c r="N391">
        <v>3</v>
      </c>
      <c r="O391">
        <v>3</v>
      </c>
      <c r="P391">
        <v>4</v>
      </c>
      <c r="Q391">
        <v>2</v>
      </c>
      <c r="R391">
        <v>28.1</v>
      </c>
      <c r="S391">
        <v>45</v>
      </c>
      <c r="T391">
        <v>45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45</v>
      </c>
      <c r="AB391">
        <v>0</v>
      </c>
      <c r="AC391">
        <v>0</v>
      </c>
      <c r="AF391" t="s">
        <v>130</v>
      </c>
      <c r="AH391">
        <v>73.099999999999994</v>
      </c>
    </row>
    <row r="392" spans="1:34" x14ac:dyDescent="0.3">
      <c r="A392" s="4">
        <v>482</v>
      </c>
      <c r="B392" s="5">
        <v>385</v>
      </c>
      <c r="C392">
        <v>5686</v>
      </c>
      <c r="D392" t="s">
        <v>19105</v>
      </c>
      <c r="E392" t="s">
        <v>1023</v>
      </c>
      <c r="F392" t="s">
        <v>782</v>
      </c>
      <c r="G392" t="s">
        <v>19106</v>
      </c>
      <c r="H392">
        <v>21.1</v>
      </c>
      <c r="I392">
        <v>0</v>
      </c>
      <c r="J392">
        <v>0</v>
      </c>
      <c r="K392">
        <v>0</v>
      </c>
      <c r="O392">
        <v>0</v>
      </c>
      <c r="P392">
        <v>4</v>
      </c>
      <c r="Q392">
        <v>2</v>
      </c>
      <c r="R392">
        <v>27.1</v>
      </c>
      <c r="S392">
        <v>46</v>
      </c>
      <c r="T392">
        <v>46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46</v>
      </c>
      <c r="AB392">
        <v>0</v>
      </c>
      <c r="AC392">
        <v>0</v>
      </c>
      <c r="AD392" t="s">
        <v>130</v>
      </c>
      <c r="AF392" t="s">
        <v>130</v>
      </c>
      <c r="AH392">
        <v>73.099999999999994</v>
      </c>
    </row>
    <row r="393" spans="1:34" x14ac:dyDescent="0.3">
      <c r="A393" s="4">
        <v>483</v>
      </c>
      <c r="B393" s="5">
        <v>386</v>
      </c>
      <c r="C393">
        <v>462</v>
      </c>
      <c r="D393" t="s">
        <v>19107</v>
      </c>
      <c r="E393" t="s">
        <v>97</v>
      </c>
      <c r="F393" t="s">
        <v>243</v>
      </c>
      <c r="G393" t="s">
        <v>19108</v>
      </c>
      <c r="H393">
        <v>18.98</v>
      </c>
      <c r="I393">
        <v>0</v>
      </c>
      <c r="J393">
        <v>0</v>
      </c>
      <c r="K393">
        <v>0</v>
      </c>
      <c r="N393">
        <v>3</v>
      </c>
      <c r="O393">
        <v>3</v>
      </c>
      <c r="P393">
        <v>4</v>
      </c>
      <c r="Q393">
        <v>2</v>
      </c>
      <c r="R393">
        <v>27.98</v>
      </c>
      <c r="S393">
        <v>36</v>
      </c>
      <c r="T393">
        <v>36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36</v>
      </c>
      <c r="AB393">
        <v>9</v>
      </c>
      <c r="AC393">
        <v>0</v>
      </c>
      <c r="AF393" t="s">
        <v>130</v>
      </c>
      <c r="AH393">
        <v>72.98</v>
      </c>
    </row>
    <row r="394" spans="1:34" x14ac:dyDescent="0.3">
      <c r="A394" s="4">
        <v>485</v>
      </c>
      <c r="B394" s="5">
        <v>387</v>
      </c>
      <c r="C394">
        <v>492</v>
      </c>
      <c r="D394" t="s">
        <v>19109</v>
      </c>
      <c r="E394" t="s">
        <v>100</v>
      </c>
      <c r="F394" t="s">
        <v>17</v>
      </c>
      <c r="G394" t="s">
        <v>19110</v>
      </c>
      <c r="H394">
        <v>16.68</v>
      </c>
      <c r="I394">
        <v>7</v>
      </c>
      <c r="J394">
        <v>0</v>
      </c>
      <c r="K394">
        <v>20</v>
      </c>
      <c r="M394">
        <v>5</v>
      </c>
      <c r="O394">
        <v>5</v>
      </c>
      <c r="P394">
        <v>4</v>
      </c>
      <c r="Q394">
        <v>2</v>
      </c>
      <c r="R394">
        <v>54.68</v>
      </c>
      <c r="S394">
        <v>18</v>
      </c>
      <c r="T394">
        <v>18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18</v>
      </c>
      <c r="AB394">
        <v>0</v>
      </c>
      <c r="AC394">
        <v>0</v>
      </c>
      <c r="AF394" t="s">
        <v>130</v>
      </c>
      <c r="AH394">
        <v>72.680000000000007</v>
      </c>
    </row>
    <row r="395" spans="1:34" x14ac:dyDescent="0.3">
      <c r="A395" s="4">
        <v>486</v>
      </c>
      <c r="B395" s="5">
        <v>388</v>
      </c>
      <c r="C395">
        <v>14167</v>
      </c>
      <c r="D395" t="s">
        <v>19111</v>
      </c>
      <c r="E395" t="s">
        <v>33</v>
      </c>
      <c r="F395" t="s">
        <v>328</v>
      </c>
      <c r="G395" t="s">
        <v>19112</v>
      </c>
      <c r="H395">
        <v>17.5</v>
      </c>
      <c r="I395">
        <v>7</v>
      </c>
      <c r="J395">
        <v>0</v>
      </c>
      <c r="K395">
        <v>0</v>
      </c>
      <c r="N395">
        <v>3</v>
      </c>
      <c r="O395">
        <v>3</v>
      </c>
      <c r="P395">
        <v>4</v>
      </c>
      <c r="Q395">
        <v>2</v>
      </c>
      <c r="R395">
        <v>33.5</v>
      </c>
      <c r="S395">
        <v>33</v>
      </c>
      <c r="T395">
        <v>33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33</v>
      </c>
      <c r="AB395">
        <v>6</v>
      </c>
      <c r="AC395">
        <v>0</v>
      </c>
      <c r="AD395" t="s">
        <v>130</v>
      </c>
      <c r="AF395" t="s">
        <v>130</v>
      </c>
      <c r="AH395">
        <v>72.5</v>
      </c>
    </row>
    <row r="396" spans="1:34" x14ac:dyDescent="0.3">
      <c r="A396" s="4">
        <v>487</v>
      </c>
      <c r="B396" s="5">
        <v>389</v>
      </c>
      <c r="C396">
        <v>13813</v>
      </c>
      <c r="D396" t="s">
        <v>4262</v>
      </c>
      <c r="E396" t="s">
        <v>170</v>
      </c>
      <c r="F396" t="s">
        <v>570</v>
      </c>
      <c r="G396" t="s">
        <v>19113</v>
      </c>
      <c r="H396">
        <v>19.48</v>
      </c>
      <c r="I396">
        <v>0</v>
      </c>
      <c r="J396">
        <v>0</v>
      </c>
      <c r="K396">
        <v>0</v>
      </c>
      <c r="L396">
        <v>7</v>
      </c>
      <c r="O396">
        <v>7</v>
      </c>
      <c r="P396">
        <v>4</v>
      </c>
      <c r="Q396">
        <v>0</v>
      </c>
      <c r="R396">
        <v>30.48</v>
      </c>
      <c r="S396">
        <v>36</v>
      </c>
      <c r="T396">
        <v>36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36</v>
      </c>
      <c r="AB396">
        <v>6</v>
      </c>
      <c r="AC396">
        <v>0</v>
      </c>
      <c r="AD396" t="s">
        <v>130</v>
      </c>
      <c r="AF396" t="s">
        <v>130</v>
      </c>
      <c r="AH396">
        <v>72.48</v>
      </c>
    </row>
    <row r="397" spans="1:34" x14ac:dyDescent="0.3">
      <c r="A397" s="4">
        <v>488</v>
      </c>
      <c r="B397" s="5">
        <v>390</v>
      </c>
      <c r="C397">
        <v>137</v>
      </c>
      <c r="D397" t="s">
        <v>7431</v>
      </c>
      <c r="E397" t="s">
        <v>54</v>
      </c>
      <c r="F397" t="s">
        <v>442</v>
      </c>
      <c r="G397" t="s">
        <v>19114</v>
      </c>
      <c r="H397">
        <v>18.399999999999999</v>
      </c>
      <c r="I397">
        <v>0</v>
      </c>
      <c r="J397">
        <v>0</v>
      </c>
      <c r="K397">
        <v>0</v>
      </c>
      <c r="N397">
        <v>3</v>
      </c>
      <c r="O397">
        <v>3</v>
      </c>
      <c r="P397">
        <v>4</v>
      </c>
      <c r="Q397">
        <v>2</v>
      </c>
      <c r="R397">
        <v>27.4</v>
      </c>
      <c r="S397">
        <v>45</v>
      </c>
      <c r="T397">
        <v>45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45</v>
      </c>
      <c r="AB397">
        <v>0</v>
      </c>
      <c r="AC397">
        <v>0</v>
      </c>
      <c r="AF397" t="s">
        <v>130</v>
      </c>
      <c r="AH397">
        <v>72.400000000000006</v>
      </c>
    </row>
    <row r="398" spans="1:34" x14ac:dyDescent="0.3">
      <c r="A398" s="4">
        <v>489</v>
      </c>
      <c r="B398" s="5">
        <v>391</v>
      </c>
      <c r="C398">
        <v>6987</v>
      </c>
      <c r="D398" t="s">
        <v>19115</v>
      </c>
      <c r="E398" t="s">
        <v>91</v>
      </c>
      <c r="F398" t="s">
        <v>972</v>
      </c>
      <c r="G398" t="s">
        <v>19116</v>
      </c>
      <c r="H398">
        <v>18.25</v>
      </c>
      <c r="I398">
        <v>0</v>
      </c>
      <c r="J398">
        <v>0</v>
      </c>
      <c r="K398">
        <v>0</v>
      </c>
      <c r="N398">
        <v>3</v>
      </c>
      <c r="O398">
        <v>3</v>
      </c>
      <c r="P398">
        <v>4</v>
      </c>
      <c r="Q398">
        <v>2</v>
      </c>
      <c r="R398">
        <v>27.25</v>
      </c>
      <c r="S398">
        <v>45</v>
      </c>
      <c r="T398">
        <v>45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45</v>
      </c>
      <c r="AB398">
        <v>0</v>
      </c>
      <c r="AC398">
        <v>0</v>
      </c>
      <c r="AF398" t="s">
        <v>130</v>
      </c>
      <c r="AH398">
        <v>72.25</v>
      </c>
    </row>
    <row r="399" spans="1:34" x14ac:dyDescent="0.3">
      <c r="A399" s="4">
        <v>490</v>
      </c>
      <c r="B399" s="5">
        <v>392</v>
      </c>
      <c r="C399">
        <v>3476</v>
      </c>
      <c r="D399" t="s">
        <v>19117</v>
      </c>
      <c r="E399" t="s">
        <v>1053</v>
      </c>
      <c r="F399" t="s">
        <v>17</v>
      </c>
      <c r="G399" t="s">
        <v>19118</v>
      </c>
      <c r="H399">
        <v>17.23</v>
      </c>
      <c r="I399">
        <v>0</v>
      </c>
      <c r="J399">
        <v>0</v>
      </c>
      <c r="K399">
        <v>20</v>
      </c>
      <c r="N399">
        <v>3</v>
      </c>
      <c r="O399">
        <v>3</v>
      </c>
      <c r="P399">
        <v>4</v>
      </c>
      <c r="Q399">
        <v>0</v>
      </c>
      <c r="R399">
        <v>44.23</v>
      </c>
      <c r="S399">
        <v>28</v>
      </c>
      <c r="T399">
        <v>28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28</v>
      </c>
      <c r="AB399">
        <v>0</v>
      </c>
      <c r="AC399">
        <v>0</v>
      </c>
      <c r="AF399" t="s">
        <v>130</v>
      </c>
      <c r="AH399">
        <v>72.23</v>
      </c>
    </row>
    <row r="400" spans="1:34" x14ac:dyDescent="0.3">
      <c r="A400" s="4">
        <v>491</v>
      </c>
      <c r="B400" s="5">
        <v>393</v>
      </c>
      <c r="C400">
        <v>5558</v>
      </c>
      <c r="D400" t="s">
        <v>19119</v>
      </c>
      <c r="E400" t="s">
        <v>26</v>
      </c>
      <c r="F400" t="s">
        <v>81</v>
      </c>
      <c r="G400" t="s">
        <v>19120</v>
      </c>
      <c r="H400">
        <v>17.2</v>
      </c>
      <c r="I400">
        <v>0</v>
      </c>
      <c r="J400">
        <v>0</v>
      </c>
      <c r="K400">
        <v>0</v>
      </c>
      <c r="N400">
        <v>3</v>
      </c>
      <c r="O400">
        <v>3</v>
      </c>
      <c r="P400">
        <v>4</v>
      </c>
      <c r="Q400">
        <v>2</v>
      </c>
      <c r="R400">
        <v>26.2</v>
      </c>
      <c r="S400">
        <v>46</v>
      </c>
      <c r="T400">
        <v>46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46</v>
      </c>
      <c r="AB400">
        <v>0</v>
      </c>
      <c r="AC400">
        <v>0</v>
      </c>
      <c r="AF400" t="s">
        <v>130</v>
      </c>
      <c r="AH400">
        <v>72.2</v>
      </c>
    </row>
    <row r="401" spans="1:34" x14ac:dyDescent="0.3">
      <c r="A401" s="4">
        <v>492</v>
      </c>
      <c r="B401" s="5">
        <v>394</v>
      </c>
      <c r="C401">
        <v>216</v>
      </c>
      <c r="D401" t="s">
        <v>19121</v>
      </c>
      <c r="E401" t="s">
        <v>68</v>
      </c>
      <c r="F401" t="s">
        <v>892</v>
      </c>
      <c r="G401" t="s">
        <v>19122</v>
      </c>
      <c r="H401">
        <v>20.13</v>
      </c>
      <c r="I401">
        <v>0</v>
      </c>
      <c r="J401">
        <v>0</v>
      </c>
      <c r="K401">
        <v>0</v>
      </c>
      <c r="N401">
        <v>3</v>
      </c>
      <c r="O401">
        <v>3</v>
      </c>
      <c r="P401">
        <v>4</v>
      </c>
      <c r="Q401">
        <v>2</v>
      </c>
      <c r="R401">
        <v>29.13</v>
      </c>
      <c r="S401">
        <v>43</v>
      </c>
      <c r="T401">
        <v>43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43</v>
      </c>
      <c r="AB401">
        <v>0</v>
      </c>
      <c r="AC401">
        <v>0</v>
      </c>
      <c r="AF401" t="s">
        <v>130</v>
      </c>
      <c r="AH401">
        <v>72.13</v>
      </c>
    </row>
    <row r="402" spans="1:34" x14ac:dyDescent="0.3">
      <c r="A402" s="4">
        <v>493</v>
      </c>
      <c r="B402" s="5">
        <v>395</v>
      </c>
      <c r="C402">
        <v>12306</v>
      </c>
      <c r="D402" t="s">
        <v>19123</v>
      </c>
      <c r="E402" t="s">
        <v>697</v>
      </c>
      <c r="F402" t="s">
        <v>20</v>
      </c>
      <c r="G402" t="s">
        <v>19124</v>
      </c>
      <c r="H402">
        <v>19.05</v>
      </c>
      <c r="I402">
        <v>0</v>
      </c>
      <c r="J402">
        <v>0</v>
      </c>
      <c r="K402">
        <v>20</v>
      </c>
      <c r="N402">
        <v>3</v>
      </c>
      <c r="O402">
        <v>3</v>
      </c>
      <c r="P402">
        <v>4</v>
      </c>
      <c r="Q402">
        <v>2</v>
      </c>
      <c r="R402">
        <v>48.05</v>
      </c>
      <c r="S402">
        <v>24</v>
      </c>
      <c r="T402">
        <v>24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24</v>
      </c>
      <c r="AB402">
        <v>0</v>
      </c>
      <c r="AC402">
        <v>0</v>
      </c>
      <c r="AD402" t="s">
        <v>130</v>
      </c>
      <c r="AF402" t="s">
        <v>130</v>
      </c>
      <c r="AH402">
        <v>72.05</v>
      </c>
    </row>
    <row r="403" spans="1:34" x14ac:dyDescent="0.3">
      <c r="A403" s="4">
        <v>494</v>
      </c>
      <c r="B403" s="5">
        <v>396</v>
      </c>
      <c r="C403">
        <v>5700</v>
      </c>
      <c r="D403" t="s">
        <v>866</v>
      </c>
      <c r="E403" t="s">
        <v>147</v>
      </c>
      <c r="F403" t="s">
        <v>30</v>
      </c>
      <c r="G403" t="s">
        <v>19125</v>
      </c>
      <c r="H403">
        <v>17.05</v>
      </c>
      <c r="I403">
        <v>0</v>
      </c>
      <c r="J403">
        <v>0</v>
      </c>
      <c r="K403">
        <v>20</v>
      </c>
      <c r="O403">
        <v>0</v>
      </c>
      <c r="P403">
        <v>4</v>
      </c>
      <c r="Q403">
        <v>2</v>
      </c>
      <c r="R403">
        <v>43.05</v>
      </c>
      <c r="S403">
        <v>29</v>
      </c>
      <c r="T403">
        <v>29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29</v>
      </c>
      <c r="AB403">
        <v>0</v>
      </c>
      <c r="AC403">
        <v>0</v>
      </c>
      <c r="AF403" t="s">
        <v>130</v>
      </c>
      <c r="AH403">
        <v>72.05</v>
      </c>
    </row>
    <row r="404" spans="1:34" x14ac:dyDescent="0.3">
      <c r="A404" s="4">
        <v>495</v>
      </c>
      <c r="B404" s="5">
        <v>397</v>
      </c>
      <c r="C404">
        <v>5107</v>
      </c>
      <c r="D404" t="s">
        <v>7331</v>
      </c>
      <c r="E404" t="s">
        <v>255</v>
      </c>
      <c r="F404" t="s">
        <v>158</v>
      </c>
      <c r="G404" t="s">
        <v>19126</v>
      </c>
      <c r="H404">
        <v>21.03</v>
      </c>
      <c r="I404">
        <v>0</v>
      </c>
      <c r="J404">
        <v>0</v>
      </c>
      <c r="K404">
        <v>0</v>
      </c>
      <c r="O404">
        <v>0</v>
      </c>
      <c r="P404">
        <v>4</v>
      </c>
      <c r="Q404">
        <v>2</v>
      </c>
      <c r="R404">
        <v>27.03</v>
      </c>
      <c r="S404">
        <v>45</v>
      </c>
      <c r="T404">
        <v>45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45</v>
      </c>
      <c r="AB404">
        <v>0</v>
      </c>
      <c r="AC404">
        <v>0</v>
      </c>
      <c r="AF404" t="s">
        <v>130</v>
      </c>
      <c r="AH404">
        <v>72.03</v>
      </c>
    </row>
    <row r="405" spans="1:34" x14ac:dyDescent="0.3">
      <c r="A405" s="4">
        <v>496</v>
      </c>
      <c r="B405" s="5">
        <v>398</v>
      </c>
      <c r="C405">
        <v>10066</v>
      </c>
      <c r="D405" t="s">
        <v>19127</v>
      </c>
      <c r="E405" t="s">
        <v>20</v>
      </c>
      <c r="F405" t="s">
        <v>17</v>
      </c>
      <c r="G405" t="s">
        <v>19128</v>
      </c>
      <c r="H405">
        <v>17</v>
      </c>
      <c r="I405">
        <v>0</v>
      </c>
      <c r="J405">
        <v>0</v>
      </c>
      <c r="K405">
        <v>0</v>
      </c>
      <c r="O405">
        <v>0</v>
      </c>
      <c r="P405">
        <v>4</v>
      </c>
      <c r="Q405">
        <v>2</v>
      </c>
      <c r="R405">
        <v>23</v>
      </c>
      <c r="S405">
        <v>46</v>
      </c>
      <c r="T405">
        <v>46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46</v>
      </c>
      <c r="AB405">
        <v>3</v>
      </c>
      <c r="AC405">
        <v>0</v>
      </c>
      <c r="AF405" t="s">
        <v>130</v>
      </c>
      <c r="AH405">
        <v>72</v>
      </c>
    </row>
    <row r="406" spans="1:34" x14ac:dyDescent="0.3">
      <c r="A406" s="4">
        <v>497</v>
      </c>
      <c r="B406" s="5">
        <v>399</v>
      </c>
      <c r="C406">
        <v>587</v>
      </c>
      <c r="D406" t="s">
        <v>11650</v>
      </c>
      <c r="E406" t="s">
        <v>147</v>
      </c>
      <c r="F406" t="s">
        <v>81</v>
      </c>
      <c r="G406" t="s">
        <v>19129</v>
      </c>
      <c r="H406">
        <v>17</v>
      </c>
      <c r="I406">
        <v>0</v>
      </c>
      <c r="J406">
        <v>0</v>
      </c>
      <c r="K406">
        <v>0</v>
      </c>
      <c r="L406">
        <v>7</v>
      </c>
      <c r="O406">
        <v>7</v>
      </c>
      <c r="P406">
        <v>4</v>
      </c>
      <c r="Q406">
        <v>2</v>
      </c>
      <c r="R406">
        <v>30</v>
      </c>
      <c r="S406">
        <v>42</v>
      </c>
      <c r="T406">
        <v>42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42</v>
      </c>
      <c r="AB406">
        <v>0</v>
      </c>
      <c r="AC406">
        <v>0</v>
      </c>
      <c r="AF406" t="s">
        <v>130</v>
      </c>
      <c r="AH406">
        <v>72</v>
      </c>
    </row>
    <row r="407" spans="1:34" x14ac:dyDescent="0.3">
      <c r="A407" s="4">
        <v>498</v>
      </c>
      <c r="B407" s="5">
        <v>400</v>
      </c>
      <c r="C407">
        <v>10309</v>
      </c>
      <c r="D407" t="s">
        <v>19130</v>
      </c>
      <c r="E407" t="s">
        <v>19131</v>
      </c>
      <c r="F407" t="s">
        <v>19132</v>
      </c>
      <c r="G407" t="s">
        <v>19133</v>
      </c>
      <c r="H407">
        <v>17.8</v>
      </c>
      <c r="I407">
        <v>0</v>
      </c>
      <c r="J407">
        <v>0</v>
      </c>
      <c r="K407">
        <v>20</v>
      </c>
      <c r="O407">
        <v>0</v>
      </c>
      <c r="P407">
        <v>4</v>
      </c>
      <c r="Q407">
        <v>2</v>
      </c>
      <c r="R407">
        <v>43.8</v>
      </c>
      <c r="S407">
        <v>28</v>
      </c>
      <c r="T407">
        <v>28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28</v>
      </c>
      <c r="AB407">
        <v>0</v>
      </c>
      <c r="AC407">
        <v>0</v>
      </c>
      <c r="AF407" t="s">
        <v>130</v>
      </c>
      <c r="AH407">
        <v>71.8</v>
      </c>
    </row>
    <row r="408" spans="1:34" x14ac:dyDescent="0.3">
      <c r="A408" s="4">
        <v>499</v>
      </c>
      <c r="B408" s="5">
        <v>401</v>
      </c>
      <c r="C408">
        <v>13190</v>
      </c>
      <c r="D408" t="s">
        <v>19134</v>
      </c>
      <c r="E408" t="s">
        <v>29</v>
      </c>
      <c r="F408" t="s">
        <v>230</v>
      </c>
      <c r="G408" t="s">
        <v>19135</v>
      </c>
      <c r="H408">
        <v>19.98</v>
      </c>
      <c r="I408">
        <v>0</v>
      </c>
      <c r="J408">
        <v>0</v>
      </c>
      <c r="K408">
        <v>0</v>
      </c>
      <c r="N408">
        <v>3</v>
      </c>
      <c r="O408">
        <v>3</v>
      </c>
      <c r="P408">
        <v>4</v>
      </c>
      <c r="Q408">
        <v>0</v>
      </c>
      <c r="R408">
        <v>26.98</v>
      </c>
      <c r="S408">
        <v>18</v>
      </c>
      <c r="T408">
        <v>18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18</v>
      </c>
      <c r="AB408">
        <v>0</v>
      </c>
      <c r="AC408">
        <v>26.8</v>
      </c>
      <c r="AF408" t="s">
        <v>130</v>
      </c>
      <c r="AH408">
        <v>71.78</v>
      </c>
    </row>
    <row r="409" spans="1:34" x14ac:dyDescent="0.3">
      <c r="A409" s="4">
        <v>500</v>
      </c>
      <c r="B409" s="5">
        <v>402</v>
      </c>
      <c r="C409">
        <v>3431</v>
      </c>
      <c r="D409" t="s">
        <v>19136</v>
      </c>
      <c r="E409" t="s">
        <v>22</v>
      </c>
      <c r="F409" t="s">
        <v>17</v>
      </c>
      <c r="G409" t="s">
        <v>19137</v>
      </c>
      <c r="H409">
        <v>16.75</v>
      </c>
      <c r="I409">
        <v>0</v>
      </c>
      <c r="J409">
        <v>0</v>
      </c>
      <c r="K409">
        <v>28</v>
      </c>
      <c r="L409">
        <v>7</v>
      </c>
      <c r="O409">
        <v>7</v>
      </c>
      <c r="P409">
        <v>4</v>
      </c>
      <c r="Q409">
        <v>2</v>
      </c>
      <c r="R409">
        <v>57.75</v>
      </c>
      <c r="S409">
        <v>8</v>
      </c>
      <c r="T409">
        <v>8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8</v>
      </c>
      <c r="AB409">
        <v>6</v>
      </c>
      <c r="AC409">
        <v>0</v>
      </c>
      <c r="AF409" t="s">
        <v>130</v>
      </c>
      <c r="AH409">
        <v>71.75</v>
      </c>
    </row>
    <row r="410" spans="1:34" x14ac:dyDescent="0.3">
      <c r="A410" s="4">
        <v>501</v>
      </c>
      <c r="B410" s="5">
        <v>403</v>
      </c>
      <c r="C410">
        <v>9809</v>
      </c>
      <c r="D410" t="s">
        <v>750</v>
      </c>
      <c r="E410" t="s">
        <v>328</v>
      </c>
      <c r="F410" t="s">
        <v>1854</v>
      </c>
      <c r="G410" t="s">
        <v>19138</v>
      </c>
      <c r="H410">
        <v>17.579999999999998</v>
      </c>
      <c r="I410">
        <v>0</v>
      </c>
      <c r="J410">
        <v>0</v>
      </c>
      <c r="K410">
        <v>0</v>
      </c>
      <c r="M410">
        <v>5</v>
      </c>
      <c r="O410">
        <v>5</v>
      </c>
      <c r="P410">
        <v>4</v>
      </c>
      <c r="Q410">
        <v>0</v>
      </c>
      <c r="R410">
        <v>26.58</v>
      </c>
      <c r="S410">
        <v>39</v>
      </c>
      <c r="T410">
        <v>39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39</v>
      </c>
      <c r="AB410">
        <v>6</v>
      </c>
      <c r="AC410">
        <v>0</v>
      </c>
      <c r="AF410" t="s">
        <v>130</v>
      </c>
      <c r="AH410">
        <v>71.58</v>
      </c>
    </row>
    <row r="411" spans="1:34" x14ac:dyDescent="0.3">
      <c r="A411" s="4">
        <v>502</v>
      </c>
      <c r="B411" s="5">
        <v>404</v>
      </c>
      <c r="C411">
        <v>11930</v>
      </c>
      <c r="D411" t="s">
        <v>2460</v>
      </c>
      <c r="E411" t="s">
        <v>33</v>
      </c>
      <c r="F411" t="s">
        <v>19139</v>
      </c>
      <c r="G411" t="s">
        <v>19140</v>
      </c>
      <c r="H411">
        <v>17.579999999999998</v>
      </c>
      <c r="I411">
        <v>0</v>
      </c>
      <c r="J411">
        <v>0</v>
      </c>
      <c r="K411">
        <v>0</v>
      </c>
      <c r="N411">
        <v>6</v>
      </c>
      <c r="O411">
        <v>6</v>
      </c>
      <c r="P411">
        <v>4</v>
      </c>
      <c r="Q411">
        <v>0</v>
      </c>
      <c r="R411">
        <v>27.58</v>
      </c>
      <c r="S411">
        <v>44</v>
      </c>
      <c r="T411">
        <v>44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44</v>
      </c>
      <c r="AB411">
        <v>0</v>
      </c>
      <c r="AC411">
        <v>0</v>
      </c>
      <c r="AF411" t="s">
        <v>130</v>
      </c>
      <c r="AH411">
        <v>71.58</v>
      </c>
    </row>
    <row r="412" spans="1:34" x14ac:dyDescent="0.3">
      <c r="A412" s="4">
        <v>503</v>
      </c>
      <c r="B412" s="5">
        <v>405</v>
      </c>
      <c r="C412">
        <v>2068</v>
      </c>
      <c r="D412" t="s">
        <v>2966</v>
      </c>
      <c r="E412" t="s">
        <v>697</v>
      </c>
      <c r="F412" t="s">
        <v>68</v>
      </c>
      <c r="G412" t="s">
        <v>19141</v>
      </c>
      <c r="H412">
        <v>20.55</v>
      </c>
      <c r="I412">
        <v>0</v>
      </c>
      <c r="J412">
        <v>0</v>
      </c>
      <c r="K412">
        <v>20</v>
      </c>
      <c r="L412">
        <v>7</v>
      </c>
      <c r="O412">
        <v>7</v>
      </c>
      <c r="P412">
        <v>4</v>
      </c>
      <c r="Q412">
        <v>2</v>
      </c>
      <c r="R412">
        <v>53.55</v>
      </c>
      <c r="S412">
        <v>15</v>
      </c>
      <c r="T412">
        <v>15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15</v>
      </c>
      <c r="AB412">
        <v>3</v>
      </c>
      <c r="AC412">
        <v>0</v>
      </c>
      <c r="AF412" t="s">
        <v>130</v>
      </c>
      <c r="AH412">
        <v>71.55</v>
      </c>
    </row>
    <row r="413" spans="1:34" x14ac:dyDescent="0.3">
      <c r="A413" s="4">
        <v>504</v>
      </c>
      <c r="B413" s="5">
        <v>406</v>
      </c>
      <c r="C413">
        <v>4484</v>
      </c>
      <c r="D413" t="s">
        <v>19142</v>
      </c>
      <c r="E413" t="s">
        <v>29</v>
      </c>
      <c r="F413" t="s">
        <v>259</v>
      </c>
      <c r="G413" t="s">
        <v>19143</v>
      </c>
      <c r="H413">
        <v>20.55</v>
      </c>
      <c r="I413">
        <v>0</v>
      </c>
      <c r="J413">
        <v>0</v>
      </c>
      <c r="K413">
        <v>0</v>
      </c>
      <c r="O413">
        <v>0</v>
      </c>
      <c r="P413">
        <v>4</v>
      </c>
      <c r="Q413">
        <v>2</v>
      </c>
      <c r="R413">
        <v>26.55</v>
      </c>
      <c r="S413">
        <v>45</v>
      </c>
      <c r="T413">
        <v>45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45</v>
      </c>
      <c r="AB413">
        <v>0</v>
      </c>
      <c r="AC413">
        <v>0</v>
      </c>
      <c r="AF413" t="s">
        <v>130</v>
      </c>
      <c r="AH413">
        <v>71.55</v>
      </c>
    </row>
    <row r="414" spans="1:34" x14ac:dyDescent="0.3">
      <c r="A414" s="4">
        <v>505</v>
      </c>
      <c r="B414" s="5">
        <v>407</v>
      </c>
      <c r="C414">
        <v>7487</v>
      </c>
      <c r="D414" t="s">
        <v>19144</v>
      </c>
      <c r="E414" t="s">
        <v>88</v>
      </c>
      <c r="F414" t="s">
        <v>17</v>
      </c>
      <c r="G414" t="s">
        <v>19145</v>
      </c>
      <c r="H414">
        <v>21.5</v>
      </c>
      <c r="I414">
        <v>0</v>
      </c>
      <c r="J414">
        <v>0</v>
      </c>
      <c r="K414">
        <v>28</v>
      </c>
      <c r="L414">
        <v>7</v>
      </c>
      <c r="O414">
        <v>7</v>
      </c>
      <c r="P414">
        <v>4</v>
      </c>
      <c r="Q414">
        <v>2</v>
      </c>
      <c r="R414">
        <v>62.5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9</v>
      </c>
      <c r="AC414">
        <v>0</v>
      </c>
      <c r="AD414" t="s">
        <v>130</v>
      </c>
      <c r="AF414" t="s">
        <v>130</v>
      </c>
      <c r="AH414">
        <v>71.5</v>
      </c>
    </row>
    <row r="415" spans="1:34" x14ac:dyDescent="0.3">
      <c r="A415" s="4">
        <v>506</v>
      </c>
      <c r="B415" s="5">
        <v>408</v>
      </c>
      <c r="C415">
        <v>3083</v>
      </c>
      <c r="D415" t="s">
        <v>19146</v>
      </c>
      <c r="E415" t="s">
        <v>166</v>
      </c>
      <c r="F415" t="s">
        <v>1526</v>
      </c>
      <c r="G415" t="s">
        <v>19147</v>
      </c>
      <c r="H415">
        <v>18.45</v>
      </c>
      <c r="I415">
        <v>0</v>
      </c>
      <c r="J415">
        <v>0</v>
      </c>
      <c r="K415">
        <v>20</v>
      </c>
      <c r="O415">
        <v>0</v>
      </c>
      <c r="P415">
        <v>4</v>
      </c>
      <c r="Q415">
        <v>0</v>
      </c>
      <c r="R415">
        <v>42.45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9</v>
      </c>
      <c r="AC415">
        <v>20</v>
      </c>
      <c r="AF415" t="s">
        <v>130</v>
      </c>
      <c r="AH415">
        <v>71.45</v>
      </c>
    </row>
    <row r="416" spans="1:34" x14ac:dyDescent="0.3">
      <c r="A416" s="4">
        <v>507</v>
      </c>
      <c r="B416" s="5">
        <v>409</v>
      </c>
      <c r="C416">
        <v>14423</v>
      </c>
      <c r="D416" t="s">
        <v>19148</v>
      </c>
      <c r="E416" t="s">
        <v>935</v>
      </c>
      <c r="F416" t="s">
        <v>8147</v>
      </c>
      <c r="G416" t="s">
        <v>19149</v>
      </c>
      <c r="H416">
        <v>15.43</v>
      </c>
      <c r="I416">
        <v>0</v>
      </c>
      <c r="J416">
        <v>0</v>
      </c>
      <c r="K416">
        <v>20</v>
      </c>
      <c r="O416">
        <v>0</v>
      </c>
      <c r="P416">
        <v>4</v>
      </c>
      <c r="Q416">
        <v>0</v>
      </c>
      <c r="R416">
        <v>39.43</v>
      </c>
      <c r="S416">
        <v>32</v>
      </c>
      <c r="T416">
        <v>32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32</v>
      </c>
      <c r="AB416">
        <v>0</v>
      </c>
      <c r="AC416">
        <v>0</v>
      </c>
      <c r="AF416" t="s">
        <v>130</v>
      </c>
      <c r="AH416">
        <v>71.430000000000007</v>
      </c>
    </row>
    <row r="417" spans="1:34" x14ac:dyDescent="0.3">
      <c r="A417" s="4">
        <v>508</v>
      </c>
      <c r="B417" s="5">
        <v>410</v>
      </c>
      <c r="C417">
        <v>2219</v>
      </c>
      <c r="D417" t="s">
        <v>19150</v>
      </c>
      <c r="E417" t="s">
        <v>41</v>
      </c>
      <c r="F417" t="s">
        <v>124</v>
      </c>
      <c r="G417" t="s">
        <v>19151</v>
      </c>
      <c r="H417">
        <v>20.399999999999999</v>
      </c>
      <c r="I417">
        <v>0</v>
      </c>
      <c r="J417">
        <v>0</v>
      </c>
      <c r="K417">
        <v>20</v>
      </c>
      <c r="L417">
        <v>7</v>
      </c>
      <c r="O417">
        <v>7</v>
      </c>
      <c r="P417">
        <v>4</v>
      </c>
      <c r="Q417">
        <v>2</v>
      </c>
      <c r="R417">
        <v>53.4</v>
      </c>
      <c r="S417">
        <v>18</v>
      </c>
      <c r="T417">
        <v>18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18</v>
      </c>
      <c r="AB417">
        <v>0</v>
      </c>
      <c r="AC417">
        <v>0</v>
      </c>
      <c r="AF417" t="s">
        <v>130</v>
      </c>
      <c r="AH417">
        <v>71.400000000000006</v>
      </c>
    </row>
    <row r="418" spans="1:34" x14ac:dyDescent="0.3">
      <c r="A418" s="4">
        <v>509</v>
      </c>
      <c r="B418" s="5">
        <v>411</v>
      </c>
      <c r="C418">
        <v>1690</v>
      </c>
      <c r="D418" t="s">
        <v>19152</v>
      </c>
      <c r="E418" t="s">
        <v>19153</v>
      </c>
      <c r="F418" t="s">
        <v>339</v>
      </c>
      <c r="G418" t="s">
        <v>19154</v>
      </c>
      <c r="H418">
        <v>17.399999999999999</v>
      </c>
      <c r="I418">
        <v>0</v>
      </c>
      <c r="J418">
        <v>0</v>
      </c>
      <c r="K418">
        <v>0</v>
      </c>
      <c r="L418">
        <v>7</v>
      </c>
      <c r="O418">
        <v>7</v>
      </c>
      <c r="P418">
        <v>4</v>
      </c>
      <c r="Q418">
        <v>2</v>
      </c>
      <c r="R418">
        <v>30.4</v>
      </c>
      <c r="S418">
        <v>41</v>
      </c>
      <c r="T418">
        <v>41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41</v>
      </c>
      <c r="AB418">
        <v>0</v>
      </c>
      <c r="AC418">
        <v>0</v>
      </c>
      <c r="AD418" t="s">
        <v>130</v>
      </c>
      <c r="AF418" t="s">
        <v>130</v>
      </c>
      <c r="AH418">
        <v>71.400000000000006</v>
      </c>
    </row>
    <row r="419" spans="1:34" x14ac:dyDescent="0.3">
      <c r="A419" s="4">
        <v>510</v>
      </c>
      <c r="B419" s="5">
        <v>412</v>
      </c>
      <c r="C419">
        <v>8433</v>
      </c>
      <c r="D419" t="s">
        <v>19155</v>
      </c>
      <c r="E419" t="s">
        <v>41</v>
      </c>
      <c r="F419" t="s">
        <v>81</v>
      </c>
      <c r="G419" t="s">
        <v>19156</v>
      </c>
      <c r="H419">
        <v>20.350000000000001</v>
      </c>
      <c r="I419">
        <v>0</v>
      </c>
      <c r="J419">
        <v>0</v>
      </c>
      <c r="K419">
        <v>0</v>
      </c>
      <c r="N419">
        <v>3</v>
      </c>
      <c r="O419">
        <v>3</v>
      </c>
      <c r="P419">
        <v>4</v>
      </c>
      <c r="Q419">
        <v>2</v>
      </c>
      <c r="R419">
        <v>29.35</v>
      </c>
      <c r="S419">
        <v>42</v>
      </c>
      <c r="T419">
        <v>42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42</v>
      </c>
      <c r="AB419">
        <v>0</v>
      </c>
      <c r="AC419">
        <v>0</v>
      </c>
      <c r="AF419" t="s">
        <v>130</v>
      </c>
      <c r="AH419">
        <v>71.349999999999994</v>
      </c>
    </row>
    <row r="420" spans="1:34" x14ac:dyDescent="0.3">
      <c r="A420" s="4">
        <v>511</v>
      </c>
      <c r="B420" s="5">
        <v>413</v>
      </c>
      <c r="C420">
        <v>10357</v>
      </c>
      <c r="D420" t="s">
        <v>1611</v>
      </c>
      <c r="E420" t="s">
        <v>54</v>
      </c>
      <c r="F420" t="s">
        <v>310</v>
      </c>
      <c r="G420" t="s">
        <v>19157</v>
      </c>
      <c r="H420">
        <v>19.25</v>
      </c>
      <c r="I420">
        <v>0</v>
      </c>
      <c r="J420">
        <v>0</v>
      </c>
      <c r="K420">
        <v>0</v>
      </c>
      <c r="N420">
        <v>3</v>
      </c>
      <c r="O420">
        <v>3</v>
      </c>
      <c r="P420">
        <v>4</v>
      </c>
      <c r="Q420">
        <v>2</v>
      </c>
      <c r="R420">
        <v>28.25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9</v>
      </c>
      <c r="AC420">
        <v>34</v>
      </c>
      <c r="AF420" t="s">
        <v>130</v>
      </c>
      <c r="AH420">
        <v>71.25</v>
      </c>
    </row>
    <row r="421" spans="1:34" x14ac:dyDescent="0.3">
      <c r="A421" s="4">
        <v>512</v>
      </c>
      <c r="B421" s="5">
        <v>414</v>
      </c>
      <c r="C421">
        <v>8628</v>
      </c>
      <c r="D421" t="s">
        <v>19158</v>
      </c>
      <c r="E421" t="s">
        <v>143</v>
      </c>
      <c r="F421" t="s">
        <v>521</v>
      </c>
      <c r="G421" t="s">
        <v>19159</v>
      </c>
      <c r="H421">
        <v>20.23</v>
      </c>
      <c r="I421">
        <v>0</v>
      </c>
      <c r="J421">
        <v>0</v>
      </c>
      <c r="K421">
        <v>20</v>
      </c>
      <c r="O421">
        <v>0</v>
      </c>
      <c r="P421">
        <v>4</v>
      </c>
      <c r="Q421">
        <v>2</v>
      </c>
      <c r="R421">
        <v>46.23</v>
      </c>
      <c r="S421">
        <v>25</v>
      </c>
      <c r="T421">
        <v>25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25</v>
      </c>
      <c r="AB421">
        <v>0</v>
      </c>
      <c r="AC421">
        <v>0</v>
      </c>
      <c r="AF421" t="s">
        <v>130</v>
      </c>
      <c r="AH421">
        <v>71.23</v>
      </c>
    </row>
    <row r="422" spans="1:34" x14ac:dyDescent="0.3">
      <c r="A422" s="4">
        <v>513</v>
      </c>
      <c r="B422" s="5">
        <v>415</v>
      </c>
      <c r="C422">
        <v>13420</v>
      </c>
      <c r="D422" t="s">
        <v>19160</v>
      </c>
      <c r="E422" t="s">
        <v>789</v>
      </c>
      <c r="F422" t="s">
        <v>136</v>
      </c>
      <c r="G422" t="s">
        <v>19161</v>
      </c>
      <c r="H422">
        <v>21.2</v>
      </c>
      <c r="I422">
        <v>0</v>
      </c>
      <c r="J422">
        <v>0</v>
      </c>
      <c r="K422">
        <v>20</v>
      </c>
      <c r="O422">
        <v>0</v>
      </c>
      <c r="P422">
        <v>4</v>
      </c>
      <c r="Q422">
        <v>0</v>
      </c>
      <c r="R422">
        <v>45.2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6</v>
      </c>
      <c r="AC422">
        <v>20</v>
      </c>
      <c r="AF422" t="s">
        <v>130</v>
      </c>
      <c r="AH422">
        <v>71.2</v>
      </c>
    </row>
    <row r="423" spans="1:34" x14ac:dyDescent="0.3">
      <c r="A423" s="4">
        <v>514</v>
      </c>
      <c r="B423" s="5">
        <v>416</v>
      </c>
      <c r="C423">
        <v>1230</v>
      </c>
      <c r="D423" t="s">
        <v>4597</v>
      </c>
      <c r="E423" t="s">
        <v>54</v>
      </c>
      <c r="F423" t="s">
        <v>17</v>
      </c>
      <c r="G423" t="s">
        <v>19162</v>
      </c>
      <c r="H423">
        <v>16.149999999999999</v>
      </c>
      <c r="I423">
        <v>0</v>
      </c>
      <c r="J423">
        <v>0</v>
      </c>
      <c r="K423">
        <v>20</v>
      </c>
      <c r="M423">
        <v>5</v>
      </c>
      <c r="O423">
        <v>5</v>
      </c>
      <c r="P423">
        <v>4</v>
      </c>
      <c r="Q423">
        <v>2</v>
      </c>
      <c r="R423">
        <v>47.15</v>
      </c>
      <c r="S423">
        <v>18</v>
      </c>
      <c r="T423">
        <v>18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18</v>
      </c>
      <c r="AB423">
        <v>6</v>
      </c>
      <c r="AC423">
        <v>0</v>
      </c>
      <c r="AF423" t="s">
        <v>130</v>
      </c>
      <c r="AH423">
        <v>71.150000000000006</v>
      </c>
    </row>
    <row r="424" spans="1:34" x14ac:dyDescent="0.3">
      <c r="A424" s="4">
        <v>515</v>
      </c>
      <c r="B424" s="5">
        <v>417</v>
      </c>
      <c r="C424">
        <v>2598</v>
      </c>
      <c r="D424" t="s">
        <v>19163</v>
      </c>
      <c r="E424" t="s">
        <v>213</v>
      </c>
      <c r="F424" t="s">
        <v>17</v>
      </c>
      <c r="G424" t="s">
        <v>19164</v>
      </c>
      <c r="H424">
        <v>18.149999999999999</v>
      </c>
      <c r="I424">
        <v>0</v>
      </c>
      <c r="J424">
        <v>0</v>
      </c>
      <c r="K424">
        <v>20</v>
      </c>
      <c r="L424">
        <v>7</v>
      </c>
      <c r="N424">
        <v>3</v>
      </c>
      <c r="O424">
        <v>10</v>
      </c>
      <c r="P424">
        <v>4</v>
      </c>
      <c r="Q424">
        <v>2</v>
      </c>
      <c r="R424">
        <v>54.15</v>
      </c>
      <c r="S424">
        <v>17</v>
      </c>
      <c r="T424">
        <v>17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17</v>
      </c>
      <c r="AB424">
        <v>0</v>
      </c>
      <c r="AC424">
        <v>0</v>
      </c>
      <c r="AF424" t="s">
        <v>130</v>
      </c>
      <c r="AH424">
        <v>71.150000000000006</v>
      </c>
    </row>
    <row r="425" spans="1:34" x14ac:dyDescent="0.3">
      <c r="A425" s="4">
        <v>516</v>
      </c>
      <c r="B425" s="5">
        <v>418</v>
      </c>
      <c r="C425">
        <v>1327</v>
      </c>
      <c r="D425" t="s">
        <v>19165</v>
      </c>
      <c r="E425" t="s">
        <v>71</v>
      </c>
      <c r="F425" t="s">
        <v>17</v>
      </c>
      <c r="G425" t="s">
        <v>19166</v>
      </c>
      <c r="H425">
        <v>20.100000000000001</v>
      </c>
      <c r="I425">
        <v>0</v>
      </c>
      <c r="J425">
        <v>0</v>
      </c>
      <c r="K425">
        <v>20</v>
      </c>
      <c r="L425">
        <v>7</v>
      </c>
      <c r="O425">
        <v>7</v>
      </c>
      <c r="P425">
        <v>4</v>
      </c>
      <c r="Q425">
        <v>2</v>
      </c>
      <c r="R425">
        <v>53.1</v>
      </c>
      <c r="S425">
        <v>18</v>
      </c>
      <c r="T425">
        <v>18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18</v>
      </c>
      <c r="AB425">
        <v>0</v>
      </c>
      <c r="AC425">
        <v>0</v>
      </c>
      <c r="AF425" t="s">
        <v>130</v>
      </c>
      <c r="AH425">
        <v>71.099999999999994</v>
      </c>
    </row>
    <row r="426" spans="1:34" x14ac:dyDescent="0.3">
      <c r="A426" s="4">
        <v>517</v>
      </c>
      <c r="B426" s="5">
        <v>419</v>
      </c>
      <c r="C426">
        <v>1931</v>
      </c>
      <c r="D426" t="s">
        <v>2645</v>
      </c>
      <c r="E426" t="s">
        <v>132</v>
      </c>
      <c r="F426" t="s">
        <v>227</v>
      </c>
      <c r="G426" t="s">
        <v>19167</v>
      </c>
      <c r="H426">
        <v>21.05</v>
      </c>
      <c r="I426">
        <v>0</v>
      </c>
      <c r="J426">
        <v>0</v>
      </c>
      <c r="K426">
        <v>0</v>
      </c>
      <c r="N426">
        <v>3</v>
      </c>
      <c r="O426">
        <v>3</v>
      </c>
      <c r="P426">
        <v>4</v>
      </c>
      <c r="Q426">
        <v>2</v>
      </c>
      <c r="R426">
        <v>30.05</v>
      </c>
      <c r="S426">
        <v>35</v>
      </c>
      <c r="T426">
        <v>35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35</v>
      </c>
      <c r="AB426">
        <v>6</v>
      </c>
      <c r="AC426">
        <v>0</v>
      </c>
      <c r="AF426" t="s">
        <v>130</v>
      </c>
      <c r="AH426">
        <v>71.05</v>
      </c>
    </row>
    <row r="427" spans="1:34" x14ac:dyDescent="0.3">
      <c r="A427" s="4">
        <v>518</v>
      </c>
      <c r="B427" s="5">
        <v>420</v>
      </c>
      <c r="C427">
        <v>1169</v>
      </c>
      <c r="D427" t="s">
        <v>19168</v>
      </c>
      <c r="E427" t="s">
        <v>19169</v>
      </c>
      <c r="F427" t="s">
        <v>117</v>
      </c>
      <c r="G427" t="s">
        <v>19170</v>
      </c>
      <c r="H427">
        <v>18.98</v>
      </c>
      <c r="I427">
        <v>0</v>
      </c>
      <c r="J427">
        <v>0</v>
      </c>
      <c r="K427">
        <v>20</v>
      </c>
      <c r="L427">
        <v>7</v>
      </c>
      <c r="N427">
        <v>3</v>
      </c>
      <c r="O427">
        <v>10</v>
      </c>
      <c r="P427">
        <v>4</v>
      </c>
      <c r="Q427">
        <v>2</v>
      </c>
      <c r="R427">
        <v>54.98</v>
      </c>
      <c r="S427">
        <v>16</v>
      </c>
      <c r="T427">
        <v>16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16</v>
      </c>
      <c r="AB427">
        <v>0</v>
      </c>
      <c r="AC427">
        <v>0</v>
      </c>
      <c r="AF427" t="s">
        <v>130</v>
      </c>
      <c r="AH427">
        <v>70.98</v>
      </c>
    </row>
    <row r="428" spans="1:34" x14ac:dyDescent="0.3">
      <c r="A428" s="4">
        <v>519</v>
      </c>
      <c r="B428" s="5">
        <v>421</v>
      </c>
      <c r="C428">
        <v>4264</v>
      </c>
      <c r="D428" t="s">
        <v>3539</v>
      </c>
      <c r="E428" t="s">
        <v>789</v>
      </c>
      <c r="F428" t="s">
        <v>466</v>
      </c>
      <c r="G428" t="s">
        <v>19171</v>
      </c>
      <c r="H428">
        <v>20.98</v>
      </c>
      <c r="I428">
        <v>0</v>
      </c>
      <c r="J428">
        <v>0</v>
      </c>
      <c r="K428">
        <v>20</v>
      </c>
      <c r="L428">
        <v>7</v>
      </c>
      <c r="O428">
        <v>7</v>
      </c>
      <c r="P428">
        <v>4</v>
      </c>
      <c r="Q428">
        <v>2</v>
      </c>
      <c r="R428">
        <v>53.98</v>
      </c>
      <c r="S428">
        <v>17</v>
      </c>
      <c r="T428">
        <v>17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17</v>
      </c>
      <c r="AB428">
        <v>0</v>
      </c>
      <c r="AC428">
        <v>0</v>
      </c>
      <c r="AF428" t="s">
        <v>130</v>
      </c>
      <c r="AH428">
        <v>70.98</v>
      </c>
    </row>
    <row r="429" spans="1:34" x14ac:dyDescent="0.3">
      <c r="A429" s="4">
        <v>520</v>
      </c>
      <c r="B429" s="5">
        <v>422</v>
      </c>
      <c r="C429">
        <v>4487</v>
      </c>
      <c r="D429" t="s">
        <v>60</v>
      </c>
      <c r="E429" t="s">
        <v>406</v>
      </c>
      <c r="F429" t="s">
        <v>442</v>
      </c>
      <c r="G429" t="s">
        <v>19172</v>
      </c>
      <c r="H429">
        <v>16.98</v>
      </c>
      <c r="I429">
        <v>0</v>
      </c>
      <c r="J429">
        <v>0</v>
      </c>
      <c r="K429">
        <v>20</v>
      </c>
      <c r="L429">
        <v>7</v>
      </c>
      <c r="N429">
        <v>3</v>
      </c>
      <c r="O429">
        <v>10</v>
      </c>
      <c r="P429">
        <v>4</v>
      </c>
      <c r="Q429">
        <v>2</v>
      </c>
      <c r="R429">
        <v>52.98</v>
      </c>
      <c r="S429">
        <v>18</v>
      </c>
      <c r="T429">
        <v>18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18</v>
      </c>
      <c r="AB429">
        <v>0</v>
      </c>
      <c r="AC429">
        <v>0</v>
      </c>
      <c r="AF429" t="s">
        <v>130</v>
      </c>
      <c r="AH429">
        <v>70.98</v>
      </c>
    </row>
    <row r="430" spans="1:34" x14ac:dyDescent="0.3">
      <c r="A430" s="4">
        <v>521</v>
      </c>
      <c r="B430" s="5">
        <v>423</v>
      </c>
      <c r="C430">
        <v>5573</v>
      </c>
      <c r="D430" t="s">
        <v>11341</v>
      </c>
      <c r="E430" t="s">
        <v>132</v>
      </c>
      <c r="F430" t="s">
        <v>55</v>
      </c>
      <c r="G430" t="s">
        <v>19173</v>
      </c>
      <c r="H430">
        <v>16.93</v>
      </c>
      <c r="I430">
        <v>0</v>
      </c>
      <c r="J430">
        <v>0</v>
      </c>
      <c r="K430">
        <v>0</v>
      </c>
      <c r="L430">
        <v>7</v>
      </c>
      <c r="O430">
        <v>7</v>
      </c>
      <c r="P430">
        <v>4</v>
      </c>
      <c r="Q430">
        <v>2</v>
      </c>
      <c r="R430">
        <v>29.93</v>
      </c>
      <c r="S430">
        <v>41</v>
      </c>
      <c r="T430">
        <v>41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41</v>
      </c>
      <c r="AB430">
        <v>0</v>
      </c>
      <c r="AC430">
        <v>0</v>
      </c>
      <c r="AF430" t="s">
        <v>130</v>
      </c>
      <c r="AH430">
        <v>70.930000000000007</v>
      </c>
    </row>
    <row r="431" spans="1:34" x14ac:dyDescent="0.3">
      <c r="A431" s="4">
        <v>522</v>
      </c>
      <c r="B431" s="5">
        <v>424</v>
      </c>
      <c r="C431">
        <v>2210</v>
      </c>
      <c r="D431" t="s">
        <v>421</v>
      </c>
      <c r="E431" t="s">
        <v>170</v>
      </c>
      <c r="F431" t="s">
        <v>81</v>
      </c>
      <c r="G431" t="s">
        <v>19174</v>
      </c>
      <c r="H431">
        <v>17.829999999999998</v>
      </c>
      <c r="I431">
        <v>0</v>
      </c>
      <c r="J431">
        <v>0</v>
      </c>
      <c r="K431">
        <v>0</v>
      </c>
      <c r="O431">
        <v>0</v>
      </c>
      <c r="P431">
        <v>4</v>
      </c>
      <c r="Q431">
        <v>2</v>
      </c>
      <c r="R431">
        <v>23.83</v>
      </c>
      <c r="S431">
        <v>44</v>
      </c>
      <c r="T431">
        <v>44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44</v>
      </c>
      <c r="AB431">
        <v>3</v>
      </c>
      <c r="AC431">
        <v>0</v>
      </c>
      <c r="AF431" t="s">
        <v>130</v>
      </c>
      <c r="AH431">
        <v>70.83</v>
      </c>
    </row>
    <row r="432" spans="1:34" x14ac:dyDescent="0.3">
      <c r="A432" s="4">
        <v>523</v>
      </c>
      <c r="B432" s="5">
        <v>425</v>
      </c>
      <c r="C432">
        <v>9440</v>
      </c>
      <c r="D432" t="s">
        <v>19175</v>
      </c>
      <c r="E432" t="s">
        <v>2157</v>
      </c>
      <c r="F432" t="s">
        <v>81</v>
      </c>
      <c r="G432" t="s">
        <v>19176</v>
      </c>
      <c r="H432">
        <v>17.829999999999998</v>
      </c>
      <c r="I432">
        <v>7</v>
      </c>
      <c r="J432">
        <v>0</v>
      </c>
      <c r="K432">
        <v>0</v>
      </c>
      <c r="N432">
        <v>3</v>
      </c>
      <c r="O432">
        <v>3</v>
      </c>
      <c r="P432">
        <v>4</v>
      </c>
      <c r="Q432">
        <v>2</v>
      </c>
      <c r="R432">
        <v>33.83</v>
      </c>
      <c r="S432">
        <v>37</v>
      </c>
      <c r="T432">
        <v>37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37</v>
      </c>
      <c r="AB432">
        <v>0</v>
      </c>
      <c r="AC432">
        <v>0</v>
      </c>
      <c r="AF432" t="s">
        <v>130</v>
      </c>
      <c r="AH432">
        <v>70.83</v>
      </c>
    </row>
    <row r="433" spans="1:34" x14ac:dyDescent="0.3">
      <c r="A433" s="4">
        <v>525</v>
      </c>
      <c r="B433" s="5">
        <v>426</v>
      </c>
      <c r="C433">
        <v>1553</v>
      </c>
      <c r="D433" t="s">
        <v>19177</v>
      </c>
      <c r="E433" t="s">
        <v>1168</v>
      </c>
      <c r="F433" t="s">
        <v>328</v>
      </c>
      <c r="G433" t="s">
        <v>19178</v>
      </c>
      <c r="H433">
        <v>16.68</v>
      </c>
      <c r="I433">
        <v>0</v>
      </c>
      <c r="J433">
        <v>0</v>
      </c>
      <c r="K433">
        <v>20</v>
      </c>
      <c r="L433">
        <v>7</v>
      </c>
      <c r="N433">
        <v>3</v>
      </c>
      <c r="O433">
        <v>10</v>
      </c>
      <c r="P433">
        <v>4</v>
      </c>
      <c r="Q433">
        <v>2</v>
      </c>
      <c r="R433">
        <v>52.68</v>
      </c>
      <c r="S433">
        <v>18</v>
      </c>
      <c r="T433">
        <v>18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18</v>
      </c>
      <c r="AB433">
        <v>0</v>
      </c>
      <c r="AC433">
        <v>0</v>
      </c>
      <c r="AF433" t="s">
        <v>130</v>
      </c>
      <c r="AH433">
        <v>70.680000000000007</v>
      </c>
    </row>
    <row r="434" spans="1:34" x14ac:dyDescent="0.3">
      <c r="A434" s="4">
        <v>526</v>
      </c>
      <c r="B434" s="5">
        <v>427</v>
      </c>
      <c r="C434">
        <v>1576</v>
      </c>
      <c r="D434" t="s">
        <v>9926</v>
      </c>
      <c r="E434" t="s">
        <v>29</v>
      </c>
      <c r="F434" t="s">
        <v>30</v>
      </c>
      <c r="G434" t="s">
        <v>19179</v>
      </c>
      <c r="H434">
        <v>19.55</v>
      </c>
      <c r="I434">
        <v>0</v>
      </c>
      <c r="J434">
        <v>0</v>
      </c>
      <c r="K434">
        <v>20</v>
      </c>
      <c r="L434">
        <v>7</v>
      </c>
      <c r="O434">
        <v>7</v>
      </c>
      <c r="P434">
        <v>4</v>
      </c>
      <c r="Q434">
        <v>2</v>
      </c>
      <c r="R434">
        <v>52.55</v>
      </c>
      <c r="S434">
        <v>18</v>
      </c>
      <c r="T434">
        <v>18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18</v>
      </c>
      <c r="AB434">
        <v>0</v>
      </c>
      <c r="AC434">
        <v>0</v>
      </c>
      <c r="AF434" t="s">
        <v>130</v>
      </c>
      <c r="AH434">
        <v>70.55</v>
      </c>
    </row>
    <row r="435" spans="1:34" x14ac:dyDescent="0.3">
      <c r="A435" s="4">
        <v>527</v>
      </c>
      <c r="B435" s="5">
        <v>428</v>
      </c>
      <c r="C435">
        <v>6938</v>
      </c>
      <c r="D435" t="s">
        <v>19180</v>
      </c>
      <c r="E435" t="s">
        <v>26</v>
      </c>
      <c r="F435" t="s">
        <v>17</v>
      </c>
      <c r="G435" t="s">
        <v>19181</v>
      </c>
      <c r="H435">
        <v>21.43</v>
      </c>
      <c r="I435">
        <v>0</v>
      </c>
      <c r="J435">
        <v>0</v>
      </c>
      <c r="K435">
        <v>20</v>
      </c>
      <c r="L435">
        <v>7</v>
      </c>
      <c r="O435">
        <v>7</v>
      </c>
      <c r="P435">
        <v>4</v>
      </c>
      <c r="Q435">
        <v>2</v>
      </c>
      <c r="R435">
        <v>54.43</v>
      </c>
      <c r="S435">
        <v>16</v>
      </c>
      <c r="T435">
        <v>16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16</v>
      </c>
      <c r="AB435">
        <v>0</v>
      </c>
      <c r="AC435">
        <v>0</v>
      </c>
      <c r="AF435" t="s">
        <v>130</v>
      </c>
      <c r="AH435">
        <v>70.430000000000007</v>
      </c>
    </row>
    <row r="436" spans="1:34" x14ac:dyDescent="0.3">
      <c r="A436" s="4">
        <v>528</v>
      </c>
      <c r="B436" s="5">
        <v>429</v>
      </c>
      <c r="C436">
        <v>11364</v>
      </c>
      <c r="D436" t="s">
        <v>16019</v>
      </c>
      <c r="E436" t="s">
        <v>454</v>
      </c>
      <c r="F436" t="s">
        <v>91</v>
      </c>
      <c r="G436" t="s">
        <v>19182</v>
      </c>
      <c r="H436">
        <v>21.3</v>
      </c>
      <c r="I436">
        <v>7</v>
      </c>
      <c r="J436">
        <v>0</v>
      </c>
      <c r="K436">
        <v>0</v>
      </c>
      <c r="M436">
        <v>5</v>
      </c>
      <c r="O436">
        <v>5</v>
      </c>
      <c r="P436">
        <v>4</v>
      </c>
      <c r="Q436">
        <v>2</v>
      </c>
      <c r="R436">
        <v>39.299999999999997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9</v>
      </c>
      <c r="AC436">
        <v>22</v>
      </c>
      <c r="AF436" t="s">
        <v>130</v>
      </c>
      <c r="AH436">
        <v>70.3</v>
      </c>
    </row>
    <row r="437" spans="1:34" x14ac:dyDescent="0.3">
      <c r="A437" s="4">
        <v>529</v>
      </c>
      <c r="B437" s="5">
        <v>430</v>
      </c>
      <c r="C437">
        <v>13492</v>
      </c>
      <c r="D437" t="s">
        <v>181</v>
      </c>
      <c r="E437" t="s">
        <v>147</v>
      </c>
      <c r="F437" t="s">
        <v>81</v>
      </c>
      <c r="G437" t="s">
        <v>19183</v>
      </c>
      <c r="H437">
        <v>19.3</v>
      </c>
      <c r="I437">
        <v>0</v>
      </c>
      <c r="J437">
        <v>0</v>
      </c>
      <c r="K437">
        <v>0</v>
      </c>
      <c r="N437">
        <v>3</v>
      </c>
      <c r="O437">
        <v>3</v>
      </c>
      <c r="P437">
        <v>4</v>
      </c>
      <c r="Q437">
        <v>2</v>
      </c>
      <c r="R437">
        <v>28.3</v>
      </c>
      <c r="S437">
        <v>36</v>
      </c>
      <c r="T437">
        <v>36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36</v>
      </c>
      <c r="AB437">
        <v>6</v>
      </c>
      <c r="AC437">
        <v>0</v>
      </c>
      <c r="AF437" t="s">
        <v>130</v>
      </c>
      <c r="AH437">
        <v>70.3</v>
      </c>
    </row>
    <row r="438" spans="1:34" x14ac:dyDescent="0.3">
      <c r="A438" s="4">
        <v>530</v>
      </c>
      <c r="B438" s="5">
        <v>431</v>
      </c>
      <c r="C438">
        <v>1944</v>
      </c>
      <c r="D438" t="s">
        <v>19184</v>
      </c>
      <c r="E438" t="s">
        <v>41</v>
      </c>
      <c r="F438" t="s">
        <v>243</v>
      </c>
      <c r="G438" t="s">
        <v>19185</v>
      </c>
      <c r="H438">
        <v>19.25</v>
      </c>
      <c r="I438">
        <v>0</v>
      </c>
      <c r="J438">
        <v>0</v>
      </c>
      <c r="K438">
        <v>20</v>
      </c>
      <c r="N438">
        <v>3</v>
      </c>
      <c r="O438">
        <v>3</v>
      </c>
      <c r="P438">
        <v>4</v>
      </c>
      <c r="Q438">
        <v>0</v>
      </c>
      <c r="R438">
        <v>46.25</v>
      </c>
      <c r="S438">
        <v>18</v>
      </c>
      <c r="T438">
        <v>18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18</v>
      </c>
      <c r="AB438">
        <v>6</v>
      </c>
      <c r="AC438">
        <v>0</v>
      </c>
      <c r="AF438" t="s">
        <v>130</v>
      </c>
      <c r="AH438">
        <v>70.25</v>
      </c>
    </row>
    <row r="439" spans="1:34" x14ac:dyDescent="0.3">
      <c r="A439" s="4">
        <v>531</v>
      </c>
      <c r="B439" s="5">
        <v>432</v>
      </c>
      <c r="C439">
        <v>413</v>
      </c>
      <c r="D439" t="s">
        <v>19186</v>
      </c>
      <c r="E439" t="s">
        <v>166</v>
      </c>
      <c r="F439" t="s">
        <v>81</v>
      </c>
      <c r="G439" t="s">
        <v>19187</v>
      </c>
      <c r="H439">
        <v>18.2</v>
      </c>
      <c r="I439">
        <v>0</v>
      </c>
      <c r="J439">
        <v>0</v>
      </c>
      <c r="K439">
        <v>20</v>
      </c>
      <c r="M439">
        <v>5</v>
      </c>
      <c r="O439">
        <v>5</v>
      </c>
      <c r="P439">
        <v>4</v>
      </c>
      <c r="Q439">
        <v>2</v>
      </c>
      <c r="R439">
        <v>49.2</v>
      </c>
      <c r="S439">
        <v>18</v>
      </c>
      <c r="T439">
        <v>18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18</v>
      </c>
      <c r="AB439">
        <v>3</v>
      </c>
      <c r="AC439">
        <v>0</v>
      </c>
      <c r="AF439" t="s">
        <v>130</v>
      </c>
      <c r="AH439">
        <v>70.2</v>
      </c>
    </row>
    <row r="440" spans="1:34" x14ac:dyDescent="0.3">
      <c r="A440" s="4">
        <v>532</v>
      </c>
      <c r="B440" s="5">
        <v>433</v>
      </c>
      <c r="C440">
        <v>4976</v>
      </c>
      <c r="D440" t="s">
        <v>19188</v>
      </c>
      <c r="E440" t="s">
        <v>37</v>
      </c>
      <c r="F440" t="s">
        <v>30</v>
      </c>
      <c r="G440" t="s">
        <v>19189</v>
      </c>
      <c r="H440">
        <v>16.2</v>
      </c>
      <c r="I440">
        <v>7</v>
      </c>
      <c r="J440">
        <v>0</v>
      </c>
      <c r="K440">
        <v>20</v>
      </c>
      <c r="L440">
        <v>7</v>
      </c>
      <c r="O440">
        <v>7</v>
      </c>
      <c r="P440">
        <v>0</v>
      </c>
      <c r="Q440">
        <v>2</v>
      </c>
      <c r="R440">
        <v>52.2</v>
      </c>
      <c r="S440">
        <v>18</v>
      </c>
      <c r="T440">
        <v>18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18</v>
      </c>
      <c r="AB440">
        <v>0</v>
      </c>
      <c r="AC440">
        <v>0</v>
      </c>
      <c r="AF440" t="s">
        <v>130</v>
      </c>
      <c r="AH440">
        <v>70.2</v>
      </c>
    </row>
    <row r="441" spans="1:34" x14ac:dyDescent="0.3">
      <c r="A441" s="4">
        <v>533</v>
      </c>
      <c r="B441" s="5">
        <v>434</v>
      </c>
      <c r="C441">
        <v>12342</v>
      </c>
      <c r="D441" t="s">
        <v>19190</v>
      </c>
      <c r="E441" t="s">
        <v>166</v>
      </c>
      <c r="F441" t="s">
        <v>38</v>
      </c>
      <c r="G441" t="s">
        <v>19191</v>
      </c>
      <c r="H441">
        <v>19.13</v>
      </c>
      <c r="I441">
        <v>0</v>
      </c>
      <c r="J441">
        <v>0</v>
      </c>
      <c r="K441">
        <v>0</v>
      </c>
      <c r="N441">
        <v>3</v>
      </c>
      <c r="O441">
        <v>3</v>
      </c>
      <c r="P441">
        <v>4</v>
      </c>
      <c r="Q441">
        <v>2</v>
      </c>
      <c r="R441">
        <v>28.13</v>
      </c>
      <c r="S441">
        <v>36</v>
      </c>
      <c r="T441">
        <v>36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36</v>
      </c>
      <c r="AB441">
        <v>6</v>
      </c>
      <c r="AC441">
        <v>0</v>
      </c>
      <c r="AD441" t="s">
        <v>130</v>
      </c>
      <c r="AF441" t="s">
        <v>130</v>
      </c>
      <c r="AH441">
        <v>70.13</v>
      </c>
    </row>
    <row r="442" spans="1:34" x14ac:dyDescent="0.3">
      <c r="A442" s="4">
        <v>535</v>
      </c>
      <c r="B442" s="5">
        <v>435</v>
      </c>
      <c r="C442">
        <v>5182</v>
      </c>
      <c r="D442" t="s">
        <v>264</v>
      </c>
      <c r="E442" t="s">
        <v>1189</v>
      </c>
      <c r="F442" t="s">
        <v>1748</v>
      </c>
      <c r="G442" t="s">
        <v>19192</v>
      </c>
      <c r="H442">
        <v>17.100000000000001</v>
      </c>
      <c r="I442">
        <v>0</v>
      </c>
      <c r="J442">
        <v>0</v>
      </c>
      <c r="K442">
        <v>0</v>
      </c>
      <c r="N442">
        <v>3</v>
      </c>
      <c r="O442">
        <v>3</v>
      </c>
      <c r="P442">
        <v>4</v>
      </c>
      <c r="Q442">
        <v>2</v>
      </c>
      <c r="R442">
        <v>26.1</v>
      </c>
      <c r="S442">
        <v>44</v>
      </c>
      <c r="T442">
        <v>44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44</v>
      </c>
      <c r="AB442">
        <v>0</v>
      </c>
      <c r="AC442">
        <v>0</v>
      </c>
      <c r="AF442" t="s">
        <v>130</v>
      </c>
      <c r="AH442">
        <v>70.099999999999994</v>
      </c>
    </row>
    <row r="443" spans="1:34" x14ac:dyDescent="0.3">
      <c r="A443" s="4">
        <v>536</v>
      </c>
      <c r="B443" s="5">
        <v>436</v>
      </c>
      <c r="C443">
        <v>3564</v>
      </c>
      <c r="D443" t="s">
        <v>11101</v>
      </c>
      <c r="E443" t="s">
        <v>166</v>
      </c>
      <c r="F443" t="s">
        <v>158</v>
      </c>
      <c r="G443" t="s">
        <v>19193</v>
      </c>
      <c r="H443">
        <v>20.079999999999998</v>
      </c>
      <c r="I443">
        <v>0</v>
      </c>
      <c r="J443">
        <v>0</v>
      </c>
      <c r="K443">
        <v>0</v>
      </c>
      <c r="N443">
        <v>3</v>
      </c>
      <c r="O443">
        <v>3</v>
      </c>
      <c r="P443">
        <v>4</v>
      </c>
      <c r="Q443">
        <v>2</v>
      </c>
      <c r="R443">
        <v>29.08</v>
      </c>
      <c r="S443">
        <v>35</v>
      </c>
      <c r="T443">
        <v>35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35</v>
      </c>
      <c r="AB443">
        <v>6</v>
      </c>
      <c r="AC443">
        <v>0</v>
      </c>
      <c r="AF443" t="s">
        <v>130</v>
      </c>
      <c r="AH443">
        <v>70.08</v>
      </c>
    </row>
    <row r="444" spans="1:34" x14ac:dyDescent="0.3">
      <c r="A444" s="4">
        <v>537</v>
      </c>
      <c r="B444" s="5">
        <v>437</v>
      </c>
      <c r="C444">
        <v>4750</v>
      </c>
      <c r="D444" t="s">
        <v>19194</v>
      </c>
      <c r="E444" t="s">
        <v>26</v>
      </c>
      <c r="F444" t="s">
        <v>167</v>
      </c>
      <c r="G444" t="s">
        <v>19195</v>
      </c>
      <c r="H444">
        <v>17.25</v>
      </c>
      <c r="I444">
        <v>0</v>
      </c>
      <c r="J444">
        <v>0</v>
      </c>
      <c r="K444">
        <v>20</v>
      </c>
      <c r="O444">
        <v>0</v>
      </c>
      <c r="P444">
        <v>4</v>
      </c>
      <c r="Q444">
        <v>2</v>
      </c>
      <c r="R444">
        <v>43.25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26.8</v>
      </c>
      <c r="AF444" t="s">
        <v>130</v>
      </c>
      <c r="AH444">
        <v>70.05</v>
      </c>
    </row>
    <row r="445" spans="1:34" x14ac:dyDescent="0.3">
      <c r="A445" s="4">
        <v>538</v>
      </c>
      <c r="B445" s="5">
        <v>438</v>
      </c>
      <c r="C445">
        <v>2934</v>
      </c>
      <c r="D445" t="s">
        <v>6143</v>
      </c>
      <c r="E445" t="s">
        <v>6144</v>
      </c>
      <c r="F445" t="s">
        <v>17</v>
      </c>
      <c r="G445" t="s">
        <v>6145</v>
      </c>
      <c r="H445">
        <v>18.05</v>
      </c>
      <c r="I445">
        <v>0</v>
      </c>
      <c r="J445">
        <v>0</v>
      </c>
      <c r="K445">
        <v>0</v>
      </c>
      <c r="N445">
        <v>3</v>
      </c>
      <c r="O445">
        <v>3</v>
      </c>
      <c r="P445">
        <v>4</v>
      </c>
      <c r="Q445">
        <v>2</v>
      </c>
      <c r="R445">
        <v>27.05</v>
      </c>
      <c r="S445">
        <v>43</v>
      </c>
      <c r="T445">
        <v>43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43</v>
      </c>
      <c r="AB445">
        <v>0</v>
      </c>
      <c r="AC445">
        <v>0</v>
      </c>
      <c r="AF445" t="s">
        <v>130</v>
      </c>
      <c r="AH445">
        <v>70.05</v>
      </c>
    </row>
    <row r="446" spans="1:34" x14ac:dyDescent="0.3">
      <c r="A446" s="4">
        <v>539</v>
      </c>
      <c r="B446" s="5">
        <v>439</v>
      </c>
      <c r="C446">
        <v>14704</v>
      </c>
      <c r="D446" t="s">
        <v>7746</v>
      </c>
      <c r="E446" t="s">
        <v>166</v>
      </c>
      <c r="F446" t="s">
        <v>909</v>
      </c>
      <c r="G446" t="s">
        <v>19196</v>
      </c>
      <c r="H446">
        <v>19.03</v>
      </c>
      <c r="I446">
        <v>7</v>
      </c>
      <c r="J446">
        <v>0</v>
      </c>
      <c r="K446">
        <v>28</v>
      </c>
      <c r="L446">
        <v>7</v>
      </c>
      <c r="O446">
        <v>7</v>
      </c>
      <c r="P446">
        <v>4</v>
      </c>
      <c r="Q446">
        <v>2</v>
      </c>
      <c r="R446">
        <v>67.03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3</v>
      </c>
      <c r="AC446">
        <v>0</v>
      </c>
      <c r="AF446" t="s">
        <v>130</v>
      </c>
      <c r="AH446">
        <v>70.03</v>
      </c>
    </row>
    <row r="447" spans="1:34" x14ac:dyDescent="0.3">
      <c r="A447" s="4">
        <v>540</v>
      </c>
      <c r="B447" s="5">
        <v>440</v>
      </c>
      <c r="C447">
        <v>1645</v>
      </c>
      <c r="D447" t="s">
        <v>19197</v>
      </c>
      <c r="E447" t="s">
        <v>41</v>
      </c>
      <c r="F447" t="s">
        <v>17</v>
      </c>
      <c r="G447" t="s">
        <v>19198</v>
      </c>
      <c r="H447">
        <v>19</v>
      </c>
      <c r="I447">
        <v>0</v>
      </c>
      <c r="J447">
        <v>0</v>
      </c>
      <c r="K447">
        <v>20</v>
      </c>
      <c r="L447">
        <v>7</v>
      </c>
      <c r="O447">
        <v>7</v>
      </c>
      <c r="P447">
        <v>4</v>
      </c>
      <c r="Q447">
        <v>2</v>
      </c>
      <c r="R447">
        <v>52</v>
      </c>
      <c r="S447">
        <v>18</v>
      </c>
      <c r="T447">
        <v>18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18</v>
      </c>
      <c r="AB447">
        <v>0</v>
      </c>
      <c r="AC447">
        <v>0</v>
      </c>
      <c r="AF447" t="s">
        <v>130</v>
      </c>
      <c r="AH447">
        <v>70</v>
      </c>
    </row>
    <row r="448" spans="1:34" x14ac:dyDescent="0.3">
      <c r="A448" s="4">
        <v>541</v>
      </c>
      <c r="B448" s="5">
        <v>441</v>
      </c>
      <c r="C448">
        <v>9552</v>
      </c>
      <c r="D448" t="s">
        <v>19199</v>
      </c>
      <c r="E448" t="s">
        <v>37</v>
      </c>
      <c r="F448" t="s">
        <v>19200</v>
      </c>
      <c r="G448" t="s">
        <v>19201</v>
      </c>
      <c r="H448">
        <v>17.98</v>
      </c>
      <c r="I448">
        <v>0</v>
      </c>
      <c r="J448">
        <v>0</v>
      </c>
      <c r="K448">
        <v>0</v>
      </c>
      <c r="L448">
        <v>7</v>
      </c>
      <c r="N448">
        <v>3</v>
      </c>
      <c r="O448">
        <v>10</v>
      </c>
      <c r="P448">
        <v>4</v>
      </c>
      <c r="Q448">
        <v>2</v>
      </c>
      <c r="R448">
        <v>33.979999999999997</v>
      </c>
      <c r="S448">
        <v>36</v>
      </c>
      <c r="T448">
        <v>36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36</v>
      </c>
      <c r="AB448">
        <v>0</v>
      </c>
      <c r="AC448">
        <v>0</v>
      </c>
      <c r="AD448" t="s">
        <v>130</v>
      </c>
      <c r="AF448" t="s">
        <v>130</v>
      </c>
      <c r="AH448">
        <v>69.98</v>
      </c>
    </row>
    <row r="449" spans="1:34" x14ac:dyDescent="0.3">
      <c r="A449" s="4">
        <v>542</v>
      </c>
      <c r="B449" s="5">
        <v>442</v>
      </c>
      <c r="C449">
        <v>1107</v>
      </c>
      <c r="D449" t="s">
        <v>19202</v>
      </c>
      <c r="E449" t="s">
        <v>19203</v>
      </c>
      <c r="F449" t="s">
        <v>38</v>
      </c>
      <c r="G449" t="s">
        <v>19204</v>
      </c>
      <c r="H449">
        <v>18.95</v>
      </c>
      <c r="I449">
        <v>0</v>
      </c>
      <c r="J449">
        <v>0</v>
      </c>
      <c r="K449">
        <v>20</v>
      </c>
      <c r="L449">
        <v>7</v>
      </c>
      <c r="O449">
        <v>7</v>
      </c>
      <c r="P449">
        <v>4</v>
      </c>
      <c r="Q449">
        <v>2</v>
      </c>
      <c r="R449">
        <v>51.95</v>
      </c>
      <c r="S449">
        <v>18</v>
      </c>
      <c r="T449">
        <v>18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18</v>
      </c>
      <c r="AB449">
        <v>0</v>
      </c>
      <c r="AC449">
        <v>0</v>
      </c>
      <c r="AD449" t="s">
        <v>130</v>
      </c>
      <c r="AF449" t="s">
        <v>130</v>
      </c>
      <c r="AH449">
        <v>69.95</v>
      </c>
    </row>
    <row r="450" spans="1:34" x14ac:dyDescent="0.3">
      <c r="A450" s="4">
        <v>543</v>
      </c>
      <c r="B450" s="5">
        <v>443</v>
      </c>
      <c r="C450">
        <v>1220</v>
      </c>
      <c r="D450" t="s">
        <v>1630</v>
      </c>
      <c r="E450" t="s">
        <v>516</v>
      </c>
      <c r="F450" t="s">
        <v>259</v>
      </c>
      <c r="G450" t="s">
        <v>19205</v>
      </c>
      <c r="H450">
        <v>19</v>
      </c>
      <c r="I450">
        <v>7</v>
      </c>
      <c r="J450">
        <v>0</v>
      </c>
      <c r="K450">
        <v>0</v>
      </c>
      <c r="L450">
        <v>7</v>
      </c>
      <c r="N450">
        <v>3</v>
      </c>
      <c r="O450">
        <v>10</v>
      </c>
      <c r="P450">
        <v>4</v>
      </c>
      <c r="Q450">
        <v>0</v>
      </c>
      <c r="R450">
        <v>40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3</v>
      </c>
      <c r="AC450">
        <v>26.8</v>
      </c>
      <c r="AF450" t="s">
        <v>130</v>
      </c>
      <c r="AH450">
        <v>69.8</v>
      </c>
    </row>
    <row r="451" spans="1:34" x14ac:dyDescent="0.3">
      <c r="A451" s="4">
        <v>544</v>
      </c>
      <c r="B451" s="5">
        <v>444</v>
      </c>
      <c r="C451">
        <v>3376</v>
      </c>
      <c r="D451" t="s">
        <v>13972</v>
      </c>
      <c r="E451" t="s">
        <v>178</v>
      </c>
      <c r="F451" t="s">
        <v>17</v>
      </c>
      <c r="G451" t="s">
        <v>19206</v>
      </c>
      <c r="H451">
        <v>20.78</v>
      </c>
      <c r="I451">
        <v>0</v>
      </c>
      <c r="J451">
        <v>0</v>
      </c>
      <c r="K451">
        <v>0</v>
      </c>
      <c r="N451">
        <v>3</v>
      </c>
      <c r="O451">
        <v>3</v>
      </c>
      <c r="P451">
        <v>4</v>
      </c>
      <c r="Q451">
        <v>2</v>
      </c>
      <c r="R451">
        <v>29.78</v>
      </c>
      <c r="S451">
        <v>34</v>
      </c>
      <c r="T451">
        <v>34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34</v>
      </c>
      <c r="AB451">
        <v>6</v>
      </c>
      <c r="AC451">
        <v>0</v>
      </c>
      <c r="AF451" t="s">
        <v>130</v>
      </c>
      <c r="AH451">
        <v>69.78</v>
      </c>
    </row>
    <row r="452" spans="1:34" x14ac:dyDescent="0.3">
      <c r="A452" s="4">
        <v>545</v>
      </c>
      <c r="B452" s="5">
        <v>445</v>
      </c>
      <c r="C452">
        <v>13131</v>
      </c>
      <c r="D452" t="s">
        <v>19207</v>
      </c>
      <c r="E452" t="s">
        <v>613</v>
      </c>
      <c r="F452" t="s">
        <v>442</v>
      </c>
      <c r="G452" t="s">
        <v>19208</v>
      </c>
      <c r="H452">
        <v>17.75</v>
      </c>
      <c r="I452">
        <v>0</v>
      </c>
      <c r="J452">
        <v>0</v>
      </c>
      <c r="K452">
        <v>0</v>
      </c>
      <c r="N452">
        <v>3</v>
      </c>
      <c r="O452">
        <v>3</v>
      </c>
      <c r="P452">
        <v>4</v>
      </c>
      <c r="Q452">
        <v>2</v>
      </c>
      <c r="R452">
        <v>26.75</v>
      </c>
      <c r="S452">
        <v>37</v>
      </c>
      <c r="T452">
        <v>37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37</v>
      </c>
      <c r="AB452">
        <v>6</v>
      </c>
      <c r="AC452">
        <v>0</v>
      </c>
      <c r="AD452" t="s">
        <v>130</v>
      </c>
      <c r="AF452" t="s">
        <v>130</v>
      </c>
      <c r="AH452">
        <v>69.75</v>
      </c>
    </row>
    <row r="453" spans="1:34" x14ac:dyDescent="0.3">
      <c r="A453" s="4">
        <v>546</v>
      </c>
      <c r="B453" s="5">
        <v>446</v>
      </c>
      <c r="C453">
        <v>13246</v>
      </c>
      <c r="D453" t="s">
        <v>529</v>
      </c>
      <c r="E453" t="s">
        <v>41</v>
      </c>
      <c r="F453" t="s">
        <v>38</v>
      </c>
      <c r="G453" t="s">
        <v>19209</v>
      </c>
      <c r="H453">
        <v>17.75</v>
      </c>
      <c r="I453">
        <v>0</v>
      </c>
      <c r="J453">
        <v>0</v>
      </c>
      <c r="K453">
        <v>20</v>
      </c>
      <c r="L453">
        <v>7</v>
      </c>
      <c r="M453">
        <v>5</v>
      </c>
      <c r="O453">
        <v>12</v>
      </c>
      <c r="P453">
        <v>4</v>
      </c>
      <c r="Q453">
        <v>2</v>
      </c>
      <c r="R453">
        <v>55.75</v>
      </c>
      <c r="S453">
        <v>14</v>
      </c>
      <c r="T453">
        <v>14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14</v>
      </c>
      <c r="AB453">
        <v>0</v>
      </c>
      <c r="AC453">
        <v>0</v>
      </c>
      <c r="AF453" t="s">
        <v>130</v>
      </c>
      <c r="AH453">
        <v>69.75</v>
      </c>
    </row>
    <row r="454" spans="1:34" x14ac:dyDescent="0.3">
      <c r="A454" s="4">
        <v>547</v>
      </c>
      <c r="B454" s="5">
        <v>447</v>
      </c>
      <c r="C454">
        <v>1078</v>
      </c>
      <c r="D454" t="s">
        <v>2647</v>
      </c>
      <c r="E454" t="s">
        <v>188</v>
      </c>
      <c r="F454" t="s">
        <v>30</v>
      </c>
      <c r="G454" t="s">
        <v>19210</v>
      </c>
      <c r="H454">
        <v>16.75</v>
      </c>
      <c r="I454">
        <v>0</v>
      </c>
      <c r="J454">
        <v>0</v>
      </c>
      <c r="K454">
        <v>0</v>
      </c>
      <c r="N454">
        <v>3</v>
      </c>
      <c r="O454">
        <v>3</v>
      </c>
      <c r="P454">
        <v>4</v>
      </c>
      <c r="Q454">
        <v>0</v>
      </c>
      <c r="R454">
        <v>23.75</v>
      </c>
      <c r="S454">
        <v>46</v>
      </c>
      <c r="T454">
        <v>46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46</v>
      </c>
      <c r="AB454">
        <v>0</v>
      </c>
      <c r="AC454">
        <v>0</v>
      </c>
      <c r="AF454" t="s">
        <v>130</v>
      </c>
      <c r="AH454">
        <v>69.75</v>
      </c>
    </row>
    <row r="455" spans="1:34" x14ac:dyDescent="0.3">
      <c r="A455" s="4">
        <v>548</v>
      </c>
      <c r="B455" s="5">
        <v>448</v>
      </c>
      <c r="C455">
        <v>11623</v>
      </c>
      <c r="D455" t="s">
        <v>19211</v>
      </c>
      <c r="E455" t="s">
        <v>19212</v>
      </c>
      <c r="F455" t="s">
        <v>136</v>
      </c>
      <c r="G455" t="s">
        <v>19213</v>
      </c>
      <c r="H455">
        <v>18.7</v>
      </c>
      <c r="I455">
        <v>0</v>
      </c>
      <c r="J455">
        <v>0</v>
      </c>
      <c r="K455">
        <v>0</v>
      </c>
      <c r="L455">
        <v>7</v>
      </c>
      <c r="O455">
        <v>7</v>
      </c>
      <c r="P455">
        <v>4</v>
      </c>
      <c r="Q455">
        <v>2</v>
      </c>
      <c r="R455">
        <v>31.7</v>
      </c>
      <c r="S455">
        <v>35</v>
      </c>
      <c r="T455">
        <v>35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35</v>
      </c>
      <c r="AB455">
        <v>3</v>
      </c>
      <c r="AC455">
        <v>0</v>
      </c>
      <c r="AD455" t="s">
        <v>130</v>
      </c>
      <c r="AF455" t="s">
        <v>130</v>
      </c>
      <c r="AH455">
        <v>69.7</v>
      </c>
    </row>
    <row r="456" spans="1:34" x14ac:dyDescent="0.3">
      <c r="A456" s="4">
        <v>549</v>
      </c>
      <c r="B456" s="5">
        <v>449</v>
      </c>
      <c r="C456">
        <v>6510</v>
      </c>
      <c r="D456" t="s">
        <v>4968</v>
      </c>
      <c r="E456" t="s">
        <v>54</v>
      </c>
      <c r="F456" t="s">
        <v>38</v>
      </c>
      <c r="G456" t="s">
        <v>19214</v>
      </c>
      <c r="H456">
        <v>17.7</v>
      </c>
      <c r="I456">
        <v>0</v>
      </c>
      <c r="J456">
        <v>0</v>
      </c>
      <c r="K456">
        <v>20</v>
      </c>
      <c r="N456">
        <v>3</v>
      </c>
      <c r="O456">
        <v>3</v>
      </c>
      <c r="P456">
        <v>4</v>
      </c>
      <c r="Q456">
        <v>2</v>
      </c>
      <c r="R456">
        <v>46.7</v>
      </c>
      <c r="S456">
        <v>23</v>
      </c>
      <c r="T456">
        <v>23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23</v>
      </c>
      <c r="AB456">
        <v>0</v>
      </c>
      <c r="AC456">
        <v>0</v>
      </c>
      <c r="AD456" t="s">
        <v>130</v>
      </c>
      <c r="AF456" t="s">
        <v>130</v>
      </c>
      <c r="AH456">
        <v>69.7</v>
      </c>
    </row>
    <row r="457" spans="1:34" x14ac:dyDescent="0.3">
      <c r="A457" s="4">
        <v>550</v>
      </c>
      <c r="B457" s="5">
        <v>450</v>
      </c>
      <c r="C457">
        <v>9675</v>
      </c>
      <c r="D457" t="s">
        <v>19215</v>
      </c>
      <c r="E457" t="s">
        <v>782</v>
      </c>
      <c r="F457" t="s">
        <v>20</v>
      </c>
      <c r="G457" t="s">
        <v>19216</v>
      </c>
      <c r="H457">
        <v>17.649999999999999</v>
      </c>
      <c r="I457">
        <v>0</v>
      </c>
      <c r="J457">
        <v>0</v>
      </c>
      <c r="K457">
        <v>0</v>
      </c>
      <c r="O457">
        <v>0</v>
      </c>
      <c r="P457">
        <v>4</v>
      </c>
      <c r="Q457">
        <v>2</v>
      </c>
      <c r="R457">
        <v>23.65</v>
      </c>
      <c r="S457">
        <v>46</v>
      </c>
      <c r="T457">
        <v>46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46</v>
      </c>
      <c r="AB457">
        <v>0</v>
      </c>
      <c r="AC457">
        <v>0</v>
      </c>
      <c r="AF457" t="s">
        <v>130</v>
      </c>
      <c r="AH457">
        <v>69.650000000000006</v>
      </c>
    </row>
    <row r="458" spans="1:34" x14ac:dyDescent="0.3">
      <c r="A458" s="4">
        <v>551</v>
      </c>
      <c r="B458" s="5">
        <v>451</v>
      </c>
      <c r="C458">
        <v>7176</v>
      </c>
      <c r="D458" t="s">
        <v>19217</v>
      </c>
      <c r="E458" t="s">
        <v>208</v>
      </c>
      <c r="F458" t="s">
        <v>190</v>
      </c>
      <c r="G458" t="s">
        <v>19218</v>
      </c>
      <c r="H458">
        <v>17.600000000000001</v>
      </c>
      <c r="I458">
        <v>0</v>
      </c>
      <c r="J458">
        <v>0</v>
      </c>
      <c r="K458">
        <v>0</v>
      </c>
      <c r="O458">
        <v>0</v>
      </c>
      <c r="P458">
        <v>4</v>
      </c>
      <c r="Q458">
        <v>2</v>
      </c>
      <c r="R458">
        <v>23.6</v>
      </c>
      <c r="S458">
        <v>43</v>
      </c>
      <c r="T458">
        <v>43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43</v>
      </c>
      <c r="AB458">
        <v>3</v>
      </c>
      <c r="AC458">
        <v>0</v>
      </c>
      <c r="AF458" t="s">
        <v>130</v>
      </c>
      <c r="AH458">
        <v>69.599999999999994</v>
      </c>
    </row>
    <row r="459" spans="1:34" x14ac:dyDescent="0.3">
      <c r="A459" s="4">
        <v>552</v>
      </c>
      <c r="B459" s="5">
        <v>452</v>
      </c>
      <c r="C459">
        <v>5802</v>
      </c>
      <c r="D459" t="s">
        <v>932</v>
      </c>
      <c r="E459" t="s">
        <v>161</v>
      </c>
      <c r="F459" t="s">
        <v>20</v>
      </c>
      <c r="G459" t="s">
        <v>19219</v>
      </c>
      <c r="H459">
        <v>16.579999999999998</v>
      </c>
      <c r="I459">
        <v>0</v>
      </c>
      <c r="J459">
        <v>0</v>
      </c>
      <c r="K459">
        <v>0</v>
      </c>
      <c r="O459">
        <v>0</v>
      </c>
      <c r="P459">
        <v>4</v>
      </c>
      <c r="Q459">
        <v>2</v>
      </c>
      <c r="R459">
        <v>22.58</v>
      </c>
      <c r="S459">
        <v>47</v>
      </c>
      <c r="T459">
        <v>47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47</v>
      </c>
      <c r="AB459">
        <v>0</v>
      </c>
      <c r="AC459">
        <v>0</v>
      </c>
      <c r="AF459" t="s">
        <v>130</v>
      </c>
      <c r="AH459">
        <v>69.58</v>
      </c>
    </row>
    <row r="460" spans="1:34" x14ac:dyDescent="0.3">
      <c r="A460" s="4">
        <v>553</v>
      </c>
      <c r="B460" s="5">
        <v>453</v>
      </c>
      <c r="C460">
        <v>1085</v>
      </c>
      <c r="D460" t="s">
        <v>8396</v>
      </c>
      <c r="E460" t="s">
        <v>161</v>
      </c>
      <c r="F460" t="s">
        <v>20</v>
      </c>
      <c r="G460" t="s">
        <v>19220</v>
      </c>
      <c r="H460">
        <v>21.5</v>
      </c>
      <c r="I460">
        <v>0</v>
      </c>
      <c r="J460">
        <v>0</v>
      </c>
      <c r="K460">
        <v>28</v>
      </c>
      <c r="L460">
        <v>7</v>
      </c>
      <c r="N460">
        <v>3</v>
      </c>
      <c r="O460">
        <v>10</v>
      </c>
      <c r="P460">
        <v>4</v>
      </c>
      <c r="Q460">
        <v>0</v>
      </c>
      <c r="R460">
        <v>63.5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6</v>
      </c>
      <c r="AC460">
        <v>0</v>
      </c>
      <c r="AF460" t="s">
        <v>130</v>
      </c>
      <c r="AH460">
        <v>69.5</v>
      </c>
    </row>
    <row r="461" spans="1:34" x14ac:dyDescent="0.3">
      <c r="A461" s="4">
        <v>554</v>
      </c>
      <c r="B461" s="5">
        <v>454</v>
      </c>
      <c r="C461">
        <v>8058</v>
      </c>
      <c r="D461" t="s">
        <v>19221</v>
      </c>
      <c r="E461" t="s">
        <v>1508</v>
      </c>
      <c r="F461" t="s">
        <v>38</v>
      </c>
      <c r="G461" t="s">
        <v>19222</v>
      </c>
      <c r="H461">
        <v>16.45</v>
      </c>
      <c r="I461">
        <v>0</v>
      </c>
      <c r="J461">
        <v>0</v>
      </c>
      <c r="K461">
        <v>0</v>
      </c>
      <c r="N461">
        <v>3</v>
      </c>
      <c r="O461">
        <v>3</v>
      </c>
      <c r="P461">
        <v>4</v>
      </c>
      <c r="Q461">
        <v>0</v>
      </c>
      <c r="R461">
        <v>23.45</v>
      </c>
      <c r="S461">
        <v>43</v>
      </c>
      <c r="T461">
        <v>43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43</v>
      </c>
      <c r="AB461">
        <v>3</v>
      </c>
      <c r="AC461">
        <v>0</v>
      </c>
      <c r="AF461" t="s">
        <v>130</v>
      </c>
      <c r="AH461">
        <v>69.45</v>
      </c>
    </row>
    <row r="462" spans="1:34" x14ac:dyDescent="0.3">
      <c r="A462" s="4">
        <v>555</v>
      </c>
      <c r="B462" s="5">
        <v>455</v>
      </c>
      <c r="C462">
        <v>9573</v>
      </c>
      <c r="D462" t="s">
        <v>1088</v>
      </c>
      <c r="E462" t="s">
        <v>1622</v>
      </c>
      <c r="F462" t="s">
        <v>117</v>
      </c>
      <c r="G462" t="s">
        <v>19223</v>
      </c>
      <c r="H462">
        <v>20.45</v>
      </c>
      <c r="I462">
        <v>0</v>
      </c>
      <c r="J462">
        <v>0</v>
      </c>
      <c r="K462">
        <v>0</v>
      </c>
      <c r="L462">
        <v>7</v>
      </c>
      <c r="O462">
        <v>7</v>
      </c>
      <c r="P462">
        <v>4</v>
      </c>
      <c r="Q462">
        <v>2</v>
      </c>
      <c r="R462">
        <v>33.450000000000003</v>
      </c>
      <c r="S462">
        <v>36</v>
      </c>
      <c r="T462">
        <v>36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36</v>
      </c>
      <c r="AB462">
        <v>0</v>
      </c>
      <c r="AC462">
        <v>0</v>
      </c>
      <c r="AF462" t="s">
        <v>130</v>
      </c>
      <c r="AH462">
        <v>69.45</v>
      </c>
    </row>
    <row r="463" spans="1:34" x14ac:dyDescent="0.3">
      <c r="A463" s="4">
        <v>556</v>
      </c>
      <c r="B463" s="5">
        <v>456</v>
      </c>
      <c r="C463">
        <v>10570</v>
      </c>
      <c r="D463" t="s">
        <v>16760</v>
      </c>
      <c r="E463" t="s">
        <v>26</v>
      </c>
      <c r="F463" t="s">
        <v>6216</v>
      </c>
      <c r="G463" t="s">
        <v>19224</v>
      </c>
      <c r="H463">
        <v>18.399999999999999</v>
      </c>
      <c r="I463">
        <v>0</v>
      </c>
      <c r="J463">
        <v>0</v>
      </c>
      <c r="K463">
        <v>20</v>
      </c>
      <c r="L463">
        <v>7</v>
      </c>
      <c r="O463">
        <v>7</v>
      </c>
      <c r="P463">
        <v>4</v>
      </c>
      <c r="Q463">
        <v>2</v>
      </c>
      <c r="R463">
        <v>51.4</v>
      </c>
      <c r="S463">
        <v>18</v>
      </c>
      <c r="T463">
        <v>18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18</v>
      </c>
      <c r="AB463">
        <v>0</v>
      </c>
      <c r="AC463">
        <v>0</v>
      </c>
      <c r="AD463" t="s">
        <v>130</v>
      </c>
      <c r="AF463" t="s">
        <v>130</v>
      </c>
      <c r="AH463">
        <v>69.400000000000006</v>
      </c>
    </row>
    <row r="464" spans="1:34" x14ac:dyDescent="0.3">
      <c r="A464" s="4">
        <v>557</v>
      </c>
      <c r="B464" s="5">
        <v>457</v>
      </c>
      <c r="C464">
        <v>7984</v>
      </c>
      <c r="D464" t="s">
        <v>19225</v>
      </c>
      <c r="E464" t="s">
        <v>3964</v>
      </c>
      <c r="F464" t="s">
        <v>801</v>
      </c>
      <c r="G464" t="s">
        <v>19226</v>
      </c>
      <c r="H464">
        <v>18.25</v>
      </c>
      <c r="I464">
        <v>0</v>
      </c>
      <c r="J464">
        <v>0</v>
      </c>
      <c r="K464">
        <v>0</v>
      </c>
      <c r="L464">
        <v>7</v>
      </c>
      <c r="O464">
        <v>7</v>
      </c>
      <c r="P464">
        <v>4</v>
      </c>
      <c r="Q464">
        <v>2</v>
      </c>
      <c r="R464">
        <v>31.25</v>
      </c>
      <c r="S464">
        <v>32</v>
      </c>
      <c r="T464">
        <v>32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32</v>
      </c>
      <c r="AB464">
        <v>6</v>
      </c>
      <c r="AC464">
        <v>0</v>
      </c>
      <c r="AF464" t="s">
        <v>130</v>
      </c>
      <c r="AH464">
        <v>69.25</v>
      </c>
    </row>
    <row r="465" spans="1:34" x14ac:dyDescent="0.3">
      <c r="A465" s="4">
        <v>558</v>
      </c>
      <c r="B465" s="5">
        <v>458</v>
      </c>
      <c r="C465">
        <v>8990</v>
      </c>
      <c r="D465" t="s">
        <v>3889</v>
      </c>
      <c r="E465" t="s">
        <v>7689</v>
      </c>
      <c r="F465" t="s">
        <v>343</v>
      </c>
      <c r="G465" t="s">
        <v>19227</v>
      </c>
      <c r="H465">
        <v>22.18</v>
      </c>
      <c r="I465">
        <v>0</v>
      </c>
      <c r="J465">
        <v>0</v>
      </c>
      <c r="K465">
        <v>20</v>
      </c>
      <c r="L465">
        <v>7</v>
      </c>
      <c r="O465">
        <v>7</v>
      </c>
      <c r="P465">
        <v>4</v>
      </c>
      <c r="Q465">
        <v>2</v>
      </c>
      <c r="R465">
        <v>55.18</v>
      </c>
      <c r="S465">
        <v>11</v>
      </c>
      <c r="T465">
        <v>11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11</v>
      </c>
      <c r="AB465">
        <v>3</v>
      </c>
      <c r="AC465">
        <v>0</v>
      </c>
      <c r="AF465" t="s">
        <v>130</v>
      </c>
      <c r="AH465">
        <v>69.180000000000007</v>
      </c>
    </row>
    <row r="466" spans="1:34" x14ac:dyDescent="0.3">
      <c r="A466" s="4">
        <v>559</v>
      </c>
      <c r="B466" s="5">
        <v>459</v>
      </c>
      <c r="C466">
        <v>7095</v>
      </c>
      <c r="D466" t="s">
        <v>13249</v>
      </c>
      <c r="E466" t="s">
        <v>54</v>
      </c>
      <c r="F466" t="s">
        <v>19228</v>
      </c>
      <c r="G466" t="s">
        <v>19229</v>
      </c>
      <c r="H466">
        <v>17.149999999999999</v>
      </c>
      <c r="I466">
        <v>0</v>
      </c>
      <c r="J466">
        <v>0</v>
      </c>
      <c r="K466">
        <v>20</v>
      </c>
      <c r="L466">
        <v>7</v>
      </c>
      <c r="O466">
        <v>7</v>
      </c>
      <c r="P466">
        <v>4</v>
      </c>
      <c r="Q466">
        <v>0</v>
      </c>
      <c r="R466">
        <v>48.15</v>
      </c>
      <c r="S466">
        <v>18</v>
      </c>
      <c r="T466">
        <v>18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18</v>
      </c>
      <c r="AB466">
        <v>3</v>
      </c>
      <c r="AC466">
        <v>0</v>
      </c>
      <c r="AF466" t="s">
        <v>130</v>
      </c>
      <c r="AH466">
        <v>69.150000000000006</v>
      </c>
    </row>
    <row r="467" spans="1:34" x14ac:dyDescent="0.3">
      <c r="A467" s="4">
        <v>560</v>
      </c>
      <c r="B467" s="5">
        <v>460</v>
      </c>
      <c r="C467">
        <v>3424</v>
      </c>
      <c r="D467" t="s">
        <v>19230</v>
      </c>
      <c r="E467" t="s">
        <v>26</v>
      </c>
      <c r="F467" t="s">
        <v>2598</v>
      </c>
      <c r="G467" t="s">
        <v>19231</v>
      </c>
      <c r="H467">
        <v>18.13</v>
      </c>
      <c r="I467">
        <v>0</v>
      </c>
      <c r="J467">
        <v>0</v>
      </c>
      <c r="K467">
        <v>0</v>
      </c>
      <c r="O467">
        <v>0</v>
      </c>
      <c r="P467">
        <v>4</v>
      </c>
      <c r="Q467">
        <v>2</v>
      </c>
      <c r="R467">
        <v>24.13</v>
      </c>
      <c r="S467">
        <v>36</v>
      </c>
      <c r="T467">
        <v>36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36</v>
      </c>
      <c r="AB467">
        <v>9</v>
      </c>
      <c r="AC467">
        <v>0</v>
      </c>
      <c r="AF467" t="s">
        <v>130</v>
      </c>
      <c r="AH467">
        <v>69.13</v>
      </c>
    </row>
    <row r="468" spans="1:34" x14ac:dyDescent="0.3">
      <c r="A468" s="4">
        <v>561</v>
      </c>
      <c r="B468" s="5">
        <v>461</v>
      </c>
      <c r="C468">
        <v>10443</v>
      </c>
      <c r="D468" t="s">
        <v>1129</v>
      </c>
      <c r="E468" t="s">
        <v>54</v>
      </c>
      <c r="F468" t="s">
        <v>91</v>
      </c>
      <c r="G468" t="s">
        <v>19232</v>
      </c>
      <c r="H468">
        <v>18.13</v>
      </c>
      <c r="I468">
        <v>0</v>
      </c>
      <c r="J468">
        <v>0</v>
      </c>
      <c r="K468">
        <v>20</v>
      </c>
      <c r="L468">
        <v>7</v>
      </c>
      <c r="O468">
        <v>7</v>
      </c>
      <c r="P468">
        <v>4</v>
      </c>
      <c r="Q468">
        <v>2</v>
      </c>
      <c r="R468">
        <v>51.13</v>
      </c>
      <c r="S468">
        <v>18</v>
      </c>
      <c r="T468">
        <v>18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18</v>
      </c>
      <c r="AB468">
        <v>0</v>
      </c>
      <c r="AC468">
        <v>0</v>
      </c>
      <c r="AD468" t="s">
        <v>130</v>
      </c>
      <c r="AF468" t="s">
        <v>130</v>
      </c>
      <c r="AH468">
        <v>69.13</v>
      </c>
    </row>
    <row r="469" spans="1:34" x14ac:dyDescent="0.3">
      <c r="A469" s="4">
        <v>562</v>
      </c>
      <c r="B469" s="5">
        <v>462</v>
      </c>
      <c r="C469">
        <v>859</v>
      </c>
      <c r="D469" t="s">
        <v>1310</v>
      </c>
      <c r="E469" t="s">
        <v>255</v>
      </c>
      <c r="F469" t="s">
        <v>5996</v>
      </c>
      <c r="G469" t="s">
        <v>19233</v>
      </c>
      <c r="H469">
        <v>19.100000000000001</v>
      </c>
      <c r="I469">
        <v>0</v>
      </c>
      <c r="J469">
        <v>0</v>
      </c>
      <c r="K469">
        <v>20</v>
      </c>
      <c r="N469">
        <v>6</v>
      </c>
      <c r="O469">
        <v>6</v>
      </c>
      <c r="P469">
        <v>4</v>
      </c>
      <c r="Q469">
        <v>2</v>
      </c>
      <c r="R469">
        <v>51.1</v>
      </c>
      <c r="S469">
        <v>18</v>
      </c>
      <c r="T469">
        <v>18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18</v>
      </c>
      <c r="AB469">
        <v>0</v>
      </c>
      <c r="AC469">
        <v>0</v>
      </c>
      <c r="AF469" t="s">
        <v>130</v>
      </c>
      <c r="AH469">
        <v>69.099999999999994</v>
      </c>
    </row>
    <row r="470" spans="1:34" x14ac:dyDescent="0.3">
      <c r="A470" s="4">
        <v>564</v>
      </c>
      <c r="B470" s="5">
        <v>463</v>
      </c>
      <c r="C470">
        <v>13961</v>
      </c>
      <c r="D470" t="s">
        <v>11956</v>
      </c>
      <c r="E470" t="s">
        <v>37</v>
      </c>
      <c r="F470" t="s">
        <v>17</v>
      </c>
      <c r="G470" t="s">
        <v>19234</v>
      </c>
      <c r="H470">
        <v>19</v>
      </c>
      <c r="I470">
        <v>7</v>
      </c>
      <c r="J470">
        <v>0</v>
      </c>
      <c r="K470">
        <v>20</v>
      </c>
      <c r="N470">
        <v>3</v>
      </c>
      <c r="O470">
        <v>3</v>
      </c>
      <c r="P470">
        <v>4</v>
      </c>
      <c r="Q470">
        <v>0</v>
      </c>
      <c r="R470">
        <v>53</v>
      </c>
      <c r="S470">
        <v>10</v>
      </c>
      <c r="T470">
        <v>10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10</v>
      </c>
      <c r="AB470">
        <v>6</v>
      </c>
      <c r="AC470">
        <v>0</v>
      </c>
      <c r="AF470" t="s">
        <v>130</v>
      </c>
      <c r="AH470">
        <v>69</v>
      </c>
    </row>
    <row r="471" spans="1:34" x14ac:dyDescent="0.3">
      <c r="A471" s="4">
        <v>566</v>
      </c>
      <c r="B471" s="5">
        <v>464</v>
      </c>
      <c r="C471">
        <v>2693</v>
      </c>
      <c r="D471" t="s">
        <v>19235</v>
      </c>
      <c r="E471" t="s">
        <v>219</v>
      </c>
      <c r="F471" t="s">
        <v>243</v>
      </c>
      <c r="G471" t="s">
        <v>19236</v>
      </c>
      <c r="H471">
        <v>18.829999999999998</v>
      </c>
      <c r="I471">
        <v>0</v>
      </c>
      <c r="J471">
        <v>0</v>
      </c>
      <c r="K471">
        <v>20</v>
      </c>
      <c r="M471">
        <v>5</v>
      </c>
      <c r="N471">
        <v>3</v>
      </c>
      <c r="O471">
        <v>8</v>
      </c>
      <c r="P471">
        <v>4</v>
      </c>
      <c r="Q471">
        <v>0</v>
      </c>
      <c r="R471">
        <v>50.83</v>
      </c>
      <c r="S471">
        <v>18</v>
      </c>
      <c r="T471">
        <v>18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18</v>
      </c>
      <c r="AB471">
        <v>0</v>
      </c>
      <c r="AC471">
        <v>0</v>
      </c>
      <c r="AF471" t="s">
        <v>130</v>
      </c>
      <c r="AH471">
        <v>68.83</v>
      </c>
    </row>
    <row r="472" spans="1:34" x14ac:dyDescent="0.3">
      <c r="A472" s="4">
        <v>567</v>
      </c>
      <c r="B472" s="5">
        <v>465</v>
      </c>
      <c r="C472">
        <v>11442</v>
      </c>
      <c r="D472" t="s">
        <v>1590</v>
      </c>
      <c r="E472" t="s">
        <v>6148</v>
      </c>
      <c r="F472" t="s">
        <v>52</v>
      </c>
      <c r="G472" t="s">
        <v>19237</v>
      </c>
      <c r="H472">
        <v>18.8</v>
      </c>
      <c r="I472">
        <v>0</v>
      </c>
      <c r="J472">
        <v>0</v>
      </c>
      <c r="K472">
        <v>0</v>
      </c>
      <c r="O472">
        <v>0</v>
      </c>
      <c r="P472">
        <v>4</v>
      </c>
      <c r="Q472">
        <v>2</v>
      </c>
      <c r="R472">
        <v>24.8</v>
      </c>
      <c r="S472">
        <v>18</v>
      </c>
      <c r="T472">
        <v>18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18</v>
      </c>
      <c r="AB472">
        <v>6</v>
      </c>
      <c r="AC472">
        <v>20</v>
      </c>
      <c r="AF472" t="s">
        <v>130</v>
      </c>
      <c r="AH472">
        <v>68.8</v>
      </c>
    </row>
    <row r="473" spans="1:34" x14ac:dyDescent="0.3">
      <c r="A473" s="4">
        <v>568</v>
      </c>
      <c r="B473" s="5">
        <v>466</v>
      </c>
      <c r="C473">
        <v>7653</v>
      </c>
      <c r="D473" t="s">
        <v>19238</v>
      </c>
      <c r="E473" t="s">
        <v>188</v>
      </c>
      <c r="F473" t="s">
        <v>91</v>
      </c>
      <c r="G473" t="s">
        <v>19239</v>
      </c>
      <c r="H473">
        <v>20.8</v>
      </c>
      <c r="I473">
        <v>0</v>
      </c>
      <c r="J473">
        <v>0</v>
      </c>
      <c r="K473">
        <v>0</v>
      </c>
      <c r="N473">
        <v>3</v>
      </c>
      <c r="O473">
        <v>3</v>
      </c>
      <c r="P473">
        <v>4</v>
      </c>
      <c r="Q473">
        <v>2</v>
      </c>
      <c r="R473">
        <v>29.8</v>
      </c>
      <c r="S473">
        <v>36</v>
      </c>
      <c r="T473">
        <v>36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36</v>
      </c>
      <c r="AB473">
        <v>3</v>
      </c>
      <c r="AC473">
        <v>0</v>
      </c>
      <c r="AD473" t="s">
        <v>130</v>
      </c>
      <c r="AF473" t="s">
        <v>130</v>
      </c>
      <c r="AH473">
        <v>68.8</v>
      </c>
    </row>
    <row r="474" spans="1:34" x14ac:dyDescent="0.3">
      <c r="A474" s="4">
        <v>569</v>
      </c>
      <c r="B474" s="5">
        <v>467</v>
      </c>
      <c r="C474">
        <v>10172</v>
      </c>
      <c r="D474" t="s">
        <v>19240</v>
      </c>
      <c r="E474" t="s">
        <v>9325</v>
      </c>
      <c r="F474" t="s">
        <v>81</v>
      </c>
      <c r="G474" t="s">
        <v>19241</v>
      </c>
      <c r="H474">
        <v>19.75</v>
      </c>
      <c r="I474">
        <v>7</v>
      </c>
      <c r="J474">
        <v>0</v>
      </c>
      <c r="K474">
        <v>20</v>
      </c>
      <c r="L474">
        <v>7</v>
      </c>
      <c r="O474">
        <v>7</v>
      </c>
      <c r="P474">
        <v>4</v>
      </c>
      <c r="Q474">
        <v>0</v>
      </c>
      <c r="R474">
        <v>57.75</v>
      </c>
      <c r="S474">
        <v>8</v>
      </c>
      <c r="T474">
        <v>8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8</v>
      </c>
      <c r="AB474">
        <v>3</v>
      </c>
      <c r="AC474">
        <v>0</v>
      </c>
      <c r="AF474" t="s">
        <v>130</v>
      </c>
      <c r="AH474">
        <v>68.75</v>
      </c>
    </row>
    <row r="475" spans="1:34" x14ac:dyDescent="0.3">
      <c r="A475" s="4">
        <v>570</v>
      </c>
      <c r="B475" s="5">
        <v>468</v>
      </c>
      <c r="C475">
        <v>15041</v>
      </c>
      <c r="D475" t="s">
        <v>19242</v>
      </c>
      <c r="E475" t="s">
        <v>33</v>
      </c>
      <c r="F475" t="s">
        <v>81</v>
      </c>
      <c r="G475" t="s">
        <v>19243</v>
      </c>
      <c r="H475">
        <v>17.75</v>
      </c>
      <c r="I475">
        <v>0</v>
      </c>
      <c r="J475">
        <v>0</v>
      </c>
      <c r="K475">
        <v>20</v>
      </c>
      <c r="L475">
        <v>7</v>
      </c>
      <c r="O475">
        <v>7</v>
      </c>
      <c r="P475">
        <v>4</v>
      </c>
      <c r="Q475">
        <v>2</v>
      </c>
      <c r="R475">
        <v>50.75</v>
      </c>
      <c r="S475">
        <v>18</v>
      </c>
      <c r="T475">
        <v>18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18</v>
      </c>
      <c r="AB475">
        <v>0</v>
      </c>
      <c r="AC475">
        <v>0</v>
      </c>
      <c r="AF475" t="s">
        <v>130</v>
      </c>
      <c r="AH475">
        <v>68.75</v>
      </c>
    </row>
    <row r="476" spans="1:34" x14ac:dyDescent="0.3">
      <c r="A476" s="4">
        <v>571</v>
      </c>
      <c r="B476" s="5">
        <v>469</v>
      </c>
      <c r="C476">
        <v>2568</v>
      </c>
      <c r="D476" t="s">
        <v>2622</v>
      </c>
      <c r="E476" t="s">
        <v>104</v>
      </c>
      <c r="F476" t="s">
        <v>136</v>
      </c>
      <c r="G476" t="s">
        <v>19244</v>
      </c>
      <c r="H476">
        <v>18.579999999999998</v>
      </c>
      <c r="I476">
        <v>0</v>
      </c>
      <c r="J476">
        <v>0</v>
      </c>
      <c r="K476">
        <v>0</v>
      </c>
      <c r="L476">
        <v>7</v>
      </c>
      <c r="O476">
        <v>7</v>
      </c>
      <c r="P476">
        <v>4</v>
      </c>
      <c r="Q476">
        <v>2</v>
      </c>
      <c r="R476">
        <v>31.58</v>
      </c>
      <c r="S476">
        <v>37</v>
      </c>
      <c r="T476">
        <v>37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37</v>
      </c>
      <c r="AB476">
        <v>0</v>
      </c>
      <c r="AC476">
        <v>0</v>
      </c>
      <c r="AF476" t="s">
        <v>130</v>
      </c>
      <c r="AH476">
        <v>68.58</v>
      </c>
    </row>
    <row r="477" spans="1:34" x14ac:dyDescent="0.3">
      <c r="A477" s="4">
        <v>573</v>
      </c>
      <c r="B477" s="5">
        <v>470</v>
      </c>
      <c r="C477">
        <v>5975</v>
      </c>
      <c r="D477" t="s">
        <v>19245</v>
      </c>
      <c r="E477" t="s">
        <v>17</v>
      </c>
      <c r="F477" t="s">
        <v>136</v>
      </c>
      <c r="G477" t="s">
        <v>19246</v>
      </c>
      <c r="H477">
        <v>17.5</v>
      </c>
      <c r="I477">
        <v>0</v>
      </c>
      <c r="J477">
        <v>0</v>
      </c>
      <c r="K477">
        <v>0</v>
      </c>
      <c r="N477">
        <v>3</v>
      </c>
      <c r="O477">
        <v>3</v>
      </c>
      <c r="P477">
        <v>4</v>
      </c>
      <c r="Q477">
        <v>2</v>
      </c>
      <c r="R477">
        <v>26.5</v>
      </c>
      <c r="S477">
        <v>36</v>
      </c>
      <c r="T477">
        <v>36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36</v>
      </c>
      <c r="AB477">
        <v>6</v>
      </c>
      <c r="AC477">
        <v>0</v>
      </c>
      <c r="AF477" t="s">
        <v>130</v>
      </c>
      <c r="AH477">
        <v>68.5</v>
      </c>
    </row>
    <row r="478" spans="1:34" x14ac:dyDescent="0.3">
      <c r="A478" s="4">
        <v>575</v>
      </c>
      <c r="B478" s="5">
        <v>471</v>
      </c>
      <c r="C478">
        <v>4433</v>
      </c>
      <c r="D478" t="s">
        <v>19248</v>
      </c>
      <c r="E478" t="s">
        <v>124</v>
      </c>
      <c r="F478" t="s">
        <v>34</v>
      </c>
      <c r="G478" t="s">
        <v>19249</v>
      </c>
      <c r="H478">
        <v>18.5</v>
      </c>
      <c r="I478">
        <v>0</v>
      </c>
      <c r="J478">
        <v>0</v>
      </c>
      <c r="K478">
        <v>20</v>
      </c>
      <c r="L478">
        <v>7</v>
      </c>
      <c r="O478">
        <v>7</v>
      </c>
      <c r="P478">
        <v>4</v>
      </c>
      <c r="Q478">
        <v>2</v>
      </c>
      <c r="R478">
        <v>51.5</v>
      </c>
      <c r="S478">
        <v>17</v>
      </c>
      <c r="T478">
        <v>17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17</v>
      </c>
      <c r="AB478">
        <v>0</v>
      </c>
      <c r="AC478">
        <v>0</v>
      </c>
      <c r="AF478" t="s">
        <v>130</v>
      </c>
      <c r="AH478">
        <v>68.5</v>
      </c>
    </row>
    <row r="479" spans="1:34" x14ac:dyDescent="0.3">
      <c r="A479" s="4">
        <v>576</v>
      </c>
      <c r="B479" s="5">
        <v>472</v>
      </c>
      <c r="C479">
        <v>4406</v>
      </c>
      <c r="D479" t="s">
        <v>11698</v>
      </c>
      <c r="E479" t="s">
        <v>18207</v>
      </c>
      <c r="F479" t="s">
        <v>243</v>
      </c>
      <c r="G479" t="s">
        <v>19250</v>
      </c>
      <c r="H479">
        <v>17.5</v>
      </c>
      <c r="I479">
        <v>0</v>
      </c>
      <c r="J479">
        <v>0</v>
      </c>
      <c r="K479">
        <v>20</v>
      </c>
      <c r="L479">
        <v>7</v>
      </c>
      <c r="O479">
        <v>7</v>
      </c>
      <c r="P479">
        <v>4</v>
      </c>
      <c r="Q479">
        <v>2</v>
      </c>
      <c r="R479">
        <v>50.5</v>
      </c>
      <c r="S479">
        <v>18</v>
      </c>
      <c r="T479">
        <v>18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18</v>
      </c>
      <c r="AB479">
        <v>0</v>
      </c>
      <c r="AC479">
        <v>0</v>
      </c>
      <c r="AF479" t="s">
        <v>130</v>
      </c>
      <c r="AH479">
        <v>68.5</v>
      </c>
    </row>
    <row r="480" spans="1:34" x14ac:dyDescent="0.3">
      <c r="A480" s="4">
        <v>578</v>
      </c>
      <c r="B480" s="5">
        <v>473</v>
      </c>
      <c r="C480">
        <v>2160</v>
      </c>
      <c r="D480" t="s">
        <v>294</v>
      </c>
      <c r="E480" t="s">
        <v>188</v>
      </c>
      <c r="F480" t="s">
        <v>20</v>
      </c>
      <c r="G480" t="s">
        <v>19251</v>
      </c>
      <c r="H480">
        <v>17.3</v>
      </c>
      <c r="I480">
        <v>0</v>
      </c>
      <c r="J480">
        <v>0</v>
      </c>
      <c r="K480">
        <v>20</v>
      </c>
      <c r="L480">
        <v>7</v>
      </c>
      <c r="O480">
        <v>7</v>
      </c>
      <c r="P480">
        <v>4</v>
      </c>
      <c r="Q480">
        <v>2</v>
      </c>
      <c r="R480">
        <v>50.3</v>
      </c>
      <c r="S480">
        <v>18</v>
      </c>
      <c r="T480">
        <v>18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18</v>
      </c>
      <c r="AB480">
        <v>0</v>
      </c>
      <c r="AC480">
        <v>0</v>
      </c>
      <c r="AF480" t="s">
        <v>130</v>
      </c>
      <c r="AH480">
        <v>68.3</v>
      </c>
    </row>
    <row r="481" spans="1:34" x14ac:dyDescent="0.3">
      <c r="A481" s="4">
        <v>579</v>
      </c>
      <c r="B481" s="5">
        <v>474</v>
      </c>
      <c r="C481">
        <v>3887</v>
      </c>
      <c r="D481" t="s">
        <v>19252</v>
      </c>
      <c r="E481" t="s">
        <v>29</v>
      </c>
      <c r="F481" t="s">
        <v>117</v>
      </c>
      <c r="G481" t="s">
        <v>19253</v>
      </c>
      <c r="H481">
        <v>20.23</v>
      </c>
      <c r="I481">
        <v>0</v>
      </c>
      <c r="J481">
        <v>0</v>
      </c>
      <c r="K481">
        <v>20</v>
      </c>
      <c r="N481">
        <v>3</v>
      </c>
      <c r="O481">
        <v>3</v>
      </c>
      <c r="P481">
        <v>4</v>
      </c>
      <c r="Q481">
        <v>2</v>
      </c>
      <c r="R481">
        <v>49.23</v>
      </c>
      <c r="S481">
        <v>16</v>
      </c>
      <c r="T481">
        <v>16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16</v>
      </c>
      <c r="AB481">
        <v>3</v>
      </c>
      <c r="AC481">
        <v>0</v>
      </c>
      <c r="AF481" t="s">
        <v>130</v>
      </c>
      <c r="AH481">
        <v>68.23</v>
      </c>
    </row>
    <row r="482" spans="1:34" x14ac:dyDescent="0.3">
      <c r="A482" s="4">
        <v>580</v>
      </c>
      <c r="B482" s="5">
        <v>475</v>
      </c>
      <c r="C482">
        <v>2245</v>
      </c>
      <c r="D482" t="s">
        <v>3181</v>
      </c>
      <c r="E482" t="s">
        <v>4221</v>
      </c>
      <c r="F482" t="s">
        <v>38</v>
      </c>
      <c r="G482" t="s">
        <v>4222</v>
      </c>
      <c r="H482">
        <v>17.23</v>
      </c>
      <c r="I482">
        <v>0</v>
      </c>
      <c r="J482">
        <v>0</v>
      </c>
      <c r="K482">
        <v>20</v>
      </c>
      <c r="L482">
        <v>7</v>
      </c>
      <c r="O482">
        <v>7</v>
      </c>
      <c r="P482">
        <v>4</v>
      </c>
      <c r="Q482">
        <v>2</v>
      </c>
      <c r="R482">
        <v>50.23</v>
      </c>
      <c r="S482">
        <v>18</v>
      </c>
      <c r="T482">
        <v>18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18</v>
      </c>
      <c r="AB482">
        <v>0</v>
      </c>
      <c r="AC482">
        <v>0</v>
      </c>
      <c r="AD482" t="s">
        <v>130</v>
      </c>
      <c r="AF482" t="s">
        <v>130</v>
      </c>
      <c r="AH482">
        <v>68.23</v>
      </c>
    </row>
    <row r="483" spans="1:34" x14ac:dyDescent="0.3">
      <c r="A483" s="4">
        <v>581</v>
      </c>
      <c r="B483" s="5">
        <v>476</v>
      </c>
      <c r="C483">
        <v>2915</v>
      </c>
      <c r="D483" t="s">
        <v>6516</v>
      </c>
      <c r="E483" t="s">
        <v>188</v>
      </c>
      <c r="F483" t="s">
        <v>136</v>
      </c>
      <c r="G483" t="s">
        <v>19254</v>
      </c>
      <c r="H483">
        <v>17.23</v>
      </c>
      <c r="I483">
        <v>0</v>
      </c>
      <c r="J483">
        <v>0</v>
      </c>
      <c r="K483">
        <v>20</v>
      </c>
      <c r="L483">
        <v>7</v>
      </c>
      <c r="O483">
        <v>7</v>
      </c>
      <c r="P483">
        <v>4</v>
      </c>
      <c r="Q483">
        <v>2</v>
      </c>
      <c r="R483">
        <v>50.23</v>
      </c>
      <c r="S483">
        <v>18</v>
      </c>
      <c r="T483">
        <v>18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18</v>
      </c>
      <c r="AB483">
        <v>0</v>
      </c>
      <c r="AC483">
        <v>0</v>
      </c>
      <c r="AF483" t="s">
        <v>130</v>
      </c>
      <c r="AH483">
        <v>68.23</v>
      </c>
    </row>
    <row r="484" spans="1:34" x14ac:dyDescent="0.3">
      <c r="A484" s="4">
        <v>582</v>
      </c>
      <c r="B484" s="5">
        <v>477</v>
      </c>
      <c r="C484">
        <v>866</v>
      </c>
      <c r="D484" t="s">
        <v>19255</v>
      </c>
      <c r="E484" t="s">
        <v>22</v>
      </c>
      <c r="F484" t="s">
        <v>19256</v>
      </c>
      <c r="G484" t="s">
        <v>19257</v>
      </c>
      <c r="H484">
        <v>19.13</v>
      </c>
      <c r="I484">
        <v>0</v>
      </c>
      <c r="J484">
        <v>0</v>
      </c>
      <c r="K484">
        <v>20</v>
      </c>
      <c r="M484">
        <v>5</v>
      </c>
      <c r="O484">
        <v>5</v>
      </c>
      <c r="P484">
        <v>4</v>
      </c>
      <c r="Q484">
        <v>2</v>
      </c>
      <c r="R484">
        <v>50.13</v>
      </c>
      <c r="S484">
        <v>18</v>
      </c>
      <c r="T484">
        <v>18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18</v>
      </c>
      <c r="AB484">
        <v>0</v>
      </c>
      <c r="AC484">
        <v>0</v>
      </c>
      <c r="AF484" t="s">
        <v>130</v>
      </c>
      <c r="AH484">
        <v>68.13</v>
      </c>
    </row>
    <row r="485" spans="1:34" x14ac:dyDescent="0.3">
      <c r="A485" s="4">
        <v>583</v>
      </c>
      <c r="B485" s="5">
        <v>478</v>
      </c>
      <c r="C485">
        <v>8320</v>
      </c>
      <c r="D485" t="s">
        <v>6423</v>
      </c>
      <c r="E485" t="s">
        <v>29</v>
      </c>
      <c r="F485" t="s">
        <v>17</v>
      </c>
      <c r="G485" t="s">
        <v>19258</v>
      </c>
      <c r="H485">
        <v>20.079999999999998</v>
      </c>
      <c r="I485">
        <v>0</v>
      </c>
      <c r="J485">
        <v>0</v>
      </c>
      <c r="K485">
        <v>0</v>
      </c>
      <c r="N485">
        <v>3</v>
      </c>
      <c r="O485">
        <v>3</v>
      </c>
      <c r="P485">
        <v>4</v>
      </c>
      <c r="Q485">
        <v>0</v>
      </c>
      <c r="R485">
        <v>27.08</v>
      </c>
      <c r="S485">
        <v>35</v>
      </c>
      <c r="T485">
        <v>35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35</v>
      </c>
      <c r="AB485">
        <v>6</v>
      </c>
      <c r="AC485">
        <v>0</v>
      </c>
      <c r="AF485" t="s">
        <v>130</v>
      </c>
      <c r="AH485">
        <v>68.08</v>
      </c>
    </row>
    <row r="486" spans="1:34" x14ac:dyDescent="0.3">
      <c r="A486" s="4">
        <v>584</v>
      </c>
      <c r="B486" s="5">
        <v>479</v>
      </c>
      <c r="C486">
        <v>13088</v>
      </c>
      <c r="D486" t="s">
        <v>947</v>
      </c>
      <c r="E486" t="s">
        <v>115</v>
      </c>
      <c r="F486" t="s">
        <v>972</v>
      </c>
      <c r="G486" t="s">
        <v>19259</v>
      </c>
      <c r="H486">
        <v>18.98</v>
      </c>
      <c r="I486">
        <v>0</v>
      </c>
      <c r="J486">
        <v>0</v>
      </c>
      <c r="K486">
        <v>20</v>
      </c>
      <c r="L486">
        <v>7</v>
      </c>
      <c r="O486">
        <v>7</v>
      </c>
      <c r="P486">
        <v>4</v>
      </c>
      <c r="Q486">
        <v>2</v>
      </c>
      <c r="R486">
        <v>51.98</v>
      </c>
      <c r="S486">
        <v>10</v>
      </c>
      <c r="T486">
        <v>10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10</v>
      </c>
      <c r="AB486">
        <v>6</v>
      </c>
      <c r="AC486">
        <v>0</v>
      </c>
      <c r="AF486" t="s">
        <v>130</v>
      </c>
      <c r="AH486">
        <v>67.98</v>
      </c>
    </row>
    <row r="487" spans="1:34" x14ac:dyDescent="0.3">
      <c r="A487" s="4">
        <v>585</v>
      </c>
      <c r="B487" s="5">
        <v>480</v>
      </c>
      <c r="C487">
        <v>2674</v>
      </c>
      <c r="D487" t="s">
        <v>19260</v>
      </c>
      <c r="E487" t="s">
        <v>81</v>
      </c>
      <c r="F487" t="s">
        <v>55</v>
      </c>
      <c r="G487" t="s">
        <v>19261</v>
      </c>
      <c r="H487">
        <v>16.95</v>
      </c>
      <c r="I487">
        <v>0</v>
      </c>
      <c r="J487">
        <v>0</v>
      </c>
      <c r="K487">
        <v>20</v>
      </c>
      <c r="L487">
        <v>7</v>
      </c>
      <c r="O487">
        <v>7</v>
      </c>
      <c r="P487">
        <v>4</v>
      </c>
      <c r="Q487">
        <v>2</v>
      </c>
      <c r="R487">
        <v>49.95</v>
      </c>
      <c r="S487">
        <v>18</v>
      </c>
      <c r="T487">
        <v>18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18</v>
      </c>
      <c r="AB487">
        <v>0</v>
      </c>
      <c r="AC487">
        <v>0</v>
      </c>
      <c r="AF487" t="s">
        <v>130</v>
      </c>
      <c r="AH487">
        <v>67.95</v>
      </c>
    </row>
    <row r="488" spans="1:34" x14ac:dyDescent="0.3">
      <c r="A488" s="4">
        <v>586</v>
      </c>
      <c r="B488" s="5">
        <v>481</v>
      </c>
      <c r="C488">
        <v>7064</v>
      </c>
      <c r="D488" t="s">
        <v>2115</v>
      </c>
      <c r="E488" t="s">
        <v>161</v>
      </c>
      <c r="F488" t="s">
        <v>136</v>
      </c>
      <c r="G488" t="s">
        <v>19262</v>
      </c>
      <c r="H488">
        <v>17.93</v>
      </c>
      <c r="I488">
        <v>0</v>
      </c>
      <c r="J488">
        <v>0</v>
      </c>
      <c r="K488">
        <v>0</v>
      </c>
      <c r="O488">
        <v>0</v>
      </c>
      <c r="P488">
        <v>4</v>
      </c>
      <c r="Q488">
        <v>0</v>
      </c>
      <c r="R488">
        <v>21.93</v>
      </c>
      <c r="S488">
        <v>46</v>
      </c>
      <c r="T488">
        <v>46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46</v>
      </c>
      <c r="AB488">
        <v>0</v>
      </c>
      <c r="AC488">
        <v>0</v>
      </c>
      <c r="AF488" t="s">
        <v>130</v>
      </c>
      <c r="AH488">
        <v>67.930000000000007</v>
      </c>
    </row>
    <row r="489" spans="1:34" x14ac:dyDescent="0.3">
      <c r="A489" s="4">
        <v>587</v>
      </c>
      <c r="B489" s="5">
        <v>482</v>
      </c>
      <c r="C489">
        <v>2022</v>
      </c>
      <c r="D489" t="s">
        <v>2645</v>
      </c>
      <c r="E489" t="s">
        <v>29</v>
      </c>
      <c r="F489" t="s">
        <v>136</v>
      </c>
      <c r="G489" t="s">
        <v>19263</v>
      </c>
      <c r="H489">
        <v>18.899999999999999</v>
      </c>
      <c r="I489">
        <v>0</v>
      </c>
      <c r="J489">
        <v>0</v>
      </c>
      <c r="K489">
        <v>0</v>
      </c>
      <c r="L489">
        <v>7</v>
      </c>
      <c r="O489">
        <v>7</v>
      </c>
      <c r="P489">
        <v>4</v>
      </c>
      <c r="Q489">
        <v>2</v>
      </c>
      <c r="R489">
        <v>31.9</v>
      </c>
      <c r="S489">
        <v>36</v>
      </c>
      <c r="T489">
        <v>36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36</v>
      </c>
      <c r="AB489">
        <v>0</v>
      </c>
      <c r="AC489">
        <v>0</v>
      </c>
      <c r="AF489" t="s">
        <v>130</v>
      </c>
      <c r="AH489">
        <v>67.900000000000006</v>
      </c>
    </row>
    <row r="490" spans="1:34" x14ac:dyDescent="0.3">
      <c r="A490" s="4">
        <v>588</v>
      </c>
      <c r="B490" s="5">
        <v>483</v>
      </c>
      <c r="C490">
        <v>1399</v>
      </c>
      <c r="D490" t="s">
        <v>1703</v>
      </c>
      <c r="E490" t="s">
        <v>19264</v>
      </c>
      <c r="F490" t="s">
        <v>52</v>
      </c>
      <c r="G490" t="s">
        <v>19265</v>
      </c>
      <c r="H490">
        <v>18.850000000000001</v>
      </c>
      <c r="I490">
        <v>0</v>
      </c>
      <c r="J490">
        <v>0</v>
      </c>
      <c r="K490">
        <v>20</v>
      </c>
      <c r="N490">
        <v>3</v>
      </c>
      <c r="O490">
        <v>3</v>
      </c>
      <c r="P490">
        <v>4</v>
      </c>
      <c r="Q490">
        <v>2</v>
      </c>
      <c r="R490">
        <v>47.85</v>
      </c>
      <c r="S490">
        <v>14</v>
      </c>
      <c r="T490">
        <v>14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14</v>
      </c>
      <c r="AB490">
        <v>6</v>
      </c>
      <c r="AC490">
        <v>0</v>
      </c>
      <c r="AF490" t="s">
        <v>130</v>
      </c>
      <c r="AH490">
        <v>67.849999999999994</v>
      </c>
    </row>
    <row r="491" spans="1:34" x14ac:dyDescent="0.3">
      <c r="A491" s="4">
        <v>589</v>
      </c>
      <c r="B491" s="5">
        <v>484</v>
      </c>
      <c r="C491">
        <v>8221</v>
      </c>
      <c r="D491" t="s">
        <v>19266</v>
      </c>
      <c r="E491" t="s">
        <v>789</v>
      </c>
      <c r="F491" t="s">
        <v>68</v>
      </c>
      <c r="G491" t="s">
        <v>19267</v>
      </c>
      <c r="H491">
        <v>17.829999999999998</v>
      </c>
      <c r="I491">
        <v>0</v>
      </c>
      <c r="J491">
        <v>0</v>
      </c>
      <c r="K491">
        <v>20</v>
      </c>
      <c r="L491">
        <v>7</v>
      </c>
      <c r="O491">
        <v>7</v>
      </c>
      <c r="P491">
        <v>4</v>
      </c>
      <c r="Q491">
        <v>2</v>
      </c>
      <c r="R491">
        <v>50.83</v>
      </c>
      <c r="S491">
        <v>17</v>
      </c>
      <c r="T491">
        <v>17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17</v>
      </c>
      <c r="AB491">
        <v>0</v>
      </c>
      <c r="AC491">
        <v>0</v>
      </c>
      <c r="AF491" t="s">
        <v>130</v>
      </c>
      <c r="AH491">
        <v>67.83</v>
      </c>
    </row>
    <row r="492" spans="1:34" x14ac:dyDescent="0.3">
      <c r="A492" s="4">
        <v>590</v>
      </c>
      <c r="B492" s="5">
        <v>485</v>
      </c>
      <c r="C492">
        <v>10166</v>
      </c>
      <c r="D492" t="s">
        <v>19268</v>
      </c>
      <c r="E492" t="s">
        <v>17</v>
      </c>
      <c r="F492" t="s">
        <v>136</v>
      </c>
      <c r="G492" t="s">
        <v>19269</v>
      </c>
      <c r="H492">
        <v>17.829999999999998</v>
      </c>
      <c r="I492">
        <v>0</v>
      </c>
      <c r="J492">
        <v>0</v>
      </c>
      <c r="K492">
        <v>0</v>
      </c>
      <c r="N492">
        <v>3</v>
      </c>
      <c r="O492">
        <v>3</v>
      </c>
      <c r="P492">
        <v>4</v>
      </c>
      <c r="Q492">
        <v>0</v>
      </c>
      <c r="R492">
        <v>24.83</v>
      </c>
      <c r="S492">
        <v>43</v>
      </c>
      <c r="T492">
        <v>43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43</v>
      </c>
      <c r="AB492">
        <v>0</v>
      </c>
      <c r="AC492">
        <v>0</v>
      </c>
      <c r="AF492" t="s">
        <v>130</v>
      </c>
      <c r="AH492">
        <v>67.83</v>
      </c>
    </row>
    <row r="493" spans="1:34" x14ac:dyDescent="0.3">
      <c r="A493" s="4">
        <v>591</v>
      </c>
      <c r="B493" s="5">
        <v>486</v>
      </c>
      <c r="C493">
        <v>6415</v>
      </c>
      <c r="D493" t="s">
        <v>2115</v>
      </c>
      <c r="E493" t="s">
        <v>255</v>
      </c>
      <c r="F493" t="s">
        <v>81</v>
      </c>
      <c r="G493" t="s">
        <v>19270</v>
      </c>
      <c r="H493">
        <v>18.78</v>
      </c>
      <c r="I493">
        <v>0</v>
      </c>
      <c r="J493">
        <v>0</v>
      </c>
      <c r="K493">
        <v>0</v>
      </c>
      <c r="N493">
        <v>3</v>
      </c>
      <c r="O493">
        <v>3</v>
      </c>
      <c r="P493">
        <v>4</v>
      </c>
      <c r="Q493">
        <v>2</v>
      </c>
      <c r="R493">
        <v>27.78</v>
      </c>
      <c r="S493">
        <v>40</v>
      </c>
      <c r="T493">
        <v>40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40</v>
      </c>
      <c r="AB493">
        <v>0</v>
      </c>
      <c r="AC493">
        <v>0</v>
      </c>
      <c r="AE493" t="s">
        <v>130</v>
      </c>
      <c r="AF493" t="s">
        <v>130</v>
      </c>
      <c r="AH493">
        <v>67.78</v>
      </c>
    </row>
    <row r="494" spans="1:34" x14ac:dyDescent="0.3">
      <c r="A494" s="4">
        <v>592</v>
      </c>
      <c r="B494" s="5">
        <v>487</v>
      </c>
      <c r="C494">
        <v>384</v>
      </c>
      <c r="D494" t="s">
        <v>11466</v>
      </c>
      <c r="E494" t="s">
        <v>219</v>
      </c>
      <c r="F494" t="s">
        <v>375</v>
      </c>
      <c r="G494" t="s">
        <v>19271</v>
      </c>
      <c r="H494">
        <v>21.75</v>
      </c>
      <c r="I494">
        <v>7</v>
      </c>
      <c r="J494">
        <v>0</v>
      </c>
      <c r="K494">
        <v>28</v>
      </c>
      <c r="M494">
        <v>5</v>
      </c>
      <c r="O494">
        <v>5</v>
      </c>
      <c r="P494">
        <v>4</v>
      </c>
      <c r="Q494">
        <v>2</v>
      </c>
      <c r="R494">
        <v>67.75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F494" t="s">
        <v>130</v>
      </c>
      <c r="AH494">
        <v>67.75</v>
      </c>
    </row>
    <row r="495" spans="1:34" x14ac:dyDescent="0.3">
      <c r="A495" s="4">
        <v>593</v>
      </c>
      <c r="B495" s="5">
        <v>488</v>
      </c>
      <c r="C495">
        <v>4317</v>
      </c>
      <c r="D495" t="s">
        <v>19272</v>
      </c>
      <c r="E495" t="s">
        <v>29</v>
      </c>
      <c r="F495" t="s">
        <v>339</v>
      </c>
      <c r="G495" t="s">
        <v>19273</v>
      </c>
      <c r="H495">
        <v>18.73</v>
      </c>
      <c r="I495">
        <v>0</v>
      </c>
      <c r="J495">
        <v>0</v>
      </c>
      <c r="K495">
        <v>0</v>
      </c>
      <c r="L495">
        <v>7</v>
      </c>
      <c r="O495">
        <v>7</v>
      </c>
      <c r="P495">
        <v>4</v>
      </c>
      <c r="Q495">
        <v>2</v>
      </c>
      <c r="R495">
        <v>31.73</v>
      </c>
      <c r="S495">
        <v>36</v>
      </c>
      <c r="T495">
        <v>36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36</v>
      </c>
      <c r="AB495">
        <v>0</v>
      </c>
      <c r="AC495">
        <v>0</v>
      </c>
      <c r="AF495" t="s">
        <v>130</v>
      </c>
      <c r="AH495">
        <v>67.73</v>
      </c>
    </row>
    <row r="496" spans="1:34" x14ac:dyDescent="0.3">
      <c r="A496" s="4">
        <v>594</v>
      </c>
      <c r="B496" s="5">
        <v>489</v>
      </c>
      <c r="C496">
        <v>1856</v>
      </c>
      <c r="D496" t="s">
        <v>1436</v>
      </c>
      <c r="E496" t="s">
        <v>11717</v>
      </c>
      <c r="F496" t="s">
        <v>20</v>
      </c>
      <c r="G496" t="s">
        <v>19274</v>
      </c>
      <c r="H496">
        <v>17.649999999999999</v>
      </c>
      <c r="I496">
        <v>0</v>
      </c>
      <c r="J496">
        <v>0</v>
      </c>
      <c r="K496">
        <v>20</v>
      </c>
      <c r="N496">
        <v>3</v>
      </c>
      <c r="O496">
        <v>3</v>
      </c>
      <c r="P496">
        <v>4</v>
      </c>
      <c r="Q496">
        <v>2</v>
      </c>
      <c r="R496">
        <v>46.65</v>
      </c>
      <c r="S496">
        <v>18</v>
      </c>
      <c r="T496">
        <v>18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18</v>
      </c>
      <c r="AB496">
        <v>3</v>
      </c>
      <c r="AC496">
        <v>0</v>
      </c>
      <c r="AD496" t="s">
        <v>130</v>
      </c>
      <c r="AF496" t="s">
        <v>130</v>
      </c>
      <c r="AH496">
        <v>67.650000000000006</v>
      </c>
    </row>
    <row r="497" spans="1:34" x14ac:dyDescent="0.3">
      <c r="A497" s="4">
        <v>595</v>
      </c>
      <c r="B497" s="5">
        <v>490</v>
      </c>
      <c r="C497">
        <v>6820</v>
      </c>
      <c r="D497" t="s">
        <v>9946</v>
      </c>
      <c r="E497" t="s">
        <v>992</v>
      </c>
      <c r="F497" t="s">
        <v>17</v>
      </c>
      <c r="G497" t="s">
        <v>19275</v>
      </c>
      <c r="H497">
        <v>18.579999999999998</v>
      </c>
      <c r="I497">
        <v>0</v>
      </c>
      <c r="J497">
        <v>0</v>
      </c>
      <c r="K497">
        <v>0</v>
      </c>
      <c r="N497">
        <v>3</v>
      </c>
      <c r="O497">
        <v>3</v>
      </c>
      <c r="P497">
        <v>4</v>
      </c>
      <c r="Q497">
        <v>2</v>
      </c>
      <c r="R497">
        <v>27.58</v>
      </c>
      <c r="S497">
        <v>34</v>
      </c>
      <c r="T497">
        <v>34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34</v>
      </c>
      <c r="AB497">
        <v>6</v>
      </c>
      <c r="AC497">
        <v>0</v>
      </c>
      <c r="AF497" t="s">
        <v>130</v>
      </c>
      <c r="AH497">
        <v>67.58</v>
      </c>
    </row>
    <row r="498" spans="1:34" x14ac:dyDescent="0.3">
      <c r="A498" s="4">
        <v>596</v>
      </c>
      <c r="B498" s="5">
        <v>491</v>
      </c>
      <c r="C498">
        <v>12912</v>
      </c>
      <c r="D498" t="s">
        <v>4893</v>
      </c>
      <c r="E498" t="s">
        <v>6507</v>
      </c>
      <c r="F498" t="s">
        <v>81</v>
      </c>
      <c r="G498" t="s">
        <v>19276</v>
      </c>
      <c r="H498">
        <v>18.579999999999998</v>
      </c>
      <c r="I498">
        <v>0</v>
      </c>
      <c r="J498">
        <v>0</v>
      </c>
      <c r="K498">
        <v>20</v>
      </c>
      <c r="L498">
        <v>7</v>
      </c>
      <c r="O498">
        <v>7</v>
      </c>
      <c r="P498">
        <v>4</v>
      </c>
      <c r="Q498">
        <v>0</v>
      </c>
      <c r="R498">
        <v>49.58</v>
      </c>
      <c r="S498">
        <v>18</v>
      </c>
      <c r="T498">
        <v>18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18</v>
      </c>
      <c r="AB498">
        <v>0</v>
      </c>
      <c r="AC498">
        <v>0</v>
      </c>
      <c r="AF498" t="s">
        <v>130</v>
      </c>
      <c r="AH498">
        <v>67.58</v>
      </c>
    </row>
    <row r="499" spans="1:34" x14ac:dyDescent="0.3">
      <c r="A499" s="4">
        <v>597</v>
      </c>
      <c r="B499" s="5">
        <v>492</v>
      </c>
      <c r="C499">
        <v>3888</v>
      </c>
      <c r="D499" t="s">
        <v>1299</v>
      </c>
      <c r="E499" t="s">
        <v>7917</v>
      </c>
      <c r="F499" t="s">
        <v>17</v>
      </c>
      <c r="G499" t="s">
        <v>19277</v>
      </c>
      <c r="H499">
        <v>19.579999999999998</v>
      </c>
      <c r="I499">
        <v>0</v>
      </c>
      <c r="J499">
        <v>0</v>
      </c>
      <c r="K499">
        <v>0</v>
      </c>
      <c r="L499">
        <v>7</v>
      </c>
      <c r="O499">
        <v>7</v>
      </c>
      <c r="P499">
        <v>4</v>
      </c>
      <c r="Q499">
        <v>2</v>
      </c>
      <c r="R499">
        <v>32.58</v>
      </c>
      <c r="S499">
        <v>35</v>
      </c>
      <c r="T499">
        <v>35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35</v>
      </c>
      <c r="AB499">
        <v>0</v>
      </c>
      <c r="AC499">
        <v>0</v>
      </c>
      <c r="AD499" t="s">
        <v>130</v>
      </c>
      <c r="AF499" t="s">
        <v>130</v>
      </c>
      <c r="AH499">
        <v>67.58</v>
      </c>
    </row>
    <row r="500" spans="1:34" x14ac:dyDescent="0.3">
      <c r="A500" s="4">
        <v>598</v>
      </c>
      <c r="B500" s="5">
        <v>493</v>
      </c>
      <c r="C500">
        <v>8738</v>
      </c>
      <c r="D500" t="s">
        <v>19278</v>
      </c>
      <c r="E500" t="s">
        <v>550</v>
      </c>
      <c r="F500" t="s">
        <v>117</v>
      </c>
      <c r="G500" t="s">
        <v>19279</v>
      </c>
      <c r="H500">
        <v>19.399999999999999</v>
      </c>
      <c r="I500">
        <v>0</v>
      </c>
      <c r="J500">
        <v>0</v>
      </c>
      <c r="K500">
        <v>0</v>
      </c>
      <c r="L500">
        <v>7</v>
      </c>
      <c r="O500">
        <v>7</v>
      </c>
      <c r="P500">
        <v>4</v>
      </c>
      <c r="Q500">
        <v>2</v>
      </c>
      <c r="R500">
        <v>32.4</v>
      </c>
      <c r="S500">
        <v>35</v>
      </c>
      <c r="T500">
        <v>35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35</v>
      </c>
      <c r="AB500">
        <v>0</v>
      </c>
      <c r="AC500">
        <v>0</v>
      </c>
      <c r="AD500" t="s">
        <v>130</v>
      </c>
      <c r="AF500" t="s">
        <v>130</v>
      </c>
      <c r="AH500">
        <v>67.400000000000006</v>
      </c>
    </row>
    <row r="501" spans="1:34" x14ac:dyDescent="0.3">
      <c r="A501" s="4">
        <v>599</v>
      </c>
      <c r="B501" s="5">
        <v>494</v>
      </c>
      <c r="C501">
        <v>2318</v>
      </c>
      <c r="D501" t="s">
        <v>7529</v>
      </c>
      <c r="E501" t="s">
        <v>41</v>
      </c>
      <c r="F501" t="s">
        <v>68</v>
      </c>
      <c r="G501" t="s">
        <v>19280</v>
      </c>
      <c r="H501">
        <v>18.350000000000001</v>
      </c>
      <c r="I501">
        <v>0</v>
      </c>
      <c r="J501">
        <v>0</v>
      </c>
      <c r="K501">
        <v>0</v>
      </c>
      <c r="L501">
        <v>7</v>
      </c>
      <c r="O501">
        <v>7</v>
      </c>
      <c r="P501">
        <v>4</v>
      </c>
      <c r="Q501">
        <v>2</v>
      </c>
      <c r="R501">
        <v>31.35</v>
      </c>
      <c r="S501">
        <v>30</v>
      </c>
      <c r="T501">
        <v>30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30</v>
      </c>
      <c r="AB501">
        <v>6</v>
      </c>
      <c r="AC501">
        <v>0</v>
      </c>
      <c r="AF501" t="s">
        <v>130</v>
      </c>
      <c r="AH501">
        <v>67.349999999999994</v>
      </c>
    </row>
    <row r="502" spans="1:34" x14ac:dyDescent="0.3">
      <c r="A502" s="4">
        <v>600</v>
      </c>
      <c r="B502" s="5">
        <v>495</v>
      </c>
      <c r="C502">
        <v>131</v>
      </c>
      <c r="D502" t="s">
        <v>9514</v>
      </c>
      <c r="E502" t="s">
        <v>178</v>
      </c>
      <c r="F502" t="s">
        <v>30</v>
      </c>
      <c r="G502" t="s">
        <v>19281</v>
      </c>
      <c r="H502">
        <v>18.350000000000001</v>
      </c>
      <c r="I502">
        <v>0</v>
      </c>
      <c r="J502">
        <v>0</v>
      </c>
      <c r="K502">
        <v>0</v>
      </c>
      <c r="N502">
        <v>3</v>
      </c>
      <c r="O502">
        <v>3</v>
      </c>
      <c r="P502">
        <v>4</v>
      </c>
      <c r="Q502">
        <v>2</v>
      </c>
      <c r="R502">
        <v>27.35</v>
      </c>
      <c r="S502">
        <v>37</v>
      </c>
      <c r="T502">
        <v>37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37</v>
      </c>
      <c r="AB502">
        <v>3</v>
      </c>
      <c r="AC502">
        <v>0</v>
      </c>
      <c r="AF502" t="s">
        <v>130</v>
      </c>
      <c r="AH502">
        <v>67.349999999999994</v>
      </c>
    </row>
    <row r="503" spans="1:34" x14ac:dyDescent="0.3">
      <c r="A503" s="4">
        <v>601</v>
      </c>
      <c r="B503" s="5">
        <v>496</v>
      </c>
      <c r="C503">
        <v>160</v>
      </c>
      <c r="D503" t="s">
        <v>19282</v>
      </c>
      <c r="E503" t="s">
        <v>54</v>
      </c>
      <c r="F503" t="s">
        <v>214</v>
      </c>
      <c r="G503" t="s">
        <v>19283</v>
      </c>
      <c r="H503">
        <v>20.28</v>
      </c>
      <c r="I503">
        <v>0</v>
      </c>
      <c r="J503">
        <v>0</v>
      </c>
      <c r="K503">
        <v>0</v>
      </c>
      <c r="O503">
        <v>0</v>
      </c>
      <c r="P503">
        <v>4</v>
      </c>
      <c r="Q503">
        <v>2</v>
      </c>
      <c r="R503">
        <v>26.28</v>
      </c>
      <c r="S503">
        <v>35</v>
      </c>
      <c r="T503">
        <v>35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35</v>
      </c>
      <c r="AB503">
        <v>6</v>
      </c>
      <c r="AC503">
        <v>0</v>
      </c>
      <c r="AF503" t="s">
        <v>130</v>
      </c>
      <c r="AH503">
        <v>67.28</v>
      </c>
    </row>
    <row r="504" spans="1:34" x14ac:dyDescent="0.3">
      <c r="A504" s="4">
        <v>602</v>
      </c>
      <c r="B504" s="5">
        <v>497</v>
      </c>
      <c r="C504">
        <v>8033</v>
      </c>
      <c r="D504" t="s">
        <v>19284</v>
      </c>
      <c r="E504" t="s">
        <v>149</v>
      </c>
      <c r="F504" t="s">
        <v>81</v>
      </c>
      <c r="G504" t="s">
        <v>19285</v>
      </c>
      <c r="H504">
        <v>19.25</v>
      </c>
      <c r="I504">
        <v>0</v>
      </c>
      <c r="J504">
        <v>0</v>
      </c>
      <c r="K504">
        <v>0</v>
      </c>
      <c r="N504">
        <v>3</v>
      </c>
      <c r="O504">
        <v>3</v>
      </c>
      <c r="P504">
        <v>4</v>
      </c>
      <c r="Q504">
        <v>2</v>
      </c>
      <c r="R504">
        <v>28.25</v>
      </c>
      <c r="S504">
        <v>36</v>
      </c>
      <c r="T504">
        <v>36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36</v>
      </c>
      <c r="AB504">
        <v>3</v>
      </c>
      <c r="AC504">
        <v>0</v>
      </c>
      <c r="AD504" t="s">
        <v>130</v>
      </c>
      <c r="AF504" t="s">
        <v>130</v>
      </c>
      <c r="AH504">
        <v>67.25</v>
      </c>
    </row>
    <row r="505" spans="1:34" x14ac:dyDescent="0.3">
      <c r="A505" s="4">
        <v>603</v>
      </c>
      <c r="B505" s="5">
        <v>498</v>
      </c>
      <c r="C505">
        <v>3135</v>
      </c>
      <c r="D505" t="s">
        <v>122</v>
      </c>
      <c r="E505" t="s">
        <v>935</v>
      </c>
      <c r="F505" t="s">
        <v>1526</v>
      </c>
      <c r="G505" t="s">
        <v>19286</v>
      </c>
      <c r="H505">
        <v>20.18</v>
      </c>
      <c r="I505">
        <v>0</v>
      </c>
      <c r="J505">
        <v>0</v>
      </c>
      <c r="K505">
        <v>28</v>
      </c>
      <c r="L505">
        <v>7</v>
      </c>
      <c r="O505">
        <v>7</v>
      </c>
      <c r="P505">
        <v>4</v>
      </c>
      <c r="Q505">
        <v>2</v>
      </c>
      <c r="R505">
        <v>61.18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6</v>
      </c>
      <c r="AC505">
        <v>0</v>
      </c>
      <c r="AF505" t="s">
        <v>130</v>
      </c>
      <c r="AH505">
        <v>67.180000000000007</v>
      </c>
    </row>
    <row r="506" spans="1:34" x14ac:dyDescent="0.3">
      <c r="A506" s="4">
        <v>604</v>
      </c>
      <c r="B506" s="5">
        <v>499</v>
      </c>
      <c r="C506">
        <v>2005</v>
      </c>
      <c r="D506" t="s">
        <v>19287</v>
      </c>
      <c r="E506" t="s">
        <v>161</v>
      </c>
      <c r="F506" t="s">
        <v>68</v>
      </c>
      <c r="G506" t="s">
        <v>19288</v>
      </c>
      <c r="H506">
        <v>21.15</v>
      </c>
      <c r="I506">
        <v>0</v>
      </c>
      <c r="J506">
        <v>0</v>
      </c>
      <c r="K506">
        <v>28</v>
      </c>
      <c r="M506">
        <v>5</v>
      </c>
      <c r="N506">
        <v>3</v>
      </c>
      <c r="O506">
        <v>8</v>
      </c>
      <c r="P506">
        <v>4</v>
      </c>
      <c r="Q506">
        <v>0</v>
      </c>
      <c r="R506">
        <v>61.15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6</v>
      </c>
      <c r="AC506">
        <v>0</v>
      </c>
      <c r="AF506" t="s">
        <v>130</v>
      </c>
      <c r="AH506">
        <v>67.150000000000006</v>
      </c>
    </row>
    <row r="507" spans="1:34" x14ac:dyDescent="0.3">
      <c r="A507" s="4">
        <v>605</v>
      </c>
      <c r="B507" s="5">
        <v>500</v>
      </c>
      <c r="C507">
        <v>630</v>
      </c>
      <c r="D507" t="s">
        <v>19289</v>
      </c>
      <c r="E507" t="s">
        <v>19290</v>
      </c>
      <c r="F507" t="s">
        <v>62</v>
      </c>
      <c r="G507" t="s">
        <v>19291</v>
      </c>
      <c r="H507">
        <v>18.149999999999999</v>
      </c>
      <c r="I507">
        <v>0</v>
      </c>
      <c r="J507">
        <v>0</v>
      </c>
      <c r="K507">
        <v>0</v>
      </c>
      <c r="N507">
        <v>3</v>
      </c>
      <c r="O507">
        <v>3</v>
      </c>
      <c r="P507">
        <v>4</v>
      </c>
      <c r="Q507">
        <v>2</v>
      </c>
      <c r="R507">
        <v>27.15</v>
      </c>
      <c r="S507">
        <v>34</v>
      </c>
      <c r="T507">
        <v>34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34</v>
      </c>
      <c r="AB507">
        <v>6</v>
      </c>
      <c r="AC507">
        <v>0</v>
      </c>
      <c r="AF507" t="s">
        <v>130</v>
      </c>
      <c r="AH507">
        <v>67.150000000000006</v>
      </c>
    </row>
    <row r="508" spans="1:34" x14ac:dyDescent="0.3">
      <c r="A508" s="4">
        <v>606</v>
      </c>
      <c r="B508" s="5">
        <v>501</v>
      </c>
      <c r="C508">
        <v>7443</v>
      </c>
      <c r="D508" t="s">
        <v>682</v>
      </c>
      <c r="E508" t="s">
        <v>258</v>
      </c>
      <c r="F508" t="s">
        <v>34</v>
      </c>
      <c r="G508" t="s">
        <v>19292</v>
      </c>
      <c r="H508">
        <v>20.100000000000001</v>
      </c>
      <c r="I508">
        <v>0</v>
      </c>
      <c r="J508">
        <v>0</v>
      </c>
      <c r="K508">
        <v>20</v>
      </c>
      <c r="O508">
        <v>0</v>
      </c>
      <c r="P508">
        <v>4</v>
      </c>
      <c r="Q508">
        <v>2</v>
      </c>
      <c r="R508">
        <v>46.1</v>
      </c>
      <c r="S508">
        <v>18</v>
      </c>
      <c r="T508">
        <v>18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18</v>
      </c>
      <c r="AB508">
        <v>3</v>
      </c>
      <c r="AC508">
        <v>0</v>
      </c>
      <c r="AD508" t="s">
        <v>130</v>
      </c>
      <c r="AF508" t="s">
        <v>130</v>
      </c>
      <c r="AH508">
        <v>67.099999999999994</v>
      </c>
    </row>
    <row r="509" spans="1:34" x14ac:dyDescent="0.3">
      <c r="A509" s="4">
        <v>607</v>
      </c>
      <c r="B509" s="5">
        <v>502</v>
      </c>
      <c r="C509">
        <v>611</v>
      </c>
      <c r="D509" t="s">
        <v>19293</v>
      </c>
      <c r="E509" t="s">
        <v>792</v>
      </c>
      <c r="F509" t="s">
        <v>488</v>
      </c>
      <c r="G509" t="s">
        <v>19294</v>
      </c>
      <c r="H509">
        <v>20.03</v>
      </c>
      <c r="I509">
        <v>0</v>
      </c>
      <c r="J509">
        <v>0</v>
      </c>
      <c r="K509">
        <v>20</v>
      </c>
      <c r="L509">
        <v>7</v>
      </c>
      <c r="O509">
        <v>7</v>
      </c>
      <c r="P509">
        <v>4</v>
      </c>
      <c r="Q509">
        <v>2</v>
      </c>
      <c r="R509">
        <v>53.03</v>
      </c>
      <c r="S509">
        <v>14</v>
      </c>
      <c r="T509">
        <v>14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14</v>
      </c>
      <c r="AB509">
        <v>0</v>
      </c>
      <c r="AC509">
        <v>0</v>
      </c>
      <c r="AD509" t="s">
        <v>130</v>
      </c>
      <c r="AF509" t="s">
        <v>130</v>
      </c>
      <c r="AH509">
        <v>67.03</v>
      </c>
    </row>
    <row r="510" spans="1:34" x14ac:dyDescent="0.3">
      <c r="A510" s="4">
        <v>608</v>
      </c>
      <c r="B510" s="5">
        <v>503</v>
      </c>
      <c r="C510">
        <v>232</v>
      </c>
      <c r="D510" t="s">
        <v>19295</v>
      </c>
      <c r="E510" t="s">
        <v>161</v>
      </c>
      <c r="F510" t="s">
        <v>17</v>
      </c>
      <c r="G510" t="s">
        <v>19296</v>
      </c>
      <c r="H510">
        <v>18.03</v>
      </c>
      <c r="I510">
        <v>0</v>
      </c>
      <c r="J510">
        <v>0</v>
      </c>
      <c r="K510">
        <v>20</v>
      </c>
      <c r="L510">
        <v>7</v>
      </c>
      <c r="O510">
        <v>7</v>
      </c>
      <c r="P510">
        <v>4</v>
      </c>
      <c r="Q510">
        <v>0</v>
      </c>
      <c r="R510">
        <v>49.03</v>
      </c>
      <c r="S510">
        <v>18</v>
      </c>
      <c r="T510">
        <v>18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18</v>
      </c>
      <c r="AB510">
        <v>0</v>
      </c>
      <c r="AC510">
        <v>0</v>
      </c>
      <c r="AF510" t="s">
        <v>130</v>
      </c>
      <c r="AH510">
        <v>67.03</v>
      </c>
    </row>
    <row r="511" spans="1:34" x14ac:dyDescent="0.3">
      <c r="A511" s="4">
        <v>609</v>
      </c>
      <c r="B511" s="5">
        <v>504</v>
      </c>
      <c r="C511">
        <v>1199</v>
      </c>
      <c r="D511" t="s">
        <v>19297</v>
      </c>
      <c r="E511" t="s">
        <v>219</v>
      </c>
      <c r="F511" t="s">
        <v>18928</v>
      </c>
      <c r="G511" t="s">
        <v>19298</v>
      </c>
      <c r="H511">
        <v>18.03</v>
      </c>
      <c r="I511">
        <v>0</v>
      </c>
      <c r="J511">
        <v>0</v>
      </c>
      <c r="K511">
        <v>20</v>
      </c>
      <c r="L511">
        <v>7</v>
      </c>
      <c r="O511">
        <v>7</v>
      </c>
      <c r="P511">
        <v>4</v>
      </c>
      <c r="Q511">
        <v>0</v>
      </c>
      <c r="R511">
        <v>49.03</v>
      </c>
      <c r="S511">
        <v>18</v>
      </c>
      <c r="T511">
        <v>18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18</v>
      </c>
      <c r="AB511">
        <v>0</v>
      </c>
      <c r="AC511">
        <v>0</v>
      </c>
      <c r="AF511" t="s">
        <v>130</v>
      </c>
      <c r="AH511">
        <v>67.03</v>
      </c>
    </row>
    <row r="512" spans="1:34" x14ac:dyDescent="0.3">
      <c r="A512" s="4">
        <v>610</v>
      </c>
      <c r="B512" s="5">
        <v>505</v>
      </c>
      <c r="C512">
        <v>2080</v>
      </c>
      <c r="D512" t="s">
        <v>19299</v>
      </c>
      <c r="E512" t="s">
        <v>29</v>
      </c>
      <c r="F512" t="s">
        <v>81</v>
      </c>
      <c r="G512" t="s">
        <v>19300</v>
      </c>
      <c r="H512">
        <v>16.95</v>
      </c>
      <c r="I512">
        <v>0</v>
      </c>
      <c r="J512">
        <v>0</v>
      </c>
      <c r="K512">
        <v>20</v>
      </c>
      <c r="N512">
        <v>3</v>
      </c>
      <c r="O512">
        <v>3</v>
      </c>
      <c r="P512">
        <v>4</v>
      </c>
      <c r="Q512">
        <v>2</v>
      </c>
      <c r="R512">
        <v>45.95</v>
      </c>
      <c r="S512">
        <v>18</v>
      </c>
      <c r="T512">
        <v>18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18</v>
      </c>
      <c r="AB512">
        <v>3</v>
      </c>
      <c r="AC512">
        <v>0</v>
      </c>
      <c r="AF512" t="s">
        <v>130</v>
      </c>
      <c r="AH512">
        <v>66.95</v>
      </c>
    </row>
    <row r="513" spans="1:34" x14ac:dyDescent="0.3">
      <c r="A513" s="4">
        <v>611</v>
      </c>
      <c r="B513" s="5">
        <v>506</v>
      </c>
      <c r="C513">
        <v>5679</v>
      </c>
      <c r="D513" t="s">
        <v>6683</v>
      </c>
      <c r="E513" t="s">
        <v>41</v>
      </c>
      <c r="F513" t="s">
        <v>81</v>
      </c>
      <c r="G513" t="s">
        <v>19301</v>
      </c>
      <c r="H513">
        <v>17.93</v>
      </c>
      <c r="I513">
        <v>0</v>
      </c>
      <c r="J513">
        <v>0</v>
      </c>
      <c r="K513">
        <v>0</v>
      </c>
      <c r="N513">
        <v>3</v>
      </c>
      <c r="O513">
        <v>3</v>
      </c>
      <c r="P513">
        <v>4</v>
      </c>
      <c r="Q513">
        <v>0</v>
      </c>
      <c r="R513">
        <v>24.93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6</v>
      </c>
      <c r="AC513">
        <v>36</v>
      </c>
      <c r="AF513" t="s">
        <v>130</v>
      </c>
      <c r="AH513">
        <v>66.930000000000007</v>
      </c>
    </row>
    <row r="514" spans="1:34" x14ac:dyDescent="0.3">
      <c r="A514" s="4">
        <v>612</v>
      </c>
      <c r="B514" s="5">
        <v>507</v>
      </c>
      <c r="C514">
        <v>3659</v>
      </c>
      <c r="D514" t="s">
        <v>19302</v>
      </c>
      <c r="E514" t="s">
        <v>124</v>
      </c>
      <c r="F514" t="s">
        <v>17</v>
      </c>
      <c r="G514" t="s">
        <v>19303</v>
      </c>
      <c r="H514">
        <v>20.93</v>
      </c>
      <c r="I514">
        <v>0</v>
      </c>
      <c r="J514">
        <v>0</v>
      </c>
      <c r="K514">
        <v>0</v>
      </c>
      <c r="M514">
        <v>5</v>
      </c>
      <c r="O514">
        <v>5</v>
      </c>
      <c r="P514">
        <v>4</v>
      </c>
      <c r="Q514">
        <v>2</v>
      </c>
      <c r="R514">
        <v>31.93</v>
      </c>
      <c r="S514">
        <v>35</v>
      </c>
      <c r="T514">
        <v>35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35</v>
      </c>
      <c r="AB514">
        <v>0</v>
      </c>
      <c r="AC514">
        <v>0</v>
      </c>
      <c r="AF514" t="s">
        <v>130</v>
      </c>
      <c r="AH514">
        <v>66.930000000000007</v>
      </c>
    </row>
    <row r="515" spans="1:34" x14ac:dyDescent="0.3">
      <c r="A515" s="4">
        <v>613</v>
      </c>
      <c r="B515" s="5">
        <v>508</v>
      </c>
      <c r="C515">
        <v>2656</v>
      </c>
      <c r="D515" t="s">
        <v>19304</v>
      </c>
      <c r="E515" t="s">
        <v>1242</v>
      </c>
      <c r="F515" t="s">
        <v>91</v>
      </c>
      <c r="G515" t="s">
        <v>19305</v>
      </c>
      <c r="H515">
        <v>17.850000000000001</v>
      </c>
      <c r="I515">
        <v>0</v>
      </c>
      <c r="J515">
        <v>0</v>
      </c>
      <c r="K515">
        <v>20</v>
      </c>
      <c r="L515">
        <v>7</v>
      </c>
      <c r="O515">
        <v>7</v>
      </c>
      <c r="P515">
        <v>4</v>
      </c>
      <c r="Q515">
        <v>2</v>
      </c>
      <c r="R515">
        <v>50.85</v>
      </c>
      <c r="S515">
        <v>16</v>
      </c>
      <c r="T515">
        <v>16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16</v>
      </c>
      <c r="AB515">
        <v>0</v>
      </c>
      <c r="AC515">
        <v>0</v>
      </c>
      <c r="AF515" t="s">
        <v>130</v>
      </c>
      <c r="AH515">
        <v>66.849999999999994</v>
      </c>
    </row>
    <row r="516" spans="1:34" x14ac:dyDescent="0.3">
      <c r="A516" s="4">
        <v>614</v>
      </c>
      <c r="B516" s="5">
        <v>509</v>
      </c>
      <c r="C516">
        <v>653</v>
      </c>
      <c r="D516" t="s">
        <v>161</v>
      </c>
      <c r="E516" t="s">
        <v>6107</v>
      </c>
      <c r="F516" t="s">
        <v>20</v>
      </c>
      <c r="G516" t="s">
        <v>19306</v>
      </c>
      <c r="H516">
        <v>17.8</v>
      </c>
      <c r="I516">
        <v>0</v>
      </c>
      <c r="J516">
        <v>0</v>
      </c>
      <c r="K516">
        <v>0</v>
      </c>
      <c r="L516">
        <v>7</v>
      </c>
      <c r="O516">
        <v>7</v>
      </c>
      <c r="P516">
        <v>4</v>
      </c>
      <c r="Q516">
        <v>2</v>
      </c>
      <c r="R516">
        <v>30.8</v>
      </c>
      <c r="S516">
        <v>36</v>
      </c>
      <c r="T516">
        <v>36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36</v>
      </c>
      <c r="AB516">
        <v>0</v>
      </c>
      <c r="AC516">
        <v>0</v>
      </c>
      <c r="AF516" t="s">
        <v>130</v>
      </c>
      <c r="AH516">
        <v>66.8</v>
      </c>
    </row>
    <row r="517" spans="1:34" x14ac:dyDescent="0.3">
      <c r="A517" s="4">
        <v>615</v>
      </c>
      <c r="B517" s="5">
        <v>510</v>
      </c>
      <c r="C517">
        <v>1888</v>
      </c>
      <c r="D517" t="s">
        <v>19307</v>
      </c>
      <c r="E517" t="s">
        <v>3680</v>
      </c>
      <c r="F517" t="s">
        <v>927</v>
      </c>
      <c r="G517" t="s">
        <v>19308</v>
      </c>
      <c r="H517">
        <v>19.75</v>
      </c>
      <c r="I517">
        <v>0</v>
      </c>
      <c r="J517">
        <v>0</v>
      </c>
      <c r="K517">
        <v>20</v>
      </c>
      <c r="L517">
        <v>7</v>
      </c>
      <c r="O517">
        <v>7</v>
      </c>
      <c r="P517">
        <v>4</v>
      </c>
      <c r="Q517">
        <v>2</v>
      </c>
      <c r="R517">
        <v>52.75</v>
      </c>
      <c r="S517">
        <v>5</v>
      </c>
      <c r="T517">
        <v>5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5</v>
      </c>
      <c r="AB517">
        <v>9</v>
      </c>
      <c r="AC517">
        <v>0</v>
      </c>
      <c r="AF517" t="s">
        <v>130</v>
      </c>
      <c r="AH517">
        <v>66.75</v>
      </c>
    </row>
    <row r="518" spans="1:34" x14ac:dyDescent="0.3">
      <c r="A518" s="4">
        <v>616</v>
      </c>
      <c r="B518" s="5">
        <v>511</v>
      </c>
      <c r="C518">
        <v>58</v>
      </c>
      <c r="D518" t="s">
        <v>19309</v>
      </c>
      <c r="E518" t="s">
        <v>243</v>
      </c>
      <c r="F518" t="s">
        <v>124</v>
      </c>
      <c r="G518" t="s">
        <v>19310</v>
      </c>
      <c r="H518">
        <v>19.68</v>
      </c>
      <c r="I518">
        <v>0</v>
      </c>
      <c r="J518">
        <v>0</v>
      </c>
      <c r="K518">
        <v>20</v>
      </c>
      <c r="N518">
        <v>3</v>
      </c>
      <c r="O518">
        <v>3</v>
      </c>
      <c r="P518">
        <v>4</v>
      </c>
      <c r="Q518">
        <v>2</v>
      </c>
      <c r="R518">
        <v>48.68</v>
      </c>
      <c r="S518">
        <v>18</v>
      </c>
      <c r="T518">
        <v>18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18</v>
      </c>
      <c r="AB518">
        <v>0</v>
      </c>
      <c r="AC518">
        <v>0</v>
      </c>
      <c r="AF518" t="s">
        <v>130</v>
      </c>
      <c r="AH518">
        <v>66.680000000000007</v>
      </c>
    </row>
    <row r="519" spans="1:34" x14ac:dyDescent="0.3">
      <c r="A519" s="4">
        <v>617</v>
      </c>
      <c r="B519" s="5">
        <v>512</v>
      </c>
      <c r="C519">
        <v>8655</v>
      </c>
      <c r="D519" t="s">
        <v>2666</v>
      </c>
      <c r="E519" t="s">
        <v>255</v>
      </c>
      <c r="F519" t="s">
        <v>20</v>
      </c>
      <c r="G519" t="s">
        <v>19311</v>
      </c>
      <c r="H519">
        <v>19.600000000000001</v>
      </c>
      <c r="I519">
        <v>0</v>
      </c>
      <c r="J519">
        <v>0</v>
      </c>
      <c r="K519">
        <v>0</v>
      </c>
      <c r="N519">
        <v>3</v>
      </c>
      <c r="O519">
        <v>3</v>
      </c>
      <c r="P519">
        <v>4</v>
      </c>
      <c r="Q519">
        <v>2</v>
      </c>
      <c r="R519">
        <v>28.6</v>
      </c>
      <c r="S519">
        <v>38</v>
      </c>
      <c r="T519">
        <v>38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38</v>
      </c>
      <c r="AB519">
        <v>0</v>
      </c>
      <c r="AC519">
        <v>0</v>
      </c>
      <c r="AF519" t="s">
        <v>130</v>
      </c>
      <c r="AH519">
        <v>66.599999999999994</v>
      </c>
    </row>
    <row r="520" spans="1:34" x14ac:dyDescent="0.3">
      <c r="A520" s="4">
        <v>618</v>
      </c>
      <c r="B520" s="5">
        <v>513</v>
      </c>
      <c r="C520">
        <v>52</v>
      </c>
      <c r="D520" t="s">
        <v>19312</v>
      </c>
      <c r="E520" t="s">
        <v>41</v>
      </c>
      <c r="F520" t="s">
        <v>81</v>
      </c>
      <c r="G520" t="s">
        <v>19313</v>
      </c>
      <c r="H520">
        <v>23.5</v>
      </c>
      <c r="I520">
        <v>7</v>
      </c>
      <c r="J520">
        <v>0</v>
      </c>
      <c r="K520">
        <v>20</v>
      </c>
      <c r="L520">
        <v>7</v>
      </c>
      <c r="N520">
        <v>3</v>
      </c>
      <c r="O520">
        <v>10</v>
      </c>
      <c r="P520">
        <v>4</v>
      </c>
      <c r="Q520">
        <v>2</v>
      </c>
      <c r="R520">
        <v>66.5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F520" t="s">
        <v>130</v>
      </c>
      <c r="AH520">
        <v>66.5</v>
      </c>
    </row>
    <row r="521" spans="1:34" x14ac:dyDescent="0.3">
      <c r="A521" s="4">
        <v>619</v>
      </c>
      <c r="B521" s="5">
        <v>514</v>
      </c>
      <c r="C521">
        <v>113</v>
      </c>
      <c r="D521" t="s">
        <v>19314</v>
      </c>
      <c r="E521" t="s">
        <v>19315</v>
      </c>
      <c r="F521" t="s">
        <v>158</v>
      </c>
      <c r="G521" t="s">
        <v>19316</v>
      </c>
      <c r="H521">
        <v>19.43</v>
      </c>
      <c r="I521">
        <v>0</v>
      </c>
      <c r="J521">
        <v>0</v>
      </c>
      <c r="K521">
        <v>20</v>
      </c>
      <c r="N521">
        <v>3</v>
      </c>
      <c r="O521">
        <v>3</v>
      </c>
      <c r="P521">
        <v>4</v>
      </c>
      <c r="Q521">
        <v>2</v>
      </c>
      <c r="R521">
        <v>48.43</v>
      </c>
      <c r="S521">
        <v>18</v>
      </c>
      <c r="T521">
        <v>18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18</v>
      </c>
      <c r="AB521">
        <v>0</v>
      </c>
      <c r="AC521">
        <v>0</v>
      </c>
      <c r="AF521" t="s">
        <v>130</v>
      </c>
      <c r="AH521">
        <v>66.430000000000007</v>
      </c>
    </row>
    <row r="522" spans="1:34" x14ac:dyDescent="0.3">
      <c r="A522" s="4">
        <v>620</v>
      </c>
      <c r="B522" s="5">
        <v>515</v>
      </c>
      <c r="C522">
        <v>4478</v>
      </c>
      <c r="D522" t="s">
        <v>19317</v>
      </c>
      <c r="E522" t="s">
        <v>136</v>
      </c>
      <c r="F522" t="s">
        <v>2598</v>
      </c>
      <c r="G522" t="s">
        <v>19318</v>
      </c>
      <c r="H522">
        <v>17.43</v>
      </c>
      <c r="I522">
        <v>0</v>
      </c>
      <c r="J522">
        <v>0</v>
      </c>
      <c r="K522">
        <v>0</v>
      </c>
      <c r="L522">
        <v>7</v>
      </c>
      <c r="O522">
        <v>7</v>
      </c>
      <c r="P522">
        <v>4</v>
      </c>
      <c r="Q522">
        <v>2</v>
      </c>
      <c r="R522">
        <v>30.43</v>
      </c>
      <c r="S522">
        <v>36</v>
      </c>
      <c r="T522">
        <v>36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36</v>
      </c>
      <c r="AB522">
        <v>0</v>
      </c>
      <c r="AC522">
        <v>0</v>
      </c>
      <c r="AD522" t="s">
        <v>130</v>
      </c>
      <c r="AF522" t="s">
        <v>130</v>
      </c>
      <c r="AH522">
        <v>66.430000000000007</v>
      </c>
    </row>
    <row r="523" spans="1:34" x14ac:dyDescent="0.3">
      <c r="A523" s="4">
        <v>621</v>
      </c>
      <c r="B523" s="5">
        <v>516</v>
      </c>
      <c r="C523">
        <v>12357</v>
      </c>
      <c r="D523" t="s">
        <v>19319</v>
      </c>
      <c r="E523" t="s">
        <v>19320</v>
      </c>
      <c r="F523" t="s">
        <v>105</v>
      </c>
      <c r="G523" t="s">
        <v>19321</v>
      </c>
      <c r="H523">
        <v>16.43</v>
      </c>
      <c r="I523">
        <v>0</v>
      </c>
      <c r="J523">
        <v>0</v>
      </c>
      <c r="K523">
        <v>0</v>
      </c>
      <c r="L523">
        <v>7</v>
      </c>
      <c r="O523">
        <v>7</v>
      </c>
      <c r="P523">
        <v>4</v>
      </c>
      <c r="Q523">
        <v>2</v>
      </c>
      <c r="R523">
        <v>29.43</v>
      </c>
      <c r="S523">
        <v>37</v>
      </c>
      <c r="T523">
        <v>37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37</v>
      </c>
      <c r="AB523">
        <v>0</v>
      </c>
      <c r="AC523">
        <v>0</v>
      </c>
      <c r="AF523" t="s">
        <v>130</v>
      </c>
      <c r="AH523">
        <v>66.430000000000007</v>
      </c>
    </row>
    <row r="524" spans="1:34" x14ac:dyDescent="0.3">
      <c r="A524" s="4">
        <v>622</v>
      </c>
      <c r="B524" s="5">
        <v>517</v>
      </c>
      <c r="C524">
        <v>3921</v>
      </c>
      <c r="D524" t="s">
        <v>19322</v>
      </c>
      <c r="E524" t="s">
        <v>400</v>
      </c>
      <c r="F524" t="s">
        <v>17</v>
      </c>
      <c r="G524" t="s">
        <v>19323</v>
      </c>
      <c r="H524">
        <v>20.399999999999999</v>
      </c>
      <c r="I524">
        <v>0</v>
      </c>
      <c r="J524">
        <v>0</v>
      </c>
      <c r="K524">
        <v>0</v>
      </c>
      <c r="M524">
        <v>5</v>
      </c>
      <c r="O524">
        <v>5</v>
      </c>
      <c r="P524">
        <v>4</v>
      </c>
      <c r="Q524">
        <v>2</v>
      </c>
      <c r="R524">
        <v>31.4</v>
      </c>
      <c r="S524">
        <v>35</v>
      </c>
      <c r="T524">
        <v>35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35</v>
      </c>
      <c r="AB524">
        <v>0</v>
      </c>
      <c r="AC524">
        <v>0</v>
      </c>
      <c r="AF524" t="s">
        <v>130</v>
      </c>
      <c r="AH524">
        <v>66.400000000000006</v>
      </c>
    </row>
    <row r="525" spans="1:34" x14ac:dyDescent="0.3">
      <c r="A525" s="4">
        <v>623</v>
      </c>
      <c r="B525" s="5">
        <v>518</v>
      </c>
      <c r="C525">
        <v>13044</v>
      </c>
      <c r="D525" t="s">
        <v>6615</v>
      </c>
      <c r="E525" t="s">
        <v>283</v>
      </c>
      <c r="F525" t="s">
        <v>230</v>
      </c>
      <c r="G525" t="s">
        <v>19324</v>
      </c>
      <c r="H525">
        <v>21.4</v>
      </c>
      <c r="I525">
        <v>0</v>
      </c>
      <c r="J525">
        <v>0</v>
      </c>
      <c r="K525">
        <v>0</v>
      </c>
      <c r="N525">
        <v>3</v>
      </c>
      <c r="O525">
        <v>3</v>
      </c>
      <c r="P525">
        <v>4</v>
      </c>
      <c r="Q525">
        <v>2</v>
      </c>
      <c r="R525">
        <v>30.4</v>
      </c>
      <c r="S525">
        <v>36</v>
      </c>
      <c r="T525">
        <v>36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36</v>
      </c>
      <c r="AB525">
        <v>0</v>
      </c>
      <c r="AC525">
        <v>0</v>
      </c>
      <c r="AF525" t="s">
        <v>130</v>
      </c>
      <c r="AH525">
        <v>66.400000000000006</v>
      </c>
    </row>
    <row r="526" spans="1:34" x14ac:dyDescent="0.3">
      <c r="A526" s="4">
        <v>624</v>
      </c>
      <c r="B526" s="5">
        <v>519</v>
      </c>
      <c r="C526">
        <v>870</v>
      </c>
      <c r="D526" t="s">
        <v>18562</v>
      </c>
      <c r="E526" t="s">
        <v>182</v>
      </c>
      <c r="F526" t="s">
        <v>626</v>
      </c>
      <c r="G526" t="s">
        <v>19325</v>
      </c>
      <c r="H526">
        <v>21.35</v>
      </c>
      <c r="I526">
        <v>0</v>
      </c>
      <c r="J526">
        <v>0</v>
      </c>
      <c r="K526">
        <v>20</v>
      </c>
      <c r="N526">
        <v>3</v>
      </c>
      <c r="O526">
        <v>3</v>
      </c>
      <c r="P526">
        <v>4</v>
      </c>
      <c r="Q526">
        <v>2</v>
      </c>
      <c r="R526">
        <v>50.35</v>
      </c>
      <c r="S526">
        <v>16</v>
      </c>
      <c r="T526">
        <v>16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16</v>
      </c>
      <c r="AB526">
        <v>0</v>
      </c>
      <c r="AC526">
        <v>0</v>
      </c>
      <c r="AF526" t="s">
        <v>130</v>
      </c>
      <c r="AH526">
        <v>66.349999999999994</v>
      </c>
    </row>
    <row r="527" spans="1:34" x14ac:dyDescent="0.3">
      <c r="A527" s="4">
        <v>625</v>
      </c>
      <c r="B527" s="5">
        <v>520</v>
      </c>
      <c r="C527">
        <v>12422</v>
      </c>
      <c r="D527" t="s">
        <v>7480</v>
      </c>
      <c r="E527" t="s">
        <v>54</v>
      </c>
      <c r="F527" t="s">
        <v>17</v>
      </c>
      <c r="G527" t="s">
        <v>19326</v>
      </c>
      <c r="H527">
        <v>17.329999999999998</v>
      </c>
      <c r="I527">
        <v>0</v>
      </c>
      <c r="J527">
        <v>0</v>
      </c>
      <c r="K527">
        <v>0</v>
      </c>
      <c r="O527">
        <v>0</v>
      </c>
      <c r="P527">
        <v>4</v>
      </c>
      <c r="Q527">
        <v>2</v>
      </c>
      <c r="R527">
        <v>23.33</v>
      </c>
      <c r="S527">
        <v>43</v>
      </c>
      <c r="T527">
        <v>43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43</v>
      </c>
      <c r="AB527">
        <v>0</v>
      </c>
      <c r="AC527">
        <v>0</v>
      </c>
      <c r="AF527" t="s">
        <v>130</v>
      </c>
      <c r="AH527">
        <v>66.33</v>
      </c>
    </row>
    <row r="528" spans="1:34" x14ac:dyDescent="0.3">
      <c r="A528" s="4">
        <v>626</v>
      </c>
      <c r="B528" s="5">
        <v>521</v>
      </c>
      <c r="C528">
        <v>4084</v>
      </c>
      <c r="D528" t="s">
        <v>19327</v>
      </c>
      <c r="E528" t="s">
        <v>697</v>
      </c>
      <c r="F528" t="s">
        <v>17</v>
      </c>
      <c r="G528" t="s">
        <v>19328</v>
      </c>
      <c r="H528">
        <v>17.3</v>
      </c>
      <c r="I528">
        <v>0</v>
      </c>
      <c r="J528">
        <v>0</v>
      </c>
      <c r="K528">
        <v>0</v>
      </c>
      <c r="N528">
        <v>3</v>
      </c>
      <c r="O528">
        <v>3</v>
      </c>
      <c r="P528">
        <v>4</v>
      </c>
      <c r="Q528">
        <v>2</v>
      </c>
      <c r="R528">
        <v>26.3</v>
      </c>
      <c r="S528">
        <v>34</v>
      </c>
      <c r="T528">
        <v>34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34</v>
      </c>
      <c r="AB528">
        <v>6</v>
      </c>
      <c r="AC528">
        <v>0</v>
      </c>
      <c r="AF528" t="s">
        <v>130</v>
      </c>
      <c r="AH528">
        <v>66.3</v>
      </c>
    </row>
    <row r="529" spans="1:34" x14ac:dyDescent="0.3">
      <c r="A529" s="4">
        <v>627</v>
      </c>
      <c r="B529" s="5">
        <v>522</v>
      </c>
      <c r="C529">
        <v>5552</v>
      </c>
      <c r="D529" t="s">
        <v>4908</v>
      </c>
      <c r="E529" t="s">
        <v>188</v>
      </c>
      <c r="F529" t="s">
        <v>30</v>
      </c>
      <c r="G529" t="s">
        <v>19329</v>
      </c>
      <c r="H529">
        <v>17.28</v>
      </c>
      <c r="I529">
        <v>0</v>
      </c>
      <c r="J529">
        <v>0</v>
      </c>
      <c r="K529">
        <v>0</v>
      </c>
      <c r="O529">
        <v>0</v>
      </c>
      <c r="P529">
        <v>4</v>
      </c>
      <c r="Q529">
        <v>2</v>
      </c>
      <c r="R529">
        <v>23.28</v>
      </c>
      <c r="S529">
        <v>43</v>
      </c>
      <c r="T529">
        <v>43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43</v>
      </c>
      <c r="AB529">
        <v>0</v>
      </c>
      <c r="AC529">
        <v>0</v>
      </c>
      <c r="AF529" t="s">
        <v>130</v>
      </c>
      <c r="AH529">
        <v>66.28</v>
      </c>
    </row>
    <row r="530" spans="1:34" x14ac:dyDescent="0.3">
      <c r="A530" s="4">
        <v>628</v>
      </c>
      <c r="B530" s="5">
        <v>523</v>
      </c>
      <c r="C530">
        <v>4117</v>
      </c>
      <c r="D530" t="s">
        <v>7593</v>
      </c>
      <c r="E530" t="s">
        <v>471</v>
      </c>
      <c r="F530" t="s">
        <v>4176</v>
      </c>
      <c r="G530" t="s">
        <v>19330</v>
      </c>
      <c r="H530">
        <v>18.25</v>
      </c>
      <c r="I530">
        <v>7</v>
      </c>
      <c r="J530">
        <v>0</v>
      </c>
      <c r="K530">
        <v>20</v>
      </c>
      <c r="N530">
        <v>3</v>
      </c>
      <c r="O530">
        <v>3</v>
      </c>
      <c r="P530">
        <v>4</v>
      </c>
      <c r="Q530">
        <v>0</v>
      </c>
      <c r="R530">
        <v>52.25</v>
      </c>
      <c r="S530">
        <v>8</v>
      </c>
      <c r="T530">
        <v>8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8</v>
      </c>
      <c r="AB530">
        <v>6</v>
      </c>
      <c r="AC530">
        <v>0</v>
      </c>
      <c r="AF530" t="s">
        <v>130</v>
      </c>
      <c r="AH530">
        <v>66.25</v>
      </c>
    </row>
    <row r="531" spans="1:34" x14ac:dyDescent="0.3">
      <c r="A531" s="4">
        <v>629</v>
      </c>
      <c r="B531" s="5">
        <v>524</v>
      </c>
      <c r="C531">
        <v>7100</v>
      </c>
      <c r="D531" t="s">
        <v>19331</v>
      </c>
      <c r="E531" t="s">
        <v>136</v>
      </c>
      <c r="F531" t="s">
        <v>243</v>
      </c>
      <c r="G531" t="s">
        <v>19332</v>
      </c>
      <c r="H531">
        <v>19.23</v>
      </c>
      <c r="I531">
        <v>0</v>
      </c>
      <c r="J531">
        <v>0</v>
      </c>
      <c r="K531">
        <v>20</v>
      </c>
      <c r="N531">
        <v>3</v>
      </c>
      <c r="O531">
        <v>3</v>
      </c>
      <c r="P531">
        <v>4</v>
      </c>
      <c r="Q531">
        <v>2</v>
      </c>
      <c r="R531">
        <v>48.23</v>
      </c>
      <c r="S531">
        <v>18</v>
      </c>
      <c r="T531">
        <v>18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18</v>
      </c>
      <c r="AB531">
        <v>0</v>
      </c>
      <c r="AC531">
        <v>0</v>
      </c>
      <c r="AF531" t="s">
        <v>130</v>
      </c>
      <c r="AH531">
        <v>66.23</v>
      </c>
    </row>
    <row r="532" spans="1:34" x14ac:dyDescent="0.3">
      <c r="A532" s="4">
        <v>631</v>
      </c>
      <c r="B532" s="5">
        <v>525</v>
      </c>
      <c r="C532">
        <v>5400</v>
      </c>
      <c r="D532" t="s">
        <v>19333</v>
      </c>
      <c r="E532" t="s">
        <v>17</v>
      </c>
      <c r="F532" t="s">
        <v>587</v>
      </c>
      <c r="G532" t="s">
        <v>19334</v>
      </c>
      <c r="H532">
        <v>18.079999999999998</v>
      </c>
      <c r="I532">
        <v>7</v>
      </c>
      <c r="J532">
        <v>0</v>
      </c>
      <c r="K532">
        <v>28</v>
      </c>
      <c r="L532">
        <v>7</v>
      </c>
      <c r="O532">
        <v>7</v>
      </c>
      <c r="P532">
        <v>4</v>
      </c>
      <c r="Q532">
        <v>2</v>
      </c>
      <c r="R532">
        <v>66.08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F532" t="s">
        <v>130</v>
      </c>
      <c r="AH532">
        <v>66.08</v>
      </c>
    </row>
    <row r="533" spans="1:34" x14ac:dyDescent="0.3">
      <c r="A533" s="4">
        <v>632</v>
      </c>
      <c r="B533" s="5">
        <v>526</v>
      </c>
      <c r="C533">
        <v>727</v>
      </c>
      <c r="D533" t="s">
        <v>264</v>
      </c>
      <c r="E533" t="s">
        <v>166</v>
      </c>
      <c r="F533" t="s">
        <v>17</v>
      </c>
      <c r="G533" t="s">
        <v>19335</v>
      </c>
      <c r="H533">
        <v>17.05</v>
      </c>
      <c r="I533">
        <v>0</v>
      </c>
      <c r="J533">
        <v>0</v>
      </c>
      <c r="K533">
        <v>0</v>
      </c>
      <c r="N533">
        <v>3</v>
      </c>
      <c r="O533">
        <v>3</v>
      </c>
      <c r="P533">
        <v>4</v>
      </c>
      <c r="Q533">
        <v>2</v>
      </c>
      <c r="R533">
        <v>26.05</v>
      </c>
      <c r="S533">
        <v>40</v>
      </c>
      <c r="T533">
        <v>40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40</v>
      </c>
      <c r="AB533">
        <v>0</v>
      </c>
      <c r="AC533">
        <v>0</v>
      </c>
      <c r="AF533" t="s">
        <v>130</v>
      </c>
      <c r="AH533">
        <v>66.05</v>
      </c>
    </row>
    <row r="534" spans="1:34" x14ac:dyDescent="0.3">
      <c r="A534" s="4">
        <v>633</v>
      </c>
      <c r="B534" s="5">
        <v>527</v>
      </c>
      <c r="C534">
        <v>7065</v>
      </c>
      <c r="D534" t="s">
        <v>19336</v>
      </c>
      <c r="E534" t="s">
        <v>454</v>
      </c>
      <c r="F534" t="s">
        <v>38</v>
      </c>
      <c r="G534" t="s">
        <v>19337</v>
      </c>
      <c r="H534">
        <v>19.03</v>
      </c>
      <c r="I534">
        <v>0</v>
      </c>
      <c r="J534">
        <v>0</v>
      </c>
      <c r="K534">
        <v>28</v>
      </c>
      <c r="N534">
        <v>6</v>
      </c>
      <c r="O534">
        <v>6</v>
      </c>
      <c r="P534">
        <v>4</v>
      </c>
      <c r="Q534">
        <v>0</v>
      </c>
      <c r="R534">
        <v>57.03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9</v>
      </c>
      <c r="AC534">
        <v>0</v>
      </c>
      <c r="AF534" t="s">
        <v>130</v>
      </c>
      <c r="AH534">
        <v>66.03</v>
      </c>
    </row>
    <row r="535" spans="1:34" x14ac:dyDescent="0.3">
      <c r="A535" s="4">
        <v>634</v>
      </c>
      <c r="B535" s="5">
        <v>528</v>
      </c>
      <c r="C535">
        <v>1466</v>
      </c>
      <c r="D535" t="s">
        <v>3662</v>
      </c>
      <c r="E535" t="s">
        <v>14</v>
      </c>
      <c r="F535" t="s">
        <v>62</v>
      </c>
      <c r="G535" t="s">
        <v>19338</v>
      </c>
      <c r="H535">
        <v>19</v>
      </c>
      <c r="I535">
        <v>0</v>
      </c>
      <c r="J535">
        <v>0</v>
      </c>
      <c r="K535">
        <v>20</v>
      </c>
      <c r="N535">
        <v>3</v>
      </c>
      <c r="O535">
        <v>3</v>
      </c>
      <c r="P535">
        <v>4</v>
      </c>
      <c r="Q535">
        <v>2</v>
      </c>
      <c r="R535">
        <v>48</v>
      </c>
      <c r="S535">
        <v>18</v>
      </c>
      <c r="T535">
        <v>18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18</v>
      </c>
      <c r="AB535">
        <v>0</v>
      </c>
      <c r="AC535">
        <v>0</v>
      </c>
      <c r="AF535" t="s">
        <v>130</v>
      </c>
      <c r="AH535">
        <v>66</v>
      </c>
    </row>
    <row r="536" spans="1:34" x14ac:dyDescent="0.3">
      <c r="A536" s="4">
        <v>635</v>
      </c>
      <c r="B536" s="5">
        <v>529</v>
      </c>
      <c r="C536">
        <v>6812</v>
      </c>
      <c r="D536" t="s">
        <v>19339</v>
      </c>
      <c r="E536" t="s">
        <v>227</v>
      </c>
      <c r="F536" t="s">
        <v>38</v>
      </c>
      <c r="G536" t="s">
        <v>19340</v>
      </c>
      <c r="H536">
        <v>18</v>
      </c>
      <c r="I536">
        <v>0</v>
      </c>
      <c r="J536">
        <v>0</v>
      </c>
      <c r="K536">
        <v>0</v>
      </c>
      <c r="L536">
        <v>7</v>
      </c>
      <c r="O536">
        <v>7</v>
      </c>
      <c r="P536">
        <v>4</v>
      </c>
      <c r="Q536">
        <v>2</v>
      </c>
      <c r="R536">
        <v>31</v>
      </c>
      <c r="S536">
        <v>35</v>
      </c>
      <c r="T536">
        <v>35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35</v>
      </c>
      <c r="AB536">
        <v>0</v>
      </c>
      <c r="AC536">
        <v>0</v>
      </c>
      <c r="AF536" t="s">
        <v>130</v>
      </c>
      <c r="AH536">
        <v>66</v>
      </c>
    </row>
    <row r="537" spans="1:34" x14ac:dyDescent="0.3">
      <c r="A537" s="4">
        <v>636</v>
      </c>
      <c r="B537" s="5">
        <v>530</v>
      </c>
      <c r="C537">
        <v>11453</v>
      </c>
      <c r="D537" t="s">
        <v>11956</v>
      </c>
      <c r="E537" t="s">
        <v>132</v>
      </c>
      <c r="F537" t="s">
        <v>38</v>
      </c>
      <c r="G537" t="s">
        <v>19341</v>
      </c>
      <c r="H537">
        <v>19.95</v>
      </c>
      <c r="I537">
        <v>0</v>
      </c>
      <c r="J537">
        <v>0</v>
      </c>
      <c r="K537">
        <v>0</v>
      </c>
      <c r="O537">
        <v>0</v>
      </c>
      <c r="P537">
        <v>4</v>
      </c>
      <c r="Q537">
        <v>2</v>
      </c>
      <c r="R537">
        <v>25.95</v>
      </c>
      <c r="S537">
        <v>34</v>
      </c>
      <c r="T537">
        <v>34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34</v>
      </c>
      <c r="AB537">
        <v>6</v>
      </c>
      <c r="AC537">
        <v>0</v>
      </c>
      <c r="AF537" t="s">
        <v>130</v>
      </c>
      <c r="AH537">
        <v>65.95</v>
      </c>
    </row>
    <row r="538" spans="1:34" x14ac:dyDescent="0.3">
      <c r="A538" s="4">
        <v>637</v>
      </c>
      <c r="B538" s="5">
        <v>531</v>
      </c>
      <c r="C538">
        <v>14463</v>
      </c>
      <c r="D538" t="s">
        <v>19342</v>
      </c>
      <c r="E538" t="s">
        <v>29</v>
      </c>
      <c r="F538" t="s">
        <v>238</v>
      </c>
      <c r="G538" t="s">
        <v>19343</v>
      </c>
      <c r="H538">
        <v>17.95</v>
      </c>
      <c r="I538">
        <v>0</v>
      </c>
      <c r="J538">
        <v>0</v>
      </c>
      <c r="K538">
        <v>0</v>
      </c>
      <c r="L538">
        <v>7</v>
      </c>
      <c r="O538">
        <v>7</v>
      </c>
      <c r="P538">
        <v>4</v>
      </c>
      <c r="Q538">
        <v>0</v>
      </c>
      <c r="R538">
        <v>28.95</v>
      </c>
      <c r="S538">
        <v>37</v>
      </c>
      <c r="T538">
        <v>37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37</v>
      </c>
      <c r="AB538">
        <v>0</v>
      </c>
      <c r="AC538">
        <v>0</v>
      </c>
      <c r="AF538" t="s">
        <v>130</v>
      </c>
      <c r="AH538">
        <v>65.95</v>
      </c>
    </row>
    <row r="539" spans="1:34" x14ac:dyDescent="0.3">
      <c r="A539" s="4">
        <v>638</v>
      </c>
      <c r="B539" s="5">
        <v>532</v>
      </c>
      <c r="C539">
        <v>6388</v>
      </c>
      <c r="D539" t="s">
        <v>19344</v>
      </c>
      <c r="E539" t="s">
        <v>439</v>
      </c>
      <c r="F539" t="s">
        <v>117</v>
      </c>
      <c r="G539" t="s">
        <v>19345</v>
      </c>
      <c r="H539">
        <v>20.93</v>
      </c>
      <c r="I539">
        <v>0</v>
      </c>
      <c r="J539">
        <v>0</v>
      </c>
      <c r="K539">
        <v>20</v>
      </c>
      <c r="L539">
        <v>7</v>
      </c>
      <c r="N539">
        <v>3</v>
      </c>
      <c r="O539">
        <v>10</v>
      </c>
      <c r="P539">
        <v>4</v>
      </c>
      <c r="Q539">
        <v>2</v>
      </c>
      <c r="R539">
        <v>56.93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9</v>
      </c>
      <c r="AC539">
        <v>0</v>
      </c>
      <c r="AD539" t="s">
        <v>130</v>
      </c>
      <c r="AF539" t="s">
        <v>130</v>
      </c>
      <c r="AH539">
        <v>65.930000000000007</v>
      </c>
    </row>
    <row r="540" spans="1:34" x14ac:dyDescent="0.3">
      <c r="A540" s="4">
        <v>639</v>
      </c>
      <c r="B540" s="5">
        <v>533</v>
      </c>
      <c r="C540">
        <v>4504</v>
      </c>
      <c r="D540" t="s">
        <v>19346</v>
      </c>
      <c r="E540" t="s">
        <v>88</v>
      </c>
      <c r="F540" t="s">
        <v>909</v>
      </c>
      <c r="G540" t="s">
        <v>19347</v>
      </c>
      <c r="H540">
        <v>19.93</v>
      </c>
      <c r="I540">
        <v>0</v>
      </c>
      <c r="J540">
        <v>0</v>
      </c>
      <c r="K540">
        <v>0</v>
      </c>
      <c r="O540">
        <v>0</v>
      </c>
      <c r="P540">
        <v>4</v>
      </c>
      <c r="Q540">
        <v>2</v>
      </c>
      <c r="R540">
        <v>25.93</v>
      </c>
      <c r="S540">
        <v>37</v>
      </c>
      <c r="T540">
        <v>37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37</v>
      </c>
      <c r="AB540">
        <v>3</v>
      </c>
      <c r="AC540">
        <v>0</v>
      </c>
      <c r="AF540" t="s">
        <v>130</v>
      </c>
      <c r="AH540">
        <v>65.930000000000007</v>
      </c>
    </row>
    <row r="541" spans="1:34" x14ac:dyDescent="0.3">
      <c r="A541" s="4">
        <v>640</v>
      </c>
      <c r="B541" s="5">
        <v>534</v>
      </c>
      <c r="C541">
        <v>1140</v>
      </c>
      <c r="D541" t="s">
        <v>10995</v>
      </c>
      <c r="E541" t="s">
        <v>161</v>
      </c>
      <c r="F541" t="s">
        <v>892</v>
      </c>
      <c r="G541" t="s">
        <v>19348</v>
      </c>
      <c r="H541">
        <v>21.1</v>
      </c>
      <c r="I541">
        <v>7</v>
      </c>
      <c r="J541">
        <v>0</v>
      </c>
      <c r="K541">
        <v>0</v>
      </c>
      <c r="L541">
        <v>7</v>
      </c>
      <c r="O541">
        <v>7</v>
      </c>
      <c r="P541">
        <v>4</v>
      </c>
      <c r="Q541">
        <v>0</v>
      </c>
      <c r="R541">
        <v>39.1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26.8</v>
      </c>
      <c r="AF541" t="s">
        <v>130</v>
      </c>
      <c r="AH541">
        <v>65.900000000000006</v>
      </c>
    </row>
    <row r="542" spans="1:34" x14ac:dyDescent="0.3">
      <c r="A542" s="4">
        <v>641</v>
      </c>
      <c r="B542" s="5">
        <v>535</v>
      </c>
      <c r="C542">
        <v>7042</v>
      </c>
      <c r="D542" t="s">
        <v>2647</v>
      </c>
      <c r="E542" t="s">
        <v>88</v>
      </c>
      <c r="F542" t="s">
        <v>2333</v>
      </c>
      <c r="G542" t="s">
        <v>19349</v>
      </c>
      <c r="H542">
        <v>18.829999999999998</v>
      </c>
      <c r="I542">
        <v>0</v>
      </c>
      <c r="J542">
        <v>0</v>
      </c>
      <c r="K542">
        <v>20</v>
      </c>
      <c r="N542">
        <v>3</v>
      </c>
      <c r="O542">
        <v>3</v>
      </c>
      <c r="P542">
        <v>4</v>
      </c>
      <c r="Q542">
        <v>2</v>
      </c>
      <c r="R542">
        <v>47.83</v>
      </c>
      <c r="S542">
        <v>18</v>
      </c>
      <c r="T542">
        <v>18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18</v>
      </c>
      <c r="AB542">
        <v>0</v>
      </c>
      <c r="AC542">
        <v>0</v>
      </c>
      <c r="AF542" t="s">
        <v>130</v>
      </c>
      <c r="AH542">
        <v>65.83</v>
      </c>
    </row>
    <row r="543" spans="1:34" x14ac:dyDescent="0.3">
      <c r="A543" s="4">
        <v>642</v>
      </c>
      <c r="B543" s="5">
        <v>536</v>
      </c>
      <c r="C543">
        <v>934</v>
      </c>
      <c r="D543" t="s">
        <v>19350</v>
      </c>
      <c r="E543" t="s">
        <v>91</v>
      </c>
      <c r="F543" t="s">
        <v>136</v>
      </c>
      <c r="G543" t="s">
        <v>19351</v>
      </c>
      <c r="H543">
        <v>17.8</v>
      </c>
      <c r="I543">
        <v>7</v>
      </c>
      <c r="J543">
        <v>0</v>
      </c>
      <c r="K543">
        <v>0</v>
      </c>
      <c r="O543">
        <v>0</v>
      </c>
      <c r="P543">
        <v>4</v>
      </c>
      <c r="Q543">
        <v>0</v>
      </c>
      <c r="R543">
        <v>28.8</v>
      </c>
      <c r="S543">
        <v>37</v>
      </c>
      <c r="T543">
        <v>37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37</v>
      </c>
      <c r="AB543">
        <v>0</v>
      </c>
      <c r="AC543">
        <v>0</v>
      </c>
      <c r="AF543" t="s">
        <v>130</v>
      </c>
      <c r="AH543">
        <v>65.8</v>
      </c>
    </row>
    <row r="544" spans="1:34" x14ac:dyDescent="0.3">
      <c r="A544" s="4">
        <v>644</v>
      </c>
      <c r="B544" s="5">
        <v>537</v>
      </c>
      <c r="C544">
        <v>7544</v>
      </c>
      <c r="D544" t="s">
        <v>19352</v>
      </c>
      <c r="E544" t="s">
        <v>1327</v>
      </c>
      <c r="F544" t="s">
        <v>20</v>
      </c>
      <c r="G544" t="s">
        <v>19353</v>
      </c>
      <c r="H544">
        <v>16.63</v>
      </c>
      <c r="I544">
        <v>0</v>
      </c>
      <c r="J544">
        <v>0</v>
      </c>
      <c r="K544">
        <v>0</v>
      </c>
      <c r="L544">
        <v>7</v>
      </c>
      <c r="O544">
        <v>7</v>
      </c>
      <c r="P544">
        <v>4</v>
      </c>
      <c r="Q544">
        <v>2</v>
      </c>
      <c r="R544">
        <v>29.63</v>
      </c>
      <c r="S544">
        <v>36</v>
      </c>
      <c r="T544">
        <v>36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36</v>
      </c>
      <c r="AB544">
        <v>0</v>
      </c>
      <c r="AC544">
        <v>0</v>
      </c>
      <c r="AF544" t="s">
        <v>130</v>
      </c>
      <c r="AH544">
        <v>65.63</v>
      </c>
    </row>
    <row r="545" spans="1:34" x14ac:dyDescent="0.3">
      <c r="A545" s="4">
        <v>645</v>
      </c>
      <c r="B545" s="5">
        <v>538</v>
      </c>
      <c r="C545">
        <v>2808</v>
      </c>
      <c r="D545" t="s">
        <v>19354</v>
      </c>
      <c r="E545" t="s">
        <v>33</v>
      </c>
      <c r="F545" t="s">
        <v>83</v>
      </c>
      <c r="G545" t="s">
        <v>19355</v>
      </c>
      <c r="H545">
        <v>20.58</v>
      </c>
      <c r="I545">
        <v>7</v>
      </c>
      <c r="J545">
        <v>0</v>
      </c>
      <c r="K545">
        <v>20</v>
      </c>
      <c r="L545">
        <v>7</v>
      </c>
      <c r="O545">
        <v>7</v>
      </c>
      <c r="P545">
        <v>4</v>
      </c>
      <c r="Q545">
        <v>2</v>
      </c>
      <c r="R545">
        <v>60.58</v>
      </c>
      <c r="S545">
        <v>5</v>
      </c>
      <c r="T545">
        <v>5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5</v>
      </c>
      <c r="AB545">
        <v>0</v>
      </c>
      <c r="AC545">
        <v>0</v>
      </c>
      <c r="AD545" t="s">
        <v>130</v>
      </c>
      <c r="AF545" t="s">
        <v>130</v>
      </c>
      <c r="AH545">
        <v>65.58</v>
      </c>
    </row>
    <row r="546" spans="1:34" x14ac:dyDescent="0.3">
      <c r="A546" s="4">
        <v>646</v>
      </c>
      <c r="B546" s="5">
        <v>539</v>
      </c>
      <c r="C546">
        <v>2372</v>
      </c>
      <c r="D546" t="s">
        <v>19356</v>
      </c>
      <c r="E546" t="s">
        <v>143</v>
      </c>
      <c r="F546" t="s">
        <v>30</v>
      </c>
      <c r="G546" t="s">
        <v>19357</v>
      </c>
      <c r="H546">
        <v>18.579999999999998</v>
      </c>
      <c r="I546">
        <v>0</v>
      </c>
      <c r="J546">
        <v>0</v>
      </c>
      <c r="K546">
        <v>20</v>
      </c>
      <c r="N546">
        <v>3</v>
      </c>
      <c r="O546">
        <v>3</v>
      </c>
      <c r="P546">
        <v>4</v>
      </c>
      <c r="Q546">
        <v>2</v>
      </c>
      <c r="R546">
        <v>47.58</v>
      </c>
      <c r="S546">
        <v>18</v>
      </c>
      <c r="T546">
        <v>18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18</v>
      </c>
      <c r="AB546">
        <v>0</v>
      </c>
      <c r="AC546">
        <v>0</v>
      </c>
      <c r="AF546" t="s">
        <v>130</v>
      </c>
      <c r="AH546">
        <v>65.58</v>
      </c>
    </row>
    <row r="547" spans="1:34" x14ac:dyDescent="0.3">
      <c r="A547" s="4">
        <v>647</v>
      </c>
      <c r="B547" s="5">
        <v>540</v>
      </c>
      <c r="C547">
        <v>6721</v>
      </c>
      <c r="D547" t="s">
        <v>19358</v>
      </c>
      <c r="E547" t="s">
        <v>8622</v>
      </c>
      <c r="F547" t="s">
        <v>892</v>
      </c>
      <c r="G547" t="s">
        <v>19359</v>
      </c>
      <c r="H547">
        <v>17.53</v>
      </c>
      <c r="I547">
        <v>0</v>
      </c>
      <c r="J547">
        <v>0</v>
      </c>
      <c r="K547">
        <v>20</v>
      </c>
      <c r="O547">
        <v>0</v>
      </c>
      <c r="P547">
        <v>4</v>
      </c>
      <c r="Q547">
        <v>2</v>
      </c>
      <c r="R547">
        <v>43.53</v>
      </c>
      <c r="S547">
        <v>22</v>
      </c>
      <c r="T547">
        <v>22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22</v>
      </c>
      <c r="AB547">
        <v>0</v>
      </c>
      <c r="AC547">
        <v>0</v>
      </c>
      <c r="AF547" t="s">
        <v>130</v>
      </c>
      <c r="AH547">
        <v>65.53</v>
      </c>
    </row>
    <row r="548" spans="1:34" x14ac:dyDescent="0.3">
      <c r="A548" s="4">
        <v>648</v>
      </c>
      <c r="B548" s="5">
        <v>541</v>
      </c>
      <c r="C548">
        <v>9228</v>
      </c>
      <c r="D548" t="s">
        <v>19360</v>
      </c>
      <c r="E548" t="s">
        <v>11725</v>
      </c>
      <c r="F548" t="s">
        <v>117</v>
      </c>
      <c r="G548" t="s">
        <v>19361</v>
      </c>
      <c r="H548">
        <v>17.48</v>
      </c>
      <c r="I548">
        <v>0</v>
      </c>
      <c r="J548">
        <v>0</v>
      </c>
      <c r="K548">
        <v>0</v>
      </c>
      <c r="L548">
        <v>7</v>
      </c>
      <c r="O548">
        <v>7</v>
      </c>
      <c r="P548">
        <v>4</v>
      </c>
      <c r="Q548">
        <v>2</v>
      </c>
      <c r="R548">
        <v>30.48</v>
      </c>
      <c r="S548">
        <v>35</v>
      </c>
      <c r="T548">
        <v>35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35</v>
      </c>
      <c r="AB548">
        <v>0</v>
      </c>
      <c r="AC548">
        <v>0</v>
      </c>
      <c r="AF548" t="s">
        <v>130</v>
      </c>
      <c r="AH548">
        <v>65.48</v>
      </c>
    </row>
    <row r="549" spans="1:34" x14ac:dyDescent="0.3">
      <c r="A549" s="4">
        <v>649</v>
      </c>
      <c r="B549" s="5">
        <v>542</v>
      </c>
      <c r="C549">
        <v>14671</v>
      </c>
      <c r="D549" t="s">
        <v>19362</v>
      </c>
      <c r="E549" t="s">
        <v>33</v>
      </c>
      <c r="F549" t="s">
        <v>238</v>
      </c>
      <c r="G549" t="s">
        <v>19363</v>
      </c>
      <c r="H549">
        <v>23.3</v>
      </c>
      <c r="I549">
        <v>0</v>
      </c>
      <c r="J549">
        <v>0</v>
      </c>
      <c r="K549">
        <v>20</v>
      </c>
      <c r="L549">
        <v>7</v>
      </c>
      <c r="O549">
        <v>7</v>
      </c>
      <c r="P549">
        <v>4</v>
      </c>
      <c r="Q549">
        <v>2</v>
      </c>
      <c r="R549">
        <v>56.3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9</v>
      </c>
      <c r="AC549">
        <v>0</v>
      </c>
      <c r="AF549" t="s">
        <v>130</v>
      </c>
      <c r="AH549">
        <v>65.3</v>
      </c>
    </row>
    <row r="550" spans="1:34" x14ac:dyDescent="0.3">
      <c r="A550" s="4">
        <v>650</v>
      </c>
      <c r="B550" s="5">
        <v>543</v>
      </c>
      <c r="C550">
        <v>3299</v>
      </c>
      <c r="D550" t="s">
        <v>8522</v>
      </c>
      <c r="E550" t="s">
        <v>110</v>
      </c>
      <c r="F550" t="s">
        <v>17</v>
      </c>
      <c r="G550" t="s">
        <v>19364</v>
      </c>
      <c r="H550">
        <v>18.23</v>
      </c>
      <c r="I550">
        <v>0</v>
      </c>
      <c r="J550">
        <v>0</v>
      </c>
      <c r="K550">
        <v>0</v>
      </c>
      <c r="M550">
        <v>5</v>
      </c>
      <c r="O550">
        <v>5</v>
      </c>
      <c r="P550">
        <v>4</v>
      </c>
      <c r="Q550">
        <v>2</v>
      </c>
      <c r="R550">
        <v>29.23</v>
      </c>
      <c r="S550">
        <v>36</v>
      </c>
      <c r="T550">
        <v>36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36</v>
      </c>
      <c r="AB550">
        <v>0</v>
      </c>
      <c r="AC550">
        <v>0</v>
      </c>
      <c r="AF550" t="s">
        <v>130</v>
      </c>
      <c r="AH550">
        <v>65.23</v>
      </c>
    </row>
    <row r="551" spans="1:34" x14ac:dyDescent="0.3">
      <c r="A551" s="4">
        <v>651</v>
      </c>
      <c r="B551" s="5">
        <v>544</v>
      </c>
      <c r="C551">
        <v>4372</v>
      </c>
      <c r="D551" t="s">
        <v>19365</v>
      </c>
      <c r="E551" t="s">
        <v>19</v>
      </c>
      <c r="F551" t="s">
        <v>652</v>
      </c>
      <c r="G551" t="s">
        <v>19366</v>
      </c>
      <c r="H551">
        <v>17.2</v>
      </c>
      <c r="I551">
        <v>0</v>
      </c>
      <c r="J551">
        <v>0</v>
      </c>
      <c r="K551">
        <v>20</v>
      </c>
      <c r="N551">
        <v>3</v>
      </c>
      <c r="O551">
        <v>3</v>
      </c>
      <c r="P551">
        <v>4</v>
      </c>
      <c r="Q551">
        <v>2</v>
      </c>
      <c r="R551">
        <v>46.2</v>
      </c>
      <c r="S551">
        <v>19</v>
      </c>
      <c r="T551">
        <v>19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19</v>
      </c>
      <c r="AB551">
        <v>0</v>
      </c>
      <c r="AC551">
        <v>0</v>
      </c>
      <c r="AF551" t="s">
        <v>130</v>
      </c>
      <c r="AH551">
        <v>65.2</v>
      </c>
    </row>
    <row r="552" spans="1:34" x14ac:dyDescent="0.3">
      <c r="A552" s="4">
        <v>652</v>
      </c>
      <c r="B552" s="5">
        <v>545</v>
      </c>
      <c r="C552">
        <v>13412</v>
      </c>
      <c r="D552" t="s">
        <v>10440</v>
      </c>
      <c r="E552" t="s">
        <v>213</v>
      </c>
      <c r="F552" t="s">
        <v>38</v>
      </c>
      <c r="G552" t="s">
        <v>19367</v>
      </c>
      <c r="H552">
        <v>18.18</v>
      </c>
      <c r="I552">
        <v>7</v>
      </c>
      <c r="J552">
        <v>0</v>
      </c>
      <c r="K552">
        <v>0</v>
      </c>
      <c r="L552">
        <v>7</v>
      </c>
      <c r="O552">
        <v>7</v>
      </c>
      <c r="P552">
        <v>4</v>
      </c>
      <c r="Q552">
        <v>2</v>
      </c>
      <c r="R552">
        <v>38.18</v>
      </c>
      <c r="S552">
        <v>24</v>
      </c>
      <c r="T552">
        <v>24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24</v>
      </c>
      <c r="AB552">
        <v>3</v>
      </c>
      <c r="AC552">
        <v>0</v>
      </c>
      <c r="AF552" t="s">
        <v>130</v>
      </c>
      <c r="AH552">
        <v>65.180000000000007</v>
      </c>
    </row>
    <row r="553" spans="1:34" x14ac:dyDescent="0.3">
      <c r="A553" s="4">
        <v>654</v>
      </c>
      <c r="B553" s="5">
        <v>546</v>
      </c>
      <c r="C553">
        <v>9118</v>
      </c>
      <c r="D553" t="s">
        <v>19368</v>
      </c>
      <c r="E553" t="s">
        <v>166</v>
      </c>
      <c r="F553" t="s">
        <v>136</v>
      </c>
      <c r="G553" t="s">
        <v>19369</v>
      </c>
      <c r="H553">
        <v>20.100000000000001</v>
      </c>
      <c r="I553">
        <v>0</v>
      </c>
      <c r="J553">
        <v>0</v>
      </c>
      <c r="K553">
        <v>0</v>
      </c>
      <c r="N553">
        <v>3</v>
      </c>
      <c r="O553">
        <v>3</v>
      </c>
      <c r="P553">
        <v>4</v>
      </c>
      <c r="Q553">
        <v>2</v>
      </c>
      <c r="R553">
        <v>29.1</v>
      </c>
      <c r="S553">
        <v>36</v>
      </c>
      <c r="T553">
        <v>36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36</v>
      </c>
      <c r="AB553">
        <v>0</v>
      </c>
      <c r="AC553">
        <v>0</v>
      </c>
      <c r="AD553" t="s">
        <v>130</v>
      </c>
      <c r="AF553" t="s">
        <v>130</v>
      </c>
      <c r="AH553">
        <v>65.099999999999994</v>
      </c>
    </row>
    <row r="554" spans="1:34" x14ac:dyDescent="0.3">
      <c r="A554" s="4">
        <v>655</v>
      </c>
      <c r="B554" s="5">
        <v>547</v>
      </c>
      <c r="C554">
        <v>2553</v>
      </c>
      <c r="D554" t="s">
        <v>19370</v>
      </c>
      <c r="E554" t="s">
        <v>132</v>
      </c>
      <c r="F554" t="s">
        <v>62</v>
      </c>
      <c r="G554" t="s">
        <v>19371</v>
      </c>
      <c r="H554">
        <v>20.100000000000001</v>
      </c>
      <c r="I554">
        <v>0</v>
      </c>
      <c r="J554">
        <v>0</v>
      </c>
      <c r="K554">
        <v>0</v>
      </c>
      <c r="N554">
        <v>3</v>
      </c>
      <c r="O554">
        <v>3</v>
      </c>
      <c r="P554">
        <v>4</v>
      </c>
      <c r="Q554">
        <v>2</v>
      </c>
      <c r="R554">
        <v>29.1</v>
      </c>
      <c r="S554">
        <v>36</v>
      </c>
      <c r="T554">
        <v>36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36</v>
      </c>
      <c r="AB554">
        <v>0</v>
      </c>
      <c r="AC554">
        <v>0</v>
      </c>
      <c r="AF554" t="s">
        <v>130</v>
      </c>
      <c r="AH554">
        <v>65.099999999999994</v>
      </c>
    </row>
    <row r="555" spans="1:34" x14ac:dyDescent="0.3">
      <c r="A555" s="4">
        <v>656</v>
      </c>
      <c r="B555" s="5">
        <v>548</v>
      </c>
      <c r="C555">
        <v>12413</v>
      </c>
      <c r="D555" t="s">
        <v>12367</v>
      </c>
      <c r="E555" t="s">
        <v>3803</v>
      </c>
      <c r="F555" t="s">
        <v>38</v>
      </c>
      <c r="G555" t="s">
        <v>19372</v>
      </c>
      <c r="H555">
        <v>16</v>
      </c>
      <c r="I555">
        <v>0</v>
      </c>
      <c r="J555">
        <v>0</v>
      </c>
      <c r="K555">
        <v>0</v>
      </c>
      <c r="L555">
        <v>7</v>
      </c>
      <c r="N555">
        <v>3</v>
      </c>
      <c r="O555">
        <v>10</v>
      </c>
      <c r="P555">
        <v>4</v>
      </c>
      <c r="Q555">
        <v>2</v>
      </c>
      <c r="R555">
        <v>32</v>
      </c>
      <c r="S555">
        <v>30</v>
      </c>
      <c r="T555">
        <v>30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30</v>
      </c>
      <c r="AB555">
        <v>3</v>
      </c>
      <c r="AC555">
        <v>0</v>
      </c>
      <c r="AF555" t="s">
        <v>130</v>
      </c>
      <c r="AH555">
        <v>65</v>
      </c>
    </row>
    <row r="556" spans="1:34" x14ac:dyDescent="0.3">
      <c r="A556" s="4">
        <v>657</v>
      </c>
      <c r="B556" s="5">
        <v>549</v>
      </c>
      <c r="C556">
        <v>3128</v>
      </c>
      <c r="D556" t="s">
        <v>19373</v>
      </c>
      <c r="E556" t="s">
        <v>29</v>
      </c>
      <c r="F556" t="s">
        <v>1581</v>
      </c>
      <c r="G556">
        <v>944312</v>
      </c>
      <c r="H556">
        <v>18</v>
      </c>
      <c r="I556">
        <v>0</v>
      </c>
      <c r="J556">
        <v>0</v>
      </c>
      <c r="K556">
        <v>0</v>
      </c>
      <c r="L556">
        <v>7</v>
      </c>
      <c r="O556">
        <v>7</v>
      </c>
      <c r="P556">
        <v>4</v>
      </c>
      <c r="Q556">
        <v>2</v>
      </c>
      <c r="R556">
        <v>31</v>
      </c>
      <c r="S556">
        <v>34</v>
      </c>
      <c r="T556">
        <v>34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34</v>
      </c>
      <c r="AB556">
        <v>0</v>
      </c>
      <c r="AC556">
        <v>0</v>
      </c>
      <c r="AD556" t="s">
        <v>130</v>
      </c>
      <c r="AF556" t="s">
        <v>130</v>
      </c>
      <c r="AH556">
        <v>65</v>
      </c>
    </row>
    <row r="557" spans="1:34" x14ac:dyDescent="0.3">
      <c r="A557" s="4">
        <v>658</v>
      </c>
      <c r="B557" s="5">
        <v>550</v>
      </c>
      <c r="C557">
        <v>10948</v>
      </c>
      <c r="D557" t="s">
        <v>19374</v>
      </c>
      <c r="E557" t="s">
        <v>136</v>
      </c>
      <c r="F557" t="s">
        <v>101</v>
      </c>
      <c r="G557" t="s">
        <v>19375</v>
      </c>
      <c r="H557">
        <v>17.98</v>
      </c>
      <c r="I557">
        <v>0</v>
      </c>
      <c r="J557">
        <v>0</v>
      </c>
      <c r="K557">
        <v>0</v>
      </c>
      <c r="M557">
        <v>5</v>
      </c>
      <c r="O557">
        <v>5</v>
      </c>
      <c r="P557">
        <v>4</v>
      </c>
      <c r="Q557">
        <v>2</v>
      </c>
      <c r="R557">
        <v>28.98</v>
      </c>
      <c r="S557">
        <v>36</v>
      </c>
      <c r="T557">
        <v>36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36</v>
      </c>
      <c r="AB557">
        <v>0</v>
      </c>
      <c r="AC557">
        <v>0</v>
      </c>
      <c r="AD557" t="s">
        <v>130</v>
      </c>
      <c r="AF557" t="s">
        <v>130</v>
      </c>
      <c r="AH557">
        <v>64.98</v>
      </c>
    </row>
    <row r="558" spans="1:34" x14ac:dyDescent="0.3">
      <c r="A558" s="4">
        <v>659</v>
      </c>
      <c r="B558" s="5">
        <v>551</v>
      </c>
      <c r="C558">
        <v>13506</v>
      </c>
      <c r="D558" t="s">
        <v>6987</v>
      </c>
      <c r="E558" t="s">
        <v>33</v>
      </c>
      <c r="F558" t="s">
        <v>19376</v>
      </c>
      <c r="G558" t="s">
        <v>19377</v>
      </c>
      <c r="H558">
        <v>17.95</v>
      </c>
      <c r="I558">
        <v>0</v>
      </c>
      <c r="J558">
        <v>0</v>
      </c>
      <c r="K558">
        <v>20</v>
      </c>
      <c r="L558">
        <v>7</v>
      </c>
      <c r="N558">
        <v>3</v>
      </c>
      <c r="O558">
        <v>10</v>
      </c>
      <c r="P558">
        <v>4</v>
      </c>
      <c r="Q558">
        <v>2</v>
      </c>
      <c r="R558">
        <v>53.95</v>
      </c>
      <c r="S558">
        <v>5</v>
      </c>
      <c r="T558">
        <v>5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5</v>
      </c>
      <c r="AB558">
        <v>6</v>
      </c>
      <c r="AC558">
        <v>0</v>
      </c>
      <c r="AF558" t="s">
        <v>130</v>
      </c>
      <c r="AH558">
        <v>64.95</v>
      </c>
    </row>
    <row r="559" spans="1:34" x14ac:dyDescent="0.3">
      <c r="A559" s="4">
        <v>660</v>
      </c>
      <c r="B559" s="5">
        <v>552</v>
      </c>
      <c r="C559">
        <v>13076</v>
      </c>
      <c r="D559" t="s">
        <v>19378</v>
      </c>
      <c r="E559" t="s">
        <v>550</v>
      </c>
      <c r="F559" t="s">
        <v>62</v>
      </c>
      <c r="G559" t="s">
        <v>19379</v>
      </c>
      <c r="H559">
        <v>18.93</v>
      </c>
      <c r="I559">
        <v>0</v>
      </c>
      <c r="J559">
        <v>0</v>
      </c>
      <c r="K559">
        <v>0</v>
      </c>
      <c r="O559">
        <v>0</v>
      </c>
      <c r="P559">
        <v>4</v>
      </c>
      <c r="Q559">
        <v>2</v>
      </c>
      <c r="R559">
        <v>24.93</v>
      </c>
      <c r="S559">
        <v>31</v>
      </c>
      <c r="T559">
        <v>31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31</v>
      </c>
      <c r="AB559">
        <v>9</v>
      </c>
      <c r="AC559">
        <v>0</v>
      </c>
      <c r="AD559" t="s">
        <v>130</v>
      </c>
      <c r="AF559" t="s">
        <v>130</v>
      </c>
      <c r="AH559">
        <v>64.930000000000007</v>
      </c>
    </row>
    <row r="560" spans="1:34" x14ac:dyDescent="0.3">
      <c r="A560" s="4">
        <v>661</v>
      </c>
      <c r="B560" s="5">
        <v>553</v>
      </c>
      <c r="C560">
        <v>12035</v>
      </c>
      <c r="D560" t="s">
        <v>1715</v>
      </c>
      <c r="E560" t="s">
        <v>29</v>
      </c>
      <c r="F560" t="s">
        <v>17</v>
      </c>
      <c r="G560" t="s">
        <v>19380</v>
      </c>
      <c r="H560">
        <v>19.88</v>
      </c>
      <c r="I560">
        <v>0</v>
      </c>
      <c r="J560">
        <v>0</v>
      </c>
      <c r="K560">
        <v>0</v>
      </c>
      <c r="L560">
        <v>7</v>
      </c>
      <c r="O560">
        <v>7</v>
      </c>
      <c r="P560">
        <v>4</v>
      </c>
      <c r="Q560">
        <v>2</v>
      </c>
      <c r="R560">
        <v>32.880000000000003</v>
      </c>
      <c r="S560">
        <v>26</v>
      </c>
      <c r="T560">
        <v>26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26</v>
      </c>
      <c r="AB560">
        <v>6</v>
      </c>
      <c r="AC560">
        <v>0</v>
      </c>
      <c r="AF560" t="s">
        <v>130</v>
      </c>
      <c r="AH560">
        <v>64.88</v>
      </c>
    </row>
    <row r="561" spans="1:34" x14ac:dyDescent="0.3">
      <c r="A561" s="4">
        <v>662</v>
      </c>
      <c r="B561" s="5">
        <v>554</v>
      </c>
      <c r="C561">
        <v>11017</v>
      </c>
      <c r="D561" t="s">
        <v>19381</v>
      </c>
      <c r="E561" t="s">
        <v>19382</v>
      </c>
      <c r="F561" t="s">
        <v>62</v>
      </c>
      <c r="G561" t="s">
        <v>19383</v>
      </c>
      <c r="H561">
        <v>19.88</v>
      </c>
      <c r="I561">
        <v>0</v>
      </c>
      <c r="J561">
        <v>0</v>
      </c>
      <c r="K561">
        <v>0</v>
      </c>
      <c r="N561">
        <v>3</v>
      </c>
      <c r="O561">
        <v>3</v>
      </c>
      <c r="P561">
        <v>4</v>
      </c>
      <c r="Q561">
        <v>2</v>
      </c>
      <c r="R561">
        <v>28.88</v>
      </c>
      <c r="S561">
        <v>36</v>
      </c>
      <c r="T561">
        <v>36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36</v>
      </c>
      <c r="AB561">
        <v>0</v>
      </c>
      <c r="AC561">
        <v>0</v>
      </c>
      <c r="AF561" t="s">
        <v>130</v>
      </c>
      <c r="AH561">
        <v>64.88</v>
      </c>
    </row>
    <row r="562" spans="1:34" x14ac:dyDescent="0.3">
      <c r="A562" s="4">
        <v>663</v>
      </c>
      <c r="B562" s="5">
        <v>555</v>
      </c>
      <c r="C562">
        <v>2106</v>
      </c>
      <c r="D562" t="s">
        <v>19384</v>
      </c>
      <c r="E562" t="s">
        <v>173</v>
      </c>
      <c r="F562" t="s">
        <v>117</v>
      </c>
      <c r="G562" t="s">
        <v>19385</v>
      </c>
      <c r="H562">
        <v>18.850000000000001</v>
      </c>
      <c r="I562">
        <v>0</v>
      </c>
      <c r="J562">
        <v>0</v>
      </c>
      <c r="K562">
        <v>0</v>
      </c>
      <c r="L562">
        <v>7</v>
      </c>
      <c r="O562">
        <v>7</v>
      </c>
      <c r="P562">
        <v>4</v>
      </c>
      <c r="Q562">
        <v>0</v>
      </c>
      <c r="R562">
        <v>29.85</v>
      </c>
      <c r="S562">
        <v>32</v>
      </c>
      <c r="T562">
        <v>32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32</v>
      </c>
      <c r="AB562">
        <v>3</v>
      </c>
      <c r="AC562">
        <v>0</v>
      </c>
      <c r="AF562" t="s">
        <v>130</v>
      </c>
      <c r="AH562">
        <v>64.849999999999994</v>
      </c>
    </row>
    <row r="563" spans="1:34" x14ac:dyDescent="0.3">
      <c r="A563" s="4">
        <v>664</v>
      </c>
      <c r="B563" s="5">
        <v>556</v>
      </c>
      <c r="C563">
        <v>3268</v>
      </c>
      <c r="D563" t="s">
        <v>19386</v>
      </c>
      <c r="E563" t="s">
        <v>88</v>
      </c>
      <c r="F563" t="s">
        <v>1023</v>
      </c>
      <c r="G563" t="s">
        <v>19387</v>
      </c>
      <c r="H563">
        <v>19.829999999999998</v>
      </c>
      <c r="I563">
        <v>0</v>
      </c>
      <c r="J563">
        <v>0</v>
      </c>
      <c r="K563">
        <v>0</v>
      </c>
      <c r="N563">
        <v>3</v>
      </c>
      <c r="O563">
        <v>3</v>
      </c>
      <c r="P563">
        <v>4</v>
      </c>
      <c r="Q563">
        <v>2</v>
      </c>
      <c r="R563">
        <v>28.83</v>
      </c>
      <c r="S563">
        <v>36</v>
      </c>
      <c r="T563">
        <v>36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36</v>
      </c>
      <c r="AB563">
        <v>0</v>
      </c>
      <c r="AC563">
        <v>0</v>
      </c>
      <c r="AF563" t="s">
        <v>130</v>
      </c>
      <c r="AH563">
        <v>64.83</v>
      </c>
    </row>
    <row r="564" spans="1:34" x14ac:dyDescent="0.3">
      <c r="A564" s="4">
        <v>665</v>
      </c>
      <c r="B564" s="5">
        <v>557</v>
      </c>
      <c r="C564">
        <v>13337</v>
      </c>
      <c r="D564" t="s">
        <v>19388</v>
      </c>
      <c r="E564" t="s">
        <v>6225</v>
      </c>
      <c r="F564" t="s">
        <v>243</v>
      </c>
      <c r="G564" t="s">
        <v>19389</v>
      </c>
      <c r="H564">
        <v>19.78</v>
      </c>
      <c r="I564">
        <v>0</v>
      </c>
      <c r="J564">
        <v>0</v>
      </c>
      <c r="K564">
        <v>0</v>
      </c>
      <c r="M564">
        <v>5</v>
      </c>
      <c r="O564">
        <v>5</v>
      </c>
      <c r="P564">
        <v>4</v>
      </c>
      <c r="Q564">
        <v>2</v>
      </c>
      <c r="R564">
        <v>30.78</v>
      </c>
      <c r="S564">
        <v>34</v>
      </c>
      <c r="T564">
        <v>34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34</v>
      </c>
      <c r="AB564">
        <v>0</v>
      </c>
      <c r="AC564">
        <v>0</v>
      </c>
      <c r="AF564" t="s">
        <v>130</v>
      </c>
      <c r="AH564">
        <v>64.78</v>
      </c>
    </row>
    <row r="565" spans="1:34" x14ac:dyDescent="0.3">
      <c r="A565" s="4">
        <v>666</v>
      </c>
      <c r="B565" s="5">
        <v>558</v>
      </c>
      <c r="C565">
        <v>6975</v>
      </c>
      <c r="D565" t="s">
        <v>11393</v>
      </c>
      <c r="E565" t="s">
        <v>7864</v>
      </c>
      <c r="F565" t="s">
        <v>117</v>
      </c>
      <c r="G565" t="s">
        <v>19390</v>
      </c>
      <c r="H565">
        <v>17.53</v>
      </c>
      <c r="I565">
        <v>0</v>
      </c>
      <c r="J565">
        <v>0</v>
      </c>
      <c r="K565">
        <v>20</v>
      </c>
      <c r="M565">
        <v>5</v>
      </c>
      <c r="O565">
        <v>5</v>
      </c>
      <c r="P565">
        <v>4</v>
      </c>
      <c r="Q565">
        <v>2</v>
      </c>
      <c r="R565">
        <v>48.53</v>
      </c>
      <c r="S565">
        <v>16</v>
      </c>
      <c r="T565">
        <v>16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16</v>
      </c>
      <c r="AB565">
        <v>0</v>
      </c>
      <c r="AC565">
        <v>0</v>
      </c>
      <c r="AD565" t="s">
        <v>130</v>
      </c>
      <c r="AF565" t="s">
        <v>130</v>
      </c>
      <c r="AH565">
        <v>64.53</v>
      </c>
    </row>
    <row r="566" spans="1:34" x14ac:dyDescent="0.3">
      <c r="A566" s="4">
        <v>667</v>
      </c>
      <c r="B566" s="5">
        <v>559</v>
      </c>
      <c r="C566">
        <v>1917</v>
      </c>
      <c r="D566" t="s">
        <v>19391</v>
      </c>
      <c r="E566" t="s">
        <v>935</v>
      </c>
      <c r="F566" t="s">
        <v>81</v>
      </c>
      <c r="G566" t="s">
        <v>19392</v>
      </c>
      <c r="H566">
        <v>19.5</v>
      </c>
      <c r="I566">
        <v>0</v>
      </c>
      <c r="J566">
        <v>0</v>
      </c>
      <c r="K566">
        <v>0</v>
      </c>
      <c r="N566">
        <v>3</v>
      </c>
      <c r="O566">
        <v>3</v>
      </c>
      <c r="P566">
        <v>4</v>
      </c>
      <c r="Q566">
        <v>2</v>
      </c>
      <c r="R566">
        <v>28.5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6</v>
      </c>
      <c r="AC566">
        <v>30</v>
      </c>
      <c r="AF566" t="s">
        <v>130</v>
      </c>
      <c r="AH566">
        <v>64.5</v>
      </c>
    </row>
    <row r="567" spans="1:34" x14ac:dyDescent="0.3">
      <c r="A567" s="4">
        <v>668</v>
      </c>
      <c r="B567" s="5">
        <v>560</v>
      </c>
      <c r="C567">
        <v>6825</v>
      </c>
      <c r="D567" t="s">
        <v>19393</v>
      </c>
      <c r="E567" t="s">
        <v>19394</v>
      </c>
      <c r="F567" t="s">
        <v>328</v>
      </c>
      <c r="G567" t="s">
        <v>19395</v>
      </c>
      <c r="H567">
        <v>19.48</v>
      </c>
      <c r="I567">
        <v>0</v>
      </c>
      <c r="J567">
        <v>0</v>
      </c>
      <c r="K567">
        <v>20</v>
      </c>
      <c r="N567">
        <v>3</v>
      </c>
      <c r="O567">
        <v>3</v>
      </c>
      <c r="P567">
        <v>4</v>
      </c>
      <c r="Q567">
        <v>0</v>
      </c>
      <c r="R567">
        <v>46.48</v>
      </c>
      <c r="S567">
        <v>18</v>
      </c>
      <c r="T567">
        <v>18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18</v>
      </c>
      <c r="AB567">
        <v>0</v>
      </c>
      <c r="AC567">
        <v>0</v>
      </c>
      <c r="AF567" t="s">
        <v>130</v>
      </c>
      <c r="AH567">
        <v>64.48</v>
      </c>
    </row>
    <row r="568" spans="1:34" x14ac:dyDescent="0.3">
      <c r="A568" s="4">
        <v>669</v>
      </c>
      <c r="B568" s="5">
        <v>561</v>
      </c>
      <c r="C568">
        <v>4822</v>
      </c>
      <c r="D568" t="s">
        <v>9175</v>
      </c>
      <c r="E568" t="s">
        <v>406</v>
      </c>
      <c r="F568" t="s">
        <v>343</v>
      </c>
      <c r="G568" t="s">
        <v>19396</v>
      </c>
      <c r="H568">
        <v>20.45</v>
      </c>
      <c r="I568">
        <v>7</v>
      </c>
      <c r="J568">
        <v>0</v>
      </c>
      <c r="K568">
        <v>20</v>
      </c>
      <c r="L568">
        <v>7</v>
      </c>
      <c r="O568">
        <v>7</v>
      </c>
      <c r="P568">
        <v>4</v>
      </c>
      <c r="Q568">
        <v>0</v>
      </c>
      <c r="R568">
        <v>58.45</v>
      </c>
      <c r="S568">
        <v>6</v>
      </c>
      <c r="T568">
        <v>6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6</v>
      </c>
      <c r="AB568">
        <v>0</v>
      </c>
      <c r="AC568">
        <v>0</v>
      </c>
      <c r="AF568" t="s">
        <v>130</v>
      </c>
      <c r="AH568">
        <v>64.45</v>
      </c>
    </row>
    <row r="569" spans="1:34" x14ac:dyDescent="0.3">
      <c r="A569" s="4">
        <v>670</v>
      </c>
      <c r="B569" s="5">
        <v>562</v>
      </c>
      <c r="C569">
        <v>4366</v>
      </c>
      <c r="D569" t="s">
        <v>19397</v>
      </c>
      <c r="E569" t="s">
        <v>41</v>
      </c>
      <c r="F569" t="s">
        <v>136</v>
      </c>
      <c r="G569" t="s">
        <v>19398</v>
      </c>
      <c r="H569">
        <v>21.4</v>
      </c>
      <c r="I569">
        <v>7</v>
      </c>
      <c r="J569">
        <v>0</v>
      </c>
      <c r="K569">
        <v>20</v>
      </c>
      <c r="L569">
        <v>7</v>
      </c>
      <c r="O569">
        <v>7</v>
      </c>
      <c r="P569">
        <v>4</v>
      </c>
      <c r="Q569">
        <v>2</v>
      </c>
      <c r="R569">
        <v>61.4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3</v>
      </c>
      <c r="AC569">
        <v>0</v>
      </c>
      <c r="AD569" t="s">
        <v>130</v>
      </c>
      <c r="AF569" t="s">
        <v>130</v>
      </c>
      <c r="AH569">
        <v>64.400000000000006</v>
      </c>
    </row>
    <row r="570" spans="1:34" x14ac:dyDescent="0.3">
      <c r="A570" s="4">
        <v>671</v>
      </c>
      <c r="B570" s="5">
        <v>563</v>
      </c>
      <c r="C570">
        <v>3523</v>
      </c>
      <c r="D570" t="s">
        <v>9596</v>
      </c>
      <c r="E570" t="s">
        <v>466</v>
      </c>
      <c r="F570" t="s">
        <v>570</v>
      </c>
      <c r="G570" t="s">
        <v>19399</v>
      </c>
      <c r="H570">
        <v>17.38</v>
      </c>
      <c r="I570">
        <v>0</v>
      </c>
      <c r="J570">
        <v>0</v>
      </c>
      <c r="K570">
        <v>20</v>
      </c>
      <c r="N570">
        <v>3</v>
      </c>
      <c r="O570">
        <v>3</v>
      </c>
      <c r="P570">
        <v>4</v>
      </c>
      <c r="Q570">
        <v>2</v>
      </c>
      <c r="R570">
        <v>46.38</v>
      </c>
      <c r="S570">
        <v>18</v>
      </c>
      <c r="T570">
        <v>18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18</v>
      </c>
      <c r="AB570">
        <v>0</v>
      </c>
      <c r="AC570">
        <v>0</v>
      </c>
      <c r="AF570" t="s">
        <v>130</v>
      </c>
      <c r="AH570">
        <v>64.38</v>
      </c>
    </row>
    <row r="571" spans="1:34" x14ac:dyDescent="0.3">
      <c r="A571" s="4">
        <v>672</v>
      </c>
      <c r="B571" s="5">
        <v>564</v>
      </c>
      <c r="C571">
        <v>3255</v>
      </c>
      <c r="D571" t="s">
        <v>19400</v>
      </c>
      <c r="E571" t="s">
        <v>173</v>
      </c>
      <c r="F571" t="s">
        <v>136</v>
      </c>
      <c r="G571" t="s">
        <v>19401</v>
      </c>
      <c r="H571">
        <v>18.28</v>
      </c>
      <c r="I571">
        <v>0</v>
      </c>
      <c r="J571">
        <v>0</v>
      </c>
      <c r="K571">
        <v>28</v>
      </c>
      <c r="M571">
        <v>5</v>
      </c>
      <c r="O571">
        <v>5</v>
      </c>
      <c r="P571">
        <v>4</v>
      </c>
      <c r="Q571">
        <v>0</v>
      </c>
      <c r="R571">
        <v>55.28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9</v>
      </c>
      <c r="AC571">
        <v>0</v>
      </c>
      <c r="AF571" t="s">
        <v>130</v>
      </c>
      <c r="AH571">
        <v>64.28</v>
      </c>
    </row>
    <row r="572" spans="1:34" x14ac:dyDescent="0.3">
      <c r="A572" s="4">
        <v>673</v>
      </c>
      <c r="B572" s="5">
        <v>565</v>
      </c>
      <c r="C572">
        <v>7640</v>
      </c>
      <c r="D572" t="s">
        <v>16223</v>
      </c>
      <c r="E572" t="s">
        <v>935</v>
      </c>
      <c r="F572" t="s">
        <v>30</v>
      </c>
      <c r="G572" t="s">
        <v>19402</v>
      </c>
      <c r="H572">
        <v>20.18</v>
      </c>
      <c r="I572">
        <v>0</v>
      </c>
      <c r="J572">
        <v>0</v>
      </c>
      <c r="K572">
        <v>28</v>
      </c>
      <c r="L572">
        <v>7</v>
      </c>
      <c r="N572">
        <v>3</v>
      </c>
      <c r="O572">
        <v>10</v>
      </c>
      <c r="P572">
        <v>4</v>
      </c>
      <c r="Q572">
        <v>2</v>
      </c>
      <c r="R572">
        <v>64.180000000000007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F572" t="s">
        <v>130</v>
      </c>
      <c r="AH572">
        <v>64.180000000000007</v>
      </c>
    </row>
    <row r="573" spans="1:34" x14ac:dyDescent="0.3">
      <c r="A573" s="4">
        <v>674</v>
      </c>
      <c r="B573" s="5">
        <v>566</v>
      </c>
      <c r="C573">
        <v>156</v>
      </c>
      <c r="D573" t="s">
        <v>19403</v>
      </c>
      <c r="E573" t="s">
        <v>161</v>
      </c>
      <c r="F573" t="s">
        <v>20</v>
      </c>
      <c r="G573" t="s">
        <v>19404</v>
      </c>
      <c r="H573">
        <v>18.98</v>
      </c>
      <c r="I573">
        <v>0</v>
      </c>
      <c r="J573">
        <v>0</v>
      </c>
      <c r="K573">
        <v>28</v>
      </c>
      <c r="L573">
        <v>7</v>
      </c>
      <c r="O573">
        <v>7</v>
      </c>
      <c r="P573">
        <v>4</v>
      </c>
      <c r="Q573">
        <v>0</v>
      </c>
      <c r="R573">
        <v>57.98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6</v>
      </c>
      <c r="AC573">
        <v>0</v>
      </c>
      <c r="AF573" t="s">
        <v>130</v>
      </c>
      <c r="AH573">
        <v>63.98</v>
      </c>
    </row>
    <row r="574" spans="1:34" x14ac:dyDescent="0.3">
      <c r="A574" s="4">
        <v>675</v>
      </c>
      <c r="B574" s="5">
        <v>567</v>
      </c>
      <c r="C574">
        <v>2844</v>
      </c>
      <c r="D574" t="s">
        <v>19405</v>
      </c>
      <c r="E574" t="s">
        <v>550</v>
      </c>
      <c r="F574" t="s">
        <v>81</v>
      </c>
      <c r="G574" t="s">
        <v>19406</v>
      </c>
      <c r="H574">
        <v>16.95</v>
      </c>
      <c r="I574">
        <v>0</v>
      </c>
      <c r="J574">
        <v>0</v>
      </c>
      <c r="K574">
        <v>20</v>
      </c>
      <c r="L574">
        <v>7</v>
      </c>
      <c r="O574">
        <v>7</v>
      </c>
      <c r="P574">
        <v>4</v>
      </c>
      <c r="Q574">
        <v>2</v>
      </c>
      <c r="R574">
        <v>49.95</v>
      </c>
      <c r="S574">
        <v>14</v>
      </c>
      <c r="T574">
        <v>14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14</v>
      </c>
      <c r="AB574">
        <v>0</v>
      </c>
      <c r="AC574">
        <v>0</v>
      </c>
      <c r="AF574" t="s">
        <v>130</v>
      </c>
      <c r="AH574">
        <v>63.95</v>
      </c>
    </row>
    <row r="575" spans="1:34" x14ac:dyDescent="0.3">
      <c r="A575" s="4">
        <v>676</v>
      </c>
      <c r="B575" s="5">
        <v>568</v>
      </c>
      <c r="C575">
        <v>8400</v>
      </c>
      <c r="D575" t="s">
        <v>19407</v>
      </c>
      <c r="E575" t="s">
        <v>19</v>
      </c>
      <c r="F575" t="s">
        <v>81</v>
      </c>
      <c r="G575" t="s">
        <v>19408</v>
      </c>
      <c r="H575">
        <v>17.73</v>
      </c>
      <c r="I575">
        <v>0</v>
      </c>
      <c r="J575">
        <v>0</v>
      </c>
      <c r="K575">
        <v>0</v>
      </c>
      <c r="N575">
        <v>6</v>
      </c>
      <c r="O575">
        <v>6</v>
      </c>
      <c r="P575">
        <v>4</v>
      </c>
      <c r="Q575">
        <v>2</v>
      </c>
      <c r="R575">
        <v>29.73</v>
      </c>
      <c r="S575">
        <v>31</v>
      </c>
      <c r="T575">
        <v>31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31</v>
      </c>
      <c r="AB575">
        <v>3</v>
      </c>
      <c r="AC575">
        <v>0</v>
      </c>
      <c r="AF575" t="s">
        <v>130</v>
      </c>
      <c r="AH575">
        <v>63.73</v>
      </c>
    </row>
    <row r="576" spans="1:34" x14ac:dyDescent="0.3">
      <c r="A576" s="4">
        <v>677</v>
      </c>
      <c r="B576" s="5">
        <v>569</v>
      </c>
      <c r="C576">
        <v>761</v>
      </c>
      <c r="D576" t="s">
        <v>1565</v>
      </c>
      <c r="E576" t="s">
        <v>1450</v>
      </c>
      <c r="F576" t="s">
        <v>81</v>
      </c>
      <c r="G576" t="s">
        <v>19409</v>
      </c>
      <c r="H576">
        <v>15.73</v>
      </c>
      <c r="I576">
        <v>0</v>
      </c>
      <c r="J576">
        <v>0</v>
      </c>
      <c r="K576">
        <v>20</v>
      </c>
      <c r="N576">
        <v>3</v>
      </c>
      <c r="O576">
        <v>3</v>
      </c>
      <c r="P576">
        <v>4</v>
      </c>
      <c r="Q576">
        <v>2</v>
      </c>
      <c r="R576">
        <v>44.73</v>
      </c>
      <c r="S576">
        <v>19</v>
      </c>
      <c r="T576">
        <v>19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19</v>
      </c>
      <c r="AB576">
        <v>0</v>
      </c>
      <c r="AC576">
        <v>0</v>
      </c>
      <c r="AF576" t="s">
        <v>130</v>
      </c>
      <c r="AH576">
        <v>63.73</v>
      </c>
    </row>
    <row r="577" spans="1:34" x14ac:dyDescent="0.3">
      <c r="A577" s="4">
        <v>678</v>
      </c>
      <c r="B577" s="5">
        <v>570</v>
      </c>
      <c r="C577">
        <v>10619</v>
      </c>
      <c r="D577" t="s">
        <v>2335</v>
      </c>
      <c r="E577" t="s">
        <v>26</v>
      </c>
      <c r="F577" t="s">
        <v>19410</v>
      </c>
      <c r="G577" t="s">
        <v>19411</v>
      </c>
      <c r="H577">
        <v>21.6</v>
      </c>
      <c r="I577">
        <v>0</v>
      </c>
      <c r="J577">
        <v>0</v>
      </c>
      <c r="K577">
        <v>0</v>
      </c>
      <c r="O577">
        <v>0</v>
      </c>
      <c r="P577">
        <v>4</v>
      </c>
      <c r="Q577">
        <v>2</v>
      </c>
      <c r="R577">
        <v>27.6</v>
      </c>
      <c r="S577">
        <v>36</v>
      </c>
      <c r="T577">
        <v>36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36</v>
      </c>
      <c r="AB577">
        <v>0</v>
      </c>
      <c r="AC577">
        <v>0</v>
      </c>
      <c r="AF577" t="s">
        <v>130</v>
      </c>
      <c r="AH577">
        <v>63.6</v>
      </c>
    </row>
    <row r="578" spans="1:34" x14ac:dyDescent="0.3">
      <c r="A578" s="4">
        <v>679</v>
      </c>
      <c r="B578" s="5">
        <v>571</v>
      </c>
      <c r="C578">
        <v>15196</v>
      </c>
      <c r="D578" t="s">
        <v>19412</v>
      </c>
      <c r="E578" t="s">
        <v>19413</v>
      </c>
      <c r="F578" t="s">
        <v>1806</v>
      </c>
      <c r="G578" t="s">
        <v>19414</v>
      </c>
      <c r="H578">
        <v>17.579999999999998</v>
      </c>
      <c r="I578">
        <v>0</v>
      </c>
      <c r="J578">
        <v>0</v>
      </c>
      <c r="K578">
        <v>0</v>
      </c>
      <c r="O578">
        <v>0</v>
      </c>
      <c r="P578">
        <v>0</v>
      </c>
      <c r="Q578">
        <v>2</v>
      </c>
      <c r="R578">
        <v>19.579999999999998</v>
      </c>
      <c r="S578">
        <v>44</v>
      </c>
      <c r="T578">
        <v>44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44</v>
      </c>
      <c r="AB578">
        <v>0</v>
      </c>
      <c r="AC578">
        <v>0</v>
      </c>
      <c r="AF578" t="s">
        <v>130</v>
      </c>
      <c r="AH578">
        <v>63.58</v>
      </c>
    </row>
    <row r="579" spans="1:34" x14ac:dyDescent="0.3">
      <c r="A579" s="4">
        <v>680</v>
      </c>
      <c r="B579" s="5">
        <v>572</v>
      </c>
      <c r="C579">
        <v>10687</v>
      </c>
      <c r="D579" t="s">
        <v>2227</v>
      </c>
      <c r="E579" t="s">
        <v>166</v>
      </c>
      <c r="F579" t="s">
        <v>539</v>
      </c>
      <c r="G579" t="s">
        <v>19415</v>
      </c>
      <c r="H579">
        <v>18.53</v>
      </c>
      <c r="I579">
        <v>0</v>
      </c>
      <c r="J579">
        <v>0</v>
      </c>
      <c r="K579">
        <v>20</v>
      </c>
      <c r="N579">
        <v>3</v>
      </c>
      <c r="O579">
        <v>3</v>
      </c>
      <c r="P579">
        <v>4</v>
      </c>
      <c r="Q579">
        <v>0</v>
      </c>
      <c r="R579">
        <v>45.53</v>
      </c>
      <c r="S579">
        <v>18</v>
      </c>
      <c r="T579">
        <v>18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18</v>
      </c>
      <c r="AB579">
        <v>0</v>
      </c>
      <c r="AC579">
        <v>0</v>
      </c>
      <c r="AD579" t="s">
        <v>130</v>
      </c>
      <c r="AF579" t="s">
        <v>130</v>
      </c>
      <c r="AH579">
        <v>63.53</v>
      </c>
    </row>
    <row r="580" spans="1:34" x14ac:dyDescent="0.3">
      <c r="A580" s="4">
        <v>681</v>
      </c>
      <c r="B580" s="5">
        <v>573</v>
      </c>
      <c r="C580">
        <v>3815</v>
      </c>
      <c r="D580" t="s">
        <v>19416</v>
      </c>
      <c r="E580" t="s">
        <v>550</v>
      </c>
      <c r="F580" t="s">
        <v>20</v>
      </c>
      <c r="G580" t="s">
        <v>19417</v>
      </c>
      <c r="H580">
        <v>18.48</v>
      </c>
      <c r="I580">
        <v>7</v>
      </c>
      <c r="J580">
        <v>0</v>
      </c>
      <c r="K580">
        <v>20</v>
      </c>
      <c r="L580">
        <v>7</v>
      </c>
      <c r="M580">
        <v>5</v>
      </c>
      <c r="O580">
        <v>12</v>
      </c>
      <c r="P580">
        <v>4</v>
      </c>
      <c r="Q580">
        <v>2</v>
      </c>
      <c r="R580">
        <v>63.48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F580" t="s">
        <v>130</v>
      </c>
      <c r="AH580">
        <v>63.48</v>
      </c>
    </row>
    <row r="581" spans="1:34" x14ac:dyDescent="0.3">
      <c r="A581" s="4">
        <v>682</v>
      </c>
      <c r="B581" s="5">
        <v>574</v>
      </c>
      <c r="C581">
        <v>11616</v>
      </c>
      <c r="D581" t="s">
        <v>6381</v>
      </c>
      <c r="E581" t="s">
        <v>8652</v>
      </c>
      <c r="F581" t="s">
        <v>328</v>
      </c>
      <c r="G581" t="s">
        <v>19418</v>
      </c>
      <c r="H581">
        <v>19.48</v>
      </c>
      <c r="I581">
        <v>0</v>
      </c>
      <c r="J581">
        <v>0</v>
      </c>
      <c r="K581">
        <v>0</v>
      </c>
      <c r="N581">
        <v>3</v>
      </c>
      <c r="O581">
        <v>3</v>
      </c>
      <c r="P581">
        <v>4</v>
      </c>
      <c r="Q581">
        <v>2</v>
      </c>
      <c r="R581">
        <v>28.48</v>
      </c>
      <c r="S581">
        <v>35</v>
      </c>
      <c r="T581">
        <v>35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35</v>
      </c>
      <c r="AB581">
        <v>0</v>
      </c>
      <c r="AC581">
        <v>0</v>
      </c>
      <c r="AF581" t="s">
        <v>130</v>
      </c>
      <c r="AH581">
        <v>63.48</v>
      </c>
    </row>
    <row r="582" spans="1:34" x14ac:dyDescent="0.3">
      <c r="A582" s="4">
        <v>683</v>
      </c>
      <c r="B582" s="5">
        <v>575</v>
      </c>
      <c r="C582">
        <v>406</v>
      </c>
      <c r="D582" t="s">
        <v>1565</v>
      </c>
      <c r="E582" t="s">
        <v>29</v>
      </c>
      <c r="F582" t="s">
        <v>20</v>
      </c>
      <c r="G582" t="s">
        <v>19419</v>
      </c>
      <c r="H582">
        <v>17.43</v>
      </c>
      <c r="I582">
        <v>0</v>
      </c>
      <c r="J582">
        <v>0</v>
      </c>
      <c r="K582">
        <v>0</v>
      </c>
      <c r="N582">
        <v>3</v>
      </c>
      <c r="O582">
        <v>3</v>
      </c>
      <c r="P582">
        <v>4</v>
      </c>
      <c r="Q582">
        <v>2</v>
      </c>
      <c r="R582">
        <v>26.43</v>
      </c>
      <c r="S582">
        <v>37</v>
      </c>
      <c r="T582">
        <v>37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37</v>
      </c>
      <c r="AB582">
        <v>0</v>
      </c>
      <c r="AC582">
        <v>0</v>
      </c>
      <c r="AF582" t="s">
        <v>130</v>
      </c>
      <c r="AH582">
        <v>63.43</v>
      </c>
    </row>
    <row r="583" spans="1:34" x14ac:dyDescent="0.3">
      <c r="A583" s="4">
        <v>684</v>
      </c>
      <c r="B583" s="5">
        <v>576</v>
      </c>
      <c r="C583">
        <v>4700</v>
      </c>
      <c r="D583" t="s">
        <v>979</v>
      </c>
      <c r="E583" t="s">
        <v>355</v>
      </c>
      <c r="F583" t="s">
        <v>136</v>
      </c>
      <c r="G583" t="s">
        <v>19420</v>
      </c>
      <c r="H583">
        <v>19.399999999999999</v>
      </c>
      <c r="I583">
        <v>0</v>
      </c>
      <c r="J583">
        <v>0</v>
      </c>
      <c r="K583">
        <v>20</v>
      </c>
      <c r="L583">
        <v>7</v>
      </c>
      <c r="O583">
        <v>7</v>
      </c>
      <c r="P583">
        <v>4</v>
      </c>
      <c r="Q583">
        <v>2</v>
      </c>
      <c r="R583">
        <v>52.4</v>
      </c>
      <c r="S583">
        <v>8</v>
      </c>
      <c r="T583">
        <v>8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8</v>
      </c>
      <c r="AB583">
        <v>3</v>
      </c>
      <c r="AC583">
        <v>0</v>
      </c>
      <c r="AF583" t="s">
        <v>130</v>
      </c>
      <c r="AH583">
        <v>63.4</v>
      </c>
    </row>
    <row r="584" spans="1:34" x14ac:dyDescent="0.3">
      <c r="A584" s="4">
        <v>685</v>
      </c>
      <c r="B584" s="5">
        <v>577</v>
      </c>
      <c r="C584">
        <v>4112</v>
      </c>
      <c r="D584" t="s">
        <v>18564</v>
      </c>
      <c r="E584" t="s">
        <v>110</v>
      </c>
      <c r="F584" t="s">
        <v>38</v>
      </c>
      <c r="G584" t="s">
        <v>19421</v>
      </c>
      <c r="H584">
        <v>19.399999999999999</v>
      </c>
      <c r="I584">
        <v>0</v>
      </c>
      <c r="J584">
        <v>0</v>
      </c>
      <c r="K584">
        <v>0</v>
      </c>
      <c r="O584">
        <v>0</v>
      </c>
      <c r="P584">
        <v>4</v>
      </c>
      <c r="Q584">
        <v>0</v>
      </c>
      <c r="R584">
        <v>23.4</v>
      </c>
      <c r="S584">
        <v>40</v>
      </c>
      <c r="T584">
        <v>40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40</v>
      </c>
      <c r="AB584">
        <v>0</v>
      </c>
      <c r="AC584">
        <v>0</v>
      </c>
      <c r="AF584" t="s">
        <v>130</v>
      </c>
      <c r="AH584">
        <v>63.4</v>
      </c>
    </row>
    <row r="585" spans="1:34" x14ac:dyDescent="0.3">
      <c r="A585" s="4">
        <v>686</v>
      </c>
      <c r="B585" s="5">
        <v>578</v>
      </c>
      <c r="C585">
        <v>6029</v>
      </c>
      <c r="D585" t="s">
        <v>3230</v>
      </c>
      <c r="E585" t="s">
        <v>29</v>
      </c>
      <c r="F585" t="s">
        <v>55</v>
      </c>
      <c r="G585" t="s">
        <v>19422</v>
      </c>
      <c r="H585">
        <v>22.35</v>
      </c>
      <c r="I585">
        <v>7</v>
      </c>
      <c r="J585">
        <v>0</v>
      </c>
      <c r="K585">
        <v>0</v>
      </c>
      <c r="L585">
        <v>7</v>
      </c>
      <c r="O585">
        <v>7</v>
      </c>
      <c r="P585">
        <v>4</v>
      </c>
      <c r="Q585">
        <v>2</v>
      </c>
      <c r="R585">
        <v>42.35</v>
      </c>
      <c r="S585">
        <v>18</v>
      </c>
      <c r="T585">
        <v>18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18</v>
      </c>
      <c r="AB585">
        <v>3</v>
      </c>
      <c r="AC585">
        <v>0</v>
      </c>
      <c r="AF585" t="s">
        <v>130</v>
      </c>
      <c r="AH585">
        <v>63.35</v>
      </c>
    </row>
    <row r="586" spans="1:34" x14ac:dyDescent="0.3">
      <c r="A586" s="4">
        <v>687</v>
      </c>
      <c r="B586" s="5">
        <v>579</v>
      </c>
      <c r="C586">
        <v>6168</v>
      </c>
      <c r="D586" t="s">
        <v>16950</v>
      </c>
      <c r="E586" t="s">
        <v>166</v>
      </c>
      <c r="F586" t="s">
        <v>17</v>
      </c>
      <c r="G586" t="s">
        <v>19423</v>
      </c>
      <c r="H586">
        <v>18.25</v>
      </c>
      <c r="I586">
        <v>0</v>
      </c>
      <c r="J586">
        <v>0</v>
      </c>
      <c r="K586">
        <v>20</v>
      </c>
      <c r="N586">
        <v>3</v>
      </c>
      <c r="O586">
        <v>3</v>
      </c>
      <c r="P586">
        <v>4</v>
      </c>
      <c r="Q586">
        <v>0</v>
      </c>
      <c r="R586">
        <v>45.25</v>
      </c>
      <c r="S586">
        <v>18</v>
      </c>
      <c r="T586">
        <v>18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18</v>
      </c>
      <c r="AB586">
        <v>0</v>
      </c>
      <c r="AC586">
        <v>0</v>
      </c>
      <c r="AF586" t="s">
        <v>130</v>
      </c>
      <c r="AH586">
        <v>63.25</v>
      </c>
    </row>
    <row r="587" spans="1:34" x14ac:dyDescent="0.3">
      <c r="A587" s="4">
        <v>688</v>
      </c>
      <c r="B587" s="5">
        <v>580</v>
      </c>
      <c r="C587">
        <v>7782</v>
      </c>
      <c r="D587" t="s">
        <v>10625</v>
      </c>
      <c r="E587" t="s">
        <v>283</v>
      </c>
      <c r="F587" t="s">
        <v>801</v>
      </c>
      <c r="G587" t="s">
        <v>19424</v>
      </c>
      <c r="H587">
        <v>20.23</v>
      </c>
      <c r="I587">
        <v>0</v>
      </c>
      <c r="J587">
        <v>0</v>
      </c>
      <c r="K587">
        <v>20</v>
      </c>
      <c r="L587">
        <v>7</v>
      </c>
      <c r="N587">
        <v>3</v>
      </c>
      <c r="O587">
        <v>10</v>
      </c>
      <c r="P587">
        <v>4</v>
      </c>
      <c r="Q587">
        <v>0</v>
      </c>
      <c r="R587">
        <v>54.23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9</v>
      </c>
      <c r="AC587">
        <v>0</v>
      </c>
      <c r="AF587" t="s">
        <v>130</v>
      </c>
      <c r="AH587">
        <v>63.23</v>
      </c>
    </row>
    <row r="588" spans="1:34" x14ac:dyDescent="0.3">
      <c r="A588" s="4">
        <v>689</v>
      </c>
      <c r="B588" s="5">
        <v>581</v>
      </c>
      <c r="C588">
        <v>4729</v>
      </c>
      <c r="D588" t="s">
        <v>19425</v>
      </c>
      <c r="E588" t="s">
        <v>52</v>
      </c>
      <c r="F588" t="s">
        <v>343</v>
      </c>
      <c r="G588" t="s">
        <v>19426</v>
      </c>
      <c r="H588">
        <v>16.13</v>
      </c>
      <c r="I588">
        <v>0</v>
      </c>
      <c r="J588">
        <v>0</v>
      </c>
      <c r="K588">
        <v>0</v>
      </c>
      <c r="N588">
        <v>3</v>
      </c>
      <c r="O588">
        <v>3</v>
      </c>
      <c r="P588">
        <v>4</v>
      </c>
      <c r="Q588">
        <v>2</v>
      </c>
      <c r="R588">
        <v>25.13</v>
      </c>
      <c r="S588">
        <v>35</v>
      </c>
      <c r="T588">
        <v>35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35</v>
      </c>
      <c r="AB588">
        <v>3</v>
      </c>
      <c r="AC588">
        <v>0</v>
      </c>
      <c r="AF588" t="s">
        <v>130</v>
      </c>
      <c r="AH588">
        <v>63.13</v>
      </c>
    </row>
    <row r="589" spans="1:34" x14ac:dyDescent="0.3">
      <c r="A589" s="4">
        <v>690</v>
      </c>
      <c r="B589" s="5">
        <v>582</v>
      </c>
      <c r="C589">
        <v>10212</v>
      </c>
      <c r="D589" t="s">
        <v>1286</v>
      </c>
      <c r="E589" t="s">
        <v>789</v>
      </c>
      <c r="F589" t="s">
        <v>1023</v>
      </c>
      <c r="G589" t="s">
        <v>19427</v>
      </c>
      <c r="H589">
        <v>18.13</v>
      </c>
      <c r="I589">
        <v>0</v>
      </c>
      <c r="J589">
        <v>0</v>
      </c>
      <c r="K589">
        <v>0</v>
      </c>
      <c r="M589">
        <v>5</v>
      </c>
      <c r="O589">
        <v>5</v>
      </c>
      <c r="P589">
        <v>4</v>
      </c>
      <c r="Q589">
        <v>2</v>
      </c>
      <c r="R589">
        <v>29.13</v>
      </c>
      <c r="S589">
        <v>34</v>
      </c>
      <c r="T589">
        <v>34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34</v>
      </c>
      <c r="AB589">
        <v>0</v>
      </c>
      <c r="AC589">
        <v>0</v>
      </c>
      <c r="AF589" t="s">
        <v>130</v>
      </c>
      <c r="AH589">
        <v>63.13</v>
      </c>
    </row>
    <row r="590" spans="1:34" x14ac:dyDescent="0.3">
      <c r="A590" s="4">
        <v>691</v>
      </c>
      <c r="B590" s="5">
        <v>583</v>
      </c>
      <c r="C590">
        <v>11267</v>
      </c>
      <c r="D590" t="s">
        <v>1129</v>
      </c>
      <c r="E590" t="s">
        <v>166</v>
      </c>
      <c r="F590" t="s">
        <v>20</v>
      </c>
      <c r="G590" t="s">
        <v>19428</v>
      </c>
      <c r="H590">
        <v>19.05</v>
      </c>
      <c r="I590">
        <v>0</v>
      </c>
      <c r="J590">
        <v>0</v>
      </c>
      <c r="K590">
        <v>0</v>
      </c>
      <c r="N590">
        <v>3</v>
      </c>
      <c r="O590">
        <v>3</v>
      </c>
      <c r="P590">
        <v>4</v>
      </c>
      <c r="Q590">
        <v>0</v>
      </c>
      <c r="R590">
        <v>26.05</v>
      </c>
      <c r="S590">
        <v>34</v>
      </c>
      <c r="T590">
        <v>34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34</v>
      </c>
      <c r="AB590">
        <v>3</v>
      </c>
      <c r="AC590">
        <v>0</v>
      </c>
      <c r="AF590" t="s">
        <v>130</v>
      </c>
      <c r="AH590">
        <v>63.05</v>
      </c>
    </row>
    <row r="591" spans="1:34" x14ac:dyDescent="0.3">
      <c r="A591" s="4">
        <v>692</v>
      </c>
      <c r="B591" s="5">
        <v>584</v>
      </c>
      <c r="C591">
        <v>2686</v>
      </c>
      <c r="D591" t="s">
        <v>19429</v>
      </c>
      <c r="E591" t="s">
        <v>29</v>
      </c>
      <c r="F591" t="s">
        <v>6840</v>
      </c>
      <c r="G591" t="s">
        <v>19430</v>
      </c>
      <c r="H591">
        <v>20</v>
      </c>
      <c r="I591">
        <v>7</v>
      </c>
      <c r="J591">
        <v>0</v>
      </c>
      <c r="K591">
        <v>20</v>
      </c>
      <c r="L591">
        <v>7</v>
      </c>
      <c r="N591">
        <v>3</v>
      </c>
      <c r="O591">
        <v>10</v>
      </c>
      <c r="P591">
        <v>4</v>
      </c>
      <c r="Q591">
        <v>2</v>
      </c>
      <c r="R591">
        <v>63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F591" t="s">
        <v>130</v>
      </c>
      <c r="AH591">
        <v>63</v>
      </c>
    </row>
    <row r="592" spans="1:34" x14ac:dyDescent="0.3">
      <c r="A592" s="4">
        <v>693</v>
      </c>
      <c r="B592" s="5">
        <v>585</v>
      </c>
      <c r="C592">
        <v>12203</v>
      </c>
      <c r="D592" t="s">
        <v>2335</v>
      </c>
      <c r="E592" t="s">
        <v>213</v>
      </c>
      <c r="F592" t="s">
        <v>20</v>
      </c>
      <c r="G592" t="s">
        <v>19431</v>
      </c>
      <c r="H592">
        <v>19.98</v>
      </c>
      <c r="I592">
        <v>0</v>
      </c>
      <c r="J592">
        <v>0</v>
      </c>
      <c r="K592">
        <v>0</v>
      </c>
      <c r="N592">
        <v>6</v>
      </c>
      <c r="O592">
        <v>6</v>
      </c>
      <c r="P592">
        <v>4</v>
      </c>
      <c r="Q592">
        <v>0</v>
      </c>
      <c r="R592">
        <v>29.98</v>
      </c>
      <c r="S592">
        <v>27</v>
      </c>
      <c r="T592">
        <v>27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27</v>
      </c>
      <c r="AB592">
        <v>6</v>
      </c>
      <c r="AC592">
        <v>0</v>
      </c>
      <c r="AF592" t="s">
        <v>130</v>
      </c>
      <c r="AH592">
        <v>62.98</v>
      </c>
    </row>
    <row r="593" spans="1:34" x14ac:dyDescent="0.3">
      <c r="A593" s="4">
        <v>694</v>
      </c>
      <c r="B593" s="5">
        <v>586</v>
      </c>
      <c r="C593">
        <v>69</v>
      </c>
      <c r="D593" t="s">
        <v>19432</v>
      </c>
      <c r="E593" t="s">
        <v>38</v>
      </c>
      <c r="F593" t="s">
        <v>17</v>
      </c>
      <c r="G593" t="s">
        <v>19433</v>
      </c>
      <c r="H593">
        <v>16.98</v>
      </c>
      <c r="I593">
        <v>0</v>
      </c>
      <c r="J593">
        <v>0</v>
      </c>
      <c r="K593">
        <v>0</v>
      </c>
      <c r="M593">
        <v>5</v>
      </c>
      <c r="O593">
        <v>5</v>
      </c>
      <c r="P593">
        <v>4</v>
      </c>
      <c r="Q593">
        <v>0</v>
      </c>
      <c r="R593">
        <v>25.98</v>
      </c>
      <c r="S593">
        <v>37</v>
      </c>
      <c r="T593">
        <v>37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37</v>
      </c>
      <c r="AB593">
        <v>0</v>
      </c>
      <c r="AC593">
        <v>0</v>
      </c>
      <c r="AF593" t="s">
        <v>130</v>
      </c>
      <c r="AH593">
        <v>62.98</v>
      </c>
    </row>
    <row r="594" spans="1:34" x14ac:dyDescent="0.3">
      <c r="A594" s="4">
        <v>695</v>
      </c>
      <c r="B594" s="5">
        <v>587</v>
      </c>
      <c r="C594">
        <v>572</v>
      </c>
      <c r="D594" t="s">
        <v>7924</v>
      </c>
      <c r="E594" t="s">
        <v>132</v>
      </c>
      <c r="F594" t="s">
        <v>5378</v>
      </c>
      <c r="G594" t="s">
        <v>19434</v>
      </c>
      <c r="H594">
        <v>21.95</v>
      </c>
      <c r="I594">
        <v>7</v>
      </c>
      <c r="J594">
        <v>0</v>
      </c>
      <c r="K594">
        <v>20</v>
      </c>
      <c r="L594">
        <v>7</v>
      </c>
      <c r="O594">
        <v>7</v>
      </c>
      <c r="P594">
        <v>4</v>
      </c>
      <c r="Q594">
        <v>0</v>
      </c>
      <c r="R594">
        <v>59.95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3</v>
      </c>
      <c r="AC594">
        <v>0</v>
      </c>
      <c r="AF594" t="s">
        <v>130</v>
      </c>
      <c r="AH594">
        <v>62.95</v>
      </c>
    </row>
    <row r="595" spans="1:34" x14ac:dyDescent="0.3">
      <c r="A595" s="4">
        <v>696</v>
      </c>
      <c r="B595" s="5">
        <v>588</v>
      </c>
      <c r="C595">
        <v>10043</v>
      </c>
      <c r="D595" t="s">
        <v>9366</v>
      </c>
      <c r="E595" t="s">
        <v>182</v>
      </c>
      <c r="F595" t="s">
        <v>101</v>
      </c>
      <c r="G595" t="s">
        <v>19435</v>
      </c>
      <c r="H595">
        <v>19.95</v>
      </c>
      <c r="I595">
        <v>0</v>
      </c>
      <c r="J595">
        <v>0</v>
      </c>
      <c r="K595">
        <v>20</v>
      </c>
      <c r="L595">
        <v>7</v>
      </c>
      <c r="O595">
        <v>7</v>
      </c>
      <c r="P595">
        <v>4</v>
      </c>
      <c r="Q595">
        <v>2</v>
      </c>
      <c r="R595">
        <v>52.95</v>
      </c>
      <c r="S595">
        <v>7</v>
      </c>
      <c r="T595">
        <v>7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7</v>
      </c>
      <c r="AB595">
        <v>3</v>
      </c>
      <c r="AC595">
        <v>0</v>
      </c>
      <c r="AF595" t="s">
        <v>130</v>
      </c>
      <c r="AH595">
        <v>62.95</v>
      </c>
    </row>
    <row r="596" spans="1:34" x14ac:dyDescent="0.3">
      <c r="A596" s="4">
        <v>697</v>
      </c>
      <c r="B596" s="5">
        <v>589</v>
      </c>
      <c r="C596">
        <v>4575</v>
      </c>
      <c r="D596" t="s">
        <v>19436</v>
      </c>
      <c r="E596" t="s">
        <v>100</v>
      </c>
      <c r="F596" t="s">
        <v>20</v>
      </c>
      <c r="G596" t="s">
        <v>19437</v>
      </c>
      <c r="H596">
        <v>17.88</v>
      </c>
      <c r="I596">
        <v>0</v>
      </c>
      <c r="J596">
        <v>0</v>
      </c>
      <c r="K596">
        <v>0</v>
      </c>
      <c r="L596">
        <v>7</v>
      </c>
      <c r="O596">
        <v>7</v>
      </c>
      <c r="P596">
        <v>4</v>
      </c>
      <c r="Q596">
        <v>2</v>
      </c>
      <c r="R596">
        <v>30.88</v>
      </c>
      <c r="S596">
        <v>32</v>
      </c>
      <c r="T596">
        <v>32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32</v>
      </c>
      <c r="AB596">
        <v>0</v>
      </c>
      <c r="AC596">
        <v>0</v>
      </c>
      <c r="AF596" t="s">
        <v>130</v>
      </c>
      <c r="AH596">
        <v>62.88</v>
      </c>
    </row>
    <row r="597" spans="1:34" x14ac:dyDescent="0.3">
      <c r="A597" s="4">
        <v>698</v>
      </c>
      <c r="B597" s="5">
        <v>590</v>
      </c>
      <c r="C597">
        <v>3779</v>
      </c>
      <c r="D597" t="s">
        <v>19438</v>
      </c>
      <c r="E597" t="s">
        <v>173</v>
      </c>
      <c r="F597" t="s">
        <v>227</v>
      </c>
      <c r="G597" t="s">
        <v>19439</v>
      </c>
      <c r="H597">
        <v>23.83</v>
      </c>
      <c r="I597">
        <v>7</v>
      </c>
      <c r="J597">
        <v>0</v>
      </c>
      <c r="K597">
        <v>20</v>
      </c>
      <c r="N597">
        <v>3</v>
      </c>
      <c r="O597">
        <v>3</v>
      </c>
      <c r="P597">
        <v>4</v>
      </c>
      <c r="Q597">
        <v>2</v>
      </c>
      <c r="R597">
        <v>59.83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3</v>
      </c>
      <c r="AC597">
        <v>0</v>
      </c>
      <c r="AF597" t="s">
        <v>130</v>
      </c>
      <c r="AH597">
        <v>62.83</v>
      </c>
    </row>
    <row r="598" spans="1:34" x14ac:dyDescent="0.3">
      <c r="A598" s="4">
        <v>699</v>
      </c>
      <c r="B598" s="5">
        <v>591</v>
      </c>
      <c r="C598">
        <v>14240</v>
      </c>
      <c r="D598" t="s">
        <v>19440</v>
      </c>
      <c r="E598" t="s">
        <v>283</v>
      </c>
      <c r="F598" t="s">
        <v>20</v>
      </c>
      <c r="G598" t="s">
        <v>19441</v>
      </c>
      <c r="H598">
        <v>19.8</v>
      </c>
      <c r="I598">
        <v>7</v>
      </c>
      <c r="J598">
        <v>0</v>
      </c>
      <c r="K598">
        <v>20</v>
      </c>
      <c r="O598">
        <v>0</v>
      </c>
      <c r="P598">
        <v>4</v>
      </c>
      <c r="Q598">
        <v>0</v>
      </c>
      <c r="R598">
        <v>50.8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12</v>
      </c>
      <c r="AC598">
        <v>0</v>
      </c>
      <c r="AF598" t="s">
        <v>130</v>
      </c>
      <c r="AH598">
        <v>62.8</v>
      </c>
    </row>
    <row r="599" spans="1:34" x14ac:dyDescent="0.3">
      <c r="A599" s="4">
        <v>700</v>
      </c>
      <c r="B599" s="5">
        <v>592</v>
      </c>
      <c r="C599">
        <v>688</v>
      </c>
      <c r="D599" t="s">
        <v>1565</v>
      </c>
      <c r="E599" t="s">
        <v>166</v>
      </c>
      <c r="F599" t="s">
        <v>158</v>
      </c>
      <c r="G599" t="s">
        <v>19442</v>
      </c>
      <c r="H599">
        <v>18.8</v>
      </c>
      <c r="I599">
        <v>0</v>
      </c>
      <c r="J599">
        <v>0</v>
      </c>
      <c r="K599">
        <v>20</v>
      </c>
      <c r="L599">
        <v>7</v>
      </c>
      <c r="N599">
        <v>3</v>
      </c>
      <c r="O599">
        <v>10</v>
      </c>
      <c r="P599">
        <v>4</v>
      </c>
      <c r="Q599">
        <v>2</v>
      </c>
      <c r="R599">
        <v>54.8</v>
      </c>
      <c r="S599">
        <v>2</v>
      </c>
      <c r="T599">
        <v>2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2</v>
      </c>
      <c r="AB599">
        <v>6</v>
      </c>
      <c r="AC599">
        <v>0</v>
      </c>
      <c r="AD599" t="s">
        <v>130</v>
      </c>
      <c r="AF599" t="s">
        <v>130</v>
      </c>
      <c r="AH599">
        <v>62.8</v>
      </c>
    </row>
    <row r="600" spans="1:34" x14ac:dyDescent="0.3">
      <c r="A600" s="4">
        <v>701</v>
      </c>
      <c r="B600" s="5">
        <v>593</v>
      </c>
      <c r="C600">
        <v>5240</v>
      </c>
      <c r="D600" t="s">
        <v>19443</v>
      </c>
      <c r="E600" t="s">
        <v>29</v>
      </c>
      <c r="F600" t="s">
        <v>68</v>
      </c>
      <c r="G600" t="s">
        <v>19444</v>
      </c>
      <c r="H600">
        <v>20.75</v>
      </c>
      <c r="I600">
        <v>0</v>
      </c>
      <c r="J600">
        <v>0</v>
      </c>
      <c r="K600">
        <v>28</v>
      </c>
      <c r="M600">
        <v>5</v>
      </c>
      <c r="N600">
        <v>3</v>
      </c>
      <c r="O600">
        <v>8</v>
      </c>
      <c r="P600">
        <v>4</v>
      </c>
      <c r="Q600">
        <v>2</v>
      </c>
      <c r="R600">
        <v>62.75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F600" t="s">
        <v>130</v>
      </c>
      <c r="AH600">
        <v>62.75</v>
      </c>
    </row>
    <row r="601" spans="1:34" x14ac:dyDescent="0.3">
      <c r="A601" s="4">
        <v>702</v>
      </c>
      <c r="B601" s="5">
        <v>594</v>
      </c>
      <c r="C601">
        <v>4410</v>
      </c>
      <c r="D601" t="s">
        <v>279</v>
      </c>
      <c r="E601" t="s">
        <v>594</v>
      </c>
      <c r="F601" t="s">
        <v>17</v>
      </c>
      <c r="G601" t="s">
        <v>19445</v>
      </c>
      <c r="H601">
        <v>17.75</v>
      </c>
      <c r="I601">
        <v>0</v>
      </c>
      <c r="J601">
        <v>0</v>
      </c>
      <c r="K601">
        <v>0</v>
      </c>
      <c r="N601">
        <v>3</v>
      </c>
      <c r="O601">
        <v>3</v>
      </c>
      <c r="P601">
        <v>4</v>
      </c>
      <c r="Q601">
        <v>2</v>
      </c>
      <c r="R601">
        <v>26.75</v>
      </c>
      <c r="S601">
        <v>36</v>
      </c>
      <c r="T601">
        <v>36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36</v>
      </c>
      <c r="AB601">
        <v>0</v>
      </c>
      <c r="AC601">
        <v>0</v>
      </c>
      <c r="AF601" t="s">
        <v>130</v>
      </c>
      <c r="AH601">
        <v>62.75</v>
      </c>
    </row>
    <row r="602" spans="1:34" x14ac:dyDescent="0.3">
      <c r="A602" s="4">
        <v>703</v>
      </c>
      <c r="B602" s="5">
        <v>595</v>
      </c>
      <c r="C602">
        <v>14896</v>
      </c>
      <c r="D602" t="s">
        <v>19446</v>
      </c>
      <c r="E602" t="s">
        <v>29</v>
      </c>
      <c r="F602" t="s">
        <v>30</v>
      </c>
      <c r="G602" t="s">
        <v>19447</v>
      </c>
      <c r="H602">
        <v>22.73</v>
      </c>
      <c r="I602">
        <v>7</v>
      </c>
      <c r="J602">
        <v>0</v>
      </c>
      <c r="K602">
        <v>20</v>
      </c>
      <c r="N602">
        <v>3</v>
      </c>
      <c r="O602">
        <v>3</v>
      </c>
      <c r="P602">
        <v>4</v>
      </c>
      <c r="Q602">
        <v>0</v>
      </c>
      <c r="R602">
        <v>56.73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6</v>
      </c>
      <c r="AC602">
        <v>0</v>
      </c>
      <c r="AF602" t="s">
        <v>130</v>
      </c>
      <c r="AH602">
        <v>62.73</v>
      </c>
    </row>
    <row r="603" spans="1:34" x14ac:dyDescent="0.3">
      <c r="A603" s="4">
        <v>704</v>
      </c>
      <c r="B603" s="5">
        <v>596</v>
      </c>
      <c r="C603">
        <v>12267</v>
      </c>
      <c r="D603" t="s">
        <v>1015</v>
      </c>
      <c r="E603" t="s">
        <v>563</v>
      </c>
      <c r="F603" t="s">
        <v>20</v>
      </c>
      <c r="G603" t="s">
        <v>19448</v>
      </c>
      <c r="H603">
        <v>18.7</v>
      </c>
      <c r="I603">
        <v>0</v>
      </c>
      <c r="J603">
        <v>0</v>
      </c>
      <c r="K603">
        <v>20</v>
      </c>
      <c r="L603">
        <v>7</v>
      </c>
      <c r="O603">
        <v>7</v>
      </c>
      <c r="P603">
        <v>4</v>
      </c>
      <c r="Q603">
        <v>0</v>
      </c>
      <c r="R603">
        <v>49.7</v>
      </c>
      <c r="S603">
        <v>13</v>
      </c>
      <c r="T603">
        <v>13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13</v>
      </c>
      <c r="AB603">
        <v>0</v>
      </c>
      <c r="AC603">
        <v>0</v>
      </c>
      <c r="AF603" t="s">
        <v>130</v>
      </c>
      <c r="AH603">
        <v>62.7</v>
      </c>
    </row>
    <row r="604" spans="1:34" x14ac:dyDescent="0.3">
      <c r="A604" s="4">
        <v>705</v>
      </c>
      <c r="B604" s="5">
        <v>597</v>
      </c>
      <c r="C604">
        <v>2357</v>
      </c>
      <c r="D604" t="s">
        <v>19449</v>
      </c>
      <c r="E604" t="s">
        <v>289</v>
      </c>
      <c r="F604" t="s">
        <v>20</v>
      </c>
      <c r="G604" t="s">
        <v>19450</v>
      </c>
      <c r="H604">
        <v>22.65</v>
      </c>
      <c r="I604">
        <v>7</v>
      </c>
      <c r="J604">
        <v>0</v>
      </c>
      <c r="K604">
        <v>20</v>
      </c>
      <c r="N604">
        <v>3</v>
      </c>
      <c r="O604">
        <v>3</v>
      </c>
      <c r="P604">
        <v>4</v>
      </c>
      <c r="Q604">
        <v>0</v>
      </c>
      <c r="R604">
        <v>56.65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6</v>
      </c>
      <c r="AC604">
        <v>0</v>
      </c>
      <c r="AF604" t="s">
        <v>130</v>
      </c>
      <c r="AH604">
        <v>62.65</v>
      </c>
    </row>
    <row r="605" spans="1:34" x14ac:dyDescent="0.3">
      <c r="A605" s="4">
        <v>706</v>
      </c>
      <c r="B605" s="5">
        <v>598</v>
      </c>
      <c r="C605">
        <v>4431</v>
      </c>
      <c r="D605" t="s">
        <v>441</v>
      </c>
      <c r="E605" t="s">
        <v>100</v>
      </c>
      <c r="F605" t="s">
        <v>117</v>
      </c>
      <c r="G605" t="s">
        <v>19451</v>
      </c>
      <c r="H605">
        <v>22.5</v>
      </c>
      <c r="I605">
        <v>7</v>
      </c>
      <c r="J605">
        <v>0</v>
      </c>
      <c r="K605">
        <v>20</v>
      </c>
      <c r="N605">
        <v>3</v>
      </c>
      <c r="O605">
        <v>3</v>
      </c>
      <c r="P605">
        <v>4</v>
      </c>
      <c r="Q605">
        <v>0</v>
      </c>
      <c r="R605">
        <v>56.5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6</v>
      </c>
      <c r="AC605">
        <v>0</v>
      </c>
      <c r="AF605" t="s">
        <v>130</v>
      </c>
      <c r="AH605">
        <v>62.5</v>
      </c>
    </row>
    <row r="606" spans="1:34" x14ac:dyDescent="0.3">
      <c r="A606" s="4">
        <v>707</v>
      </c>
      <c r="B606" s="5">
        <v>599</v>
      </c>
      <c r="C606">
        <v>11099</v>
      </c>
      <c r="D606" t="s">
        <v>19452</v>
      </c>
      <c r="E606" t="s">
        <v>33</v>
      </c>
      <c r="F606" t="s">
        <v>136</v>
      </c>
      <c r="G606" t="s">
        <v>19453</v>
      </c>
      <c r="H606">
        <v>19.5</v>
      </c>
      <c r="I606">
        <v>0</v>
      </c>
      <c r="J606">
        <v>0</v>
      </c>
      <c r="K606">
        <v>28</v>
      </c>
      <c r="N606">
        <v>3</v>
      </c>
      <c r="O606">
        <v>3</v>
      </c>
      <c r="P606">
        <v>4</v>
      </c>
      <c r="Q606">
        <v>2</v>
      </c>
      <c r="R606">
        <v>56.5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6</v>
      </c>
      <c r="AC606">
        <v>0</v>
      </c>
      <c r="AF606" t="s">
        <v>130</v>
      </c>
      <c r="AH606">
        <v>62.5</v>
      </c>
    </row>
    <row r="607" spans="1:34" x14ac:dyDescent="0.3">
      <c r="A607" s="4">
        <v>708</v>
      </c>
      <c r="B607" s="5">
        <v>600</v>
      </c>
      <c r="C607">
        <v>12456</v>
      </c>
      <c r="D607" t="s">
        <v>19454</v>
      </c>
      <c r="E607" t="s">
        <v>10375</v>
      </c>
      <c r="F607" t="s">
        <v>30</v>
      </c>
      <c r="G607" t="s">
        <v>19455</v>
      </c>
      <c r="H607">
        <v>18.5</v>
      </c>
      <c r="I607">
        <v>0</v>
      </c>
      <c r="J607">
        <v>0</v>
      </c>
      <c r="K607">
        <v>0</v>
      </c>
      <c r="N607">
        <v>3</v>
      </c>
      <c r="O607">
        <v>3</v>
      </c>
      <c r="P607">
        <v>4</v>
      </c>
      <c r="Q607">
        <v>2</v>
      </c>
      <c r="R607">
        <v>27.5</v>
      </c>
      <c r="S607">
        <v>35</v>
      </c>
      <c r="T607">
        <v>35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35</v>
      </c>
      <c r="AB607">
        <v>0</v>
      </c>
      <c r="AC607">
        <v>0</v>
      </c>
      <c r="AF607" t="s">
        <v>130</v>
      </c>
      <c r="AH607">
        <v>62.5</v>
      </c>
    </row>
    <row r="608" spans="1:34" x14ac:dyDescent="0.3">
      <c r="A608" s="4">
        <v>709</v>
      </c>
      <c r="B608" s="5">
        <v>601</v>
      </c>
      <c r="C608">
        <v>8399</v>
      </c>
      <c r="D608" t="s">
        <v>3159</v>
      </c>
      <c r="E608" t="s">
        <v>166</v>
      </c>
      <c r="F608" t="s">
        <v>34</v>
      </c>
      <c r="G608" t="s">
        <v>19456</v>
      </c>
      <c r="H608">
        <v>17.45</v>
      </c>
      <c r="I608">
        <v>0</v>
      </c>
      <c r="J608">
        <v>0</v>
      </c>
      <c r="K608">
        <v>0</v>
      </c>
      <c r="N608">
        <v>3</v>
      </c>
      <c r="O608">
        <v>3</v>
      </c>
      <c r="P608">
        <v>4</v>
      </c>
      <c r="Q608">
        <v>2</v>
      </c>
      <c r="R608">
        <v>26.45</v>
      </c>
      <c r="S608">
        <v>36</v>
      </c>
      <c r="T608">
        <v>36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36</v>
      </c>
      <c r="AB608">
        <v>0</v>
      </c>
      <c r="AC608">
        <v>0</v>
      </c>
      <c r="AD608" t="s">
        <v>130</v>
      </c>
      <c r="AF608" t="s">
        <v>130</v>
      </c>
      <c r="AH608">
        <v>62.45</v>
      </c>
    </row>
    <row r="609" spans="1:34" x14ac:dyDescent="0.3">
      <c r="A609" s="4">
        <v>710</v>
      </c>
      <c r="B609" s="5">
        <v>602</v>
      </c>
      <c r="C609">
        <v>788</v>
      </c>
      <c r="D609" t="s">
        <v>10649</v>
      </c>
      <c r="E609" t="s">
        <v>338</v>
      </c>
      <c r="F609" t="s">
        <v>136</v>
      </c>
      <c r="G609" t="s">
        <v>19457</v>
      </c>
      <c r="H609">
        <v>17.43</v>
      </c>
      <c r="I609">
        <v>0</v>
      </c>
      <c r="J609">
        <v>0</v>
      </c>
      <c r="K609">
        <v>0</v>
      </c>
      <c r="L609">
        <v>7</v>
      </c>
      <c r="O609">
        <v>7</v>
      </c>
      <c r="P609">
        <v>4</v>
      </c>
      <c r="Q609">
        <v>2</v>
      </c>
      <c r="R609">
        <v>30.43</v>
      </c>
      <c r="S609">
        <v>32</v>
      </c>
      <c r="T609">
        <v>32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32</v>
      </c>
      <c r="AB609">
        <v>0</v>
      </c>
      <c r="AC609">
        <v>0</v>
      </c>
      <c r="AF609" t="s">
        <v>130</v>
      </c>
      <c r="AH609">
        <v>62.43</v>
      </c>
    </row>
    <row r="610" spans="1:34" x14ac:dyDescent="0.3">
      <c r="A610" s="4">
        <v>711</v>
      </c>
      <c r="B610" s="5">
        <v>603</v>
      </c>
      <c r="C610">
        <v>1450</v>
      </c>
      <c r="D610" t="s">
        <v>19458</v>
      </c>
      <c r="E610" t="s">
        <v>17</v>
      </c>
      <c r="F610" t="s">
        <v>38</v>
      </c>
      <c r="G610" t="s">
        <v>19459</v>
      </c>
      <c r="H610">
        <v>17.38</v>
      </c>
      <c r="I610">
        <v>0</v>
      </c>
      <c r="J610">
        <v>0</v>
      </c>
      <c r="K610">
        <v>0</v>
      </c>
      <c r="L610">
        <v>7</v>
      </c>
      <c r="O610">
        <v>7</v>
      </c>
      <c r="P610">
        <v>4</v>
      </c>
      <c r="Q610">
        <v>2</v>
      </c>
      <c r="R610">
        <v>30.38</v>
      </c>
      <c r="S610">
        <v>32</v>
      </c>
      <c r="T610">
        <v>32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32</v>
      </c>
      <c r="AB610">
        <v>0</v>
      </c>
      <c r="AC610">
        <v>0</v>
      </c>
      <c r="AF610" t="s">
        <v>130</v>
      </c>
      <c r="AH610">
        <v>62.38</v>
      </c>
    </row>
    <row r="611" spans="1:34" x14ac:dyDescent="0.3">
      <c r="A611" s="4">
        <v>712</v>
      </c>
      <c r="B611" s="5">
        <v>604</v>
      </c>
      <c r="C611">
        <v>3439</v>
      </c>
      <c r="D611" t="s">
        <v>3340</v>
      </c>
      <c r="E611" t="s">
        <v>536</v>
      </c>
      <c r="F611" t="s">
        <v>17</v>
      </c>
      <c r="G611" t="s">
        <v>19460</v>
      </c>
      <c r="H611">
        <v>19.38</v>
      </c>
      <c r="I611">
        <v>0</v>
      </c>
      <c r="J611">
        <v>0</v>
      </c>
      <c r="K611">
        <v>0</v>
      </c>
      <c r="N611">
        <v>3</v>
      </c>
      <c r="O611">
        <v>3</v>
      </c>
      <c r="P611">
        <v>4</v>
      </c>
      <c r="Q611">
        <v>0</v>
      </c>
      <c r="R611">
        <v>26.38</v>
      </c>
      <c r="S611">
        <v>36</v>
      </c>
      <c r="T611">
        <v>36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36</v>
      </c>
      <c r="AB611">
        <v>0</v>
      </c>
      <c r="AC611">
        <v>0</v>
      </c>
      <c r="AD611" t="s">
        <v>130</v>
      </c>
      <c r="AF611" t="s">
        <v>130</v>
      </c>
      <c r="AH611">
        <v>62.38</v>
      </c>
    </row>
    <row r="612" spans="1:34" x14ac:dyDescent="0.3">
      <c r="A612" s="4">
        <v>713</v>
      </c>
      <c r="B612" s="5">
        <v>605</v>
      </c>
      <c r="C612">
        <v>945</v>
      </c>
      <c r="D612" t="s">
        <v>17250</v>
      </c>
      <c r="E612" t="s">
        <v>1280</v>
      </c>
      <c r="F612" t="s">
        <v>19461</v>
      </c>
      <c r="G612" t="s">
        <v>19462</v>
      </c>
      <c r="H612">
        <v>18.329999999999998</v>
      </c>
      <c r="I612">
        <v>0</v>
      </c>
      <c r="J612">
        <v>0</v>
      </c>
      <c r="K612">
        <v>28</v>
      </c>
      <c r="L612">
        <v>7</v>
      </c>
      <c r="O612">
        <v>7</v>
      </c>
      <c r="P612">
        <v>4</v>
      </c>
      <c r="Q612">
        <v>2</v>
      </c>
      <c r="R612">
        <v>59.33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3</v>
      </c>
      <c r="AC612">
        <v>0</v>
      </c>
      <c r="AF612" t="s">
        <v>130</v>
      </c>
      <c r="AH612">
        <v>62.33</v>
      </c>
    </row>
    <row r="613" spans="1:34" x14ac:dyDescent="0.3">
      <c r="A613" s="4">
        <v>714</v>
      </c>
      <c r="B613" s="5">
        <v>606</v>
      </c>
      <c r="C613">
        <v>10508</v>
      </c>
      <c r="D613" t="s">
        <v>12023</v>
      </c>
      <c r="E613" t="s">
        <v>19463</v>
      </c>
      <c r="F613" t="s">
        <v>17</v>
      </c>
      <c r="G613" t="s">
        <v>19464</v>
      </c>
      <c r="H613">
        <v>21.3</v>
      </c>
      <c r="I613">
        <v>0</v>
      </c>
      <c r="J613">
        <v>0</v>
      </c>
      <c r="K613">
        <v>20</v>
      </c>
      <c r="L613">
        <v>7</v>
      </c>
      <c r="O613">
        <v>7</v>
      </c>
      <c r="P613">
        <v>4</v>
      </c>
      <c r="Q613">
        <v>2</v>
      </c>
      <c r="R613">
        <v>54.3</v>
      </c>
      <c r="S613">
        <v>8</v>
      </c>
      <c r="T613">
        <v>8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8</v>
      </c>
      <c r="AB613">
        <v>0</v>
      </c>
      <c r="AC613">
        <v>0</v>
      </c>
      <c r="AF613" t="s">
        <v>130</v>
      </c>
      <c r="AH613">
        <v>62.3</v>
      </c>
    </row>
    <row r="614" spans="1:34" x14ac:dyDescent="0.3">
      <c r="A614" s="4">
        <v>716</v>
      </c>
      <c r="B614" s="5">
        <v>607</v>
      </c>
      <c r="C614">
        <v>13380</v>
      </c>
      <c r="D614" t="s">
        <v>19465</v>
      </c>
      <c r="E614" t="s">
        <v>563</v>
      </c>
      <c r="F614" t="s">
        <v>68</v>
      </c>
      <c r="G614" t="s">
        <v>19466</v>
      </c>
      <c r="H614">
        <v>22.23</v>
      </c>
      <c r="I614">
        <v>7</v>
      </c>
      <c r="J614">
        <v>0</v>
      </c>
      <c r="K614">
        <v>20</v>
      </c>
      <c r="N614">
        <v>3</v>
      </c>
      <c r="O614">
        <v>3</v>
      </c>
      <c r="P614">
        <v>4</v>
      </c>
      <c r="Q614">
        <v>0</v>
      </c>
      <c r="R614">
        <v>56.23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6</v>
      </c>
      <c r="AC614">
        <v>0</v>
      </c>
      <c r="AF614" t="s">
        <v>130</v>
      </c>
      <c r="AH614">
        <v>62.23</v>
      </c>
    </row>
    <row r="615" spans="1:34" x14ac:dyDescent="0.3">
      <c r="A615" s="4">
        <v>717</v>
      </c>
      <c r="B615" s="5">
        <v>608</v>
      </c>
      <c r="C615">
        <v>5442</v>
      </c>
      <c r="D615" t="s">
        <v>19467</v>
      </c>
      <c r="E615" t="s">
        <v>41</v>
      </c>
      <c r="F615" t="s">
        <v>2595</v>
      </c>
      <c r="G615" t="s">
        <v>19468</v>
      </c>
      <c r="H615">
        <v>17.23</v>
      </c>
      <c r="I615">
        <v>0</v>
      </c>
      <c r="J615">
        <v>0</v>
      </c>
      <c r="K615">
        <v>0</v>
      </c>
      <c r="L615">
        <v>7</v>
      </c>
      <c r="O615">
        <v>7</v>
      </c>
      <c r="P615">
        <v>4</v>
      </c>
      <c r="Q615">
        <v>2</v>
      </c>
      <c r="R615">
        <v>30.23</v>
      </c>
      <c r="S615">
        <v>32</v>
      </c>
      <c r="T615">
        <v>32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32</v>
      </c>
      <c r="AB615">
        <v>0</v>
      </c>
      <c r="AC615">
        <v>0</v>
      </c>
      <c r="AF615" t="s">
        <v>130</v>
      </c>
      <c r="AH615">
        <v>62.23</v>
      </c>
    </row>
    <row r="616" spans="1:34" x14ac:dyDescent="0.3">
      <c r="A616" s="4">
        <v>718</v>
      </c>
      <c r="B616" s="5">
        <v>609</v>
      </c>
      <c r="C616">
        <v>2101</v>
      </c>
      <c r="D616" t="s">
        <v>19469</v>
      </c>
      <c r="E616" t="s">
        <v>19470</v>
      </c>
      <c r="F616" t="s">
        <v>892</v>
      </c>
      <c r="G616" t="s">
        <v>19471</v>
      </c>
      <c r="H616">
        <v>19.03</v>
      </c>
      <c r="I616">
        <v>0</v>
      </c>
      <c r="J616">
        <v>0</v>
      </c>
      <c r="K616">
        <v>0</v>
      </c>
      <c r="O616">
        <v>0</v>
      </c>
      <c r="P616">
        <v>4</v>
      </c>
      <c r="Q616">
        <v>2</v>
      </c>
      <c r="R616">
        <v>25.03</v>
      </c>
      <c r="S616">
        <v>37</v>
      </c>
      <c r="T616">
        <v>37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37</v>
      </c>
      <c r="AB616">
        <v>0</v>
      </c>
      <c r="AC616">
        <v>0</v>
      </c>
      <c r="AF616" t="s">
        <v>130</v>
      </c>
      <c r="AH616">
        <v>62.03</v>
      </c>
    </row>
    <row r="617" spans="1:34" x14ac:dyDescent="0.3">
      <c r="A617" s="4">
        <v>719</v>
      </c>
      <c r="B617" s="5">
        <v>610</v>
      </c>
      <c r="C617">
        <v>7122</v>
      </c>
      <c r="D617" t="s">
        <v>5345</v>
      </c>
      <c r="E617" t="s">
        <v>29</v>
      </c>
      <c r="F617" t="s">
        <v>81</v>
      </c>
      <c r="G617" t="s">
        <v>19472</v>
      </c>
      <c r="H617">
        <v>19.95</v>
      </c>
      <c r="I617">
        <v>0</v>
      </c>
      <c r="J617">
        <v>0</v>
      </c>
      <c r="K617">
        <v>0</v>
      </c>
      <c r="L617">
        <v>7</v>
      </c>
      <c r="N617">
        <v>3</v>
      </c>
      <c r="O617">
        <v>10</v>
      </c>
      <c r="P617">
        <v>4</v>
      </c>
      <c r="Q617">
        <v>2</v>
      </c>
      <c r="R617">
        <v>35.950000000000003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6</v>
      </c>
      <c r="AC617">
        <v>20</v>
      </c>
      <c r="AF617" t="s">
        <v>130</v>
      </c>
      <c r="AH617">
        <v>61.95</v>
      </c>
    </row>
    <row r="618" spans="1:34" x14ac:dyDescent="0.3">
      <c r="A618" s="4">
        <v>720</v>
      </c>
      <c r="B618" s="5">
        <v>611</v>
      </c>
      <c r="C618">
        <v>13827</v>
      </c>
      <c r="D618" t="s">
        <v>19473</v>
      </c>
      <c r="E618" t="s">
        <v>19474</v>
      </c>
      <c r="F618" t="s">
        <v>38</v>
      </c>
      <c r="G618" t="s">
        <v>19475</v>
      </c>
      <c r="H618">
        <v>18.95</v>
      </c>
      <c r="I618">
        <v>0</v>
      </c>
      <c r="J618">
        <v>0</v>
      </c>
      <c r="K618">
        <v>20</v>
      </c>
      <c r="N618">
        <v>3</v>
      </c>
      <c r="O618">
        <v>3</v>
      </c>
      <c r="P618">
        <v>4</v>
      </c>
      <c r="Q618">
        <v>2</v>
      </c>
      <c r="R618">
        <v>47.95</v>
      </c>
      <c r="S618">
        <v>8</v>
      </c>
      <c r="T618">
        <v>8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8</v>
      </c>
      <c r="AB618">
        <v>6</v>
      </c>
      <c r="AC618">
        <v>0</v>
      </c>
      <c r="AF618" t="s">
        <v>130</v>
      </c>
      <c r="AH618">
        <v>61.95</v>
      </c>
    </row>
    <row r="619" spans="1:34" x14ac:dyDescent="0.3">
      <c r="A619" s="4">
        <v>721</v>
      </c>
      <c r="B619" s="5">
        <v>612</v>
      </c>
      <c r="C619">
        <v>9196</v>
      </c>
      <c r="D619" t="s">
        <v>19476</v>
      </c>
      <c r="E619" t="s">
        <v>54</v>
      </c>
      <c r="F619" t="s">
        <v>652</v>
      </c>
      <c r="G619" t="s">
        <v>19477</v>
      </c>
      <c r="H619">
        <v>19.899999999999999</v>
      </c>
      <c r="I619">
        <v>0</v>
      </c>
      <c r="J619">
        <v>0</v>
      </c>
      <c r="K619">
        <v>20</v>
      </c>
      <c r="L619">
        <v>7</v>
      </c>
      <c r="N619">
        <v>3</v>
      </c>
      <c r="O619">
        <v>10</v>
      </c>
      <c r="P619">
        <v>4</v>
      </c>
      <c r="Q619">
        <v>2</v>
      </c>
      <c r="R619">
        <v>55.9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6</v>
      </c>
      <c r="AC619">
        <v>0</v>
      </c>
      <c r="AF619" t="s">
        <v>130</v>
      </c>
      <c r="AH619">
        <v>61.9</v>
      </c>
    </row>
    <row r="620" spans="1:34" x14ac:dyDescent="0.3">
      <c r="A620" s="4">
        <v>722</v>
      </c>
      <c r="B620" s="5">
        <v>613</v>
      </c>
      <c r="C620">
        <v>9988</v>
      </c>
      <c r="D620" t="s">
        <v>11708</v>
      </c>
      <c r="E620" t="s">
        <v>2150</v>
      </c>
      <c r="F620" t="s">
        <v>62</v>
      </c>
      <c r="G620" t="s">
        <v>19478</v>
      </c>
      <c r="H620">
        <v>16.88</v>
      </c>
      <c r="I620">
        <v>0</v>
      </c>
      <c r="J620">
        <v>0</v>
      </c>
      <c r="K620">
        <v>0</v>
      </c>
      <c r="O620">
        <v>0</v>
      </c>
      <c r="P620">
        <v>4</v>
      </c>
      <c r="Q620">
        <v>2</v>
      </c>
      <c r="R620">
        <v>22.88</v>
      </c>
      <c r="S620">
        <v>36</v>
      </c>
      <c r="T620">
        <v>36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36</v>
      </c>
      <c r="AB620">
        <v>3</v>
      </c>
      <c r="AC620">
        <v>0</v>
      </c>
      <c r="AF620" t="s">
        <v>130</v>
      </c>
      <c r="AH620">
        <v>61.88</v>
      </c>
    </row>
    <row r="621" spans="1:34" x14ac:dyDescent="0.3">
      <c r="A621" s="4">
        <v>723</v>
      </c>
      <c r="B621" s="5">
        <v>614</v>
      </c>
      <c r="C621">
        <v>10601</v>
      </c>
      <c r="D621" t="s">
        <v>10623</v>
      </c>
      <c r="E621" t="s">
        <v>88</v>
      </c>
      <c r="F621" t="s">
        <v>30</v>
      </c>
      <c r="G621" t="s">
        <v>19479</v>
      </c>
      <c r="H621">
        <v>17.850000000000001</v>
      </c>
      <c r="I621">
        <v>0</v>
      </c>
      <c r="J621">
        <v>0</v>
      </c>
      <c r="K621">
        <v>0</v>
      </c>
      <c r="L621">
        <v>7</v>
      </c>
      <c r="O621">
        <v>7</v>
      </c>
      <c r="P621">
        <v>4</v>
      </c>
      <c r="Q621">
        <v>0</v>
      </c>
      <c r="R621">
        <v>28.85</v>
      </c>
      <c r="S621">
        <v>30</v>
      </c>
      <c r="T621">
        <v>30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30</v>
      </c>
      <c r="AB621">
        <v>3</v>
      </c>
      <c r="AC621">
        <v>0</v>
      </c>
      <c r="AF621" t="s">
        <v>130</v>
      </c>
      <c r="AH621">
        <v>61.85</v>
      </c>
    </row>
    <row r="622" spans="1:34" x14ac:dyDescent="0.3">
      <c r="A622" s="4">
        <v>724</v>
      </c>
      <c r="B622" s="5">
        <v>615</v>
      </c>
      <c r="C622">
        <v>1146</v>
      </c>
      <c r="D622" t="s">
        <v>19480</v>
      </c>
      <c r="E622" t="s">
        <v>738</v>
      </c>
      <c r="F622" t="s">
        <v>20</v>
      </c>
      <c r="G622" t="s">
        <v>19481</v>
      </c>
      <c r="H622">
        <v>17.829999999999998</v>
      </c>
      <c r="I622">
        <v>0</v>
      </c>
      <c r="J622">
        <v>0</v>
      </c>
      <c r="K622">
        <v>0</v>
      </c>
      <c r="N622">
        <v>3</v>
      </c>
      <c r="O622">
        <v>3</v>
      </c>
      <c r="P622">
        <v>4</v>
      </c>
      <c r="Q622">
        <v>2</v>
      </c>
      <c r="R622">
        <v>26.83</v>
      </c>
      <c r="S622">
        <v>35</v>
      </c>
      <c r="T622">
        <v>35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35</v>
      </c>
      <c r="AB622">
        <v>0</v>
      </c>
      <c r="AC622">
        <v>0</v>
      </c>
      <c r="AF622" t="s">
        <v>130</v>
      </c>
      <c r="AH622">
        <v>61.83</v>
      </c>
    </row>
    <row r="623" spans="1:34" x14ac:dyDescent="0.3">
      <c r="A623" s="4">
        <v>725</v>
      </c>
      <c r="B623" s="5">
        <v>616</v>
      </c>
      <c r="C623">
        <v>6853</v>
      </c>
      <c r="D623" t="s">
        <v>387</v>
      </c>
      <c r="E623" t="s">
        <v>188</v>
      </c>
      <c r="F623" t="s">
        <v>81</v>
      </c>
      <c r="G623" t="s">
        <v>19482</v>
      </c>
      <c r="H623">
        <v>17.78</v>
      </c>
      <c r="I623">
        <v>0</v>
      </c>
      <c r="J623">
        <v>0</v>
      </c>
      <c r="K623">
        <v>0</v>
      </c>
      <c r="N623">
        <v>3</v>
      </c>
      <c r="O623">
        <v>3</v>
      </c>
      <c r="P623">
        <v>4</v>
      </c>
      <c r="Q623">
        <v>2</v>
      </c>
      <c r="R623">
        <v>26.78</v>
      </c>
      <c r="S623">
        <v>35</v>
      </c>
      <c r="T623">
        <v>35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35</v>
      </c>
      <c r="AB623">
        <v>0</v>
      </c>
      <c r="AC623">
        <v>0</v>
      </c>
      <c r="AF623" t="s">
        <v>130</v>
      </c>
      <c r="AH623">
        <v>61.78</v>
      </c>
    </row>
    <row r="624" spans="1:34" x14ac:dyDescent="0.3">
      <c r="A624" s="4">
        <v>726</v>
      </c>
      <c r="B624" s="5">
        <v>617</v>
      </c>
      <c r="C624">
        <v>12631</v>
      </c>
      <c r="D624" t="s">
        <v>19483</v>
      </c>
      <c r="E624" t="s">
        <v>1056</v>
      </c>
      <c r="F624" t="s">
        <v>81</v>
      </c>
      <c r="G624" t="s">
        <v>19484</v>
      </c>
      <c r="H624">
        <v>19.73</v>
      </c>
      <c r="I624">
        <v>0</v>
      </c>
      <c r="J624">
        <v>0</v>
      </c>
      <c r="K624">
        <v>20</v>
      </c>
      <c r="L624">
        <v>7</v>
      </c>
      <c r="O624">
        <v>7</v>
      </c>
      <c r="P624">
        <v>4</v>
      </c>
      <c r="Q624">
        <v>0</v>
      </c>
      <c r="R624">
        <v>50.73</v>
      </c>
      <c r="S624">
        <v>5</v>
      </c>
      <c r="T624">
        <v>5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5</v>
      </c>
      <c r="AB624">
        <v>6</v>
      </c>
      <c r="AC624">
        <v>0</v>
      </c>
      <c r="AF624" t="s">
        <v>130</v>
      </c>
      <c r="AH624">
        <v>61.73</v>
      </c>
    </row>
    <row r="625" spans="1:34" x14ac:dyDescent="0.3">
      <c r="A625" s="4">
        <v>727</v>
      </c>
      <c r="B625" s="5">
        <v>618</v>
      </c>
      <c r="C625">
        <v>5286</v>
      </c>
      <c r="D625" t="s">
        <v>19485</v>
      </c>
      <c r="E625" t="s">
        <v>37</v>
      </c>
      <c r="F625" t="s">
        <v>136</v>
      </c>
      <c r="G625" t="s">
        <v>19486</v>
      </c>
      <c r="H625">
        <v>17.7</v>
      </c>
      <c r="I625">
        <v>7</v>
      </c>
      <c r="J625">
        <v>0</v>
      </c>
      <c r="K625">
        <v>20</v>
      </c>
      <c r="L625">
        <v>7</v>
      </c>
      <c r="O625">
        <v>7</v>
      </c>
      <c r="P625">
        <v>4</v>
      </c>
      <c r="Q625">
        <v>0</v>
      </c>
      <c r="R625">
        <v>55.7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6</v>
      </c>
      <c r="AC625">
        <v>0</v>
      </c>
      <c r="AF625" t="s">
        <v>130</v>
      </c>
      <c r="AH625">
        <v>61.7</v>
      </c>
    </row>
    <row r="626" spans="1:34" x14ac:dyDescent="0.3">
      <c r="A626" s="4">
        <v>728</v>
      </c>
      <c r="B626" s="5">
        <v>619</v>
      </c>
      <c r="C626">
        <v>2337</v>
      </c>
      <c r="D626" t="s">
        <v>19487</v>
      </c>
      <c r="E626" t="s">
        <v>792</v>
      </c>
      <c r="F626" t="s">
        <v>68</v>
      </c>
      <c r="G626" t="s">
        <v>19488</v>
      </c>
      <c r="H626">
        <v>21.68</v>
      </c>
      <c r="I626">
        <v>7</v>
      </c>
      <c r="J626">
        <v>0</v>
      </c>
      <c r="K626">
        <v>20</v>
      </c>
      <c r="L626">
        <v>7</v>
      </c>
      <c r="O626">
        <v>7</v>
      </c>
      <c r="P626">
        <v>4</v>
      </c>
      <c r="Q626">
        <v>2</v>
      </c>
      <c r="R626">
        <v>61.68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F626" t="s">
        <v>130</v>
      </c>
      <c r="AH626">
        <v>61.68</v>
      </c>
    </row>
    <row r="627" spans="1:34" x14ac:dyDescent="0.3">
      <c r="A627" s="4">
        <v>729</v>
      </c>
      <c r="B627" s="5">
        <v>620</v>
      </c>
      <c r="C627">
        <v>14382</v>
      </c>
      <c r="D627" t="s">
        <v>19489</v>
      </c>
      <c r="E627" t="s">
        <v>3184</v>
      </c>
      <c r="F627" t="s">
        <v>52</v>
      </c>
      <c r="G627">
        <v>28534</v>
      </c>
      <c r="H627">
        <v>23.65</v>
      </c>
      <c r="I627">
        <v>0</v>
      </c>
      <c r="J627">
        <v>0</v>
      </c>
      <c r="K627">
        <v>20</v>
      </c>
      <c r="N627">
        <v>6</v>
      </c>
      <c r="O627">
        <v>6</v>
      </c>
      <c r="P627">
        <v>4</v>
      </c>
      <c r="Q627">
        <v>2</v>
      </c>
      <c r="R627">
        <v>55.65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6</v>
      </c>
      <c r="AC627">
        <v>0</v>
      </c>
      <c r="AF627" t="s">
        <v>130</v>
      </c>
      <c r="AH627">
        <v>61.65</v>
      </c>
    </row>
    <row r="628" spans="1:34" x14ac:dyDescent="0.3">
      <c r="A628" s="4">
        <v>730</v>
      </c>
      <c r="B628" s="5">
        <v>621</v>
      </c>
      <c r="C628">
        <v>9430</v>
      </c>
      <c r="D628" t="s">
        <v>13426</v>
      </c>
      <c r="E628" t="s">
        <v>22</v>
      </c>
      <c r="F628" t="s">
        <v>81</v>
      </c>
      <c r="G628">
        <v>5824</v>
      </c>
      <c r="H628">
        <v>19.600000000000001</v>
      </c>
      <c r="I628">
        <v>0</v>
      </c>
      <c r="J628">
        <v>0</v>
      </c>
      <c r="K628">
        <v>20</v>
      </c>
      <c r="L628">
        <v>7</v>
      </c>
      <c r="O628">
        <v>7</v>
      </c>
      <c r="P628">
        <v>4</v>
      </c>
      <c r="Q628">
        <v>0</v>
      </c>
      <c r="R628">
        <v>50.6</v>
      </c>
      <c r="S628">
        <v>11</v>
      </c>
      <c r="T628">
        <v>11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11</v>
      </c>
      <c r="AB628">
        <v>0</v>
      </c>
      <c r="AC628">
        <v>0</v>
      </c>
      <c r="AF628" t="s">
        <v>130</v>
      </c>
      <c r="AH628">
        <v>61.6</v>
      </c>
    </row>
    <row r="629" spans="1:34" x14ac:dyDescent="0.3">
      <c r="A629" s="4">
        <v>731</v>
      </c>
      <c r="B629" s="5">
        <v>622</v>
      </c>
      <c r="C629">
        <v>12339</v>
      </c>
      <c r="D629" t="s">
        <v>6357</v>
      </c>
      <c r="E629" t="s">
        <v>19490</v>
      </c>
      <c r="F629" t="s">
        <v>3711</v>
      </c>
      <c r="G629" t="s">
        <v>19491</v>
      </c>
      <c r="H629">
        <v>20.6</v>
      </c>
      <c r="I629">
        <v>0</v>
      </c>
      <c r="J629">
        <v>0</v>
      </c>
      <c r="K629">
        <v>0</v>
      </c>
      <c r="N629">
        <v>3</v>
      </c>
      <c r="O629">
        <v>3</v>
      </c>
      <c r="P629">
        <v>4</v>
      </c>
      <c r="Q629">
        <v>2</v>
      </c>
      <c r="R629">
        <v>29.6</v>
      </c>
      <c r="S629">
        <v>32</v>
      </c>
      <c r="T629">
        <v>32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32</v>
      </c>
      <c r="AB629">
        <v>0</v>
      </c>
      <c r="AC629">
        <v>0</v>
      </c>
      <c r="AF629" t="s">
        <v>130</v>
      </c>
      <c r="AH629">
        <v>61.6</v>
      </c>
    </row>
    <row r="630" spans="1:34" x14ac:dyDescent="0.3">
      <c r="A630" s="4">
        <v>732</v>
      </c>
      <c r="B630" s="5">
        <v>623</v>
      </c>
      <c r="C630">
        <v>6817</v>
      </c>
      <c r="D630" t="s">
        <v>19492</v>
      </c>
      <c r="E630" t="s">
        <v>97</v>
      </c>
      <c r="F630" t="s">
        <v>68</v>
      </c>
      <c r="G630" t="s">
        <v>19493</v>
      </c>
      <c r="H630">
        <v>22.5</v>
      </c>
      <c r="I630">
        <v>7</v>
      </c>
      <c r="J630">
        <v>0</v>
      </c>
      <c r="K630">
        <v>20</v>
      </c>
      <c r="N630">
        <v>6</v>
      </c>
      <c r="O630">
        <v>6</v>
      </c>
      <c r="P630">
        <v>4</v>
      </c>
      <c r="Q630">
        <v>2</v>
      </c>
      <c r="R630">
        <v>61.5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F630" t="s">
        <v>130</v>
      </c>
      <c r="AH630">
        <v>61.5</v>
      </c>
    </row>
    <row r="631" spans="1:34" x14ac:dyDescent="0.3">
      <c r="A631" s="4">
        <v>733</v>
      </c>
      <c r="B631" s="5">
        <v>624</v>
      </c>
      <c r="C631">
        <v>740</v>
      </c>
      <c r="D631" t="s">
        <v>19494</v>
      </c>
      <c r="E631" t="s">
        <v>471</v>
      </c>
      <c r="F631" t="s">
        <v>19495</v>
      </c>
      <c r="G631" t="s">
        <v>19496</v>
      </c>
      <c r="H631">
        <v>19.48</v>
      </c>
      <c r="I631">
        <v>0</v>
      </c>
      <c r="J631">
        <v>0</v>
      </c>
      <c r="K631">
        <v>0</v>
      </c>
      <c r="M631">
        <v>5</v>
      </c>
      <c r="O631">
        <v>5</v>
      </c>
      <c r="P631">
        <v>4</v>
      </c>
      <c r="Q631">
        <v>2</v>
      </c>
      <c r="R631">
        <v>30.48</v>
      </c>
      <c r="S631">
        <v>28</v>
      </c>
      <c r="T631">
        <v>28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28</v>
      </c>
      <c r="AB631">
        <v>3</v>
      </c>
      <c r="AC631">
        <v>0</v>
      </c>
      <c r="AD631" t="s">
        <v>130</v>
      </c>
      <c r="AF631" t="s">
        <v>130</v>
      </c>
      <c r="AH631">
        <v>61.48</v>
      </c>
    </row>
    <row r="632" spans="1:34" x14ac:dyDescent="0.3">
      <c r="A632" s="4">
        <v>734</v>
      </c>
      <c r="B632" s="5">
        <v>625</v>
      </c>
      <c r="C632">
        <v>4276</v>
      </c>
      <c r="D632" t="s">
        <v>5162</v>
      </c>
      <c r="E632" t="s">
        <v>97</v>
      </c>
      <c r="F632" t="s">
        <v>243</v>
      </c>
      <c r="G632" t="s">
        <v>19497</v>
      </c>
      <c r="H632">
        <v>19.48</v>
      </c>
      <c r="I632">
        <v>0</v>
      </c>
      <c r="J632">
        <v>0</v>
      </c>
      <c r="K632">
        <v>0</v>
      </c>
      <c r="O632">
        <v>0</v>
      </c>
      <c r="P632">
        <v>4</v>
      </c>
      <c r="Q632">
        <v>0</v>
      </c>
      <c r="R632">
        <v>23.48</v>
      </c>
      <c r="S632">
        <v>35</v>
      </c>
      <c r="T632">
        <v>35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35</v>
      </c>
      <c r="AB632">
        <v>3</v>
      </c>
      <c r="AC632">
        <v>0</v>
      </c>
      <c r="AF632" t="s">
        <v>130</v>
      </c>
      <c r="AH632">
        <v>61.48</v>
      </c>
    </row>
    <row r="633" spans="1:34" x14ac:dyDescent="0.3">
      <c r="A633" s="4">
        <v>735</v>
      </c>
      <c r="B633" s="5">
        <v>626</v>
      </c>
      <c r="C633">
        <v>5865</v>
      </c>
      <c r="D633" t="s">
        <v>2166</v>
      </c>
      <c r="E633" t="s">
        <v>2792</v>
      </c>
      <c r="F633" t="s">
        <v>190</v>
      </c>
      <c r="G633" t="s">
        <v>19498</v>
      </c>
      <c r="H633">
        <v>17.48</v>
      </c>
      <c r="I633">
        <v>0</v>
      </c>
      <c r="J633">
        <v>0</v>
      </c>
      <c r="K633">
        <v>0</v>
      </c>
      <c r="N633">
        <v>3</v>
      </c>
      <c r="O633">
        <v>3</v>
      </c>
      <c r="P633">
        <v>4</v>
      </c>
      <c r="Q633">
        <v>0</v>
      </c>
      <c r="R633">
        <v>24.48</v>
      </c>
      <c r="S633">
        <v>37</v>
      </c>
      <c r="T633">
        <v>37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37</v>
      </c>
      <c r="AB633">
        <v>0</v>
      </c>
      <c r="AC633">
        <v>0</v>
      </c>
      <c r="AF633" t="s">
        <v>130</v>
      </c>
      <c r="AH633">
        <v>61.48</v>
      </c>
    </row>
    <row r="634" spans="1:34" x14ac:dyDescent="0.3">
      <c r="A634" s="4">
        <v>736</v>
      </c>
      <c r="B634" s="5">
        <v>627</v>
      </c>
      <c r="C634">
        <v>8139</v>
      </c>
      <c r="D634" t="s">
        <v>19499</v>
      </c>
      <c r="E634" t="s">
        <v>5630</v>
      </c>
      <c r="F634" t="s">
        <v>259</v>
      </c>
      <c r="G634" t="s">
        <v>19500</v>
      </c>
      <c r="H634">
        <v>19.45</v>
      </c>
      <c r="I634">
        <v>0</v>
      </c>
      <c r="J634">
        <v>0</v>
      </c>
      <c r="K634">
        <v>20</v>
      </c>
      <c r="N634">
        <v>3</v>
      </c>
      <c r="O634">
        <v>3</v>
      </c>
      <c r="P634">
        <v>4</v>
      </c>
      <c r="Q634">
        <v>0</v>
      </c>
      <c r="R634">
        <v>46.45</v>
      </c>
      <c r="S634">
        <v>9</v>
      </c>
      <c r="T634">
        <v>9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9</v>
      </c>
      <c r="AB634">
        <v>6</v>
      </c>
      <c r="AC634">
        <v>0</v>
      </c>
      <c r="AF634" t="s">
        <v>130</v>
      </c>
      <c r="AH634">
        <v>61.45</v>
      </c>
    </row>
    <row r="635" spans="1:34" x14ac:dyDescent="0.3">
      <c r="A635" s="4">
        <v>737</v>
      </c>
      <c r="B635" s="5">
        <v>628</v>
      </c>
      <c r="C635">
        <v>3849</v>
      </c>
      <c r="D635" t="s">
        <v>19501</v>
      </c>
      <c r="E635" t="s">
        <v>132</v>
      </c>
      <c r="F635" t="s">
        <v>892</v>
      </c>
      <c r="G635" t="s">
        <v>19502</v>
      </c>
      <c r="H635">
        <v>16.43</v>
      </c>
      <c r="I635">
        <v>0</v>
      </c>
      <c r="J635">
        <v>0</v>
      </c>
      <c r="K635">
        <v>0</v>
      </c>
      <c r="N635">
        <v>3</v>
      </c>
      <c r="O635">
        <v>3</v>
      </c>
      <c r="P635">
        <v>4</v>
      </c>
      <c r="Q635">
        <v>2</v>
      </c>
      <c r="R635">
        <v>25.43</v>
      </c>
      <c r="S635">
        <v>36</v>
      </c>
      <c r="T635">
        <v>36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36</v>
      </c>
      <c r="AB635">
        <v>0</v>
      </c>
      <c r="AC635">
        <v>0</v>
      </c>
      <c r="AF635" t="s">
        <v>130</v>
      </c>
      <c r="AH635">
        <v>61.43</v>
      </c>
    </row>
    <row r="636" spans="1:34" x14ac:dyDescent="0.3">
      <c r="A636" s="4">
        <v>739</v>
      </c>
      <c r="B636" s="5">
        <v>629</v>
      </c>
      <c r="C636">
        <v>6420</v>
      </c>
      <c r="D636" t="s">
        <v>19503</v>
      </c>
      <c r="E636" t="s">
        <v>178</v>
      </c>
      <c r="F636" t="s">
        <v>259</v>
      </c>
      <c r="G636" t="s">
        <v>19504</v>
      </c>
      <c r="H636">
        <v>19.399999999999999</v>
      </c>
      <c r="I636">
        <v>0</v>
      </c>
      <c r="J636">
        <v>0</v>
      </c>
      <c r="K636">
        <v>0</v>
      </c>
      <c r="N636">
        <v>3</v>
      </c>
      <c r="O636">
        <v>3</v>
      </c>
      <c r="P636">
        <v>4</v>
      </c>
      <c r="Q636">
        <v>0</v>
      </c>
      <c r="R636">
        <v>26.4</v>
      </c>
      <c r="S636">
        <v>35</v>
      </c>
      <c r="T636">
        <v>35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35</v>
      </c>
      <c r="AB636">
        <v>0</v>
      </c>
      <c r="AC636">
        <v>0</v>
      </c>
      <c r="AF636" t="s">
        <v>130</v>
      </c>
      <c r="AH636">
        <v>61.4</v>
      </c>
    </row>
    <row r="637" spans="1:34" x14ac:dyDescent="0.3">
      <c r="A637" s="4">
        <v>740</v>
      </c>
      <c r="B637" s="5">
        <v>630</v>
      </c>
      <c r="C637">
        <v>1794</v>
      </c>
      <c r="D637" t="s">
        <v>19505</v>
      </c>
      <c r="E637" t="s">
        <v>19506</v>
      </c>
      <c r="F637" t="s">
        <v>68</v>
      </c>
      <c r="G637" t="s">
        <v>19507</v>
      </c>
      <c r="H637">
        <v>18.350000000000001</v>
      </c>
      <c r="I637">
        <v>0</v>
      </c>
      <c r="J637">
        <v>0</v>
      </c>
      <c r="K637">
        <v>20</v>
      </c>
      <c r="M637">
        <v>5</v>
      </c>
      <c r="O637">
        <v>5</v>
      </c>
      <c r="P637">
        <v>4</v>
      </c>
      <c r="Q637">
        <v>2</v>
      </c>
      <c r="R637">
        <v>49.35</v>
      </c>
      <c r="S637">
        <v>12</v>
      </c>
      <c r="T637">
        <v>12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12</v>
      </c>
      <c r="AB637">
        <v>0</v>
      </c>
      <c r="AC637">
        <v>0</v>
      </c>
      <c r="AF637" t="s">
        <v>130</v>
      </c>
      <c r="AH637">
        <v>61.35</v>
      </c>
    </row>
    <row r="638" spans="1:34" x14ac:dyDescent="0.3">
      <c r="A638" s="4">
        <v>741</v>
      </c>
      <c r="B638" s="5">
        <v>631</v>
      </c>
      <c r="C638">
        <v>1126</v>
      </c>
      <c r="D638" t="s">
        <v>19508</v>
      </c>
      <c r="E638" t="s">
        <v>516</v>
      </c>
      <c r="F638" t="s">
        <v>62</v>
      </c>
      <c r="G638" t="s">
        <v>19509</v>
      </c>
      <c r="H638">
        <v>18.28</v>
      </c>
      <c r="I638">
        <v>0</v>
      </c>
      <c r="J638">
        <v>0</v>
      </c>
      <c r="K638">
        <v>0</v>
      </c>
      <c r="N638">
        <v>3</v>
      </c>
      <c r="O638">
        <v>3</v>
      </c>
      <c r="P638">
        <v>4</v>
      </c>
      <c r="Q638">
        <v>0</v>
      </c>
      <c r="R638">
        <v>25.28</v>
      </c>
      <c r="S638">
        <v>30</v>
      </c>
      <c r="T638">
        <v>30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30</v>
      </c>
      <c r="AB638">
        <v>6</v>
      </c>
      <c r="AC638">
        <v>0</v>
      </c>
      <c r="AF638" t="s">
        <v>130</v>
      </c>
      <c r="AH638">
        <v>61.28</v>
      </c>
    </row>
    <row r="639" spans="1:34" x14ac:dyDescent="0.3">
      <c r="A639" s="4">
        <v>742</v>
      </c>
      <c r="B639" s="5">
        <v>632</v>
      </c>
      <c r="C639">
        <v>1388</v>
      </c>
      <c r="D639" t="s">
        <v>19510</v>
      </c>
      <c r="E639" t="s">
        <v>286</v>
      </c>
      <c r="F639" t="s">
        <v>570</v>
      </c>
      <c r="G639" t="s">
        <v>19511</v>
      </c>
      <c r="H639">
        <v>18.28</v>
      </c>
      <c r="I639">
        <v>0</v>
      </c>
      <c r="J639">
        <v>0</v>
      </c>
      <c r="K639">
        <v>0</v>
      </c>
      <c r="N639">
        <v>3</v>
      </c>
      <c r="O639">
        <v>3</v>
      </c>
      <c r="P639">
        <v>4</v>
      </c>
      <c r="Q639">
        <v>2</v>
      </c>
      <c r="R639">
        <v>27.28</v>
      </c>
      <c r="S639">
        <v>34</v>
      </c>
      <c r="T639">
        <v>34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34</v>
      </c>
      <c r="AB639">
        <v>0</v>
      </c>
      <c r="AC639">
        <v>0</v>
      </c>
      <c r="AF639" t="s">
        <v>130</v>
      </c>
      <c r="AH639">
        <v>61.28</v>
      </c>
    </row>
    <row r="640" spans="1:34" x14ac:dyDescent="0.3">
      <c r="A640" s="4">
        <v>743</v>
      </c>
      <c r="B640" s="5">
        <v>633</v>
      </c>
      <c r="C640">
        <v>10255</v>
      </c>
      <c r="D640" t="s">
        <v>19512</v>
      </c>
      <c r="E640" t="s">
        <v>19513</v>
      </c>
      <c r="F640" t="s">
        <v>9125</v>
      </c>
      <c r="G640" t="s">
        <v>19514</v>
      </c>
      <c r="H640">
        <v>17.25</v>
      </c>
      <c r="I640">
        <v>0</v>
      </c>
      <c r="J640">
        <v>0</v>
      </c>
      <c r="K640">
        <v>20</v>
      </c>
      <c r="L640">
        <v>14</v>
      </c>
      <c r="O640">
        <v>14</v>
      </c>
      <c r="P640">
        <v>4</v>
      </c>
      <c r="Q640">
        <v>0</v>
      </c>
      <c r="R640">
        <v>55.25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6</v>
      </c>
      <c r="AC640">
        <v>0</v>
      </c>
      <c r="AF640" t="s">
        <v>130</v>
      </c>
      <c r="AH640">
        <v>61.25</v>
      </c>
    </row>
    <row r="641" spans="1:34" x14ac:dyDescent="0.3">
      <c r="A641" s="4">
        <v>744</v>
      </c>
      <c r="B641" s="5">
        <v>634</v>
      </c>
      <c r="C641">
        <v>3027</v>
      </c>
      <c r="D641" t="s">
        <v>2490</v>
      </c>
      <c r="E641" t="s">
        <v>188</v>
      </c>
      <c r="F641" t="s">
        <v>34</v>
      </c>
      <c r="G641" t="s">
        <v>19515</v>
      </c>
      <c r="H641">
        <v>19.2</v>
      </c>
      <c r="I641">
        <v>0</v>
      </c>
      <c r="J641">
        <v>0</v>
      </c>
      <c r="K641">
        <v>0</v>
      </c>
      <c r="N641">
        <v>3</v>
      </c>
      <c r="O641">
        <v>3</v>
      </c>
      <c r="P641">
        <v>4</v>
      </c>
      <c r="Q641">
        <v>0</v>
      </c>
      <c r="R641">
        <v>26.2</v>
      </c>
      <c r="S641">
        <v>35</v>
      </c>
      <c r="T641">
        <v>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35</v>
      </c>
      <c r="AB641">
        <v>0</v>
      </c>
      <c r="AC641">
        <v>0</v>
      </c>
      <c r="AF641" t="s">
        <v>130</v>
      </c>
      <c r="AH641">
        <v>61.2</v>
      </c>
    </row>
    <row r="642" spans="1:34" x14ac:dyDescent="0.3">
      <c r="A642" s="4">
        <v>745</v>
      </c>
      <c r="B642" s="5">
        <v>635</v>
      </c>
      <c r="C642">
        <v>5942</v>
      </c>
      <c r="D642" t="s">
        <v>1422</v>
      </c>
      <c r="E642" t="s">
        <v>88</v>
      </c>
      <c r="F642" t="s">
        <v>259</v>
      </c>
      <c r="G642" t="s">
        <v>19516</v>
      </c>
      <c r="H642">
        <v>19.18</v>
      </c>
      <c r="I642">
        <v>0</v>
      </c>
      <c r="J642">
        <v>0</v>
      </c>
      <c r="K642">
        <v>20</v>
      </c>
      <c r="L642">
        <v>7</v>
      </c>
      <c r="O642">
        <v>7</v>
      </c>
      <c r="P642">
        <v>4</v>
      </c>
      <c r="Q642">
        <v>2</v>
      </c>
      <c r="R642">
        <v>52.18</v>
      </c>
      <c r="S642">
        <v>6</v>
      </c>
      <c r="T642">
        <v>6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6</v>
      </c>
      <c r="AB642">
        <v>3</v>
      </c>
      <c r="AC642">
        <v>0</v>
      </c>
      <c r="AF642" t="s">
        <v>130</v>
      </c>
      <c r="AH642">
        <v>61.18</v>
      </c>
    </row>
    <row r="643" spans="1:34" x14ac:dyDescent="0.3">
      <c r="A643" s="4">
        <v>746</v>
      </c>
      <c r="B643" s="5">
        <v>636</v>
      </c>
      <c r="C643">
        <v>8241</v>
      </c>
      <c r="D643" t="s">
        <v>19517</v>
      </c>
      <c r="E643" t="s">
        <v>19518</v>
      </c>
      <c r="F643" t="s">
        <v>19519</v>
      </c>
      <c r="G643" t="s">
        <v>19520</v>
      </c>
      <c r="H643">
        <v>20.05</v>
      </c>
      <c r="I643">
        <v>0</v>
      </c>
      <c r="J643">
        <v>0</v>
      </c>
      <c r="K643">
        <v>20</v>
      </c>
      <c r="L643">
        <v>7</v>
      </c>
      <c r="M643">
        <v>5</v>
      </c>
      <c r="O643">
        <v>12</v>
      </c>
      <c r="P643">
        <v>4</v>
      </c>
      <c r="Q643">
        <v>2</v>
      </c>
      <c r="R643">
        <v>58.05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3</v>
      </c>
      <c r="AC643">
        <v>0</v>
      </c>
      <c r="AF643" t="s">
        <v>130</v>
      </c>
      <c r="AH643">
        <v>61.05</v>
      </c>
    </row>
    <row r="644" spans="1:34" x14ac:dyDescent="0.3">
      <c r="A644" s="4">
        <v>747</v>
      </c>
      <c r="B644" s="5">
        <v>637</v>
      </c>
      <c r="C644">
        <v>13691</v>
      </c>
      <c r="D644" t="s">
        <v>19521</v>
      </c>
      <c r="E644" t="s">
        <v>26</v>
      </c>
      <c r="F644" t="s">
        <v>17</v>
      </c>
      <c r="G644" t="s">
        <v>19522</v>
      </c>
      <c r="H644">
        <v>19.03</v>
      </c>
      <c r="I644">
        <v>0</v>
      </c>
      <c r="J644">
        <v>0</v>
      </c>
      <c r="K644">
        <v>20</v>
      </c>
      <c r="L644">
        <v>7</v>
      </c>
      <c r="M644">
        <v>5</v>
      </c>
      <c r="O644">
        <v>12</v>
      </c>
      <c r="P644">
        <v>4</v>
      </c>
      <c r="Q644">
        <v>2</v>
      </c>
      <c r="R644">
        <v>57.03</v>
      </c>
      <c r="S644">
        <v>1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1</v>
      </c>
      <c r="AB644">
        <v>3</v>
      </c>
      <c r="AC644">
        <v>0</v>
      </c>
      <c r="AF644" t="s">
        <v>130</v>
      </c>
      <c r="AH644">
        <v>61.03</v>
      </c>
    </row>
    <row r="645" spans="1:34" x14ac:dyDescent="0.3">
      <c r="A645" s="4">
        <v>748</v>
      </c>
      <c r="B645" s="5">
        <v>638</v>
      </c>
      <c r="C645">
        <v>8522</v>
      </c>
      <c r="D645" t="s">
        <v>2989</v>
      </c>
      <c r="E645" t="s">
        <v>19523</v>
      </c>
      <c r="F645" t="s">
        <v>328</v>
      </c>
      <c r="G645" t="s">
        <v>19524</v>
      </c>
      <c r="H645">
        <v>18.98</v>
      </c>
      <c r="I645">
        <v>0</v>
      </c>
      <c r="J645">
        <v>0</v>
      </c>
      <c r="K645">
        <v>0</v>
      </c>
      <c r="O645">
        <v>0</v>
      </c>
      <c r="P645">
        <v>4</v>
      </c>
      <c r="Q645">
        <v>2</v>
      </c>
      <c r="R645">
        <v>24.98</v>
      </c>
      <c r="S645">
        <v>36</v>
      </c>
      <c r="T645">
        <v>36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36</v>
      </c>
      <c r="AB645">
        <v>0</v>
      </c>
      <c r="AC645">
        <v>0</v>
      </c>
      <c r="AF645" t="s">
        <v>130</v>
      </c>
      <c r="AH645">
        <v>60.98</v>
      </c>
    </row>
    <row r="646" spans="1:34" x14ac:dyDescent="0.3">
      <c r="A646" s="4">
        <v>749</v>
      </c>
      <c r="B646" s="5">
        <v>639</v>
      </c>
      <c r="C646">
        <v>3280</v>
      </c>
      <c r="D646" t="s">
        <v>19525</v>
      </c>
      <c r="E646" t="s">
        <v>29</v>
      </c>
      <c r="F646" t="s">
        <v>243</v>
      </c>
      <c r="G646" t="s">
        <v>19526</v>
      </c>
      <c r="H646">
        <v>17.95</v>
      </c>
      <c r="I646">
        <v>7</v>
      </c>
      <c r="J646">
        <v>0</v>
      </c>
      <c r="K646">
        <v>20</v>
      </c>
      <c r="L646">
        <v>7</v>
      </c>
      <c r="O646">
        <v>7</v>
      </c>
      <c r="P646">
        <v>4</v>
      </c>
      <c r="Q646">
        <v>2</v>
      </c>
      <c r="R646">
        <v>57.95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3</v>
      </c>
      <c r="AC646">
        <v>0</v>
      </c>
      <c r="AF646" t="s">
        <v>130</v>
      </c>
      <c r="AH646">
        <v>60.95</v>
      </c>
    </row>
    <row r="647" spans="1:34" x14ac:dyDescent="0.3">
      <c r="A647" s="4">
        <v>750</v>
      </c>
      <c r="B647" s="5">
        <v>640</v>
      </c>
      <c r="C647">
        <v>13061</v>
      </c>
      <c r="D647" t="s">
        <v>18835</v>
      </c>
      <c r="E647" t="s">
        <v>29</v>
      </c>
      <c r="F647" t="s">
        <v>34</v>
      </c>
      <c r="G647" t="s">
        <v>19527</v>
      </c>
      <c r="H647">
        <v>20.88</v>
      </c>
      <c r="I647">
        <v>7</v>
      </c>
      <c r="J647">
        <v>0</v>
      </c>
      <c r="K647">
        <v>20</v>
      </c>
      <c r="N647">
        <v>6</v>
      </c>
      <c r="O647">
        <v>6</v>
      </c>
      <c r="P647">
        <v>4</v>
      </c>
      <c r="Q647">
        <v>0</v>
      </c>
      <c r="R647">
        <v>57.88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</v>
      </c>
      <c r="AC647">
        <v>0</v>
      </c>
      <c r="AF647" t="s">
        <v>130</v>
      </c>
      <c r="AH647">
        <v>60.88</v>
      </c>
    </row>
    <row r="648" spans="1:34" x14ac:dyDescent="0.3">
      <c r="A648" s="4">
        <v>751</v>
      </c>
      <c r="B648" s="5">
        <v>641</v>
      </c>
      <c r="C648">
        <v>11896</v>
      </c>
      <c r="D648" t="s">
        <v>14730</v>
      </c>
      <c r="E648" t="s">
        <v>170</v>
      </c>
      <c r="F648" t="s">
        <v>972</v>
      </c>
      <c r="G648" t="s">
        <v>19528</v>
      </c>
      <c r="H648">
        <v>18.850000000000001</v>
      </c>
      <c r="I648">
        <v>0</v>
      </c>
      <c r="J648">
        <v>0</v>
      </c>
      <c r="K648">
        <v>0</v>
      </c>
      <c r="L648">
        <v>7</v>
      </c>
      <c r="O648">
        <v>7</v>
      </c>
      <c r="P648">
        <v>4</v>
      </c>
      <c r="Q648">
        <v>0</v>
      </c>
      <c r="R648">
        <v>29.85</v>
      </c>
      <c r="S648">
        <v>28</v>
      </c>
      <c r="T648">
        <v>28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28</v>
      </c>
      <c r="AB648">
        <v>3</v>
      </c>
      <c r="AC648">
        <v>0</v>
      </c>
      <c r="AF648" t="s">
        <v>130</v>
      </c>
      <c r="AH648">
        <v>60.85</v>
      </c>
    </row>
    <row r="649" spans="1:34" x14ac:dyDescent="0.3">
      <c r="A649" s="4">
        <v>752</v>
      </c>
      <c r="B649" s="5">
        <v>642</v>
      </c>
      <c r="C649">
        <v>5729</v>
      </c>
      <c r="D649" t="s">
        <v>19529</v>
      </c>
      <c r="E649" t="s">
        <v>19530</v>
      </c>
      <c r="F649" t="s">
        <v>19531</v>
      </c>
      <c r="G649" t="s">
        <v>19532</v>
      </c>
      <c r="H649">
        <v>23.75</v>
      </c>
      <c r="I649">
        <v>0</v>
      </c>
      <c r="J649">
        <v>0</v>
      </c>
      <c r="K649">
        <v>20</v>
      </c>
      <c r="L649">
        <v>7</v>
      </c>
      <c r="O649">
        <v>7</v>
      </c>
      <c r="P649">
        <v>4</v>
      </c>
      <c r="Q649">
        <v>0</v>
      </c>
      <c r="R649">
        <v>54.75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6</v>
      </c>
      <c r="AC649">
        <v>0</v>
      </c>
      <c r="AF649" t="s">
        <v>130</v>
      </c>
      <c r="AH649">
        <v>60.75</v>
      </c>
    </row>
    <row r="650" spans="1:34" x14ac:dyDescent="0.3">
      <c r="A650" s="4">
        <v>753</v>
      </c>
      <c r="B650" s="5">
        <v>643</v>
      </c>
      <c r="C650">
        <v>2371</v>
      </c>
      <c r="D650" t="s">
        <v>19533</v>
      </c>
      <c r="E650" t="s">
        <v>29</v>
      </c>
      <c r="F650" t="s">
        <v>81</v>
      </c>
      <c r="G650" t="s">
        <v>19534</v>
      </c>
      <c r="H650">
        <v>19.75</v>
      </c>
      <c r="I650">
        <v>0</v>
      </c>
      <c r="J650">
        <v>0</v>
      </c>
      <c r="K650">
        <v>0</v>
      </c>
      <c r="N650">
        <v>3</v>
      </c>
      <c r="O650">
        <v>3</v>
      </c>
      <c r="P650">
        <v>4</v>
      </c>
      <c r="Q650">
        <v>0</v>
      </c>
      <c r="R650">
        <v>26.75</v>
      </c>
      <c r="S650">
        <v>31</v>
      </c>
      <c r="T650">
        <v>31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31</v>
      </c>
      <c r="AB650">
        <v>3</v>
      </c>
      <c r="AC650">
        <v>0</v>
      </c>
      <c r="AF650" t="s">
        <v>130</v>
      </c>
      <c r="AH650">
        <v>60.75</v>
      </c>
    </row>
    <row r="651" spans="1:34" x14ac:dyDescent="0.3">
      <c r="A651" s="4">
        <v>754</v>
      </c>
      <c r="B651" s="5">
        <v>644</v>
      </c>
      <c r="C651">
        <v>31</v>
      </c>
      <c r="D651" t="s">
        <v>19535</v>
      </c>
      <c r="E651" t="s">
        <v>1171</v>
      </c>
      <c r="F651" t="s">
        <v>124</v>
      </c>
      <c r="G651" t="s">
        <v>19536</v>
      </c>
      <c r="H651">
        <v>18.75</v>
      </c>
      <c r="I651">
        <v>0</v>
      </c>
      <c r="J651">
        <v>0</v>
      </c>
      <c r="K651">
        <v>0</v>
      </c>
      <c r="O651">
        <v>0</v>
      </c>
      <c r="P651">
        <v>4</v>
      </c>
      <c r="Q651">
        <v>2</v>
      </c>
      <c r="R651">
        <v>24.75</v>
      </c>
      <c r="S651">
        <v>36</v>
      </c>
      <c r="T651">
        <v>36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36</v>
      </c>
      <c r="AB651">
        <v>0</v>
      </c>
      <c r="AC651">
        <v>0</v>
      </c>
      <c r="AF651" t="s">
        <v>130</v>
      </c>
      <c r="AH651">
        <v>60.75</v>
      </c>
    </row>
    <row r="652" spans="1:34" x14ac:dyDescent="0.3">
      <c r="A652" s="4">
        <v>755</v>
      </c>
      <c r="B652" s="5">
        <v>645</v>
      </c>
      <c r="C652">
        <v>2909</v>
      </c>
      <c r="D652" t="s">
        <v>10566</v>
      </c>
      <c r="E652" t="s">
        <v>97</v>
      </c>
      <c r="F652" t="s">
        <v>190</v>
      </c>
      <c r="G652" t="s">
        <v>19537</v>
      </c>
      <c r="H652">
        <v>18.73</v>
      </c>
      <c r="I652">
        <v>0</v>
      </c>
      <c r="J652">
        <v>0</v>
      </c>
      <c r="K652">
        <v>0</v>
      </c>
      <c r="N652">
        <v>3</v>
      </c>
      <c r="O652">
        <v>3</v>
      </c>
      <c r="P652">
        <v>4</v>
      </c>
      <c r="Q652">
        <v>0</v>
      </c>
      <c r="R652">
        <v>25.73</v>
      </c>
      <c r="S652">
        <v>29</v>
      </c>
      <c r="T652">
        <v>29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29</v>
      </c>
      <c r="AB652">
        <v>6</v>
      </c>
      <c r="AC652">
        <v>0</v>
      </c>
      <c r="AF652" t="s">
        <v>130</v>
      </c>
      <c r="AH652">
        <v>60.73</v>
      </c>
    </row>
    <row r="653" spans="1:34" x14ac:dyDescent="0.3">
      <c r="A653" s="4">
        <v>756</v>
      </c>
      <c r="B653" s="5">
        <v>646</v>
      </c>
      <c r="C653">
        <v>8541</v>
      </c>
      <c r="D653" t="s">
        <v>769</v>
      </c>
      <c r="E653" t="s">
        <v>692</v>
      </c>
      <c r="F653" t="s">
        <v>136</v>
      </c>
      <c r="G653" t="s">
        <v>19538</v>
      </c>
      <c r="H653">
        <v>17.73</v>
      </c>
      <c r="I653">
        <v>0</v>
      </c>
      <c r="J653">
        <v>0</v>
      </c>
      <c r="K653">
        <v>0</v>
      </c>
      <c r="L653">
        <v>7</v>
      </c>
      <c r="O653">
        <v>7</v>
      </c>
      <c r="P653">
        <v>4</v>
      </c>
      <c r="Q653">
        <v>0</v>
      </c>
      <c r="R653">
        <v>28.73</v>
      </c>
      <c r="S653">
        <v>32</v>
      </c>
      <c r="T653">
        <v>32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32</v>
      </c>
      <c r="AB653">
        <v>0</v>
      </c>
      <c r="AC653">
        <v>0</v>
      </c>
      <c r="AF653" t="s">
        <v>130</v>
      </c>
      <c r="AH653">
        <v>60.73</v>
      </c>
    </row>
    <row r="654" spans="1:34" x14ac:dyDescent="0.3">
      <c r="A654" s="4">
        <v>757</v>
      </c>
      <c r="B654" s="5">
        <v>647</v>
      </c>
      <c r="C654">
        <v>8641</v>
      </c>
      <c r="D654" t="s">
        <v>7331</v>
      </c>
      <c r="E654" t="s">
        <v>208</v>
      </c>
      <c r="F654" t="s">
        <v>81</v>
      </c>
      <c r="G654" t="s">
        <v>19539</v>
      </c>
      <c r="H654">
        <v>16.73</v>
      </c>
      <c r="I654">
        <v>0</v>
      </c>
      <c r="J654">
        <v>0</v>
      </c>
      <c r="K654">
        <v>0</v>
      </c>
      <c r="N654">
        <v>3</v>
      </c>
      <c r="O654">
        <v>3</v>
      </c>
      <c r="P654">
        <v>4</v>
      </c>
      <c r="Q654">
        <v>0</v>
      </c>
      <c r="R654">
        <v>23.73</v>
      </c>
      <c r="S654">
        <v>37</v>
      </c>
      <c r="T654">
        <v>37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37</v>
      </c>
      <c r="AB654">
        <v>0</v>
      </c>
      <c r="AC654">
        <v>0</v>
      </c>
      <c r="AF654" t="s">
        <v>130</v>
      </c>
      <c r="AH654">
        <v>60.73</v>
      </c>
    </row>
    <row r="655" spans="1:34" x14ac:dyDescent="0.3">
      <c r="A655" s="4">
        <v>758</v>
      </c>
      <c r="B655" s="5">
        <v>648</v>
      </c>
      <c r="C655">
        <v>1463</v>
      </c>
      <c r="D655" t="s">
        <v>19540</v>
      </c>
      <c r="E655" t="s">
        <v>342</v>
      </c>
      <c r="F655" t="s">
        <v>136</v>
      </c>
      <c r="G655" t="s">
        <v>19541</v>
      </c>
      <c r="H655">
        <v>20.53</v>
      </c>
      <c r="I655">
        <v>7</v>
      </c>
      <c r="J655">
        <v>0</v>
      </c>
      <c r="K655">
        <v>20</v>
      </c>
      <c r="L655">
        <v>7</v>
      </c>
      <c r="O655">
        <v>7</v>
      </c>
      <c r="P655">
        <v>4</v>
      </c>
      <c r="Q655">
        <v>2</v>
      </c>
      <c r="R655">
        <v>60.53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F655" t="s">
        <v>130</v>
      </c>
      <c r="AH655">
        <v>60.53</v>
      </c>
    </row>
    <row r="656" spans="1:34" x14ac:dyDescent="0.3">
      <c r="A656" s="4">
        <v>759</v>
      </c>
      <c r="B656" s="5">
        <v>649</v>
      </c>
      <c r="C656">
        <v>5457</v>
      </c>
      <c r="D656" t="s">
        <v>19542</v>
      </c>
      <c r="E656" t="s">
        <v>255</v>
      </c>
      <c r="F656" t="s">
        <v>19495</v>
      </c>
      <c r="G656" t="s">
        <v>19543</v>
      </c>
      <c r="H656">
        <v>17.5</v>
      </c>
      <c r="I656">
        <v>0</v>
      </c>
      <c r="J656">
        <v>0</v>
      </c>
      <c r="K656">
        <v>28</v>
      </c>
      <c r="N656">
        <v>3</v>
      </c>
      <c r="O656">
        <v>3</v>
      </c>
      <c r="P656">
        <v>4</v>
      </c>
      <c r="Q656">
        <v>2</v>
      </c>
      <c r="R656">
        <v>54.5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6</v>
      </c>
      <c r="AC656">
        <v>0</v>
      </c>
      <c r="AF656" t="s">
        <v>130</v>
      </c>
      <c r="AH656">
        <v>60.5</v>
      </c>
    </row>
    <row r="657" spans="1:34" x14ac:dyDescent="0.3">
      <c r="A657" s="4">
        <v>760</v>
      </c>
      <c r="B657" s="5">
        <v>650</v>
      </c>
      <c r="C657">
        <v>1317</v>
      </c>
      <c r="D657" t="s">
        <v>19544</v>
      </c>
      <c r="E657" t="s">
        <v>1371</v>
      </c>
      <c r="F657" t="s">
        <v>3854</v>
      </c>
      <c r="G657" t="s">
        <v>19545</v>
      </c>
      <c r="H657">
        <v>18.45</v>
      </c>
      <c r="I657">
        <v>0</v>
      </c>
      <c r="J657">
        <v>0</v>
      </c>
      <c r="K657">
        <v>0</v>
      </c>
      <c r="O657">
        <v>0</v>
      </c>
      <c r="P657">
        <v>4</v>
      </c>
      <c r="Q657">
        <v>0</v>
      </c>
      <c r="R657">
        <v>22.45</v>
      </c>
      <c r="S657">
        <v>35</v>
      </c>
      <c r="T657">
        <v>35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35</v>
      </c>
      <c r="AB657">
        <v>3</v>
      </c>
      <c r="AC657">
        <v>0</v>
      </c>
      <c r="AF657" t="s">
        <v>130</v>
      </c>
      <c r="AH657">
        <v>60.45</v>
      </c>
    </row>
    <row r="658" spans="1:34" x14ac:dyDescent="0.3">
      <c r="A658" s="4">
        <v>761</v>
      </c>
      <c r="B658" s="5">
        <v>651</v>
      </c>
      <c r="C658">
        <v>1977</v>
      </c>
      <c r="D658" t="s">
        <v>19546</v>
      </c>
      <c r="E658" t="s">
        <v>20</v>
      </c>
      <c r="F658" t="s">
        <v>38</v>
      </c>
      <c r="G658" t="s">
        <v>19547</v>
      </c>
      <c r="H658">
        <v>18.43</v>
      </c>
      <c r="I658">
        <v>0</v>
      </c>
      <c r="J658">
        <v>0</v>
      </c>
      <c r="K658">
        <v>0</v>
      </c>
      <c r="N658">
        <v>3</v>
      </c>
      <c r="O658">
        <v>3</v>
      </c>
      <c r="P658">
        <v>4</v>
      </c>
      <c r="Q658">
        <v>2</v>
      </c>
      <c r="R658">
        <v>27.43</v>
      </c>
      <c r="S658">
        <v>33</v>
      </c>
      <c r="T658">
        <v>33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33</v>
      </c>
      <c r="AB658">
        <v>0</v>
      </c>
      <c r="AC658">
        <v>0</v>
      </c>
      <c r="AF658" t="s">
        <v>130</v>
      </c>
      <c r="AH658">
        <v>60.43</v>
      </c>
    </row>
    <row r="659" spans="1:34" x14ac:dyDescent="0.3">
      <c r="A659" s="4">
        <v>762</v>
      </c>
      <c r="B659" s="5">
        <v>652</v>
      </c>
      <c r="C659">
        <v>8624</v>
      </c>
      <c r="D659" t="s">
        <v>12058</v>
      </c>
      <c r="E659" t="s">
        <v>26</v>
      </c>
      <c r="F659" t="s">
        <v>17</v>
      </c>
      <c r="G659" t="s">
        <v>19548</v>
      </c>
      <c r="H659">
        <v>17.399999999999999</v>
      </c>
      <c r="I659">
        <v>0</v>
      </c>
      <c r="J659">
        <v>0</v>
      </c>
      <c r="K659">
        <v>0</v>
      </c>
      <c r="O659">
        <v>0</v>
      </c>
      <c r="P659">
        <v>4</v>
      </c>
      <c r="Q659">
        <v>0</v>
      </c>
      <c r="R659">
        <v>21.4</v>
      </c>
      <c r="S659">
        <v>33</v>
      </c>
      <c r="T659">
        <v>33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33</v>
      </c>
      <c r="AB659">
        <v>6</v>
      </c>
      <c r="AC659">
        <v>0</v>
      </c>
      <c r="AF659" t="s">
        <v>130</v>
      </c>
      <c r="AH659">
        <v>60.4</v>
      </c>
    </row>
    <row r="660" spans="1:34" x14ac:dyDescent="0.3">
      <c r="A660" s="4">
        <v>763</v>
      </c>
      <c r="B660" s="5">
        <v>653</v>
      </c>
      <c r="C660">
        <v>2534</v>
      </c>
      <c r="D660" t="s">
        <v>19549</v>
      </c>
      <c r="E660" t="s">
        <v>41</v>
      </c>
      <c r="F660" t="s">
        <v>30</v>
      </c>
      <c r="G660" t="s">
        <v>19550</v>
      </c>
      <c r="H660">
        <v>21.33</v>
      </c>
      <c r="I660">
        <v>0</v>
      </c>
      <c r="J660">
        <v>0</v>
      </c>
      <c r="K660">
        <v>20</v>
      </c>
      <c r="L660">
        <v>7</v>
      </c>
      <c r="N660">
        <v>3</v>
      </c>
      <c r="O660">
        <v>10</v>
      </c>
      <c r="P660">
        <v>4</v>
      </c>
      <c r="Q660">
        <v>2</v>
      </c>
      <c r="R660">
        <v>57.33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3</v>
      </c>
      <c r="AC660">
        <v>0</v>
      </c>
      <c r="AF660" t="s">
        <v>130</v>
      </c>
      <c r="AH660">
        <v>60.33</v>
      </c>
    </row>
    <row r="661" spans="1:34" x14ac:dyDescent="0.3">
      <c r="A661" s="4">
        <v>764</v>
      </c>
      <c r="B661" s="5">
        <v>654</v>
      </c>
      <c r="C661">
        <v>11403</v>
      </c>
      <c r="D661" t="s">
        <v>19551</v>
      </c>
      <c r="E661" t="s">
        <v>29</v>
      </c>
      <c r="F661" t="s">
        <v>442</v>
      </c>
      <c r="G661" t="s">
        <v>19552</v>
      </c>
      <c r="H661">
        <v>17.23</v>
      </c>
      <c r="I661">
        <v>0</v>
      </c>
      <c r="J661">
        <v>0</v>
      </c>
      <c r="K661">
        <v>0</v>
      </c>
      <c r="N661">
        <v>3</v>
      </c>
      <c r="O661">
        <v>3</v>
      </c>
      <c r="P661">
        <v>4</v>
      </c>
      <c r="Q661">
        <v>2</v>
      </c>
      <c r="R661">
        <v>26.23</v>
      </c>
      <c r="S661">
        <v>31</v>
      </c>
      <c r="T661">
        <v>31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31</v>
      </c>
      <c r="AB661">
        <v>3</v>
      </c>
      <c r="AC661">
        <v>0</v>
      </c>
      <c r="AF661" t="s">
        <v>130</v>
      </c>
      <c r="AH661">
        <v>60.23</v>
      </c>
    </row>
    <row r="662" spans="1:34" x14ac:dyDescent="0.3">
      <c r="A662" s="4">
        <v>765</v>
      </c>
      <c r="B662" s="5">
        <v>655</v>
      </c>
      <c r="C662">
        <v>6295</v>
      </c>
      <c r="D662" t="s">
        <v>19553</v>
      </c>
      <c r="E662" t="s">
        <v>54</v>
      </c>
      <c r="F662" t="s">
        <v>30</v>
      </c>
      <c r="G662" t="s">
        <v>19554</v>
      </c>
      <c r="H662">
        <v>19.2</v>
      </c>
      <c r="I662">
        <v>0</v>
      </c>
      <c r="J662">
        <v>0</v>
      </c>
      <c r="K662">
        <v>20</v>
      </c>
      <c r="N662">
        <v>3</v>
      </c>
      <c r="O662">
        <v>3</v>
      </c>
      <c r="P662">
        <v>4</v>
      </c>
      <c r="Q662">
        <v>2</v>
      </c>
      <c r="R662">
        <v>48.2</v>
      </c>
      <c r="S662">
        <v>9</v>
      </c>
      <c r="T662">
        <v>9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9</v>
      </c>
      <c r="AB662">
        <v>3</v>
      </c>
      <c r="AC662">
        <v>0</v>
      </c>
      <c r="AF662" t="s">
        <v>130</v>
      </c>
      <c r="AH662">
        <v>60.2</v>
      </c>
    </row>
    <row r="663" spans="1:34" x14ac:dyDescent="0.3">
      <c r="A663" s="4">
        <v>766</v>
      </c>
      <c r="B663" s="5">
        <v>656</v>
      </c>
      <c r="C663">
        <v>7347</v>
      </c>
      <c r="D663" t="s">
        <v>19555</v>
      </c>
      <c r="E663" t="s">
        <v>54</v>
      </c>
      <c r="F663" t="s">
        <v>158</v>
      </c>
      <c r="G663" t="s">
        <v>19556</v>
      </c>
      <c r="H663">
        <v>17.149999999999999</v>
      </c>
      <c r="I663">
        <v>0</v>
      </c>
      <c r="J663">
        <v>0</v>
      </c>
      <c r="K663">
        <v>28</v>
      </c>
      <c r="M663">
        <v>5</v>
      </c>
      <c r="O663">
        <v>5</v>
      </c>
      <c r="P663">
        <v>4</v>
      </c>
      <c r="Q663">
        <v>0</v>
      </c>
      <c r="R663">
        <v>54.15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6</v>
      </c>
      <c r="AC663">
        <v>0</v>
      </c>
      <c r="AF663" t="s">
        <v>130</v>
      </c>
      <c r="AH663">
        <v>60.15</v>
      </c>
    </row>
    <row r="664" spans="1:34" x14ac:dyDescent="0.3">
      <c r="A664" s="4">
        <v>767</v>
      </c>
      <c r="B664" s="5">
        <v>657</v>
      </c>
      <c r="C664">
        <v>6896</v>
      </c>
      <c r="D664" t="s">
        <v>17743</v>
      </c>
      <c r="E664" t="s">
        <v>29</v>
      </c>
      <c r="F664" t="s">
        <v>17</v>
      </c>
      <c r="G664" t="s">
        <v>19557</v>
      </c>
      <c r="H664">
        <v>21.83</v>
      </c>
      <c r="I664">
        <v>7</v>
      </c>
      <c r="J664">
        <v>0</v>
      </c>
      <c r="K664">
        <v>20</v>
      </c>
      <c r="L664">
        <v>7</v>
      </c>
      <c r="O664">
        <v>7</v>
      </c>
      <c r="P664">
        <v>4</v>
      </c>
      <c r="Q664">
        <v>0</v>
      </c>
      <c r="R664">
        <v>59.83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F664" t="s">
        <v>130</v>
      </c>
      <c r="AH664">
        <v>59.83</v>
      </c>
    </row>
    <row r="665" spans="1:34" x14ac:dyDescent="0.3">
      <c r="A665" s="4">
        <v>768</v>
      </c>
      <c r="B665" s="5">
        <v>658</v>
      </c>
      <c r="C665">
        <v>12161</v>
      </c>
      <c r="D665" t="s">
        <v>1746</v>
      </c>
      <c r="E665" t="s">
        <v>29</v>
      </c>
      <c r="F665" t="s">
        <v>124</v>
      </c>
      <c r="G665" t="s">
        <v>19558</v>
      </c>
      <c r="H665">
        <v>17.8</v>
      </c>
      <c r="I665">
        <v>0</v>
      </c>
      <c r="J665">
        <v>0</v>
      </c>
      <c r="K665">
        <v>0</v>
      </c>
      <c r="N665">
        <v>3</v>
      </c>
      <c r="O665">
        <v>3</v>
      </c>
      <c r="P665">
        <v>4</v>
      </c>
      <c r="Q665">
        <v>2</v>
      </c>
      <c r="R665">
        <v>26.8</v>
      </c>
      <c r="S665">
        <v>27</v>
      </c>
      <c r="T665">
        <v>27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27</v>
      </c>
      <c r="AB665">
        <v>6</v>
      </c>
      <c r="AC665">
        <v>0</v>
      </c>
      <c r="AF665" t="s">
        <v>130</v>
      </c>
      <c r="AH665">
        <v>59.8</v>
      </c>
    </row>
    <row r="666" spans="1:34" x14ac:dyDescent="0.3">
      <c r="A666" s="4">
        <v>769</v>
      </c>
      <c r="B666" s="5">
        <v>659</v>
      </c>
      <c r="C666">
        <v>4994</v>
      </c>
      <c r="D666" t="s">
        <v>19559</v>
      </c>
      <c r="E666" t="s">
        <v>4801</v>
      </c>
      <c r="F666" t="s">
        <v>81</v>
      </c>
      <c r="G666" t="s">
        <v>19560</v>
      </c>
      <c r="H666">
        <v>17.78</v>
      </c>
      <c r="I666">
        <v>0</v>
      </c>
      <c r="J666">
        <v>0</v>
      </c>
      <c r="K666">
        <v>0</v>
      </c>
      <c r="N666">
        <v>3</v>
      </c>
      <c r="O666">
        <v>3</v>
      </c>
      <c r="P666">
        <v>4</v>
      </c>
      <c r="Q666">
        <v>2</v>
      </c>
      <c r="R666">
        <v>26.78</v>
      </c>
      <c r="S666">
        <v>33</v>
      </c>
      <c r="T666">
        <v>33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33</v>
      </c>
      <c r="AB666">
        <v>0</v>
      </c>
      <c r="AC666">
        <v>0</v>
      </c>
      <c r="AF666" t="s">
        <v>130</v>
      </c>
      <c r="AH666">
        <v>59.78</v>
      </c>
    </row>
    <row r="667" spans="1:34" x14ac:dyDescent="0.3">
      <c r="A667" s="4">
        <v>770</v>
      </c>
      <c r="B667" s="5">
        <v>660</v>
      </c>
      <c r="C667">
        <v>2765</v>
      </c>
      <c r="D667" t="s">
        <v>19561</v>
      </c>
      <c r="E667" t="s">
        <v>19562</v>
      </c>
      <c r="F667" t="s">
        <v>19563</v>
      </c>
      <c r="G667" t="s">
        <v>19564</v>
      </c>
      <c r="H667">
        <v>21.75</v>
      </c>
      <c r="I667">
        <v>7</v>
      </c>
      <c r="J667">
        <v>0</v>
      </c>
      <c r="K667">
        <v>0</v>
      </c>
      <c r="L667">
        <v>14</v>
      </c>
      <c r="O667">
        <v>14</v>
      </c>
      <c r="P667">
        <v>4</v>
      </c>
      <c r="Q667">
        <v>2</v>
      </c>
      <c r="R667">
        <v>48.75</v>
      </c>
      <c r="S667">
        <v>8</v>
      </c>
      <c r="T667">
        <v>8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8</v>
      </c>
      <c r="AB667">
        <v>3</v>
      </c>
      <c r="AC667">
        <v>0</v>
      </c>
      <c r="AF667" t="s">
        <v>130</v>
      </c>
      <c r="AH667">
        <v>59.75</v>
      </c>
    </row>
    <row r="668" spans="1:34" x14ac:dyDescent="0.3">
      <c r="A668" s="4">
        <v>771</v>
      </c>
      <c r="B668" s="5">
        <v>661</v>
      </c>
      <c r="C668">
        <v>11548</v>
      </c>
      <c r="D668" t="s">
        <v>19565</v>
      </c>
      <c r="E668" t="s">
        <v>19566</v>
      </c>
      <c r="F668" t="s">
        <v>91</v>
      </c>
      <c r="G668" t="s">
        <v>19567</v>
      </c>
      <c r="H668">
        <v>22.73</v>
      </c>
      <c r="I668">
        <v>0</v>
      </c>
      <c r="J668">
        <v>0</v>
      </c>
      <c r="K668">
        <v>20</v>
      </c>
      <c r="L668">
        <v>7</v>
      </c>
      <c r="N668">
        <v>3</v>
      </c>
      <c r="O668">
        <v>10</v>
      </c>
      <c r="P668">
        <v>4</v>
      </c>
      <c r="Q668">
        <v>0</v>
      </c>
      <c r="R668">
        <v>56.73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3</v>
      </c>
      <c r="AC668">
        <v>0</v>
      </c>
      <c r="AF668" t="s">
        <v>130</v>
      </c>
      <c r="AH668">
        <v>59.73</v>
      </c>
    </row>
    <row r="669" spans="1:34" x14ac:dyDescent="0.3">
      <c r="A669" s="4">
        <v>772</v>
      </c>
      <c r="B669" s="5">
        <v>662</v>
      </c>
      <c r="C669">
        <v>12276</v>
      </c>
      <c r="D669" t="s">
        <v>19568</v>
      </c>
      <c r="E669" t="s">
        <v>166</v>
      </c>
      <c r="F669" t="s">
        <v>238</v>
      </c>
      <c r="G669" t="s">
        <v>19569</v>
      </c>
      <c r="H669">
        <v>20.65</v>
      </c>
      <c r="I669">
        <v>0</v>
      </c>
      <c r="J669">
        <v>0</v>
      </c>
      <c r="K669">
        <v>20</v>
      </c>
      <c r="L669">
        <v>7</v>
      </c>
      <c r="O669">
        <v>7</v>
      </c>
      <c r="P669">
        <v>4</v>
      </c>
      <c r="Q669">
        <v>2</v>
      </c>
      <c r="R669">
        <v>53.65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6</v>
      </c>
      <c r="AC669">
        <v>0</v>
      </c>
      <c r="AF669" t="s">
        <v>130</v>
      </c>
      <c r="AH669">
        <v>59.65</v>
      </c>
    </row>
    <row r="670" spans="1:34" x14ac:dyDescent="0.3">
      <c r="A670" s="4">
        <v>773</v>
      </c>
      <c r="B670" s="5">
        <v>663</v>
      </c>
      <c r="C670">
        <v>11296</v>
      </c>
      <c r="D670" t="s">
        <v>19570</v>
      </c>
      <c r="E670" t="s">
        <v>8216</v>
      </c>
      <c r="F670" t="s">
        <v>68</v>
      </c>
      <c r="G670" t="s">
        <v>19571</v>
      </c>
      <c r="H670">
        <v>19.649999999999999</v>
      </c>
      <c r="I670">
        <v>0</v>
      </c>
      <c r="J670">
        <v>0</v>
      </c>
      <c r="K670">
        <v>0</v>
      </c>
      <c r="L670">
        <v>7</v>
      </c>
      <c r="O670">
        <v>7</v>
      </c>
      <c r="P670">
        <v>4</v>
      </c>
      <c r="Q670">
        <v>2</v>
      </c>
      <c r="R670">
        <v>32.65</v>
      </c>
      <c r="S670">
        <v>27</v>
      </c>
      <c r="T670">
        <v>27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27</v>
      </c>
      <c r="AB670">
        <v>0</v>
      </c>
      <c r="AC670">
        <v>0</v>
      </c>
      <c r="AF670" t="s">
        <v>130</v>
      </c>
      <c r="AH670">
        <v>59.65</v>
      </c>
    </row>
    <row r="671" spans="1:34" x14ac:dyDescent="0.3">
      <c r="A671" s="4">
        <v>774</v>
      </c>
      <c r="B671" s="5">
        <v>664</v>
      </c>
      <c r="C671">
        <v>9534</v>
      </c>
      <c r="D671" t="s">
        <v>19572</v>
      </c>
      <c r="E671" t="s">
        <v>243</v>
      </c>
      <c r="F671" t="s">
        <v>20</v>
      </c>
      <c r="G671" t="s">
        <v>19573</v>
      </c>
      <c r="H671">
        <v>20.63</v>
      </c>
      <c r="I671">
        <v>7</v>
      </c>
      <c r="J671">
        <v>0</v>
      </c>
      <c r="K671">
        <v>0</v>
      </c>
      <c r="L671">
        <v>7</v>
      </c>
      <c r="N671">
        <v>3</v>
      </c>
      <c r="O671">
        <v>10</v>
      </c>
      <c r="P671">
        <v>4</v>
      </c>
      <c r="Q671">
        <v>0</v>
      </c>
      <c r="R671">
        <v>41.63</v>
      </c>
      <c r="S671">
        <v>18</v>
      </c>
      <c r="T671">
        <v>18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18</v>
      </c>
      <c r="AB671">
        <v>0</v>
      </c>
      <c r="AC671">
        <v>0</v>
      </c>
      <c r="AF671" t="s">
        <v>130</v>
      </c>
      <c r="AH671">
        <v>59.63</v>
      </c>
    </row>
    <row r="672" spans="1:34" x14ac:dyDescent="0.3">
      <c r="A672" s="4">
        <v>775</v>
      </c>
      <c r="B672" s="5">
        <v>665</v>
      </c>
      <c r="C672">
        <v>7072</v>
      </c>
      <c r="D672" t="s">
        <v>19574</v>
      </c>
      <c r="E672" t="s">
        <v>68</v>
      </c>
      <c r="F672" t="s">
        <v>19575</v>
      </c>
      <c r="G672" t="s">
        <v>19576</v>
      </c>
      <c r="H672">
        <v>21.5</v>
      </c>
      <c r="I672">
        <v>0</v>
      </c>
      <c r="J672">
        <v>0</v>
      </c>
      <c r="K672">
        <v>28</v>
      </c>
      <c r="N672">
        <v>3</v>
      </c>
      <c r="O672">
        <v>3</v>
      </c>
      <c r="P672">
        <v>4</v>
      </c>
      <c r="Q672">
        <v>0</v>
      </c>
      <c r="R672">
        <v>56.5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3</v>
      </c>
      <c r="AC672">
        <v>0</v>
      </c>
      <c r="AF672" t="s">
        <v>130</v>
      </c>
      <c r="AH672">
        <v>59.5</v>
      </c>
    </row>
    <row r="673" spans="1:34" x14ac:dyDescent="0.3">
      <c r="A673" s="4">
        <v>776</v>
      </c>
      <c r="B673" s="5">
        <v>666</v>
      </c>
      <c r="C673">
        <v>10108</v>
      </c>
      <c r="D673" t="s">
        <v>19577</v>
      </c>
      <c r="E673" t="s">
        <v>33</v>
      </c>
      <c r="F673" t="s">
        <v>38</v>
      </c>
      <c r="G673" t="s">
        <v>19578</v>
      </c>
      <c r="H673">
        <v>23.25</v>
      </c>
      <c r="I673">
        <v>0</v>
      </c>
      <c r="J673">
        <v>0</v>
      </c>
      <c r="K673">
        <v>20</v>
      </c>
      <c r="L673">
        <v>7</v>
      </c>
      <c r="N673">
        <v>3</v>
      </c>
      <c r="O673">
        <v>10</v>
      </c>
      <c r="P673">
        <v>4</v>
      </c>
      <c r="Q673">
        <v>2</v>
      </c>
      <c r="R673">
        <v>59.25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F673" t="s">
        <v>130</v>
      </c>
      <c r="AH673">
        <v>59.25</v>
      </c>
    </row>
    <row r="674" spans="1:34" x14ac:dyDescent="0.3">
      <c r="A674" s="4">
        <v>777</v>
      </c>
      <c r="B674" s="5">
        <v>667</v>
      </c>
      <c r="C674">
        <v>825</v>
      </c>
      <c r="D674" t="s">
        <v>19579</v>
      </c>
      <c r="E674" t="s">
        <v>81</v>
      </c>
      <c r="F674" t="s">
        <v>892</v>
      </c>
      <c r="G674" t="s">
        <v>19580</v>
      </c>
      <c r="H674">
        <v>19.18</v>
      </c>
      <c r="I674">
        <v>7</v>
      </c>
      <c r="J674">
        <v>0</v>
      </c>
      <c r="K674">
        <v>0</v>
      </c>
      <c r="N674">
        <v>3</v>
      </c>
      <c r="O674">
        <v>3</v>
      </c>
      <c r="P674">
        <v>4</v>
      </c>
      <c r="Q674">
        <v>2</v>
      </c>
      <c r="R674">
        <v>35.18</v>
      </c>
      <c r="S674">
        <v>18</v>
      </c>
      <c r="T674">
        <v>18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18</v>
      </c>
      <c r="AB674">
        <v>6</v>
      </c>
      <c r="AC674">
        <v>0</v>
      </c>
      <c r="AF674" t="s">
        <v>130</v>
      </c>
      <c r="AH674">
        <v>59.18</v>
      </c>
    </row>
    <row r="675" spans="1:34" x14ac:dyDescent="0.3">
      <c r="A675" s="4">
        <v>779</v>
      </c>
      <c r="B675" s="5">
        <v>668</v>
      </c>
      <c r="C675">
        <v>11076</v>
      </c>
      <c r="D675" t="s">
        <v>19581</v>
      </c>
      <c r="E675" t="s">
        <v>48</v>
      </c>
      <c r="F675" t="s">
        <v>38</v>
      </c>
      <c r="G675" t="s">
        <v>19582</v>
      </c>
      <c r="H675">
        <v>19.079999999999998</v>
      </c>
      <c r="I675">
        <v>0</v>
      </c>
      <c r="J675">
        <v>0</v>
      </c>
      <c r="K675">
        <v>0</v>
      </c>
      <c r="N675">
        <v>3</v>
      </c>
      <c r="O675">
        <v>3</v>
      </c>
      <c r="P675">
        <v>4</v>
      </c>
      <c r="Q675">
        <v>2</v>
      </c>
      <c r="R675">
        <v>28.08</v>
      </c>
      <c r="S675">
        <v>25</v>
      </c>
      <c r="T675">
        <v>25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25</v>
      </c>
      <c r="AB675">
        <v>6</v>
      </c>
      <c r="AC675">
        <v>0</v>
      </c>
      <c r="AF675" t="s">
        <v>130</v>
      </c>
      <c r="AH675">
        <v>59.08</v>
      </c>
    </row>
    <row r="676" spans="1:34" x14ac:dyDescent="0.3">
      <c r="A676" s="4">
        <v>780</v>
      </c>
      <c r="B676" s="5">
        <v>669</v>
      </c>
      <c r="C676">
        <v>8257</v>
      </c>
      <c r="D676" t="s">
        <v>19583</v>
      </c>
      <c r="E676" t="s">
        <v>29</v>
      </c>
      <c r="F676" t="s">
        <v>81</v>
      </c>
      <c r="G676" t="s">
        <v>19584</v>
      </c>
      <c r="H676">
        <v>17.05</v>
      </c>
      <c r="I676">
        <v>0</v>
      </c>
      <c r="J676">
        <v>0</v>
      </c>
      <c r="K676">
        <v>20</v>
      </c>
      <c r="N676">
        <v>3</v>
      </c>
      <c r="O676">
        <v>3</v>
      </c>
      <c r="P676">
        <v>4</v>
      </c>
      <c r="Q676">
        <v>2</v>
      </c>
      <c r="R676">
        <v>46.05</v>
      </c>
      <c r="S676">
        <v>7</v>
      </c>
      <c r="T676">
        <v>7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7</v>
      </c>
      <c r="AB676">
        <v>6</v>
      </c>
      <c r="AC676">
        <v>0</v>
      </c>
      <c r="AF676" t="s">
        <v>130</v>
      </c>
      <c r="AH676">
        <v>59.05</v>
      </c>
    </row>
    <row r="677" spans="1:34" x14ac:dyDescent="0.3">
      <c r="A677" s="4">
        <v>781</v>
      </c>
      <c r="B677" s="5">
        <v>670</v>
      </c>
      <c r="C677">
        <v>1477</v>
      </c>
      <c r="D677" t="s">
        <v>4677</v>
      </c>
      <c r="E677" t="s">
        <v>161</v>
      </c>
      <c r="F677" t="s">
        <v>38</v>
      </c>
      <c r="G677" t="s">
        <v>19585</v>
      </c>
      <c r="H677">
        <v>17.899999999999999</v>
      </c>
      <c r="I677">
        <v>0</v>
      </c>
      <c r="J677">
        <v>0</v>
      </c>
      <c r="K677">
        <v>20</v>
      </c>
      <c r="N677">
        <v>3</v>
      </c>
      <c r="O677">
        <v>3</v>
      </c>
      <c r="P677">
        <v>4</v>
      </c>
      <c r="Q677">
        <v>2</v>
      </c>
      <c r="R677">
        <v>46.9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12</v>
      </c>
      <c r="AC677">
        <v>0</v>
      </c>
      <c r="AD677" t="s">
        <v>130</v>
      </c>
      <c r="AF677" t="s">
        <v>130</v>
      </c>
      <c r="AH677">
        <v>58.9</v>
      </c>
    </row>
    <row r="678" spans="1:34" x14ac:dyDescent="0.3">
      <c r="A678" s="4">
        <v>782</v>
      </c>
      <c r="B678" s="5">
        <v>671</v>
      </c>
      <c r="C678">
        <v>14603</v>
      </c>
      <c r="D678" t="s">
        <v>4887</v>
      </c>
      <c r="E678" t="s">
        <v>1597</v>
      </c>
      <c r="F678" t="s">
        <v>343</v>
      </c>
      <c r="G678" t="s">
        <v>19586</v>
      </c>
      <c r="H678">
        <v>17.899999999999999</v>
      </c>
      <c r="I678">
        <v>0</v>
      </c>
      <c r="J678">
        <v>0</v>
      </c>
      <c r="K678">
        <v>20</v>
      </c>
      <c r="N678">
        <v>3</v>
      </c>
      <c r="O678">
        <v>3</v>
      </c>
      <c r="P678">
        <v>4</v>
      </c>
      <c r="Q678">
        <v>0</v>
      </c>
      <c r="R678">
        <v>44.9</v>
      </c>
      <c r="S678">
        <v>8</v>
      </c>
      <c r="T678">
        <v>8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8</v>
      </c>
      <c r="AB678">
        <v>6</v>
      </c>
      <c r="AC678">
        <v>0</v>
      </c>
      <c r="AF678" t="s">
        <v>130</v>
      </c>
      <c r="AH678">
        <v>58.9</v>
      </c>
    </row>
    <row r="679" spans="1:34" x14ac:dyDescent="0.3">
      <c r="A679" s="4">
        <v>783</v>
      </c>
      <c r="B679" s="5">
        <v>672</v>
      </c>
      <c r="C679">
        <v>1268</v>
      </c>
      <c r="D679" t="s">
        <v>784</v>
      </c>
      <c r="E679" t="s">
        <v>15368</v>
      </c>
      <c r="F679" t="s">
        <v>117</v>
      </c>
      <c r="G679" t="s">
        <v>19587</v>
      </c>
      <c r="H679">
        <v>16.899999999999999</v>
      </c>
      <c r="I679">
        <v>0</v>
      </c>
      <c r="J679">
        <v>0</v>
      </c>
      <c r="K679">
        <v>28</v>
      </c>
      <c r="L679">
        <v>7</v>
      </c>
      <c r="O679">
        <v>7</v>
      </c>
      <c r="P679">
        <v>4</v>
      </c>
      <c r="Q679">
        <v>0</v>
      </c>
      <c r="R679">
        <v>55.9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3</v>
      </c>
      <c r="AC679">
        <v>0</v>
      </c>
      <c r="AF679" t="s">
        <v>130</v>
      </c>
      <c r="AH679">
        <v>58.9</v>
      </c>
    </row>
    <row r="680" spans="1:34" x14ac:dyDescent="0.3">
      <c r="A680" s="4">
        <v>784</v>
      </c>
      <c r="B680" s="5">
        <v>673</v>
      </c>
      <c r="C680">
        <v>2114</v>
      </c>
      <c r="D680" t="s">
        <v>198</v>
      </c>
      <c r="E680" t="s">
        <v>1997</v>
      </c>
      <c r="F680" t="s">
        <v>20</v>
      </c>
      <c r="G680" t="s">
        <v>19588</v>
      </c>
      <c r="H680">
        <v>17.88</v>
      </c>
      <c r="I680">
        <v>0</v>
      </c>
      <c r="J680">
        <v>0</v>
      </c>
      <c r="K680">
        <v>0</v>
      </c>
      <c r="N680">
        <v>3</v>
      </c>
      <c r="O680">
        <v>3</v>
      </c>
      <c r="P680">
        <v>4</v>
      </c>
      <c r="Q680">
        <v>2</v>
      </c>
      <c r="R680">
        <v>26.88</v>
      </c>
      <c r="S680">
        <v>32</v>
      </c>
      <c r="T680">
        <v>32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32</v>
      </c>
      <c r="AB680">
        <v>0</v>
      </c>
      <c r="AC680">
        <v>0</v>
      </c>
      <c r="AF680" t="s">
        <v>130</v>
      </c>
      <c r="AH680">
        <v>58.88</v>
      </c>
    </row>
    <row r="681" spans="1:34" x14ac:dyDescent="0.3">
      <c r="A681" s="4">
        <v>785</v>
      </c>
      <c r="B681" s="5">
        <v>674</v>
      </c>
      <c r="C681">
        <v>1358</v>
      </c>
      <c r="D681" t="s">
        <v>19589</v>
      </c>
      <c r="E681" t="s">
        <v>41</v>
      </c>
      <c r="F681" t="s">
        <v>17</v>
      </c>
      <c r="G681" t="s">
        <v>19590</v>
      </c>
      <c r="H681">
        <v>18.88</v>
      </c>
      <c r="I681">
        <v>0</v>
      </c>
      <c r="J681">
        <v>0</v>
      </c>
      <c r="K681">
        <v>0</v>
      </c>
      <c r="O681">
        <v>0</v>
      </c>
      <c r="P681">
        <v>4</v>
      </c>
      <c r="Q681">
        <v>2</v>
      </c>
      <c r="R681">
        <v>24.88</v>
      </c>
      <c r="S681">
        <v>34</v>
      </c>
      <c r="T681">
        <v>34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34</v>
      </c>
      <c r="AB681">
        <v>0</v>
      </c>
      <c r="AC681">
        <v>0</v>
      </c>
      <c r="AF681" t="s">
        <v>130</v>
      </c>
      <c r="AH681">
        <v>58.88</v>
      </c>
    </row>
    <row r="682" spans="1:34" x14ac:dyDescent="0.3">
      <c r="A682" s="4">
        <v>786</v>
      </c>
      <c r="B682" s="5">
        <v>675</v>
      </c>
      <c r="C682">
        <v>2314</v>
      </c>
      <c r="D682" t="s">
        <v>19591</v>
      </c>
      <c r="E682" t="s">
        <v>471</v>
      </c>
      <c r="F682" t="s">
        <v>62</v>
      </c>
      <c r="G682" t="s">
        <v>19592</v>
      </c>
      <c r="H682">
        <v>18.8</v>
      </c>
      <c r="I682">
        <v>0</v>
      </c>
      <c r="J682">
        <v>0</v>
      </c>
      <c r="K682">
        <v>0</v>
      </c>
      <c r="O682">
        <v>0</v>
      </c>
      <c r="P682">
        <v>4</v>
      </c>
      <c r="Q682">
        <v>2</v>
      </c>
      <c r="R682">
        <v>24.8</v>
      </c>
      <c r="S682">
        <v>34</v>
      </c>
      <c r="T682">
        <v>34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34</v>
      </c>
      <c r="AB682">
        <v>0</v>
      </c>
      <c r="AC682">
        <v>0</v>
      </c>
      <c r="AF682" t="s">
        <v>130</v>
      </c>
      <c r="AH682">
        <v>58.8</v>
      </c>
    </row>
    <row r="683" spans="1:34" x14ac:dyDescent="0.3">
      <c r="A683" s="4">
        <v>787</v>
      </c>
      <c r="B683" s="5">
        <v>676</v>
      </c>
      <c r="C683">
        <v>11252</v>
      </c>
      <c r="D683" t="s">
        <v>6928</v>
      </c>
      <c r="E683" t="s">
        <v>1815</v>
      </c>
      <c r="F683" t="s">
        <v>68</v>
      </c>
      <c r="G683" t="s">
        <v>19593</v>
      </c>
      <c r="H683">
        <v>21.75</v>
      </c>
      <c r="I683">
        <v>0</v>
      </c>
      <c r="J683">
        <v>0</v>
      </c>
      <c r="K683">
        <v>20</v>
      </c>
      <c r="L683">
        <v>7</v>
      </c>
      <c r="O683">
        <v>7</v>
      </c>
      <c r="P683">
        <v>4</v>
      </c>
      <c r="Q683">
        <v>0</v>
      </c>
      <c r="R683">
        <v>52.75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6</v>
      </c>
      <c r="AC683">
        <v>0</v>
      </c>
      <c r="AF683" t="s">
        <v>130</v>
      </c>
      <c r="AH683">
        <v>58.75</v>
      </c>
    </row>
    <row r="684" spans="1:34" x14ac:dyDescent="0.3">
      <c r="A684" s="4">
        <v>788</v>
      </c>
      <c r="B684" s="5">
        <v>677</v>
      </c>
      <c r="C684">
        <v>2746</v>
      </c>
      <c r="D684" t="s">
        <v>181</v>
      </c>
      <c r="E684" t="s">
        <v>26</v>
      </c>
      <c r="F684" t="s">
        <v>238</v>
      </c>
      <c r="G684" t="s">
        <v>19594</v>
      </c>
      <c r="H684">
        <v>19.75</v>
      </c>
      <c r="I684">
        <v>7</v>
      </c>
      <c r="J684">
        <v>0</v>
      </c>
      <c r="K684">
        <v>20</v>
      </c>
      <c r="O684">
        <v>0</v>
      </c>
      <c r="P684">
        <v>4</v>
      </c>
      <c r="Q684">
        <v>2</v>
      </c>
      <c r="R684">
        <v>52.75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6</v>
      </c>
      <c r="AC684">
        <v>0</v>
      </c>
      <c r="AF684" t="s">
        <v>130</v>
      </c>
      <c r="AH684">
        <v>58.75</v>
      </c>
    </row>
    <row r="685" spans="1:34" x14ac:dyDescent="0.3">
      <c r="A685" s="4">
        <v>789</v>
      </c>
      <c r="B685" s="5">
        <v>678</v>
      </c>
      <c r="C685">
        <v>9415</v>
      </c>
      <c r="D685" t="s">
        <v>19595</v>
      </c>
      <c r="E685" t="s">
        <v>213</v>
      </c>
      <c r="F685" t="s">
        <v>230</v>
      </c>
      <c r="G685" t="s">
        <v>19596</v>
      </c>
      <c r="H685">
        <v>17.75</v>
      </c>
      <c r="I685">
        <v>0</v>
      </c>
      <c r="J685">
        <v>0</v>
      </c>
      <c r="K685">
        <v>0</v>
      </c>
      <c r="N685">
        <v>3</v>
      </c>
      <c r="O685">
        <v>3</v>
      </c>
      <c r="P685">
        <v>4</v>
      </c>
      <c r="Q685">
        <v>2</v>
      </c>
      <c r="R685">
        <v>26.75</v>
      </c>
      <c r="S685">
        <v>32</v>
      </c>
      <c r="T685">
        <v>32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32</v>
      </c>
      <c r="AB685">
        <v>0</v>
      </c>
      <c r="AC685">
        <v>0</v>
      </c>
      <c r="AF685" t="s">
        <v>130</v>
      </c>
      <c r="AH685">
        <v>58.75</v>
      </c>
    </row>
    <row r="686" spans="1:34" x14ac:dyDescent="0.3">
      <c r="A686" s="4">
        <v>790</v>
      </c>
      <c r="B686" s="5">
        <v>679</v>
      </c>
      <c r="C686">
        <v>5443</v>
      </c>
      <c r="D686" t="s">
        <v>4332</v>
      </c>
      <c r="E686" t="s">
        <v>22</v>
      </c>
      <c r="F686" t="s">
        <v>17</v>
      </c>
      <c r="G686" t="s">
        <v>19597</v>
      </c>
      <c r="H686">
        <v>17.73</v>
      </c>
      <c r="I686">
        <v>0</v>
      </c>
      <c r="J686">
        <v>0</v>
      </c>
      <c r="K686">
        <v>0</v>
      </c>
      <c r="L686">
        <v>7</v>
      </c>
      <c r="O686">
        <v>7</v>
      </c>
      <c r="P686">
        <v>4</v>
      </c>
      <c r="Q686">
        <v>2</v>
      </c>
      <c r="R686">
        <v>30.73</v>
      </c>
      <c r="S686">
        <v>28</v>
      </c>
      <c r="T686">
        <v>28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28</v>
      </c>
      <c r="AB686">
        <v>0</v>
      </c>
      <c r="AC686">
        <v>0</v>
      </c>
      <c r="AF686" t="s">
        <v>130</v>
      </c>
      <c r="AH686">
        <v>58.73</v>
      </c>
    </row>
    <row r="687" spans="1:34" x14ac:dyDescent="0.3">
      <c r="A687" s="4">
        <v>791</v>
      </c>
      <c r="B687" s="5">
        <v>680</v>
      </c>
      <c r="C687">
        <v>5723</v>
      </c>
      <c r="D687" t="s">
        <v>1425</v>
      </c>
      <c r="E687" t="s">
        <v>88</v>
      </c>
      <c r="F687" t="s">
        <v>34</v>
      </c>
      <c r="G687" t="s">
        <v>19598</v>
      </c>
      <c r="H687">
        <v>18.68</v>
      </c>
      <c r="I687">
        <v>0</v>
      </c>
      <c r="J687">
        <v>0</v>
      </c>
      <c r="K687">
        <v>0</v>
      </c>
      <c r="O687">
        <v>0</v>
      </c>
      <c r="P687">
        <v>4</v>
      </c>
      <c r="Q687">
        <v>2</v>
      </c>
      <c r="R687">
        <v>24.68</v>
      </c>
      <c r="S687">
        <v>34</v>
      </c>
      <c r="T687">
        <v>34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34</v>
      </c>
      <c r="AB687">
        <v>0</v>
      </c>
      <c r="AC687">
        <v>0</v>
      </c>
      <c r="AD687" t="s">
        <v>130</v>
      </c>
      <c r="AF687" t="s">
        <v>130</v>
      </c>
      <c r="AH687">
        <v>58.68</v>
      </c>
    </row>
    <row r="688" spans="1:34" x14ac:dyDescent="0.3">
      <c r="A688" s="4">
        <v>792</v>
      </c>
      <c r="B688" s="5">
        <v>681</v>
      </c>
      <c r="C688">
        <v>5224</v>
      </c>
      <c r="D688" t="s">
        <v>496</v>
      </c>
      <c r="E688" t="s">
        <v>22</v>
      </c>
      <c r="F688" t="s">
        <v>442</v>
      </c>
      <c r="G688" t="s">
        <v>19599</v>
      </c>
      <c r="H688">
        <v>19.649999999999999</v>
      </c>
      <c r="I688">
        <v>0</v>
      </c>
      <c r="J688">
        <v>0</v>
      </c>
      <c r="K688">
        <v>20</v>
      </c>
      <c r="L688">
        <v>7</v>
      </c>
      <c r="O688">
        <v>7</v>
      </c>
      <c r="P688">
        <v>4</v>
      </c>
      <c r="Q688">
        <v>2</v>
      </c>
      <c r="R688">
        <v>52.65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6</v>
      </c>
      <c r="AC688">
        <v>0</v>
      </c>
      <c r="AF688" t="s">
        <v>130</v>
      </c>
      <c r="AH688">
        <v>58.65</v>
      </c>
    </row>
    <row r="689" spans="1:34" x14ac:dyDescent="0.3">
      <c r="A689" s="4">
        <v>793</v>
      </c>
      <c r="B689" s="5">
        <v>682</v>
      </c>
      <c r="C689">
        <v>3971</v>
      </c>
      <c r="D689" t="s">
        <v>19600</v>
      </c>
      <c r="E689" t="s">
        <v>375</v>
      </c>
      <c r="F689" t="s">
        <v>243</v>
      </c>
      <c r="G689" t="s">
        <v>19601</v>
      </c>
      <c r="H689">
        <v>17.600000000000001</v>
      </c>
      <c r="I689">
        <v>0</v>
      </c>
      <c r="J689">
        <v>0</v>
      </c>
      <c r="K689">
        <v>20</v>
      </c>
      <c r="L689">
        <v>7</v>
      </c>
      <c r="O689">
        <v>7</v>
      </c>
      <c r="P689">
        <v>4</v>
      </c>
      <c r="Q689">
        <v>0</v>
      </c>
      <c r="R689">
        <v>48.6</v>
      </c>
      <c r="S689">
        <v>10</v>
      </c>
      <c r="T689">
        <v>10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10</v>
      </c>
      <c r="AB689">
        <v>0</v>
      </c>
      <c r="AC689">
        <v>0</v>
      </c>
      <c r="AF689" t="s">
        <v>130</v>
      </c>
      <c r="AH689">
        <v>58.6</v>
      </c>
    </row>
    <row r="690" spans="1:34" x14ac:dyDescent="0.3">
      <c r="A690" s="4">
        <v>794</v>
      </c>
      <c r="B690" s="5">
        <v>683</v>
      </c>
      <c r="C690">
        <v>3386</v>
      </c>
      <c r="D690" t="s">
        <v>19602</v>
      </c>
      <c r="E690" t="s">
        <v>52</v>
      </c>
      <c r="F690" t="s">
        <v>38</v>
      </c>
      <c r="G690" t="s">
        <v>19603</v>
      </c>
      <c r="H690">
        <v>17.45</v>
      </c>
      <c r="I690">
        <v>0</v>
      </c>
      <c r="J690">
        <v>0</v>
      </c>
      <c r="K690">
        <v>28</v>
      </c>
      <c r="L690">
        <v>7</v>
      </c>
      <c r="O690">
        <v>7</v>
      </c>
      <c r="P690">
        <v>4</v>
      </c>
      <c r="Q690">
        <v>2</v>
      </c>
      <c r="R690">
        <v>58.45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F690" t="s">
        <v>130</v>
      </c>
      <c r="AH690">
        <v>58.45</v>
      </c>
    </row>
    <row r="691" spans="1:34" x14ac:dyDescent="0.3">
      <c r="A691" s="4">
        <v>795</v>
      </c>
      <c r="B691" s="5">
        <v>684</v>
      </c>
      <c r="C691">
        <v>1653</v>
      </c>
      <c r="D691" t="s">
        <v>19604</v>
      </c>
      <c r="E691" t="s">
        <v>858</v>
      </c>
      <c r="F691" t="s">
        <v>81</v>
      </c>
      <c r="G691" t="s">
        <v>19605</v>
      </c>
      <c r="H691">
        <v>21.43</v>
      </c>
      <c r="I691">
        <v>0</v>
      </c>
      <c r="J691">
        <v>0</v>
      </c>
      <c r="K691">
        <v>0</v>
      </c>
      <c r="N691">
        <v>3</v>
      </c>
      <c r="O691">
        <v>3</v>
      </c>
      <c r="P691">
        <v>4</v>
      </c>
      <c r="Q691">
        <v>2</v>
      </c>
      <c r="R691">
        <v>30.43</v>
      </c>
      <c r="S691">
        <v>28</v>
      </c>
      <c r="T691">
        <v>28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28</v>
      </c>
      <c r="AB691">
        <v>0</v>
      </c>
      <c r="AC691">
        <v>0</v>
      </c>
      <c r="AF691" t="s">
        <v>130</v>
      </c>
      <c r="AH691">
        <v>58.43</v>
      </c>
    </row>
    <row r="692" spans="1:34" x14ac:dyDescent="0.3">
      <c r="A692" s="4">
        <v>797</v>
      </c>
      <c r="B692" s="5">
        <v>685</v>
      </c>
      <c r="C692">
        <v>15401</v>
      </c>
      <c r="D692" t="s">
        <v>14655</v>
      </c>
      <c r="E692" t="s">
        <v>167</v>
      </c>
      <c r="F692" t="s">
        <v>230</v>
      </c>
      <c r="G692" t="s">
        <v>19606</v>
      </c>
      <c r="H692">
        <v>17.329999999999998</v>
      </c>
      <c r="I692">
        <v>0</v>
      </c>
      <c r="J692">
        <v>0</v>
      </c>
      <c r="K692">
        <v>0</v>
      </c>
      <c r="O692">
        <v>0</v>
      </c>
      <c r="P692">
        <v>4</v>
      </c>
      <c r="Q692">
        <v>2</v>
      </c>
      <c r="R692">
        <v>23.33</v>
      </c>
      <c r="S692">
        <v>26</v>
      </c>
      <c r="T692">
        <v>26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26</v>
      </c>
      <c r="AB692">
        <v>9</v>
      </c>
      <c r="AC692">
        <v>0</v>
      </c>
      <c r="AF692" t="s">
        <v>130</v>
      </c>
      <c r="AH692">
        <v>58.33</v>
      </c>
    </row>
    <row r="693" spans="1:34" x14ac:dyDescent="0.3">
      <c r="A693" s="4">
        <v>798</v>
      </c>
      <c r="B693" s="5">
        <v>686</v>
      </c>
      <c r="C693">
        <v>683</v>
      </c>
      <c r="D693" t="s">
        <v>19607</v>
      </c>
      <c r="E693" t="s">
        <v>97</v>
      </c>
      <c r="F693" t="s">
        <v>17205</v>
      </c>
      <c r="G693" t="s">
        <v>19608</v>
      </c>
      <c r="H693">
        <v>18.329999999999998</v>
      </c>
      <c r="I693">
        <v>0</v>
      </c>
      <c r="J693">
        <v>0</v>
      </c>
      <c r="K693">
        <v>0</v>
      </c>
      <c r="N693">
        <v>3</v>
      </c>
      <c r="O693">
        <v>3</v>
      </c>
      <c r="P693">
        <v>4</v>
      </c>
      <c r="Q693">
        <v>2</v>
      </c>
      <c r="R693">
        <v>27.33</v>
      </c>
      <c r="S693">
        <v>25</v>
      </c>
      <c r="T693">
        <v>25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25</v>
      </c>
      <c r="AB693">
        <v>6</v>
      </c>
      <c r="AC693">
        <v>0</v>
      </c>
      <c r="AD693" t="s">
        <v>130</v>
      </c>
      <c r="AF693" t="s">
        <v>130</v>
      </c>
      <c r="AH693">
        <v>58.33</v>
      </c>
    </row>
    <row r="694" spans="1:34" x14ac:dyDescent="0.3">
      <c r="A694" s="4">
        <v>799</v>
      </c>
      <c r="B694" s="5">
        <v>687</v>
      </c>
      <c r="C694">
        <v>14587</v>
      </c>
      <c r="D694" t="s">
        <v>5790</v>
      </c>
      <c r="E694" t="s">
        <v>208</v>
      </c>
      <c r="F694" t="s">
        <v>117</v>
      </c>
      <c r="G694" t="s">
        <v>19609</v>
      </c>
      <c r="H694">
        <v>19.28</v>
      </c>
      <c r="I694">
        <v>7</v>
      </c>
      <c r="J694">
        <v>0</v>
      </c>
      <c r="K694">
        <v>0</v>
      </c>
      <c r="N694">
        <v>3</v>
      </c>
      <c r="O694">
        <v>3</v>
      </c>
      <c r="P694">
        <v>4</v>
      </c>
      <c r="Q694">
        <v>2</v>
      </c>
      <c r="R694">
        <v>35.28</v>
      </c>
      <c r="S694">
        <v>23</v>
      </c>
      <c r="T694">
        <v>23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23</v>
      </c>
      <c r="AB694">
        <v>0</v>
      </c>
      <c r="AC694">
        <v>0</v>
      </c>
      <c r="AD694" t="s">
        <v>130</v>
      </c>
      <c r="AF694" t="s">
        <v>130</v>
      </c>
      <c r="AH694">
        <v>58.28</v>
      </c>
    </row>
    <row r="695" spans="1:34" x14ac:dyDescent="0.3">
      <c r="A695" s="4">
        <v>800</v>
      </c>
      <c r="B695" s="5">
        <v>688</v>
      </c>
      <c r="C695">
        <v>3531</v>
      </c>
      <c r="D695" t="s">
        <v>5231</v>
      </c>
      <c r="E695" t="s">
        <v>41</v>
      </c>
      <c r="F695" t="s">
        <v>91</v>
      </c>
      <c r="G695" t="s">
        <v>19610</v>
      </c>
      <c r="H695">
        <v>24.15</v>
      </c>
      <c r="I695">
        <v>0</v>
      </c>
      <c r="J695">
        <v>0</v>
      </c>
      <c r="K695">
        <v>20</v>
      </c>
      <c r="N695">
        <v>3</v>
      </c>
      <c r="O695">
        <v>3</v>
      </c>
      <c r="P695">
        <v>4</v>
      </c>
      <c r="Q695">
        <v>2</v>
      </c>
      <c r="R695">
        <v>53.15</v>
      </c>
      <c r="S695">
        <v>5</v>
      </c>
      <c r="T695">
        <v>5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5</v>
      </c>
      <c r="AB695">
        <v>0</v>
      </c>
      <c r="AC695">
        <v>0</v>
      </c>
      <c r="AF695" t="s">
        <v>130</v>
      </c>
      <c r="AH695">
        <v>58.15</v>
      </c>
    </row>
    <row r="696" spans="1:34" x14ac:dyDescent="0.3">
      <c r="A696" s="4">
        <v>801</v>
      </c>
      <c r="B696" s="5">
        <v>689</v>
      </c>
      <c r="C696">
        <v>15414</v>
      </c>
      <c r="D696" t="s">
        <v>19611</v>
      </c>
      <c r="E696" t="s">
        <v>182</v>
      </c>
      <c r="F696" t="s">
        <v>38</v>
      </c>
      <c r="G696" t="s">
        <v>19612</v>
      </c>
      <c r="H696">
        <v>19</v>
      </c>
      <c r="I696">
        <v>0</v>
      </c>
      <c r="J696">
        <v>0</v>
      </c>
      <c r="K696">
        <v>20</v>
      </c>
      <c r="L696">
        <v>7</v>
      </c>
      <c r="O696">
        <v>7</v>
      </c>
      <c r="P696">
        <v>4</v>
      </c>
      <c r="Q696">
        <v>2</v>
      </c>
      <c r="R696">
        <v>52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6</v>
      </c>
      <c r="AC696">
        <v>0</v>
      </c>
      <c r="AF696" t="s">
        <v>130</v>
      </c>
      <c r="AH696">
        <v>58</v>
      </c>
    </row>
    <row r="697" spans="1:34" x14ac:dyDescent="0.3">
      <c r="A697" s="4">
        <v>802</v>
      </c>
      <c r="B697" s="5">
        <v>690</v>
      </c>
      <c r="C697">
        <v>13093</v>
      </c>
      <c r="D697" t="s">
        <v>19613</v>
      </c>
      <c r="E697" t="s">
        <v>117</v>
      </c>
      <c r="F697" t="s">
        <v>626</v>
      </c>
      <c r="G697" t="s">
        <v>19614</v>
      </c>
      <c r="H697">
        <v>20</v>
      </c>
      <c r="I697">
        <v>7</v>
      </c>
      <c r="J697">
        <v>0</v>
      </c>
      <c r="K697">
        <v>20</v>
      </c>
      <c r="L697">
        <v>7</v>
      </c>
      <c r="O697">
        <v>7</v>
      </c>
      <c r="P697">
        <v>4</v>
      </c>
      <c r="Q697">
        <v>0</v>
      </c>
      <c r="R697">
        <v>58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F697" t="s">
        <v>130</v>
      </c>
      <c r="AH697">
        <v>58</v>
      </c>
    </row>
    <row r="698" spans="1:34" x14ac:dyDescent="0.3">
      <c r="A698" s="4">
        <v>803</v>
      </c>
      <c r="B698" s="5">
        <v>691</v>
      </c>
      <c r="C698">
        <v>102</v>
      </c>
      <c r="D698" t="s">
        <v>19615</v>
      </c>
      <c r="E698" t="s">
        <v>1743</v>
      </c>
      <c r="F698" t="s">
        <v>158</v>
      </c>
      <c r="G698" t="s">
        <v>19616</v>
      </c>
      <c r="H698">
        <v>18.98</v>
      </c>
      <c r="I698">
        <v>0</v>
      </c>
      <c r="J698">
        <v>0</v>
      </c>
      <c r="K698">
        <v>20</v>
      </c>
      <c r="L698">
        <v>7</v>
      </c>
      <c r="O698">
        <v>7</v>
      </c>
      <c r="P698">
        <v>4</v>
      </c>
      <c r="Q698">
        <v>2</v>
      </c>
      <c r="R698">
        <v>51.98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6</v>
      </c>
      <c r="AC698">
        <v>0</v>
      </c>
      <c r="AF698" t="s">
        <v>130</v>
      </c>
      <c r="AH698">
        <v>57.98</v>
      </c>
    </row>
    <row r="699" spans="1:34" x14ac:dyDescent="0.3">
      <c r="A699" s="4">
        <v>804</v>
      </c>
      <c r="B699" s="5">
        <v>692</v>
      </c>
      <c r="C699">
        <v>15187</v>
      </c>
      <c r="D699" t="s">
        <v>19617</v>
      </c>
      <c r="E699" t="s">
        <v>161</v>
      </c>
      <c r="F699" t="s">
        <v>117</v>
      </c>
      <c r="G699" t="s">
        <v>19618</v>
      </c>
      <c r="H699">
        <v>20.98</v>
      </c>
      <c r="I699">
        <v>0</v>
      </c>
      <c r="J699">
        <v>0</v>
      </c>
      <c r="K699">
        <v>20</v>
      </c>
      <c r="M699">
        <v>5</v>
      </c>
      <c r="N699">
        <v>3</v>
      </c>
      <c r="O699">
        <v>8</v>
      </c>
      <c r="P699">
        <v>4</v>
      </c>
      <c r="Q699">
        <v>2</v>
      </c>
      <c r="R699">
        <v>54.98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3</v>
      </c>
      <c r="AC699">
        <v>0</v>
      </c>
      <c r="AF699" t="s">
        <v>130</v>
      </c>
      <c r="AH699">
        <v>57.98</v>
      </c>
    </row>
    <row r="700" spans="1:34" x14ac:dyDescent="0.3">
      <c r="A700" s="4">
        <v>805</v>
      </c>
      <c r="B700" s="5">
        <v>693</v>
      </c>
      <c r="C700">
        <v>6623</v>
      </c>
      <c r="D700" t="s">
        <v>4038</v>
      </c>
      <c r="E700" t="s">
        <v>19619</v>
      </c>
      <c r="F700" t="s">
        <v>81</v>
      </c>
      <c r="G700" t="s">
        <v>19620</v>
      </c>
      <c r="H700">
        <v>22.93</v>
      </c>
      <c r="I700">
        <v>0</v>
      </c>
      <c r="J700">
        <v>0</v>
      </c>
      <c r="K700">
        <v>28</v>
      </c>
      <c r="N700">
        <v>3</v>
      </c>
      <c r="O700">
        <v>3</v>
      </c>
      <c r="P700">
        <v>4</v>
      </c>
      <c r="Q700">
        <v>0</v>
      </c>
      <c r="R700">
        <v>57.93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F700" t="s">
        <v>130</v>
      </c>
      <c r="AH700">
        <v>57.93</v>
      </c>
    </row>
    <row r="701" spans="1:34" x14ac:dyDescent="0.3">
      <c r="A701" s="4">
        <v>806</v>
      </c>
      <c r="B701" s="5">
        <v>694</v>
      </c>
      <c r="C701">
        <v>8940</v>
      </c>
      <c r="D701" t="s">
        <v>19621</v>
      </c>
      <c r="E701" t="s">
        <v>26</v>
      </c>
      <c r="F701" t="s">
        <v>81</v>
      </c>
      <c r="G701" t="s">
        <v>19622</v>
      </c>
      <c r="H701">
        <v>18.899999999999999</v>
      </c>
      <c r="I701">
        <v>0</v>
      </c>
      <c r="J701">
        <v>0</v>
      </c>
      <c r="K701">
        <v>28</v>
      </c>
      <c r="L701">
        <v>7</v>
      </c>
      <c r="O701">
        <v>7</v>
      </c>
      <c r="P701">
        <v>4</v>
      </c>
      <c r="Q701">
        <v>0</v>
      </c>
      <c r="R701">
        <v>57.9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F701" t="s">
        <v>130</v>
      </c>
      <c r="AH701">
        <v>57.9</v>
      </c>
    </row>
    <row r="702" spans="1:34" x14ac:dyDescent="0.3">
      <c r="A702" s="4">
        <v>807</v>
      </c>
      <c r="B702" s="5">
        <v>695</v>
      </c>
      <c r="C702">
        <v>15601</v>
      </c>
      <c r="D702" t="s">
        <v>1693</v>
      </c>
      <c r="E702" t="s">
        <v>3948</v>
      </c>
      <c r="F702" t="s">
        <v>2598</v>
      </c>
      <c r="G702" t="s">
        <v>19623</v>
      </c>
      <c r="H702">
        <v>18.850000000000001</v>
      </c>
      <c r="I702">
        <v>0</v>
      </c>
      <c r="J702">
        <v>0</v>
      </c>
      <c r="K702">
        <v>0</v>
      </c>
      <c r="O702">
        <v>0</v>
      </c>
      <c r="P702">
        <v>0</v>
      </c>
      <c r="Q702">
        <v>2</v>
      </c>
      <c r="R702">
        <v>20.85</v>
      </c>
      <c r="S702">
        <v>28</v>
      </c>
      <c r="T702">
        <v>28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28</v>
      </c>
      <c r="AB702">
        <v>9</v>
      </c>
      <c r="AC702">
        <v>0</v>
      </c>
      <c r="AF702" t="s">
        <v>130</v>
      </c>
      <c r="AH702">
        <v>57.85</v>
      </c>
    </row>
    <row r="703" spans="1:34" x14ac:dyDescent="0.3">
      <c r="A703" s="4">
        <v>808</v>
      </c>
      <c r="B703" s="5">
        <v>696</v>
      </c>
      <c r="C703">
        <v>1080</v>
      </c>
      <c r="D703" t="s">
        <v>19624</v>
      </c>
      <c r="E703" t="s">
        <v>30</v>
      </c>
      <c r="F703" t="s">
        <v>136</v>
      </c>
      <c r="G703" t="s">
        <v>19625</v>
      </c>
      <c r="H703">
        <v>16.78</v>
      </c>
      <c r="I703">
        <v>0</v>
      </c>
      <c r="J703">
        <v>0</v>
      </c>
      <c r="K703">
        <v>28</v>
      </c>
      <c r="N703">
        <v>3</v>
      </c>
      <c r="O703">
        <v>3</v>
      </c>
      <c r="P703">
        <v>4</v>
      </c>
      <c r="Q703">
        <v>0</v>
      </c>
      <c r="R703">
        <v>51.78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6</v>
      </c>
      <c r="AC703">
        <v>0</v>
      </c>
      <c r="AF703" t="s">
        <v>130</v>
      </c>
      <c r="AH703">
        <v>57.78</v>
      </c>
    </row>
    <row r="704" spans="1:34" x14ac:dyDescent="0.3">
      <c r="A704" s="4">
        <v>809</v>
      </c>
      <c r="B704" s="5">
        <v>697</v>
      </c>
      <c r="C704">
        <v>13096</v>
      </c>
      <c r="D704" t="s">
        <v>19626</v>
      </c>
      <c r="E704" t="s">
        <v>38</v>
      </c>
      <c r="F704" t="s">
        <v>167</v>
      </c>
      <c r="G704" t="s">
        <v>19627</v>
      </c>
      <c r="H704">
        <v>17.75</v>
      </c>
      <c r="I704">
        <v>0</v>
      </c>
      <c r="J704">
        <v>0</v>
      </c>
      <c r="K704">
        <v>28</v>
      </c>
      <c r="M704">
        <v>5</v>
      </c>
      <c r="O704">
        <v>5</v>
      </c>
      <c r="P704">
        <v>4</v>
      </c>
      <c r="Q704">
        <v>0</v>
      </c>
      <c r="R704">
        <v>54.75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3</v>
      </c>
      <c r="AC704">
        <v>0</v>
      </c>
      <c r="AF704" t="s">
        <v>130</v>
      </c>
      <c r="AH704">
        <v>57.75</v>
      </c>
    </row>
    <row r="705" spans="1:34" x14ac:dyDescent="0.3">
      <c r="A705" s="4">
        <v>810</v>
      </c>
      <c r="B705" s="5">
        <v>698</v>
      </c>
      <c r="C705">
        <v>10000</v>
      </c>
      <c r="D705" t="s">
        <v>2772</v>
      </c>
      <c r="E705" t="s">
        <v>161</v>
      </c>
      <c r="F705" t="s">
        <v>14</v>
      </c>
      <c r="G705" t="s">
        <v>19628</v>
      </c>
      <c r="H705">
        <v>17.75</v>
      </c>
      <c r="I705">
        <v>7</v>
      </c>
      <c r="J705">
        <v>0</v>
      </c>
      <c r="K705">
        <v>20</v>
      </c>
      <c r="L705">
        <v>7</v>
      </c>
      <c r="O705">
        <v>7</v>
      </c>
      <c r="P705">
        <v>4</v>
      </c>
      <c r="Q705">
        <v>2</v>
      </c>
      <c r="R705">
        <v>57.75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F705" t="s">
        <v>130</v>
      </c>
      <c r="AH705">
        <v>57.75</v>
      </c>
    </row>
    <row r="706" spans="1:34" x14ac:dyDescent="0.3">
      <c r="A706" s="4">
        <v>811</v>
      </c>
      <c r="B706" s="5">
        <v>699</v>
      </c>
      <c r="C706">
        <v>14903</v>
      </c>
      <c r="D706" t="s">
        <v>438</v>
      </c>
      <c r="E706" t="s">
        <v>149</v>
      </c>
      <c r="F706" t="s">
        <v>55</v>
      </c>
      <c r="G706" t="s">
        <v>19629</v>
      </c>
      <c r="H706">
        <v>19.73</v>
      </c>
      <c r="I706">
        <v>0</v>
      </c>
      <c r="J706">
        <v>0</v>
      </c>
      <c r="K706">
        <v>20</v>
      </c>
      <c r="N706">
        <v>3</v>
      </c>
      <c r="O706">
        <v>3</v>
      </c>
      <c r="P706">
        <v>4</v>
      </c>
      <c r="Q706">
        <v>2</v>
      </c>
      <c r="R706">
        <v>48.73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9</v>
      </c>
      <c r="AC706">
        <v>0</v>
      </c>
      <c r="AF706" t="s">
        <v>130</v>
      </c>
      <c r="AH706">
        <v>57.73</v>
      </c>
    </row>
    <row r="707" spans="1:34" x14ac:dyDescent="0.3">
      <c r="A707" s="4">
        <v>812</v>
      </c>
      <c r="B707" s="5">
        <v>700</v>
      </c>
      <c r="C707">
        <v>1273</v>
      </c>
      <c r="D707" t="s">
        <v>5785</v>
      </c>
      <c r="E707" t="s">
        <v>100</v>
      </c>
      <c r="F707" t="s">
        <v>346</v>
      </c>
      <c r="G707" t="s">
        <v>19630</v>
      </c>
      <c r="H707">
        <v>17.68</v>
      </c>
      <c r="I707">
        <v>0</v>
      </c>
      <c r="J707">
        <v>0</v>
      </c>
      <c r="K707">
        <v>0</v>
      </c>
      <c r="O707">
        <v>0</v>
      </c>
      <c r="P707">
        <v>4</v>
      </c>
      <c r="Q707">
        <v>2</v>
      </c>
      <c r="R707">
        <v>23.68</v>
      </c>
      <c r="S707">
        <v>28</v>
      </c>
      <c r="T707">
        <v>28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28</v>
      </c>
      <c r="AB707">
        <v>6</v>
      </c>
      <c r="AC707">
        <v>0</v>
      </c>
      <c r="AF707" t="s">
        <v>130</v>
      </c>
      <c r="AH707">
        <v>57.68</v>
      </c>
    </row>
    <row r="708" spans="1:34" x14ac:dyDescent="0.3">
      <c r="A708" s="4">
        <v>813</v>
      </c>
      <c r="B708" s="5">
        <v>701</v>
      </c>
      <c r="C708">
        <v>12034</v>
      </c>
      <c r="D708" t="s">
        <v>19631</v>
      </c>
      <c r="E708" t="s">
        <v>575</v>
      </c>
      <c r="F708" t="s">
        <v>19632</v>
      </c>
      <c r="G708" t="s">
        <v>19633</v>
      </c>
      <c r="H708">
        <v>21.68</v>
      </c>
      <c r="I708">
        <v>0</v>
      </c>
      <c r="J708">
        <v>0</v>
      </c>
      <c r="K708">
        <v>20</v>
      </c>
      <c r="N708">
        <v>3</v>
      </c>
      <c r="O708">
        <v>3</v>
      </c>
      <c r="P708">
        <v>4</v>
      </c>
      <c r="Q708">
        <v>2</v>
      </c>
      <c r="R708">
        <v>50.68</v>
      </c>
      <c r="S708">
        <v>7</v>
      </c>
      <c r="T708">
        <v>7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7</v>
      </c>
      <c r="AB708">
        <v>0</v>
      </c>
      <c r="AC708">
        <v>0</v>
      </c>
      <c r="AF708" t="s">
        <v>130</v>
      </c>
      <c r="AH708">
        <v>57.68</v>
      </c>
    </row>
    <row r="709" spans="1:34" x14ac:dyDescent="0.3">
      <c r="A709" s="4">
        <v>814</v>
      </c>
      <c r="B709" s="5">
        <v>702</v>
      </c>
      <c r="C709">
        <v>2305</v>
      </c>
      <c r="D709" t="s">
        <v>19634</v>
      </c>
      <c r="E709" t="s">
        <v>550</v>
      </c>
      <c r="F709" t="s">
        <v>81</v>
      </c>
      <c r="G709" t="s">
        <v>19635</v>
      </c>
      <c r="H709">
        <v>16.649999999999999</v>
      </c>
      <c r="I709">
        <v>0</v>
      </c>
      <c r="J709">
        <v>0</v>
      </c>
      <c r="K709">
        <v>20</v>
      </c>
      <c r="L709">
        <v>14</v>
      </c>
      <c r="O709">
        <v>14</v>
      </c>
      <c r="P709">
        <v>4</v>
      </c>
      <c r="Q709">
        <v>0</v>
      </c>
      <c r="R709">
        <v>54.65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3</v>
      </c>
      <c r="AC709">
        <v>0</v>
      </c>
      <c r="AF709" t="s">
        <v>130</v>
      </c>
      <c r="AH709">
        <v>57.65</v>
      </c>
    </row>
    <row r="710" spans="1:34" x14ac:dyDescent="0.3">
      <c r="A710" s="4">
        <v>815</v>
      </c>
      <c r="B710" s="5">
        <v>703</v>
      </c>
      <c r="C710">
        <v>4322</v>
      </c>
      <c r="D710" t="s">
        <v>19636</v>
      </c>
      <c r="E710" t="s">
        <v>563</v>
      </c>
      <c r="F710" t="s">
        <v>167</v>
      </c>
      <c r="G710" t="s">
        <v>19637</v>
      </c>
      <c r="H710">
        <v>18.53</v>
      </c>
      <c r="I710">
        <v>0</v>
      </c>
      <c r="J710">
        <v>0</v>
      </c>
      <c r="K710">
        <v>0</v>
      </c>
      <c r="O710">
        <v>0</v>
      </c>
      <c r="P710">
        <v>4</v>
      </c>
      <c r="Q710">
        <v>2</v>
      </c>
      <c r="R710">
        <v>24.53</v>
      </c>
      <c r="S710">
        <v>33</v>
      </c>
      <c r="T710">
        <v>33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33</v>
      </c>
      <c r="AB710">
        <v>0</v>
      </c>
      <c r="AC710">
        <v>0</v>
      </c>
      <c r="AF710" t="s">
        <v>130</v>
      </c>
      <c r="AH710">
        <v>57.53</v>
      </c>
    </row>
    <row r="711" spans="1:34" x14ac:dyDescent="0.3">
      <c r="A711" s="4">
        <v>816</v>
      </c>
      <c r="B711" s="5">
        <v>704</v>
      </c>
      <c r="C711">
        <v>1045</v>
      </c>
      <c r="D711" t="s">
        <v>19638</v>
      </c>
      <c r="E711" t="s">
        <v>132</v>
      </c>
      <c r="F711" t="s">
        <v>38</v>
      </c>
      <c r="G711" t="s">
        <v>19639</v>
      </c>
      <c r="H711">
        <v>18.5</v>
      </c>
      <c r="I711">
        <v>0</v>
      </c>
      <c r="J711">
        <v>0</v>
      </c>
      <c r="K711">
        <v>20</v>
      </c>
      <c r="L711">
        <v>7</v>
      </c>
      <c r="O711">
        <v>7</v>
      </c>
      <c r="P711">
        <v>4</v>
      </c>
      <c r="Q711">
        <v>2</v>
      </c>
      <c r="R711">
        <v>51.5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6</v>
      </c>
      <c r="AC711">
        <v>0</v>
      </c>
      <c r="AF711" t="s">
        <v>130</v>
      </c>
      <c r="AH711">
        <v>57.5</v>
      </c>
    </row>
    <row r="712" spans="1:34" x14ac:dyDescent="0.3">
      <c r="A712" s="4">
        <v>817</v>
      </c>
      <c r="B712" s="5">
        <v>705</v>
      </c>
      <c r="C712">
        <v>2163</v>
      </c>
      <c r="D712" t="s">
        <v>8734</v>
      </c>
      <c r="E712" t="s">
        <v>48</v>
      </c>
      <c r="F712" t="s">
        <v>68</v>
      </c>
      <c r="G712" t="s">
        <v>19640</v>
      </c>
      <c r="H712">
        <v>21.48</v>
      </c>
      <c r="I712">
        <v>0</v>
      </c>
      <c r="J712">
        <v>0</v>
      </c>
      <c r="K712">
        <v>20</v>
      </c>
      <c r="L712">
        <v>7</v>
      </c>
      <c r="O712">
        <v>7</v>
      </c>
      <c r="P712">
        <v>4</v>
      </c>
      <c r="Q712">
        <v>2</v>
      </c>
      <c r="R712">
        <v>54.48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3</v>
      </c>
      <c r="AC712">
        <v>0</v>
      </c>
      <c r="AF712" t="s">
        <v>130</v>
      </c>
      <c r="AH712">
        <v>57.48</v>
      </c>
    </row>
    <row r="713" spans="1:34" x14ac:dyDescent="0.3">
      <c r="A713" s="4">
        <v>818</v>
      </c>
      <c r="B713" s="5">
        <v>706</v>
      </c>
      <c r="C713">
        <v>3436</v>
      </c>
      <c r="D713" t="s">
        <v>19641</v>
      </c>
      <c r="E713" t="s">
        <v>33</v>
      </c>
      <c r="F713" t="s">
        <v>1174</v>
      </c>
      <c r="G713" t="s">
        <v>19642</v>
      </c>
      <c r="H713">
        <v>19.43</v>
      </c>
      <c r="I713">
        <v>0</v>
      </c>
      <c r="J713">
        <v>0</v>
      </c>
      <c r="K713">
        <v>20</v>
      </c>
      <c r="L713">
        <v>7</v>
      </c>
      <c r="O713">
        <v>7</v>
      </c>
      <c r="P713">
        <v>4</v>
      </c>
      <c r="Q713">
        <v>2</v>
      </c>
      <c r="R713">
        <v>52.43</v>
      </c>
      <c r="S713">
        <v>5</v>
      </c>
      <c r="T713">
        <v>5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5</v>
      </c>
      <c r="AB713">
        <v>0</v>
      </c>
      <c r="AC713">
        <v>0</v>
      </c>
      <c r="AF713" t="s">
        <v>130</v>
      </c>
      <c r="AH713">
        <v>57.43</v>
      </c>
    </row>
    <row r="714" spans="1:34" x14ac:dyDescent="0.3">
      <c r="A714" s="4">
        <v>819</v>
      </c>
      <c r="B714" s="5">
        <v>707</v>
      </c>
      <c r="C714">
        <v>12240</v>
      </c>
      <c r="D714" t="s">
        <v>19643</v>
      </c>
      <c r="E714" t="s">
        <v>170</v>
      </c>
      <c r="F714" t="s">
        <v>190</v>
      </c>
      <c r="G714" t="s">
        <v>19644</v>
      </c>
      <c r="H714">
        <v>19.350000000000001</v>
      </c>
      <c r="I714">
        <v>0</v>
      </c>
      <c r="J714">
        <v>0</v>
      </c>
      <c r="K714">
        <v>0</v>
      </c>
      <c r="O714">
        <v>0</v>
      </c>
      <c r="P714">
        <v>4</v>
      </c>
      <c r="Q714">
        <v>0</v>
      </c>
      <c r="R714">
        <v>23.35</v>
      </c>
      <c r="S714">
        <v>28</v>
      </c>
      <c r="T714">
        <v>28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28</v>
      </c>
      <c r="AB714">
        <v>6</v>
      </c>
      <c r="AC714">
        <v>0</v>
      </c>
      <c r="AF714" t="s">
        <v>130</v>
      </c>
      <c r="AH714">
        <v>57.35</v>
      </c>
    </row>
    <row r="715" spans="1:34" x14ac:dyDescent="0.3">
      <c r="A715" s="4">
        <v>820</v>
      </c>
      <c r="B715" s="5">
        <v>708</v>
      </c>
      <c r="C715">
        <v>8735</v>
      </c>
      <c r="D715" t="s">
        <v>19645</v>
      </c>
      <c r="E715" t="s">
        <v>283</v>
      </c>
      <c r="F715" t="s">
        <v>55</v>
      </c>
      <c r="G715" t="s">
        <v>19646</v>
      </c>
      <c r="H715">
        <v>18.350000000000001</v>
      </c>
      <c r="I715">
        <v>7</v>
      </c>
      <c r="J715">
        <v>0</v>
      </c>
      <c r="K715">
        <v>20</v>
      </c>
      <c r="N715">
        <v>6</v>
      </c>
      <c r="O715">
        <v>6</v>
      </c>
      <c r="P715">
        <v>4</v>
      </c>
      <c r="Q715">
        <v>2</v>
      </c>
      <c r="R715">
        <v>57.35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F715" t="s">
        <v>130</v>
      </c>
      <c r="AH715">
        <v>57.35</v>
      </c>
    </row>
    <row r="716" spans="1:34" x14ac:dyDescent="0.3">
      <c r="A716" s="4">
        <v>821</v>
      </c>
      <c r="B716" s="5">
        <v>709</v>
      </c>
      <c r="C716">
        <v>1789</v>
      </c>
      <c r="D716" t="s">
        <v>19647</v>
      </c>
      <c r="E716" t="s">
        <v>33</v>
      </c>
      <c r="F716" t="s">
        <v>81</v>
      </c>
      <c r="G716" t="s">
        <v>19648</v>
      </c>
      <c r="H716">
        <v>18.329999999999998</v>
      </c>
      <c r="I716">
        <v>0</v>
      </c>
      <c r="J716">
        <v>0</v>
      </c>
      <c r="K716">
        <v>20</v>
      </c>
      <c r="L716">
        <v>7</v>
      </c>
      <c r="O716">
        <v>7</v>
      </c>
      <c r="P716">
        <v>4</v>
      </c>
      <c r="Q716">
        <v>0</v>
      </c>
      <c r="R716">
        <v>49.33</v>
      </c>
      <c r="S716">
        <v>2</v>
      </c>
      <c r="T716">
        <v>2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2</v>
      </c>
      <c r="AB716">
        <v>6</v>
      </c>
      <c r="AC716">
        <v>0</v>
      </c>
      <c r="AF716" t="s">
        <v>130</v>
      </c>
      <c r="AH716">
        <v>57.33</v>
      </c>
    </row>
    <row r="717" spans="1:34" x14ac:dyDescent="0.3">
      <c r="A717" s="4">
        <v>822</v>
      </c>
      <c r="B717" s="5">
        <v>710</v>
      </c>
      <c r="C717">
        <v>1001</v>
      </c>
      <c r="D717" t="s">
        <v>19649</v>
      </c>
      <c r="E717" t="s">
        <v>6703</v>
      </c>
      <c r="F717" t="s">
        <v>117</v>
      </c>
      <c r="G717" t="s">
        <v>19650</v>
      </c>
      <c r="H717">
        <v>17.329999999999998</v>
      </c>
      <c r="I717">
        <v>0</v>
      </c>
      <c r="J717">
        <v>0</v>
      </c>
      <c r="K717">
        <v>28</v>
      </c>
      <c r="N717">
        <v>3</v>
      </c>
      <c r="O717">
        <v>3</v>
      </c>
      <c r="P717">
        <v>4</v>
      </c>
      <c r="Q717">
        <v>2</v>
      </c>
      <c r="R717">
        <v>54.33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3</v>
      </c>
      <c r="AC717">
        <v>0</v>
      </c>
      <c r="AF717" t="s">
        <v>130</v>
      </c>
      <c r="AH717">
        <v>57.33</v>
      </c>
    </row>
    <row r="718" spans="1:34" x14ac:dyDescent="0.3">
      <c r="A718" s="4">
        <v>824</v>
      </c>
      <c r="B718" s="5">
        <v>711</v>
      </c>
      <c r="C718">
        <v>8626</v>
      </c>
      <c r="D718" t="s">
        <v>19652</v>
      </c>
      <c r="E718" t="s">
        <v>283</v>
      </c>
      <c r="F718" t="s">
        <v>68</v>
      </c>
      <c r="G718" t="s">
        <v>32012</v>
      </c>
      <c r="H718">
        <v>22.25</v>
      </c>
      <c r="I718">
        <v>0</v>
      </c>
      <c r="J718">
        <v>0</v>
      </c>
      <c r="K718">
        <v>20</v>
      </c>
      <c r="N718">
        <v>3</v>
      </c>
      <c r="O718">
        <v>3</v>
      </c>
      <c r="P718">
        <v>4</v>
      </c>
      <c r="Q718">
        <v>2</v>
      </c>
      <c r="R718">
        <v>51.25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6</v>
      </c>
      <c r="AC718">
        <v>0</v>
      </c>
      <c r="AF718" t="s">
        <v>130</v>
      </c>
      <c r="AH718">
        <v>57.25</v>
      </c>
    </row>
    <row r="719" spans="1:34" x14ac:dyDescent="0.3">
      <c r="A719" s="4">
        <v>825</v>
      </c>
      <c r="B719" s="5">
        <v>712</v>
      </c>
      <c r="C719">
        <v>10010</v>
      </c>
      <c r="D719" t="s">
        <v>19653</v>
      </c>
      <c r="E719" t="s">
        <v>208</v>
      </c>
      <c r="F719" t="s">
        <v>38</v>
      </c>
      <c r="G719" t="s">
        <v>19654</v>
      </c>
      <c r="H719">
        <v>20.23</v>
      </c>
      <c r="I719">
        <v>0</v>
      </c>
      <c r="J719">
        <v>0</v>
      </c>
      <c r="K719">
        <v>0</v>
      </c>
      <c r="N719">
        <v>3</v>
      </c>
      <c r="O719">
        <v>3</v>
      </c>
      <c r="P719">
        <v>4</v>
      </c>
      <c r="Q719">
        <v>2</v>
      </c>
      <c r="R719">
        <v>29.23</v>
      </c>
      <c r="S719">
        <v>25</v>
      </c>
      <c r="T719">
        <v>25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25</v>
      </c>
      <c r="AB719">
        <v>3</v>
      </c>
      <c r="AC719">
        <v>0</v>
      </c>
      <c r="AF719" t="s">
        <v>130</v>
      </c>
      <c r="AH719">
        <v>57.23</v>
      </c>
    </row>
    <row r="720" spans="1:34" x14ac:dyDescent="0.3">
      <c r="A720" s="4">
        <v>826</v>
      </c>
      <c r="B720" s="5">
        <v>713</v>
      </c>
      <c r="C720">
        <v>11023</v>
      </c>
      <c r="D720" t="s">
        <v>19655</v>
      </c>
      <c r="E720" t="s">
        <v>26</v>
      </c>
      <c r="F720" t="s">
        <v>52</v>
      </c>
      <c r="G720" t="s">
        <v>19656</v>
      </c>
      <c r="H720">
        <v>17.23</v>
      </c>
      <c r="I720">
        <v>0</v>
      </c>
      <c r="J720">
        <v>0</v>
      </c>
      <c r="K720">
        <v>20</v>
      </c>
      <c r="N720">
        <v>3</v>
      </c>
      <c r="O720">
        <v>3</v>
      </c>
      <c r="P720">
        <v>4</v>
      </c>
      <c r="Q720">
        <v>0</v>
      </c>
      <c r="R720">
        <v>44.23</v>
      </c>
      <c r="S720">
        <v>13</v>
      </c>
      <c r="T720">
        <v>13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13</v>
      </c>
      <c r="AB720">
        <v>0</v>
      </c>
      <c r="AC720">
        <v>0</v>
      </c>
      <c r="AF720" t="s">
        <v>130</v>
      </c>
      <c r="AH720">
        <v>57.23</v>
      </c>
    </row>
    <row r="721" spans="1:34" x14ac:dyDescent="0.3">
      <c r="A721" s="4">
        <v>827</v>
      </c>
      <c r="B721" s="5">
        <v>714</v>
      </c>
      <c r="C721">
        <v>8483</v>
      </c>
      <c r="D721" t="s">
        <v>19657</v>
      </c>
      <c r="E721" t="s">
        <v>563</v>
      </c>
      <c r="F721" t="s">
        <v>385</v>
      </c>
      <c r="G721" t="s">
        <v>19658</v>
      </c>
      <c r="H721">
        <v>17.13</v>
      </c>
      <c r="I721">
        <v>0</v>
      </c>
      <c r="J721">
        <v>0</v>
      </c>
      <c r="K721">
        <v>28</v>
      </c>
      <c r="M721">
        <v>5</v>
      </c>
      <c r="N721">
        <v>3</v>
      </c>
      <c r="O721">
        <v>8</v>
      </c>
      <c r="P721">
        <v>4</v>
      </c>
      <c r="Q721">
        <v>0</v>
      </c>
      <c r="R721">
        <v>57.13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F721" t="s">
        <v>130</v>
      </c>
      <c r="AH721">
        <v>57.13</v>
      </c>
    </row>
    <row r="722" spans="1:34" x14ac:dyDescent="0.3">
      <c r="A722" s="4">
        <v>828</v>
      </c>
      <c r="B722" s="5">
        <v>715</v>
      </c>
      <c r="C722">
        <v>8806</v>
      </c>
      <c r="D722" t="s">
        <v>10750</v>
      </c>
      <c r="E722" t="s">
        <v>38</v>
      </c>
      <c r="F722" t="s">
        <v>17</v>
      </c>
      <c r="G722" t="s">
        <v>19659</v>
      </c>
      <c r="H722">
        <v>20.100000000000001</v>
      </c>
      <c r="I722">
        <v>0</v>
      </c>
      <c r="J722">
        <v>0</v>
      </c>
      <c r="K722">
        <v>20</v>
      </c>
      <c r="L722">
        <v>7</v>
      </c>
      <c r="O722">
        <v>7</v>
      </c>
      <c r="P722">
        <v>4</v>
      </c>
      <c r="Q722">
        <v>0</v>
      </c>
      <c r="R722">
        <v>51.1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6</v>
      </c>
      <c r="AC722">
        <v>0</v>
      </c>
      <c r="AF722" t="s">
        <v>130</v>
      </c>
      <c r="AH722">
        <v>57.1</v>
      </c>
    </row>
    <row r="723" spans="1:34" x14ac:dyDescent="0.3">
      <c r="A723" s="4">
        <v>829</v>
      </c>
      <c r="B723" s="5">
        <v>716</v>
      </c>
      <c r="C723">
        <v>5170</v>
      </c>
      <c r="D723" t="s">
        <v>19660</v>
      </c>
      <c r="E723" t="s">
        <v>110</v>
      </c>
      <c r="F723" t="s">
        <v>587</v>
      </c>
      <c r="G723" t="s">
        <v>19661</v>
      </c>
      <c r="H723">
        <v>19.100000000000001</v>
      </c>
      <c r="I723">
        <v>0</v>
      </c>
      <c r="J723">
        <v>0</v>
      </c>
      <c r="K723">
        <v>20</v>
      </c>
      <c r="N723">
        <v>3</v>
      </c>
      <c r="O723">
        <v>3</v>
      </c>
      <c r="P723">
        <v>4</v>
      </c>
      <c r="Q723">
        <v>2</v>
      </c>
      <c r="R723">
        <v>48.1</v>
      </c>
      <c r="S723">
        <v>9</v>
      </c>
      <c r="T723">
        <v>9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9</v>
      </c>
      <c r="AB723">
        <v>0</v>
      </c>
      <c r="AC723">
        <v>0</v>
      </c>
      <c r="AF723" t="s">
        <v>130</v>
      </c>
      <c r="AH723">
        <v>57.1</v>
      </c>
    </row>
    <row r="724" spans="1:34" x14ac:dyDescent="0.3">
      <c r="A724" s="4">
        <v>830</v>
      </c>
      <c r="B724" s="5">
        <v>717</v>
      </c>
      <c r="C724">
        <v>3991</v>
      </c>
      <c r="D724" t="s">
        <v>5609</v>
      </c>
      <c r="E724" t="s">
        <v>29</v>
      </c>
      <c r="F724" t="s">
        <v>38</v>
      </c>
      <c r="G724" t="s">
        <v>19662</v>
      </c>
      <c r="H724">
        <v>21</v>
      </c>
      <c r="I724">
        <v>7</v>
      </c>
      <c r="J724">
        <v>0</v>
      </c>
      <c r="K724">
        <v>20</v>
      </c>
      <c r="N724">
        <v>3</v>
      </c>
      <c r="O724">
        <v>3</v>
      </c>
      <c r="P724">
        <v>0</v>
      </c>
      <c r="Q724">
        <v>0</v>
      </c>
      <c r="R724">
        <v>51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6</v>
      </c>
      <c r="AC724">
        <v>0</v>
      </c>
      <c r="AF724" t="s">
        <v>130</v>
      </c>
      <c r="AH724">
        <v>57</v>
      </c>
    </row>
    <row r="725" spans="1:34" x14ac:dyDescent="0.3">
      <c r="A725" s="4">
        <v>831</v>
      </c>
      <c r="B725" s="5">
        <v>718</v>
      </c>
      <c r="C725">
        <v>7118</v>
      </c>
      <c r="D725" t="s">
        <v>11601</v>
      </c>
      <c r="E725" t="s">
        <v>19663</v>
      </c>
      <c r="F725" t="s">
        <v>117</v>
      </c>
      <c r="G725" t="s">
        <v>19664</v>
      </c>
      <c r="H725">
        <v>19.95</v>
      </c>
      <c r="I725">
        <v>0</v>
      </c>
      <c r="J725">
        <v>0</v>
      </c>
      <c r="K725">
        <v>20</v>
      </c>
      <c r="L725">
        <v>7</v>
      </c>
      <c r="O725">
        <v>7</v>
      </c>
      <c r="P725">
        <v>4</v>
      </c>
      <c r="Q725">
        <v>0</v>
      </c>
      <c r="R725">
        <v>50.95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6</v>
      </c>
      <c r="AC725">
        <v>0</v>
      </c>
      <c r="AF725" t="s">
        <v>130</v>
      </c>
      <c r="AH725">
        <v>56.95</v>
      </c>
    </row>
    <row r="726" spans="1:34" x14ac:dyDescent="0.3">
      <c r="A726" s="4">
        <v>832</v>
      </c>
      <c r="B726" s="5">
        <v>719</v>
      </c>
      <c r="C726">
        <v>12576</v>
      </c>
      <c r="D726" t="s">
        <v>19665</v>
      </c>
      <c r="E726" t="s">
        <v>100</v>
      </c>
      <c r="F726" t="s">
        <v>375</v>
      </c>
      <c r="G726" t="s">
        <v>19666</v>
      </c>
      <c r="H726">
        <v>19.93</v>
      </c>
      <c r="I726">
        <v>0</v>
      </c>
      <c r="J726">
        <v>0</v>
      </c>
      <c r="K726">
        <v>28</v>
      </c>
      <c r="N726">
        <v>3</v>
      </c>
      <c r="O726">
        <v>3</v>
      </c>
      <c r="P726">
        <v>4</v>
      </c>
      <c r="Q726">
        <v>2</v>
      </c>
      <c r="R726">
        <v>56.93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F726" t="s">
        <v>130</v>
      </c>
      <c r="AH726">
        <v>56.93</v>
      </c>
    </row>
    <row r="727" spans="1:34" x14ac:dyDescent="0.3">
      <c r="A727" s="4">
        <v>833</v>
      </c>
      <c r="B727" s="5">
        <v>720</v>
      </c>
      <c r="C727">
        <v>7779</v>
      </c>
      <c r="D727" t="s">
        <v>19667</v>
      </c>
      <c r="E727" t="s">
        <v>54</v>
      </c>
      <c r="F727" t="s">
        <v>17</v>
      </c>
      <c r="G727" t="s">
        <v>19668</v>
      </c>
      <c r="H727">
        <v>19.8</v>
      </c>
      <c r="I727">
        <v>0</v>
      </c>
      <c r="J727">
        <v>0</v>
      </c>
      <c r="K727">
        <v>28</v>
      </c>
      <c r="M727">
        <v>5</v>
      </c>
      <c r="O727">
        <v>5</v>
      </c>
      <c r="P727">
        <v>4</v>
      </c>
      <c r="Q727">
        <v>0</v>
      </c>
      <c r="R727">
        <v>56.8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 t="s">
        <v>130</v>
      </c>
      <c r="AF727" t="s">
        <v>130</v>
      </c>
      <c r="AH727">
        <v>56.8</v>
      </c>
    </row>
    <row r="728" spans="1:34" x14ac:dyDescent="0.3">
      <c r="A728" s="4">
        <v>834</v>
      </c>
      <c r="B728" s="5">
        <v>721</v>
      </c>
      <c r="C728">
        <v>14862</v>
      </c>
      <c r="D728" t="s">
        <v>19669</v>
      </c>
      <c r="E728" t="s">
        <v>54</v>
      </c>
      <c r="F728" t="s">
        <v>652</v>
      </c>
      <c r="G728" t="s">
        <v>19670</v>
      </c>
      <c r="H728">
        <v>16.75</v>
      </c>
      <c r="I728">
        <v>0</v>
      </c>
      <c r="J728">
        <v>0</v>
      </c>
      <c r="K728">
        <v>20</v>
      </c>
      <c r="L728">
        <v>7</v>
      </c>
      <c r="O728">
        <v>7</v>
      </c>
      <c r="P728">
        <v>4</v>
      </c>
      <c r="Q728">
        <v>0</v>
      </c>
      <c r="R728">
        <v>47.75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9</v>
      </c>
      <c r="AC728">
        <v>0</v>
      </c>
      <c r="AF728" t="s">
        <v>130</v>
      </c>
      <c r="AH728">
        <v>56.75</v>
      </c>
    </row>
    <row r="729" spans="1:34" x14ac:dyDescent="0.3">
      <c r="A729" s="4">
        <v>835</v>
      </c>
      <c r="B729" s="5">
        <v>722</v>
      </c>
      <c r="C729">
        <v>10976</v>
      </c>
      <c r="D729" t="s">
        <v>9738</v>
      </c>
      <c r="E729" t="s">
        <v>29</v>
      </c>
      <c r="F729" t="s">
        <v>81</v>
      </c>
      <c r="G729" t="s">
        <v>19671</v>
      </c>
      <c r="H729">
        <v>20.75</v>
      </c>
      <c r="I729">
        <v>0</v>
      </c>
      <c r="J729">
        <v>0</v>
      </c>
      <c r="K729">
        <v>20</v>
      </c>
      <c r="N729">
        <v>6</v>
      </c>
      <c r="O729">
        <v>6</v>
      </c>
      <c r="P729">
        <v>4</v>
      </c>
      <c r="Q729">
        <v>0</v>
      </c>
      <c r="R729">
        <v>50.75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6</v>
      </c>
      <c r="AC729">
        <v>0</v>
      </c>
      <c r="AF729" t="s">
        <v>130</v>
      </c>
      <c r="AH729">
        <v>56.75</v>
      </c>
    </row>
    <row r="730" spans="1:34" x14ac:dyDescent="0.3">
      <c r="A730" s="4">
        <v>836</v>
      </c>
      <c r="B730" s="5">
        <v>723</v>
      </c>
      <c r="C730">
        <v>336</v>
      </c>
      <c r="D730" t="s">
        <v>19672</v>
      </c>
      <c r="E730" t="s">
        <v>33</v>
      </c>
      <c r="F730" t="s">
        <v>91</v>
      </c>
      <c r="G730" t="s">
        <v>32066</v>
      </c>
      <c r="H730">
        <v>17.88</v>
      </c>
      <c r="I730">
        <v>0</v>
      </c>
      <c r="J730">
        <v>0</v>
      </c>
      <c r="K730">
        <v>0</v>
      </c>
      <c r="O730">
        <v>0</v>
      </c>
      <c r="P730">
        <v>4</v>
      </c>
      <c r="Q730">
        <v>2</v>
      </c>
      <c r="R730">
        <v>23.88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6</v>
      </c>
      <c r="AC730">
        <v>26.8</v>
      </c>
      <c r="AF730" t="s">
        <v>130</v>
      </c>
      <c r="AH730">
        <v>56.68</v>
      </c>
    </row>
    <row r="731" spans="1:34" x14ac:dyDescent="0.3">
      <c r="A731" s="4">
        <v>837</v>
      </c>
      <c r="B731" s="5">
        <v>724</v>
      </c>
      <c r="C731">
        <v>11922</v>
      </c>
      <c r="D731" t="s">
        <v>19673</v>
      </c>
      <c r="E731" t="s">
        <v>110</v>
      </c>
      <c r="F731" t="s">
        <v>243</v>
      </c>
      <c r="G731" t="s">
        <v>19674</v>
      </c>
      <c r="H731">
        <v>19.579999999999998</v>
      </c>
      <c r="I731">
        <v>0</v>
      </c>
      <c r="J731">
        <v>0</v>
      </c>
      <c r="K731">
        <v>20</v>
      </c>
      <c r="L731">
        <v>7</v>
      </c>
      <c r="O731">
        <v>7</v>
      </c>
      <c r="P731">
        <v>4</v>
      </c>
      <c r="Q731">
        <v>0</v>
      </c>
      <c r="R731">
        <v>50.58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6</v>
      </c>
      <c r="AC731">
        <v>0</v>
      </c>
      <c r="AF731" t="s">
        <v>130</v>
      </c>
      <c r="AH731">
        <v>56.58</v>
      </c>
    </row>
    <row r="732" spans="1:34" x14ac:dyDescent="0.3">
      <c r="A732" s="4">
        <v>838</v>
      </c>
      <c r="B732" s="5">
        <v>725</v>
      </c>
      <c r="C732">
        <v>9986</v>
      </c>
      <c r="D732" t="s">
        <v>19675</v>
      </c>
      <c r="E732" t="s">
        <v>1016</v>
      </c>
      <c r="F732" t="s">
        <v>81</v>
      </c>
      <c r="G732" t="s">
        <v>19676</v>
      </c>
      <c r="H732">
        <v>18.48</v>
      </c>
      <c r="I732">
        <v>0</v>
      </c>
      <c r="J732">
        <v>0</v>
      </c>
      <c r="K732">
        <v>0</v>
      </c>
      <c r="M732">
        <v>5</v>
      </c>
      <c r="N732">
        <v>3</v>
      </c>
      <c r="O732">
        <v>8</v>
      </c>
      <c r="P732">
        <v>4</v>
      </c>
      <c r="Q732">
        <v>2</v>
      </c>
      <c r="R732">
        <v>32.479999999999997</v>
      </c>
      <c r="S732">
        <v>18</v>
      </c>
      <c r="T732">
        <v>18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18</v>
      </c>
      <c r="AB732">
        <v>6</v>
      </c>
      <c r="AC732">
        <v>0</v>
      </c>
      <c r="AF732" t="s">
        <v>130</v>
      </c>
      <c r="AH732">
        <v>56.48</v>
      </c>
    </row>
    <row r="733" spans="1:34" x14ac:dyDescent="0.3">
      <c r="A733" s="4">
        <v>839</v>
      </c>
      <c r="B733" s="5">
        <v>726</v>
      </c>
      <c r="C733">
        <v>8594</v>
      </c>
      <c r="D733" t="s">
        <v>16953</v>
      </c>
      <c r="E733" t="s">
        <v>454</v>
      </c>
      <c r="F733" t="s">
        <v>117</v>
      </c>
      <c r="G733" t="s">
        <v>19677</v>
      </c>
      <c r="H733">
        <v>19.43</v>
      </c>
      <c r="I733">
        <v>0</v>
      </c>
      <c r="J733">
        <v>0</v>
      </c>
      <c r="K733">
        <v>28</v>
      </c>
      <c r="N733">
        <v>3</v>
      </c>
      <c r="O733">
        <v>3</v>
      </c>
      <c r="P733">
        <v>4</v>
      </c>
      <c r="Q733">
        <v>2</v>
      </c>
      <c r="R733">
        <v>56.43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F733" t="s">
        <v>130</v>
      </c>
      <c r="AH733">
        <v>56.43</v>
      </c>
    </row>
    <row r="734" spans="1:34" x14ac:dyDescent="0.3">
      <c r="A734" s="4">
        <v>840</v>
      </c>
      <c r="B734" s="5">
        <v>727</v>
      </c>
      <c r="C734">
        <v>3022</v>
      </c>
      <c r="D734" t="s">
        <v>16948</v>
      </c>
      <c r="E734" t="s">
        <v>161</v>
      </c>
      <c r="F734" t="s">
        <v>81</v>
      </c>
      <c r="G734" t="s">
        <v>19678</v>
      </c>
      <c r="H734">
        <v>19.38</v>
      </c>
      <c r="I734">
        <v>0</v>
      </c>
      <c r="J734">
        <v>0</v>
      </c>
      <c r="K734">
        <v>20</v>
      </c>
      <c r="L734">
        <v>7</v>
      </c>
      <c r="O734">
        <v>7</v>
      </c>
      <c r="P734">
        <v>4</v>
      </c>
      <c r="Q734">
        <v>0</v>
      </c>
      <c r="R734">
        <v>50.38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6</v>
      </c>
      <c r="AC734">
        <v>0</v>
      </c>
      <c r="AF734" t="s">
        <v>130</v>
      </c>
      <c r="AH734">
        <v>56.38</v>
      </c>
    </row>
    <row r="735" spans="1:34" x14ac:dyDescent="0.3">
      <c r="A735" s="4">
        <v>841</v>
      </c>
      <c r="B735" s="5">
        <v>728</v>
      </c>
      <c r="C735">
        <v>10653</v>
      </c>
      <c r="D735" t="s">
        <v>5357</v>
      </c>
      <c r="E735" t="s">
        <v>26</v>
      </c>
      <c r="F735" t="s">
        <v>38</v>
      </c>
      <c r="G735" t="s">
        <v>19679</v>
      </c>
      <c r="H735">
        <v>21.28</v>
      </c>
      <c r="I735">
        <v>0</v>
      </c>
      <c r="J735">
        <v>0</v>
      </c>
      <c r="K735">
        <v>20</v>
      </c>
      <c r="N735">
        <v>3</v>
      </c>
      <c r="O735">
        <v>3</v>
      </c>
      <c r="P735">
        <v>4</v>
      </c>
      <c r="Q735">
        <v>2</v>
      </c>
      <c r="R735">
        <v>50.28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6</v>
      </c>
      <c r="AC735">
        <v>0</v>
      </c>
      <c r="AF735" t="s">
        <v>130</v>
      </c>
      <c r="AH735">
        <v>56.28</v>
      </c>
    </row>
    <row r="736" spans="1:34" x14ac:dyDescent="0.3">
      <c r="A736" s="4">
        <v>842</v>
      </c>
      <c r="B736" s="5">
        <v>729</v>
      </c>
      <c r="C736">
        <v>14885</v>
      </c>
      <c r="D736" t="s">
        <v>19680</v>
      </c>
      <c r="E736" t="s">
        <v>19681</v>
      </c>
      <c r="F736" t="s">
        <v>19682</v>
      </c>
      <c r="G736" t="s">
        <v>19683</v>
      </c>
      <c r="H736">
        <v>16.25</v>
      </c>
      <c r="I736">
        <v>0</v>
      </c>
      <c r="J736">
        <v>0</v>
      </c>
      <c r="K736">
        <v>20</v>
      </c>
      <c r="L736">
        <v>14</v>
      </c>
      <c r="O736">
        <v>14</v>
      </c>
      <c r="P736">
        <v>4</v>
      </c>
      <c r="Q736">
        <v>2</v>
      </c>
      <c r="R736">
        <v>56.25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F736" t="s">
        <v>130</v>
      </c>
      <c r="AH736">
        <v>56.25</v>
      </c>
    </row>
    <row r="737" spans="1:34" x14ac:dyDescent="0.3">
      <c r="A737" s="4">
        <v>843</v>
      </c>
      <c r="B737" s="5">
        <v>730</v>
      </c>
      <c r="C737">
        <v>14840</v>
      </c>
      <c r="D737" t="s">
        <v>3774</v>
      </c>
      <c r="E737" t="s">
        <v>41</v>
      </c>
      <c r="F737" t="s">
        <v>315</v>
      </c>
      <c r="G737" t="s">
        <v>19684</v>
      </c>
      <c r="H737">
        <v>16.18</v>
      </c>
      <c r="I737">
        <v>0</v>
      </c>
      <c r="J737">
        <v>0</v>
      </c>
      <c r="K737">
        <v>0</v>
      </c>
      <c r="O737">
        <v>0</v>
      </c>
      <c r="P737">
        <v>0</v>
      </c>
      <c r="Q737">
        <v>2</v>
      </c>
      <c r="R737">
        <v>18.18</v>
      </c>
      <c r="S737">
        <v>32</v>
      </c>
      <c r="T737">
        <v>32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32</v>
      </c>
      <c r="AB737">
        <v>6</v>
      </c>
      <c r="AC737">
        <v>0</v>
      </c>
      <c r="AF737" t="s">
        <v>130</v>
      </c>
      <c r="AH737">
        <v>56.18</v>
      </c>
    </row>
    <row r="738" spans="1:34" x14ac:dyDescent="0.3">
      <c r="A738" s="4">
        <v>844</v>
      </c>
      <c r="B738" s="5">
        <v>731</v>
      </c>
      <c r="C738">
        <v>6923</v>
      </c>
      <c r="D738" t="s">
        <v>19685</v>
      </c>
      <c r="E738" t="s">
        <v>355</v>
      </c>
      <c r="F738" t="s">
        <v>17</v>
      </c>
      <c r="G738" t="s">
        <v>19686</v>
      </c>
      <c r="H738">
        <v>18.18</v>
      </c>
      <c r="I738">
        <v>7</v>
      </c>
      <c r="J738">
        <v>0</v>
      </c>
      <c r="K738">
        <v>20</v>
      </c>
      <c r="L738">
        <v>7</v>
      </c>
      <c r="O738">
        <v>7</v>
      </c>
      <c r="P738">
        <v>4</v>
      </c>
      <c r="Q738">
        <v>0</v>
      </c>
      <c r="R738">
        <v>56.18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F738" t="s">
        <v>130</v>
      </c>
      <c r="AH738">
        <v>56.18</v>
      </c>
    </row>
    <row r="739" spans="1:34" x14ac:dyDescent="0.3">
      <c r="A739" s="4">
        <v>845</v>
      </c>
      <c r="B739" s="5">
        <v>732</v>
      </c>
      <c r="C739">
        <v>6095</v>
      </c>
      <c r="D739" t="s">
        <v>8744</v>
      </c>
      <c r="E739" t="s">
        <v>88</v>
      </c>
      <c r="F739" t="s">
        <v>7403</v>
      </c>
      <c r="G739" t="s">
        <v>19687</v>
      </c>
      <c r="H739">
        <v>19.100000000000001</v>
      </c>
      <c r="I739">
        <v>0</v>
      </c>
      <c r="J739">
        <v>0</v>
      </c>
      <c r="K739">
        <v>20</v>
      </c>
      <c r="L739">
        <v>7</v>
      </c>
      <c r="O739">
        <v>7</v>
      </c>
      <c r="P739">
        <v>4</v>
      </c>
      <c r="Q739">
        <v>0</v>
      </c>
      <c r="R739">
        <v>50.1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6</v>
      </c>
      <c r="AC739">
        <v>0</v>
      </c>
      <c r="AF739" t="s">
        <v>130</v>
      </c>
      <c r="AH739">
        <v>56.1</v>
      </c>
    </row>
    <row r="740" spans="1:34" x14ac:dyDescent="0.3">
      <c r="A740" s="4">
        <v>846</v>
      </c>
      <c r="B740" s="5">
        <v>733</v>
      </c>
      <c r="C740">
        <v>7775</v>
      </c>
      <c r="D740" t="s">
        <v>19688</v>
      </c>
      <c r="E740" t="s">
        <v>697</v>
      </c>
      <c r="F740" t="s">
        <v>38</v>
      </c>
      <c r="G740" t="s">
        <v>19689</v>
      </c>
      <c r="H740">
        <v>18.079999999999998</v>
      </c>
      <c r="I740">
        <v>0</v>
      </c>
      <c r="J740">
        <v>0</v>
      </c>
      <c r="K740">
        <v>0</v>
      </c>
      <c r="L740">
        <v>7</v>
      </c>
      <c r="O740">
        <v>7</v>
      </c>
      <c r="P740">
        <v>4</v>
      </c>
      <c r="Q740">
        <v>2</v>
      </c>
      <c r="R740">
        <v>31.08</v>
      </c>
      <c r="S740">
        <v>25</v>
      </c>
      <c r="T740">
        <v>25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25</v>
      </c>
      <c r="AB740">
        <v>0</v>
      </c>
      <c r="AC740">
        <v>0</v>
      </c>
      <c r="AF740" t="s">
        <v>130</v>
      </c>
      <c r="AH740">
        <v>56.08</v>
      </c>
    </row>
    <row r="741" spans="1:34" x14ac:dyDescent="0.3">
      <c r="A741" s="4">
        <v>847</v>
      </c>
      <c r="B741" s="5">
        <v>734</v>
      </c>
      <c r="C741">
        <v>7786</v>
      </c>
      <c r="D741" t="s">
        <v>19690</v>
      </c>
      <c r="E741" t="s">
        <v>88</v>
      </c>
      <c r="F741" t="s">
        <v>626</v>
      </c>
      <c r="G741" t="s">
        <v>19691</v>
      </c>
      <c r="H741">
        <v>18.98</v>
      </c>
      <c r="I741">
        <v>0</v>
      </c>
      <c r="J741">
        <v>0</v>
      </c>
      <c r="K741">
        <v>20</v>
      </c>
      <c r="L741">
        <v>7</v>
      </c>
      <c r="O741">
        <v>7</v>
      </c>
      <c r="P741">
        <v>4</v>
      </c>
      <c r="Q741">
        <v>0</v>
      </c>
      <c r="R741">
        <v>49.98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6</v>
      </c>
      <c r="AC741">
        <v>0</v>
      </c>
      <c r="AF741" t="s">
        <v>130</v>
      </c>
      <c r="AH741">
        <v>55.98</v>
      </c>
    </row>
    <row r="742" spans="1:34" x14ac:dyDescent="0.3">
      <c r="A742" s="4">
        <v>848</v>
      </c>
      <c r="B742" s="5">
        <v>735</v>
      </c>
      <c r="C742">
        <v>4427</v>
      </c>
      <c r="D742" t="s">
        <v>585</v>
      </c>
      <c r="E742" t="s">
        <v>594</v>
      </c>
      <c r="F742" t="s">
        <v>3130</v>
      </c>
      <c r="G742" t="s">
        <v>19692</v>
      </c>
      <c r="H742">
        <v>18.899999999999999</v>
      </c>
      <c r="I742">
        <v>0</v>
      </c>
      <c r="J742">
        <v>0</v>
      </c>
      <c r="K742">
        <v>0</v>
      </c>
      <c r="O742">
        <v>0</v>
      </c>
      <c r="P742">
        <v>4</v>
      </c>
      <c r="Q742">
        <v>2</v>
      </c>
      <c r="R742">
        <v>24.9</v>
      </c>
      <c r="S742">
        <v>28</v>
      </c>
      <c r="T742">
        <v>28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28</v>
      </c>
      <c r="AB742">
        <v>3</v>
      </c>
      <c r="AC742">
        <v>0</v>
      </c>
      <c r="AF742" t="s">
        <v>130</v>
      </c>
      <c r="AH742">
        <v>55.9</v>
      </c>
    </row>
    <row r="743" spans="1:34" x14ac:dyDescent="0.3">
      <c r="A743" s="4">
        <v>849</v>
      </c>
      <c r="B743" s="5">
        <v>736</v>
      </c>
      <c r="C743">
        <v>8946</v>
      </c>
      <c r="D743" t="s">
        <v>9324</v>
      </c>
      <c r="E743" t="s">
        <v>61</v>
      </c>
      <c r="F743" t="s">
        <v>81</v>
      </c>
      <c r="G743" t="s">
        <v>19693</v>
      </c>
      <c r="H743">
        <v>17.899999999999999</v>
      </c>
      <c r="I743">
        <v>0</v>
      </c>
      <c r="J743">
        <v>0</v>
      </c>
      <c r="K743">
        <v>20</v>
      </c>
      <c r="O743">
        <v>0</v>
      </c>
      <c r="P743">
        <v>4</v>
      </c>
      <c r="Q743">
        <v>2</v>
      </c>
      <c r="R743">
        <v>43.9</v>
      </c>
      <c r="S743">
        <v>12</v>
      </c>
      <c r="T743">
        <v>12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12</v>
      </c>
      <c r="AB743">
        <v>0</v>
      </c>
      <c r="AC743">
        <v>0</v>
      </c>
      <c r="AF743" t="s">
        <v>130</v>
      </c>
      <c r="AH743">
        <v>55.9</v>
      </c>
    </row>
    <row r="744" spans="1:34" x14ac:dyDescent="0.3">
      <c r="A744" s="4">
        <v>850</v>
      </c>
      <c r="B744" s="5">
        <v>737</v>
      </c>
      <c r="C744">
        <v>91</v>
      </c>
      <c r="D744" t="s">
        <v>19694</v>
      </c>
      <c r="E744" t="s">
        <v>149</v>
      </c>
      <c r="F744" t="s">
        <v>17</v>
      </c>
      <c r="G744" t="s">
        <v>19695</v>
      </c>
      <c r="H744">
        <v>18.8</v>
      </c>
      <c r="I744">
        <v>7</v>
      </c>
      <c r="J744">
        <v>0</v>
      </c>
      <c r="K744">
        <v>0</v>
      </c>
      <c r="N744">
        <v>3</v>
      </c>
      <c r="O744">
        <v>3</v>
      </c>
      <c r="P744">
        <v>4</v>
      </c>
      <c r="Q744">
        <v>0</v>
      </c>
      <c r="R744">
        <v>32.799999999999997</v>
      </c>
      <c r="S744">
        <v>23</v>
      </c>
      <c r="T744">
        <v>23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23</v>
      </c>
      <c r="AB744">
        <v>0</v>
      </c>
      <c r="AC744">
        <v>0</v>
      </c>
      <c r="AF744" t="s">
        <v>130</v>
      </c>
      <c r="AH744">
        <v>55.8</v>
      </c>
    </row>
    <row r="745" spans="1:34" x14ac:dyDescent="0.3">
      <c r="A745" s="4">
        <v>851</v>
      </c>
      <c r="B745" s="5">
        <v>738</v>
      </c>
      <c r="C745">
        <v>3494</v>
      </c>
      <c r="D745" t="s">
        <v>6099</v>
      </c>
      <c r="E745" t="s">
        <v>41</v>
      </c>
      <c r="F745" t="s">
        <v>243</v>
      </c>
      <c r="G745" t="s">
        <v>19696</v>
      </c>
      <c r="H745">
        <v>17.78</v>
      </c>
      <c r="I745">
        <v>0</v>
      </c>
      <c r="J745">
        <v>0</v>
      </c>
      <c r="K745">
        <v>20</v>
      </c>
      <c r="N745">
        <v>3</v>
      </c>
      <c r="O745">
        <v>3</v>
      </c>
      <c r="P745">
        <v>4</v>
      </c>
      <c r="Q745">
        <v>2</v>
      </c>
      <c r="R745">
        <v>46.78</v>
      </c>
      <c r="S745">
        <v>9</v>
      </c>
      <c r="T745">
        <v>9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9</v>
      </c>
      <c r="AB745">
        <v>0</v>
      </c>
      <c r="AC745">
        <v>0</v>
      </c>
      <c r="AF745" t="s">
        <v>130</v>
      </c>
      <c r="AH745">
        <v>55.78</v>
      </c>
    </row>
    <row r="746" spans="1:34" x14ac:dyDescent="0.3">
      <c r="A746" s="4">
        <v>852</v>
      </c>
      <c r="B746" s="5">
        <v>739</v>
      </c>
      <c r="C746">
        <v>14368</v>
      </c>
      <c r="D746" t="s">
        <v>19697</v>
      </c>
      <c r="E746" t="s">
        <v>19698</v>
      </c>
      <c r="F746" t="s">
        <v>17</v>
      </c>
      <c r="G746" t="s">
        <v>19699</v>
      </c>
      <c r="H746">
        <v>19.75</v>
      </c>
      <c r="I746">
        <v>0</v>
      </c>
      <c r="J746">
        <v>0</v>
      </c>
      <c r="K746">
        <v>20</v>
      </c>
      <c r="N746">
        <v>3</v>
      </c>
      <c r="O746">
        <v>3</v>
      </c>
      <c r="P746">
        <v>4</v>
      </c>
      <c r="Q746">
        <v>0</v>
      </c>
      <c r="R746">
        <v>46.75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9</v>
      </c>
      <c r="AC746">
        <v>0</v>
      </c>
      <c r="AF746" t="s">
        <v>130</v>
      </c>
      <c r="AH746">
        <v>55.75</v>
      </c>
    </row>
    <row r="747" spans="1:34" x14ac:dyDescent="0.3">
      <c r="A747" s="4">
        <v>853</v>
      </c>
      <c r="B747" s="5">
        <v>740</v>
      </c>
      <c r="C747">
        <v>4255</v>
      </c>
      <c r="D747" t="s">
        <v>1827</v>
      </c>
      <c r="E747" t="s">
        <v>575</v>
      </c>
      <c r="F747" t="s">
        <v>136</v>
      </c>
      <c r="G747" t="s">
        <v>19700</v>
      </c>
      <c r="H747">
        <v>22.7</v>
      </c>
      <c r="I747">
        <v>7</v>
      </c>
      <c r="J747">
        <v>0</v>
      </c>
      <c r="K747">
        <v>20</v>
      </c>
      <c r="O747">
        <v>0</v>
      </c>
      <c r="P747">
        <v>4</v>
      </c>
      <c r="Q747">
        <v>2</v>
      </c>
      <c r="R747">
        <v>55.7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F747" t="s">
        <v>130</v>
      </c>
      <c r="AH747">
        <v>55.7</v>
      </c>
    </row>
    <row r="748" spans="1:34" x14ac:dyDescent="0.3">
      <c r="A748" s="4">
        <v>854</v>
      </c>
      <c r="B748" s="5">
        <v>741</v>
      </c>
      <c r="C748">
        <v>9338</v>
      </c>
      <c r="D748" t="s">
        <v>19701</v>
      </c>
      <c r="E748" t="s">
        <v>5776</v>
      </c>
      <c r="F748" t="s">
        <v>626</v>
      </c>
      <c r="G748" t="s">
        <v>19702</v>
      </c>
      <c r="H748">
        <v>16.63</v>
      </c>
      <c r="I748">
        <v>0</v>
      </c>
      <c r="J748">
        <v>0</v>
      </c>
      <c r="K748">
        <v>0</v>
      </c>
      <c r="N748">
        <v>3</v>
      </c>
      <c r="O748">
        <v>3</v>
      </c>
      <c r="P748">
        <v>4</v>
      </c>
      <c r="Q748">
        <v>2</v>
      </c>
      <c r="R748">
        <v>25.63</v>
      </c>
      <c r="S748">
        <v>30</v>
      </c>
      <c r="T748">
        <v>30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30</v>
      </c>
      <c r="AB748">
        <v>0</v>
      </c>
      <c r="AC748">
        <v>0</v>
      </c>
      <c r="AF748" t="s">
        <v>130</v>
      </c>
      <c r="AH748">
        <v>55.63</v>
      </c>
    </row>
    <row r="749" spans="1:34" x14ac:dyDescent="0.3">
      <c r="A749" s="4">
        <v>855</v>
      </c>
      <c r="B749" s="5">
        <v>742</v>
      </c>
      <c r="C749">
        <v>3265</v>
      </c>
      <c r="D749" t="s">
        <v>11273</v>
      </c>
      <c r="E749" t="s">
        <v>2595</v>
      </c>
      <c r="F749" t="s">
        <v>136</v>
      </c>
      <c r="G749" t="s">
        <v>19703</v>
      </c>
      <c r="H749">
        <v>17.600000000000001</v>
      </c>
      <c r="I749">
        <v>0</v>
      </c>
      <c r="J749">
        <v>0</v>
      </c>
      <c r="K749">
        <v>0</v>
      </c>
      <c r="O749">
        <v>0</v>
      </c>
      <c r="P749">
        <v>0</v>
      </c>
      <c r="Q749">
        <v>2</v>
      </c>
      <c r="R749">
        <v>19.600000000000001</v>
      </c>
      <c r="S749">
        <v>36</v>
      </c>
      <c r="T749">
        <v>36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36</v>
      </c>
      <c r="AB749">
        <v>0</v>
      </c>
      <c r="AC749">
        <v>0</v>
      </c>
      <c r="AF749" t="s">
        <v>130</v>
      </c>
      <c r="AH749">
        <v>55.6</v>
      </c>
    </row>
    <row r="750" spans="1:34" x14ac:dyDescent="0.3">
      <c r="A750" s="4">
        <v>856</v>
      </c>
      <c r="B750" s="5">
        <v>743</v>
      </c>
      <c r="C750">
        <v>1299</v>
      </c>
      <c r="D750" t="s">
        <v>3434</v>
      </c>
      <c r="E750" t="s">
        <v>166</v>
      </c>
      <c r="F750" t="s">
        <v>238</v>
      </c>
      <c r="G750" t="s">
        <v>12453</v>
      </c>
      <c r="H750">
        <v>22.58</v>
      </c>
      <c r="I750">
        <v>7</v>
      </c>
      <c r="J750">
        <v>0</v>
      </c>
      <c r="K750">
        <v>0</v>
      </c>
      <c r="L750">
        <v>7</v>
      </c>
      <c r="N750">
        <v>3</v>
      </c>
      <c r="O750">
        <v>10</v>
      </c>
      <c r="P750">
        <v>4</v>
      </c>
      <c r="Q750">
        <v>2</v>
      </c>
      <c r="R750">
        <v>45.58</v>
      </c>
      <c r="S750">
        <v>10</v>
      </c>
      <c r="T750">
        <v>10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10</v>
      </c>
      <c r="AB750">
        <v>0</v>
      </c>
      <c r="AC750">
        <v>0</v>
      </c>
      <c r="AF750" t="s">
        <v>130</v>
      </c>
      <c r="AH750">
        <v>55.58</v>
      </c>
    </row>
    <row r="751" spans="1:34" x14ac:dyDescent="0.3">
      <c r="A751" s="4">
        <v>857</v>
      </c>
      <c r="B751" s="5">
        <v>744</v>
      </c>
      <c r="C751">
        <v>8056</v>
      </c>
      <c r="D751" t="s">
        <v>577</v>
      </c>
      <c r="E751" t="s">
        <v>132</v>
      </c>
      <c r="F751" t="s">
        <v>19704</v>
      </c>
      <c r="G751" t="s">
        <v>19705</v>
      </c>
      <c r="H751">
        <v>21.53</v>
      </c>
      <c r="I751">
        <v>0</v>
      </c>
      <c r="J751">
        <v>0</v>
      </c>
      <c r="K751">
        <v>20</v>
      </c>
      <c r="M751">
        <v>5</v>
      </c>
      <c r="N751">
        <v>3</v>
      </c>
      <c r="O751">
        <v>8</v>
      </c>
      <c r="P751">
        <v>4</v>
      </c>
      <c r="Q751">
        <v>2</v>
      </c>
      <c r="R751">
        <v>55.53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F751" t="s">
        <v>130</v>
      </c>
      <c r="AH751">
        <v>55.53</v>
      </c>
    </row>
    <row r="752" spans="1:34" x14ac:dyDescent="0.3">
      <c r="A752" s="4">
        <v>858</v>
      </c>
      <c r="B752" s="5">
        <v>745</v>
      </c>
      <c r="C752">
        <v>1439</v>
      </c>
      <c r="D752" t="s">
        <v>19706</v>
      </c>
      <c r="E752" t="s">
        <v>143</v>
      </c>
      <c r="F752" t="s">
        <v>81</v>
      </c>
      <c r="G752" t="s">
        <v>19707</v>
      </c>
      <c r="H752">
        <v>20.5</v>
      </c>
      <c r="I752">
        <v>0</v>
      </c>
      <c r="J752">
        <v>0</v>
      </c>
      <c r="K752">
        <v>28</v>
      </c>
      <c r="N752">
        <v>3</v>
      </c>
      <c r="O752">
        <v>3</v>
      </c>
      <c r="P752">
        <v>4</v>
      </c>
      <c r="Q752">
        <v>0</v>
      </c>
      <c r="R752">
        <v>55.5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F752" t="s">
        <v>130</v>
      </c>
      <c r="AH752">
        <v>55.5</v>
      </c>
    </row>
    <row r="753" spans="1:34" x14ac:dyDescent="0.3">
      <c r="A753" s="4">
        <v>859</v>
      </c>
      <c r="B753" s="5">
        <v>746</v>
      </c>
      <c r="C753">
        <v>1211</v>
      </c>
      <c r="D753" t="s">
        <v>19708</v>
      </c>
      <c r="E753" t="s">
        <v>14349</v>
      </c>
      <c r="F753" t="s">
        <v>2582</v>
      </c>
      <c r="G753" t="s">
        <v>19709</v>
      </c>
      <c r="H753">
        <v>16.5</v>
      </c>
      <c r="I753">
        <v>0</v>
      </c>
      <c r="J753">
        <v>0</v>
      </c>
      <c r="K753">
        <v>20</v>
      </c>
      <c r="N753">
        <v>3</v>
      </c>
      <c r="O753">
        <v>3</v>
      </c>
      <c r="P753">
        <v>4</v>
      </c>
      <c r="Q753">
        <v>0</v>
      </c>
      <c r="R753">
        <v>43.5</v>
      </c>
      <c r="S753">
        <v>12</v>
      </c>
      <c r="T753">
        <v>12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12</v>
      </c>
      <c r="AB753">
        <v>0</v>
      </c>
      <c r="AC753">
        <v>0</v>
      </c>
      <c r="AF753" t="s">
        <v>130</v>
      </c>
      <c r="AH753">
        <v>55.5</v>
      </c>
    </row>
    <row r="754" spans="1:34" x14ac:dyDescent="0.3">
      <c r="A754" s="4">
        <v>860</v>
      </c>
      <c r="B754" s="5">
        <v>747</v>
      </c>
      <c r="C754">
        <v>4451</v>
      </c>
      <c r="D754" t="s">
        <v>19710</v>
      </c>
      <c r="E754" t="s">
        <v>41</v>
      </c>
      <c r="F754" t="s">
        <v>328</v>
      </c>
      <c r="G754" t="s">
        <v>19711</v>
      </c>
      <c r="H754">
        <v>19.38</v>
      </c>
      <c r="I754">
        <v>0</v>
      </c>
      <c r="J754">
        <v>0</v>
      </c>
      <c r="K754">
        <v>20</v>
      </c>
      <c r="L754">
        <v>7</v>
      </c>
      <c r="O754">
        <v>7</v>
      </c>
      <c r="P754">
        <v>4</v>
      </c>
      <c r="Q754">
        <v>2</v>
      </c>
      <c r="R754">
        <v>52.38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3</v>
      </c>
      <c r="AC754">
        <v>0</v>
      </c>
      <c r="AF754" t="s">
        <v>130</v>
      </c>
      <c r="AH754">
        <v>55.38</v>
      </c>
    </row>
    <row r="755" spans="1:34" x14ac:dyDescent="0.3">
      <c r="A755" s="4">
        <v>861</v>
      </c>
      <c r="B755" s="5">
        <v>748</v>
      </c>
      <c r="C755">
        <v>2259</v>
      </c>
      <c r="D755" t="s">
        <v>19712</v>
      </c>
      <c r="E755" t="s">
        <v>117</v>
      </c>
      <c r="F755" t="s">
        <v>81</v>
      </c>
      <c r="G755" t="s">
        <v>19713</v>
      </c>
      <c r="H755">
        <v>17.350000000000001</v>
      </c>
      <c r="I755">
        <v>0</v>
      </c>
      <c r="J755">
        <v>0</v>
      </c>
      <c r="K755">
        <v>0</v>
      </c>
      <c r="N755">
        <v>3</v>
      </c>
      <c r="O755">
        <v>3</v>
      </c>
      <c r="P755">
        <v>0</v>
      </c>
      <c r="Q755">
        <v>2</v>
      </c>
      <c r="R755">
        <v>22.35</v>
      </c>
      <c r="S755">
        <v>33</v>
      </c>
      <c r="T755">
        <v>33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33</v>
      </c>
      <c r="AB755">
        <v>0</v>
      </c>
      <c r="AC755">
        <v>0</v>
      </c>
      <c r="AF755" t="s">
        <v>130</v>
      </c>
      <c r="AH755">
        <v>55.35</v>
      </c>
    </row>
    <row r="756" spans="1:34" x14ac:dyDescent="0.3">
      <c r="A756" s="4">
        <v>862</v>
      </c>
      <c r="B756" s="5">
        <v>749</v>
      </c>
      <c r="C756">
        <v>11996</v>
      </c>
      <c r="D756" t="s">
        <v>2961</v>
      </c>
      <c r="E756" t="s">
        <v>166</v>
      </c>
      <c r="F756" t="s">
        <v>117</v>
      </c>
      <c r="G756" t="s">
        <v>19714</v>
      </c>
      <c r="H756">
        <v>19.329999999999998</v>
      </c>
      <c r="I756">
        <v>0</v>
      </c>
      <c r="J756">
        <v>0</v>
      </c>
      <c r="K756">
        <v>20</v>
      </c>
      <c r="L756">
        <v>7</v>
      </c>
      <c r="N756">
        <v>3</v>
      </c>
      <c r="O756">
        <v>10</v>
      </c>
      <c r="P756">
        <v>4</v>
      </c>
      <c r="Q756">
        <v>2</v>
      </c>
      <c r="R756">
        <v>55.33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F756" t="s">
        <v>130</v>
      </c>
      <c r="AH756">
        <v>55.33</v>
      </c>
    </row>
    <row r="757" spans="1:34" x14ac:dyDescent="0.3">
      <c r="A757" s="4">
        <v>864</v>
      </c>
      <c r="B757" s="5">
        <v>750</v>
      </c>
      <c r="C757">
        <v>8425</v>
      </c>
      <c r="D757" t="s">
        <v>19715</v>
      </c>
      <c r="E757" t="s">
        <v>110</v>
      </c>
      <c r="F757" t="s">
        <v>442</v>
      </c>
      <c r="G757" t="s">
        <v>19716</v>
      </c>
      <c r="H757">
        <v>19.28</v>
      </c>
      <c r="I757">
        <v>0</v>
      </c>
      <c r="J757">
        <v>0</v>
      </c>
      <c r="K757">
        <v>20</v>
      </c>
      <c r="L757">
        <v>7</v>
      </c>
      <c r="O757">
        <v>7</v>
      </c>
      <c r="P757">
        <v>4</v>
      </c>
      <c r="Q757">
        <v>2</v>
      </c>
      <c r="R757">
        <v>52.28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3</v>
      </c>
      <c r="AC757">
        <v>0</v>
      </c>
      <c r="AF757" t="s">
        <v>130</v>
      </c>
      <c r="AH757">
        <v>55.28</v>
      </c>
    </row>
    <row r="758" spans="1:34" x14ac:dyDescent="0.3">
      <c r="A758" s="4">
        <v>865</v>
      </c>
      <c r="B758" s="5">
        <v>751</v>
      </c>
      <c r="C758">
        <v>3138</v>
      </c>
      <c r="D758" t="s">
        <v>19717</v>
      </c>
      <c r="E758" t="s">
        <v>41</v>
      </c>
      <c r="F758" t="s">
        <v>62</v>
      </c>
      <c r="G758" t="s">
        <v>19718</v>
      </c>
      <c r="H758">
        <v>20.25</v>
      </c>
      <c r="I758">
        <v>7</v>
      </c>
      <c r="J758">
        <v>0</v>
      </c>
      <c r="K758">
        <v>0</v>
      </c>
      <c r="O758">
        <v>0</v>
      </c>
      <c r="P758">
        <v>4</v>
      </c>
      <c r="Q758">
        <v>2</v>
      </c>
      <c r="R758">
        <v>33.25</v>
      </c>
      <c r="S758">
        <v>10</v>
      </c>
      <c r="T758">
        <v>10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10</v>
      </c>
      <c r="AB758">
        <v>12</v>
      </c>
      <c r="AC758">
        <v>0</v>
      </c>
      <c r="AF758" t="s">
        <v>130</v>
      </c>
      <c r="AH758">
        <v>55.25</v>
      </c>
    </row>
    <row r="759" spans="1:34" x14ac:dyDescent="0.3">
      <c r="A759" s="4">
        <v>866</v>
      </c>
      <c r="B759" s="5">
        <v>752</v>
      </c>
      <c r="C759">
        <v>10228</v>
      </c>
      <c r="D759" t="s">
        <v>13632</v>
      </c>
      <c r="E759" t="s">
        <v>20</v>
      </c>
      <c r="F759" t="s">
        <v>17</v>
      </c>
      <c r="G759" t="s">
        <v>19719</v>
      </c>
      <c r="H759">
        <v>17.25</v>
      </c>
      <c r="I759">
        <v>0</v>
      </c>
      <c r="J759">
        <v>0</v>
      </c>
      <c r="K759">
        <v>20</v>
      </c>
      <c r="N759">
        <v>3</v>
      </c>
      <c r="O759">
        <v>3</v>
      </c>
      <c r="P759">
        <v>4</v>
      </c>
      <c r="Q759">
        <v>2</v>
      </c>
      <c r="R759">
        <v>46.25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9</v>
      </c>
      <c r="AC759">
        <v>0</v>
      </c>
      <c r="AF759" t="s">
        <v>130</v>
      </c>
      <c r="AH759">
        <v>55.25</v>
      </c>
    </row>
    <row r="760" spans="1:34" x14ac:dyDescent="0.3">
      <c r="A760" s="4">
        <v>867</v>
      </c>
      <c r="B760" s="5">
        <v>753</v>
      </c>
      <c r="C760">
        <v>8685</v>
      </c>
      <c r="D760" t="s">
        <v>6359</v>
      </c>
      <c r="E760" t="s">
        <v>26</v>
      </c>
      <c r="F760" t="s">
        <v>81</v>
      </c>
      <c r="G760" t="s">
        <v>19720</v>
      </c>
      <c r="H760">
        <v>18.18</v>
      </c>
      <c r="I760">
        <v>0</v>
      </c>
      <c r="J760">
        <v>0</v>
      </c>
      <c r="K760">
        <v>20</v>
      </c>
      <c r="L760">
        <v>7</v>
      </c>
      <c r="O760">
        <v>7</v>
      </c>
      <c r="P760">
        <v>4</v>
      </c>
      <c r="Q760">
        <v>0</v>
      </c>
      <c r="R760">
        <v>49.18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6</v>
      </c>
      <c r="AC760">
        <v>0</v>
      </c>
      <c r="AF760" t="s">
        <v>130</v>
      </c>
      <c r="AH760">
        <v>55.18</v>
      </c>
    </row>
    <row r="761" spans="1:34" x14ac:dyDescent="0.3">
      <c r="A761" s="4">
        <v>868</v>
      </c>
      <c r="B761" s="5">
        <v>754</v>
      </c>
      <c r="C761">
        <v>13178</v>
      </c>
      <c r="D761" t="s">
        <v>2528</v>
      </c>
      <c r="E761" t="s">
        <v>182</v>
      </c>
      <c r="F761" t="s">
        <v>30</v>
      </c>
      <c r="G761" t="s">
        <v>2529</v>
      </c>
      <c r="H761">
        <v>21.18</v>
      </c>
      <c r="I761">
        <v>0</v>
      </c>
      <c r="J761">
        <v>0</v>
      </c>
      <c r="K761">
        <v>0</v>
      </c>
      <c r="O761">
        <v>0</v>
      </c>
      <c r="P761">
        <v>4</v>
      </c>
      <c r="Q761">
        <v>2</v>
      </c>
      <c r="R761">
        <v>27.18</v>
      </c>
      <c r="S761">
        <v>28</v>
      </c>
      <c r="T761">
        <v>28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28</v>
      </c>
      <c r="AB761">
        <v>0</v>
      </c>
      <c r="AC761">
        <v>0</v>
      </c>
      <c r="AD761" t="s">
        <v>130</v>
      </c>
      <c r="AF761" t="s">
        <v>130</v>
      </c>
      <c r="AH761">
        <v>55.18</v>
      </c>
    </row>
    <row r="762" spans="1:34" x14ac:dyDescent="0.3">
      <c r="A762" s="4">
        <v>869</v>
      </c>
      <c r="B762" s="5">
        <v>755</v>
      </c>
      <c r="C762">
        <v>1031</v>
      </c>
      <c r="D762" t="s">
        <v>19721</v>
      </c>
      <c r="E762" t="s">
        <v>68</v>
      </c>
      <c r="F762" t="s">
        <v>17</v>
      </c>
      <c r="G762" t="s">
        <v>19722</v>
      </c>
      <c r="H762">
        <v>17.149999999999999</v>
      </c>
      <c r="I762">
        <v>0</v>
      </c>
      <c r="J762">
        <v>0</v>
      </c>
      <c r="K762">
        <v>0</v>
      </c>
      <c r="M762">
        <v>5</v>
      </c>
      <c r="O762">
        <v>5</v>
      </c>
      <c r="P762">
        <v>4</v>
      </c>
      <c r="Q762">
        <v>0</v>
      </c>
      <c r="R762">
        <v>26.15</v>
      </c>
      <c r="S762">
        <v>29</v>
      </c>
      <c r="T762">
        <v>29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29</v>
      </c>
      <c r="AB762">
        <v>0</v>
      </c>
      <c r="AC762">
        <v>0</v>
      </c>
      <c r="AF762" t="s">
        <v>130</v>
      </c>
      <c r="AH762">
        <v>55.15</v>
      </c>
    </row>
    <row r="763" spans="1:34" x14ac:dyDescent="0.3">
      <c r="A763" s="4">
        <v>870</v>
      </c>
      <c r="B763" s="5">
        <v>756</v>
      </c>
      <c r="C763">
        <v>1354</v>
      </c>
      <c r="D763" t="s">
        <v>19723</v>
      </c>
      <c r="E763" t="s">
        <v>54</v>
      </c>
      <c r="F763" t="s">
        <v>38</v>
      </c>
      <c r="G763" t="s">
        <v>19724</v>
      </c>
      <c r="H763">
        <v>15.05</v>
      </c>
      <c r="I763">
        <v>7</v>
      </c>
      <c r="J763">
        <v>0</v>
      </c>
      <c r="K763">
        <v>0</v>
      </c>
      <c r="N763">
        <v>3</v>
      </c>
      <c r="O763">
        <v>3</v>
      </c>
      <c r="P763">
        <v>4</v>
      </c>
      <c r="Q763">
        <v>2</v>
      </c>
      <c r="R763">
        <v>31.05</v>
      </c>
      <c r="S763">
        <v>18</v>
      </c>
      <c r="T763">
        <v>18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18</v>
      </c>
      <c r="AB763">
        <v>6</v>
      </c>
      <c r="AC763">
        <v>0</v>
      </c>
      <c r="AF763" t="s">
        <v>130</v>
      </c>
      <c r="AH763">
        <v>55.05</v>
      </c>
    </row>
    <row r="764" spans="1:34" x14ac:dyDescent="0.3">
      <c r="A764" s="4">
        <v>872</v>
      </c>
      <c r="B764" s="5">
        <v>757</v>
      </c>
      <c r="C764">
        <v>1991</v>
      </c>
      <c r="D764" t="s">
        <v>6332</v>
      </c>
      <c r="E764" t="s">
        <v>12525</v>
      </c>
      <c r="F764" t="s">
        <v>649</v>
      </c>
      <c r="G764" t="s">
        <v>19725</v>
      </c>
      <c r="H764">
        <v>18.95</v>
      </c>
      <c r="I764">
        <v>0</v>
      </c>
      <c r="J764">
        <v>0</v>
      </c>
      <c r="K764">
        <v>20</v>
      </c>
      <c r="L764">
        <v>7</v>
      </c>
      <c r="N764">
        <v>3</v>
      </c>
      <c r="O764">
        <v>10</v>
      </c>
      <c r="P764">
        <v>4</v>
      </c>
      <c r="Q764">
        <v>2</v>
      </c>
      <c r="R764">
        <v>54.95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F764" t="s">
        <v>130</v>
      </c>
      <c r="AH764">
        <v>54.95</v>
      </c>
    </row>
    <row r="765" spans="1:34" x14ac:dyDescent="0.3">
      <c r="A765" s="4">
        <v>873</v>
      </c>
      <c r="B765" s="5">
        <v>758</v>
      </c>
      <c r="C765">
        <v>5271</v>
      </c>
      <c r="D765" t="s">
        <v>19726</v>
      </c>
      <c r="E765" t="s">
        <v>219</v>
      </c>
      <c r="F765" t="s">
        <v>81</v>
      </c>
      <c r="G765" t="s">
        <v>19727</v>
      </c>
      <c r="H765">
        <v>18.899999999999999</v>
      </c>
      <c r="I765">
        <v>0</v>
      </c>
      <c r="J765">
        <v>0</v>
      </c>
      <c r="K765">
        <v>20</v>
      </c>
      <c r="N765">
        <v>3</v>
      </c>
      <c r="O765">
        <v>3</v>
      </c>
      <c r="P765">
        <v>4</v>
      </c>
      <c r="Q765">
        <v>2</v>
      </c>
      <c r="R765">
        <v>47.9</v>
      </c>
      <c r="S765">
        <v>7</v>
      </c>
      <c r="T765">
        <v>7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7</v>
      </c>
      <c r="AB765">
        <v>0</v>
      </c>
      <c r="AC765">
        <v>0</v>
      </c>
      <c r="AF765" t="s">
        <v>130</v>
      </c>
      <c r="AH765">
        <v>54.9</v>
      </c>
    </row>
    <row r="766" spans="1:34" x14ac:dyDescent="0.3">
      <c r="A766" s="4">
        <v>874</v>
      </c>
      <c r="B766" s="5">
        <v>759</v>
      </c>
      <c r="C766">
        <v>10436</v>
      </c>
      <c r="D766" t="s">
        <v>19728</v>
      </c>
      <c r="E766" t="s">
        <v>26</v>
      </c>
      <c r="F766" t="s">
        <v>167</v>
      </c>
      <c r="G766" t="s">
        <v>19729</v>
      </c>
      <c r="H766">
        <v>16.850000000000001</v>
      </c>
      <c r="I766">
        <v>0</v>
      </c>
      <c r="J766">
        <v>0</v>
      </c>
      <c r="K766">
        <v>20</v>
      </c>
      <c r="M766">
        <v>5</v>
      </c>
      <c r="N766">
        <v>3</v>
      </c>
      <c r="O766">
        <v>8</v>
      </c>
      <c r="P766">
        <v>4</v>
      </c>
      <c r="Q766">
        <v>0</v>
      </c>
      <c r="R766">
        <v>48.85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6</v>
      </c>
      <c r="AC766">
        <v>0</v>
      </c>
      <c r="AF766" t="s">
        <v>130</v>
      </c>
      <c r="AH766">
        <v>54.85</v>
      </c>
    </row>
    <row r="767" spans="1:34" x14ac:dyDescent="0.3">
      <c r="A767" s="4">
        <v>875</v>
      </c>
      <c r="B767" s="5">
        <v>760</v>
      </c>
      <c r="C767">
        <v>6789</v>
      </c>
      <c r="D767" t="s">
        <v>1530</v>
      </c>
      <c r="E767" t="s">
        <v>7233</v>
      </c>
      <c r="F767" t="s">
        <v>38</v>
      </c>
      <c r="G767" t="s">
        <v>19730</v>
      </c>
      <c r="H767">
        <v>17.850000000000001</v>
      </c>
      <c r="I767">
        <v>0</v>
      </c>
      <c r="J767">
        <v>0</v>
      </c>
      <c r="K767">
        <v>0</v>
      </c>
      <c r="M767">
        <v>5</v>
      </c>
      <c r="O767">
        <v>5</v>
      </c>
      <c r="P767">
        <v>4</v>
      </c>
      <c r="Q767">
        <v>2</v>
      </c>
      <c r="R767">
        <v>28.85</v>
      </c>
      <c r="S767">
        <v>26</v>
      </c>
      <c r="T767">
        <v>26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26</v>
      </c>
      <c r="AB767">
        <v>0</v>
      </c>
      <c r="AC767">
        <v>0</v>
      </c>
      <c r="AF767" t="s">
        <v>130</v>
      </c>
      <c r="AH767">
        <v>54.85</v>
      </c>
    </row>
    <row r="768" spans="1:34" x14ac:dyDescent="0.3">
      <c r="A768" s="4">
        <v>876</v>
      </c>
      <c r="B768" s="5">
        <v>761</v>
      </c>
      <c r="C768">
        <v>14773</v>
      </c>
      <c r="D768" t="s">
        <v>4038</v>
      </c>
      <c r="E768" t="s">
        <v>29</v>
      </c>
      <c r="F768" t="s">
        <v>68</v>
      </c>
      <c r="G768" t="s">
        <v>19731</v>
      </c>
      <c r="H768">
        <v>17.78</v>
      </c>
      <c r="I768">
        <v>0</v>
      </c>
      <c r="J768">
        <v>0</v>
      </c>
      <c r="K768">
        <v>20</v>
      </c>
      <c r="L768">
        <v>7</v>
      </c>
      <c r="N768">
        <v>3</v>
      </c>
      <c r="O768">
        <v>10</v>
      </c>
      <c r="P768">
        <v>4</v>
      </c>
      <c r="Q768">
        <v>0</v>
      </c>
      <c r="R768">
        <v>51.78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3</v>
      </c>
      <c r="AC768">
        <v>0</v>
      </c>
      <c r="AF768" t="s">
        <v>130</v>
      </c>
      <c r="AH768">
        <v>54.78</v>
      </c>
    </row>
    <row r="769" spans="1:34" x14ac:dyDescent="0.3">
      <c r="A769" s="4">
        <v>877</v>
      </c>
      <c r="B769" s="5">
        <v>762</v>
      </c>
      <c r="C769">
        <v>5246</v>
      </c>
      <c r="D769" t="s">
        <v>19732</v>
      </c>
      <c r="E769" t="s">
        <v>20</v>
      </c>
      <c r="F769" t="s">
        <v>38</v>
      </c>
      <c r="G769" t="s">
        <v>19733</v>
      </c>
      <c r="H769">
        <v>16.75</v>
      </c>
      <c r="I769">
        <v>0</v>
      </c>
      <c r="J769">
        <v>0</v>
      </c>
      <c r="K769">
        <v>28</v>
      </c>
      <c r="N769">
        <v>3</v>
      </c>
      <c r="O769">
        <v>3</v>
      </c>
      <c r="P769">
        <v>4</v>
      </c>
      <c r="Q769">
        <v>0</v>
      </c>
      <c r="R769">
        <v>51.75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3</v>
      </c>
      <c r="AC769">
        <v>0</v>
      </c>
      <c r="AF769" t="s">
        <v>130</v>
      </c>
      <c r="AH769">
        <v>54.75</v>
      </c>
    </row>
    <row r="770" spans="1:34" x14ac:dyDescent="0.3">
      <c r="A770" s="4">
        <v>878</v>
      </c>
      <c r="B770" s="5">
        <v>763</v>
      </c>
      <c r="C770">
        <v>5057</v>
      </c>
      <c r="D770" t="s">
        <v>19734</v>
      </c>
      <c r="E770" t="s">
        <v>19735</v>
      </c>
      <c r="F770" t="s">
        <v>20</v>
      </c>
      <c r="G770" t="s">
        <v>19736</v>
      </c>
      <c r="H770">
        <v>21.68</v>
      </c>
      <c r="I770">
        <v>0</v>
      </c>
      <c r="J770">
        <v>0</v>
      </c>
      <c r="K770">
        <v>20</v>
      </c>
      <c r="N770">
        <v>3</v>
      </c>
      <c r="O770">
        <v>3</v>
      </c>
      <c r="P770">
        <v>4</v>
      </c>
      <c r="Q770">
        <v>0</v>
      </c>
      <c r="R770">
        <v>48.68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6</v>
      </c>
      <c r="AC770">
        <v>0</v>
      </c>
      <c r="AF770" t="s">
        <v>130</v>
      </c>
      <c r="AH770">
        <v>54.68</v>
      </c>
    </row>
    <row r="771" spans="1:34" x14ac:dyDescent="0.3">
      <c r="A771" s="4">
        <v>879</v>
      </c>
      <c r="B771" s="5">
        <v>764</v>
      </c>
      <c r="C771">
        <v>12442</v>
      </c>
      <c r="D771" t="s">
        <v>19737</v>
      </c>
      <c r="E771" t="s">
        <v>594</v>
      </c>
      <c r="F771" t="s">
        <v>30</v>
      </c>
      <c r="G771" t="s">
        <v>19738</v>
      </c>
      <c r="H771">
        <v>16.600000000000001</v>
      </c>
      <c r="I771">
        <v>0</v>
      </c>
      <c r="J771">
        <v>0</v>
      </c>
      <c r="K771">
        <v>20</v>
      </c>
      <c r="L771">
        <v>14</v>
      </c>
      <c r="O771">
        <v>14</v>
      </c>
      <c r="P771">
        <v>4</v>
      </c>
      <c r="Q771">
        <v>0</v>
      </c>
      <c r="R771">
        <v>54.6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F771" t="s">
        <v>130</v>
      </c>
      <c r="AH771">
        <v>54.6</v>
      </c>
    </row>
    <row r="772" spans="1:34" x14ac:dyDescent="0.3">
      <c r="A772" s="4">
        <v>880</v>
      </c>
      <c r="B772" s="5">
        <v>765</v>
      </c>
      <c r="C772">
        <v>4073</v>
      </c>
      <c r="D772" t="s">
        <v>19739</v>
      </c>
      <c r="E772" t="s">
        <v>149</v>
      </c>
      <c r="F772" t="s">
        <v>158</v>
      </c>
      <c r="G772" t="s">
        <v>19740</v>
      </c>
      <c r="H772">
        <v>18.600000000000001</v>
      </c>
      <c r="I772">
        <v>0</v>
      </c>
      <c r="J772">
        <v>0</v>
      </c>
      <c r="K772">
        <v>20</v>
      </c>
      <c r="N772">
        <v>3</v>
      </c>
      <c r="O772">
        <v>3</v>
      </c>
      <c r="P772">
        <v>4</v>
      </c>
      <c r="Q772">
        <v>2</v>
      </c>
      <c r="R772">
        <v>47.6</v>
      </c>
      <c r="S772">
        <v>7</v>
      </c>
      <c r="T772">
        <v>7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7</v>
      </c>
      <c r="AB772">
        <v>0</v>
      </c>
      <c r="AC772">
        <v>0</v>
      </c>
      <c r="AD772" t="s">
        <v>130</v>
      </c>
      <c r="AF772" t="s">
        <v>130</v>
      </c>
      <c r="AH772">
        <v>54.6</v>
      </c>
    </row>
    <row r="773" spans="1:34" x14ac:dyDescent="0.3">
      <c r="A773" s="4">
        <v>881</v>
      </c>
      <c r="B773" s="5">
        <v>766</v>
      </c>
      <c r="C773">
        <v>6001</v>
      </c>
      <c r="D773" t="s">
        <v>14377</v>
      </c>
      <c r="E773" t="s">
        <v>26</v>
      </c>
      <c r="F773" t="s">
        <v>79</v>
      </c>
      <c r="G773" t="s">
        <v>19741</v>
      </c>
      <c r="H773">
        <v>20.5</v>
      </c>
      <c r="I773">
        <v>7</v>
      </c>
      <c r="J773">
        <v>0</v>
      </c>
      <c r="K773">
        <v>0</v>
      </c>
      <c r="N773">
        <v>3</v>
      </c>
      <c r="O773">
        <v>3</v>
      </c>
      <c r="P773">
        <v>4</v>
      </c>
      <c r="Q773">
        <v>2</v>
      </c>
      <c r="R773">
        <v>36.5</v>
      </c>
      <c r="S773">
        <v>18</v>
      </c>
      <c r="T773">
        <v>18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18</v>
      </c>
      <c r="AB773">
        <v>0</v>
      </c>
      <c r="AC773">
        <v>0</v>
      </c>
      <c r="AF773" t="s">
        <v>130</v>
      </c>
      <c r="AH773">
        <v>54.5</v>
      </c>
    </row>
    <row r="774" spans="1:34" x14ac:dyDescent="0.3">
      <c r="A774" s="4">
        <v>882</v>
      </c>
      <c r="B774" s="5">
        <v>767</v>
      </c>
      <c r="C774">
        <v>3307</v>
      </c>
      <c r="D774" t="s">
        <v>19742</v>
      </c>
      <c r="E774" t="s">
        <v>161</v>
      </c>
      <c r="F774" t="s">
        <v>7899</v>
      </c>
      <c r="G774" t="s">
        <v>19743</v>
      </c>
      <c r="H774">
        <v>18.5</v>
      </c>
      <c r="I774">
        <v>0</v>
      </c>
      <c r="J774">
        <v>0</v>
      </c>
      <c r="K774">
        <v>0</v>
      </c>
      <c r="N774">
        <v>3</v>
      </c>
      <c r="O774">
        <v>3</v>
      </c>
      <c r="P774">
        <v>4</v>
      </c>
      <c r="Q774">
        <v>2</v>
      </c>
      <c r="R774">
        <v>27.5</v>
      </c>
      <c r="S774">
        <v>27</v>
      </c>
      <c r="T774">
        <v>27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27</v>
      </c>
      <c r="AB774">
        <v>0</v>
      </c>
      <c r="AC774">
        <v>0</v>
      </c>
      <c r="AF774" t="s">
        <v>130</v>
      </c>
      <c r="AH774">
        <v>54.5</v>
      </c>
    </row>
    <row r="775" spans="1:34" x14ac:dyDescent="0.3">
      <c r="A775" s="4">
        <v>883</v>
      </c>
      <c r="B775" s="5">
        <v>768</v>
      </c>
      <c r="C775">
        <v>7700</v>
      </c>
      <c r="D775" t="s">
        <v>19744</v>
      </c>
      <c r="E775" t="s">
        <v>158</v>
      </c>
      <c r="F775" t="s">
        <v>38</v>
      </c>
      <c r="G775" t="s">
        <v>19745</v>
      </c>
      <c r="H775">
        <v>21.45</v>
      </c>
      <c r="I775">
        <v>0</v>
      </c>
      <c r="J775">
        <v>0</v>
      </c>
      <c r="K775">
        <v>20</v>
      </c>
      <c r="L775">
        <v>7</v>
      </c>
      <c r="O775">
        <v>7</v>
      </c>
      <c r="P775">
        <v>4</v>
      </c>
      <c r="Q775">
        <v>2</v>
      </c>
      <c r="R775">
        <v>54.45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F775" t="s">
        <v>130</v>
      </c>
      <c r="AH775">
        <v>54.45</v>
      </c>
    </row>
    <row r="776" spans="1:34" x14ac:dyDescent="0.3">
      <c r="A776" s="4">
        <v>884</v>
      </c>
      <c r="B776" s="5">
        <v>769</v>
      </c>
      <c r="C776">
        <v>11080</v>
      </c>
      <c r="D776" t="s">
        <v>14203</v>
      </c>
      <c r="E776" t="s">
        <v>182</v>
      </c>
      <c r="F776" t="s">
        <v>328</v>
      </c>
      <c r="G776" t="s">
        <v>19746</v>
      </c>
      <c r="H776">
        <v>18.25</v>
      </c>
      <c r="I776">
        <v>0</v>
      </c>
      <c r="J776">
        <v>0</v>
      </c>
      <c r="K776">
        <v>20</v>
      </c>
      <c r="L776">
        <v>7</v>
      </c>
      <c r="O776">
        <v>7</v>
      </c>
      <c r="P776">
        <v>4</v>
      </c>
      <c r="Q776">
        <v>2</v>
      </c>
      <c r="R776">
        <v>51.25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3</v>
      </c>
      <c r="AC776">
        <v>0</v>
      </c>
      <c r="AF776" t="s">
        <v>130</v>
      </c>
      <c r="AH776">
        <v>54.25</v>
      </c>
    </row>
    <row r="777" spans="1:34" x14ac:dyDescent="0.3">
      <c r="A777" s="4">
        <v>885</v>
      </c>
      <c r="B777" s="5">
        <v>770</v>
      </c>
      <c r="C777">
        <v>7333</v>
      </c>
      <c r="D777" t="s">
        <v>19747</v>
      </c>
      <c r="E777" t="s">
        <v>100</v>
      </c>
      <c r="F777" t="s">
        <v>20</v>
      </c>
      <c r="G777" t="s">
        <v>19748</v>
      </c>
      <c r="H777">
        <v>18.25</v>
      </c>
      <c r="I777">
        <v>0</v>
      </c>
      <c r="J777">
        <v>0</v>
      </c>
      <c r="K777">
        <v>20</v>
      </c>
      <c r="L777">
        <v>7</v>
      </c>
      <c r="O777">
        <v>7</v>
      </c>
      <c r="P777">
        <v>4</v>
      </c>
      <c r="Q777">
        <v>2</v>
      </c>
      <c r="R777">
        <v>51.25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3</v>
      </c>
      <c r="AC777">
        <v>0</v>
      </c>
      <c r="AF777" t="s">
        <v>130</v>
      </c>
      <c r="AH777">
        <v>54.25</v>
      </c>
    </row>
    <row r="778" spans="1:34" x14ac:dyDescent="0.3">
      <c r="A778" s="4">
        <v>886</v>
      </c>
      <c r="B778" s="5">
        <v>771</v>
      </c>
      <c r="C778">
        <v>14805</v>
      </c>
      <c r="D778" t="s">
        <v>389</v>
      </c>
      <c r="E778" t="s">
        <v>16142</v>
      </c>
      <c r="F778" t="s">
        <v>62</v>
      </c>
      <c r="G778" t="s">
        <v>19749</v>
      </c>
      <c r="H778">
        <v>19.18</v>
      </c>
      <c r="I778">
        <v>0</v>
      </c>
      <c r="J778">
        <v>0</v>
      </c>
      <c r="K778">
        <v>20</v>
      </c>
      <c r="N778">
        <v>3</v>
      </c>
      <c r="O778">
        <v>3</v>
      </c>
      <c r="P778">
        <v>4</v>
      </c>
      <c r="Q778">
        <v>2</v>
      </c>
      <c r="R778">
        <v>48.18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6</v>
      </c>
      <c r="AC778">
        <v>0</v>
      </c>
      <c r="AF778" t="s">
        <v>130</v>
      </c>
      <c r="AH778">
        <v>54.18</v>
      </c>
    </row>
    <row r="779" spans="1:34" x14ac:dyDescent="0.3">
      <c r="A779" s="4">
        <v>887</v>
      </c>
      <c r="B779" s="5">
        <v>772</v>
      </c>
      <c r="C779">
        <v>15141</v>
      </c>
      <c r="D779" t="s">
        <v>5847</v>
      </c>
      <c r="E779" t="s">
        <v>41</v>
      </c>
      <c r="F779" t="s">
        <v>158</v>
      </c>
      <c r="G779" t="s">
        <v>19750</v>
      </c>
      <c r="H779">
        <v>16.149999999999999</v>
      </c>
      <c r="I779">
        <v>0</v>
      </c>
      <c r="J779">
        <v>0</v>
      </c>
      <c r="K779">
        <v>20</v>
      </c>
      <c r="N779">
        <v>6</v>
      </c>
      <c r="O779">
        <v>6</v>
      </c>
      <c r="P779">
        <v>4</v>
      </c>
      <c r="Q779">
        <v>2</v>
      </c>
      <c r="R779">
        <v>48.15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6</v>
      </c>
      <c r="AC779">
        <v>0</v>
      </c>
      <c r="AF779" t="s">
        <v>130</v>
      </c>
      <c r="AH779">
        <v>54.15</v>
      </c>
    </row>
    <row r="780" spans="1:34" x14ac:dyDescent="0.3">
      <c r="A780" s="4">
        <v>888</v>
      </c>
      <c r="B780" s="5">
        <v>773</v>
      </c>
      <c r="C780">
        <v>14283</v>
      </c>
      <c r="D780" t="s">
        <v>2772</v>
      </c>
      <c r="E780" t="s">
        <v>147</v>
      </c>
      <c r="F780" t="s">
        <v>1460</v>
      </c>
      <c r="G780" t="s">
        <v>19751</v>
      </c>
      <c r="H780">
        <v>18.149999999999999</v>
      </c>
      <c r="I780">
        <v>0</v>
      </c>
      <c r="J780">
        <v>0</v>
      </c>
      <c r="K780">
        <v>20</v>
      </c>
      <c r="L780">
        <v>7</v>
      </c>
      <c r="O780">
        <v>7</v>
      </c>
      <c r="P780">
        <v>4</v>
      </c>
      <c r="Q780">
        <v>2</v>
      </c>
      <c r="R780">
        <v>51.15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3</v>
      </c>
      <c r="AC780">
        <v>0</v>
      </c>
      <c r="AF780" t="s">
        <v>130</v>
      </c>
      <c r="AH780">
        <v>54.15</v>
      </c>
    </row>
    <row r="781" spans="1:34" x14ac:dyDescent="0.3">
      <c r="A781" s="4">
        <v>889</v>
      </c>
      <c r="B781" s="5">
        <v>774</v>
      </c>
      <c r="C781">
        <v>15589</v>
      </c>
      <c r="D781" t="s">
        <v>19752</v>
      </c>
      <c r="E781" t="s">
        <v>37</v>
      </c>
      <c r="F781" t="s">
        <v>136</v>
      </c>
      <c r="G781" t="s">
        <v>19753</v>
      </c>
      <c r="H781">
        <v>20.13</v>
      </c>
      <c r="I781">
        <v>0</v>
      </c>
      <c r="J781">
        <v>0</v>
      </c>
      <c r="K781">
        <v>0</v>
      </c>
      <c r="O781">
        <v>0</v>
      </c>
      <c r="P781">
        <v>4</v>
      </c>
      <c r="Q781">
        <v>0</v>
      </c>
      <c r="R781">
        <v>24.13</v>
      </c>
      <c r="S781">
        <v>27</v>
      </c>
      <c r="T781">
        <v>27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27</v>
      </c>
      <c r="AB781">
        <v>3</v>
      </c>
      <c r="AC781">
        <v>0</v>
      </c>
      <c r="AD781" t="s">
        <v>130</v>
      </c>
      <c r="AF781" t="s">
        <v>130</v>
      </c>
      <c r="AH781">
        <v>54.13</v>
      </c>
    </row>
    <row r="782" spans="1:34" x14ac:dyDescent="0.3">
      <c r="A782" s="4">
        <v>890</v>
      </c>
      <c r="B782" s="5">
        <v>775</v>
      </c>
      <c r="C782">
        <v>8961</v>
      </c>
      <c r="D782" t="s">
        <v>11529</v>
      </c>
      <c r="E782" t="s">
        <v>563</v>
      </c>
      <c r="F782" t="s">
        <v>10541</v>
      </c>
      <c r="G782" t="s">
        <v>19754</v>
      </c>
      <c r="H782">
        <v>17.100000000000001</v>
      </c>
      <c r="I782">
        <v>0</v>
      </c>
      <c r="J782">
        <v>0</v>
      </c>
      <c r="K782">
        <v>0</v>
      </c>
      <c r="L782">
        <v>7</v>
      </c>
      <c r="O782">
        <v>7</v>
      </c>
      <c r="P782">
        <v>4</v>
      </c>
      <c r="Q782">
        <v>0</v>
      </c>
      <c r="R782">
        <v>28.1</v>
      </c>
      <c r="S782">
        <v>23</v>
      </c>
      <c r="T782">
        <v>23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23</v>
      </c>
      <c r="AB782">
        <v>3</v>
      </c>
      <c r="AC782">
        <v>0</v>
      </c>
      <c r="AF782" t="s">
        <v>130</v>
      </c>
      <c r="AH782">
        <v>54.1</v>
      </c>
    </row>
    <row r="783" spans="1:34" x14ac:dyDescent="0.3">
      <c r="A783" s="4">
        <v>891</v>
      </c>
      <c r="B783" s="5">
        <v>776</v>
      </c>
      <c r="C783">
        <v>3471</v>
      </c>
      <c r="D783" t="s">
        <v>4528</v>
      </c>
      <c r="E783" t="s">
        <v>29</v>
      </c>
      <c r="F783" t="s">
        <v>62</v>
      </c>
      <c r="G783" t="s">
        <v>19755</v>
      </c>
      <c r="H783">
        <v>23.1</v>
      </c>
      <c r="I783">
        <v>0</v>
      </c>
      <c r="J783">
        <v>0</v>
      </c>
      <c r="K783">
        <v>20</v>
      </c>
      <c r="M783">
        <v>5</v>
      </c>
      <c r="O783">
        <v>5</v>
      </c>
      <c r="P783">
        <v>4</v>
      </c>
      <c r="Q783">
        <v>2</v>
      </c>
      <c r="R783">
        <v>54.1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F783" t="s">
        <v>130</v>
      </c>
      <c r="AH783">
        <v>54.1</v>
      </c>
    </row>
    <row r="784" spans="1:34" x14ac:dyDescent="0.3">
      <c r="A784" s="4">
        <v>892</v>
      </c>
      <c r="B784" s="5">
        <v>777</v>
      </c>
      <c r="C784">
        <v>2013</v>
      </c>
      <c r="D784" t="s">
        <v>682</v>
      </c>
      <c r="E784" t="s">
        <v>19756</v>
      </c>
      <c r="F784" t="s">
        <v>17</v>
      </c>
      <c r="G784" t="s">
        <v>19757</v>
      </c>
      <c r="H784">
        <v>17.05</v>
      </c>
      <c r="I784">
        <v>0</v>
      </c>
      <c r="J784">
        <v>0</v>
      </c>
      <c r="K784">
        <v>20</v>
      </c>
      <c r="M784">
        <v>5</v>
      </c>
      <c r="N784">
        <v>3</v>
      </c>
      <c r="O784">
        <v>8</v>
      </c>
      <c r="P784">
        <v>4</v>
      </c>
      <c r="Q784">
        <v>2</v>
      </c>
      <c r="R784">
        <v>51.05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3</v>
      </c>
      <c r="AC784">
        <v>0</v>
      </c>
      <c r="AF784" t="s">
        <v>130</v>
      </c>
      <c r="AH784">
        <v>54.05</v>
      </c>
    </row>
    <row r="785" spans="1:34" x14ac:dyDescent="0.3">
      <c r="A785" s="4">
        <v>893</v>
      </c>
      <c r="B785" s="5">
        <v>778</v>
      </c>
      <c r="C785">
        <v>15622</v>
      </c>
      <c r="D785" t="s">
        <v>19758</v>
      </c>
      <c r="E785" t="s">
        <v>19759</v>
      </c>
      <c r="F785" t="s">
        <v>19760</v>
      </c>
      <c r="G785" t="s">
        <v>19761</v>
      </c>
      <c r="H785">
        <v>22</v>
      </c>
      <c r="I785">
        <v>0</v>
      </c>
      <c r="J785">
        <v>0</v>
      </c>
      <c r="K785">
        <v>20</v>
      </c>
      <c r="N785">
        <v>3</v>
      </c>
      <c r="O785">
        <v>3</v>
      </c>
      <c r="P785">
        <v>4</v>
      </c>
      <c r="Q785">
        <v>2</v>
      </c>
      <c r="R785">
        <v>51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3</v>
      </c>
      <c r="AC785">
        <v>0</v>
      </c>
      <c r="AF785" t="s">
        <v>130</v>
      </c>
      <c r="AH785">
        <v>54</v>
      </c>
    </row>
    <row r="786" spans="1:34" x14ac:dyDescent="0.3">
      <c r="A786" s="4">
        <v>894</v>
      </c>
      <c r="B786" s="5">
        <v>779</v>
      </c>
      <c r="C786">
        <v>12723</v>
      </c>
      <c r="D786" t="s">
        <v>2484</v>
      </c>
      <c r="E786" t="s">
        <v>110</v>
      </c>
      <c r="F786" t="s">
        <v>79</v>
      </c>
      <c r="G786" t="s">
        <v>19762</v>
      </c>
      <c r="H786">
        <v>18.93</v>
      </c>
      <c r="I786">
        <v>0</v>
      </c>
      <c r="J786">
        <v>0</v>
      </c>
      <c r="K786">
        <v>28</v>
      </c>
      <c r="N786">
        <v>3</v>
      </c>
      <c r="O786">
        <v>3</v>
      </c>
      <c r="P786">
        <v>4</v>
      </c>
      <c r="Q786">
        <v>0</v>
      </c>
      <c r="R786">
        <v>53.93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F786" t="s">
        <v>130</v>
      </c>
      <c r="AH786">
        <v>53.93</v>
      </c>
    </row>
    <row r="787" spans="1:34" x14ac:dyDescent="0.3">
      <c r="A787" s="4">
        <v>895</v>
      </c>
      <c r="B787" s="5">
        <v>780</v>
      </c>
      <c r="C787">
        <v>7837</v>
      </c>
      <c r="D787" t="s">
        <v>2786</v>
      </c>
      <c r="E787" t="s">
        <v>88</v>
      </c>
      <c r="F787" t="s">
        <v>117</v>
      </c>
      <c r="G787" t="s">
        <v>19763</v>
      </c>
      <c r="H787">
        <v>16.850000000000001</v>
      </c>
      <c r="I787">
        <v>0</v>
      </c>
      <c r="J787">
        <v>0</v>
      </c>
      <c r="K787">
        <v>0</v>
      </c>
      <c r="L787">
        <v>7</v>
      </c>
      <c r="O787">
        <v>7</v>
      </c>
      <c r="P787">
        <v>4</v>
      </c>
      <c r="Q787">
        <v>2</v>
      </c>
      <c r="R787">
        <v>29.85</v>
      </c>
      <c r="S787">
        <v>18</v>
      </c>
      <c r="T787">
        <v>18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18</v>
      </c>
      <c r="AB787">
        <v>6</v>
      </c>
      <c r="AC787">
        <v>0</v>
      </c>
      <c r="AF787" t="s">
        <v>130</v>
      </c>
      <c r="AH787">
        <v>53.85</v>
      </c>
    </row>
    <row r="788" spans="1:34" x14ac:dyDescent="0.3">
      <c r="A788" s="4">
        <v>896</v>
      </c>
      <c r="B788" s="5">
        <v>781</v>
      </c>
      <c r="C788">
        <v>15030</v>
      </c>
      <c r="D788" t="s">
        <v>9438</v>
      </c>
      <c r="E788" t="s">
        <v>188</v>
      </c>
      <c r="F788" t="s">
        <v>17</v>
      </c>
      <c r="G788" t="s">
        <v>19764</v>
      </c>
      <c r="H788">
        <v>17.8</v>
      </c>
      <c r="I788">
        <v>0</v>
      </c>
      <c r="J788">
        <v>0</v>
      </c>
      <c r="K788">
        <v>20</v>
      </c>
      <c r="L788">
        <v>7</v>
      </c>
      <c r="O788">
        <v>7</v>
      </c>
      <c r="P788">
        <v>4</v>
      </c>
      <c r="Q788">
        <v>2</v>
      </c>
      <c r="R788">
        <v>50.8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3</v>
      </c>
      <c r="AC788">
        <v>0</v>
      </c>
      <c r="AF788" t="s">
        <v>130</v>
      </c>
      <c r="AH788">
        <v>53.8</v>
      </c>
    </row>
    <row r="789" spans="1:34" x14ac:dyDescent="0.3">
      <c r="A789" s="4">
        <v>897</v>
      </c>
      <c r="B789" s="5">
        <v>782</v>
      </c>
      <c r="C789">
        <v>577</v>
      </c>
      <c r="D789" t="s">
        <v>19765</v>
      </c>
      <c r="E789" t="s">
        <v>97</v>
      </c>
      <c r="F789" t="s">
        <v>17</v>
      </c>
      <c r="G789" t="s">
        <v>19766</v>
      </c>
      <c r="H789">
        <v>20.63</v>
      </c>
      <c r="I789">
        <v>0</v>
      </c>
      <c r="J789">
        <v>0</v>
      </c>
      <c r="K789">
        <v>20</v>
      </c>
      <c r="L789">
        <v>7</v>
      </c>
      <c r="O789">
        <v>7</v>
      </c>
      <c r="P789">
        <v>4</v>
      </c>
      <c r="Q789">
        <v>2</v>
      </c>
      <c r="R789">
        <v>53.63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F789" t="s">
        <v>130</v>
      </c>
      <c r="AH789">
        <v>53.63</v>
      </c>
    </row>
    <row r="790" spans="1:34" x14ac:dyDescent="0.3">
      <c r="A790" s="4">
        <v>898</v>
      </c>
      <c r="B790" s="5">
        <v>783</v>
      </c>
      <c r="C790">
        <v>3368</v>
      </c>
      <c r="D790" t="s">
        <v>8220</v>
      </c>
      <c r="E790" t="s">
        <v>413</v>
      </c>
      <c r="F790" t="s">
        <v>892</v>
      </c>
      <c r="G790" t="s">
        <v>19767</v>
      </c>
      <c r="H790">
        <v>19.53</v>
      </c>
      <c r="I790">
        <v>0</v>
      </c>
      <c r="J790">
        <v>0</v>
      </c>
      <c r="K790">
        <v>20</v>
      </c>
      <c r="L790">
        <v>7</v>
      </c>
      <c r="O790">
        <v>7</v>
      </c>
      <c r="P790">
        <v>4</v>
      </c>
      <c r="Q790">
        <v>0</v>
      </c>
      <c r="R790">
        <v>50.53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3</v>
      </c>
      <c r="AC790">
        <v>0</v>
      </c>
      <c r="AF790" t="s">
        <v>130</v>
      </c>
      <c r="AH790">
        <v>53.53</v>
      </c>
    </row>
    <row r="791" spans="1:34" x14ac:dyDescent="0.3">
      <c r="A791" s="4">
        <v>899</v>
      </c>
      <c r="B791" s="5">
        <v>784</v>
      </c>
      <c r="C791">
        <v>15253</v>
      </c>
      <c r="D791" t="s">
        <v>18717</v>
      </c>
      <c r="E791" t="s">
        <v>178</v>
      </c>
      <c r="F791" t="s">
        <v>19768</v>
      </c>
      <c r="G791" t="s">
        <v>19769</v>
      </c>
      <c r="H791">
        <v>17.5</v>
      </c>
      <c r="I791">
        <v>0</v>
      </c>
      <c r="J791">
        <v>0</v>
      </c>
      <c r="K791">
        <v>20</v>
      </c>
      <c r="N791">
        <v>3</v>
      </c>
      <c r="O791">
        <v>3</v>
      </c>
      <c r="P791">
        <v>4</v>
      </c>
      <c r="Q791">
        <v>0</v>
      </c>
      <c r="R791">
        <v>44.5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9</v>
      </c>
      <c r="AC791">
        <v>0</v>
      </c>
      <c r="AF791" t="s">
        <v>130</v>
      </c>
      <c r="AH791">
        <v>53.5</v>
      </c>
    </row>
    <row r="792" spans="1:34" x14ac:dyDescent="0.3">
      <c r="A792" s="4">
        <v>901</v>
      </c>
      <c r="B792" s="5">
        <v>785</v>
      </c>
      <c r="C792">
        <v>13677</v>
      </c>
      <c r="D792" t="s">
        <v>19770</v>
      </c>
      <c r="E792" t="s">
        <v>26</v>
      </c>
      <c r="F792" t="s">
        <v>62</v>
      </c>
      <c r="G792" t="s">
        <v>19771</v>
      </c>
      <c r="H792">
        <v>16.45</v>
      </c>
      <c r="I792">
        <v>0</v>
      </c>
      <c r="J792">
        <v>0</v>
      </c>
      <c r="K792">
        <v>0</v>
      </c>
      <c r="M792">
        <v>5</v>
      </c>
      <c r="O792">
        <v>5</v>
      </c>
      <c r="P792">
        <v>4</v>
      </c>
      <c r="Q792">
        <v>2</v>
      </c>
      <c r="R792">
        <v>27.45</v>
      </c>
      <c r="S792">
        <v>26</v>
      </c>
      <c r="T792">
        <v>26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26</v>
      </c>
      <c r="AB792">
        <v>0</v>
      </c>
      <c r="AC792">
        <v>0</v>
      </c>
      <c r="AF792" t="s">
        <v>130</v>
      </c>
      <c r="AH792">
        <v>53.45</v>
      </c>
    </row>
    <row r="793" spans="1:34" x14ac:dyDescent="0.3">
      <c r="A793" s="4">
        <v>902</v>
      </c>
      <c r="B793" s="5">
        <v>786</v>
      </c>
      <c r="C793">
        <v>6490</v>
      </c>
      <c r="D793" t="s">
        <v>19772</v>
      </c>
      <c r="E793" t="s">
        <v>3948</v>
      </c>
      <c r="F793" t="s">
        <v>136</v>
      </c>
      <c r="G793" t="s">
        <v>19773</v>
      </c>
      <c r="H793">
        <v>16.329999999999998</v>
      </c>
      <c r="I793">
        <v>0</v>
      </c>
      <c r="J793">
        <v>0</v>
      </c>
      <c r="K793">
        <v>20</v>
      </c>
      <c r="L793">
        <v>7</v>
      </c>
      <c r="N793">
        <v>3</v>
      </c>
      <c r="O793">
        <v>10</v>
      </c>
      <c r="P793">
        <v>4</v>
      </c>
      <c r="Q793">
        <v>0</v>
      </c>
      <c r="R793">
        <v>50.33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3</v>
      </c>
      <c r="AC793">
        <v>0</v>
      </c>
      <c r="AF793" t="s">
        <v>130</v>
      </c>
      <c r="AH793">
        <v>53.33</v>
      </c>
    </row>
    <row r="794" spans="1:34" x14ac:dyDescent="0.3">
      <c r="A794" s="4">
        <v>903</v>
      </c>
      <c r="B794" s="5">
        <v>787</v>
      </c>
      <c r="C794">
        <v>15122</v>
      </c>
      <c r="D794" t="s">
        <v>950</v>
      </c>
      <c r="E794" t="s">
        <v>29</v>
      </c>
      <c r="F794" t="s">
        <v>343</v>
      </c>
      <c r="G794" t="s">
        <v>19774</v>
      </c>
      <c r="H794">
        <v>18.329999999999998</v>
      </c>
      <c r="I794">
        <v>0</v>
      </c>
      <c r="J794">
        <v>0</v>
      </c>
      <c r="K794">
        <v>20</v>
      </c>
      <c r="N794">
        <v>3</v>
      </c>
      <c r="O794">
        <v>3</v>
      </c>
      <c r="P794">
        <v>4</v>
      </c>
      <c r="Q794">
        <v>0</v>
      </c>
      <c r="R794">
        <v>45.33</v>
      </c>
      <c r="S794">
        <v>5</v>
      </c>
      <c r="T794">
        <v>5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5</v>
      </c>
      <c r="AB794">
        <v>3</v>
      </c>
      <c r="AC794">
        <v>0</v>
      </c>
      <c r="AF794" t="s">
        <v>130</v>
      </c>
      <c r="AH794">
        <v>53.33</v>
      </c>
    </row>
    <row r="795" spans="1:34" x14ac:dyDescent="0.3">
      <c r="A795" s="4">
        <v>904</v>
      </c>
      <c r="B795" s="5">
        <v>788</v>
      </c>
      <c r="C795">
        <v>12819</v>
      </c>
      <c r="D795" t="s">
        <v>1914</v>
      </c>
      <c r="E795" t="s">
        <v>6541</v>
      </c>
      <c r="F795" t="s">
        <v>1812</v>
      </c>
      <c r="G795" t="s">
        <v>19775</v>
      </c>
      <c r="H795">
        <v>19.3</v>
      </c>
      <c r="I795">
        <v>0</v>
      </c>
      <c r="J795">
        <v>0</v>
      </c>
      <c r="K795">
        <v>20</v>
      </c>
      <c r="L795">
        <v>7</v>
      </c>
      <c r="N795">
        <v>3</v>
      </c>
      <c r="O795">
        <v>10</v>
      </c>
      <c r="P795">
        <v>4</v>
      </c>
      <c r="Q795">
        <v>0</v>
      </c>
      <c r="R795">
        <v>53.3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F795" t="s">
        <v>130</v>
      </c>
      <c r="AH795">
        <v>53.3</v>
      </c>
    </row>
    <row r="796" spans="1:34" x14ac:dyDescent="0.3">
      <c r="A796" s="4">
        <v>905</v>
      </c>
      <c r="B796" s="5">
        <v>789</v>
      </c>
      <c r="C796">
        <v>4357</v>
      </c>
      <c r="D796" t="s">
        <v>3388</v>
      </c>
      <c r="E796" t="s">
        <v>188</v>
      </c>
      <c r="F796" t="s">
        <v>68</v>
      </c>
      <c r="G796" t="s">
        <v>19776</v>
      </c>
      <c r="H796">
        <v>20.28</v>
      </c>
      <c r="I796">
        <v>0</v>
      </c>
      <c r="J796">
        <v>0</v>
      </c>
      <c r="K796">
        <v>20</v>
      </c>
      <c r="N796">
        <v>3</v>
      </c>
      <c r="O796">
        <v>3</v>
      </c>
      <c r="P796">
        <v>4</v>
      </c>
      <c r="Q796">
        <v>0</v>
      </c>
      <c r="R796">
        <v>47.28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6</v>
      </c>
      <c r="AC796">
        <v>0</v>
      </c>
      <c r="AF796" t="s">
        <v>130</v>
      </c>
      <c r="AH796">
        <v>53.28</v>
      </c>
    </row>
    <row r="797" spans="1:34" x14ac:dyDescent="0.3">
      <c r="A797" s="4">
        <v>906</v>
      </c>
      <c r="B797" s="5">
        <v>790</v>
      </c>
      <c r="C797">
        <v>11461</v>
      </c>
      <c r="D797" t="s">
        <v>5919</v>
      </c>
      <c r="E797" t="s">
        <v>29</v>
      </c>
      <c r="F797" t="s">
        <v>30</v>
      </c>
      <c r="G797" t="s">
        <v>19777</v>
      </c>
      <c r="H797">
        <v>18.25</v>
      </c>
      <c r="I797">
        <v>0</v>
      </c>
      <c r="J797">
        <v>0</v>
      </c>
      <c r="K797">
        <v>20</v>
      </c>
      <c r="N797">
        <v>3</v>
      </c>
      <c r="O797">
        <v>3</v>
      </c>
      <c r="P797">
        <v>4</v>
      </c>
      <c r="Q797">
        <v>2</v>
      </c>
      <c r="R797">
        <v>47.25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6</v>
      </c>
      <c r="AC797">
        <v>0</v>
      </c>
      <c r="AF797" t="s">
        <v>130</v>
      </c>
      <c r="AH797">
        <v>53.25</v>
      </c>
    </row>
    <row r="798" spans="1:34" x14ac:dyDescent="0.3">
      <c r="A798" s="4">
        <v>907</v>
      </c>
      <c r="B798" s="5">
        <v>791</v>
      </c>
      <c r="C798">
        <v>1951</v>
      </c>
      <c r="D798" t="s">
        <v>849</v>
      </c>
      <c r="E798" t="s">
        <v>19778</v>
      </c>
      <c r="F798" t="s">
        <v>52</v>
      </c>
      <c r="G798" t="s">
        <v>19779</v>
      </c>
      <c r="H798">
        <v>19.18</v>
      </c>
      <c r="I798">
        <v>0</v>
      </c>
      <c r="J798">
        <v>0</v>
      </c>
      <c r="K798">
        <v>0</v>
      </c>
      <c r="N798">
        <v>3</v>
      </c>
      <c r="O798">
        <v>3</v>
      </c>
      <c r="P798">
        <v>4</v>
      </c>
      <c r="Q798">
        <v>2</v>
      </c>
      <c r="R798">
        <v>28.18</v>
      </c>
      <c r="S798">
        <v>22</v>
      </c>
      <c r="T798">
        <v>22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22</v>
      </c>
      <c r="AB798">
        <v>3</v>
      </c>
      <c r="AC798">
        <v>0</v>
      </c>
      <c r="AE798" t="s">
        <v>130</v>
      </c>
      <c r="AF798" t="s">
        <v>130</v>
      </c>
      <c r="AH798">
        <v>53.18</v>
      </c>
    </row>
    <row r="799" spans="1:34" x14ac:dyDescent="0.3">
      <c r="A799" s="4">
        <v>909</v>
      </c>
      <c r="B799" s="5">
        <v>792</v>
      </c>
      <c r="C799">
        <v>2544</v>
      </c>
      <c r="D799" t="s">
        <v>6888</v>
      </c>
      <c r="E799" t="s">
        <v>550</v>
      </c>
      <c r="F799" t="s">
        <v>167</v>
      </c>
      <c r="G799" t="s">
        <v>32067</v>
      </c>
      <c r="H799">
        <v>22.03</v>
      </c>
      <c r="I799">
        <v>0</v>
      </c>
      <c r="J799">
        <v>0</v>
      </c>
      <c r="K799">
        <v>0</v>
      </c>
      <c r="L799">
        <v>7</v>
      </c>
      <c r="O799">
        <v>7</v>
      </c>
      <c r="P799">
        <v>4</v>
      </c>
      <c r="Q799">
        <v>2</v>
      </c>
      <c r="R799">
        <v>35.03</v>
      </c>
      <c r="S799">
        <v>18</v>
      </c>
      <c r="T799">
        <v>18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18</v>
      </c>
      <c r="AB799">
        <v>0</v>
      </c>
      <c r="AC799">
        <v>0</v>
      </c>
      <c r="AF799" t="s">
        <v>130</v>
      </c>
      <c r="AH799">
        <v>53.03</v>
      </c>
    </row>
    <row r="800" spans="1:34" x14ac:dyDescent="0.3">
      <c r="A800" s="4">
        <v>910</v>
      </c>
      <c r="B800" s="5">
        <v>793</v>
      </c>
      <c r="C800">
        <v>2900</v>
      </c>
      <c r="D800" t="s">
        <v>19780</v>
      </c>
      <c r="E800" t="s">
        <v>65</v>
      </c>
      <c r="F800" t="s">
        <v>302</v>
      </c>
      <c r="G800" t="s">
        <v>19781</v>
      </c>
      <c r="H800">
        <v>17</v>
      </c>
      <c r="I800">
        <v>0</v>
      </c>
      <c r="J800">
        <v>0</v>
      </c>
      <c r="K800">
        <v>20</v>
      </c>
      <c r="N800">
        <v>3</v>
      </c>
      <c r="O800">
        <v>3</v>
      </c>
      <c r="P800">
        <v>4</v>
      </c>
      <c r="Q800">
        <v>0</v>
      </c>
      <c r="R800">
        <v>44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9</v>
      </c>
      <c r="AC800">
        <v>0</v>
      </c>
      <c r="AD800" t="s">
        <v>130</v>
      </c>
      <c r="AF800" t="s">
        <v>130</v>
      </c>
      <c r="AH800">
        <v>53</v>
      </c>
    </row>
    <row r="801" spans="1:34" x14ac:dyDescent="0.3">
      <c r="A801" s="4">
        <v>911</v>
      </c>
      <c r="B801" s="5">
        <v>794</v>
      </c>
      <c r="C801">
        <v>1430</v>
      </c>
      <c r="D801" t="s">
        <v>11403</v>
      </c>
      <c r="E801" t="s">
        <v>37</v>
      </c>
      <c r="F801" t="s">
        <v>62</v>
      </c>
      <c r="G801" t="s">
        <v>19782</v>
      </c>
      <c r="H801">
        <v>17.98</v>
      </c>
      <c r="I801">
        <v>0</v>
      </c>
      <c r="J801">
        <v>0</v>
      </c>
      <c r="K801">
        <v>20</v>
      </c>
      <c r="N801">
        <v>3</v>
      </c>
      <c r="O801">
        <v>3</v>
      </c>
      <c r="P801">
        <v>4</v>
      </c>
      <c r="Q801">
        <v>2</v>
      </c>
      <c r="R801">
        <v>46.98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6</v>
      </c>
      <c r="AC801">
        <v>0</v>
      </c>
      <c r="AD801" t="s">
        <v>130</v>
      </c>
      <c r="AF801" t="s">
        <v>130</v>
      </c>
      <c r="AH801">
        <v>52.98</v>
      </c>
    </row>
    <row r="802" spans="1:34" x14ac:dyDescent="0.3">
      <c r="A802" s="4">
        <v>912</v>
      </c>
      <c r="B802" s="5">
        <v>795</v>
      </c>
      <c r="C802">
        <v>2009</v>
      </c>
      <c r="D802" t="s">
        <v>12674</v>
      </c>
      <c r="E802" t="s">
        <v>825</v>
      </c>
      <c r="F802" t="s">
        <v>20</v>
      </c>
      <c r="G802" t="s">
        <v>19783</v>
      </c>
      <c r="H802">
        <v>19.95</v>
      </c>
      <c r="I802">
        <v>0</v>
      </c>
      <c r="J802">
        <v>0</v>
      </c>
      <c r="K802">
        <v>0</v>
      </c>
      <c r="N802">
        <v>3</v>
      </c>
      <c r="O802">
        <v>3</v>
      </c>
      <c r="P802">
        <v>4</v>
      </c>
      <c r="Q802">
        <v>2</v>
      </c>
      <c r="R802">
        <v>28.95</v>
      </c>
      <c r="S802">
        <v>18</v>
      </c>
      <c r="T802">
        <v>18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18</v>
      </c>
      <c r="AB802">
        <v>6</v>
      </c>
      <c r="AC802">
        <v>0</v>
      </c>
      <c r="AF802" t="s">
        <v>130</v>
      </c>
      <c r="AH802">
        <v>52.95</v>
      </c>
    </row>
    <row r="803" spans="1:34" x14ac:dyDescent="0.3">
      <c r="A803" s="4">
        <v>913</v>
      </c>
      <c r="B803" s="5">
        <v>796</v>
      </c>
      <c r="C803">
        <v>12893</v>
      </c>
      <c r="D803" t="s">
        <v>3110</v>
      </c>
      <c r="E803" t="s">
        <v>19784</v>
      </c>
      <c r="F803" t="s">
        <v>539</v>
      </c>
      <c r="G803" t="s">
        <v>19785</v>
      </c>
      <c r="H803">
        <v>15.85</v>
      </c>
      <c r="I803">
        <v>0</v>
      </c>
      <c r="J803">
        <v>0</v>
      </c>
      <c r="K803">
        <v>0</v>
      </c>
      <c r="O803">
        <v>0</v>
      </c>
      <c r="P803">
        <v>4</v>
      </c>
      <c r="Q803">
        <v>2</v>
      </c>
      <c r="R803">
        <v>21.85</v>
      </c>
      <c r="S803">
        <v>31</v>
      </c>
      <c r="T803">
        <v>31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31</v>
      </c>
      <c r="AB803">
        <v>0</v>
      </c>
      <c r="AC803">
        <v>0</v>
      </c>
      <c r="AF803" t="s">
        <v>130</v>
      </c>
      <c r="AH803">
        <v>52.85</v>
      </c>
    </row>
    <row r="804" spans="1:34" x14ac:dyDescent="0.3">
      <c r="A804" s="4">
        <v>914</v>
      </c>
      <c r="B804" s="5">
        <v>797</v>
      </c>
      <c r="C804">
        <v>4008</v>
      </c>
      <c r="D804" t="s">
        <v>19786</v>
      </c>
      <c r="E804" t="s">
        <v>166</v>
      </c>
      <c r="F804" t="s">
        <v>68</v>
      </c>
      <c r="G804" t="s">
        <v>19787</v>
      </c>
      <c r="H804">
        <v>19.829999999999998</v>
      </c>
      <c r="I804">
        <v>0</v>
      </c>
      <c r="J804">
        <v>0</v>
      </c>
      <c r="K804">
        <v>20</v>
      </c>
      <c r="L804">
        <v>7</v>
      </c>
      <c r="O804">
        <v>7</v>
      </c>
      <c r="P804">
        <v>4</v>
      </c>
      <c r="Q804">
        <v>2</v>
      </c>
      <c r="R804">
        <v>52.83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F804" t="s">
        <v>130</v>
      </c>
      <c r="AH804">
        <v>52.83</v>
      </c>
    </row>
    <row r="805" spans="1:34" x14ac:dyDescent="0.3">
      <c r="A805" s="4">
        <v>915</v>
      </c>
      <c r="B805" s="5">
        <v>798</v>
      </c>
      <c r="C805">
        <v>2831</v>
      </c>
      <c r="D805" t="s">
        <v>1654</v>
      </c>
      <c r="E805" t="s">
        <v>29</v>
      </c>
      <c r="F805" t="s">
        <v>158</v>
      </c>
      <c r="G805" t="s">
        <v>19788</v>
      </c>
      <c r="H805">
        <v>16.75</v>
      </c>
      <c r="I805">
        <v>7</v>
      </c>
      <c r="J805">
        <v>0</v>
      </c>
      <c r="K805">
        <v>20</v>
      </c>
      <c r="N805">
        <v>3</v>
      </c>
      <c r="O805">
        <v>3</v>
      </c>
      <c r="P805">
        <v>4</v>
      </c>
      <c r="Q805">
        <v>2</v>
      </c>
      <c r="R805">
        <v>52.75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F805" t="s">
        <v>130</v>
      </c>
      <c r="AH805">
        <v>52.75</v>
      </c>
    </row>
    <row r="806" spans="1:34" x14ac:dyDescent="0.3">
      <c r="A806" s="4">
        <v>916</v>
      </c>
      <c r="B806" s="5">
        <v>799</v>
      </c>
      <c r="C806">
        <v>14642</v>
      </c>
      <c r="D806" t="s">
        <v>19789</v>
      </c>
      <c r="E806" t="s">
        <v>104</v>
      </c>
      <c r="F806" t="s">
        <v>117</v>
      </c>
      <c r="G806" t="s">
        <v>19790</v>
      </c>
      <c r="H806">
        <v>19.7</v>
      </c>
      <c r="I806">
        <v>0</v>
      </c>
      <c r="J806">
        <v>0</v>
      </c>
      <c r="K806">
        <v>0</v>
      </c>
      <c r="N806">
        <v>3</v>
      </c>
      <c r="O806">
        <v>3</v>
      </c>
      <c r="P806">
        <v>4</v>
      </c>
      <c r="Q806">
        <v>2</v>
      </c>
      <c r="R806">
        <v>28.7</v>
      </c>
      <c r="S806">
        <v>18</v>
      </c>
      <c r="T806">
        <v>18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18</v>
      </c>
      <c r="AB806">
        <v>6</v>
      </c>
      <c r="AC806">
        <v>0</v>
      </c>
      <c r="AF806" t="s">
        <v>130</v>
      </c>
      <c r="AH806">
        <v>52.7</v>
      </c>
    </row>
    <row r="807" spans="1:34" x14ac:dyDescent="0.3">
      <c r="A807" s="4">
        <v>917</v>
      </c>
      <c r="B807" s="5">
        <v>800</v>
      </c>
      <c r="C807">
        <v>4394</v>
      </c>
      <c r="D807" t="s">
        <v>19791</v>
      </c>
      <c r="E807" t="s">
        <v>110</v>
      </c>
      <c r="F807" t="s">
        <v>17</v>
      </c>
      <c r="G807" t="s">
        <v>19792</v>
      </c>
      <c r="H807">
        <v>19.7</v>
      </c>
      <c r="I807">
        <v>0</v>
      </c>
      <c r="J807">
        <v>0</v>
      </c>
      <c r="K807">
        <v>20</v>
      </c>
      <c r="L807">
        <v>7</v>
      </c>
      <c r="O807">
        <v>7</v>
      </c>
      <c r="P807">
        <v>4</v>
      </c>
      <c r="Q807">
        <v>2</v>
      </c>
      <c r="R807">
        <v>52.7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F807" t="s">
        <v>130</v>
      </c>
      <c r="AH807">
        <v>52.7</v>
      </c>
    </row>
    <row r="808" spans="1:34" x14ac:dyDescent="0.3">
      <c r="A808" s="4">
        <v>918</v>
      </c>
      <c r="B808" s="5">
        <v>801</v>
      </c>
      <c r="C808">
        <v>11272</v>
      </c>
      <c r="D808" t="s">
        <v>19793</v>
      </c>
      <c r="E808" t="s">
        <v>1694</v>
      </c>
      <c r="F808" t="s">
        <v>81</v>
      </c>
      <c r="G808" t="s">
        <v>19794</v>
      </c>
      <c r="H808">
        <v>19.55</v>
      </c>
      <c r="I808">
        <v>0</v>
      </c>
      <c r="J808">
        <v>0</v>
      </c>
      <c r="K808">
        <v>0</v>
      </c>
      <c r="N808">
        <v>3</v>
      </c>
      <c r="O808">
        <v>3</v>
      </c>
      <c r="P808">
        <v>4</v>
      </c>
      <c r="Q808">
        <v>2</v>
      </c>
      <c r="R808">
        <v>28.55</v>
      </c>
      <c r="S808">
        <v>18</v>
      </c>
      <c r="T808">
        <v>18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18</v>
      </c>
      <c r="AB808">
        <v>6</v>
      </c>
      <c r="AC808">
        <v>0</v>
      </c>
      <c r="AF808" t="s">
        <v>130</v>
      </c>
      <c r="AH808">
        <v>52.55</v>
      </c>
    </row>
    <row r="809" spans="1:34" x14ac:dyDescent="0.3">
      <c r="A809" s="4">
        <v>919</v>
      </c>
      <c r="B809" s="5">
        <v>802</v>
      </c>
      <c r="C809">
        <v>695</v>
      </c>
      <c r="D809" t="s">
        <v>19795</v>
      </c>
      <c r="E809" t="s">
        <v>3964</v>
      </c>
      <c r="F809" t="s">
        <v>136</v>
      </c>
      <c r="G809" t="s">
        <v>19796</v>
      </c>
      <c r="H809">
        <v>18.55</v>
      </c>
      <c r="I809">
        <v>0</v>
      </c>
      <c r="J809">
        <v>0</v>
      </c>
      <c r="K809">
        <v>20</v>
      </c>
      <c r="N809">
        <v>3</v>
      </c>
      <c r="O809">
        <v>3</v>
      </c>
      <c r="P809">
        <v>4</v>
      </c>
      <c r="Q809">
        <v>0</v>
      </c>
      <c r="R809">
        <v>45.55</v>
      </c>
      <c r="S809">
        <v>7</v>
      </c>
      <c r="T809">
        <v>7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7</v>
      </c>
      <c r="AB809">
        <v>0</v>
      </c>
      <c r="AC809">
        <v>0</v>
      </c>
      <c r="AD809" t="s">
        <v>130</v>
      </c>
      <c r="AF809" t="s">
        <v>130</v>
      </c>
      <c r="AH809">
        <v>52.55</v>
      </c>
    </row>
    <row r="810" spans="1:34" x14ac:dyDescent="0.3">
      <c r="A810" s="4">
        <v>920</v>
      </c>
      <c r="B810" s="5">
        <v>803</v>
      </c>
      <c r="C810">
        <v>1838</v>
      </c>
      <c r="D810" t="s">
        <v>19797</v>
      </c>
      <c r="E810" t="s">
        <v>424</v>
      </c>
      <c r="F810" t="s">
        <v>20</v>
      </c>
      <c r="G810" t="s">
        <v>19798</v>
      </c>
      <c r="H810">
        <v>21.55</v>
      </c>
      <c r="I810">
        <v>0</v>
      </c>
      <c r="J810">
        <v>0</v>
      </c>
      <c r="K810">
        <v>0</v>
      </c>
      <c r="L810">
        <v>7</v>
      </c>
      <c r="O810">
        <v>7</v>
      </c>
      <c r="P810">
        <v>4</v>
      </c>
      <c r="Q810">
        <v>2</v>
      </c>
      <c r="R810">
        <v>34.549999999999997</v>
      </c>
      <c r="S810">
        <v>18</v>
      </c>
      <c r="T810">
        <v>18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18</v>
      </c>
      <c r="AB810">
        <v>0</v>
      </c>
      <c r="AC810">
        <v>0</v>
      </c>
      <c r="AF810" t="s">
        <v>130</v>
      </c>
      <c r="AH810">
        <v>52.55</v>
      </c>
    </row>
    <row r="811" spans="1:34" x14ac:dyDescent="0.3">
      <c r="A811" s="4">
        <v>921</v>
      </c>
      <c r="B811" s="5">
        <v>804</v>
      </c>
      <c r="C811">
        <v>13277</v>
      </c>
      <c r="D811" t="s">
        <v>1304</v>
      </c>
      <c r="E811" t="s">
        <v>3449</v>
      </c>
      <c r="F811" t="s">
        <v>328</v>
      </c>
      <c r="G811" t="s">
        <v>19799</v>
      </c>
      <c r="H811">
        <v>20.48</v>
      </c>
      <c r="I811">
        <v>0</v>
      </c>
      <c r="J811">
        <v>0</v>
      </c>
      <c r="K811">
        <v>20</v>
      </c>
      <c r="N811">
        <v>3</v>
      </c>
      <c r="O811">
        <v>3</v>
      </c>
      <c r="P811">
        <v>4</v>
      </c>
      <c r="Q811">
        <v>2</v>
      </c>
      <c r="R811">
        <v>49.48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3</v>
      </c>
      <c r="AC811">
        <v>0</v>
      </c>
      <c r="AF811" t="s">
        <v>130</v>
      </c>
      <c r="AH811">
        <v>52.48</v>
      </c>
    </row>
    <row r="812" spans="1:34" x14ac:dyDescent="0.3">
      <c r="A812" s="4">
        <v>922</v>
      </c>
      <c r="B812" s="5">
        <v>805</v>
      </c>
      <c r="C812">
        <v>704</v>
      </c>
      <c r="D812" t="s">
        <v>173</v>
      </c>
      <c r="E812" t="s">
        <v>166</v>
      </c>
      <c r="F812" t="s">
        <v>38</v>
      </c>
      <c r="G812" t="s">
        <v>19800</v>
      </c>
      <c r="H812">
        <v>20.48</v>
      </c>
      <c r="I812">
        <v>0</v>
      </c>
      <c r="J812">
        <v>0</v>
      </c>
      <c r="K812">
        <v>20</v>
      </c>
      <c r="L812">
        <v>7</v>
      </c>
      <c r="M812">
        <v>5</v>
      </c>
      <c r="O812">
        <v>12</v>
      </c>
      <c r="P812">
        <v>0</v>
      </c>
      <c r="Q812">
        <v>0</v>
      </c>
      <c r="R812">
        <v>52.48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F812" t="s">
        <v>130</v>
      </c>
      <c r="AH812">
        <v>52.48</v>
      </c>
    </row>
    <row r="813" spans="1:34" x14ac:dyDescent="0.3">
      <c r="A813" s="4">
        <v>923</v>
      </c>
      <c r="B813" s="5">
        <v>806</v>
      </c>
      <c r="C813">
        <v>2454</v>
      </c>
      <c r="D813" t="s">
        <v>7811</v>
      </c>
      <c r="E813" t="s">
        <v>6414</v>
      </c>
      <c r="F813" t="s">
        <v>20</v>
      </c>
      <c r="G813" t="s">
        <v>19801</v>
      </c>
      <c r="H813">
        <v>19.38</v>
      </c>
      <c r="I813">
        <v>0</v>
      </c>
      <c r="J813">
        <v>0</v>
      </c>
      <c r="K813">
        <v>20</v>
      </c>
      <c r="L813">
        <v>7</v>
      </c>
      <c r="O813">
        <v>7</v>
      </c>
      <c r="P813">
        <v>4</v>
      </c>
      <c r="Q813">
        <v>2</v>
      </c>
      <c r="R813">
        <v>52.38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F813" t="s">
        <v>130</v>
      </c>
      <c r="AH813">
        <v>52.38</v>
      </c>
    </row>
    <row r="814" spans="1:34" x14ac:dyDescent="0.3">
      <c r="A814" s="4">
        <v>924</v>
      </c>
      <c r="B814" s="5">
        <v>807</v>
      </c>
      <c r="C814">
        <v>7496</v>
      </c>
      <c r="D814" t="s">
        <v>19802</v>
      </c>
      <c r="E814" t="s">
        <v>54</v>
      </c>
      <c r="F814" t="s">
        <v>81</v>
      </c>
      <c r="G814" t="s">
        <v>19803</v>
      </c>
      <c r="H814">
        <v>18.3</v>
      </c>
      <c r="I814">
        <v>0</v>
      </c>
      <c r="J814">
        <v>0</v>
      </c>
      <c r="K814">
        <v>20</v>
      </c>
      <c r="L814">
        <v>7</v>
      </c>
      <c r="O814">
        <v>7</v>
      </c>
      <c r="P814">
        <v>4</v>
      </c>
      <c r="Q814">
        <v>0</v>
      </c>
      <c r="R814">
        <v>49.3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3</v>
      </c>
      <c r="AC814">
        <v>0</v>
      </c>
      <c r="AF814" t="s">
        <v>130</v>
      </c>
      <c r="AH814">
        <v>52.3</v>
      </c>
    </row>
    <row r="815" spans="1:34" x14ac:dyDescent="0.3">
      <c r="A815" s="4">
        <v>925</v>
      </c>
      <c r="B815" s="5">
        <v>808</v>
      </c>
      <c r="C815">
        <v>4570</v>
      </c>
      <c r="D815" t="s">
        <v>16433</v>
      </c>
      <c r="E815" t="s">
        <v>22</v>
      </c>
      <c r="F815" t="s">
        <v>416</v>
      </c>
      <c r="G815" t="s">
        <v>19804</v>
      </c>
      <c r="H815">
        <v>18.28</v>
      </c>
      <c r="I815">
        <v>0</v>
      </c>
      <c r="J815">
        <v>0</v>
      </c>
      <c r="K815">
        <v>0</v>
      </c>
      <c r="O815">
        <v>0</v>
      </c>
      <c r="P815">
        <v>4</v>
      </c>
      <c r="Q815">
        <v>2</v>
      </c>
      <c r="R815">
        <v>24.28</v>
      </c>
      <c r="S815">
        <v>25</v>
      </c>
      <c r="T815">
        <v>25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25</v>
      </c>
      <c r="AB815">
        <v>3</v>
      </c>
      <c r="AC815">
        <v>0</v>
      </c>
      <c r="AF815" t="s">
        <v>130</v>
      </c>
      <c r="AH815">
        <v>52.28</v>
      </c>
    </row>
    <row r="816" spans="1:34" x14ac:dyDescent="0.3">
      <c r="A816" s="4">
        <v>927</v>
      </c>
      <c r="B816" s="5">
        <v>809</v>
      </c>
      <c r="C816">
        <v>4809</v>
      </c>
      <c r="D816" t="s">
        <v>19805</v>
      </c>
      <c r="E816" t="s">
        <v>17</v>
      </c>
      <c r="F816" t="s">
        <v>19806</v>
      </c>
      <c r="G816" t="s">
        <v>32068</v>
      </c>
      <c r="H816">
        <v>19.18</v>
      </c>
      <c r="I816">
        <v>0</v>
      </c>
      <c r="J816">
        <v>0</v>
      </c>
      <c r="K816">
        <v>20</v>
      </c>
      <c r="L816">
        <v>7</v>
      </c>
      <c r="O816">
        <v>7</v>
      </c>
      <c r="P816">
        <v>4</v>
      </c>
      <c r="Q816">
        <v>2</v>
      </c>
      <c r="R816">
        <v>52.18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F816" t="s">
        <v>130</v>
      </c>
      <c r="AH816">
        <v>52.18</v>
      </c>
    </row>
    <row r="817" spans="1:34" x14ac:dyDescent="0.3">
      <c r="A817" s="4">
        <v>928</v>
      </c>
      <c r="B817" s="5">
        <v>810</v>
      </c>
      <c r="C817">
        <v>9023</v>
      </c>
      <c r="D817" t="s">
        <v>12804</v>
      </c>
      <c r="E817" t="s">
        <v>6835</v>
      </c>
      <c r="F817" t="s">
        <v>68</v>
      </c>
      <c r="G817" t="s">
        <v>19807</v>
      </c>
      <c r="H817">
        <v>19.18</v>
      </c>
      <c r="I817">
        <v>0</v>
      </c>
      <c r="J817">
        <v>0</v>
      </c>
      <c r="K817">
        <v>20</v>
      </c>
      <c r="L817">
        <v>7</v>
      </c>
      <c r="O817">
        <v>7</v>
      </c>
      <c r="P817">
        <v>4</v>
      </c>
      <c r="Q817">
        <v>2</v>
      </c>
      <c r="R817">
        <v>52.18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F817" t="s">
        <v>130</v>
      </c>
      <c r="AH817">
        <v>52.18</v>
      </c>
    </row>
    <row r="818" spans="1:34" x14ac:dyDescent="0.3">
      <c r="A818" s="4">
        <v>929</v>
      </c>
      <c r="B818" s="5">
        <v>811</v>
      </c>
      <c r="C818">
        <v>324</v>
      </c>
      <c r="D818" t="s">
        <v>3849</v>
      </c>
      <c r="E818" t="s">
        <v>26</v>
      </c>
      <c r="F818" t="s">
        <v>652</v>
      </c>
      <c r="G818" t="s">
        <v>19808</v>
      </c>
      <c r="H818">
        <v>17.100000000000001</v>
      </c>
      <c r="I818">
        <v>0</v>
      </c>
      <c r="J818">
        <v>0</v>
      </c>
      <c r="K818">
        <v>0</v>
      </c>
      <c r="O818">
        <v>0</v>
      </c>
      <c r="P818">
        <v>4</v>
      </c>
      <c r="Q818">
        <v>2</v>
      </c>
      <c r="R818">
        <v>23.1</v>
      </c>
      <c r="S818">
        <v>29</v>
      </c>
      <c r="T818">
        <v>29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29</v>
      </c>
      <c r="AB818">
        <v>0</v>
      </c>
      <c r="AC818">
        <v>0</v>
      </c>
      <c r="AF818" t="s">
        <v>130</v>
      </c>
      <c r="AH818">
        <v>52.1</v>
      </c>
    </row>
    <row r="819" spans="1:34" x14ac:dyDescent="0.3">
      <c r="A819" s="4">
        <v>930</v>
      </c>
      <c r="B819" s="5">
        <v>812</v>
      </c>
      <c r="C819">
        <v>12399</v>
      </c>
      <c r="D819" t="s">
        <v>19809</v>
      </c>
      <c r="E819" t="s">
        <v>115</v>
      </c>
      <c r="F819" t="s">
        <v>17</v>
      </c>
      <c r="G819" t="s">
        <v>19810</v>
      </c>
      <c r="H819">
        <v>19.05</v>
      </c>
      <c r="I819">
        <v>0</v>
      </c>
      <c r="J819">
        <v>0</v>
      </c>
      <c r="K819">
        <v>20</v>
      </c>
      <c r="O819">
        <v>0</v>
      </c>
      <c r="P819">
        <v>4</v>
      </c>
      <c r="Q819">
        <v>0</v>
      </c>
      <c r="R819">
        <v>43.05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9</v>
      </c>
      <c r="AC819">
        <v>0</v>
      </c>
      <c r="AF819" t="s">
        <v>130</v>
      </c>
      <c r="AH819">
        <v>52.05</v>
      </c>
    </row>
    <row r="820" spans="1:34" x14ac:dyDescent="0.3">
      <c r="A820" s="4">
        <v>931</v>
      </c>
      <c r="B820" s="5">
        <v>813</v>
      </c>
      <c r="C820">
        <v>8043</v>
      </c>
      <c r="D820" t="s">
        <v>93</v>
      </c>
      <c r="E820" t="s">
        <v>29</v>
      </c>
      <c r="F820" t="s">
        <v>81</v>
      </c>
      <c r="G820" t="s">
        <v>19811</v>
      </c>
      <c r="H820">
        <v>21.05</v>
      </c>
      <c r="I820">
        <v>7</v>
      </c>
      <c r="J820">
        <v>0</v>
      </c>
      <c r="K820">
        <v>0</v>
      </c>
      <c r="O820">
        <v>0</v>
      </c>
      <c r="P820">
        <v>4</v>
      </c>
      <c r="Q820">
        <v>2</v>
      </c>
      <c r="R820">
        <v>34.049999999999997</v>
      </c>
      <c r="S820">
        <v>18</v>
      </c>
      <c r="T820">
        <v>18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18</v>
      </c>
      <c r="AB820">
        <v>0</v>
      </c>
      <c r="AC820">
        <v>0</v>
      </c>
      <c r="AF820" t="s">
        <v>130</v>
      </c>
      <c r="AH820">
        <v>52.05</v>
      </c>
    </row>
    <row r="821" spans="1:34" x14ac:dyDescent="0.3">
      <c r="A821" s="4">
        <v>932</v>
      </c>
      <c r="B821" s="5">
        <v>814</v>
      </c>
      <c r="C821">
        <v>9923</v>
      </c>
      <c r="D821" t="s">
        <v>4038</v>
      </c>
      <c r="E821" t="s">
        <v>1117</v>
      </c>
      <c r="F821" t="s">
        <v>20</v>
      </c>
      <c r="G821" t="s">
        <v>19812</v>
      </c>
      <c r="H821">
        <v>19.03</v>
      </c>
      <c r="I821">
        <v>0</v>
      </c>
      <c r="J821">
        <v>0</v>
      </c>
      <c r="K821">
        <v>20</v>
      </c>
      <c r="N821">
        <v>3</v>
      </c>
      <c r="O821">
        <v>3</v>
      </c>
      <c r="P821">
        <v>4</v>
      </c>
      <c r="Q821">
        <v>0</v>
      </c>
      <c r="R821">
        <v>46.03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6</v>
      </c>
      <c r="AC821">
        <v>0</v>
      </c>
      <c r="AF821" t="s">
        <v>130</v>
      </c>
      <c r="AH821">
        <v>52.03</v>
      </c>
    </row>
    <row r="822" spans="1:34" x14ac:dyDescent="0.3">
      <c r="A822" s="4">
        <v>933</v>
      </c>
      <c r="B822" s="5">
        <v>815</v>
      </c>
      <c r="C822">
        <v>6137</v>
      </c>
      <c r="D822" t="s">
        <v>19813</v>
      </c>
      <c r="E822" t="s">
        <v>104</v>
      </c>
      <c r="F822" t="s">
        <v>30</v>
      </c>
      <c r="G822" t="s">
        <v>19814</v>
      </c>
      <c r="H822">
        <v>16.98</v>
      </c>
      <c r="I822">
        <v>0</v>
      </c>
      <c r="J822">
        <v>0</v>
      </c>
      <c r="K822">
        <v>20</v>
      </c>
      <c r="N822">
        <v>3</v>
      </c>
      <c r="O822">
        <v>3</v>
      </c>
      <c r="P822">
        <v>4</v>
      </c>
      <c r="Q822">
        <v>2</v>
      </c>
      <c r="R822">
        <v>45.98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6</v>
      </c>
      <c r="AC822">
        <v>0</v>
      </c>
      <c r="AF822" t="s">
        <v>130</v>
      </c>
      <c r="AH822">
        <v>51.98</v>
      </c>
    </row>
    <row r="823" spans="1:34" x14ac:dyDescent="0.3">
      <c r="A823" s="4">
        <v>934</v>
      </c>
      <c r="B823" s="5">
        <v>816</v>
      </c>
      <c r="C823">
        <v>7516</v>
      </c>
      <c r="D823" t="s">
        <v>19815</v>
      </c>
      <c r="E823" t="s">
        <v>132</v>
      </c>
      <c r="F823" t="s">
        <v>68</v>
      </c>
      <c r="G823" t="s">
        <v>19816</v>
      </c>
      <c r="H823">
        <v>19.95</v>
      </c>
      <c r="I823">
        <v>0</v>
      </c>
      <c r="J823">
        <v>0</v>
      </c>
      <c r="K823">
        <v>20</v>
      </c>
      <c r="M823">
        <v>5</v>
      </c>
      <c r="N823">
        <v>3</v>
      </c>
      <c r="O823">
        <v>8</v>
      </c>
      <c r="P823">
        <v>4</v>
      </c>
      <c r="Q823">
        <v>0</v>
      </c>
      <c r="R823">
        <v>51.95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F823" t="s">
        <v>130</v>
      </c>
      <c r="AH823">
        <v>51.95</v>
      </c>
    </row>
    <row r="824" spans="1:34" x14ac:dyDescent="0.3">
      <c r="A824" s="4">
        <v>935</v>
      </c>
      <c r="B824" s="5">
        <v>817</v>
      </c>
      <c r="C824">
        <v>14563</v>
      </c>
      <c r="D824" t="s">
        <v>19817</v>
      </c>
      <c r="E824" t="s">
        <v>19818</v>
      </c>
      <c r="F824" t="s">
        <v>2261</v>
      </c>
      <c r="G824" t="s">
        <v>19819</v>
      </c>
      <c r="H824">
        <v>18.899999999999999</v>
      </c>
      <c r="I824">
        <v>0</v>
      </c>
      <c r="J824">
        <v>0</v>
      </c>
      <c r="K824">
        <v>0</v>
      </c>
      <c r="N824">
        <v>6</v>
      </c>
      <c r="O824">
        <v>6</v>
      </c>
      <c r="P824">
        <v>4</v>
      </c>
      <c r="Q824">
        <v>0</v>
      </c>
      <c r="R824">
        <v>28.9</v>
      </c>
      <c r="S824">
        <v>20</v>
      </c>
      <c r="T824">
        <v>20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20</v>
      </c>
      <c r="AB824">
        <v>3</v>
      </c>
      <c r="AC824">
        <v>0</v>
      </c>
      <c r="AF824" t="s">
        <v>130</v>
      </c>
      <c r="AH824">
        <v>51.9</v>
      </c>
    </row>
    <row r="825" spans="1:34" x14ac:dyDescent="0.3">
      <c r="A825" s="4">
        <v>936</v>
      </c>
      <c r="B825" s="5">
        <v>818</v>
      </c>
      <c r="C825">
        <v>2997</v>
      </c>
      <c r="D825" t="s">
        <v>10092</v>
      </c>
      <c r="E825" t="s">
        <v>41</v>
      </c>
      <c r="F825" t="s">
        <v>30</v>
      </c>
      <c r="G825" t="s">
        <v>19820</v>
      </c>
      <c r="H825">
        <v>18.899999999999999</v>
      </c>
      <c r="I825">
        <v>0</v>
      </c>
      <c r="J825">
        <v>0</v>
      </c>
      <c r="K825">
        <v>20</v>
      </c>
      <c r="L825">
        <v>7</v>
      </c>
      <c r="O825">
        <v>7</v>
      </c>
      <c r="P825">
        <v>4</v>
      </c>
      <c r="Q825">
        <v>2</v>
      </c>
      <c r="R825">
        <v>51.9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F825" t="s">
        <v>130</v>
      </c>
      <c r="AH825">
        <v>51.9</v>
      </c>
    </row>
    <row r="826" spans="1:34" x14ac:dyDescent="0.3">
      <c r="A826" s="4">
        <v>937</v>
      </c>
      <c r="B826" s="5">
        <v>819</v>
      </c>
      <c r="C826">
        <v>14841</v>
      </c>
      <c r="D826" t="s">
        <v>19821</v>
      </c>
      <c r="E826" t="s">
        <v>188</v>
      </c>
      <c r="F826" t="s">
        <v>81</v>
      </c>
      <c r="G826" t="s">
        <v>19822</v>
      </c>
      <c r="H826">
        <v>18.88</v>
      </c>
      <c r="I826">
        <v>0</v>
      </c>
      <c r="J826">
        <v>0</v>
      </c>
      <c r="K826">
        <v>20</v>
      </c>
      <c r="L826">
        <v>7</v>
      </c>
      <c r="O826">
        <v>7</v>
      </c>
      <c r="P826">
        <v>4</v>
      </c>
      <c r="Q826">
        <v>2</v>
      </c>
      <c r="R826">
        <v>51.88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F826" t="s">
        <v>130</v>
      </c>
      <c r="AH826">
        <v>51.88</v>
      </c>
    </row>
    <row r="827" spans="1:34" x14ac:dyDescent="0.3">
      <c r="A827" s="4">
        <v>938</v>
      </c>
      <c r="B827" s="5">
        <v>820</v>
      </c>
      <c r="C827">
        <v>15460</v>
      </c>
      <c r="D827" t="s">
        <v>19823</v>
      </c>
      <c r="E827" t="s">
        <v>88</v>
      </c>
      <c r="F827" t="s">
        <v>124</v>
      </c>
      <c r="G827" t="s">
        <v>19824</v>
      </c>
      <c r="H827">
        <v>18.850000000000001</v>
      </c>
      <c r="I827">
        <v>0</v>
      </c>
      <c r="J827">
        <v>0</v>
      </c>
      <c r="K827">
        <v>20</v>
      </c>
      <c r="N827">
        <v>3</v>
      </c>
      <c r="O827">
        <v>3</v>
      </c>
      <c r="P827">
        <v>4</v>
      </c>
      <c r="Q827">
        <v>0</v>
      </c>
      <c r="R827">
        <v>45.85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6</v>
      </c>
      <c r="AC827">
        <v>0</v>
      </c>
      <c r="AF827" t="s">
        <v>130</v>
      </c>
      <c r="AH827">
        <v>51.85</v>
      </c>
    </row>
    <row r="828" spans="1:34" x14ac:dyDescent="0.3">
      <c r="A828" s="4">
        <v>939</v>
      </c>
      <c r="B828" s="5">
        <v>821</v>
      </c>
      <c r="C828">
        <v>4475</v>
      </c>
      <c r="D828" t="s">
        <v>19215</v>
      </c>
      <c r="E828" t="s">
        <v>20</v>
      </c>
      <c r="F828" t="s">
        <v>782</v>
      </c>
      <c r="G828" t="s">
        <v>19825</v>
      </c>
      <c r="H828">
        <v>16.78</v>
      </c>
      <c r="I828">
        <v>0</v>
      </c>
      <c r="J828">
        <v>0</v>
      </c>
      <c r="K828">
        <v>0</v>
      </c>
      <c r="N828">
        <v>3</v>
      </c>
      <c r="O828">
        <v>3</v>
      </c>
      <c r="P828">
        <v>4</v>
      </c>
      <c r="Q828">
        <v>0</v>
      </c>
      <c r="R828">
        <v>23.78</v>
      </c>
      <c r="S828">
        <v>28</v>
      </c>
      <c r="T828">
        <v>28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28</v>
      </c>
      <c r="AB828">
        <v>0</v>
      </c>
      <c r="AC828">
        <v>0</v>
      </c>
      <c r="AF828" t="s">
        <v>130</v>
      </c>
      <c r="AH828">
        <v>51.78</v>
      </c>
    </row>
    <row r="829" spans="1:34" x14ac:dyDescent="0.3">
      <c r="A829" s="4">
        <v>940</v>
      </c>
      <c r="B829" s="5">
        <v>822</v>
      </c>
      <c r="C829">
        <v>8462</v>
      </c>
      <c r="D829" t="s">
        <v>5130</v>
      </c>
      <c r="E829" t="s">
        <v>1152</v>
      </c>
      <c r="F829" t="s">
        <v>190</v>
      </c>
      <c r="G829" t="s">
        <v>19826</v>
      </c>
      <c r="H829">
        <v>19.75</v>
      </c>
      <c r="I829">
        <v>0</v>
      </c>
      <c r="J829">
        <v>0</v>
      </c>
      <c r="K829">
        <v>20</v>
      </c>
      <c r="N829">
        <v>3</v>
      </c>
      <c r="O829">
        <v>3</v>
      </c>
      <c r="P829">
        <v>4</v>
      </c>
      <c r="Q829">
        <v>2</v>
      </c>
      <c r="R829">
        <v>48.75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3</v>
      </c>
      <c r="AC829">
        <v>0</v>
      </c>
      <c r="AF829" t="s">
        <v>130</v>
      </c>
      <c r="AH829">
        <v>51.75</v>
      </c>
    </row>
    <row r="830" spans="1:34" x14ac:dyDescent="0.3">
      <c r="A830" s="4">
        <v>941</v>
      </c>
      <c r="B830" s="5">
        <v>823</v>
      </c>
      <c r="C830">
        <v>2267</v>
      </c>
      <c r="D830" t="s">
        <v>19827</v>
      </c>
      <c r="E830" t="s">
        <v>178</v>
      </c>
      <c r="F830" t="s">
        <v>539</v>
      </c>
      <c r="G830" t="s">
        <v>19828</v>
      </c>
      <c r="H830">
        <v>17.7</v>
      </c>
      <c r="I830">
        <v>0</v>
      </c>
      <c r="J830">
        <v>0</v>
      </c>
      <c r="K830">
        <v>0</v>
      </c>
      <c r="L830">
        <v>7</v>
      </c>
      <c r="O830">
        <v>7</v>
      </c>
      <c r="P830">
        <v>4</v>
      </c>
      <c r="Q830">
        <v>2</v>
      </c>
      <c r="R830">
        <v>30.7</v>
      </c>
      <c r="S830">
        <v>18</v>
      </c>
      <c r="T830">
        <v>18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18</v>
      </c>
      <c r="AB830">
        <v>3</v>
      </c>
      <c r="AC830">
        <v>0</v>
      </c>
      <c r="AF830" t="s">
        <v>130</v>
      </c>
      <c r="AH830">
        <v>51.7</v>
      </c>
    </row>
    <row r="831" spans="1:34" x14ac:dyDescent="0.3">
      <c r="A831" s="4">
        <v>942</v>
      </c>
      <c r="B831" s="5">
        <v>824</v>
      </c>
      <c r="C831">
        <v>12441</v>
      </c>
      <c r="D831" t="s">
        <v>19829</v>
      </c>
      <c r="E831" t="s">
        <v>54</v>
      </c>
      <c r="F831" t="s">
        <v>17</v>
      </c>
      <c r="G831" t="s">
        <v>19830</v>
      </c>
      <c r="H831">
        <v>19.68</v>
      </c>
      <c r="I831">
        <v>0</v>
      </c>
      <c r="J831">
        <v>0</v>
      </c>
      <c r="K831">
        <v>20</v>
      </c>
      <c r="N831">
        <v>3</v>
      </c>
      <c r="O831">
        <v>3</v>
      </c>
      <c r="P831">
        <v>4</v>
      </c>
      <c r="Q831">
        <v>2</v>
      </c>
      <c r="R831">
        <v>48.68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3</v>
      </c>
      <c r="AC831">
        <v>0</v>
      </c>
      <c r="AD831" t="s">
        <v>130</v>
      </c>
      <c r="AF831" t="s">
        <v>130</v>
      </c>
      <c r="AH831">
        <v>51.68</v>
      </c>
    </row>
    <row r="832" spans="1:34" x14ac:dyDescent="0.3">
      <c r="A832" s="4">
        <v>943</v>
      </c>
      <c r="B832" s="5">
        <v>825</v>
      </c>
      <c r="C832">
        <v>10381</v>
      </c>
      <c r="D832" t="s">
        <v>737</v>
      </c>
      <c r="E832" t="s">
        <v>276</v>
      </c>
      <c r="F832" t="s">
        <v>20</v>
      </c>
      <c r="G832" t="s">
        <v>19831</v>
      </c>
      <c r="H832">
        <v>18.649999999999999</v>
      </c>
      <c r="I832">
        <v>0</v>
      </c>
      <c r="J832">
        <v>0</v>
      </c>
      <c r="K832">
        <v>0</v>
      </c>
      <c r="N832">
        <v>3</v>
      </c>
      <c r="O832">
        <v>3</v>
      </c>
      <c r="P832">
        <v>4</v>
      </c>
      <c r="Q832">
        <v>2</v>
      </c>
      <c r="R832">
        <v>27.65</v>
      </c>
      <c r="S832">
        <v>18</v>
      </c>
      <c r="T832">
        <v>18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18</v>
      </c>
      <c r="AB832">
        <v>6</v>
      </c>
      <c r="AC832">
        <v>0</v>
      </c>
      <c r="AF832" t="s">
        <v>130</v>
      </c>
      <c r="AH832">
        <v>51.65</v>
      </c>
    </row>
    <row r="833" spans="1:34" x14ac:dyDescent="0.3">
      <c r="A833" s="4">
        <v>945</v>
      </c>
      <c r="B833" s="5">
        <v>826</v>
      </c>
      <c r="C833">
        <v>12478</v>
      </c>
      <c r="D833" t="s">
        <v>19832</v>
      </c>
      <c r="E833" t="s">
        <v>19833</v>
      </c>
      <c r="F833" t="s">
        <v>5171</v>
      </c>
      <c r="G833" t="s">
        <v>19834</v>
      </c>
      <c r="H833">
        <v>20.55</v>
      </c>
      <c r="I833">
        <v>0</v>
      </c>
      <c r="J833">
        <v>0</v>
      </c>
      <c r="K833">
        <v>20</v>
      </c>
      <c r="L833">
        <v>7</v>
      </c>
      <c r="O833">
        <v>7</v>
      </c>
      <c r="P833">
        <v>4</v>
      </c>
      <c r="Q833">
        <v>0</v>
      </c>
      <c r="R833">
        <v>51.55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F833" t="s">
        <v>130</v>
      </c>
      <c r="AH833">
        <v>51.55</v>
      </c>
    </row>
    <row r="834" spans="1:34" x14ac:dyDescent="0.3">
      <c r="A834" s="4">
        <v>946</v>
      </c>
      <c r="B834" s="5">
        <v>827</v>
      </c>
      <c r="C834">
        <v>10441</v>
      </c>
      <c r="D834" t="s">
        <v>19835</v>
      </c>
      <c r="E834" t="s">
        <v>37</v>
      </c>
      <c r="F834" t="s">
        <v>193</v>
      </c>
      <c r="G834" t="s">
        <v>19836</v>
      </c>
      <c r="H834">
        <v>18.5</v>
      </c>
      <c r="I834">
        <v>0</v>
      </c>
      <c r="J834">
        <v>0</v>
      </c>
      <c r="K834">
        <v>20</v>
      </c>
      <c r="N834">
        <v>3</v>
      </c>
      <c r="O834">
        <v>3</v>
      </c>
      <c r="P834">
        <v>4</v>
      </c>
      <c r="Q834">
        <v>0</v>
      </c>
      <c r="R834">
        <v>45.5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6</v>
      </c>
      <c r="AC834">
        <v>0</v>
      </c>
      <c r="AF834" t="s">
        <v>130</v>
      </c>
      <c r="AH834">
        <v>51.5</v>
      </c>
    </row>
    <row r="835" spans="1:34" x14ac:dyDescent="0.3">
      <c r="A835" s="4">
        <v>947</v>
      </c>
      <c r="B835" s="5">
        <v>828</v>
      </c>
      <c r="C835">
        <v>1124</v>
      </c>
      <c r="D835" t="s">
        <v>2416</v>
      </c>
      <c r="E835" t="s">
        <v>41</v>
      </c>
      <c r="F835" t="s">
        <v>81</v>
      </c>
      <c r="G835" t="s">
        <v>19837</v>
      </c>
      <c r="H835">
        <v>19.45</v>
      </c>
      <c r="I835">
        <v>0</v>
      </c>
      <c r="J835">
        <v>0</v>
      </c>
      <c r="K835">
        <v>20</v>
      </c>
      <c r="M835">
        <v>5</v>
      </c>
      <c r="O835">
        <v>5</v>
      </c>
      <c r="P835">
        <v>4</v>
      </c>
      <c r="Q835">
        <v>0</v>
      </c>
      <c r="R835">
        <v>48.45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3</v>
      </c>
      <c r="AC835">
        <v>0</v>
      </c>
      <c r="AF835" t="s">
        <v>130</v>
      </c>
      <c r="AH835">
        <v>51.45</v>
      </c>
    </row>
    <row r="836" spans="1:34" x14ac:dyDescent="0.3">
      <c r="A836" s="4">
        <v>948</v>
      </c>
      <c r="B836" s="5">
        <v>829</v>
      </c>
      <c r="C836">
        <v>9867</v>
      </c>
      <c r="D836" t="s">
        <v>2447</v>
      </c>
      <c r="E836" t="s">
        <v>88</v>
      </c>
      <c r="F836" t="s">
        <v>68</v>
      </c>
      <c r="G836" t="s">
        <v>19838</v>
      </c>
      <c r="H836">
        <v>19.43</v>
      </c>
      <c r="I836">
        <v>0</v>
      </c>
      <c r="J836">
        <v>0</v>
      </c>
      <c r="K836">
        <v>0</v>
      </c>
      <c r="N836">
        <v>3</v>
      </c>
      <c r="O836">
        <v>3</v>
      </c>
      <c r="P836">
        <v>4</v>
      </c>
      <c r="Q836">
        <v>2</v>
      </c>
      <c r="R836">
        <v>28.43</v>
      </c>
      <c r="S836">
        <v>23</v>
      </c>
      <c r="T836">
        <v>23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23</v>
      </c>
      <c r="AB836">
        <v>0</v>
      </c>
      <c r="AC836">
        <v>0</v>
      </c>
      <c r="AF836" t="s">
        <v>130</v>
      </c>
      <c r="AH836">
        <v>51.43</v>
      </c>
    </row>
    <row r="837" spans="1:34" x14ac:dyDescent="0.3">
      <c r="A837" s="4">
        <v>949</v>
      </c>
      <c r="B837" s="5">
        <v>830</v>
      </c>
      <c r="C837">
        <v>14764</v>
      </c>
      <c r="D837" t="s">
        <v>19839</v>
      </c>
      <c r="E837" t="s">
        <v>29</v>
      </c>
      <c r="F837" t="s">
        <v>68</v>
      </c>
      <c r="G837" t="s">
        <v>19840</v>
      </c>
      <c r="H837">
        <v>20.399999999999999</v>
      </c>
      <c r="I837">
        <v>0</v>
      </c>
      <c r="J837">
        <v>0</v>
      </c>
      <c r="K837">
        <v>0</v>
      </c>
      <c r="O837">
        <v>0</v>
      </c>
      <c r="P837">
        <v>4</v>
      </c>
      <c r="Q837">
        <v>0</v>
      </c>
      <c r="R837">
        <v>24.4</v>
      </c>
      <c r="S837">
        <v>18</v>
      </c>
      <c r="T837">
        <v>18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18</v>
      </c>
      <c r="AB837">
        <v>9</v>
      </c>
      <c r="AC837">
        <v>0</v>
      </c>
      <c r="AF837" t="s">
        <v>130</v>
      </c>
      <c r="AH837">
        <v>51.4</v>
      </c>
    </row>
    <row r="838" spans="1:34" x14ac:dyDescent="0.3">
      <c r="A838" s="4">
        <v>950</v>
      </c>
      <c r="B838" s="5">
        <v>831</v>
      </c>
      <c r="C838">
        <v>9619</v>
      </c>
      <c r="D838" t="s">
        <v>19841</v>
      </c>
      <c r="E838" t="s">
        <v>283</v>
      </c>
      <c r="F838" t="s">
        <v>38</v>
      </c>
      <c r="G838" t="s">
        <v>19842</v>
      </c>
      <c r="H838">
        <v>18.399999999999999</v>
      </c>
      <c r="I838">
        <v>0</v>
      </c>
      <c r="J838">
        <v>0</v>
      </c>
      <c r="K838">
        <v>0</v>
      </c>
      <c r="N838">
        <v>3</v>
      </c>
      <c r="O838">
        <v>3</v>
      </c>
      <c r="P838">
        <v>4</v>
      </c>
      <c r="Q838">
        <v>2</v>
      </c>
      <c r="R838">
        <v>27.4</v>
      </c>
      <c r="S838">
        <v>18</v>
      </c>
      <c r="T838">
        <v>18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18</v>
      </c>
      <c r="AB838">
        <v>6</v>
      </c>
      <c r="AC838">
        <v>0</v>
      </c>
      <c r="AD838" t="s">
        <v>130</v>
      </c>
      <c r="AF838" t="s">
        <v>130</v>
      </c>
      <c r="AH838">
        <v>51.4</v>
      </c>
    </row>
    <row r="839" spans="1:34" x14ac:dyDescent="0.3">
      <c r="A839" s="4">
        <v>951</v>
      </c>
      <c r="B839" s="5">
        <v>832</v>
      </c>
      <c r="C839">
        <v>5661</v>
      </c>
      <c r="D839" t="s">
        <v>19843</v>
      </c>
      <c r="E839" t="s">
        <v>243</v>
      </c>
      <c r="F839" t="s">
        <v>190</v>
      </c>
      <c r="G839" t="s">
        <v>19844</v>
      </c>
      <c r="H839">
        <v>20.399999999999999</v>
      </c>
      <c r="I839">
        <v>0</v>
      </c>
      <c r="J839">
        <v>0</v>
      </c>
      <c r="K839">
        <v>20</v>
      </c>
      <c r="L839">
        <v>7</v>
      </c>
      <c r="O839">
        <v>7</v>
      </c>
      <c r="P839">
        <v>4</v>
      </c>
      <c r="Q839">
        <v>0</v>
      </c>
      <c r="R839">
        <v>51.4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F839" t="s">
        <v>130</v>
      </c>
      <c r="AH839">
        <v>51.4</v>
      </c>
    </row>
    <row r="840" spans="1:34" x14ac:dyDescent="0.3">
      <c r="A840" s="4">
        <v>952</v>
      </c>
      <c r="B840" s="5">
        <v>833</v>
      </c>
      <c r="C840">
        <v>3958</v>
      </c>
      <c r="D840" t="s">
        <v>1425</v>
      </c>
      <c r="E840" t="s">
        <v>283</v>
      </c>
      <c r="F840" t="s">
        <v>55</v>
      </c>
      <c r="G840" t="s">
        <v>19845</v>
      </c>
      <c r="H840">
        <v>19.350000000000001</v>
      </c>
      <c r="I840">
        <v>0</v>
      </c>
      <c r="J840">
        <v>0</v>
      </c>
      <c r="K840">
        <v>0</v>
      </c>
      <c r="N840">
        <v>3</v>
      </c>
      <c r="O840">
        <v>3</v>
      </c>
      <c r="P840">
        <v>4</v>
      </c>
      <c r="Q840">
        <v>2</v>
      </c>
      <c r="R840">
        <v>28.35</v>
      </c>
      <c r="S840">
        <v>23</v>
      </c>
      <c r="T840">
        <v>23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23</v>
      </c>
      <c r="AB840">
        <v>0</v>
      </c>
      <c r="AC840">
        <v>0</v>
      </c>
      <c r="AD840" t="s">
        <v>130</v>
      </c>
      <c r="AF840" t="s">
        <v>130</v>
      </c>
      <c r="AH840">
        <v>51.35</v>
      </c>
    </row>
    <row r="841" spans="1:34" x14ac:dyDescent="0.3">
      <c r="A841" s="4">
        <v>953</v>
      </c>
      <c r="B841" s="5">
        <v>834</v>
      </c>
      <c r="C841">
        <v>1396</v>
      </c>
      <c r="D841" t="s">
        <v>4677</v>
      </c>
      <c r="E841" t="s">
        <v>258</v>
      </c>
      <c r="F841" t="s">
        <v>346</v>
      </c>
      <c r="G841" t="s">
        <v>19846</v>
      </c>
      <c r="H841">
        <v>17.329999999999998</v>
      </c>
      <c r="I841">
        <v>0</v>
      </c>
      <c r="J841">
        <v>0</v>
      </c>
      <c r="K841">
        <v>20</v>
      </c>
      <c r="L841">
        <v>7</v>
      </c>
      <c r="O841">
        <v>7</v>
      </c>
      <c r="P841">
        <v>4</v>
      </c>
      <c r="Q841">
        <v>0</v>
      </c>
      <c r="R841">
        <v>48.33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3</v>
      </c>
      <c r="AC841">
        <v>0</v>
      </c>
      <c r="AD841" t="s">
        <v>130</v>
      </c>
      <c r="AF841" t="s">
        <v>130</v>
      </c>
      <c r="AH841">
        <v>51.33</v>
      </c>
    </row>
    <row r="842" spans="1:34" x14ac:dyDescent="0.3">
      <c r="A842" s="4">
        <v>954</v>
      </c>
      <c r="B842" s="5">
        <v>835</v>
      </c>
      <c r="C842">
        <v>14135</v>
      </c>
      <c r="D842" t="s">
        <v>5170</v>
      </c>
      <c r="E842" t="s">
        <v>33</v>
      </c>
      <c r="F842" t="s">
        <v>328</v>
      </c>
      <c r="G842" t="s">
        <v>19847</v>
      </c>
      <c r="H842">
        <v>16.25</v>
      </c>
      <c r="I842">
        <v>0</v>
      </c>
      <c r="J842">
        <v>0</v>
      </c>
      <c r="K842">
        <v>20</v>
      </c>
      <c r="N842">
        <v>3</v>
      </c>
      <c r="O842">
        <v>3</v>
      </c>
      <c r="P842">
        <v>4</v>
      </c>
      <c r="Q842">
        <v>2</v>
      </c>
      <c r="R842">
        <v>45.25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6</v>
      </c>
      <c r="AC842">
        <v>0</v>
      </c>
      <c r="AF842" t="s">
        <v>130</v>
      </c>
      <c r="AH842">
        <v>51.25</v>
      </c>
    </row>
    <row r="843" spans="1:34" x14ac:dyDescent="0.3">
      <c r="A843" s="4">
        <v>955</v>
      </c>
      <c r="B843" s="5">
        <v>836</v>
      </c>
      <c r="C843">
        <v>15252</v>
      </c>
      <c r="D843" t="s">
        <v>19848</v>
      </c>
      <c r="E843" t="s">
        <v>178</v>
      </c>
      <c r="F843" t="s">
        <v>20</v>
      </c>
      <c r="G843" t="s">
        <v>19849</v>
      </c>
      <c r="H843">
        <v>18.25</v>
      </c>
      <c r="I843">
        <v>0</v>
      </c>
      <c r="J843">
        <v>0</v>
      </c>
      <c r="K843">
        <v>0</v>
      </c>
      <c r="N843">
        <v>3</v>
      </c>
      <c r="O843">
        <v>3</v>
      </c>
      <c r="P843">
        <v>4</v>
      </c>
      <c r="Q843">
        <v>2</v>
      </c>
      <c r="R843">
        <v>27.25</v>
      </c>
      <c r="S843">
        <v>18</v>
      </c>
      <c r="T843">
        <v>18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18</v>
      </c>
      <c r="AB843">
        <v>6</v>
      </c>
      <c r="AC843">
        <v>0</v>
      </c>
      <c r="AD843" t="s">
        <v>130</v>
      </c>
      <c r="AF843" t="s">
        <v>130</v>
      </c>
      <c r="AH843">
        <v>51.25</v>
      </c>
    </row>
    <row r="844" spans="1:34" x14ac:dyDescent="0.3">
      <c r="A844" s="4">
        <v>956</v>
      </c>
      <c r="B844" s="5">
        <v>837</v>
      </c>
      <c r="C844">
        <v>4083</v>
      </c>
      <c r="D844" t="s">
        <v>19850</v>
      </c>
      <c r="E844" t="s">
        <v>208</v>
      </c>
      <c r="F844" t="s">
        <v>91</v>
      </c>
      <c r="G844" t="s">
        <v>19851</v>
      </c>
      <c r="H844">
        <v>18.2</v>
      </c>
      <c r="I844">
        <v>0</v>
      </c>
      <c r="J844">
        <v>0</v>
      </c>
      <c r="K844">
        <v>20</v>
      </c>
      <c r="L844">
        <v>7</v>
      </c>
      <c r="O844">
        <v>7</v>
      </c>
      <c r="P844">
        <v>4</v>
      </c>
      <c r="Q844">
        <v>2</v>
      </c>
      <c r="R844">
        <v>51.2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 t="s">
        <v>130</v>
      </c>
      <c r="AF844" t="s">
        <v>130</v>
      </c>
      <c r="AH844">
        <v>51.2</v>
      </c>
    </row>
    <row r="845" spans="1:34" x14ac:dyDescent="0.3">
      <c r="A845" s="4">
        <v>957</v>
      </c>
      <c r="B845" s="5">
        <v>838</v>
      </c>
      <c r="C845">
        <v>551</v>
      </c>
      <c r="D845" t="s">
        <v>19852</v>
      </c>
      <c r="E845" t="s">
        <v>2843</v>
      </c>
      <c r="F845" t="s">
        <v>38</v>
      </c>
      <c r="G845" t="s">
        <v>19853</v>
      </c>
      <c r="H845">
        <v>18.149999999999999</v>
      </c>
      <c r="I845">
        <v>0</v>
      </c>
      <c r="J845">
        <v>0</v>
      </c>
      <c r="K845">
        <v>0</v>
      </c>
      <c r="N845">
        <v>3</v>
      </c>
      <c r="O845">
        <v>3</v>
      </c>
      <c r="P845">
        <v>4</v>
      </c>
      <c r="Q845">
        <v>2</v>
      </c>
      <c r="R845">
        <v>27.15</v>
      </c>
      <c r="S845">
        <v>18</v>
      </c>
      <c r="T845">
        <v>18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18</v>
      </c>
      <c r="AB845">
        <v>6</v>
      </c>
      <c r="AC845">
        <v>0</v>
      </c>
      <c r="AF845" t="s">
        <v>130</v>
      </c>
      <c r="AH845">
        <v>51.15</v>
      </c>
    </row>
    <row r="846" spans="1:34" x14ac:dyDescent="0.3">
      <c r="A846" s="4">
        <v>958</v>
      </c>
      <c r="B846" s="5">
        <v>839</v>
      </c>
      <c r="C846">
        <v>14345</v>
      </c>
      <c r="D846" t="s">
        <v>19854</v>
      </c>
      <c r="E846" t="s">
        <v>19855</v>
      </c>
      <c r="F846" t="s">
        <v>34</v>
      </c>
      <c r="G846">
        <v>946792</v>
      </c>
      <c r="H846">
        <v>17.13</v>
      </c>
      <c r="I846">
        <v>0</v>
      </c>
      <c r="J846">
        <v>0</v>
      </c>
      <c r="K846">
        <v>20</v>
      </c>
      <c r="L846">
        <v>7</v>
      </c>
      <c r="O846">
        <v>7</v>
      </c>
      <c r="P846">
        <v>4</v>
      </c>
      <c r="Q846">
        <v>0</v>
      </c>
      <c r="R846">
        <v>48.13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3</v>
      </c>
      <c r="AC846">
        <v>0</v>
      </c>
      <c r="AF846" t="s">
        <v>130</v>
      </c>
      <c r="AH846">
        <v>51.13</v>
      </c>
    </row>
    <row r="847" spans="1:34" x14ac:dyDescent="0.3">
      <c r="A847" s="4">
        <v>959</v>
      </c>
      <c r="B847" s="5">
        <v>840</v>
      </c>
      <c r="C847">
        <v>1315</v>
      </c>
      <c r="D847" t="s">
        <v>19856</v>
      </c>
      <c r="E847" t="s">
        <v>166</v>
      </c>
      <c r="F847" t="s">
        <v>20</v>
      </c>
      <c r="G847" t="s">
        <v>19857</v>
      </c>
      <c r="H847">
        <v>17.100000000000001</v>
      </c>
      <c r="I847">
        <v>0</v>
      </c>
      <c r="J847">
        <v>0</v>
      </c>
      <c r="K847">
        <v>0</v>
      </c>
      <c r="N847">
        <v>3</v>
      </c>
      <c r="O847">
        <v>3</v>
      </c>
      <c r="P847">
        <v>4</v>
      </c>
      <c r="Q847">
        <v>2</v>
      </c>
      <c r="R847">
        <v>26.1</v>
      </c>
      <c r="S847">
        <v>19</v>
      </c>
      <c r="T847">
        <v>19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19</v>
      </c>
      <c r="AB847">
        <v>6</v>
      </c>
      <c r="AC847">
        <v>0</v>
      </c>
      <c r="AF847" t="s">
        <v>130</v>
      </c>
      <c r="AH847">
        <v>51.1</v>
      </c>
    </row>
    <row r="848" spans="1:34" x14ac:dyDescent="0.3">
      <c r="A848" s="4">
        <v>960</v>
      </c>
      <c r="B848" s="5">
        <v>841</v>
      </c>
      <c r="C848">
        <v>3073</v>
      </c>
      <c r="D848" t="s">
        <v>3181</v>
      </c>
      <c r="E848" t="s">
        <v>816</v>
      </c>
      <c r="F848" t="s">
        <v>20</v>
      </c>
      <c r="G848" t="s">
        <v>19858</v>
      </c>
      <c r="H848">
        <v>19.100000000000001</v>
      </c>
      <c r="I848">
        <v>0</v>
      </c>
      <c r="J848">
        <v>0</v>
      </c>
      <c r="K848">
        <v>20</v>
      </c>
      <c r="N848">
        <v>3</v>
      </c>
      <c r="O848">
        <v>3</v>
      </c>
      <c r="P848">
        <v>4</v>
      </c>
      <c r="Q848">
        <v>2</v>
      </c>
      <c r="R848">
        <v>48.1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3</v>
      </c>
      <c r="AC848">
        <v>0</v>
      </c>
      <c r="AF848" t="s">
        <v>130</v>
      </c>
      <c r="AH848">
        <v>51.1</v>
      </c>
    </row>
    <row r="849" spans="1:34" x14ac:dyDescent="0.3">
      <c r="A849" s="4">
        <v>961</v>
      </c>
      <c r="B849" s="5">
        <v>842</v>
      </c>
      <c r="C849">
        <v>2225</v>
      </c>
      <c r="D849" t="s">
        <v>10881</v>
      </c>
      <c r="E849" t="s">
        <v>268</v>
      </c>
      <c r="F849" t="s">
        <v>892</v>
      </c>
      <c r="G849" t="s">
        <v>19859</v>
      </c>
      <c r="H849">
        <v>21.03</v>
      </c>
      <c r="I849">
        <v>0</v>
      </c>
      <c r="J849">
        <v>0</v>
      </c>
      <c r="K849">
        <v>0</v>
      </c>
      <c r="N849">
        <v>6</v>
      </c>
      <c r="O849">
        <v>6</v>
      </c>
      <c r="P849">
        <v>4</v>
      </c>
      <c r="Q849">
        <v>2</v>
      </c>
      <c r="R849">
        <v>33.03</v>
      </c>
      <c r="S849">
        <v>18</v>
      </c>
      <c r="T849">
        <v>18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18</v>
      </c>
      <c r="AB849">
        <v>0</v>
      </c>
      <c r="AC849">
        <v>0</v>
      </c>
      <c r="AF849" t="s">
        <v>130</v>
      </c>
      <c r="AH849">
        <v>51.03</v>
      </c>
    </row>
    <row r="850" spans="1:34" x14ac:dyDescent="0.3">
      <c r="A850" s="4">
        <v>962</v>
      </c>
      <c r="B850" s="5">
        <v>843</v>
      </c>
      <c r="C850">
        <v>780</v>
      </c>
      <c r="D850" t="s">
        <v>860</v>
      </c>
      <c r="E850" t="s">
        <v>29</v>
      </c>
      <c r="F850" t="s">
        <v>10805</v>
      </c>
      <c r="G850" t="s">
        <v>19860</v>
      </c>
      <c r="H850">
        <v>19</v>
      </c>
      <c r="I850">
        <v>0</v>
      </c>
      <c r="J850">
        <v>0</v>
      </c>
      <c r="K850">
        <v>20</v>
      </c>
      <c r="N850">
        <v>3</v>
      </c>
      <c r="O850">
        <v>3</v>
      </c>
      <c r="P850">
        <v>4</v>
      </c>
      <c r="Q850">
        <v>2</v>
      </c>
      <c r="R850">
        <v>48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3</v>
      </c>
      <c r="AC850">
        <v>0</v>
      </c>
      <c r="AF850" t="s">
        <v>130</v>
      </c>
      <c r="AH850">
        <v>51</v>
      </c>
    </row>
    <row r="851" spans="1:34" x14ac:dyDescent="0.3">
      <c r="A851" s="4">
        <v>963</v>
      </c>
      <c r="B851" s="5">
        <v>844</v>
      </c>
      <c r="C851">
        <v>7652</v>
      </c>
      <c r="D851" t="s">
        <v>19861</v>
      </c>
      <c r="E851" t="s">
        <v>19862</v>
      </c>
      <c r="F851" t="s">
        <v>626</v>
      </c>
      <c r="G851" t="s">
        <v>19863</v>
      </c>
      <c r="H851">
        <v>20.95</v>
      </c>
      <c r="I851">
        <v>0</v>
      </c>
      <c r="J851">
        <v>0</v>
      </c>
      <c r="K851">
        <v>20</v>
      </c>
      <c r="N851">
        <v>3</v>
      </c>
      <c r="O851">
        <v>3</v>
      </c>
      <c r="P851">
        <v>4</v>
      </c>
      <c r="Q851">
        <v>0</v>
      </c>
      <c r="R851">
        <v>47.95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3</v>
      </c>
      <c r="AC851">
        <v>0</v>
      </c>
      <c r="AF851" t="s">
        <v>130</v>
      </c>
      <c r="AH851">
        <v>50.95</v>
      </c>
    </row>
    <row r="852" spans="1:34" x14ac:dyDescent="0.3">
      <c r="A852" s="4">
        <v>964</v>
      </c>
      <c r="B852" s="5">
        <v>845</v>
      </c>
      <c r="C852">
        <v>139</v>
      </c>
      <c r="D852" t="s">
        <v>2985</v>
      </c>
      <c r="E852" t="s">
        <v>170</v>
      </c>
      <c r="F852" t="s">
        <v>30</v>
      </c>
      <c r="G852" t="s">
        <v>2986</v>
      </c>
      <c r="H852">
        <v>19.95</v>
      </c>
      <c r="I852">
        <v>0</v>
      </c>
      <c r="J852">
        <v>0</v>
      </c>
      <c r="K852">
        <v>20</v>
      </c>
      <c r="M852">
        <v>5</v>
      </c>
      <c r="O852">
        <v>5</v>
      </c>
      <c r="P852">
        <v>4</v>
      </c>
      <c r="Q852">
        <v>2</v>
      </c>
      <c r="R852">
        <v>50.95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 t="s">
        <v>130</v>
      </c>
      <c r="AF852" t="s">
        <v>130</v>
      </c>
      <c r="AH852">
        <v>50.95</v>
      </c>
    </row>
    <row r="853" spans="1:34" x14ac:dyDescent="0.3">
      <c r="A853" s="4">
        <v>965</v>
      </c>
      <c r="B853" s="5">
        <v>846</v>
      </c>
      <c r="C853">
        <v>9565</v>
      </c>
      <c r="D853" t="s">
        <v>5879</v>
      </c>
      <c r="E853" t="s">
        <v>51</v>
      </c>
      <c r="F853" t="s">
        <v>30</v>
      </c>
      <c r="G853" t="s">
        <v>19864</v>
      </c>
      <c r="H853">
        <v>20.93</v>
      </c>
      <c r="I853">
        <v>0</v>
      </c>
      <c r="J853">
        <v>0</v>
      </c>
      <c r="K853">
        <v>0</v>
      </c>
      <c r="N853">
        <v>3</v>
      </c>
      <c r="O853">
        <v>3</v>
      </c>
      <c r="P853">
        <v>4</v>
      </c>
      <c r="Q853">
        <v>2</v>
      </c>
      <c r="R853">
        <v>29.93</v>
      </c>
      <c r="S853">
        <v>18</v>
      </c>
      <c r="T853">
        <v>18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18</v>
      </c>
      <c r="AB853">
        <v>3</v>
      </c>
      <c r="AC853">
        <v>0</v>
      </c>
      <c r="AF853" t="s">
        <v>130</v>
      </c>
      <c r="AH853">
        <v>50.93</v>
      </c>
    </row>
    <row r="854" spans="1:34" x14ac:dyDescent="0.3">
      <c r="A854" s="4">
        <v>966</v>
      </c>
      <c r="B854" s="5">
        <v>847</v>
      </c>
      <c r="C854">
        <v>14921</v>
      </c>
      <c r="D854" t="s">
        <v>19865</v>
      </c>
      <c r="E854" t="s">
        <v>110</v>
      </c>
      <c r="F854" t="s">
        <v>20</v>
      </c>
      <c r="G854" t="s">
        <v>19866</v>
      </c>
      <c r="H854">
        <v>19.93</v>
      </c>
      <c r="I854">
        <v>0</v>
      </c>
      <c r="J854">
        <v>0</v>
      </c>
      <c r="K854">
        <v>20</v>
      </c>
      <c r="M854">
        <v>5</v>
      </c>
      <c r="O854">
        <v>5</v>
      </c>
      <c r="P854">
        <v>4</v>
      </c>
      <c r="Q854">
        <v>2</v>
      </c>
      <c r="R854">
        <v>50.93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F854" t="s">
        <v>130</v>
      </c>
      <c r="AH854">
        <v>50.93</v>
      </c>
    </row>
    <row r="855" spans="1:34" x14ac:dyDescent="0.3">
      <c r="A855" s="4">
        <v>967</v>
      </c>
      <c r="B855" s="5">
        <v>848</v>
      </c>
      <c r="C855">
        <v>11441</v>
      </c>
      <c r="D855" t="s">
        <v>19867</v>
      </c>
      <c r="E855" t="s">
        <v>3094</v>
      </c>
      <c r="F855" t="s">
        <v>68</v>
      </c>
      <c r="G855" t="s">
        <v>19868</v>
      </c>
      <c r="H855">
        <v>18.899999999999999</v>
      </c>
      <c r="I855">
        <v>0</v>
      </c>
      <c r="J855">
        <v>0</v>
      </c>
      <c r="K855">
        <v>20</v>
      </c>
      <c r="N855">
        <v>6</v>
      </c>
      <c r="O855">
        <v>6</v>
      </c>
      <c r="P855">
        <v>4</v>
      </c>
      <c r="Q855">
        <v>0</v>
      </c>
      <c r="R855">
        <v>48.9</v>
      </c>
      <c r="S855">
        <v>2</v>
      </c>
      <c r="T855">
        <v>2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2</v>
      </c>
      <c r="AB855">
        <v>0</v>
      </c>
      <c r="AC855">
        <v>0</v>
      </c>
      <c r="AF855" t="s">
        <v>130</v>
      </c>
      <c r="AH855">
        <v>50.9</v>
      </c>
    </row>
    <row r="856" spans="1:34" x14ac:dyDescent="0.3">
      <c r="A856" s="4">
        <v>968</v>
      </c>
      <c r="B856" s="5">
        <v>849</v>
      </c>
      <c r="C856">
        <v>1056</v>
      </c>
      <c r="D856" t="s">
        <v>7020</v>
      </c>
      <c r="E856" t="s">
        <v>132</v>
      </c>
      <c r="F856" t="s">
        <v>158</v>
      </c>
      <c r="G856" t="s">
        <v>19869</v>
      </c>
      <c r="H856">
        <v>17.850000000000001</v>
      </c>
      <c r="I856">
        <v>0</v>
      </c>
      <c r="J856">
        <v>0</v>
      </c>
      <c r="K856">
        <v>20</v>
      </c>
      <c r="N856">
        <v>3</v>
      </c>
      <c r="O856">
        <v>3</v>
      </c>
      <c r="P856">
        <v>4</v>
      </c>
      <c r="Q856">
        <v>0</v>
      </c>
      <c r="R856">
        <v>44.85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6</v>
      </c>
      <c r="AC856">
        <v>0</v>
      </c>
      <c r="AF856" t="s">
        <v>130</v>
      </c>
      <c r="AH856">
        <v>50.85</v>
      </c>
    </row>
    <row r="857" spans="1:34" x14ac:dyDescent="0.3">
      <c r="A857" s="4">
        <v>969</v>
      </c>
      <c r="B857" s="5">
        <v>850</v>
      </c>
      <c r="C857">
        <v>1012</v>
      </c>
      <c r="D857" t="s">
        <v>19870</v>
      </c>
      <c r="E857" t="s">
        <v>100</v>
      </c>
      <c r="F857" t="s">
        <v>30</v>
      </c>
      <c r="G857" t="s">
        <v>19871</v>
      </c>
      <c r="H857">
        <v>16.829999999999998</v>
      </c>
      <c r="I857">
        <v>0</v>
      </c>
      <c r="J857">
        <v>0</v>
      </c>
      <c r="K857">
        <v>0</v>
      </c>
      <c r="N857">
        <v>3</v>
      </c>
      <c r="O857">
        <v>3</v>
      </c>
      <c r="P857">
        <v>4</v>
      </c>
      <c r="Q857">
        <v>2</v>
      </c>
      <c r="R857">
        <v>25.83</v>
      </c>
      <c r="S857">
        <v>22</v>
      </c>
      <c r="T857">
        <v>22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22</v>
      </c>
      <c r="AB857">
        <v>3</v>
      </c>
      <c r="AC857">
        <v>0</v>
      </c>
      <c r="AF857" t="s">
        <v>130</v>
      </c>
      <c r="AH857">
        <v>50.83</v>
      </c>
    </row>
    <row r="858" spans="1:34" x14ac:dyDescent="0.3">
      <c r="A858" s="4">
        <v>970</v>
      </c>
      <c r="B858" s="5">
        <v>851</v>
      </c>
      <c r="C858">
        <v>1482</v>
      </c>
      <c r="D858" t="s">
        <v>19872</v>
      </c>
      <c r="E858" t="s">
        <v>972</v>
      </c>
      <c r="F858" t="s">
        <v>1450</v>
      </c>
      <c r="G858">
        <v>710618</v>
      </c>
      <c r="H858">
        <v>17.829999999999998</v>
      </c>
      <c r="I858">
        <v>0</v>
      </c>
      <c r="J858">
        <v>0</v>
      </c>
      <c r="K858">
        <v>20</v>
      </c>
      <c r="L858">
        <v>7</v>
      </c>
      <c r="O858">
        <v>7</v>
      </c>
      <c r="P858">
        <v>4</v>
      </c>
      <c r="Q858">
        <v>2</v>
      </c>
      <c r="R858">
        <v>50.83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F858" t="s">
        <v>130</v>
      </c>
      <c r="AH858">
        <v>50.83</v>
      </c>
    </row>
    <row r="859" spans="1:34" x14ac:dyDescent="0.3">
      <c r="A859" s="4">
        <v>971</v>
      </c>
      <c r="B859" s="5">
        <v>852</v>
      </c>
      <c r="C859">
        <v>7866</v>
      </c>
      <c r="D859" t="s">
        <v>19873</v>
      </c>
      <c r="E859" t="s">
        <v>29</v>
      </c>
      <c r="F859" t="s">
        <v>30</v>
      </c>
      <c r="G859" t="s">
        <v>19874</v>
      </c>
      <c r="H859">
        <v>21.78</v>
      </c>
      <c r="I859">
        <v>7</v>
      </c>
      <c r="J859">
        <v>0</v>
      </c>
      <c r="K859">
        <v>0</v>
      </c>
      <c r="L859">
        <v>7</v>
      </c>
      <c r="O859">
        <v>7</v>
      </c>
      <c r="P859">
        <v>4</v>
      </c>
      <c r="Q859">
        <v>2</v>
      </c>
      <c r="R859">
        <v>41.78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9</v>
      </c>
      <c r="AC859">
        <v>0</v>
      </c>
      <c r="AF859" t="s">
        <v>130</v>
      </c>
      <c r="AH859">
        <v>50.78</v>
      </c>
    </row>
    <row r="860" spans="1:34" x14ac:dyDescent="0.3">
      <c r="A860" s="4">
        <v>972</v>
      </c>
      <c r="B860" s="5">
        <v>853</v>
      </c>
      <c r="C860">
        <v>9555</v>
      </c>
      <c r="D860" t="s">
        <v>3454</v>
      </c>
      <c r="E860" t="s">
        <v>132</v>
      </c>
      <c r="F860" t="s">
        <v>442</v>
      </c>
      <c r="G860" t="s">
        <v>19875</v>
      </c>
      <c r="H860">
        <v>20.78</v>
      </c>
      <c r="I860">
        <v>0</v>
      </c>
      <c r="J860">
        <v>0</v>
      </c>
      <c r="K860">
        <v>0</v>
      </c>
      <c r="N860">
        <v>3</v>
      </c>
      <c r="O860">
        <v>3</v>
      </c>
      <c r="P860">
        <v>4</v>
      </c>
      <c r="Q860">
        <v>2</v>
      </c>
      <c r="R860">
        <v>29.78</v>
      </c>
      <c r="S860">
        <v>18</v>
      </c>
      <c r="T860">
        <v>18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18</v>
      </c>
      <c r="AB860">
        <v>3</v>
      </c>
      <c r="AC860">
        <v>0</v>
      </c>
      <c r="AD860" t="s">
        <v>130</v>
      </c>
      <c r="AF860" t="s">
        <v>130</v>
      </c>
      <c r="AH860">
        <v>50.78</v>
      </c>
    </row>
    <row r="861" spans="1:34" x14ac:dyDescent="0.3">
      <c r="A861" s="4">
        <v>973</v>
      </c>
      <c r="B861" s="5">
        <v>854</v>
      </c>
      <c r="C861">
        <v>7500</v>
      </c>
      <c r="D861" t="s">
        <v>1950</v>
      </c>
      <c r="E861" t="s">
        <v>9158</v>
      </c>
      <c r="F861" t="s">
        <v>117</v>
      </c>
      <c r="G861" t="s">
        <v>19876</v>
      </c>
      <c r="H861">
        <v>19.75</v>
      </c>
      <c r="I861">
        <v>0</v>
      </c>
      <c r="J861">
        <v>0</v>
      </c>
      <c r="K861">
        <v>20</v>
      </c>
      <c r="L861">
        <v>7</v>
      </c>
      <c r="O861">
        <v>7</v>
      </c>
      <c r="P861">
        <v>4</v>
      </c>
      <c r="Q861">
        <v>0</v>
      </c>
      <c r="R861">
        <v>50.75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F861" t="s">
        <v>130</v>
      </c>
      <c r="AH861">
        <v>50.75</v>
      </c>
    </row>
    <row r="862" spans="1:34" x14ac:dyDescent="0.3">
      <c r="A862" s="4">
        <v>974</v>
      </c>
      <c r="B862" s="5">
        <v>855</v>
      </c>
      <c r="C862">
        <v>8956</v>
      </c>
      <c r="D862" t="s">
        <v>28</v>
      </c>
      <c r="E862" t="s">
        <v>188</v>
      </c>
      <c r="F862" t="s">
        <v>81</v>
      </c>
      <c r="G862" t="s">
        <v>19877</v>
      </c>
      <c r="H862">
        <v>18.75</v>
      </c>
      <c r="I862">
        <v>0</v>
      </c>
      <c r="J862">
        <v>0</v>
      </c>
      <c r="K862">
        <v>20</v>
      </c>
      <c r="L862">
        <v>7</v>
      </c>
      <c r="O862">
        <v>7</v>
      </c>
      <c r="P862">
        <v>4</v>
      </c>
      <c r="Q862">
        <v>0</v>
      </c>
      <c r="R862">
        <v>49.75</v>
      </c>
      <c r="S862">
        <v>1</v>
      </c>
      <c r="T862">
        <v>1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1</v>
      </c>
      <c r="AB862">
        <v>0</v>
      </c>
      <c r="AC862">
        <v>0</v>
      </c>
      <c r="AF862" t="s">
        <v>130</v>
      </c>
      <c r="AH862">
        <v>50.75</v>
      </c>
    </row>
    <row r="863" spans="1:34" x14ac:dyDescent="0.3">
      <c r="A863" s="4">
        <v>975</v>
      </c>
      <c r="B863" s="5">
        <v>856</v>
      </c>
      <c r="C863">
        <v>10954</v>
      </c>
      <c r="D863" t="s">
        <v>19878</v>
      </c>
      <c r="E863" t="s">
        <v>208</v>
      </c>
      <c r="F863" t="s">
        <v>68</v>
      </c>
      <c r="G863" t="s">
        <v>19879</v>
      </c>
      <c r="H863">
        <v>17.73</v>
      </c>
      <c r="I863">
        <v>0</v>
      </c>
      <c r="J863">
        <v>0</v>
      </c>
      <c r="K863">
        <v>20</v>
      </c>
      <c r="L863">
        <v>7</v>
      </c>
      <c r="O863">
        <v>7</v>
      </c>
      <c r="P863">
        <v>4</v>
      </c>
      <c r="Q863">
        <v>2</v>
      </c>
      <c r="R863">
        <v>50.73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F863" t="s">
        <v>130</v>
      </c>
      <c r="AH863">
        <v>50.73</v>
      </c>
    </row>
    <row r="864" spans="1:34" x14ac:dyDescent="0.3">
      <c r="A864" s="4">
        <v>976</v>
      </c>
      <c r="B864" s="5">
        <v>857</v>
      </c>
      <c r="C864">
        <v>11679</v>
      </c>
      <c r="D864" t="s">
        <v>19880</v>
      </c>
      <c r="E864" t="s">
        <v>166</v>
      </c>
      <c r="F864" t="s">
        <v>259</v>
      </c>
      <c r="G864" t="s">
        <v>19881</v>
      </c>
      <c r="H864">
        <v>17.7</v>
      </c>
      <c r="I864">
        <v>0</v>
      </c>
      <c r="J864">
        <v>0</v>
      </c>
      <c r="K864">
        <v>0</v>
      </c>
      <c r="N864">
        <v>3</v>
      </c>
      <c r="O864">
        <v>3</v>
      </c>
      <c r="P864">
        <v>4</v>
      </c>
      <c r="Q864">
        <v>2</v>
      </c>
      <c r="R864">
        <v>26.7</v>
      </c>
      <c r="S864">
        <v>24</v>
      </c>
      <c r="T864">
        <v>24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24</v>
      </c>
      <c r="AB864">
        <v>0</v>
      </c>
      <c r="AC864">
        <v>0</v>
      </c>
      <c r="AD864" t="s">
        <v>130</v>
      </c>
      <c r="AF864" t="s">
        <v>130</v>
      </c>
      <c r="AH864">
        <v>50.7</v>
      </c>
    </row>
    <row r="865" spans="1:34" x14ac:dyDescent="0.3">
      <c r="A865" s="4">
        <v>977</v>
      </c>
      <c r="B865" s="5">
        <v>858</v>
      </c>
      <c r="C865">
        <v>14373</v>
      </c>
      <c r="D865" t="s">
        <v>3868</v>
      </c>
      <c r="E865" t="s">
        <v>1659</v>
      </c>
      <c r="F865" t="s">
        <v>17</v>
      </c>
      <c r="G865" t="s">
        <v>19882</v>
      </c>
      <c r="H865">
        <v>21.53</v>
      </c>
      <c r="I865">
        <v>0</v>
      </c>
      <c r="J865">
        <v>0</v>
      </c>
      <c r="K865">
        <v>20</v>
      </c>
      <c r="N865">
        <v>3</v>
      </c>
      <c r="O865">
        <v>3</v>
      </c>
      <c r="P865">
        <v>4</v>
      </c>
      <c r="Q865">
        <v>2</v>
      </c>
      <c r="R865">
        <v>50.53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F865" t="s">
        <v>130</v>
      </c>
      <c r="AH865">
        <v>50.53</v>
      </c>
    </row>
    <row r="866" spans="1:34" x14ac:dyDescent="0.3">
      <c r="A866" s="4">
        <v>978</v>
      </c>
      <c r="B866" s="5">
        <v>859</v>
      </c>
      <c r="C866">
        <v>9733</v>
      </c>
      <c r="D866" t="s">
        <v>19883</v>
      </c>
      <c r="E866" t="s">
        <v>34</v>
      </c>
      <c r="F866" t="s">
        <v>17</v>
      </c>
      <c r="G866" t="s">
        <v>19884</v>
      </c>
      <c r="H866">
        <v>17.53</v>
      </c>
      <c r="I866">
        <v>0</v>
      </c>
      <c r="J866">
        <v>0</v>
      </c>
      <c r="K866">
        <v>0</v>
      </c>
      <c r="O866">
        <v>0</v>
      </c>
      <c r="P866">
        <v>4</v>
      </c>
      <c r="Q866">
        <v>2</v>
      </c>
      <c r="R866">
        <v>23.53</v>
      </c>
      <c r="S866">
        <v>27</v>
      </c>
      <c r="T866">
        <v>27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27</v>
      </c>
      <c r="AB866">
        <v>0</v>
      </c>
      <c r="AC866">
        <v>0</v>
      </c>
      <c r="AF866" t="s">
        <v>130</v>
      </c>
      <c r="AH866">
        <v>50.53</v>
      </c>
    </row>
    <row r="867" spans="1:34" x14ac:dyDescent="0.3">
      <c r="A867" s="4">
        <v>979</v>
      </c>
      <c r="B867" s="5">
        <v>860</v>
      </c>
      <c r="C867">
        <v>1470</v>
      </c>
      <c r="D867" t="s">
        <v>1286</v>
      </c>
      <c r="E867" t="s">
        <v>100</v>
      </c>
      <c r="F867" t="s">
        <v>17</v>
      </c>
      <c r="G867" t="s">
        <v>19885</v>
      </c>
      <c r="H867">
        <v>18.48</v>
      </c>
      <c r="I867">
        <v>0</v>
      </c>
      <c r="J867">
        <v>0</v>
      </c>
      <c r="K867">
        <v>20</v>
      </c>
      <c r="N867">
        <v>3</v>
      </c>
      <c r="O867">
        <v>3</v>
      </c>
      <c r="P867">
        <v>4</v>
      </c>
      <c r="Q867">
        <v>2</v>
      </c>
      <c r="R867">
        <v>47.48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3</v>
      </c>
      <c r="AC867">
        <v>0</v>
      </c>
      <c r="AD867" t="s">
        <v>130</v>
      </c>
      <c r="AF867" t="s">
        <v>130</v>
      </c>
      <c r="AH867">
        <v>50.48</v>
      </c>
    </row>
    <row r="868" spans="1:34" x14ac:dyDescent="0.3">
      <c r="A868" s="4">
        <v>980</v>
      </c>
      <c r="B868" s="5">
        <v>861</v>
      </c>
      <c r="C868">
        <v>13722</v>
      </c>
      <c r="D868" t="s">
        <v>17360</v>
      </c>
      <c r="E868" t="s">
        <v>88</v>
      </c>
      <c r="F868" t="s">
        <v>17</v>
      </c>
      <c r="G868" t="s">
        <v>19886</v>
      </c>
      <c r="H868">
        <v>17.350000000000001</v>
      </c>
      <c r="I868">
        <v>0</v>
      </c>
      <c r="J868">
        <v>0</v>
      </c>
      <c r="K868">
        <v>20</v>
      </c>
      <c r="L868">
        <v>7</v>
      </c>
      <c r="O868">
        <v>7</v>
      </c>
      <c r="P868">
        <v>4</v>
      </c>
      <c r="Q868">
        <v>2</v>
      </c>
      <c r="R868">
        <v>50.35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F868" t="s">
        <v>130</v>
      </c>
      <c r="AH868">
        <v>50.35</v>
      </c>
    </row>
    <row r="869" spans="1:34" x14ac:dyDescent="0.3">
      <c r="A869" s="4">
        <v>981</v>
      </c>
      <c r="B869" s="5">
        <v>862</v>
      </c>
      <c r="C869">
        <v>6904</v>
      </c>
      <c r="D869" t="s">
        <v>19887</v>
      </c>
      <c r="E869" t="s">
        <v>19888</v>
      </c>
      <c r="F869" t="s">
        <v>91</v>
      </c>
      <c r="G869" t="s">
        <v>19889</v>
      </c>
      <c r="H869">
        <v>19.350000000000001</v>
      </c>
      <c r="I869">
        <v>0</v>
      </c>
      <c r="J869">
        <v>0</v>
      </c>
      <c r="K869">
        <v>0</v>
      </c>
      <c r="O869">
        <v>0</v>
      </c>
      <c r="P869">
        <v>4</v>
      </c>
      <c r="Q869">
        <v>2</v>
      </c>
      <c r="R869">
        <v>25.35</v>
      </c>
      <c r="S869">
        <v>25</v>
      </c>
      <c r="T869">
        <v>25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25</v>
      </c>
      <c r="AB869">
        <v>0</v>
      </c>
      <c r="AC869">
        <v>0</v>
      </c>
      <c r="AF869" t="s">
        <v>130</v>
      </c>
      <c r="AH869">
        <v>50.35</v>
      </c>
    </row>
    <row r="870" spans="1:34" x14ac:dyDescent="0.3">
      <c r="A870" s="4">
        <v>982</v>
      </c>
      <c r="B870" s="5">
        <v>863</v>
      </c>
      <c r="C870">
        <v>1457</v>
      </c>
      <c r="D870" t="s">
        <v>19890</v>
      </c>
      <c r="E870" t="s">
        <v>230</v>
      </c>
      <c r="F870" t="s">
        <v>17</v>
      </c>
      <c r="G870" t="s">
        <v>19891</v>
      </c>
      <c r="H870">
        <v>21.28</v>
      </c>
      <c r="I870">
        <v>0</v>
      </c>
      <c r="J870">
        <v>0</v>
      </c>
      <c r="K870">
        <v>20</v>
      </c>
      <c r="N870">
        <v>3</v>
      </c>
      <c r="O870">
        <v>3</v>
      </c>
      <c r="P870">
        <v>4</v>
      </c>
      <c r="Q870">
        <v>2</v>
      </c>
      <c r="R870">
        <v>50.28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F870" t="s">
        <v>130</v>
      </c>
      <c r="AH870">
        <v>50.28</v>
      </c>
    </row>
    <row r="871" spans="1:34" x14ac:dyDescent="0.3">
      <c r="A871" s="4">
        <v>983</v>
      </c>
      <c r="B871" s="5">
        <v>864</v>
      </c>
      <c r="C871">
        <v>12794</v>
      </c>
      <c r="D871" t="s">
        <v>2416</v>
      </c>
      <c r="E871" t="s">
        <v>41</v>
      </c>
      <c r="F871" t="s">
        <v>136</v>
      </c>
      <c r="G871" t="s">
        <v>19892</v>
      </c>
      <c r="H871">
        <v>18.25</v>
      </c>
      <c r="I871">
        <v>0</v>
      </c>
      <c r="J871">
        <v>0</v>
      </c>
      <c r="K871">
        <v>20</v>
      </c>
      <c r="N871">
        <v>3</v>
      </c>
      <c r="O871">
        <v>3</v>
      </c>
      <c r="P871">
        <v>4</v>
      </c>
      <c r="Q871">
        <v>2</v>
      </c>
      <c r="R871">
        <v>47.25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3</v>
      </c>
      <c r="AC871">
        <v>0</v>
      </c>
      <c r="AF871" t="s">
        <v>130</v>
      </c>
      <c r="AH871">
        <v>50.25</v>
      </c>
    </row>
    <row r="872" spans="1:34" x14ac:dyDescent="0.3">
      <c r="A872" s="4">
        <v>984</v>
      </c>
      <c r="B872" s="5">
        <v>865</v>
      </c>
      <c r="C872">
        <v>7185</v>
      </c>
      <c r="D872" t="s">
        <v>5933</v>
      </c>
      <c r="E872" t="s">
        <v>276</v>
      </c>
      <c r="F872" t="s">
        <v>158</v>
      </c>
      <c r="G872" t="s">
        <v>19893</v>
      </c>
      <c r="H872">
        <v>18.25</v>
      </c>
      <c r="I872">
        <v>0</v>
      </c>
      <c r="J872">
        <v>0</v>
      </c>
      <c r="K872">
        <v>20</v>
      </c>
      <c r="N872">
        <v>3</v>
      </c>
      <c r="O872">
        <v>3</v>
      </c>
      <c r="P872">
        <v>4</v>
      </c>
      <c r="Q872">
        <v>2</v>
      </c>
      <c r="R872">
        <v>47.25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3</v>
      </c>
      <c r="AC872">
        <v>0</v>
      </c>
      <c r="AF872" t="s">
        <v>130</v>
      </c>
      <c r="AH872">
        <v>50.25</v>
      </c>
    </row>
    <row r="873" spans="1:34" x14ac:dyDescent="0.3">
      <c r="A873" s="4">
        <v>985</v>
      </c>
      <c r="B873" s="5">
        <v>866</v>
      </c>
      <c r="C873">
        <v>757</v>
      </c>
      <c r="D873" t="s">
        <v>19894</v>
      </c>
      <c r="E873" t="s">
        <v>328</v>
      </c>
      <c r="F873" t="s">
        <v>230</v>
      </c>
      <c r="G873" t="s">
        <v>19895</v>
      </c>
      <c r="H873">
        <v>19.13</v>
      </c>
      <c r="I873">
        <v>0</v>
      </c>
      <c r="J873">
        <v>0</v>
      </c>
      <c r="K873">
        <v>0</v>
      </c>
      <c r="L873">
        <v>7</v>
      </c>
      <c r="O873">
        <v>7</v>
      </c>
      <c r="P873">
        <v>4</v>
      </c>
      <c r="Q873">
        <v>2</v>
      </c>
      <c r="R873">
        <v>32.130000000000003</v>
      </c>
      <c r="S873">
        <v>18</v>
      </c>
      <c r="T873">
        <v>18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18</v>
      </c>
      <c r="AB873">
        <v>0</v>
      </c>
      <c r="AC873">
        <v>0</v>
      </c>
      <c r="AF873" t="s">
        <v>130</v>
      </c>
      <c r="AH873">
        <v>50.13</v>
      </c>
    </row>
    <row r="874" spans="1:34" x14ac:dyDescent="0.3">
      <c r="A874" s="4">
        <v>986</v>
      </c>
      <c r="B874" s="5">
        <v>867</v>
      </c>
      <c r="C874">
        <v>11354</v>
      </c>
      <c r="D874" t="s">
        <v>2662</v>
      </c>
      <c r="E874" t="s">
        <v>1053</v>
      </c>
      <c r="F874" t="s">
        <v>20</v>
      </c>
      <c r="G874" t="s">
        <v>19896</v>
      </c>
      <c r="H874">
        <v>18.100000000000001</v>
      </c>
      <c r="I874">
        <v>0</v>
      </c>
      <c r="J874">
        <v>0</v>
      </c>
      <c r="K874">
        <v>20</v>
      </c>
      <c r="M874">
        <v>5</v>
      </c>
      <c r="O874">
        <v>5</v>
      </c>
      <c r="P874">
        <v>4</v>
      </c>
      <c r="Q874">
        <v>0</v>
      </c>
      <c r="R874">
        <v>47.1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3</v>
      </c>
      <c r="AC874">
        <v>0</v>
      </c>
      <c r="AF874" t="s">
        <v>130</v>
      </c>
      <c r="AH874">
        <v>50.1</v>
      </c>
    </row>
    <row r="875" spans="1:34" x14ac:dyDescent="0.3">
      <c r="A875" s="4">
        <v>987</v>
      </c>
      <c r="B875" s="5">
        <v>868</v>
      </c>
      <c r="C875">
        <v>9671</v>
      </c>
      <c r="D875" t="s">
        <v>5751</v>
      </c>
      <c r="E875" t="s">
        <v>29</v>
      </c>
      <c r="F875" t="s">
        <v>91</v>
      </c>
      <c r="G875" t="s">
        <v>19897</v>
      </c>
      <c r="H875">
        <v>22.05</v>
      </c>
      <c r="I875">
        <v>0</v>
      </c>
      <c r="J875">
        <v>0</v>
      </c>
      <c r="K875">
        <v>0</v>
      </c>
      <c r="N875">
        <v>3</v>
      </c>
      <c r="O875">
        <v>3</v>
      </c>
      <c r="P875">
        <v>4</v>
      </c>
      <c r="Q875">
        <v>0</v>
      </c>
      <c r="R875">
        <v>29.05</v>
      </c>
      <c r="S875">
        <v>21</v>
      </c>
      <c r="T875">
        <v>21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21</v>
      </c>
      <c r="AB875">
        <v>0</v>
      </c>
      <c r="AC875">
        <v>0</v>
      </c>
      <c r="AD875" t="s">
        <v>130</v>
      </c>
      <c r="AF875" t="s">
        <v>130</v>
      </c>
      <c r="AH875">
        <v>50.05</v>
      </c>
    </row>
    <row r="876" spans="1:34" x14ac:dyDescent="0.3">
      <c r="A876" s="4">
        <v>988</v>
      </c>
      <c r="B876" s="5">
        <v>869</v>
      </c>
      <c r="C876">
        <v>2584</v>
      </c>
      <c r="D876" t="s">
        <v>4118</v>
      </c>
      <c r="E876" t="s">
        <v>97</v>
      </c>
      <c r="F876" t="s">
        <v>587</v>
      </c>
      <c r="G876" t="s">
        <v>19898</v>
      </c>
      <c r="H876">
        <v>17.03</v>
      </c>
      <c r="I876">
        <v>0</v>
      </c>
      <c r="J876">
        <v>0</v>
      </c>
      <c r="K876">
        <v>20</v>
      </c>
      <c r="L876">
        <v>7</v>
      </c>
      <c r="O876">
        <v>7</v>
      </c>
      <c r="P876">
        <v>4</v>
      </c>
      <c r="Q876">
        <v>2</v>
      </c>
      <c r="R876">
        <v>50.03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 t="s">
        <v>130</v>
      </c>
      <c r="AF876" t="s">
        <v>130</v>
      </c>
      <c r="AH876">
        <v>50.03</v>
      </c>
    </row>
    <row r="877" spans="1:34" x14ac:dyDescent="0.3">
      <c r="A877" s="4">
        <v>989</v>
      </c>
      <c r="B877" s="5">
        <v>870</v>
      </c>
      <c r="C877">
        <v>9683</v>
      </c>
      <c r="D877" t="s">
        <v>14494</v>
      </c>
      <c r="E877" t="s">
        <v>19899</v>
      </c>
      <c r="F877" t="s">
        <v>68</v>
      </c>
      <c r="G877" t="s">
        <v>19900</v>
      </c>
      <c r="H877">
        <v>18</v>
      </c>
      <c r="I877">
        <v>0</v>
      </c>
      <c r="J877">
        <v>0</v>
      </c>
      <c r="K877">
        <v>0</v>
      </c>
      <c r="M877">
        <v>5</v>
      </c>
      <c r="O877">
        <v>5</v>
      </c>
      <c r="P877">
        <v>4</v>
      </c>
      <c r="Q877">
        <v>2</v>
      </c>
      <c r="R877">
        <v>29</v>
      </c>
      <c r="S877">
        <v>18</v>
      </c>
      <c r="T877">
        <v>18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18</v>
      </c>
      <c r="AB877">
        <v>3</v>
      </c>
      <c r="AC877">
        <v>0</v>
      </c>
      <c r="AF877" t="s">
        <v>130</v>
      </c>
      <c r="AH877">
        <v>50</v>
      </c>
    </row>
    <row r="878" spans="1:34" x14ac:dyDescent="0.3">
      <c r="A878" s="4">
        <v>990</v>
      </c>
      <c r="B878" s="5">
        <v>871</v>
      </c>
      <c r="C878">
        <v>8548</v>
      </c>
      <c r="D878" t="s">
        <v>3181</v>
      </c>
      <c r="E878" t="s">
        <v>188</v>
      </c>
      <c r="F878" t="s">
        <v>5304</v>
      </c>
      <c r="G878" t="s">
        <v>19901</v>
      </c>
      <c r="H878">
        <v>17.98</v>
      </c>
      <c r="I878">
        <v>0</v>
      </c>
      <c r="J878">
        <v>0</v>
      </c>
      <c r="K878">
        <v>0</v>
      </c>
      <c r="L878">
        <v>7</v>
      </c>
      <c r="N878">
        <v>3</v>
      </c>
      <c r="O878">
        <v>10</v>
      </c>
      <c r="P878">
        <v>4</v>
      </c>
      <c r="Q878">
        <v>0</v>
      </c>
      <c r="R878">
        <v>31.98</v>
      </c>
      <c r="S878">
        <v>18</v>
      </c>
      <c r="T878">
        <v>18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18</v>
      </c>
      <c r="AB878">
        <v>0</v>
      </c>
      <c r="AC878">
        <v>0</v>
      </c>
      <c r="AF878" t="s">
        <v>130</v>
      </c>
      <c r="AH878">
        <v>49.98</v>
      </c>
    </row>
    <row r="879" spans="1:34" x14ac:dyDescent="0.3">
      <c r="A879" s="4">
        <v>991</v>
      </c>
      <c r="B879" s="5">
        <v>872</v>
      </c>
      <c r="C879">
        <v>15073</v>
      </c>
      <c r="D879" t="s">
        <v>19902</v>
      </c>
      <c r="E879" t="s">
        <v>26</v>
      </c>
      <c r="F879" t="s">
        <v>81</v>
      </c>
      <c r="G879" t="s">
        <v>19903</v>
      </c>
      <c r="H879">
        <v>18.829999999999998</v>
      </c>
      <c r="I879">
        <v>0</v>
      </c>
      <c r="J879">
        <v>0</v>
      </c>
      <c r="K879">
        <v>20</v>
      </c>
      <c r="L879">
        <v>7</v>
      </c>
      <c r="O879">
        <v>7</v>
      </c>
      <c r="P879">
        <v>4</v>
      </c>
      <c r="Q879">
        <v>0</v>
      </c>
      <c r="R879">
        <v>49.83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F879" t="s">
        <v>130</v>
      </c>
      <c r="AH879">
        <v>49.83</v>
      </c>
    </row>
    <row r="880" spans="1:34" x14ac:dyDescent="0.3">
      <c r="A880" s="4">
        <v>992</v>
      </c>
      <c r="B880" s="5">
        <v>873</v>
      </c>
      <c r="C880">
        <v>8777</v>
      </c>
      <c r="D880" t="s">
        <v>19904</v>
      </c>
      <c r="E880" t="s">
        <v>406</v>
      </c>
      <c r="F880" t="s">
        <v>124</v>
      </c>
      <c r="G880" t="s">
        <v>19905</v>
      </c>
      <c r="H880">
        <v>16.829999999999998</v>
      </c>
      <c r="I880">
        <v>0</v>
      </c>
      <c r="J880">
        <v>0</v>
      </c>
      <c r="K880">
        <v>20</v>
      </c>
      <c r="L880">
        <v>7</v>
      </c>
      <c r="O880">
        <v>7</v>
      </c>
      <c r="P880">
        <v>4</v>
      </c>
      <c r="Q880">
        <v>2</v>
      </c>
      <c r="R880">
        <v>49.83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F880" t="s">
        <v>130</v>
      </c>
      <c r="AH880">
        <v>49.83</v>
      </c>
    </row>
    <row r="881" spans="1:34" x14ac:dyDescent="0.3">
      <c r="A881" s="4">
        <v>993</v>
      </c>
      <c r="B881" s="5">
        <v>874</v>
      </c>
      <c r="C881">
        <v>9539</v>
      </c>
      <c r="D881" t="s">
        <v>19906</v>
      </c>
      <c r="E881" t="s">
        <v>471</v>
      </c>
      <c r="F881" t="s">
        <v>81</v>
      </c>
      <c r="G881" t="s">
        <v>19907</v>
      </c>
      <c r="H881">
        <v>18.8</v>
      </c>
      <c r="I881">
        <v>0</v>
      </c>
      <c r="J881">
        <v>0</v>
      </c>
      <c r="K881">
        <v>20</v>
      </c>
      <c r="L881">
        <v>7</v>
      </c>
      <c r="O881">
        <v>7</v>
      </c>
      <c r="P881">
        <v>4</v>
      </c>
      <c r="Q881">
        <v>0</v>
      </c>
      <c r="R881">
        <v>49.8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F881" t="s">
        <v>130</v>
      </c>
      <c r="AH881">
        <v>49.8</v>
      </c>
    </row>
    <row r="882" spans="1:34" x14ac:dyDescent="0.3">
      <c r="A882" s="4">
        <v>994</v>
      </c>
      <c r="B882" s="5">
        <v>875</v>
      </c>
      <c r="C882">
        <v>540</v>
      </c>
      <c r="D882" t="s">
        <v>1422</v>
      </c>
      <c r="E882" t="s">
        <v>29</v>
      </c>
      <c r="F882" t="s">
        <v>136</v>
      </c>
      <c r="G882" t="s">
        <v>19908</v>
      </c>
      <c r="H882">
        <v>16.78</v>
      </c>
      <c r="I882">
        <v>0</v>
      </c>
      <c r="J882">
        <v>0</v>
      </c>
      <c r="K882">
        <v>20</v>
      </c>
      <c r="L882">
        <v>7</v>
      </c>
      <c r="O882">
        <v>7</v>
      </c>
      <c r="P882">
        <v>4</v>
      </c>
      <c r="Q882">
        <v>2</v>
      </c>
      <c r="R882">
        <v>49.78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F882" t="s">
        <v>130</v>
      </c>
      <c r="AH882">
        <v>49.78</v>
      </c>
    </row>
    <row r="883" spans="1:34" x14ac:dyDescent="0.3">
      <c r="A883" s="4">
        <v>995</v>
      </c>
      <c r="B883" s="5">
        <v>876</v>
      </c>
      <c r="C883">
        <v>2486</v>
      </c>
      <c r="D883" t="s">
        <v>19909</v>
      </c>
      <c r="E883" t="s">
        <v>789</v>
      </c>
      <c r="F883" t="s">
        <v>81</v>
      </c>
      <c r="G883" t="s">
        <v>19910</v>
      </c>
      <c r="H883">
        <v>18.75</v>
      </c>
      <c r="I883">
        <v>0</v>
      </c>
      <c r="J883">
        <v>0</v>
      </c>
      <c r="K883">
        <v>0</v>
      </c>
      <c r="L883">
        <v>7</v>
      </c>
      <c r="O883">
        <v>7</v>
      </c>
      <c r="P883">
        <v>4</v>
      </c>
      <c r="Q883">
        <v>2</v>
      </c>
      <c r="R883">
        <v>31.75</v>
      </c>
      <c r="S883">
        <v>18</v>
      </c>
      <c r="T883">
        <v>18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18</v>
      </c>
      <c r="AB883">
        <v>0</v>
      </c>
      <c r="AC883">
        <v>0</v>
      </c>
      <c r="AF883" t="s">
        <v>130</v>
      </c>
      <c r="AH883">
        <v>49.75</v>
      </c>
    </row>
    <row r="884" spans="1:34" x14ac:dyDescent="0.3">
      <c r="A884" s="4">
        <v>996</v>
      </c>
      <c r="B884" s="5">
        <v>877</v>
      </c>
      <c r="C884">
        <v>3526</v>
      </c>
      <c r="D884" t="s">
        <v>19911</v>
      </c>
      <c r="E884" t="s">
        <v>19912</v>
      </c>
      <c r="F884" t="s">
        <v>832</v>
      </c>
      <c r="G884" t="s">
        <v>19913</v>
      </c>
      <c r="H884">
        <v>16.73</v>
      </c>
      <c r="I884">
        <v>0</v>
      </c>
      <c r="J884">
        <v>0</v>
      </c>
      <c r="K884">
        <v>20</v>
      </c>
      <c r="N884">
        <v>3</v>
      </c>
      <c r="O884">
        <v>3</v>
      </c>
      <c r="P884">
        <v>4</v>
      </c>
      <c r="Q884">
        <v>0</v>
      </c>
      <c r="R884">
        <v>43.73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6</v>
      </c>
      <c r="AC884">
        <v>0</v>
      </c>
      <c r="AF884" t="s">
        <v>130</v>
      </c>
      <c r="AH884">
        <v>49.73</v>
      </c>
    </row>
    <row r="885" spans="1:34" x14ac:dyDescent="0.3">
      <c r="A885" s="4">
        <v>997</v>
      </c>
      <c r="B885" s="5">
        <v>878</v>
      </c>
      <c r="C885">
        <v>4717</v>
      </c>
      <c r="D885" t="s">
        <v>19914</v>
      </c>
      <c r="E885" t="s">
        <v>7864</v>
      </c>
      <c r="F885" t="s">
        <v>2561</v>
      </c>
      <c r="G885" t="s">
        <v>19915</v>
      </c>
      <c r="H885">
        <v>16.73</v>
      </c>
      <c r="I885">
        <v>0</v>
      </c>
      <c r="J885">
        <v>0</v>
      </c>
      <c r="K885">
        <v>20</v>
      </c>
      <c r="N885">
        <v>6</v>
      </c>
      <c r="O885">
        <v>6</v>
      </c>
      <c r="P885">
        <v>4</v>
      </c>
      <c r="Q885">
        <v>0</v>
      </c>
      <c r="R885">
        <v>46.73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3</v>
      </c>
      <c r="AC885">
        <v>0</v>
      </c>
      <c r="AF885" t="s">
        <v>130</v>
      </c>
      <c r="AH885">
        <v>49.73</v>
      </c>
    </row>
    <row r="886" spans="1:34" x14ac:dyDescent="0.3">
      <c r="A886" s="4">
        <v>998</v>
      </c>
      <c r="B886" s="5">
        <v>879</v>
      </c>
      <c r="C886">
        <v>7567</v>
      </c>
      <c r="D886" t="s">
        <v>198</v>
      </c>
      <c r="E886" t="s">
        <v>100</v>
      </c>
      <c r="F886" t="s">
        <v>972</v>
      </c>
      <c r="G886" t="s">
        <v>19916</v>
      </c>
      <c r="H886">
        <v>16.63</v>
      </c>
      <c r="I886">
        <v>0</v>
      </c>
      <c r="J886">
        <v>0</v>
      </c>
      <c r="K886">
        <v>20</v>
      </c>
      <c r="N886">
        <v>3</v>
      </c>
      <c r="O886">
        <v>3</v>
      </c>
      <c r="P886">
        <v>4</v>
      </c>
      <c r="Q886">
        <v>0</v>
      </c>
      <c r="R886">
        <v>43.63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6</v>
      </c>
      <c r="AC886">
        <v>0</v>
      </c>
      <c r="AF886" t="s">
        <v>130</v>
      </c>
      <c r="AH886">
        <v>49.63</v>
      </c>
    </row>
    <row r="887" spans="1:34" x14ac:dyDescent="0.3">
      <c r="A887" s="4">
        <v>999</v>
      </c>
      <c r="B887" s="5">
        <v>880</v>
      </c>
      <c r="C887">
        <v>1866</v>
      </c>
      <c r="D887" t="s">
        <v>19917</v>
      </c>
      <c r="E887" t="s">
        <v>166</v>
      </c>
      <c r="F887" t="s">
        <v>38</v>
      </c>
      <c r="G887" t="s">
        <v>19918</v>
      </c>
      <c r="H887">
        <v>18.63</v>
      </c>
      <c r="I887">
        <v>0</v>
      </c>
      <c r="J887">
        <v>0</v>
      </c>
      <c r="K887">
        <v>20</v>
      </c>
      <c r="L887">
        <v>7</v>
      </c>
      <c r="O887">
        <v>7</v>
      </c>
      <c r="P887">
        <v>4</v>
      </c>
      <c r="Q887">
        <v>0</v>
      </c>
      <c r="R887">
        <v>49.63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 t="s">
        <v>130</v>
      </c>
      <c r="AF887" t="s">
        <v>130</v>
      </c>
      <c r="AH887">
        <v>49.63</v>
      </c>
    </row>
    <row r="888" spans="1:34" x14ac:dyDescent="0.3">
      <c r="A888" s="4">
        <v>1000</v>
      </c>
      <c r="B888" s="5">
        <v>881</v>
      </c>
      <c r="C888">
        <v>3671</v>
      </c>
      <c r="D888" t="s">
        <v>19919</v>
      </c>
      <c r="E888" t="s">
        <v>188</v>
      </c>
      <c r="F888" t="s">
        <v>328</v>
      </c>
      <c r="G888" t="s">
        <v>19920</v>
      </c>
      <c r="H888">
        <v>18.63</v>
      </c>
      <c r="I888">
        <v>0</v>
      </c>
      <c r="J888">
        <v>0</v>
      </c>
      <c r="K888">
        <v>0</v>
      </c>
      <c r="L888">
        <v>7</v>
      </c>
      <c r="O888">
        <v>7</v>
      </c>
      <c r="P888">
        <v>4</v>
      </c>
      <c r="Q888">
        <v>2</v>
      </c>
      <c r="R888">
        <v>31.63</v>
      </c>
      <c r="S888">
        <v>18</v>
      </c>
      <c r="T888">
        <v>18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18</v>
      </c>
      <c r="AB888">
        <v>0</v>
      </c>
      <c r="AC888">
        <v>0</v>
      </c>
      <c r="AF888" t="s">
        <v>130</v>
      </c>
      <c r="AH888">
        <v>49.63</v>
      </c>
    </row>
    <row r="889" spans="1:34" x14ac:dyDescent="0.3">
      <c r="A889" s="4">
        <v>1001</v>
      </c>
      <c r="B889" s="5">
        <v>882</v>
      </c>
      <c r="C889">
        <v>9128</v>
      </c>
      <c r="D889" t="s">
        <v>187</v>
      </c>
      <c r="E889" t="s">
        <v>26</v>
      </c>
      <c r="F889" t="s">
        <v>158</v>
      </c>
      <c r="G889" t="s">
        <v>19921</v>
      </c>
      <c r="H889">
        <v>19.579999999999998</v>
      </c>
      <c r="I889">
        <v>0</v>
      </c>
      <c r="J889">
        <v>0</v>
      </c>
      <c r="K889">
        <v>0</v>
      </c>
      <c r="N889">
        <v>3</v>
      </c>
      <c r="O889">
        <v>3</v>
      </c>
      <c r="P889">
        <v>4</v>
      </c>
      <c r="Q889">
        <v>2</v>
      </c>
      <c r="R889">
        <v>28.58</v>
      </c>
      <c r="S889">
        <v>18</v>
      </c>
      <c r="T889">
        <v>18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18</v>
      </c>
      <c r="AB889">
        <v>3</v>
      </c>
      <c r="AC889">
        <v>0</v>
      </c>
      <c r="AF889" t="s">
        <v>130</v>
      </c>
      <c r="AH889">
        <v>49.58</v>
      </c>
    </row>
    <row r="890" spans="1:34" x14ac:dyDescent="0.3">
      <c r="A890" s="4">
        <v>1002</v>
      </c>
      <c r="B890" s="5">
        <v>883</v>
      </c>
      <c r="C890">
        <v>13260</v>
      </c>
      <c r="D890" t="s">
        <v>2666</v>
      </c>
      <c r="E890" t="s">
        <v>19922</v>
      </c>
      <c r="F890" t="s">
        <v>38</v>
      </c>
      <c r="G890" t="s">
        <v>19923</v>
      </c>
      <c r="H890">
        <v>18.579999999999998</v>
      </c>
      <c r="I890">
        <v>0</v>
      </c>
      <c r="J890">
        <v>0</v>
      </c>
      <c r="K890">
        <v>20</v>
      </c>
      <c r="M890">
        <v>5</v>
      </c>
      <c r="O890">
        <v>5</v>
      </c>
      <c r="P890">
        <v>4</v>
      </c>
      <c r="Q890">
        <v>2</v>
      </c>
      <c r="R890">
        <v>49.58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F890" t="s">
        <v>130</v>
      </c>
      <c r="AH890">
        <v>49.58</v>
      </c>
    </row>
    <row r="891" spans="1:34" x14ac:dyDescent="0.3">
      <c r="A891" s="4">
        <v>1003</v>
      </c>
      <c r="B891" s="5">
        <v>884</v>
      </c>
      <c r="C891">
        <v>6651</v>
      </c>
      <c r="D891" t="s">
        <v>3258</v>
      </c>
      <c r="E891" t="s">
        <v>170</v>
      </c>
      <c r="F891" t="s">
        <v>652</v>
      </c>
      <c r="G891" t="s">
        <v>19924</v>
      </c>
      <c r="H891">
        <v>18.579999999999998</v>
      </c>
      <c r="I891">
        <v>0</v>
      </c>
      <c r="J891">
        <v>0</v>
      </c>
      <c r="K891">
        <v>20</v>
      </c>
      <c r="L891">
        <v>7</v>
      </c>
      <c r="O891">
        <v>7</v>
      </c>
      <c r="P891">
        <v>4</v>
      </c>
      <c r="Q891">
        <v>0</v>
      </c>
      <c r="R891">
        <v>49.58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F891" t="s">
        <v>130</v>
      </c>
      <c r="AH891">
        <v>49.58</v>
      </c>
    </row>
    <row r="892" spans="1:34" x14ac:dyDescent="0.3">
      <c r="A892" s="4">
        <v>1004</v>
      </c>
      <c r="B892" s="5">
        <v>885</v>
      </c>
      <c r="C892">
        <v>8840</v>
      </c>
      <c r="D892" t="s">
        <v>19925</v>
      </c>
      <c r="E892" t="s">
        <v>33</v>
      </c>
      <c r="F892" t="s">
        <v>343</v>
      </c>
      <c r="G892" t="s">
        <v>19926</v>
      </c>
      <c r="H892">
        <v>18.55</v>
      </c>
      <c r="I892">
        <v>0</v>
      </c>
      <c r="J892">
        <v>0</v>
      </c>
      <c r="K892">
        <v>20</v>
      </c>
      <c r="L892">
        <v>7</v>
      </c>
      <c r="O892">
        <v>7</v>
      </c>
      <c r="P892">
        <v>4</v>
      </c>
      <c r="Q892">
        <v>0</v>
      </c>
      <c r="R892">
        <v>49.55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F892" t="s">
        <v>130</v>
      </c>
      <c r="AH892">
        <v>49.55</v>
      </c>
    </row>
    <row r="893" spans="1:34" x14ac:dyDescent="0.3">
      <c r="A893" s="4">
        <v>1005</v>
      </c>
      <c r="B893" s="5">
        <v>886</v>
      </c>
      <c r="C893">
        <v>2607</v>
      </c>
      <c r="D893" t="s">
        <v>8050</v>
      </c>
      <c r="E893" t="s">
        <v>173</v>
      </c>
      <c r="F893" t="s">
        <v>38</v>
      </c>
      <c r="G893" t="s">
        <v>19927</v>
      </c>
      <c r="H893">
        <v>19.53</v>
      </c>
      <c r="I893">
        <v>0</v>
      </c>
      <c r="J893">
        <v>0</v>
      </c>
      <c r="K893">
        <v>20</v>
      </c>
      <c r="O893">
        <v>0</v>
      </c>
      <c r="P893">
        <v>4</v>
      </c>
      <c r="Q893">
        <v>0</v>
      </c>
      <c r="R893">
        <v>43.53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6</v>
      </c>
      <c r="AC893">
        <v>0</v>
      </c>
      <c r="AF893" t="s">
        <v>130</v>
      </c>
      <c r="AH893">
        <v>49.53</v>
      </c>
    </row>
    <row r="894" spans="1:34" x14ac:dyDescent="0.3">
      <c r="A894" s="4">
        <v>1006</v>
      </c>
      <c r="B894" s="5">
        <v>887</v>
      </c>
      <c r="C894">
        <v>4873</v>
      </c>
      <c r="D894" t="s">
        <v>19928</v>
      </c>
      <c r="E894" t="s">
        <v>19929</v>
      </c>
      <c r="F894" t="s">
        <v>416</v>
      </c>
      <c r="G894" t="s">
        <v>19930</v>
      </c>
      <c r="H894">
        <v>19.48</v>
      </c>
      <c r="I894">
        <v>0</v>
      </c>
      <c r="J894">
        <v>0</v>
      </c>
      <c r="K894">
        <v>0</v>
      </c>
      <c r="N894">
        <v>6</v>
      </c>
      <c r="O894">
        <v>6</v>
      </c>
      <c r="P894">
        <v>4</v>
      </c>
      <c r="Q894">
        <v>2</v>
      </c>
      <c r="R894">
        <v>31.48</v>
      </c>
      <c r="S894">
        <v>18</v>
      </c>
      <c r="T894">
        <v>18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18</v>
      </c>
      <c r="AB894">
        <v>0</v>
      </c>
      <c r="AC894">
        <v>0</v>
      </c>
      <c r="AD894" t="s">
        <v>130</v>
      </c>
      <c r="AF894" t="s">
        <v>130</v>
      </c>
      <c r="AH894">
        <v>49.48</v>
      </c>
    </row>
    <row r="895" spans="1:34" x14ac:dyDescent="0.3">
      <c r="A895" s="4">
        <v>1007</v>
      </c>
      <c r="B895" s="5">
        <v>888</v>
      </c>
      <c r="C895">
        <v>4332</v>
      </c>
      <c r="D895" t="s">
        <v>8142</v>
      </c>
      <c r="E895" t="s">
        <v>29</v>
      </c>
      <c r="F895" t="s">
        <v>62</v>
      </c>
      <c r="G895" t="s">
        <v>19931</v>
      </c>
      <c r="H895">
        <v>19.45</v>
      </c>
      <c r="I895">
        <v>0</v>
      </c>
      <c r="J895">
        <v>0</v>
      </c>
      <c r="K895">
        <v>20</v>
      </c>
      <c r="N895">
        <v>3</v>
      </c>
      <c r="O895">
        <v>3</v>
      </c>
      <c r="P895">
        <v>4</v>
      </c>
      <c r="Q895">
        <v>0</v>
      </c>
      <c r="R895">
        <v>46.45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3</v>
      </c>
      <c r="AC895">
        <v>0</v>
      </c>
      <c r="AF895" t="s">
        <v>130</v>
      </c>
      <c r="AH895">
        <v>49.45</v>
      </c>
    </row>
    <row r="896" spans="1:34" x14ac:dyDescent="0.3">
      <c r="A896" s="4">
        <v>1008</v>
      </c>
      <c r="B896" s="5">
        <v>889</v>
      </c>
      <c r="C896">
        <v>4620</v>
      </c>
      <c r="D896" t="s">
        <v>19932</v>
      </c>
      <c r="E896" t="s">
        <v>38</v>
      </c>
      <c r="F896" t="s">
        <v>81</v>
      </c>
      <c r="G896" t="s">
        <v>19933</v>
      </c>
      <c r="H896">
        <v>17.38</v>
      </c>
      <c r="I896">
        <v>0</v>
      </c>
      <c r="J896">
        <v>0</v>
      </c>
      <c r="K896">
        <v>0</v>
      </c>
      <c r="L896">
        <v>7</v>
      </c>
      <c r="O896">
        <v>7</v>
      </c>
      <c r="P896">
        <v>4</v>
      </c>
      <c r="Q896">
        <v>2</v>
      </c>
      <c r="R896">
        <v>30.38</v>
      </c>
      <c r="S896">
        <v>19</v>
      </c>
      <c r="T896">
        <v>19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19</v>
      </c>
      <c r="AB896">
        <v>0</v>
      </c>
      <c r="AC896">
        <v>0</v>
      </c>
      <c r="AF896" t="s">
        <v>130</v>
      </c>
      <c r="AH896">
        <v>49.38</v>
      </c>
    </row>
    <row r="897" spans="1:34" x14ac:dyDescent="0.3">
      <c r="A897" s="4">
        <v>1009</v>
      </c>
      <c r="B897" s="5">
        <v>890</v>
      </c>
      <c r="C897">
        <v>9794</v>
      </c>
      <c r="D897" t="s">
        <v>19934</v>
      </c>
      <c r="E897" t="s">
        <v>4033</v>
      </c>
      <c r="F897" t="s">
        <v>521</v>
      </c>
      <c r="G897" t="s">
        <v>19935</v>
      </c>
      <c r="H897">
        <v>20.3</v>
      </c>
      <c r="I897">
        <v>0</v>
      </c>
      <c r="J897">
        <v>0</v>
      </c>
      <c r="K897">
        <v>20</v>
      </c>
      <c r="N897">
        <v>3</v>
      </c>
      <c r="O897">
        <v>3</v>
      </c>
      <c r="P897">
        <v>4</v>
      </c>
      <c r="Q897">
        <v>2</v>
      </c>
      <c r="R897">
        <v>49.3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 t="s">
        <v>130</v>
      </c>
      <c r="AF897" t="s">
        <v>130</v>
      </c>
      <c r="AH897">
        <v>49.3</v>
      </c>
    </row>
    <row r="898" spans="1:34" x14ac:dyDescent="0.3">
      <c r="A898" s="4">
        <v>1010</v>
      </c>
      <c r="B898" s="5">
        <v>891</v>
      </c>
      <c r="C898">
        <v>4400</v>
      </c>
      <c r="D898" t="s">
        <v>19936</v>
      </c>
      <c r="E898" t="s">
        <v>19</v>
      </c>
      <c r="F898" t="s">
        <v>117</v>
      </c>
      <c r="G898" t="s">
        <v>19937</v>
      </c>
      <c r="H898">
        <v>18.3</v>
      </c>
      <c r="I898">
        <v>0</v>
      </c>
      <c r="J898">
        <v>0</v>
      </c>
      <c r="K898">
        <v>20</v>
      </c>
      <c r="L898">
        <v>7</v>
      </c>
      <c r="O898">
        <v>7</v>
      </c>
      <c r="P898">
        <v>4</v>
      </c>
      <c r="Q898">
        <v>0</v>
      </c>
      <c r="R898">
        <v>49.3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F898" t="s">
        <v>130</v>
      </c>
      <c r="AH898">
        <v>49.3</v>
      </c>
    </row>
    <row r="899" spans="1:34" x14ac:dyDescent="0.3">
      <c r="A899" s="4">
        <v>1011</v>
      </c>
      <c r="B899" s="5">
        <v>892</v>
      </c>
      <c r="C899">
        <v>10697</v>
      </c>
      <c r="D899" t="s">
        <v>19938</v>
      </c>
      <c r="E899" t="s">
        <v>957</v>
      </c>
      <c r="F899" t="s">
        <v>81</v>
      </c>
      <c r="G899" t="s">
        <v>19939</v>
      </c>
      <c r="H899">
        <v>20.25</v>
      </c>
      <c r="I899">
        <v>0</v>
      </c>
      <c r="J899">
        <v>0</v>
      </c>
      <c r="K899">
        <v>20</v>
      </c>
      <c r="O899">
        <v>0</v>
      </c>
      <c r="P899">
        <v>4</v>
      </c>
      <c r="Q899">
        <v>2</v>
      </c>
      <c r="R899">
        <v>46.25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3</v>
      </c>
      <c r="AC899">
        <v>0</v>
      </c>
      <c r="AD899" t="s">
        <v>130</v>
      </c>
      <c r="AF899" t="s">
        <v>130</v>
      </c>
      <c r="AH899">
        <v>49.25</v>
      </c>
    </row>
    <row r="900" spans="1:34" x14ac:dyDescent="0.3">
      <c r="A900" s="4">
        <v>1012</v>
      </c>
      <c r="B900" s="5">
        <v>893</v>
      </c>
      <c r="C900">
        <v>3818</v>
      </c>
      <c r="D900" t="s">
        <v>10010</v>
      </c>
      <c r="E900" t="s">
        <v>3968</v>
      </c>
      <c r="F900" t="s">
        <v>20</v>
      </c>
      <c r="G900" t="s">
        <v>19940</v>
      </c>
      <c r="H900">
        <v>18.25</v>
      </c>
      <c r="I900">
        <v>0</v>
      </c>
      <c r="J900">
        <v>0</v>
      </c>
      <c r="K900">
        <v>20</v>
      </c>
      <c r="L900">
        <v>7</v>
      </c>
      <c r="O900">
        <v>7</v>
      </c>
      <c r="P900">
        <v>4</v>
      </c>
      <c r="Q900">
        <v>0</v>
      </c>
      <c r="R900">
        <v>49.25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F900" t="s">
        <v>130</v>
      </c>
      <c r="AH900">
        <v>49.25</v>
      </c>
    </row>
    <row r="901" spans="1:34" x14ac:dyDescent="0.3">
      <c r="A901" s="4">
        <v>1013</v>
      </c>
      <c r="B901" s="5">
        <v>894</v>
      </c>
      <c r="C901">
        <v>8100</v>
      </c>
      <c r="D901" t="s">
        <v>2772</v>
      </c>
      <c r="E901" t="s">
        <v>54</v>
      </c>
      <c r="F901" t="s">
        <v>17</v>
      </c>
      <c r="G901" t="s">
        <v>19941</v>
      </c>
      <c r="H901">
        <v>18.25</v>
      </c>
      <c r="I901">
        <v>0</v>
      </c>
      <c r="J901">
        <v>0</v>
      </c>
      <c r="K901">
        <v>20</v>
      </c>
      <c r="L901">
        <v>7</v>
      </c>
      <c r="O901">
        <v>7</v>
      </c>
      <c r="P901">
        <v>4</v>
      </c>
      <c r="Q901">
        <v>0</v>
      </c>
      <c r="R901">
        <v>49.25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 t="s">
        <v>130</v>
      </c>
      <c r="AF901" t="s">
        <v>130</v>
      </c>
      <c r="AH901">
        <v>49.25</v>
      </c>
    </row>
    <row r="902" spans="1:34" x14ac:dyDescent="0.3">
      <c r="A902" s="4">
        <v>1014</v>
      </c>
      <c r="B902" s="5">
        <v>895</v>
      </c>
      <c r="C902">
        <v>13686</v>
      </c>
      <c r="D902" t="s">
        <v>2297</v>
      </c>
      <c r="E902" t="s">
        <v>41</v>
      </c>
      <c r="F902" t="s">
        <v>68</v>
      </c>
      <c r="G902" t="s">
        <v>19942</v>
      </c>
      <c r="H902">
        <v>20.079999999999998</v>
      </c>
      <c r="I902">
        <v>0</v>
      </c>
      <c r="J902">
        <v>0</v>
      </c>
      <c r="K902">
        <v>20</v>
      </c>
      <c r="N902">
        <v>3</v>
      </c>
      <c r="O902">
        <v>3</v>
      </c>
      <c r="P902">
        <v>4</v>
      </c>
      <c r="Q902">
        <v>2</v>
      </c>
      <c r="R902">
        <v>49.08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F902" t="s">
        <v>130</v>
      </c>
      <c r="AH902">
        <v>49.08</v>
      </c>
    </row>
    <row r="903" spans="1:34" x14ac:dyDescent="0.3">
      <c r="A903" s="4">
        <v>1015</v>
      </c>
      <c r="B903" s="5">
        <v>896</v>
      </c>
      <c r="C903">
        <v>8752</v>
      </c>
      <c r="D903" t="s">
        <v>19943</v>
      </c>
      <c r="E903" t="s">
        <v>29</v>
      </c>
      <c r="F903" t="s">
        <v>30</v>
      </c>
      <c r="G903" t="s">
        <v>19944</v>
      </c>
      <c r="H903">
        <v>19.03</v>
      </c>
      <c r="I903">
        <v>0</v>
      </c>
      <c r="J903">
        <v>0</v>
      </c>
      <c r="K903">
        <v>0</v>
      </c>
      <c r="L903">
        <v>7</v>
      </c>
      <c r="O903">
        <v>7</v>
      </c>
      <c r="P903">
        <v>4</v>
      </c>
      <c r="Q903">
        <v>2</v>
      </c>
      <c r="R903">
        <v>32.03</v>
      </c>
      <c r="S903">
        <v>14</v>
      </c>
      <c r="T903">
        <v>14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14</v>
      </c>
      <c r="AB903">
        <v>3</v>
      </c>
      <c r="AC903">
        <v>0</v>
      </c>
      <c r="AF903" t="s">
        <v>130</v>
      </c>
      <c r="AH903">
        <v>49.03</v>
      </c>
    </row>
    <row r="904" spans="1:34" x14ac:dyDescent="0.3">
      <c r="A904" s="4">
        <v>1016</v>
      </c>
      <c r="B904" s="5">
        <v>897</v>
      </c>
      <c r="C904">
        <v>557</v>
      </c>
      <c r="D904" t="s">
        <v>19945</v>
      </c>
      <c r="E904" t="s">
        <v>19946</v>
      </c>
      <c r="F904" t="s">
        <v>782</v>
      </c>
      <c r="G904" t="s">
        <v>19947</v>
      </c>
      <c r="H904">
        <v>17.95</v>
      </c>
      <c r="I904">
        <v>0</v>
      </c>
      <c r="J904">
        <v>0</v>
      </c>
      <c r="K904">
        <v>0</v>
      </c>
      <c r="L904">
        <v>7</v>
      </c>
      <c r="O904">
        <v>7</v>
      </c>
      <c r="P904">
        <v>4</v>
      </c>
      <c r="Q904">
        <v>2</v>
      </c>
      <c r="R904">
        <v>30.95</v>
      </c>
      <c r="S904">
        <v>18</v>
      </c>
      <c r="T904">
        <v>18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18</v>
      </c>
      <c r="AB904">
        <v>0</v>
      </c>
      <c r="AC904">
        <v>0</v>
      </c>
      <c r="AF904" t="s">
        <v>130</v>
      </c>
      <c r="AH904">
        <v>48.95</v>
      </c>
    </row>
    <row r="905" spans="1:34" x14ac:dyDescent="0.3">
      <c r="A905" s="4">
        <v>1017</v>
      </c>
      <c r="B905" s="5">
        <v>898</v>
      </c>
      <c r="C905">
        <v>12492</v>
      </c>
      <c r="D905" t="s">
        <v>19948</v>
      </c>
      <c r="E905" t="s">
        <v>100</v>
      </c>
      <c r="F905" t="s">
        <v>328</v>
      </c>
      <c r="G905" t="s">
        <v>19949</v>
      </c>
      <c r="H905">
        <v>17.88</v>
      </c>
      <c r="I905">
        <v>0</v>
      </c>
      <c r="J905">
        <v>0</v>
      </c>
      <c r="K905">
        <v>0</v>
      </c>
      <c r="N905">
        <v>3</v>
      </c>
      <c r="O905">
        <v>3</v>
      </c>
      <c r="P905">
        <v>4</v>
      </c>
      <c r="Q905">
        <v>0</v>
      </c>
      <c r="R905">
        <v>24.88</v>
      </c>
      <c r="S905">
        <v>24</v>
      </c>
      <c r="T905">
        <v>24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24</v>
      </c>
      <c r="AB905">
        <v>0</v>
      </c>
      <c r="AC905">
        <v>0</v>
      </c>
      <c r="AF905" t="s">
        <v>130</v>
      </c>
      <c r="AH905">
        <v>48.88</v>
      </c>
    </row>
    <row r="906" spans="1:34" x14ac:dyDescent="0.3">
      <c r="A906" s="4">
        <v>1018</v>
      </c>
      <c r="B906" s="5">
        <v>899</v>
      </c>
      <c r="C906">
        <v>5075</v>
      </c>
      <c r="D906" t="s">
        <v>19950</v>
      </c>
      <c r="E906" t="s">
        <v>213</v>
      </c>
      <c r="F906" t="s">
        <v>1023</v>
      </c>
      <c r="G906" t="s">
        <v>19951</v>
      </c>
      <c r="H906">
        <v>22.75</v>
      </c>
      <c r="I906">
        <v>7</v>
      </c>
      <c r="J906">
        <v>0</v>
      </c>
      <c r="K906">
        <v>0</v>
      </c>
      <c r="L906">
        <v>7</v>
      </c>
      <c r="O906">
        <v>7</v>
      </c>
      <c r="P906">
        <v>4</v>
      </c>
      <c r="Q906">
        <v>2</v>
      </c>
      <c r="R906">
        <v>42.75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6</v>
      </c>
      <c r="AC906">
        <v>0</v>
      </c>
      <c r="AD906" t="s">
        <v>130</v>
      </c>
      <c r="AF906" t="s">
        <v>130</v>
      </c>
      <c r="AH906">
        <v>48.75</v>
      </c>
    </row>
    <row r="907" spans="1:34" x14ac:dyDescent="0.3">
      <c r="A907" s="4">
        <v>1019</v>
      </c>
      <c r="B907" s="5">
        <v>900</v>
      </c>
      <c r="C907">
        <v>865</v>
      </c>
      <c r="D907" t="s">
        <v>19952</v>
      </c>
      <c r="E907" t="s">
        <v>29</v>
      </c>
      <c r="F907" t="s">
        <v>81</v>
      </c>
      <c r="G907" t="s">
        <v>19953</v>
      </c>
      <c r="H907">
        <v>23.73</v>
      </c>
      <c r="I907">
        <v>0</v>
      </c>
      <c r="J907">
        <v>0</v>
      </c>
      <c r="K907">
        <v>20</v>
      </c>
      <c r="O907">
        <v>0</v>
      </c>
      <c r="P907">
        <v>0</v>
      </c>
      <c r="Q907">
        <v>2</v>
      </c>
      <c r="R907">
        <v>45.73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3</v>
      </c>
      <c r="AC907">
        <v>0</v>
      </c>
      <c r="AF907" t="s">
        <v>130</v>
      </c>
      <c r="AH907">
        <v>48.73</v>
      </c>
    </row>
    <row r="908" spans="1:34" x14ac:dyDescent="0.3">
      <c r="A908" s="4">
        <v>1020</v>
      </c>
      <c r="B908" s="5">
        <v>901</v>
      </c>
      <c r="C908">
        <v>12854</v>
      </c>
      <c r="D908" t="s">
        <v>19954</v>
      </c>
      <c r="E908" t="s">
        <v>100</v>
      </c>
      <c r="F908" t="s">
        <v>68</v>
      </c>
      <c r="G908" t="s">
        <v>19955</v>
      </c>
      <c r="H908">
        <v>19.68</v>
      </c>
      <c r="I908">
        <v>0</v>
      </c>
      <c r="J908">
        <v>0</v>
      </c>
      <c r="K908">
        <v>20</v>
      </c>
      <c r="N908">
        <v>3</v>
      </c>
      <c r="O908">
        <v>3</v>
      </c>
      <c r="P908">
        <v>4</v>
      </c>
      <c r="Q908">
        <v>2</v>
      </c>
      <c r="R908">
        <v>48.68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F908" t="s">
        <v>130</v>
      </c>
      <c r="AH908">
        <v>48.68</v>
      </c>
    </row>
    <row r="909" spans="1:34" x14ac:dyDescent="0.3">
      <c r="A909" s="4">
        <v>1021</v>
      </c>
      <c r="B909" s="5">
        <v>902</v>
      </c>
      <c r="C909">
        <v>3107</v>
      </c>
      <c r="D909" t="s">
        <v>3806</v>
      </c>
      <c r="E909" t="s">
        <v>29</v>
      </c>
      <c r="F909" t="s">
        <v>14</v>
      </c>
      <c r="G909" t="s">
        <v>19956</v>
      </c>
      <c r="H909">
        <v>16.63</v>
      </c>
      <c r="I909">
        <v>0</v>
      </c>
      <c r="J909">
        <v>0</v>
      </c>
      <c r="K909">
        <v>20</v>
      </c>
      <c r="N909">
        <v>3</v>
      </c>
      <c r="O909">
        <v>3</v>
      </c>
      <c r="P909">
        <v>4</v>
      </c>
      <c r="Q909">
        <v>2</v>
      </c>
      <c r="R909">
        <v>45.63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3</v>
      </c>
      <c r="AC909">
        <v>0</v>
      </c>
      <c r="AF909" t="s">
        <v>130</v>
      </c>
      <c r="AH909">
        <v>48.63</v>
      </c>
    </row>
    <row r="910" spans="1:34" x14ac:dyDescent="0.3">
      <c r="A910" s="4">
        <v>1022</v>
      </c>
      <c r="B910" s="5">
        <v>903</v>
      </c>
      <c r="C910">
        <v>8297</v>
      </c>
      <c r="D910" t="s">
        <v>19957</v>
      </c>
      <c r="E910" t="s">
        <v>166</v>
      </c>
      <c r="F910" t="s">
        <v>14</v>
      </c>
      <c r="G910" t="s">
        <v>19958</v>
      </c>
      <c r="H910">
        <v>16.63</v>
      </c>
      <c r="I910">
        <v>0</v>
      </c>
      <c r="J910">
        <v>0</v>
      </c>
      <c r="K910">
        <v>0</v>
      </c>
      <c r="L910">
        <v>7</v>
      </c>
      <c r="O910">
        <v>7</v>
      </c>
      <c r="P910">
        <v>4</v>
      </c>
      <c r="Q910">
        <v>0</v>
      </c>
      <c r="R910">
        <v>27.63</v>
      </c>
      <c r="S910">
        <v>18</v>
      </c>
      <c r="T910">
        <v>18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18</v>
      </c>
      <c r="AB910">
        <v>3</v>
      </c>
      <c r="AC910">
        <v>0</v>
      </c>
      <c r="AF910" t="s">
        <v>130</v>
      </c>
      <c r="AH910">
        <v>48.63</v>
      </c>
    </row>
    <row r="911" spans="1:34" x14ac:dyDescent="0.3">
      <c r="A911" s="4">
        <v>1023</v>
      </c>
      <c r="B911" s="5">
        <v>904</v>
      </c>
      <c r="C911">
        <v>4970</v>
      </c>
      <c r="D911" t="s">
        <v>19959</v>
      </c>
      <c r="E911" t="s">
        <v>19960</v>
      </c>
      <c r="F911" t="s">
        <v>136</v>
      </c>
      <c r="G911" t="s">
        <v>19961</v>
      </c>
      <c r="H911">
        <v>18.600000000000001</v>
      </c>
      <c r="I911">
        <v>0</v>
      </c>
      <c r="J911">
        <v>0</v>
      </c>
      <c r="K911">
        <v>0</v>
      </c>
      <c r="N911">
        <v>3</v>
      </c>
      <c r="O911">
        <v>3</v>
      </c>
      <c r="P911">
        <v>4</v>
      </c>
      <c r="Q911">
        <v>2</v>
      </c>
      <c r="R911">
        <v>27.6</v>
      </c>
      <c r="S911">
        <v>18</v>
      </c>
      <c r="T911">
        <v>18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18</v>
      </c>
      <c r="AB911">
        <v>3</v>
      </c>
      <c r="AC911">
        <v>0</v>
      </c>
      <c r="AF911" t="s">
        <v>130</v>
      </c>
      <c r="AH911">
        <v>48.6</v>
      </c>
    </row>
    <row r="912" spans="1:34" x14ac:dyDescent="0.3">
      <c r="A912" s="4">
        <v>1024</v>
      </c>
      <c r="B912" s="5">
        <v>905</v>
      </c>
      <c r="C912">
        <v>3182</v>
      </c>
      <c r="D912" t="s">
        <v>19962</v>
      </c>
      <c r="E912" t="s">
        <v>3803</v>
      </c>
      <c r="F912" t="s">
        <v>30</v>
      </c>
      <c r="G912" t="s">
        <v>19963</v>
      </c>
      <c r="H912">
        <v>18.55</v>
      </c>
      <c r="I912">
        <v>0</v>
      </c>
      <c r="J912">
        <v>0</v>
      </c>
      <c r="K912">
        <v>0</v>
      </c>
      <c r="O912">
        <v>0</v>
      </c>
      <c r="P912">
        <v>4</v>
      </c>
      <c r="Q912">
        <v>2</v>
      </c>
      <c r="R912">
        <v>24.55</v>
      </c>
      <c r="S912">
        <v>18</v>
      </c>
      <c r="T912">
        <v>18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18</v>
      </c>
      <c r="AB912">
        <v>6</v>
      </c>
      <c r="AC912">
        <v>0</v>
      </c>
      <c r="AF912" t="s">
        <v>130</v>
      </c>
      <c r="AH912">
        <v>48.55</v>
      </c>
    </row>
    <row r="913" spans="1:34" x14ac:dyDescent="0.3">
      <c r="A913" s="4">
        <v>1025</v>
      </c>
      <c r="B913" s="5">
        <v>906</v>
      </c>
      <c r="C913">
        <v>10999</v>
      </c>
      <c r="D913" t="s">
        <v>19964</v>
      </c>
      <c r="E913" t="s">
        <v>19965</v>
      </c>
      <c r="F913" t="s">
        <v>19966</v>
      </c>
      <c r="G913" t="s">
        <v>19967</v>
      </c>
      <c r="H913">
        <v>19.53</v>
      </c>
      <c r="I913">
        <v>0</v>
      </c>
      <c r="J913">
        <v>0</v>
      </c>
      <c r="K913">
        <v>0</v>
      </c>
      <c r="L913">
        <v>7</v>
      </c>
      <c r="O913">
        <v>7</v>
      </c>
      <c r="P913">
        <v>4</v>
      </c>
      <c r="Q913">
        <v>2</v>
      </c>
      <c r="R913">
        <v>32.53</v>
      </c>
      <c r="S913">
        <v>13</v>
      </c>
      <c r="T913">
        <v>13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13</v>
      </c>
      <c r="AB913">
        <v>3</v>
      </c>
      <c r="AC913">
        <v>0</v>
      </c>
      <c r="AD913" t="s">
        <v>130</v>
      </c>
      <c r="AF913" t="s">
        <v>130</v>
      </c>
      <c r="AH913">
        <v>48.53</v>
      </c>
    </row>
    <row r="914" spans="1:34" x14ac:dyDescent="0.3">
      <c r="A914" s="4">
        <v>1026</v>
      </c>
      <c r="B914" s="5">
        <v>907</v>
      </c>
      <c r="C914">
        <v>12502</v>
      </c>
      <c r="D914" t="s">
        <v>19968</v>
      </c>
      <c r="E914" t="s">
        <v>110</v>
      </c>
      <c r="F914" t="s">
        <v>117</v>
      </c>
      <c r="G914" t="s">
        <v>19969</v>
      </c>
      <c r="H914">
        <v>18.53</v>
      </c>
      <c r="I914">
        <v>0</v>
      </c>
      <c r="J914">
        <v>0</v>
      </c>
      <c r="K914">
        <v>0</v>
      </c>
      <c r="N914">
        <v>6</v>
      </c>
      <c r="O914">
        <v>6</v>
      </c>
      <c r="P914">
        <v>4</v>
      </c>
      <c r="Q914">
        <v>2</v>
      </c>
      <c r="R914">
        <v>30.53</v>
      </c>
      <c r="S914">
        <v>18</v>
      </c>
      <c r="T914">
        <v>18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18</v>
      </c>
      <c r="AB914">
        <v>0</v>
      </c>
      <c r="AC914">
        <v>0</v>
      </c>
      <c r="AF914" t="s">
        <v>130</v>
      </c>
      <c r="AH914">
        <v>48.53</v>
      </c>
    </row>
    <row r="915" spans="1:34" x14ac:dyDescent="0.3">
      <c r="A915" s="4">
        <v>1027</v>
      </c>
      <c r="B915" s="5">
        <v>908</v>
      </c>
      <c r="C915">
        <v>1563</v>
      </c>
      <c r="D915" t="s">
        <v>19970</v>
      </c>
      <c r="E915" t="s">
        <v>68</v>
      </c>
      <c r="F915" t="s">
        <v>652</v>
      </c>
      <c r="G915" t="s">
        <v>19971</v>
      </c>
      <c r="H915">
        <v>23.5</v>
      </c>
      <c r="I915">
        <v>7</v>
      </c>
      <c r="J915">
        <v>0</v>
      </c>
      <c r="K915">
        <v>0</v>
      </c>
      <c r="N915">
        <v>6</v>
      </c>
      <c r="O915">
        <v>6</v>
      </c>
      <c r="P915">
        <v>4</v>
      </c>
      <c r="Q915">
        <v>2</v>
      </c>
      <c r="R915">
        <v>42.5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6</v>
      </c>
      <c r="AC915">
        <v>0</v>
      </c>
      <c r="AF915" t="s">
        <v>130</v>
      </c>
      <c r="AH915">
        <v>48.5</v>
      </c>
    </row>
    <row r="916" spans="1:34" x14ac:dyDescent="0.3">
      <c r="A916" s="4">
        <v>1028</v>
      </c>
      <c r="B916" s="5">
        <v>909</v>
      </c>
      <c r="C916">
        <v>5836</v>
      </c>
      <c r="D916" t="s">
        <v>10771</v>
      </c>
      <c r="E916" t="s">
        <v>29</v>
      </c>
      <c r="F916" t="s">
        <v>361</v>
      </c>
      <c r="G916" t="s">
        <v>19972</v>
      </c>
      <c r="H916">
        <v>18.48</v>
      </c>
      <c r="I916">
        <v>0</v>
      </c>
      <c r="J916">
        <v>0</v>
      </c>
      <c r="K916">
        <v>20</v>
      </c>
      <c r="N916">
        <v>3</v>
      </c>
      <c r="O916">
        <v>3</v>
      </c>
      <c r="P916">
        <v>4</v>
      </c>
      <c r="Q916">
        <v>0</v>
      </c>
      <c r="R916">
        <v>45.48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3</v>
      </c>
      <c r="AC916">
        <v>0</v>
      </c>
      <c r="AF916" t="s">
        <v>130</v>
      </c>
      <c r="AH916">
        <v>48.48</v>
      </c>
    </row>
    <row r="917" spans="1:34" x14ac:dyDescent="0.3">
      <c r="A917" s="4">
        <v>1029</v>
      </c>
      <c r="B917" s="5">
        <v>910</v>
      </c>
      <c r="C917">
        <v>10263</v>
      </c>
      <c r="D917" t="s">
        <v>19973</v>
      </c>
      <c r="E917" t="s">
        <v>54</v>
      </c>
      <c r="F917" t="s">
        <v>158</v>
      </c>
      <c r="G917" t="s">
        <v>19974</v>
      </c>
      <c r="H917">
        <v>19.43</v>
      </c>
      <c r="I917">
        <v>0</v>
      </c>
      <c r="J917">
        <v>0</v>
      </c>
      <c r="K917">
        <v>0</v>
      </c>
      <c r="L917">
        <v>7</v>
      </c>
      <c r="O917">
        <v>7</v>
      </c>
      <c r="P917">
        <v>4</v>
      </c>
      <c r="Q917">
        <v>0</v>
      </c>
      <c r="R917">
        <v>30.43</v>
      </c>
      <c r="S917">
        <v>18</v>
      </c>
      <c r="T917">
        <v>18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18</v>
      </c>
      <c r="AB917">
        <v>0</v>
      </c>
      <c r="AC917">
        <v>0</v>
      </c>
      <c r="AF917" t="s">
        <v>130</v>
      </c>
      <c r="AH917">
        <v>48.43</v>
      </c>
    </row>
    <row r="918" spans="1:34" x14ac:dyDescent="0.3">
      <c r="A918" s="4">
        <v>1030</v>
      </c>
      <c r="B918" s="5">
        <v>911</v>
      </c>
      <c r="C918">
        <v>11727</v>
      </c>
      <c r="D918" t="s">
        <v>19975</v>
      </c>
      <c r="E918" t="s">
        <v>29</v>
      </c>
      <c r="F918" t="s">
        <v>539</v>
      </c>
      <c r="G918" t="s">
        <v>19976</v>
      </c>
      <c r="H918">
        <v>15.4</v>
      </c>
      <c r="I918">
        <v>0</v>
      </c>
      <c r="J918">
        <v>0</v>
      </c>
      <c r="K918">
        <v>20</v>
      </c>
      <c r="N918">
        <v>6</v>
      </c>
      <c r="O918">
        <v>6</v>
      </c>
      <c r="P918">
        <v>4</v>
      </c>
      <c r="Q918">
        <v>0</v>
      </c>
      <c r="R918">
        <v>45.4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3</v>
      </c>
      <c r="AC918">
        <v>0</v>
      </c>
      <c r="AF918" t="s">
        <v>130</v>
      </c>
      <c r="AH918">
        <v>48.4</v>
      </c>
    </row>
    <row r="919" spans="1:34" x14ac:dyDescent="0.3">
      <c r="A919" s="4">
        <v>1031</v>
      </c>
      <c r="B919" s="5">
        <v>912</v>
      </c>
      <c r="C919">
        <v>5740</v>
      </c>
      <c r="D919" t="s">
        <v>19977</v>
      </c>
      <c r="E919" t="s">
        <v>20</v>
      </c>
      <c r="F919" t="s">
        <v>30</v>
      </c>
      <c r="G919" t="s">
        <v>19978</v>
      </c>
      <c r="H919">
        <v>19.350000000000001</v>
      </c>
      <c r="I919">
        <v>0</v>
      </c>
      <c r="J919">
        <v>0</v>
      </c>
      <c r="K919">
        <v>20</v>
      </c>
      <c r="N919">
        <v>3</v>
      </c>
      <c r="O919">
        <v>3</v>
      </c>
      <c r="P919">
        <v>4</v>
      </c>
      <c r="Q919">
        <v>2</v>
      </c>
      <c r="R919">
        <v>48.35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F919" t="s">
        <v>130</v>
      </c>
      <c r="AH919">
        <v>48.35</v>
      </c>
    </row>
    <row r="920" spans="1:34" x14ac:dyDescent="0.3">
      <c r="A920" s="4">
        <v>1032</v>
      </c>
      <c r="B920" s="5">
        <v>913</v>
      </c>
      <c r="C920">
        <v>13163</v>
      </c>
      <c r="D920" t="s">
        <v>19979</v>
      </c>
      <c r="E920" t="s">
        <v>19980</v>
      </c>
      <c r="F920" t="s">
        <v>136</v>
      </c>
      <c r="G920" t="s">
        <v>19981</v>
      </c>
      <c r="H920">
        <v>17.350000000000001</v>
      </c>
      <c r="I920">
        <v>0</v>
      </c>
      <c r="J920">
        <v>0</v>
      </c>
      <c r="K920">
        <v>20</v>
      </c>
      <c r="L920">
        <v>7</v>
      </c>
      <c r="O920">
        <v>7</v>
      </c>
      <c r="P920">
        <v>4</v>
      </c>
      <c r="Q920">
        <v>0</v>
      </c>
      <c r="R920">
        <v>48.35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F920" t="s">
        <v>130</v>
      </c>
      <c r="AH920">
        <v>48.35</v>
      </c>
    </row>
    <row r="921" spans="1:34" x14ac:dyDescent="0.3">
      <c r="A921" s="4">
        <v>1033</v>
      </c>
      <c r="B921" s="5">
        <v>914</v>
      </c>
      <c r="C921">
        <v>7541</v>
      </c>
      <c r="D921" t="s">
        <v>9461</v>
      </c>
      <c r="E921" t="s">
        <v>22</v>
      </c>
      <c r="F921" t="s">
        <v>136</v>
      </c>
      <c r="G921" t="s">
        <v>19982</v>
      </c>
      <c r="H921">
        <v>19.3</v>
      </c>
      <c r="I921">
        <v>0</v>
      </c>
      <c r="J921">
        <v>0</v>
      </c>
      <c r="K921">
        <v>20</v>
      </c>
      <c r="O921">
        <v>0</v>
      </c>
      <c r="P921">
        <v>4</v>
      </c>
      <c r="Q921">
        <v>2</v>
      </c>
      <c r="R921">
        <v>45.3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3</v>
      </c>
      <c r="AC921">
        <v>0</v>
      </c>
      <c r="AF921" t="s">
        <v>130</v>
      </c>
      <c r="AH921">
        <v>48.3</v>
      </c>
    </row>
    <row r="922" spans="1:34" x14ac:dyDescent="0.3">
      <c r="A922" s="4">
        <v>1034</v>
      </c>
      <c r="B922" s="5">
        <v>915</v>
      </c>
      <c r="C922">
        <v>13559</v>
      </c>
      <c r="D922" t="s">
        <v>2797</v>
      </c>
      <c r="E922" t="s">
        <v>19983</v>
      </c>
      <c r="F922" t="s">
        <v>30</v>
      </c>
      <c r="G922" t="s">
        <v>19984</v>
      </c>
      <c r="H922">
        <v>19.079999999999998</v>
      </c>
      <c r="I922">
        <v>0</v>
      </c>
      <c r="J922">
        <v>0</v>
      </c>
      <c r="K922">
        <v>20</v>
      </c>
      <c r="N922">
        <v>3</v>
      </c>
      <c r="O922">
        <v>3</v>
      </c>
      <c r="P922">
        <v>4</v>
      </c>
      <c r="Q922">
        <v>2</v>
      </c>
      <c r="R922">
        <v>48.08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F922" t="s">
        <v>130</v>
      </c>
      <c r="AH922">
        <v>48.08</v>
      </c>
    </row>
    <row r="923" spans="1:34" x14ac:dyDescent="0.3">
      <c r="A923" s="4">
        <v>1035</v>
      </c>
      <c r="B923" s="5">
        <v>916</v>
      </c>
      <c r="C923">
        <v>2717</v>
      </c>
      <c r="D923" t="s">
        <v>12138</v>
      </c>
      <c r="E923" t="s">
        <v>22</v>
      </c>
      <c r="F923" t="s">
        <v>167</v>
      </c>
      <c r="G923" t="s">
        <v>19985</v>
      </c>
      <c r="H923">
        <v>17.98</v>
      </c>
      <c r="I923">
        <v>0</v>
      </c>
      <c r="J923">
        <v>0</v>
      </c>
      <c r="K923">
        <v>0</v>
      </c>
      <c r="N923">
        <v>3</v>
      </c>
      <c r="O923">
        <v>3</v>
      </c>
      <c r="P923">
        <v>4</v>
      </c>
      <c r="Q923">
        <v>2</v>
      </c>
      <c r="R923">
        <v>26.98</v>
      </c>
      <c r="S923">
        <v>18</v>
      </c>
      <c r="T923">
        <v>18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18</v>
      </c>
      <c r="AB923">
        <v>3</v>
      </c>
      <c r="AC923">
        <v>0</v>
      </c>
      <c r="AF923" t="s">
        <v>130</v>
      </c>
      <c r="AH923">
        <v>47.98</v>
      </c>
    </row>
    <row r="924" spans="1:34" x14ac:dyDescent="0.3">
      <c r="A924" s="4">
        <v>1036</v>
      </c>
      <c r="B924" s="5">
        <v>917</v>
      </c>
      <c r="C924">
        <v>11320</v>
      </c>
      <c r="D924" t="s">
        <v>19986</v>
      </c>
      <c r="E924" t="s">
        <v>19987</v>
      </c>
      <c r="F924" t="s">
        <v>158</v>
      </c>
      <c r="G924" t="s">
        <v>19988</v>
      </c>
      <c r="H924">
        <v>19.899999999999999</v>
      </c>
      <c r="I924">
        <v>0</v>
      </c>
      <c r="J924">
        <v>0</v>
      </c>
      <c r="K924">
        <v>0</v>
      </c>
      <c r="N924">
        <v>3</v>
      </c>
      <c r="O924">
        <v>3</v>
      </c>
      <c r="P924">
        <v>4</v>
      </c>
      <c r="Q924">
        <v>2</v>
      </c>
      <c r="R924">
        <v>28.9</v>
      </c>
      <c r="S924">
        <v>16</v>
      </c>
      <c r="T924">
        <v>16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16</v>
      </c>
      <c r="AB924">
        <v>3</v>
      </c>
      <c r="AC924">
        <v>0</v>
      </c>
      <c r="AF924" t="s">
        <v>130</v>
      </c>
      <c r="AH924">
        <v>47.9</v>
      </c>
    </row>
    <row r="925" spans="1:34" x14ac:dyDescent="0.3">
      <c r="A925" s="4">
        <v>1037</v>
      </c>
      <c r="B925" s="5">
        <v>918</v>
      </c>
      <c r="C925">
        <v>2755</v>
      </c>
      <c r="D925" t="s">
        <v>19989</v>
      </c>
      <c r="E925" t="s">
        <v>161</v>
      </c>
      <c r="F925" t="s">
        <v>30</v>
      </c>
      <c r="G925" t="s">
        <v>19990</v>
      </c>
      <c r="H925">
        <v>16.899999999999999</v>
      </c>
      <c r="I925">
        <v>0</v>
      </c>
      <c r="J925">
        <v>0</v>
      </c>
      <c r="K925">
        <v>20</v>
      </c>
      <c r="L925">
        <v>7</v>
      </c>
      <c r="O925">
        <v>7</v>
      </c>
      <c r="P925">
        <v>4</v>
      </c>
      <c r="Q925">
        <v>0</v>
      </c>
      <c r="R925">
        <v>47.9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F925" t="s">
        <v>130</v>
      </c>
      <c r="AH925">
        <v>47.9</v>
      </c>
    </row>
    <row r="926" spans="1:34" x14ac:dyDescent="0.3">
      <c r="A926" s="4">
        <v>1038</v>
      </c>
      <c r="B926" s="5">
        <v>919</v>
      </c>
      <c r="C926">
        <v>10557</v>
      </c>
      <c r="D926" t="s">
        <v>19991</v>
      </c>
      <c r="E926" t="s">
        <v>54</v>
      </c>
      <c r="F926" t="s">
        <v>649</v>
      </c>
      <c r="G926" t="s">
        <v>19992</v>
      </c>
      <c r="H926">
        <v>17.850000000000001</v>
      </c>
      <c r="I926">
        <v>0</v>
      </c>
      <c r="J926">
        <v>0</v>
      </c>
      <c r="K926">
        <v>0</v>
      </c>
      <c r="N926">
        <v>3</v>
      </c>
      <c r="O926">
        <v>3</v>
      </c>
      <c r="P926">
        <v>4</v>
      </c>
      <c r="Q926">
        <v>2</v>
      </c>
      <c r="R926">
        <v>26.85</v>
      </c>
      <c r="S926">
        <v>18</v>
      </c>
      <c r="T926">
        <v>18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18</v>
      </c>
      <c r="AB926">
        <v>3</v>
      </c>
      <c r="AC926">
        <v>0</v>
      </c>
      <c r="AF926" t="s">
        <v>130</v>
      </c>
      <c r="AH926">
        <v>47.85</v>
      </c>
    </row>
    <row r="927" spans="1:34" x14ac:dyDescent="0.3">
      <c r="A927" s="4">
        <v>1039</v>
      </c>
      <c r="B927" s="5">
        <v>920</v>
      </c>
      <c r="C927">
        <v>12732</v>
      </c>
      <c r="D927" t="s">
        <v>12904</v>
      </c>
      <c r="E927" t="s">
        <v>8874</v>
      </c>
      <c r="F927" t="s">
        <v>167</v>
      </c>
      <c r="G927" t="s">
        <v>19993</v>
      </c>
      <c r="H927">
        <v>15.85</v>
      </c>
      <c r="I927">
        <v>0</v>
      </c>
      <c r="J927">
        <v>0</v>
      </c>
      <c r="K927">
        <v>0</v>
      </c>
      <c r="L927">
        <v>7</v>
      </c>
      <c r="O927">
        <v>7</v>
      </c>
      <c r="P927">
        <v>4</v>
      </c>
      <c r="Q927">
        <v>0</v>
      </c>
      <c r="R927">
        <v>26.85</v>
      </c>
      <c r="S927">
        <v>18</v>
      </c>
      <c r="T927">
        <v>18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18</v>
      </c>
      <c r="AB927">
        <v>3</v>
      </c>
      <c r="AC927">
        <v>0</v>
      </c>
      <c r="AF927" t="s">
        <v>130</v>
      </c>
      <c r="AH927">
        <v>47.85</v>
      </c>
    </row>
    <row r="928" spans="1:34" x14ac:dyDescent="0.3">
      <c r="A928" s="4">
        <v>1040</v>
      </c>
      <c r="B928" s="5">
        <v>921</v>
      </c>
      <c r="C928">
        <v>7432</v>
      </c>
      <c r="D928" t="s">
        <v>1693</v>
      </c>
      <c r="E928" t="s">
        <v>29</v>
      </c>
      <c r="F928" t="s">
        <v>587</v>
      </c>
      <c r="G928" t="s">
        <v>19994</v>
      </c>
      <c r="H928">
        <v>16.850000000000001</v>
      </c>
      <c r="I928">
        <v>0</v>
      </c>
      <c r="J928">
        <v>0</v>
      </c>
      <c r="K928">
        <v>0</v>
      </c>
      <c r="L928">
        <v>7</v>
      </c>
      <c r="O928">
        <v>7</v>
      </c>
      <c r="P928">
        <v>4</v>
      </c>
      <c r="Q928">
        <v>2</v>
      </c>
      <c r="R928">
        <v>29.85</v>
      </c>
      <c r="S928">
        <v>18</v>
      </c>
      <c r="T928">
        <v>18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18</v>
      </c>
      <c r="AB928">
        <v>0</v>
      </c>
      <c r="AC928">
        <v>0</v>
      </c>
      <c r="AF928" t="s">
        <v>130</v>
      </c>
      <c r="AH928">
        <v>47.85</v>
      </c>
    </row>
    <row r="929" spans="1:34" x14ac:dyDescent="0.3">
      <c r="A929" s="4">
        <v>1041</v>
      </c>
      <c r="B929" s="5">
        <v>922</v>
      </c>
      <c r="C929">
        <v>2893</v>
      </c>
      <c r="D929" t="s">
        <v>8843</v>
      </c>
      <c r="E929" t="s">
        <v>100</v>
      </c>
      <c r="F929" t="s">
        <v>158</v>
      </c>
      <c r="G929" t="s">
        <v>19995</v>
      </c>
      <c r="H929">
        <v>16.8</v>
      </c>
      <c r="I929">
        <v>0</v>
      </c>
      <c r="J929">
        <v>0</v>
      </c>
      <c r="K929">
        <v>20</v>
      </c>
      <c r="L929">
        <v>7</v>
      </c>
      <c r="O929">
        <v>7</v>
      </c>
      <c r="P929">
        <v>4</v>
      </c>
      <c r="Q929">
        <v>0</v>
      </c>
      <c r="R929">
        <v>47.8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F929" t="s">
        <v>130</v>
      </c>
      <c r="AH929">
        <v>47.8</v>
      </c>
    </row>
    <row r="930" spans="1:34" x14ac:dyDescent="0.3">
      <c r="A930" s="4">
        <v>1042</v>
      </c>
      <c r="B930" s="5">
        <v>923</v>
      </c>
      <c r="C930">
        <v>10575</v>
      </c>
      <c r="D930" t="s">
        <v>19996</v>
      </c>
      <c r="E930" t="s">
        <v>219</v>
      </c>
      <c r="F930" t="s">
        <v>167</v>
      </c>
      <c r="G930" t="s">
        <v>19997</v>
      </c>
      <c r="H930">
        <v>21.78</v>
      </c>
      <c r="I930">
        <v>7</v>
      </c>
      <c r="J930">
        <v>0</v>
      </c>
      <c r="K930">
        <v>0</v>
      </c>
      <c r="L930">
        <v>7</v>
      </c>
      <c r="O930">
        <v>7</v>
      </c>
      <c r="P930">
        <v>4</v>
      </c>
      <c r="Q930">
        <v>2</v>
      </c>
      <c r="R930">
        <v>41.78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6</v>
      </c>
      <c r="AC930">
        <v>0</v>
      </c>
      <c r="AF930" t="s">
        <v>130</v>
      </c>
      <c r="AH930">
        <v>47.78</v>
      </c>
    </row>
    <row r="931" spans="1:34" x14ac:dyDescent="0.3">
      <c r="A931" s="4">
        <v>1043</v>
      </c>
      <c r="B931" s="5">
        <v>924</v>
      </c>
      <c r="C931">
        <v>13739</v>
      </c>
      <c r="D931" t="s">
        <v>11782</v>
      </c>
      <c r="E931" t="s">
        <v>560</v>
      </c>
      <c r="F931" t="s">
        <v>136</v>
      </c>
      <c r="G931" t="s">
        <v>19998</v>
      </c>
      <c r="H931">
        <v>17.78</v>
      </c>
      <c r="I931">
        <v>0</v>
      </c>
      <c r="J931">
        <v>0</v>
      </c>
      <c r="K931">
        <v>20</v>
      </c>
      <c r="N931">
        <v>3</v>
      </c>
      <c r="O931">
        <v>3</v>
      </c>
      <c r="P931">
        <v>4</v>
      </c>
      <c r="Q931">
        <v>0</v>
      </c>
      <c r="R931">
        <v>44.78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3</v>
      </c>
      <c r="AC931">
        <v>0</v>
      </c>
      <c r="AF931" t="s">
        <v>130</v>
      </c>
      <c r="AH931">
        <v>47.78</v>
      </c>
    </row>
    <row r="932" spans="1:34" x14ac:dyDescent="0.3">
      <c r="A932" s="4">
        <v>1044</v>
      </c>
      <c r="B932" s="5">
        <v>925</v>
      </c>
      <c r="C932">
        <v>1832</v>
      </c>
      <c r="D932" t="s">
        <v>19636</v>
      </c>
      <c r="E932" t="s">
        <v>1016</v>
      </c>
      <c r="F932" t="s">
        <v>91</v>
      </c>
      <c r="G932" t="s">
        <v>19999</v>
      </c>
      <c r="H932">
        <v>20.78</v>
      </c>
      <c r="I932">
        <v>0</v>
      </c>
      <c r="J932">
        <v>0</v>
      </c>
      <c r="K932">
        <v>20</v>
      </c>
      <c r="N932">
        <v>3</v>
      </c>
      <c r="O932">
        <v>3</v>
      </c>
      <c r="P932">
        <v>4</v>
      </c>
      <c r="Q932">
        <v>0</v>
      </c>
      <c r="R932">
        <v>47.78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F932" t="s">
        <v>130</v>
      </c>
      <c r="AH932">
        <v>47.78</v>
      </c>
    </row>
    <row r="933" spans="1:34" x14ac:dyDescent="0.3">
      <c r="A933" s="4">
        <v>1045</v>
      </c>
      <c r="B933" s="5">
        <v>926</v>
      </c>
      <c r="C933">
        <v>8704</v>
      </c>
      <c r="D933" t="s">
        <v>775</v>
      </c>
      <c r="E933" t="s">
        <v>1242</v>
      </c>
      <c r="F933" t="s">
        <v>34</v>
      </c>
      <c r="G933" t="s">
        <v>20000</v>
      </c>
      <c r="H933">
        <v>18.75</v>
      </c>
      <c r="I933">
        <v>0</v>
      </c>
      <c r="J933">
        <v>0</v>
      </c>
      <c r="K933">
        <v>20</v>
      </c>
      <c r="M933">
        <v>5</v>
      </c>
      <c r="O933">
        <v>5</v>
      </c>
      <c r="P933">
        <v>4</v>
      </c>
      <c r="Q933">
        <v>0</v>
      </c>
      <c r="R933">
        <v>47.75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F933" t="s">
        <v>130</v>
      </c>
      <c r="AH933">
        <v>47.75</v>
      </c>
    </row>
    <row r="934" spans="1:34" x14ac:dyDescent="0.3">
      <c r="A934" s="4">
        <v>1046</v>
      </c>
      <c r="B934" s="5">
        <v>927</v>
      </c>
      <c r="C934">
        <v>10757</v>
      </c>
      <c r="D934" t="s">
        <v>3438</v>
      </c>
      <c r="E934" t="s">
        <v>41</v>
      </c>
      <c r="F934" t="s">
        <v>81</v>
      </c>
      <c r="G934" t="s">
        <v>20001</v>
      </c>
      <c r="H934">
        <v>18.73</v>
      </c>
      <c r="I934">
        <v>0</v>
      </c>
      <c r="J934">
        <v>0</v>
      </c>
      <c r="K934">
        <v>20</v>
      </c>
      <c r="N934">
        <v>3</v>
      </c>
      <c r="O934">
        <v>3</v>
      </c>
      <c r="P934">
        <v>4</v>
      </c>
      <c r="Q934">
        <v>2</v>
      </c>
      <c r="R934">
        <v>47.73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F934" t="s">
        <v>130</v>
      </c>
      <c r="AH934">
        <v>47.73</v>
      </c>
    </row>
    <row r="935" spans="1:34" x14ac:dyDescent="0.3">
      <c r="A935" s="4">
        <v>1047</v>
      </c>
      <c r="B935" s="5">
        <v>928</v>
      </c>
      <c r="C935">
        <v>410</v>
      </c>
      <c r="D935" t="s">
        <v>20002</v>
      </c>
      <c r="E935" t="s">
        <v>858</v>
      </c>
      <c r="F935" t="s">
        <v>17</v>
      </c>
      <c r="G935" t="s">
        <v>20003</v>
      </c>
      <c r="H935">
        <v>18.73</v>
      </c>
      <c r="I935">
        <v>0</v>
      </c>
      <c r="J935">
        <v>0</v>
      </c>
      <c r="K935">
        <v>20</v>
      </c>
      <c r="N935">
        <v>3</v>
      </c>
      <c r="O935">
        <v>3</v>
      </c>
      <c r="P935">
        <v>4</v>
      </c>
      <c r="Q935">
        <v>2</v>
      </c>
      <c r="R935">
        <v>47.73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F935" t="s">
        <v>130</v>
      </c>
      <c r="AH935">
        <v>47.73</v>
      </c>
    </row>
    <row r="936" spans="1:34" x14ac:dyDescent="0.3">
      <c r="A936" s="4">
        <v>1048</v>
      </c>
      <c r="B936" s="5">
        <v>929</v>
      </c>
      <c r="C936">
        <v>9219</v>
      </c>
      <c r="D936" t="s">
        <v>947</v>
      </c>
      <c r="E936" t="s">
        <v>178</v>
      </c>
      <c r="F936" t="s">
        <v>243</v>
      </c>
      <c r="G936" t="s">
        <v>20004</v>
      </c>
      <c r="H936">
        <v>16.73</v>
      </c>
      <c r="I936">
        <v>7</v>
      </c>
      <c r="J936">
        <v>0</v>
      </c>
      <c r="K936">
        <v>0</v>
      </c>
      <c r="O936">
        <v>0</v>
      </c>
      <c r="P936">
        <v>4</v>
      </c>
      <c r="Q936">
        <v>2</v>
      </c>
      <c r="R936">
        <v>29.73</v>
      </c>
      <c r="S936">
        <v>18</v>
      </c>
      <c r="T936">
        <v>18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18</v>
      </c>
      <c r="AB936">
        <v>0</v>
      </c>
      <c r="AC936">
        <v>0</v>
      </c>
      <c r="AF936" t="s">
        <v>130</v>
      </c>
      <c r="AH936">
        <v>47.73</v>
      </c>
    </row>
    <row r="937" spans="1:34" x14ac:dyDescent="0.3">
      <c r="A937" s="4">
        <v>1049</v>
      </c>
      <c r="B937" s="5">
        <v>930</v>
      </c>
      <c r="C937">
        <v>7338</v>
      </c>
      <c r="D937" t="s">
        <v>20005</v>
      </c>
      <c r="E937" t="s">
        <v>54</v>
      </c>
      <c r="F937" t="s">
        <v>190</v>
      </c>
      <c r="G937" t="s">
        <v>20006</v>
      </c>
      <c r="H937">
        <v>17.649999999999999</v>
      </c>
      <c r="I937">
        <v>0</v>
      </c>
      <c r="J937">
        <v>0</v>
      </c>
      <c r="K937">
        <v>20</v>
      </c>
      <c r="O937">
        <v>0</v>
      </c>
      <c r="P937">
        <v>4</v>
      </c>
      <c r="Q937">
        <v>0</v>
      </c>
      <c r="R937">
        <v>41.65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6</v>
      </c>
      <c r="AC937">
        <v>0</v>
      </c>
      <c r="AF937" t="s">
        <v>130</v>
      </c>
      <c r="AH937">
        <v>47.65</v>
      </c>
    </row>
    <row r="938" spans="1:34" x14ac:dyDescent="0.3">
      <c r="A938" s="4">
        <v>1050</v>
      </c>
      <c r="B938" s="5">
        <v>931</v>
      </c>
      <c r="C938">
        <v>8875</v>
      </c>
      <c r="D938" t="s">
        <v>20007</v>
      </c>
      <c r="E938" t="s">
        <v>1694</v>
      </c>
      <c r="F938" t="s">
        <v>328</v>
      </c>
      <c r="G938" t="s">
        <v>20008</v>
      </c>
      <c r="H938">
        <v>16.649999999999999</v>
      </c>
      <c r="I938">
        <v>0</v>
      </c>
      <c r="J938">
        <v>0</v>
      </c>
      <c r="K938">
        <v>0</v>
      </c>
      <c r="N938">
        <v>3</v>
      </c>
      <c r="O938">
        <v>3</v>
      </c>
      <c r="P938">
        <v>4</v>
      </c>
      <c r="Q938">
        <v>0</v>
      </c>
      <c r="R938">
        <v>23.65</v>
      </c>
      <c r="S938">
        <v>18</v>
      </c>
      <c r="T938">
        <v>18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18</v>
      </c>
      <c r="AB938">
        <v>6</v>
      </c>
      <c r="AC938">
        <v>0</v>
      </c>
      <c r="AF938" t="s">
        <v>130</v>
      </c>
      <c r="AH938">
        <v>47.65</v>
      </c>
    </row>
    <row r="939" spans="1:34" x14ac:dyDescent="0.3">
      <c r="A939" s="4">
        <v>1051</v>
      </c>
      <c r="B939" s="5">
        <v>932</v>
      </c>
      <c r="C939">
        <v>1701</v>
      </c>
      <c r="D939" t="s">
        <v>20009</v>
      </c>
      <c r="E939" t="s">
        <v>33</v>
      </c>
      <c r="F939" t="s">
        <v>136</v>
      </c>
      <c r="G939" t="s">
        <v>20010</v>
      </c>
      <c r="H939">
        <v>18.43</v>
      </c>
      <c r="I939">
        <v>0</v>
      </c>
      <c r="J939">
        <v>0</v>
      </c>
      <c r="K939">
        <v>20</v>
      </c>
      <c r="M939">
        <v>5</v>
      </c>
      <c r="O939">
        <v>5</v>
      </c>
      <c r="P939">
        <v>4</v>
      </c>
      <c r="Q939">
        <v>0</v>
      </c>
      <c r="R939">
        <v>47.43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F939" t="s">
        <v>130</v>
      </c>
      <c r="AH939">
        <v>47.43</v>
      </c>
    </row>
    <row r="940" spans="1:34" x14ac:dyDescent="0.3">
      <c r="A940" s="4">
        <v>1052</v>
      </c>
      <c r="B940" s="5">
        <v>933</v>
      </c>
      <c r="C940">
        <v>2731</v>
      </c>
      <c r="D940" t="s">
        <v>20011</v>
      </c>
      <c r="E940" t="s">
        <v>18599</v>
      </c>
      <c r="F940" t="s">
        <v>68</v>
      </c>
      <c r="G940" t="s">
        <v>20012</v>
      </c>
      <c r="H940">
        <v>20.399999999999999</v>
      </c>
      <c r="I940">
        <v>0</v>
      </c>
      <c r="J940">
        <v>0</v>
      </c>
      <c r="K940">
        <v>20</v>
      </c>
      <c r="N940">
        <v>3</v>
      </c>
      <c r="O940">
        <v>3</v>
      </c>
      <c r="P940">
        <v>4</v>
      </c>
      <c r="Q940">
        <v>0</v>
      </c>
      <c r="R940">
        <v>47.4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F940" t="s">
        <v>130</v>
      </c>
      <c r="AH940">
        <v>47.4</v>
      </c>
    </row>
    <row r="941" spans="1:34" x14ac:dyDescent="0.3">
      <c r="A941" s="4">
        <v>1053</v>
      </c>
      <c r="B941" s="5">
        <v>934</v>
      </c>
      <c r="C941">
        <v>9787</v>
      </c>
      <c r="D941" t="s">
        <v>20013</v>
      </c>
      <c r="E941" t="s">
        <v>29</v>
      </c>
      <c r="F941" t="s">
        <v>68</v>
      </c>
      <c r="G941" t="s">
        <v>20014</v>
      </c>
      <c r="H941">
        <v>20.28</v>
      </c>
      <c r="I941">
        <v>0</v>
      </c>
      <c r="J941">
        <v>0</v>
      </c>
      <c r="K941">
        <v>20</v>
      </c>
      <c r="N941">
        <v>3</v>
      </c>
      <c r="O941">
        <v>3</v>
      </c>
      <c r="P941">
        <v>4</v>
      </c>
      <c r="Q941">
        <v>0</v>
      </c>
      <c r="R941">
        <v>47.28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F941" t="s">
        <v>130</v>
      </c>
      <c r="AH941">
        <v>47.28</v>
      </c>
    </row>
    <row r="942" spans="1:34" x14ac:dyDescent="0.3">
      <c r="A942" s="4">
        <v>1054</v>
      </c>
      <c r="B942" s="5">
        <v>935</v>
      </c>
      <c r="C942">
        <v>3215</v>
      </c>
      <c r="D942" t="s">
        <v>20015</v>
      </c>
      <c r="E942" t="s">
        <v>48</v>
      </c>
      <c r="F942" t="s">
        <v>17</v>
      </c>
      <c r="G942" t="s">
        <v>20016</v>
      </c>
      <c r="H942">
        <v>20.25</v>
      </c>
      <c r="I942">
        <v>0</v>
      </c>
      <c r="J942">
        <v>0</v>
      </c>
      <c r="K942">
        <v>20</v>
      </c>
      <c r="N942">
        <v>3</v>
      </c>
      <c r="O942">
        <v>3</v>
      </c>
      <c r="P942">
        <v>4</v>
      </c>
      <c r="Q942">
        <v>0</v>
      </c>
      <c r="R942">
        <v>47.25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F942" t="s">
        <v>130</v>
      </c>
      <c r="AH942">
        <v>47.25</v>
      </c>
    </row>
    <row r="943" spans="1:34" x14ac:dyDescent="0.3">
      <c r="A943" s="4">
        <v>1055</v>
      </c>
      <c r="B943" s="5">
        <v>936</v>
      </c>
      <c r="C943">
        <v>6620</v>
      </c>
      <c r="D943" t="s">
        <v>1286</v>
      </c>
      <c r="E943" t="s">
        <v>1277</v>
      </c>
      <c r="F943" t="s">
        <v>975</v>
      </c>
      <c r="G943" t="s">
        <v>20017</v>
      </c>
      <c r="H943">
        <v>18.2</v>
      </c>
      <c r="I943">
        <v>0</v>
      </c>
      <c r="J943">
        <v>0</v>
      </c>
      <c r="K943">
        <v>20</v>
      </c>
      <c r="M943">
        <v>5</v>
      </c>
      <c r="O943">
        <v>5</v>
      </c>
      <c r="P943">
        <v>4</v>
      </c>
      <c r="Q943">
        <v>0</v>
      </c>
      <c r="R943">
        <v>47.2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F943" t="s">
        <v>130</v>
      </c>
      <c r="AH943">
        <v>47.2</v>
      </c>
    </row>
    <row r="944" spans="1:34" x14ac:dyDescent="0.3">
      <c r="A944" s="4">
        <v>1056</v>
      </c>
      <c r="B944" s="5">
        <v>937</v>
      </c>
      <c r="C944">
        <v>14697</v>
      </c>
      <c r="D944" t="s">
        <v>3356</v>
      </c>
      <c r="E944" t="s">
        <v>161</v>
      </c>
      <c r="F944" t="s">
        <v>3516</v>
      </c>
      <c r="G944" t="s">
        <v>6306</v>
      </c>
      <c r="H944">
        <v>20.03</v>
      </c>
      <c r="I944">
        <v>0</v>
      </c>
      <c r="J944">
        <v>0</v>
      </c>
      <c r="K944">
        <v>20</v>
      </c>
      <c r="N944">
        <v>3</v>
      </c>
      <c r="O944">
        <v>3</v>
      </c>
      <c r="P944">
        <v>4</v>
      </c>
      <c r="Q944">
        <v>0</v>
      </c>
      <c r="R944">
        <v>47.03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 t="s">
        <v>130</v>
      </c>
      <c r="AF944" t="s">
        <v>130</v>
      </c>
      <c r="AH944">
        <v>47.03</v>
      </c>
    </row>
    <row r="945" spans="1:34" x14ac:dyDescent="0.3">
      <c r="A945" s="4">
        <v>1057</v>
      </c>
      <c r="B945" s="5">
        <v>938</v>
      </c>
      <c r="C945">
        <v>15148</v>
      </c>
      <c r="D945" t="s">
        <v>717</v>
      </c>
      <c r="E945" t="s">
        <v>2481</v>
      </c>
      <c r="F945" t="s">
        <v>62</v>
      </c>
      <c r="G945" t="s">
        <v>20018</v>
      </c>
      <c r="H945">
        <v>18.03</v>
      </c>
      <c r="I945">
        <v>0</v>
      </c>
      <c r="J945">
        <v>0</v>
      </c>
      <c r="K945">
        <v>20</v>
      </c>
      <c r="N945">
        <v>3</v>
      </c>
      <c r="O945">
        <v>3</v>
      </c>
      <c r="P945">
        <v>4</v>
      </c>
      <c r="Q945">
        <v>2</v>
      </c>
      <c r="R945">
        <v>47.03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F945" t="s">
        <v>130</v>
      </c>
      <c r="AH945">
        <v>47.03</v>
      </c>
    </row>
    <row r="946" spans="1:34" x14ac:dyDescent="0.3">
      <c r="A946" s="4">
        <v>1058</v>
      </c>
      <c r="B946" s="5">
        <v>939</v>
      </c>
      <c r="C946">
        <v>10852</v>
      </c>
      <c r="D946" t="s">
        <v>20019</v>
      </c>
      <c r="E946" t="s">
        <v>283</v>
      </c>
      <c r="F946" t="s">
        <v>20</v>
      </c>
      <c r="G946" t="s">
        <v>20020</v>
      </c>
      <c r="H946">
        <v>18.88</v>
      </c>
      <c r="I946">
        <v>0</v>
      </c>
      <c r="J946">
        <v>0</v>
      </c>
      <c r="K946">
        <v>0</v>
      </c>
      <c r="L946">
        <v>14</v>
      </c>
      <c r="O946">
        <v>14</v>
      </c>
      <c r="P946">
        <v>4</v>
      </c>
      <c r="Q946">
        <v>2</v>
      </c>
      <c r="R946">
        <v>38.880000000000003</v>
      </c>
      <c r="S946">
        <v>8</v>
      </c>
      <c r="T946">
        <v>8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8</v>
      </c>
      <c r="AB946">
        <v>0</v>
      </c>
      <c r="AC946">
        <v>0</v>
      </c>
      <c r="AF946" t="s">
        <v>130</v>
      </c>
      <c r="AH946">
        <v>46.88</v>
      </c>
    </row>
    <row r="947" spans="1:34" x14ac:dyDescent="0.3">
      <c r="A947" s="4">
        <v>1059</v>
      </c>
      <c r="B947" s="5">
        <v>940</v>
      </c>
      <c r="C947">
        <v>1559</v>
      </c>
      <c r="D947" t="s">
        <v>20021</v>
      </c>
      <c r="E947" t="s">
        <v>132</v>
      </c>
      <c r="F947" t="s">
        <v>158</v>
      </c>
      <c r="G947" t="s">
        <v>20022</v>
      </c>
      <c r="H947">
        <v>17.78</v>
      </c>
      <c r="I947">
        <v>0</v>
      </c>
      <c r="J947">
        <v>0</v>
      </c>
      <c r="K947">
        <v>0</v>
      </c>
      <c r="L947">
        <v>7</v>
      </c>
      <c r="N947">
        <v>3</v>
      </c>
      <c r="O947">
        <v>10</v>
      </c>
      <c r="P947">
        <v>4</v>
      </c>
      <c r="Q947">
        <v>2</v>
      </c>
      <c r="R947">
        <v>33.78</v>
      </c>
      <c r="S947">
        <v>7</v>
      </c>
      <c r="T947">
        <v>7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</v>
      </c>
      <c r="AB947">
        <v>6</v>
      </c>
      <c r="AC947">
        <v>0</v>
      </c>
      <c r="AF947" t="s">
        <v>130</v>
      </c>
      <c r="AH947">
        <v>46.78</v>
      </c>
    </row>
    <row r="948" spans="1:34" x14ac:dyDescent="0.3">
      <c r="A948" s="4">
        <v>1060</v>
      </c>
      <c r="B948" s="5">
        <v>941</v>
      </c>
      <c r="C948">
        <v>5268</v>
      </c>
      <c r="D948" t="s">
        <v>19813</v>
      </c>
      <c r="E948" t="s">
        <v>1576</v>
      </c>
      <c r="F948" t="s">
        <v>30</v>
      </c>
      <c r="G948" t="s">
        <v>20023</v>
      </c>
      <c r="H948">
        <v>17.78</v>
      </c>
      <c r="I948">
        <v>0</v>
      </c>
      <c r="J948">
        <v>0</v>
      </c>
      <c r="K948">
        <v>20</v>
      </c>
      <c r="N948">
        <v>3</v>
      </c>
      <c r="O948">
        <v>3</v>
      </c>
      <c r="P948">
        <v>4</v>
      </c>
      <c r="Q948">
        <v>2</v>
      </c>
      <c r="R948">
        <v>46.78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F948" t="s">
        <v>130</v>
      </c>
      <c r="AH948">
        <v>46.78</v>
      </c>
    </row>
    <row r="949" spans="1:34" x14ac:dyDescent="0.3">
      <c r="A949" s="4">
        <v>1061</v>
      </c>
      <c r="B949" s="5">
        <v>942</v>
      </c>
      <c r="C949">
        <v>14101</v>
      </c>
      <c r="D949" t="s">
        <v>20024</v>
      </c>
      <c r="E949" t="s">
        <v>349</v>
      </c>
      <c r="F949" t="s">
        <v>687</v>
      </c>
      <c r="G949" t="s">
        <v>20025</v>
      </c>
      <c r="H949">
        <v>16.75</v>
      </c>
      <c r="I949">
        <v>0</v>
      </c>
      <c r="J949">
        <v>0</v>
      </c>
      <c r="K949">
        <v>20</v>
      </c>
      <c r="O949">
        <v>0</v>
      </c>
      <c r="P949">
        <v>4</v>
      </c>
      <c r="Q949">
        <v>0</v>
      </c>
      <c r="R949">
        <v>40.75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6</v>
      </c>
      <c r="AC949">
        <v>0</v>
      </c>
      <c r="AF949" t="s">
        <v>130</v>
      </c>
      <c r="AH949">
        <v>46.75</v>
      </c>
    </row>
    <row r="950" spans="1:34" x14ac:dyDescent="0.3">
      <c r="A950" s="4">
        <v>1062</v>
      </c>
      <c r="B950" s="5">
        <v>943</v>
      </c>
      <c r="C950">
        <v>9720</v>
      </c>
      <c r="D950" t="s">
        <v>15322</v>
      </c>
      <c r="E950" t="s">
        <v>188</v>
      </c>
      <c r="F950" t="s">
        <v>38</v>
      </c>
      <c r="G950" t="s">
        <v>20026</v>
      </c>
      <c r="H950">
        <v>19.73</v>
      </c>
      <c r="I950">
        <v>0</v>
      </c>
      <c r="J950">
        <v>0</v>
      </c>
      <c r="K950">
        <v>20</v>
      </c>
      <c r="N950">
        <v>3</v>
      </c>
      <c r="O950">
        <v>3</v>
      </c>
      <c r="P950">
        <v>4</v>
      </c>
      <c r="Q950">
        <v>0</v>
      </c>
      <c r="R950">
        <v>46.73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F950" t="s">
        <v>130</v>
      </c>
      <c r="AH950">
        <v>46.73</v>
      </c>
    </row>
    <row r="951" spans="1:34" x14ac:dyDescent="0.3">
      <c r="A951" s="4">
        <v>1063</v>
      </c>
      <c r="B951" s="5">
        <v>944</v>
      </c>
      <c r="C951">
        <v>2756</v>
      </c>
      <c r="D951" t="s">
        <v>1449</v>
      </c>
      <c r="E951" t="s">
        <v>2843</v>
      </c>
      <c r="F951" t="s">
        <v>521</v>
      </c>
      <c r="G951" t="s">
        <v>4434</v>
      </c>
      <c r="H951">
        <v>20.7</v>
      </c>
      <c r="I951">
        <v>7</v>
      </c>
      <c r="J951">
        <v>0</v>
      </c>
      <c r="K951">
        <v>0</v>
      </c>
      <c r="L951">
        <v>7</v>
      </c>
      <c r="O951">
        <v>7</v>
      </c>
      <c r="P951">
        <v>4</v>
      </c>
      <c r="Q951">
        <v>2</v>
      </c>
      <c r="R951">
        <v>40.700000000000003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6</v>
      </c>
      <c r="AC951">
        <v>0</v>
      </c>
      <c r="AD951" t="s">
        <v>130</v>
      </c>
      <c r="AF951" t="s">
        <v>130</v>
      </c>
      <c r="AH951">
        <v>46.7</v>
      </c>
    </row>
    <row r="952" spans="1:34" x14ac:dyDescent="0.3">
      <c r="A952" s="4">
        <v>1064</v>
      </c>
      <c r="B952" s="5">
        <v>945</v>
      </c>
      <c r="C952">
        <v>4158</v>
      </c>
      <c r="D952" t="s">
        <v>20027</v>
      </c>
      <c r="E952" t="s">
        <v>20028</v>
      </c>
      <c r="F952" t="s">
        <v>14</v>
      </c>
      <c r="G952" t="s">
        <v>20029</v>
      </c>
      <c r="H952">
        <v>20.58</v>
      </c>
      <c r="I952">
        <v>0</v>
      </c>
      <c r="J952">
        <v>0</v>
      </c>
      <c r="K952">
        <v>20</v>
      </c>
      <c r="O952">
        <v>0</v>
      </c>
      <c r="P952">
        <v>4</v>
      </c>
      <c r="Q952">
        <v>2</v>
      </c>
      <c r="R952">
        <v>46.58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F952" t="s">
        <v>130</v>
      </c>
      <c r="AH952">
        <v>46.58</v>
      </c>
    </row>
    <row r="953" spans="1:34" x14ac:dyDescent="0.3">
      <c r="A953" s="4">
        <v>1065</v>
      </c>
      <c r="B953" s="5">
        <v>946</v>
      </c>
      <c r="C953">
        <v>1813</v>
      </c>
      <c r="D953" t="s">
        <v>20030</v>
      </c>
      <c r="E953" t="s">
        <v>4801</v>
      </c>
      <c r="F953" t="s">
        <v>81</v>
      </c>
      <c r="G953" t="s">
        <v>20031</v>
      </c>
      <c r="H953">
        <v>17.579999999999998</v>
      </c>
      <c r="I953">
        <v>0</v>
      </c>
      <c r="J953">
        <v>0</v>
      </c>
      <c r="K953">
        <v>20</v>
      </c>
      <c r="N953">
        <v>3</v>
      </c>
      <c r="O953">
        <v>3</v>
      </c>
      <c r="P953">
        <v>4</v>
      </c>
      <c r="Q953">
        <v>2</v>
      </c>
      <c r="R953">
        <v>46.58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F953" t="s">
        <v>130</v>
      </c>
      <c r="AH953">
        <v>46.58</v>
      </c>
    </row>
    <row r="954" spans="1:34" x14ac:dyDescent="0.3">
      <c r="A954" s="4">
        <v>1066</v>
      </c>
      <c r="B954" s="5">
        <v>947</v>
      </c>
      <c r="C954">
        <v>7639</v>
      </c>
      <c r="D954" t="s">
        <v>20032</v>
      </c>
      <c r="E954" t="s">
        <v>26</v>
      </c>
      <c r="F954" t="s">
        <v>81</v>
      </c>
      <c r="G954" t="s">
        <v>20033</v>
      </c>
      <c r="H954">
        <v>19.53</v>
      </c>
      <c r="I954">
        <v>0</v>
      </c>
      <c r="J954">
        <v>0</v>
      </c>
      <c r="K954">
        <v>20</v>
      </c>
      <c r="N954">
        <v>3</v>
      </c>
      <c r="O954">
        <v>3</v>
      </c>
      <c r="P954">
        <v>4</v>
      </c>
      <c r="Q954">
        <v>0</v>
      </c>
      <c r="R954">
        <v>46.53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F954" t="s">
        <v>130</v>
      </c>
      <c r="AH954">
        <v>46.53</v>
      </c>
    </row>
    <row r="955" spans="1:34" x14ac:dyDescent="0.3">
      <c r="A955" s="4">
        <v>1067</v>
      </c>
      <c r="B955" s="5">
        <v>948</v>
      </c>
      <c r="C955">
        <v>6170</v>
      </c>
      <c r="D955" t="s">
        <v>1299</v>
      </c>
      <c r="E955" t="s">
        <v>33</v>
      </c>
      <c r="F955" t="s">
        <v>230</v>
      </c>
      <c r="G955" t="s">
        <v>20034</v>
      </c>
      <c r="H955">
        <v>17.5</v>
      </c>
      <c r="I955">
        <v>0</v>
      </c>
      <c r="J955">
        <v>0</v>
      </c>
      <c r="K955">
        <v>20</v>
      </c>
      <c r="N955">
        <v>3</v>
      </c>
      <c r="O955">
        <v>3</v>
      </c>
      <c r="P955">
        <v>4</v>
      </c>
      <c r="Q955">
        <v>2</v>
      </c>
      <c r="R955">
        <v>46.5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F955" t="s">
        <v>130</v>
      </c>
      <c r="AH955">
        <v>46.5</v>
      </c>
    </row>
    <row r="956" spans="1:34" x14ac:dyDescent="0.3">
      <c r="A956" s="4">
        <v>1068</v>
      </c>
      <c r="B956" s="5">
        <v>949</v>
      </c>
      <c r="C956">
        <v>11796</v>
      </c>
      <c r="D956" t="s">
        <v>20035</v>
      </c>
      <c r="E956" t="s">
        <v>342</v>
      </c>
      <c r="F956" t="s">
        <v>20</v>
      </c>
      <c r="G956" t="s">
        <v>20036</v>
      </c>
      <c r="H956">
        <v>19.48</v>
      </c>
      <c r="I956">
        <v>0</v>
      </c>
      <c r="J956">
        <v>0</v>
      </c>
      <c r="K956">
        <v>0</v>
      </c>
      <c r="N956">
        <v>3</v>
      </c>
      <c r="O956">
        <v>3</v>
      </c>
      <c r="P956">
        <v>4</v>
      </c>
      <c r="Q956">
        <v>2</v>
      </c>
      <c r="R956">
        <v>28.48</v>
      </c>
      <c r="S956">
        <v>18</v>
      </c>
      <c r="T956">
        <v>18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18</v>
      </c>
      <c r="AB956">
        <v>0</v>
      </c>
      <c r="AC956">
        <v>0</v>
      </c>
      <c r="AF956" t="s">
        <v>130</v>
      </c>
      <c r="AH956">
        <v>46.48</v>
      </c>
    </row>
    <row r="957" spans="1:34" x14ac:dyDescent="0.3">
      <c r="A957" s="4">
        <v>1069</v>
      </c>
      <c r="B957" s="5">
        <v>950</v>
      </c>
      <c r="C957">
        <v>3823</v>
      </c>
      <c r="D957" t="s">
        <v>1449</v>
      </c>
      <c r="E957" t="s">
        <v>20037</v>
      </c>
      <c r="F957" t="s">
        <v>124</v>
      </c>
      <c r="G957" t="s">
        <v>20038</v>
      </c>
      <c r="H957">
        <v>16.25</v>
      </c>
      <c r="I957">
        <v>0</v>
      </c>
      <c r="J957">
        <v>0</v>
      </c>
      <c r="K957">
        <v>20</v>
      </c>
      <c r="O957">
        <v>0</v>
      </c>
      <c r="P957">
        <v>4</v>
      </c>
      <c r="Q957">
        <v>0</v>
      </c>
      <c r="R957">
        <v>40.25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6</v>
      </c>
      <c r="AC957">
        <v>0</v>
      </c>
      <c r="AF957" t="s">
        <v>130</v>
      </c>
      <c r="AH957">
        <v>46.25</v>
      </c>
    </row>
    <row r="958" spans="1:34" x14ac:dyDescent="0.3">
      <c r="A958" s="4">
        <v>1070</v>
      </c>
      <c r="B958" s="5">
        <v>951</v>
      </c>
      <c r="C958">
        <v>5262</v>
      </c>
      <c r="D958" t="s">
        <v>20039</v>
      </c>
      <c r="E958" t="s">
        <v>17</v>
      </c>
      <c r="F958" t="s">
        <v>20040</v>
      </c>
      <c r="G958" t="s">
        <v>20041</v>
      </c>
      <c r="H958">
        <v>17.05</v>
      </c>
      <c r="I958">
        <v>0</v>
      </c>
      <c r="J958">
        <v>0</v>
      </c>
      <c r="K958">
        <v>20</v>
      </c>
      <c r="N958">
        <v>3</v>
      </c>
      <c r="O958">
        <v>3</v>
      </c>
      <c r="P958">
        <v>4</v>
      </c>
      <c r="Q958">
        <v>2</v>
      </c>
      <c r="R958">
        <v>46.05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F958" t="s">
        <v>130</v>
      </c>
      <c r="AH958">
        <v>46.05</v>
      </c>
    </row>
    <row r="959" spans="1:34" x14ac:dyDescent="0.3">
      <c r="A959" s="4">
        <v>1071</v>
      </c>
      <c r="B959" s="5">
        <v>952</v>
      </c>
      <c r="C959">
        <v>14651</v>
      </c>
      <c r="D959" t="s">
        <v>20042</v>
      </c>
      <c r="E959" t="s">
        <v>20043</v>
      </c>
      <c r="F959" t="s">
        <v>68</v>
      </c>
      <c r="G959" t="s">
        <v>20044</v>
      </c>
      <c r="H959">
        <v>19.03</v>
      </c>
      <c r="I959">
        <v>0</v>
      </c>
      <c r="J959">
        <v>0</v>
      </c>
      <c r="K959">
        <v>20</v>
      </c>
      <c r="N959">
        <v>3</v>
      </c>
      <c r="O959">
        <v>3</v>
      </c>
      <c r="P959">
        <v>4</v>
      </c>
      <c r="Q959">
        <v>0</v>
      </c>
      <c r="R959">
        <v>46.03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F959" t="s">
        <v>130</v>
      </c>
      <c r="AH959">
        <v>46.03</v>
      </c>
    </row>
    <row r="960" spans="1:34" x14ac:dyDescent="0.3">
      <c r="A960" s="4">
        <v>1072</v>
      </c>
      <c r="B960" s="5">
        <v>953</v>
      </c>
      <c r="C960">
        <v>4973</v>
      </c>
      <c r="D960" t="s">
        <v>18730</v>
      </c>
      <c r="E960" t="s">
        <v>355</v>
      </c>
      <c r="F960" t="s">
        <v>62</v>
      </c>
      <c r="G960" t="s">
        <v>20045</v>
      </c>
      <c r="H960">
        <v>19.03</v>
      </c>
      <c r="I960">
        <v>0</v>
      </c>
      <c r="J960">
        <v>0</v>
      </c>
      <c r="K960">
        <v>0</v>
      </c>
      <c r="M960">
        <v>5</v>
      </c>
      <c r="O960">
        <v>5</v>
      </c>
      <c r="P960">
        <v>4</v>
      </c>
      <c r="Q960">
        <v>2</v>
      </c>
      <c r="R960">
        <v>30.03</v>
      </c>
      <c r="S960">
        <v>16</v>
      </c>
      <c r="T960">
        <v>16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16</v>
      </c>
      <c r="AB960">
        <v>0</v>
      </c>
      <c r="AC960">
        <v>0</v>
      </c>
      <c r="AD960" t="s">
        <v>130</v>
      </c>
      <c r="AF960" t="s">
        <v>130</v>
      </c>
      <c r="AH960">
        <v>46.03</v>
      </c>
    </row>
    <row r="961" spans="1:34" x14ac:dyDescent="0.3">
      <c r="A961" s="4">
        <v>1073</v>
      </c>
      <c r="B961" s="5">
        <v>954</v>
      </c>
      <c r="C961">
        <v>3816</v>
      </c>
      <c r="D961" t="s">
        <v>20046</v>
      </c>
      <c r="E961" t="s">
        <v>15078</v>
      </c>
      <c r="F961" t="s">
        <v>91</v>
      </c>
      <c r="G961" t="s">
        <v>20047</v>
      </c>
      <c r="H961">
        <v>19.03</v>
      </c>
      <c r="I961">
        <v>0</v>
      </c>
      <c r="J961">
        <v>0</v>
      </c>
      <c r="K961">
        <v>0</v>
      </c>
      <c r="N961">
        <v>3</v>
      </c>
      <c r="O961">
        <v>3</v>
      </c>
      <c r="P961">
        <v>4</v>
      </c>
      <c r="Q961">
        <v>2</v>
      </c>
      <c r="R961">
        <v>28.03</v>
      </c>
      <c r="S961">
        <v>18</v>
      </c>
      <c r="T961">
        <v>18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18</v>
      </c>
      <c r="AB961">
        <v>0</v>
      </c>
      <c r="AC961">
        <v>0</v>
      </c>
      <c r="AF961" t="s">
        <v>130</v>
      </c>
      <c r="AH961">
        <v>46.03</v>
      </c>
    </row>
    <row r="962" spans="1:34" x14ac:dyDescent="0.3">
      <c r="A962" s="4">
        <v>1074</v>
      </c>
      <c r="B962" s="5">
        <v>955</v>
      </c>
      <c r="C962">
        <v>4082</v>
      </c>
      <c r="D962" t="s">
        <v>71</v>
      </c>
      <c r="E962" t="s">
        <v>5357</v>
      </c>
      <c r="F962" t="s">
        <v>17</v>
      </c>
      <c r="G962" t="s">
        <v>20048</v>
      </c>
      <c r="H962">
        <v>19.03</v>
      </c>
      <c r="I962">
        <v>0</v>
      </c>
      <c r="J962">
        <v>0</v>
      </c>
      <c r="K962">
        <v>0</v>
      </c>
      <c r="N962">
        <v>3</v>
      </c>
      <c r="O962">
        <v>3</v>
      </c>
      <c r="P962">
        <v>4</v>
      </c>
      <c r="Q962">
        <v>2</v>
      </c>
      <c r="R962">
        <v>28.03</v>
      </c>
      <c r="S962">
        <v>18</v>
      </c>
      <c r="T962">
        <v>18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18</v>
      </c>
      <c r="AB962">
        <v>0</v>
      </c>
      <c r="AC962">
        <v>0</v>
      </c>
      <c r="AF962" t="s">
        <v>130</v>
      </c>
      <c r="AH962">
        <v>46.03</v>
      </c>
    </row>
    <row r="963" spans="1:34" x14ac:dyDescent="0.3">
      <c r="A963" s="4">
        <v>1075</v>
      </c>
      <c r="B963" s="5">
        <v>956</v>
      </c>
      <c r="C963">
        <v>12671</v>
      </c>
      <c r="D963" t="s">
        <v>20049</v>
      </c>
      <c r="E963" t="s">
        <v>132</v>
      </c>
      <c r="F963" t="s">
        <v>17</v>
      </c>
      <c r="G963" t="s">
        <v>20050</v>
      </c>
      <c r="H963">
        <v>18.98</v>
      </c>
      <c r="I963">
        <v>0</v>
      </c>
      <c r="J963">
        <v>0</v>
      </c>
      <c r="K963">
        <v>0</v>
      </c>
      <c r="N963">
        <v>3</v>
      </c>
      <c r="O963">
        <v>3</v>
      </c>
      <c r="P963">
        <v>4</v>
      </c>
      <c r="Q963">
        <v>2</v>
      </c>
      <c r="R963">
        <v>27.98</v>
      </c>
      <c r="S963">
        <v>18</v>
      </c>
      <c r="T963">
        <v>18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18</v>
      </c>
      <c r="AB963">
        <v>0</v>
      </c>
      <c r="AC963">
        <v>0</v>
      </c>
      <c r="AF963" t="s">
        <v>130</v>
      </c>
      <c r="AH963">
        <v>45.98</v>
      </c>
    </row>
    <row r="964" spans="1:34" x14ac:dyDescent="0.3">
      <c r="A964" s="4">
        <v>1076</v>
      </c>
      <c r="B964" s="5">
        <v>957</v>
      </c>
      <c r="C964">
        <v>7622</v>
      </c>
      <c r="D964" t="s">
        <v>20051</v>
      </c>
      <c r="E964" t="s">
        <v>972</v>
      </c>
      <c r="F964" t="s">
        <v>782</v>
      </c>
      <c r="G964" t="s">
        <v>20052</v>
      </c>
      <c r="H964">
        <v>16.899999999999999</v>
      </c>
      <c r="I964">
        <v>0</v>
      </c>
      <c r="J964">
        <v>0</v>
      </c>
      <c r="K964">
        <v>20</v>
      </c>
      <c r="N964">
        <v>3</v>
      </c>
      <c r="O964">
        <v>3</v>
      </c>
      <c r="P964">
        <v>4</v>
      </c>
      <c r="Q964">
        <v>2</v>
      </c>
      <c r="R964">
        <v>45.9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 t="s">
        <v>130</v>
      </c>
      <c r="AF964" t="s">
        <v>130</v>
      </c>
      <c r="AH964">
        <v>45.9</v>
      </c>
    </row>
    <row r="965" spans="1:34" x14ac:dyDescent="0.3">
      <c r="A965" s="4">
        <v>1077</v>
      </c>
      <c r="B965" s="5">
        <v>958</v>
      </c>
      <c r="C965">
        <v>7931</v>
      </c>
      <c r="D965" t="s">
        <v>20053</v>
      </c>
      <c r="E965" t="s">
        <v>38</v>
      </c>
      <c r="F965" t="s">
        <v>81</v>
      </c>
      <c r="G965" t="s">
        <v>20054</v>
      </c>
      <c r="H965">
        <v>18.88</v>
      </c>
      <c r="I965">
        <v>0</v>
      </c>
      <c r="J965">
        <v>0</v>
      </c>
      <c r="K965">
        <v>0</v>
      </c>
      <c r="N965">
        <v>3</v>
      </c>
      <c r="O965">
        <v>3</v>
      </c>
      <c r="P965">
        <v>4</v>
      </c>
      <c r="Q965">
        <v>2</v>
      </c>
      <c r="R965">
        <v>27.88</v>
      </c>
      <c r="S965">
        <v>18</v>
      </c>
      <c r="T965">
        <v>18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18</v>
      </c>
      <c r="AB965">
        <v>0</v>
      </c>
      <c r="AC965">
        <v>0</v>
      </c>
      <c r="AF965" t="s">
        <v>130</v>
      </c>
      <c r="AH965">
        <v>45.88</v>
      </c>
    </row>
    <row r="966" spans="1:34" x14ac:dyDescent="0.3">
      <c r="A966" s="4">
        <v>1078</v>
      </c>
      <c r="B966" s="5">
        <v>959</v>
      </c>
      <c r="C966">
        <v>6636</v>
      </c>
      <c r="D966" t="s">
        <v>20055</v>
      </c>
      <c r="E966" t="s">
        <v>5537</v>
      </c>
      <c r="F966" t="s">
        <v>136</v>
      </c>
      <c r="G966" t="s">
        <v>20056</v>
      </c>
      <c r="H966">
        <v>15.85</v>
      </c>
      <c r="I966">
        <v>0</v>
      </c>
      <c r="J966">
        <v>0</v>
      </c>
      <c r="K966">
        <v>20</v>
      </c>
      <c r="O966">
        <v>0</v>
      </c>
      <c r="P966">
        <v>4</v>
      </c>
      <c r="Q966">
        <v>0</v>
      </c>
      <c r="R966">
        <v>39.85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6</v>
      </c>
      <c r="AC966">
        <v>0</v>
      </c>
      <c r="AF966" t="s">
        <v>130</v>
      </c>
      <c r="AH966">
        <v>45.85</v>
      </c>
    </row>
    <row r="967" spans="1:34" x14ac:dyDescent="0.3">
      <c r="A967" s="4">
        <v>1079</v>
      </c>
      <c r="B967" s="5">
        <v>960</v>
      </c>
      <c r="C967">
        <v>5079</v>
      </c>
      <c r="D967" t="s">
        <v>20057</v>
      </c>
      <c r="E967" t="s">
        <v>20058</v>
      </c>
      <c r="F967" t="s">
        <v>20059</v>
      </c>
      <c r="G967">
        <v>645146409</v>
      </c>
      <c r="H967">
        <v>20.85</v>
      </c>
      <c r="I967">
        <v>0</v>
      </c>
      <c r="J967">
        <v>0</v>
      </c>
      <c r="K967">
        <v>0</v>
      </c>
      <c r="N967">
        <v>3</v>
      </c>
      <c r="O967">
        <v>3</v>
      </c>
      <c r="P967">
        <v>4</v>
      </c>
      <c r="Q967">
        <v>0</v>
      </c>
      <c r="R967">
        <v>27.85</v>
      </c>
      <c r="S967">
        <v>18</v>
      </c>
      <c r="T967">
        <v>18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18</v>
      </c>
      <c r="AB967">
        <v>0</v>
      </c>
      <c r="AC967">
        <v>0</v>
      </c>
      <c r="AD967" t="s">
        <v>130</v>
      </c>
      <c r="AF967" t="s">
        <v>130</v>
      </c>
      <c r="AH967">
        <v>45.85</v>
      </c>
    </row>
    <row r="968" spans="1:34" x14ac:dyDescent="0.3">
      <c r="A968" s="4">
        <v>1080</v>
      </c>
      <c r="B968" s="5">
        <v>961</v>
      </c>
      <c r="C968">
        <v>15569</v>
      </c>
      <c r="D968" t="s">
        <v>2980</v>
      </c>
      <c r="E968" t="s">
        <v>88</v>
      </c>
      <c r="F968" t="s">
        <v>117</v>
      </c>
      <c r="G968" t="s">
        <v>20060</v>
      </c>
      <c r="H968">
        <v>19.8</v>
      </c>
      <c r="I968">
        <v>0</v>
      </c>
      <c r="J968">
        <v>0</v>
      </c>
      <c r="K968">
        <v>0</v>
      </c>
      <c r="N968">
        <v>3</v>
      </c>
      <c r="O968">
        <v>3</v>
      </c>
      <c r="P968">
        <v>4</v>
      </c>
      <c r="Q968">
        <v>2</v>
      </c>
      <c r="R968">
        <v>28.8</v>
      </c>
      <c r="S968">
        <v>17</v>
      </c>
      <c r="T968">
        <v>17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17</v>
      </c>
      <c r="AB968">
        <v>0</v>
      </c>
      <c r="AC968">
        <v>0</v>
      </c>
      <c r="AF968" t="s">
        <v>130</v>
      </c>
      <c r="AH968">
        <v>45.8</v>
      </c>
    </row>
    <row r="969" spans="1:34" x14ac:dyDescent="0.3">
      <c r="A969" s="4">
        <v>1081</v>
      </c>
      <c r="B969" s="5">
        <v>962</v>
      </c>
      <c r="C969">
        <v>11497</v>
      </c>
      <c r="D969" t="s">
        <v>20061</v>
      </c>
      <c r="E969" t="s">
        <v>358</v>
      </c>
      <c r="F969" t="s">
        <v>1023</v>
      </c>
      <c r="G969" t="s">
        <v>20062</v>
      </c>
      <c r="H969">
        <v>18.8</v>
      </c>
      <c r="I969">
        <v>0</v>
      </c>
      <c r="J969">
        <v>0</v>
      </c>
      <c r="K969">
        <v>0</v>
      </c>
      <c r="O969">
        <v>0</v>
      </c>
      <c r="P969">
        <v>4</v>
      </c>
      <c r="Q969">
        <v>0</v>
      </c>
      <c r="R969">
        <v>22.8</v>
      </c>
      <c r="S969">
        <v>5</v>
      </c>
      <c r="T969">
        <v>5</v>
      </c>
      <c r="U969">
        <v>9</v>
      </c>
      <c r="V969">
        <v>18</v>
      </c>
      <c r="W969">
        <v>0</v>
      </c>
      <c r="X969">
        <v>0</v>
      </c>
      <c r="Y969">
        <v>0</v>
      </c>
      <c r="Z969">
        <v>0</v>
      </c>
      <c r="AA969">
        <v>23</v>
      </c>
      <c r="AB969">
        <v>0</v>
      </c>
      <c r="AC969">
        <v>0</v>
      </c>
      <c r="AF969" t="s">
        <v>130</v>
      </c>
      <c r="AH969">
        <v>45.8</v>
      </c>
    </row>
    <row r="970" spans="1:34" x14ac:dyDescent="0.3">
      <c r="A970" s="4">
        <v>1082</v>
      </c>
      <c r="B970" s="5">
        <v>963</v>
      </c>
      <c r="C970">
        <v>11751</v>
      </c>
      <c r="D970" t="s">
        <v>7685</v>
      </c>
      <c r="E970" t="s">
        <v>110</v>
      </c>
      <c r="F970" t="s">
        <v>68</v>
      </c>
      <c r="G970" t="s">
        <v>20063</v>
      </c>
      <c r="H970">
        <v>20.75</v>
      </c>
      <c r="I970">
        <v>7</v>
      </c>
      <c r="J970">
        <v>0</v>
      </c>
      <c r="K970">
        <v>0</v>
      </c>
      <c r="L970">
        <v>14</v>
      </c>
      <c r="O970">
        <v>14</v>
      </c>
      <c r="P970">
        <v>4</v>
      </c>
      <c r="Q970">
        <v>0</v>
      </c>
      <c r="R970">
        <v>45.75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F970" t="s">
        <v>130</v>
      </c>
      <c r="AH970">
        <v>45.75</v>
      </c>
    </row>
    <row r="971" spans="1:34" x14ac:dyDescent="0.3">
      <c r="A971" s="4">
        <v>1083</v>
      </c>
      <c r="B971" s="5">
        <v>964</v>
      </c>
      <c r="C971">
        <v>8028</v>
      </c>
      <c r="D971" t="s">
        <v>20064</v>
      </c>
      <c r="E971" t="s">
        <v>355</v>
      </c>
      <c r="F971" t="s">
        <v>190</v>
      </c>
      <c r="G971" t="s">
        <v>20065</v>
      </c>
      <c r="H971">
        <v>18.7</v>
      </c>
      <c r="I971">
        <v>0</v>
      </c>
      <c r="J971">
        <v>0</v>
      </c>
      <c r="K971">
        <v>20</v>
      </c>
      <c r="N971">
        <v>3</v>
      </c>
      <c r="O971">
        <v>3</v>
      </c>
      <c r="P971">
        <v>4</v>
      </c>
      <c r="Q971">
        <v>0</v>
      </c>
      <c r="R971">
        <v>45.7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F971" t="s">
        <v>130</v>
      </c>
      <c r="AH971">
        <v>45.7</v>
      </c>
    </row>
    <row r="972" spans="1:34" x14ac:dyDescent="0.3">
      <c r="A972" s="4">
        <v>1085</v>
      </c>
      <c r="B972" s="5">
        <v>965</v>
      </c>
      <c r="C972">
        <v>8223</v>
      </c>
      <c r="D972" t="s">
        <v>421</v>
      </c>
      <c r="E972" t="s">
        <v>967</v>
      </c>
      <c r="F972" t="s">
        <v>801</v>
      </c>
      <c r="G972" t="s">
        <v>20066</v>
      </c>
      <c r="H972">
        <v>18.53</v>
      </c>
      <c r="I972">
        <v>0</v>
      </c>
      <c r="J972">
        <v>0</v>
      </c>
      <c r="K972">
        <v>0</v>
      </c>
      <c r="N972">
        <v>3</v>
      </c>
      <c r="O972">
        <v>3</v>
      </c>
      <c r="P972">
        <v>4</v>
      </c>
      <c r="Q972">
        <v>2</v>
      </c>
      <c r="R972">
        <v>27.53</v>
      </c>
      <c r="S972">
        <v>18</v>
      </c>
      <c r="T972">
        <v>18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18</v>
      </c>
      <c r="AB972">
        <v>0</v>
      </c>
      <c r="AC972">
        <v>0</v>
      </c>
      <c r="AF972" t="s">
        <v>130</v>
      </c>
      <c r="AH972">
        <v>45.53</v>
      </c>
    </row>
    <row r="973" spans="1:34" x14ac:dyDescent="0.3">
      <c r="A973" s="4">
        <v>1086</v>
      </c>
      <c r="B973" s="5">
        <v>966</v>
      </c>
      <c r="C973">
        <v>11192</v>
      </c>
      <c r="D973" t="s">
        <v>14894</v>
      </c>
      <c r="E973" t="s">
        <v>652</v>
      </c>
      <c r="F973" t="s">
        <v>2998</v>
      </c>
      <c r="G973" t="s">
        <v>20067</v>
      </c>
      <c r="H973">
        <v>17.329999999999998</v>
      </c>
      <c r="I973">
        <v>0</v>
      </c>
      <c r="J973">
        <v>0</v>
      </c>
      <c r="K973">
        <v>0</v>
      </c>
      <c r="L973">
        <v>7</v>
      </c>
      <c r="O973">
        <v>7</v>
      </c>
      <c r="P973">
        <v>4</v>
      </c>
      <c r="Q973">
        <v>2</v>
      </c>
      <c r="R973">
        <v>30.33</v>
      </c>
      <c r="S973">
        <v>15</v>
      </c>
      <c r="T973">
        <v>15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15</v>
      </c>
      <c r="AB973">
        <v>0</v>
      </c>
      <c r="AC973">
        <v>0</v>
      </c>
      <c r="AF973" t="s">
        <v>130</v>
      </c>
      <c r="AH973">
        <v>45.33</v>
      </c>
    </row>
    <row r="974" spans="1:34" x14ac:dyDescent="0.3">
      <c r="A974" s="4">
        <v>1087</v>
      </c>
      <c r="B974" s="5">
        <v>967</v>
      </c>
      <c r="C974">
        <v>11569</v>
      </c>
      <c r="D974" t="s">
        <v>20068</v>
      </c>
      <c r="E974" t="s">
        <v>1152</v>
      </c>
      <c r="F974" t="s">
        <v>230</v>
      </c>
      <c r="G974" t="s">
        <v>20069</v>
      </c>
      <c r="H974">
        <v>17.329999999999998</v>
      </c>
      <c r="I974">
        <v>0</v>
      </c>
      <c r="J974">
        <v>0</v>
      </c>
      <c r="K974">
        <v>0</v>
      </c>
      <c r="L974">
        <v>7</v>
      </c>
      <c r="O974">
        <v>7</v>
      </c>
      <c r="P974">
        <v>4</v>
      </c>
      <c r="Q974">
        <v>0</v>
      </c>
      <c r="R974">
        <v>28.33</v>
      </c>
      <c r="S974">
        <v>17</v>
      </c>
      <c r="T974">
        <v>17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17</v>
      </c>
      <c r="AB974">
        <v>0</v>
      </c>
      <c r="AC974">
        <v>0</v>
      </c>
      <c r="AF974" t="s">
        <v>130</v>
      </c>
      <c r="AH974">
        <v>45.33</v>
      </c>
    </row>
    <row r="975" spans="1:34" x14ac:dyDescent="0.3">
      <c r="A975" s="4">
        <v>1088</v>
      </c>
      <c r="B975" s="5">
        <v>968</v>
      </c>
      <c r="C975">
        <v>753</v>
      </c>
      <c r="D975" t="s">
        <v>20070</v>
      </c>
      <c r="E975" t="s">
        <v>41</v>
      </c>
      <c r="F975" t="s">
        <v>30</v>
      </c>
      <c r="G975" t="s">
        <v>20071</v>
      </c>
      <c r="H975">
        <v>18.25</v>
      </c>
      <c r="I975">
        <v>0</v>
      </c>
      <c r="J975">
        <v>0</v>
      </c>
      <c r="K975">
        <v>20</v>
      </c>
      <c r="N975">
        <v>3</v>
      </c>
      <c r="O975">
        <v>3</v>
      </c>
      <c r="P975">
        <v>4</v>
      </c>
      <c r="Q975">
        <v>0</v>
      </c>
      <c r="R975">
        <v>45.25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F975" t="s">
        <v>130</v>
      </c>
      <c r="AH975">
        <v>45.25</v>
      </c>
    </row>
    <row r="976" spans="1:34" x14ac:dyDescent="0.3">
      <c r="A976" s="4">
        <v>1089</v>
      </c>
      <c r="B976" s="5">
        <v>969</v>
      </c>
      <c r="C976">
        <v>8922</v>
      </c>
      <c r="D976" t="s">
        <v>20072</v>
      </c>
      <c r="E976" t="s">
        <v>380</v>
      </c>
      <c r="F976" t="s">
        <v>17</v>
      </c>
      <c r="G976" t="s">
        <v>20073</v>
      </c>
      <c r="H976">
        <v>16.23</v>
      </c>
      <c r="I976">
        <v>0</v>
      </c>
      <c r="J976">
        <v>0</v>
      </c>
      <c r="K976">
        <v>20</v>
      </c>
      <c r="N976">
        <v>3</v>
      </c>
      <c r="O976">
        <v>3</v>
      </c>
      <c r="P976">
        <v>4</v>
      </c>
      <c r="Q976">
        <v>2</v>
      </c>
      <c r="R976">
        <v>45.23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F976" t="s">
        <v>130</v>
      </c>
      <c r="AH976">
        <v>45.23</v>
      </c>
    </row>
    <row r="977" spans="1:34" x14ac:dyDescent="0.3">
      <c r="A977" s="4">
        <v>1090</v>
      </c>
      <c r="B977" s="5">
        <v>970</v>
      </c>
      <c r="C977">
        <v>6189</v>
      </c>
      <c r="D977" t="s">
        <v>3570</v>
      </c>
      <c r="E977" t="s">
        <v>26</v>
      </c>
      <c r="F977" t="s">
        <v>81</v>
      </c>
      <c r="G977" t="s">
        <v>20074</v>
      </c>
      <c r="H977">
        <v>18.2</v>
      </c>
      <c r="I977">
        <v>0</v>
      </c>
      <c r="J977">
        <v>0</v>
      </c>
      <c r="K977">
        <v>20</v>
      </c>
      <c r="N977">
        <v>3</v>
      </c>
      <c r="O977">
        <v>3</v>
      </c>
      <c r="P977">
        <v>4</v>
      </c>
      <c r="Q977">
        <v>0</v>
      </c>
      <c r="R977">
        <v>45.2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 t="s">
        <v>130</v>
      </c>
      <c r="AF977" t="s">
        <v>130</v>
      </c>
      <c r="AH977">
        <v>45.2</v>
      </c>
    </row>
    <row r="978" spans="1:34" x14ac:dyDescent="0.3">
      <c r="A978" s="4">
        <v>1091</v>
      </c>
      <c r="B978" s="5">
        <v>971</v>
      </c>
      <c r="C978">
        <v>225</v>
      </c>
      <c r="D978" t="s">
        <v>20075</v>
      </c>
      <c r="E978" t="s">
        <v>166</v>
      </c>
      <c r="F978" t="s">
        <v>136</v>
      </c>
      <c r="G978" t="s">
        <v>20076</v>
      </c>
      <c r="H978">
        <v>19.149999999999999</v>
      </c>
      <c r="I978">
        <v>0</v>
      </c>
      <c r="J978">
        <v>0</v>
      </c>
      <c r="K978">
        <v>0</v>
      </c>
      <c r="L978">
        <v>7</v>
      </c>
      <c r="O978">
        <v>7</v>
      </c>
      <c r="P978">
        <v>4</v>
      </c>
      <c r="Q978">
        <v>2</v>
      </c>
      <c r="R978">
        <v>32.15</v>
      </c>
      <c r="S978">
        <v>7</v>
      </c>
      <c r="T978">
        <v>7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7</v>
      </c>
      <c r="AB978">
        <v>6</v>
      </c>
      <c r="AC978">
        <v>0</v>
      </c>
      <c r="AD978" t="s">
        <v>130</v>
      </c>
      <c r="AF978" t="s">
        <v>130</v>
      </c>
      <c r="AH978">
        <v>45.15</v>
      </c>
    </row>
    <row r="979" spans="1:34" x14ac:dyDescent="0.3">
      <c r="A979" s="4">
        <v>1092</v>
      </c>
      <c r="B979" s="5">
        <v>972</v>
      </c>
      <c r="C979">
        <v>2992</v>
      </c>
      <c r="D979" t="s">
        <v>13181</v>
      </c>
      <c r="E979" t="s">
        <v>471</v>
      </c>
      <c r="F979" t="s">
        <v>68</v>
      </c>
      <c r="G979" t="s">
        <v>20077</v>
      </c>
      <c r="H979">
        <v>16.149999999999999</v>
      </c>
      <c r="I979">
        <v>0</v>
      </c>
      <c r="J979">
        <v>0</v>
      </c>
      <c r="K979">
        <v>0</v>
      </c>
      <c r="L979">
        <v>7</v>
      </c>
      <c r="O979">
        <v>7</v>
      </c>
      <c r="P979">
        <v>4</v>
      </c>
      <c r="Q979">
        <v>0</v>
      </c>
      <c r="R979">
        <v>27.15</v>
      </c>
      <c r="S979">
        <v>18</v>
      </c>
      <c r="T979">
        <v>18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18</v>
      </c>
      <c r="AB979">
        <v>0</v>
      </c>
      <c r="AC979">
        <v>0</v>
      </c>
      <c r="AF979" t="s">
        <v>130</v>
      </c>
      <c r="AH979">
        <v>45.15</v>
      </c>
    </row>
    <row r="980" spans="1:34" x14ac:dyDescent="0.3">
      <c r="A980" s="4">
        <v>1093</v>
      </c>
      <c r="B980" s="5">
        <v>973</v>
      </c>
      <c r="C980">
        <v>2134</v>
      </c>
      <c r="D980" t="s">
        <v>20078</v>
      </c>
      <c r="E980" t="s">
        <v>575</v>
      </c>
      <c r="F980" t="s">
        <v>117</v>
      </c>
      <c r="G980" t="s">
        <v>20079</v>
      </c>
      <c r="H980">
        <v>18.079999999999998</v>
      </c>
      <c r="I980">
        <v>0</v>
      </c>
      <c r="J980">
        <v>0</v>
      </c>
      <c r="K980">
        <v>20</v>
      </c>
      <c r="N980">
        <v>3</v>
      </c>
      <c r="O980">
        <v>3</v>
      </c>
      <c r="P980">
        <v>4</v>
      </c>
      <c r="Q980">
        <v>0</v>
      </c>
      <c r="R980">
        <v>45.08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F980" t="s">
        <v>130</v>
      </c>
      <c r="AH980">
        <v>45.08</v>
      </c>
    </row>
    <row r="981" spans="1:34" x14ac:dyDescent="0.3">
      <c r="A981" s="4">
        <v>1094</v>
      </c>
      <c r="B981" s="5">
        <v>974</v>
      </c>
      <c r="C981">
        <v>5294</v>
      </c>
      <c r="D981" t="s">
        <v>2184</v>
      </c>
      <c r="E981" t="s">
        <v>816</v>
      </c>
      <c r="F981" t="s">
        <v>136</v>
      </c>
      <c r="G981" t="s">
        <v>20080</v>
      </c>
      <c r="H981">
        <v>17.98</v>
      </c>
      <c r="I981">
        <v>0</v>
      </c>
      <c r="J981">
        <v>0</v>
      </c>
      <c r="K981">
        <v>20</v>
      </c>
      <c r="N981">
        <v>3</v>
      </c>
      <c r="O981">
        <v>3</v>
      </c>
      <c r="P981">
        <v>4</v>
      </c>
      <c r="Q981">
        <v>0</v>
      </c>
      <c r="R981">
        <v>44.98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F981" t="s">
        <v>130</v>
      </c>
      <c r="AH981">
        <v>44.98</v>
      </c>
    </row>
    <row r="982" spans="1:34" x14ac:dyDescent="0.3">
      <c r="A982" s="4">
        <v>1095</v>
      </c>
      <c r="B982" s="5">
        <v>975</v>
      </c>
      <c r="C982">
        <v>5969</v>
      </c>
      <c r="D982" t="s">
        <v>20081</v>
      </c>
      <c r="E982" t="s">
        <v>10767</v>
      </c>
      <c r="F982" t="s">
        <v>38</v>
      </c>
      <c r="G982" t="s">
        <v>20082</v>
      </c>
      <c r="H982">
        <v>19.95</v>
      </c>
      <c r="I982">
        <v>0</v>
      </c>
      <c r="J982">
        <v>0</v>
      </c>
      <c r="K982">
        <v>0</v>
      </c>
      <c r="N982">
        <v>3</v>
      </c>
      <c r="O982">
        <v>3</v>
      </c>
      <c r="P982">
        <v>4</v>
      </c>
      <c r="Q982">
        <v>0</v>
      </c>
      <c r="R982">
        <v>26.95</v>
      </c>
      <c r="S982">
        <v>18</v>
      </c>
      <c r="T982">
        <v>18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18</v>
      </c>
      <c r="AB982">
        <v>0</v>
      </c>
      <c r="AC982">
        <v>0</v>
      </c>
      <c r="AF982" t="s">
        <v>130</v>
      </c>
      <c r="AH982">
        <v>44.95</v>
      </c>
    </row>
    <row r="983" spans="1:34" x14ac:dyDescent="0.3">
      <c r="A983" s="4">
        <v>1096</v>
      </c>
      <c r="B983" s="5">
        <v>976</v>
      </c>
      <c r="C983">
        <v>14869</v>
      </c>
      <c r="D983" t="s">
        <v>20083</v>
      </c>
      <c r="E983" t="s">
        <v>132</v>
      </c>
      <c r="F983" t="s">
        <v>38</v>
      </c>
      <c r="G983" t="s">
        <v>20084</v>
      </c>
      <c r="H983">
        <v>15.9</v>
      </c>
      <c r="I983">
        <v>0</v>
      </c>
      <c r="J983">
        <v>0</v>
      </c>
      <c r="K983">
        <v>20</v>
      </c>
      <c r="N983">
        <v>3</v>
      </c>
      <c r="O983">
        <v>3</v>
      </c>
      <c r="P983">
        <v>4</v>
      </c>
      <c r="Q983">
        <v>2</v>
      </c>
      <c r="R983">
        <v>44.9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 t="s">
        <v>130</v>
      </c>
      <c r="AF983" t="s">
        <v>130</v>
      </c>
      <c r="AH983">
        <v>44.9</v>
      </c>
    </row>
    <row r="984" spans="1:34" x14ac:dyDescent="0.3">
      <c r="A984" s="4">
        <v>1097</v>
      </c>
      <c r="B984" s="5">
        <v>977</v>
      </c>
      <c r="C984">
        <v>11547</v>
      </c>
      <c r="D984" t="s">
        <v>17502</v>
      </c>
      <c r="E984" t="s">
        <v>54</v>
      </c>
      <c r="F984" t="s">
        <v>190</v>
      </c>
      <c r="G984" t="s">
        <v>20085</v>
      </c>
      <c r="H984">
        <v>23.83</v>
      </c>
      <c r="I984">
        <v>7</v>
      </c>
      <c r="J984">
        <v>0</v>
      </c>
      <c r="K984">
        <v>0</v>
      </c>
      <c r="L984">
        <v>7</v>
      </c>
      <c r="N984">
        <v>3</v>
      </c>
      <c r="O984">
        <v>10</v>
      </c>
      <c r="P984">
        <v>4</v>
      </c>
      <c r="Q984">
        <v>0</v>
      </c>
      <c r="R984">
        <v>44.83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F984" t="s">
        <v>130</v>
      </c>
      <c r="AH984">
        <v>44.83</v>
      </c>
    </row>
    <row r="985" spans="1:34" x14ac:dyDescent="0.3">
      <c r="A985" s="4">
        <v>1098</v>
      </c>
      <c r="B985" s="5">
        <v>978</v>
      </c>
      <c r="C985">
        <v>9900</v>
      </c>
      <c r="D985" t="s">
        <v>4612</v>
      </c>
      <c r="E985" t="s">
        <v>71</v>
      </c>
      <c r="F985" t="s">
        <v>20</v>
      </c>
      <c r="G985" t="s">
        <v>20086</v>
      </c>
      <c r="H985">
        <v>17.8</v>
      </c>
      <c r="I985">
        <v>0</v>
      </c>
      <c r="J985">
        <v>0</v>
      </c>
      <c r="K985">
        <v>0</v>
      </c>
      <c r="N985">
        <v>3</v>
      </c>
      <c r="O985">
        <v>3</v>
      </c>
      <c r="P985">
        <v>4</v>
      </c>
      <c r="Q985">
        <v>2</v>
      </c>
      <c r="R985">
        <v>26.8</v>
      </c>
      <c r="S985">
        <v>18</v>
      </c>
      <c r="T985">
        <v>18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18</v>
      </c>
      <c r="AB985">
        <v>0</v>
      </c>
      <c r="AC985">
        <v>0</v>
      </c>
      <c r="AF985" t="s">
        <v>130</v>
      </c>
      <c r="AH985">
        <v>44.8</v>
      </c>
    </row>
    <row r="986" spans="1:34" x14ac:dyDescent="0.3">
      <c r="A986" s="4">
        <v>1099</v>
      </c>
      <c r="B986" s="5">
        <v>979</v>
      </c>
      <c r="C986">
        <v>3940</v>
      </c>
      <c r="D986" t="s">
        <v>6215</v>
      </c>
      <c r="E986" t="s">
        <v>37</v>
      </c>
      <c r="F986" t="s">
        <v>30</v>
      </c>
      <c r="G986" t="s">
        <v>20087</v>
      </c>
      <c r="H986">
        <v>17.78</v>
      </c>
      <c r="I986">
        <v>0</v>
      </c>
      <c r="J986">
        <v>0</v>
      </c>
      <c r="K986">
        <v>0</v>
      </c>
      <c r="L986">
        <v>7</v>
      </c>
      <c r="O986">
        <v>7</v>
      </c>
      <c r="P986">
        <v>4</v>
      </c>
      <c r="Q986">
        <v>2</v>
      </c>
      <c r="R986">
        <v>30.78</v>
      </c>
      <c r="S986">
        <v>8</v>
      </c>
      <c r="T986">
        <v>8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8</v>
      </c>
      <c r="AB986">
        <v>6</v>
      </c>
      <c r="AC986">
        <v>0</v>
      </c>
      <c r="AF986" t="s">
        <v>130</v>
      </c>
      <c r="AH986">
        <v>44.78</v>
      </c>
    </row>
    <row r="987" spans="1:34" x14ac:dyDescent="0.3">
      <c r="A987" s="4">
        <v>1100</v>
      </c>
      <c r="B987" s="5">
        <v>980</v>
      </c>
      <c r="C987">
        <v>2428</v>
      </c>
      <c r="D987" t="s">
        <v>20088</v>
      </c>
      <c r="E987" t="s">
        <v>167</v>
      </c>
      <c r="F987" t="s">
        <v>136</v>
      </c>
      <c r="G987" t="s">
        <v>20089</v>
      </c>
      <c r="H987">
        <v>17.73</v>
      </c>
      <c r="I987">
        <v>0</v>
      </c>
      <c r="J987">
        <v>0</v>
      </c>
      <c r="K987">
        <v>0</v>
      </c>
      <c r="N987">
        <v>3</v>
      </c>
      <c r="O987">
        <v>3</v>
      </c>
      <c r="P987">
        <v>4</v>
      </c>
      <c r="Q987">
        <v>2</v>
      </c>
      <c r="R987">
        <v>26.73</v>
      </c>
      <c r="S987">
        <v>18</v>
      </c>
      <c r="T987">
        <v>18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18</v>
      </c>
      <c r="AB987">
        <v>0</v>
      </c>
      <c r="AC987">
        <v>0</v>
      </c>
      <c r="AF987" t="s">
        <v>130</v>
      </c>
      <c r="AH987">
        <v>44.73</v>
      </c>
    </row>
    <row r="988" spans="1:34" x14ac:dyDescent="0.3">
      <c r="A988" s="4">
        <v>1101</v>
      </c>
      <c r="B988" s="5">
        <v>981</v>
      </c>
      <c r="C988">
        <v>11512</v>
      </c>
      <c r="D988" t="s">
        <v>3831</v>
      </c>
      <c r="E988" t="s">
        <v>4033</v>
      </c>
      <c r="F988" t="s">
        <v>17</v>
      </c>
      <c r="G988" t="s">
        <v>20090</v>
      </c>
      <c r="H988">
        <v>16.7</v>
      </c>
      <c r="I988">
        <v>0</v>
      </c>
      <c r="J988">
        <v>0</v>
      </c>
      <c r="K988">
        <v>0</v>
      </c>
      <c r="O988">
        <v>0</v>
      </c>
      <c r="P988">
        <v>4</v>
      </c>
      <c r="Q988">
        <v>0</v>
      </c>
      <c r="R988">
        <v>20.7</v>
      </c>
      <c r="S988">
        <v>15</v>
      </c>
      <c r="T988">
        <v>15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15</v>
      </c>
      <c r="AB988">
        <v>9</v>
      </c>
      <c r="AC988">
        <v>0</v>
      </c>
      <c r="AF988" t="s">
        <v>130</v>
      </c>
      <c r="AH988">
        <v>44.7</v>
      </c>
    </row>
    <row r="989" spans="1:34" x14ac:dyDescent="0.3">
      <c r="A989" s="4">
        <v>1102</v>
      </c>
      <c r="B989" s="5">
        <v>982</v>
      </c>
      <c r="C989">
        <v>3548</v>
      </c>
      <c r="D989" t="s">
        <v>20091</v>
      </c>
      <c r="E989" t="s">
        <v>54</v>
      </c>
      <c r="F989" t="s">
        <v>972</v>
      </c>
      <c r="G989" t="s">
        <v>20092</v>
      </c>
      <c r="H989">
        <v>17.68</v>
      </c>
      <c r="I989">
        <v>0</v>
      </c>
      <c r="J989">
        <v>0</v>
      </c>
      <c r="K989">
        <v>0</v>
      </c>
      <c r="N989">
        <v>3</v>
      </c>
      <c r="O989">
        <v>3</v>
      </c>
      <c r="P989">
        <v>4</v>
      </c>
      <c r="Q989">
        <v>2</v>
      </c>
      <c r="R989">
        <v>26.68</v>
      </c>
      <c r="S989">
        <v>18</v>
      </c>
      <c r="T989">
        <v>18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18</v>
      </c>
      <c r="AB989">
        <v>0</v>
      </c>
      <c r="AC989">
        <v>0</v>
      </c>
      <c r="AF989" t="s">
        <v>130</v>
      </c>
      <c r="AH989">
        <v>44.68</v>
      </c>
    </row>
    <row r="990" spans="1:34" x14ac:dyDescent="0.3">
      <c r="A990" s="4">
        <v>1103</v>
      </c>
      <c r="B990" s="5">
        <v>983</v>
      </c>
      <c r="C990">
        <v>184</v>
      </c>
      <c r="D990" t="s">
        <v>7246</v>
      </c>
      <c r="E990" t="s">
        <v>110</v>
      </c>
      <c r="F990" t="s">
        <v>20</v>
      </c>
      <c r="G990" t="s">
        <v>20093</v>
      </c>
      <c r="H990">
        <v>17.5</v>
      </c>
      <c r="I990">
        <v>0</v>
      </c>
      <c r="J990">
        <v>0</v>
      </c>
      <c r="K990">
        <v>0</v>
      </c>
      <c r="N990">
        <v>3</v>
      </c>
      <c r="O990">
        <v>3</v>
      </c>
      <c r="P990">
        <v>4</v>
      </c>
      <c r="Q990">
        <v>2</v>
      </c>
      <c r="R990">
        <v>26.5</v>
      </c>
      <c r="S990">
        <v>18</v>
      </c>
      <c r="T990">
        <v>18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18</v>
      </c>
      <c r="AB990">
        <v>0</v>
      </c>
      <c r="AC990">
        <v>0</v>
      </c>
      <c r="AF990" t="s">
        <v>130</v>
      </c>
      <c r="AH990">
        <v>44.5</v>
      </c>
    </row>
    <row r="991" spans="1:34" x14ac:dyDescent="0.3">
      <c r="A991" s="4">
        <v>1104</v>
      </c>
      <c r="B991" s="5">
        <v>984</v>
      </c>
      <c r="C991">
        <v>2943</v>
      </c>
      <c r="D991" t="s">
        <v>12045</v>
      </c>
      <c r="E991" t="s">
        <v>166</v>
      </c>
      <c r="F991" t="s">
        <v>62</v>
      </c>
      <c r="G991" t="s">
        <v>20094</v>
      </c>
      <c r="H991">
        <v>21.48</v>
      </c>
      <c r="I991">
        <v>7</v>
      </c>
      <c r="J991">
        <v>0</v>
      </c>
      <c r="K991">
        <v>0</v>
      </c>
      <c r="N991">
        <v>3</v>
      </c>
      <c r="O991">
        <v>3</v>
      </c>
      <c r="P991">
        <v>4</v>
      </c>
      <c r="Q991">
        <v>0</v>
      </c>
      <c r="R991">
        <v>35.479999999999997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9</v>
      </c>
      <c r="AC991">
        <v>0</v>
      </c>
      <c r="AF991" t="s">
        <v>130</v>
      </c>
      <c r="AH991">
        <v>44.48</v>
      </c>
    </row>
    <row r="992" spans="1:34" x14ac:dyDescent="0.3">
      <c r="A992" s="4">
        <v>1105</v>
      </c>
      <c r="B992" s="5">
        <v>985</v>
      </c>
      <c r="C992">
        <v>11797</v>
      </c>
      <c r="D992" t="s">
        <v>20095</v>
      </c>
      <c r="E992" t="s">
        <v>471</v>
      </c>
      <c r="F992" t="s">
        <v>13171</v>
      </c>
      <c r="G992" t="s">
        <v>20096</v>
      </c>
      <c r="H992">
        <v>16.45</v>
      </c>
      <c r="I992">
        <v>0</v>
      </c>
      <c r="J992">
        <v>0</v>
      </c>
      <c r="K992">
        <v>0</v>
      </c>
      <c r="M992">
        <v>5</v>
      </c>
      <c r="O992">
        <v>5</v>
      </c>
      <c r="P992">
        <v>0</v>
      </c>
      <c r="Q992">
        <v>2</v>
      </c>
      <c r="R992">
        <v>23.45</v>
      </c>
      <c r="S992">
        <v>18</v>
      </c>
      <c r="T992">
        <v>18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18</v>
      </c>
      <c r="AB992">
        <v>3</v>
      </c>
      <c r="AC992">
        <v>0</v>
      </c>
      <c r="AF992" t="s">
        <v>130</v>
      </c>
      <c r="AH992">
        <v>44.45</v>
      </c>
    </row>
    <row r="993" spans="1:34" x14ac:dyDescent="0.3">
      <c r="A993" s="4">
        <v>1106</v>
      </c>
      <c r="B993" s="5">
        <v>986</v>
      </c>
      <c r="C993">
        <v>9106</v>
      </c>
      <c r="D993" t="s">
        <v>1133</v>
      </c>
      <c r="E993" t="s">
        <v>20097</v>
      </c>
      <c r="F993" t="s">
        <v>158</v>
      </c>
      <c r="G993" t="s">
        <v>20098</v>
      </c>
      <c r="H993">
        <v>17.399999999999999</v>
      </c>
      <c r="I993">
        <v>0</v>
      </c>
      <c r="J993">
        <v>0</v>
      </c>
      <c r="K993">
        <v>20</v>
      </c>
      <c r="N993">
        <v>3</v>
      </c>
      <c r="O993">
        <v>3</v>
      </c>
      <c r="P993">
        <v>4</v>
      </c>
      <c r="Q993">
        <v>0</v>
      </c>
      <c r="R993">
        <v>44.4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F993" t="s">
        <v>130</v>
      </c>
      <c r="AH993">
        <v>44.4</v>
      </c>
    </row>
    <row r="994" spans="1:34" x14ac:dyDescent="0.3">
      <c r="A994" s="4">
        <v>1107</v>
      </c>
      <c r="B994" s="5">
        <v>987</v>
      </c>
      <c r="C994">
        <v>11132</v>
      </c>
      <c r="D994" t="s">
        <v>5306</v>
      </c>
      <c r="E994" t="s">
        <v>213</v>
      </c>
      <c r="F994" t="s">
        <v>30</v>
      </c>
      <c r="G994" t="s">
        <v>20099</v>
      </c>
      <c r="H994">
        <v>17.23</v>
      </c>
      <c r="I994">
        <v>0</v>
      </c>
      <c r="J994">
        <v>0</v>
      </c>
      <c r="K994">
        <v>0</v>
      </c>
      <c r="N994">
        <v>3</v>
      </c>
      <c r="O994">
        <v>3</v>
      </c>
      <c r="P994">
        <v>4</v>
      </c>
      <c r="Q994">
        <v>2</v>
      </c>
      <c r="R994">
        <v>26.23</v>
      </c>
      <c r="S994">
        <v>18</v>
      </c>
      <c r="T994">
        <v>18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18</v>
      </c>
      <c r="AB994">
        <v>0</v>
      </c>
      <c r="AC994">
        <v>0</v>
      </c>
      <c r="AF994" t="s">
        <v>130</v>
      </c>
      <c r="AH994">
        <v>44.23</v>
      </c>
    </row>
    <row r="995" spans="1:34" x14ac:dyDescent="0.3">
      <c r="A995" s="4">
        <v>1108</v>
      </c>
      <c r="B995" s="5">
        <v>988</v>
      </c>
      <c r="C995">
        <v>14161</v>
      </c>
      <c r="D995" t="s">
        <v>2806</v>
      </c>
      <c r="E995" t="s">
        <v>283</v>
      </c>
      <c r="F995" t="s">
        <v>136</v>
      </c>
      <c r="G995" t="s">
        <v>20100</v>
      </c>
      <c r="H995">
        <v>16.23</v>
      </c>
      <c r="I995">
        <v>0</v>
      </c>
      <c r="J995">
        <v>0</v>
      </c>
      <c r="K995">
        <v>0</v>
      </c>
      <c r="O995">
        <v>0</v>
      </c>
      <c r="P995">
        <v>0</v>
      </c>
      <c r="Q995">
        <v>0</v>
      </c>
      <c r="R995">
        <v>16.23</v>
      </c>
      <c r="S995">
        <v>28</v>
      </c>
      <c r="T995">
        <v>28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28</v>
      </c>
      <c r="AB995">
        <v>0</v>
      </c>
      <c r="AC995">
        <v>0</v>
      </c>
      <c r="AF995" t="s">
        <v>130</v>
      </c>
      <c r="AH995">
        <v>44.23</v>
      </c>
    </row>
    <row r="996" spans="1:34" x14ac:dyDescent="0.3">
      <c r="A996" s="4">
        <v>1109</v>
      </c>
      <c r="B996" s="5">
        <v>989</v>
      </c>
      <c r="C996">
        <v>5209</v>
      </c>
      <c r="D996" t="s">
        <v>15675</v>
      </c>
      <c r="E996" t="s">
        <v>110</v>
      </c>
      <c r="F996" t="s">
        <v>91</v>
      </c>
      <c r="G996" t="s">
        <v>20101</v>
      </c>
      <c r="H996">
        <v>17.93</v>
      </c>
      <c r="I996">
        <v>0</v>
      </c>
      <c r="J996">
        <v>0</v>
      </c>
      <c r="K996">
        <v>20</v>
      </c>
      <c r="O996">
        <v>0</v>
      </c>
      <c r="P996">
        <v>4</v>
      </c>
      <c r="Q996">
        <v>2</v>
      </c>
      <c r="R996">
        <v>43.93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F996" t="s">
        <v>130</v>
      </c>
      <c r="AH996">
        <v>43.93</v>
      </c>
    </row>
    <row r="997" spans="1:34" x14ac:dyDescent="0.3">
      <c r="A997" s="4">
        <v>1111</v>
      </c>
      <c r="B997" s="5">
        <v>990</v>
      </c>
      <c r="C997">
        <v>7394</v>
      </c>
      <c r="D997" t="s">
        <v>4343</v>
      </c>
      <c r="E997" t="s">
        <v>29</v>
      </c>
      <c r="F997" t="s">
        <v>136</v>
      </c>
      <c r="G997" t="s">
        <v>20102</v>
      </c>
      <c r="H997">
        <v>19.55</v>
      </c>
      <c r="I997">
        <v>0</v>
      </c>
      <c r="J997">
        <v>0</v>
      </c>
      <c r="K997">
        <v>20</v>
      </c>
      <c r="O997">
        <v>0</v>
      </c>
      <c r="P997">
        <v>4</v>
      </c>
      <c r="Q997">
        <v>0</v>
      </c>
      <c r="R997">
        <v>43.55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F997" t="s">
        <v>130</v>
      </c>
      <c r="AH997">
        <v>43.55</v>
      </c>
    </row>
    <row r="998" spans="1:34" x14ac:dyDescent="0.3">
      <c r="A998" s="4">
        <v>1112</v>
      </c>
      <c r="B998" s="5">
        <v>991</v>
      </c>
      <c r="C998">
        <v>7066</v>
      </c>
      <c r="D998" t="s">
        <v>20103</v>
      </c>
      <c r="E998" t="s">
        <v>81</v>
      </c>
      <c r="F998" t="s">
        <v>136</v>
      </c>
      <c r="G998" t="s">
        <v>20104</v>
      </c>
      <c r="H998">
        <v>20.5</v>
      </c>
      <c r="I998">
        <v>7</v>
      </c>
      <c r="J998">
        <v>0</v>
      </c>
      <c r="K998">
        <v>0</v>
      </c>
      <c r="N998">
        <v>3</v>
      </c>
      <c r="O998">
        <v>3</v>
      </c>
      <c r="P998">
        <v>4</v>
      </c>
      <c r="Q998">
        <v>0</v>
      </c>
      <c r="R998">
        <v>34.5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9</v>
      </c>
      <c r="AC998">
        <v>0</v>
      </c>
      <c r="AF998" t="s">
        <v>130</v>
      </c>
      <c r="AH998">
        <v>43.5</v>
      </c>
    </row>
    <row r="999" spans="1:34" x14ac:dyDescent="0.3">
      <c r="A999" s="4">
        <v>1113</v>
      </c>
      <c r="B999" s="5">
        <v>992</v>
      </c>
      <c r="C999">
        <v>9560</v>
      </c>
      <c r="D999" t="s">
        <v>13116</v>
      </c>
      <c r="E999" t="s">
        <v>613</v>
      </c>
      <c r="F999" t="s">
        <v>179</v>
      </c>
      <c r="G999" t="s">
        <v>20105</v>
      </c>
      <c r="H999">
        <v>17.25</v>
      </c>
      <c r="I999">
        <v>0</v>
      </c>
      <c r="J999">
        <v>0</v>
      </c>
      <c r="K999">
        <v>20</v>
      </c>
      <c r="N999">
        <v>3</v>
      </c>
      <c r="O999">
        <v>3</v>
      </c>
      <c r="P999">
        <v>0</v>
      </c>
      <c r="Q999">
        <v>0</v>
      </c>
      <c r="R999">
        <v>40.25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3</v>
      </c>
      <c r="AC999">
        <v>0</v>
      </c>
      <c r="AF999" t="s">
        <v>130</v>
      </c>
      <c r="AH999">
        <v>43.25</v>
      </c>
    </row>
    <row r="1000" spans="1:34" x14ac:dyDescent="0.3">
      <c r="A1000" s="4">
        <v>1114</v>
      </c>
      <c r="B1000" s="5">
        <v>993</v>
      </c>
      <c r="C1000">
        <v>12527</v>
      </c>
      <c r="D1000" t="s">
        <v>11680</v>
      </c>
      <c r="E1000" t="s">
        <v>100</v>
      </c>
      <c r="F1000" t="s">
        <v>79</v>
      </c>
      <c r="G1000" t="s">
        <v>20106</v>
      </c>
      <c r="H1000">
        <v>18.18</v>
      </c>
      <c r="I1000">
        <v>0</v>
      </c>
      <c r="J1000">
        <v>0</v>
      </c>
      <c r="K1000">
        <v>0</v>
      </c>
      <c r="N1000">
        <v>3</v>
      </c>
      <c r="O1000">
        <v>3</v>
      </c>
      <c r="P1000">
        <v>4</v>
      </c>
      <c r="Q1000">
        <v>2</v>
      </c>
      <c r="R1000">
        <v>27.18</v>
      </c>
      <c r="S1000">
        <v>16</v>
      </c>
      <c r="T1000">
        <v>16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16</v>
      </c>
      <c r="AB1000">
        <v>0</v>
      </c>
      <c r="AC1000">
        <v>0</v>
      </c>
      <c r="AD1000" t="s">
        <v>130</v>
      </c>
      <c r="AF1000" t="s">
        <v>130</v>
      </c>
      <c r="AH1000">
        <v>43.18</v>
      </c>
    </row>
    <row r="1001" spans="1:34" x14ac:dyDescent="0.3">
      <c r="A1001" s="4">
        <v>1115</v>
      </c>
      <c r="B1001" s="5">
        <v>994</v>
      </c>
      <c r="C1001">
        <v>7491</v>
      </c>
      <c r="D1001" t="s">
        <v>20107</v>
      </c>
      <c r="E1001" t="s">
        <v>7647</v>
      </c>
      <c r="F1001" t="s">
        <v>38</v>
      </c>
      <c r="G1001" t="s">
        <v>20108</v>
      </c>
      <c r="H1001">
        <v>19.100000000000001</v>
      </c>
      <c r="I1001">
        <v>0</v>
      </c>
      <c r="J1001">
        <v>0</v>
      </c>
      <c r="K1001">
        <v>0</v>
      </c>
      <c r="O1001">
        <v>0</v>
      </c>
      <c r="P1001">
        <v>4</v>
      </c>
      <c r="Q1001">
        <v>2</v>
      </c>
      <c r="R1001">
        <v>25.1</v>
      </c>
      <c r="S1001">
        <v>18</v>
      </c>
      <c r="T1001">
        <v>18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18</v>
      </c>
      <c r="AB1001">
        <v>0</v>
      </c>
      <c r="AC1001">
        <v>0</v>
      </c>
      <c r="AF1001" t="s">
        <v>130</v>
      </c>
      <c r="AH1001">
        <v>43.1</v>
      </c>
    </row>
    <row r="1002" spans="1:34" x14ac:dyDescent="0.3">
      <c r="A1002" s="4">
        <v>1116</v>
      </c>
      <c r="B1002" s="5">
        <v>995</v>
      </c>
      <c r="C1002">
        <v>766</v>
      </c>
      <c r="D1002" t="s">
        <v>20109</v>
      </c>
      <c r="E1002" t="s">
        <v>1053</v>
      </c>
      <c r="F1002" t="s">
        <v>17</v>
      </c>
      <c r="G1002" t="s">
        <v>20110</v>
      </c>
      <c r="H1002">
        <v>16.079999999999998</v>
      </c>
      <c r="I1002">
        <v>0</v>
      </c>
      <c r="J1002">
        <v>0</v>
      </c>
      <c r="K1002">
        <v>0</v>
      </c>
      <c r="N1002">
        <v>3</v>
      </c>
      <c r="O1002">
        <v>3</v>
      </c>
      <c r="P1002">
        <v>4</v>
      </c>
      <c r="Q1002">
        <v>2</v>
      </c>
      <c r="R1002">
        <v>25.08</v>
      </c>
      <c r="S1002">
        <v>18</v>
      </c>
      <c r="T1002">
        <v>18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18</v>
      </c>
      <c r="AB1002">
        <v>0</v>
      </c>
      <c r="AC1002">
        <v>0</v>
      </c>
      <c r="AF1002" t="s">
        <v>130</v>
      </c>
      <c r="AH1002">
        <v>43.08</v>
      </c>
    </row>
    <row r="1003" spans="1:34" x14ac:dyDescent="0.3">
      <c r="A1003" s="4">
        <v>1117</v>
      </c>
      <c r="B1003" s="5">
        <v>996</v>
      </c>
      <c r="C1003">
        <v>6178</v>
      </c>
      <c r="D1003" t="s">
        <v>496</v>
      </c>
      <c r="E1003" t="s">
        <v>41</v>
      </c>
      <c r="F1003" t="s">
        <v>34</v>
      </c>
      <c r="G1003" t="s">
        <v>20111</v>
      </c>
      <c r="H1003">
        <v>17.899999999999999</v>
      </c>
      <c r="I1003">
        <v>0</v>
      </c>
      <c r="J1003">
        <v>0</v>
      </c>
      <c r="K1003">
        <v>0</v>
      </c>
      <c r="O1003">
        <v>0</v>
      </c>
      <c r="P1003">
        <v>4</v>
      </c>
      <c r="Q1003">
        <v>0</v>
      </c>
      <c r="R1003">
        <v>21.9</v>
      </c>
      <c r="S1003">
        <v>21</v>
      </c>
      <c r="T1003">
        <v>21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21</v>
      </c>
      <c r="AB1003">
        <v>0</v>
      </c>
      <c r="AC1003">
        <v>0</v>
      </c>
      <c r="AF1003" t="s">
        <v>130</v>
      </c>
      <c r="AH1003">
        <v>42.9</v>
      </c>
    </row>
    <row r="1004" spans="1:34" x14ac:dyDescent="0.3">
      <c r="A1004" s="4">
        <v>1118</v>
      </c>
      <c r="B1004" s="5">
        <v>997</v>
      </c>
      <c r="C1004">
        <v>751</v>
      </c>
      <c r="D1004" t="s">
        <v>20112</v>
      </c>
      <c r="E1004" t="s">
        <v>166</v>
      </c>
      <c r="F1004" t="s">
        <v>38</v>
      </c>
      <c r="G1004" t="s">
        <v>20113</v>
      </c>
      <c r="H1004">
        <v>18.8</v>
      </c>
      <c r="I1004">
        <v>0</v>
      </c>
      <c r="J1004">
        <v>0</v>
      </c>
      <c r="K1004">
        <v>0</v>
      </c>
      <c r="N1004">
        <v>3</v>
      </c>
      <c r="O1004">
        <v>3</v>
      </c>
      <c r="P1004">
        <v>4</v>
      </c>
      <c r="Q1004">
        <v>2</v>
      </c>
      <c r="R1004">
        <v>27.8</v>
      </c>
      <c r="S1004">
        <v>12</v>
      </c>
      <c r="T1004">
        <v>12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12</v>
      </c>
      <c r="AB1004">
        <v>3</v>
      </c>
      <c r="AC1004">
        <v>0</v>
      </c>
      <c r="AD1004" t="s">
        <v>130</v>
      </c>
      <c r="AF1004" t="s">
        <v>130</v>
      </c>
      <c r="AH1004">
        <v>42.8</v>
      </c>
    </row>
    <row r="1005" spans="1:34" x14ac:dyDescent="0.3">
      <c r="A1005" s="4">
        <v>1119</v>
      </c>
      <c r="B1005" s="5">
        <v>998</v>
      </c>
      <c r="C1005">
        <v>1971</v>
      </c>
      <c r="D1005" t="s">
        <v>20114</v>
      </c>
      <c r="E1005" t="s">
        <v>20115</v>
      </c>
      <c r="F1005" t="s">
        <v>20116</v>
      </c>
      <c r="G1005" t="s">
        <v>20117</v>
      </c>
      <c r="H1005">
        <v>23.63</v>
      </c>
      <c r="I1005">
        <v>0</v>
      </c>
      <c r="J1005">
        <v>0</v>
      </c>
      <c r="K1005">
        <v>0</v>
      </c>
      <c r="L1005">
        <v>7</v>
      </c>
      <c r="O1005">
        <v>7</v>
      </c>
      <c r="P1005">
        <v>4</v>
      </c>
      <c r="Q1005">
        <v>0</v>
      </c>
      <c r="R1005">
        <v>34.630000000000003</v>
      </c>
      <c r="S1005">
        <v>8</v>
      </c>
      <c r="T1005">
        <v>8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8</v>
      </c>
      <c r="AB1005">
        <v>0</v>
      </c>
      <c r="AC1005">
        <v>0</v>
      </c>
      <c r="AF1005" t="s">
        <v>130</v>
      </c>
      <c r="AH1005">
        <v>42.63</v>
      </c>
    </row>
    <row r="1006" spans="1:34" x14ac:dyDescent="0.3">
      <c r="A1006" s="4">
        <v>1120</v>
      </c>
      <c r="B1006" s="5">
        <v>999</v>
      </c>
      <c r="C1006">
        <v>3792</v>
      </c>
      <c r="D1006" t="s">
        <v>5697</v>
      </c>
      <c r="E1006" t="s">
        <v>132</v>
      </c>
      <c r="F1006" t="s">
        <v>68</v>
      </c>
      <c r="G1006" t="s">
        <v>20118</v>
      </c>
      <c r="H1006">
        <v>16.600000000000001</v>
      </c>
      <c r="I1006">
        <v>0</v>
      </c>
      <c r="J1006">
        <v>0</v>
      </c>
      <c r="K1006">
        <v>0</v>
      </c>
      <c r="N1006">
        <v>3</v>
      </c>
      <c r="O1006">
        <v>3</v>
      </c>
      <c r="P1006">
        <v>4</v>
      </c>
      <c r="Q1006">
        <v>2</v>
      </c>
      <c r="R1006">
        <v>25.6</v>
      </c>
      <c r="S1006">
        <v>8</v>
      </c>
      <c r="T1006">
        <v>8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8</v>
      </c>
      <c r="AB1006">
        <v>9</v>
      </c>
      <c r="AC1006">
        <v>0</v>
      </c>
      <c r="AF1006" t="s">
        <v>130</v>
      </c>
      <c r="AH1006">
        <v>42.6</v>
      </c>
    </row>
    <row r="1007" spans="1:34" x14ac:dyDescent="0.3">
      <c r="A1007" s="4">
        <v>1121</v>
      </c>
      <c r="B1007" s="5">
        <v>1000</v>
      </c>
      <c r="C1007">
        <v>1921</v>
      </c>
      <c r="D1007" t="s">
        <v>7565</v>
      </c>
      <c r="E1007" t="s">
        <v>33</v>
      </c>
      <c r="F1007" t="s">
        <v>1023</v>
      </c>
      <c r="G1007" t="s">
        <v>20119</v>
      </c>
      <c r="H1007">
        <v>21.55</v>
      </c>
      <c r="I1007">
        <v>0</v>
      </c>
      <c r="J1007">
        <v>0</v>
      </c>
      <c r="K1007">
        <v>0</v>
      </c>
      <c r="N1007">
        <v>3</v>
      </c>
      <c r="O1007">
        <v>3</v>
      </c>
      <c r="P1007">
        <v>4</v>
      </c>
      <c r="Q1007">
        <v>2</v>
      </c>
      <c r="R1007">
        <v>30.55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12</v>
      </c>
      <c r="AC1007">
        <v>0</v>
      </c>
      <c r="AF1007" t="s">
        <v>130</v>
      </c>
      <c r="AH1007">
        <v>42.55</v>
      </c>
    </row>
    <row r="1008" spans="1:34" x14ac:dyDescent="0.3">
      <c r="A1008" s="4">
        <v>1122</v>
      </c>
      <c r="B1008" s="5">
        <v>1001</v>
      </c>
      <c r="C1008">
        <v>8507</v>
      </c>
      <c r="D1008" t="s">
        <v>4536</v>
      </c>
      <c r="E1008" t="s">
        <v>648</v>
      </c>
      <c r="F1008" t="s">
        <v>17</v>
      </c>
      <c r="G1008" t="s">
        <v>20120</v>
      </c>
      <c r="H1008">
        <v>19.2</v>
      </c>
      <c r="I1008">
        <v>0</v>
      </c>
      <c r="J1008">
        <v>0</v>
      </c>
      <c r="K1008">
        <v>0</v>
      </c>
      <c r="L1008">
        <v>7</v>
      </c>
      <c r="O1008">
        <v>7</v>
      </c>
      <c r="P1008">
        <v>4</v>
      </c>
      <c r="Q1008">
        <v>2</v>
      </c>
      <c r="R1008">
        <v>32.200000000000003</v>
      </c>
      <c r="S1008">
        <v>7</v>
      </c>
      <c r="T1008">
        <v>7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7</v>
      </c>
      <c r="AB1008">
        <v>3</v>
      </c>
      <c r="AC1008">
        <v>0</v>
      </c>
      <c r="AD1008" t="s">
        <v>130</v>
      </c>
      <c r="AF1008" t="s">
        <v>130</v>
      </c>
      <c r="AH1008">
        <v>42.2</v>
      </c>
    </row>
    <row r="1009" spans="1:34" x14ac:dyDescent="0.3">
      <c r="A1009" s="4">
        <v>1123</v>
      </c>
      <c r="B1009" s="5">
        <v>1002</v>
      </c>
      <c r="C1009">
        <v>4763</v>
      </c>
      <c r="D1009" t="s">
        <v>20121</v>
      </c>
      <c r="E1009" t="s">
        <v>789</v>
      </c>
      <c r="F1009" t="s">
        <v>20</v>
      </c>
      <c r="G1009" t="s">
        <v>20122</v>
      </c>
      <c r="H1009">
        <v>17.18</v>
      </c>
      <c r="I1009">
        <v>7</v>
      </c>
      <c r="J1009">
        <v>0</v>
      </c>
      <c r="K1009">
        <v>0</v>
      </c>
      <c r="L1009">
        <v>7</v>
      </c>
      <c r="M1009">
        <v>5</v>
      </c>
      <c r="O1009">
        <v>12</v>
      </c>
      <c r="P1009">
        <v>4</v>
      </c>
      <c r="Q1009">
        <v>2</v>
      </c>
      <c r="R1009">
        <v>42.18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F1009" t="s">
        <v>130</v>
      </c>
      <c r="AH1009">
        <v>42.18</v>
      </c>
    </row>
    <row r="1010" spans="1:34" x14ac:dyDescent="0.3">
      <c r="A1010" s="4">
        <v>1124</v>
      </c>
      <c r="B1010" s="5">
        <v>1003</v>
      </c>
      <c r="C1010">
        <v>851</v>
      </c>
      <c r="D1010" t="s">
        <v>20123</v>
      </c>
      <c r="E1010" t="s">
        <v>88</v>
      </c>
      <c r="F1010" t="s">
        <v>81</v>
      </c>
      <c r="G1010" t="s">
        <v>20124</v>
      </c>
      <c r="H1010">
        <v>17.18</v>
      </c>
      <c r="I1010">
        <v>0</v>
      </c>
      <c r="J1010">
        <v>0</v>
      </c>
      <c r="K1010">
        <v>0</v>
      </c>
      <c r="N1010">
        <v>3</v>
      </c>
      <c r="O1010">
        <v>3</v>
      </c>
      <c r="P1010">
        <v>4</v>
      </c>
      <c r="Q1010">
        <v>0</v>
      </c>
      <c r="R1010">
        <v>24.18</v>
      </c>
      <c r="S1010">
        <v>18</v>
      </c>
      <c r="T1010">
        <v>18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18</v>
      </c>
      <c r="AB1010">
        <v>0</v>
      </c>
      <c r="AC1010">
        <v>0</v>
      </c>
      <c r="AF1010" t="s">
        <v>130</v>
      </c>
      <c r="AH1010">
        <v>42.18</v>
      </c>
    </row>
    <row r="1011" spans="1:34" x14ac:dyDescent="0.3">
      <c r="A1011" s="4">
        <v>1125</v>
      </c>
      <c r="B1011" s="5">
        <v>1004</v>
      </c>
      <c r="C1011">
        <v>11300</v>
      </c>
      <c r="D1011" t="s">
        <v>20125</v>
      </c>
      <c r="E1011" t="s">
        <v>20126</v>
      </c>
      <c r="F1011" t="s">
        <v>136</v>
      </c>
      <c r="G1011" t="s">
        <v>20127</v>
      </c>
      <c r="H1011">
        <v>16.98</v>
      </c>
      <c r="I1011">
        <v>0</v>
      </c>
      <c r="J1011">
        <v>0</v>
      </c>
      <c r="K1011">
        <v>0</v>
      </c>
      <c r="N1011">
        <v>3</v>
      </c>
      <c r="O1011">
        <v>3</v>
      </c>
      <c r="P1011">
        <v>4</v>
      </c>
      <c r="Q1011">
        <v>0</v>
      </c>
      <c r="R1011">
        <v>23.98</v>
      </c>
      <c r="S1011">
        <v>18</v>
      </c>
      <c r="T1011">
        <v>18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18</v>
      </c>
      <c r="AB1011">
        <v>0</v>
      </c>
      <c r="AC1011">
        <v>0</v>
      </c>
      <c r="AF1011" t="s">
        <v>130</v>
      </c>
      <c r="AH1011">
        <v>41.98</v>
      </c>
    </row>
    <row r="1012" spans="1:34" x14ac:dyDescent="0.3">
      <c r="A1012" s="4">
        <v>1126</v>
      </c>
      <c r="B1012" s="5">
        <v>1005</v>
      </c>
      <c r="C1012">
        <v>15383</v>
      </c>
      <c r="D1012" t="s">
        <v>20128</v>
      </c>
      <c r="E1012" t="s">
        <v>132</v>
      </c>
      <c r="F1012" t="s">
        <v>81</v>
      </c>
      <c r="G1012" t="s">
        <v>20129</v>
      </c>
      <c r="H1012">
        <v>23.88</v>
      </c>
      <c r="I1012">
        <v>7</v>
      </c>
      <c r="J1012">
        <v>0</v>
      </c>
      <c r="K1012">
        <v>0</v>
      </c>
      <c r="L1012">
        <v>7</v>
      </c>
      <c r="O1012">
        <v>7</v>
      </c>
      <c r="P1012">
        <v>4</v>
      </c>
      <c r="Q1012">
        <v>0</v>
      </c>
      <c r="R1012">
        <v>41.88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F1012" t="s">
        <v>130</v>
      </c>
      <c r="AH1012">
        <v>41.88</v>
      </c>
    </row>
    <row r="1013" spans="1:34" x14ac:dyDescent="0.3">
      <c r="A1013" s="4">
        <v>1127</v>
      </c>
      <c r="B1013" s="5">
        <v>1006</v>
      </c>
      <c r="C1013">
        <v>75</v>
      </c>
      <c r="D1013" t="s">
        <v>6423</v>
      </c>
      <c r="E1013" t="s">
        <v>230</v>
      </c>
      <c r="F1013" t="s">
        <v>652</v>
      </c>
      <c r="G1013" t="s">
        <v>20130</v>
      </c>
      <c r="H1013">
        <v>17.7</v>
      </c>
      <c r="I1013">
        <v>0</v>
      </c>
      <c r="J1013">
        <v>0</v>
      </c>
      <c r="K1013">
        <v>0</v>
      </c>
      <c r="L1013">
        <v>7</v>
      </c>
      <c r="O1013">
        <v>7</v>
      </c>
      <c r="P1013">
        <v>4</v>
      </c>
      <c r="Q1013">
        <v>2</v>
      </c>
      <c r="R1013">
        <v>30.7</v>
      </c>
      <c r="S1013">
        <v>11</v>
      </c>
      <c r="T1013">
        <v>11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11</v>
      </c>
      <c r="AB1013">
        <v>0</v>
      </c>
      <c r="AC1013">
        <v>0</v>
      </c>
      <c r="AF1013" t="s">
        <v>130</v>
      </c>
      <c r="AH1013">
        <v>41.7</v>
      </c>
    </row>
    <row r="1014" spans="1:34" x14ac:dyDescent="0.3">
      <c r="A1014" s="4">
        <v>1128</v>
      </c>
      <c r="B1014" s="5">
        <v>1007</v>
      </c>
      <c r="C1014">
        <v>8654</v>
      </c>
      <c r="D1014" t="s">
        <v>20131</v>
      </c>
      <c r="E1014" t="s">
        <v>41</v>
      </c>
      <c r="F1014" t="s">
        <v>20132</v>
      </c>
      <c r="G1014" t="s">
        <v>20133</v>
      </c>
      <c r="H1014">
        <v>19.649999999999999</v>
      </c>
      <c r="I1014">
        <v>0</v>
      </c>
      <c r="J1014">
        <v>0</v>
      </c>
      <c r="K1014">
        <v>0</v>
      </c>
      <c r="N1014">
        <v>3</v>
      </c>
      <c r="O1014">
        <v>3</v>
      </c>
      <c r="P1014">
        <v>4</v>
      </c>
      <c r="Q1014">
        <v>2</v>
      </c>
      <c r="R1014">
        <v>28.65</v>
      </c>
      <c r="S1014">
        <v>13</v>
      </c>
      <c r="T1014">
        <v>13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13</v>
      </c>
      <c r="AB1014">
        <v>0</v>
      </c>
      <c r="AC1014">
        <v>0</v>
      </c>
      <c r="AF1014" t="s">
        <v>130</v>
      </c>
      <c r="AH1014">
        <v>41.65</v>
      </c>
    </row>
    <row r="1015" spans="1:34" x14ac:dyDescent="0.3">
      <c r="A1015" s="4">
        <v>1129</v>
      </c>
      <c r="B1015" s="5">
        <v>1008</v>
      </c>
      <c r="C1015">
        <v>10692</v>
      </c>
      <c r="D1015" t="s">
        <v>20134</v>
      </c>
      <c r="E1015" t="s">
        <v>213</v>
      </c>
      <c r="F1015" t="s">
        <v>81</v>
      </c>
      <c r="G1015" t="s">
        <v>20135</v>
      </c>
      <c r="H1015">
        <v>17.5</v>
      </c>
      <c r="I1015">
        <v>0</v>
      </c>
      <c r="J1015">
        <v>0</v>
      </c>
      <c r="K1015">
        <v>0</v>
      </c>
      <c r="N1015">
        <v>3</v>
      </c>
      <c r="O1015">
        <v>3</v>
      </c>
      <c r="P1015">
        <v>4</v>
      </c>
      <c r="Q1015">
        <v>2</v>
      </c>
      <c r="R1015">
        <v>26.5</v>
      </c>
      <c r="S1015">
        <v>15</v>
      </c>
      <c r="T1015">
        <v>15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15</v>
      </c>
      <c r="AB1015">
        <v>0</v>
      </c>
      <c r="AC1015">
        <v>0</v>
      </c>
      <c r="AF1015" t="s">
        <v>130</v>
      </c>
      <c r="AH1015">
        <v>41.5</v>
      </c>
    </row>
    <row r="1016" spans="1:34" x14ac:dyDescent="0.3">
      <c r="A1016" s="4">
        <v>1130</v>
      </c>
      <c r="B1016" s="5">
        <v>1009</v>
      </c>
      <c r="C1016">
        <v>5719</v>
      </c>
      <c r="D1016" t="s">
        <v>20136</v>
      </c>
      <c r="E1016" t="s">
        <v>20</v>
      </c>
      <c r="F1016" t="s">
        <v>190</v>
      </c>
      <c r="G1016" t="s">
        <v>20137</v>
      </c>
      <c r="H1016">
        <v>17.25</v>
      </c>
      <c r="I1016">
        <v>7</v>
      </c>
      <c r="J1016">
        <v>0</v>
      </c>
      <c r="K1016">
        <v>0</v>
      </c>
      <c r="N1016">
        <v>3</v>
      </c>
      <c r="O1016">
        <v>3</v>
      </c>
      <c r="P1016">
        <v>4</v>
      </c>
      <c r="Q1016">
        <v>2</v>
      </c>
      <c r="R1016">
        <v>33.25</v>
      </c>
      <c r="S1016">
        <v>8</v>
      </c>
      <c r="T1016">
        <v>8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8</v>
      </c>
      <c r="AB1016">
        <v>0</v>
      </c>
      <c r="AC1016">
        <v>0</v>
      </c>
      <c r="AF1016" t="s">
        <v>130</v>
      </c>
      <c r="AH1016">
        <v>41.25</v>
      </c>
    </row>
    <row r="1017" spans="1:34" x14ac:dyDescent="0.3">
      <c r="A1017" s="4">
        <v>1131</v>
      </c>
      <c r="B1017" s="5">
        <v>1010</v>
      </c>
      <c r="C1017">
        <v>8974</v>
      </c>
      <c r="D1017" t="s">
        <v>20138</v>
      </c>
      <c r="E1017" t="s">
        <v>188</v>
      </c>
      <c r="F1017" t="s">
        <v>17</v>
      </c>
      <c r="G1017" t="s">
        <v>20139</v>
      </c>
      <c r="H1017">
        <v>18.25</v>
      </c>
      <c r="I1017">
        <v>0</v>
      </c>
      <c r="J1017">
        <v>0</v>
      </c>
      <c r="K1017">
        <v>0</v>
      </c>
      <c r="N1017">
        <v>6</v>
      </c>
      <c r="O1017">
        <v>6</v>
      </c>
      <c r="P1017">
        <v>4</v>
      </c>
      <c r="Q1017">
        <v>0</v>
      </c>
      <c r="R1017">
        <v>28.25</v>
      </c>
      <c r="S1017">
        <v>13</v>
      </c>
      <c r="T1017">
        <v>13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13</v>
      </c>
      <c r="AB1017">
        <v>0</v>
      </c>
      <c r="AC1017">
        <v>0</v>
      </c>
      <c r="AD1017" t="s">
        <v>130</v>
      </c>
      <c r="AF1017" t="s">
        <v>130</v>
      </c>
      <c r="AH1017">
        <v>41.25</v>
      </c>
    </row>
    <row r="1018" spans="1:34" x14ac:dyDescent="0.3">
      <c r="A1018" s="4">
        <v>1132</v>
      </c>
      <c r="B1018" s="5">
        <v>1011</v>
      </c>
      <c r="C1018">
        <v>9789</v>
      </c>
      <c r="D1018" t="s">
        <v>8050</v>
      </c>
      <c r="E1018" t="s">
        <v>454</v>
      </c>
      <c r="F1018" t="s">
        <v>1565</v>
      </c>
      <c r="G1018" t="s">
        <v>20140</v>
      </c>
      <c r="H1018">
        <v>22.2</v>
      </c>
      <c r="I1018">
        <v>7</v>
      </c>
      <c r="J1018">
        <v>0</v>
      </c>
      <c r="K1018">
        <v>0</v>
      </c>
      <c r="N1018">
        <v>3</v>
      </c>
      <c r="O1018">
        <v>3</v>
      </c>
      <c r="P1018">
        <v>4</v>
      </c>
      <c r="Q1018">
        <v>2</v>
      </c>
      <c r="R1018">
        <v>38.200000000000003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3</v>
      </c>
      <c r="AC1018">
        <v>0</v>
      </c>
      <c r="AF1018" t="s">
        <v>130</v>
      </c>
      <c r="AH1018">
        <v>41.2</v>
      </c>
    </row>
    <row r="1019" spans="1:34" x14ac:dyDescent="0.3">
      <c r="A1019" s="4">
        <v>1133</v>
      </c>
      <c r="B1019" s="5">
        <v>1012</v>
      </c>
      <c r="C1019">
        <v>393</v>
      </c>
      <c r="D1019" t="s">
        <v>20141</v>
      </c>
      <c r="E1019" t="s">
        <v>41</v>
      </c>
      <c r="F1019" t="s">
        <v>16299</v>
      </c>
      <c r="G1019" t="s">
        <v>20142</v>
      </c>
      <c r="H1019">
        <v>17.079999999999998</v>
      </c>
      <c r="I1019">
        <v>0</v>
      </c>
      <c r="J1019">
        <v>0</v>
      </c>
      <c r="K1019">
        <v>0</v>
      </c>
      <c r="O1019">
        <v>0</v>
      </c>
      <c r="P1019">
        <v>4</v>
      </c>
      <c r="Q1019">
        <v>2</v>
      </c>
      <c r="R1019">
        <v>23.08</v>
      </c>
      <c r="S1019">
        <v>18</v>
      </c>
      <c r="T1019">
        <v>18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18</v>
      </c>
      <c r="AB1019">
        <v>0</v>
      </c>
      <c r="AC1019">
        <v>0</v>
      </c>
      <c r="AF1019" t="s">
        <v>130</v>
      </c>
      <c r="AH1019">
        <v>41.08</v>
      </c>
    </row>
    <row r="1020" spans="1:34" x14ac:dyDescent="0.3">
      <c r="A1020" s="4">
        <v>1134</v>
      </c>
      <c r="B1020" s="5">
        <v>1013</v>
      </c>
      <c r="C1020">
        <v>3342</v>
      </c>
      <c r="D1020" t="s">
        <v>18487</v>
      </c>
      <c r="E1020" t="s">
        <v>166</v>
      </c>
      <c r="F1020" t="s">
        <v>230</v>
      </c>
      <c r="G1020" t="s">
        <v>20143</v>
      </c>
      <c r="H1020">
        <v>18.98</v>
      </c>
      <c r="I1020">
        <v>0</v>
      </c>
      <c r="J1020">
        <v>0</v>
      </c>
      <c r="K1020">
        <v>0</v>
      </c>
      <c r="O1020">
        <v>0</v>
      </c>
      <c r="P1020">
        <v>4</v>
      </c>
      <c r="Q1020">
        <v>2</v>
      </c>
      <c r="R1020">
        <v>24.98</v>
      </c>
      <c r="S1020">
        <v>10</v>
      </c>
      <c r="T1020">
        <v>10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10</v>
      </c>
      <c r="AB1020">
        <v>6</v>
      </c>
      <c r="AC1020">
        <v>0</v>
      </c>
      <c r="AF1020" t="s">
        <v>130</v>
      </c>
      <c r="AH1020">
        <v>40.98</v>
      </c>
    </row>
    <row r="1021" spans="1:34" x14ac:dyDescent="0.3">
      <c r="A1021" s="4">
        <v>1135</v>
      </c>
      <c r="B1021" s="5">
        <v>1014</v>
      </c>
      <c r="C1021">
        <v>12313</v>
      </c>
      <c r="D1021" t="s">
        <v>20144</v>
      </c>
      <c r="E1021" t="s">
        <v>41</v>
      </c>
      <c r="F1021" t="s">
        <v>30</v>
      </c>
      <c r="G1021" t="s">
        <v>20145</v>
      </c>
      <c r="H1021">
        <v>17.88</v>
      </c>
      <c r="I1021">
        <v>0</v>
      </c>
      <c r="J1021">
        <v>0</v>
      </c>
      <c r="K1021">
        <v>0</v>
      </c>
      <c r="N1021">
        <v>3</v>
      </c>
      <c r="O1021">
        <v>3</v>
      </c>
      <c r="P1021">
        <v>4</v>
      </c>
      <c r="Q1021">
        <v>2</v>
      </c>
      <c r="R1021">
        <v>26.88</v>
      </c>
      <c r="S1021">
        <v>8</v>
      </c>
      <c r="T1021">
        <v>8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8</v>
      </c>
      <c r="AB1021">
        <v>6</v>
      </c>
      <c r="AC1021">
        <v>0</v>
      </c>
      <c r="AF1021" t="s">
        <v>130</v>
      </c>
      <c r="AH1021">
        <v>40.880000000000003</v>
      </c>
    </row>
    <row r="1022" spans="1:34" x14ac:dyDescent="0.3">
      <c r="A1022" s="4">
        <v>1136</v>
      </c>
      <c r="B1022" s="5">
        <v>1015</v>
      </c>
      <c r="C1022">
        <v>415</v>
      </c>
      <c r="D1022" t="s">
        <v>529</v>
      </c>
      <c r="E1022" t="s">
        <v>13582</v>
      </c>
      <c r="F1022" t="s">
        <v>117</v>
      </c>
      <c r="G1022" t="s">
        <v>20146</v>
      </c>
      <c r="H1022">
        <v>21.75</v>
      </c>
      <c r="I1022">
        <v>0</v>
      </c>
      <c r="J1022">
        <v>0</v>
      </c>
      <c r="K1022">
        <v>0</v>
      </c>
      <c r="L1022">
        <v>7</v>
      </c>
      <c r="O1022">
        <v>7</v>
      </c>
      <c r="P1022">
        <v>4</v>
      </c>
      <c r="Q1022">
        <v>2</v>
      </c>
      <c r="R1022">
        <v>34.75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6</v>
      </c>
      <c r="AC1022">
        <v>0</v>
      </c>
      <c r="AF1022" t="s">
        <v>130</v>
      </c>
      <c r="AH1022">
        <v>40.75</v>
      </c>
    </row>
    <row r="1023" spans="1:34" x14ac:dyDescent="0.3">
      <c r="A1023" s="4">
        <v>1137</v>
      </c>
      <c r="B1023" s="5">
        <v>1016</v>
      </c>
      <c r="C1023">
        <v>9752</v>
      </c>
      <c r="D1023" t="s">
        <v>20147</v>
      </c>
      <c r="E1023" t="s">
        <v>22</v>
      </c>
      <c r="F1023" t="s">
        <v>343</v>
      </c>
      <c r="G1023" t="s">
        <v>20148</v>
      </c>
      <c r="H1023">
        <v>16.75</v>
      </c>
      <c r="I1023">
        <v>0</v>
      </c>
      <c r="J1023">
        <v>0</v>
      </c>
      <c r="K1023">
        <v>0</v>
      </c>
      <c r="O1023">
        <v>0</v>
      </c>
      <c r="P1023">
        <v>4</v>
      </c>
      <c r="Q1023">
        <v>2</v>
      </c>
      <c r="R1023">
        <v>22.75</v>
      </c>
      <c r="S1023">
        <v>18</v>
      </c>
      <c r="T1023">
        <v>18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18</v>
      </c>
      <c r="AB1023">
        <v>0</v>
      </c>
      <c r="AC1023">
        <v>0</v>
      </c>
      <c r="AF1023" t="s">
        <v>130</v>
      </c>
      <c r="AH1023">
        <v>40.75</v>
      </c>
    </row>
    <row r="1024" spans="1:34" x14ac:dyDescent="0.3">
      <c r="A1024" s="4">
        <v>1138</v>
      </c>
      <c r="B1024" s="5">
        <v>1017</v>
      </c>
      <c r="C1024">
        <v>9908</v>
      </c>
      <c r="D1024" t="s">
        <v>20149</v>
      </c>
      <c r="E1024" t="s">
        <v>110</v>
      </c>
      <c r="F1024" t="s">
        <v>124</v>
      </c>
      <c r="G1024" t="s">
        <v>20150</v>
      </c>
      <c r="H1024">
        <v>18.73</v>
      </c>
      <c r="I1024">
        <v>0</v>
      </c>
      <c r="J1024">
        <v>0</v>
      </c>
      <c r="K1024">
        <v>0</v>
      </c>
      <c r="O1024">
        <v>0</v>
      </c>
      <c r="P1024">
        <v>4</v>
      </c>
      <c r="Q1024">
        <v>0</v>
      </c>
      <c r="R1024">
        <v>22.73</v>
      </c>
      <c r="S1024">
        <v>18</v>
      </c>
      <c r="T1024">
        <v>18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18</v>
      </c>
      <c r="AB1024">
        <v>0</v>
      </c>
      <c r="AC1024">
        <v>0</v>
      </c>
      <c r="AF1024" t="s">
        <v>130</v>
      </c>
      <c r="AH1024">
        <v>40.729999999999997</v>
      </c>
    </row>
    <row r="1025" spans="1:34" x14ac:dyDescent="0.3">
      <c r="A1025" s="4">
        <v>1139</v>
      </c>
      <c r="B1025" s="5">
        <v>1018</v>
      </c>
      <c r="C1025">
        <v>14219</v>
      </c>
      <c r="D1025" t="s">
        <v>2236</v>
      </c>
      <c r="E1025" t="s">
        <v>19490</v>
      </c>
      <c r="F1025" t="s">
        <v>715</v>
      </c>
      <c r="G1025" t="s">
        <v>20151</v>
      </c>
      <c r="H1025">
        <v>21.6</v>
      </c>
      <c r="I1025">
        <v>0</v>
      </c>
      <c r="J1025">
        <v>0</v>
      </c>
      <c r="K1025">
        <v>0</v>
      </c>
      <c r="L1025">
        <v>7</v>
      </c>
      <c r="N1025">
        <v>3</v>
      </c>
      <c r="O1025">
        <v>10</v>
      </c>
      <c r="P1025">
        <v>4</v>
      </c>
      <c r="Q1025">
        <v>2</v>
      </c>
      <c r="R1025">
        <v>37.6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3</v>
      </c>
      <c r="AC1025">
        <v>0</v>
      </c>
      <c r="AD1025" t="s">
        <v>130</v>
      </c>
      <c r="AF1025" t="s">
        <v>130</v>
      </c>
      <c r="AH1025">
        <v>40.6</v>
      </c>
    </row>
    <row r="1026" spans="1:34" x14ac:dyDescent="0.3">
      <c r="A1026" s="4">
        <v>1140</v>
      </c>
      <c r="B1026" s="5">
        <v>1019</v>
      </c>
      <c r="C1026">
        <v>14137</v>
      </c>
      <c r="D1026" t="s">
        <v>20152</v>
      </c>
      <c r="E1026" t="s">
        <v>38</v>
      </c>
      <c r="F1026" t="s">
        <v>158</v>
      </c>
      <c r="G1026" t="s">
        <v>20153</v>
      </c>
      <c r="H1026">
        <v>18.5</v>
      </c>
      <c r="I1026">
        <v>7</v>
      </c>
      <c r="J1026">
        <v>0</v>
      </c>
      <c r="K1026">
        <v>0</v>
      </c>
      <c r="N1026">
        <v>3</v>
      </c>
      <c r="O1026">
        <v>3</v>
      </c>
      <c r="P1026">
        <v>4</v>
      </c>
      <c r="Q1026">
        <v>2</v>
      </c>
      <c r="R1026">
        <v>34.5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6</v>
      </c>
      <c r="AC1026">
        <v>0</v>
      </c>
      <c r="AD1026" t="s">
        <v>130</v>
      </c>
      <c r="AF1026" t="s">
        <v>130</v>
      </c>
      <c r="AH1026">
        <v>40.5</v>
      </c>
    </row>
    <row r="1027" spans="1:34" x14ac:dyDescent="0.3">
      <c r="A1027" s="4">
        <v>1141</v>
      </c>
      <c r="B1027" s="5">
        <v>1020</v>
      </c>
      <c r="C1027">
        <v>3929</v>
      </c>
      <c r="D1027" t="s">
        <v>4536</v>
      </c>
      <c r="E1027" t="s">
        <v>37</v>
      </c>
      <c r="F1027" t="s">
        <v>117</v>
      </c>
      <c r="G1027" t="s">
        <v>20154</v>
      </c>
      <c r="H1027">
        <v>18.8</v>
      </c>
      <c r="I1027">
        <v>0</v>
      </c>
      <c r="J1027">
        <v>0</v>
      </c>
      <c r="K1027">
        <v>0</v>
      </c>
      <c r="L1027">
        <v>7</v>
      </c>
      <c r="O1027">
        <v>7</v>
      </c>
      <c r="P1027">
        <v>4</v>
      </c>
      <c r="Q1027">
        <v>2</v>
      </c>
      <c r="R1027">
        <v>31.8</v>
      </c>
      <c r="S1027">
        <v>8</v>
      </c>
      <c r="T1027">
        <v>8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8</v>
      </c>
      <c r="AB1027">
        <v>0</v>
      </c>
      <c r="AC1027">
        <v>0</v>
      </c>
      <c r="AF1027" t="s">
        <v>130</v>
      </c>
      <c r="AH1027">
        <v>39.799999999999997</v>
      </c>
    </row>
    <row r="1028" spans="1:34" x14ac:dyDescent="0.3">
      <c r="A1028" s="4">
        <v>1142</v>
      </c>
      <c r="B1028" s="5">
        <v>1021</v>
      </c>
      <c r="C1028">
        <v>745</v>
      </c>
      <c r="D1028" t="s">
        <v>20155</v>
      </c>
      <c r="E1028" t="s">
        <v>81</v>
      </c>
      <c r="F1028" t="s">
        <v>17</v>
      </c>
      <c r="G1028" t="s">
        <v>20156</v>
      </c>
      <c r="H1028">
        <v>20.63</v>
      </c>
      <c r="I1028">
        <v>7</v>
      </c>
      <c r="J1028">
        <v>0</v>
      </c>
      <c r="K1028">
        <v>0</v>
      </c>
      <c r="N1028">
        <v>3</v>
      </c>
      <c r="O1028">
        <v>3</v>
      </c>
      <c r="P1028">
        <v>4</v>
      </c>
      <c r="Q1028">
        <v>2</v>
      </c>
      <c r="R1028">
        <v>36.630000000000003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3</v>
      </c>
      <c r="AC1028">
        <v>0</v>
      </c>
      <c r="AF1028" t="s">
        <v>130</v>
      </c>
      <c r="AH1028">
        <v>39.630000000000003</v>
      </c>
    </row>
    <row r="1029" spans="1:34" x14ac:dyDescent="0.3">
      <c r="A1029" s="4">
        <v>1143</v>
      </c>
      <c r="B1029" s="5">
        <v>1022</v>
      </c>
      <c r="C1029">
        <v>11519</v>
      </c>
      <c r="D1029" t="s">
        <v>181</v>
      </c>
      <c r="E1029" t="s">
        <v>149</v>
      </c>
      <c r="F1029" t="s">
        <v>328</v>
      </c>
      <c r="G1029" t="s">
        <v>20157</v>
      </c>
      <c r="H1029">
        <v>19.5</v>
      </c>
      <c r="I1029">
        <v>7</v>
      </c>
      <c r="J1029">
        <v>0</v>
      </c>
      <c r="K1029">
        <v>0</v>
      </c>
      <c r="N1029">
        <v>3</v>
      </c>
      <c r="O1029">
        <v>3</v>
      </c>
      <c r="P1029">
        <v>4</v>
      </c>
      <c r="Q1029">
        <v>0</v>
      </c>
      <c r="R1029">
        <v>33.5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6</v>
      </c>
      <c r="AC1029">
        <v>0</v>
      </c>
      <c r="AF1029" t="s">
        <v>130</v>
      </c>
      <c r="AH1029">
        <v>39.5</v>
      </c>
    </row>
    <row r="1030" spans="1:34" x14ac:dyDescent="0.3">
      <c r="A1030" s="4">
        <v>1145</v>
      </c>
      <c r="B1030" s="5">
        <v>1023</v>
      </c>
      <c r="C1030">
        <v>2367</v>
      </c>
      <c r="D1030" t="s">
        <v>20159</v>
      </c>
      <c r="E1030" t="s">
        <v>100</v>
      </c>
      <c r="F1030" t="s">
        <v>167</v>
      </c>
      <c r="G1030" t="s">
        <v>20160</v>
      </c>
      <c r="H1030">
        <v>18.3</v>
      </c>
      <c r="I1030">
        <v>0</v>
      </c>
      <c r="J1030">
        <v>0</v>
      </c>
      <c r="K1030">
        <v>0</v>
      </c>
      <c r="N1030">
        <v>3</v>
      </c>
      <c r="O1030">
        <v>3</v>
      </c>
      <c r="P1030">
        <v>4</v>
      </c>
      <c r="Q1030">
        <v>2</v>
      </c>
      <c r="R1030">
        <v>27.3</v>
      </c>
      <c r="S1030">
        <v>6</v>
      </c>
      <c r="T1030">
        <v>6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6</v>
      </c>
      <c r="AB1030">
        <v>6</v>
      </c>
      <c r="AC1030">
        <v>0</v>
      </c>
      <c r="AF1030" t="s">
        <v>130</v>
      </c>
      <c r="AH1030">
        <v>39.299999999999997</v>
      </c>
    </row>
    <row r="1031" spans="1:34" x14ac:dyDescent="0.3">
      <c r="A1031" s="4">
        <v>1146</v>
      </c>
      <c r="B1031" s="5">
        <v>1024</v>
      </c>
      <c r="C1031">
        <v>2660</v>
      </c>
      <c r="D1031" t="s">
        <v>20161</v>
      </c>
      <c r="E1031" t="s">
        <v>29</v>
      </c>
      <c r="F1031" t="s">
        <v>158</v>
      </c>
      <c r="G1031" t="s">
        <v>20162</v>
      </c>
      <c r="H1031">
        <v>19.18</v>
      </c>
      <c r="I1031">
        <v>0</v>
      </c>
      <c r="J1031">
        <v>0</v>
      </c>
      <c r="K1031">
        <v>0</v>
      </c>
      <c r="M1031">
        <v>5</v>
      </c>
      <c r="O1031">
        <v>5</v>
      </c>
      <c r="P1031">
        <v>4</v>
      </c>
      <c r="Q1031">
        <v>2</v>
      </c>
      <c r="R1031">
        <v>30.18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9</v>
      </c>
      <c r="AC1031">
        <v>0</v>
      </c>
      <c r="AF1031" t="s">
        <v>130</v>
      </c>
      <c r="AH1031">
        <v>39.18</v>
      </c>
    </row>
    <row r="1032" spans="1:34" x14ac:dyDescent="0.3">
      <c r="A1032" s="4">
        <v>1147</v>
      </c>
      <c r="B1032" s="5">
        <v>1025</v>
      </c>
      <c r="C1032">
        <v>2536</v>
      </c>
      <c r="D1032" t="s">
        <v>3752</v>
      </c>
      <c r="E1032" t="s">
        <v>29</v>
      </c>
      <c r="F1032" t="s">
        <v>17</v>
      </c>
      <c r="G1032" t="s">
        <v>20163</v>
      </c>
      <c r="H1032">
        <v>20.13</v>
      </c>
      <c r="I1032">
        <v>0</v>
      </c>
      <c r="J1032">
        <v>0</v>
      </c>
      <c r="K1032">
        <v>0</v>
      </c>
      <c r="N1032">
        <v>3</v>
      </c>
      <c r="O1032">
        <v>3</v>
      </c>
      <c r="P1032">
        <v>4</v>
      </c>
      <c r="Q1032">
        <v>2</v>
      </c>
      <c r="R1032">
        <v>29.13</v>
      </c>
      <c r="S1032">
        <v>10</v>
      </c>
      <c r="T1032">
        <v>10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10</v>
      </c>
      <c r="AB1032">
        <v>0</v>
      </c>
      <c r="AC1032">
        <v>0</v>
      </c>
      <c r="AF1032" t="s">
        <v>130</v>
      </c>
      <c r="AH1032">
        <v>39.130000000000003</v>
      </c>
    </row>
    <row r="1033" spans="1:34" x14ac:dyDescent="0.3">
      <c r="A1033" s="4">
        <v>1148</v>
      </c>
      <c r="B1033" s="5">
        <v>1026</v>
      </c>
      <c r="C1033">
        <v>4067</v>
      </c>
      <c r="D1033" t="s">
        <v>20164</v>
      </c>
      <c r="E1033" t="s">
        <v>17</v>
      </c>
      <c r="F1033" t="s">
        <v>346</v>
      </c>
      <c r="G1033" t="s">
        <v>20165</v>
      </c>
      <c r="H1033">
        <v>22.85</v>
      </c>
      <c r="I1033">
        <v>7</v>
      </c>
      <c r="J1033">
        <v>0</v>
      </c>
      <c r="K1033">
        <v>0</v>
      </c>
      <c r="N1033">
        <v>3</v>
      </c>
      <c r="O1033">
        <v>3</v>
      </c>
      <c r="P1033">
        <v>4</v>
      </c>
      <c r="Q1033">
        <v>2</v>
      </c>
      <c r="R1033">
        <v>38.85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F1033" t="s">
        <v>130</v>
      </c>
      <c r="AH1033">
        <v>38.85</v>
      </c>
    </row>
    <row r="1034" spans="1:34" x14ac:dyDescent="0.3">
      <c r="A1034" s="4">
        <v>1149</v>
      </c>
      <c r="B1034" s="5">
        <v>1027</v>
      </c>
      <c r="C1034">
        <v>4556</v>
      </c>
      <c r="D1034" t="s">
        <v>2772</v>
      </c>
      <c r="E1034" t="s">
        <v>71</v>
      </c>
      <c r="F1034" t="s">
        <v>343</v>
      </c>
      <c r="G1034" t="s">
        <v>20166</v>
      </c>
      <c r="H1034">
        <v>18.850000000000001</v>
      </c>
      <c r="I1034">
        <v>0</v>
      </c>
      <c r="J1034">
        <v>0</v>
      </c>
      <c r="K1034">
        <v>0</v>
      </c>
      <c r="O1034">
        <v>0</v>
      </c>
      <c r="P1034">
        <v>4</v>
      </c>
      <c r="Q1034">
        <v>0</v>
      </c>
      <c r="R1034">
        <v>22.85</v>
      </c>
      <c r="S1034">
        <v>16</v>
      </c>
      <c r="T1034">
        <v>16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16</v>
      </c>
      <c r="AB1034">
        <v>0</v>
      </c>
      <c r="AC1034">
        <v>0</v>
      </c>
      <c r="AF1034" t="s">
        <v>130</v>
      </c>
      <c r="AH1034">
        <v>38.85</v>
      </c>
    </row>
    <row r="1035" spans="1:34" x14ac:dyDescent="0.3">
      <c r="A1035" s="4">
        <v>1150</v>
      </c>
      <c r="B1035" s="5">
        <v>1028</v>
      </c>
      <c r="C1035">
        <v>4078</v>
      </c>
      <c r="D1035" t="s">
        <v>20167</v>
      </c>
      <c r="E1035" t="s">
        <v>342</v>
      </c>
      <c r="F1035" t="s">
        <v>38</v>
      </c>
      <c r="G1035" t="s">
        <v>20168</v>
      </c>
      <c r="H1035">
        <v>16.829999999999998</v>
      </c>
      <c r="I1035">
        <v>0</v>
      </c>
      <c r="J1035">
        <v>0</v>
      </c>
      <c r="K1035">
        <v>0</v>
      </c>
      <c r="O1035">
        <v>0</v>
      </c>
      <c r="P1035">
        <v>4</v>
      </c>
      <c r="Q1035">
        <v>2</v>
      </c>
      <c r="R1035">
        <v>22.83</v>
      </c>
      <c r="S1035">
        <v>16</v>
      </c>
      <c r="T1035">
        <v>16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16</v>
      </c>
      <c r="AB1035">
        <v>0</v>
      </c>
      <c r="AC1035">
        <v>0</v>
      </c>
      <c r="AF1035" t="s">
        <v>130</v>
      </c>
      <c r="AH1035">
        <v>38.83</v>
      </c>
    </row>
    <row r="1036" spans="1:34" x14ac:dyDescent="0.3">
      <c r="A1036" s="4">
        <v>1151</v>
      </c>
      <c r="B1036" s="5">
        <v>1029</v>
      </c>
      <c r="C1036">
        <v>9241</v>
      </c>
      <c r="D1036" t="s">
        <v>16525</v>
      </c>
      <c r="E1036" t="s">
        <v>20169</v>
      </c>
      <c r="F1036" t="s">
        <v>782</v>
      </c>
      <c r="G1036" t="s">
        <v>20170</v>
      </c>
      <c r="H1036">
        <v>18.5</v>
      </c>
      <c r="I1036">
        <v>7</v>
      </c>
      <c r="J1036">
        <v>0</v>
      </c>
      <c r="K1036">
        <v>0</v>
      </c>
      <c r="L1036">
        <v>7</v>
      </c>
      <c r="O1036">
        <v>7</v>
      </c>
      <c r="P1036">
        <v>4</v>
      </c>
      <c r="Q1036">
        <v>2</v>
      </c>
      <c r="R1036">
        <v>38.5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 t="s">
        <v>130</v>
      </c>
      <c r="AF1036" t="s">
        <v>130</v>
      </c>
      <c r="AH1036">
        <v>38.5</v>
      </c>
    </row>
    <row r="1037" spans="1:34" x14ac:dyDescent="0.3">
      <c r="A1037" s="4">
        <v>1152</v>
      </c>
      <c r="B1037" s="5">
        <v>1030</v>
      </c>
      <c r="C1037">
        <v>27</v>
      </c>
      <c r="D1037" t="s">
        <v>20171</v>
      </c>
      <c r="E1037" t="s">
        <v>213</v>
      </c>
      <c r="F1037" t="s">
        <v>20</v>
      </c>
      <c r="G1037" t="s">
        <v>20172</v>
      </c>
      <c r="H1037">
        <v>16.5</v>
      </c>
      <c r="I1037">
        <v>0</v>
      </c>
      <c r="J1037">
        <v>0</v>
      </c>
      <c r="K1037">
        <v>0</v>
      </c>
      <c r="O1037">
        <v>0</v>
      </c>
      <c r="P1037">
        <v>4</v>
      </c>
      <c r="Q1037">
        <v>0</v>
      </c>
      <c r="R1037">
        <v>20.5</v>
      </c>
      <c r="S1037">
        <v>18</v>
      </c>
      <c r="T1037">
        <v>18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18</v>
      </c>
      <c r="AB1037">
        <v>0</v>
      </c>
      <c r="AC1037">
        <v>0</v>
      </c>
      <c r="AF1037" t="s">
        <v>130</v>
      </c>
      <c r="AH1037">
        <v>38.5</v>
      </c>
    </row>
    <row r="1038" spans="1:34" x14ac:dyDescent="0.3">
      <c r="A1038" s="4">
        <v>1153</v>
      </c>
      <c r="B1038" s="5">
        <v>1031</v>
      </c>
      <c r="C1038">
        <v>7195</v>
      </c>
      <c r="D1038" t="s">
        <v>7050</v>
      </c>
      <c r="E1038" t="s">
        <v>37</v>
      </c>
      <c r="F1038" t="s">
        <v>30</v>
      </c>
      <c r="G1038" t="s">
        <v>20173</v>
      </c>
      <c r="H1038">
        <v>16.48</v>
      </c>
      <c r="I1038">
        <v>0</v>
      </c>
      <c r="J1038">
        <v>0</v>
      </c>
      <c r="K1038">
        <v>0</v>
      </c>
      <c r="O1038">
        <v>0</v>
      </c>
      <c r="P1038">
        <v>4</v>
      </c>
      <c r="Q1038">
        <v>0</v>
      </c>
      <c r="R1038">
        <v>20.48</v>
      </c>
      <c r="S1038">
        <v>18</v>
      </c>
      <c r="T1038">
        <v>18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18</v>
      </c>
      <c r="AB1038">
        <v>0</v>
      </c>
      <c r="AC1038">
        <v>0</v>
      </c>
      <c r="AF1038" t="s">
        <v>130</v>
      </c>
      <c r="AH1038">
        <v>38.479999999999997</v>
      </c>
    </row>
    <row r="1039" spans="1:34" x14ac:dyDescent="0.3">
      <c r="A1039" s="4">
        <v>1154</v>
      </c>
      <c r="B1039" s="5">
        <v>1032</v>
      </c>
      <c r="C1039">
        <v>1040</v>
      </c>
      <c r="D1039" t="s">
        <v>20174</v>
      </c>
      <c r="E1039" t="s">
        <v>550</v>
      </c>
      <c r="F1039" t="s">
        <v>416</v>
      </c>
      <c r="G1039" t="s">
        <v>20175</v>
      </c>
      <c r="H1039">
        <v>19.38</v>
      </c>
      <c r="I1039">
        <v>0</v>
      </c>
      <c r="J1039">
        <v>0</v>
      </c>
      <c r="K1039">
        <v>0</v>
      </c>
      <c r="M1039">
        <v>5</v>
      </c>
      <c r="N1039">
        <v>3</v>
      </c>
      <c r="O1039">
        <v>8</v>
      </c>
      <c r="P1039">
        <v>4</v>
      </c>
      <c r="Q1039">
        <v>2</v>
      </c>
      <c r="R1039">
        <v>33.380000000000003</v>
      </c>
      <c r="S1039">
        <v>5</v>
      </c>
      <c r="T1039">
        <v>5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5</v>
      </c>
      <c r="AB1039">
        <v>0</v>
      </c>
      <c r="AC1039">
        <v>0</v>
      </c>
      <c r="AF1039" t="s">
        <v>130</v>
      </c>
      <c r="AH1039">
        <v>38.380000000000003</v>
      </c>
    </row>
    <row r="1040" spans="1:34" x14ac:dyDescent="0.3">
      <c r="A1040" s="4">
        <v>1155</v>
      </c>
      <c r="B1040" s="5">
        <v>1033</v>
      </c>
      <c r="C1040">
        <v>8265</v>
      </c>
      <c r="D1040" t="s">
        <v>20176</v>
      </c>
      <c r="E1040" t="s">
        <v>328</v>
      </c>
      <c r="F1040" t="s">
        <v>124</v>
      </c>
      <c r="G1040" t="s">
        <v>20177</v>
      </c>
      <c r="H1040">
        <v>19.350000000000001</v>
      </c>
      <c r="I1040">
        <v>0</v>
      </c>
      <c r="J1040">
        <v>0</v>
      </c>
      <c r="K1040">
        <v>0</v>
      </c>
      <c r="L1040">
        <v>7</v>
      </c>
      <c r="O1040">
        <v>7</v>
      </c>
      <c r="P1040">
        <v>4</v>
      </c>
      <c r="Q1040">
        <v>2</v>
      </c>
      <c r="R1040">
        <v>32.35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6</v>
      </c>
      <c r="AC1040">
        <v>0</v>
      </c>
      <c r="AF1040" t="s">
        <v>130</v>
      </c>
      <c r="AH1040">
        <v>38.35</v>
      </c>
    </row>
    <row r="1041" spans="1:34" x14ac:dyDescent="0.3">
      <c r="A1041" s="4">
        <v>1156</v>
      </c>
      <c r="B1041" s="5">
        <v>1034</v>
      </c>
      <c r="C1041">
        <v>5620</v>
      </c>
      <c r="D1041" t="s">
        <v>181</v>
      </c>
      <c r="E1041" t="s">
        <v>335</v>
      </c>
      <c r="F1041" t="s">
        <v>1748</v>
      </c>
      <c r="G1041" t="s">
        <v>20178</v>
      </c>
      <c r="H1041">
        <v>20.329999999999998</v>
      </c>
      <c r="I1041">
        <v>0</v>
      </c>
      <c r="J1041">
        <v>0</v>
      </c>
      <c r="K1041">
        <v>0</v>
      </c>
      <c r="N1041">
        <v>3</v>
      </c>
      <c r="O1041">
        <v>3</v>
      </c>
      <c r="P1041">
        <v>4</v>
      </c>
      <c r="Q1041">
        <v>2</v>
      </c>
      <c r="R1041">
        <v>29.33</v>
      </c>
      <c r="S1041">
        <v>3</v>
      </c>
      <c r="T1041">
        <v>3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3</v>
      </c>
      <c r="AB1041">
        <v>6</v>
      </c>
      <c r="AC1041">
        <v>0</v>
      </c>
      <c r="AF1041" t="s">
        <v>130</v>
      </c>
      <c r="AH1041">
        <v>38.33</v>
      </c>
    </row>
    <row r="1042" spans="1:34" x14ac:dyDescent="0.3">
      <c r="A1042" s="4">
        <v>1158</v>
      </c>
      <c r="B1042" s="5">
        <v>1035</v>
      </c>
      <c r="C1042">
        <v>3162</v>
      </c>
      <c r="D1042" t="s">
        <v>6100</v>
      </c>
      <c r="E1042" t="s">
        <v>54</v>
      </c>
      <c r="F1042" t="s">
        <v>68</v>
      </c>
      <c r="G1042" t="s">
        <v>6101</v>
      </c>
      <c r="H1042">
        <v>18.25</v>
      </c>
      <c r="I1042">
        <v>0</v>
      </c>
      <c r="J1042">
        <v>0</v>
      </c>
      <c r="K1042">
        <v>0</v>
      </c>
      <c r="O1042">
        <v>0</v>
      </c>
      <c r="P1042">
        <v>4</v>
      </c>
      <c r="Q1042">
        <v>0</v>
      </c>
      <c r="R1042">
        <v>22.25</v>
      </c>
      <c r="S1042">
        <v>16</v>
      </c>
      <c r="T1042">
        <v>16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16</v>
      </c>
      <c r="AB1042">
        <v>0</v>
      </c>
      <c r="AC1042">
        <v>0</v>
      </c>
      <c r="AF1042" t="s">
        <v>130</v>
      </c>
      <c r="AH1042">
        <v>38.25</v>
      </c>
    </row>
    <row r="1043" spans="1:34" x14ac:dyDescent="0.3">
      <c r="A1043" s="4">
        <v>1159</v>
      </c>
      <c r="B1043" s="5">
        <v>1036</v>
      </c>
      <c r="C1043">
        <v>12593</v>
      </c>
      <c r="D1043" t="s">
        <v>7429</v>
      </c>
      <c r="E1043" t="s">
        <v>1465</v>
      </c>
      <c r="F1043" t="s">
        <v>243</v>
      </c>
      <c r="G1043" t="s">
        <v>20180</v>
      </c>
      <c r="H1043">
        <v>18.05</v>
      </c>
      <c r="I1043">
        <v>0</v>
      </c>
      <c r="J1043">
        <v>0</v>
      </c>
      <c r="K1043">
        <v>0</v>
      </c>
      <c r="L1043">
        <v>7</v>
      </c>
      <c r="O1043">
        <v>7</v>
      </c>
      <c r="P1043">
        <v>4</v>
      </c>
      <c r="Q1043">
        <v>0</v>
      </c>
      <c r="R1043">
        <v>29.05</v>
      </c>
      <c r="S1043">
        <v>6</v>
      </c>
      <c r="T1043">
        <v>6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6</v>
      </c>
      <c r="AB1043">
        <v>3</v>
      </c>
      <c r="AC1043">
        <v>0</v>
      </c>
      <c r="AF1043" t="s">
        <v>130</v>
      </c>
      <c r="AH1043">
        <v>38.049999999999997</v>
      </c>
    </row>
    <row r="1044" spans="1:34" x14ac:dyDescent="0.3">
      <c r="A1044" s="4">
        <v>1160</v>
      </c>
      <c r="B1044" s="5">
        <v>1037</v>
      </c>
      <c r="C1044">
        <v>581</v>
      </c>
      <c r="D1044" t="s">
        <v>20181</v>
      </c>
      <c r="E1044" t="s">
        <v>158</v>
      </c>
      <c r="F1044" t="s">
        <v>38</v>
      </c>
      <c r="G1044" t="s">
        <v>20182</v>
      </c>
      <c r="H1044">
        <v>19</v>
      </c>
      <c r="I1044">
        <v>0</v>
      </c>
      <c r="J1044">
        <v>0</v>
      </c>
      <c r="K1044">
        <v>0</v>
      </c>
      <c r="N1044">
        <v>6</v>
      </c>
      <c r="O1044">
        <v>6</v>
      </c>
      <c r="P1044">
        <v>4</v>
      </c>
      <c r="Q1044">
        <v>0</v>
      </c>
      <c r="R1044">
        <v>29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9</v>
      </c>
      <c r="AC1044">
        <v>0</v>
      </c>
      <c r="AD1044" t="s">
        <v>130</v>
      </c>
      <c r="AF1044" t="s">
        <v>130</v>
      </c>
      <c r="AH1044">
        <v>38</v>
      </c>
    </row>
    <row r="1045" spans="1:34" x14ac:dyDescent="0.3">
      <c r="A1045" s="4">
        <v>1161</v>
      </c>
      <c r="B1045" s="5">
        <v>1038</v>
      </c>
      <c r="C1045">
        <v>3876</v>
      </c>
      <c r="D1045" t="s">
        <v>20183</v>
      </c>
      <c r="E1045" t="s">
        <v>20184</v>
      </c>
      <c r="F1045" t="s">
        <v>38</v>
      </c>
      <c r="G1045" t="s">
        <v>20185</v>
      </c>
      <c r="H1045">
        <v>17.88</v>
      </c>
      <c r="I1045">
        <v>0</v>
      </c>
      <c r="J1045">
        <v>0</v>
      </c>
      <c r="K1045">
        <v>0</v>
      </c>
      <c r="N1045">
        <v>3</v>
      </c>
      <c r="O1045">
        <v>3</v>
      </c>
      <c r="P1045">
        <v>4</v>
      </c>
      <c r="Q1045">
        <v>2</v>
      </c>
      <c r="R1045">
        <v>26.88</v>
      </c>
      <c r="S1045">
        <v>11</v>
      </c>
      <c r="T1045">
        <v>11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11</v>
      </c>
      <c r="AB1045">
        <v>0</v>
      </c>
      <c r="AC1045">
        <v>0</v>
      </c>
      <c r="AF1045" t="s">
        <v>130</v>
      </c>
      <c r="AH1045">
        <v>37.880000000000003</v>
      </c>
    </row>
    <row r="1046" spans="1:34" x14ac:dyDescent="0.3">
      <c r="A1046" s="4">
        <v>1162</v>
      </c>
      <c r="B1046" s="5">
        <v>1039</v>
      </c>
      <c r="C1046">
        <v>1143</v>
      </c>
      <c r="D1046" t="s">
        <v>1088</v>
      </c>
      <c r="E1046" t="s">
        <v>166</v>
      </c>
      <c r="F1046" t="s">
        <v>117</v>
      </c>
      <c r="G1046" t="s">
        <v>20186</v>
      </c>
      <c r="H1046">
        <v>17.75</v>
      </c>
      <c r="I1046">
        <v>0</v>
      </c>
      <c r="J1046">
        <v>0</v>
      </c>
      <c r="K1046">
        <v>0</v>
      </c>
      <c r="O1046">
        <v>0</v>
      </c>
      <c r="P1046">
        <v>4</v>
      </c>
      <c r="Q1046">
        <v>2</v>
      </c>
      <c r="R1046">
        <v>23.75</v>
      </c>
      <c r="S1046">
        <v>14</v>
      </c>
      <c r="T1046">
        <v>14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14</v>
      </c>
      <c r="AB1046">
        <v>0</v>
      </c>
      <c r="AC1046">
        <v>0</v>
      </c>
      <c r="AF1046" t="s">
        <v>130</v>
      </c>
      <c r="AH1046">
        <v>37.75</v>
      </c>
    </row>
    <row r="1047" spans="1:34" x14ac:dyDescent="0.3">
      <c r="A1047" s="4">
        <v>1163</v>
      </c>
      <c r="B1047" s="5">
        <v>1040</v>
      </c>
      <c r="C1047">
        <v>6446</v>
      </c>
      <c r="D1047" t="s">
        <v>8053</v>
      </c>
      <c r="E1047" t="s">
        <v>749</v>
      </c>
      <c r="F1047" t="s">
        <v>68</v>
      </c>
      <c r="G1047" t="s">
        <v>20187</v>
      </c>
      <c r="H1047">
        <v>23.43</v>
      </c>
      <c r="I1047">
        <v>7</v>
      </c>
      <c r="J1047">
        <v>0</v>
      </c>
      <c r="K1047">
        <v>0</v>
      </c>
      <c r="N1047">
        <v>3</v>
      </c>
      <c r="O1047">
        <v>3</v>
      </c>
      <c r="P1047">
        <v>4</v>
      </c>
      <c r="Q1047">
        <v>0</v>
      </c>
      <c r="R1047">
        <v>37.43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 t="s">
        <v>130</v>
      </c>
      <c r="AF1047" t="s">
        <v>130</v>
      </c>
      <c r="AH1047">
        <v>37.43</v>
      </c>
    </row>
    <row r="1048" spans="1:34" x14ac:dyDescent="0.3">
      <c r="A1048" s="4">
        <v>1164</v>
      </c>
      <c r="B1048" s="5">
        <v>1041</v>
      </c>
      <c r="C1048">
        <v>6701</v>
      </c>
      <c r="D1048" t="s">
        <v>20188</v>
      </c>
      <c r="E1048" t="s">
        <v>54</v>
      </c>
      <c r="F1048" t="s">
        <v>158</v>
      </c>
      <c r="G1048" t="s">
        <v>20189</v>
      </c>
      <c r="H1048">
        <v>18.3</v>
      </c>
      <c r="I1048">
        <v>0</v>
      </c>
      <c r="J1048">
        <v>0</v>
      </c>
      <c r="K1048">
        <v>0</v>
      </c>
      <c r="N1048">
        <v>3</v>
      </c>
      <c r="O1048">
        <v>3</v>
      </c>
      <c r="P1048">
        <v>4</v>
      </c>
      <c r="Q1048">
        <v>0</v>
      </c>
      <c r="R1048">
        <v>25.3</v>
      </c>
      <c r="S1048">
        <v>6</v>
      </c>
      <c r="T1048">
        <v>6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6</v>
      </c>
      <c r="AB1048">
        <v>6</v>
      </c>
      <c r="AC1048">
        <v>0</v>
      </c>
      <c r="AF1048" t="s">
        <v>130</v>
      </c>
      <c r="AH1048">
        <v>37.299999999999997</v>
      </c>
    </row>
    <row r="1049" spans="1:34" x14ac:dyDescent="0.3">
      <c r="A1049" s="4">
        <v>1165</v>
      </c>
      <c r="B1049" s="5">
        <v>1042</v>
      </c>
      <c r="C1049">
        <v>13031</v>
      </c>
      <c r="D1049" t="s">
        <v>20190</v>
      </c>
      <c r="E1049" t="s">
        <v>166</v>
      </c>
      <c r="F1049" t="s">
        <v>1023</v>
      </c>
      <c r="G1049" t="s">
        <v>20191</v>
      </c>
      <c r="H1049">
        <v>19.28</v>
      </c>
      <c r="I1049">
        <v>0</v>
      </c>
      <c r="J1049">
        <v>0</v>
      </c>
      <c r="K1049">
        <v>0</v>
      </c>
      <c r="O1049">
        <v>0</v>
      </c>
      <c r="P1049">
        <v>4</v>
      </c>
      <c r="Q1049">
        <v>2</v>
      </c>
      <c r="R1049">
        <v>25.28</v>
      </c>
      <c r="S1049">
        <v>6</v>
      </c>
      <c r="T1049">
        <v>6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6</v>
      </c>
      <c r="AB1049">
        <v>6</v>
      </c>
      <c r="AC1049">
        <v>0</v>
      </c>
      <c r="AF1049" t="s">
        <v>130</v>
      </c>
      <c r="AH1049">
        <v>37.28</v>
      </c>
    </row>
    <row r="1050" spans="1:34" x14ac:dyDescent="0.3">
      <c r="A1050" s="4">
        <v>1166</v>
      </c>
      <c r="B1050" s="5">
        <v>1043</v>
      </c>
      <c r="C1050">
        <v>11458</v>
      </c>
      <c r="D1050" t="s">
        <v>20192</v>
      </c>
      <c r="E1050" t="s">
        <v>166</v>
      </c>
      <c r="F1050" t="s">
        <v>91</v>
      </c>
      <c r="G1050" t="s">
        <v>20193</v>
      </c>
      <c r="H1050">
        <v>19.28</v>
      </c>
      <c r="I1050">
        <v>0</v>
      </c>
      <c r="J1050">
        <v>0</v>
      </c>
      <c r="K1050">
        <v>0</v>
      </c>
      <c r="N1050">
        <v>3</v>
      </c>
      <c r="O1050">
        <v>3</v>
      </c>
      <c r="P1050">
        <v>4</v>
      </c>
      <c r="Q1050">
        <v>0</v>
      </c>
      <c r="R1050">
        <v>26.28</v>
      </c>
      <c r="S1050">
        <v>8</v>
      </c>
      <c r="T1050">
        <v>8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8</v>
      </c>
      <c r="AB1050">
        <v>3</v>
      </c>
      <c r="AC1050">
        <v>0</v>
      </c>
      <c r="AF1050" t="s">
        <v>130</v>
      </c>
      <c r="AH1050">
        <v>37.28</v>
      </c>
    </row>
    <row r="1051" spans="1:34" x14ac:dyDescent="0.3">
      <c r="A1051" s="4">
        <v>1167</v>
      </c>
      <c r="B1051" s="5">
        <v>1044</v>
      </c>
      <c r="C1051">
        <v>9834</v>
      </c>
      <c r="D1051" t="s">
        <v>9585</v>
      </c>
      <c r="E1051" t="s">
        <v>161</v>
      </c>
      <c r="F1051" t="s">
        <v>20194</v>
      </c>
      <c r="G1051" t="s">
        <v>20195</v>
      </c>
      <c r="H1051">
        <v>18.68</v>
      </c>
      <c r="I1051">
        <v>0</v>
      </c>
      <c r="J1051">
        <v>0</v>
      </c>
      <c r="K1051">
        <v>0</v>
      </c>
      <c r="N1051">
        <v>3</v>
      </c>
      <c r="O1051">
        <v>3</v>
      </c>
      <c r="P1051">
        <v>0</v>
      </c>
      <c r="Q1051">
        <v>0</v>
      </c>
      <c r="R1051">
        <v>21.68</v>
      </c>
      <c r="S1051">
        <v>8</v>
      </c>
      <c r="T1051">
        <v>8</v>
      </c>
      <c r="U1051">
        <v>0</v>
      </c>
      <c r="V1051">
        <v>0</v>
      </c>
      <c r="W1051">
        <v>5</v>
      </c>
      <c r="X1051">
        <v>7.5</v>
      </c>
      <c r="Y1051">
        <v>0</v>
      </c>
      <c r="Z1051">
        <v>0</v>
      </c>
      <c r="AA1051">
        <v>15.5</v>
      </c>
      <c r="AB1051">
        <v>0</v>
      </c>
      <c r="AC1051">
        <v>0</v>
      </c>
      <c r="AF1051" t="s">
        <v>130</v>
      </c>
      <c r="AH1051">
        <v>37.18</v>
      </c>
    </row>
    <row r="1052" spans="1:34" x14ac:dyDescent="0.3">
      <c r="A1052" s="4">
        <v>1168</v>
      </c>
      <c r="B1052" s="5">
        <v>1045</v>
      </c>
      <c r="C1052">
        <v>3878</v>
      </c>
      <c r="D1052" t="s">
        <v>1129</v>
      </c>
      <c r="E1052" t="s">
        <v>255</v>
      </c>
      <c r="F1052" t="s">
        <v>30</v>
      </c>
      <c r="G1052" t="s">
        <v>20196</v>
      </c>
      <c r="H1052">
        <v>19</v>
      </c>
      <c r="I1052">
        <v>0</v>
      </c>
      <c r="J1052">
        <v>0</v>
      </c>
      <c r="K1052">
        <v>0</v>
      </c>
      <c r="N1052">
        <v>3</v>
      </c>
      <c r="O1052">
        <v>3</v>
      </c>
      <c r="P1052">
        <v>4</v>
      </c>
      <c r="Q1052">
        <v>0</v>
      </c>
      <c r="R1052">
        <v>26</v>
      </c>
      <c r="S1052">
        <v>11</v>
      </c>
      <c r="T1052">
        <v>11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11</v>
      </c>
      <c r="AB1052">
        <v>0</v>
      </c>
      <c r="AC1052">
        <v>0</v>
      </c>
      <c r="AF1052" t="s">
        <v>130</v>
      </c>
      <c r="AH1052">
        <v>37</v>
      </c>
    </row>
    <row r="1053" spans="1:34" x14ac:dyDescent="0.3">
      <c r="A1053" s="4">
        <v>1169</v>
      </c>
      <c r="B1053" s="5">
        <v>1046</v>
      </c>
      <c r="C1053">
        <v>93</v>
      </c>
      <c r="D1053" t="s">
        <v>9253</v>
      </c>
      <c r="E1053" t="s">
        <v>419</v>
      </c>
      <c r="F1053" t="s">
        <v>38</v>
      </c>
      <c r="G1053" t="s">
        <v>20197</v>
      </c>
      <c r="H1053">
        <v>19.98</v>
      </c>
      <c r="I1053">
        <v>0</v>
      </c>
      <c r="J1053">
        <v>0</v>
      </c>
      <c r="K1053">
        <v>0</v>
      </c>
      <c r="N1053">
        <v>3</v>
      </c>
      <c r="O1053">
        <v>3</v>
      </c>
      <c r="P1053">
        <v>4</v>
      </c>
      <c r="Q1053">
        <v>2</v>
      </c>
      <c r="R1053">
        <v>28.98</v>
      </c>
      <c r="S1053">
        <v>8</v>
      </c>
      <c r="T1053">
        <v>8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8</v>
      </c>
      <c r="AB1053">
        <v>0</v>
      </c>
      <c r="AC1053">
        <v>0</v>
      </c>
      <c r="AF1053" t="s">
        <v>130</v>
      </c>
      <c r="AH1053">
        <v>36.979999999999997</v>
      </c>
    </row>
    <row r="1054" spans="1:34" x14ac:dyDescent="0.3">
      <c r="A1054" s="4">
        <v>1170</v>
      </c>
      <c r="B1054" s="5">
        <v>1047</v>
      </c>
      <c r="C1054">
        <v>996</v>
      </c>
      <c r="D1054" t="s">
        <v>10917</v>
      </c>
      <c r="E1054" t="s">
        <v>286</v>
      </c>
      <c r="F1054" t="s">
        <v>62</v>
      </c>
      <c r="G1054" t="s">
        <v>20198</v>
      </c>
      <c r="H1054">
        <v>19.93</v>
      </c>
      <c r="I1054">
        <v>0</v>
      </c>
      <c r="J1054">
        <v>0</v>
      </c>
      <c r="K1054">
        <v>0</v>
      </c>
      <c r="L1054">
        <v>7</v>
      </c>
      <c r="O1054">
        <v>7</v>
      </c>
      <c r="P1054">
        <v>4</v>
      </c>
      <c r="Q1054">
        <v>0</v>
      </c>
      <c r="R1054">
        <v>30.93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6</v>
      </c>
      <c r="AC1054">
        <v>0</v>
      </c>
      <c r="AF1054" t="s">
        <v>130</v>
      </c>
      <c r="AH1054">
        <v>36.93</v>
      </c>
    </row>
    <row r="1055" spans="1:34" x14ac:dyDescent="0.3">
      <c r="A1055" s="4">
        <v>1171</v>
      </c>
      <c r="B1055" s="5">
        <v>1048</v>
      </c>
      <c r="C1055">
        <v>7846</v>
      </c>
      <c r="D1055" t="s">
        <v>19360</v>
      </c>
      <c r="E1055" t="s">
        <v>26</v>
      </c>
      <c r="F1055" t="s">
        <v>17</v>
      </c>
      <c r="G1055" t="s">
        <v>20199</v>
      </c>
      <c r="H1055">
        <v>18.8</v>
      </c>
      <c r="I1055">
        <v>0</v>
      </c>
      <c r="J1055">
        <v>0</v>
      </c>
      <c r="K1055">
        <v>0</v>
      </c>
      <c r="L1055">
        <v>7</v>
      </c>
      <c r="O1055">
        <v>7</v>
      </c>
      <c r="P1055">
        <v>4</v>
      </c>
      <c r="Q1055">
        <v>2</v>
      </c>
      <c r="R1055">
        <v>31.8</v>
      </c>
      <c r="S1055">
        <v>5</v>
      </c>
      <c r="T1055">
        <v>5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5</v>
      </c>
      <c r="AB1055">
        <v>0</v>
      </c>
      <c r="AC1055">
        <v>0</v>
      </c>
      <c r="AD1055" t="s">
        <v>130</v>
      </c>
      <c r="AF1055" t="s">
        <v>130</v>
      </c>
      <c r="AH1055">
        <v>36.799999999999997</v>
      </c>
    </row>
    <row r="1056" spans="1:34" x14ac:dyDescent="0.3">
      <c r="A1056" s="4">
        <v>1172</v>
      </c>
      <c r="B1056" s="5">
        <v>1049</v>
      </c>
      <c r="C1056">
        <v>4256</v>
      </c>
      <c r="D1056" t="s">
        <v>20200</v>
      </c>
      <c r="E1056" t="s">
        <v>208</v>
      </c>
      <c r="F1056" t="s">
        <v>190</v>
      </c>
      <c r="G1056" t="s">
        <v>20201</v>
      </c>
      <c r="H1056">
        <v>18.75</v>
      </c>
      <c r="I1056">
        <v>0</v>
      </c>
      <c r="J1056">
        <v>0</v>
      </c>
      <c r="K1056">
        <v>0</v>
      </c>
      <c r="N1056">
        <v>3</v>
      </c>
      <c r="O1056">
        <v>3</v>
      </c>
      <c r="P1056">
        <v>4</v>
      </c>
      <c r="Q1056">
        <v>2</v>
      </c>
      <c r="R1056">
        <v>27.75</v>
      </c>
      <c r="S1056">
        <v>6</v>
      </c>
      <c r="T1056">
        <v>6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6</v>
      </c>
      <c r="AB1056">
        <v>3</v>
      </c>
      <c r="AC1056">
        <v>0</v>
      </c>
      <c r="AF1056" t="s">
        <v>130</v>
      </c>
      <c r="AH1056">
        <v>36.75</v>
      </c>
    </row>
    <row r="1057" spans="1:34" x14ac:dyDescent="0.3">
      <c r="A1057" s="4">
        <v>1173</v>
      </c>
      <c r="B1057" s="5">
        <v>1050</v>
      </c>
      <c r="C1057">
        <v>12713</v>
      </c>
      <c r="D1057" t="s">
        <v>2079</v>
      </c>
      <c r="E1057" t="s">
        <v>4391</v>
      </c>
      <c r="F1057" t="s">
        <v>782</v>
      </c>
      <c r="G1057" t="s">
        <v>20202</v>
      </c>
      <c r="H1057">
        <v>20.58</v>
      </c>
      <c r="I1057">
        <v>0</v>
      </c>
      <c r="J1057">
        <v>0</v>
      </c>
      <c r="K1057">
        <v>0</v>
      </c>
      <c r="L1057">
        <v>7</v>
      </c>
      <c r="O1057">
        <v>7</v>
      </c>
      <c r="P1057">
        <v>4</v>
      </c>
      <c r="Q1057">
        <v>2</v>
      </c>
      <c r="R1057">
        <v>33.58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3</v>
      </c>
      <c r="AC1057">
        <v>0</v>
      </c>
      <c r="AF1057" t="s">
        <v>130</v>
      </c>
      <c r="AH1057">
        <v>36.58</v>
      </c>
    </row>
    <row r="1058" spans="1:34" x14ac:dyDescent="0.3">
      <c r="A1058" s="4">
        <v>1174</v>
      </c>
      <c r="B1058" s="5">
        <v>1051</v>
      </c>
      <c r="C1058">
        <v>4839</v>
      </c>
      <c r="D1058" t="s">
        <v>8266</v>
      </c>
      <c r="E1058" t="s">
        <v>9010</v>
      </c>
      <c r="F1058" t="s">
        <v>10086</v>
      </c>
      <c r="G1058" t="s">
        <v>20203</v>
      </c>
      <c r="H1058">
        <v>17.45</v>
      </c>
      <c r="I1058">
        <v>0</v>
      </c>
      <c r="J1058">
        <v>0</v>
      </c>
      <c r="K1058">
        <v>0</v>
      </c>
      <c r="L1058">
        <v>7</v>
      </c>
      <c r="O1058">
        <v>7</v>
      </c>
      <c r="P1058">
        <v>4</v>
      </c>
      <c r="Q1058">
        <v>2</v>
      </c>
      <c r="R1058">
        <v>30.45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6</v>
      </c>
      <c r="AC1058">
        <v>0</v>
      </c>
      <c r="AF1058" t="s">
        <v>130</v>
      </c>
      <c r="AH1058">
        <v>36.450000000000003</v>
      </c>
    </row>
    <row r="1059" spans="1:34" x14ac:dyDescent="0.3">
      <c r="A1059" s="4">
        <v>1175</v>
      </c>
      <c r="B1059" s="5">
        <v>1052</v>
      </c>
      <c r="C1059">
        <v>15114</v>
      </c>
      <c r="D1059" t="s">
        <v>54</v>
      </c>
      <c r="E1059" t="s">
        <v>20204</v>
      </c>
      <c r="F1059" t="s">
        <v>259</v>
      </c>
      <c r="G1059" t="s">
        <v>20205</v>
      </c>
      <c r="H1059">
        <v>17.45</v>
      </c>
      <c r="I1059">
        <v>0</v>
      </c>
      <c r="J1059">
        <v>0</v>
      </c>
      <c r="K1059">
        <v>0</v>
      </c>
      <c r="L1059">
        <v>7</v>
      </c>
      <c r="O1059">
        <v>7</v>
      </c>
      <c r="P1059">
        <v>4</v>
      </c>
      <c r="Q1059">
        <v>2</v>
      </c>
      <c r="R1059">
        <v>30.45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6</v>
      </c>
      <c r="AC1059">
        <v>0</v>
      </c>
      <c r="AF1059" t="s">
        <v>130</v>
      </c>
      <c r="AH1059">
        <v>36.450000000000003</v>
      </c>
    </row>
    <row r="1060" spans="1:34" x14ac:dyDescent="0.3">
      <c r="A1060" s="4">
        <v>1176</v>
      </c>
      <c r="B1060" s="5">
        <v>1053</v>
      </c>
      <c r="C1060">
        <v>5773</v>
      </c>
      <c r="D1060" t="s">
        <v>20206</v>
      </c>
      <c r="E1060" t="s">
        <v>147</v>
      </c>
      <c r="F1060" t="s">
        <v>158</v>
      </c>
      <c r="G1060" t="s">
        <v>20207</v>
      </c>
      <c r="H1060">
        <v>20.350000000000001</v>
      </c>
      <c r="I1060">
        <v>0</v>
      </c>
      <c r="J1060">
        <v>0</v>
      </c>
      <c r="K1060">
        <v>0</v>
      </c>
      <c r="N1060">
        <v>3</v>
      </c>
      <c r="O1060">
        <v>3</v>
      </c>
      <c r="P1060">
        <v>4</v>
      </c>
      <c r="Q1060">
        <v>0</v>
      </c>
      <c r="R1060">
        <v>27.35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9</v>
      </c>
      <c r="AC1060">
        <v>0</v>
      </c>
      <c r="AF1060" t="s">
        <v>130</v>
      </c>
      <c r="AH1060">
        <v>36.35</v>
      </c>
    </row>
    <row r="1061" spans="1:34" x14ac:dyDescent="0.3">
      <c r="A1061" s="4">
        <v>1177</v>
      </c>
      <c r="B1061" s="5">
        <v>1054</v>
      </c>
      <c r="C1061">
        <v>1757</v>
      </c>
      <c r="D1061" t="s">
        <v>784</v>
      </c>
      <c r="E1061" t="s">
        <v>255</v>
      </c>
      <c r="F1061" t="s">
        <v>136</v>
      </c>
      <c r="G1061" t="s">
        <v>20208</v>
      </c>
      <c r="H1061">
        <v>17.350000000000001</v>
      </c>
      <c r="I1061">
        <v>0</v>
      </c>
      <c r="J1061">
        <v>0</v>
      </c>
      <c r="K1061">
        <v>0</v>
      </c>
      <c r="L1061">
        <v>7</v>
      </c>
      <c r="O1061">
        <v>7</v>
      </c>
      <c r="P1061">
        <v>4</v>
      </c>
      <c r="Q1061">
        <v>2</v>
      </c>
      <c r="R1061">
        <v>30.35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6</v>
      </c>
      <c r="AC1061">
        <v>0</v>
      </c>
      <c r="AF1061" t="s">
        <v>130</v>
      </c>
      <c r="AH1061">
        <v>36.35</v>
      </c>
    </row>
    <row r="1062" spans="1:34" x14ac:dyDescent="0.3">
      <c r="A1062" s="4">
        <v>1178</v>
      </c>
      <c r="B1062" s="5">
        <v>1055</v>
      </c>
      <c r="C1062">
        <v>419</v>
      </c>
      <c r="D1062" t="s">
        <v>3091</v>
      </c>
      <c r="E1062" t="s">
        <v>789</v>
      </c>
      <c r="F1062" t="s">
        <v>158</v>
      </c>
      <c r="G1062" t="s">
        <v>20209</v>
      </c>
      <c r="H1062">
        <v>22.33</v>
      </c>
      <c r="I1062">
        <v>0</v>
      </c>
      <c r="J1062">
        <v>0</v>
      </c>
      <c r="K1062">
        <v>0</v>
      </c>
      <c r="L1062">
        <v>7</v>
      </c>
      <c r="N1062">
        <v>3</v>
      </c>
      <c r="O1062">
        <v>10</v>
      </c>
      <c r="P1062">
        <v>4</v>
      </c>
      <c r="Q1062">
        <v>0</v>
      </c>
      <c r="R1062">
        <v>36.33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F1062" t="s">
        <v>130</v>
      </c>
      <c r="AH1062">
        <v>36.33</v>
      </c>
    </row>
    <row r="1063" spans="1:34" x14ac:dyDescent="0.3">
      <c r="A1063" s="4">
        <v>1179</v>
      </c>
      <c r="B1063" s="5">
        <v>1056</v>
      </c>
      <c r="C1063">
        <v>4176</v>
      </c>
      <c r="D1063" t="s">
        <v>20210</v>
      </c>
      <c r="E1063" t="s">
        <v>3948</v>
      </c>
      <c r="F1063" t="s">
        <v>328</v>
      </c>
      <c r="G1063" t="s">
        <v>20211</v>
      </c>
      <c r="H1063">
        <v>19.25</v>
      </c>
      <c r="I1063">
        <v>0</v>
      </c>
      <c r="J1063">
        <v>0</v>
      </c>
      <c r="K1063">
        <v>0</v>
      </c>
      <c r="L1063">
        <v>7</v>
      </c>
      <c r="O1063">
        <v>7</v>
      </c>
      <c r="P1063">
        <v>4</v>
      </c>
      <c r="Q1063">
        <v>0</v>
      </c>
      <c r="R1063">
        <v>30.25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6</v>
      </c>
      <c r="AC1063">
        <v>0</v>
      </c>
      <c r="AF1063" t="s">
        <v>130</v>
      </c>
      <c r="AH1063">
        <v>36.25</v>
      </c>
    </row>
    <row r="1064" spans="1:34" x14ac:dyDescent="0.3">
      <c r="A1064" s="4">
        <v>1180</v>
      </c>
      <c r="B1064" s="5">
        <v>1057</v>
      </c>
      <c r="C1064">
        <v>186</v>
      </c>
      <c r="D1064" t="s">
        <v>60</v>
      </c>
      <c r="E1064" t="s">
        <v>2643</v>
      </c>
      <c r="F1064" t="s">
        <v>136</v>
      </c>
      <c r="G1064" t="s">
        <v>20212</v>
      </c>
      <c r="H1064">
        <v>19.25</v>
      </c>
      <c r="I1064">
        <v>0</v>
      </c>
      <c r="J1064">
        <v>0</v>
      </c>
      <c r="K1064">
        <v>0</v>
      </c>
      <c r="L1064">
        <v>7</v>
      </c>
      <c r="O1064">
        <v>7</v>
      </c>
      <c r="P1064">
        <v>4</v>
      </c>
      <c r="Q1064">
        <v>0</v>
      </c>
      <c r="R1064">
        <v>30.25</v>
      </c>
      <c r="S1064">
        <v>3</v>
      </c>
      <c r="T1064">
        <v>3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3</v>
      </c>
      <c r="AB1064">
        <v>3</v>
      </c>
      <c r="AC1064">
        <v>0</v>
      </c>
      <c r="AF1064" t="s">
        <v>130</v>
      </c>
      <c r="AH1064">
        <v>36.25</v>
      </c>
    </row>
    <row r="1065" spans="1:34" x14ac:dyDescent="0.3">
      <c r="A1065" s="4">
        <v>1181</v>
      </c>
      <c r="B1065" s="5">
        <v>1058</v>
      </c>
      <c r="C1065">
        <v>1429</v>
      </c>
      <c r="D1065" t="s">
        <v>6991</v>
      </c>
      <c r="E1065" t="s">
        <v>100</v>
      </c>
      <c r="F1065" t="s">
        <v>158</v>
      </c>
      <c r="G1065" t="s">
        <v>20213</v>
      </c>
      <c r="H1065">
        <v>17.25</v>
      </c>
      <c r="I1065">
        <v>0</v>
      </c>
      <c r="J1065">
        <v>0</v>
      </c>
      <c r="K1065">
        <v>0</v>
      </c>
      <c r="N1065">
        <v>6</v>
      </c>
      <c r="O1065">
        <v>6</v>
      </c>
      <c r="P1065">
        <v>4</v>
      </c>
      <c r="Q1065">
        <v>0</v>
      </c>
      <c r="R1065">
        <v>27.25</v>
      </c>
      <c r="S1065">
        <v>6</v>
      </c>
      <c r="T1065">
        <v>6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6</v>
      </c>
      <c r="AB1065">
        <v>3</v>
      </c>
      <c r="AC1065">
        <v>0</v>
      </c>
      <c r="AF1065" t="s">
        <v>130</v>
      </c>
      <c r="AH1065">
        <v>36.25</v>
      </c>
    </row>
    <row r="1066" spans="1:34" x14ac:dyDescent="0.3">
      <c r="A1066" s="4">
        <v>1182</v>
      </c>
      <c r="B1066" s="5">
        <v>1059</v>
      </c>
      <c r="C1066">
        <v>9766</v>
      </c>
      <c r="D1066" t="s">
        <v>20214</v>
      </c>
      <c r="E1066" t="s">
        <v>406</v>
      </c>
      <c r="F1066" t="s">
        <v>62</v>
      </c>
      <c r="G1066" t="s">
        <v>20215</v>
      </c>
      <c r="H1066">
        <v>21</v>
      </c>
      <c r="I1066">
        <v>0</v>
      </c>
      <c r="J1066">
        <v>0</v>
      </c>
      <c r="K1066">
        <v>0</v>
      </c>
      <c r="N1066">
        <v>3</v>
      </c>
      <c r="O1066">
        <v>3</v>
      </c>
      <c r="P1066">
        <v>4</v>
      </c>
      <c r="Q1066">
        <v>2</v>
      </c>
      <c r="R1066">
        <v>30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6</v>
      </c>
      <c r="AC1066">
        <v>0</v>
      </c>
      <c r="AF1066" t="s">
        <v>130</v>
      </c>
      <c r="AH1066">
        <v>36</v>
      </c>
    </row>
    <row r="1067" spans="1:34" x14ac:dyDescent="0.3">
      <c r="A1067" s="4">
        <v>1183</v>
      </c>
      <c r="B1067" s="5">
        <v>1060</v>
      </c>
      <c r="C1067">
        <v>9267</v>
      </c>
      <c r="D1067" t="s">
        <v>20216</v>
      </c>
      <c r="E1067" t="s">
        <v>38</v>
      </c>
      <c r="F1067" t="s">
        <v>1265</v>
      </c>
      <c r="G1067" t="s">
        <v>20217</v>
      </c>
      <c r="H1067">
        <v>20</v>
      </c>
      <c r="I1067">
        <v>0</v>
      </c>
      <c r="J1067">
        <v>0</v>
      </c>
      <c r="K1067">
        <v>0</v>
      </c>
      <c r="L1067">
        <v>7</v>
      </c>
      <c r="N1067">
        <v>3</v>
      </c>
      <c r="O1067">
        <v>10</v>
      </c>
      <c r="P1067">
        <v>4</v>
      </c>
      <c r="Q1067">
        <v>2</v>
      </c>
      <c r="R1067">
        <v>36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F1067" t="s">
        <v>130</v>
      </c>
      <c r="AH1067">
        <v>36</v>
      </c>
    </row>
    <row r="1068" spans="1:34" x14ac:dyDescent="0.3">
      <c r="A1068" s="4">
        <v>1184</v>
      </c>
      <c r="B1068" s="5">
        <v>1061</v>
      </c>
      <c r="C1068">
        <v>9919</v>
      </c>
      <c r="D1068" t="s">
        <v>10275</v>
      </c>
      <c r="E1068" t="s">
        <v>132</v>
      </c>
      <c r="F1068" t="s">
        <v>140</v>
      </c>
      <c r="G1068" t="s">
        <v>20218</v>
      </c>
      <c r="H1068">
        <v>19.899999999999999</v>
      </c>
      <c r="I1068">
        <v>0</v>
      </c>
      <c r="J1068">
        <v>0</v>
      </c>
      <c r="K1068">
        <v>0</v>
      </c>
      <c r="N1068">
        <v>3</v>
      </c>
      <c r="O1068">
        <v>3</v>
      </c>
      <c r="P1068">
        <v>4</v>
      </c>
      <c r="Q1068">
        <v>2</v>
      </c>
      <c r="R1068">
        <v>28.9</v>
      </c>
      <c r="S1068">
        <v>7</v>
      </c>
      <c r="T1068">
        <v>7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7</v>
      </c>
      <c r="AB1068">
        <v>0</v>
      </c>
      <c r="AC1068">
        <v>0</v>
      </c>
      <c r="AF1068" t="s">
        <v>130</v>
      </c>
      <c r="AH1068">
        <v>35.9</v>
      </c>
    </row>
    <row r="1069" spans="1:34" x14ac:dyDescent="0.3">
      <c r="A1069" s="4">
        <v>1185</v>
      </c>
      <c r="B1069" s="5">
        <v>1062</v>
      </c>
      <c r="C1069">
        <v>5008</v>
      </c>
      <c r="D1069" t="s">
        <v>6336</v>
      </c>
      <c r="E1069" t="s">
        <v>1016</v>
      </c>
      <c r="F1069" t="s">
        <v>117</v>
      </c>
      <c r="G1069">
        <v>353555</v>
      </c>
      <c r="H1069">
        <v>17.850000000000001</v>
      </c>
      <c r="I1069">
        <v>0</v>
      </c>
      <c r="J1069">
        <v>0</v>
      </c>
      <c r="K1069">
        <v>0</v>
      </c>
      <c r="N1069">
        <v>3</v>
      </c>
      <c r="O1069">
        <v>3</v>
      </c>
      <c r="P1069">
        <v>4</v>
      </c>
      <c r="Q1069">
        <v>2</v>
      </c>
      <c r="R1069">
        <v>26.85</v>
      </c>
      <c r="S1069">
        <v>9</v>
      </c>
      <c r="T1069">
        <v>9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9</v>
      </c>
      <c r="AB1069">
        <v>0</v>
      </c>
      <c r="AC1069">
        <v>0</v>
      </c>
      <c r="AF1069" t="s">
        <v>130</v>
      </c>
      <c r="AH1069">
        <v>35.85</v>
      </c>
    </row>
    <row r="1070" spans="1:34" x14ac:dyDescent="0.3">
      <c r="A1070" s="4">
        <v>1186</v>
      </c>
      <c r="B1070" s="5">
        <v>1063</v>
      </c>
      <c r="C1070">
        <v>2290</v>
      </c>
      <c r="D1070" t="s">
        <v>261</v>
      </c>
      <c r="E1070" t="s">
        <v>88</v>
      </c>
      <c r="F1070" t="s">
        <v>17</v>
      </c>
      <c r="G1070" t="s">
        <v>20219</v>
      </c>
      <c r="H1070">
        <v>19.649999999999999</v>
      </c>
      <c r="I1070">
        <v>0</v>
      </c>
      <c r="J1070">
        <v>0</v>
      </c>
      <c r="K1070">
        <v>0</v>
      </c>
      <c r="N1070">
        <v>6</v>
      </c>
      <c r="O1070">
        <v>6</v>
      </c>
      <c r="P1070">
        <v>4</v>
      </c>
      <c r="Q1070">
        <v>0</v>
      </c>
      <c r="R1070">
        <v>29.65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6</v>
      </c>
      <c r="AC1070">
        <v>0</v>
      </c>
      <c r="AF1070" t="s">
        <v>130</v>
      </c>
      <c r="AH1070">
        <v>35.65</v>
      </c>
    </row>
    <row r="1071" spans="1:34" x14ac:dyDescent="0.3">
      <c r="A1071" s="4">
        <v>1187</v>
      </c>
      <c r="B1071" s="5">
        <v>1064</v>
      </c>
      <c r="C1071">
        <v>8406</v>
      </c>
      <c r="D1071" t="s">
        <v>93</v>
      </c>
      <c r="E1071" t="s">
        <v>29</v>
      </c>
      <c r="F1071" t="s">
        <v>38</v>
      </c>
      <c r="G1071" t="s">
        <v>20220</v>
      </c>
      <c r="H1071">
        <v>19.55</v>
      </c>
      <c r="I1071">
        <v>0</v>
      </c>
      <c r="J1071">
        <v>0</v>
      </c>
      <c r="K1071">
        <v>0</v>
      </c>
      <c r="N1071">
        <v>6</v>
      </c>
      <c r="O1071">
        <v>6</v>
      </c>
      <c r="P1071">
        <v>4</v>
      </c>
      <c r="Q1071">
        <v>0</v>
      </c>
      <c r="R1071">
        <v>29.55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6</v>
      </c>
      <c r="AC1071">
        <v>0</v>
      </c>
      <c r="AF1071" t="s">
        <v>130</v>
      </c>
      <c r="AH1071">
        <v>35.549999999999997</v>
      </c>
    </row>
    <row r="1072" spans="1:34" x14ac:dyDescent="0.3">
      <c r="A1072" s="4">
        <v>1188</v>
      </c>
      <c r="B1072" s="5">
        <v>1065</v>
      </c>
      <c r="C1072">
        <v>1876</v>
      </c>
      <c r="D1072" t="s">
        <v>20221</v>
      </c>
      <c r="E1072" t="s">
        <v>1242</v>
      </c>
      <c r="F1072" t="s">
        <v>230</v>
      </c>
      <c r="G1072" t="s">
        <v>20222</v>
      </c>
      <c r="H1072">
        <v>17.5</v>
      </c>
      <c r="I1072">
        <v>0</v>
      </c>
      <c r="J1072">
        <v>0</v>
      </c>
      <c r="K1072">
        <v>0</v>
      </c>
      <c r="L1072">
        <v>7</v>
      </c>
      <c r="O1072">
        <v>7</v>
      </c>
      <c r="P1072">
        <v>4</v>
      </c>
      <c r="Q1072">
        <v>2</v>
      </c>
      <c r="R1072">
        <v>30.5</v>
      </c>
      <c r="S1072">
        <v>5</v>
      </c>
      <c r="T1072">
        <v>5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5</v>
      </c>
      <c r="AB1072">
        <v>0</v>
      </c>
      <c r="AC1072">
        <v>0</v>
      </c>
      <c r="AF1072" t="s">
        <v>130</v>
      </c>
      <c r="AH1072">
        <v>35.5</v>
      </c>
    </row>
    <row r="1073" spans="1:34" x14ac:dyDescent="0.3">
      <c r="A1073" s="4">
        <v>1189</v>
      </c>
      <c r="B1073" s="5">
        <v>1066</v>
      </c>
      <c r="C1073">
        <v>2145</v>
      </c>
      <c r="D1073" t="s">
        <v>6630</v>
      </c>
      <c r="E1073" t="s">
        <v>2538</v>
      </c>
      <c r="F1073" t="s">
        <v>1854</v>
      </c>
      <c r="G1073" t="s">
        <v>20223</v>
      </c>
      <c r="H1073">
        <v>18.43</v>
      </c>
      <c r="I1073">
        <v>0</v>
      </c>
      <c r="J1073">
        <v>0</v>
      </c>
      <c r="K1073">
        <v>0</v>
      </c>
      <c r="L1073">
        <v>7</v>
      </c>
      <c r="O1073">
        <v>7</v>
      </c>
      <c r="P1073">
        <v>4</v>
      </c>
      <c r="Q1073">
        <v>2</v>
      </c>
      <c r="R1073">
        <v>31.43</v>
      </c>
      <c r="S1073">
        <v>4</v>
      </c>
      <c r="T1073">
        <v>4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4</v>
      </c>
      <c r="AB1073">
        <v>0</v>
      </c>
      <c r="AC1073">
        <v>0</v>
      </c>
      <c r="AF1073" t="s">
        <v>130</v>
      </c>
      <c r="AH1073">
        <v>35.43</v>
      </c>
    </row>
    <row r="1074" spans="1:34" x14ac:dyDescent="0.3">
      <c r="A1074" s="4">
        <v>1190</v>
      </c>
      <c r="B1074" s="5">
        <v>1067</v>
      </c>
      <c r="C1074">
        <v>117</v>
      </c>
      <c r="D1074" t="s">
        <v>20224</v>
      </c>
      <c r="E1074" t="s">
        <v>789</v>
      </c>
      <c r="F1074" t="s">
        <v>649</v>
      </c>
      <c r="G1074" t="s">
        <v>20225</v>
      </c>
      <c r="H1074">
        <v>18.38</v>
      </c>
      <c r="I1074">
        <v>0</v>
      </c>
      <c r="J1074">
        <v>0</v>
      </c>
      <c r="K1074">
        <v>0</v>
      </c>
      <c r="L1074">
        <v>7</v>
      </c>
      <c r="N1074">
        <v>3</v>
      </c>
      <c r="O1074">
        <v>10</v>
      </c>
      <c r="P1074">
        <v>4</v>
      </c>
      <c r="Q1074">
        <v>0</v>
      </c>
      <c r="R1074">
        <v>32.380000000000003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3</v>
      </c>
      <c r="AC1074">
        <v>0</v>
      </c>
      <c r="AF1074" t="s">
        <v>130</v>
      </c>
      <c r="AH1074">
        <v>35.380000000000003</v>
      </c>
    </row>
    <row r="1075" spans="1:34" x14ac:dyDescent="0.3">
      <c r="A1075" s="4">
        <v>1191</v>
      </c>
      <c r="B1075" s="5">
        <v>1068</v>
      </c>
      <c r="C1075">
        <v>15274</v>
      </c>
      <c r="D1075" t="s">
        <v>20226</v>
      </c>
      <c r="E1075" t="s">
        <v>188</v>
      </c>
      <c r="F1075" t="s">
        <v>81</v>
      </c>
      <c r="G1075" t="s">
        <v>20227</v>
      </c>
      <c r="H1075">
        <v>17.3</v>
      </c>
      <c r="I1075">
        <v>0</v>
      </c>
      <c r="J1075">
        <v>0</v>
      </c>
      <c r="K1075">
        <v>0</v>
      </c>
      <c r="N1075">
        <v>3</v>
      </c>
      <c r="O1075">
        <v>3</v>
      </c>
      <c r="P1075">
        <v>4</v>
      </c>
      <c r="Q1075">
        <v>2</v>
      </c>
      <c r="R1075">
        <v>26.3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9</v>
      </c>
      <c r="AC1075">
        <v>0</v>
      </c>
      <c r="AF1075" t="s">
        <v>130</v>
      </c>
      <c r="AH1075">
        <v>35.299999999999997</v>
      </c>
    </row>
    <row r="1076" spans="1:34" x14ac:dyDescent="0.3">
      <c r="A1076" s="4">
        <v>1192</v>
      </c>
      <c r="B1076" s="5">
        <v>1069</v>
      </c>
      <c r="C1076">
        <v>13169</v>
      </c>
      <c r="D1076" t="s">
        <v>885</v>
      </c>
      <c r="E1076" t="s">
        <v>563</v>
      </c>
      <c r="F1076" t="s">
        <v>17</v>
      </c>
      <c r="G1076" t="s">
        <v>20228</v>
      </c>
      <c r="H1076">
        <v>22.3</v>
      </c>
      <c r="I1076">
        <v>0</v>
      </c>
      <c r="J1076">
        <v>0</v>
      </c>
      <c r="K1076">
        <v>0</v>
      </c>
      <c r="N1076">
        <v>3</v>
      </c>
      <c r="O1076">
        <v>3</v>
      </c>
      <c r="P1076">
        <v>4</v>
      </c>
      <c r="Q1076">
        <v>0</v>
      </c>
      <c r="R1076">
        <v>29.3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6</v>
      </c>
      <c r="AC1076">
        <v>0</v>
      </c>
      <c r="AF1076" t="s">
        <v>130</v>
      </c>
      <c r="AH1076">
        <v>35.299999999999997</v>
      </c>
    </row>
    <row r="1077" spans="1:34" x14ac:dyDescent="0.3">
      <c r="A1077" s="4">
        <v>1193</v>
      </c>
      <c r="B1077" s="5">
        <v>1070</v>
      </c>
      <c r="C1077">
        <v>2799</v>
      </c>
      <c r="D1077" t="s">
        <v>20229</v>
      </c>
      <c r="E1077" t="s">
        <v>2088</v>
      </c>
      <c r="F1077" t="s">
        <v>117</v>
      </c>
      <c r="G1077" t="s">
        <v>20230</v>
      </c>
      <c r="H1077">
        <v>21.23</v>
      </c>
      <c r="I1077">
        <v>7</v>
      </c>
      <c r="J1077">
        <v>0</v>
      </c>
      <c r="K1077">
        <v>0</v>
      </c>
      <c r="N1077">
        <v>3</v>
      </c>
      <c r="O1077">
        <v>3</v>
      </c>
      <c r="P1077">
        <v>4</v>
      </c>
      <c r="Q1077">
        <v>0</v>
      </c>
      <c r="R1077">
        <v>35.229999999999997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F1077" t="s">
        <v>130</v>
      </c>
      <c r="AH1077">
        <v>35.229999999999997</v>
      </c>
    </row>
    <row r="1078" spans="1:34" x14ac:dyDescent="0.3">
      <c r="A1078" s="4">
        <v>1194</v>
      </c>
      <c r="B1078" s="5">
        <v>1071</v>
      </c>
      <c r="C1078">
        <v>13148</v>
      </c>
      <c r="D1078" t="s">
        <v>3340</v>
      </c>
      <c r="E1078" t="s">
        <v>6148</v>
      </c>
      <c r="F1078" t="s">
        <v>124</v>
      </c>
      <c r="G1078" t="s">
        <v>20231</v>
      </c>
      <c r="H1078">
        <v>18.2</v>
      </c>
      <c r="I1078">
        <v>0</v>
      </c>
      <c r="J1078">
        <v>0</v>
      </c>
      <c r="K1078">
        <v>0</v>
      </c>
      <c r="N1078">
        <v>3</v>
      </c>
      <c r="O1078">
        <v>3</v>
      </c>
      <c r="P1078">
        <v>4</v>
      </c>
      <c r="Q1078">
        <v>0</v>
      </c>
      <c r="R1078">
        <v>25.2</v>
      </c>
      <c r="S1078">
        <v>10</v>
      </c>
      <c r="T1078">
        <v>10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10</v>
      </c>
      <c r="AB1078">
        <v>0</v>
      </c>
      <c r="AC1078">
        <v>0</v>
      </c>
      <c r="AF1078" t="s">
        <v>130</v>
      </c>
      <c r="AH1078">
        <v>35.200000000000003</v>
      </c>
    </row>
    <row r="1079" spans="1:34" x14ac:dyDescent="0.3">
      <c r="A1079" s="4">
        <v>1195</v>
      </c>
      <c r="B1079" s="5">
        <v>1072</v>
      </c>
      <c r="C1079">
        <v>2381</v>
      </c>
      <c r="D1079" t="s">
        <v>8181</v>
      </c>
      <c r="E1079" t="s">
        <v>88</v>
      </c>
      <c r="F1079" t="s">
        <v>117</v>
      </c>
      <c r="G1079" t="s">
        <v>20232</v>
      </c>
      <c r="H1079">
        <v>18.98</v>
      </c>
      <c r="I1079">
        <v>0</v>
      </c>
      <c r="J1079">
        <v>0</v>
      </c>
      <c r="K1079">
        <v>0</v>
      </c>
      <c r="L1079">
        <v>7</v>
      </c>
      <c r="O1079">
        <v>7</v>
      </c>
      <c r="P1079">
        <v>4</v>
      </c>
      <c r="Q1079">
        <v>2</v>
      </c>
      <c r="R1079">
        <v>31.98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3</v>
      </c>
      <c r="AC1079">
        <v>0</v>
      </c>
      <c r="AF1079" t="s">
        <v>130</v>
      </c>
      <c r="AH1079">
        <v>34.979999999999997</v>
      </c>
    </row>
    <row r="1080" spans="1:34" x14ac:dyDescent="0.3">
      <c r="A1080" s="4">
        <v>1196</v>
      </c>
      <c r="B1080" s="5">
        <v>1073</v>
      </c>
      <c r="C1080">
        <v>1176</v>
      </c>
      <c r="D1080" t="s">
        <v>11984</v>
      </c>
      <c r="E1080" t="s">
        <v>110</v>
      </c>
      <c r="F1080" t="s">
        <v>62</v>
      </c>
      <c r="G1080" t="s">
        <v>20233</v>
      </c>
      <c r="H1080">
        <v>17.93</v>
      </c>
      <c r="I1080">
        <v>0</v>
      </c>
      <c r="J1080">
        <v>0</v>
      </c>
      <c r="K1080">
        <v>0</v>
      </c>
      <c r="L1080">
        <v>7</v>
      </c>
      <c r="O1080">
        <v>7</v>
      </c>
      <c r="P1080">
        <v>4</v>
      </c>
      <c r="Q1080">
        <v>0</v>
      </c>
      <c r="R1080">
        <v>28.93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6</v>
      </c>
      <c r="AC1080">
        <v>0</v>
      </c>
      <c r="AF1080" t="s">
        <v>130</v>
      </c>
      <c r="AH1080">
        <v>34.93</v>
      </c>
    </row>
    <row r="1081" spans="1:34" x14ac:dyDescent="0.3">
      <c r="A1081" s="4">
        <v>1197</v>
      </c>
      <c r="B1081" s="5">
        <v>1074</v>
      </c>
      <c r="C1081">
        <v>5921</v>
      </c>
      <c r="D1081" t="s">
        <v>20234</v>
      </c>
      <c r="E1081" t="s">
        <v>219</v>
      </c>
      <c r="F1081" t="s">
        <v>68</v>
      </c>
      <c r="G1081" t="s">
        <v>20235</v>
      </c>
      <c r="H1081">
        <v>19.93</v>
      </c>
      <c r="I1081">
        <v>0</v>
      </c>
      <c r="J1081">
        <v>0</v>
      </c>
      <c r="K1081">
        <v>0</v>
      </c>
      <c r="L1081">
        <v>7</v>
      </c>
      <c r="O1081">
        <v>7</v>
      </c>
      <c r="P1081">
        <v>4</v>
      </c>
      <c r="Q1081">
        <v>2</v>
      </c>
      <c r="R1081">
        <v>32.93</v>
      </c>
      <c r="S1081">
        <v>2</v>
      </c>
      <c r="T1081">
        <v>2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2</v>
      </c>
      <c r="AB1081">
        <v>0</v>
      </c>
      <c r="AC1081">
        <v>0</v>
      </c>
      <c r="AF1081" t="s">
        <v>130</v>
      </c>
      <c r="AH1081">
        <v>34.93</v>
      </c>
    </row>
    <row r="1082" spans="1:34" x14ac:dyDescent="0.3">
      <c r="A1082" s="4">
        <v>1198</v>
      </c>
      <c r="B1082" s="5">
        <v>1075</v>
      </c>
      <c r="C1082">
        <v>14581</v>
      </c>
      <c r="D1082" t="s">
        <v>20236</v>
      </c>
      <c r="E1082" t="s">
        <v>20237</v>
      </c>
      <c r="F1082" t="s">
        <v>20238</v>
      </c>
      <c r="G1082" t="s">
        <v>20239</v>
      </c>
      <c r="H1082">
        <v>18.829999999999998</v>
      </c>
      <c r="I1082">
        <v>0</v>
      </c>
      <c r="J1082">
        <v>0</v>
      </c>
      <c r="K1082">
        <v>0</v>
      </c>
      <c r="L1082">
        <v>7</v>
      </c>
      <c r="O1082">
        <v>7</v>
      </c>
      <c r="P1082">
        <v>4</v>
      </c>
      <c r="Q1082">
        <v>2</v>
      </c>
      <c r="R1082">
        <v>31.83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3</v>
      </c>
      <c r="AC1082">
        <v>0</v>
      </c>
      <c r="AF1082" t="s">
        <v>130</v>
      </c>
      <c r="AH1082">
        <v>34.83</v>
      </c>
    </row>
    <row r="1083" spans="1:34" x14ac:dyDescent="0.3">
      <c r="A1083" s="4">
        <v>1199</v>
      </c>
      <c r="B1083" s="5">
        <v>1076</v>
      </c>
      <c r="C1083">
        <v>14443</v>
      </c>
      <c r="D1083" t="s">
        <v>20240</v>
      </c>
      <c r="E1083" t="s">
        <v>276</v>
      </c>
      <c r="F1083" t="s">
        <v>167</v>
      </c>
      <c r="G1083" t="s">
        <v>20241</v>
      </c>
      <c r="H1083">
        <v>18.75</v>
      </c>
      <c r="I1083">
        <v>7</v>
      </c>
      <c r="J1083">
        <v>0</v>
      </c>
      <c r="K1083">
        <v>0</v>
      </c>
      <c r="N1083">
        <v>3</v>
      </c>
      <c r="O1083">
        <v>3</v>
      </c>
      <c r="P1083">
        <v>0</v>
      </c>
      <c r="Q1083">
        <v>0</v>
      </c>
      <c r="R1083">
        <v>28.75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6</v>
      </c>
      <c r="AC1083">
        <v>0</v>
      </c>
      <c r="AF1083" t="s">
        <v>130</v>
      </c>
      <c r="AH1083">
        <v>34.75</v>
      </c>
    </row>
    <row r="1084" spans="1:34" x14ac:dyDescent="0.3">
      <c r="A1084" s="4">
        <v>1200</v>
      </c>
      <c r="B1084" s="5">
        <v>1077</v>
      </c>
      <c r="C1084">
        <v>3149</v>
      </c>
      <c r="D1084" t="s">
        <v>20242</v>
      </c>
      <c r="E1084" t="s">
        <v>594</v>
      </c>
      <c r="F1084" t="s">
        <v>38</v>
      </c>
      <c r="G1084" t="s">
        <v>20243</v>
      </c>
      <c r="H1084">
        <v>18.63</v>
      </c>
      <c r="I1084">
        <v>0</v>
      </c>
      <c r="J1084">
        <v>0</v>
      </c>
      <c r="K1084">
        <v>0</v>
      </c>
      <c r="N1084">
        <v>3</v>
      </c>
      <c r="O1084">
        <v>3</v>
      </c>
      <c r="P1084">
        <v>4</v>
      </c>
      <c r="Q1084">
        <v>0</v>
      </c>
      <c r="R1084">
        <v>25.63</v>
      </c>
      <c r="S1084">
        <v>9</v>
      </c>
      <c r="T1084">
        <v>9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9</v>
      </c>
      <c r="AB1084">
        <v>0</v>
      </c>
      <c r="AC1084">
        <v>0</v>
      </c>
      <c r="AF1084" t="s">
        <v>130</v>
      </c>
      <c r="AH1084">
        <v>34.630000000000003</v>
      </c>
    </row>
    <row r="1085" spans="1:34" x14ac:dyDescent="0.3">
      <c r="A1085" s="4">
        <v>1201</v>
      </c>
      <c r="B1085" s="5">
        <v>1078</v>
      </c>
      <c r="C1085">
        <v>1499</v>
      </c>
      <c r="D1085" t="s">
        <v>20244</v>
      </c>
      <c r="E1085" t="s">
        <v>20245</v>
      </c>
      <c r="F1085" t="s">
        <v>20</v>
      </c>
      <c r="G1085" t="s">
        <v>20246</v>
      </c>
      <c r="H1085">
        <v>19.600000000000001</v>
      </c>
      <c r="I1085">
        <v>0</v>
      </c>
      <c r="J1085">
        <v>0</v>
      </c>
      <c r="K1085">
        <v>0</v>
      </c>
      <c r="N1085">
        <v>3</v>
      </c>
      <c r="O1085">
        <v>3</v>
      </c>
      <c r="P1085">
        <v>4</v>
      </c>
      <c r="Q1085">
        <v>2</v>
      </c>
      <c r="R1085">
        <v>28.6</v>
      </c>
      <c r="S1085">
        <v>6</v>
      </c>
      <c r="T1085">
        <v>6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6</v>
      </c>
      <c r="AB1085">
        <v>0</v>
      </c>
      <c r="AC1085">
        <v>0</v>
      </c>
      <c r="AF1085" t="s">
        <v>130</v>
      </c>
      <c r="AH1085">
        <v>34.6</v>
      </c>
    </row>
    <row r="1086" spans="1:34" x14ac:dyDescent="0.3">
      <c r="A1086" s="4">
        <v>1202</v>
      </c>
      <c r="B1086" s="5">
        <v>1079</v>
      </c>
      <c r="C1086">
        <v>14136</v>
      </c>
      <c r="D1086" t="s">
        <v>2651</v>
      </c>
      <c r="E1086" t="s">
        <v>255</v>
      </c>
      <c r="F1086" t="s">
        <v>2442</v>
      </c>
      <c r="G1086" t="s">
        <v>20247</v>
      </c>
      <c r="H1086">
        <v>18.53</v>
      </c>
      <c r="I1086">
        <v>0</v>
      </c>
      <c r="J1086">
        <v>0</v>
      </c>
      <c r="K1086">
        <v>0</v>
      </c>
      <c r="N1086">
        <v>3</v>
      </c>
      <c r="O1086">
        <v>3</v>
      </c>
      <c r="P1086">
        <v>4</v>
      </c>
      <c r="Q1086">
        <v>0</v>
      </c>
      <c r="R1086">
        <v>25.53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9</v>
      </c>
      <c r="AC1086">
        <v>0</v>
      </c>
      <c r="AF1086" t="s">
        <v>130</v>
      </c>
      <c r="AH1086">
        <v>34.53</v>
      </c>
    </row>
    <row r="1087" spans="1:34" x14ac:dyDescent="0.3">
      <c r="A1087" s="4">
        <v>1203</v>
      </c>
      <c r="B1087" s="5">
        <v>1080</v>
      </c>
      <c r="C1087">
        <v>13042</v>
      </c>
      <c r="D1087" t="s">
        <v>20248</v>
      </c>
      <c r="E1087" t="s">
        <v>33</v>
      </c>
      <c r="F1087" t="s">
        <v>17</v>
      </c>
      <c r="G1087" t="s">
        <v>20249</v>
      </c>
      <c r="H1087">
        <v>19.3</v>
      </c>
      <c r="I1087">
        <v>0</v>
      </c>
      <c r="J1087">
        <v>0</v>
      </c>
      <c r="K1087">
        <v>0</v>
      </c>
      <c r="N1087">
        <v>3</v>
      </c>
      <c r="O1087">
        <v>3</v>
      </c>
      <c r="P1087">
        <v>4</v>
      </c>
      <c r="Q1087">
        <v>2</v>
      </c>
      <c r="R1087">
        <v>28.3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6</v>
      </c>
      <c r="AC1087">
        <v>0</v>
      </c>
      <c r="AF1087" t="s">
        <v>130</v>
      </c>
      <c r="AH1087">
        <v>34.299999999999997</v>
      </c>
    </row>
    <row r="1088" spans="1:34" x14ac:dyDescent="0.3">
      <c r="A1088" s="4">
        <v>1204</v>
      </c>
      <c r="B1088" s="5">
        <v>1081</v>
      </c>
      <c r="C1088">
        <v>5419</v>
      </c>
      <c r="D1088" t="s">
        <v>6906</v>
      </c>
      <c r="E1088" t="s">
        <v>744</v>
      </c>
      <c r="F1088" t="s">
        <v>158</v>
      </c>
      <c r="G1088" t="s">
        <v>20250</v>
      </c>
      <c r="H1088">
        <v>18.3</v>
      </c>
      <c r="I1088">
        <v>0</v>
      </c>
      <c r="J1088">
        <v>0</v>
      </c>
      <c r="K1088">
        <v>0</v>
      </c>
      <c r="N1088">
        <v>6</v>
      </c>
      <c r="O1088">
        <v>6</v>
      </c>
      <c r="P1088">
        <v>4</v>
      </c>
      <c r="Q1088">
        <v>0</v>
      </c>
      <c r="R1088">
        <v>28.3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6</v>
      </c>
      <c r="AC1088">
        <v>0</v>
      </c>
      <c r="AF1088" t="s">
        <v>130</v>
      </c>
      <c r="AH1088">
        <v>34.299999999999997</v>
      </c>
    </row>
    <row r="1089" spans="1:34" x14ac:dyDescent="0.3">
      <c r="A1089" s="4">
        <v>1205</v>
      </c>
      <c r="B1089" s="5">
        <v>1082</v>
      </c>
      <c r="C1089">
        <v>13543</v>
      </c>
      <c r="D1089" t="s">
        <v>3285</v>
      </c>
      <c r="E1089" t="s">
        <v>2838</v>
      </c>
      <c r="F1089" t="s">
        <v>17</v>
      </c>
      <c r="G1089" t="s">
        <v>20251</v>
      </c>
      <c r="H1089">
        <v>21.2</v>
      </c>
      <c r="I1089">
        <v>0</v>
      </c>
      <c r="J1089">
        <v>0</v>
      </c>
      <c r="K1089">
        <v>0</v>
      </c>
      <c r="N1089">
        <v>3</v>
      </c>
      <c r="O1089">
        <v>3</v>
      </c>
      <c r="P1089">
        <v>4</v>
      </c>
      <c r="Q1089">
        <v>0</v>
      </c>
      <c r="R1089">
        <v>28.2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6</v>
      </c>
      <c r="AC1089">
        <v>0</v>
      </c>
      <c r="AF1089" t="s">
        <v>130</v>
      </c>
      <c r="AH1089">
        <v>34.200000000000003</v>
      </c>
    </row>
    <row r="1090" spans="1:34" x14ac:dyDescent="0.3">
      <c r="A1090" s="4">
        <v>1206</v>
      </c>
      <c r="B1090" s="5">
        <v>1083</v>
      </c>
      <c r="C1090">
        <v>13435</v>
      </c>
      <c r="D1090" t="s">
        <v>20252</v>
      </c>
      <c r="E1090" t="s">
        <v>110</v>
      </c>
      <c r="F1090" t="s">
        <v>14</v>
      </c>
      <c r="G1090" t="s">
        <v>20253</v>
      </c>
      <c r="H1090">
        <v>18.2</v>
      </c>
      <c r="I1090">
        <v>0</v>
      </c>
      <c r="J1090">
        <v>0</v>
      </c>
      <c r="K1090">
        <v>0</v>
      </c>
      <c r="L1090">
        <v>7</v>
      </c>
      <c r="O1090">
        <v>7</v>
      </c>
      <c r="P1090">
        <v>4</v>
      </c>
      <c r="Q1090">
        <v>2</v>
      </c>
      <c r="R1090">
        <v>31.2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3</v>
      </c>
      <c r="AC1090">
        <v>0</v>
      </c>
      <c r="AF1090" t="s">
        <v>130</v>
      </c>
      <c r="AH1090">
        <v>34.200000000000003</v>
      </c>
    </row>
    <row r="1091" spans="1:34" x14ac:dyDescent="0.3">
      <c r="A1091" s="4">
        <v>1207</v>
      </c>
      <c r="B1091" s="5">
        <v>1084</v>
      </c>
      <c r="C1091">
        <v>7858</v>
      </c>
      <c r="D1091" t="s">
        <v>10789</v>
      </c>
      <c r="E1091" t="s">
        <v>48</v>
      </c>
      <c r="F1091" t="s">
        <v>3439</v>
      </c>
      <c r="G1091" t="s">
        <v>20254</v>
      </c>
      <c r="H1091">
        <v>21</v>
      </c>
      <c r="I1091">
        <v>0</v>
      </c>
      <c r="J1091">
        <v>0</v>
      </c>
      <c r="K1091">
        <v>0</v>
      </c>
      <c r="N1091">
        <v>3</v>
      </c>
      <c r="O1091">
        <v>3</v>
      </c>
      <c r="P1091">
        <v>4</v>
      </c>
      <c r="Q1091">
        <v>0</v>
      </c>
      <c r="R1091">
        <v>28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6</v>
      </c>
      <c r="AC1091">
        <v>0</v>
      </c>
      <c r="AF1091" t="s">
        <v>130</v>
      </c>
      <c r="AH1091">
        <v>34</v>
      </c>
    </row>
    <row r="1092" spans="1:34" x14ac:dyDescent="0.3">
      <c r="A1092" s="4">
        <v>1208</v>
      </c>
      <c r="B1092" s="5">
        <v>1085</v>
      </c>
      <c r="C1092">
        <v>3385</v>
      </c>
      <c r="D1092" t="s">
        <v>20255</v>
      </c>
      <c r="E1092" t="s">
        <v>2743</v>
      </c>
      <c r="F1092" t="s">
        <v>81</v>
      </c>
      <c r="G1092" t="s">
        <v>20256</v>
      </c>
      <c r="H1092">
        <v>17.93</v>
      </c>
      <c r="I1092">
        <v>0</v>
      </c>
      <c r="J1092">
        <v>0</v>
      </c>
      <c r="K1092">
        <v>0</v>
      </c>
      <c r="L1092">
        <v>7</v>
      </c>
      <c r="O1092">
        <v>7</v>
      </c>
      <c r="P1092">
        <v>4</v>
      </c>
      <c r="Q1092">
        <v>2</v>
      </c>
      <c r="R1092">
        <v>30.93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3</v>
      </c>
      <c r="AC1092">
        <v>0</v>
      </c>
      <c r="AD1092" t="s">
        <v>130</v>
      </c>
      <c r="AF1092" t="s">
        <v>130</v>
      </c>
      <c r="AH1092">
        <v>33.93</v>
      </c>
    </row>
    <row r="1093" spans="1:34" x14ac:dyDescent="0.3">
      <c r="A1093" s="4">
        <v>1209</v>
      </c>
      <c r="B1093" s="5">
        <v>1086</v>
      </c>
      <c r="C1093">
        <v>1544</v>
      </c>
      <c r="D1093" t="s">
        <v>20257</v>
      </c>
      <c r="E1093" t="s">
        <v>179</v>
      </c>
      <c r="F1093" t="s">
        <v>190</v>
      </c>
      <c r="G1093" t="s">
        <v>20258</v>
      </c>
      <c r="H1093">
        <v>17.8</v>
      </c>
      <c r="I1093">
        <v>0</v>
      </c>
      <c r="J1093">
        <v>0</v>
      </c>
      <c r="K1093">
        <v>0</v>
      </c>
      <c r="N1093">
        <v>6</v>
      </c>
      <c r="O1093">
        <v>6</v>
      </c>
      <c r="P1093">
        <v>4</v>
      </c>
      <c r="Q1093">
        <v>0</v>
      </c>
      <c r="R1093">
        <v>27.8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6</v>
      </c>
      <c r="AC1093">
        <v>0</v>
      </c>
      <c r="AF1093" t="s">
        <v>130</v>
      </c>
      <c r="AH1093">
        <v>33.799999999999997</v>
      </c>
    </row>
    <row r="1094" spans="1:34" x14ac:dyDescent="0.3">
      <c r="A1094" s="4">
        <v>1210</v>
      </c>
      <c r="B1094" s="5">
        <v>1087</v>
      </c>
      <c r="C1094">
        <v>9004</v>
      </c>
      <c r="D1094" t="s">
        <v>3920</v>
      </c>
      <c r="E1094" t="s">
        <v>33</v>
      </c>
      <c r="F1094" t="s">
        <v>20259</v>
      </c>
      <c r="G1094" t="s">
        <v>20260</v>
      </c>
      <c r="H1094">
        <v>17.7</v>
      </c>
      <c r="I1094">
        <v>0</v>
      </c>
      <c r="J1094">
        <v>0</v>
      </c>
      <c r="K1094">
        <v>0</v>
      </c>
      <c r="O1094">
        <v>0</v>
      </c>
      <c r="P1094">
        <v>4</v>
      </c>
      <c r="Q1094">
        <v>0</v>
      </c>
      <c r="R1094">
        <v>21.7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12</v>
      </c>
      <c r="AC1094">
        <v>0</v>
      </c>
      <c r="AF1094" t="s">
        <v>130</v>
      </c>
      <c r="AH1094">
        <v>33.700000000000003</v>
      </c>
    </row>
    <row r="1095" spans="1:34" x14ac:dyDescent="0.3">
      <c r="A1095" s="4">
        <v>1211</v>
      </c>
      <c r="B1095" s="5">
        <v>1088</v>
      </c>
      <c r="C1095">
        <v>3099</v>
      </c>
      <c r="D1095" t="s">
        <v>7299</v>
      </c>
      <c r="E1095" t="s">
        <v>178</v>
      </c>
      <c r="F1095" t="s">
        <v>11935</v>
      </c>
      <c r="G1095" t="s">
        <v>20261</v>
      </c>
      <c r="H1095">
        <v>20.7</v>
      </c>
      <c r="I1095">
        <v>0</v>
      </c>
      <c r="J1095">
        <v>0</v>
      </c>
      <c r="K1095">
        <v>0</v>
      </c>
      <c r="L1095">
        <v>7</v>
      </c>
      <c r="O1095">
        <v>7</v>
      </c>
      <c r="P1095">
        <v>4</v>
      </c>
      <c r="Q1095">
        <v>2</v>
      </c>
      <c r="R1095">
        <v>33.700000000000003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F1095" t="s">
        <v>130</v>
      </c>
      <c r="AH1095">
        <v>33.700000000000003</v>
      </c>
    </row>
    <row r="1096" spans="1:34" x14ac:dyDescent="0.3">
      <c r="A1096" s="4">
        <v>1212</v>
      </c>
      <c r="B1096" s="5">
        <v>1089</v>
      </c>
      <c r="C1096">
        <v>12146</v>
      </c>
      <c r="D1096" t="s">
        <v>20262</v>
      </c>
      <c r="E1096" t="s">
        <v>26</v>
      </c>
      <c r="F1096" t="s">
        <v>20</v>
      </c>
      <c r="G1096" t="s">
        <v>20263</v>
      </c>
      <c r="H1096">
        <v>18.68</v>
      </c>
      <c r="I1096">
        <v>0</v>
      </c>
      <c r="J1096">
        <v>0</v>
      </c>
      <c r="K1096">
        <v>0</v>
      </c>
      <c r="N1096">
        <v>3</v>
      </c>
      <c r="O1096">
        <v>3</v>
      </c>
      <c r="P1096">
        <v>4</v>
      </c>
      <c r="Q1096">
        <v>2</v>
      </c>
      <c r="R1096">
        <v>27.68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6</v>
      </c>
      <c r="AC1096">
        <v>0</v>
      </c>
      <c r="AF1096" t="s">
        <v>130</v>
      </c>
      <c r="AH1096">
        <v>33.68</v>
      </c>
    </row>
    <row r="1097" spans="1:34" x14ac:dyDescent="0.3">
      <c r="A1097" s="4">
        <v>1213</v>
      </c>
      <c r="B1097" s="5">
        <v>1090</v>
      </c>
      <c r="C1097">
        <v>2276</v>
      </c>
      <c r="D1097" t="s">
        <v>3642</v>
      </c>
      <c r="E1097" t="s">
        <v>71</v>
      </c>
      <c r="F1097" t="s">
        <v>30</v>
      </c>
      <c r="G1097" t="s">
        <v>20264</v>
      </c>
      <c r="H1097">
        <v>20.6</v>
      </c>
      <c r="I1097">
        <v>0</v>
      </c>
      <c r="J1097">
        <v>0</v>
      </c>
      <c r="K1097">
        <v>0</v>
      </c>
      <c r="N1097">
        <v>3</v>
      </c>
      <c r="O1097">
        <v>3</v>
      </c>
      <c r="P1097">
        <v>4</v>
      </c>
      <c r="Q1097">
        <v>0</v>
      </c>
      <c r="R1097">
        <v>27.6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6</v>
      </c>
      <c r="AC1097">
        <v>0</v>
      </c>
      <c r="AF1097" t="s">
        <v>130</v>
      </c>
      <c r="AH1097">
        <v>33.6</v>
      </c>
    </row>
    <row r="1098" spans="1:34" x14ac:dyDescent="0.3">
      <c r="A1098" s="4">
        <v>1214</v>
      </c>
      <c r="B1098" s="5">
        <v>1091</v>
      </c>
      <c r="C1098">
        <v>13801</v>
      </c>
      <c r="D1098" t="s">
        <v>4332</v>
      </c>
      <c r="E1098" t="s">
        <v>48</v>
      </c>
      <c r="F1098" t="s">
        <v>328</v>
      </c>
      <c r="G1098" t="s">
        <v>32013</v>
      </c>
      <c r="H1098">
        <v>21.5</v>
      </c>
      <c r="I1098">
        <v>0</v>
      </c>
      <c r="J1098">
        <v>0</v>
      </c>
      <c r="K1098">
        <v>0</v>
      </c>
      <c r="N1098">
        <v>3</v>
      </c>
      <c r="O1098">
        <v>3</v>
      </c>
      <c r="P1098">
        <v>4</v>
      </c>
      <c r="Q1098">
        <v>2</v>
      </c>
      <c r="R1098">
        <v>30.5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3</v>
      </c>
      <c r="AC1098">
        <v>0</v>
      </c>
      <c r="AF1098" t="s">
        <v>130</v>
      </c>
      <c r="AH1098">
        <v>33.5</v>
      </c>
    </row>
    <row r="1099" spans="1:34" x14ac:dyDescent="0.3">
      <c r="A1099" s="4">
        <v>1215</v>
      </c>
      <c r="B1099" s="5">
        <v>1092</v>
      </c>
      <c r="C1099">
        <v>13531</v>
      </c>
      <c r="D1099" t="s">
        <v>20265</v>
      </c>
      <c r="E1099" t="s">
        <v>20</v>
      </c>
      <c r="F1099" t="s">
        <v>38</v>
      </c>
      <c r="G1099" t="s">
        <v>20266</v>
      </c>
      <c r="H1099">
        <v>22.45</v>
      </c>
      <c r="I1099">
        <v>0</v>
      </c>
      <c r="J1099">
        <v>0</v>
      </c>
      <c r="K1099">
        <v>0</v>
      </c>
      <c r="L1099">
        <v>7</v>
      </c>
      <c r="O1099">
        <v>7</v>
      </c>
      <c r="P1099">
        <v>4</v>
      </c>
      <c r="Q1099">
        <v>0</v>
      </c>
      <c r="R1099">
        <v>33.450000000000003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F1099" t="s">
        <v>130</v>
      </c>
      <c r="AH1099">
        <v>33.450000000000003</v>
      </c>
    </row>
    <row r="1100" spans="1:34" x14ac:dyDescent="0.3">
      <c r="A1100" s="4">
        <v>1216</v>
      </c>
      <c r="B1100" s="5">
        <v>1093</v>
      </c>
      <c r="C1100">
        <v>320</v>
      </c>
      <c r="D1100" t="s">
        <v>20267</v>
      </c>
      <c r="E1100" t="s">
        <v>20</v>
      </c>
      <c r="F1100" t="s">
        <v>539</v>
      </c>
      <c r="G1100" t="s">
        <v>20268</v>
      </c>
      <c r="H1100">
        <v>20.45</v>
      </c>
      <c r="I1100">
        <v>0</v>
      </c>
      <c r="J1100">
        <v>0</v>
      </c>
      <c r="K1100">
        <v>0</v>
      </c>
      <c r="L1100">
        <v>7</v>
      </c>
      <c r="O1100">
        <v>7</v>
      </c>
      <c r="P1100">
        <v>4</v>
      </c>
      <c r="Q1100">
        <v>2</v>
      </c>
      <c r="R1100">
        <v>33.450000000000003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F1100" t="s">
        <v>130</v>
      </c>
      <c r="AH1100">
        <v>33.450000000000003</v>
      </c>
    </row>
    <row r="1101" spans="1:34" x14ac:dyDescent="0.3">
      <c r="A1101" s="4">
        <v>1217</v>
      </c>
      <c r="B1101" s="5">
        <v>1094</v>
      </c>
      <c r="C1101">
        <v>3029</v>
      </c>
      <c r="D1101" t="s">
        <v>20269</v>
      </c>
      <c r="E1101" t="s">
        <v>22</v>
      </c>
      <c r="F1101" t="s">
        <v>649</v>
      </c>
      <c r="G1101" t="s">
        <v>20270</v>
      </c>
      <c r="H1101">
        <v>20.43</v>
      </c>
      <c r="I1101">
        <v>0</v>
      </c>
      <c r="J1101">
        <v>0</v>
      </c>
      <c r="K1101">
        <v>0</v>
      </c>
      <c r="N1101">
        <v>3</v>
      </c>
      <c r="O1101">
        <v>3</v>
      </c>
      <c r="P1101">
        <v>4</v>
      </c>
      <c r="Q1101">
        <v>0</v>
      </c>
      <c r="R1101">
        <v>27.43</v>
      </c>
      <c r="S1101">
        <v>6</v>
      </c>
      <c r="T1101">
        <v>6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6</v>
      </c>
      <c r="AB1101">
        <v>0</v>
      </c>
      <c r="AC1101">
        <v>0</v>
      </c>
      <c r="AF1101" t="s">
        <v>130</v>
      </c>
      <c r="AH1101">
        <v>33.43</v>
      </c>
    </row>
    <row r="1102" spans="1:34" x14ac:dyDescent="0.3">
      <c r="A1102" s="4">
        <v>1218</v>
      </c>
      <c r="B1102" s="5">
        <v>1095</v>
      </c>
      <c r="C1102">
        <v>11418</v>
      </c>
      <c r="D1102" t="s">
        <v>20271</v>
      </c>
      <c r="E1102" t="s">
        <v>20272</v>
      </c>
      <c r="F1102" t="s">
        <v>55</v>
      </c>
      <c r="G1102" t="s">
        <v>20273</v>
      </c>
      <c r="H1102">
        <v>17.329999999999998</v>
      </c>
      <c r="I1102">
        <v>0</v>
      </c>
      <c r="J1102">
        <v>0</v>
      </c>
      <c r="K1102">
        <v>0</v>
      </c>
      <c r="N1102">
        <v>6</v>
      </c>
      <c r="O1102">
        <v>6</v>
      </c>
      <c r="P1102">
        <v>4</v>
      </c>
      <c r="Q1102">
        <v>0</v>
      </c>
      <c r="R1102">
        <v>27.33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6</v>
      </c>
      <c r="AC1102">
        <v>0</v>
      </c>
      <c r="AF1102" t="s">
        <v>130</v>
      </c>
      <c r="AH1102">
        <v>33.33</v>
      </c>
    </row>
    <row r="1103" spans="1:34" x14ac:dyDescent="0.3">
      <c r="A1103" s="4">
        <v>1219</v>
      </c>
      <c r="B1103" s="5">
        <v>1096</v>
      </c>
      <c r="C1103">
        <v>7958</v>
      </c>
      <c r="D1103" t="s">
        <v>2154</v>
      </c>
      <c r="E1103" t="s">
        <v>110</v>
      </c>
      <c r="F1103" t="s">
        <v>375</v>
      </c>
      <c r="G1103" t="s">
        <v>20274</v>
      </c>
      <c r="H1103">
        <v>18.3</v>
      </c>
      <c r="I1103">
        <v>0</v>
      </c>
      <c r="J1103">
        <v>0</v>
      </c>
      <c r="K1103">
        <v>0</v>
      </c>
      <c r="N1103">
        <v>6</v>
      </c>
      <c r="O1103">
        <v>6</v>
      </c>
      <c r="P1103">
        <v>4</v>
      </c>
      <c r="Q1103">
        <v>2</v>
      </c>
      <c r="R1103">
        <v>30.3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3</v>
      </c>
      <c r="AC1103">
        <v>0</v>
      </c>
      <c r="AF1103" t="s">
        <v>130</v>
      </c>
      <c r="AH1103">
        <v>33.299999999999997</v>
      </c>
    </row>
    <row r="1104" spans="1:34" x14ac:dyDescent="0.3">
      <c r="A1104" s="4">
        <v>1220</v>
      </c>
      <c r="B1104" s="5">
        <v>1097</v>
      </c>
      <c r="C1104">
        <v>489</v>
      </c>
      <c r="D1104" t="s">
        <v>15077</v>
      </c>
      <c r="E1104" t="s">
        <v>3221</v>
      </c>
      <c r="F1104" t="s">
        <v>190</v>
      </c>
      <c r="G1104" t="s">
        <v>20275</v>
      </c>
      <c r="H1104">
        <v>23.28</v>
      </c>
      <c r="I1104">
        <v>0</v>
      </c>
      <c r="J1104">
        <v>0</v>
      </c>
      <c r="K1104">
        <v>0</v>
      </c>
      <c r="N1104">
        <v>6</v>
      </c>
      <c r="O1104">
        <v>6</v>
      </c>
      <c r="P1104">
        <v>4</v>
      </c>
      <c r="Q1104">
        <v>0</v>
      </c>
      <c r="R1104">
        <v>33.28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F1104" t="s">
        <v>130</v>
      </c>
      <c r="AH1104">
        <v>33.28</v>
      </c>
    </row>
    <row r="1105" spans="1:34" x14ac:dyDescent="0.3">
      <c r="A1105" s="4">
        <v>1221</v>
      </c>
      <c r="B1105" s="5">
        <v>1098</v>
      </c>
      <c r="C1105">
        <v>643</v>
      </c>
      <c r="D1105" t="s">
        <v>20276</v>
      </c>
      <c r="E1105" t="s">
        <v>62</v>
      </c>
      <c r="F1105" t="s">
        <v>62</v>
      </c>
      <c r="G1105" t="s">
        <v>20277</v>
      </c>
      <c r="H1105">
        <v>17.18</v>
      </c>
      <c r="I1105">
        <v>0</v>
      </c>
      <c r="J1105">
        <v>0</v>
      </c>
      <c r="K1105">
        <v>0</v>
      </c>
      <c r="L1105">
        <v>7</v>
      </c>
      <c r="O1105">
        <v>7</v>
      </c>
      <c r="P1105">
        <v>4</v>
      </c>
      <c r="Q1105">
        <v>2</v>
      </c>
      <c r="R1105">
        <v>30.18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3</v>
      </c>
      <c r="AC1105">
        <v>0</v>
      </c>
      <c r="AF1105" t="s">
        <v>130</v>
      </c>
      <c r="AH1105">
        <v>33.18</v>
      </c>
    </row>
    <row r="1106" spans="1:34" x14ac:dyDescent="0.3">
      <c r="A1106" s="4">
        <v>1222</v>
      </c>
      <c r="B1106" s="5">
        <v>1099</v>
      </c>
      <c r="C1106">
        <v>15323</v>
      </c>
      <c r="D1106" t="s">
        <v>2961</v>
      </c>
      <c r="E1106" t="s">
        <v>100</v>
      </c>
      <c r="F1106" t="s">
        <v>190</v>
      </c>
      <c r="G1106" t="s">
        <v>20278</v>
      </c>
      <c r="H1106">
        <v>20.95</v>
      </c>
      <c r="I1106">
        <v>0</v>
      </c>
      <c r="J1106">
        <v>0</v>
      </c>
      <c r="K1106">
        <v>0</v>
      </c>
      <c r="N1106">
        <v>3</v>
      </c>
      <c r="O1106">
        <v>3</v>
      </c>
      <c r="P1106">
        <v>4</v>
      </c>
      <c r="Q1106">
        <v>2</v>
      </c>
      <c r="R1106">
        <v>29.95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3</v>
      </c>
      <c r="AC1106">
        <v>0</v>
      </c>
      <c r="AF1106" t="s">
        <v>130</v>
      </c>
      <c r="AH1106">
        <v>32.950000000000003</v>
      </c>
    </row>
    <row r="1107" spans="1:34" x14ac:dyDescent="0.3">
      <c r="A1107" s="4">
        <v>1223</v>
      </c>
      <c r="B1107" s="5">
        <v>1100</v>
      </c>
      <c r="C1107">
        <v>1884</v>
      </c>
      <c r="D1107" t="s">
        <v>20279</v>
      </c>
      <c r="E1107" t="s">
        <v>54</v>
      </c>
      <c r="F1107" t="s">
        <v>442</v>
      </c>
      <c r="G1107" t="s">
        <v>20280</v>
      </c>
      <c r="H1107">
        <v>20.88</v>
      </c>
      <c r="I1107">
        <v>0</v>
      </c>
      <c r="J1107">
        <v>0</v>
      </c>
      <c r="K1107">
        <v>0</v>
      </c>
      <c r="N1107">
        <v>3</v>
      </c>
      <c r="O1107">
        <v>3</v>
      </c>
      <c r="P1107">
        <v>4</v>
      </c>
      <c r="Q1107">
        <v>0</v>
      </c>
      <c r="R1107">
        <v>27.88</v>
      </c>
      <c r="S1107">
        <v>2</v>
      </c>
      <c r="T1107">
        <v>2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2</v>
      </c>
      <c r="AB1107">
        <v>3</v>
      </c>
      <c r="AC1107">
        <v>0</v>
      </c>
      <c r="AF1107" t="s">
        <v>130</v>
      </c>
      <c r="AH1107">
        <v>32.880000000000003</v>
      </c>
    </row>
    <row r="1108" spans="1:34" x14ac:dyDescent="0.3">
      <c r="A1108" s="4">
        <v>1224</v>
      </c>
      <c r="B1108" s="5">
        <v>1101</v>
      </c>
      <c r="C1108">
        <v>3132</v>
      </c>
      <c r="D1108" t="s">
        <v>20281</v>
      </c>
      <c r="E1108" t="s">
        <v>37</v>
      </c>
      <c r="F1108" t="s">
        <v>158</v>
      </c>
      <c r="G1108" t="s">
        <v>20282</v>
      </c>
      <c r="H1108">
        <v>20.83</v>
      </c>
      <c r="I1108">
        <v>0</v>
      </c>
      <c r="J1108">
        <v>0</v>
      </c>
      <c r="K1108">
        <v>0</v>
      </c>
      <c r="N1108">
        <v>6</v>
      </c>
      <c r="O1108">
        <v>6</v>
      </c>
      <c r="P1108">
        <v>4</v>
      </c>
      <c r="Q1108">
        <v>2</v>
      </c>
      <c r="R1108">
        <v>32.83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F1108" t="s">
        <v>130</v>
      </c>
      <c r="AH1108">
        <v>32.83</v>
      </c>
    </row>
    <row r="1109" spans="1:34" x14ac:dyDescent="0.3">
      <c r="A1109" s="4">
        <v>1225</v>
      </c>
      <c r="B1109" s="5">
        <v>1102</v>
      </c>
      <c r="C1109">
        <v>639</v>
      </c>
      <c r="D1109" t="s">
        <v>7881</v>
      </c>
      <c r="E1109" t="s">
        <v>3235</v>
      </c>
      <c r="F1109" t="s">
        <v>17</v>
      </c>
      <c r="G1109" t="s">
        <v>20283</v>
      </c>
      <c r="H1109">
        <v>21.73</v>
      </c>
      <c r="I1109">
        <v>0</v>
      </c>
      <c r="J1109">
        <v>0</v>
      </c>
      <c r="K1109">
        <v>0</v>
      </c>
      <c r="L1109">
        <v>7</v>
      </c>
      <c r="O1109">
        <v>7</v>
      </c>
      <c r="P1109">
        <v>4</v>
      </c>
      <c r="Q1109">
        <v>0</v>
      </c>
      <c r="R1109">
        <v>32.729999999999997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F1109" t="s">
        <v>130</v>
      </c>
      <c r="AH1109">
        <v>32.729999999999997</v>
      </c>
    </row>
    <row r="1110" spans="1:34" x14ac:dyDescent="0.3">
      <c r="A1110" s="4">
        <v>1226</v>
      </c>
      <c r="B1110" s="5">
        <v>1103</v>
      </c>
      <c r="C1110">
        <v>13532</v>
      </c>
      <c r="D1110" t="s">
        <v>20284</v>
      </c>
      <c r="E1110" t="s">
        <v>29</v>
      </c>
      <c r="F1110" t="s">
        <v>17</v>
      </c>
      <c r="G1110" t="s">
        <v>20285</v>
      </c>
      <c r="H1110">
        <v>17.7</v>
      </c>
      <c r="I1110">
        <v>0</v>
      </c>
      <c r="J1110">
        <v>0</v>
      </c>
      <c r="K1110">
        <v>0</v>
      </c>
      <c r="N1110">
        <v>3</v>
      </c>
      <c r="O1110">
        <v>3</v>
      </c>
      <c r="P1110">
        <v>4</v>
      </c>
      <c r="Q1110">
        <v>2</v>
      </c>
      <c r="R1110">
        <v>26.7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6</v>
      </c>
      <c r="AC1110">
        <v>0</v>
      </c>
      <c r="AF1110" t="s">
        <v>130</v>
      </c>
      <c r="AH1110">
        <v>32.700000000000003</v>
      </c>
    </row>
    <row r="1111" spans="1:34" x14ac:dyDescent="0.3">
      <c r="A1111" s="4">
        <v>1227</v>
      </c>
      <c r="B1111" s="5">
        <v>1104</v>
      </c>
      <c r="C1111">
        <v>10278</v>
      </c>
      <c r="D1111" t="s">
        <v>20286</v>
      </c>
      <c r="E1111" t="s">
        <v>110</v>
      </c>
      <c r="F1111" t="s">
        <v>158</v>
      </c>
      <c r="G1111" t="s">
        <v>20287</v>
      </c>
      <c r="H1111">
        <v>17.53</v>
      </c>
      <c r="I1111">
        <v>0</v>
      </c>
      <c r="J1111">
        <v>0</v>
      </c>
      <c r="K1111">
        <v>0</v>
      </c>
      <c r="N1111">
        <v>3</v>
      </c>
      <c r="O1111">
        <v>3</v>
      </c>
      <c r="P1111">
        <v>4</v>
      </c>
      <c r="Q1111">
        <v>0</v>
      </c>
      <c r="R1111">
        <v>24.53</v>
      </c>
      <c r="S1111">
        <v>5</v>
      </c>
      <c r="T1111">
        <v>5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5</v>
      </c>
      <c r="AB1111">
        <v>3</v>
      </c>
      <c r="AC1111">
        <v>0</v>
      </c>
      <c r="AF1111" t="s">
        <v>130</v>
      </c>
      <c r="AH1111">
        <v>32.53</v>
      </c>
    </row>
    <row r="1112" spans="1:34" x14ac:dyDescent="0.3">
      <c r="A1112" s="4">
        <v>1228</v>
      </c>
      <c r="B1112" s="5">
        <v>1105</v>
      </c>
      <c r="C1112">
        <v>14010</v>
      </c>
      <c r="D1112" t="s">
        <v>20288</v>
      </c>
      <c r="E1112" t="s">
        <v>100</v>
      </c>
      <c r="F1112" t="s">
        <v>124</v>
      </c>
      <c r="G1112" t="s">
        <v>20289</v>
      </c>
      <c r="H1112">
        <v>17.5</v>
      </c>
      <c r="I1112">
        <v>0</v>
      </c>
      <c r="J1112">
        <v>0</v>
      </c>
      <c r="K1112">
        <v>0</v>
      </c>
      <c r="O1112">
        <v>0</v>
      </c>
      <c r="P1112">
        <v>4</v>
      </c>
      <c r="Q1112">
        <v>2</v>
      </c>
      <c r="R1112">
        <v>23.5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9</v>
      </c>
      <c r="AC1112">
        <v>0</v>
      </c>
      <c r="AF1112" t="s">
        <v>130</v>
      </c>
      <c r="AH1112">
        <v>32.5</v>
      </c>
    </row>
    <row r="1113" spans="1:34" x14ac:dyDescent="0.3">
      <c r="A1113" s="4">
        <v>1229</v>
      </c>
      <c r="B1113" s="5">
        <v>1106</v>
      </c>
      <c r="C1113">
        <v>6272</v>
      </c>
      <c r="D1113" t="s">
        <v>20290</v>
      </c>
      <c r="E1113" t="s">
        <v>789</v>
      </c>
      <c r="F1113" t="s">
        <v>55</v>
      </c>
      <c r="G1113" t="s">
        <v>20291</v>
      </c>
      <c r="H1113">
        <v>17.45</v>
      </c>
      <c r="I1113">
        <v>0</v>
      </c>
      <c r="J1113">
        <v>0</v>
      </c>
      <c r="K1113">
        <v>0</v>
      </c>
      <c r="N1113">
        <v>3</v>
      </c>
      <c r="O1113">
        <v>3</v>
      </c>
      <c r="P1113">
        <v>4</v>
      </c>
      <c r="Q1113">
        <v>2</v>
      </c>
      <c r="R1113">
        <v>26.45</v>
      </c>
      <c r="S1113">
        <v>6</v>
      </c>
      <c r="T1113">
        <v>6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6</v>
      </c>
      <c r="AB1113">
        <v>0</v>
      </c>
      <c r="AC1113">
        <v>0</v>
      </c>
      <c r="AD1113" t="s">
        <v>130</v>
      </c>
      <c r="AF1113" t="s">
        <v>130</v>
      </c>
      <c r="AH1113">
        <v>32.450000000000003</v>
      </c>
    </row>
    <row r="1114" spans="1:34" x14ac:dyDescent="0.3">
      <c r="A1114" s="4">
        <v>1230</v>
      </c>
      <c r="B1114" s="5">
        <v>1107</v>
      </c>
      <c r="C1114">
        <v>180</v>
      </c>
      <c r="D1114" t="s">
        <v>20292</v>
      </c>
      <c r="E1114" t="s">
        <v>20293</v>
      </c>
      <c r="F1114" t="s">
        <v>20294</v>
      </c>
      <c r="G1114" t="s">
        <v>20295</v>
      </c>
      <c r="H1114">
        <v>19.329999999999998</v>
      </c>
      <c r="I1114">
        <v>0</v>
      </c>
      <c r="J1114">
        <v>0</v>
      </c>
      <c r="K1114">
        <v>0</v>
      </c>
      <c r="L1114">
        <v>7</v>
      </c>
      <c r="O1114">
        <v>7</v>
      </c>
      <c r="P1114">
        <v>4</v>
      </c>
      <c r="Q1114">
        <v>2</v>
      </c>
      <c r="R1114">
        <v>32.33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F1114" t="s">
        <v>130</v>
      </c>
      <c r="AH1114">
        <v>32.33</v>
      </c>
    </row>
    <row r="1115" spans="1:34" x14ac:dyDescent="0.3">
      <c r="A1115" s="4">
        <v>1231</v>
      </c>
      <c r="B1115" s="5">
        <v>1108</v>
      </c>
      <c r="C1115">
        <v>1007</v>
      </c>
      <c r="D1115" t="s">
        <v>20296</v>
      </c>
      <c r="E1115" t="s">
        <v>20297</v>
      </c>
      <c r="F1115" t="s">
        <v>30</v>
      </c>
      <c r="G1115" t="s">
        <v>20298</v>
      </c>
      <c r="H1115">
        <v>19.25</v>
      </c>
      <c r="I1115">
        <v>0</v>
      </c>
      <c r="J1115">
        <v>0</v>
      </c>
      <c r="K1115">
        <v>0</v>
      </c>
      <c r="L1115">
        <v>7</v>
      </c>
      <c r="O1115">
        <v>7</v>
      </c>
      <c r="P1115">
        <v>4</v>
      </c>
      <c r="Q1115">
        <v>2</v>
      </c>
      <c r="R1115">
        <v>32.25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F1115" t="s">
        <v>130</v>
      </c>
      <c r="AH1115">
        <v>32.25</v>
      </c>
    </row>
    <row r="1116" spans="1:34" x14ac:dyDescent="0.3">
      <c r="A1116" s="4">
        <v>1232</v>
      </c>
      <c r="B1116" s="5">
        <v>1109</v>
      </c>
      <c r="C1116">
        <v>7169</v>
      </c>
      <c r="D1116" t="s">
        <v>2356</v>
      </c>
      <c r="E1116" t="s">
        <v>789</v>
      </c>
      <c r="F1116" t="s">
        <v>30</v>
      </c>
      <c r="G1116" t="s">
        <v>20299</v>
      </c>
      <c r="H1116">
        <v>20.2</v>
      </c>
      <c r="I1116">
        <v>0</v>
      </c>
      <c r="J1116">
        <v>0</v>
      </c>
      <c r="K1116">
        <v>0</v>
      </c>
      <c r="N1116">
        <v>3</v>
      </c>
      <c r="O1116">
        <v>3</v>
      </c>
      <c r="P1116">
        <v>4</v>
      </c>
      <c r="Q1116">
        <v>2</v>
      </c>
      <c r="R1116">
        <v>29.2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3</v>
      </c>
      <c r="AC1116">
        <v>0</v>
      </c>
      <c r="AF1116" t="s">
        <v>130</v>
      </c>
      <c r="AH1116">
        <v>32.200000000000003</v>
      </c>
    </row>
    <row r="1117" spans="1:34" x14ac:dyDescent="0.3">
      <c r="A1117" s="4">
        <v>1233</v>
      </c>
      <c r="B1117" s="5">
        <v>1110</v>
      </c>
      <c r="C1117">
        <v>11718</v>
      </c>
      <c r="D1117" t="s">
        <v>1868</v>
      </c>
      <c r="E1117" t="s">
        <v>789</v>
      </c>
      <c r="F1117" t="s">
        <v>17</v>
      </c>
      <c r="G1117" t="s">
        <v>20300</v>
      </c>
      <c r="H1117">
        <v>20.149999999999999</v>
      </c>
      <c r="I1117">
        <v>0</v>
      </c>
      <c r="J1117">
        <v>0</v>
      </c>
      <c r="K1117">
        <v>0</v>
      </c>
      <c r="N1117">
        <v>3</v>
      </c>
      <c r="O1117">
        <v>3</v>
      </c>
      <c r="P1117">
        <v>4</v>
      </c>
      <c r="Q1117">
        <v>2</v>
      </c>
      <c r="R1117">
        <v>29.15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3</v>
      </c>
      <c r="AC1117">
        <v>0</v>
      </c>
      <c r="AF1117" t="s">
        <v>130</v>
      </c>
      <c r="AH1117">
        <v>32.15</v>
      </c>
    </row>
    <row r="1118" spans="1:34" x14ac:dyDescent="0.3">
      <c r="A1118" s="4">
        <v>1234</v>
      </c>
      <c r="B1118" s="5">
        <v>1111</v>
      </c>
      <c r="C1118">
        <v>8224</v>
      </c>
      <c r="D1118" t="s">
        <v>7922</v>
      </c>
      <c r="E1118" t="s">
        <v>110</v>
      </c>
      <c r="F1118" t="s">
        <v>17</v>
      </c>
      <c r="G1118" t="s">
        <v>20301</v>
      </c>
      <c r="H1118">
        <v>17</v>
      </c>
      <c r="I1118">
        <v>0</v>
      </c>
      <c r="J1118">
        <v>0</v>
      </c>
      <c r="K1118">
        <v>0</v>
      </c>
      <c r="N1118">
        <v>3</v>
      </c>
      <c r="O1118">
        <v>3</v>
      </c>
      <c r="P1118">
        <v>4</v>
      </c>
      <c r="Q1118">
        <v>2</v>
      </c>
      <c r="R1118">
        <v>26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6</v>
      </c>
      <c r="AC1118">
        <v>0</v>
      </c>
      <c r="AF1118" t="s">
        <v>130</v>
      </c>
      <c r="AH1118">
        <v>32</v>
      </c>
    </row>
    <row r="1119" spans="1:34" x14ac:dyDescent="0.3">
      <c r="A1119" s="4">
        <v>1235</v>
      </c>
      <c r="B1119" s="5">
        <v>1112</v>
      </c>
      <c r="C1119">
        <v>2347</v>
      </c>
      <c r="D1119" t="s">
        <v>20302</v>
      </c>
      <c r="E1119" t="s">
        <v>697</v>
      </c>
      <c r="F1119" t="s">
        <v>230</v>
      </c>
      <c r="G1119" t="s">
        <v>20303</v>
      </c>
      <c r="H1119">
        <v>18.899999999999999</v>
      </c>
      <c r="I1119">
        <v>0</v>
      </c>
      <c r="J1119">
        <v>0</v>
      </c>
      <c r="K1119">
        <v>0</v>
      </c>
      <c r="L1119">
        <v>7</v>
      </c>
      <c r="O1119">
        <v>7</v>
      </c>
      <c r="P1119">
        <v>4</v>
      </c>
      <c r="Q1119">
        <v>2</v>
      </c>
      <c r="R1119">
        <v>31.9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 t="s">
        <v>130</v>
      </c>
      <c r="AF1119" t="s">
        <v>130</v>
      </c>
      <c r="AH1119">
        <v>31.9</v>
      </c>
    </row>
    <row r="1120" spans="1:34" x14ac:dyDescent="0.3">
      <c r="A1120" s="4">
        <v>1236</v>
      </c>
      <c r="B1120" s="5">
        <v>1113</v>
      </c>
      <c r="C1120">
        <v>647</v>
      </c>
      <c r="D1120" t="s">
        <v>20304</v>
      </c>
      <c r="E1120" t="s">
        <v>29</v>
      </c>
      <c r="F1120" t="s">
        <v>20</v>
      </c>
      <c r="G1120" t="s">
        <v>20305</v>
      </c>
      <c r="H1120">
        <v>16.899999999999999</v>
      </c>
      <c r="I1120">
        <v>0</v>
      </c>
      <c r="J1120">
        <v>0</v>
      </c>
      <c r="K1120">
        <v>0</v>
      </c>
      <c r="O1120">
        <v>0</v>
      </c>
      <c r="P1120">
        <v>4</v>
      </c>
      <c r="Q1120">
        <v>0</v>
      </c>
      <c r="R1120">
        <v>20.9</v>
      </c>
      <c r="S1120">
        <v>11</v>
      </c>
      <c r="T1120">
        <v>11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11</v>
      </c>
      <c r="AB1120">
        <v>0</v>
      </c>
      <c r="AC1120">
        <v>0</v>
      </c>
      <c r="AF1120" t="s">
        <v>130</v>
      </c>
      <c r="AH1120">
        <v>31.9</v>
      </c>
    </row>
    <row r="1121" spans="1:34" x14ac:dyDescent="0.3">
      <c r="A1121" s="4">
        <v>1237</v>
      </c>
      <c r="B1121" s="5">
        <v>1114</v>
      </c>
      <c r="C1121">
        <v>6777</v>
      </c>
      <c r="D1121" t="s">
        <v>20306</v>
      </c>
      <c r="E1121" t="s">
        <v>22</v>
      </c>
      <c r="F1121" t="s">
        <v>2582</v>
      </c>
      <c r="G1121" t="s">
        <v>20307</v>
      </c>
      <c r="H1121">
        <v>18.68</v>
      </c>
      <c r="I1121">
        <v>0</v>
      </c>
      <c r="J1121">
        <v>0</v>
      </c>
      <c r="K1121">
        <v>0</v>
      </c>
      <c r="N1121">
        <v>3</v>
      </c>
      <c r="O1121">
        <v>3</v>
      </c>
      <c r="P1121">
        <v>4</v>
      </c>
      <c r="Q1121">
        <v>0</v>
      </c>
      <c r="R1121">
        <v>25.68</v>
      </c>
      <c r="S1121">
        <v>6</v>
      </c>
      <c r="T1121">
        <v>6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6</v>
      </c>
      <c r="AB1121">
        <v>0</v>
      </c>
      <c r="AC1121">
        <v>0</v>
      </c>
      <c r="AF1121" t="s">
        <v>130</v>
      </c>
      <c r="AH1121">
        <v>31.68</v>
      </c>
    </row>
    <row r="1122" spans="1:34" x14ac:dyDescent="0.3">
      <c r="A1122" s="4">
        <v>1238</v>
      </c>
      <c r="B1122" s="5">
        <v>1115</v>
      </c>
      <c r="C1122">
        <v>3211</v>
      </c>
      <c r="D1122" t="s">
        <v>20308</v>
      </c>
      <c r="E1122" t="s">
        <v>54</v>
      </c>
      <c r="F1122" t="s">
        <v>117</v>
      </c>
      <c r="G1122" t="s">
        <v>20309</v>
      </c>
      <c r="H1122">
        <v>16.63</v>
      </c>
      <c r="I1122">
        <v>0</v>
      </c>
      <c r="J1122">
        <v>0</v>
      </c>
      <c r="K1122">
        <v>0</v>
      </c>
      <c r="N1122">
        <v>3</v>
      </c>
      <c r="O1122">
        <v>3</v>
      </c>
      <c r="P1122">
        <v>4</v>
      </c>
      <c r="Q1122">
        <v>2</v>
      </c>
      <c r="R1122">
        <v>25.63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6</v>
      </c>
      <c r="AC1122">
        <v>0</v>
      </c>
      <c r="AF1122" t="s">
        <v>130</v>
      </c>
      <c r="AH1122">
        <v>31.63</v>
      </c>
    </row>
    <row r="1123" spans="1:34" x14ac:dyDescent="0.3">
      <c r="A1123" s="4">
        <v>1239</v>
      </c>
      <c r="B1123" s="5">
        <v>1116</v>
      </c>
      <c r="C1123">
        <v>1402</v>
      </c>
      <c r="D1123" t="s">
        <v>15736</v>
      </c>
      <c r="E1123" t="s">
        <v>182</v>
      </c>
      <c r="F1123" t="s">
        <v>801</v>
      </c>
      <c r="G1123" t="s">
        <v>20310</v>
      </c>
      <c r="H1123">
        <v>18.55</v>
      </c>
      <c r="I1123">
        <v>0</v>
      </c>
      <c r="J1123">
        <v>0</v>
      </c>
      <c r="K1123">
        <v>0</v>
      </c>
      <c r="M1123">
        <v>5</v>
      </c>
      <c r="O1123">
        <v>5</v>
      </c>
      <c r="P1123">
        <v>4</v>
      </c>
      <c r="Q1123">
        <v>0</v>
      </c>
      <c r="R1123">
        <v>27.55</v>
      </c>
      <c r="S1123">
        <v>4</v>
      </c>
      <c r="T1123">
        <v>4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4</v>
      </c>
      <c r="AB1123">
        <v>0</v>
      </c>
      <c r="AC1123">
        <v>0</v>
      </c>
      <c r="AF1123" t="s">
        <v>130</v>
      </c>
      <c r="AH1123">
        <v>31.55</v>
      </c>
    </row>
    <row r="1124" spans="1:34" x14ac:dyDescent="0.3">
      <c r="A1124" s="4">
        <v>1240</v>
      </c>
      <c r="B1124" s="5">
        <v>1117</v>
      </c>
      <c r="C1124">
        <v>2324</v>
      </c>
      <c r="D1124" t="s">
        <v>1742</v>
      </c>
      <c r="E1124" t="s">
        <v>358</v>
      </c>
      <c r="F1124" t="s">
        <v>158</v>
      </c>
      <c r="G1124" t="s">
        <v>20311</v>
      </c>
      <c r="H1124">
        <v>19.45</v>
      </c>
      <c r="I1124">
        <v>0</v>
      </c>
      <c r="J1124">
        <v>0</v>
      </c>
      <c r="K1124">
        <v>0</v>
      </c>
      <c r="O1124">
        <v>0</v>
      </c>
      <c r="P1124">
        <v>4</v>
      </c>
      <c r="Q1124">
        <v>2</v>
      </c>
      <c r="R1124">
        <v>25.45</v>
      </c>
      <c r="S1124">
        <v>6</v>
      </c>
      <c r="T1124">
        <v>6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6</v>
      </c>
      <c r="AB1124">
        <v>0</v>
      </c>
      <c r="AC1124">
        <v>0</v>
      </c>
      <c r="AF1124" t="s">
        <v>130</v>
      </c>
      <c r="AH1124">
        <v>31.45</v>
      </c>
    </row>
    <row r="1125" spans="1:34" x14ac:dyDescent="0.3">
      <c r="A1125" s="4">
        <v>1241</v>
      </c>
      <c r="B1125" s="5">
        <v>1118</v>
      </c>
      <c r="C1125">
        <v>12674</v>
      </c>
      <c r="D1125" t="s">
        <v>10225</v>
      </c>
      <c r="E1125" t="s">
        <v>29</v>
      </c>
      <c r="F1125" t="s">
        <v>230</v>
      </c>
      <c r="G1125" t="s">
        <v>20312</v>
      </c>
      <c r="H1125">
        <v>18.43</v>
      </c>
      <c r="I1125">
        <v>0</v>
      </c>
      <c r="J1125">
        <v>0</v>
      </c>
      <c r="K1125">
        <v>0</v>
      </c>
      <c r="L1125">
        <v>7</v>
      </c>
      <c r="O1125">
        <v>7</v>
      </c>
      <c r="P1125">
        <v>4</v>
      </c>
      <c r="Q1125">
        <v>2</v>
      </c>
      <c r="R1125">
        <v>31.43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F1125" t="s">
        <v>130</v>
      </c>
      <c r="AH1125">
        <v>31.43</v>
      </c>
    </row>
    <row r="1126" spans="1:34" x14ac:dyDescent="0.3">
      <c r="A1126" s="4">
        <v>1242</v>
      </c>
      <c r="B1126" s="5">
        <v>1119</v>
      </c>
      <c r="C1126">
        <v>6760</v>
      </c>
      <c r="D1126" t="s">
        <v>10017</v>
      </c>
      <c r="E1126" t="s">
        <v>41</v>
      </c>
      <c r="F1126" t="s">
        <v>782</v>
      </c>
      <c r="G1126" t="s">
        <v>20313</v>
      </c>
      <c r="H1126">
        <v>19.28</v>
      </c>
      <c r="I1126">
        <v>0</v>
      </c>
      <c r="J1126">
        <v>0</v>
      </c>
      <c r="K1126">
        <v>0</v>
      </c>
      <c r="O1126">
        <v>0</v>
      </c>
      <c r="P1126">
        <v>4</v>
      </c>
      <c r="Q1126">
        <v>2</v>
      </c>
      <c r="R1126">
        <v>25.28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6</v>
      </c>
      <c r="AC1126">
        <v>0</v>
      </c>
      <c r="AF1126" t="s">
        <v>130</v>
      </c>
      <c r="AH1126">
        <v>31.28</v>
      </c>
    </row>
    <row r="1127" spans="1:34" x14ac:dyDescent="0.3">
      <c r="A1127" s="4">
        <v>1243</v>
      </c>
      <c r="B1127" s="5">
        <v>1120</v>
      </c>
      <c r="C1127">
        <v>7103</v>
      </c>
      <c r="D1127" t="s">
        <v>3209</v>
      </c>
      <c r="E1127" t="s">
        <v>1280</v>
      </c>
      <c r="F1127" t="s">
        <v>91</v>
      </c>
      <c r="G1127" t="s">
        <v>20314</v>
      </c>
      <c r="H1127">
        <v>20.2</v>
      </c>
      <c r="I1127">
        <v>0</v>
      </c>
      <c r="J1127">
        <v>0</v>
      </c>
      <c r="K1127">
        <v>0</v>
      </c>
      <c r="L1127">
        <v>7</v>
      </c>
      <c r="O1127">
        <v>7</v>
      </c>
      <c r="P1127">
        <v>4</v>
      </c>
      <c r="Q1127">
        <v>0</v>
      </c>
      <c r="R1127">
        <v>31.2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F1127" t="s">
        <v>130</v>
      </c>
      <c r="AH1127">
        <v>31.2</v>
      </c>
    </row>
    <row r="1128" spans="1:34" x14ac:dyDescent="0.3">
      <c r="A1128" s="4">
        <v>1244</v>
      </c>
      <c r="B1128" s="5">
        <v>1121</v>
      </c>
      <c r="C1128">
        <v>8095</v>
      </c>
      <c r="D1128" t="s">
        <v>1742</v>
      </c>
      <c r="E1128" t="s">
        <v>744</v>
      </c>
      <c r="F1128" t="s">
        <v>136</v>
      </c>
      <c r="G1128" t="s">
        <v>20315</v>
      </c>
      <c r="H1128">
        <v>18.13</v>
      </c>
      <c r="I1128">
        <v>0</v>
      </c>
      <c r="J1128">
        <v>0</v>
      </c>
      <c r="K1128">
        <v>0</v>
      </c>
      <c r="L1128">
        <v>7</v>
      </c>
      <c r="O1128">
        <v>7</v>
      </c>
      <c r="P1128">
        <v>4</v>
      </c>
      <c r="Q1128">
        <v>2</v>
      </c>
      <c r="R1128">
        <v>31.13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F1128" t="s">
        <v>130</v>
      </c>
      <c r="AH1128">
        <v>31.13</v>
      </c>
    </row>
    <row r="1129" spans="1:34" x14ac:dyDescent="0.3">
      <c r="A1129" s="4">
        <v>1245</v>
      </c>
      <c r="B1129" s="5">
        <v>1122</v>
      </c>
      <c r="C1129">
        <v>8372</v>
      </c>
      <c r="D1129" t="s">
        <v>20316</v>
      </c>
      <c r="E1129" t="s">
        <v>442</v>
      </c>
      <c r="F1129" t="s">
        <v>136</v>
      </c>
      <c r="G1129" t="s">
        <v>20317</v>
      </c>
      <c r="H1129">
        <v>18.079999999999998</v>
      </c>
      <c r="I1129">
        <v>0</v>
      </c>
      <c r="J1129">
        <v>0</v>
      </c>
      <c r="K1129">
        <v>0</v>
      </c>
      <c r="L1129">
        <v>7</v>
      </c>
      <c r="O1129">
        <v>7</v>
      </c>
      <c r="P1129">
        <v>4</v>
      </c>
      <c r="Q1129">
        <v>2</v>
      </c>
      <c r="R1129">
        <v>31.08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F1129" t="s">
        <v>130</v>
      </c>
      <c r="AH1129">
        <v>31.08</v>
      </c>
    </row>
    <row r="1130" spans="1:34" x14ac:dyDescent="0.3">
      <c r="A1130" s="4">
        <v>1246</v>
      </c>
      <c r="B1130" s="5">
        <v>1123</v>
      </c>
      <c r="C1130">
        <v>2789</v>
      </c>
      <c r="D1130" t="s">
        <v>15616</v>
      </c>
      <c r="E1130" t="s">
        <v>20318</v>
      </c>
      <c r="F1130" t="s">
        <v>343</v>
      </c>
      <c r="G1130" t="s">
        <v>20319</v>
      </c>
      <c r="H1130">
        <v>19.03</v>
      </c>
      <c r="I1130">
        <v>0</v>
      </c>
      <c r="J1130">
        <v>0</v>
      </c>
      <c r="K1130">
        <v>0</v>
      </c>
      <c r="O1130">
        <v>0</v>
      </c>
      <c r="P1130">
        <v>4</v>
      </c>
      <c r="Q1130">
        <v>2</v>
      </c>
      <c r="R1130">
        <v>25.03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6</v>
      </c>
      <c r="AC1130">
        <v>0</v>
      </c>
      <c r="AF1130" t="s">
        <v>130</v>
      </c>
      <c r="AH1130">
        <v>31.03</v>
      </c>
    </row>
    <row r="1131" spans="1:34" x14ac:dyDescent="0.3">
      <c r="A1131" s="4">
        <v>1247</v>
      </c>
      <c r="B1131" s="5">
        <v>1124</v>
      </c>
      <c r="C1131">
        <v>15558</v>
      </c>
      <c r="D1131" t="s">
        <v>20320</v>
      </c>
      <c r="E1131" t="s">
        <v>406</v>
      </c>
      <c r="F1131" t="s">
        <v>5698</v>
      </c>
      <c r="G1131" t="s">
        <v>20321</v>
      </c>
      <c r="H1131">
        <v>19</v>
      </c>
      <c r="I1131">
        <v>0</v>
      </c>
      <c r="J1131">
        <v>0</v>
      </c>
      <c r="K1131">
        <v>0</v>
      </c>
      <c r="M1131">
        <v>5</v>
      </c>
      <c r="N1131">
        <v>3</v>
      </c>
      <c r="O1131">
        <v>8</v>
      </c>
      <c r="P1131">
        <v>4</v>
      </c>
      <c r="Q1131">
        <v>0</v>
      </c>
      <c r="R1131">
        <v>31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F1131" t="s">
        <v>130</v>
      </c>
      <c r="AH1131">
        <v>31</v>
      </c>
    </row>
    <row r="1132" spans="1:34" x14ac:dyDescent="0.3">
      <c r="A1132" s="4">
        <v>1248</v>
      </c>
      <c r="B1132" s="5">
        <v>1125</v>
      </c>
      <c r="C1132">
        <v>11365</v>
      </c>
      <c r="D1132" t="s">
        <v>20322</v>
      </c>
      <c r="E1132" t="s">
        <v>825</v>
      </c>
      <c r="F1132" t="s">
        <v>17</v>
      </c>
      <c r="G1132" t="s">
        <v>20323</v>
      </c>
      <c r="H1132">
        <v>19</v>
      </c>
      <c r="I1132">
        <v>0</v>
      </c>
      <c r="J1132">
        <v>0</v>
      </c>
      <c r="K1132">
        <v>0</v>
      </c>
      <c r="N1132">
        <v>3</v>
      </c>
      <c r="O1132">
        <v>3</v>
      </c>
      <c r="P1132">
        <v>4</v>
      </c>
      <c r="Q1132">
        <v>2</v>
      </c>
      <c r="R1132">
        <v>28</v>
      </c>
      <c r="S1132">
        <v>3</v>
      </c>
      <c r="T1132">
        <v>3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3</v>
      </c>
      <c r="AB1132">
        <v>0</v>
      </c>
      <c r="AC1132">
        <v>0</v>
      </c>
      <c r="AF1132" t="s">
        <v>130</v>
      </c>
      <c r="AH1132">
        <v>31</v>
      </c>
    </row>
    <row r="1133" spans="1:34" x14ac:dyDescent="0.3">
      <c r="A1133" s="4">
        <v>1249</v>
      </c>
      <c r="B1133" s="5">
        <v>1126</v>
      </c>
      <c r="C1133">
        <v>15586</v>
      </c>
      <c r="D1133" t="s">
        <v>715</v>
      </c>
      <c r="E1133" t="s">
        <v>41</v>
      </c>
      <c r="F1133" t="s">
        <v>38</v>
      </c>
      <c r="G1133" t="s">
        <v>20324</v>
      </c>
      <c r="H1133">
        <v>17.98</v>
      </c>
      <c r="I1133">
        <v>0</v>
      </c>
      <c r="J1133">
        <v>0</v>
      </c>
      <c r="K1133">
        <v>0</v>
      </c>
      <c r="N1133">
        <v>3</v>
      </c>
      <c r="O1133">
        <v>3</v>
      </c>
      <c r="P1133">
        <v>4</v>
      </c>
      <c r="Q1133">
        <v>0</v>
      </c>
      <c r="R1133">
        <v>24.98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6</v>
      </c>
      <c r="AC1133">
        <v>0</v>
      </c>
      <c r="AF1133" t="s">
        <v>130</v>
      </c>
      <c r="AH1133">
        <v>30.98</v>
      </c>
    </row>
    <row r="1134" spans="1:34" x14ac:dyDescent="0.3">
      <c r="A1134" s="4">
        <v>1250</v>
      </c>
      <c r="B1134" s="5">
        <v>1127</v>
      </c>
      <c r="C1134">
        <v>11776</v>
      </c>
      <c r="D1134" t="s">
        <v>20325</v>
      </c>
      <c r="E1134" t="s">
        <v>400</v>
      </c>
      <c r="F1134" t="s">
        <v>17</v>
      </c>
      <c r="G1134" t="s">
        <v>20326</v>
      </c>
      <c r="H1134">
        <v>16.98</v>
      </c>
      <c r="I1134">
        <v>0</v>
      </c>
      <c r="J1134">
        <v>0</v>
      </c>
      <c r="K1134">
        <v>0</v>
      </c>
      <c r="M1134">
        <v>5</v>
      </c>
      <c r="O1134">
        <v>5</v>
      </c>
      <c r="P1134">
        <v>4</v>
      </c>
      <c r="Q1134">
        <v>2</v>
      </c>
      <c r="R1134">
        <v>27.98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3</v>
      </c>
      <c r="AC1134">
        <v>0</v>
      </c>
      <c r="AF1134" t="s">
        <v>130</v>
      </c>
      <c r="AH1134">
        <v>30.98</v>
      </c>
    </row>
    <row r="1135" spans="1:34" x14ac:dyDescent="0.3">
      <c r="A1135" s="4">
        <v>1251</v>
      </c>
      <c r="B1135" s="5">
        <v>1128</v>
      </c>
      <c r="C1135">
        <v>79</v>
      </c>
      <c r="D1135" t="s">
        <v>20327</v>
      </c>
      <c r="E1135" t="s">
        <v>54</v>
      </c>
      <c r="F1135" t="s">
        <v>136</v>
      </c>
      <c r="G1135" t="s">
        <v>20328</v>
      </c>
      <c r="H1135">
        <v>17.899999999999999</v>
      </c>
      <c r="I1135">
        <v>0</v>
      </c>
      <c r="J1135">
        <v>0</v>
      </c>
      <c r="K1135">
        <v>0</v>
      </c>
      <c r="N1135">
        <v>3</v>
      </c>
      <c r="O1135">
        <v>3</v>
      </c>
      <c r="P1135">
        <v>4</v>
      </c>
      <c r="Q1135">
        <v>2</v>
      </c>
      <c r="R1135">
        <v>26.9</v>
      </c>
      <c r="S1135">
        <v>4</v>
      </c>
      <c r="T1135">
        <v>4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4</v>
      </c>
      <c r="AB1135">
        <v>0</v>
      </c>
      <c r="AC1135">
        <v>0</v>
      </c>
      <c r="AF1135" t="s">
        <v>130</v>
      </c>
      <c r="AH1135">
        <v>30.9</v>
      </c>
    </row>
    <row r="1136" spans="1:34" x14ac:dyDescent="0.3">
      <c r="A1136" s="4">
        <v>1252</v>
      </c>
      <c r="B1136" s="5">
        <v>1129</v>
      </c>
      <c r="C1136">
        <v>5535</v>
      </c>
      <c r="D1136" t="s">
        <v>20329</v>
      </c>
      <c r="E1136" t="s">
        <v>33</v>
      </c>
      <c r="F1136" t="s">
        <v>892</v>
      </c>
      <c r="G1136" t="s">
        <v>20330</v>
      </c>
      <c r="H1136">
        <v>19.88</v>
      </c>
      <c r="I1136">
        <v>0</v>
      </c>
      <c r="J1136">
        <v>0</v>
      </c>
      <c r="K1136">
        <v>0</v>
      </c>
      <c r="L1136">
        <v>7</v>
      </c>
      <c r="O1136">
        <v>7</v>
      </c>
      <c r="P1136">
        <v>4</v>
      </c>
      <c r="Q1136">
        <v>0</v>
      </c>
      <c r="R1136">
        <v>30.88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F1136" t="s">
        <v>130</v>
      </c>
      <c r="AH1136">
        <v>30.88</v>
      </c>
    </row>
    <row r="1137" spans="1:34" x14ac:dyDescent="0.3">
      <c r="A1137" s="4">
        <v>1253</v>
      </c>
      <c r="B1137" s="5">
        <v>1130</v>
      </c>
      <c r="C1137">
        <v>8798</v>
      </c>
      <c r="D1137" t="s">
        <v>2227</v>
      </c>
      <c r="E1137" t="s">
        <v>400</v>
      </c>
      <c r="F1137" t="s">
        <v>81</v>
      </c>
      <c r="G1137" t="s">
        <v>20331</v>
      </c>
      <c r="H1137">
        <v>16.88</v>
      </c>
      <c r="I1137">
        <v>0</v>
      </c>
      <c r="J1137">
        <v>0</v>
      </c>
      <c r="K1137">
        <v>0</v>
      </c>
      <c r="N1137">
        <v>3</v>
      </c>
      <c r="O1137">
        <v>3</v>
      </c>
      <c r="P1137">
        <v>4</v>
      </c>
      <c r="Q1137">
        <v>0</v>
      </c>
      <c r="R1137">
        <v>23.88</v>
      </c>
      <c r="S1137">
        <v>7</v>
      </c>
      <c r="T1137">
        <v>7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7</v>
      </c>
      <c r="AB1137">
        <v>0</v>
      </c>
      <c r="AC1137">
        <v>0</v>
      </c>
      <c r="AF1137" t="s">
        <v>130</v>
      </c>
      <c r="AH1137">
        <v>30.88</v>
      </c>
    </row>
    <row r="1138" spans="1:34" x14ac:dyDescent="0.3">
      <c r="A1138" s="4">
        <v>1254</v>
      </c>
      <c r="B1138" s="5">
        <v>1131</v>
      </c>
      <c r="C1138">
        <v>7378</v>
      </c>
      <c r="D1138" t="s">
        <v>20332</v>
      </c>
      <c r="E1138" t="s">
        <v>20333</v>
      </c>
      <c r="F1138" t="s">
        <v>81</v>
      </c>
      <c r="G1138" t="s">
        <v>20334</v>
      </c>
      <c r="H1138">
        <v>17.73</v>
      </c>
      <c r="I1138">
        <v>0</v>
      </c>
      <c r="J1138">
        <v>0</v>
      </c>
      <c r="K1138">
        <v>0</v>
      </c>
      <c r="L1138">
        <v>7</v>
      </c>
      <c r="O1138">
        <v>7</v>
      </c>
      <c r="P1138">
        <v>4</v>
      </c>
      <c r="Q1138">
        <v>2</v>
      </c>
      <c r="R1138">
        <v>30.73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F1138" t="s">
        <v>130</v>
      </c>
      <c r="AH1138">
        <v>30.73</v>
      </c>
    </row>
    <row r="1139" spans="1:34" x14ac:dyDescent="0.3">
      <c r="A1139" s="4">
        <v>1255</v>
      </c>
      <c r="B1139" s="5">
        <v>1132</v>
      </c>
      <c r="C1139">
        <v>11863</v>
      </c>
      <c r="D1139" t="s">
        <v>20335</v>
      </c>
      <c r="E1139" t="s">
        <v>54</v>
      </c>
      <c r="F1139" t="s">
        <v>442</v>
      </c>
      <c r="G1139" t="s">
        <v>20336</v>
      </c>
      <c r="H1139">
        <v>20.7</v>
      </c>
      <c r="I1139">
        <v>0</v>
      </c>
      <c r="J1139">
        <v>0</v>
      </c>
      <c r="K1139">
        <v>0</v>
      </c>
      <c r="O1139">
        <v>0</v>
      </c>
      <c r="P1139">
        <v>4</v>
      </c>
      <c r="Q1139">
        <v>0</v>
      </c>
      <c r="R1139">
        <v>24.7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6</v>
      </c>
      <c r="AC1139">
        <v>0</v>
      </c>
      <c r="AF1139" t="s">
        <v>130</v>
      </c>
      <c r="AH1139">
        <v>30.7</v>
      </c>
    </row>
    <row r="1140" spans="1:34" x14ac:dyDescent="0.3">
      <c r="A1140" s="4">
        <v>1256</v>
      </c>
      <c r="B1140" s="5">
        <v>1133</v>
      </c>
      <c r="C1140">
        <v>12513</v>
      </c>
      <c r="D1140" t="s">
        <v>6336</v>
      </c>
      <c r="E1140" t="s">
        <v>390</v>
      </c>
      <c r="F1140" t="s">
        <v>346</v>
      </c>
      <c r="G1140" t="s">
        <v>20337</v>
      </c>
      <c r="H1140">
        <v>18.600000000000001</v>
      </c>
      <c r="I1140">
        <v>0</v>
      </c>
      <c r="J1140">
        <v>0</v>
      </c>
      <c r="K1140">
        <v>0</v>
      </c>
      <c r="N1140">
        <v>3</v>
      </c>
      <c r="O1140">
        <v>3</v>
      </c>
      <c r="P1140">
        <v>4</v>
      </c>
      <c r="Q1140">
        <v>0</v>
      </c>
      <c r="R1140">
        <v>25.6</v>
      </c>
      <c r="S1140">
        <v>5</v>
      </c>
      <c r="T1140">
        <v>5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5</v>
      </c>
      <c r="AB1140">
        <v>0</v>
      </c>
      <c r="AC1140">
        <v>0</v>
      </c>
      <c r="AF1140" t="s">
        <v>130</v>
      </c>
      <c r="AH1140">
        <v>30.6</v>
      </c>
    </row>
    <row r="1141" spans="1:34" x14ac:dyDescent="0.3">
      <c r="A1141" s="4">
        <v>1257</v>
      </c>
      <c r="B1141" s="5">
        <v>1134</v>
      </c>
      <c r="C1141">
        <v>3733</v>
      </c>
      <c r="D1141" t="s">
        <v>20338</v>
      </c>
      <c r="E1141" t="s">
        <v>789</v>
      </c>
      <c r="F1141" t="s">
        <v>17</v>
      </c>
      <c r="G1141" t="s">
        <v>20339</v>
      </c>
      <c r="H1141">
        <v>19.579999999999998</v>
      </c>
      <c r="I1141">
        <v>0</v>
      </c>
      <c r="J1141">
        <v>0</v>
      </c>
      <c r="K1141">
        <v>0</v>
      </c>
      <c r="L1141">
        <v>7</v>
      </c>
      <c r="O1141">
        <v>7</v>
      </c>
      <c r="P1141">
        <v>4</v>
      </c>
      <c r="Q1141">
        <v>0</v>
      </c>
      <c r="R1141">
        <v>30.58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F1141" t="s">
        <v>130</v>
      </c>
      <c r="AH1141">
        <v>30.58</v>
      </c>
    </row>
    <row r="1142" spans="1:34" x14ac:dyDescent="0.3">
      <c r="A1142" s="4">
        <v>1258</v>
      </c>
      <c r="B1142" s="5">
        <v>1135</v>
      </c>
      <c r="C1142">
        <v>12701</v>
      </c>
      <c r="D1142" t="s">
        <v>20340</v>
      </c>
      <c r="E1142" t="s">
        <v>41</v>
      </c>
      <c r="F1142" t="s">
        <v>20</v>
      </c>
      <c r="G1142" t="s">
        <v>20341</v>
      </c>
      <c r="H1142">
        <v>17.5</v>
      </c>
      <c r="I1142">
        <v>0</v>
      </c>
      <c r="J1142">
        <v>0</v>
      </c>
      <c r="K1142">
        <v>0</v>
      </c>
      <c r="N1142">
        <v>3</v>
      </c>
      <c r="O1142">
        <v>3</v>
      </c>
      <c r="P1142">
        <v>4</v>
      </c>
      <c r="Q1142">
        <v>0</v>
      </c>
      <c r="R1142">
        <v>24.5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6</v>
      </c>
      <c r="AC1142">
        <v>0</v>
      </c>
      <c r="AF1142" t="s">
        <v>130</v>
      </c>
      <c r="AH1142">
        <v>30.5</v>
      </c>
    </row>
    <row r="1143" spans="1:34" x14ac:dyDescent="0.3">
      <c r="A1143" s="4">
        <v>1259</v>
      </c>
      <c r="B1143" s="5">
        <v>1136</v>
      </c>
      <c r="C1143">
        <v>11334</v>
      </c>
      <c r="D1143" t="s">
        <v>7020</v>
      </c>
      <c r="E1143" t="s">
        <v>361</v>
      </c>
      <c r="F1143" t="s">
        <v>17</v>
      </c>
      <c r="G1143" t="s">
        <v>20342</v>
      </c>
      <c r="H1143">
        <v>17.5</v>
      </c>
      <c r="I1143">
        <v>0</v>
      </c>
      <c r="J1143">
        <v>0</v>
      </c>
      <c r="K1143">
        <v>0</v>
      </c>
      <c r="L1143">
        <v>7</v>
      </c>
      <c r="O1143">
        <v>7</v>
      </c>
      <c r="P1143">
        <v>4</v>
      </c>
      <c r="Q1143">
        <v>2</v>
      </c>
      <c r="R1143">
        <v>30.5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F1143" t="s">
        <v>130</v>
      </c>
      <c r="AH1143">
        <v>30.5</v>
      </c>
    </row>
    <row r="1144" spans="1:34" x14ac:dyDescent="0.3">
      <c r="A1144" s="4">
        <v>1260</v>
      </c>
      <c r="B1144" s="5">
        <v>1137</v>
      </c>
      <c r="C1144">
        <v>13781</v>
      </c>
      <c r="D1144" t="s">
        <v>14933</v>
      </c>
      <c r="E1144" t="s">
        <v>188</v>
      </c>
      <c r="F1144" t="s">
        <v>117</v>
      </c>
      <c r="G1144" t="s">
        <v>20343</v>
      </c>
      <c r="H1144">
        <v>17.48</v>
      </c>
      <c r="I1144">
        <v>0</v>
      </c>
      <c r="J1144">
        <v>0</v>
      </c>
      <c r="K1144">
        <v>0</v>
      </c>
      <c r="L1144">
        <v>7</v>
      </c>
      <c r="O1144">
        <v>7</v>
      </c>
      <c r="P1144">
        <v>4</v>
      </c>
      <c r="Q1144">
        <v>2</v>
      </c>
      <c r="R1144">
        <v>30.48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F1144" t="s">
        <v>130</v>
      </c>
      <c r="AH1144">
        <v>30.48</v>
      </c>
    </row>
    <row r="1145" spans="1:34" x14ac:dyDescent="0.3">
      <c r="A1145" s="4">
        <v>1261</v>
      </c>
      <c r="B1145" s="5">
        <v>1138</v>
      </c>
      <c r="C1145">
        <v>3787</v>
      </c>
      <c r="D1145" t="s">
        <v>9797</v>
      </c>
      <c r="E1145" t="s">
        <v>3803</v>
      </c>
      <c r="F1145" t="s">
        <v>20</v>
      </c>
      <c r="G1145" t="s">
        <v>20344</v>
      </c>
      <c r="H1145">
        <v>18.3</v>
      </c>
      <c r="I1145">
        <v>0</v>
      </c>
      <c r="J1145">
        <v>0</v>
      </c>
      <c r="K1145">
        <v>0</v>
      </c>
      <c r="N1145">
        <v>3</v>
      </c>
      <c r="O1145">
        <v>3</v>
      </c>
      <c r="P1145">
        <v>4</v>
      </c>
      <c r="Q1145">
        <v>0</v>
      </c>
      <c r="R1145">
        <v>25.3</v>
      </c>
      <c r="S1145">
        <v>5</v>
      </c>
      <c r="T1145">
        <v>5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5</v>
      </c>
      <c r="AB1145">
        <v>0</v>
      </c>
      <c r="AC1145">
        <v>0</v>
      </c>
      <c r="AF1145" t="s">
        <v>130</v>
      </c>
      <c r="AH1145">
        <v>30.3</v>
      </c>
    </row>
    <row r="1146" spans="1:34" x14ac:dyDescent="0.3">
      <c r="A1146" s="4">
        <v>1262</v>
      </c>
      <c r="B1146" s="5">
        <v>1139</v>
      </c>
      <c r="C1146">
        <v>1747</v>
      </c>
      <c r="D1146" t="s">
        <v>20345</v>
      </c>
      <c r="E1146" t="s">
        <v>208</v>
      </c>
      <c r="F1146" t="s">
        <v>91</v>
      </c>
      <c r="G1146" t="s">
        <v>20346</v>
      </c>
      <c r="H1146">
        <v>18.28</v>
      </c>
      <c r="I1146">
        <v>0</v>
      </c>
      <c r="J1146">
        <v>0</v>
      </c>
      <c r="K1146">
        <v>0</v>
      </c>
      <c r="N1146">
        <v>3</v>
      </c>
      <c r="O1146">
        <v>3</v>
      </c>
      <c r="P1146">
        <v>4</v>
      </c>
      <c r="Q1146">
        <v>2</v>
      </c>
      <c r="R1146">
        <v>27.28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3</v>
      </c>
      <c r="AC1146">
        <v>0</v>
      </c>
      <c r="AD1146" t="s">
        <v>130</v>
      </c>
      <c r="AF1146" t="s">
        <v>130</v>
      </c>
      <c r="AH1146">
        <v>30.28</v>
      </c>
    </row>
    <row r="1147" spans="1:34" x14ac:dyDescent="0.3">
      <c r="A1147" s="4">
        <v>1263</v>
      </c>
      <c r="B1147" s="5">
        <v>1140</v>
      </c>
      <c r="C1147">
        <v>11178</v>
      </c>
      <c r="D1147" t="s">
        <v>20347</v>
      </c>
      <c r="E1147" t="s">
        <v>385</v>
      </c>
      <c r="F1147" t="s">
        <v>190</v>
      </c>
      <c r="G1147" t="s">
        <v>20348</v>
      </c>
      <c r="H1147">
        <v>20.18</v>
      </c>
      <c r="I1147">
        <v>0</v>
      </c>
      <c r="J1147">
        <v>0</v>
      </c>
      <c r="K1147">
        <v>0</v>
      </c>
      <c r="O1147">
        <v>0</v>
      </c>
      <c r="P1147">
        <v>4</v>
      </c>
      <c r="Q1147">
        <v>0</v>
      </c>
      <c r="R1147">
        <v>24.18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6</v>
      </c>
      <c r="AC1147">
        <v>0</v>
      </c>
      <c r="AF1147" t="s">
        <v>130</v>
      </c>
      <c r="AH1147">
        <v>30.18</v>
      </c>
    </row>
    <row r="1148" spans="1:34" x14ac:dyDescent="0.3">
      <c r="A1148" s="4">
        <v>1264</v>
      </c>
      <c r="B1148" s="5">
        <v>1141</v>
      </c>
      <c r="C1148">
        <v>11370</v>
      </c>
      <c r="D1148" t="s">
        <v>12670</v>
      </c>
      <c r="E1148" t="s">
        <v>6835</v>
      </c>
      <c r="F1148" t="s">
        <v>626</v>
      </c>
      <c r="G1148" t="s">
        <v>20349</v>
      </c>
      <c r="H1148">
        <v>18.13</v>
      </c>
      <c r="I1148">
        <v>0</v>
      </c>
      <c r="J1148">
        <v>0</v>
      </c>
      <c r="K1148">
        <v>0</v>
      </c>
      <c r="O1148">
        <v>0</v>
      </c>
      <c r="P1148">
        <v>4</v>
      </c>
      <c r="Q1148">
        <v>2</v>
      </c>
      <c r="R1148">
        <v>24.13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6</v>
      </c>
      <c r="AC1148">
        <v>0</v>
      </c>
      <c r="AF1148" t="s">
        <v>130</v>
      </c>
      <c r="AH1148">
        <v>30.13</v>
      </c>
    </row>
    <row r="1149" spans="1:34" x14ac:dyDescent="0.3">
      <c r="A1149" s="4">
        <v>1265</v>
      </c>
      <c r="B1149" s="5">
        <v>1142</v>
      </c>
      <c r="C1149">
        <v>6845</v>
      </c>
      <c r="D1149" t="s">
        <v>932</v>
      </c>
      <c r="E1149" t="s">
        <v>170</v>
      </c>
      <c r="F1149" t="s">
        <v>38</v>
      </c>
      <c r="G1149" t="s">
        <v>20350</v>
      </c>
      <c r="H1149">
        <v>19.13</v>
      </c>
      <c r="I1149">
        <v>0</v>
      </c>
      <c r="J1149">
        <v>0</v>
      </c>
      <c r="K1149">
        <v>0</v>
      </c>
      <c r="L1149">
        <v>7</v>
      </c>
      <c r="O1149">
        <v>7</v>
      </c>
      <c r="P1149">
        <v>4</v>
      </c>
      <c r="Q1149">
        <v>0</v>
      </c>
      <c r="R1149">
        <v>30.13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F1149" t="s">
        <v>130</v>
      </c>
      <c r="AH1149">
        <v>30.13</v>
      </c>
    </row>
    <row r="1150" spans="1:34" x14ac:dyDescent="0.3">
      <c r="A1150" s="4">
        <v>1266</v>
      </c>
      <c r="B1150" s="5">
        <v>1143</v>
      </c>
      <c r="C1150">
        <v>1669</v>
      </c>
      <c r="D1150" t="s">
        <v>20351</v>
      </c>
      <c r="E1150" t="s">
        <v>471</v>
      </c>
      <c r="F1150" t="s">
        <v>81</v>
      </c>
      <c r="G1150" t="s">
        <v>20352</v>
      </c>
      <c r="H1150">
        <v>17.100000000000001</v>
      </c>
      <c r="I1150">
        <v>0</v>
      </c>
      <c r="J1150">
        <v>0</v>
      </c>
      <c r="K1150">
        <v>0</v>
      </c>
      <c r="N1150">
        <v>3</v>
      </c>
      <c r="O1150">
        <v>3</v>
      </c>
      <c r="P1150">
        <v>4</v>
      </c>
      <c r="Q1150">
        <v>0</v>
      </c>
      <c r="R1150">
        <v>24.1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6</v>
      </c>
      <c r="AC1150">
        <v>0</v>
      </c>
      <c r="AF1150" t="s">
        <v>130</v>
      </c>
      <c r="AH1150">
        <v>30.1</v>
      </c>
    </row>
    <row r="1151" spans="1:34" x14ac:dyDescent="0.3">
      <c r="A1151" s="4">
        <v>1267</v>
      </c>
      <c r="B1151" s="5">
        <v>1144</v>
      </c>
      <c r="C1151">
        <v>14394</v>
      </c>
      <c r="D1151" t="s">
        <v>20353</v>
      </c>
      <c r="E1151" t="s">
        <v>563</v>
      </c>
      <c r="F1151" t="s">
        <v>68</v>
      </c>
      <c r="G1151" t="s">
        <v>20354</v>
      </c>
      <c r="H1151">
        <v>23.03</v>
      </c>
      <c r="I1151">
        <v>0</v>
      </c>
      <c r="J1151">
        <v>0</v>
      </c>
      <c r="K1151">
        <v>0</v>
      </c>
      <c r="O1151">
        <v>0</v>
      </c>
      <c r="P1151">
        <v>4</v>
      </c>
      <c r="Q1151">
        <v>0</v>
      </c>
      <c r="R1151">
        <v>27.03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3</v>
      </c>
      <c r="AC1151">
        <v>0</v>
      </c>
      <c r="AF1151" t="s">
        <v>130</v>
      </c>
      <c r="AH1151">
        <v>30.03</v>
      </c>
    </row>
    <row r="1152" spans="1:34" x14ac:dyDescent="0.3">
      <c r="A1152" s="4">
        <v>1268</v>
      </c>
      <c r="B1152" s="5">
        <v>1145</v>
      </c>
      <c r="C1152">
        <v>15301</v>
      </c>
      <c r="D1152" t="s">
        <v>4937</v>
      </c>
      <c r="E1152" t="s">
        <v>1953</v>
      </c>
      <c r="F1152" t="s">
        <v>2830</v>
      </c>
      <c r="G1152" t="s">
        <v>20355</v>
      </c>
      <c r="H1152">
        <v>20.03</v>
      </c>
      <c r="I1152">
        <v>0</v>
      </c>
      <c r="J1152">
        <v>0</v>
      </c>
      <c r="K1152">
        <v>0</v>
      </c>
      <c r="N1152">
        <v>3</v>
      </c>
      <c r="O1152">
        <v>3</v>
      </c>
      <c r="P1152">
        <v>4</v>
      </c>
      <c r="Q1152">
        <v>0</v>
      </c>
      <c r="R1152">
        <v>27.03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3</v>
      </c>
      <c r="AC1152">
        <v>0</v>
      </c>
      <c r="AF1152" t="s">
        <v>130</v>
      </c>
      <c r="AH1152">
        <v>30.03</v>
      </c>
    </row>
    <row r="1153" spans="1:34" x14ac:dyDescent="0.3">
      <c r="A1153" s="4">
        <v>1269</v>
      </c>
      <c r="B1153" s="5">
        <v>1146</v>
      </c>
      <c r="C1153">
        <v>15054</v>
      </c>
      <c r="D1153" t="s">
        <v>20356</v>
      </c>
      <c r="E1153" t="s">
        <v>41</v>
      </c>
      <c r="F1153" t="s">
        <v>5060</v>
      </c>
      <c r="G1153" t="s">
        <v>20357</v>
      </c>
      <c r="H1153">
        <v>18</v>
      </c>
      <c r="I1153">
        <v>0</v>
      </c>
      <c r="J1153">
        <v>0</v>
      </c>
      <c r="K1153">
        <v>0</v>
      </c>
      <c r="N1153">
        <v>3</v>
      </c>
      <c r="O1153">
        <v>3</v>
      </c>
      <c r="P1153">
        <v>4</v>
      </c>
      <c r="Q1153">
        <v>2</v>
      </c>
      <c r="R1153">
        <v>27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3</v>
      </c>
      <c r="AC1153">
        <v>0</v>
      </c>
      <c r="AF1153" t="s">
        <v>130</v>
      </c>
      <c r="AH1153">
        <v>30</v>
      </c>
    </row>
    <row r="1154" spans="1:34" x14ac:dyDescent="0.3">
      <c r="A1154" s="4">
        <v>1270</v>
      </c>
      <c r="B1154" s="5">
        <v>1147</v>
      </c>
      <c r="C1154">
        <v>10059</v>
      </c>
      <c r="D1154" t="s">
        <v>405</v>
      </c>
      <c r="E1154" t="s">
        <v>132</v>
      </c>
      <c r="F1154" t="s">
        <v>243</v>
      </c>
      <c r="G1154" t="s">
        <v>20358</v>
      </c>
      <c r="H1154">
        <v>17.93</v>
      </c>
      <c r="I1154">
        <v>0</v>
      </c>
      <c r="J1154">
        <v>0</v>
      </c>
      <c r="K1154">
        <v>0</v>
      </c>
      <c r="N1154">
        <v>6</v>
      </c>
      <c r="O1154">
        <v>6</v>
      </c>
      <c r="P1154">
        <v>4</v>
      </c>
      <c r="Q1154">
        <v>2</v>
      </c>
      <c r="R1154">
        <v>29.93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F1154" t="s">
        <v>130</v>
      </c>
      <c r="AH1154">
        <v>29.93</v>
      </c>
    </row>
    <row r="1155" spans="1:34" x14ac:dyDescent="0.3">
      <c r="A1155" s="4">
        <v>1271</v>
      </c>
      <c r="B1155" s="5">
        <v>1148</v>
      </c>
      <c r="C1155">
        <v>4592</v>
      </c>
      <c r="D1155" t="s">
        <v>20359</v>
      </c>
      <c r="E1155" t="s">
        <v>406</v>
      </c>
      <c r="F1155" t="s">
        <v>1526</v>
      </c>
      <c r="G1155" t="s">
        <v>20360</v>
      </c>
      <c r="H1155">
        <v>20.88</v>
      </c>
      <c r="I1155">
        <v>0</v>
      </c>
      <c r="J1155">
        <v>0</v>
      </c>
      <c r="K1155">
        <v>0</v>
      </c>
      <c r="N1155">
        <v>3</v>
      </c>
      <c r="O1155">
        <v>3</v>
      </c>
      <c r="P1155">
        <v>4</v>
      </c>
      <c r="Q1155">
        <v>2</v>
      </c>
      <c r="R1155">
        <v>29.88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F1155" t="s">
        <v>130</v>
      </c>
      <c r="AH1155">
        <v>29.88</v>
      </c>
    </row>
    <row r="1156" spans="1:34" x14ac:dyDescent="0.3">
      <c r="A1156" s="4">
        <v>1272</v>
      </c>
      <c r="B1156" s="5">
        <v>1149</v>
      </c>
      <c r="C1156">
        <v>4703</v>
      </c>
      <c r="D1156" t="s">
        <v>11708</v>
      </c>
      <c r="E1156" t="s">
        <v>173</v>
      </c>
      <c r="F1156" t="s">
        <v>91</v>
      </c>
      <c r="G1156" t="s">
        <v>20361</v>
      </c>
      <c r="H1156">
        <v>16.829999999999998</v>
      </c>
      <c r="I1156">
        <v>0</v>
      </c>
      <c r="J1156">
        <v>0</v>
      </c>
      <c r="K1156">
        <v>0</v>
      </c>
      <c r="L1156">
        <v>7</v>
      </c>
      <c r="O1156">
        <v>7</v>
      </c>
      <c r="P1156">
        <v>4</v>
      </c>
      <c r="Q1156">
        <v>2</v>
      </c>
      <c r="R1156">
        <v>29.83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F1156" t="s">
        <v>130</v>
      </c>
      <c r="AH1156">
        <v>29.83</v>
      </c>
    </row>
    <row r="1157" spans="1:34" x14ac:dyDescent="0.3">
      <c r="A1157" s="4">
        <v>1273</v>
      </c>
      <c r="B1157" s="5">
        <v>1150</v>
      </c>
      <c r="C1157">
        <v>12105</v>
      </c>
      <c r="D1157" t="s">
        <v>788</v>
      </c>
      <c r="E1157" t="s">
        <v>1508</v>
      </c>
      <c r="F1157" t="s">
        <v>117</v>
      </c>
      <c r="G1157" t="s">
        <v>20362</v>
      </c>
      <c r="H1157">
        <v>22.75</v>
      </c>
      <c r="I1157">
        <v>7</v>
      </c>
      <c r="J1157">
        <v>0</v>
      </c>
      <c r="K1157">
        <v>0</v>
      </c>
      <c r="O1157">
        <v>0</v>
      </c>
      <c r="P1157">
        <v>0</v>
      </c>
      <c r="Q1157">
        <v>0</v>
      </c>
      <c r="R1157">
        <v>29.75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F1157" t="s">
        <v>130</v>
      </c>
      <c r="AH1157">
        <v>29.75</v>
      </c>
    </row>
    <row r="1158" spans="1:34" x14ac:dyDescent="0.3">
      <c r="A1158" s="4">
        <v>1274</v>
      </c>
      <c r="B1158" s="5">
        <v>1151</v>
      </c>
      <c r="C1158">
        <v>7615</v>
      </c>
      <c r="D1158" t="s">
        <v>20363</v>
      </c>
      <c r="E1158" t="s">
        <v>33</v>
      </c>
      <c r="F1158" t="s">
        <v>81</v>
      </c>
      <c r="G1158" t="s">
        <v>20364</v>
      </c>
      <c r="H1158">
        <v>18.63</v>
      </c>
      <c r="I1158">
        <v>7</v>
      </c>
      <c r="J1158">
        <v>0</v>
      </c>
      <c r="K1158">
        <v>0</v>
      </c>
      <c r="O1158">
        <v>0</v>
      </c>
      <c r="P1158">
        <v>4</v>
      </c>
      <c r="Q1158">
        <v>0</v>
      </c>
      <c r="R1158">
        <v>29.63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F1158" t="s">
        <v>130</v>
      </c>
      <c r="AH1158">
        <v>29.63</v>
      </c>
    </row>
    <row r="1159" spans="1:34" x14ac:dyDescent="0.3">
      <c r="A1159" s="4">
        <v>1275</v>
      </c>
      <c r="B1159" s="5">
        <v>1152</v>
      </c>
      <c r="C1159">
        <v>3708</v>
      </c>
      <c r="D1159" t="s">
        <v>16497</v>
      </c>
      <c r="E1159" t="s">
        <v>29</v>
      </c>
      <c r="F1159" t="s">
        <v>38</v>
      </c>
      <c r="G1159" t="s">
        <v>20365</v>
      </c>
      <c r="H1159">
        <v>18.63</v>
      </c>
      <c r="I1159">
        <v>0</v>
      </c>
      <c r="J1159">
        <v>0</v>
      </c>
      <c r="K1159">
        <v>0</v>
      </c>
      <c r="O1159">
        <v>0</v>
      </c>
      <c r="P1159">
        <v>4</v>
      </c>
      <c r="Q1159">
        <v>2</v>
      </c>
      <c r="R1159">
        <v>24.63</v>
      </c>
      <c r="S1159">
        <v>5</v>
      </c>
      <c r="T1159">
        <v>5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5</v>
      </c>
      <c r="AB1159">
        <v>0</v>
      </c>
      <c r="AC1159">
        <v>0</v>
      </c>
      <c r="AD1159" t="s">
        <v>130</v>
      </c>
      <c r="AF1159" t="s">
        <v>130</v>
      </c>
      <c r="AH1159">
        <v>29.63</v>
      </c>
    </row>
    <row r="1160" spans="1:34" x14ac:dyDescent="0.3">
      <c r="A1160" s="4">
        <v>1276</v>
      </c>
      <c r="B1160" s="5">
        <v>1153</v>
      </c>
      <c r="C1160">
        <v>5683</v>
      </c>
      <c r="D1160" t="s">
        <v>20366</v>
      </c>
      <c r="E1160" t="s">
        <v>219</v>
      </c>
      <c r="F1160" t="s">
        <v>190</v>
      </c>
      <c r="G1160" t="s">
        <v>20367</v>
      </c>
      <c r="H1160">
        <v>17.5</v>
      </c>
      <c r="I1160">
        <v>0</v>
      </c>
      <c r="J1160">
        <v>0</v>
      </c>
      <c r="K1160">
        <v>0</v>
      </c>
      <c r="O1160">
        <v>0</v>
      </c>
      <c r="P1160">
        <v>4</v>
      </c>
      <c r="Q1160">
        <v>2</v>
      </c>
      <c r="R1160">
        <v>23.5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6</v>
      </c>
      <c r="AC1160">
        <v>0</v>
      </c>
      <c r="AF1160" t="s">
        <v>130</v>
      </c>
      <c r="AH1160">
        <v>29.5</v>
      </c>
    </row>
    <row r="1161" spans="1:34" x14ac:dyDescent="0.3">
      <c r="A1161" s="4">
        <v>1277</v>
      </c>
      <c r="B1161" s="5">
        <v>1154</v>
      </c>
      <c r="C1161">
        <v>10850</v>
      </c>
      <c r="D1161" t="s">
        <v>13687</v>
      </c>
      <c r="E1161" t="s">
        <v>692</v>
      </c>
      <c r="F1161" t="s">
        <v>243</v>
      </c>
      <c r="G1161" t="s">
        <v>20368</v>
      </c>
      <c r="H1161">
        <v>20.48</v>
      </c>
      <c r="I1161">
        <v>0</v>
      </c>
      <c r="J1161">
        <v>0</v>
      </c>
      <c r="K1161">
        <v>0</v>
      </c>
      <c r="N1161">
        <v>3</v>
      </c>
      <c r="O1161">
        <v>3</v>
      </c>
      <c r="P1161">
        <v>4</v>
      </c>
      <c r="Q1161">
        <v>2</v>
      </c>
      <c r="R1161">
        <v>29.48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F1161" t="s">
        <v>130</v>
      </c>
      <c r="AH1161">
        <v>29.48</v>
      </c>
    </row>
    <row r="1162" spans="1:34" x14ac:dyDescent="0.3">
      <c r="A1162" s="4">
        <v>1278</v>
      </c>
      <c r="B1162" s="5">
        <v>1155</v>
      </c>
      <c r="C1162">
        <v>10445</v>
      </c>
      <c r="D1162" t="s">
        <v>8800</v>
      </c>
      <c r="E1162" t="s">
        <v>41</v>
      </c>
      <c r="F1162" t="s">
        <v>243</v>
      </c>
      <c r="G1162" t="s">
        <v>20369</v>
      </c>
      <c r="H1162">
        <v>18.48</v>
      </c>
      <c r="I1162">
        <v>0</v>
      </c>
      <c r="J1162">
        <v>0</v>
      </c>
      <c r="K1162">
        <v>0</v>
      </c>
      <c r="L1162">
        <v>7</v>
      </c>
      <c r="O1162">
        <v>7</v>
      </c>
      <c r="P1162">
        <v>4</v>
      </c>
      <c r="Q1162">
        <v>0</v>
      </c>
      <c r="R1162">
        <v>29.48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F1162" t="s">
        <v>130</v>
      </c>
      <c r="AH1162">
        <v>29.48</v>
      </c>
    </row>
    <row r="1163" spans="1:34" x14ac:dyDescent="0.3">
      <c r="A1163" s="4">
        <v>1279</v>
      </c>
      <c r="B1163" s="5">
        <v>1156</v>
      </c>
      <c r="C1163">
        <v>7362</v>
      </c>
      <c r="D1163" t="s">
        <v>6604</v>
      </c>
      <c r="E1163" t="s">
        <v>54</v>
      </c>
      <c r="F1163" t="s">
        <v>91</v>
      </c>
      <c r="G1163" t="s">
        <v>20370</v>
      </c>
      <c r="H1163">
        <v>20.43</v>
      </c>
      <c r="I1163">
        <v>0</v>
      </c>
      <c r="J1163">
        <v>0</v>
      </c>
      <c r="K1163">
        <v>0</v>
      </c>
      <c r="O1163">
        <v>0</v>
      </c>
      <c r="P1163">
        <v>4</v>
      </c>
      <c r="Q1163">
        <v>2</v>
      </c>
      <c r="R1163">
        <v>26.43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3</v>
      </c>
      <c r="AC1163">
        <v>0</v>
      </c>
      <c r="AF1163" t="s">
        <v>130</v>
      </c>
      <c r="AH1163">
        <v>29.43</v>
      </c>
    </row>
    <row r="1164" spans="1:34" x14ac:dyDescent="0.3">
      <c r="A1164" s="4">
        <v>1280</v>
      </c>
      <c r="B1164" s="5">
        <v>1157</v>
      </c>
      <c r="C1164">
        <v>298</v>
      </c>
      <c r="D1164" t="s">
        <v>1271</v>
      </c>
      <c r="E1164" t="s">
        <v>100</v>
      </c>
      <c r="F1164" t="s">
        <v>457</v>
      </c>
      <c r="G1164" t="s">
        <v>20371</v>
      </c>
      <c r="H1164">
        <v>19.43</v>
      </c>
      <c r="I1164">
        <v>0</v>
      </c>
      <c r="J1164">
        <v>0</v>
      </c>
      <c r="K1164">
        <v>0</v>
      </c>
      <c r="N1164">
        <v>3</v>
      </c>
      <c r="O1164">
        <v>3</v>
      </c>
      <c r="P1164">
        <v>4</v>
      </c>
      <c r="Q1164">
        <v>0</v>
      </c>
      <c r="R1164">
        <v>26.43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3</v>
      </c>
      <c r="AC1164">
        <v>0</v>
      </c>
      <c r="AF1164" t="s">
        <v>130</v>
      </c>
      <c r="AH1164">
        <v>29.43</v>
      </c>
    </row>
    <row r="1165" spans="1:34" x14ac:dyDescent="0.3">
      <c r="A1165" s="4">
        <v>1281</v>
      </c>
      <c r="B1165" s="5">
        <v>1158</v>
      </c>
      <c r="C1165">
        <v>14517</v>
      </c>
      <c r="D1165" t="s">
        <v>20372</v>
      </c>
      <c r="E1165" t="s">
        <v>132</v>
      </c>
      <c r="F1165" t="s">
        <v>136</v>
      </c>
      <c r="G1165" t="s">
        <v>20373</v>
      </c>
      <c r="H1165">
        <v>19.399999999999999</v>
      </c>
      <c r="I1165">
        <v>0</v>
      </c>
      <c r="J1165">
        <v>0</v>
      </c>
      <c r="K1165">
        <v>0</v>
      </c>
      <c r="N1165">
        <v>3</v>
      </c>
      <c r="O1165">
        <v>3</v>
      </c>
      <c r="P1165">
        <v>4</v>
      </c>
      <c r="Q1165">
        <v>0</v>
      </c>
      <c r="R1165">
        <v>26.4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3</v>
      </c>
      <c r="AC1165">
        <v>0</v>
      </c>
      <c r="AF1165" t="s">
        <v>130</v>
      </c>
      <c r="AH1165">
        <v>29.4</v>
      </c>
    </row>
    <row r="1166" spans="1:34" x14ac:dyDescent="0.3">
      <c r="A1166" s="4">
        <v>1282</v>
      </c>
      <c r="B1166" s="5">
        <v>1159</v>
      </c>
      <c r="C1166">
        <v>1174</v>
      </c>
      <c r="D1166" t="s">
        <v>20374</v>
      </c>
      <c r="E1166" t="s">
        <v>29</v>
      </c>
      <c r="F1166" t="s">
        <v>117</v>
      </c>
      <c r="G1166" t="s">
        <v>20375</v>
      </c>
      <c r="H1166">
        <v>20.350000000000001</v>
      </c>
      <c r="I1166">
        <v>0</v>
      </c>
      <c r="J1166">
        <v>0</v>
      </c>
      <c r="K1166">
        <v>0</v>
      </c>
      <c r="L1166">
        <v>7</v>
      </c>
      <c r="O1166">
        <v>7</v>
      </c>
      <c r="P1166">
        <v>0</v>
      </c>
      <c r="Q1166">
        <v>2</v>
      </c>
      <c r="R1166">
        <v>29.35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F1166" t="s">
        <v>130</v>
      </c>
      <c r="AH1166">
        <v>29.35</v>
      </c>
    </row>
    <row r="1167" spans="1:34" x14ac:dyDescent="0.3">
      <c r="A1167" s="4">
        <v>1283</v>
      </c>
      <c r="B1167" s="5">
        <v>1160</v>
      </c>
      <c r="C1167">
        <v>85</v>
      </c>
      <c r="D1167" t="s">
        <v>20376</v>
      </c>
      <c r="E1167" t="s">
        <v>594</v>
      </c>
      <c r="F1167" t="s">
        <v>38</v>
      </c>
      <c r="G1167" t="s">
        <v>20377</v>
      </c>
      <c r="H1167">
        <v>17.3</v>
      </c>
      <c r="I1167">
        <v>0</v>
      </c>
      <c r="J1167">
        <v>0</v>
      </c>
      <c r="K1167">
        <v>0</v>
      </c>
      <c r="N1167">
        <v>3</v>
      </c>
      <c r="O1167">
        <v>3</v>
      </c>
      <c r="P1167">
        <v>4</v>
      </c>
      <c r="Q1167">
        <v>2</v>
      </c>
      <c r="R1167">
        <v>26.3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3</v>
      </c>
      <c r="AC1167">
        <v>0</v>
      </c>
      <c r="AF1167" t="s">
        <v>130</v>
      </c>
      <c r="AH1167">
        <v>29.3</v>
      </c>
    </row>
    <row r="1168" spans="1:34" x14ac:dyDescent="0.3">
      <c r="A1168" s="4">
        <v>1284</v>
      </c>
      <c r="B1168" s="5">
        <v>1161</v>
      </c>
      <c r="C1168">
        <v>6643</v>
      </c>
      <c r="D1168" t="s">
        <v>20378</v>
      </c>
      <c r="E1168" t="s">
        <v>273</v>
      </c>
      <c r="F1168" t="s">
        <v>52</v>
      </c>
      <c r="G1168" t="s">
        <v>20379</v>
      </c>
      <c r="H1168">
        <v>16.25</v>
      </c>
      <c r="I1168">
        <v>0</v>
      </c>
      <c r="J1168">
        <v>0</v>
      </c>
      <c r="K1168">
        <v>0</v>
      </c>
      <c r="N1168">
        <v>3</v>
      </c>
      <c r="O1168">
        <v>3</v>
      </c>
      <c r="P1168">
        <v>4</v>
      </c>
      <c r="Q1168">
        <v>0</v>
      </c>
      <c r="R1168">
        <v>23.25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6</v>
      </c>
      <c r="AC1168">
        <v>0</v>
      </c>
      <c r="AF1168" t="s">
        <v>130</v>
      </c>
      <c r="AH1168">
        <v>29.25</v>
      </c>
    </row>
    <row r="1169" spans="1:34" x14ac:dyDescent="0.3">
      <c r="A1169" s="4">
        <v>1285</v>
      </c>
      <c r="B1169" s="5">
        <v>1162</v>
      </c>
      <c r="C1169">
        <v>2041</v>
      </c>
      <c r="D1169" t="s">
        <v>20380</v>
      </c>
      <c r="E1169" t="s">
        <v>41</v>
      </c>
      <c r="F1169" t="s">
        <v>328</v>
      </c>
      <c r="G1169" t="s">
        <v>20381</v>
      </c>
      <c r="H1169">
        <v>20.25</v>
      </c>
      <c r="I1169">
        <v>0</v>
      </c>
      <c r="J1169">
        <v>0</v>
      </c>
      <c r="K1169">
        <v>0</v>
      </c>
      <c r="N1169">
        <v>3</v>
      </c>
      <c r="O1169">
        <v>3</v>
      </c>
      <c r="P1169">
        <v>4</v>
      </c>
      <c r="Q1169">
        <v>2</v>
      </c>
      <c r="R1169">
        <v>29.25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F1169" t="s">
        <v>130</v>
      </c>
      <c r="AH1169">
        <v>29.25</v>
      </c>
    </row>
    <row r="1170" spans="1:34" x14ac:dyDescent="0.3">
      <c r="A1170" s="4">
        <v>1286</v>
      </c>
      <c r="B1170" s="5">
        <v>1163</v>
      </c>
      <c r="C1170">
        <v>597</v>
      </c>
      <c r="D1170" t="s">
        <v>20382</v>
      </c>
      <c r="E1170" t="s">
        <v>29</v>
      </c>
      <c r="F1170" t="s">
        <v>68</v>
      </c>
      <c r="G1170" t="s">
        <v>20383</v>
      </c>
      <c r="H1170">
        <v>18.18</v>
      </c>
      <c r="I1170">
        <v>0</v>
      </c>
      <c r="J1170">
        <v>0</v>
      </c>
      <c r="K1170">
        <v>0</v>
      </c>
      <c r="L1170">
        <v>7</v>
      </c>
      <c r="O1170">
        <v>7</v>
      </c>
      <c r="P1170">
        <v>4</v>
      </c>
      <c r="Q1170">
        <v>0</v>
      </c>
      <c r="R1170">
        <v>29.18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F1170" t="s">
        <v>130</v>
      </c>
      <c r="AH1170">
        <v>29.18</v>
      </c>
    </row>
    <row r="1171" spans="1:34" x14ac:dyDescent="0.3">
      <c r="A1171" s="4">
        <v>1287</v>
      </c>
      <c r="B1171" s="5">
        <v>1164</v>
      </c>
      <c r="C1171">
        <v>3759</v>
      </c>
      <c r="D1171" t="s">
        <v>28</v>
      </c>
      <c r="E1171" t="s">
        <v>789</v>
      </c>
      <c r="F1171" t="s">
        <v>375</v>
      </c>
      <c r="G1171" t="s">
        <v>20384</v>
      </c>
      <c r="H1171">
        <v>18.149999999999999</v>
      </c>
      <c r="I1171">
        <v>0</v>
      </c>
      <c r="J1171">
        <v>0</v>
      </c>
      <c r="K1171">
        <v>0</v>
      </c>
      <c r="O1171">
        <v>0</v>
      </c>
      <c r="P1171">
        <v>4</v>
      </c>
      <c r="Q1171">
        <v>2</v>
      </c>
      <c r="R1171">
        <v>24.15</v>
      </c>
      <c r="S1171">
        <v>5</v>
      </c>
      <c r="T1171">
        <v>5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5</v>
      </c>
      <c r="AB1171">
        <v>0</v>
      </c>
      <c r="AC1171">
        <v>0</v>
      </c>
      <c r="AF1171" t="s">
        <v>130</v>
      </c>
      <c r="AH1171">
        <v>29.15</v>
      </c>
    </row>
    <row r="1172" spans="1:34" x14ac:dyDescent="0.3">
      <c r="A1172" s="4">
        <v>1288</v>
      </c>
      <c r="B1172" s="5">
        <v>1165</v>
      </c>
      <c r="C1172">
        <v>10258</v>
      </c>
      <c r="D1172" t="s">
        <v>959</v>
      </c>
      <c r="E1172" t="s">
        <v>1016</v>
      </c>
      <c r="F1172" t="s">
        <v>117</v>
      </c>
      <c r="G1172" t="s">
        <v>20385</v>
      </c>
      <c r="H1172">
        <v>18.03</v>
      </c>
      <c r="I1172">
        <v>0</v>
      </c>
      <c r="J1172">
        <v>0</v>
      </c>
      <c r="K1172">
        <v>0</v>
      </c>
      <c r="O1172">
        <v>0</v>
      </c>
      <c r="P1172">
        <v>4</v>
      </c>
      <c r="Q1172">
        <v>2</v>
      </c>
      <c r="R1172">
        <v>24.03</v>
      </c>
      <c r="S1172">
        <v>2</v>
      </c>
      <c r="T1172">
        <v>2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2</v>
      </c>
      <c r="AB1172">
        <v>3</v>
      </c>
      <c r="AC1172">
        <v>0</v>
      </c>
      <c r="AF1172" t="s">
        <v>130</v>
      </c>
      <c r="AH1172">
        <v>29.03</v>
      </c>
    </row>
    <row r="1173" spans="1:34" x14ac:dyDescent="0.3">
      <c r="A1173" s="4">
        <v>1289</v>
      </c>
      <c r="B1173" s="5">
        <v>1166</v>
      </c>
      <c r="C1173">
        <v>4163</v>
      </c>
      <c r="D1173" t="s">
        <v>3508</v>
      </c>
      <c r="E1173" t="s">
        <v>188</v>
      </c>
      <c r="F1173" t="s">
        <v>91</v>
      </c>
      <c r="G1173" t="s">
        <v>20386</v>
      </c>
      <c r="H1173">
        <v>17</v>
      </c>
      <c r="I1173">
        <v>0</v>
      </c>
      <c r="J1173">
        <v>0</v>
      </c>
      <c r="K1173">
        <v>0</v>
      </c>
      <c r="O1173">
        <v>0</v>
      </c>
      <c r="P1173">
        <v>4</v>
      </c>
      <c r="Q1173">
        <v>2</v>
      </c>
      <c r="R1173">
        <v>23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6</v>
      </c>
      <c r="AC1173">
        <v>0</v>
      </c>
      <c r="AF1173" t="s">
        <v>130</v>
      </c>
      <c r="AH1173">
        <v>29</v>
      </c>
    </row>
    <row r="1174" spans="1:34" x14ac:dyDescent="0.3">
      <c r="A1174" s="4">
        <v>1290</v>
      </c>
      <c r="B1174" s="5">
        <v>1167</v>
      </c>
      <c r="C1174">
        <v>7842</v>
      </c>
      <c r="D1174" t="s">
        <v>20387</v>
      </c>
      <c r="E1174" t="s">
        <v>166</v>
      </c>
      <c r="F1174" t="s">
        <v>38</v>
      </c>
      <c r="G1174" t="s">
        <v>20388</v>
      </c>
      <c r="H1174">
        <v>18</v>
      </c>
      <c r="I1174">
        <v>0</v>
      </c>
      <c r="J1174">
        <v>0</v>
      </c>
      <c r="K1174">
        <v>0</v>
      </c>
      <c r="O1174">
        <v>0</v>
      </c>
      <c r="P1174">
        <v>4</v>
      </c>
      <c r="Q1174">
        <v>2</v>
      </c>
      <c r="R1174">
        <v>24</v>
      </c>
      <c r="S1174">
        <v>5</v>
      </c>
      <c r="T1174">
        <v>5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5</v>
      </c>
      <c r="AB1174">
        <v>0</v>
      </c>
      <c r="AC1174">
        <v>0</v>
      </c>
      <c r="AF1174" t="s">
        <v>130</v>
      </c>
      <c r="AH1174">
        <v>29</v>
      </c>
    </row>
    <row r="1175" spans="1:34" x14ac:dyDescent="0.3">
      <c r="A1175" s="4">
        <v>1291</v>
      </c>
      <c r="B1175" s="5">
        <v>1168</v>
      </c>
      <c r="C1175">
        <v>11195</v>
      </c>
      <c r="D1175" t="s">
        <v>2980</v>
      </c>
      <c r="E1175" t="s">
        <v>789</v>
      </c>
      <c r="F1175" t="s">
        <v>38</v>
      </c>
      <c r="G1175" t="s">
        <v>20389</v>
      </c>
      <c r="H1175">
        <v>17.98</v>
      </c>
      <c r="I1175">
        <v>0</v>
      </c>
      <c r="J1175">
        <v>0</v>
      </c>
      <c r="K1175">
        <v>0</v>
      </c>
      <c r="M1175">
        <v>5</v>
      </c>
      <c r="O1175">
        <v>5</v>
      </c>
      <c r="P1175">
        <v>4</v>
      </c>
      <c r="Q1175">
        <v>2</v>
      </c>
      <c r="R1175">
        <v>28.98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F1175" t="s">
        <v>130</v>
      </c>
      <c r="AH1175">
        <v>28.98</v>
      </c>
    </row>
    <row r="1176" spans="1:34" x14ac:dyDescent="0.3">
      <c r="A1176" s="4">
        <v>1292</v>
      </c>
      <c r="B1176" s="5">
        <v>1169</v>
      </c>
      <c r="C1176">
        <v>13515</v>
      </c>
      <c r="D1176" t="s">
        <v>20390</v>
      </c>
      <c r="E1176" t="s">
        <v>143</v>
      </c>
      <c r="F1176" t="s">
        <v>81</v>
      </c>
      <c r="G1176" t="s">
        <v>20391</v>
      </c>
      <c r="H1176">
        <v>17.899999999999999</v>
      </c>
      <c r="I1176">
        <v>0</v>
      </c>
      <c r="J1176">
        <v>0</v>
      </c>
      <c r="K1176">
        <v>0</v>
      </c>
      <c r="N1176">
        <v>3</v>
      </c>
      <c r="O1176">
        <v>3</v>
      </c>
      <c r="P1176">
        <v>4</v>
      </c>
      <c r="Q1176">
        <v>0</v>
      </c>
      <c r="R1176">
        <v>24.9</v>
      </c>
      <c r="S1176">
        <v>4</v>
      </c>
      <c r="T1176">
        <v>4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4</v>
      </c>
      <c r="AB1176">
        <v>0</v>
      </c>
      <c r="AC1176">
        <v>0</v>
      </c>
      <c r="AF1176" t="s">
        <v>130</v>
      </c>
      <c r="AH1176">
        <v>28.9</v>
      </c>
    </row>
    <row r="1177" spans="1:34" x14ac:dyDescent="0.3">
      <c r="A1177" s="4">
        <v>1293</v>
      </c>
      <c r="B1177" s="5">
        <v>1170</v>
      </c>
      <c r="C1177">
        <v>7165</v>
      </c>
      <c r="D1177" t="s">
        <v>20392</v>
      </c>
      <c r="E1177" t="s">
        <v>20393</v>
      </c>
      <c r="F1177" t="s">
        <v>20394</v>
      </c>
      <c r="G1177" t="s">
        <v>20395</v>
      </c>
      <c r="H1177">
        <v>19.88</v>
      </c>
      <c r="I1177">
        <v>0</v>
      </c>
      <c r="J1177">
        <v>0</v>
      </c>
      <c r="K1177">
        <v>0</v>
      </c>
      <c r="O1177">
        <v>0</v>
      </c>
      <c r="P1177">
        <v>4</v>
      </c>
      <c r="Q1177">
        <v>2</v>
      </c>
      <c r="R1177">
        <v>25.88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3</v>
      </c>
      <c r="AC1177">
        <v>0</v>
      </c>
      <c r="AF1177" t="s">
        <v>130</v>
      </c>
      <c r="AH1177">
        <v>28.88</v>
      </c>
    </row>
    <row r="1178" spans="1:34" x14ac:dyDescent="0.3">
      <c r="A1178" s="4">
        <v>1294</v>
      </c>
      <c r="B1178" s="5">
        <v>1171</v>
      </c>
      <c r="C1178">
        <v>6684</v>
      </c>
      <c r="D1178" t="s">
        <v>20396</v>
      </c>
      <c r="E1178" t="s">
        <v>54</v>
      </c>
      <c r="F1178" t="s">
        <v>136</v>
      </c>
      <c r="G1178" t="s">
        <v>20397</v>
      </c>
      <c r="H1178">
        <v>18.78</v>
      </c>
      <c r="I1178">
        <v>0</v>
      </c>
      <c r="J1178">
        <v>0</v>
      </c>
      <c r="K1178">
        <v>0</v>
      </c>
      <c r="N1178">
        <v>3</v>
      </c>
      <c r="O1178">
        <v>3</v>
      </c>
      <c r="P1178">
        <v>4</v>
      </c>
      <c r="Q1178">
        <v>0</v>
      </c>
      <c r="R1178">
        <v>25.78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3</v>
      </c>
      <c r="AC1178">
        <v>0</v>
      </c>
      <c r="AF1178" t="s">
        <v>130</v>
      </c>
      <c r="AH1178">
        <v>28.78</v>
      </c>
    </row>
    <row r="1179" spans="1:34" x14ac:dyDescent="0.3">
      <c r="A1179" s="4">
        <v>1295</v>
      </c>
      <c r="B1179" s="5">
        <v>1172</v>
      </c>
      <c r="C1179">
        <v>10169</v>
      </c>
      <c r="D1179" t="s">
        <v>20398</v>
      </c>
      <c r="E1179" t="s">
        <v>20399</v>
      </c>
      <c r="F1179" t="s">
        <v>117</v>
      </c>
      <c r="G1179" t="s">
        <v>20400</v>
      </c>
      <c r="H1179">
        <v>17.75</v>
      </c>
      <c r="I1179">
        <v>0</v>
      </c>
      <c r="J1179">
        <v>0</v>
      </c>
      <c r="K1179">
        <v>0</v>
      </c>
      <c r="L1179">
        <v>7</v>
      </c>
      <c r="O1179">
        <v>7</v>
      </c>
      <c r="P1179">
        <v>4</v>
      </c>
      <c r="Q1179">
        <v>0</v>
      </c>
      <c r="R1179">
        <v>28.75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F1179" t="s">
        <v>130</v>
      </c>
      <c r="AH1179">
        <v>28.75</v>
      </c>
    </row>
    <row r="1180" spans="1:34" x14ac:dyDescent="0.3">
      <c r="A1180" s="4">
        <v>1296</v>
      </c>
      <c r="B1180" s="5">
        <v>1173</v>
      </c>
      <c r="C1180">
        <v>3437</v>
      </c>
      <c r="D1180" t="s">
        <v>161</v>
      </c>
      <c r="E1180" t="s">
        <v>100</v>
      </c>
      <c r="F1180" t="s">
        <v>539</v>
      </c>
      <c r="G1180" t="s">
        <v>20401</v>
      </c>
      <c r="H1180">
        <v>17.75</v>
      </c>
      <c r="I1180">
        <v>0</v>
      </c>
      <c r="J1180">
        <v>0</v>
      </c>
      <c r="K1180">
        <v>0</v>
      </c>
      <c r="L1180">
        <v>7</v>
      </c>
      <c r="O1180">
        <v>7</v>
      </c>
      <c r="P1180">
        <v>4</v>
      </c>
      <c r="Q1180">
        <v>0</v>
      </c>
      <c r="R1180">
        <v>28.75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F1180" t="s">
        <v>130</v>
      </c>
      <c r="AH1180">
        <v>28.75</v>
      </c>
    </row>
    <row r="1181" spans="1:34" x14ac:dyDescent="0.3">
      <c r="A1181" s="4">
        <v>1297</v>
      </c>
      <c r="B1181" s="5">
        <v>1174</v>
      </c>
      <c r="C1181">
        <v>13988</v>
      </c>
      <c r="D1181" t="s">
        <v>20402</v>
      </c>
      <c r="E1181" t="s">
        <v>283</v>
      </c>
      <c r="F1181" t="s">
        <v>3516</v>
      </c>
      <c r="G1181" t="s">
        <v>20403</v>
      </c>
      <c r="H1181">
        <v>18.68</v>
      </c>
      <c r="I1181">
        <v>0</v>
      </c>
      <c r="J1181">
        <v>0</v>
      </c>
      <c r="K1181">
        <v>0</v>
      </c>
      <c r="N1181">
        <v>3</v>
      </c>
      <c r="O1181">
        <v>3</v>
      </c>
      <c r="P1181">
        <v>4</v>
      </c>
      <c r="Q1181">
        <v>0</v>
      </c>
      <c r="R1181">
        <v>25.68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3</v>
      </c>
      <c r="AC1181">
        <v>0</v>
      </c>
      <c r="AF1181" t="s">
        <v>130</v>
      </c>
      <c r="AH1181">
        <v>28.68</v>
      </c>
    </row>
    <row r="1182" spans="1:34" x14ac:dyDescent="0.3">
      <c r="A1182" s="4">
        <v>1298</v>
      </c>
      <c r="B1182" s="5">
        <v>1175</v>
      </c>
      <c r="C1182">
        <v>1982</v>
      </c>
      <c r="D1182" t="s">
        <v>19621</v>
      </c>
      <c r="E1182" t="s">
        <v>5311</v>
      </c>
      <c r="F1182" t="s">
        <v>1023</v>
      </c>
      <c r="G1182" t="s">
        <v>20404</v>
      </c>
      <c r="H1182">
        <v>19.649999999999999</v>
      </c>
      <c r="I1182">
        <v>0</v>
      </c>
      <c r="J1182">
        <v>0</v>
      </c>
      <c r="K1182">
        <v>0</v>
      </c>
      <c r="L1182">
        <v>7</v>
      </c>
      <c r="O1182">
        <v>7</v>
      </c>
      <c r="P1182">
        <v>0</v>
      </c>
      <c r="Q1182">
        <v>2</v>
      </c>
      <c r="R1182">
        <v>28.65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F1182" t="s">
        <v>130</v>
      </c>
      <c r="AH1182">
        <v>28.65</v>
      </c>
    </row>
    <row r="1183" spans="1:34" x14ac:dyDescent="0.3">
      <c r="A1183" s="4">
        <v>1299</v>
      </c>
      <c r="B1183" s="5">
        <v>1176</v>
      </c>
      <c r="C1183">
        <v>13534</v>
      </c>
      <c r="D1183" t="s">
        <v>5306</v>
      </c>
      <c r="E1183" t="s">
        <v>100</v>
      </c>
      <c r="F1183" t="s">
        <v>3705</v>
      </c>
      <c r="G1183" t="s">
        <v>20405</v>
      </c>
      <c r="H1183">
        <v>17.63</v>
      </c>
      <c r="I1183">
        <v>0</v>
      </c>
      <c r="J1183">
        <v>0</v>
      </c>
      <c r="K1183">
        <v>0</v>
      </c>
      <c r="L1183">
        <v>7</v>
      </c>
      <c r="O1183">
        <v>7</v>
      </c>
      <c r="P1183">
        <v>4</v>
      </c>
      <c r="Q1183">
        <v>0</v>
      </c>
      <c r="R1183">
        <v>28.63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F1183" t="s">
        <v>130</v>
      </c>
      <c r="AH1183">
        <v>28.63</v>
      </c>
    </row>
    <row r="1184" spans="1:34" x14ac:dyDescent="0.3">
      <c r="A1184" s="4">
        <v>1300</v>
      </c>
      <c r="B1184" s="5">
        <v>1177</v>
      </c>
      <c r="C1184">
        <v>1370</v>
      </c>
      <c r="D1184" t="s">
        <v>6215</v>
      </c>
      <c r="E1184" t="s">
        <v>37</v>
      </c>
      <c r="F1184" t="s">
        <v>81</v>
      </c>
      <c r="G1184" t="s">
        <v>20406</v>
      </c>
      <c r="H1184">
        <v>17.53</v>
      </c>
      <c r="I1184">
        <v>0</v>
      </c>
      <c r="J1184">
        <v>0</v>
      </c>
      <c r="K1184">
        <v>0</v>
      </c>
      <c r="L1184">
        <v>7</v>
      </c>
      <c r="O1184">
        <v>7</v>
      </c>
      <c r="P1184">
        <v>4</v>
      </c>
      <c r="Q1184">
        <v>0</v>
      </c>
      <c r="R1184">
        <v>28.53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F1184" t="s">
        <v>130</v>
      </c>
      <c r="AH1184">
        <v>28.53</v>
      </c>
    </row>
    <row r="1185" spans="1:34" x14ac:dyDescent="0.3">
      <c r="A1185" s="4">
        <v>1301</v>
      </c>
      <c r="B1185" s="5">
        <v>1178</v>
      </c>
      <c r="C1185">
        <v>7734</v>
      </c>
      <c r="D1185" t="s">
        <v>20407</v>
      </c>
      <c r="E1185" t="s">
        <v>20408</v>
      </c>
      <c r="F1185" t="s">
        <v>20</v>
      </c>
      <c r="G1185" t="s">
        <v>20409</v>
      </c>
      <c r="H1185">
        <v>19.43</v>
      </c>
      <c r="I1185">
        <v>0</v>
      </c>
      <c r="J1185">
        <v>0</v>
      </c>
      <c r="K1185">
        <v>0</v>
      </c>
      <c r="N1185">
        <v>3</v>
      </c>
      <c r="O1185">
        <v>3</v>
      </c>
      <c r="P1185">
        <v>4</v>
      </c>
      <c r="Q1185">
        <v>2</v>
      </c>
      <c r="R1185">
        <v>28.43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F1185" t="s">
        <v>130</v>
      </c>
      <c r="AH1185">
        <v>28.43</v>
      </c>
    </row>
    <row r="1186" spans="1:34" x14ac:dyDescent="0.3">
      <c r="A1186" s="4">
        <v>1302</v>
      </c>
      <c r="B1186" s="5">
        <v>1179</v>
      </c>
      <c r="C1186">
        <v>10554</v>
      </c>
      <c r="D1186" t="s">
        <v>20410</v>
      </c>
      <c r="E1186" t="s">
        <v>208</v>
      </c>
      <c r="F1186" t="s">
        <v>136</v>
      </c>
      <c r="G1186" t="s">
        <v>20411</v>
      </c>
      <c r="H1186">
        <v>18.399999999999999</v>
      </c>
      <c r="I1186">
        <v>0</v>
      </c>
      <c r="J1186">
        <v>0</v>
      </c>
      <c r="K1186">
        <v>0</v>
      </c>
      <c r="N1186">
        <v>3</v>
      </c>
      <c r="O1186">
        <v>3</v>
      </c>
      <c r="P1186">
        <v>4</v>
      </c>
      <c r="Q1186">
        <v>0</v>
      </c>
      <c r="R1186">
        <v>25.4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3</v>
      </c>
      <c r="AC1186">
        <v>0</v>
      </c>
      <c r="AF1186" t="s">
        <v>130</v>
      </c>
      <c r="AH1186">
        <v>28.4</v>
      </c>
    </row>
    <row r="1187" spans="1:34" x14ac:dyDescent="0.3">
      <c r="A1187" s="4">
        <v>1303</v>
      </c>
      <c r="B1187" s="5">
        <v>1180</v>
      </c>
      <c r="C1187">
        <v>2308</v>
      </c>
      <c r="D1187" t="s">
        <v>20412</v>
      </c>
      <c r="E1187" t="s">
        <v>54</v>
      </c>
      <c r="F1187" t="s">
        <v>343</v>
      </c>
      <c r="G1187" t="s">
        <v>20413</v>
      </c>
      <c r="H1187">
        <v>16.2</v>
      </c>
      <c r="I1187">
        <v>0</v>
      </c>
      <c r="J1187">
        <v>0</v>
      </c>
      <c r="K1187">
        <v>0</v>
      </c>
      <c r="O1187">
        <v>0</v>
      </c>
      <c r="P1187">
        <v>4</v>
      </c>
      <c r="Q1187">
        <v>2</v>
      </c>
      <c r="R1187">
        <v>22.2</v>
      </c>
      <c r="S1187">
        <v>6</v>
      </c>
      <c r="T1187">
        <v>6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6</v>
      </c>
      <c r="AB1187">
        <v>0</v>
      </c>
      <c r="AC1187">
        <v>0</v>
      </c>
      <c r="AF1187" t="s">
        <v>130</v>
      </c>
      <c r="AH1187">
        <v>28.2</v>
      </c>
    </row>
    <row r="1188" spans="1:34" x14ac:dyDescent="0.3">
      <c r="A1188" s="4">
        <v>1304</v>
      </c>
      <c r="B1188" s="5">
        <v>1181</v>
      </c>
      <c r="C1188">
        <v>12200</v>
      </c>
      <c r="D1188" t="s">
        <v>6377</v>
      </c>
      <c r="E1188" t="s">
        <v>648</v>
      </c>
      <c r="F1188" t="s">
        <v>570</v>
      </c>
      <c r="G1188" t="s">
        <v>20414</v>
      </c>
      <c r="H1188">
        <v>19.18</v>
      </c>
      <c r="I1188">
        <v>0</v>
      </c>
      <c r="J1188">
        <v>0</v>
      </c>
      <c r="K1188">
        <v>0</v>
      </c>
      <c r="N1188">
        <v>3</v>
      </c>
      <c r="O1188">
        <v>3</v>
      </c>
      <c r="P1188">
        <v>4</v>
      </c>
      <c r="Q1188">
        <v>2</v>
      </c>
      <c r="R1188">
        <v>28.18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F1188" t="s">
        <v>130</v>
      </c>
      <c r="AH1188">
        <v>28.18</v>
      </c>
    </row>
    <row r="1189" spans="1:34" x14ac:dyDescent="0.3">
      <c r="A1189" s="4">
        <v>1305</v>
      </c>
      <c r="B1189" s="5">
        <v>1182</v>
      </c>
      <c r="C1189">
        <v>11985</v>
      </c>
      <c r="D1189" t="s">
        <v>3290</v>
      </c>
      <c r="E1189" t="s">
        <v>161</v>
      </c>
      <c r="F1189" t="s">
        <v>81</v>
      </c>
      <c r="G1189" t="s">
        <v>20415</v>
      </c>
      <c r="H1189">
        <v>17.95</v>
      </c>
      <c r="I1189">
        <v>0</v>
      </c>
      <c r="J1189">
        <v>0</v>
      </c>
      <c r="K1189">
        <v>0</v>
      </c>
      <c r="O1189">
        <v>0</v>
      </c>
      <c r="P1189">
        <v>4</v>
      </c>
      <c r="Q1189">
        <v>0</v>
      </c>
      <c r="R1189">
        <v>21.95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6</v>
      </c>
      <c r="AC1189">
        <v>0</v>
      </c>
      <c r="AF1189" t="s">
        <v>130</v>
      </c>
      <c r="AH1189">
        <v>27.95</v>
      </c>
    </row>
    <row r="1190" spans="1:34" x14ac:dyDescent="0.3">
      <c r="A1190" s="4">
        <v>1306</v>
      </c>
      <c r="B1190" s="5">
        <v>1183</v>
      </c>
      <c r="C1190">
        <v>10526</v>
      </c>
      <c r="D1190" t="s">
        <v>3423</v>
      </c>
      <c r="E1190" t="s">
        <v>20416</v>
      </c>
      <c r="F1190" t="s">
        <v>343</v>
      </c>
      <c r="G1190" t="s">
        <v>20417</v>
      </c>
      <c r="H1190">
        <v>17.88</v>
      </c>
      <c r="I1190">
        <v>0</v>
      </c>
      <c r="J1190">
        <v>0</v>
      </c>
      <c r="K1190">
        <v>0</v>
      </c>
      <c r="N1190">
        <v>3</v>
      </c>
      <c r="O1190">
        <v>3</v>
      </c>
      <c r="P1190">
        <v>4</v>
      </c>
      <c r="Q1190">
        <v>0</v>
      </c>
      <c r="R1190">
        <v>24.88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3</v>
      </c>
      <c r="AC1190">
        <v>0</v>
      </c>
      <c r="AF1190" t="s">
        <v>130</v>
      </c>
      <c r="AH1190">
        <v>27.88</v>
      </c>
    </row>
    <row r="1191" spans="1:34" x14ac:dyDescent="0.3">
      <c r="A1191" s="4">
        <v>1307</v>
      </c>
      <c r="B1191" s="5">
        <v>1184</v>
      </c>
      <c r="C1191">
        <v>5500</v>
      </c>
      <c r="D1191" t="s">
        <v>17778</v>
      </c>
      <c r="E1191" t="s">
        <v>173</v>
      </c>
      <c r="F1191" t="s">
        <v>17</v>
      </c>
      <c r="G1191" t="s">
        <v>20418</v>
      </c>
      <c r="H1191">
        <v>17.850000000000001</v>
      </c>
      <c r="I1191">
        <v>0</v>
      </c>
      <c r="J1191">
        <v>0</v>
      </c>
      <c r="K1191">
        <v>0</v>
      </c>
      <c r="O1191">
        <v>0</v>
      </c>
      <c r="P1191">
        <v>4</v>
      </c>
      <c r="Q1191">
        <v>0</v>
      </c>
      <c r="R1191">
        <v>21.85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6</v>
      </c>
      <c r="AC1191">
        <v>0</v>
      </c>
      <c r="AF1191" t="s">
        <v>130</v>
      </c>
      <c r="AH1191">
        <v>27.85</v>
      </c>
    </row>
    <row r="1192" spans="1:34" x14ac:dyDescent="0.3">
      <c r="A1192" s="4">
        <v>1308</v>
      </c>
      <c r="B1192" s="5">
        <v>1185</v>
      </c>
      <c r="C1192">
        <v>5988</v>
      </c>
      <c r="D1192" t="s">
        <v>8266</v>
      </c>
      <c r="E1192" t="s">
        <v>26</v>
      </c>
      <c r="F1192" t="s">
        <v>136</v>
      </c>
      <c r="G1192" t="s">
        <v>20419</v>
      </c>
      <c r="H1192">
        <v>17.8</v>
      </c>
      <c r="I1192">
        <v>0</v>
      </c>
      <c r="J1192">
        <v>0</v>
      </c>
      <c r="K1192">
        <v>0</v>
      </c>
      <c r="N1192">
        <v>3</v>
      </c>
      <c r="O1192">
        <v>3</v>
      </c>
      <c r="P1192">
        <v>4</v>
      </c>
      <c r="Q1192">
        <v>0</v>
      </c>
      <c r="R1192">
        <v>24.8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3</v>
      </c>
      <c r="AC1192">
        <v>0</v>
      </c>
      <c r="AF1192" t="s">
        <v>130</v>
      </c>
      <c r="AH1192">
        <v>27.8</v>
      </c>
    </row>
    <row r="1193" spans="1:34" x14ac:dyDescent="0.3">
      <c r="A1193" s="4">
        <v>1309</v>
      </c>
      <c r="B1193" s="5">
        <v>1186</v>
      </c>
      <c r="C1193">
        <v>9955</v>
      </c>
      <c r="D1193" t="s">
        <v>18687</v>
      </c>
      <c r="E1193" t="s">
        <v>5776</v>
      </c>
      <c r="F1193" t="s">
        <v>20</v>
      </c>
      <c r="G1193" t="s">
        <v>20420</v>
      </c>
      <c r="H1193">
        <v>20.8</v>
      </c>
      <c r="I1193">
        <v>0</v>
      </c>
      <c r="J1193">
        <v>0</v>
      </c>
      <c r="K1193">
        <v>0</v>
      </c>
      <c r="N1193">
        <v>3</v>
      </c>
      <c r="O1193">
        <v>3</v>
      </c>
      <c r="P1193">
        <v>4</v>
      </c>
      <c r="Q1193">
        <v>0</v>
      </c>
      <c r="R1193">
        <v>27.8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F1193" t="s">
        <v>130</v>
      </c>
      <c r="AH1193">
        <v>27.8</v>
      </c>
    </row>
    <row r="1194" spans="1:34" x14ac:dyDescent="0.3">
      <c r="A1194" s="4">
        <v>1310</v>
      </c>
      <c r="B1194" s="5">
        <v>1187</v>
      </c>
      <c r="C1194">
        <v>15193</v>
      </c>
      <c r="D1194" t="s">
        <v>20421</v>
      </c>
      <c r="E1194" t="s">
        <v>208</v>
      </c>
      <c r="F1194" t="s">
        <v>20</v>
      </c>
      <c r="G1194" t="s">
        <v>20422</v>
      </c>
      <c r="H1194">
        <v>18.73</v>
      </c>
      <c r="I1194">
        <v>0</v>
      </c>
      <c r="J1194">
        <v>0</v>
      </c>
      <c r="K1194">
        <v>0</v>
      </c>
      <c r="N1194">
        <v>3</v>
      </c>
      <c r="O1194">
        <v>3</v>
      </c>
      <c r="P1194">
        <v>4</v>
      </c>
      <c r="Q1194">
        <v>2</v>
      </c>
      <c r="R1194">
        <v>27.73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F1194" t="s">
        <v>130</v>
      </c>
      <c r="AH1194">
        <v>27.73</v>
      </c>
    </row>
    <row r="1195" spans="1:34" x14ac:dyDescent="0.3">
      <c r="A1195" s="4">
        <v>1311</v>
      </c>
      <c r="B1195" s="5">
        <v>1188</v>
      </c>
      <c r="C1195">
        <v>3899</v>
      </c>
      <c r="D1195" t="s">
        <v>7881</v>
      </c>
      <c r="E1195" t="s">
        <v>5101</v>
      </c>
      <c r="F1195" t="s">
        <v>442</v>
      </c>
      <c r="G1195" t="s">
        <v>20423</v>
      </c>
      <c r="H1195">
        <v>18.7</v>
      </c>
      <c r="I1195">
        <v>0</v>
      </c>
      <c r="J1195">
        <v>0</v>
      </c>
      <c r="K1195">
        <v>0</v>
      </c>
      <c r="N1195">
        <v>3</v>
      </c>
      <c r="O1195">
        <v>3</v>
      </c>
      <c r="P1195">
        <v>4</v>
      </c>
      <c r="Q1195">
        <v>2</v>
      </c>
      <c r="R1195">
        <v>27.7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F1195" t="s">
        <v>130</v>
      </c>
      <c r="AH1195">
        <v>27.7</v>
      </c>
    </row>
    <row r="1196" spans="1:34" x14ac:dyDescent="0.3">
      <c r="A1196" s="4">
        <v>1312</v>
      </c>
      <c r="B1196" s="5">
        <v>1189</v>
      </c>
      <c r="C1196">
        <v>11107</v>
      </c>
      <c r="D1196" t="s">
        <v>3430</v>
      </c>
      <c r="E1196" t="s">
        <v>692</v>
      </c>
      <c r="F1196" t="s">
        <v>38</v>
      </c>
      <c r="G1196" t="s">
        <v>20424</v>
      </c>
      <c r="H1196">
        <v>18.7</v>
      </c>
      <c r="I1196">
        <v>0</v>
      </c>
      <c r="J1196">
        <v>0</v>
      </c>
      <c r="K1196">
        <v>0</v>
      </c>
      <c r="N1196">
        <v>3</v>
      </c>
      <c r="O1196">
        <v>3</v>
      </c>
      <c r="P1196">
        <v>4</v>
      </c>
      <c r="Q1196">
        <v>2</v>
      </c>
      <c r="R1196">
        <v>27.7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F1196" t="s">
        <v>130</v>
      </c>
      <c r="AH1196">
        <v>27.7</v>
      </c>
    </row>
    <row r="1197" spans="1:34" x14ac:dyDescent="0.3">
      <c r="A1197" s="4">
        <v>1313</v>
      </c>
      <c r="B1197" s="5">
        <v>1190</v>
      </c>
      <c r="C1197">
        <v>8774</v>
      </c>
      <c r="D1197" t="s">
        <v>20425</v>
      </c>
      <c r="E1197" t="s">
        <v>41</v>
      </c>
      <c r="F1197" t="s">
        <v>68</v>
      </c>
      <c r="G1197" t="s">
        <v>20426</v>
      </c>
      <c r="H1197">
        <v>18.55</v>
      </c>
      <c r="I1197">
        <v>0</v>
      </c>
      <c r="J1197">
        <v>0</v>
      </c>
      <c r="K1197">
        <v>0</v>
      </c>
      <c r="N1197">
        <v>3</v>
      </c>
      <c r="O1197">
        <v>3</v>
      </c>
      <c r="P1197">
        <v>4</v>
      </c>
      <c r="Q1197">
        <v>2</v>
      </c>
      <c r="R1197">
        <v>27.55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 t="s">
        <v>130</v>
      </c>
      <c r="AF1197" t="s">
        <v>130</v>
      </c>
      <c r="AH1197">
        <v>27.55</v>
      </c>
    </row>
    <row r="1198" spans="1:34" x14ac:dyDescent="0.3">
      <c r="A1198" s="4">
        <v>1314</v>
      </c>
      <c r="B1198" s="5">
        <v>1191</v>
      </c>
      <c r="C1198">
        <v>13056</v>
      </c>
      <c r="D1198" t="s">
        <v>20427</v>
      </c>
      <c r="E1198" t="s">
        <v>20428</v>
      </c>
      <c r="F1198" t="s">
        <v>34</v>
      </c>
      <c r="G1198" t="s">
        <v>20429</v>
      </c>
      <c r="H1198">
        <v>20.43</v>
      </c>
      <c r="I1198">
        <v>0</v>
      </c>
      <c r="J1198">
        <v>0</v>
      </c>
      <c r="K1198">
        <v>0</v>
      </c>
      <c r="N1198">
        <v>3</v>
      </c>
      <c r="O1198">
        <v>3</v>
      </c>
      <c r="P1198">
        <v>4</v>
      </c>
      <c r="Q1198">
        <v>0</v>
      </c>
      <c r="R1198">
        <v>27.43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F1198" t="s">
        <v>130</v>
      </c>
      <c r="AH1198">
        <v>27.43</v>
      </c>
    </row>
    <row r="1199" spans="1:34" x14ac:dyDescent="0.3">
      <c r="A1199" s="4">
        <v>1315</v>
      </c>
      <c r="B1199" s="5">
        <v>1192</v>
      </c>
      <c r="C1199">
        <v>13397</v>
      </c>
      <c r="D1199" t="s">
        <v>4803</v>
      </c>
      <c r="E1199" t="s">
        <v>20430</v>
      </c>
      <c r="F1199" t="s">
        <v>17</v>
      </c>
      <c r="G1199" t="s">
        <v>20431</v>
      </c>
      <c r="H1199">
        <v>17.329999999999998</v>
      </c>
      <c r="I1199">
        <v>0</v>
      </c>
      <c r="J1199">
        <v>0</v>
      </c>
      <c r="K1199">
        <v>0</v>
      </c>
      <c r="N1199">
        <v>3</v>
      </c>
      <c r="O1199">
        <v>3</v>
      </c>
      <c r="P1199">
        <v>4</v>
      </c>
      <c r="Q1199">
        <v>0</v>
      </c>
      <c r="R1199">
        <v>24.33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3</v>
      </c>
      <c r="AC1199">
        <v>0</v>
      </c>
      <c r="AF1199" t="s">
        <v>130</v>
      </c>
      <c r="AH1199">
        <v>27.33</v>
      </c>
    </row>
    <row r="1200" spans="1:34" x14ac:dyDescent="0.3">
      <c r="A1200" s="4">
        <v>1316</v>
      </c>
      <c r="B1200" s="5">
        <v>1193</v>
      </c>
      <c r="C1200">
        <v>8494</v>
      </c>
      <c r="D1200" t="s">
        <v>4723</v>
      </c>
      <c r="E1200" t="s">
        <v>54</v>
      </c>
      <c r="F1200" t="s">
        <v>30</v>
      </c>
      <c r="G1200" t="s">
        <v>20432</v>
      </c>
      <c r="H1200">
        <v>20.25</v>
      </c>
      <c r="I1200">
        <v>0</v>
      </c>
      <c r="J1200">
        <v>0</v>
      </c>
      <c r="K1200">
        <v>0</v>
      </c>
      <c r="N1200">
        <v>3</v>
      </c>
      <c r="O1200">
        <v>3</v>
      </c>
      <c r="P1200">
        <v>4</v>
      </c>
      <c r="Q1200">
        <v>0</v>
      </c>
      <c r="R1200">
        <v>27.25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F1200" t="s">
        <v>130</v>
      </c>
      <c r="AH1200">
        <v>27.25</v>
      </c>
    </row>
    <row r="1201" spans="1:34" x14ac:dyDescent="0.3">
      <c r="A1201" s="4">
        <v>1317</v>
      </c>
      <c r="B1201" s="5">
        <v>1194</v>
      </c>
      <c r="C1201">
        <v>6924</v>
      </c>
      <c r="D1201" t="s">
        <v>20433</v>
      </c>
      <c r="E1201" t="s">
        <v>29</v>
      </c>
      <c r="F1201" t="s">
        <v>6454</v>
      </c>
      <c r="G1201" t="s">
        <v>20434</v>
      </c>
      <c r="H1201">
        <v>18.18</v>
      </c>
      <c r="I1201">
        <v>0</v>
      </c>
      <c r="J1201">
        <v>0</v>
      </c>
      <c r="K1201">
        <v>0</v>
      </c>
      <c r="N1201">
        <v>3</v>
      </c>
      <c r="O1201">
        <v>3</v>
      </c>
      <c r="P1201">
        <v>4</v>
      </c>
      <c r="Q1201">
        <v>2</v>
      </c>
      <c r="R1201">
        <v>27.18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F1201" t="s">
        <v>130</v>
      </c>
      <c r="AH1201">
        <v>27.18</v>
      </c>
    </row>
    <row r="1202" spans="1:34" x14ac:dyDescent="0.3">
      <c r="A1202" s="4">
        <v>1318</v>
      </c>
      <c r="B1202" s="5">
        <v>1195</v>
      </c>
      <c r="C1202">
        <v>5491</v>
      </c>
      <c r="D1202" t="s">
        <v>20435</v>
      </c>
      <c r="E1202" t="s">
        <v>41</v>
      </c>
      <c r="F1202" t="s">
        <v>68</v>
      </c>
      <c r="G1202" t="s">
        <v>20436</v>
      </c>
      <c r="H1202">
        <v>18.18</v>
      </c>
      <c r="I1202">
        <v>0</v>
      </c>
      <c r="J1202">
        <v>0</v>
      </c>
      <c r="K1202">
        <v>0</v>
      </c>
      <c r="N1202">
        <v>3</v>
      </c>
      <c r="O1202">
        <v>3</v>
      </c>
      <c r="P1202">
        <v>4</v>
      </c>
      <c r="Q1202">
        <v>2</v>
      </c>
      <c r="R1202">
        <v>27.18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F1202" t="s">
        <v>130</v>
      </c>
      <c r="AH1202">
        <v>27.18</v>
      </c>
    </row>
    <row r="1203" spans="1:34" x14ac:dyDescent="0.3">
      <c r="A1203" s="4">
        <v>1319</v>
      </c>
      <c r="B1203" s="5">
        <v>1196</v>
      </c>
      <c r="C1203">
        <v>9642</v>
      </c>
      <c r="D1203" t="s">
        <v>14781</v>
      </c>
      <c r="E1203" t="s">
        <v>20437</v>
      </c>
      <c r="F1203" t="s">
        <v>38</v>
      </c>
      <c r="G1203" t="s">
        <v>20438</v>
      </c>
      <c r="H1203">
        <v>15.88</v>
      </c>
      <c r="I1203">
        <v>0</v>
      </c>
      <c r="J1203">
        <v>0</v>
      </c>
      <c r="K1203">
        <v>0</v>
      </c>
      <c r="L1203">
        <v>7</v>
      </c>
      <c r="O1203">
        <v>7</v>
      </c>
      <c r="P1203">
        <v>4</v>
      </c>
      <c r="Q1203">
        <v>0</v>
      </c>
      <c r="R1203">
        <v>26.88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F1203" t="s">
        <v>130</v>
      </c>
      <c r="AH1203">
        <v>26.88</v>
      </c>
    </row>
    <row r="1204" spans="1:34" x14ac:dyDescent="0.3">
      <c r="A1204" s="4">
        <v>1320</v>
      </c>
      <c r="B1204" s="5">
        <v>1197</v>
      </c>
      <c r="C1204">
        <v>10419</v>
      </c>
      <c r="D1204" t="s">
        <v>20439</v>
      </c>
      <c r="E1204" t="s">
        <v>7899</v>
      </c>
      <c r="F1204" t="s">
        <v>158</v>
      </c>
      <c r="G1204" t="s">
        <v>20440</v>
      </c>
      <c r="H1204">
        <v>17.829999999999998</v>
      </c>
      <c r="I1204">
        <v>0</v>
      </c>
      <c r="J1204">
        <v>0</v>
      </c>
      <c r="K1204">
        <v>0</v>
      </c>
      <c r="N1204">
        <v>3</v>
      </c>
      <c r="O1204">
        <v>3</v>
      </c>
      <c r="P1204">
        <v>4</v>
      </c>
      <c r="Q1204">
        <v>2</v>
      </c>
      <c r="R1204">
        <v>26.83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F1204" t="s">
        <v>130</v>
      </c>
      <c r="AH1204">
        <v>26.83</v>
      </c>
    </row>
    <row r="1205" spans="1:34" x14ac:dyDescent="0.3">
      <c r="A1205" s="4">
        <v>1321</v>
      </c>
      <c r="B1205" s="5">
        <v>1198</v>
      </c>
      <c r="C1205">
        <v>14129</v>
      </c>
      <c r="D1205" t="s">
        <v>1709</v>
      </c>
      <c r="E1205" t="s">
        <v>471</v>
      </c>
      <c r="F1205" t="s">
        <v>343</v>
      </c>
      <c r="G1205" t="s">
        <v>20441</v>
      </c>
      <c r="H1205">
        <v>20.75</v>
      </c>
      <c r="I1205">
        <v>0</v>
      </c>
      <c r="J1205">
        <v>0</v>
      </c>
      <c r="K1205">
        <v>0</v>
      </c>
      <c r="O1205">
        <v>0</v>
      </c>
      <c r="P1205">
        <v>4</v>
      </c>
      <c r="Q1205">
        <v>2</v>
      </c>
      <c r="R1205">
        <v>26.75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F1205" t="s">
        <v>130</v>
      </c>
      <c r="AH1205">
        <v>26.75</v>
      </c>
    </row>
    <row r="1206" spans="1:34" x14ac:dyDescent="0.3">
      <c r="A1206" s="4">
        <v>1322</v>
      </c>
      <c r="B1206" s="5">
        <v>1199</v>
      </c>
      <c r="C1206">
        <v>10534</v>
      </c>
      <c r="D1206" t="s">
        <v>2666</v>
      </c>
      <c r="E1206" t="s">
        <v>29</v>
      </c>
      <c r="F1206" t="s">
        <v>20</v>
      </c>
      <c r="G1206" t="s">
        <v>20442</v>
      </c>
      <c r="H1206">
        <v>19.7</v>
      </c>
      <c r="I1206">
        <v>0</v>
      </c>
      <c r="J1206">
        <v>0</v>
      </c>
      <c r="K1206">
        <v>0</v>
      </c>
      <c r="N1206">
        <v>3</v>
      </c>
      <c r="O1206">
        <v>3</v>
      </c>
      <c r="P1206">
        <v>4</v>
      </c>
      <c r="Q1206">
        <v>0</v>
      </c>
      <c r="R1206">
        <v>26.7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F1206" t="s">
        <v>130</v>
      </c>
      <c r="AH1206">
        <v>26.7</v>
      </c>
    </row>
    <row r="1207" spans="1:34" x14ac:dyDescent="0.3">
      <c r="A1207" s="4">
        <v>1323</v>
      </c>
      <c r="B1207" s="5">
        <v>1200</v>
      </c>
      <c r="C1207">
        <v>11496</v>
      </c>
      <c r="D1207" t="s">
        <v>20443</v>
      </c>
      <c r="E1207" t="s">
        <v>2157</v>
      </c>
      <c r="F1207" t="s">
        <v>117</v>
      </c>
      <c r="G1207" t="s">
        <v>20444</v>
      </c>
      <c r="H1207">
        <v>19.649999999999999</v>
      </c>
      <c r="I1207">
        <v>0</v>
      </c>
      <c r="J1207">
        <v>0</v>
      </c>
      <c r="K1207">
        <v>0</v>
      </c>
      <c r="N1207">
        <v>3</v>
      </c>
      <c r="O1207">
        <v>3</v>
      </c>
      <c r="P1207">
        <v>4</v>
      </c>
      <c r="Q1207">
        <v>0</v>
      </c>
      <c r="R1207">
        <v>26.65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F1207" t="s">
        <v>130</v>
      </c>
      <c r="AH1207">
        <v>26.65</v>
      </c>
    </row>
    <row r="1208" spans="1:34" x14ac:dyDescent="0.3">
      <c r="A1208" s="4">
        <v>1324</v>
      </c>
      <c r="B1208" s="5">
        <v>1201</v>
      </c>
      <c r="C1208">
        <v>10124</v>
      </c>
      <c r="D1208" t="s">
        <v>20445</v>
      </c>
      <c r="E1208" t="s">
        <v>491</v>
      </c>
      <c r="F1208" t="s">
        <v>310</v>
      </c>
      <c r="G1208" t="s">
        <v>20446</v>
      </c>
      <c r="H1208">
        <v>19.53</v>
      </c>
      <c r="I1208">
        <v>0</v>
      </c>
      <c r="J1208">
        <v>0</v>
      </c>
      <c r="K1208">
        <v>0</v>
      </c>
      <c r="N1208">
        <v>3</v>
      </c>
      <c r="O1208">
        <v>3</v>
      </c>
      <c r="P1208">
        <v>4</v>
      </c>
      <c r="Q1208">
        <v>0</v>
      </c>
      <c r="R1208">
        <v>26.53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F1208" t="s">
        <v>130</v>
      </c>
      <c r="AH1208">
        <v>26.53</v>
      </c>
    </row>
    <row r="1209" spans="1:34" x14ac:dyDescent="0.3">
      <c r="A1209" s="4">
        <v>1325</v>
      </c>
      <c r="B1209" s="5">
        <v>1202</v>
      </c>
      <c r="C1209">
        <v>8942</v>
      </c>
      <c r="D1209" t="s">
        <v>181</v>
      </c>
      <c r="E1209" t="s">
        <v>208</v>
      </c>
      <c r="F1209" t="s">
        <v>68</v>
      </c>
      <c r="G1209" t="s">
        <v>20447</v>
      </c>
      <c r="H1209">
        <v>20.43</v>
      </c>
      <c r="I1209">
        <v>0</v>
      </c>
      <c r="J1209">
        <v>0</v>
      </c>
      <c r="K1209">
        <v>0</v>
      </c>
      <c r="O1209">
        <v>0</v>
      </c>
      <c r="P1209">
        <v>4</v>
      </c>
      <c r="Q1209">
        <v>2</v>
      </c>
      <c r="R1209">
        <v>26.43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F1209" t="s">
        <v>130</v>
      </c>
      <c r="AH1209">
        <v>26.43</v>
      </c>
    </row>
    <row r="1210" spans="1:34" x14ac:dyDescent="0.3">
      <c r="A1210" s="4">
        <v>1326</v>
      </c>
      <c r="B1210" s="5">
        <v>1203</v>
      </c>
      <c r="C1210">
        <v>15057</v>
      </c>
      <c r="D1210" t="s">
        <v>8142</v>
      </c>
      <c r="E1210" t="s">
        <v>5187</v>
      </c>
      <c r="F1210" t="s">
        <v>34</v>
      </c>
      <c r="G1210" t="s">
        <v>20448</v>
      </c>
      <c r="H1210">
        <v>17.38</v>
      </c>
      <c r="I1210">
        <v>0</v>
      </c>
      <c r="J1210">
        <v>0</v>
      </c>
      <c r="K1210">
        <v>0</v>
      </c>
      <c r="N1210">
        <v>3</v>
      </c>
      <c r="O1210">
        <v>3</v>
      </c>
      <c r="P1210">
        <v>4</v>
      </c>
      <c r="Q1210">
        <v>2</v>
      </c>
      <c r="R1210">
        <v>26.38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F1210" t="s">
        <v>130</v>
      </c>
      <c r="AH1210">
        <v>26.38</v>
      </c>
    </row>
    <row r="1211" spans="1:34" x14ac:dyDescent="0.3">
      <c r="A1211" s="4">
        <v>1327</v>
      </c>
      <c r="B1211" s="5">
        <v>1204</v>
      </c>
      <c r="C1211">
        <v>6727</v>
      </c>
      <c r="D1211" t="s">
        <v>20449</v>
      </c>
      <c r="E1211" t="s">
        <v>88</v>
      </c>
      <c r="F1211" t="s">
        <v>136</v>
      </c>
      <c r="G1211" t="s">
        <v>20450</v>
      </c>
      <c r="H1211">
        <v>19.28</v>
      </c>
      <c r="I1211">
        <v>0</v>
      </c>
      <c r="J1211">
        <v>0</v>
      </c>
      <c r="K1211">
        <v>0</v>
      </c>
      <c r="N1211">
        <v>3</v>
      </c>
      <c r="O1211">
        <v>3</v>
      </c>
      <c r="P1211">
        <v>4</v>
      </c>
      <c r="Q1211">
        <v>0</v>
      </c>
      <c r="R1211">
        <v>26.28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F1211" t="s">
        <v>130</v>
      </c>
      <c r="AH1211">
        <v>26.28</v>
      </c>
    </row>
    <row r="1212" spans="1:34" x14ac:dyDescent="0.3">
      <c r="A1212" s="4">
        <v>1328</v>
      </c>
      <c r="B1212" s="5">
        <v>1205</v>
      </c>
      <c r="C1212">
        <v>15087</v>
      </c>
      <c r="D1212" t="s">
        <v>20451</v>
      </c>
      <c r="E1212" t="s">
        <v>41</v>
      </c>
      <c r="F1212" t="s">
        <v>91</v>
      </c>
      <c r="G1212" t="s">
        <v>20452</v>
      </c>
      <c r="H1212">
        <v>17.28</v>
      </c>
      <c r="I1212">
        <v>0</v>
      </c>
      <c r="J1212">
        <v>0</v>
      </c>
      <c r="K1212">
        <v>0</v>
      </c>
      <c r="N1212">
        <v>3</v>
      </c>
      <c r="O1212">
        <v>3</v>
      </c>
      <c r="P1212">
        <v>4</v>
      </c>
      <c r="Q1212">
        <v>2</v>
      </c>
      <c r="R1212">
        <v>26.28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F1212" t="s">
        <v>130</v>
      </c>
      <c r="AH1212">
        <v>26.28</v>
      </c>
    </row>
    <row r="1213" spans="1:34" x14ac:dyDescent="0.3">
      <c r="A1213" s="4">
        <v>1329</v>
      </c>
      <c r="B1213" s="5">
        <v>1206</v>
      </c>
      <c r="C1213">
        <v>10259</v>
      </c>
      <c r="D1213" t="s">
        <v>19074</v>
      </c>
      <c r="E1213" t="s">
        <v>29</v>
      </c>
      <c r="F1213" t="s">
        <v>68</v>
      </c>
      <c r="G1213" t="s">
        <v>20453</v>
      </c>
      <c r="H1213">
        <v>20.23</v>
      </c>
      <c r="I1213">
        <v>0</v>
      </c>
      <c r="J1213">
        <v>0</v>
      </c>
      <c r="K1213">
        <v>0</v>
      </c>
      <c r="O1213">
        <v>0</v>
      </c>
      <c r="P1213">
        <v>4</v>
      </c>
      <c r="Q1213">
        <v>2</v>
      </c>
      <c r="R1213">
        <v>26.23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F1213" t="s">
        <v>130</v>
      </c>
      <c r="AH1213">
        <v>26.23</v>
      </c>
    </row>
    <row r="1214" spans="1:34" x14ac:dyDescent="0.3">
      <c r="A1214" s="4">
        <v>1330</v>
      </c>
      <c r="B1214" s="5">
        <v>1207</v>
      </c>
      <c r="C1214">
        <v>1272</v>
      </c>
      <c r="D1214" t="s">
        <v>19636</v>
      </c>
      <c r="E1214" t="s">
        <v>29</v>
      </c>
      <c r="F1214" t="s">
        <v>20</v>
      </c>
      <c r="G1214" t="s">
        <v>20454</v>
      </c>
      <c r="H1214">
        <v>20.23</v>
      </c>
      <c r="I1214">
        <v>0</v>
      </c>
      <c r="J1214">
        <v>0</v>
      </c>
      <c r="K1214">
        <v>0</v>
      </c>
      <c r="O1214">
        <v>0</v>
      </c>
      <c r="P1214">
        <v>4</v>
      </c>
      <c r="Q1214">
        <v>2</v>
      </c>
      <c r="R1214">
        <v>26.23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F1214" t="s">
        <v>130</v>
      </c>
      <c r="AH1214">
        <v>26.23</v>
      </c>
    </row>
    <row r="1215" spans="1:34" x14ac:dyDescent="0.3">
      <c r="A1215" s="4">
        <v>1331</v>
      </c>
      <c r="B1215" s="5">
        <v>1208</v>
      </c>
      <c r="C1215">
        <v>11643</v>
      </c>
      <c r="D1215" t="s">
        <v>20455</v>
      </c>
      <c r="E1215" t="s">
        <v>100</v>
      </c>
      <c r="F1215" t="s">
        <v>68</v>
      </c>
      <c r="G1215" t="s">
        <v>20456</v>
      </c>
      <c r="H1215">
        <v>17.13</v>
      </c>
      <c r="I1215">
        <v>0</v>
      </c>
      <c r="J1215">
        <v>0</v>
      </c>
      <c r="K1215">
        <v>0</v>
      </c>
      <c r="N1215">
        <v>3</v>
      </c>
      <c r="O1215">
        <v>3</v>
      </c>
      <c r="P1215">
        <v>4</v>
      </c>
      <c r="Q1215">
        <v>2</v>
      </c>
      <c r="R1215">
        <v>26.13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F1215" t="s">
        <v>130</v>
      </c>
      <c r="AH1215">
        <v>26.13</v>
      </c>
    </row>
    <row r="1216" spans="1:34" x14ac:dyDescent="0.3">
      <c r="A1216" s="4">
        <v>1332</v>
      </c>
      <c r="B1216" s="5">
        <v>1209</v>
      </c>
      <c r="C1216">
        <v>5866</v>
      </c>
      <c r="D1216" t="s">
        <v>20457</v>
      </c>
      <c r="E1216" t="s">
        <v>424</v>
      </c>
      <c r="F1216" t="s">
        <v>62</v>
      </c>
      <c r="G1216" t="s">
        <v>20458</v>
      </c>
      <c r="H1216">
        <v>17.079999999999998</v>
      </c>
      <c r="I1216">
        <v>0</v>
      </c>
      <c r="J1216">
        <v>0</v>
      </c>
      <c r="K1216">
        <v>0</v>
      </c>
      <c r="O1216">
        <v>0</v>
      </c>
      <c r="P1216">
        <v>4</v>
      </c>
      <c r="Q1216">
        <v>2</v>
      </c>
      <c r="R1216">
        <v>23.08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3</v>
      </c>
      <c r="AC1216">
        <v>0</v>
      </c>
      <c r="AF1216" t="s">
        <v>130</v>
      </c>
      <c r="AH1216">
        <v>26.08</v>
      </c>
    </row>
    <row r="1217" spans="1:34" x14ac:dyDescent="0.3">
      <c r="A1217" s="4">
        <v>1333</v>
      </c>
      <c r="B1217" s="5">
        <v>1210</v>
      </c>
      <c r="C1217">
        <v>4171</v>
      </c>
      <c r="D1217" t="s">
        <v>20459</v>
      </c>
      <c r="E1217" t="s">
        <v>158</v>
      </c>
      <c r="F1217" t="s">
        <v>17</v>
      </c>
      <c r="G1217" t="s">
        <v>20460</v>
      </c>
      <c r="H1217">
        <v>20.03</v>
      </c>
      <c r="I1217">
        <v>0</v>
      </c>
      <c r="J1217">
        <v>0</v>
      </c>
      <c r="K1217">
        <v>0</v>
      </c>
      <c r="O1217">
        <v>0</v>
      </c>
      <c r="P1217">
        <v>4</v>
      </c>
      <c r="Q1217">
        <v>2</v>
      </c>
      <c r="R1217">
        <v>26.03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F1217" t="s">
        <v>130</v>
      </c>
      <c r="AH1217">
        <v>26.03</v>
      </c>
    </row>
    <row r="1218" spans="1:34" x14ac:dyDescent="0.3">
      <c r="A1218" s="4">
        <v>1334</v>
      </c>
      <c r="B1218" s="5">
        <v>1211</v>
      </c>
      <c r="C1218">
        <v>6899</v>
      </c>
      <c r="D1218" t="s">
        <v>20461</v>
      </c>
      <c r="E1218" t="s">
        <v>29</v>
      </c>
      <c r="F1218" t="s">
        <v>17</v>
      </c>
      <c r="G1218" t="s">
        <v>20462</v>
      </c>
      <c r="H1218">
        <v>17.03</v>
      </c>
      <c r="I1218">
        <v>0</v>
      </c>
      <c r="J1218">
        <v>0</v>
      </c>
      <c r="K1218">
        <v>0</v>
      </c>
      <c r="N1218">
        <v>3</v>
      </c>
      <c r="O1218">
        <v>3</v>
      </c>
      <c r="P1218">
        <v>4</v>
      </c>
      <c r="Q1218">
        <v>0</v>
      </c>
      <c r="R1218">
        <v>24.03</v>
      </c>
      <c r="S1218">
        <v>2</v>
      </c>
      <c r="T1218">
        <v>2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2</v>
      </c>
      <c r="AB1218">
        <v>0</v>
      </c>
      <c r="AC1218">
        <v>0</v>
      </c>
      <c r="AF1218" t="s">
        <v>130</v>
      </c>
      <c r="AH1218">
        <v>26.03</v>
      </c>
    </row>
    <row r="1219" spans="1:34" x14ac:dyDescent="0.3">
      <c r="A1219" s="4">
        <v>1335</v>
      </c>
      <c r="B1219" s="5">
        <v>1212</v>
      </c>
      <c r="C1219">
        <v>7384</v>
      </c>
      <c r="D1219" t="s">
        <v>16897</v>
      </c>
      <c r="E1219" t="s">
        <v>219</v>
      </c>
      <c r="F1219" t="s">
        <v>2427</v>
      </c>
      <c r="G1219" t="s">
        <v>20463</v>
      </c>
      <c r="H1219">
        <v>19</v>
      </c>
      <c r="I1219">
        <v>0</v>
      </c>
      <c r="J1219">
        <v>0</v>
      </c>
      <c r="K1219">
        <v>0</v>
      </c>
      <c r="O1219">
        <v>0</v>
      </c>
      <c r="P1219">
        <v>0</v>
      </c>
      <c r="Q1219">
        <v>0</v>
      </c>
      <c r="R1219">
        <v>19</v>
      </c>
      <c r="S1219">
        <v>4</v>
      </c>
      <c r="T1219">
        <v>4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4</v>
      </c>
      <c r="AB1219">
        <v>3</v>
      </c>
      <c r="AC1219">
        <v>0</v>
      </c>
      <c r="AF1219" t="s">
        <v>130</v>
      </c>
      <c r="AH1219">
        <v>26</v>
      </c>
    </row>
    <row r="1220" spans="1:34" x14ac:dyDescent="0.3">
      <c r="A1220" s="4">
        <v>1336</v>
      </c>
      <c r="B1220" s="5">
        <v>1213</v>
      </c>
      <c r="C1220">
        <v>11741</v>
      </c>
      <c r="D1220" t="s">
        <v>20464</v>
      </c>
      <c r="E1220" t="s">
        <v>283</v>
      </c>
      <c r="F1220" t="s">
        <v>190</v>
      </c>
      <c r="G1220" t="s">
        <v>20465</v>
      </c>
      <c r="H1220">
        <v>18.98</v>
      </c>
      <c r="I1220">
        <v>0</v>
      </c>
      <c r="J1220">
        <v>0</v>
      </c>
      <c r="K1220">
        <v>0</v>
      </c>
      <c r="N1220">
        <v>3</v>
      </c>
      <c r="O1220">
        <v>3</v>
      </c>
      <c r="P1220">
        <v>4</v>
      </c>
      <c r="Q1220">
        <v>0</v>
      </c>
      <c r="R1220">
        <v>25.98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F1220" t="s">
        <v>130</v>
      </c>
      <c r="AH1220">
        <v>25.98</v>
      </c>
    </row>
    <row r="1221" spans="1:34" x14ac:dyDescent="0.3">
      <c r="A1221" s="4">
        <v>1337</v>
      </c>
      <c r="B1221" s="5">
        <v>1214</v>
      </c>
      <c r="C1221">
        <v>13216</v>
      </c>
      <c r="D1221" t="s">
        <v>3662</v>
      </c>
      <c r="E1221" t="s">
        <v>1892</v>
      </c>
      <c r="F1221" t="s">
        <v>68</v>
      </c>
      <c r="G1221" t="s">
        <v>20466</v>
      </c>
      <c r="H1221">
        <v>18.95</v>
      </c>
      <c r="I1221">
        <v>0</v>
      </c>
      <c r="J1221">
        <v>0</v>
      </c>
      <c r="K1221">
        <v>0</v>
      </c>
      <c r="N1221">
        <v>3</v>
      </c>
      <c r="O1221">
        <v>3</v>
      </c>
      <c r="P1221">
        <v>4</v>
      </c>
      <c r="Q1221">
        <v>0</v>
      </c>
      <c r="R1221">
        <v>25.95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F1221" t="s">
        <v>130</v>
      </c>
      <c r="AH1221">
        <v>25.95</v>
      </c>
    </row>
    <row r="1222" spans="1:34" x14ac:dyDescent="0.3">
      <c r="A1222" s="4">
        <v>1338</v>
      </c>
      <c r="B1222" s="5">
        <v>1215</v>
      </c>
      <c r="C1222">
        <v>3300</v>
      </c>
      <c r="D1222" t="s">
        <v>7108</v>
      </c>
      <c r="E1222" t="s">
        <v>41</v>
      </c>
      <c r="F1222" t="s">
        <v>55</v>
      </c>
      <c r="G1222" t="s">
        <v>20467</v>
      </c>
      <c r="H1222">
        <v>18.93</v>
      </c>
      <c r="I1222">
        <v>0</v>
      </c>
      <c r="J1222">
        <v>0</v>
      </c>
      <c r="K1222">
        <v>0</v>
      </c>
      <c r="O1222">
        <v>0</v>
      </c>
      <c r="P1222">
        <v>4</v>
      </c>
      <c r="Q1222">
        <v>0</v>
      </c>
      <c r="R1222">
        <v>22.93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3</v>
      </c>
      <c r="AC1222">
        <v>0</v>
      </c>
      <c r="AF1222" t="s">
        <v>130</v>
      </c>
      <c r="AH1222">
        <v>25.93</v>
      </c>
    </row>
    <row r="1223" spans="1:34" x14ac:dyDescent="0.3">
      <c r="A1223" s="4">
        <v>1339</v>
      </c>
      <c r="B1223" s="5">
        <v>1216</v>
      </c>
      <c r="C1223">
        <v>6328</v>
      </c>
      <c r="D1223" t="s">
        <v>20468</v>
      </c>
      <c r="E1223" t="s">
        <v>17</v>
      </c>
      <c r="F1223" t="s">
        <v>1023</v>
      </c>
      <c r="G1223" t="s">
        <v>20469</v>
      </c>
      <c r="H1223">
        <v>16.93</v>
      </c>
      <c r="I1223">
        <v>0</v>
      </c>
      <c r="J1223">
        <v>0</v>
      </c>
      <c r="K1223">
        <v>0</v>
      </c>
      <c r="N1223">
        <v>3</v>
      </c>
      <c r="O1223">
        <v>3</v>
      </c>
      <c r="P1223">
        <v>4</v>
      </c>
      <c r="Q1223">
        <v>2</v>
      </c>
      <c r="R1223">
        <v>25.93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F1223" t="s">
        <v>130</v>
      </c>
      <c r="AH1223">
        <v>25.93</v>
      </c>
    </row>
    <row r="1224" spans="1:34" x14ac:dyDescent="0.3">
      <c r="A1224" s="4">
        <v>1340</v>
      </c>
      <c r="B1224" s="5">
        <v>1217</v>
      </c>
      <c r="C1224">
        <v>3695</v>
      </c>
      <c r="D1224" t="s">
        <v>20470</v>
      </c>
      <c r="E1224" t="s">
        <v>3705</v>
      </c>
      <c r="F1224" t="s">
        <v>81</v>
      </c>
      <c r="G1224" t="s">
        <v>20471</v>
      </c>
      <c r="H1224">
        <v>18.899999999999999</v>
      </c>
      <c r="I1224">
        <v>0</v>
      </c>
      <c r="J1224">
        <v>0</v>
      </c>
      <c r="K1224">
        <v>0</v>
      </c>
      <c r="N1224">
        <v>3</v>
      </c>
      <c r="O1224">
        <v>3</v>
      </c>
      <c r="P1224">
        <v>4</v>
      </c>
      <c r="Q1224">
        <v>0</v>
      </c>
      <c r="R1224">
        <v>25.9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F1224" t="s">
        <v>130</v>
      </c>
      <c r="AH1224">
        <v>25.9</v>
      </c>
    </row>
    <row r="1225" spans="1:34" x14ac:dyDescent="0.3">
      <c r="A1225" s="4">
        <v>1341</v>
      </c>
      <c r="B1225" s="5">
        <v>1218</v>
      </c>
      <c r="C1225">
        <v>3660</v>
      </c>
      <c r="D1225" t="s">
        <v>9127</v>
      </c>
      <c r="E1225" t="s">
        <v>117</v>
      </c>
      <c r="F1225" t="s">
        <v>124</v>
      </c>
      <c r="G1225" t="s">
        <v>32069</v>
      </c>
      <c r="H1225">
        <v>18.88</v>
      </c>
      <c r="I1225">
        <v>0</v>
      </c>
      <c r="J1225">
        <v>0</v>
      </c>
      <c r="K1225">
        <v>0</v>
      </c>
      <c r="N1225">
        <v>3</v>
      </c>
      <c r="O1225">
        <v>3</v>
      </c>
      <c r="P1225">
        <v>4</v>
      </c>
      <c r="Q1225">
        <v>0</v>
      </c>
      <c r="R1225">
        <v>25.88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F1225" t="s">
        <v>130</v>
      </c>
      <c r="AH1225">
        <v>25.88</v>
      </c>
    </row>
    <row r="1226" spans="1:34" x14ac:dyDescent="0.3">
      <c r="A1226" s="4">
        <v>1342</v>
      </c>
      <c r="B1226" s="5">
        <v>1219</v>
      </c>
      <c r="C1226">
        <v>154</v>
      </c>
      <c r="D1226" t="s">
        <v>20472</v>
      </c>
      <c r="E1226" t="s">
        <v>37</v>
      </c>
      <c r="F1226" t="s">
        <v>167</v>
      </c>
      <c r="G1226" t="s">
        <v>20473</v>
      </c>
      <c r="H1226">
        <v>18.850000000000001</v>
      </c>
      <c r="I1226">
        <v>0</v>
      </c>
      <c r="J1226">
        <v>0</v>
      </c>
      <c r="K1226">
        <v>0</v>
      </c>
      <c r="N1226">
        <v>3</v>
      </c>
      <c r="O1226">
        <v>3</v>
      </c>
      <c r="P1226">
        <v>4</v>
      </c>
      <c r="Q1226">
        <v>0</v>
      </c>
      <c r="R1226">
        <v>25.85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F1226" t="s">
        <v>130</v>
      </c>
      <c r="AH1226">
        <v>25.85</v>
      </c>
    </row>
    <row r="1227" spans="1:34" x14ac:dyDescent="0.3">
      <c r="A1227" s="4">
        <v>1343</v>
      </c>
      <c r="B1227" s="5">
        <v>1220</v>
      </c>
      <c r="C1227">
        <v>10914</v>
      </c>
      <c r="D1227" t="s">
        <v>20474</v>
      </c>
      <c r="E1227" t="s">
        <v>563</v>
      </c>
      <c r="F1227" t="s">
        <v>17</v>
      </c>
      <c r="G1227" t="s">
        <v>20475</v>
      </c>
      <c r="H1227">
        <v>18.8</v>
      </c>
      <c r="I1227">
        <v>0</v>
      </c>
      <c r="J1227">
        <v>0</v>
      </c>
      <c r="K1227">
        <v>0</v>
      </c>
      <c r="N1227">
        <v>3</v>
      </c>
      <c r="O1227">
        <v>3</v>
      </c>
      <c r="P1227">
        <v>4</v>
      </c>
      <c r="Q1227">
        <v>0</v>
      </c>
      <c r="R1227">
        <v>25.8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F1227" t="s">
        <v>130</v>
      </c>
      <c r="AH1227">
        <v>25.8</v>
      </c>
    </row>
    <row r="1228" spans="1:34" x14ac:dyDescent="0.3">
      <c r="A1228" s="4">
        <v>1344</v>
      </c>
      <c r="B1228" s="5">
        <v>1221</v>
      </c>
      <c r="C1228">
        <v>3235</v>
      </c>
      <c r="D1228" t="s">
        <v>3340</v>
      </c>
      <c r="E1228" t="s">
        <v>37</v>
      </c>
      <c r="F1228" t="s">
        <v>20</v>
      </c>
      <c r="G1228" t="s">
        <v>20476</v>
      </c>
      <c r="H1228">
        <v>16.649999999999999</v>
      </c>
      <c r="I1228">
        <v>0</v>
      </c>
      <c r="J1228">
        <v>0</v>
      </c>
      <c r="K1228">
        <v>0</v>
      </c>
      <c r="N1228">
        <v>3</v>
      </c>
      <c r="O1228">
        <v>3</v>
      </c>
      <c r="P1228">
        <v>4</v>
      </c>
      <c r="Q1228">
        <v>2</v>
      </c>
      <c r="R1228">
        <v>25.65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F1228" t="s">
        <v>130</v>
      </c>
      <c r="AH1228">
        <v>25.65</v>
      </c>
    </row>
    <row r="1229" spans="1:34" x14ac:dyDescent="0.3">
      <c r="A1229" s="4">
        <v>1345</v>
      </c>
      <c r="B1229" s="5">
        <v>1222</v>
      </c>
      <c r="C1229">
        <v>14843</v>
      </c>
      <c r="D1229" t="s">
        <v>17360</v>
      </c>
      <c r="E1229" t="s">
        <v>22</v>
      </c>
      <c r="F1229" t="s">
        <v>167</v>
      </c>
      <c r="G1229" t="s">
        <v>20477</v>
      </c>
      <c r="H1229">
        <v>16.55</v>
      </c>
      <c r="I1229">
        <v>0</v>
      </c>
      <c r="J1229">
        <v>0</v>
      </c>
      <c r="K1229">
        <v>0</v>
      </c>
      <c r="N1229">
        <v>3</v>
      </c>
      <c r="O1229">
        <v>3</v>
      </c>
      <c r="P1229">
        <v>4</v>
      </c>
      <c r="Q1229">
        <v>2</v>
      </c>
      <c r="R1229">
        <v>25.55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F1229" t="s">
        <v>130</v>
      </c>
      <c r="AH1229">
        <v>25.55</v>
      </c>
    </row>
    <row r="1230" spans="1:34" x14ac:dyDescent="0.3">
      <c r="A1230" s="4">
        <v>1346</v>
      </c>
      <c r="B1230" s="5">
        <v>1223</v>
      </c>
      <c r="C1230">
        <v>13550</v>
      </c>
      <c r="D1230" t="s">
        <v>5348</v>
      </c>
      <c r="E1230" t="s">
        <v>143</v>
      </c>
      <c r="F1230" t="s">
        <v>81</v>
      </c>
      <c r="G1230" t="s">
        <v>5349</v>
      </c>
      <c r="H1230">
        <v>18.5</v>
      </c>
      <c r="I1230">
        <v>0</v>
      </c>
      <c r="J1230">
        <v>0</v>
      </c>
      <c r="K1230">
        <v>0</v>
      </c>
      <c r="N1230">
        <v>3</v>
      </c>
      <c r="O1230">
        <v>3</v>
      </c>
      <c r="P1230">
        <v>4</v>
      </c>
      <c r="Q1230">
        <v>0</v>
      </c>
      <c r="R1230">
        <v>25.5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F1230" t="s">
        <v>130</v>
      </c>
      <c r="AH1230">
        <v>25.5</v>
      </c>
    </row>
    <row r="1231" spans="1:34" x14ac:dyDescent="0.3">
      <c r="A1231" s="4">
        <v>1347</v>
      </c>
      <c r="B1231" s="5">
        <v>1224</v>
      </c>
      <c r="C1231">
        <v>7787</v>
      </c>
      <c r="D1231" t="s">
        <v>20478</v>
      </c>
      <c r="E1231" t="s">
        <v>1319</v>
      </c>
      <c r="F1231" t="s">
        <v>136</v>
      </c>
      <c r="G1231" t="s">
        <v>20479</v>
      </c>
      <c r="H1231">
        <v>18.48</v>
      </c>
      <c r="I1231">
        <v>0</v>
      </c>
      <c r="J1231">
        <v>0</v>
      </c>
      <c r="K1231">
        <v>0</v>
      </c>
      <c r="N1231">
        <v>3</v>
      </c>
      <c r="O1231">
        <v>3</v>
      </c>
      <c r="P1231">
        <v>4</v>
      </c>
      <c r="Q1231">
        <v>0</v>
      </c>
      <c r="R1231">
        <v>25.48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F1231" t="s">
        <v>130</v>
      </c>
      <c r="AH1231">
        <v>25.48</v>
      </c>
    </row>
    <row r="1232" spans="1:34" x14ac:dyDescent="0.3">
      <c r="A1232" s="4">
        <v>1348</v>
      </c>
      <c r="B1232" s="5">
        <v>1225</v>
      </c>
      <c r="C1232">
        <v>9807</v>
      </c>
      <c r="D1232" t="s">
        <v>3406</v>
      </c>
      <c r="E1232" t="s">
        <v>51</v>
      </c>
      <c r="F1232" t="s">
        <v>38</v>
      </c>
      <c r="G1232" t="s">
        <v>20480</v>
      </c>
      <c r="H1232">
        <v>18.38</v>
      </c>
      <c r="I1232">
        <v>0</v>
      </c>
      <c r="J1232">
        <v>0</v>
      </c>
      <c r="K1232">
        <v>0</v>
      </c>
      <c r="O1232">
        <v>0</v>
      </c>
      <c r="P1232">
        <v>4</v>
      </c>
      <c r="Q1232">
        <v>0</v>
      </c>
      <c r="R1232">
        <v>22.38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3</v>
      </c>
      <c r="AC1232">
        <v>0</v>
      </c>
      <c r="AF1232" t="s">
        <v>130</v>
      </c>
      <c r="AH1232">
        <v>25.38</v>
      </c>
    </row>
    <row r="1233" spans="1:34" x14ac:dyDescent="0.3">
      <c r="A1233" s="4">
        <v>1349</v>
      </c>
      <c r="B1233" s="5">
        <v>1226</v>
      </c>
      <c r="C1233">
        <v>10253</v>
      </c>
      <c r="D1233" t="s">
        <v>11512</v>
      </c>
      <c r="E1233" t="s">
        <v>110</v>
      </c>
      <c r="F1233" t="s">
        <v>328</v>
      </c>
      <c r="G1233" t="s">
        <v>20481</v>
      </c>
      <c r="H1233">
        <v>18.350000000000001</v>
      </c>
      <c r="I1233">
        <v>0</v>
      </c>
      <c r="J1233">
        <v>0</v>
      </c>
      <c r="K1233">
        <v>0</v>
      </c>
      <c r="N1233">
        <v>3</v>
      </c>
      <c r="O1233">
        <v>3</v>
      </c>
      <c r="P1233">
        <v>4</v>
      </c>
      <c r="Q1233">
        <v>0</v>
      </c>
      <c r="R1233">
        <v>25.35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F1233" t="s">
        <v>130</v>
      </c>
      <c r="AH1233">
        <v>25.35</v>
      </c>
    </row>
    <row r="1234" spans="1:34" x14ac:dyDescent="0.3">
      <c r="A1234" s="4">
        <v>1350</v>
      </c>
      <c r="B1234" s="5">
        <v>1227</v>
      </c>
      <c r="C1234">
        <v>8528</v>
      </c>
      <c r="D1234" t="s">
        <v>1078</v>
      </c>
      <c r="E1234" t="s">
        <v>104</v>
      </c>
      <c r="F1234" t="s">
        <v>626</v>
      </c>
      <c r="G1234" t="s">
        <v>20482</v>
      </c>
      <c r="H1234">
        <v>18.05</v>
      </c>
      <c r="I1234">
        <v>0</v>
      </c>
      <c r="J1234">
        <v>0</v>
      </c>
      <c r="K1234">
        <v>0</v>
      </c>
      <c r="N1234">
        <v>3</v>
      </c>
      <c r="O1234">
        <v>3</v>
      </c>
      <c r="P1234">
        <v>4</v>
      </c>
      <c r="Q1234">
        <v>0</v>
      </c>
      <c r="R1234">
        <v>25.05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F1234" t="s">
        <v>130</v>
      </c>
      <c r="AH1234">
        <v>25.05</v>
      </c>
    </row>
    <row r="1235" spans="1:34" x14ac:dyDescent="0.3">
      <c r="A1235" s="4">
        <v>1351</v>
      </c>
      <c r="B1235" s="5">
        <v>1228</v>
      </c>
      <c r="C1235">
        <v>6571</v>
      </c>
      <c r="D1235" t="s">
        <v>12030</v>
      </c>
      <c r="E1235" t="s">
        <v>29</v>
      </c>
      <c r="F1235" t="s">
        <v>238</v>
      </c>
      <c r="G1235" t="s">
        <v>20483</v>
      </c>
      <c r="H1235">
        <v>18.05</v>
      </c>
      <c r="I1235">
        <v>0</v>
      </c>
      <c r="J1235">
        <v>0</v>
      </c>
      <c r="K1235">
        <v>0</v>
      </c>
      <c r="N1235">
        <v>3</v>
      </c>
      <c r="O1235">
        <v>3</v>
      </c>
      <c r="P1235">
        <v>4</v>
      </c>
      <c r="Q1235">
        <v>0</v>
      </c>
      <c r="R1235">
        <v>25.05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F1235" t="s">
        <v>130</v>
      </c>
      <c r="AH1235">
        <v>25.05</v>
      </c>
    </row>
    <row r="1236" spans="1:34" x14ac:dyDescent="0.3">
      <c r="A1236" s="4">
        <v>1352</v>
      </c>
      <c r="B1236" s="5">
        <v>1229</v>
      </c>
      <c r="C1236">
        <v>1096</v>
      </c>
      <c r="D1236" t="s">
        <v>20484</v>
      </c>
      <c r="E1236" t="s">
        <v>97</v>
      </c>
      <c r="F1236" t="s">
        <v>167</v>
      </c>
      <c r="G1236" t="s">
        <v>32070</v>
      </c>
      <c r="H1236">
        <v>16.05</v>
      </c>
      <c r="I1236">
        <v>0</v>
      </c>
      <c r="J1236">
        <v>0</v>
      </c>
      <c r="K1236">
        <v>0</v>
      </c>
      <c r="M1236">
        <v>5</v>
      </c>
      <c r="O1236">
        <v>5</v>
      </c>
      <c r="P1236">
        <v>4</v>
      </c>
      <c r="Q1236">
        <v>0</v>
      </c>
      <c r="R1236">
        <v>25.05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F1236" t="s">
        <v>130</v>
      </c>
      <c r="AH1236">
        <v>25.05</v>
      </c>
    </row>
    <row r="1237" spans="1:34" x14ac:dyDescent="0.3">
      <c r="A1237" s="4">
        <v>1353</v>
      </c>
      <c r="B1237" s="5">
        <v>1230</v>
      </c>
      <c r="C1237">
        <v>10846</v>
      </c>
      <c r="D1237" t="s">
        <v>9129</v>
      </c>
      <c r="E1237" t="s">
        <v>161</v>
      </c>
      <c r="F1237" t="s">
        <v>55</v>
      </c>
      <c r="G1237" t="s">
        <v>20485</v>
      </c>
      <c r="H1237">
        <v>15</v>
      </c>
      <c r="I1237">
        <v>0</v>
      </c>
      <c r="J1237">
        <v>0</v>
      </c>
      <c r="K1237">
        <v>0</v>
      </c>
      <c r="N1237">
        <v>3</v>
      </c>
      <c r="O1237">
        <v>3</v>
      </c>
      <c r="P1237">
        <v>4</v>
      </c>
      <c r="Q1237">
        <v>0</v>
      </c>
      <c r="R1237">
        <v>22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3</v>
      </c>
      <c r="AC1237">
        <v>0</v>
      </c>
      <c r="AF1237" t="s">
        <v>130</v>
      </c>
      <c r="AH1237">
        <v>25</v>
      </c>
    </row>
    <row r="1238" spans="1:34" x14ac:dyDescent="0.3">
      <c r="A1238" s="4">
        <v>1354</v>
      </c>
      <c r="B1238" s="5">
        <v>1231</v>
      </c>
      <c r="C1238">
        <v>9713</v>
      </c>
      <c r="D1238" t="s">
        <v>20486</v>
      </c>
      <c r="E1238" t="s">
        <v>170</v>
      </c>
      <c r="F1238" t="s">
        <v>117</v>
      </c>
      <c r="G1238" t="s">
        <v>20487</v>
      </c>
      <c r="H1238">
        <v>18</v>
      </c>
      <c r="I1238">
        <v>0</v>
      </c>
      <c r="J1238">
        <v>0</v>
      </c>
      <c r="K1238">
        <v>0</v>
      </c>
      <c r="N1238">
        <v>3</v>
      </c>
      <c r="O1238">
        <v>3</v>
      </c>
      <c r="P1238">
        <v>4</v>
      </c>
      <c r="Q1238">
        <v>0</v>
      </c>
      <c r="R1238">
        <v>25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F1238" t="s">
        <v>130</v>
      </c>
      <c r="AH1238">
        <v>25</v>
      </c>
    </row>
    <row r="1239" spans="1:34" x14ac:dyDescent="0.3">
      <c r="A1239" s="4">
        <v>1355</v>
      </c>
      <c r="B1239" s="5">
        <v>1232</v>
      </c>
      <c r="C1239">
        <v>12302</v>
      </c>
      <c r="D1239" t="s">
        <v>1240</v>
      </c>
      <c r="E1239" t="s">
        <v>41</v>
      </c>
      <c r="F1239" t="s">
        <v>626</v>
      </c>
      <c r="G1239" t="s">
        <v>20488</v>
      </c>
      <c r="H1239">
        <v>17.93</v>
      </c>
      <c r="I1239">
        <v>0</v>
      </c>
      <c r="J1239">
        <v>0</v>
      </c>
      <c r="K1239">
        <v>0</v>
      </c>
      <c r="N1239">
        <v>3</v>
      </c>
      <c r="O1239">
        <v>3</v>
      </c>
      <c r="P1239">
        <v>4</v>
      </c>
      <c r="Q1239">
        <v>0</v>
      </c>
      <c r="R1239">
        <v>24.93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F1239" t="s">
        <v>130</v>
      </c>
      <c r="AH1239">
        <v>24.93</v>
      </c>
    </row>
    <row r="1240" spans="1:34" x14ac:dyDescent="0.3">
      <c r="A1240" s="4">
        <v>1356</v>
      </c>
      <c r="B1240" s="5">
        <v>1233</v>
      </c>
      <c r="C1240">
        <v>9089</v>
      </c>
      <c r="D1240" t="s">
        <v>20489</v>
      </c>
      <c r="E1240" t="s">
        <v>132</v>
      </c>
      <c r="F1240" t="s">
        <v>570</v>
      </c>
      <c r="G1240" t="s">
        <v>20490</v>
      </c>
      <c r="H1240">
        <v>17.88</v>
      </c>
      <c r="I1240">
        <v>0</v>
      </c>
      <c r="J1240">
        <v>0</v>
      </c>
      <c r="K1240">
        <v>0</v>
      </c>
      <c r="N1240">
        <v>3</v>
      </c>
      <c r="O1240">
        <v>3</v>
      </c>
      <c r="P1240">
        <v>4</v>
      </c>
      <c r="Q1240">
        <v>0</v>
      </c>
      <c r="R1240">
        <v>24.88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F1240" t="s">
        <v>130</v>
      </c>
      <c r="AH1240">
        <v>24.88</v>
      </c>
    </row>
    <row r="1241" spans="1:34" x14ac:dyDescent="0.3">
      <c r="A1241" s="4">
        <v>1357</v>
      </c>
      <c r="B1241" s="5">
        <v>1234</v>
      </c>
      <c r="C1241">
        <v>1490</v>
      </c>
      <c r="D1241" t="s">
        <v>20491</v>
      </c>
      <c r="E1241" t="s">
        <v>825</v>
      </c>
      <c r="F1241" t="s">
        <v>136</v>
      </c>
      <c r="G1241" t="s">
        <v>20492</v>
      </c>
      <c r="H1241">
        <v>17.850000000000001</v>
      </c>
      <c r="I1241">
        <v>0</v>
      </c>
      <c r="J1241">
        <v>0</v>
      </c>
      <c r="K1241">
        <v>0</v>
      </c>
      <c r="N1241">
        <v>3</v>
      </c>
      <c r="O1241">
        <v>3</v>
      </c>
      <c r="P1241">
        <v>4</v>
      </c>
      <c r="Q1241">
        <v>0</v>
      </c>
      <c r="R1241">
        <v>24.85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F1241" t="s">
        <v>130</v>
      </c>
      <c r="AH1241">
        <v>24.85</v>
      </c>
    </row>
    <row r="1242" spans="1:34" x14ac:dyDescent="0.3">
      <c r="A1242" s="4">
        <v>1358</v>
      </c>
      <c r="B1242" s="5">
        <v>1235</v>
      </c>
      <c r="C1242">
        <v>9176</v>
      </c>
      <c r="D1242" t="s">
        <v>1252</v>
      </c>
      <c r="E1242" t="s">
        <v>41</v>
      </c>
      <c r="F1242" t="s">
        <v>81</v>
      </c>
      <c r="G1242" t="s">
        <v>20493</v>
      </c>
      <c r="H1242">
        <v>17.829999999999998</v>
      </c>
      <c r="I1242">
        <v>0</v>
      </c>
      <c r="J1242">
        <v>0</v>
      </c>
      <c r="K1242">
        <v>0</v>
      </c>
      <c r="L1242">
        <v>7</v>
      </c>
      <c r="O1242">
        <v>7</v>
      </c>
      <c r="P1242">
        <v>0</v>
      </c>
      <c r="Q1242">
        <v>0</v>
      </c>
      <c r="R1242">
        <v>24.83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F1242" t="s">
        <v>130</v>
      </c>
      <c r="AH1242">
        <v>24.83</v>
      </c>
    </row>
    <row r="1243" spans="1:34" x14ac:dyDescent="0.3">
      <c r="A1243" s="4">
        <v>1359</v>
      </c>
      <c r="B1243" s="5">
        <v>1236</v>
      </c>
      <c r="C1243">
        <v>6148</v>
      </c>
      <c r="D1243" t="s">
        <v>20494</v>
      </c>
      <c r="E1243" t="s">
        <v>26</v>
      </c>
      <c r="F1243" t="s">
        <v>38</v>
      </c>
      <c r="G1243" t="s">
        <v>20495</v>
      </c>
      <c r="H1243">
        <v>17.5</v>
      </c>
      <c r="I1243">
        <v>0</v>
      </c>
      <c r="J1243">
        <v>0</v>
      </c>
      <c r="K1243">
        <v>0</v>
      </c>
      <c r="O1243">
        <v>0</v>
      </c>
      <c r="P1243">
        <v>4</v>
      </c>
      <c r="Q1243">
        <v>0</v>
      </c>
      <c r="R1243">
        <v>21.5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3</v>
      </c>
      <c r="AC1243">
        <v>0</v>
      </c>
      <c r="AF1243" t="s">
        <v>130</v>
      </c>
      <c r="AH1243">
        <v>24.5</v>
      </c>
    </row>
    <row r="1244" spans="1:34" x14ac:dyDescent="0.3">
      <c r="A1244" s="4">
        <v>1360</v>
      </c>
      <c r="B1244" s="5">
        <v>1237</v>
      </c>
      <c r="C1244">
        <v>7490</v>
      </c>
      <c r="D1244" t="s">
        <v>784</v>
      </c>
      <c r="E1244" t="s">
        <v>1043</v>
      </c>
      <c r="F1244" t="s">
        <v>30</v>
      </c>
      <c r="G1244" t="s">
        <v>20496</v>
      </c>
      <c r="H1244">
        <v>20.5</v>
      </c>
      <c r="I1244">
        <v>0</v>
      </c>
      <c r="J1244">
        <v>0</v>
      </c>
      <c r="K1244">
        <v>0</v>
      </c>
      <c r="O1244">
        <v>0</v>
      </c>
      <c r="P1244">
        <v>4</v>
      </c>
      <c r="Q1244">
        <v>0</v>
      </c>
      <c r="R1244">
        <v>24.5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F1244" t="s">
        <v>130</v>
      </c>
      <c r="AH1244">
        <v>24.5</v>
      </c>
    </row>
    <row r="1245" spans="1:34" x14ac:dyDescent="0.3">
      <c r="A1245" s="4">
        <v>1361</v>
      </c>
      <c r="B1245" s="5">
        <v>1238</v>
      </c>
      <c r="C1245">
        <v>11714</v>
      </c>
      <c r="D1245" t="s">
        <v>737</v>
      </c>
      <c r="E1245" t="s">
        <v>54</v>
      </c>
      <c r="F1245" t="s">
        <v>38</v>
      </c>
      <c r="G1245" t="s">
        <v>20497</v>
      </c>
      <c r="H1245">
        <v>20.45</v>
      </c>
      <c r="I1245">
        <v>0</v>
      </c>
      <c r="J1245">
        <v>0</v>
      </c>
      <c r="K1245">
        <v>0</v>
      </c>
      <c r="O1245">
        <v>0</v>
      </c>
      <c r="P1245">
        <v>4</v>
      </c>
      <c r="Q1245">
        <v>0</v>
      </c>
      <c r="R1245">
        <v>24.45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F1245" t="s">
        <v>130</v>
      </c>
      <c r="AH1245">
        <v>24.45</v>
      </c>
    </row>
    <row r="1246" spans="1:34" x14ac:dyDescent="0.3">
      <c r="A1246" s="4">
        <v>1362</v>
      </c>
      <c r="B1246" s="5">
        <v>1239</v>
      </c>
      <c r="C1246">
        <v>10636</v>
      </c>
      <c r="D1246" t="s">
        <v>7558</v>
      </c>
      <c r="E1246" t="s">
        <v>178</v>
      </c>
      <c r="F1246" t="s">
        <v>17</v>
      </c>
      <c r="G1246" t="s">
        <v>20498</v>
      </c>
      <c r="H1246">
        <v>18.399999999999999</v>
      </c>
      <c r="I1246">
        <v>0</v>
      </c>
      <c r="J1246">
        <v>0</v>
      </c>
      <c r="K1246">
        <v>0</v>
      </c>
      <c r="O1246">
        <v>0</v>
      </c>
      <c r="P1246">
        <v>4</v>
      </c>
      <c r="Q1246">
        <v>2</v>
      </c>
      <c r="R1246">
        <v>24.4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F1246" t="s">
        <v>130</v>
      </c>
      <c r="AH1246">
        <v>24.4</v>
      </c>
    </row>
    <row r="1247" spans="1:34" x14ac:dyDescent="0.3">
      <c r="A1247" s="4">
        <v>1363</v>
      </c>
      <c r="B1247" s="5">
        <v>1240</v>
      </c>
      <c r="C1247">
        <v>2268</v>
      </c>
      <c r="D1247" t="s">
        <v>5166</v>
      </c>
      <c r="E1247" t="s">
        <v>3313</v>
      </c>
      <c r="F1247" t="s">
        <v>38</v>
      </c>
      <c r="G1247" t="s">
        <v>20499</v>
      </c>
      <c r="H1247">
        <v>18.149999999999999</v>
      </c>
      <c r="I1247">
        <v>0</v>
      </c>
      <c r="J1247">
        <v>0</v>
      </c>
      <c r="K1247">
        <v>0</v>
      </c>
      <c r="O1247">
        <v>0</v>
      </c>
      <c r="P1247">
        <v>4</v>
      </c>
      <c r="Q1247">
        <v>2</v>
      </c>
      <c r="R1247">
        <v>24.15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F1247" t="s">
        <v>130</v>
      </c>
      <c r="AH1247">
        <v>24.15</v>
      </c>
    </row>
    <row r="1248" spans="1:34" x14ac:dyDescent="0.3">
      <c r="A1248" s="4">
        <v>1364</v>
      </c>
      <c r="B1248" s="5">
        <v>1241</v>
      </c>
      <c r="C1248">
        <v>247</v>
      </c>
      <c r="D1248" t="s">
        <v>20500</v>
      </c>
      <c r="E1248" t="s">
        <v>213</v>
      </c>
      <c r="F1248" t="s">
        <v>230</v>
      </c>
      <c r="G1248" t="s">
        <v>20501</v>
      </c>
      <c r="H1248">
        <v>18.100000000000001</v>
      </c>
      <c r="I1248">
        <v>0</v>
      </c>
      <c r="J1248">
        <v>0</v>
      </c>
      <c r="K1248">
        <v>0</v>
      </c>
      <c r="O1248">
        <v>0</v>
      </c>
      <c r="P1248">
        <v>4</v>
      </c>
      <c r="Q1248">
        <v>2</v>
      </c>
      <c r="R1248">
        <v>24.1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F1248" t="s">
        <v>130</v>
      </c>
      <c r="AH1248">
        <v>24.1</v>
      </c>
    </row>
    <row r="1249" spans="1:34" x14ac:dyDescent="0.3">
      <c r="A1249" s="4">
        <v>1365</v>
      </c>
      <c r="B1249" s="5">
        <v>1242</v>
      </c>
      <c r="C1249">
        <v>14719</v>
      </c>
      <c r="D1249" t="s">
        <v>12883</v>
      </c>
      <c r="E1249" t="s">
        <v>29</v>
      </c>
      <c r="F1249" t="s">
        <v>117</v>
      </c>
      <c r="G1249" t="s">
        <v>20502</v>
      </c>
      <c r="H1249">
        <v>17.03</v>
      </c>
      <c r="I1249">
        <v>0</v>
      </c>
      <c r="J1249">
        <v>0</v>
      </c>
      <c r="K1249">
        <v>0</v>
      </c>
      <c r="N1249">
        <v>3</v>
      </c>
      <c r="O1249">
        <v>3</v>
      </c>
      <c r="P1249">
        <v>4</v>
      </c>
      <c r="Q1249">
        <v>0</v>
      </c>
      <c r="R1249">
        <v>24.03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F1249" t="s">
        <v>130</v>
      </c>
      <c r="AH1249">
        <v>24.03</v>
      </c>
    </row>
    <row r="1250" spans="1:34" x14ac:dyDescent="0.3">
      <c r="A1250" s="4">
        <v>1366</v>
      </c>
      <c r="B1250" s="5">
        <v>1243</v>
      </c>
      <c r="C1250">
        <v>603</v>
      </c>
      <c r="D1250" t="s">
        <v>20503</v>
      </c>
      <c r="E1250" t="s">
        <v>20504</v>
      </c>
      <c r="F1250" t="s">
        <v>587</v>
      </c>
      <c r="G1250" t="s">
        <v>20505</v>
      </c>
      <c r="H1250">
        <v>18</v>
      </c>
      <c r="I1250">
        <v>0</v>
      </c>
      <c r="J1250">
        <v>0</v>
      </c>
      <c r="K1250">
        <v>0</v>
      </c>
      <c r="N1250">
        <v>3</v>
      </c>
      <c r="O1250">
        <v>3</v>
      </c>
      <c r="P1250">
        <v>0</v>
      </c>
      <c r="Q1250">
        <v>0</v>
      </c>
      <c r="R1250">
        <v>21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3</v>
      </c>
      <c r="AC1250">
        <v>0</v>
      </c>
      <c r="AF1250" t="s">
        <v>130</v>
      </c>
      <c r="AH1250">
        <v>24</v>
      </c>
    </row>
    <row r="1251" spans="1:34" x14ac:dyDescent="0.3">
      <c r="A1251" s="4">
        <v>1367</v>
      </c>
      <c r="B1251" s="5">
        <v>1244</v>
      </c>
      <c r="C1251">
        <v>10453</v>
      </c>
      <c r="D1251" t="s">
        <v>28</v>
      </c>
      <c r="E1251" t="s">
        <v>342</v>
      </c>
      <c r="F1251" t="s">
        <v>975</v>
      </c>
      <c r="G1251" t="s">
        <v>20506</v>
      </c>
      <c r="H1251">
        <v>17.899999999999999</v>
      </c>
      <c r="I1251">
        <v>0</v>
      </c>
      <c r="J1251">
        <v>0</v>
      </c>
      <c r="K1251">
        <v>0</v>
      </c>
      <c r="O1251">
        <v>0</v>
      </c>
      <c r="P1251">
        <v>4</v>
      </c>
      <c r="Q1251">
        <v>2</v>
      </c>
      <c r="R1251">
        <v>23.9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F1251" t="s">
        <v>130</v>
      </c>
      <c r="AH1251">
        <v>23.9</v>
      </c>
    </row>
    <row r="1252" spans="1:34" x14ac:dyDescent="0.3">
      <c r="A1252" s="4">
        <v>1368</v>
      </c>
      <c r="B1252" s="5">
        <v>1245</v>
      </c>
      <c r="C1252">
        <v>12787</v>
      </c>
      <c r="D1252" t="s">
        <v>6744</v>
      </c>
      <c r="E1252" t="s">
        <v>20507</v>
      </c>
      <c r="F1252" t="s">
        <v>13802</v>
      </c>
      <c r="G1252" t="s">
        <v>20508</v>
      </c>
      <c r="H1252">
        <v>16.88</v>
      </c>
      <c r="I1252">
        <v>0</v>
      </c>
      <c r="J1252">
        <v>0</v>
      </c>
      <c r="K1252">
        <v>0</v>
      </c>
      <c r="N1252">
        <v>3</v>
      </c>
      <c r="O1252">
        <v>3</v>
      </c>
      <c r="P1252">
        <v>4</v>
      </c>
      <c r="Q1252">
        <v>0</v>
      </c>
      <c r="R1252">
        <v>23.88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F1252" t="s">
        <v>130</v>
      </c>
      <c r="AH1252">
        <v>23.88</v>
      </c>
    </row>
    <row r="1253" spans="1:34" x14ac:dyDescent="0.3">
      <c r="A1253" s="4">
        <v>1369</v>
      </c>
      <c r="B1253" s="5">
        <v>1246</v>
      </c>
      <c r="C1253">
        <v>11004</v>
      </c>
      <c r="D1253" t="s">
        <v>20509</v>
      </c>
      <c r="E1253" t="s">
        <v>29</v>
      </c>
      <c r="F1253" t="s">
        <v>117</v>
      </c>
      <c r="G1253" t="s">
        <v>20510</v>
      </c>
      <c r="H1253">
        <v>16.88</v>
      </c>
      <c r="I1253">
        <v>0</v>
      </c>
      <c r="J1253">
        <v>0</v>
      </c>
      <c r="K1253">
        <v>0</v>
      </c>
      <c r="N1253">
        <v>3</v>
      </c>
      <c r="O1253">
        <v>3</v>
      </c>
      <c r="P1253">
        <v>4</v>
      </c>
      <c r="Q1253">
        <v>0</v>
      </c>
      <c r="R1253">
        <v>23.88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F1253" t="s">
        <v>130</v>
      </c>
      <c r="AH1253">
        <v>23.88</v>
      </c>
    </row>
    <row r="1254" spans="1:34" x14ac:dyDescent="0.3">
      <c r="A1254" s="4">
        <v>1370</v>
      </c>
      <c r="B1254" s="5">
        <v>1247</v>
      </c>
      <c r="C1254">
        <v>10739</v>
      </c>
      <c r="D1254" t="s">
        <v>20511</v>
      </c>
      <c r="E1254" t="s">
        <v>88</v>
      </c>
      <c r="F1254" t="s">
        <v>68</v>
      </c>
      <c r="G1254" t="s">
        <v>20512</v>
      </c>
      <c r="H1254">
        <v>17.78</v>
      </c>
      <c r="I1254">
        <v>0</v>
      </c>
      <c r="J1254">
        <v>0</v>
      </c>
      <c r="K1254">
        <v>0</v>
      </c>
      <c r="O1254">
        <v>0</v>
      </c>
      <c r="P1254">
        <v>4</v>
      </c>
      <c r="Q1254">
        <v>2</v>
      </c>
      <c r="R1254">
        <v>23.78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F1254" t="s">
        <v>130</v>
      </c>
      <c r="AH1254">
        <v>23.78</v>
      </c>
    </row>
    <row r="1255" spans="1:34" x14ac:dyDescent="0.3">
      <c r="A1255" s="4">
        <v>1371</v>
      </c>
      <c r="B1255" s="5">
        <v>1248</v>
      </c>
      <c r="C1255">
        <v>10079</v>
      </c>
      <c r="D1255" t="s">
        <v>4743</v>
      </c>
      <c r="E1255" t="s">
        <v>29</v>
      </c>
      <c r="F1255" t="s">
        <v>17</v>
      </c>
      <c r="G1255" t="s">
        <v>20513</v>
      </c>
      <c r="H1255">
        <v>17.75</v>
      </c>
      <c r="I1255">
        <v>0</v>
      </c>
      <c r="J1255">
        <v>0</v>
      </c>
      <c r="K1255">
        <v>0</v>
      </c>
      <c r="O1255">
        <v>0</v>
      </c>
      <c r="P1255">
        <v>4</v>
      </c>
      <c r="Q1255">
        <v>2</v>
      </c>
      <c r="R1255">
        <v>23.75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F1255" t="s">
        <v>130</v>
      </c>
      <c r="AH1255">
        <v>23.75</v>
      </c>
    </row>
    <row r="1256" spans="1:34" x14ac:dyDescent="0.3">
      <c r="A1256" s="4">
        <v>1372</v>
      </c>
      <c r="B1256" s="5">
        <v>1249</v>
      </c>
      <c r="C1256">
        <v>15056</v>
      </c>
      <c r="D1256" t="s">
        <v>20514</v>
      </c>
      <c r="E1256" t="s">
        <v>286</v>
      </c>
      <c r="F1256" t="s">
        <v>30</v>
      </c>
      <c r="G1256" t="s">
        <v>20515</v>
      </c>
      <c r="H1256">
        <v>16.7</v>
      </c>
      <c r="I1256">
        <v>0</v>
      </c>
      <c r="J1256">
        <v>0</v>
      </c>
      <c r="K1256">
        <v>0</v>
      </c>
      <c r="N1256">
        <v>3</v>
      </c>
      <c r="O1256">
        <v>3</v>
      </c>
      <c r="P1256">
        <v>4</v>
      </c>
      <c r="Q1256">
        <v>0</v>
      </c>
      <c r="R1256">
        <v>23.7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F1256" t="s">
        <v>130</v>
      </c>
      <c r="AH1256">
        <v>23.7</v>
      </c>
    </row>
    <row r="1257" spans="1:34" x14ac:dyDescent="0.3">
      <c r="A1257" s="4">
        <v>1373</v>
      </c>
      <c r="B1257" s="5">
        <v>1250</v>
      </c>
      <c r="C1257">
        <v>11902</v>
      </c>
      <c r="D1257" t="s">
        <v>20516</v>
      </c>
      <c r="E1257" t="s">
        <v>425</v>
      </c>
      <c r="F1257" t="s">
        <v>19256</v>
      </c>
      <c r="G1257" t="s">
        <v>20517</v>
      </c>
      <c r="H1257">
        <v>16.600000000000001</v>
      </c>
      <c r="I1257">
        <v>0</v>
      </c>
      <c r="J1257">
        <v>0</v>
      </c>
      <c r="K1257">
        <v>0</v>
      </c>
      <c r="N1257">
        <v>3</v>
      </c>
      <c r="O1257">
        <v>3</v>
      </c>
      <c r="P1257">
        <v>4</v>
      </c>
      <c r="Q1257">
        <v>0</v>
      </c>
      <c r="R1257">
        <v>23.6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F1257" t="s">
        <v>130</v>
      </c>
      <c r="AH1257">
        <v>23.6</v>
      </c>
    </row>
    <row r="1258" spans="1:34" x14ac:dyDescent="0.3">
      <c r="A1258" s="4">
        <v>1374</v>
      </c>
      <c r="B1258" s="5">
        <v>1251</v>
      </c>
      <c r="C1258">
        <v>5670</v>
      </c>
      <c r="D1258" t="s">
        <v>9312</v>
      </c>
      <c r="E1258" t="s">
        <v>22</v>
      </c>
      <c r="F1258" t="s">
        <v>30</v>
      </c>
      <c r="G1258" t="s">
        <v>20518</v>
      </c>
      <c r="H1258">
        <v>16.600000000000001</v>
      </c>
      <c r="I1258">
        <v>0</v>
      </c>
      <c r="J1258">
        <v>0</v>
      </c>
      <c r="K1258">
        <v>0</v>
      </c>
      <c r="N1258">
        <v>3</v>
      </c>
      <c r="O1258">
        <v>3</v>
      </c>
      <c r="P1258">
        <v>4</v>
      </c>
      <c r="Q1258">
        <v>0</v>
      </c>
      <c r="R1258">
        <v>23.6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F1258" t="s">
        <v>130</v>
      </c>
      <c r="AH1258">
        <v>23.6</v>
      </c>
    </row>
    <row r="1259" spans="1:34" x14ac:dyDescent="0.3">
      <c r="A1259" s="4">
        <v>1375</v>
      </c>
      <c r="B1259" s="5">
        <v>1252</v>
      </c>
      <c r="C1259">
        <v>13528</v>
      </c>
      <c r="D1259" t="s">
        <v>20519</v>
      </c>
      <c r="E1259" t="s">
        <v>652</v>
      </c>
      <c r="F1259" t="s">
        <v>466</v>
      </c>
      <c r="G1259" t="s">
        <v>20520</v>
      </c>
      <c r="H1259">
        <v>16.45</v>
      </c>
      <c r="I1259">
        <v>0</v>
      </c>
      <c r="J1259">
        <v>0</v>
      </c>
      <c r="K1259">
        <v>0</v>
      </c>
      <c r="N1259">
        <v>3</v>
      </c>
      <c r="O1259">
        <v>3</v>
      </c>
      <c r="P1259">
        <v>4</v>
      </c>
      <c r="Q1259">
        <v>0</v>
      </c>
      <c r="R1259">
        <v>23.45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F1259" t="s">
        <v>130</v>
      </c>
      <c r="AH1259">
        <v>23.45</v>
      </c>
    </row>
    <row r="1260" spans="1:34" x14ac:dyDescent="0.3">
      <c r="A1260" s="4">
        <v>1376</v>
      </c>
      <c r="B1260" s="5">
        <v>1253</v>
      </c>
      <c r="C1260">
        <v>10423</v>
      </c>
      <c r="D1260" t="s">
        <v>20521</v>
      </c>
      <c r="E1260" t="s">
        <v>268</v>
      </c>
      <c r="F1260" t="s">
        <v>5171</v>
      </c>
      <c r="G1260" t="s">
        <v>20522</v>
      </c>
      <c r="H1260">
        <v>17.329999999999998</v>
      </c>
      <c r="I1260">
        <v>0</v>
      </c>
      <c r="J1260">
        <v>0</v>
      </c>
      <c r="K1260">
        <v>0</v>
      </c>
      <c r="O1260">
        <v>0</v>
      </c>
      <c r="P1260">
        <v>4</v>
      </c>
      <c r="Q1260">
        <v>2</v>
      </c>
      <c r="R1260">
        <v>23.33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F1260" t="s">
        <v>130</v>
      </c>
      <c r="AH1260">
        <v>23.33</v>
      </c>
    </row>
    <row r="1261" spans="1:34" x14ac:dyDescent="0.3">
      <c r="A1261" s="4">
        <v>1377</v>
      </c>
      <c r="B1261" s="5">
        <v>1254</v>
      </c>
      <c r="C1261">
        <v>1843</v>
      </c>
      <c r="D1261" t="s">
        <v>885</v>
      </c>
      <c r="E1261" t="s">
        <v>20523</v>
      </c>
      <c r="F1261" t="s">
        <v>2595</v>
      </c>
      <c r="G1261" t="s">
        <v>20524</v>
      </c>
      <c r="H1261">
        <v>17.3</v>
      </c>
      <c r="I1261">
        <v>0</v>
      </c>
      <c r="J1261">
        <v>0</v>
      </c>
      <c r="K1261">
        <v>0</v>
      </c>
      <c r="O1261">
        <v>0</v>
      </c>
      <c r="P1261">
        <v>4</v>
      </c>
      <c r="Q1261">
        <v>2</v>
      </c>
      <c r="R1261">
        <v>23.3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F1261" t="s">
        <v>130</v>
      </c>
      <c r="AH1261">
        <v>23.3</v>
      </c>
    </row>
    <row r="1262" spans="1:34" x14ac:dyDescent="0.3">
      <c r="A1262" s="4">
        <v>1378</v>
      </c>
      <c r="B1262" s="5">
        <v>1255</v>
      </c>
      <c r="C1262">
        <v>14972</v>
      </c>
      <c r="D1262" t="s">
        <v>20525</v>
      </c>
      <c r="E1262" t="s">
        <v>100</v>
      </c>
      <c r="F1262" t="s">
        <v>1806</v>
      </c>
      <c r="G1262" t="s">
        <v>20526</v>
      </c>
      <c r="H1262">
        <v>16.25</v>
      </c>
      <c r="I1262">
        <v>0</v>
      </c>
      <c r="J1262">
        <v>0</v>
      </c>
      <c r="K1262">
        <v>0</v>
      </c>
      <c r="O1262">
        <v>0</v>
      </c>
      <c r="P1262">
        <v>4</v>
      </c>
      <c r="Q1262">
        <v>0</v>
      </c>
      <c r="R1262">
        <v>20.25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3</v>
      </c>
      <c r="AC1262">
        <v>0</v>
      </c>
      <c r="AF1262" t="s">
        <v>130</v>
      </c>
      <c r="AH1262">
        <v>23.25</v>
      </c>
    </row>
    <row r="1263" spans="1:34" x14ac:dyDescent="0.3">
      <c r="A1263" s="4">
        <v>1379</v>
      </c>
      <c r="B1263" s="5">
        <v>1256</v>
      </c>
      <c r="C1263">
        <v>7417</v>
      </c>
      <c r="D1263" t="s">
        <v>12586</v>
      </c>
      <c r="E1263" t="s">
        <v>161</v>
      </c>
      <c r="F1263" t="s">
        <v>190</v>
      </c>
      <c r="G1263" t="s">
        <v>20527</v>
      </c>
      <c r="H1263">
        <v>19.18</v>
      </c>
      <c r="I1263">
        <v>0</v>
      </c>
      <c r="J1263">
        <v>0</v>
      </c>
      <c r="K1263">
        <v>0</v>
      </c>
      <c r="O1263">
        <v>0</v>
      </c>
      <c r="P1263">
        <v>4</v>
      </c>
      <c r="Q1263">
        <v>0</v>
      </c>
      <c r="R1263">
        <v>23.18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F1263" t="s">
        <v>130</v>
      </c>
      <c r="AH1263">
        <v>23.18</v>
      </c>
    </row>
    <row r="1264" spans="1:34" x14ac:dyDescent="0.3">
      <c r="A1264" s="4">
        <v>1380</v>
      </c>
      <c r="B1264" s="5">
        <v>1257</v>
      </c>
      <c r="C1264">
        <v>14175</v>
      </c>
      <c r="D1264" t="s">
        <v>20528</v>
      </c>
      <c r="E1264" t="s">
        <v>29</v>
      </c>
      <c r="F1264" t="s">
        <v>68</v>
      </c>
      <c r="G1264" t="s">
        <v>20529</v>
      </c>
      <c r="H1264">
        <v>19.05</v>
      </c>
      <c r="I1264">
        <v>0</v>
      </c>
      <c r="J1264">
        <v>0</v>
      </c>
      <c r="K1264">
        <v>0</v>
      </c>
      <c r="O1264">
        <v>0</v>
      </c>
      <c r="P1264">
        <v>4</v>
      </c>
      <c r="Q1264">
        <v>0</v>
      </c>
      <c r="R1264">
        <v>23.05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F1264" t="s">
        <v>130</v>
      </c>
      <c r="AH1264">
        <v>23.05</v>
      </c>
    </row>
    <row r="1265" spans="1:34" x14ac:dyDescent="0.3">
      <c r="A1265" s="4">
        <v>1381</v>
      </c>
      <c r="B1265" s="5">
        <v>1258</v>
      </c>
      <c r="C1265">
        <v>7084</v>
      </c>
      <c r="D1265" t="s">
        <v>19636</v>
      </c>
      <c r="E1265" t="s">
        <v>286</v>
      </c>
      <c r="F1265" t="s">
        <v>158</v>
      </c>
      <c r="G1265" t="s">
        <v>20530</v>
      </c>
      <c r="H1265">
        <v>17</v>
      </c>
      <c r="I1265">
        <v>0</v>
      </c>
      <c r="J1265">
        <v>0</v>
      </c>
      <c r="K1265">
        <v>0</v>
      </c>
      <c r="O1265">
        <v>0</v>
      </c>
      <c r="P1265">
        <v>0</v>
      </c>
      <c r="Q1265">
        <v>0</v>
      </c>
      <c r="R1265">
        <v>17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6</v>
      </c>
      <c r="AC1265">
        <v>0</v>
      </c>
      <c r="AF1265" t="s">
        <v>130</v>
      </c>
      <c r="AH1265">
        <v>23</v>
      </c>
    </row>
    <row r="1266" spans="1:34" x14ac:dyDescent="0.3">
      <c r="A1266" s="4">
        <v>1382</v>
      </c>
      <c r="B1266" s="5">
        <v>1259</v>
      </c>
      <c r="C1266">
        <v>8967</v>
      </c>
      <c r="D1266" t="s">
        <v>20531</v>
      </c>
      <c r="E1266" t="s">
        <v>3948</v>
      </c>
      <c r="F1266" t="s">
        <v>117</v>
      </c>
      <c r="G1266" t="s">
        <v>20532</v>
      </c>
      <c r="H1266">
        <v>18.75</v>
      </c>
      <c r="I1266">
        <v>0</v>
      </c>
      <c r="J1266">
        <v>0</v>
      </c>
      <c r="K1266">
        <v>0</v>
      </c>
      <c r="O1266">
        <v>0</v>
      </c>
      <c r="P1266">
        <v>4</v>
      </c>
      <c r="Q1266">
        <v>0</v>
      </c>
      <c r="R1266">
        <v>22.75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F1266" t="s">
        <v>130</v>
      </c>
      <c r="AH1266">
        <v>22.75</v>
      </c>
    </row>
    <row r="1267" spans="1:34" x14ac:dyDescent="0.3">
      <c r="A1267" s="4">
        <v>1383</v>
      </c>
      <c r="B1267" s="5">
        <v>1260</v>
      </c>
      <c r="C1267">
        <v>347</v>
      </c>
      <c r="D1267" t="s">
        <v>14278</v>
      </c>
      <c r="E1267" t="s">
        <v>193</v>
      </c>
      <c r="F1267" t="s">
        <v>14</v>
      </c>
      <c r="G1267" t="s">
        <v>20533</v>
      </c>
      <c r="H1267">
        <v>18.579999999999998</v>
      </c>
      <c r="I1267">
        <v>0</v>
      </c>
      <c r="J1267">
        <v>0</v>
      </c>
      <c r="K1267">
        <v>0</v>
      </c>
      <c r="O1267">
        <v>0</v>
      </c>
      <c r="P1267">
        <v>4</v>
      </c>
      <c r="Q1267">
        <v>0</v>
      </c>
      <c r="R1267">
        <v>22.58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F1267" t="s">
        <v>130</v>
      </c>
      <c r="AH1267">
        <v>22.58</v>
      </c>
    </row>
    <row r="1268" spans="1:34" x14ac:dyDescent="0.3">
      <c r="A1268" s="4">
        <v>1384</v>
      </c>
      <c r="B1268" s="5">
        <v>1261</v>
      </c>
      <c r="C1268">
        <v>6659</v>
      </c>
      <c r="D1268" t="s">
        <v>10502</v>
      </c>
      <c r="E1268" t="s">
        <v>41</v>
      </c>
      <c r="F1268" t="s">
        <v>117</v>
      </c>
      <c r="G1268" t="s">
        <v>20534</v>
      </c>
      <c r="H1268">
        <v>18.55</v>
      </c>
      <c r="I1268">
        <v>0</v>
      </c>
      <c r="J1268">
        <v>0</v>
      </c>
      <c r="K1268">
        <v>0</v>
      </c>
      <c r="O1268">
        <v>0</v>
      </c>
      <c r="P1268">
        <v>4</v>
      </c>
      <c r="Q1268">
        <v>0</v>
      </c>
      <c r="R1268">
        <v>22.55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F1268" t="s">
        <v>130</v>
      </c>
      <c r="AH1268">
        <v>22.55</v>
      </c>
    </row>
    <row r="1269" spans="1:34" x14ac:dyDescent="0.3">
      <c r="A1269" s="4">
        <v>1385</v>
      </c>
      <c r="B1269" s="5">
        <v>1262</v>
      </c>
      <c r="C1269">
        <v>9136</v>
      </c>
      <c r="D1269" t="s">
        <v>20535</v>
      </c>
      <c r="E1269" t="s">
        <v>167</v>
      </c>
      <c r="F1269" t="s">
        <v>375</v>
      </c>
      <c r="G1269" t="s">
        <v>20536</v>
      </c>
      <c r="H1269">
        <v>18.25</v>
      </c>
      <c r="I1269">
        <v>0</v>
      </c>
      <c r="J1269">
        <v>0</v>
      </c>
      <c r="K1269">
        <v>0</v>
      </c>
      <c r="O1269">
        <v>0</v>
      </c>
      <c r="P1269">
        <v>4</v>
      </c>
      <c r="Q1269">
        <v>0</v>
      </c>
      <c r="R1269">
        <v>22.25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F1269" t="s">
        <v>130</v>
      </c>
      <c r="AH1269">
        <v>22.25</v>
      </c>
    </row>
    <row r="1270" spans="1:34" x14ac:dyDescent="0.3">
      <c r="A1270" s="4">
        <v>1386</v>
      </c>
      <c r="B1270" s="5">
        <v>1263</v>
      </c>
      <c r="C1270">
        <v>12891</v>
      </c>
      <c r="D1270" t="s">
        <v>20537</v>
      </c>
      <c r="E1270" t="s">
        <v>38</v>
      </c>
      <c r="F1270" t="s">
        <v>136</v>
      </c>
      <c r="G1270" t="s">
        <v>20538</v>
      </c>
      <c r="H1270">
        <v>19.100000000000001</v>
      </c>
      <c r="I1270">
        <v>0</v>
      </c>
      <c r="J1270">
        <v>0</v>
      </c>
      <c r="K1270">
        <v>0</v>
      </c>
      <c r="N1270">
        <v>3</v>
      </c>
      <c r="O1270">
        <v>3</v>
      </c>
      <c r="P1270">
        <v>0</v>
      </c>
      <c r="Q1270">
        <v>0</v>
      </c>
      <c r="R1270">
        <v>22.1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F1270" t="s">
        <v>130</v>
      </c>
      <c r="AH1270">
        <v>22.1</v>
      </c>
    </row>
    <row r="1271" spans="1:34" x14ac:dyDescent="0.3">
      <c r="A1271" s="4">
        <v>1387</v>
      </c>
      <c r="B1271" s="5">
        <v>1264</v>
      </c>
      <c r="C1271">
        <v>6045</v>
      </c>
      <c r="D1271" t="s">
        <v>12436</v>
      </c>
      <c r="E1271" t="s">
        <v>358</v>
      </c>
      <c r="F1271" t="s">
        <v>167</v>
      </c>
      <c r="G1271" t="s">
        <v>20539</v>
      </c>
      <c r="H1271">
        <v>17.98</v>
      </c>
      <c r="I1271">
        <v>0</v>
      </c>
      <c r="J1271">
        <v>0</v>
      </c>
      <c r="K1271">
        <v>0</v>
      </c>
      <c r="O1271">
        <v>0</v>
      </c>
      <c r="P1271">
        <v>4</v>
      </c>
      <c r="Q1271">
        <v>0</v>
      </c>
      <c r="R1271">
        <v>21.98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F1271" t="s">
        <v>130</v>
      </c>
      <c r="AH1271">
        <v>21.98</v>
      </c>
    </row>
    <row r="1272" spans="1:34" x14ac:dyDescent="0.3">
      <c r="A1272" s="4">
        <v>1388</v>
      </c>
      <c r="B1272" s="5">
        <v>1265</v>
      </c>
      <c r="C1272">
        <v>10226</v>
      </c>
      <c r="D1272" t="s">
        <v>11584</v>
      </c>
      <c r="E1272" t="s">
        <v>208</v>
      </c>
      <c r="F1272" t="s">
        <v>457</v>
      </c>
      <c r="G1272" t="s">
        <v>20540</v>
      </c>
      <c r="H1272">
        <v>17.43</v>
      </c>
      <c r="I1272">
        <v>0</v>
      </c>
      <c r="J1272">
        <v>0</v>
      </c>
      <c r="K1272">
        <v>0</v>
      </c>
      <c r="O1272">
        <v>0</v>
      </c>
      <c r="P1272">
        <v>4</v>
      </c>
      <c r="Q1272">
        <v>0</v>
      </c>
      <c r="R1272">
        <v>21.43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F1272" t="s">
        <v>130</v>
      </c>
      <c r="AH1272">
        <v>21.43</v>
      </c>
    </row>
    <row r="1273" spans="1:34" x14ac:dyDescent="0.3">
      <c r="A1273" s="4">
        <v>1389</v>
      </c>
      <c r="B1273" s="5">
        <v>1266</v>
      </c>
      <c r="C1273">
        <v>1778</v>
      </c>
      <c r="D1273" t="s">
        <v>1449</v>
      </c>
      <c r="E1273" t="s">
        <v>957</v>
      </c>
      <c r="F1273" t="s">
        <v>17</v>
      </c>
      <c r="G1273" t="s">
        <v>20541</v>
      </c>
      <c r="H1273">
        <v>17.399999999999999</v>
      </c>
      <c r="I1273">
        <v>0</v>
      </c>
      <c r="J1273">
        <v>0</v>
      </c>
      <c r="K1273">
        <v>0</v>
      </c>
      <c r="O1273">
        <v>0</v>
      </c>
      <c r="P1273">
        <v>4</v>
      </c>
      <c r="Q1273">
        <v>0</v>
      </c>
      <c r="R1273">
        <v>21.4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F1273" t="s">
        <v>130</v>
      </c>
      <c r="AH1273">
        <v>21.4</v>
      </c>
    </row>
    <row r="1274" spans="1:34" x14ac:dyDescent="0.3">
      <c r="A1274" s="4">
        <v>1390</v>
      </c>
      <c r="B1274" s="5">
        <v>1267</v>
      </c>
      <c r="C1274">
        <v>5323</v>
      </c>
      <c r="D1274" t="s">
        <v>20542</v>
      </c>
      <c r="E1274" t="s">
        <v>132</v>
      </c>
      <c r="F1274" t="s">
        <v>20</v>
      </c>
      <c r="G1274" t="s">
        <v>20543</v>
      </c>
      <c r="H1274">
        <v>17.28</v>
      </c>
      <c r="I1274">
        <v>0</v>
      </c>
      <c r="J1274">
        <v>0</v>
      </c>
      <c r="K1274">
        <v>0</v>
      </c>
      <c r="O1274">
        <v>0</v>
      </c>
      <c r="P1274">
        <v>4</v>
      </c>
      <c r="Q1274">
        <v>0</v>
      </c>
      <c r="R1274">
        <v>21.28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F1274" t="s">
        <v>130</v>
      </c>
      <c r="AH1274">
        <v>21.28</v>
      </c>
    </row>
    <row r="1275" spans="1:34" x14ac:dyDescent="0.3">
      <c r="A1275" s="4">
        <v>1391</v>
      </c>
      <c r="B1275" s="5">
        <v>1268</v>
      </c>
      <c r="C1275">
        <v>10138</v>
      </c>
      <c r="D1275" t="s">
        <v>3004</v>
      </c>
      <c r="E1275" t="s">
        <v>29</v>
      </c>
      <c r="F1275" t="s">
        <v>652</v>
      </c>
      <c r="G1275" t="s">
        <v>20544</v>
      </c>
      <c r="H1275">
        <v>16.899999999999999</v>
      </c>
      <c r="I1275">
        <v>0</v>
      </c>
      <c r="J1275">
        <v>0</v>
      </c>
      <c r="K1275">
        <v>0</v>
      </c>
      <c r="O1275">
        <v>0</v>
      </c>
      <c r="P1275">
        <v>4</v>
      </c>
      <c r="Q1275">
        <v>0</v>
      </c>
      <c r="R1275">
        <v>20.9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 t="s">
        <v>130</v>
      </c>
      <c r="AF1275" t="s">
        <v>130</v>
      </c>
      <c r="AH1275">
        <v>20.9</v>
      </c>
    </row>
    <row r="1276" spans="1:34" x14ac:dyDescent="0.3">
      <c r="A1276" s="4">
        <v>1392</v>
      </c>
      <c r="B1276" s="5">
        <v>1269</v>
      </c>
      <c r="C1276">
        <v>12638</v>
      </c>
      <c r="D1276" t="s">
        <v>20545</v>
      </c>
      <c r="E1276" t="s">
        <v>157</v>
      </c>
      <c r="F1276" t="s">
        <v>136</v>
      </c>
      <c r="G1276" t="s">
        <v>20546</v>
      </c>
      <c r="H1276">
        <v>16.850000000000001</v>
      </c>
      <c r="I1276">
        <v>0</v>
      </c>
      <c r="J1276">
        <v>0</v>
      </c>
      <c r="K1276">
        <v>0</v>
      </c>
      <c r="O1276">
        <v>0</v>
      </c>
      <c r="P1276">
        <v>4</v>
      </c>
      <c r="Q1276">
        <v>0</v>
      </c>
      <c r="R1276">
        <v>20.85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F1276" t="s">
        <v>130</v>
      </c>
      <c r="AH1276">
        <v>20.85</v>
      </c>
    </row>
    <row r="1277" spans="1:34" x14ac:dyDescent="0.3">
      <c r="A1277" s="4">
        <v>1393</v>
      </c>
      <c r="B1277" s="5">
        <v>1270</v>
      </c>
      <c r="C1277">
        <v>14176</v>
      </c>
      <c r="D1277" t="s">
        <v>20547</v>
      </c>
      <c r="E1277" t="s">
        <v>161</v>
      </c>
      <c r="F1277" t="s">
        <v>442</v>
      </c>
      <c r="G1277" t="s">
        <v>20548</v>
      </c>
      <c r="H1277">
        <v>16.73</v>
      </c>
      <c r="I1277">
        <v>0</v>
      </c>
      <c r="J1277">
        <v>0</v>
      </c>
      <c r="K1277">
        <v>0</v>
      </c>
      <c r="O1277">
        <v>0</v>
      </c>
      <c r="P1277">
        <v>4</v>
      </c>
      <c r="Q1277">
        <v>0</v>
      </c>
      <c r="R1277">
        <v>20.73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F1277" t="s">
        <v>130</v>
      </c>
      <c r="AH1277">
        <v>20.73</v>
      </c>
    </row>
    <row r="1278" spans="1:34" x14ac:dyDescent="0.3">
      <c r="A1278" s="4">
        <v>1394</v>
      </c>
      <c r="B1278" s="5">
        <v>1271</v>
      </c>
      <c r="C1278">
        <v>5896</v>
      </c>
      <c r="D1278" t="s">
        <v>2725</v>
      </c>
      <c r="E1278" t="s">
        <v>97</v>
      </c>
      <c r="F1278" t="s">
        <v>20</v>
      </c>
      <c r="G1278" t="s">
        <v>20549</v>
      </c>
      <c r="H1278">
        <v>19.75</v>
      </c>
      <c r="I1278">
        <v>0</v>
      </c>
      <c r="J1278">
        <v>0</v>
      </c>
      <c r="K1278">
        <v>0</v>
      </c>
      <c r="N1278">
        <v>3</v>
      </c>
      <c r="O1278">
        <v>3</v>
      </c>
      <c r="P1278">
        <v>4</v>
      </c>
      <c r="Q1278">
        <v>2</v>
      </c>
      <c r="R1278">
        <v>28.75</v>
      </c>
      <c r="S1278">
        <v>62</v>
      </c>
      <c r="T1278">
        <v>62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62</v>
      </c>
      <c r="AB1278">
        <v>3</v>
      </c>
      <c r="AC1278">
        <v>27.2</v>
      </c>
      <c r="AH1278">
        <v>120.95</v>
      </c>
    </row>
    <row r="1279" spans="1:34" x14ac:dyDescent="0.3">
      <c r="A1279" s="4">
        <v>1395</v>
      </c>
      <c r="B1279" s="5">
        <v>1272</v>
      </c>
      <c r="C1279">
        <v>4479</v>
      </c>
      <c r="D1279" t="s">
        <v>20550</v>
      </c>
      <c r="E1279" t="s">
        <v>34</v>
      </c>
      <c r="F1279" t="s">
        <v>91</v>
      </c>
      <c r="G1279" t="s">
        <v>20551</v>
      </c>
      <c r="H1279">
        <v>18.600000000000001</v>
      </c>
      <c r="I1279">
        <v>0</v>
      </c>
      <c r="J1279">
        <v>0</v>
      </c>
      <c r="K1279">
        <v>0</v>
      </c>
      <c r="O1279">
        <v>0</v>
      </c>
      <c r="P1279">
        <v>4</v>
      </c>
      <c r="Q1279">
        <v>2</v>
      </c>
      <c r="R1279">
        <v>24.6</v>
      </c>
      <c r="S1279">
        <v>45</v>
      </c>
      <c r="T1279">
        <v>45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45</v>
      </c>
      <c r="AB1279">
        <v>6</v>
      </c>
      <c r="AC1279">
        <v>28</v>
      </c>
      <c r="AH1279">
        <v>103.6</v>
      </c>
    </row>
    <row r="1280" spans="1:34" x14ac:dyDescent="0.3">
      <c r="A1280" s="4">
        <v>1396</v>
      </c>
      <c r="B1280" s="5">
        <v>1273</v>
      </c>
      <c r="C1280">
        <v>10539</v>
      </c>
      <c r="D1280" t="s">
        <v>6430</v>
      </c>
      <c r="E1280" t="s">
        <v>22</v>
      </c>
      <c r="F1280" t="s">
        <v>190</v>
      </c>
      <c r="G1280" t="s">
        <v>20552</v>
      </c>
      <c r="H1280">
        <v>18.73</v>
      </c>
      <c r="I1280">
        <v>0</v>
      </c>
      <c r="J1280">
        <v>0</v>
      </c>
      <c r="K1280">
        <v>0</v>
      </c>
      <c r="N1280">
        <v>3</v>
      </c>
      <c r="O1280">
        <v>3</v>
      </c>
      <c r="P1280">
        <v>4</v>
      </c>
      <c r="Q1280">
        <v>2</v>
      </c>
      <c r="R1280">
        <v>27.73</v>
      </c>
      <c r="S1280">
        <v>37</v>
      </c>
      <c r="T1280">
        <v>37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37</v>
      </c>
      <c r="AB1280">
        <v>9</v>
      </c>
      <c r="AC1280">
        <v>29.6</v>
      </c>
      <c r="AH1280">
        <v>103.33</v>
      </c>
    </row>
    <row r="1281" spans="1:34" x14ac:dyDescent="0.3">
      <c r="A1281" s="4">
        <v>1397</v>
      </c>
      <c r="B1281" s="5">
        <v>1274</v>
      </c>
      <c r="C1281">
        <v>12177</v>
      </c>
      <c r="D1281" t="s">
        <v>20553</v>
      </c>
      <c r="E1281" t="s">
        <v>20554</v>
      </c>
      <c r="F1281" t="s">
        <v>38</v>
      </c>
      <c r="G1281" t="s">
        <v>20555</v>
      </c>
      <c r="H1281">
        <v>16.329999999999998</v>
      </c>
      <c r="I1281">
        <v>0</v>
      </c>
      <c r="J1281">
        <v>0</v>
      </c>
      <c r="K1281">
        <v>20</v>
      </c>
      <c r="M1281">
        <v>5</v>
      </c>
      <c r="N1281">
        <v>3</v>
      </c>
      <c r="O1281">
        <v>8</v>
      </c>
      <c r="P1281">
        <v>4</v>
      </c>
      <c r="Q1281">
        <v>0</v>
      </c>
      <c r="R1281">
        <v>48.33</v>
      </c>
      <c r="S1281">
        <v>35</v>
      </c>
      <c r="T1281">
        <v>35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35</v>
      </c>
      <c r="AB1281">
        <v>0</v>
      </c>
      <c r="AC1281">
        <v>20</v>
      </c>
      <c r="AH1281">
        <v>103.33</v>
      </c>
    </row>
    <row r="1282" spans="1:34" x14ac:dyDescent="0.3">
      <c r="A1282" s="4">
        <v>1398</v>
      </c>
      <c r="B1282" s="5">
        <v>1275</v>
      </c>
      <c r="C1282">
        <v>8178</v>
      </c>
      <c r="D1282" t="s">
        <v>20556</v>
      </c>
      <c r="E1282" t="s">
        <v>20557</v>
      </c>
      <c r="F1282" t="s">
        <v>892</v>
      </c>
      <c r="G1282" t="s">
        <v>20558</v>
      </c>
      <c r="H1282">
        <v>18.75</v>
      </c>
      <c r="I1282">
        <v>0</v>
      </c>
      <c r="J1282">
        <v>40</v>
      </c>
      <c r="K1282">
        <v>20</v>
      </c>
      <c r="L1282">
        <v>7</v>
      </c>
      <c r="N1282">
        <v>3</v>
      </c>
      <c r="O1282">
        <v>10</v>
      </c>
      <c r="P1282">
        <v>4</v>
      </c>
      <c r="Q1282">
        <v>2</v>
      </c>
      <c r="R1282">
        <v>94.75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6</v>
      </c>
      <c r="AC1282">
        <v>0</v>
      </c>
      <c r="AH1282">
        <v>100.75</v>
      </c>
    </row>
    <row r="1283" spans="1:34" x14ac:dyDescent="0.3">
      <c r="A1283" s="4">
        <v>1399</v>
      </c>
      <c r="B1283" s="5">
        <v>1276</v>
      </c>
      <c r="C1283">
        <v>10285</v>
      </c>
      <c r="D1283" t="s">
        <v>20559</v>
      </c>
      <c r="E1283" t="s">
        <v>20560</v>
      </c>
      <c r="F1283" t="s">
        <v>20</v>
      </c>
      <c r="G1283" t="s">
        <v>20561</v>
      </c>
      <c r="H1283">
        <v>19.100000000000001</v>
      </c>
      <c r="I1283">
        <v>0</v>
      </c>
      <c r="J1283">
        <v>0</v>
      </c>
      <c r="K1283">
        <v>20</v>
      </c>
      <c r="N1283">
        <v>3</v>
      </c>
      <c r="O1283">
        <v>3</v>
      </c>
      <c r="P1283">
        <v>4</v>
      </c>
      <c r="Q1283">
        <v>0</v>
      </c>
      <c r="R1283">
        <v>46.1</v>
      </c>
      <c r="S1283">
        <v>54</v>
      </c>
      <c r="T1283">
        <v>54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54</v>
      </c>
      <c r="AB1283">
        <v>0</v>
      </c>
      <c r="AC1283">
        <v>0</v>
      </c>
      <c r="AH1283">
        <v>100.1</v>
      </c>
    </row>
    <row r="1284" spans="1:34" x14ac:dyDescent="0.3">
      <c r="A1284" s="4">
        <v>1400</v>
      </c>
      <c r="B1284" s="5">
        <v>1277</v>
      </c>
      <c r="C1284">
        <v>10132</v>
      </c>
      <c r="D1284" t="s">
        <v>15372</v>
      </c>
      <c r="E1284" t="s">
        <v>12643</v>
      </c>
      <c r="F1284" t="s">
        <v>136</v>
      </c>
      <c r="G1284" t="s">
        <v>20562</v>
      </c>
      <c r="H1284">
        <v>21</v>
      </c>
      <c r="I1284">
        <v>0</v>
      </c>
      <c r="J1284">
        <v>0</v>
      </c>
      <c r="K1284">
        <v>20</v>
      </c>
      <c r="L1284">
        <v>7</v>
      </c>
      <c r="O1284">
        <v>7</v>
      </c>
      <c r="P1284">
        <v>4</v>
      </c>
      <c r="Q1284">
        <v>0</v>
      </c>
      <c r="R1284">
        <v>52</v>
      </c>
      <c r="S1284">
        <v>48</v>
      </c>
      <c r="T1284">
        <v>48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48</v>
      </c>
      <c r="AB1284">
        <v>0</v>
      </c>
      <c r="AC1284">
        <v>0</v>
      </c>
      <c r="AD1284" t="s">
        <v>130</v>
      </c>
      <c r="AH1284">
        <v>100</v>
      </c>
    </row>
    <row r="1285" spans="1:34" x14ac:dyDescent="0.3">
      <c r="A1285" s="4">
        <v>1401</v>
      </c>
      <c r="B1285" s="5">
        <v>1278</v>
      </c>
      <c r="C1285">
        <v>13717</v>
      </c>
      <c r="D1285" t="s">
        <v>20563</v>
      </c>
      <c r="E1285" t="s">
        <v>213</v>
      </c>
      <c r="F1285" t="s">
        <v>6216</v>
      </c>
      <c r="G1285" t="s">
        <v>20564</v>
      </c>
      <c r="H1285">
        <v>19.75</v>
      </c>
      <c r="I1285">
        <v>0</v>
      </c>
      <c r="J1285">
        <v>40</v>
      </c>
      <c r="K1285">
        <v>20</v>
      </c>
      <c r="L1285">
        <v>7</v>
      </c>
      <c r="O1285">
        <v>7</v>
      </c>
      <c r="P1285">
        <v>4</v>
      </c>
      <c r="Q1285">
        <v>0</v>
      </c>
      <c r="R1285">
        <v>90.75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9</v>
      </c>
      <c r="AC1285">
        <v>0</v>
      </c>
      <c r="AH1285">
        <v>99.75</v>
      </c>
    </row>
    <row r="1286" spans="1:34" x14ac:dyDescent="0.3">
      <c r="A1286" s="4">
        <v>1402</v>
      </c>
      <c r="B1286" s="5">
        <v>1279</v>
      </c>
      <c r="C1286">
        <v>5131</v>
      </c>
      <c r="D1286" t="s">
        <v>4319</v>
      </c>
      <c r="E1286" t="s">
        <v>789</v>
      </c>
      <c r="F1286" t="s">
        <v>81</v>
      </c>
      <c r="G1286" t="s">
        <v>20565</v>
      </c>
      <c r="H1286">
        <v>19.73</v>
      </c>
      <c r="I1286">
        <v>0</v>
      </c>
      <c r="J1286">
        <v>0</v>
      </c>
      <c r="K1286">
        <v>20</v>
      </c>
      <c r="N1286">
        <v>6</v>
      </c>
      <c r="O1286">
        <v>6</v>
      </c>
      <c r="P1286">
        <v>4</v>
      </c>
      <c r="Q1286">
        <v>0</v>
      </c>
      <c r="R1286">
        <v>49.73</v>
      </c>
      <c r="S1286">
        <v>44</v>
      </c>
      <c r="T1286">
        <v>44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44</v>
      </c>
      <c r="AB1286">
        <v>6</v>
      </c>
      <c r="AC1286">
        <v>0</v>
      </c>
      <c r="AH1286">
        <v>99.73</v>
      </c>
    </row>
    <row r="1287" spans="1:34" x14ac:dyDescent="0.3">
      <c r="A1287" s="4">
        <v>1403</v>
      </c>
      <c r="B1287" s="5">
        <v>1280</v>
      </c>
      <c r="C1287">
        <v>5990</v>
      </c>
      <c r="D1287" t="s">
        <v>7963</v>
      </c>
      <c r="E1287" t="s">
        <v>563</v>
      </c>
      <c r="F1287" t="s">
        <v>328</v>
      </c>
      <c r="G1287" t="s">
        <v>20566</v>
      </c>
      <c r="H1287">
        <v>19.03</v>
      </c>
      <c r="I1287">
        <v>0</v>
      </c>
      <c r="J1287">
        <v>0</v>
      </c>
      <c r="K1287">
        <v>20</v>
      </c>
      <c r="L1287">
        <v>7</v>
      </c>
      <c r="O1287">
        <v>7</v>
      </c>
      <c r="P1287">
        <v>4</v>
      </c>
      <c r="Q1287">
        <v>2</v>
      </c>
      <c r="R1287">
        <v>52.03</v>
      </c>
      <c r="S1287">
        <v>35</v>
      </c>
      <c r="T1287">
        <v>35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35</v>
      </c>
      <c r="AB1287">
        <v>9</v>
      </c>
      <c r="AC1287">
        <v>0</v>
      </c>
      <c r="AH1287">
        <v>96.03</v>
      </c>
    </row>
    <row r="1288" spans="1:34" x14ac:dyDescent="0.3">
      <c r="A1288" s="4">
        <v>1404</v>
      </c>
      <c r="B1288" s="5">
        <v>1281</v>
      </c>
      <c r="C1288">
        <v>10204</v>
      </c>
      <c r="D1288" t="s">
        <v>2760</v>
      </c>
      <c r="E1288" t="s">
        <v>1053</v>
      </c>
      <c r="F1288" t="s">
        <v>81</v>
      </c>
      <c r="G1288" t="s">
        <v>20567</v>
      </c>
      <c r="H1288">
        <v>18.88</v>
      </c>
      <c r="I1288">
        <v>0</v>
      </c>
      <c r="J1288">
        <v>40</v>
      </c>
      <c r="K1288">
        <v>20</v>
      </c>
      <c r="L1288">
        <v>7</v>
      </c>
      <c r="O1288">
        <v>7</v>
      </c>
      <c r="P1288">
        <v>4</v>
      </c>
      <c r="Q1288">
        <v>0</v>
      </c>
      <c r="R1288">
        <v>89.88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6</v>
      </c>
      <c r="AC1288">
        <v>0</v>
      </c>
      <c r="AH1288">
        <v>95.88</v>
      </c>
    </row>
    <row r="1289" spans="1:34" x14ac:dyDescent="0.3">
      <c r="A1289" s="4">
        <v>1405</v>
      </c>
      <c r="B1289" s="5">
        <v>1282</v>
      </c>
      <c r="C1289">
        <v>7829</v>
      </c>
      <c r="D1289" t="s">
        <v>11037</v>
      </c>
      <c r="E1289" t="s">
        <v>29</v>
      </c>
      <c r="F1289" t="s">
        <v>17</v>
      </c>
      <c r="G1289" t="s">
        <v>13738</v>
      </c>
      <c r="H1289">
        <v>19.100000000000001</v>
      </c>
      <c r="I1289">
        <v>7</v>
      </c>
      <c r="J1289">
        <v>0</v>
      </c>
      <c r="K1289">
        <v>20</v>
      </c>
      <c r="M1289">
        <v>5</v>
      </c>
      <c r="O1289">
        <v>5</v>
      </c>
      <c r="P1289">
        <v>4</v>
      </c>
      <c r="Q1289">
        <v>2</v>
      </c>
      <c r="R1289">
        <v>57.1</v>
      </c>
      <c r="S1289">
        <v>35</v>
      </c>
      <c r="T1289">
        <v>35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35</v>
      </c>
      <c r="AB1289">
        <v>3</v>
      </c>
      <c r="AC1289">
        <v>0</v>
      </c>
      <c r="AH1289">
        <v>95.1</v>
      </c>
    </row>
    <row r="1290" spans="1:34" x14ac:dyDescent="0.3">
      <c r="A1290" s="4">
        <v>1406</v>
      </c>
      <c r="B1290" s="5">
        <v>1283</v>
      </c>
      <c r="C1290">
        <v>1562</v>
      </c>
      <c r="D1290" t="s">
        <v>4536</v>
      </c>
      <c r="E1290" t="s">
        <v>41</v>
      </c>
      <c r="F1290" t="s">
        <v>38</v>
      </c>
      <c r="G1290" t="s">
        <v>20568</v>
      </c>
      <c r="H1290">
        <v>20.88</v>
      </c>
      <c r="I1290">
        <v>0</v>
      </c>
      <c r="J1290">
        <v>0</v>
      </c>
      <c r="K1290">
        <v>20</v>
      </c>
      <c r="N1290">
        <v>3</v>
      </c>
      <c r="O1290">
        <v>3</v>
      </c>
      <c r="P1290">
        <v>4</v>
      </c>
      <c r="Q1290">
        <v>2</v>
      </c>
      <c r="R1290">
        <v>49.88</v>
      </c>
      <c r="S1290">
        <v>45</v>
      </c>
      <c r="T1290">
        <v>45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45</v>
      </c>
      <c r="AB1290">
        <v>0</v>
      </c>
      <c r="AC1290">
        <v>0</v>
      </c>
      <c r="AH1290">
        <v>94.88</v>
      </c>
    </row>
    <row r="1291" spans="1:34" x14ac:dyDescent="0.3">
      <c r="A1291" s="4">
        <v>1407</v>
      </c>
      <c r="B1291" s="5">
        <v>1284</v>
      </c>
      <c r="C1291">
        <v>12888</v>
      </c>
      <c r="D1291" t="s">
        <v>20569</v>
      </c>
      <c r="E1291" t="s">
        <v>81</v>
      </c>
      <c r="F1291" t="s">
        <v>20570</v>
      </c>
      <c r="G1291" t="s">
        <v>20571</v>
      </c>
      <c r="H1291">
        <v>17.78</v>
      </c>
      <c r="I1291">
        <v>0</v>
      </c>
      <c r="J1291">
        <v>0</v>
      </c>
      <c r="K1291">
        <v>0</v>
      </c>
      <c r="N1291">
        <v>3</v>
      </c>
      <c r="O1291">
        <v>3</v>
      </c>
      <c r="P1291">
        <v>4</v>
      </c>
      <c r="Q1291">
        <v>0</v>
      </c>
      <c r="R1291">
        <v>24.78</v>
      </c>
      <c r="S1291">
        <v>70</v>
      </c>
      <c r="T1291">
        <v>70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70</v>
      </c>
      <c r="AB1291">
        <v>0</v>
      </c>
      <c r="AC1291">
        <v>0</v>
      </c>
      <c r="AH1291">
        <v>94.78</v>
      </c>
    </row>
    <row r="1292" spans="1:34" x14ac:dyDescent="0.3">
      <c r="A1292" s="4">
        <v>1408</v>
      </c>
      <c r="B1292" s="5">
        <v>1285</v>
      </c>
      <c r="C1292">
        <v>13130</v>
      </c>
      <c r="D1292" t="s">
        <v>20572</v>
      </c>
      <c r="E1292" t="s">
        <v>136</v>
      </c>
      <c r="F1292" t="s">
        <v>2595</v>
      </c>
      <c r="G1292" t="s">
        <v>20573</v>
      </c>
      <c r="H1292">
        <v>15.38</v>
      </c>
      <c r="I1292">
        <v>0</v>
      </c>
      <c r="J1292">
        <v>0</v>
      </c>
      <c r="K1292">
        <v>20</v>
      </c>
      <c r="N1292">
        <v>3</v>
      </c>
      <c r="O1292">
        <v>3</v>
      </c>
      <c r="P1292">
        <v>4</v>
      </c>
      <c r="Q1292">
        <v>0</v>
      </c>
      <c r="R1292">
        <v>42.38</v>
      </c>
      <c r="S1292">
        <v>52</v>
      </c>
      <c r="T1292">
        <v>52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52</v>
      </c>
      <c r="AB1292">
        <v>0</v>
      </c>
      <c r="AC1292">
        <v>0</v>
      </c>
      <c r="AH1292">
        <v>94.38</v>
      </c>
    </row>
    <row r="1293" spans="1:34" x14ac:dyDescent="0.3">
      <c r="A1293" s="4">
        <v>1409</v>
      </c>
      <c r="B1293" s="5">
        <v>1286</v>
      </c>
      <c r="C1293">
        <v>2375</v>
      </c>
      <c r="D1293" t="s">
        <v>20574</v>
      </c>
      <c r="E1293" t="s">
        <v>110</v>
      </c>
      <c r="F1293" t="s">
        <v>81</v>
      </c>
      <c r="G1293" t="s">
        <v>20575</v>
      </c>
      <c r="H1293">
        <v>18.45</v>
      </c>
      <c r="I1293">
        <v>0</v>
      </c>
      <c r="J1293">
        <v>0</v>
      </c>
      <c r="K1293">
        <v>20</v>
      </c>
      <c r="L1293">
        <v>7</v>
      </c>
      <c r="O1293">
        <v>7</v>
      </c>
      <c r="P1293">
        <v>4</v>
      </c>
      <c r="Q1293">
        <v>2</v>
      </c>
      <c r="R1293">
        <v>51.45</v>
      </c>
      <c r="S1293">
        <v>36</v>
      </c>
      <c r="T1293">
        <v>36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36</v>
      </c>
      <c r="AB1293">
        <v>6</v>
      </c>
      <c r="AC1293">
        <v>0</v>
      </c>
      <c r="AH1293">
        <v>93.45</v>
      </c>
    </row>
    <row r="1294" spans="1:34" x14ac:dyDescent="0.3">
      <c r="A1294" s="4">
        <v>1410</v>
      </c>
      <c r="B1294" s="5">
        <v>1287</v>
      </c>
      <c r="C1294">
        <v>11308</v>
      </c>
      <c r="D1294" t="s">
        <v>20576</v>
      </c>
      <c r="E1294" t="s">
        <v>587</v>
      </c>
      <c r="F1294" t="s">
        <v>81</v>
      </c>
      <c r="G1294" t="s">
        <v>20577</v>
      </c>
      <c r="H1294">
        <v>15.73</v>
      </c>
      <c r="I1294">
        <v>0</v>
      </c>
      <c r="J1294">
        <v>0</v>
      </c>
      <c r="K1294">
        <v>28</v>
      </c>
      <c r="N1294">
        <v>3</v>
      </c>
      <c r="O1294">
        <v>3</v>
      </c>
      <c r="P1294">
        <v>4</v>
      </c>
      <c r="Q1294">
        <v>0</v>
      </c>
      <c r="R1294">
        <v>50.73</v>
      </c>
      <c r="S1294">
        <v>39</v>
      </c>
      <c r="T1294">
        <v>39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39</v>
      </c>
      <c r="AB1294">
        <v>3</v>
      </c>
      <c r="AC1294">
        <v>0</v>
      </c>
      <c r="AH1294">
        <v>92.73</v>
      </c>
    </row>
    <row r="1295" spans="1:34" x14ac:dyDescent="0.3">
      <c r="A1295" s="4">
        <v>1411</v>
      </c>
      <c r="B1295" s="5">
        <v>1288</v>
      </c>
      <c r="C1295">
        <v>6843</v>
      </c>
      <c r="D1295" t="s">
        <v>11306</v>
      </c>
      <c r="E1295" t="s">
        <v>1242</v>
      </c>
      <c r="F1295" t="s">
        <v>30</v>
      </c>
      <c r="G1295" t="s">
        <v>20578</v>
      </c>
      <c r="H1295">
        <v>17.829999999999998</v>
      </c>
      <c r="I1295">
        <v>0</v>
      </c>
      <c r="J1295">
        <v>40</v>
      </c>
      <c r="K1295">
        <v>20</v>
      </c>
      <c r="L1295">
        <v>7</v>
      </c>
      <c r="O1295">
        <v>7</v>
      </c>
      <c r="P1295">
        <v>4</v>
      </c>
      <c r="Q1295">
        <v>0</v>
      </c>
      <c r="R1295">
        <v>88.83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3</v>
      </c>
      <c r="AC1295">
        <v>0</v>
      </c>
      <c r="AH1295">
        <v>91.83</v>
      </c>
    </row>
    <row r="1296" spans="1:34" x14ac:dyDescent="0.3">
      <c r="A1296" s="4">
        <v>1412</v>
      </c>
      <c r="B1296" s="5">
        <v>1289</v>
      </c>
      <c r="C1296">
        <v>4643</v>
      </c>
      <c r="D1296" t="s">
        <v>1868</v>
      </c>
      <c r="E1296" t="s">
        <v>188</v>
      </c>
      <c r="F1296" t="s">
        <v>3130</v>
      </c>
      <c r="G1296" t="s">
        <v>20579</v>
      </c>
      <c r="H1296">
        <v>20.7</v>
      </c>
      <c r="I1296">
        <v>0</v>
      </c>
      <c r="J1296">
        <v>0</v>
      </c>
      <c r="K1296">
        <v>20</v>
      </c>
      <c r="L1296">
        <v>7</v>
      </c>
      <c r="O1296">
        <v>7</v>
      </c>
      <c r="P1296">
        <v>4</v>
      </c>
      <c r="Q1296">
        <v>0</v>
      </c>
      <c r="R1296">
        <v>51.7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6</v>
      </c>
      <c r="AC1296">
        <v>34</v>
      </c>
      <c r="AH1296">
        <v>91.7</v>
      </c>
    </row>
    <row r="1297" spans="1:34" x14ac:dyDescent="0.3">
      <c r="A1297" s="4">
        <v>1413</v>
      </c>
      <c r="B1297" s="5">
        <v>1290</v>
      </c>
      <c r="C1297">
        <v>6091</v>
      </c>
      <c r="D1297" t="s">
        <v>20580</v>
      </c>
      <c r="E1297" t="s">
        <v>22</v>
      </c>
      <c r="F1297" t="s">
        <v>30</v>
      </c>
      <c r="G1297" t="s">
        <v>20581</v>
      </c>
      <c r="H1297">
        <v>18.75</v>
      </c>
      <c r="I1297">
        <v>0</v>
      </c>
      <c r="J1297">
        <v>0</v>
      </c>
      <c r="K1297">
        <v>28</v>
      </c>
      <c r="M1297">
        <v>5</v>
      </c>
      <c r="O1297">
        <v>5</v>
      </c>
      <c r="P1297">
        <v>4</v>
      </c>
      <c r="Q1297">
        <v>0</v>
      </c>
      <c r="R1297">
        <v>55.75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9</v>
      </c>
      <c r="AC1297">
        <v>26.8</v>
      </c>
      <c r="AH1297">
        <v>91.55</v>
      </c>
    </row>
    <row r="1298" spans="1:34" x14ac:dyDescent="0.3">
      <c r="A1298" s="4">
        <v>1414</v>
      </c>
      <c r="B1298" s="5">
        <v>1291</v>
      </c>
      <c r="C1298">
        <v>153</v>
      </c>
      <c r="D1298" t="s">
        <v>891</v>
      </c>
      <c r="E1298" t="s">
        <v>161</v>
      </c>
      <c r="F1298" t="s">
        <v>34</v>
      </c>
      <c r="G1298" t="s">
        <v>20582</v>
      </c>
      <c r="H1298">
        <v>20.23</v>
      </c>
      <c r="I1298">
        <v>0</v>
      </c>
      <c r="J1298">
        <v>0</v>
      </c>
      <c r="K1298">
        <v>0</v>
      </c>
      <c r="N1298">
        <v>3</v>
      </c>
      <c r="O1298">
        <v>3</v>
      </c>
      <c r="P1298">
        <v>4</v>
      </c>
      <c r="Q1298">
        <v>0</v>
      </c>
      <c r="R1298">
        <v>27.23</v>
      </c>
      <c r="S1298">
        <v>61</v>
      </c>
      <c r="T1298">
        <v>61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61</v>
      </c>
      <c r="AB1298">
        <v>3</v>
      </c>
      <c r="AC1298">
        <v>0</v>
      </c>
      <c r="AH1298">
        <v>91.23</v>
      </c>
    </row>
    <row r="1299" spans="1:34" x14ac:dyDescent="0.3">
      <c r="A1299" s="4">
        <v>1415</v>
      </c>
      <c r="B1299" s="5">
        <v>1292</v>
      </c>
      <c r="C1299">
        <v>4795</v>
      </c>
      <c r="D1299" t="s">
        <v>5716</v>
      </c>
      <c r="E1299" t="s">
        <v>1155</v>
      </c>
      <c r="F1299" t="s">
        <v>328</v>
      </c>
      <c r="G1299" t="s">
        <v>20583</v>
      </c>
      <c r="H1299">
        <v>16.7</v>
      </c>
      <c r="I1299">
        <v>0</v>
      </c>
      <c r="J1299">
        <v>40</v>
      </c>
      <c r="K1299">
        <v>20</v>
      </c>
      <c r="L1299">
        <v>7</v>
      </c>
      <c r="O1299">
        <v>7</v>
      </c>
      <c r="P1299">
        <v>4</v>
      </c>
      <c r="Q1299">
        <v>0</v>
      </c>
      <c r="R1299">
        <v>87.7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3</v>
      </c>
      <c r="AC1299">
        <v>0</v>
      </c>
      <c r="AH1299">
        <v>90.7</v>
      </c>
    </row>
    <row r="1300" spans="1:34" x14ac:dyDescent="0.3">
      <c r="A1300" s="4">
        <v>1416</v>
      </c>
      <c r="B1300" s="5">
        <v>1293</v>
      </c>
      <c r="C1300">
        <v>13878</v>
      </c>
      <c r="D1300" t="s">
        <v>20584</v>
      </c>
      <c r="E1300" t="s">
        <v>454</v>
      </c>
      <c r="F1300" t="s">
        <v>38</v>
      </c>
      <c r="G1300" t="s">
        <v>20585</v>
      </c>
      <c r="H1300">
        <v>16.53</v>
      </c>
      <c r="I1300">
        <v>0</v>
      </c>
      <c r="J1300">
        <v>0</v>
      </c>
      <c r="K1300">
        <v>20</v>
      </c>
      <c r="N1300">
        <v>3</v>
      </c>
      <c r="O1300">
        <v>3</v>
      </c>
      <c r="P1300">
        <v>4</v>
      </c>
      <c r="Q1300">
        <v>0</v>
      </c>
      <c r="R1300">
        <v>43.53</v>
      </c>
      <c r="S1300">
        <v>44</v>
      </c>
      <c r="T1300">
        <v>44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44</v>
      </c>
      <c r="AB1300">
        <v>3</v>
      </c>
      <c r="AC1300">
        <v>0</v>
      </c>
      <c r="AH1300">
        <v>90.53</v>
      </c>
    </row>
    <row r="1301" spans="1:34" x14ac:dyDescent="0.3">
      <c r="A1301" s="4">
        <v>1417</v>
      </c>
      <c r="B1301" s="5">
        <v>1294</v>
      </c>
      <c r="C1301">
        <v>8035</v>
      </c>
      <c r="D1301" t="s">
        <v>20586</v>
      </c>
      <c r="E1301" t="s">
        <v>307</v>
      </c>
      <c r="F1301" t="s">
        <v>3130</v>
      </c>
      <c r="G1301" t="s">
        <v>20587</v>
      </c>
      <c r="H1301">
        <v>19.23</v>
      </c>
      <c r="I1301">
        <v>0</v>
      </c>
      <c r="J1301">
        <v>0</v>
      </c>
      <c r="K1301">
        <v>20</v>
      </c>
      <c r="L1301">
        <v>7</v>
      </c>
      <c r="O1301">
        <v>7</v>
      </c>
      <c r="P1301">
        <v>4</v>
      </c>
      <c r="Q1301">
        <v>2</v>
      </c>
      <c r="R1301">
        <v>52.23</v>
      </c>
      <c r="S1301">
        <v>35</v>
      </c>
      <c r="T1301">
        <v>35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35</v>
      </c>
      <c r="AB1301">
        <v>3</v>
      </c>
      <c r="AC1301">
        <v>0</v>
      </c>
      <c r="AH1301">
        <v>90.23</v>
      </c>
    </row>
    <row r="1302" spans="1:34" x14ac:dyDescent="0.3">
      <c r="A1302" s="4">
        <v>1418</v>
      </c>
      <c r="B1302" s="5">
        <v>1295</v>
      </c>
      <c r="C1302">
        <v>10046</v>
      </c>
      <c r="D1302" t="s">
        <v>20588</v>
      </c>
      <c r="E1302" t="s">
        <v>19912</v>
      </c>
      <c r="F1302" t="s">
        <v>20589</v>
      </c>
      <c r="G1302" t="s">
        <v>20590</v>
      </c>
      <c r="H1302">
        <v>22.13</v>
      </c>
      <c r="I1302">
        <v>0</v>
      </c>
      <c r="J1302">
        <v>0</v>
      </c>
      <c r="K1302">
        <v>20</v>
      </c>
      <c r="N1302">
        <v>3</v>
      </c>
      <c r="O1302">
        <v>3</v>
      </c>
      <c r="P1302">
        <v>4</v>
      </c>
      <c r="Q1302">
        <v>2</v>
      </c>
      <c r="R1302">
        <v>51.13</v>
      </c>
      <c r="S1302">
        <v>36</v>
      </c>
      <c r="T1302">
        <v>36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36</v>
      </c>
      <c r="AB1302">
        <v>3</v>
      </c>
      <c r="AC1302">
        <v>0</v>
      </c>
      <c r="AD1302" t="s">
        <v>130</v>
      </c>
      <c r="AH1302">
        <v>90.13</v>
      </c>
    </row>
    <row r="1303" spans="1:34" x14ac:dyDescent="0.3">
      <c r="A1303" s="4">
        <v>1419</v>
      </c>
      <c r="B1303" s="5">
        <v>1296</v>
      </c>
      <c r="C1303">
        <v>3258</v>
      </c>
      <c r="D1303" t="s">
        <v>20591</v>
      </c>
      <c r="E1303" t="s">
        <v>792</v>
      </c>
      <c r="F1303" t="s">
        <v>167</v>
      </c>
      <c r="G1303" t="s">
        <v>20592</v>
      </c>
      <c r="H1303">
        <v>16.98</v>
      </c>
      <c r="I1303">
        <v>0</v>
      </c>
      <c r="J1303">
        <v>0</v>
      </c>
      <c r="K1303">
        <v>20</v>
      </c>
      <c r="L1303">
        <v>7</v>
      </c>
      <c r="N1303">
        <v>3</v>
      </c>
      <c r="O1303">
        <v>10</v>
      </c>
      <c r="P1303">
        <v>4</v>
      </c>
      <c r="Q1303">
        <v>2</v>
      </c>
      <c r="R1303">
        <v>52.98</v>
      </c>
      <c r="S1303">
        <v>35</v>
      </c>
      <c r="T1303">
        <v>35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35</v>
      </c>
      <c r="AB1303">
        <v>0</v>
      </c>
      <c r="AC1303">
        <v>0</v>
      </c>
      <c r="AH1303">
        <v>87.98</v>
      </c>
    </row>
    <row r="1304" spans="1:34" x14ac:dyDescent="0.3">
      <c r="A1304" s="4">
        <v>1420</v>
      </c>
      <c r="B1304" s="5">
        <v>1297</v>
      </c>
      <c r="C1304">
        <v>9181</v>
      </c>
      <c r="D1304" t="s">
        <v>9107</v>
      </c>
      <c r="E1304" t="s">
        <v>54</v>
      </c>
      <c r="F1304" t="s">
        <v>587</v>
      </c>
      <c r="G1304" t="s">
        <v>20593</v>
      </c>
      <c r="H1304">
        <v>18.5</v>
      </c>
      <c r="I1304">
        <v>0</v>
      </c>
      <c r="J1304">
        <v>0</v>
      </c>
      <c r="K1304">
        <v>0</v>
      </c>
      <c r="O1304">
        <v>0</v>
      </c>
      <c r="P1304">
        <v>4</v>
      </c>
      <c r="Q1304">
        <v>2</v>
      </c>
      <c r="R1304">
        <v>24.5</v>
      </c>
      <c r="S1304">
        <v>54</v>
      </c>
      <c r="T1304">
        <v>54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54</v>
      </c>
      <c r="AB1304">
        <v>9</v>
      </c>
      <c r="AC1304">
        <v>0</v>
      </c>
      <c r="AH1304">
        <v>87.5</v>
      </c>
    </row>
    <row r="1305" spans="1:34" x14ac:dyDescent="0.3">
      <c r="A1305" s="4">
        <v>1421</v>
      </c>
      <c r="B1305" s="5">
        <v>1298</v>
      </c>
      <c r="C1305">
        <v>13999</v>
      </c>
      <c r="D1305" t="s">
        <v>20594</v>
      </c>
      <c r="E1305" t="s">
        <v>182</v>
      </c>
      <c r="F1305" t="s">
        <v>20595</v>
      </c>
      <c r="G1305" t="s">
        <v>20596</v>
      </c>
      <c r="H1305">
        <v>19.55</v>
      </c>
      <c r="I1305">
        <v>0</v>
      </c>
      <c r="J1305">
        <v>0</v>
      </c>
      <c r="K1305">
        <v>0</v>
      </c>
      <c r="N1305">
        <v>6</v>
      </c>
      <c r="O1305">
        <v>6</v>
      </c>
      <c r="P1305">
        <v>4</v>
      </c>
      <c r="Q1305">
        <v>2</v>
      </c>
      <c r="R1305">
        <v>31.55</v>
      </c>
      <c r="S1305">
        <v>52</v>
      </c>
      <c r="T1305">
        <v>52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52</v>
      </c>
      <c r="AB1305">
        <v>3</v>
      </c>
      <c r="AC1305">
        <v>0</v>
      </c>
      <c r="AH1305">
        <v>86.55</v>
      </c>
    </row>
    <row r="1306" spans="1:34" x14ac:dyDescent="0.3">
      <c r="A1306" s="4">
        <v>1422</v>
      </c>
      <c r="B1306" s="5">
        <v>1299</v>
      </c>
      <c r="C1306">
        <v>15474</v>
      </c>
      <c r="D1306" t="s">
        <v>20597</v>
      </c>
      <c r="E1306" t="s">
        <v>20598</v>
      </c>
      <c r="F1306" t="s">
        <v>124</v>
      </c>
      <c r="G1306" t="s">
        <v>20599</v>
      </c>
      <c r="H1306">
        <v>17.98</v>
      </c>
      <c r="I1306">
        <v>0</v>
      </c>
      <c r="J1306">
        <v>0</v>
      </c>
      <c r="K1306">
        <v>0</v>
      </c>
      <c r="L1306">
        <v>7</v>
      </c>
      <c r="O1306">
        <v>7</v>
      </c>
      <c r="P1306">
        <v>4</v>
      </c>
      <c r="Q1306">
        <v>2</v>
      </c>
      <c r="R1306">
        <v>30.98</v>
      </c>
      <c r="S1306">
        <v>55</v>
      </c>
      <c r="T1306">
        <v>55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55</v>
      </c>
      <c r="AB1306">
        <v>0</v>
      </c>
      <c r="AC1306">
        <v>0</v>
      </c>
      <c r="AD1306" t="s">
        <v>130</v>
      </c>
      <c r="AH1306">
        <v>85.98</v>
      </c>
    </row>
    <row r="1307" spans="1:34" x14ac:dyDescent="0.3">
      <c r="A1307" s="4">
        <v>1423</v>
      </c>
      <c r="B1307" s="5">
        <v>1300</v>
      </c>
      <c r="C1307">
        <v>11341</v>
      </c>
      <c r="D1307" t="s">
        <v>20600</v>
      </c>
      <c r="E1307" t="s">
        <v>173</v>
      </c>
      <c r="F1307" t="s">
        <v>2855</v>
      </c>
      <c r="G1307" t="s">
        <v>20601</v>
      </c>
      <c r="H1307">
        <v>19.899999999999999</v>
      </c>
      <c r="I1307">
        <v>0</v>
      </c>
      <c r="J1307">
        <v>0</v>
      </c>
      <c r="K1307">
        <v>20</v>
      </c>
      <c r="L1307">
        <v>7</v>
      </c>
      <c r="O1307">
        <v>7</v>
      </c>
      <c r="P1307">
        <v>4</v>
      </c>
      <c r="Q1307">
        <v>0</v>
      </c>
      <c r="R1307">
        <v>50.9</v>
      </c>
      <c r="S1307">
        <v>35</v>
      </c>
      <c r="T1307">
        <v>35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35</v>
      </c>
      <c r="AB1307">
        <v>0</v>
      </c>
      <c r="AC1307">
        <v>0</v>
      </c>
      <c r="AD1307" t="s">
        <v>130</v>
      </c>
      <c r="AH1307">
        <v>85.9</v>
      </c>
    </row>
    <row r="1308" spans="1:34" x14ac:dyDescent="0.3">
      <c r="A1308" s="4">
        <v>1424</v>
      </c>
      <c r="B1308" s="5">
        <v>1301</v>
      </c>
      <c r="C1308">
        <v>13242</v>
      </c>
      <c r="D1308" t="s">
        <v>5989</v>
      </c>
      <c r="E1308" t="s">
        <v>744</v>
      </c>
      <c r="F1308" t="s">
        <v>17</v>
      </c>
      <c r="G1308" t="s">
        <v>20602</v>
      </c>
      <c r="H1308">
        <v>18.88</v>
      </c>
      <c r="I1308">
        <v>0</v>
      </c>
      <c r="J1308">
        <v>40</v>
      </c>
      <c r="K1308">
        <v>20</v>
      </c>
      <c r="N1308">
        <v>3</v>
      </c>
      <c r="O1308">
        <v>3</v>
      </c>
      <c r="P1308">
        <v>4</v>
      </c>
      <c r="Q1308">
        <v>0</v>
      </c>
      <c r="R1308">
        <v>85.88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H1308">
        <v>85.88</v>
      </c>
    </row>
    <row r="1309" spans="1:34" x14ac:dyDescent="0.3">
      <c r="A1309" s="4">
        <v>1425</v>
      </c>
      <c r="B1309" s="5">
        <v>1302</v>
      </c>
      <c r="C1309">
        <v>12942</v>
      </c>
      <c r="D1309" t="s">
        <v>1624</v>
      </c>
      <c r="E1309" t="s">
        <v>20603</v>
      </c>
      <c r="F1309" t="s">
        <v>124</v>
      </c>
      <c r="G1309" t="s">
        <v>20604</v>
      </c>
      <c r="H1309">
        <v>17.3</v>
      </c>
      <c r="I1309">
        <v>0</v>
      </c>
      <c r="J1309">
        <v>0</v>
      </c>
      <c r="K1309">
        <v>20</v>
      </c>
      <c r="L1309">
        <v>7</v>
      </c>
      <c r="O1309">
        <v>7</v>
      </c>
      <c r="P1309">
        <v>4</v>
      </c>
      <c r="Q1309">
        <v>2</v>
      </c>
      <c r="R1309">
        <v>50.3</v>
      </c>
      <c r="S1309">
        <v>32</v>
      </c>
      <c r="T1309">
        <v>32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32</v>
      </c>
      <c r="AB1309">
        <v>3</v>
      </c>
      <c r="AC1309">
        <v>0</v>
      </c>
      <c r="AD1309" t="s">
        <v>130</v>
      </c>
      <c r="AH1309">
        <v>85.3</v>
      </c>
    </row>
    <row r="1310" spans="1:34" x14ac:dyDescent="0.3">
      <c r="A1310" s="4">
        <v>1426</v>
      </c>
      <c r="B1310" s="5">
        <v>1303</v>
      </c>
      <c r="C1310">
        <v>4348</v>
      </c>
      <c r="D1310" t="s">
        <v>12762</v>
      </c>
      <c r="E1310" t="s">
        <v>29</v>
      </c>
      <c r="F1310" t="s">
        <v>38</v>
      </c>
      <c r="G1310" t="s">
        <v>20605</v>
      </c>
      <c r="H1310">
        <v>21.28</v>
      </c>
      <c r="I1310">
        <v>0</v>
      </c>
      <c r="J1310">
        <v>0</v>
      </c>
      <c r="K1310">
        <v>0</v>
      </c>
      <c r="N1310">
        <v>3</v>
      </c>
      <c r="O1310">
        <v>3</v>
      </c>
      <c r="P1310">
        <v>4</v>
      </c>
      <c r="Q1310">
        <v>0</v>
      </c>
      <c r="R1310">
        <v>28.28</v>
      </c>
      <c r="S1310">
        <v>51</v>
      </c>
      <c r="T1310">
        <v>51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51</v>
      </c>
      <c r="AB1310">
        <v>6</v>
      </c>
      <c r="AC1310">
        <v>0</v>
      </c>
      <c r="AH1310">
        <v>85.28</v>
      </c>
    </row>
    <row r="1311" spans="1:34" x14ac:dyDescent="0.3">
      <c r="A1311" s="4">
        <v>1427</v>
      </c>
      <c r="B1311" s="5">
        <v>1304</v>
      </c>
      <c r="C1311">
        <v>4091</v>
      </c>
      <c r="D1311" t="s">
        <v>20606</v>
      </c>
      <c r="E1311" t="s">
        <v>38</v>
      </c>
      <c r="F1311" t="s">
        <v>17</v>
      </c>
      <c r="G1311" t="s">
        <v>20607</v>
      </c>
      <c r="H1311">
        <v>22.15</v>
      </c>
      <c r="I1311">
        <v>0</v>
      </c>
      <c r="J1311">
        <v>0</v>
      </c>
      <c r="K1311">
        <v>20</v>
      </c>
      <c r="N1311">
        <v>3</v>
      </c>
      <c r="O1311">
        <v>3</v>
      </c>
      <c r="P1311">
        <v>4</v>
      </c>
      <c r="Q1311">
        <v>0</v>
      </c>
      <c r="R1311">
        <v>49.15</v>
      </c>
      <c r="S1311">
        <v>36</v>
      </c>
      <c r="T1311">
        <v>36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36</v>
      </c>
      <c r="AB1311">
        <v>0</v>
      </c>
      <c r="AC1311">
        <v>0</v>
      </c>
      <c r="AH1311">
        <v>85.15</v>
      </c>
    </row>
    <row r="1312" spans="1:34" x14ac:dyDescent="0.3">
      <c r="A1312" s="4">
        <v>1428</v>
      </c>
      <c r="B1312" s="5">
        <v>1305</v>
      </c>
      <c r="C1312">
        <v>9582</v>
      </c>
      <c r="D1312" t="s">
        <v>900</v>
      </c>
      <c r="E1312" t="s">
        <v>97</v>
      </c>
      <c r="F1312" t="s">
        <v>30</v>
      </c>
      <c r="G1312" t="s">
        <v>20608</v>
      </c>
      <c r="H1312">
        <v>18.78</v>
      </c>
      <c r="I1312">
        <v>0</v>
      </c>
      <c r="J1312">
        <v>0</v>
      </c>
      <c r="K1312">
        <v>0</v>
      </c>
      <c r="N1312">
        <v>3</v>
      </c>
      <c r="O1312">
        <v>3</v>
      </c>
      <c r="P1312">
        <v>4</v>
      </c>
      <c r="Q1312">
        <v>2</v>
      </c>
      <c r="R1312">
        <v>27.78</v>
      </c>
      <c r="S1312">
        <v>51</v>
      </c>
      <c r="T1312">
        <v>51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51</v>
      </c>
      <c r="AB1312">
        <v>6</v>
      </c>
      <c r="AC1312">
        <v>0</v>
      </c>
      <c r="AH1312">
        <v>84.78</v>
      </c>
    </row>
    <row r="1313" spans="1:34" x14ac:dyDescent="0.3">
      <c r="A1313" s="4">
        <v>1429</v>
      </c>
      <c r="B1313" s="5">
        <v>1306</v>
      </c>
      <c r="C1313">
        <v>3583</v>
      </c>
      <c r="D1313" t="s">
        <v>860</v>
      </c>
      <c r="E1313" t="s">
        <v>54</v>
      </c>
      <c r="F1313" t="s">
        <v>17</v>
      </c>
      <c r="G1313" t="s">
        <v>20609</v>
      </c>
      <c r="H1313">
        <v>20.48</v>
      </c>
      <c r="I1313">
        <v>0</v>
      </c>
      <c r="J1313">
        <v>0</v>
      </c>
      <c r="K1313">
        <v>20</v>
      </c>
      <c r="N1313">
        <v>3</v>
      </c>
      <c r="O1313">
        <v>3</v>
      </c>
      <c r="P1313">
        <v>4</v>
      </c>
      <c r="Q1313">
        <v>0</v>
      </c>
      <c r="R1313">
        <v>47.48</v>
      </c>
      <c r="S1313">
        <v>37</v>
      </c>
      <c r="T1313">
        <v>37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37</v>
      </c>
      <c r="AB1313">
        <v>0</v>
      </c>
      <c r="AC1313">
        <v>0</v>
      </c>
      <c r="AH1313">
        <v>84.48</v>
      </c>
    </row>
    <row r="1314" spans="1:34" x14ac:dyDescent="0.3">
      <c r="A1314" s="4">
        <v>1430</v>
      </c>
      <c r="B1314" s="5">
        <v>1307</v>
      </c>
      <c r="C1314">
        <v>11709</v>
      </c>
      <c r="D1314" t="s">
        <v>20610</v>
      </c>
      <c r="E1314" t="s">
        <v>258</v>
      </c>
      <c r="F1314" t="s">
        <v>801</v>
      </c>
      <c r="G1314" t="s">
        <v>20611</v>
      </c>
      <c r="H1314">
        <v>20.350000000000001</v>
      </c>
      <c r="I1314">
        <v>0</v>
      </c>
      <c r="J1314">
        <v>0</v>
      </c>
      <c r="K1314">
        <v>20</v>
      </c>
      <c r="O1314">
        <v>0</v>
      </c>
      <c r="P1314">
        <v>4</v>
      </c>
      <c r="Q1314">
        <v>2</v>
      </c>
      <c r="R1314">
        <v>46.35</v>
      </c>
      <c r="S1314">
        <v>35</v>
      </c>
      <c r="T1314">
        <v>35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35</v>
      </c>
      <c r="AB1314">
        <v>3</v>
      </c>
      <c r="AC1314">
        <v>0</v>
      </c>
      <c r="AH1314">
        <v>84.35</v>
      </c>
    </row>
    <row r="1315" spans="1:34" x14ac:dyDescent="0.3">
      <c r="A1315" s="4">
        <v>1431</v>
      </c>
      <c r="B1315" s="5">
        <v>1308</v>
      </c>
      <c r="C1315">
        <v>10014</v>
      </c>
      <c r="D1315" t="s">
        <v>20612</v>
      </c>
      <c r="E1315" t="s">
        <v>782</v>
      </c>
      <c r="F1315" t="s">
        <v>81</v>
      </c>
      <c r="G1315" t="s">
        <v>20613</v>
      </c>
      <c r="H1315">
        <v>16.95</v>
      </c>
      <c r="I1315">
        <v>0</v>
      </c>
      <c r="J1315">
        <v>0</v>
      </c>
      <c r="K1315">
        <v>20</v>
      </c>
      <c r="L1315">
        <v>7</v>
      </c>
      <c r="O1315">
        <v>7</v>
      </c>
      <c r="P1315">
        <v>4</v>
      </c>
      <c r="Q1315">
        <v>0</v>
      </c>
      <c r="R1315">
        <v>47.95</v>
      </c>
      <c r="S1315">
        <v>36</v>
      </c>
      <c r="T1315">
        <v>36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36</v>
      </c>
      <c r="AB1315">
        <v>0</v>
      </c>
      <c r="AC1315">
        <v>0</v>
      </c>
      <c r="AH1315">
        <v>83.95</v>
      </c>
    </row>
    <row r="1316" spans="1:34" x14ac:dyDescent="0.3">
      <c r="A1316" s="4">
        <v>1432</v>
      </c>
      <c r="B1316" s="5">
        <v>1309</v>
      </c>
      <c r="C1316">
        <v>3604</v>
      </c>
      <c r="D1316" t="s">
        <v>20614</v>
      </c>
      <c r="E1316" t="s">
        <v>20</v>
      </c>
      <c r="F1316" t="s">
        <v>124</v>
      </c>
      <c r="G1316" t="s">
        <v>20615</v>
      </c>
      <c r="H1316">
        <v>17.93</v>
      </c>
      <c r="I1316">
        <v>0</v>
      </c>
      <c r="J1316">
        <v>0</v>
      </c>
      <c r="K1316">
        <v>20</v>
      </c>
      <c r="L1316">
        <v>7</v>
      </c>
      <c r="O1316">
        <v>7</v>
      </c>
      <c r="P1316">
        <v>4</v>
      </c>
      <c r="Q1316">
        <v>2</v>
      </c>
      <c r="R1316">
        <v>50.93</v>
      </c>
      <c r="S1316">
        <v>33</v>
      </c>
      <c r="T1316">
        <v>33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33</v>
      </c>
      <c r="AB1316">
        <v>0</v>
      </c>
      <c r="AC1316">
        <v>0</v>
      </c>
      <c r="AH1316">
        <v>83.93</v>
      </c>
    </row>
    <row r="1317" spans="1:34" x14ac:dyDescent="0.3">
      <c r="A1317" s="4">
        <v>1433</v>
      </c>
      <c r="B1317" s="5">
        <v>1310</v>
      </c>
      <c r="C1317">
        <v>6736</v>
      </c>
      <c r="D1317" t="s">
        <v>2115</v>
      </c>
      <c r="E1317" t="s">
        <v>219</v>
      </c>
      <c r="F1317" t="s">
        <v>3094</v>
      </c>
      <c r="G1317" t="s">
        <v>20616</v>
      </c>
      <c r="H1317">
        <v>21.75</v>
      </c>
      <c r="I1317">
        <v>0</v>
      </c>
      <c r="J1317">
        <v>0</v>
      </c>
      <c r="K1317">
        <v>20</v>
      </c>
      <c r="N1317">
        <v>3</v>
      </c>
      <c r="O1317">
        <v>3</v>
      </c>
      <c r="P1317">
        <v>4</v>
      </c>
      <c r="Q1317">
        <v>0</v>
      </c>
      <c r="R1317">
        <v>48.75</v>
      </c>
      <c r="S1317">
        <v>35</v>
      </c>
      <c r="T1317">
        <v>35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35</v>
      </c>
      <c r="AB1317">
        <v>0</v>
      </c>
      <c r="AC1317">
        <v>0</v>
      </c>
      <c r="AD1317" t="s">
        <v>130</v>
      </c>
      <c r="AH1317">
        <v>83.75</v>
      </c>
    </row>
    <row r="1318" spans="1:34" x14ac:dyDescent="0.3">
      <c r="A1318" s="4">
        <v>1434</v>
      </c>
      <c r="B1318" s="5">
        <v>1311</v>
      </c>
      <c r="C1318">
        <v>9246</v>
      </c>
      <c r="D1318" t="s">
        <v>20617</v>
      </c>
      <c r="E1318" t="s">
        <v>110</v>
      </c>
      <c r="F1318" t="s">
        <v>259</v>
      </c>
      <c r="G1318" t="s">
        <v>20618</v>
      </c>
      <c r="H1318">
        <v>18.38</v>
      </c>
      <c r="I1318">
        <v>0</v>
      </c>
      <c r="J1318">
        <v>0</v>
      </c>
      <c r="K1318">
        <v>20</v>
      </c>
      <c r="N1318">
        <v>3</v>
      </c>
      <c r="O1318">
        <v>3</v>
      </c>
      <c r="P1318">
        <v>4</v>
      </c>
      <c r="Q1318">
        <v>2</v>
      </c>
      <c r="R1318">
        <v>47.38</v>
      </c>
      <c r="S1318">
        <v>36</v>
      </c>
      <c r="T1318">
        <v>36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36</v>
      </c>
      <c r="AB1318">
        <v>0</v>
      </c>
      <c r="AC1318">
        <v>0</v>
      </c>
      <c r="AH1318">
        <v>83.38</v>
      </c>
    </row>
    <row r="1319" spans="1:34" x14ac:dyDescent="0.3">
      <c r="A1319" s="4">
        <v>1435</v>
      </c>
      <c r="B1319" s="5">
        <v>1312</v>
      </c>
      <c r="C1319">
        <v>5386</v>
      </c>
      <c r="D1319" t="s">
        <v>1647</v>
      </c>
      <c r="E1319" t="s">
        <v>935</v>
      </c>
      <c r="F1319" t="s">
        <v>243</v>
      </c>
      <c r="G1319" t="s">
        <v>20619</v>
      </c>
      <c r="H1319">
        <v>17.23</v>
      </c>
      <c r="I1319">
        <v>0</v>
      </c>
      <c r="J1319">
        <v>0</v>
      </c>
      <c r="K1319">
        <v>20</v>
      </c>
      <c r="N1319">
        <v>3</v>
      </c>
      <c r="O1319">
        <v>3</v>
      </c>
      <c r="P1319">
        <v>4</v>
      </c>
      <c r="Q1319">
        <v>2</v>
      </c>
      <c r="R1319">
        <v>46.23</v>
      </c>
      <c r="S1319">
        <v>37</v>
      </c>
      <c r="T1319">
        <v>37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37</v>
      </c>
      <c r="AB1319">
        <v>0</v>
      </c>
      <c r="AC1319">
        <v>0</v>
      </c>
      <c r="AD1319" t="s">
        <v>130</v>
      </c>
      <c r="AH1319">
        <v>83.23</v>
      </c>
    </row>
    <row r="1320" spans="1:34" x14ac:dyDescent="0.3">
      <c r="A1320" s="4">
        <v>1436</v>
      </c>
      <c r="B1320" s="5">
        <v>1313</v>
      </c>
      <c r="C1320">
        <v>5694</v>
      </c>
      <c r="D1320" t="s">
        <v>1707</v>
      </c>
      <c r="E1320" t="s">
        <v>41</v>
      </c>
      <c r="F1320" t="s">
        <v>230</v>
      </c>
      <c r="G1320" t="s">
        <v>20620</v>
      </c>
      <c r="H1320">
        <v>22.03</v>
      </c>
      <c r="I1320">
        <v>0</v>
      </c>
      <c r="J1320">
        <v>0</v>
      </c>
      <c r="K1320">
        <v>20</v>
      </c>
      <c r="O1320">
        <v>0</v>
      </c>
      <c r="P1320">
        <v>4</v>
      </c>
      <c r="Q1320">
        <v>2</v>
      </c>
      <c r="R1320">
        <v>48.03</v>
      </c>
      <c r="S1320">
        <v>35</v>
      </c>
      <c r="T1320">
        <v>35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35</v>
      </c>
      <c r="AB1320">
        <v>0</v>
      </c>
      <c r="AC1320">
        <v>0</v>
      </c>
      <c r="AH1320">
        <v>83.03</v>
      </c>
    </row>
    <row r="1321" spans="1:34" x14ac:dyDescent="0.3">
      <c r="A1321" s="4">
        <v>1437</v>
      </c>
      <c r="B1321" s="5">
        <v>1314</v>
      </c>
      <c r="C1321">
        <v>11742</v>
      </c>
      <c r="D1321" t="s">
        <v>18861</v>
      </c>
      <c r="E1321" t="s">
        <v>26</v>
      </c>
      <c r="F1321" t="s">
        <v>38</v>
      </c>
      <c r="G1321" t="s">
        <v>20621</v>
      </c>
      <c r="H1321">
        <v>18.8</v>
      </c>
      <c r="I1321">
        <v>0</v>
      </c>
      <c r="J1321">
        <v>0</v>
      </c>
      <c r="K1321">
        <v>20</v>
      </c>
      <c r="N1321">
        <v>3</v>
      </c>
      <c r="O1321">
        <v>3</v>
      </c>
      <c r="P1321">
        <v>4</v>
      </c>
      <c r="Q1321">
        <v>2</v>
      </c>
      <c r="R1321">
        <v>47.8</v>
      </c>
      <c r="S1321">
        <v>35</v>
      </c>
      <c r="T1321">
        <v>35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35</v>
      </c>
      <c r="AB1321">
        <v>0</v>
      </c>
      <c r="AC1321">
        <v>0</v>
      </c>
      <c r="AH1321">
        <v>82.8</v>
      </c>
    </row>
    <row r="1322" spans="1:34" x14ac:dyDescent="0.3">
      <c r="A1322" s="4">
        <v>1438</v>
      </c>
      <c r="B1322" s="5">
        <v>1315</v>
      </c>
      <c r="C1322">
        <v>8675</v>
      </c>
      <c r="D1322" t="s">
        <v>7364</v>
      </c>
      <c r="E1322" t="s">
        <v>20622</v>
      </c>
      <c r="F1322" t="s">
        <v>782</v>
      </c>
      <c r="G1322" t="s">
        <v>20623</v>
      </c>
      <c r="H1322">
        <v>18.78</v>
      </c>
      <c r="I1322">
        <v>0</v>
      </c>
      <c r="J1322">
        <v>0</v>
      </c>
      <c r="K1322">
        <v>20</v>
      </c>
      <c r="N1322">
        <v>3</v>
      </c>
      <c r="O1322">
        <v>3</v>
      </c>
      <c r="P1322">
        <v>4</v>
      </c>
      <c r="Q1322">
        <v>0</v>
      </c>
      <c r="R1322">
        <v>45.78</v>
      </c>
      <c r="S1322">
        <v>37</v>
      </c>
      <c r="T1322">
        <v>37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37</v>
      </c>
      <c r="AB1322">
        <v>0</v>
      </c>
      <c r="AC1322">
        <v>0</v>
      </c>
      <c r="AH1322">
        <v>82.78</v>
      </c>
    </row>
    <row r="1323" spans="1:34" x14ac:dyDescent="0.3">
      <c r="A1323" s="4">
        <v>1439</v>
      </c>
      <c r="B1323" s="5">
        <v>1316</v>
      </c>
      <c r="C1323">
        <v>11452</v>
      </c>
      <c r="D1323" t="s">
        <v>14494</v>
      </c>
      <c r="E1323" t="s">
        <v>29</v>
      </c>
      <c r="F1323" t="s">
        <v>17</v>
      </c>
      <c r="G1323" t="s">
        <v>20624</v>
      </c>
      <c r="H1323">
        <v>18.45</v>
      </c>
      <c r="I1323">
        <v>0</v>
      </c>
      <c r="J1323">
        <v>0</v>
      </c>
      <c r="K1323">
        <v>20</v>
      </c>
      <c r="L1323">
        <v>7</v>
      </c>
      <c r="O1323">
        <v>7</v>
      </c>
      <c r="P1323">
        <v>4</v>
      </c>
      <c r="Q1323">
        <v>2</v>
      </c>
      <c r="R1323">
        <v>51.45</v>
      </c>
      <c r="S1323">
        <v>31</v>
      </c>
      <c r="T1323">
        <v>31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31</v>
      </c>
      <c r="AB1323">
        <v>0</v>
      </c>
      <c r="AC1323">
        <v>0</v>
      </c>
      <c r="AH1323">
        <v>82.45</v>
      </c>
    </row>
    <row r="1324" spans="1:34" x14ac:dyDescent="0.3">
      <c r="A1324" s="4">
        <v>1440</v>
      </c>
      <c r="B1324" s="5">
        <v>1317</v>
      </c>
      <c r="C1324">
        <v>386</v>
      </c>
      <c r="D1324" t="s">
        <v>20625</v>
      </c>
      <c r="E1324" t="s">
        <v>219</v>
      </c>
      <c r="F1324" t="s">
        <v>11935</v>
      </c>
      <c r="G1324" t="s">
        <v>20626</v>
      </c>
      <c r="H1324">
        <v>21.23</v>
      </c>
      <c r="I1324">
        <v>0</v>
      </c>
      <c r="J1324">
        <v>0</v>
      </c>
      <c r="K1324">
        <v>0</v>
      </c>
      <c r="O1324">
        <v>0</v>
      </c>
      <c r="P1324">
        <v>4</v>
      </c>
      <c r="Q1324">
        <v>2</v>
      </c>
      <c r="R1324">
        <v>27.23</v>
      </c>
      <c r="S1324">
        <v>52</v>
      </c>
      <c r="T1324">
        <v>52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52</v>
      </c>
      <c r="AB1324">
        <v>3</v>
      </c>
      <c r="AC1324">
        <v>0</v>
      </c>
      <c r="AH1324">
        <v>82.23</v>
      </c>
    </row>
    <row r="1325" spans="1:34" x14ac:dyDescent="0.3">
      <c r="A1325" s="4">
        <v>1441</v>
      </c>
      <c r="B1325" s="5">
        <v>1318</v>
      </c>
      <c r="C1325">
        <v>12731</v>
      </c>
      <c r="D1325" t="s">
        <v>20627</v>
      </c>
      <c r="E1325" t="s">
        <v>26</v>
      </c>
      <c r="F1325" t="s">
        <v>17</v>
      </c>
      <c r="G1325" t="s">
        <v>20628</v>
      </c>
      <c r="H1325">
        <v>18.5</v>
      </c>
      <c r="I1325">
        <v>0</v>
      </c>
      <c r="J1325">
        <v>0</v>
      </c>
      <c r="K1325">
        <v>20</v>
      </c>
      <c r="N1325">
        <v>3</v>
      </c>
      <c r="O1325">
        <v>3</v>
      </c>
      <c r="P1325">
        <v>4</v>
      </c>
      <c r="Q1325">
        <v>0</v>
      </c>
      <c r="R1325">
        <v>45.5</v>
      </c>
      <c r="S1325">
        <v>36</v>
      </c>
      <c r="T1325">
        <v>36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36</v>
      </c>
      <c r="AB1325">
        <v>0</v>
      </c>
      <c r="AC1325">
        <v>0</v>
      </c>
      <c r="AH1325">
        <v>81.5</v>
      </c>
    </row>
    <row r="1326" spans="1:34" x14ac:dyDescent="0.3">
      <c r="A1326" s="4">
        <v>1442</v>
      </c>
      <c r="B1326" s="5">
        <v>1319</v>
      </c>
      <c r="C1326">
        <v>12565</v>
      </c>
      <c r="D1326" t="s">
        <v>20629</v>
      </c>
      <c r="E1326" t="s">
        <v>208</v>
      </c>
      <c r="F1326" t="s">
        <v>3814</v>
      </c>
      <c r="G1326" t="s">
        <v>20630</v>
      </c>
      <c r="H1326">
        <v>21.33</v>
      </c>
      <c r="I1326">
        <v>0</v>
      </c>
      <c r="J1326">
        <v>0</v>
      </c>
      <c r="K1326">
        <v>0</v>
      </c>
      <c r="L1326">
        <v>7</v>
      </c>
      <c r="O1326">
        <v>7</v>
      </c>
      <c r="P1326">
        <v>4</v>
      </c>
      <c r="Q1326">
        <v>2</v>
      </c>
      <c r="R1326">
        <v>34.33</v>
      </c>
      <c r="S1326">
        <v>47</v>
      </c>
      <c r="T1326">
        <v>47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47</v>
      </c>
      <c r="AB1326">
        <v>0</v>
      </c>
      <c r="AC1326">
        <v>0</v>
      </c>
      <c r="AH1326">
        <v>81.33</v>
      </c>
    </row>
    <row r="1327" spans="1:34" x14ac:dyDescent="0.3">
      <c r="A1327" s="4">
        <v>1443</v>
      </c>
      <c r="B1327" s="5">
        <v>1320</v>
      </c>
      <c r="C1327">
        <v>9791</v>
      </c>
      <c r="D1327" t="s">
        <v>20631</v>
      </c>
      <c r="E1327" t="s">
        <v>20632</v>
      </c>
      <c r="F1327" t="s">
        <v>81</v>
      </c>
      <c r="G1327" t="s">
        <v>20633</v>
      </c>
      <c r="H1327">
        <v>18.079999999999998</v>
      </c>
      <c r="I1327">
        <v>0</v>
      </c>
      <c r="J1327">
        <v>0</v>
      </c>
      <c r="K1327">
        <v>20</v>
      </c>
      <c r="L1327">
        <v>7</v>
      </c>
      <c r="O1327">
        <v>7</v>
      </c>
      <c r="P1327">
        <v>4</v>
      </c>
      <c r="Q1327">
        <v>2</v>
      </c>
      <c r="R1327">
        <v>51.08</v>
      </c>
      <c r="S1327">
        <v>30</v>
      </c>
      <c r="T1327">
        <v>30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30</v>
      </c>
      <c r="AB1327">
        <v>0</v>
      </c>
      <c r="AC1327">
        <v>0</v>
      </c>
      <c r="AH1327">
        <v>81.08</v>
      </c>
    </row>
    <row r="1328" spans="1:34" x14ac:dyDescent="0.3">
      <c r="A1328" s="4">
        <v>1444</v>
      </c>
      <c r="B1328" s="5">
        <v>1321</v>
      </c>
      <c r="C1328">
        <v>1705</v>
      </c>
      <c r="D1328" t="s">
        <v>20634</v>
      </c>
      <c r="E1328" t="s">
        <v>20635</v>
      </c>
      <c r="F1328" t="s">
        <v>375</v>
      </c>
      <c r="G1328" t="s">
        <v>20636</v>
      </c>
      <c r="H1328">
        <v>19</v>
      </c>
      <c r="I1328">
        <v>7</v>
      </c>
      <c r="J1328">
        <v>0</v>
      </c>
      <c r="K1328">
        <v>20</v>
      </c>
      <c r="L1328">
        <v>7</v>
      </c>
      <c r="N1328">
        <v>3</v>
      </c>
      <c r="O1328">
        <v>10</v>
      </c>
      <c r="P1328">
        <v>4</v>
      </c>
      <c r="Q1328">
        <v>0</v>
      </c>
      <c r="R1328">
        <v>60</v>
      </c>
      <c r="S1328">
        <v>18</v>
      </c>
      <c r="T1328">
        <v>18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18</v>
      </c>
      <c r="AB1328">
        <v>3</v>
      </c>
      <c r="AC1328">
        <v>0</v>
      </c>
      <c r="AH1328">
        <v>81</v>
      </c>
    </row>
    <row r="1329" spans="1:34" x14ac:dyDescent="0.3">
      <c r="A1329" s="4">
        <v>1445</v>
      </c>
      <c r="B1329" s="5">
        <v>1322</v>
      </c>
      <c r="C1329">
        <v>9510</v>
      </c>
      <c r="D1329" t="s">
        <v>20637</v>
      </c>
      <c r="E1329" t="s">
        <v>166</v>
      </c>
      <c r="F1329" t="s">
        <v>17</v>
      </c>
      <c r="G1329" t="s">
        <v>20638</v>
      </c>
      <c r="H1329">
        <v>18.75</v>
      </c>
      <c r="I1329">
        <v>0</v>
      </c>
      <c r="J1329">
        <v>0</v>
      </c>
      <c r="K1329">
        <v>20</v>
      </c>
      <c r="N1329">
        <v>3</v>
      </c>
      <c r="O1329">
        <v>3</v>
      </c>
      <c r="P1329">
        <v>4</v>
      </c>
      <c r="Q1329">
        <v>0</v>
      </c>
      <c r="R1329">
        <v>45.75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3</v>
      </c>
      <c r="AC1329">
        <v>32</v>
      </c>
      <c r="AH1329">
        <v>80.75</v>
      </c>
    </row>
    <row r="1330" spans="1:34" x14ac:dyDescent="0.3">
      <c r="A1330" s="4">
        <v>1446</v>
      </c>
      <c r="B1330" s="5">
        <v>1323</v>
      </c>
      <c r="C1330">
        <v>4425</v>
      </c>
      <c r="D1330" t="s">
        <v>3704</v>
      </c>
      <c r="E1330" t="s">
        <v>20639</v>
      </c>
      <c r="F1330" t="s">
        <v>68</v>
      </c>
      <c r="G1330" t="s">
        <v>20640</v>
      </c>
      <c r="H1330">
        <v>19.48</v>
      </c>
      <c r="I1330">
        <v>0</v>
      </c>
      <c r="J1330">
        <v>0</v>
      </c>
      <c r="K1330">
        <v>0</v>
      </c>
      <c r="N1330">
        <v>3</v>
      </c>
      <c r="O1330">
        <v>3</v>
      </c>
      <c r="P1330">
        <v>4</v>
      </c>
      <c r="Q1330">
        <v>2</v>
      </c>
      <c r="R1330">
        <v>28.48</v>
      </c>
      <c r="S1330">
        <v>52</v>
      </c>
      <c r="T1330">
        <v>52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52</v>
      </c>
      <c r="AB1330">
        <v>0</v>
      </c>
      <c r="AC1330">
        <v>0</v>
      </c>
      <c r="AH1330">
        <v>80.48</v>
      </c>
    </row>
    <row r="1331" spans="1:34" x14ac:dyDescent="0.3">
      <c r="A1331" s="4">
        <v>1447</v>
      </c>
      <c r="B1331" s="5">
        <v>1324</v>
      </c>
      <c r="C1331">
        <v>10585</v>
      </c>
      <c r="D1331" t="s">
        <v>20641</v>
      </c>
      <c r="E1331" t="s">
        <v>20642</v>
      </c>
      <c r="F1331" t="s">
        <v>62</v>
      </c>
      <c r="G1331" t="s">
        <v>20643</v>
      </c>
      <c r="H1331">
        <v>19.350000000000001</v>
      </c>
      <c r="I1331">
        <v>0</v>
      </c>
      <c r="J1331">
        <v>0</v>
      </c>
      <c r="K1331">
        <v>0</v>
      </c>
      <c r="L1331">
        <v>7</v>
      </c>
      <c r="O1331">
        <v>7</v>
      </c>
      <c r="P1331">
        <v>4</v>
      </c>
      <c r="Q1331">
        <v>2</v>
      </c>
      <c r="R1331">
        <v>32.35</v>
      </c>
      <c r="S1331">
        <v>45</v>
      </c>
      <c r="T1331">
        <v>45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45</v>
      </c>
      <c r="AB1331">
        <v>3</v>
      </c>
      <c r="AC1331">
        <v>0</v>
      </c>
      <c r="AH1331">
        <v>80.349999999999994</v>
      </c>
    </row>
    <row r="1332" spans="1:34" x14ac:dyDescent="0.3">
      <c r="A1332" s="4">
        <v>1448</v>
      </c>
      <c r="B1332" s="5">
        <v>1325</v>
      </c>
      <c r="C1332">
        <v>8933</v>
      </c>
      <c r="D1332" t="s">
        <v>20644</v>
      </c>
      <c r="E1332" t="s">
        <v>132</v>
      </c>
      <c r="F1332" t="s">
        <v>20</v>
      </c>
      <c r="G1332" t="s">
        <v>20645</v>
      </c>
      <c r="H1332">
        <v>18.350000000000001</v>
      </c>
      <c r="I1332">
        <v>0</v>
      </c>
      <c r="J1332">
        <v>0</v>
      </c>
      <c r="K1332">
        <v>20</v>
      </c>
      <c r="N1332">
        <v>3</v>
      </c>
      <c r="O1332">
        <v>3</v>
      </c>
      <c r="P1332">
        <v>4</v>
      </c>
      <c r="Q1332">
        <v>0</v>
      </c>
      <c r="R1332">
        <v>45.35</v>
      </c>
      <c r="S1332">
        <v>35</v>
      </c>
      <c r="T1332">
        <v>35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35</v>
      </c>
      <c r="AB1332">
        <v>0</v>
      </c>
      <c r="AC1332">
        <v>0</v>
      </c>
      <c r="AH1332">
        <v>80.349999999999994</v>
      </c>
    </row>
    <row r="1333" spans="1:34" x14ac:dyDescent="0.3">
      <c r="A1333" s="4">
        <v>1449</v>
      </c>
      <c r="B1333" s="5">
        <v>1326</v>
      </c>
      <c r="C1333">
        <v>2700</v>
      </c>
      <c r="D1333" t="s">
        <v>9136</v>
      </c>
      <c r="E1333" t="s">
        <v>132</v>
      </c>
      <c r="F1333" t="s">
        <v>136</v>
      </c>
      <c r="G1333" t="s">
        <v>20646</v>
      </c>
      <c r="H1333">
        <v>19.25</v>
      </c>
      <c r="I1333">
        <v>0</v>
      </c>
      <c r="J1333">
        <v>0</v>
      </c>
      <c r="K1333">
        <v>20</v>
      </c>
      <c r="L1333">
        <v>7</v>
      </c>
      <c r="O1333">
        <v>7</v>
      </c>
      <c r="P1333">
        <v>4</v>
      </c>
      <c r="Q1333">
        <v>2</v>
      </c>
      <c r="R1333">
        <v>52.25</v>
      </c>
      <c r="S1333">
        <v>28</v>
      </c>
      <c r="T1333">
        <v>28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28</v>
      </c>
      <c r="AB1333">
        <v>0</v>
      </c>
      <c r="AC1333">
        <v>0</v>
      </c>
      <c r="AD1333" t="s">
        <v>130</v>
      </c>
      <c r="AH1333">
        <v>80.25</v>
      </c>
    </row>
    <row r="1334" spans="1:34" x14ac:dyDescent="0.3">
      <c r="A1334" s="4">
        <v>1450</v>
      </c>
      <c r="B1334" s="5">
        <v>1327</v>
      </c>
      <c r="C1334">
        <v>768</v>
      </c>
      <c r="D1334" t="s">
        <v>20647</v>
      </c>
      <c r="E1334" t="s">
        <v>97</v>
      </c>
      <c r="F1334" t="s">
        <v>1511</v>
      </c>
      <c r="G1334" t="s">
        <v>20648</v>
      </c>
      <c r="H1334">
        <v>18.13</v>
      </c>
      <c r="I1334">
        <v>0</v>
      </c>
      <c r="J1334">
        <v>0</v>
      </c>
      <c r="K1334">
        <v>0</v>
      </c>
      <c r="N1334">
        <v>3</v>
      </c>
      <c r="O1334">
        <v>3</v>
      </c>
      <c r="P1334">
        <v>4</v>
      </c>
      <c r="Q1334">
        <v>0</v>
      </c>
      <c r="R1334">
        <v>25.13</v>
      </c>
      <c r="S1334">
        <v>52</v>
      </c>
      <c r="T1334">
        <v>52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52</v>
      </c>
      <c r="AB1334">
        <v>3</v>
      </c>
      <c r="AC1334">
        <v>0</v>
      </c>
      <c r="AH1334">
        <v>80.13</v>
      </c>
    </row>
    <row r="1335" spans="1:34" x14ac:dyDescent="0.3">
      <c r="A1335" s="4">
        <v>1451</v>
      </c>
      <c r="B1335" s="5">
        <v>1328</v>
      </c>
      <c r="C1335">
        <v>2950</v>
      </c>
      <c r="D1335" t="s">
        <v>1770</v>
      </c>
      <c r="E1335" t="s">
        <v>126</v>
      </c>
      <c r="F1335" t="s">
        <v>81</v>
      </c>
      <c r="G1335" t="s">
        <v>20649</v>
      </c>
      <c r="H1335">
        <v>20</v>
      </c>
      <c r="I1335">
        <v>0</v>
      </c>
      <c r="J1335">
        <v>0</v>
      </c>
      <c r="K1335">
        <v>0</v>
      </c>
      <c r="L1335">
        <v>7</v>
      </c>
      <c r="O1335">
        <v>7</v>
      </c>
      <c r="P1335">
        <v>4</v>
      </c>
      <c r="Q1335">
        <v>2</v>
      </c>
      <c r="R1335">
        <v>33</v>
      </c>
      <c r="S1335">
        <v>47</v>
      </c>
      <c r="T1335">
        <v>47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47</v>
      </c>
      <c r="AB1335">
        <v>0</v>
      </c>
      <c r="AC1335">
        <v>0</v>
      </c>
      <c r="AH1335">
        <v>80</v>
      </c>
    </row>
    <row r="1336" spans="1:34" x14ac:dyDescent="0.3">
      <c r="A1336" s="4">
        <v>1452</v>
      </c>
      <c r="B1336" s="5">
        <v>1329</v>
      </c>
      <c r="C1336">
        <v>3731</v>
      </c>
      <c r="D1336" t="s">
        <v>20650</v>
      </c>
      <c r="E1336" t="s">
        <v>5850</v>
      </c>
      <c r="F1336" t="s">
        <v>158</v>
      </c>
      <c r="G1336" t="s">
        <v>20651</v>
      </c>
      <c r="H1336">
        <v>18.75</v>
      </c>
      <c r="I1336">
        <v>0</v>
      </c>
      <c r="J1336">
        <v>0</v>
      </c>
      <c r="K1336">
        <v>0</v>
      </c>
      <c r="N1336">
        <v>3</v>
      </c>
      <c r="O1336">
        <v>3</v>
      </c>
      <c r="P1336">
        <v>4</v>
      </c>
      <c r="Q1336">
        <v>2</v>
      </c>
      <c r="R1336">
        <v>27.75</v>
      </c>
      <c r="S1336">
        <v>52</v>
      </c>
      <c r="T1336">
        <v>52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52</v>
      </c>
      <c r="AB1336">
        <v>0</v>
      </c>
      <c r="AC1336">
        <v>0</v>
      </c>
      <c r="AD1336" t="s">
        <v>130</v>
      </c>
      <c r="AH1336">
        <v>79.75</v>
      </c>
    </row>
    <row r="1337" spans="1:34" x14ac:dyDescent="0.3">
      <c r="A1337" s="4">
        <v>1453</v>
      </c>
      <c r="B1337" s="5">
        <v>1330</v>
      </c>
      <c r="C1337">
        <v>8222</v>
      </c>
      <c r="D1337" t="s">
        <v>20652</v>
      </c>
      <c r="E1337" t="s">
        <v>68</v>
      </c>
      <c r="F1337" t="s">
        <v>124</v>
      </c>
      <c r="G1337" t="s">
        <v>20653</v>
      </c>
      <c r="H1337">
        <v>17.75</v>
      </c>
      <c r="I1337">
        <v>0</v>
      </c>
      <c r="J1337">
        <v>0</v>
      </c>
      <c r="K1337">
        <v>0</v>
      </c>
      <c r="N1337">
        <v>3</v>
      </c>
      <c r="O1337">
        <v>3</v>
      </c>
      <c r="P1337">
        <v>4</v>
      </c>
      <c r="Q1337">
        <v>0</v>
      </c>
      <c r="R1337">
        <v>24.75</v>
      </c>
      <c r="S1337">
        <v>25</v>
      </c>
      <c r="T1337">
        <v>25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25</v>
      </c>
      <c r="AB1337">
        <v>3</v>
      </c>
      <c r="AC1337">
        <v>26.8</v>
      </c>
      <c r="AH1337">
        <v>79.55</v>
      </c>
    </row>
    <row r="1338" spans="1:34" x14ac:dyDescent="0.3">
      <c r="A1338" s="4">
        <v>1454</v>
      </c>
      <c r="B1338" s="5">
        <v>1331</v>
      </c>
      <c r="C1338">
        <v>5506</v>
      </c>
      <c r="D1338" t="s">
        <v>20654</v>
      </c>
      <c r="E1338" t="s">
        <v>20655</v>
      </c>
      <c r="F1338" t="s">
        <v>117</v>
      </c>
      <c r="G1338" t="s">
        <v>20656</v>
      </c>
      <c r="H1338">
        <v>17.45</v>
      </c>
      <c r="I1338">
        <v>0</v>
      </c>
      <c r="J1338">
        <v>0</v>
      </c>
      <c r="K1338">
        <v>20</v>
      </c>
      <c r="N1338">
        <v>3</v>
      </c>
      <c r="O1338">
        <v>3</v>
      </c>
      <c r="P1338">
        <v>4</v>
      </c>
      <c r="Q1338">
        <v>0</v>
      </c>
      <c r="R1338">
        <v>44.45</v>
      </c>
      <c r="S1338">
        <v>35</v>
      </c>
      <c r="T1338">
        <v>35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35</v>
      </c>
      <c r="AB1338">
        <v>0</v>
      </c>
      <c r="AC1338">
        <v>0</v>
      </c>
      <c r="AH1338">
        <v>79.45</v>
      </c>
    </row>
    <row r="1339" spans="1:34" x14ac:dyDescent="0.3">
      <c r="A1339" s="4">
        <v>1455</v>
      </c>
      <c r="B1339" s="5">
        <v>1332</v>
      </c>
      <c r="C1339">
        <v>6393</v>
      </c>
      <c r="D1339" t="s">
        <v>20657</v>
      </c>
      <c r="E1339" t="s">
        <v>79</v>
      </c>
      <c r="F1339" t="s">
        <v>2427</v>
      </c>
      <c r="G1339" t="s">
        <v>20658</v>
      </c>
      <c r="H1339">
        <v>20.329999999999998</v>
      </c>
      <c r="I1339">
        <v>0</v>
      </c>
      <c r="J1339">
        <v>0</v>
      </c>
      <c r="K1339">
        <v>0</v>
      </c>
      <c r="L1339">
        <v>7</v>
      </c>
      <c r="O1339">
        <v>7</v>
      </c>
      <c r="P1339">
        <v>4</v>
      </c>
      <c r="Q1339">
        <v>2</v>
      </c>
      <c r="R1339">
        <v>33.33</v>
      </c>
      <c r="S1339">
        <v>46</v>
      </c>
      <c r="T1339">
        <v>46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46</v>
      </c>
      <c r="AB1339">
        <v>0</v>
      </c>
      <c r="AC1339">
        <v>0</v>
      </c>
      <c r="AH1339">
        <v>79.33</v>
      </c>
    </row>
    <row r="1340" spans="1:34" x14ac:dyDescent="0.3">
      <c r="A1340" s="4">
        <v>1456</v>
      </c>
      <c r="B1340" s="5">
        <v>1333</v>
      </c>
      <c r="C1340">
        <v>1941</v>
      </c>
      <c r="D1340" t="s">
        <v>20659</v>
      </c>
      <c r="E1340" t="s">
        <v>100</v>
      </c>
      <c r="F1340" t="s">
        <v>52</v>
      </c>
      <c r="G1340" t="s">
        <v>20660</v>
      </c>
      <c r="H1340">
        <v>19.899999999999999</v>
      </c>
      <c r="I1340">
        <v>0</v>
      </c>
      <c r="J1340">
        <v>0</v>
      </c>
      <c r="K1340">
        <v>0</v>
      </c>
      <c r="N1340">
        <v>3</v>
      </c>
      <c r="O1340">
        <v>3</v>
      </c>
      <c r="P1340">
        <v>4</v>
      </c>
      <c r="Q1340">
        <v>2</v>
      </c>
      <c r="R1340">
        <v>28.9</v>
      </c>
      <c r="S1340">
        <v>44</v>
      </c>
      <c r="T1340">
        <v>44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44</v>
      </c>
      <c r="AB1340">
        <v>6</v>
      </c>
      <c r="AC1340">
        <v>0</v>
      </c>
      <c r="AD1340" t="s">
        <v>130</v>
      </c>
      <c r="AH1340">
        <v>78.900000000000006</v>
      </c>
    </row>
    <row r="1341" spans="1:34" x14ac:dyDescent="0.3">
      <c r="A1341" s="4">
        <v>1457</v>
      </c>
      <c r="B1341" s="5">
        <v>1334</v>
      </c>
      <c r="C1341">
        <v>11862</v>
      </c>
      <c r="D1341" t="s">
        <v>1436</v>
      </c>
      <c r="E1341" t="s">
        <v>1242</v>
      </c>
      <c r="F1341" t="s">
        <v>442</v>
      </c>
      <c r="G1341" t="s">
        <v>20661</v>
      </c>
      <c r="H1341">
        <v>19.5</v>
      </c>
      <c r="I1341">
        <v>0</v>
      </c>
      <c r="J1341">
        <v>0</v>
      </c>
      <c r="K1341">
        <v>0</v>
      </c>
      <c r="L1341">
        <v>7</v>
      </c>
      <c r="O1341">
        <v>7</v>
      </c>
      <c r="P1341">
        <v>4</v>
      </c>
      <c r="Q1341">
        <v>0</v>
      </c>
      <c r="R1341">
        <v>30.5</v>
      </c>
      <c r="S1341">
        <v>45</v>
      </c>
      <c r="T1341">
        <v>45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45</v>
      </c>
      <c r="AB1341">
        <v>3</v>
      </c>
      <c r="AC1341">
        <v>0</v>
      </c>
      <c r="AH1341">
        <v>78.5</v>
      </c>
    </row>
    <row r="1342" spans="1:34" x14ac:dyDescent="0.3">
      <c r="A1342" s="4">
        <v>1458</v>
      </c>
      <c r="B1342" s="5">
        <v>1335</v>
      </c>
      <c r="C1342">
        <v>12825</v>
      </c>
      <c r="D1342" t="s">
        <v>20662</v>
      </c>
      <c r="E1342" t="s">
        <v>1576</v>
      </c>
      <c r="F1342" t="s">
        <v>38</v>
      </c>
      <c r="G1342" t="s">
        <v>20663</v>
      </c>
      <c r="H1342">
        <v>19.2</v>
      </c>
      <c r="I1342">
        <v>0</v>
      </c>
      <c r="J1342">
        <v>0</v>
      </c>
      <c r="K1342">
        <v>0</v>
      </c>
      <c r="O1342">
        <v>0</v>
      </c>
      <c r="P1342">
        <v>4</v>
      </c>
      <c r="Q1342">
        <v>2</v>
      </c>
      <c r="R1342">
        <v>25.2</v>
      </c>
      <c r="S1342">
        <v>53</v>
      </c>
      <c r="T1342">
        <v>53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53</v>
      </c>
      <c r="AB1342">
        <v>0</v>
      </c>
      <c r="AC1342">
        <v>0</v>
      </c>
      <c r="AH1342">
        <v>78.2</v>
      </c>
    </row>
    <row r="1343" spans="1:34" x14ac:dyDescent="0.3">
      <c r="A1343" s="4">
        <v>1459</v>
      </c>
      <c r="B1343" s="5">
        <v>1336</v>
      </c>
      <c r="C1343">
        <v>11487</v>
      </c>
      <c r="D1343" t="s">
        <v>671</v>
      </c>
      <c r="E1343" t="s">
        <v>29</v>
      </c>
      <c r="F1343" t="s">
        <v>17</v>
      </c>
      <c r="G1343">
        <v>231082</v>
      </c>
      <c r="H1343">
        <v>20</v>
      </c>
      <c r="I1343">
        <v>0</v>
      </c>
      <c r="J1343">
        <v>0</v>
      </c>
      <c r="K1343">
        <v>0</v>
      </c>
      <c r="L1343">
        <v>7</v>
      </c>
      <c r="O1343">
        <v>7</v>
      </c>
      <c r="P1343">
        <v>4</v>
      </c>
      <c r="Q1343">
        <v>2</v>
      </c>
      <c r="R1343">
        <v>33</v>
      </c>
      <c r="S1343">
        <v>36</v>
      </c>
      <c r="T1343">
        <v>36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36</v>
      </c>
      <c r="AB1343">
        <v>9</v>
      </c>
      <c r="AC1343">
        <v>0</v>
      </c>
      <c r="AH1343">
        <v>78</v>
      </c>
    </row>
    <row r="1344" spans="1:34" x14ac:dyDescent="0.3">
      <c r="A1344" s="4">
        <v>1460</v>
      </c>
      <c r="B1344" s="5">
        <v>1337</v>
      </c>
      <c r="C1344">
        <v>10194</v>
      </c>
      <c r="D1344" t="s">
        <v>3549</v>
      </c>
      <c r="E1344" t="s">
        <v>178</v>
      </c>
      <c r="F1344" t="s">
        <v>20</v>
      </c>
      <c r="G1344" t="s">
        <v>20664</v>
      </c>
      <c r="H1344">
        <v>17.850000000000001</v>
      </c>
      <c r="I1344">
        <v>0</v>
      </c>
      <c r="J1344">
        <v>0</v>
      </c>
      <c r="K1344">
        <v>0</v>
      </c>
      <c r="N1344">
        <v>6</v>
      </c>
      <c r="O1344">
        <v>6</v>
      </c>
      <c r="P1344">
        <v>4</v>
      </c>
      <c r="Q1344">
        <v>0</v>
      </c>
      <c r="R1344">
        <v>27.85</v>
      </c>
      <c r="S1344">
        <v>50</v>
      </c>
      <c r="T1344">
        <v>50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50</v>
      </c>
      <c r="AB1344">
        <v>0</v>
      </c>
      <c r="AC1344">
        <v>0</v>
      </c>
      <c r="AD1344" t="s">
        <v>130</v>
      </c>
      <c r="AH1344">
        <v>77.849999999999994</v>
      </c>
    </row>
    <row r="1345" spans="1:34" x14ac:dyDescent="0.3">
      <c r="A1345" s="4">
        <v>1461</v>
      </c>
      <c r="B1345" s="5">
        <v>1338</v>
      </c>
      <c r="C1345">
        <v>7240</v>
      </c>
      <c r="D1345" t="s">
        <v>944</v>
      </c>
      <c r="E1345" t="s">
        <v>20665</v>
      </c>
      <c r="F1345" t="s">
        <v>34</v>
      </c>
      <c r="G1345" t="s">
        <v>20666</v>
      </c>
      <c r="H1345">
        <v>17.7</v>
      </c>
      <c r="I1345">
        <v>0</v>
      </c>
      <c r="J1345">
        <v>0</v>
      </c>
      <c r="K1345">
        <v>0</v>
      </c>
      <c r="N1345">
        <v>3</v>
      </c>
      <c r="O1345">
        <v>3</v>
      </c>
      <c r="P1345">
        <v>4</v>
      </c>
      <c r="Q1345">
        <v>2</v>
      </c>
      <c r="R1345">
        <v>26.7</v>
      </c>
      <c r="S1345">
        <v>35</v>
      </c>
      <c r="T1345">
        <v>35</v>
      </c>
      <c r="U1345">
        <v>8</v>
      </c>
      <c r="V1345">
        <v>16</v>
      </c>
      <c r="W1345">
        <v>0</v>
      </c>
      <c r="X1345">
        <v>0</v>
      </c>
      <c r="Y1345">
        <v>0</v>
      </c>
      <c r="Z1345">
        <v>0</v>
      </c>
      <c r="AA1345">
        <v>51</v>
      </c>
      <c r="AB1345">
        <v>0</v>
      </c>
      <c r="AC1345">
        <v>0</v>
      </c>
      <c r="AH1345">
        <v>77.7</v>
      </c>
    </row>
    <row r="1346" spans="1:34" x14ac:dyDescent="0.3">
      <c r="A1346" s="4">
        <v>1462</v>
      </c>
      <c r="B1346" s="5">
        <v>1339</v>
      </c>
      <c r="C1346">
        <v>2474</v>
      </c>
      <c r="D1346" t="s">
        <v>20667</v>
      </c>
      <c r="E1346" t="s">
        <v>570</v>
      </c>
      <c r="F1346" t="s">
        <v>38</v>
      </c>
      <c r="G1346" t="s">
        <v>20668</v>
      </c>
      <c r="H1346">
        <v>17.68</v>
      </c>
      <c r="I1346">
        <v>0</v>
      </c>
      <c r="J1346">
        <v>0</v>
      </c>
      <c r="K1346">
        <v>0</v>
      </c>
      <c r="N1346">
        <v>3</v>
      </c>
      <c r="O1346">
        <v>3</v>
      </c>
      <c r="P1346">
        <v>4</v>
      </c>
      <c r="Q1346">
        <v>0</v>
      </c>
      <c r="R1346">
        <v>24.68</v>
      </c>
      <c r="S1346">
        <v>44</v>
      </c>
      <c r="T1346">
        <v>44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44</v>
      </c>
      <c r="AB1346">
        <v>9</v>
      </c>
      <c r="AC1346">
        <v>0</v>
      </c>
      <c r="AH1346">
        <v>77.680000000000007</v>
      </c>
    </row>
    <row r="1347" spans="1:34" x14ac:dyDescent="0.3">
      <c r="A1347" s="4">
        <v>1463</v>
      </c>
      <c r="B1347" s="5">
        <v>1340</v>
      </c>
      <c r="C1347">
        <v>8020</v>
      </c>
      <c r="D1347" t="s">
        <v>20669</v>
      </c>
      <c r="E1347" t="s">
        <v>286</v>
      </c>
      <c r="F1347" t="s">
        <v>34</v>
      </c>
      <c r="G1347" t="s">
        <v>20670</v>
      </c>
      <c r="H1347">
        <v>19.350000000000001</v>
      </c>
      <c r="I1347">
        <v>0</v>
      </c>
      <c r="J1347">
        <v>0</v>
      </c>
      <c r="K1347">
        <v>0</v>
      </c>
      <c r="L1347">
        <v>7</v>
      </c>
      <c r="O1347">
        <v>7</v>
      </c>
      <c r="P1347">
        <v>4</v>
      </c>
      <c r="Q1347">
        <v>2</v>
      </c>
      <c r="R1347">
        <v>32.35</v>
      </c>
      <c r="S1347">
        <v>45</v>
      </c>
      <c r="T1347">
        <v>45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45</v>
      </c>
      <c r="AB1347">
        <v>0</v>
      </c>
      <c r="AC1347">
        <v>0</v>
      </c>
      <c r="AH1347">
        <v>77.349999999999994</v>
      </c>
    </row>
    <row r="1348" spans="1:34" x14ac:dyDescent="0.3">
      <c r="A1348" s="4">
        <v>1464</v>
      </c>
      <c r="B1348" s="5">
        <v>1341</v>
      </c>
      <c r="C1348">
        <v>8364</v>
      </c>
      <c r="D1348" t="s">
        <v>3350</v>
      </c>
      <c r="E1348" t="s">
        <v>26</v>
      </c>
      <c r="F1348" t="s">
        <v>20</v>
      </c>
      <c r="G1348" t="s">
        <v>20671</v>
      </c>
      <c r="H1348">
        <v>20.53</v>
      </c>
      <c r="I1348">
        <v>0</v>
      </c>
      <c r="J1348">
        <v>0</v>
      </c>
      <c r="K1348">
        <v>20</v>
      </c>
      <c r="N1348">
        <v>3</v>
      </c>
      <c r="O1348">
        <v>3</v>
      </c>
      <c r="P1348">
        <v>4</v>
      </c>
      <c r="Q1348">
        <v>0</v>
      </c>
      <c r="R1348">
        <v>47.53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3</v>
      </c>
      <c r="AC1348">
        <v>26.8</v>
      </c>
      <c r="AH1348">
        <v>77.33</v>
      </c>
    </row>
    <row r="1349" spans="1:34" x14ac:dyDescent="0.3">
      <c r="A1349" s="4">
        <v>1465</v>
      </c>
      <c r="B1349" s="5">
        <v>1342</v>
      </c>
      <c r="C1349">
        <v>5825</v>
      </c>
      <c r="D1349" t="s">
        <v>20672</v>
      </c>
      <c r="E1349" t="s">
        <v>4801</v>
      </c>
      <c r="F1349" t="s">
        <v>62</v>
      </c>
      <c r="G1349" t="s">
        <v>20673</v>
      </c>
      <c r="H1349">
        <v>17.3</v>
      </c>
      <c r="I1349">
        <v>0</v>
      </c>
      <c r="J1349">
        <v>0</v>
      </c>
      <c r="K1349">
        <v>0</v>
      </c>
      <c r="N1349">
        <v>3</v>
      </c>
      <c r="O1349">
        <v>3</v>
      </c>
      <c r="P1349">
        <v>0</v>
      </c>
      <c r="Q1349">
        <v>0</v>
      </c>
      <c r="R1349">
        <v>20.3</v>
      </c>
      <c r="S1349">
        <v>54</v>
      </c>
      <c r="T1349">
        <v>54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54</v>
      </c>
      <c r="AB1349">
        <v>3</v>
      </c>
      <c r="AC1349">
        <v>0</v>
      </c>
      <c r="AH1349">
        <v>77.3</v>
      </c>
    </row>
    <row r="1350" spans="1:34" x14ac:dyDescent="0.3">
      <c r="A1350" s="4">
        <v>1466</v>
      </c>
      <c r="B1350" s="5">
        <v>1343</v>
      </c>
      <c r="C1350">
        <v>12316</v>
      </c>
      <c r="D1350" t="s">
        <v>2600</v>
      </c>
      <c r="E1350" t="s">
        <v>258</v>
      </c>
      <c r="F1350" t="s">
        <v>20</v>
      </c>
      <c r="G1350" t="s">
        <v>20674</v>
      </c>
      <c r="H1350">
        <v>20</v>
      </c>
      <c r="I1350">
        <v>0</v>
      </c>
      <c r="J1350">
        <v>0</v>
      </c>
      <c r="K1350">
        <v>20</v>
      </c>
      <c r="L1350">
        <v>7</v>
      </c>
      <c r="N1350">
        <v>3</v>
      </c>
      <c r="O1350">
        <v>10</v>
      </c>
      <c r="P1350">
        <v>4</v>
      </c>
      <c r="Q1350">
        <v>2</v>
      </c>
      <c r="R1350">
        <v>56</v>
      </c>
      <c r="S1350">
        <v>18</v>
      </c>
      <c r="T1350">
        <v>18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18</v>
      </c>
      <c r="AB1350">
        <v>3</v>
      </c>
      <c r="AC1350">
        <v>0</v>
      </c>
      <c r="AH1350">
        <v>77</v>
      </c>
    </row>
    <row r="1351" spans="1:34" x14ac:dyDescent="0.3">
      <c r="A1351" s="4">
        <v>1467</v>
      </c>
      <c r="B1351" s="5">
        <v>1344</v>
      </c>
      <c r="C1351">
        <v>5122</v>
      </c>
      <c r="D1351" t="s">
        <v>12816</v>
      </c>
      <c r="E1351" t="s">
        <v>550</v>
      </c>
      <c r="F1351" t="s">
        <v>17</v>
      </c>
      <c r="G1351" t="s">
        <v>20675</v>
      </c>
      <c r="H1351">
        <v>17.829999999999998</v>
      </c>
      <c r="I1351">
        <v>0</v>
      </c>
      <c r="J1351">
        <v>0</v>
      </c>
      <c r="K1351">
        <v>20</v>
      </c>
      <c r="N1351">
        <v>3</v>
      </c>
      <c r="O1351">
        <v>3</v>
      </c>
      <c r="P1351">
        <v>4</v>
      </c>
      <c r="Q1351">
        <v>0</v>
      </c>
      <c r="R1351">
        <v>44.83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32</v>
      </c>
      <c r="AH1351">
        <v>76.83</v>
      </c>
    </row>
    <row r="1352" spans="1:34" x14ac:dyDescent="0.3">
      <c r="A1352" s="4">
        <v>1468</v>
      </c>
      <c r="B1352" s="5">
        <v>1345</v>
      </c>
      <c r="C1352">
        <v>9586</v>
      </c>
      <c r="D1352" t="s">
        <v>12159</v>
      </c>
      <c r="E1352" t="s">
        <v>29</v>
      </c>
      <c r="F1352" t="s">
        <v>91</v>
      </c>
      <c r="G1352" t="s">
        <v>20676</v>
      </c>
      <c r="H1352">
        <v>19.600000000000001</v>
      </c>
      <c r="I1352">
        <v>0</v>
      </c>
      <c r="J1352">
        <v>0</v>
      </c>
      <c r="K1352">
        <v>0</v>
      </c>
      <c r="L1352">
        <v>7</v>
      </c>
      <c r="O1352">
        <v>7</v>
      </c>
      <c r="P1352">
        <v>4</v>
      </c>
      <c r="Q1352">
        <v>0</v>
      </c>
      <c r="R1352">
        <v>30.6</v>
      </c>
      <c r="S1352">
        <v>46</v>
      </c>
      <c r="T1352">
        <v>46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46</v>
      </c>
      <c r="AB1352">
        <v>0</v>
      </c>
      <c r="AC1352">
        <v>0</v>
      </c>
      <c r="AH1352">
        <v>76.599999999999994</v>
      </c>
    </row>
    <row r="1353" spans="1:34" x14ac:dyDescent="0.3">
      <c r="A1353" s="4">
        <v>1469</v>
      </c>
      <c r="B1353" s="5">
        <v>1346</v>
      </c>
      <c r="C1353">
        <v>4320</v>
      </c>
      <c r="D1353" t="s">
        <v>181</v>
      </c>
      <c r="E1353" t="s">
        <v>4769</v>
      </c>
      <c r="F1353" t="s">
        <v>375</v>
      </c>
      <c r="G1353" t="s">
        <v>20677</v>
      </c>
      <c r="H1353">
        <v>20.05</v>
      </c>
      <c r="I1353">
        <v>0</v>
      </c>
      <c r="J1353">
        <v>0</v>
      </c>
      <c r="K1353">
        <v>0</v>
      </c>
      <c r="M1353">
        <v>5</v>
      </c>
      <c r="O1353">
        <v>5</v>
      </c>
      <c r="P1353">
        <v>4</v>
      </c>
      <c r="Q1353">
        <v>2</v>
      </c>
      <c r="R1353">
        <v>31.05</v>
      </c>
      <c r="S1353">
        <v>45</v>
      </c>
      <c r="T1353">
        <v>45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45</v>
      </c>
      <c r="AB1353">
        <v>0</v>
      </c>
      <c r="AC1353">
        <v>0</v>
      </c>
      <c r="AD1353" t="s">
        <v>130</v>
      </c>
      <c r="AH1353">
        <v>76.05</v>
      </c>
    </row>
    <row r="1354" spans="1:34" x14ac:dyDescent="0.3">
      <c r="A1354" s="4">
        <v>1470</v>
      </c>
      <c r="B1354" s="5">
        <v>1347</v>
      </c>
      <c r="C1354">
        <v>13987</v>
      </c>
      <c r="D1354" t="s">
        <v>1095</v>
      </c>
      <c r="E1354" t="s">
        <v>54</v>
      </c>
      <c r="F1354" t="s">
        <v>34</v>
      </c>
      <c r="G1354" t="s">
        <v>20678</v>
      </c>
      <c r="H1354">
        <v>17.899999999999999</v>
      </c>
      <c r="I1354">
        <v>0</v>
      </c>
      <c r="J1354">
        <v>0</v>
      </c>
      <c r="K1354">
        <v>20</v>
      </c>
      <c r="L1354">
        <v>7</v>
      </c>
      <c r="O1354">
        <v>7</v>
      </c>
      <c r="P1354">
        <v>4</v>
      </c>
      <c r="Q1354">
        <v>0</v>
      </c>
      <c r="R1354">
        <v>48.9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26.8</v>
      </c>
      <c r="AH1354">
        <v>75.7</v>
      </c>
    </row>
    <row r="1355" spans="1:34" x14ac:dyDescent="0.3">
      <c r="A1355" s="4">
        <v>1471</v>
      </c>
      <c r="B1355" s="5">
        <v>1348</v>
      </c>
      <c r="C1355">
        <v>7010</v>
      </c>
      <c r="D1355" t="s">
        <v>882</v>
      </c>
      <c r="E1355" t="s">
        <v>349</v>
      </c>
      <c r="F1355" t="s">
        <v>124</v>
      </c>
      <c r="G1355" t="s">
        <v>20679</v>
      </c>
      <c r="H1355">
        <v>17.45</v>
      </c>
      <c r="I1355">
        <v>0</v>
      </c>
      <c r="J1355">
        <v>0</v>
      </c>
      <c r="K1355">
        <v>0</v>
      </c>
      <c r="O1355">
        <v>0</v>
      </c>
      <c r="P1355">
        <v>4</v>
      </c>
      <c r="Q1355">
        <v>2</v>
      </c>
      <c r="R1355">
        <v>23.45</v>
      </c>
      <c r="S1355">
        <v>52</v>
      </c>
      <c r="T1355">
        <v>52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52</v>
      </c>
      <c r="AB1355">
        <v>0</v>
      </c>
      <c r="AC1355">
        <v>0</v>
      </c>
      <c r="AH1355">
        <v>75.45</v>
      </c>
    </row>
    <row r="1356" spans="1:34" x14ac:dyDescent="0.3">
      <c r="A1356" s="4">
        <v>1472</v>
      </c>
      <c r="B1356" s="5">
        <v>1349</v>
      </c>
      <c r="C1356">
        <v>663</v>
      </c>
      <c r="D1356" t="s">
        <v>20680</v>
      </c>
      <c r="E1356" t="s">
        <v>550</v>
      </c>
      <c r="F1356" t="s">
        <v>20</v>
      </c>
      <c r="G1356" t="s">
        <v>20681</v>
      </c>
      <c r="H1356">
        <v>18.38</v>
      </c>
      <c r="I1356">
        <v>0</v>
      </c>
      <c r="J1356">
        <v>0</v>
      </c>
      <c r="K1356">
        <v>0</v>
      </c>
      <c r="L1356">
        <v>7</v>
      </c>
      <c r="M1356">
        <v>5</v>
      </c>
      <c r="O1356">
        <v>12</v>
      </c>
      <c r="P1356">
        <v>4</v>
      </c>
      <c r="Q1356">
        <v>2</v>
      </c>
      <c r="R1356">
        <v>36.380000000000003</v>
      </c>
      <c r="S1356">
        <v>39</v>
      </c>
      <c r="T1356">
        <v>39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39</v>
      </c>
      <c r="AB1356">
        <v>0</v>
      </c>
      <c r="AC1356">
        <v>0</v>
      </c>
      <c r="AD1356" t="s">
        <v>130</v>
      </c>
      <c r="AH1356">
        <v>75.38</v>
      </c>
    </row>
    <row r="1357" spans="1:34" x14ac:dyDescent="0.3">
      <c r="A1357" s="4">
        <v>1473</v>
      </c>
      <c r="B1357" s="5">
        <v>1350</v>
      </c>
      <c r="C1357">
        <v>14024</v>
      </c>
      <c r="D1357" t="s">
        <v>20682</v>
      </c>
      <c r="E1357" t="s">
        <v>20683</v>
      </c>
      <c r="F1357" t="s">
        <v>343</v>
      </c>
      <c r="G1357" t="s">
        <v>20684</v>
      </c>
      <c r="H1357">
        <v>18.100000000000001</v>
      </c>
      <c r="I1357">
        <v>0</v>
      </c>
      <c r="J1357">
        <v>0</v>
      </c>
      <c r="K1357">
        <v>20</v>
      </c>
      <c r="M1357">
        <v>10</v>
      </c>
      <c r="O1357">
        <v>10</v>
      </c>
      <c r="P1357">
        <v>4</v>
      </c>
      <c r="Q1357">
        <v>2</v>
      </c>
      <c r="R1357">
        <v>54.1</v>
      </c>
      <c r="S1357">
        <v>18</v>
      </c>
      <c r="T1357">
        <v>18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18</v>
      </c>
      <c r="AB1357">
        <v>3</v>
      </c>
      <c r="AC1357">
        <v>0</v>
      </c>
      <c r="AH1357">
        <v>75.099999999999994</v>
      </c>
    </row>
    <row r="1358" spans="1:34" x14ac:dyDescent="0.3">
      <c r="A1358" s="4">
        <v>1474</v>
      </c>
      <c r="B1358" s="5">
        <v>1351</v>
      </c>
      <c r="C1358">
        <v>34</v>
      </c>
      <c r="D1358" t="s">
        <v>20685</v>
      </c>
      <c r="E1358" t="s">
        <v>161</v>
      </c>
      <c r="F1358" t="s">
        <v>8147</v>
      </c>
      <c r="G1358" t="s">
        <v>20686</v>
      </c>
      <c r="H1358">
        <v>19</v>
      </c>
      <c r="I1358">
        <v>0</v>
      </c>
      <c r="J1358">
        <v>0</v>
      </c>
      <c r="K1358">
        <v>20</v>
      </c>
      <c r="N1358">
        <v>3</v>
      </c>
      <c r="O1358">
        <v>3</v>
      </c>
      <c r="P1358">
        <v>4</v>
      </c>
      <c r="Q1358">
        <v>2</v>
      </c>
      <c r="R1358">
        <v>48</v>
      </c>
      <c r="S1358">
        <v>27</v>
      </c>
      <c r="T1358">
        <v>27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27</v>
      </c>
      <c r="AB1358">
        <v>0</v>
      </c>
      <c r="AC1358">
        <v>0</v>
      </c>
      <c r="AH1358">
        <v>75</v>
      </c>
    </row>
    <row r="1359" spans="1:34" x14ac:dyDescent="0.3">
      <c r="A1359" s="4">
        <v>1475</v>
      </c>
      <c r="B1359" s="5">
        <v>1352</v>
      </c>
      <c r="C1359">
        <v>12469</v>
      </c>
      <c r="D1359" t="s">
        <v>8546</v>
      </c>
      <c r="E1359" t="s">
        <v>789</v>
      </c>
      <c r="F1359" t="s">
        <v>20</v>
      </c>
      <c r="G1359" t="s">
        <v>20687</v>
      </c>
      <c r="H1359">
        <v>18.899999999999999</v>
      </c>
      <c r="I1359">
        <v>0</v>
      </c>
      <c r="J1359">
        <v>0</v>
      </c>
      <c r="K1359">
        <v>0</v>
      </c>
      <c r="M1359">
        <v>5</v>
      </c>
      <c r="O1359">
        <v>5</v>
      </c>
      <c r="P1359">
        <v>4</v>
      </c>
      <c r="Q1359">
        <v>2</v>
      </c>
      <c r="R1359">
        <v>29.9</v>
      </c>
      <c r="S1359">
        <v>45</v>
      </c>
      <c r="T1359">
        <v>45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45</v>
      </c>
      <c r="AB1359">
        <v>0</v>
      </c>
      <c r="AC1359">
        <v>0</v>
      </c>
      <c r="AH1359">
        <v>74.900000000000006</v>
      </c>
    </row>
    <row r="1360" spans="1:34" x14ac:dyDescent="0.3">
      <c r="A1360" s="4">
        <v>1476</v>
      </c>
      <c r="B1360" s="5">
        <v>1353</v>
      </c>
      <c r="C1360">
        <v>2175</v>
      </c>
      <c r="D1360" t="s">
        <v>20563</v>
      </c>
      <c r="E1360" t="s">
        <v>20688</v>
      </c>
      <c r="F1360" t="s">
        <v>136</v>
      </c>
      <c r="G1360" t="s">
        <v>20689</v>
      </c>
      <c r="H1360">
        <v>20.75</v>
      </c>
      <c r="I1360">
        <v>0</v>
      </c>
      <c r="J1360">
        <v>0</v>
      </c>
      <c r="K1360">
        <v>0</v>
      </c>
      <c r="N1360">
        <v>3</v>
      </c>
      <c r="O1360">
        <v>3</v>
      </c>
      <c r="P1360">
        <v>4</v>
      </c>
      <c r="Q1360">
        <v>2</v>
      </c>
      <c r="R1360">
        <v>29.75</v>
      </c>
      <c r="S1360">
        <v>45</v>
      </c>
      <c r="T1360">
        <v>45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45</v>
      </c>
      <c r="AB1360">
        <v>0</v>
      </c>
      <c r="AC1360">
        <v>0</v>
      </c>
      <c r="AH1360">
        <v>74.75</v>
      </c>
    </row>
    <row r="1361" spans="1:34" x14ac:dyDescent="0.3">
      <c r="A1361" s="4">
        <v>1477</v>
      </c>
      <c r="B1361" s="5">
        <v>1354</v>
      </c>
      <c r="C1361">
        <v>2475</v>
      </c>
      <c r="D1361" t="s">
        <v>2103</v>
      </c>
      <c r="E1361" t="s">
        <v>338</v>
      </c>
      <c r="F1361" t="s">
        <v>343</v>
      </c>
      <c r="G1361" t="s">
        <v>20690</v>
      </c>
      <c r="H1361">
        <v>19.98</v>
      </c>
      <c r="I1361">
        <v>0</v>
      </c>
      <c r="J1361">
        <v>0</v>
      </c>
      <c r="K1361">
        <v>0</v>
      </c>
      <c r="N1361">
        <v>3</v>
      </c>
      <c r="O1361">
        <v>3</v>
      </c>
      <c r="P1361">
        <v>4</v>
      </c>
      <c r="Q1361">
        <v>0</v>
      </c>
      <c r="R1361">
        <v>26.98</v>
      </c>
      <c r="S1361">
        <v>6</v>
      </c>
      <c r="T1361">
        <v>6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6</v>
      </c>
      <c r="AB1361">
        <v>9</v>
      </c>
      <c r="AC1361">
        <v>32</v>
      </c>
      <c r="AH1361">
        <v>73.98</v>
      </c>
    </row>
    <row r="1362" spans="1:34" x14ac:dyDescent="0.3">
      <c r="A1362" s="4">
        <v>1478</v>
      </c>
      <c r="B1362" s="5">
        <v>1355</v>
      </c>
      <c r="C1362">
        <v>1545</v>
      </c>
      <c r="D1362" t="s">
        <v>20691</v>
      </c>
      <c r="E1362" t="s">
        <v>120</v>
      </c>
      <c r="F1362" t="s">
        <v>68</v>
      </c>
      <c r="G1362" t="s">
        <v>20692</v>
      </c>
      <c r="H1362">
        <v>20.88</v>
      </c>
      <c r="I1362">
        <v>0</v>
      </c>
      <c r="J1362">
        <v>0</v>
      </c>
      <c r="K1362">
        <v>20</v>
      </c>
      <c r="L1362">
        <v>7</v>
      </c>
      <c r="N1362">
        <v>3</v>
      </c>
      <c r="O1362">
        <v>10</v>
      </c>
      <c r="P1362">
        <v>4</v>
      </c>
      <c r="Q1362">
        <v>2</v>
      </c>
      <c r="R1362">
        <v>56.88</v>
      </c>
      <c r="S1362">
        <v>14</v>
      </c>
      <c r="T1362">
        <v>14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14</v>
      </c>
      <c r="AB1362">
        <v>3</v>
      </c>
      <c r="AC1362">
        <v>0</v>
      </c>
      <c r="AH1362">
        <v>73.88</v>
      </c>
    </row>
    <row r="1363" spans="1:34" x14ac:dyDescent="0.3">
      <c r="A1363" s="4">
        <v>1479</v>
      </c>
      <c r="B1363" s="5">
        <v>1356</v>
      </c>
      <c r="C1363">
        <v>8742</v>
      </c>
      <c r="D1363" t="s">
        <v>2682</v>
      </c>
      <c r="E1363" t="s">
        <v>208</v>
      </c>
      <c r="F1363" t="s">
        <v>1121</v>
      </c>
      <c r="G1363" t="s">
        <v>20693</v>
      </c>
      <c r="H1363">
        <v>18.68</v>
      </c>
      <c r="I1363">
        <v>0</v>
      </c>
      <c r="J1363">
        <v>0</v>
      </c>
      <c r="K1363">
        <v>0</v>
      </c>
      <c r="N1363">
        <v>3</v>
      </c>
      <c r="O1363">
        <v>3</v>
      </c>
      <c r="P1363">
        <v>4</v>
      </c>
      <c r="Q1363">
        <v>2</v>
      </c>
      <c r="R1363">
        <v>27.68</v>
      </c>
      <c r="S1363">
        <v>43</v>
      </c>
      <c r="T1363">
        <v>43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43</v>
      </c>
      <c r="AB1363">
        <v>3</v>
      </c>
      <c r="AC1363">
        <v>0</v>
      </c>
      <c r="AD1363" t="s">
        <v>130</v>
      </c>
      <c r="AH1363">
        <v>73.680000000000007</v>
      </c>
    </row>
    <row r="1364" spans="1:34" x14ac:dyDescent="0.3">
      <c r="A1364" s="4">
        <v>1480</v>
      </c>
      <c r="B1364" s="5">
        <v>1357</v>
      </c>
      <c r="C1364">
        <v>10232</v>
      </c>
      <c r="D1364" t="s">
        <v>3072</v>
      </c>
      <c r="E1364" t="s">
        <v>100</v>
      </c>
      <c r="F1364" t="s">
        <v>972</v>
      </c>
      <c r="G1364" t="s">
        <v>20694</v>
      </c>
      <c r="H1364">
        <v>19.649999999999999</v>
      </c>
      <c r="I1364">
        <v>0</v>
      </c>
      <c r="J1364">
        <v>0</v>
      </c>
      <c r="K1364">
        <v>0</v>
      </c>
      <c r="N1364">
        <v>3</v>
      </c>
      <c r="O1364">
        <v>3</v>
      </c>
      <c r="P1364">
        <v>4</v>
      </c>
      <c r="Q1364">
        <v>2</v>
      </c>
      <c r="R1364">
        <v>28.65</v>
      </c>
      <c r="S1364">
        <v>45</v>
      </c>
      <c r="T1364">
        <v>45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45</v>
      </c>
      <c r="AB1364">
        <v>0</v>
      </c>
      <c r="AC1364">
        <v>0</v>
      </c>
      <c r="AH1364">
        <v>73.650000000000006</v>
      </c>
    </row>
    <row r="1365" spans="1:34" x14ac:dyDescent="0.3">
      <c r="A1365" s="4">
        <v>1481</v>
      </c>
      <c r="B1365" s="5">
        <v>1358</v>
      </c>
      <c r="C1365">
        <v>3359</v>
      </c>
      <c r="D1365" t="s">
        <v>1950</v>
      </c>
      <c r="E1365" t="s">
        <v>286</v>
      </c>
      <c r="F1365" t="s">
        <v>20</v>
      </c>
      <c r="G1365" t="s">
        <v>20695</v>
      </c>
      <c r="H1365">
        <v>17.5</v>
      </c>
      <c r="I1365">
        <v>0</v>
      </c>
      <c r="J1365">
        <v>0</v>
      </c>
      <c r="K1365">
        <v>0</v>
      </c>
      <c r="L1365">
        <v>7</v>
      </c>
      <c r="N1365">
        <v>3</v>
      </c>
      <c r="O1365">
        <v>10</v>
      </c>
      <c r="P1365">
        <v>4</v>
      </c>
      <c r="Q1365">
        <v>2</v>
      </c>
      <c r="R1365">
        <v>33.5</v>
      </c>
      <c r="S1365">
        <v>40</v>
      </c>
      <c r="T1365">
        <v>40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40</v>
      </c>
      <c r="AB1365">
        <v>0</v>
      </c>
      <c r="AC1365">
        <v>0</v>
      </c>
      <c r="AH1365">
        <v>73.5</v>
      </c>
    </row>
    <row r="1366" spans="1:34" x14ac:dyDescent="0.3">
      <c r="A1366" s="4">
        <v>1482</v>
      </c>
      <c r="B1366" s="5">
        <v>1359</v>
      </c>
      <c r="C1366">
        <v>1800</v>
      </c>
      <c r="D1366" t="s">
        <v>20696</v>
      </c>
      <c r="E1366" t="s">
        <v>2179</v>
      </c>
      <c r="F1366" t="s">
        <v>20697</v>
      </c>
      <c r="G1366" t="s">
        <v>20698</v>
      </c>
      <c r="H1366">
        <v>17.48</v>
      </c>
      <c r="I1366">
        <v>0</v>
      </c>
      <c r="J1366">
        <v>0</v>
      </c>
      <c r="K1366">
        <v>20</v>
      </c>
      <c r="L1366">
        <v>7</v>
      </c>
      <c r="O1366">
        <v>7</v>
      </c>
      <c r="P1366">
        <v>4</v>
      </c>
      <c r="Q1366">
        <v>0</v>
      </c>
      <c r="R1366">
        <v>48.48</v>
      </c>
      <c r="S1366">
        <v>25</v>
      </c>
      <c r="T1366">
        <v>25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25</v>
      </c>
      <c r="AB1366">
        <v>0</v>
      </c>
      <c r="AC1366">
        <v>0</v>
      </c>
      <c r="AH1366">
        <v>73.48</v>
      </c>
    </row>
    <row r="1367" spans="1:34" x14ac:dyDescent="0.3">
      <c r="A1367" s="4">
        <v>1483</v>
      </c>
      <c r="B1367" s="5">
        <v>1360</v>
      </c>
      <c r="C1367">
        <v>204</v>
      </c>
      <c r="D1367" t="s">
        <v>1501</v>
      </c>
      <c r="E1367" t="s">
        <v>1508</v>
      </c>
      <c r="F1367" t="s">
        <v>19806</v>
      </c>
      <c r="G1367" t="s">
        <v>20699</v>
      </c>
      <c r="H1367">
        <v>18.45</v>
      </c>
      <c r="I1367">
        <v>0</v>
      </c>
      <c r="J1367">
        <v>0</v>
      </c>
      <c r="K1367">
        <v>0</v>
      </c>
      <c r="M1367">
        <v>5</v>
      </c>
      <c r="O1367">
        <v>5</v>
      </c>
      <c r="P1367">
        <v>4</v>
      </c>
      <c r="Q1367">
        <v>2</v>
      </c>
      <c r="R1367">
        <v>29.45</v>
      </c>
      <c r="S1367">
        <v>18</v>
      </c>
      <c r="T1367">
        <v>18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18</v>
      </c>
      <c r="AB1367">
        <v>6</v>
      </c>
      <c r="AC1367">
        <v>20</v>
      </c>
      <c r="AH1367">
        <v>73.45</v>
      </c>
    </row>
    <row r="1368" spans="1:34" x14ac:dyDescent="0.3">
      <c r="A1368" s="4">
        <v>1484</v>
      </c>
      <c r="B1368" s="5">
        <v>1361</v>
      </c>
      <c r="C1368">
        <v>3582</v>
      </c>
      <c r="D1368" t="s">
        <v>20700</v>
      </c>
      <c r="E1368" t="s">
        <v>697</v>
      </c>
      <c r="F1368" t="s">
        <v>68</v>
      </c>
      <c r="G1368" t="s">
        <v>20701</v>
      </c>
      <c r="H1368">
        <v>17.13</v>
      </c>
      <c r="I1368">
        <v>0</v>
      </c>
      <c r="J1368">
        <v>0</v>
      </c>
      <c r="K1368">
        <v>20</v>
      </c>
      <c r="N1368">
        <v>3</v>
      </c>
      <c r="O1368">
        <v>3</v>
      </c>
      <c r="P1368">
        <v>4</v>
      </c>
      <c r="Q1368">
        <v>2</v>
      </c>
      <c r="R1368">
        <v>46.13</v>
      </c>
      <c r="S1368">
        <v>18</v>
      </c>
      <c r="T1368">
        <v>18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18</v>
      </c>
      <c r="AB1368">
        <v>9</v>
      </c>
      <c r="AC1368">
        <v>0</v>
      </c>
      <c r="AH1368">
        <v>73.13</v>
      </c>
    </row>
    <row r="1369" spans="1:34" x14ac:dyDescent="0.3">
      <c r="A1369" s="4">
        <v>1485</v>
      </c>
      <c r="B1369" s="5">
        <v>1362</v>
      </c>
      <c r="C1369">
        <v>3445</v>
      </c>
      <c r="D1369" t="s">
        <v>20702</v>
      </c>
      <c r="E1369" t="s">
        <v>1089</v>
      </c>
      <c r="F1369" t="s">
        <v>52</v>
      </c>
      <c r="G1369" t="s">
        <v>20703</v>
      </c>
      <c r="H1369">
        <v>17</v>
      </c>
      <c r="I1369">
        <v>0</v>
      </c>
      <c r="J1369">
        <v>0</v>
      </c>
      <c r="K1369">
        <v>0</v>
      </c>
      <c r="O1369">
        <v>0</v>
      </c>
      <c r="P1369">
        <v>4</v>
      </c>
      <c r="Q1369">
        <v>2</v>
      </c>
      <c r="R1369">
        <v>23</v>
      </c>
      <c r="S1369">
        <v>18</v>
      </c>
      <c r="T1369">
        <v>18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18</v>
      </c>
      <c r="AB1369">
        <v>0</v>
      </c>
      <c r="AC1369">
        <v>32</v>
      </c>
      <c r="AE1369" t="s">
        <v>130</v>
      </c>
      <c r="AH1369">
        <v>73</v>
      </c>
    </row>
    <row r="1370" spans="1:34" x14ac:dyDescent="0.3">
      <c r="A1370" s="4">
        <v>1486</v>
      </c>
      <c r="B1370" s="5">
        <v>1363</v>
      </c>
      <c r="C1370">
        <v>4655</v>
      </c>
      <c r="D1370" t="s">
        <v>20704</v>
      </c>
      <c r="E1370" t="s">
        <v>161</v>
      </c>
      <c r="F1370" t="s">
        <v>158</v>
      </c>
      <c r="G1370" t="s">
        <v>20705</v>
      </c>
      <c r="H1370">
        <v>19</v>
      </c>
      <c r="I1370">
        <v>0</v>
      </c>
      <c r="J1370">
        <v>0</v>
      </c>
      <c r="K1370">
        <v>0</v>
      </c>
      <c r="N1370">
        <v>3</v>
      </c>
      <c r="O1370">
        <v>3</v>
      </c>
      <c r="P1370">
        <v>4</v>
      </c>
      <c r="Q1370">
        <v>2</v>
      </c>
      <c r="R1370">
        <v>28</v>
      </c>
      <c r="S1370">
        <v>36</v>
      </c>
      <c r="T1370">
        <v>36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36</v>
      </c>
      <c r="AB1370">
        <v>9</v>
      </c>
      <c r="AC1370">
        <v>0</v>
      </c>
      <c r="AH1370">
        <v>73</v>
      </c>
    </row>
    <row r="1371" spans="1:34" x14ac:dyDescent="0.3">
      <c r="A1371" s="4">
        <v>1487</v>
      </c>
      <c r="B1371" s="5">
        <v>1364</v>
      </c>
      <c r="C1371">
        <v>2380</v>
      </c>
      <c r="D1371" t="s">
        <v>1192</v>
      </c>
      <c r="E1371" t="s">
        <v>29</v>
      </c>
      <c r="F1371" t="s">
        <v>17</v>
      </c>
      <c r="G1371" t="s">
        <v>20706</v>
      </c>
      <c r="H1371">
        <v>18.899999999999999</v>
      </c>
      <c r="I1371">
        <v>0</v>
      </c>
      <c r="J1371">
        <v>0</v>
      </c>
      <c r="K1371">
        <v>20</v>
      </c>
      <c r="L1371">
        <v>7</v>
      </c>
      <c r="N1371">
        <v>3</v>
      </c>
      <c r="O1371">
        <v>10</v>
      </c>
      <c r="P1371">
        <v>4</v>
      </c>
      <c r="Q1371">
        <v>0</v>
      </c>
      <c r="R1371">
        <v>52.9</v>
      </c>
      <c r="S1371">
        <v>17</v>
      </c>
      <c r="T1371">
        <v>17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17</v>
      </c>
      <c r="AB1371">
        <v>3</v>
      </c>
      <c r="AC1371">
        <v>0</v>
      </c>
      <c r="AH1371">
        <v>72.900000000000006</v>
      </c>
    </row>
    <row r="1372" spans="1:34" x14ac:dyDescent="0.3">
      <c r="A1372" s="4">
        <v>1488</v>
      </c>
      <c r="B1372" s="5">
        <v>1365</v>
      </c>
      <c r="C1372">
        <v>4460</v>
      </c>
      <c r="D1372" t="s">
        <v>2103</v>
      </c>
      <c r="E1372" t="s">
        <v>550</v>
      </c>
      <c r="F1372" t="s">
        <v>81</v>
      </c>
      <c r="G1372" t="s">
        <v>20707</v>
      </c>
      <c r="H1372">
        <v>16.579999999999998</v>
      </c>
      <c r="I1372">
        <v>0</v>
      </c>
      <c r="J1372">
        <v>0</v>
      </c>
      <c r="K1372">
        <v>20</v>
      </c>
      <c r="N1372">
        <v>3</v>
      </c>
      <c r="O1372">
        <v>3</v>
      </c>
      <c r="P1372">
        <v>4</v>
      </c>
      <c r="Q1372">
        <v>2</v>
      </c>
      <c r="R1372">
        <v>45.58</v>
      </c>
      <c r="S1372">
        <v>18</v>
      </c>
      <c r="T1372">
        <v>18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18</v>
      </c>
      <c r="AB1372">
        <v>9</v>
      </c>
      <c r="AC1372">
        <v>0</v>
      </c>
      <c r="AH1372">
        <v>72.58</v>
      </c>
    </row>
    <row r="1373" spans="1:34" x14ac:dyDescent="0.3">
      <c r="A1373" s="4">
        <v>1489</v>
      </c>
      <c r="B1373" s="5">
        <v>1366</v>
      </c>
      <c r="C1373">
        <v>15310</v>
      </c>
      <c r="D1373" t="s">
        <v>20708</v>
      </c>
      <c r="E1373" t="s">
        <v>20709</v>
      </c>
      <c r="F1373" t="s">
        <v>20710</v>
      </c>
      <c r="G1373" t="s">
        <v>20711</v>
      </c>
      <c r="H1373">
        <v>16.43</v>
      </c>
      <c r="I1373">
        <v>0</v>
      </c>
      <c r="J1373">
        <v>0</v>
      </c>
      <c r="K1373">
        <v>0</v>
      </c>
      <c r="N1373">
        <v>3</v>
      </c>
      <c r="O1373">
        <v>3</v>
      </c>
      <c r="P1373">
        <v>4</v>
      </c>
      <c r="Q1373">
        <v>0</v>
      </c>
      <c r="R1373">
        <v>23.43</v>
      </c>
      <c r="S1373">
        <v>49</v>
      </c>
      <c r="T1373">
        <v>49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49</v>
      </c>
      <c r="AB1373">
        <v>0</v>
      </c>
      <c r="AC1373">
        <v>0</v>
      </c>
      <c r="AH1373">
        <v>72.430000000000007</v>
      </c>
    </row>
    <row r="1374" spans="1:34" x14ac:dyDescent="0.3">
      <c r="A1374" s="4">
        <v>1490</v>
      </c>
      <c r="B1374" s="5">
        <v>1367</v>
      </c>
      <c r="C1374">
        <v>9298</v>
      </c>
      <c r="D1374" t="s">
        <v>20712</v>
      </c>
      <c r="E1374" t="s">
        <v>22</v>
      </c>
      <c r="F1374" t="s">
        <v>81</v>
      </c>
      <c r="G1374" t="s">
        <v>20713</v>
      </c>
      <c r="H1374">
        <v>18.399999999999999</v>
      </c>
      <c r="I1374">
        <v>0</v>
      </c>
      <c r="J1374">
        <v>0</v>
      </c>
      <c r="K1374">
        <v>0</v>
      </c>
      <c r="L1374">
        <v>7</v>
      </c>
      <c r="O1374">
        <v>7</v>
      </c>
      <c r="P1374">
        <v>4</v>
      </c>
      <c r="Q1374">
        <v>2</v>
      </c>
      <c r="R1374">
        <v>31.4</v>
      </c>
      <c r="S1374">
        <v>35</v>
      </c>
      <c r="T1374">
        <v>35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35</v>
      </c>
      <c r="AB1374">
        <v>6</v>
      </c>
      <c r="AC1374">
        <v>0</v>
      </c>
      <c r="AH1374">
        <v>72.400000000000006</v>
      </c>
    </row>
    <row r="1375" spans="1:34" x14ac:dyDescent="0.3">
      <c r="A1375" s="4">
        <v>1491</v>
      </c>
      <c r="B1375" s="5">
        <v>1368</v>
      </c>
      <c r="C1375">
        <v>10388</v>
      </c>
      <c r="D1375" t="s">
        <v>1447</v>
      </c>
      <c r="E1375" t="s">
        <v>29</v>
      </c>
      <c r="F1375" t="s">
        <v>34</v>
      </c>
      <c r="G1375" t="s">
        <v>20714</v>
      </c>
      <c r="H1375">
        <v>20.100000000000001</v>
      </c>
      <c r="I1375">
        <v>0</v>
      </c>
      <c r="J1375">
        <v>0</v>
      </c>
      <c r="K1375">
        <v>0</v>
      </c>
      <c r="L1375">
        <v>7</v>
      </c>
      <c r="O1375">
        <v>7</v>
      </c>
      <c r="P1375">
        <v>4</v>
      </c>
      <c r="Q1375">
        <v>2</v>
      </c>
      <c r="R1375">
        <v>33.1</v>
      </c>
      <c r="S1375">
        <v>36</v>
      </c>
      <c r="T1375">
        <v>36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36</v>
      </c>
      <c r="AB1375">
        <v>3</v>
      </c>
      <c r="AC1375">
        <v>0</v>
      </c>
      <c r="AH1375">
        <v>72.099999999999994</v>
      </c>
    </row>
    <row r="1376" spans="1:34" x14ac:dyDescent="0.3">
      <c r="A1376" s="4">
        <v>1492</v>
      </c>
      <c r="B1376" s="5">
        <v>1369</v>
      </c>
      <c r="C1376">
        <v>11088</v>
      </c>
      <c r="D1376" t="s">
        <v>1436</v>
      </c>
      <c r="E1376" t="s">
        <v>6070</v>
      </c>
      <c r="F1376" t="s">
        <v>442</v>
      </c>
      <c r="G1376" t="s">
        <v>20715</v>
      </c>
      <c r="H1376">
        <v>20.079999999999998</v>
      </c>
      <c r="I1376">
        <v>0</v>
      </c>
      <c r="J1376">
        <v>0</v>
      </c>
      <c r="K1376">
        <v>0</v>
      </c>
      <c r="L1376">
        <v>7</v>
      </c>
      <c r="O1376">
        <v>7</v>
      </c>
      <c r="P1376">
        <v>4</v>
      </c>
      <c r="Q1376">
        <v>2</v>
      </c>
      <c r="R1376">
        <v>33.08</v>
      </c>
      <c r="S1376">
        <v>33</v>
      </c>
      <c r="T1376">
        <v>33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33</v>
      </c>
      <c r="AB1376">
        <v>6</v>
      </c>
      <c r="AC1376">
        <v>0</v>
      </c>
      <c r="AH1376">
        <v>72.08</v>
      </c>
    </row>
    <row r="1377" spans="1:34" x14ac:dyDescent="0.3">
      <c r="A1377" s="4">
        <v>1493</v>
      </c>
      <c r="B1377" s="5">
        <v>1370</v>
      </c>
      <c r="C1377">
        <v>6678</v>
      </c>
      <c r="D1377" t="s">
        <v>10440</v>
      </c>
      <c r="E1377" t="s">
        <v>213</v>
      </c>
      <c r="F1377" t="s">
        <v>3705</v>
      </c>
      <c r="G1377" t="s">
        <v>20716</v>
      </c>
      <c r="H1377">
        <v>18.079999999999998</v>
      </c>
      <c r="I1377">
        <v>0</v>
      </c>
      <c r="J1377">
        <v>0</v>
      </c>
      <c r="K1377">
        <v>20</v>
      </c>
      <c r="L1377">
        <v>7</v>
      </c>
      <c r="N1377">
        <v>3</v>
      </c>
      <c r="O1377">
        <v>10</v>
      </c>
      <c r="P1377">
        <v>4</v>
      </c>
      <c r="Q1377">
        <v>2</v>
      </c>
      <c r="R1377">
        <v>54.08</v>
      </c>
      <c r="S1377">
        <v>18</v>
      </c>
      <c r="T1377">
        <v>18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18</v>
      </c>
      <c r="AB1377">
        <v>0</v>
      </c>
      <c r="AC1377">
        <v>0</v>
      </c>
      <c r="AH1377">
        <v>72.08</v>
      </c>
    </row>
    <row r="1378" spans="1:34" x14ac:dyDescent="0.3">
      <c r="A1378" s="4">
        <v>1494</v>
      </c>
      <c r="B1378" s="5">
        <v>1371</v>
      </c>
      <c r="C1378">
        <v>13308</v>
      </c>
      <c r="D1378" t="s">
        <v>432</v>
      </c>
      <c r="E1378" t="s">
        <v>29</v>
      </c>
      <c r="F1378" t="s">
        <v>136</v>
      </c>
      <c r="G1378" t="s">
        <v>20717</v>
      </c>
      <c r="H1378">
        <v>19.829999999999998</v>
      </c>
      <c r="I1378">
        <v>0</v>
      </c>
      <c r="J1378">
        <v>0</v>
      </c>
      <c r="K1378">
        <v>0</v>
      </c>
      <c r="N1378">
        <v>3</v>
      </c>
      <c r="O1378">
        <v>3</v>
      </c>
      <c r="P1378">
        <v>4</v>
      </c>
      <c r="Q1378">
        <v>0</v>
      </c>
      <c r="R1378">
        <v>26.83</v>
      </c>
      <c r="S1378">
        <v>45</v>
      </c>
      <c r="T1378">
        <v>45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45</v>
      </c>
      <c r="AB1378">
        <v>0</v>
      </c>
      <c r="AC1378">
        <v>0</v>
      </c>
      <c r="AH1378">
        <v>71.83</v>
      </c>
    </row>
    <row r="1379" spans="1:34" x14ac:dyDescent="0.3">
      <c r="A1379" s="4">
        <v>1495</v>
      </c>
      <c r="B1379" s="5">
        <v>1372</v>
      </c>
      <c r="C1379">
        <v>7800</v>
      </c>
      <c r="D1379" t="s">
        <v>20718</v>
      </c>
      <c r="E1379" t="s">
        <v>29</v>
      </c>
      <c r="F1379" t="s">
        <v>20</v>
      </c>
      <c r="G1379" t="s">
        <v>20719</v>
      </c>
      <c r="H1379">
        <v>20.75</v>
      </c>
      <c r="I1379">
        <v>0</v>
      </c>
      <c r="J1379">
        <v>0</v>
      </c>
      <c r="K1379">
        <v>0</v>
      </c>
      <c r="N1379">
        <v>3</v>
      </c>
      <c r="O1379">
        <v>3</v>
      </c>
      <c r="P1379">
        <v>4</v>
      </c>
      <c r="Q1379">
        <v>0</v>
      </c>
      <c r="R1379">
        <v>27.75</v>
      </c>
      <c r="S1379">
        <v>44</v>
      </c>
      <c r="T1379">
        <v>44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44</v>
      </c>
      <c r="AB1379">
        <v>0</v>
      </c>
      <c r="AC1379">
        <v>0</v>
      </c>
      <c r="AH1379">
        <v>71.75</v>
      </c>
    </row>
    <row r="1380" spans="1:34" x14ac:dyDescent="0.3">
      <c r="A1380" s="4">
        <v>1496</v>
      </c>
      <c r="B1380" s="5">
        <v>1373</v>
      </c>
      <c r="C1380">
        <v>1113</v>
      </c>
      <c r="D1380" t="s">
        <v>20720</v>
      </c>
      <c r="E1380" t="s">
        <v>230</v>
      </c>
      <c r="F1380" t="s">
        <v>570</v>
      </c>
      <c r="G1380" t="s">
        <v>20721</v>
      </c>
      <c r="H1380">
        <v>18.63</v>
      </c>
      <c r="I1380">
        <v>0</v>
      </c>
      <c r="J1380">
        <v>0</v>
      </c>
      <c r="K1380">
        <v>20</v>
      </c>
      <c r="O1380">
        <v>0</v>
      </c>
      <c r="P1380">
        <v>4</v>
      </c>
      <c r="Q1380">
        <v>0</v>
      </c>
      <c r="R1380">
        <v>42.63</v>
      </c>
      <c r="S1380">
        <v>7</v>
      </c>
      <c r="T1380">
        <v>7</v>
      </c>
      <c r="U1380">
        <v>8</v>
      </c>
      <c r="V1380">
        <v>16</v>
      </c>
      <c r="W1380">
        <v>0</v>
      </c>
      <c r="X1380">
        <v>0</v>
      </c>
      <c r="Y1380">
        <v>0</v>
      </c>
      <c r="Z1380">
        <v>0</v>
      </c>
      <c r="AA1380">
        <v>23</v>
      </c>
      <c r="AB1380">
        <v>6</v>
      </c>
      <c r="AC1380">
        <v>0</v>
      </c>
      <c r="AH1380">
        <v>71.63</v>
      </c>
    </row>
    <row r="1381" spans="1:34" x14ac:dyDescent="0.3">
      <c r="A1381" s="4">
        <v>1497</v>
      </c>
      <c r="B1381" s="5">
        <v>1374</v>
      </c>
      <c r="C1381">
        <v>2619</v>
      </c>
      <c r="D1381" t="s">
        <v>20722</v>
      </c>
      <c r="E1381" t="s">
        <v>110</v>
      </c>
      <c r="F1381" t="s">
        <v>171</v>
      </c>
      <c r="G1381" t="s">
        <v>20723</v>
      </c>
      <c r="H1381">
        <v>20.6</v>
      </c>
      <c r="I1381">
        <v>0</v>
      </c>
      <c r="J1381">
        <v>0</v>
      </c>
      <c r="K1381">
        <v>0</v>
      </c>
      <c r="L1381">
        <v>7</v>
      </c>
      <c r="O1381">
        <v>7</v>
      </c>
      <c r="P1381">
        <v>4</v>
      </c>
      <c r="Q1381">
        <v>2</v>
      </c>
      <c r="R1381">
        <v>33.6</v>
      </c>
      <c r="S1381">
        <v>35</v>
      </c>
      <c r="T1381">
        <v>35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35</v>
      </c>
      <c r="AB1381">
        <v>3</v>
      </c>
      <c r="AC1381">
        <v>0</v>
      </c>
      <c r="AH1381">
        <v>71.599999999999994</v>
      </c>
    </row>
    <row r="1382" spans="1:34" x14ac:dyDescent="0.3">
      <c r="A1382" s="4">
        <v>1498</v>
      </c>
      <c r="B1382" s="5">
        <v>1375</v>
      </c>
      <c r="C1382">
        <v>880</v>
      </c>
      <c r="D1382" t="s">
        <v>7235</v>
      </c>
      <c r="E1382" t="s">
        <v>29</v>
      </c>
      <c r="F1382" t="s">
        <v>652</v>
      </c>
      <c r="G1382" t="s">
        <v>20724</v>
      </c>
      <c r="H1382">
        <v>17.55</v>
      </c>
      <c r="I1382">
        <v>0</v>
      </c>
      <c r="J1382">
        <v>0</v>
      </c>
      <c r="K1382">
        <v>0</v>
      </c>
      <c r="L1382">
        <v>7</v>
      </c>
      <c r="O1382">
        <v>7</v>
      </c>
      <c r="P1382">
        <v>4</v>
      </c>
      <c r="Q1382">
        <v>0</v>
      </c>
      <c r="R1382">
        <v>28.55</v>
      </c>
      <c r="S1382">
        <v>43</v>
      </c>
      <c r="T1382">
        <v>43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43</v>
      </c>
      <c r="AB1382">
        <v>0</v>
      </c>
      <c r="AC1382">
        <v>0</v>
      </c>
      <c r="AH1382">
        <v>71.55</v>
      </c>
    </row>
    <row r="1383" spans="1:34" x14ac:dyDescent="0.3">
      <c r="A1383" s="4">
        <v>1499</v>
      </c>
      <c r="B1383" s="5">
        <v>1376</v>
      </c>
      <c r="C1383">
        <v>5909</v>
      </c>
      <c r="D1383" t="s">
        <v>4893</v>
      </c>
      <c r="E1383" t="s">
        <v>255</v>
      </c>
      <c r="F1383" t="s">
        <v>38</v>
      </c>
      <c r="G1383" t="s">
        <v>20725</v>
      </c>
      <c r="H1383">
        <v>18.48</v>
      </c>
      <c r="I1383">
        <v>0</v>
      </c>
      <c r="J1383">
        <v>0</v>
      </c>
      <c r="K1383">
        <v>0</v>
      </c>
      <c r="N1383">
        <v>3</v>
      </c>
      <c r="O1383">
        <v>3</v>
      </c>
      <c r="P1383">
        <v>4</v>
      </c>
      <c r="Q1383">
        <v>2</v>
      </c>
      <c r="R1383">
        <v>27.48</v>
      </c>
      <c r="S1383">
        <v>44</v>
      </c>
      <c r="T1383">
        <v>44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44</v>
      </c>
      <c r="AB1383">
        <v>0</v>
      </c>
      <c r="AC1383">
        <v>0</v>
      </c>
      <c r="AH1383">
        <v>71.48</v>
      </c>
    </row>
    <row r="1384" spans="1:34" x14ac:dyDescent="0.3">
      <c r="A1384" s="4">
        <v>1500</v>
      </c>
      <c r="B1384" s="5">
        <v>1377</v>
      </c>
      <c r="C1384">
        <v>3718</v>
      </c>
      <c r="D1384" t="s">
        <v>20726</v>
      </c>
      <c r="E1384" t="s">
        <v>255</v>
      </c>
      <c r="F1384" t="s">
        <v>892</v>
      </c>
      <c r="G1384" t="s">
        <v>20727</v>
      </c>
      <c r="H1384">
        <v>18.13</v>
      </c>
      <c r="I1384">
        <v>0</v>
      </c>
      <c r="J1384">
        <v>0</v>
      </c>
      <c r="K1384">
        <v>20</v>
      </c>
      <c r="L1384">
        <v>7</v>
      </c>
      <c r="O1384">
        <v>7</v>
      </c>
      <c r="P1384">
        <v>4</v>
      </c>
      <c r="Q1384">
        <v>2</v>
      </c>
      <c r="R1384">
        <v>51.13</v>
      </c>
      <c r="S1384">
        <v>20</v>
      </c>
      <c r="T1384">
        <v>20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20</v>
      </c>
      <c r="AB1384">
        <v>0</v>
      </c>
      <c r="AC1384">
        <v>0</v>
      </c>
      <c r="AH1384">
        <v>71.13</v>
      </c>
    </row>
    <row r="1385" spans="1:34" x14ac:dyDescent="0.3">
      <c r="A1385" s="4">
        <v>1501</v>
      </c>
      <c r="B1385" s="5">
        <v>1378</v>
      </c>
      <c r="C1385">
        <v>12758</v>
      </c>
      <c r="D1385" t="s">
        <v>20728</v>
      </c>
      <c r="E1385" t="s">
        <v>166</v>
      </c>
      <c r="F1385" t="s">
        <v>38</v>
      </c>
      <c r="G1385" t="s">
        <v>20729</v>
      </c>
      <c r="H1385">
        <v>18.95</v>
      </c>
      <c r="I1385">
        <v>0</v>
      </c>
      <c r="J1385">
        <v>0</v>
      </c>
      <c r="K1385">
        <v>20</v>
      </c>
      <c r="M1385">
        <v>5</v>
      </c>
      <c r="N1385">
        <v>3</v>
      </c>
      <c r="O1385">
        <v>8</v>
      </c>
      <c r="P1385">
        <v>4</v>
      </c>
      <c r="Q1385">
        <v>2</v>
      </c>
      <c r="R1385">
        <v>52.95</v>
      </c>
      <c r="S1385">
        <v>18</v>
      </c>
      <c r="T1385">
        <v>18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18</v>
      </c>
      <c r="AB1385">
        <v>0</v>
      </c>
      <c r="AC1385">
        <v>0</v>
      </c>
      <c r="AH1385">
        <v>70.95</v>
      </c>
    </row>
    <row r="1386" spans="1:34" x14ac:dyDescent="0.3">
      <c r="A1386" s="4">
        <v>1502</v>
      </c>
      <c r="B1386" s="5">
        <v>1379</v>
      </c>
      <c r="C1386">
        <v>14482</v>
      </c>
      <c r="D1386" t="s">
        <v>645</v>
      </c>
      <c r="E1386" t="s">
        <v>20730</v>
      </c>
      <c r="F1386" t="s">
        <v>1023</v>
      </c>
      <c r="G1386" t="s">
        <v>20731</v>
      </c>
      <c r="H1386">
        <v>16.75</v>
      </c>
      <c r="I1386">
        <v>0</v>
      </c>
      <c r="J1386">
        <v>0</v>
      </c>
      <c r="K1386">
        <v>0</v>
      </c>
      <c r="L1386">
        <v>14</v>
      </c>
      <c r="O1386">
        <v>14</v>
      </c>
      <c r="P1386">
        <v>4</v>
      </c>
      <c r="Q1386">
        <v>0</v>
      </c>
      <c r="R1386">
        <v>34.75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9</v>
      </c>
      <c r="AC1386">
        <v>26.8</v>
      </c>
      <c r="AH1386">
        <v>70.55</v>
      </c>
    </row>
    <row r="1387" spans="1:34" x14ac:dyDescent="0.3">
      <c r="A1387" s="4">
        <v>1503</v>
      </c>
      <c r="B1387" s="5">
        <v>1380</v>
      </c>
      <c r="C1387">
        <v>13446</v>
      </c>
      <c r="D1387" t="s">
        <v>20732</v>
      </c>
      <c r="E1387" t="s">
        <v>115</v>
      </c>
      <c r="F1387" t="s">
        <v>416</v>
      </c>
      <c r="G1387" t="s">
        <v>20733</v>
      </c>
      <c r="H1387">
        <v>19.28</v>
      </c>
      <c r="I1387">
        <v>0</v>
      </c>
      <c r="J1387">
        <v>0</v>
      </c>
      <c r="K1387">
        <v>20</v>
      </c>
      <c r="N1387">
        <v>3</v>
      </c>
      <c r="O1387">
        <v>3</v>
      </c>
      <c r="P1387">
        <v>4</v>
      </c>
      <c r="Q1387">
        <v>2</v>
      </c>
      <c r="R1387">
        <v>48.28</v>
      </c>
      <c r="S1387">
        <v>16</v>
      </c>
      <c r="T1387">
        <v>16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16</v>
      </c>
      <c r="AB1387">
        <v>6</v>
      </c>
      <c r="AC1387">
        <v>0</v>
      </c>
      <c r="AH1387">
        <v>70.28</v>
      </c>
    </row>
    <row r="1388" spans="1:34" x14ac:dyDescent="0.3">
      <c r="A1388" s="4">
        <v>1504</v>
      </c>
      <c r="B1388" s="5">
        <v>1381</v>
      </c>
      <c r="C1388">
        <v>9685</v>
      </c>
      <c r="D1388" t="s">
        <v>20734</v>
      </c>
      <c r="E1388" t="s">
        <v>17810</v>
      </c>
      <c r="F1388" t="s">
        <v>30</v>
      </c>
      <c r="G1388" t="s">
        <v>20735</v>
      </c>
      <c r="H1388">
        <v>18.03</v>
      </c>
      <c r="I1388">
        <v>0</v>
      </c>
      <c r="J1388">
        <v>0</v>
      </c>
      <c r="K1388">
        <v>0</v>
      </c>
      <c r="N1388">
        <v>3</v>
      </c>
      <c r="O1388">
        <v>3</v>
      </c>
      <c r="P1388">
        <v>4</v>
      </c>
      <c r="Q1388">
        <v>0</v>
      </c>
      <c r="R1388">
        <v>25.03</v>
      </c>
      <c r="S1388">
        <v>45</v>
      </c>
      <c r="T1388">
        <v>45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45</v>
      </c>
      <c r="AB1388">
        <v>0</v>
      </c>
      <c r="AC1388">
        <v>0</v>
      </c>
      <c r="AH1388">
        <v>70.03</v>
      </c>
    </row>
    <row r="1389" spans="1:34" x14ac:dyDescent="0.3">
      <c r="A1389" s="4">
        <v>1505</v>
      </c>
      <c r="B1389" s="5">
        <v>1382</v>
      </c>
      <c r="C1389">
        <v>236</v>
      </c>
      <c r="D1389" t="s">
        <v>20736</v>
      </c>
      <c r="E1389" t="s">
        <v>158</v>
      </c>
      <c r="F1389" t="s">
        <v>136</v>
      </c>
      <c r="G1389" t="s">
        <v>20737</v>
      </c>
      <c r="H1389">
        <v>18.649999999999999</v>
      </c>
      <c r="I1389">
        <v>0</v>
      </c>
      <c r="J1389">
        <v>0</v>
      </c>
      <c r="K1389">
        <v>20</v>
      </c>
      <c r="L1389">
        <v>7</v>
      </c>
      <c r="O1389">
        <v>7</v>
      </c>
      <c r="P1389">
        <v>4</v>
      </c>
      <c r="Q1389">
        <v>2</v>
      </c>
      <c r="R1389">
        <v>51.65</v>
      </c>
      <c r="S1389">
        <v>18</v>
      </c>
      <c r="T1389">
        <v>18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18</v>
      </c>
      <c r="AB1389">
        <v>0</v>
      </c>
      <c r="AC1389">
        <v>0</v>
      </c>
      <c r="AD1389" t="s">
        <v>130</v>
      </c>
      <c r="AH1389">
        <v>69.650000000000006</v>
      </c>
    </row>
    <row r="1390" spans="1:34" x14ac:dyDescent="0.3">
      <c r="A1390" s="4">
        <v>1506</v>
      </c>
      <c r="B1390" s="5">
        <v>1383</v>
      </c>
      <c r="C1390">
        <v>3062</v>
      </c>
      <c r="D1390" t="s">
        <v>1271</v>
      </c>
      <c r="E1390" t="s">
        <v>454</v>
      </c>
      <c r="F1390" t="s">
        <v>136</v>
      </c>
      <c r="G1390" t="s">
        <v>20738</v>
      </c>
      <c r="H1390">
        <v>18.63</v>
      </c>
      <c r="I1390">
        <v>0</v>
      </c>
      <c r="J1390">
        <v>0</v>
      </c>
      <c r="K1390">
        <v>0</v>
      </c>
      <c r="N1390">
        <v>3</v>
      </c>
      <c r="O1390">
        <v>3</v>
      </c>
      <c r="P1390">
        <v>4</v>
      </c>
      <c r="Q1390">
        <v>0</v>
      </c>
      <c r="R1390">
        <v>25.63</v>
      </c>
      <c r="S1390">
        <v>44</v>
      </c>
      <c r="T1390">
        <v>44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44</v>
      </c>
      <c r="AB1390">
        <v>0</v>
      </c>
      <c r="AC1390">
        <v>0</v>
      </c>
      <c r="AH1390">
        <v>69.63</v>
      </c>
    </row>
    <row r="1391" spans="1:34" x14ac:dyDescent="0.3">
      <c r="A1391" s="4">
        <v>1507</v>
      </c>
      <c r="B1391" s="5">
        <v>1384</v>
      </c>
      <c r="C1391">
        <v>2489</v>
      </c>
      <c r="D1391" t="s">
        <v>20739</v>
      </c>
      <c r="E1391" t="s">
        <v>744</v>
      </c>
      <c r="F1391" t="s">
        <v>117</v>
      </c>
      <c r="G1391" t="s">
        <v>20740</v>
      </c>
      <c r="H1391">
        <v>20.329999999999998</v>
      </c>
      <c r="I1391">
        <v>0</v>
      </c>
      <c r="J1391">
        <v>0</v>
      </c>
      <c r="K1391">
        <v>20</v>
      </c>
      <c r="M1391">
        <v>5</v>
      </c>
      <c r="O1391">
        <v>5</v>
      </c>
      <c r="P1391">
        <v>4</v>
      </c>
      <c r="Q1391">
        <v>2</v>
      </c>
      <c r="R1391">
        <v>51.33</v>
      </c>
      <c r="S1391">
        <v>18</v>
      </c>
      <c r="T1391">
        <v>18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18</v>
      </c>
      <c r="AB1391">
        <v>0</v>
      </c>
      <c r="AC1391">
        <v>0</v>
      </c>
      <c r="AH1391">
        <v>69.33</v>
      </c>
    </row>
    <row r="1392" spans="1:34" x14ac:dyDescent="0.3">
      <c r="A1392" s="4">
        <v>1508</v>
      </c>
      <c r="B1392" s="5">
        <v>1385</v>
      </c>
      <c r="C1392">
        <v>4672</v>
      </c>
      <c r="D1392" t="s">
        <v>3266</v>
      </c>
      <c r="E1392" t="s">
        <v>132</v>
      </c>
      <c r="F1392" t="s">
        <v>20</v>
      </c>
      <c r="G1392" t="s">
        <v>20741</v>
      </c>
      <c r="H1392">
        <v>20.28</v>
      </c>
      <c r="I1392">
        <v>0</v>
      </c>
      <c r="J1392">
        <v>0</v>
      </c>
      <c r="K1392">
        <v>0</v>
      </c>
      <c r="L1392">
        <v>7</v>
      </c>
      <c r="O1392">
        <v>7</v>
      </c>
      <c r="P1392">
        <v>4</v>
      </c>
      <c r="Q1392">
        <v>2</v>
      </c>
      <c r="R1392">
        <v>33.28</v>
      </c>
      <c r="S1392">
        <v>36</v>
      </c>
      <c r="T1392">
        <v>36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36</v>
      </c>
      <c r="AB1392">
        <v>0</v>
      </c>
      <c r="AC1392">
        <v>0</v>
      </c>
      <c r="AD1392" t="s">
        <v>130</v>
      </c>
      <c r="AH1392">
        <v>69.28</v>
      </c>
    </row>
    <row r="1393" spans="1:34" x14ac:dyDescent="0.3">
      <c r="A1393" s="4">
        <v>1509</v>
      </c>
      <c r="B1393" s="5">
        <v>1386</v>
      </c>
      <c r="C1393">
        <v>3702</v>
      </c>
      <c r="D1393" t="s">
        <v>20742</v>
      </c>
      <c r="E1393" t="s">
        <v>213</v>
      </c>
      <c r="F1393" t="s">
        <v>17</v>
      </c>
      <c r="G1393" t="s">
        <v>20743</v>
      </c>
      <c r="H1393">
        <v>18.25</v>
      </c>
      <c r="I1393">
        <v>0</v>
      </c>
      <c r="J1393">
        <v>0</v>
      </c>
      <c r="K1393">
        <v>0</v>
      </c>
      <c r="O1393">
        <v>0</v>
      </c>
      <c r="P1393">
        <v>4</v>
      </c>
      <c r="Q1393">
        <v>0</v>
      </c>
      <c r="R1393">
        <v>22.25</v>
      </c>
      <c r="S1393">
        <v>44</v>
      </c>
      <c r="T1393">
        <v>44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44</v>
      </c>
      <c r="AB1393">
        <v>3</v>
      </c>
      <c r="AC1393">
        <v>0</v>
      </c>
      <c r="AH1393">
        <v>69.25</v>
      </c>
    </row>
    <row r="1394" spans="1:34" x14ac:dyDescent="0.3">
      <c r="A1394" s="4">
        <v>1510</v>
      </c>
      <c r="B1394" s="5">
        <v>1387</v>
      </c>
      <c r="C1394">
        <v>14364</v>
      </c>
      <c r="D1394" t="s">
        <v>20744</v>
      </c>
      <c r="E1394" t="s">
        <v>626</v>
      </c>
      <c r="F1394" t="s">
        <v>17</v>
      </c>
      <c r="G1394" t="s">
        <v>20745</v>
      </c>
      <c r="H1394">
        <v>22.13</v>
      </c>
      <c r="I1394">
        <v>0</v>
      </c>
      <c r="J1394">
        <v>0</v>
      </c>
      <c r="K1394">
        <v>20</v>
      </c>
      <c r="N1394">
        <v>3</v>
      </c>
      <c r="O1394">
        <v>3</v>
      </c>
      <c r="P1394">
        <v>4</v>
      </c>
      <c r="Q1394">
        <v>2</v>
      </c>
      <c r="R1394">
        <v>51.13</v>
      </c>
      <c r="S1394">
        <v>18</v>
      </c>
      <c r="T1394">
        <v>18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18</v>
      </c>
      <c r="AB1394">
        <v>0</v>
      </c>
      <c r="AC1394">
        <v>0</v>
      </c>
      <c r="AD1394" t="s">
        <v>130</v>
      </c>
      <c r="AH1394">
        <v>69.13</v>
      </c>
    </row>
    <row r="1395" spans="1:34" x14ac:dyDescent="0.3">
      <c r="A1395" s="4">
        <v>1511</v>
      </c>
      <c r="B1395" s="5">
        <v>1388</v>
      </c>
      <c r="C1395">
        <v>6534</v>
      </c>
      <c r="D1395" t="s">
        <v>20746</v>
      </c>
      <c r="E1395" t="s">
        <v>471</v>
      </c>
      <c r="F1395" t="s">
        <v>20</v>
      </c>
      <c r="G1395" t="s">
        <v>20747</v>
      </c>
      <c r="H1395">
        <v>16.850000000000001</v>
      </c>
      <c r="I1395">
        <v>0</v>
      </c>
      <c r="J1395">
        <v>0</v>
      </c>
      <c r="K1395">
        <v>20</v>
      </c>
      <c r="N1395">
        <v>6</v>
      </c>
      <c r="O1395">
        <v>6</v>
      </c>
      <c r="P1395">
        <v>4</v>
      </c>
      <c r="Q1395">
        <v>0</v>
      </c>
      <c r="R1395">
        <v>46.85</v>
      </c>
      <c r="S1395">
        <v>22</v>
      </c>
      <c r="T1395">
        <v>22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22</v>
      </c>
      <c r="AB1395">
        <v>0</v>
      </c>
      <c r="AC1395">
        <v>0</v>
      </c>
      <c r="AH1395">
        <v>68.849999999999994</v>
      </c>
    </row>
    <row r="1396" spans="1:34" x14ac:dyDescent="0.3">
      <c r="A1396" s="4">
        <v>1512</v>
      </c>
      <c r="B1396" s="5">
        <v>1389</v>
      </c>
      <c r="C1396">
        <v>2566</v>
      </c>
      <c r="D1396" t="s">
        <v>20748</v>
      </c>
      <c r="E1396" t="s">
        <v>20749</v>
      </c>
      <c r="F1396" t="s">
        <v>14</v>
      </c>
      <c r="G1396" t="s">
        <v>20750</v>
      </c>
      <c r="H1396">
        <v>18.55</v>
      </c>
      <c r="I1396">
        <v>0</v>
      </c>
      <c r="J1396">
        <v>0</v>
      </c>
      <c r="K1396">
        <v>0</v>
      </c>
      <c r="L1396">
        <v>7</v>
      </c>
      <c r="N1396">
        <v>3</v>
      </c>
      <c r="O1396">
        <v>10</v>
      </c>
      <c r="P1396">
        <v>4</v>
      </c>
      <c r="Q1396">
        <v>2</v>
      </c>
      <c r="R1396">
        <v>34.549999999999997</v>
      </c>
      <c r="S1396">
        <v>28</v>
      </c>
      <c r="T1396">
        <v>28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28</v>
      </c>
      <c r="AB1396">
        <v>6</v>
      </c>
      <c r="AC1396">
        <v>0</v>
      </c>
      <c r="AH1396">
        <v>68.55</v>
      </c>
    </row>
    <row r="1397" spans="1:34" x14ac:dyDescent="0.3">
      <c r="A1397" s="4">
        <v>1513</v>
      </c>
      <c r="B1397" s="5">
        <v>1390</v>
      </c>
      <c r="C1397">
        <v>3652</v>
      </c>
      <c r="D1397" t="s">
        <v>7155</v>
      </c>
      <c r="E1397" t="s">
        <v>41</v>
      </c>
      <c r="F1397" t="s">
        <v>124</v>
      </c>
      <c r="G1397" t="s">
        <v>20751</v>
      </c>
      <c r="H1397">
        <v>19.5</v>
      </c>
      <c r="I1397">
        <v>0</v>
      </c>
      <c r="J1397">
        <v>0</v>
      </c>
      <c r="K1397">
        <v>28</v>
      </c>
      <c r="L1397">
        <v>7</v>
      </c>
      <c r="M1397">
        <v>5</v>
      </c>
      <c r="O1397">
        <v>12</v>
      </c>
      <c r="P1397">
        <v>4</v>
      </c>
      <c r="Q1397">
        <v>2</v>
      </c>
      <c r="R1397">
        <v>65.5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3</v>
      </c>
      <c r="AC1397">
        <v>0</v>
      </c>
      <c r="AH1397">
        <v>68.5</v>
      </c>
    </row>
    <row r="1398" spans="1:34" x14ac:dyDescent="0.3">
      <c r="A1398" s="4">
        <v>1514</v>
      </c>
      <c r="B1398" s="5">
        <v>1391</v>
      </c>
      <c r="C1398">
        <v>646</v>
      </c>
      <c r="D1398" t="s">
        <v>20752</v>
      </c>
      <c r="E1398" t="s">
        <v>41</v>
      </c>
      <c r="F1398" t="s">
        <v>17</v>
      </c>
      <c r="G1398" t="s">
        <v>20753</v>
      </c>
      <c r="H1398">
        <v>17.399999999999999</v>
      </c>
      <c r="I1398">
        <v>0</v>
      </c>
      <c r="J1398">
        <v>0</v>
      </c>
      <c r="K1398">
        <v>20</v>
      </c>
      <c r="L1398">
        <v>7</v>
      </c>
      <c r="O1398">
        <v>7</v>
      </c>
      <c r="P1398">
        <v>4</v>
      </c>
      <c r="Q1398">
        <v>2</v>
      </c>
      <c r="R1398">
        <v>50.4</v>
      </c>
      <c r="S1398">
        <v>18</v>
      </c>
      <c r="T1398">
        <v>18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18</v>
      </c>
      <c r="AB1398">
        <v>0</v>
      </c>
      <c r="AC1398">
        <v>0</v>
      </c>
      <c r="AH1398">
        <v>68.400000000000006</v>
      </c>
    </row>
    <row r="1399" spans="1:34" x14ac:dyDescent="0.3">
      <c r="A1399" s="4">
        <v>1515</v>
      </c>
      <c r="B1399" s="5">
        <v>1392</v>
      </c>
      <c r="C1399">
        <v>234</v>
      </c>
      <c r="D1399" t="s">
        <v>929</v>
      </c>
      <c r="E1399" t="s">
        <v>100</v>
      </c>
      <c r="F1399" t="s">
        <v>1526</v>
      </c>
      <c r="G1399" t="s">
        <v>20754</v>
      </c>
      <c r="H1399">
        <v>18.350000000000001</v>
      </c>
      <c r="I1399">
        <v>0</v>
      </c>
      <c r="J1399">
        <v>0</v>
      </c>
      <c r="K1399">
        <v>0</v>
      </c>
      <c r="L1399">
        <v>7</v>
      </c>
      <c r="O1399">
        <v>7</v>
      </c>
      <c r="P1399">
        <v>4</v>
      </c>
      <c r="Q1399">
        <v>0</v>
      </c>
      <c r="R1399">
        <v>29.35</v>
      </c>
      <c r="S1399">
        <v>36</v>
      </c>
      <c r="T1399">
        <v>36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36</v>
      </c>
      <c r="AB1399">
        <v>3</v>
      </c>
      <c r="AC1399">
        <v>0</v>
      </c>
      <c r="AH1399">
        <v>68.349999999999994</v>
      </c>
    </row>
    <row r="1400" spans="1:34" x14ac:dyDescent="0.3">
      <c r="A1400" s="4">
        <v>1516</v>
      </c>
      <c r="B1400" s="5">
        <v>1393</v>
      </c>
      <c r="C1400">
        <v>6613</v>
      </c>
      <c r="D1400" t="s">
        <v>3415</v>
      </c>
      <c r="E1400" t="s">
        <v>100</v>
      </c>
      <c r="F1400" t="s">
        <v>30</v>
      </c>
      <c r="G1400" t="s">
        <v>20755</v>
      </c>
      <c r="H1400">
        <v>20.25</v>
      </c>
      <c r="I1400">
        <v>0</v>
      </c>
      <c r="J1400">
        <v>0</v>
      </c>
      <c r="K1400">
        <v>0</v>
      </c>
      <c r="N1400">
        <v>3</v>
      </c>
      <c r="O1400">
        <v>3</v>
      </c>
      <c r="P1400">
        <v>4</v>
      </c>
      <c r="Q1400">
        <v>2</v>
      </c>
      <c r="R1400">
        <v>29.25</v>
      </c>
      <c r="S1400">
        <v>0</v>
      </c>
      <c r="T1400">
        <v>0</v>
      </c>
      <c r="U1400">
        <v>18</v>
      </c>
      <c r="V1400">
        <v>36</v>
      </c>
      <c r="W1400">
        <v>0</v>
      </c>
      <c r="X1400">
        <v>0</v>
      </c>
      <c r="Y1400">
        <v>0</v>
      </c>
      <c r="Z1400">
        <v>0</v>
      </c>
      <c r="AA1400">
        <v>36</v>
      </c>
      <c r="AB1400">
        <v>3</v>
      </c>
      <c r="AC1400">
        <v>0</v>
      </c>
      <c r="AH1400">
        <v>68.25</v>
      </c>
    </row>
    <row r="1401" spans="1:34" x14ac:dyDescent="0.3">
      <c r="A1401" s="4">
        <v>1517</v>
      </c>
      <c r="B1401" s="5">
        <v>1394</v>
      </c>
      <c r="C1401">
        <v>2075</v>
      </c>
      <c r="D1401" t="s">
        <v>20756</v>
      </c>
      <c r="E1401" t="s">
        <v>88</v>
      </c>
      <c r="F1401" t="s">
        <v>190</v>
      </c>
      <c r="G1401" t="s">
        <v>20757</v>
      </c>
      <c r="H1401">
        <v>20.2</v>
      </c>
      <c r="I1401">
        <v>0</v>
      </c>
      <c r="J1401">
        <v>0</v>
      </c>
      <c r="K1401">
        <v>0</v>
      </c>
      <c r="N1401">
        <v>6</v>
      </c>
      <c r="O1401">
        <v>6</v>
      </c>
      <c r="P1401">
        <v>4</v>
      </c>
      <c r="Q1401">
        <v>2</v>
      </c>
      <c r="R1401">
        <v>32.200000000000003</v>
      </c>
      <c r="S1401">
        <v>36</v>
      </c>
      <c r="T1401">
        <v>36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36</v>
      </c>
      <c r="AB1401">
        <v>0</v>
      </c>
      <c r="AC1401">
        <v>0</v>
      </c>
      <c r="AH1401">
        <v>68.2</v>
      </c>
    </row>
    <row r="1402" spans="1:34" x14ac:dyDescent="0.3">
      <c r="A1402" s="4">
        <v>1518</v>
      </c>
      <c r="B1402" s="5">
        <v>1395</v>
      </c>
      <c r="C1402">
        <v>2604</v>
      </c>
      <c r="D1402" t="s">
        <v>20758</v>
      </c>
      <c r="E1402" t="s">
        <v>54</v>
      </c>
      <c r="F1402" t="s">
        <v>214</v>
      </c>
      <c r="G1402" t="s">
        <v>20759</v>
      </c>
      <c r="H1402">
        <v>17.079999999999998</v>
      </c>
      <c r="I1402">
        <v>0</v>
      </c>
      <c r="J1402">
        <v>0</v>
      </c>
      <c r="K1402">
        <v>20</v>
      </c>
      <c r="L1402">
        <v>7</v>
      </c>
      <c r="O1402">
        <v>7</v>
      </c>
      <c r="P1402">
        <v>4</v>
      </c>
      <c r="Q1402">
        <v>2</v>
      </c>
      <c r="R1402">
        <v>50.08</v>
      </c>
      <c r="S1402">
        <v>18</v>
      </c>
      <c r="T1402">
        <v>18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18</v>
      </c>
      <c r="AB1402">
        <v>0</v>
      </c>
      <c r="AC1402">
        <v>0</v>
      </c>
      <c r="AH1402">
        <v>68.08</v>
      </c>
    </row>
    <row r="1403" spans="1:34" x14ac:dyDescent="0.3">
      <c r="A1403" s="4">
        <v>1519</v>
      </c>
      <c r="B1403" s="5">
        <v>1396</v>
      </c>
      <c r="C1403">
        <v>6841</v>
      </c>
      <c r="D1403" t="s">
        <v>5740</v>
      </c>
      <c r="E1403" t="s">
        <v>41</v>
      </c>
      <c r="F1403" t="s">
        <v>117</v>
      </c>
      <c r="G1403" t="s">
        <v>20760</v>
      </c>
      <c r="H1403">
        <v>18.850000000000001</v>
      </c>
      <c r="I1403">
        <v>0</v>
      </c>
      <c r="J1403">
        <v>0</v>
      </c>
      <c r="K1403">
        <v>0</v>
      </c>
      <c r="L1403">
        <v>7</v>
      </c>
      <c r="O1403">
        <v>7</v>
      </c>
      <c r="P1403">
        <v>4</v>
      </c>
      <c r="Q1403">
        <v>2</v>
      </c>
      <c r="R1403">
        <v>31.85</v>
      </c>
      <c r="S1403">
        <v>36</v>
      </c>
      <c r="T1403">
        <v>36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36</v>
      </c>
      <c r="AB1403">
        <v>0</v>
      </c>
      <c r="AC1403">
        <v>0</v>
      </c>
      <c r="AH1403">
        <v>67.849999999999994</v>
      </c>
    </row>
    <row r="1404" spans="1:34" x14ac:dyDescent="0.3">
      <c r="A1404" s="4">
        <v>1520</v>
      </c>
      <c r="B1404" s="5">
        <v>1397</v>
      </c>
      <c r="C1404">
        <v>3747</v>
      </c>
      <c r="D1404" t="s">
        <v>20761</v>
      </c>
      <c r="E1404" t="s">
        <v>170</v>
      </c>
      <c r="F1404" t="s">
        <v>38</v>
      </c>
      <c r="G1404" t="s">
        <v>20762</v>
      </c>
      <c r="H1404">
        <v>20.78</v>
      </c>
      <c r="I1404">
        <v>0</v>
      </c>
      <c r="J1404">
        <v>0</v>
      </c>
      <c r="K1404">
        <v>20</v>
      </c>
      <c r="N1404">
        <v>3</v>
      </c>
      <c r="O1404">
        <v>3</v>
      </c>
      <c r="P1404">
        <v>4</v>
      </c>
      <c r="Q1404">
        <v>2</v>
      </c>
      <c r="R1404">
        <v>49.78</v>
      </c>
      <c r="S1404">
        <v>18</v>
      </c>
      <c r="T1404">
        <v>18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18</v>
      </c>
      <c r="AB1404">
        <v>0</v>
      </c>
      <c r="AC1404">
        <v>0</v>
      </c>
      <c r="AH1404">
        <v>67.78</v>
      </c>
    </row>
    <row r="1405" spans="1:34" x14ac:dyDescent="0.3">
      <c r="A1405" s="4">
        <v>1521</v>
      </c>
      <c r="B1405" s="5">
        <v>1398</v>
      </c>
      <c r="C1405">
        <v>7831</v>
      </c>
      <c r="D1405" t="s">
        <v>20763</v>
      </c>
      <c r="E1405" t="s">
        <v>22</v>
      </c>
      <c r="F1405" t="s">
        <v>136</v>
      </c>
      <c r="G1405" t="s">
        <v>20764</v>
      </c>
      <c r="H1405">
        <v>16.75</v>
      </c>
      <c r="I1405">
        <v>0</v>
      </c>
      <c r="J1405">
        <v>0</v>
      </c>
      <c r="K1405">
        <v>0</v>
      </c>
      <c r="O1405">
        <v>0</v>
      </c>
      <c r="P1405">
        <v>4</v>
      </c>
      <c r="Q1405">
        <v>2</v>
      </c>
      <c r="R1405">
        <v>22.75</v>
      </c>
      <c r="S1405">
        <v>36</v>
      </c>
      <c r="T1405">
        <v>36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36</v>
      </c>
      <c r="AB1405">
        <v>9</v>
      </c>
      <c r="AC1405">
        <v>0</v>
      </c>
      <c r="AH1405">
        <v>67.75</v>
      </c>
    </row>
    <row r="1406" spans="1:34" x14ac:dyDescent="0.3">
      <c r="A1406" s="4">
        <v>1522</v>
      </c>
      <c r="B1406" s="5">
        <v>1399</v>
      </c>
      <c r="C1406">
        <v>10663</v>
      </c>
      <c r="D1406" t="s">
        <v>641</v>
      </c>
      <c r="E1406" t="s">
        <v>132</v>
      </c>
      <c r="F1406" t="s">
        <v>17</v>
      </c>
      <c r="G1406" t="s">
        <v>20765</v>
      </c>
      <c r="H1406">
        <v>17.7</v>
      </c>
      <c r="I1406">
        <v>0</v>
      </c>
      <c r="J1406">
        <v>0</v>
      </c>
      <c r="K1406">
        <v>28</v>
      </c>
      <c r="L1406">
        <v>7</v>
      </c>
      <c r="M1406">
        <v>5</v>
      </c>
      <c r="O1406">
        <v>12</v>
      </c>
      <c r="P1406">
        <v>4</v>
      </c>
      <c r="Q1406">
        <v>0</v>
      </c>
      <c r="R1406">
        <v>61.7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6</v>
      </c>
      <c r="AC1406">
        <v>0</v>
      </c>
      <c r="AH1406">
        <v>67.7</v>
      </c>
    </row>
    <row r="1407" spans="1:34" x14ac:dyDescent="0.3">
      <c r="A1407" s="4">
        <v>1523</v>
      </c>
      <c r="B1407" s="5">
        <v>1400</v>
      </c>
      <c r="C1407">
        <v>50</v>
      </c>
      <c r="D1407" t="s">
        <v>549</v>
      </c>
      <c r="E1407" t="s">
        <v>41</v>
      </c>
      <c r="F1407" t="s">
        <v>20</v>
      </c>
      <c r="G1407" t="s">
        <v>20766</v>
      </c>
      <c r="H1407">
        <v>16.5</v>
      </c>
      <c r="I1407">
        <v>0</v>
      </c>
      <c r="J1407">
        <v>0</v>
      </c>
      <c r="K1407">
        <v>0</v>
      </c>
      <c r="N1407">
        <v>3</v>
      </c>
      <c r="O1407">
        <v>3</v>
      </c>
      <c r="P1407">
        <v>4</v>
      </c>
      <c r="Q1407">
        <v>2</v>
      </c>
      <c r="R1407">
        <v>25.5</v>
      </c>
      <c r="S1407">
        <v>36</v>
      </c>
      <c r="T1407">
        <v>36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36</v>
      </c>
      <c r="AB1407">
        <v>6</v>
      </c>
      <c r="AC1407">
        <v>0</v>
      </c>
      <c r="AH1407">
        <v>67.5</v>
      </c>
    </row>
    <row r="1408" spans="1:34" x14ac:dyDescent="0.3">
      <c r="A1408" s="4">
        <v>1524</v>
      </c>
      <c r="B1408" s="5">
        <v>1401</v>
      </c>
      <c r="C1408">
        <v>3139</v>
      </c>
      <c r="D1408" t="s">
        <v>20767</v>
      </c>
      <c r="E1408" t="s">
        <v>1854</v>
      </c>
      <c r="F1408" t="s">
        <v>81</v>
      </c>
      <c r="G1408" t="s">
        <v>20768</v>
      </c>
      <c r="H1408">
        <v>20.43</v>
      </c>
      <c r="I1408">
        <v>0</v>
      </c>
      <c r="J1408">
        <v>0</v>
      </c>
      <c r="K1408">
        <v>20</v>
      </c>
      <c r="N1408">
        <v>3</v>
      </c>
      <c r="O1408">
        <v>3</v>
      </c>
      <c r="P1408">
        <v>4</v>
      </c>
      <c r="Q1408">
        <v>0</v>
      </c>
      <c r="R1408">
        <v>47.43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20</v>
      </c>
      <c r="AH1408">
        <v>67.430000000000007</v>
      </c>
    </row>
    <row r="1409" spans="1:34" x14ac:dyDescent="0.3">
      <c r="A1409" s="4">
        <v>1525</v>
      </c>
      <c r="B1409" s="5">
        <v>1402</v>
      </c>
      <c r="C1409">
        <v>1262</v>
      </c>
      <c r="D1409" t="s">
        <v>20769</v>
      </c>
      <c r="E1409" t="s">
        <v>1189</v>
      </c>
      <c r="F1409" t="s">
        <v>14</v>
      </c>
      <c r="G1409" t="s">
        <v>20770</v>
      </c>
      <c r="H1409">
        <v>20.3</v>
      </c>
      <c r="I1409">
        <v>0</v>
      </c>
      <c r="J1409">
        <v>0</v>
      </c>
      <c r="K1409">
        <v>28</v>
      </c>
      <c r="L1409">
        <v>7</v>
      </c>
      <c r="M1409">
        <v>5</v>
      </c>
      <c r="O1409">
        <v>12</v>
      </c>
      <c r="P1409">
        <v>4</v>
      </c>
      <c r="Q1409">
        <v>0</v>
      </c>
      <c r="R1409">
        <v>64.3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3</v>
      </c>
      <c r="AC1409">
        <v>0</v>
      </c>
      <c r="AH1409">
        <v>67.3</v>
      </c>
    </row>
    <row r="1410" spans="1:34" x14ac:dyDescent="0.3">
      <c r="A1410" s="4">
        <v>1526</v>
      </c>
      <c r="B1410" s="5">
        <v>1403</v>
      </c>
      <c r="C1410">
        <v>4430</v>
      </c>
      <c r="D1410" t="s">
        <v>20771</v>
      </c>
      <c r="E1410" t="s">
        <v>255</v>
      </c>
      <c r="F1410" t="s">
        <v>38</v>
      </c>
      <c r="G1410" t="s">
        <v>20772</v>
      </c>
      <c r="H1410">
        <v>19.25</v>
      </c>
      <c r="I1410">
        <v>0</v>
      </c>
      <c r="J1410">
        <v>0</v>
      </c>
      <c r="K1410">
        <v>20</v>
      </c>
      <c r="N1410">
        <v>3</v>
      </c>
      <c r="O1410">
        <v>3</v>
      </c>
      <c r="P1410">
        <v>4</v>
      </c>
      <c r="Q1410">
        <v>2</v>
      </c>
      <c r="R1410">
        <v>48.25</v>
      </c>
      <c r="S1410">
        <v>13</v>
      </c>
      <c r="T1410">
        <v>13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13</v>
      </c>
      <c r="AB1410">
        <v>6</v>
      </c>
      <c r="AC1410">
        <v>0</v>
      </c>
      <c r="AH1410">
        <v>67.25</v>
      </c>
    </row>
    <row r="1411" spans="1:34" x14ac:dyDescent="0.3">
      <c r="A1411" s="4">
        <v>1527</v>
      </c>
      <c r="B1411" s="5">
        <v>1404</v>
      </c>
      <c r="C1411">
        <v>13486</v>
      </c>
      <c r="D1411" t="s">
        <v>16266</v>
      </c>
      <c r="E1411" t="s">
        <v>219</v>
      </c>
      <c r="F1411" t="s">
        <v>136</v>
      </c>
      <c r="G1411" t="s">
        <v>20773</v>
      </c>
      <c r="H1411">
        <v>18.25</v>
      </c>
      <c r="I1411">
        <v>0</v>
      </c>
      <c r="J1411">
        <v>0</v>
      </c>
      <c r="K1411">
        <v>0</v>
      </c>
      <c r="L1411">
        <v>7</v>
      </c>
      <c r="O1411">
        <v>7</v>
      </c>
      <c r="P1411">
        <v>4</v>
      </c>
      <c r="Q1411">
        <v>2</v>
      </c>
      <c r="R1411">
        <v>31.25</v>
      </c>
      <c r="S1411">
        <v>36</v>
      </c>
      <c r="T1411">
        <v>36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36</v>
      </c>
      <c r="AB1411">
        <v>0</v>
      </c>
      <c r="AC1411">
        <v>0</v>
      </c>
      <c r="AD1411" t="s">
        <v>130</v>
      </c>
      <c r="AH1411">
        <v>67.25</v>
      </c>
    </row>
    <row r="1412" spans="1:34" x14ac:dyDescent="0.3">
      <c r="A1412" s="4">
        <v>1528</v>
      </c>
      <c r="B1412" s="5">
        <v>1405</v>
      </c>
      <c r="C1412">
        <v>690</v>
      </c>
      <c r="D1412" t="s">
        <v>20774</v>
      </c>
      <c r="E1412" t="s">
        <v>782</v>
      </c>
      <c r="F1412" t="s">
        <v>570</v>
      </c>
      <c r="G1412" t="s">
        <v>20775</v>
      </c>
      <c r="H1412">
        <v>18.03</v>
      </c>
      <c r="I1412">
        <v>0</v>
      </c>
      <c r="J1412">
        <v>0</v>
      </c>
      <c r="K1412">
        <v>20</v>
      </c>
      <c r="L1412">
        <v>7</v>
      </c>
      <c r="O1412">
        <v>7</v>
      </c>
      <c r="P1412">
        <v>4</v>
      </c>
      <c r="Q1412">
        <v>0</v>
      </c>
      <c r="R1412">
        <v>49.03</v>
      </c>
      <c r="S1412">
        <v>18</v>
      </c>
      <c r="T1412">
        <v>18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18</v>
      </c>
      <c r="AB1412">
        <v>0</v>
      </c>
      <c r="AC1412">
        <v>0</v>
      </c>
      <c r="AD1412" t="s">
        <v>130</v>
      </c>
      <c r="AH1412">
        <v>67.03</v>
      </c>
    </row>
    <row r="1413" spans="1:34" x14ac:dyDescent="0.3">
      <c r="A1413" s="4">
        <v>1529</v>
      </c>
      <c r="B1413" s="5">
        <v>1406</v>
      </c>
      <c r="C1413">
        <v>6804</v>
      </c>
      <c r="D1413" t="s">
        <v>20776</v>
      </c>
      <c r="E1413" t="s">
        <v>100</v>
      </c>
      <c r="F1413" t="s">
        <v>243</v>
      </c>
      <c r="G1413" t="s">
        <v>20777</v>
      </c>
      <c r="H1413">
        <v>21.98</v>
      </c>
      <c r="I1413">
        <v>0</v>
      </c>
      <c r="J1413">
        <v>0</v>
      </c>
      <c r="K1413">
        <v>0</v>
      </c>
      <c r="O1413">
        <v>0</v>
      </c>
      <c r="P1413">
        <v>4</v>
      </c>
      <c r="Q1413">
        <v>2</v>
      </c>
      <c r="R1413">
        <v>27.98</v>
      </c>
      <c r="S1413">
        <v>36</v>
      </c>
      <c r="T1413">
        <v>36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36</v>
      </c>
      <c r="AB1413">
        <v>3</v>
      </c>
      <c r="AC1413">
        <v>0</v>
      </c>
      <c r="AH1413">
        <v>66.98</v>
      </c>
    </row>
    <row r="1414" spans="1:34" x14ac:dyDescent="0.3">
      <c r="A1414" s="4">
        <v>1530</v>
      </c>
      <c r="B1414" s="5">
        <v>1407</v>
      </c>
      <c r="C1414">
        <v>1160</v>
      </c>
      <c r="D1414" t="s">
        <v>20778</v>
      </c>
      <c r="E1414" t="s">
        <v>442</v>
      </c>
      <c r="F1414" t="s">
        <v>259</v>
      </c>
      <c r="G1414" t="s">
        <v>20779</v>
      </c>
      <c r="H1414">
        <v>17.98</v>
      </c>
      <c r="I1414">
        <v>0</v>
      </c>
      <c r="J1414">
        <v>0</v>
      </c>
      <c r="K1414">
        <v>20</v>
      </c>
      <c r="L1414">
        <v>7</v>
      </c>
      <c r="O1414">
        <v>7</v>
      </c>
      <c r="P1414">
        <v>4</v>
      </c>
      <c r="Q1414">
        <v>0</v>
      </c>
      <c r="R1414">
        <v>48.98</v>
      </c>
      <c r="S1414">
        <v>18</v>
      </c>
      <c r="T1414">
        <v>18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18</v>
      </c>
      <c r="AB1414">
        <v>0</v>
      </c>
      <c r="AC1414">
        <v>0</v>
      </c>
      <c r="AH1414">
        <v>66.98</v>
      </c>
    </row>
    <row r="1415" spans="1:34" x14ac:dyDescent="0.3">
      <c r="A1415" s="4">
        <v>1531</v>
      </c>
      <c r="B1415" s="5">
        <v>1408</v>
      </c>
      <c r="C1415">
        <v>6214</v>
      </c>
      <c r="D1415" t="s">
        <v>20780</v>
      </c>
      <c r="E1415" t="s">
        <v>789</v>
      </c>
      <c r="F1415" t="s">
        <v>652</v>
      </c>
      <c r="G1415" t="s">
        <v>20781</v>
      </c>
      <c r="H1415">
        <v>16.850000000000001</v>
      </c>
      <c r="I1415">
        <v>0</v>
      </c>
      <c r="J1415">
        <v>0</v>
      </c>
      <c r="K1415">
        <v>0</v>
      </c>
      <c r="O1415">
        <v>0</v>
      </c>
      <c r="P1415">
        <v>4</v>
      </c>
      <c r="Q1415">
        <v>2</v>
      </c>
      <c r="R1415">
        <v>22.85</v>
      </c>
      <c r="S1415">
        <v>44</v>
      </c>
      <c r="T1415">
        <v>44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44</v>
      </c>
      <c r="AB1415">
        <v>0</v>
      </c>
      <c r="AC1415">
        <v>0</v>
      </c>
      <c r="AH1415">
        <v>66.849999999999994</v>
      </c>
    </row>
    <row r="1416" spans="1:34" x14ac:dyDescent="0.3">
      <c r="A1416" s="4">
        <v>1532</v>
      </c>
      <c r="B1416" s="5">
        <v>1409</v>
      </c>
      <c r="C1416">
        <v>3324</v>
      </c>
      <c r="D1416" t="s">
        <v>20782</v>
      </c>
      <c r="E1416" t="s">
        <v>132</v>
      </c>
      <c r="F1416" t="s">
        <v>2830</v>
      </c>
      <c r="G1416" t="s">
        <v>20783</v>
      </c>
      <c r="H1416">
        <v>18.78</v>
      </c>
      <c r="I1416">
        <v>0</v>
      </c>
      <c r="J1416">
        <v>0</v>
      </c>
      <c r="K1416">
        <v>20</v>
      </c>
      <c r="L1416">
        <v>7</v>
      </c>
      <c r="O1416">
        <v>7</v>
      </c>
      <c r="P1416">
        <v>4</v>
      </c>
      <c r="Q1416">
        <v>2</v>
      </c>
      <c r="R1416">
        <v>51.78</v>
      </c>
      <c r="S1416">
        <v>15</v>
      </c>
      <c r="T1416">
        <v>15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15</v>
      </c>
      <c r="AB1416">
        <v>0</v>
      </c>
      <c r="AC1416">
        <v>0</v>
      </c>
      <c r="AH1416">
        <v>66.78</v>
      </c>
    </row>
    <row r="1417" spans="1:34" x14ac:dyDescent="0.3">
      <c r="A1417" s="4">
        <v>1533</v>
      </c>
      <c r="B1417" s="5">
        <v>1410</v>
      </c>
      <c r="C1417">
        <v>13400</v>
      </c>
      <c r="D1417" t="s">
        <v>2549</v>
      </c>
      <c r="E1417" t="s">
        <v>744</v>
      </c>
      <c r="F1417" t="s">
        <v>539</v>
      </c>
      <c r="G1417" t="s">
        <v>20784</v>
      </c>
      <c r="H1417">
        <v>18.75</v>
      </c>
      <c r="I1417">
        <v>0</v>
      </c>
      <c r="J1417">
        <v>0</v>
      </c>
      <c r="K1417">
        <v>0</v>
      </c>
      <c r="N1417">
        <v>3</v>
      </c>
      <c r="O1417">
        <v>3</v>
      </c>
      <c r="P1417">
        <v>4</v>
      </c>
      <c r="Q1417">
        <v>0</v>
      </c>
      <c r="R1417">
        <v>25.75</v>
      </c>
      <c r="S1417">
        <v>38</v>
      </c>
      <c r="T1417">
        <v>38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38</v>
      </c>
      <c r="AB1417">
        <v>3</v>
      </c>
      <c r="AC1417">
        <v>0</v>
      </c>
      <c r="AH1417">
        <v>66.75</v>
      </c>
    </row>
    <row r="1418" spans="1:34" x14ac:dyDescent="0.3">
      <c r="A1418" s="4">
        <v>1534</v>
      </c>
      <c r="B1418" s="5">
        <v>1411</v>
      </c>
      <c r="C1418">
        <v>13468</v>
      </c>
      <c r="D1418" t="s">
        <v>4857</v>
      </c>
      <c r="E1418" t="s">
        <v>178</v>
      </c>
      <c r="F1418" t="s">
        <v>1460</v>
      </c>
      <c r="G1418" t="s">
        <v>20785</v>
      </c>
      <c r="H1418">
        <v>21.68</v>
      </c>
      <c r="I1418">
        <v>0</v>
      </c>
      <c r="J1418">
        <v>0</v>
      </c>
      <c r="K1418">
        <v>20</v>
      </c>
      <c r="N1418">
        <v>3</v>
      </c>
      <c r="O1418">
        <v>3</v>
      </c>
      <c r="P1418">
        <v>4</v>
      </c>
      <c r="Q1418">
        <v>0</v>
      </c>
      <c r="R1418">
        <v>48.68</v>
      </c>
      <c r="S1418">
        <v>18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18</v>
      </c>
      <c r="AB1418">
        <v>0</v>
      </c>
      <c r="AC1418">
        <v>0</v>
      </c>
      <c r="AH1418">
        <v>66.680000000000007</v>
      </c>
    </row>
    <row r="1419" spans="1:34" x14ac:dyDescent="0.3">
      <c r="A1419" s="4">
        <v>1535</v>
      </c>
      <c r="B1419" s="5">
        <v>1412</v>
      </c>
      <c r="C1419">
        <v>7805</v>
      </c>
      <c r="D1419" t="s">
        <v>3119</v>
      </c>
      <c r="E1419" t="s">
        <v>1140</v>
      </c>
      <c r="F1419" t="s">
        <v>30</v>
      </c>
      <c r="G1419" t="s">
        <v>20786</v>
      </c>
      <c r="H1419">
        <v>18.68</v>
      </c>
      <c r="I1419">
        <v>0</v>
      </c>
      <c r="J1419">
        <v>0</v>
      </c>
      <c r="K1419">
        <v>0</v>
      </c>
      <c r="L1419">
        <v>7</v>
      </c>
      <c r="O1419">
        <v>7</v>
      </c>
      <c r="P1419">
        <v>4</v>
      </c>
      <c r="Q1419">
        <v>2</v>
      </c>
      <c r="R1419">
        <v>31.68</v>
      </c>
      <c r="S1419">
        <v>35</v>
      </c>
      <c r="T1419">
        <v>35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35</v>
      </c>
      <c r="AB1419">
        <v>0</v>
      </c>
      <c r="AC1419">
        <v>0</v>
      </c>
      <c r="AD1419" t="s">
        <v>130</v>
      </c>
      <c r="AH1419">
        <v>66.680000000000007</v>
      </c>
    </row>
    <row r="1420" spans="1:34" x14ac:dyDescent="0.3">
      <c r="A1420" s="4">
        <v>1536</v>
      </c>
      <c r="B1420" s="5">
        <v>1413</v>
      </c>
      <c r="C1420">
        <v>14770</v>
      </c>
      <c r="D1420" t="s">
        <v>20787</v>
      </c>
      <c r="E1420" t="s">
        <v>22</v>
      </c>
      <c r="F1420" t="s">
        <v>570</v>
      </c>
      <c r="G1420" t="s">
        <v>20788</v>
      </c>
      <c r="H1420">
        <v>18.63</v>
      </c>
      <c r="I1420">
        <v>7</v>
      </c>
      <c r="J1420">
        <v>0</v>
      </c>
      <c r="K1420">
        <v>0</v>
      </c>
      <c r="L1420">
        <v>7</v>
      </c>
      <c r="N1420">
        <v>3</v>
      </c>
      <c r="O1420">
        <v>10</v>
      </c>
      <c r="P1420">
        <v>4</v>
      </c>
      <c r="Q1420">
        <v>2</v>
      </c>
      <c r="R1420">
        <v>41.63</v>
      </c>
      <c r="S1420">
        <v>16</v>
      </c>
      <c r="T1420">
        <v>16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16</v>
      </c>
      <c r="AB1420">
        <v>9</v>
      </c>
      <c r="AC1420">
        <v>0</v>
      </c>
      <c r="AH1420">
        <v>66.63</v>
      </c>
    </row>
    <row r="1421" spans="1:34" x14ac:dyDescent="0.3">
      <c r="A1421" s="4">
        <v>1537</v>
      </c>
      <c r="B1421" s="5">
        <v>1414</v>
      </c>
      <c r="C1421">
        <v>995</v>
      </c>
      <c r="D1421" t="s">
        <v>20789</v>
      </c>
      <c r="E1421" t="s">
        <v>7954</v>
      </c>
      <c r="F1421" t="s">
        <v>81</v>
      </c>
      <c r="G1421" t="s">
        <v>20790</v>
      </c>
      <c r="H1421">
        <v>19.600000000000001</v>
      </c>
      <c r="I1421">
        <v>0</v>
      </c>
      <c r="J1421">
        <v>0</v>
      </c>
      <c r="K1421">
        <v>0</v>
      </c>
      <c r="M1421">
        <v>5</v>
      </c>
      <c r="O1421">
        <v>5</v>
      </c>
      <c r="P1421">
        <v>4</v>
      </c>
      <c r="Q1421">
        <v>2</v>
      </c>
      <c r="R1421">
        <v>30.6</v>
      </c>
      <c r="S1421">
        <v>36</v>
      </c>
      <c r="T1421">
        <v>36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36</v>
      </c>
      <c r="AB1421">
        <v>0</v>
      </c>
      <c r="AC1421">
        <v>0</v>
      </c>
      <c r="AH1421">
        <v>66.599999999999994</v>
      </c>
    </row>
    <row r="1422" spans="1:34" x14ac:dyDescent="0.3">
      <c r="A1422" s="4">
        <v>1538</v>
      </c>
      <c r="B1422" s="5">
        <v>1415</v>
      </c>
      <c r="C1422">
        <v>8805</v>
      </c>
      <c r="D1422" t="s">
        <v>2312</v>
      </c>
      <c r="E1422" t="s">
        <v>471</v>
      </c>
      <c r="F1422" t="s">
        <v>975</v>
      </c>
      <c r="G1422" t="s">
        <v>20791</v>
      </c>
      <c r="H1422">
        <v>17.55</v>
      </c>
      <c r="I1422">
        <v>0</v>
      </c>
      <c r="J1422">
        <v>0</v>
      </c>
      <c r="K1422">
        <v>0</v>
      </c>
      <c r="N1422">
        <v>3</v>
      </c>
      <c r="O1422">
        <v>3</v>
      </c>
      <c r="P1422">
        <v>0</v>
      </c>
      <c r="Q1422">
        <v>2</v>
      </c>
      <c r="R1422">
        <v>22.55</v>
      </c>
      <c r="S1422">
        <v>18</v>
      </c>
      <c r="T1422">
        <v>18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18</v>
      </c>
      <c r="AB1422">
        <v>6</v>
      </c>
      <c r="AC1422">
        <v>20</v>
      </c>
      <c r="AH1422">
        <v>66.55</v>
      </c>
    </row>
    <row r="1423" spans="1:34" x14ac:dyDescent="0.3">
      <c r="A1423" s="4">
        <v>1539</v>
      </c>
      <c r="B1423" s="5">
        <v>1416</v>
      </c>
      <c r="C1423">
        <v>1870</v>
      </c>
      <c r="D1423" t="s">
        <v>20792</v>
      </c>
      <c r="E1423" t="s">
        <v>3235</v>
      </c>
      <c r="F1423" t="s">
        <v>68</v>
      </c>
      <c r="G1423" t="s">
        <v>20793</v>
      </c>
      <c r="H1423">
        <v>17.5</v>
      </c>
      <c r="I1423">
        <v>0</v>
      </c>
      <c r="J1423">
        <v>0</v>
      </c>
      <c r="K1423">
        <v>20</v>
      </c>
      <c r="L1423">
        <v>7</v>
      </c>
      <c r="O1423">
        <v>7</v>
      </c>
      <c r="P1423">
        <v>4</v>
      </c>
      <c r="Q1423">
        <v>0</v>
      </c>
      <c r="R1423">
        <v>48.5</v>
      </c>
      <c r="S1423">
        <v>18</v>
      </c>
      <c r="T1423">
        <v>18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18</v>
      </c>
      <c r="AB1423">
        <v>0</v>
      </c>
      <c r="AC1423">
        <v>0</v>
      </c>
      <c r="AH1423">
        <v>66.5</v>
      </c>
    </row>
    <row r="1424" spans="1:34" x14ac:dyDescent="0.3">
      <c r="A1424" s="4">
        <v>1540</v>
      </c>
      <c r="B1424" s="5">
        <v>1417</v>
      </c>
      <c r="C1424">
        <v>11986</v>
      </c>
      <c r="D1424" t="s">
        <v>20794</v>
      </c>
      <c r="E1424" t="s">
        <v>1716</v>
      </c>
      <c r="F1424" t="s">
        <v>81</v>
      </c>
      <c r="G1424" t="s">
        <v>20795</v>
      </c>
      <c r="H1424">
        <v>17.399999999999999</v>
      </c>
      <c r="I1424">
        <v>0</v>
      </c>
      <c r="J1424">
        <v>0</v>
      </c>
      <c r="K1424">
        <v>0</v>
      </c>
      <c r="O1424">
        <v>0</v>
      </c>
      <c r="P1424">
        <v>4</v>
      </c>
      <c r="Q1424">
        <v>2</v>
      </c>
      <c r="R1424">
        <v>23.4</v>
      </c>
      <c r="S1424">
        <v>43</v>
      </c>
      <c r="T1424">
        <v>43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43</v>
      </c>
      <c r="AB1424">
        <v>0</v>
      </c>
      <c r="AC1424">
        <v>0</v>
      </c>
      <c r="AD1424" t="s">
        <v>130</v>
      </c>
      <c r="AH1424">
        <v>66.400000000000006</v>
      </c>
    </row>
    <row r="1425" spans="1:34" x14ac:dyDescent="0.3">
      <c r="A1425" s="4">
        <v>1541</v>
      </c>
      <c r="B1425" s="5">
        <v>1418</v>
      </c>
      <c r="C1425">
        <v>4780</v>
      </c>
      <c r="D1425" t="s">
        <v>767</v>
      </c>
      <c r="E1425" t="s">
        <v>173</v>
      </c>
      <c r="F1425" t="s">
        <v>230</v>
      </c>
      <c r="G1425" t="s">
        <v>20796</v>
      </c>
      <c r="H1425">
        <v>16.38</v>
      </c>
      <c r="I1425">
        <v>0</v>
      </c>
      <c r="J1425">
        <v>0</v>
      </c>
      <c r="K1425">
        <v>20</v>
      </c>
      <c r="N1425">
        <v>3</v>
      </c>
      <c r="O1425">
        <v>3</v>
      </c>
      <c r="P1425">
        <v>4</v>
      </c>
      <c r="Q1425">
        <v>2</v>
      </c>
      <c r="R1425">
        <v>45.38</v>
      </c>
      <c r="S1425">
        <v>18</v>
      </c>
      <c r="T1425">
        <v>18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18</v>
      </c>
      <c r="AB1425">
        <v>3</v>
      </c>
      <c r="AC1425">
        <v>0</v>
      </c>
      <c r="AH1425">
        <v>66.38</v>
      </c>
    </row>
    <row r="1426" spans="1:34" x14ac:dyDescent="0.3">
      <c r="A1426" s="4">
        <v>1542</v>
      </c>
      <c r="B1426" s="5">
        <v>1419</v>
      </c>
      <c r="C1426">
        <v>11622</v>
      </c>
      <c r="D1426" t="s">
        <v>20797</v>
      </c>
      <c r="E1426" t="s">
        <v>136</v>
      </c>
      <c r="F1426" t="s">
        <v>38</v>
      </c>
      <c r="G1426" t="s">
        <v>20798</v>
      </c>
      <c r="H1426">
        <v>20.329999999999998</v>
      </c>
      <c r="I1426">
        <v>7</v>
      </c>
      <c r="J1426">
        <v>0</v>
      </c>
      <c r="K1426">
        <v>20</v>
      </c>
      <c r="L1426">
        <v>7</v>
      </c>
      <c r="O1426">
        <v>7</v>
      </c>
      <c r="P1426">
        <v>4</v>
      </c>
      <c r="Q1426">
        <v>2</v>
      </c>
      <c r="R1426">
        <v>60.33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6</v>
      </c>
      <c r="AC1426">
        <v>0</v>
      </c>
      <c r="AH1426">
        <v>66.33</v>
      </c>
    </row>
    <row r="1427" spans="1:34" x14ac:dyDescent="0.3">
      <c r="A1427" s="4">
        <v>1543</v>
      </c>
      <c r="B1427" s="5">
        <v>1420</v>
      </c>
      <c r="C1427">
        <v>10298</v>
      </c>
      <c r="D1427" t="s">
        <v>20799</v>
      </c>
      <c r="E1427" t="s">
        <v>29</v>
      </c>
      <c r="F1427" t="s">
        <v>158</v>
      </c>
      <c r="G1427" t="s">
        <v>20800</v>
      </c>
      <c r="H1427">
        <v>19.3</v>
      </c>
      <c r="I1427">
        <v>0</v>
      </c>
      <c r="J1427">
        <v>0</v>
      </c>
      <c r="K1427">
        <v>0</v>
      </c>
      <c r="L1427">
        <v>7</v>
      </c>
      <c r="O1427">
        <v>7</v>
      </c>
      <c r="P1427">
        <v>4</v>
      </c>
      <c r="Q1427">
        <v>2</v>
      </c>
      <c r="R1427">
        <v>32.299999999999997</v>
      </c>
      <c r="S1427">
        <v>34</v>
      </c>
      <c r="T1427">
        <v>34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34</v>
      </c>
      <c r="AB1427">
        <v>0</v>
      </c>
      <c r="AC1427">
        <v>0</v>
      </c>
      <c r="AH1427">
        <v>66.3</v>
      </c>
    </row>
    <row r="1428" spans="1:34" x14ac:dyDescent="0.3">
      <c r="A1428" s="4">
        <v>1544</v>
      </c>
      <c r="B1428" s="5">
        <v>1421</v>
      </c>
      <c r="C1428">
        <v>8038</v>
      </c>
      <c r="D1428" t="s">
        <v>424</v>
      </c>
      <c r="E1428" t="s">
        <v>400</v>
      </c>
      <c r="F1428" t="s">
        <v>570</v>
      </c>
      <c r="G1428" t="s">
        <v>20801</v>
      </c>
      <c r="H1428">
        <v>19.25</v>
      </c>
      <c r="I1428">
        <v>0</v>
      </c>
      <c r="J1428">
        <v>0</v>
      </c>
      <c r="K1428">
        <v>0</v>
      </c>
      <c r="L1428">
        <v>7</v>
      </c>
      <c r="O1428">
        <v>7</v>
      </c>
      <c r="P1428">
        <v>4</v>
      </c>
      <c r="Q1428">
        <v>0</v>
      </c>
      <c r="R1428">
        <v>30.25</v>
      </c>
      <c r="S1428">
        <v>36</v>
      </c>
      <c r="T1428">
        <v>36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36</v>
      </c>
      <c r="AB1428">
        <v>0</v>
      </c>
      <c r="AC1428">
        <v>0</v>
      </c>
      <c r="AD1428" t="s">
        <v>130</v>
      </c>
      <c r="AH1428">
        <v>66.25</v>
      </c>
    </row>
    <row r="1429" spans="1:34" x14ac:dyDescent="0.3">
      <c r="A1429" s="4">
        <v>1545</v>
      </c>
      <c r="B1429" s="5">
        <v>1422</v>
      </c>
      <c r="C1429">
        <v>6764</v>
      </c>
      <c r="D1429" t="s">
        <v>20802</v>
      </c>
      <c r="E1429" t="s">
        <v>2157</v>
      </c>
      <c r="F1429" t="s">
        <v>81</v>
      </c>
      <c r="G1429" t="s">
        <v>20803</v>
      </c>
      <c r="H1429">
        <v>21.18</v>
      </c>
      <c r="I1429">
        <v>0</v>
      </c>
      <c r="J1429">
        <v>0</v>
      </c>
      <c r="K1429">
        <v>0</v>
      </c>
      <c r="N1429">
        <v>3</v>
      </c>
      <c r="O1429">
        <v>3</v>
      </c>
      <c r="P1429">
        <v>4</v>
      </c>
      <c r="Q1429">
        <v>2</v>
      </c>
      <c r="R1429">
        <v>30.18</v>
      </c>
      <c r="S1429">
        <v>36</v>
      </c>
      <c r="T1429">
        <v>36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36</v>
      </c>
      <c r="AB1429">
        <v>0</v>
      </c>
      <c r="AC1429">
        <v>0</v>
      </c>
      <c r="AH1429">
        <v>66.180000000000007</v>
      </c>
    </row>
    <row r="1430" spans="1:34" x14ac:dyDescent="0.3">
      <c r="A1430" s="4">
        <v>1546</v>
      </c>
      <c r="B1430" s="5">
        <v>1423</v>
      </c>
      <c r="C1430">
        <v>912</v>
      </c>
      <c r="D1430" t="s">
        <v>20804</v>
      </c>
      <c r="E1430" t="s">
        <v>26</v>
      </c>
      <c r="F1430" t="s">
        <v>570</v>
      </c>
      <c r="G1430" t="s">
        <v>20805</v>
      </c>
      <c r="H1430">
        <v>21</v>
      </c>
      <c r="I1430">
        <v>0</v>
      </c>
      <c r="J1430">
        <v>0</v>
      </c>
      <c r="K1430">
        <v>0</v>
      </c>
      <c r="L1430">
        <v>7</v>
      </c>
      <c r="O1430">
        <v>7</v>
      </c>
      <c r="P1430">
        <v>4</v>
      </c>
      <c r="Q1430">
        <v>0</v>
      </c>
      <c r="R1430">
        <v>32</v>
      </c>
      <c r="S1430">
        <v>34</v>
      </c>
      <c r="T1430">
        <v>34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34</v>
      </c>
      <c r="AB1430">
        <v>0</v>
      </c>
      <c r="AC1430">
        <v>0</v>
      </c>
      <c r="AD1430" t="s">
        <v>130</v>
      </c>
      <c r="AH1430">
        <v>66</v>
      </c>
    </row>
    <row r="1431" spans="1:34" x14ac:dyDescent="0.3">
      <c r="A1431" s="4">
        <v>1547</v>
      </c>
      <c r="B1431" s="5">
        <v>1424</v>
      </c>
      <c r="C1431">
        <v>4234</v>
      </c>
      <c r="D1431" t="s">
        <v>20806</v>
      </c>
      <c r="E1431" t="s">
        <v>58</v>
      </c>
      <c r="F1431" t="s">
        <v>91</v>
      </c>
      <c r="G1431" t="s">
        <v>20807</v>
      </c>
      <c r="H1431">
        <v>18.95</v>
      </c>
      <c r="I1431">
        <v>0</v>
      </c>
      <c r="J1431">
        <v>0</v>
      </c>
      <c r="K1431">
        <v>20</v>
      </c>
      <c r="M1431">
        <v>5</v>
      </c>
      <c r="O1431">
        <v>5</v>
      </c>
      <c r="P1431">
        <v>4</v>
      </c>
      <c r="Q1431">
        <v>0</v>
      </c>
      <c r="R1431">
        <v>47.95</v>
      </c>
      <c r="S1431">
        <v>18</v>
      </c>
      <c r="T1431">
        <v>18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18</v>
      </c>
      <c r="AB1431">
        <v>0</v>
      </c>
      <c r="AC1431">
        <v>0</v>
      </c>
      <c r="AH1431">
        <v>65.95</v>
      </c>
    </row>
    <row r="1432" spans="1:34" x14ac:dyDescent="0.3">
      <c r="A1432" s="4">
        <v>1548</v>
      </c>
      <c r="B1432" s="5">
        <v>1425</v>
      </c>
      <c r="C1432">
        <v>3413</v>
      </c>
      <c r="D1432" t="s">
        <v>20808</v>
      </c>
      <c r="E1432" t="s">
        <v>26</v>
      </c>
      <c r="F1432" t="s">
        <v>17</v>
      </c>
      <c r="G1432" t="s">
        <v>20809</v>
      </c>
      <c r="H1432">
        <v>21.9</v>
      </c>
      <c r="I1432">
        <v>0</v>
      </c>
      <c r="J1432">
        <v>0</v>
      </c>
      <c r="K1432">
        <v>20</v>
      </c>
      <c r="O1432">
        <v>0</v>
      </c>
      <c r="P1432">
        <v>4</v>
      </c>
      <c r="Q1432">
        <v>2</v>
      </c>
      <c r="R1432">
        <v>47.9</v>
      </c>
      <c r="S1432">
        <v>18</v>
      </c>
      <c r="T1432">
        <v>18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18</v>
      </c>
      <c r="AB1432">
        <v>0</v>
      </c>
      <c r="AC1432">
        <v>0</v>
      </c>
      <c r="AH1432">
        <v>65.900000000000006</v>
      </c>
    </row>
    <row r="1433" spans="1:34" x14ac:dyDescent="0.3">
      <c r="A1433" s="4">
        <v>1549</v>
      </c>
      <c r="B1433" s="5">
        <v>1426</v>
      </c>
      <c r="C1433">
        <v>481</v>
      </c>
      <c r="D1433" t="s">
        <v>20810</v>
      </c>
      <c r="E1433" t="s">
        <v>88</v>
      </c>
      <c r="F1433" t="s">
        <v>68</v>
      </c>
      <c r="G1433" t="s">
        <v>20811</v>
      </c>
      <c r="H1433">
        <v>16.899999999999999</v>
      </c>
      <c r="I1433">
        <v>0</v>
      </c>
      <c r="J1433">
        <v>0</v>
      </c>
      <c r="K1433">
        <v>20</v>
      </c>
      <c r="L1433">
        <v>7</v>
      </c>
      <c r="O1433">
        <v>7</v>
      </c>
      <c r="P1433">
        <v>4</v>
      </c>
      <c r="Q1433">
        <v>0</v>
      </c>
      <c r="R1433">
        <v>47.9</v>
      </c>
      <c r="S1433">
        <v>18</v>
      </c>
      <c r="T1433">
        <v>18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18</v>
      </c>
      <c r="AB1433">
        <v>0</v>
      </c>
      <c r="AC1433">
        <v>0</v>
      </c>
      <c r="AH1433">
        <v>65.900000000000006</v>
      </c>
    </row>
    <row r="1434" spans="1:34" x14ac:dyDescent="0.3">
      <c r="A1434" s="4">
        <v>1550</v>
      </c>
      <c r="B1434" s="5">
        <v>1427</v>
      </c>
      <c r="C1434">
        <v>12795</v>
      </c>
      <c r="D1434" t="s">
        <v>11417</v>
      </c>
      <c r="E1434" t="s">
        <v>283</v>
      </c>
      <c r="F1434" t="s">
        <v>243</v>
      </c>
      <c r="G1434" t="s">
        <v>20812</v>
      </c>
      <c r="H1434">
        <v>18.850000000000001</v>
      </c>
      <c r="I1434">
        <v>0</v>
      </c>
      <c r="J1434">
        <v>0</v>
      </c>
      <c r="K1434">
        <v>0</v>
      </c>
      <c r="N1434">
        <v>3</v>
      </c>
      <c r="O1434">
        <v>3</v>
      </c>
      <c r="P1434">
        <v>4</v>
      </c>
      <c r="Q1434">
        <v>2</v>
      </c>
      <c r="R1434">
        <v>27.85</v>
      </c>
      <c r="S1434">
        <v>38</v>
      </c>
      <c r="T1434">
        <v>38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38</v>
      </c>
      <c r="AB1434">
        <v>0</v>
      </c>
      <c r="AC1434">
        <v>0</v>
      </c>
      <c r="AH1434">
        <v>65.849999999999994</v>
      </c>
    </row>
    <row r="1435" spans="1:34" x14ac:dyDescent="0.3">
      <c r="A1435" s="4">
        <v>1551</v>
      </c>
      <c r="B1435" s="5">
        <v>1428</v>
      </c>
      <c r="C1435">
        <v>8102</v>
      </c>
      <c r="D1435" t="s">
        <v>20813</v>
      </c>
      <c r="E1435" t="s">
        <v>744</v>
      </c>
      <c r="F1435" t="s">
        <v>1748</v>
      </c>
      <c r="G1435" t="s">
        <v>20814</v>
      </c>
      <c r="H1435">
        <v>19.75</v>
      </c>
      <c r="I1435">
        <v>7</v>
      </c>
      <c r="J1435">
        <v>0</v>
      </c>
      <c r="K1435">
        <v>20</v>
      </c>
      <c r="N1435">
        <v>3</v>
      </c>
      <c r="O1435">
        <v>3</v>
      </c>
      <c r="P1435">
        <v>4</v>
      </c>
      <c r="Q1435">
        <v>0</v>
      </c>
      <c r="R1435">
        <v>53.75</v>
      </c>
      <c r="S1435">
        <v>6</v>
      </c>
      <c r="T1435">
        <v>6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6</v>
      </c>
      <c r="AB1435">
        <v>6</v>
      </c>
      <c r="AC1435">
        <v>0</v>
      </c>
      <c r="AH1435">
        <v>65.75</v>
      </c>
    </row>
    <row r="1436" spans="1:34" x14ac:dyDescent="0.3">
      <c r="A1436" s="4">
        <v>1552</v>
      </c>
      <c r="B1436" s="5">
        <v>1429</v>
      </c>
      <c r="C1436">
        <v>8857</v>
      </c>
      <c r="D1436" t="s">
        <v>20815</v>
      </c>
      <c r="E1436" t="s">
        <v>20816</v>
      </c>
      <c r="F1436" t="s">
        <v>1566</v>
      </c>
      <c r="G1436" t="s">
        <v>20817</v>
      </c>
      <c r="H1436">
        <v>18.68</v>
      </c>
      <c r="I1436">
        <v>0</v>
      </c>
      <c r="J1436">
        <v>0</v>
      </c>
      <c r="K1436">
        <v>0</v>
      </c>
      <c r="N1436">
        <v>3</v>
      </c>
      <c r="O1436">
        <v>3</v>
      </c>
      <c r="P1436">
        <v>4</v>
      </c>
      <c r="Q1436">
        <v>2</v>
      </c>
      <c r="R1436">
        <v>27.68</v>
      </c>
      <c r="S1436">
        <v>35</v>
      </c>
      <c r="T1436">
        <v>35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35</v>
      </c>
      <c r="AB1436">
        <v>3</v>
      </c>
      <c r="AC1436">
        <v>0</v>
      </c>
      <c r="AH1436">
        <v>65.680000000000007</v>
      </c>
    </row>
    <row r="1437" spans="1:34" x14ac:dyDescent="0.3">
      <c r="A1437" s="4">
        <v>1553</v>
      </c>
      <c r="B1437" s="5">
        <v>1430</v>
      </c>
      <c r="C1437">
        <v>804</v>
      </c>
      <c r="D1437" t="s">
        <v>20818</v>
      </c>
      <c r="E1437" t="s">
        <v>14</v>
      </c>
      <c r="F1437" t="s">
        <v>243</v>
      </c>
      <c r="G1437" t="s">
        <v>20819</v>
      </c>
      <c r="H1437">
        <v>19.579999999999998</v>
      </c>
      <c r="I1437">
        <v>7</v>
      </c>
      <c r="J1437">
        <v>0</v>
      </c>
      <c r="K1437">
        <v>20</v>
      </c>
      <c r="L1437">
        <v>7</v>
      </c>
      <c r="M1437">
        <v>5</v>
      </c>
      <c r="O1437">
        <v>12</v>
      </c>
      <c r="P1437">
        <v>4</v>
      </c>
      <c r="Q1437">
        <v>0</v>
      </c>
      <c r="R1437">
        <v>62.58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3</v>
      </c>
      <c r="AC1437">
        <v>0</v>
      </c>
      <c r="AH1437">
        <v>65.58</v>
      </c>
    </row>
    <row r="1438" spans="1:34" x14ac:dyDescent="0.3">
      <c r="A1438" s="4">
        <v>1554</v>
      </c>
      <c r="B1438" s="5">
        <v>1431</v>
      </c>
      <c r="C1438">
        <v>14035</v>
      </c>
      <c r="D1438" t="s">
        <v>4857</v>
      </c>
      <c r="E1438" t="s">
        <v>29</v>
      </c>
      <c r="F1438" t="s">
        <v>124</v>
      </c>
      <c r="G1438" t="s">
        <v>20820</v>
      </c>
      <c r="H1438">
        <v>18.48</v>
      </c>
      <c r="I1438">
        <v>0</v>
      </c>
      <c r="J1438">
        <v>0</v>
      </c>
      <c r="K1438">
        <v>20</v>
      </c>
      <c r="N1438">
        <v>3</v>
      </c>
      <c r="O1438">
        <v>3</v>
      </c>
      <c r="P1438">
        <v>4</v>
      </c>
      <c r="Q1438">
        <v>2</v>
      </c>
      <c r="R1438">
        <v>47.48</v>
      </c>
      <c r="S1438">
        <v>15</v>
      </c>
      <c r="T1438">
        <v>15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15</v>
      </c>
      <c r="AB1438">
        <v>3</v>
      </c>
      <c r="AC1438">
        <v>0</v>
      </c>
      <c r="AH1438">
        <v>65.48</v>
      </c>
    </row>
    <row r="1439" spans="1:34" x14ac:dyDescent="0.3">
      <c r="A1439" s="4">
        <v>1555</v>
      </c>
      <c r="B1439" s="5">
        <v>1432</v>
      </c>
      <c r="C1439">
        <v>10310</v>
      </c>
      <c r="D1439" t="s">
        <v>20821</v>
      </c>
      <c r="E1439" t="s">
        <v>20822</v>
      </c>
      <c r="F1439" t="s">
        <v>20823</v>
      </c>
      <c r="G1439" t="s">
        <v>20824</v>
      </c>
      <c r="H1439">
        <v>14.3</v>
      </c>
      <c r="I1439">
        <v>0</v>
      </c>
      <c r="J1439">
        <v>0</v>
      </c>
      <c r="K1439">
        <v>20</v>
      </c>
      <c r="M1439">
        <v>5</v>
      </c>
      <c r="O1439">
        <v>5</v>
      </c>
      <c r="P1439">
        <v>4</v>
      </c>
      <c r="Q1439">
        <v>2</v>
      </c>
      <c r="R1439">
        <v>45.3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20</v>
      </c>
      <c r="AH1439">
        <v>65.3</v>
      </c>
    </row>
    <row r="1440" spans="1:34" x14ac:dyDescent="0.3">
      <c r="A1440" s="4">
        <v>1556</v>
      </c>
      <c r="B1440" s="5">
        <v>1433</v>
      </c>
      <c r="C1440">
        <v>12096</v>
      </c>
      <c r="D1440" t="s">
        <v>20825</v>
      </c>
      <c r="E1440" t="s">
        <v>100</v>
      </c>
      <c r="F1440" t="s">
        <v>23</v>
      </c>
      <c r="G1440" t="s">
        <v>20826</v>
      </c>
      <c r="H1440">
        <v>19.3</v>
      </c>
      <c r="I1440">
        <v>0</v>
      </c>
      <c r="J1440">
        <v>0</v>
      </c>
      <c r="K1440">
        <v>0</v>
      </c>
      <c r="O1440">
        <v>0</v>
      </c>
      <c r="P1440">
        <v>4</v>
      </c>
      <c r="Q1440">
        <v>2</v>
      </c>
      <c r="R1440">
        <v>25.3</v>
      </c>
      <c r="S1440">
        <v>34</v>
      </c>
      <c r="T1440">
        <v>34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34</v>
      </c>
      <c r="AB1440">
        <v>6</v>
      </c>
      <c r="AC1440">
        <v>0</v>
      </c>
      <c r="AH1440">
        <v>65.3</v>
      </c>
    </row>
    <row r="1441" spans="1:34" x14ac:dyDescent="0.3">
      <c r="A1441" s="4">
        <v>1557</v>
      </c>
      <c r="B1441" s="5">
        <v>1434</v>
      </c>
      <c r="C1441">
        <v>271</v>
      </c>
      <c r="D1441" t="s">
        <v>20827</v>
      </c>
      <c r="E1441" t="s">
        <v>100</v>
      </c>
      <c r="F1441" t="s">
        <v>136</v>
      </c>
      <c r="G1441" t="s">
        <v>20828</v>
      </c>
      <c r="H1441">
        <v>20</v>
      </c>
      <c r="I1441">
        <v>0</v>
      </c>
      <c r="J1441">
        <v>0</v>
      </c>
      <c r="K1441">
        <v>0</v>
      </c>
      <c r="N1441">
        <v>3</v>
      </c>
      <c r="O1441">
        <v>3</v>
      </c>
      <c r="P1441">
        <v>4</v>
      </c>
      <c r="Q1441">
        <v>2</v>
      </c>
      <c r="R1441">
        <v>29</v>
      </c>
      <c r="S1441">
        <v>36</v>
      </c>
      <c r="T1441">
        <v>36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36</v>
      </c>
      <c r="AB1441">
        <v>0</v>
      </c>
      <c r="AC1441">
        <v>0</v>
      </c>
      <c r="AH1441">
        <v>65</v>
      </c>
    </row>
    <row r="1442" spans="1:34" x14ac:dyDescent="0.3">
      <c r="A1442" s="4">
        <v>1558</v>
      </c>
      <c r="B1442" s="5">
        <v>1435</v>
      </c>
      <c r="C1442">
        <v>12101</v>
      </c>
      <c r="D1442" t="s">
        <v>20829</v>
      </c>
      <c r="E1442" t="s">
        <v>136</v>
      </c>
      <c r="F1442" t="s">
        <v>124</v>
      </c>
      <c r="G1442" t="s">
        <v>20830</v>
      </c>
      <c r="H1442">
        <v>21.88</v>
      </c>
      <c r="I1442">
        <v>0</v>
      </c>
      <c r="J1442">
        <v>0</v>
      </c>
      <c r="K1442">
        <v>0</v>
      </c>
      <c r="O1442">
        <v>0</v>
      </c>
      <c r="P1442">
        <v>4</v>
      </c>
      <c r="Q1442">
        <v>0</v>
      </c>
      <c r="R1442">
        <v>25.88</v>
      </c>
      <c r="S1442">
        <v>36</v>
      </c>
      <c r="T1442">
        <v>36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36</v>
      </c>
      <c r="AB1442">
        <v>3</v>
      </c>
      <c r="AC1442">
        <v>0</v>
      </c>
      <c r="AH1442">
        <v>64.88</v>
      </c>
    </row>
    <row r="1443" spans="1:34" x14ac:dyDescent="0.3">
      <c r="A1443" s="4">
        <v>1559</v>
      </c>
      <c r="B1443" s="5">
        <v>1436</v>
      </c>
      <c r="C1443">
        <v>11880</v>
      </c>
      <c r="D1443" t="s">
        <v>20831</v>
      </c>
      <c r="E1443" t="s">
        <v>149</v>
      </c>
      <c r="F1443" t="s">
        <v>801</v>
      </c>
      <c r="G1443" t="s">
        <v>20832</v>
      </c>
      <c r="H1443">
        <v>19.8</v>
      </c>
      <c r="I1443">
        <v>0</v>
      </c>
      <c r="J1443">
        <v>0</v>
      </c>
      <c r="K1443">
        <v>20</v>
      </c>
      <c r="N1443">
        <v>3</v>
      </c>
      <c r="O1443">
        <v>3</v>
      </c>
      <c r="P1443">
        <v>4</v>
      </c>
      <c r="Q1443">
        <v>0</v>
      </c>
      <c r="R1443">
        <v>46.8</v>
      </c>
      <c r="S1443">
        <v>18</v>
      </c>
      <c r="T1443">
        <v>18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18</v>
      </c>
      <c r="AB1443">
        <v>0</v>
      </c>
      <c r="AC1443">
        <v>0</v>
      </c>
      <c r="AH1443">
        <v>64.8</v>
      </c>
    </row>
    <row r="1444" spans="1:34" x14ac:dyDescent="0.3">
      <c r="A1444" s="4">
        <v>1560</v>
      </c>
      <c r="B1444" s="5">
        <v>1437</v>
      </c>
      <c r="C1444">
        <v>9737</v>
      </c>
      <c r="D1444" t="s">
        <v>20833</v>
      </c>
      <c r="E1444" t="s">
        <v>161</v>
      </c>
      <c r="F1444" t="s">
        <v>346</v>
      </c>
      <c r="G1444" t="s">
        <v>20834</v>
      </c>
      <c r="H1444">
        <v>20.78</v>
      </c>
      <c r="I1444">
        <v>0</v>
      </c>
      <c r="J1444">
        <v>0</v>
      </c>
      <c r="K1444">
        <v>20</v>
      </c>
      <c r="L1444">
        <v>7</v>
      </c>
      <c r="O1444">
        <v>7</v>
      </c>
      <c r="P1444">
        <v>4</v>
      </c>
      <c r="Q1444">
        <v>2</v>
      </c>
      <c r="R1444">
        <v>53.78</v>
      </c>
      <c r="S1444">
        <v>8</v>
      </c>
      <c r="T1444">
        <v>8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8</v>
      </c>
      <c r="AB1444">
        <v>3</v>
      </c>
      <c r="AC1444">
        <v>0</v>
      </c>
      <c r="AH1444">
        <v>64.78</v>
      </c>
    </row>
    <row r="1445" spans="1:34" x14ac:dyDescent="0.3">
      <c r="A1445" s="4">
        <v>1561</v>
      </c>
      <c r="B1445" s="5">
        <v>1438</v>
      </c>
      <c r="C1445">
        <v>4710</v>
      </c>
      <c r="D1445" t="s">
        <v>354</v>
      </c>
      <c r="E1445" t="s">
        <v>29</v>
      </c>
      <c r="F1445" t="s">
        <v>626</v>
      </c>
      <c r="G1445" t="s">
        <v>20835</v>
      </c>
      <c r="H1445">
        <v>19.73</v>
      </c>
      <c r="I1445">
        <v>0</v>
      </c>
      <c r="J1445">
        <v>0</v>
      </c>
      <c r="K1445">
        <v>0</v>
      </c>
      <c r="N1445">
        <v>3</v>
      </c>
      <c r="O1445">
        <v>3</v>
      </c>
      <c r="P1445">
        <v>4</v>
      </c>
      <c r="Q1445">
        <v>2</v>
      </c>
      <c r="R1445">
        <v>28.73</v>
      </c>
      <c r="S1445">
        <v>0</v>
      </c>
      <c r="T1445">
        <v>0</v>
      </c>
      <c r="U1445">
        <v>18</v>
      </c>
      <c r="V1445">
        <v>36</v>
      </c>
      <c r="W1445">
        <v>0</v>
      </c>
      <c r="X1445">
        <v>0</v>
      </c>
      <c r="Y1445">
        <v>0</v>
      </c>
      <c r="Z1445">
        <v>0</v>
      </c>
      <c r="AA1445">
        <v>36</v>
      </c>
      <c r="AB1445">
        <v>0</v>
      </c>
      <c r="AC1445">
        <v>0</v>
      </c>
      <c r="AH1445">
        <v>64.73</v>
      </c>
    </row>
    <row r="1446" spans="1:34" x14ac:dyDescent="0.3">
      <c r="A1446" s="4">
        <v>1562</v>
      </c>
      <c r="B1446" s="5">
        <v>1439</v>
      </c>
      <c r="C1446">
        <v>13124</v>
      </c>
      <c r="D1446" t="s">
        <v>12214</v>
      </c>
      <c r="E1446" t="s">
        <v>110</v>
      </c>
      <c r="F1446" t="s">
        <v>20</v>
      </c>
      <c r="G1446" t="s">
        <v>20836</v>
      </c>
      <c r="H1446">
        <v>17.649999999999999</v>
      </c>
      <c r="I1446">
        <v>0</v>
      </c>
      <c r="J1446">
        <v>0</v>
      </c>
      <c r="K1446">
        <v>20</v>
      </c>
      <c r="L1446">
        <v>7</v>
      </c>
      <c r="O1446">
        <v>7</v>
      </c>
      <c r="P1446">
        <v>4</v>
      </c>
      <c r="Q1446">
        <v>0</v>
      </c>
      <c r="R1446">
        <v>48.65</v>
      </c>
      <c r="S1446">
        <v>16</v>
      </c>
      <c r="T1446">
        <v>16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16</v>
      </c>
      <c r="AB1446">
        <v>0</v>
      </c>
      <c r="AC1446">
        <v>0</v>
      </c>
      <c r="AH1446">
        <v>64.650000000000006</v>
      </c>
    </row>
    <row r="1447" spans="1:34" x14ac:dyDescent="0.3">
      <c r="A1447" s="4">
        <v>1563</v>
      </c>
      <c r="B1447" s="5">
        <v>1440</v>
      </c>
      <c r="C1447">
        <v>4189</v>
      </c>
      <c r="D1447" t="s">
        <v>12250</v>
      </c>
      <c r="E1447" t="s">
        <v>166</v>
      </c>
      <c r="F1447" t="s">
        <v>230</v>
      </c>
      <c r="G1447" t="s">
        <v>20837</v>
      </c>
      <c r="H1447">
        <v>20.63</v>
      </c>
      <c r="I1447">
        <v>0</v>
      </c>
      <c r="J1447">
        <v>0</v>
      </c>
      <c r="K1447">
        <v>20</v>
      </c>
      <c r="N1447">
        <v>3</v>
      </c>
      <c r="O1447">
        <v>3</v>
      </c>
      <c r="P1447">
        <v>4</v>
      </c>
      <c r="Q1447">
        <v>0</v>
      </c>
      <c r="R1447">
        <v>47.63</v>
      </c>
      <c r="S1447">
        <v>17</v>
      </c>
      <c r="T1447">
        <v>17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17</v>
      </c>
      <c r="AB1447">
        <v>0</v>
      </c>
      <c r="AC1447">
        <v>0</v>
      </c>
      <c r="AH1447">
        <v>64.63</v>
      </c>
    </row>
    <row r="1448" spans="1:34" x14ac:dyDescent="0.3">
      <c r="A1448" s="4">
        <v>1564</v>
      </c>
      <c r="B1448" s="5">
        <v>1441</v>
      </c>
      <c r="C1448">
        <v>1236</v>
      </c>
      <c r="D1448" t="s">
        <v>20838</v>
      </c>
      <c r="E1448" t="s">
        <v>208</v>
      </c>
      <c r="F1448" t="s">
        <v>328</v>
      </c>
      <c r="G1448" t="s">
        <v>20839</v>
      </c>
      <c r="H1448">
        <v>17.45</v>
      </c>
      <c r="I1448">
        <v>0</v>
      </c>
      <c r="J1448">
        <v>0</v>
      </c>
      <c r="K1448">
        <v>20</v>
      </c>
      <c r="O1448">
        <v>0</v>
      </c>
      <c r="P1448">
        <v>4</v>
      </c>
      <c r="Q1448">
        <v>2</v>
      </c>
      <c r="R1448">
        <v>43.45</v>
      </c>
      <c r="S1448">
        <v>18</v>
      </c>
      <c r="T1448">
        <v>18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18</v>
      </c>
      <c r="AB1448">
        <v>3</v>
      </c>
      <c r="AC1448">
        <v>0</v>
      </c>
      <c r="AH1448">
        <v>64.45</v>
      </c>
    </row>
    <row r="1449" spans="1:34" x14ac:dyDescent="0.3">
      <c r="A1449" s="4">
        <v>1565</v>
      </c>
      <c r="B1449" s="5">
        <v>1442</v>
      </c>
      <c r="C1449">
        <v>1164</v>
      </c>
      <c r="D1449" t="s">
        <v>20840</v>
      </c>
      <c r="E1449" t="s">
        <v>81</v>
      </c>
      <c r="F1449" t="s">
        <v>11853</v>
      </c>
      <c r="G1449" t="s">
        <v>20841</v>
      </c>
      <c r="H1449">
        <v>17.45</v>
      </c>
      <c r="I1449">
        <v>0</v>
      </c>
      <c r="J1449">
        <v>0</v>
      </c>
      <c r="K1449">
        <v>20</v>
      </c>
      <c r="N1449">
        <v>3</v>
      </c>
      <c r="O1449">
        <v>3</v>
      </c>
      <c r="P1449">
        <v>4</v>
      </c>
      <c r="Q1449">
        <v>2</v>
      </c>
      <c r="R1449">
        <v>46.45</v>
      </c>
      <c r="S1449">
        <v>18</v>
      </c>
      <c r="T1449">
        <v>18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18</v>
      </c>
      <c r="AB1449">
        <v>0</v>
      </c>
      <c r="AC1449">
        <v>0</v>
      </c>
      <c r="AH1449">
        <v>64.45</v>
      </c>
    </row>
    <row r="1450" spans="1:34" x14ac:dyDescent="0.3">
      <c r="A1450" s="4">
        <v>1566</v>
      </c>
      <c r="B1450" s="5">
        <v>1443</v>
      </c>
      <c r="C1450">
        <v>6426</v>
      </c>
      <c r="D1450" t="s">
        <v>20842</v>
      </c>
      <c r="E1450" t="s">
        <v>652</v>
      </c>
      <c r="F1450" t="s">
        <v>62</v>
      </c>
      <c r="G1450" t="s">
        <v>20843</v>
      </c>
      <c r="H1450">
        <v>18.399999999999999</v>
      </c>
      <c r="I1450">
        <v>0</v>
      </c>
      <c r="J1450">
        <v>0</v>
      </c>
      <c r="K1450">
        <v>0</v>
      </c>
      <c r="N1450">
        <v>3</v>
      </c>
      <c r="O1450">
        <v>3</v>
      </c>
      <c r="P1450">
        <v>4</v>
      </c>
      <c r="Q1450">
        <v>2</v>
      </c>
      <c r="R1450">
        <v>27.4</v>
      </c>
      <c r="S1450">
        <v>37</v>
      </c>
      <c r="T1450">
        <v>37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37</v>
      </c>
      <c r="AB1450">
        <v>0</v>
      </c>
      <c r="AC1450">
        <v>0</v>
      </c>
      <c r="AH1450">
        <v>64.400000000000006</v>
      </c>
    </row>
    <row r="1451" spans="1:34" x14ac:dyDescent="0.3">
      <c r="A1451" s="4">
        <v>1567</v>
      </c>
      <c r="B1451" s="5">
        <v>1444</v>
      </c>
      <c r="C1451">
        <v>13518</v>
      </c>
      <c r="D1451" t="s">
        <v>20844</v>
      </c>
      <c r="E1451" t="s">
        <v>2843</v>
      </c>
      <c r="F1451" t="s">
        <v>259</v>
      </c>
      <c r="G1451" t="s">
        <v>20845</v>
      </c>
      <c r="H1451">
        <v>18.3</v>
      </c>
      <c r="I1451">
        <v>0</v>
      </c>
      <c r="J1451">
        <v>0</v>
      </c>
      <c r="K1451">
        <v>0</v>
      </c>
      <c r="O1451">
        <v>0</v>
      </c>
      <c r="P1451">
        <v>0</v>
      </c>
      <c r="Q1451">
        <v>0</v>
      </c>
      <c r="R1451">
        <v>18.3</v>
      </c>
      <c r="S1451">
        <v>46</v>
      </c>
      <c r="T1451">
        <v>46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46</v>
      </c>
      <c r="AB1451">
        <v>0</v>
      </c>
      <c r="AC1451">
        <v>0</v>
      </c>
      <c r="AH1451">
        <v>64.3</v>
      </c>
    </row>
    <row r="1452" spans="1:34" x14ac:dyDescent="0.3">
      <c r="A1452" s="4">
        <v>1568</v>
      </c>
      <c r="B1452" s="5">
        <v>1445</v>
      </c>
      <c r="C1452">
        <v>8730</v>
      </c>
      <c r="D1452" t="s">
        <v>20846</v>
      </c>
      <c r="E1452" t="s">
        <v>2843</v>
      </c>
      <c r="F1452" t="s">
        <v>167</v>
      </c>
      <c r="G1452" t="s">
        <v>20847</v>
      </c>
      <c r="H1452">
        <v>19.45</v>
      </c>
      <c r="I1452">
        <v>0</v>
      </c>
      <c r="J1452">
        <v>0</v>
      </c>
      <c r="K1452">
        <v>0</v>
      </c>
      <c r="N1452">
        <v>3</v>
      </c>
      <c r="O1452">
        <v>3</v>
      </c>
      <c r="P1452">
        <v>4</v>
      </c>
      <c r="Q1452">
        <v>0</v>
      </c>
      <c r="R1452">
        <v>26.45</v>
      </c>
      <c r="S1452">
        <v>5</v>
      </c>
      <c r="T1452">
        <v>5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5</v>
      </c>
      <c r="AB1452">
        <v>6</v>
      </c>
      <c r="AC1452">
        <v>26.8</v>
      </c>
      <c r="AH1452">
        <v>64.25</v>
      </c>
    </row>
    <row r="1453" spans="1:34" x14ac:dyDescent="0.3">
      <c r="A1453" s="4">
        <v>1569</v>
      </c>
      <c r="B1453" s="5">
        <v>1446</v>
      </c>
      <c r="C1453">
        <v>5769</v>
      </c>
      <c r="D1453" t="s">
        <v>2036</v>
      </c>
      <c r="E1453" t="s">
        <v>166</v>
      </c>
      <c r="F1453" t="s">
        <v>158</v>
      </c>
      <c r="G1453" t="s">
        <v>20848</v>
      </c>
      <c r="H1453">
        <v>21.25</v>
      </c>
      <c r="I1453">
        <v>0</v>
      </c>
      <c r="J1453">
        <v>0</v>
      </c>
      <c r="K1453">
        <v>0</v>
      </c>
      <c r="N1453">
        <v>3</v>
      </c>
      <c r="O1453">
        <v>3</v>
      </c>
      <c r="P1453">
        <v>4</v>
      </c>
      <c r="Q1453">
        <v>2</v>
      </c>
      <c r="R1453">
        <v>30.25</v>
      </c>
      <c r="S1453">
        <v>28</v>
      </c>
      <c r="T1453">
        <v>28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28</v>
      </c>
      <c r="AB1453">
        <v>6</v>
      </c>
      <c r="AC1453">
        <v>0</v>
      </c>
      <c r="AH1453">
        <v>64.25</v>
      </c>
    </row>
    <row r="1454" spans="1:34" x14ac:dyDescent="0.3">
      <c r="A1454" s="4">
        <v>1570</v>
      </c>
      <c r="B1454" s="5">
        <v>1447</v>
      </c>
      <c r="C1454">
        <v>3421</v>
      </c>
      <c r="D1454" t="s">
        <v>2786</v>
      </c>
      <c r="E1454" t="s">
        <v>161</v>
      </c>
      <c r="F1454" t="s">
        <v>81</v>
      </c>
      <c r="G1454" t="s">
        <v>20849</v>
      </c>
      <c r="H1454">
        <v>17.079999999999998</v>
      </c>
      <c r="I1454">
        <v>0</v>
      </c>
      <c r="J1454">
        <v>0</v>
      </c>
      <c r="K1454">
        <v>20</v>
      </c>
      <c r="N1454">
        <v>3</v>
      </c>
      <c r="O1454">
        <v>3</v>
      </c>
      <c r="P1454">
        <v>4</v>
      </c>
      <c r="Q1454">
        <v>2</v>
      </c>
      <c r="R1454">
        <v>46.08</v>
      </c>
      <c r="S1454">
        <v>18</v>
      </c>
      <c r="T1454">
        <v>18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18</v>
      </c>
      <c r="AB1454">
        <v>0</v>
      </c>
      <c r="AC1454">
        <v>0</v>
      </c>
      <c r="AH1454">
        <v>64.08</v>
      </c>
    </row>
    <row r="1455" spans="1:34" x14ac:dyDescent="0.3">
      <c r="A1455" s="4">
        <v>1571</v>
      </c>
      <c r="B1455" s="5">
        <v>1448</v>
      </c>
      <c r="C1455">
        <v>9917</v>
      </c>
      <c r="D1455" t="s">
        <v>20850</v>
      </c>
      <c r="E1455" t="s">
        <v>20851</v>
      </c>
      <c r="F1455" t="s">
        <v>17</v>
      </c>
      <c r="G1455" t="s">
        <v>20852</v>
      </c>
      <c r="H1455">
        <v>19.03</v>
      </c>
      <c r="I1455">
        <v>0</v>
      </c>
      <c r="J1455">
        <v>0</v>
      </c>
      <c r="K1455">
        <v>20</v>
      </c>
      <c r="L1455">
        <v>7</v>
      </c>
      <c r="N1455">
        <v>3</v>
      </c>
      <c r="O1455">
        <v>10</v>
      </c>
      <c r="P1455">
        <v>4</v>
      </c>
      <c r="Q1455">
        <v>0</v>
      </c>
      <c r="R1455">
        <v>53.03</v>
      </c>
      <c r="S1455">
        <v>11</v>
      </c>
      <c r="T1455">
        <v>11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11</v>
      </c>
      <c r="AB1455">
        <v>0</v>
      </c>
      <c r="AC1455">
        <v>0</v>
      </c>
      <c r="AH1455">
        <v>64.03</v>
      </c>
    </row>
    <row r="1456" spans="1:34" x14ac:dyDescent="0.3">
      <c r="A1456" s="4">
        <v>1572</v>
      </c>
      <c r="B1456" s="5">
        <v>1449</v>
      </c>
      <c r="C1456">
        <v>14008</v>
      </c>
      <c r="D1456" t="s">
        <v>20853</v>
      </c>
      <c r="E1456" t="s">
        <v>22</v>
      </c>
      <c r="F1456" t="s">
        <v>328</v>
      </c>
      <c r="G1456" t="s">
        <v>20854</v>
      </c>
      <c r="H1456">
        <v>22</v>
      </c>
      <c r="I1456">
        <v>7</v>
      </c>
      <c r="J1456">
        <v>0</v>
      </c>
      <c r="K1456">
        <v>28</v>
      </c>
      <c r="N1456">
        <v>3</v>
      </c>
      <c r="O1456">
        <v>3</v>
      </c>
      <c r="P1456">
        <v>4</v>
      </c>
      <c r="Q1456">
        <v>0</v>
      </c>
      <c r="R1456">
        <v>64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H1456">
        <v>64</v>
      </c>
    </row>
    <row r="1457" spans="1:34" x14ac:dyDescent="0.3">
      <c r="A1457" s="4">
        <v>1573</v>
      </c>
      <c r="B1457" s="5">
        <v>1450</v>
      </c>
      <c r="C1457">
        <v>11689</v>
      </c>
      <c r="D1457" t="s">
        <v>3760</v>
      </c>
      <c r="E1457" t="s">
        <v>406</v>
      </c>
      <c r="F1457" t="s">
        <v>68</v>
      </c>
      <c r="G1457" t="s">
        <v>20855</v>
      </c>
      <c r="H1457">
        <v>20</v>
      </c>
      <c r="I1457">
        <v>0</v>
      </c>
      <c r="J1457">
        <v>0</v>
      </c>
      <c r="K1457">
        <v>0</v>
      </c>
      <c r="N1457">
        <v>3</v>
      </c>
      <c r="O1457">
        <v>3</v>
      </c>
      <c r="P1457">
        <v>4</v>
      </c>
      <c r="Q1457">
        <v>2</v>
      </c>
      <c r="R1457">
        <v>29</v>
      </c>
      <c r="S1457">
        <v>35</v>
      </c>
      <c r="T1457">
        <v>35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35</v>
      </c>
      <c r="AB1457">
        <v>0</v>
      </c>
      <c r="AC1457">
        <v>0</v>
      </c>
      <c r="AD1457" t="s">
        <v>130</v>
      </c>
      <c r="AH1457">
        <v>64</v>
      </c>
    </row>
    <row r="1458" spans="1:34" x14ac:dyDescent="0.3">
      <c r="A1458" s="4">
        <v>1574</v>
      </c>
      <c r="B1458" s="5">
        <v>1451</v>
      </c>
      <c r="C1458">
        <v>7450</v>
      </c>
      <c r="D1458" t="s">
        <v>5116</v>
      </c>
      <c r="E1458" t="s">
        <v>575</v>
      </c>
      <c r="F1458" t="s">
        <v>243</v>
      </c>
      <c r="G1458" t="s">
        <v>20856</v>
      </c>
      <c r="H1458">
        <v>20.149999999999999</v>
      </c>
      <c r="I1458">
        <v>0</v>
      </c>
      <c r="J1458">
        <v>0</v>
      </c>
      <c r="K1458">
        <v>0</v>
      </c>
      <c r="L1458">
        <v>7</v>
      </c>
      <c r="O1458">
        <v>7</v>
      </c>
      <c r="P1458">
        <v>4</v>
      </c>
      <c r="Q1458">
        <v>0</v>
      </c>
      <c r="R1458">
        <v>31.15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6</v>
      </c>
      <c r="AC1458">
        <v>26.8</v>
      </c>
      <c r="AH1458">
        <v>63.95</v>
      </c>
    </row>
    <row r="1459" spans="1:34" x14ac:dyDescent="0.3">
      <c r="A1459" s="4">
        <v>1575</v>
      </c>
      <c r="B1459" s="5">
        <v>1452</v>
      </c>
      <c r="C1459">
        <v>11808</v>
      </c>
      <c r="D1459" t="s">
        <v>20857</v>
      </c>
      <c r="E1459" t="s">
        <v>1152</v>
      </c>
      <c r="F1459" t="s">
        <v>68</v>
      </c>
      <c r="G1459" t="s">
        <v>20858</v>
      </c>
      <c r="H1459">
        <v>18.93</v>
      </c>
      <c r="I1459">
        <v>0</v>
      </c>
      <c r="J1459">
        <v>0</v>
      </c>
      <c r="K1459">
        <v>0</v>
      </c>
      <c r="N1459">
        <v>3</v>
      </c>
      <c r="O1459">
        <v>3</v>
      </c>
      <c r="P1459">
        <v>4</v>
      </c>
      <c r="Q1459">
        <v>2</v>
      </c>
      <c r="R1459">
        <v>27.93</v>
      </c>
      <c r="S1459">
        <v>24</v>
      </c>
      <c r="T1459">
        <v>24</v>
      </c>
      <c r="U1459">
        <v>0</v>
      </c>
      <c r="V1459">
        <v>0</v>
      </c>
      <c r="W1459">
        <v>6</v>
      </c>
      <c r="X1459">
        <v>9</v>
      </c>
      <c r="Y1459">
        <v>0</v>
      </c>
      <c r="Z1459">
        <v>0</v>
      </c>
      <c r="AA1459">
        <v>33</v>
      </c>
      <c r="AB1459">
        <v>3</v>
      </c>
      <c r="AC1459">
        <v>0</v>
      </c>
      <c r="AH1459">
        <v>63.93</v>
      </c>
    </row>
    <row r="1460" spans="1:34" x14ac:dyDescent="0.3">
      <c r="A1460" s="4">
        <v>1576</v>
      </c>
      <c r="B1460" s="5">
        <v>1453</v>
      </c>
      <c r="C1460">
        <v>11291</v>
      </c>
      <c r="D1460" t="s">
        <v>20859</v>
      </c>
      <c r="E1460" t="s">
        <v>88</v>
      </c>
      <c r="F1460" t="s">
        <v>34</v>
      </c>
      <c r="G1460" t="s">
        <v>20860</v>
      </c>
      <c r="H1460">
        <v>19.93</v>
      </c>
      <c r="I1460">
        <v>0</v>
      </c>
      <c r="J1460">
        <v>0</v>
      </c>
      <c r="K1460">
        <v>0</v>
      </c>
      <c r="N1460">
        <v>3</v>
      </c>
      <c r="O1460">
        <v>3</v>
      </c>
      <c r="P1460">
        <v>4</v>
      </c>
      <c r="Q1460">
        <v>0</v>
      </c>
      <c r="R1460">
        <v>26.93</v>
      </c>
      <c r="S1460">
        <v>37</v>
      </c>
      <c r="T1460">
        <v>37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37</v>
      </c>
      <c r="AB1460">
        <v>0</v>
      </c>
      <c r="AC1460">
        <v>0</v>
      </c>
      <c r="AH1460">
        <v>63.93</v>
      </c>
    </row>
    <row r="1461" spans="1:34" x14ac:dyDescent="0.3">
      <c r="A1461" s="4">
        <v>1577</v>
      </c>
      <c r="B1461" s="5">
        <v>1454</v>
      </c>
      <c r="C1461">
        <v>12047</v>
      </c>
      <c r="D1461" t="s">
        <v>405</v>
      </c>
      <c r="E1461" t="s">
        <v>22</v>
      </c>
      <c r="F1461" t="s">
        <v>158</v>
      </c>
      <c r="G1461" t="s">
        <v>20861</v>
      </c>
      <c r="H1461">
        <v>17.88</v>
      </c>
      <c r="I1461">
        <v>0</v>
      </c>
      <c r="J1461">
        <v>0</v>
      </c>
      <c r="K1461">
        <v>0</v>
      </c>
      <c r="L1461">
        <v>7</v>
      </c>
      <c r="O1461">
        <v>7</v>
      </c>
      <c r="P1461">
        <v>4</v>
      </c>
      <c r="Q1461">
        <v>2</v>
      </c>
      <c r="R1461">
        <v>30.88</v>
      </c>
      <c r="S1461">
        <v>33</v>
      </c>
      <c r="T1461">
        <v>33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33</v>
      </c>
      <c r="AB1461">
        <v>0</v>
      </c>
      <c r="AC1461">
        <v>0</v>
      </c>
      <c r="AD1461" t="s">
        <v>130</v>
      </c>
      <c r="AH1461">
        <v>63.88</v>
      </c>
    </row>
    <row r="1462" spans="1:34" x14ac:dyDescent="0.3">
      <c r="A1462" s="4">
        <v>1578</v>
      </c>
      <c r="B1462" s="5">
        <v>1455</v>
      </c>
      <c r="C1462">
        <v>6931</v>
      </c>
      <c r="D1462" t="s">
        <v>20862</v>
      </c>
      <c r="E1462" t="s">
        <v>166</v>
      </c>
      <c r="F1462" t="s">
        <v>55</v>
      </c>
      <c r="G1462" t="s">
        <v>20863</v>
      </c>
      <c r="H1462">
        <v>18.8</v>
      </c>
      <c r="I1462">
        <v>0</v>
      </c>
      <c r="J1462">
        <v>0</v>
      </c>
      <c r="K1462">
        <v>0</v>
      </c>
      <c r="N1462">
        <v>3</v>
      </c>
      <c r="O1462">
        <v>3</v>
      </c>
      <c r="P1462">
        <v>4</v>
      </c>
      <c r="Q1462">
        <v>0</v>
      </c>
      <c r="R1462">
        <v>25.8</v>
      </c>
      <c r="S1462">
        <v>32</v>
      </c>
      <c r="T1462">
        <v>32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32</v>
      </c>
      <c r="AB1462">
        <v>6</v>
      </c>
      <c r="AC1462">
        <v>0</v>
      </c>
      <c r="AH1462">
        <v>63.8</v>
      </c>
    </row>
    <row r="1463" spans="1:34" x14ac:dyDescent="0.3">
      <c r="A1463" s="4">
        <v>1579</v>
      </c>
      <c r="B1463" s="5">
        <v>1456</v>
      </c>
      <c r="C1463">
        <v>3276</v>
      </c>
      <c r="D1463" t="s">
        <v>20864</v>
      </c>
      <c r="E1463" t="s">
        <v>88</v>
      </c>
      <c r="F1463" t="s">
        <v>6216</v>
      </c>
      <c r="G1463" t="s">
        <v>20865</v>
      </c>
      <c r="H1463">
        <v>19.8</v>
      </c>
      <c r="I1463">
        <v>0</v>
      </c>
      <c r="J1463">
        <v>0</v>
      </c>
      <c r="K1463">
        <v>0</v>
      </c>
      <c r="N1463">
        <v>3</v>
      </c>
      <c r="O1463">
        <v>3</v>
      </c>
      <c r="P1463">
        <v>4</v>
      </c>
      <c r="Q1463">
        <v>2</v>
      </c>
      <c r="R1463">
        <v>28.8</v>
      </c>
      <c r="S1463">
        <v>35</v>
      </c>
      <c r="T1463">
        <v>35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35</v>
      </c>
      <c r="AB1463">
        <v>0</v>
      </c>
      <c r="AC1463">
        <v>0</v>
      </c>
      <c r="AH1463">
        <v>63.8</v>
      </c>
    </row>
    <row r="1464" spans="1:34" x14ac:dyDescent="0.3">
      <c r="A1464" s="4">
        <v>1580</v>
      </c>
      <c r="B1464" s="5">
        <v>1457</v>
      </c>
      <c r="C1464">
        <v>882</v>
      </c>
      <c r="D1464" t="s">
        <v>20866</v>
      </c>
      <c r="E1464" t="s">
        <v>550</v>
      </c>
      <c r="F1464" t="s">
        <v>81</v>
      </c>
      <c r="G1464" t="s">
        <v>20867</v>
      </c>
      <c r="H1464">
        <v>16.63</v>
      </c>
      <c r="I1464">
        <v>0</v>
      </c>
      <c r="J1464">
        <v>0</v>
      </c>
      <c r="K1464">
        <v>20</v>
      </c>
      <c r="N1464">
        <v>3</v>
      </c>
      <c r="O1464">
        <v>3</v>
      </c>
      <c r="P1464">
        <v>4</v>
      </c>
      <c r="Q1464">
        <v>2</v>
      </c>
      <c r="R1464">
        <v>45.63</v>
      </c>
      <c r="S1464">
        <v>18</v>
      </c>
      <c r="T1464">
        <v>18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18</v>
      </c>
      <c r="AB1464">
        <v>0</v>
      </c>
      <c r="AC1464">
        <v>0</v>
      </c>
      <c r="AH1464">
        <v>63.63</v>
      </c>
    </row>
    <row r="1465" spans="1:34" x14ac:dyDescent="0.3">
      <c r="A1465" s="4">
        <v>1581</v>
      </c>
      <c r="B1465" s="5">
        <v>1458</v>
      </c>
      <c r="C1465">
        <v>8124</v>
      </c>
      <c r="D1465" t="s">
        <v>1045</v>
      </c>
      <c r="E1465" t="s">
        <v>123</v>
      </c>
      <c r="F1465" t="s">
        <v>158</v>
      </c>
      <c r="G1465" t="s">
        <v>20868</v>
      </c>
      <c r="H1465">
        <v>18.5</v>
      </c>
      <c r="I1465">
        <v>0</v>
      </c>
      <c r="J1465">
        <v>0</v>
      </c>
      <c r="K1465">
        <v>0</v>
      </c>
      <c r="N1465">
        <v>3</v>
      </c>
      <c r="O1465">
        <v>3</v>
      </c>
      <c r="P1465">
        <v>4</v>
      </c>
      <c r="Q1465">
        <v>0</v>
      </c>
      <c r="R1465">
        <v>25.5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6</v>
      </c>
      <c r="AC1465">
        <v>32</v>
      </c>
      <c r="AH1465">
        <v>63.5</v>
      </c>
    </row>
    <row r="1466" spans="1:34" x14ac:dyDescent="0.3">
      <c r="A1466" s="4">
        <v>1582</v>
      </c>
      <c r="B1466" s="5">
        <v>1459</v>
      </c>
      <c r="C1466">
        <v>8835</v>
      </c>
      <c r="D1466" t="s">
        <v>1752</v>
      </c>
      <c r="E1466" t="s">
        <v>170</v>
      </c>
      <c r="F1466" t="s">
        <v>649</v>
      </c>
      <c r="G1466" t="s">
        <v>20869</v>
      </c>
      <c r="H1466">
        <v>21.48</v>
      </c>
      <c r="I1466">
        <v>0</v>
      </c>
      <c r="J1466">
        <v>0</v>
      </c>
      <c r="K1466">
        <v>20</v>
      </c>
      <c r="L1466">
        <v>7</v>
      </c>
      <c r="N1466">
        <v>3</v>
      </c>
      <c r="O1466">
        <v>10</v>
      </c>
      <c r="P1466">
        <v>4</v>
      </c>
      <c r="Q1466">
        <v>2</v>
      </c>
      <c r="R1466">
        <v>57.48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6</v>
      </c>
      <c r="AC1466">
        <v>0</v>
      </c>
      <c r="AH1466">
        <v>63.48</v>
      </c>
    </row>
    <row r="1467" spans="1:34" x14ac:dyDescent="0.3">
      <c r="A1467" s="4">
        <v>1583</v>
      </c>
      <c r="B1467" s="5">
        <v>1460</v>
      </c>
      <c r="C1467">
        <v>5494</v>
      </c>
      <c r="D1467" t="s">
        <v>604</v>
      </c>
      <c r="E1467" t="s">
        <v>789</v>
      </c>
      <c r="F1467" t="s">
        <v>81</v>
      </c>
      <c r="G1467" t="s">
        <v>20870</v>
      </c>
      <c r="H1467">
        <v>19.399999999999999</v>
      </c>
      <c r="I1467">
        <v>0</v>
      </c>
      <c r="J1467">
        <v>0</v>
      </c>
      <c r="K1467">
        <v>0</v>
      </c>
      <c r="N1467">
        <v>3</v>
      </c>
      <c r="O1467">
        <v>3</v>
      </c>
      <c r="P1467">
        <v>4</v>
      </c>
      <c r="Q1467">
        <v>2</v>
      </c>
      <c r="R1467">
        <v>28.4</v>
      </c>
      <c r="S1467">
        <v>35</v>
      </c>
      <c r="T1467">
        <v>35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35</v>
      </c>
      <c r="AB1467">
        <v>0</v>
      </c>
      <c r="AC1467">
        <v>0</v>
      </c>
      <c r="AH1467">
        <v>63.4</v>
      </c>
    </row>
    <row r="1468" spans="1:34" x14ac:dyDescent="0.3">
      <c r="A1468" s="4">
        <v>1584</v>
      </c>
      <c r="B1468" s="5">
        <v>1461</v>
      </c>
      <c r="C1468">
        <v>6098</v>
      </c>
      <c r="D1468" t="s">
        <v>9463</v>
      </c>
      <c r="E1468" t="s">
        <v>213</v>
      </c>
      <c r="F1468" t="s">
        <v>190</v>
      </c>
      <c r="G1468" t="s">
        <v>20871</v>
      </c>
      <c r="H1468">
        <v>16.38</v>
      </c>
      <c r="I1468">
        <v>0</v>
      </c>
      <c r="J1468">
        <v>0</v>
      </c>
      <c r="K1468">
        <v>20</v>
      </c>
      <c r="N1468">
        <v>3</v>
      </c>
      <c r="O1468">
        <v>3</v>
      </c>
      <c r="P1468">
        <v>4</v>
      </c>
      <c r="Q1468">
        <v>2</v>
      </c>
      <c r="R1468">
        <v>45.38</v>
      </c>
      <c r="S1468">
        <v>18</v>
      </c>
      <c r="T1468">
        <v>18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18</v>
      </c>
      <c r="AB1468">
        <v>0</v>
      </c>
      <c r="AC1468">
        <v>0</v>
      </c>
      <c r="AD1468" t="s">
        <v>130</v>
      </c>
      <c r="AH1468">
        <v>63.38</v>
      </c>
    </row>
    <row r="1469" spans="1:34" x14ac:dyDescent="0.3">
      <c r="A1469" s="4">
        <v>1585</v>
      </c>
      <c r="B1469" s="5">
        <v>1462</v>
      </c>
      <c r="C1469">
        <v>1320</v>
      </c>
      <c r="D1469" t="s">
        <v>11622</v>
      </c>
      <c r="E1469" t="s">
        <v>132</v>
      </c>
      <c r="F1469" t="s">
        <v>243</v>
      </c>
      <c r="G1469" t="s">
        <v>20872</v>
      </c>
      <c r="H1469">
        <v>17.350000000000001</v>
      </c>
      <c r="I1469">
        <v>0</v>
      </c>
      <c r="J1469">
        <v>0</v>
      </c>
      <c r="K1469">
        <v>0</v>
      </c>
      <c r="L1469">
        <v>7</v>
      </c>
      <c r="O1469">
        <v>7</v>
      </c>
      <c r="P1469">
        <v>4</v>
      </c>
      <c r="Q1469">
        <v>0</v>
      </c>
      <c r="R1469">
        <v>28.35</v>
      </c>
      <c r="S1469">
        <v>35</v>
      </c>
      <c r="T1469">
        <v>35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35</v>
      </c>
      <c r="AB1469">
        <v>0</v>
      </c>
      <c r="AC1469">
        <v>0</v>
      </c>
      <c r="AH1469">
        <v>63.35</v>
      </c>
    </row>
    <row r="1470" spans="1:34" x14ac:dyDescent="0.3">
      <c r="A1470" s="4">
        <v>1586</v>
      </c>
      <c r="B1470" s="5">
        <v>1463</v>
      </c>
      <c r="C1470">
        <v>14860</v>
      </c>
      <c r="D1470" t="s">
        <v>2666</v>
      </c>
      <c r="E1470" t="s">
        <v>286</v>
      </c>
      <c r="F1470" t="s">
        <v>124</v>
      </c>
      <c r="G1470" t="s">
        <v>20873</v>
      </c>
      <c r="H1470">
        <v>20.28</v>
      </c>
      <c r="I1470">
        <v>7</v>
      </c>
      <c r="J1470">
        <v>0</v>
      </c>
      <c r="K1470">
        <v>20</v>
      </c>
      <c r="N1470">
        <v>6</v>
      </c>
      <c r="O1470">
        <v>6</v>
      </c>
      <c r="P1470">
        <v>4</v>
      </c>
      <c r="Q1470">
        <v>0</v>
      </c>
      <c r="R1470">
        <v>57.28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6</v>
      </c>
      <c r="AC1470">
        <v>0</v>
      </c>
      <c r="AH1470">
        <v>63.28</v>
      </c>
    </row>
    <row r="1471" spans="1:34" x14ac:dyDescent="0.3">
      <c r="A1471" s="4">
        <v>1587</v>
      </c>
      <c r="B1471" s="5">
        <v>1464</v>
      </c>
      <c r="C1471">
        <v>5880</v>
      </c>
      <c r="D1471" t="s">
        <v>11743</v>
      </c>
      <c r="E1471" t="s">
        <v>29</v>
      </c>
      <c r="F1471" t="s">
        <v>68</v>
      </c>
      <c r="G1471" t="s">
        <v>11744</v>
      </c>
      <c r="H1471">
        <v>21.25</v>
      </c>
      <c r="I1471">
        <v>7</v>
      </c>
      <c r="J1471">
        <v>0</v>
      </c>
      <c r="K1471">
        <v>20</v>
      </c>
      <c r="N1471">
        <v>3</v>
      </c>
      <c r="O1471">
        <v>3</v>
      </c>
      <c r="P1471">
        <v>4</v>
      </c>
      <c r="Q1471">
        <v>2</v>
      </c>
      <c r="R1471">
        <v>57.25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6</v>
      </c>
      <c r="AC1471">
        <v>0</v>
      </c>
      <c r="AH1471">
        <v>63.25</v>
      </c>
    </row>
    <row r="1472" spans="1:34" x14ac:dyDescent="0.3">
      <c r="A1472" s="4">
        <v>1588</v>
      </c>
      <c r="B1472" s="5">
        <v>1465</v>
      </c>
      <c r="C1472">
        <v>1696</v>
      </c>
      <c r="D1472" t="s">
        <v>20874</v>
      </c>
      <c r="E1472" t="s">
        <v>17</v>
      </c>
      <c r="F1472" t="s">
        <v>81</v>
      </c>
      <c r="G1472" t="s">
        <v>20875</v>
      </c>
      <c r="H1472">
        <v>18.25</v>
      </c>
      <c r="I1472">
        <v>0</v>
      </c>
      <c r="J1472">
        <v>0</v>
      </c>
      <c r="K1472">
        <v>0</v>
      </c>
      <c r="N1472">
        <v>3</v>
      </c>
      <c r="O1472">
        <v>3</v>
      </c>
      <c r="P1472">
        <v>4</v>
      </c>
      <c r="Q1472">
        <v>2</v>
      </c>
      <c r="R1472">
        <v>27.25</v>
      </c>
      <c r="S1472">
        <v>36</v>
      </c>
      <c r="T1472">
        <v>36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36</v>
      </c>
      <c r="AB1472">
        <v>0</v>
      </c>
      <c r="AC1472">
        <v>0</v>
      </c>
      <c r="AH1472">
        <v>63.25</v>
      </c>
    </row>
    <row r="1473" spans="1:34" x14ac:dyDescent="0.3">
      <c r="A1473" s="4">
        <v>1589</v>
      </c>
      <c r="B1473" s="5">
        <v>1466</v>
      </c>
      <c r="C1473">
        <v>11592</v>
      </c>
      <c r="D1473" t="s">
        <v>20876</v>
      </c>
      <c r="E1473" t="s">
        <v>652</v>
      </c>
      <c r="F1473" t="s">
        <v>117</v>
      </c>
      <c r="G1473" t="s">
        <v>20877</v>
      </c>
      <c r="H1473">
        <v>18.2</v>
      </c>
      <c r="I1473">
        <v>0</v>
      </c>
      <c r="J1473">
        <v>0</v>
      </c>
      <c r="K1473">
        <v>28</v>
      </c>
      <c r="L1473">
        <v>7</v>
      </c>
      <c r="O1473">
        <v>7</v>
      </c>
      <c r="P1473">
        <v>4</v>
      </c>
      <c r="Q1473">
        <v>0</v>
      </c>
      <c r="R1473">
        <v>57.2</v>
      </c>
      <c r="S1473">
        <v>6</v>
      </c>
      <c r="T1473">
        <v>6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6</v>
      </c>
      <c r="AB1473">
        <v>0</v>
      </c>
      <c r="AC1473">
        <v>0</v>
      </c>
      <c r="AH1473">
        <v>63.2</v>
      </c>
    </row>
    <row r="1474" spans="1:34" x14ac:dyDescent="0.3">
      <c r="A1474" s="4">
        <v>1590</v>
      </c>
      <c r="B1474" s="5">
        <v>1467</v>
      </c>
      <c r="C1474">
        <v>4251</v>
      </c>
      <c r="D1474" t="s">
        <v>20878</v>
      </c>
      <c r="E1474" t="s">
        <v>173</v>
      </c>
      <c r="F1474" t="s">
        <v>62</v>
      </c>
      <c r="G1474" t="s">
        <v>20879</v>
      </c>
      <c r="H1474">
        <v>21.38</v>
      </c>
      <c r="I1474">
        <v>0</v>
      </c>
      <c r="J1474">
        <v>0</v>
      </c>
      <c r="K1474">
        <v>0</v>
      </c>
      <c r="N1474">
        <v>6</v>
      </c>
      <c r="O1474">
        <v>6</v>
      </c>
      <c r="P1474">
        <v>4</v>
      </c>
      <c r="Q1474">
        <v>0</v>
      </c>
      <c r="R1474">
        <v>31.38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3</v>
      </c>
      <c r="AC1474">
        <v>28.8</v>
      </c>
      <c r="AH1474">
        <v>63.18</v>
      </c>
    </row>
    <row r="1475" spans="1:34" x14ac:dyDescent="0.3">
      <c r="A1475" s="4">
        <v>1591</v>
      </c>
      <c r="B1475" s="5">
        <v>1468</v>
      </c>
      <c r="C1475">
        <v>3189</v>
      </c>
      <c r="D1475" t="s">
        <v>20880</v>
      </c>
      <c r="E1475" t="s">
        <v>20</v>
      </c>
      <c r="F1475" t="s">
        <v>570</v>
      </c>
      <c r="G1475" t="s">
        <v>20881</v>
      </c>
      <c r="H1475">
        <v>18.18</v>
      </c>
      <c r="I1475">
        <v>0</v>
      </c>
      <c r="J1475">
        <v>0</v>
      </c>
      <c r="K1475">
        <v>0</v>
      </c>
      <c r="O1475">
        <v>0</v>
      </c>
      <c r="P1475">
        <v>4</v>
      </c>
      <c r="Q1475">
        <v>2</v>
      </c>
      <c r="R1475">
        <v>24.18</v>
      </c>
      <c r="S1475">
        <v>33</v>
      </c>
      <c r="T1475">
        <v>33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33</v>
      </c>
      <c r="AB1475">
        <v>6</v>
      </c>
      <c r="AC1475">
        <v>0</v>
      </c>
      <c r="AH1475">
        <v>63.18</v>
      </c>
    </row>
    <row r="1476" spans="1:34" x14ac:dyDescent="0.3">
      <c r="A1476" s="4">
        <v>1592</v>
      </c>
      <c r="B1476" s="5">
        <v>1469</v>
      </c>
      <c r="C1476">
        <v>8345</v>
      </c>
      <c r="D1476" t="s">
        <v>15256</v>
      </c>
      <c r="E1476" t="s">
        <v>738</v>
      </c>
      <c r="F1476" t="s">
        <v>2638</v>
      </c>
      <c r="G1476" t="s">
        <v>20882</v>
      </c>
      <c r="H1476">
        <v>18.13</v>
      </c>
      <c r="I1476">
        <v>0</v>
      </c>
      <c r="J1476">
        <v>0</v>
      </c>
      <c r="K1476">
        <v>20</v>
      </c>
      <c r="N1476">
        <v>3</v>
      </c>
      <c r="O1476">
        <v>3</v>
      </c>
      <c r="P1476">
        <v>4</v>
      </c>
      <c r="Q1476">
        <v>0</v>
      </c>
      <c r="R1476">
        <v>45.13</v>
      </c>
      <c r="S1476">
        <v>15</v>
      </c>
      <c r="T1476">
        <v>15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15</v>
      </c>
      <c r="AB1476">
        <v>3</v>
      </c>
      <c r="AC1476">
        <v>0</v>
      </c>
      <c r="AH1476">
        <v>63.13</v>
      </c>
    </row>
    <row r="1477" spans="1:34" x14ac:dyDescent="0.3">
      <c r="A1477" s="4">
        <v>1593</v>
      </c>
      <c r="B1477" s="5">
        <v>1470</v>
      </c>
      <c r="C1477">
        <v>5759</v>
      </c>
      <c r="D1477" t="s">
        <v>20883</v>
      </c>
      <c r="E1477" t="s">
        <v>22</v>
      </c>
      <c r="F1477" t="s">
        <v>124</v>
      </c>
      <c r="G1477" t="s">
        <v>20884</v>
      </c>
      <c r="H1477">
        <v>18.100000000000001</v>
      </c>
      <c r="I1477">
        <v>0</v>
      </c>
      <c r="J1477">
        <v>0</v>
      </c>
      <c r="K1477">
        <v>20</v>
      </c>
      <c r="N1477">
        <v>3</v>
      </c>
      <c r="O1477">
        <v>3</v>
      </c>
      <c r="P1477">
        <v>4</v>
      </c>
      <c r="Q1477">
        <v>0</v>
      </c>
      <c r="R1477">
        <v>45.1</v>
      </c>
      <c r="S1477">
        <v>18</v>
      </c>
      <c r="T1477">
        <v>18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18</v>
      </c>
      <c r="AB1477">
        <v>0</v>
      </c>
      <c r="AC1477">
        <v>0</v>
      </c>
      <c r="AH1477">
        <v>63.1</v>
      </c>
    </row>
    <row r="1478" spans="1:34" x14ac:dyDescent="0.3">
      <c r="A1478" s="4">
        <v>1594</v>
      </c>
      <c r="B1478" s="5">
        <v>1471</v>
      </c>
      <c r="C1478">
        <v>2613</v>
      </c>
      <c r="D1478" t="s">
        <v>20885</v>
      </c>
      <c r="E1478" t="s">
        <v>20886</v>
      </c>
      <c r="F1478" t="s">
        <v>20887</v>
      </c>
      <c r="G1478" t="s">
        <v>20888</v>
      </c>
      <c r="H1478">
        <v>19.079999999999998</v>
      </c>
      <c r="I1478">
        <v>0</v>
      </c>
      <c r="J1478">
        <v>0</v>
      </c>
      <c r="K1478">
        <v>0</v>
      </c>
      <c r="L1478">
        <v>14</v>
      </c>
      <c r="O1478">
        <v>14</v>
      </c>
      <c r="P1478">
        <v>4</v>
      </c>
      <c r="Q1478">
        <v>2</v>
      </c>
      <c r="R1478">
        <v>39.08</v>
      </c>
      <c r="S1478">
        <v>18</v>
      </c>
      <c r="T1478">
        <v>18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18</v>
      </c>
      <c r="AB1478">
        <v>6</v>
      </c>
      <c r="AC1478">
        <v>0</v>
      </c>
      <c r="AD1478" t="s">
        <v>130</v>
      </c>
      <c r="AH1478">
        <v>63.08</v>
      </c>
    </row>
    <row r="1479" spans="1:34" x14ac:dyDescent="0.3">
      <c r="A1479" s="4">
        <v>1595</v>
      </c>
      <c r="B1479" s="5">
        <v>1472</v>
      </c>
      <c r="C1479">
        <v>13393</v>
      </c>
      <c r="D1479" t="s">
        <v>20889</v>
      </c>
      <c r="E1479" t="s">
        <v>935</v>
      </c>
      <c r="F1479" t="s">
        <v>5971</v>
      </c>
      <c r="G1479" t="s">
        <v>20890</v>
      </c>
      <c r="H1479">
        <v>19.05</v>
      </c>
      <c r="I1479">
        <v>0</v>
      </c>
      <c r="J1479">
        <v>0</v>
      </c>
      <c r="K1479">
        <v>0</v>
      </c>
      <c r="N1479">
        <v>3</v>
      </c>
      <c r="O1479">
        <v>3</v>
      </c>
      <c r="P1479">
        <v>4</v>
      </c>
      <c r="Q1479">
        <v>2</v>
      </c>
      <c r="R1479">
        <v>28.05</v>
      </c>
      <c r="S1479">
        <v>35</v>
      </c>
      <c r="T1479">
        <v>35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35</v>
      </c>
      <c r="AB1479">
        <v>0</v>
      </c>
      <c r="AC1479">
        <v>0</v>
      </c>
      <c r="AH1479">
        <v>63.05</v>
      </c>
    </row>
    <row r="1480" spans="1:34" x14ac:dyDescent="0.3">
      <c r="A1480" s="4">
        <v>1596</v>
      </c>
      <c r="B1480" s="5">
        <v>1473</v>
      </c>
      <c r="C1480">
        <v>13469</v>
      </c>
      <c r="D1480" t="s">
        <v>1920</v>
      </c>
      <c r="E1480" t="s">
        <v>178</v>
      </c>
      <c r="F1480" t="s">
        <v>30</v>
      </c>
      <c r="G1480" t="s">
        <v>20891</v>
      </c>
      <c r="H1480">
        <v>17.98</v>
      </c>
      <c r="I1480">
        <v>0</v>
      </c>
      <c r="J1480">
        <v>0</v>
      </c>
      <c r="K1480">
        <v>0</v>
      </c>
      <c r="L1480">
        <v>7</v>
      </c>
      <c r="O1480">
        <v>7</v>
      </c>
      <c r="P1480">
        <v>4</v>
      </c>
      <c r="Q1480">
        <v>0</v>
      </c>
      <c r="R1480">
        <v>28.98</v>
      </c>
      <c r="S1480">
        <v>34</v>
      </c>
      <c r="T1480">
        <v>34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34</v>
      </c>
      <c r="AB1480">
        <v>0</v>
      </c>
      <c r="AC1480">
        <v>0</v>
      </c>
      <c r="AH1480">
        <v>62.98</v>
      </c>
    </row>
    <row r="1481" spans="1:34" x14ac:dyDescent="0.3">
      <c r="A1481" s="4">
        <v>1597</v>
      </c>
      <c r="B1481" s="5">
        <v>1474</v>
      </c>
      <c r="C1481">
        <v>7288</v>
      </c>
      <c r="D1481" t="s">
        <v>20892</v>
      </c>
      <c r="E1481" t="s">
        <v>22</v>
      </c>
      <c r="F1481" t="s">
        <v>442</v>
      </c>
      <c r="G1481" t="s">
        <v>20893</v>
      </c>
      <c r="H1481">
        <v>17.95</v>
      </c>
      <c r="I1481">
        <v>0</v>
      </c>
      <c r="J1481">
        <v>0</v>
      </c>
      <c r="K1481">
        <v>28</v>
      </c>
      <c r="L1481">
        <v>7</v>
      </c>
      <c r="N1481">
        <v>3</v>
      </c>
      <c r="O1481">
        <v>10</v>
      </c>
      <c r="P1481">
        <v>4</v>
      </c>
      <c r="Q1481">
        <v>0</v>
      </c>
      <c r="R1481">
        <v>59.95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3</v>
      </c>
      <c r="AC1481">
        <v>0</v>
      </c>
      <c r="AH1481">
        <v>62.95</v>
      </c>
    </row>
    <row r="1482" spans="1:34" x14ac:dyDescent="0.3">
      <c r="A1482" s="4">
        <v>1598</v>
      </c>
      <c r="B1482" s="5">
        <v>1475</v>
      </c>
      <c r="C1482">
        <v>89</v>
      </c>
      <c r="D1482" t="s">
        <v>20894</v>
      </c>
      <c r="E1482" t="s">
        <v>132</v>
      </c>
      <c r="F1482" t="s">
        <v>117</v>
      </c>
      <c r="G1482" t="s">
        <v>20895</v>
      </c>
      <c r="H1482">
        <v>15.95</v>
      </c>
      <c r="I1482">
        <v>0</v>
      </c>
      <c r="J1482">
        <v>0</v>
      </c>
      <c r="K1482">
        <v>0</v>
      </c>
      <c r="O1482">
        <v>0</v>
      </c>
      <c r="P1482">
        <v>0</v>
      </c>
      <c r="Q1482">
        <v>2</v>
      </c>
      <c r="R1482">
        <v>17.95</v>
      </c>
      <c r="S1482">
        <v>42</v>
      </c>
      <c r="T1482">
        <v>42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42</v>
      </c>
      <c r="AB1482">
        <v>3</v>
      </c>
      <c r="AC1482">
        <v>0</v>
      </c>
      <c r="AH1482">
        <v>62.95</v>
      </c>
    </row>
    <row r="1483" spans="1:34" x14ac:dyDescent="0.3">
      <c r="A1483" s="4">
        <v>1599</v>
      </c>
      <c r="B1483" s="5">
        <v>1476</v>
      </c>
      <c r="C1483">
        <v>2339</v>
      </c>
      <c r="D1483" t="s">
        <v>9709</v>
      </c>
      <c r="E1483" t="s">
        <v>173</v>
      </c>
      <c r="F1483" t="s">
        <v>230</v>
      </c>
      <c r="G1483" t="s">
        <v>20896</v>
      </c>
      <c r="H1483">
        <v>17.88</v>
      </c>
      <c r="I1483">
        <v>0</v>
      </c>
      <c r="J1483">
        <v>0</v>
      </c>
      <c r="K1483">
        <v>0</v>
      </c>
      <c r="L1483">
        <v>7</v>
      </c>
      <c r="O1483">
        <v>7</v>
      </c>
      <c r="P1483">
        <v>4</v>
      </c>
      <c r="Q1483">
        <v>2</v>
      </c>
      <c r="R1483">
        <v>30.88</v>
      </c>
      <c r="S1483">
        <v>32</v>
      </c>
      <c r="T1483">
        <v>32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32</v>
      </c>
      <c r="AB1483">
        <v>0</v>
      </c>
      <c r="AC1483">
        <v>0</v>
      </c>
      <c r="AH1483">
        <v>62.88</v>
      </c>
    </row>
    <row r="1484" spans="1:34" x14ac:dyDescent="0.3">
      <c r="A1484" s="4">
        <v>1600</v>
      </c>
      <c r="B1484" s="5">
        <v>1477</v>
      </c>
      <c r="C1484">
        <v>1</v>
      </c>
      <c r="D1484" t="s">
        <v>2236</v>
      </c>
      <c r="E1484" t="s">
        <v>26</v>
      </c>
      <c r="F1484" t="s">
        <v>34</v>
      </c>
      <c r="G1484" t="s">
        <v>20897</v>
      </c>
      <c r="H1484">
        <v>17.829999999999998</v>
      </c>
      <c r="I1484">
        <v>0</v>
      </c>
      <c r="J1484">
        <v>0</v>
      </c>
      <c r="K1484">
        <v>0</v>
      </c>
      <c r="N1484">
        <v>3</v>
      </c>
      <c r="O1484">
        <v>3</v>
      </c>
      <c r="P1484">
        <v>4</v>
      </c>
      <c r="Q1484">
        <v>2</v>
      </c>
      <c r="R1484">
        <v>26.83</v>
      </c>
      <c r="S1484">
        <v>4</v>
      </c>
      <c r="T1484">
        <v>4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4</v>
      </c>
      <c r="AB1484">
        <v>0</v>
      </c>
      <c r="AC1484">
        <v>32</v>
      </c>
      <c r="AH1484">
        <v>62.83</v>
      </c>
    </row>
    <row r="1485" spans="1:34" x14ac:dyDescent="0.3">
      <c r="A1485" s="4">
        <v>1601</v>
      </c>
      <c r="B1485" s="5">
        <v>1478</v>
      </c>
      <c r="C1485">
        <v>15582</v>
      </c>
      <c r="D1485" t="s">
        <v>20898</v>
      </c>
      <c r="E1485" t="s">
        <v>41</v>
      </c>
      <c r="F1485" t="s">
        <v>158</v>
      </c>
      <c r="G1485" t="s">
        <v>20899</v>
      </c>
      <c r="H1485">
        <v>18.829999999999998</v>
      </c>
      <c r="I1485">
        <v>0</v>
      </c>
      <c r="J1485">
        <v>0</v>
      </c>
      <c r="K1485">
        <v>0</v>
      </c>
      <c r="N1485">
        <v>3</v>
      </c>
      <c r="O1485">
        <v>3</v>
      </c>
      <c r="P1485">
        <v>4</v>
      </c>
      <c r="Q1485">
        <v>0</v>
      </c>
      <c r="R1485">
        <v>25.83</v>
      </c>
      <c r="S1485">
        <v>31</v>
      </c>
      <c r="T1485">
        <v>31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31</v>
      </c>
      <c r="AB1485">
        <v>6</v>
      </c>
      <c r="AC1485">
        <v>0</v>
      </c>
      <c r="AH1485">
        <v>62.83</v>
      </c>
    </row>
    <row r="1486" spans="1:34" x14ac:dyDescent="0.3">
      <c r="A1486" s="4">
        <v>1602</v>
      </c>
      <c r="B1486" s="5">
        <v>1479</v>
      </c>
      <c r="C1486">
        <v>2707</v>
      </c>
      <c r="D1486" t="s">
        <v>20900</v>
      </c>
      <c r="E1486" t="s">
        <v>20901</v>
      </c>
      <c r="F1486" t="s">
        <v>158</v>
      </c>
      <c r="G1486" t="s">
        <v>20902</v>
      </c>
      <c r="H1486">
        <v>22.83</v>
      </c>
      <c r="I1486">
        <v>0</v>
      </c>
      <c r="J1486">
        <v>0</v>
      </c>
      <c r="K1486">
        <v>0</v>
      </c>
      <c r="L1486">
        <v>7</v>
      </c>
      <c r="O1486">
        <v>7</v>
      </c>
      <c r="P1486">
        <v>4</v>
      </c>
      <c r="Q1486">
        <v>0</v>
      </c>
      <c r="R1486">
        <v>33.83</v>
      </c>
      <c r="S1486">
        <v>29</v>
      </c>
      <c r="T1486">
        <v>29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29</v>
      </c>
      <c r="AB1486">
        <v>0</v>
      </c>
      <c r="AC1486">
        <v>0</v>
      </c>
      <c r="AH1486">
        <v>62.83</v>
      </c>
    </row>
    <row r="1487" spans="1:34" x14ac:dyDescent="0.3">
      <c r="A1487" s="4">
        <v>1603</v>
      </c>
      <c r="B1487" s="5">
        <v>1480</v>
      </c>
      <c r="C1487">
        <v>10553</v>
      </c>
      <c r="D1487" t="s">
        <v>20903</v>
      </c>
      <c r="E1487" t="s">
        <v>22</v>
      </c>
      <c r="F1487" t="s">
        <v>310</v>
      </c>
      <c r="G1487" t="s">
        <v>20904</v>
      </c>
      <c r="H1487">
        <v>17.829999999999998</v>
      </c>
      <c r="I1487">
        <v>0</v>
      </c>
      <c r="J1487">
        <v>0</v>
      </c>
      <c r="K1487">
        <v>0</v>
      </c>
      <c r="M1487">
        <v>5</v>
      </c>
      <c r="O1487">
        <v>5</v>
      </c>
      <c r="P1487">
        <v>4</v>
      </c>
      <c r="Q1487">
        <v>0</v>
      </c>
      <c r="R1487">
        <v>26.83</v>
      </c>
      <c r="S1487">
        <v>36</v>
      </c>
      <c r="T1487">
        <v>36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36</v>
      </c>
      <c r="AB1487">
        <v>0</v>
      </c>
      <c r="AC1487">
        <v>0</v>
      </c>
      <c r="AH1487">
        <v>62.83</v>
      </c>
    </row>
    <row r="1488" spans="1:34" x14ac:dyDescent="0.3">
      <c r="A1488" s="4">
        <v>1604</v>
      </c>
      <c r="B1488" s="5">
        <v>1481</v>
      </c>
      <c r="C1488">
        <v>4963</v>
      </c>
      <c r="D1488" t="s">
        <v>20905</v>
      </c>
      <c r="E1488" t="s">
        <v>54</v>
      </c>
      <c r="F1488" t="s">
        <v>136</v>
      </c>
      <c r="G1488" t="s">
        <v>20906</v>
      </c>
      <c r="H1488">
        <v>19.68</v>
      </c>
      <c r="I1488">
        <v>0</v>
      </c>
      <c r="J1488">
        <v>0</v>
      </c>
      <c r="K1488">
        <v>0</v>
      </c>
      <c r="L1488">
        <v>7</v>
      </c>
      <c r="N1488">
        <v>3</v>
      </c>
      <c r="O1488">
        <v>10</v>
      </c>
      <c r="P1488">
        <v>4</v>
      </c>
      <c r="Q1488">
        <v>2</v>
      </c>
      <c r="R1488">
        <v>35.68</v>
      </c>
      <c r="S1488">
        <v>18</v>
      </c>
      <c r="T1488">
        <v>18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18</v>
      </c>
      <c r="AB1488">
        <v>9</v>
      </c>
      <c r="AC1488">
        <v>0</v>
      </c>
      <c r="AH1488">
        <v>62.68</v>
      </c>
    </row>
    <row r="1489" spans="1:34" x14ac:dyDescent="0.3">
      <c r="A1489" s="4">
        <v>1605</v>
      </c>
      <c r="B1489" s="5">
        <v>1482</v>
      </c>
      <c r="C1489">
        <v>13950</v>
      </c>
      <c r="D1489" t="s">
        <v>20907</v>
      </c>
      <c r="E1489" t="s">
        <v>1140</v>
      </c>
      <c r="F1489" t="s">
        <v>91</v>
      </c>
      <c r="G1489" t="s">
        <v>20908</v>
      </c>
      <c r="H1489">
        <v>18.649999999999999</v>
      </c>
      <c r="I1489">
        <v>0</v>
      </c>
      <c r="J1489">
        <v>0</v>
      </c>
      <c r="K1489">
        <v>20</v>
      </c>
      <c r="L1489">
        <v>7</v>
      </c>
      <c r="N1489">
        <v>3</v>
      </c>
      <c r="O1489">
        <v>10</v>
      </c>
      <c r="P1489">
        <v>4</v>
      </c>
      <c r="Q1489">
        <v>0</v>
      </c>
      <c r="R1489">
        <v>52.65</v>
      </c>
      <c r="S1489">
        <v>0</v>
      </c>
      <c r="T1489">
        <v>0</v>
      </c>
      <c r="U1489">
        <v>0</v>
      </c>
      <c r="V1489">
        <v>0</v>
      </c>
      <c r="W1489">
        <v>7</v>
      </c>
      <c r="X1489">
        <v>10</v>
      </c>
      <c r="Y1489">
        <v>0</v>
      </c>
      <c r="Z1489">
        <v>0</v>
      </c>
      <c r="AA1489">
        <v>10</v>
      </c>
      <c r="AB1489">
        <v>0</v>
      </c>
      <c r="AC1489">
        <v>0</v>
      </c>
      <c r="AH1489">
        <v>62.65</v>
      </c>
    </row>
    <row r="1490" spans="1:34" x14ac:dyDescent="0.3">
      <c r="A1490" s="4">
        <v>1606</v>
      </c>
      <c r="B1490" s="5">
        <v>1483</v>
      </c>
      <c r="C1490">
        <v>8175</v>
      </c>
      <c r="D1490" t="s">
        <v>20909</v>
      </c>
      <c r="E1490" t="s">
        <v>29</v>
      </c>
      <c r="F1490" t="s">
        <v>1511</v>
      </c>
      <c r="G1490" t="s">
        <v>20910</v>
      </c>
      <c r="H1490">
        <v>21.23</v>
      </c>
      <c r="I1490">
        <v>0</v>
      </c>
      <c r="J1490">
        <v>0</v>
      </c>
      <c r="K1490">
        <v>0</v>
      </c>
      <c r="N1490">
        <v>3</v>
      </c>
      <c r="O1490">
        <v>3</v>
      </c>
      <c r="P1490">
        <v>4</v>
      </c>
      <c r="Q1490">
        <v>0</v>
      </c>
      <c r="R1490">
        <v>28.23</v>
      </c>
      <c r="S1490">
        <v>8</v>
      </c>
      <c r="T1490">
        <v>8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8</v>
      </c>
      <c r="AB1490">
        <v>6</v>
      </c>
      <c r="AC1490">
        <v>20.399999999999999</v>
      </c>
      <c r="AH1490">
        <v>62.63</v>
      </c>
    </row>
    <row r="1491" spans="1:34" x14ac:dyDescent="0.3">
      <c r="A1491" s="4">
        <v>1607</v>
      </c>
      <c r="B1491" s="5">
        <v>1484</v>
      </c>
      <c r="C1491">
        <v>5786</v>
      </c>
      <c r="D1491" t="s">
        <v>20911</v>
      </c>
      <c r="E1491" t="s">
        <v>132</v>
      </c>
      <c r="F1491" t="s">
        <v>1806</v>
      </c>
      <c r="G1491" t="s">
        <v>20912</v>
      </c>
      <c r="H1491">
        <v>20.63</v>
      </c>
      <c r="I1491">
        <v>0</v>
      </c>
      <c r="J1491">
        <v>0</v>
      </c>
      <c r="K1491">
        <v>0</v>
      </c>
      <c r="O1491">
        <v>0</v>
      </c>
      <c r="P1491">
        <v>4</v>
      </c>
      <c r="Q1491">
        <v>0</v>
      </c>
      <c r="R1491">
        <v>24.63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6</v>
      </c>
      <c r="AC1491">
        <v>32</v>
      </c>
      <c r="AH1491">
        <v>62.63</v>
      </c>
    </row>
    <row r="1492" spans="1:34" x14ac:dyDescent="0.3">
      <c r="A1492" s="4">
        <v>1608</v>
      </c>
      <c r="B1492" s="5">
        <v>1485</v>
      </c>
      <c r="C1492">
        <v>11078</v>
      </c>
      <c r="D1492" t="s">
        <v>20913</v>
      </c>
      <c r="E1492" t="s">
        <v>117</v>
      </c>
      <c r="F1492" t="s">
        <v>2582</v>
      </c>
      <c r="G1492" t="s">
        <v>20914</v>
      </c>
      <c r="H1492">
        <v>18.5</v>
      </c>
      <c r="I1492">
        <v>0</v>
      </c>
      <c r="J1492">
        <v>0</v>
      </c>
      <c r="K1492">
        <v>0</v>
      </c>
      <c r="L1492">
        <v>7</v>
      </c>
      <c r="O1492">
        <v>7</v>
      </c>
      <c r="P1492">
        <v>4</v>
      </c>
      <c r="Q1492">
        <v>0</v>
      </c>
      <c r="R1492">
        <v>29.5</v>
      </c>
      <c r="S1492">
        <v>33</v>
      </c>
      <c r="T1492">
        <v>33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33</v>
      </c>
      <c r="AB1492">
        <v>0</v>
      </c>
      <c r="AC1492">
        <v>0</v>
      </c>
      <c r="AH1492">
        <v>62.5</v>
      </c>
    </row>
    <row r="1493" spans="1:34" x14ac:dyDescent="0.3">
      <c r="A1493" s="4">
        <v>1609</v>
      </c>
      <c r="B1493" s="5">
        <v>1486</v>
      </c>
      <c r="C1493">
        <v>7679</v>
      </c>
      <c r="D1493" t="s">
        <v>20915</v>
      </c>
      <c r="E1493" t="s">
        <v>54</v>
      </c>
      <c r="F1493" t="s">
        <v>17</v>
      </c>
      <c r="G1493" t="s">
        <v>20916</v>
      </c>
      <c r="H1493">
        <v>17.48</v>
      </c>
      <c r="I1493">
        <v>0</v>
      </c>
      <c r="J1493">
        <v>0</v>
      </c>
      <c r="K1493">
        <v>0</v>
      </c>
      <c r="N1493">
        <v>3</v>
      </c>
      <c r="O1493">
        <v>3</v>
      </c>
      <c r="P1493">
        <v>4</v>
      </c>
      <c r="Q1493">
        <v>2</v>
      </c>
      <c r="R1493">
        <v>26.48</v>
      </c>
      <c r="S1493">
        <v>36</v>
      </c>
      <c r="T1493">
        <v>36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36</v>
      </c>
      <c r="AB1493">
        <v>0</v>
      </c>
      <c r="AC1493">
        <v>0</v>
      </c>
      <c r="AH1493">
        <v>62.48</v>
      </c>
    </row>
    <row r="1494" spans="1:34" x14ac:dyDescent="0.3">
      <c r="A1494" s="4">
        <v>1610</v>
      </c>
      <c r="B1494" s="5">
        <v>1487</v>
      </c>
      <c r="C1494">
        <v>3833</v>
      </c>
      <c r="D1494" t="s">
        <v>20917</v>
      </c>
      <c r="E1494" t="s">
        <v>20918</v>
      </c>
      <c r="F1494" t="s">
        <v>20919</v>
      </c>
      <c r="G1494" t="s">
        <v>20920</v>
      </c>
      <c r="H1494">
        <v>17.48</v>
      </c>
      <c r="I1494">
        <v>0</v>
      </c>
      <c r="J1494">
        <v>0</v>
      </c>
      <c r="K1494">
        <v>0</v>
      </c>
      <c r="N1494">
        <v>3</v>
      </c>
      <c r="O1494">
        <v>3</v>
      </c>
      <c r="P1494">
        <v>4</v>
      </c>
      <c r="Q1494">
        <v>2</v>
      </c>
      <c r="R1494">
        <v>26.48</v>
      </c>
      <c r="S1494">
        <v>36</v>
      </c>
      <c r="T1494">
        <v>36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36</v>
      </c>
      <c r="AB1494">
        <v>0</v>
      </c>
      <c r="AC1494">
        <v>0</v>
      </c>
      <c r="AD1494" t="s">
        <v>130</v>
      </c>
      <c r="AH1494">
        <v>62.48</v>
      </c>
    </row>
    <row r="1495" spans="1:34" x14ac:dyDescent="0.3">
      <c r="A1495" s="4">
        <v>1611</v>
      </c>
      <c r="B1495" s="5">
        <v>1488</v>
      </c>
      <c r="C1495">
        <v>1013</v>
      </c>
      <c r="D1495" t="s">
        <v>20921</v>
      </c>
      <c r="E1495" t="s">
        <v>259</v>
      </c>
      <c r="F1495" t="s">
        <v>38</v>
      </c>
      <c r="G1495" t="s">
        <v>20922</v>
      </c>
      <c r="H1495">
        <v>15.35</v>
      </c>
      <c r="I1495">
        <v>0</v>
      </c>
      <c r="J1495">
        <v>0</v>
      </c>
      <c r="K1495">
        <v>20</v>
      </c>
      <c r="N1495">
        <v>3</v>
      </c>
      <c r="O1495">
        <v>3</v>
      </c>
      <c r="P1495">
        <v>4</v>
      </c>
      <c r="Q1495">
        <v>2</v>
      </c>
      <c r="R1495">
        <v>44.35</v>
      </c>
      <c r="S1495">
        <v>18</v>
      </c>
      <c r="T1495">
        <v>18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18</v>
      </c>
      <c r="AB1495">
        <v>0</v>
      </c>
      <c r="AC1495">
        <v>0</v>
      </c>
      <c r="AH1495">
        <v>62.35</v>
      </c>
    </row>
    <row r="1496" spans="1:34" x14ac:dyDescent="0.3">
      <c r="A1496" s="4">
        <v>1612</v>
      </c>
      <c r="B1496" s="5">
        <v>1489</v>
      </c>
      <c r="C1496">
        <v>1536</v>
      </c>
      <c r="D1496" t="s">
        <v>10405</v>
      </c>
      <c r="E1496" t="s">
        <v>88</v>
      </c>
      <c r="F1496" t="s">
        <v>91</v>
      </c>
      <c r="G1496" t="s">
        <v>20923</v>
      </c>
      <c r="H1496">
        <v>18.350000000000001</v>
      </c>
      <c r="I1496">
        <v>0</v>
      </c>
      <c r="J1496">
        <v>0</v>
      </c>
      <c r="K1496">
        <v>0</v>
      </c>
      <c r="N1496">
        <v>3</v>
      </c>
      <c r="O1496">
        <v>3</v>
      </c>
      <c r="P1496">
        <v>4</v>
      </c>
      <c r="Q1496">
        <v>2</v>
      </c>
      <c r="R1496">
        <v>27.35</v>
      </c>
      <c r="S1496">
        <v>35</v>
      </c>
      <c r="T1496">
        <v>35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35</v>
      </c>
      <c r="AB1496">
        <v>0</v>
      </c>
      <c r="AC1496">
        <v>0</v>
      </c>
      <c r="AH1496">
        <v>62.35</v>
      </c>
    </row>
    <row r="1497" spans="1:34" x14ac:dyDescent="0.3">
      <c r="A1497" s="4">
        <v>1613</v>
      </c>
      <c r="B1497" s="5">
        <v>1490</v>
      </c>
      <c r="C1497">
        <v>2690</v>
      </c>
      <c r="D1497" t="s">
        <v>11804</v>
      </c>
      <c r="E1497" t="s">
        <v>33</v>
      </c>
      <c r="F1497" t="s">
        <v>3094</v>
      </c>
      <c r="G1497" t="s">
        <v>20924</v>
      </c>
      <c r="H1497">
        <v>18.329999999999998</v>
      </c>
      <c r="I1497">
        <v>0</v>
      </c>
      <c r="J1497">
        <v>0</v>
      </c>
      <c r="K1497">
        <v>0</v>
      </c>
      <c r="L1497">
        <v>7</v>
      </c>
      <c r="O1497">
        <v>7</v>
      </c>
      <c r="P1497">
        <v>4</v>
      </c>
      <c r="Q1497">
        <v>0</v>
      </c>
      <c r="R1497">
        <v>29.33</v>
      </c>
      <c r="S1497">
        <v>33</v>
      </c>
      <c r="T1497">
        <v>33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33</v>
      </c>
      <c r="AB1497">
        <v>0</v>
      </c>
      <c r="AC1497">
        <v>0</v>
      </c>
      <c r="AH1497">
        <v>62.33</v>
      </c>
    </row>
    <row r="1498" spans="1:34" x14ac:dyDescent="0.3">
      <c r="A1498" s="4">
        <v>1614</v>
      </c>
      <c r="B1498" s="5">
        <v>1491</v>
      </c>
      <c r="C1498">
        <v>6561</v>
      </c>
      <c r="D1498" t="s">
        <v>20925</v>
      </c>
      <c r="E1498" t="s">
        <v>26</v>
      </c>
      <c r="F1498" t="s">
        <v>30</v>
      </c>
      <c r="G1498" t="s">
        <v>20926</v>
      </c>
      <c r="H1498">
        <v>19.13</v>
      </c>
      <c r="I1498">
        <v>0</v>
      </c>
      <c r="J1498">
        <v>0</v>
      </c>
      <c r="K1498">
        <v>20</v>
      </c>
      <c r="N1498">
        <v>3</v>
      </c>
      <c r="O1498">
        <v>3</v>
      </c>
      <c r="P1498">
        <v>4</v>
      </c>
      <c r="Q1498">
        <v>2</v>
      </c>
      <c r="R1498">
        <v>48.13</v>
      </c>
      <c r="S1498">
        <v>8</v>
      </c>
      <c r="T1498">
        <v>8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8</v>
      </c>
      <c r="AB1498">
        <v>6</v>
      </c>
      <c r="AC1498">
        <v>0</v>
      </c>
      <c r="AH1498">
        <v>62.13</v>
      </c>
    </row>
    <row r="1499" spans="1:34" x14ac:dyDescent="0.3">
      <c r="A1499" s="4">
        <v>1615</v>
      </c>
      <c r="B1499" s="5">
        <v>1492</v>
      </c>
      <c r="C1499">
        <v>5412</v>
      </c>
      <c r="D1499" t="s">
        <v>20927</v>
      </c>
      <c r="E1499" t="s">
        <v>54</v>
      </c>
      <c r="F1499" t="s">
        <v>1526</v>
      </c>
      <c r="G1499" t="s">
        <v>20928</v>
      </c>
      <c r="H1499">
        <v>19.13</v>
      </c>
      <c r="I1499">
        <v>0</v>
      </c>
      <c r="J1499">
        <v>0</v>
      </c>
      <c r="K1499">
        <v>0</v>
      </c>
      <c r="N1499">
        <v>3</v>
      </c>
      <c r="O1499">
        <v>3</v>
      </c>
      <c r="P1499">
        <v>4</v>
      </c>
      <c r="Q1499">
        <v>0</v>
      </c>
      <c r="R1499">
        <v>26.13</v>
      </c>
      <c r="S1499">
        <v>36</v>
      </c>
      <c r="T1499">
        <v>36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36</v>
      </c>
      <c r="AB1499">
        <v>0</v>
      </c>
      <c r="AC1499">
        <v>0</v>
      </c>
      <c r="AH1499">
        <v>62.13</v>
      </c>
    </row>
    <row r="1500" spans="1:34" x14ac:dyDescent="0.3">
      <c r="A1500" s="4">
        <v>1616</v>
      </c>
      <c r="B1500" s="5">
        <v>1493</v>
      </c>
      <c r="C1500">
        <v>2575</v>
      </c>
      <c r="D1500" t="s">
        <v>20929</v>
      </c>
      <c r="E1500" t="s">
        <v>88</v>
      </c>
      <c r="F1500" t="s">
        <v>17</v>
      </c>
      <c r="G1500" t="s">
        <v>20930</v>
      </c>
      <c r="H1500">
        <v>17.100000000000001</v>
      </c>
      <c r="I1500">
        <v>0</v>
      </c>
      <c r="J1500">
        <v>0</v>
      </c>
      <c r="K1500">
        <v>20</v>
      </c>
      <c r="N1500">
        <v>3</v>
      </c>
      <c r="O1500">
        <v>3</v>
      </c>
      <c r="P1500">
        <v>4</v>
      </c>
      <c r="Q1500">
        <v>2</v>
      </c>
      <c r="R1500">
        <v>46.1</v>
      </c>
      <c r="S1500">
        <v>16</v>
      </c>
      <c r="T1500">
        <v>16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16</v>
      </c>
      <c r="AB1500">
        <v>0</v>
      </c>
      <c r="AC1500">
        <v>0</v>
      </c>
      <c r="AH1500">
        <v>62.1</v>
      </c>
    </row>
    <row r="1501" spans="1:34" x14ac:dyDescent="0.3">
      <c r="A1501" s="4">
        <v>1617</v>
      </c>
      <c r="B1501" s="5">
        <v>1494</v>
      </c>
      <c r="C1501">
        <v>13540</v>
      </c>
      <c r="D1501" t="s">
        <v>1530</v>
      </c>
      <c r="E1501" t="s">
        <v>338</v>
      </c>
      <c r="F1501" t="s">
        <v>38</v>
      </c>
      <c r="G1501" t="s">
        <v>20931</v>
      </c>
      <c r="H1501">
        <v>19.03</v>
      </c>
      <c r="I1501">
        <v>0</v>
      </c>
      <c r="J1501">
        <v>0</v>
      </c>
      <c r="K1501">
        <v>20</v>
      </c>
      <c r="L1501">
        <v>7</v>
      </c>
      <c r="O1501">
        <v>7</v>
      </c>
      <c r="P1501">
        <v>4</v>
      </c>
      <c r="Q1501">
        <v>2</v>
      </c>
      <c r="R1501">
        <v>52.03</v>
      </c>
      <c r="S1501">
        <v>7</v>
      </c>
      <c r="T1501">
        <v>7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7</v>
      </c>
      <c r="AB1501">
        <v>3</v>
      </c>
      <c r="AC1501">
        <v>0</v>
      </c>
      <c r="AH1501">
        <v>62.03</v>
      </c>
    </row>
    <row r="1502" spans="1:34" x14ac:dyDescent="0.3">
      <c r="A1502" s="4">
        <v>1618</v>
      </c>
      <c r="B1502" s="5">
        <v>1495</v>
      </c>
      <c r="C1502">
        <v>3474</v>
      </c>
      <c r="D1502" t="s">
        <v>2299</v>
      </c>
      <c r="E1502" t="s">
        <v>29</v>
      </c>
      <c r="F1502" t="s">
        <v>20</v>
      </c>
      <c r="G1502" t="s">
        <v>20932</v>
      </c>
      <c r="H1502">
        <v>18.03</v>
      </c>
      <c r="I1502">
        <v>0</v>
      </c>
      <c r="J1502">
        <v>0</v>
      </c>
      <c r="K1502">
        <v>20</v>
      </c>
      <c r="N1502">
        <v>3</v>
      </c>
      <c r="O1502">
        <v>3</v>
      </c>
      <c r="P1502">
        <v>4</v>
      </c>
      <c r="Q1502">
        <v>2</v>
      </c>
      <c r="R1502">
        <v>47.03</v>
      </c>
      <c r="S1502">
        <v>15</v>
      </c>
      <c r="T1502">
        <v>15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15</v>
      </c>
      <c r="AB1502">
        <v>0</v>
      </c>
      <c r="AC1502">
        <v>0</v>
      </c>
      <c r="AH1502">
        <v>62.03</v>
      </c>
    </row>
    <row r="1503" spans="1:34" x14ac:dyDescent="0.3">
      <c r="A1503" s="4">
        <v>1619</v>
      </c>
      <c r="B1503" s="5">
        <v>1496</v>
      </c>
      <c r="C1503">
        <v>11486</v>
      </c>
      <c r="D1503" t="s">
        <v>10693</v>
      </c>
      <c r="E1503" t="s">
        <v>789</v>
      </c>
      <c r="F1503" t="s">
        <v>20</v>
      </c>
      <c r="G1503" t="s">
        <v>20933</v>
      </c>
      <c r="H1503">
        <v>17.899999999999999</v>
      </c>
      <c r="I1503">
        <v>0</v>
      </c>
      <c r="J1503">
        <v>0</v>
      </c>
      <c r="K1503">
        <v>20</v>
      </c>
      <c r="L1503">
        <v>7</v>
      </c>
      <c r="N1503">
        <v>3</v>
      </c>
      <c r="O1503">
        <v>10</v>
      </c>
      <c r="P1503">
        <v>4</v>
      </c>
      <c r="Q1503">
        <v>2</v>
      </c>
      <c r="R1503">
        <v>53.9</v>
      </c>
      <c r="S1503">
        <v>8</v>
      </c>
      <c r="T1503">
        <v>8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8</v>
      </c>
      <c r="AB1503">
        <v>0</v>
      </c>
      <c r="AC1503">
        <v>0</v>
      </c>
      <c r="AH1503">
        <v>61.9</v>
      </c>
    </row>
    <row r="1504" spans="1:34" x14ac:dyDescent="0.3">
      <c r="A1504" s="4">
        <v>1620</v>
      </c>
      <c r="B1504" s="5">
        <v>1497</v>
      </c>
      <c r="C1504">
        <v>7466</v>
      </c>
      <c r="D1504" t="s">
        <v>173</v>
      </c>
      <c r="E1504" t="s">
        <v>110</v>
      </c>
      <c r="F1504" t="s">
        <v>17</v>
      </c>
      <c r="G1504" t="s">
        <v>20934</v>
      </c>
      <c r="H1504">
        <v>16.8</v>
      </c>
      <c r="I1504">
        <v>0</v>
      </c>
      <c r="J1504">
        <v>0</v>
      </c>
      <c r="K1504">
        <v>0</v>
      </c>
      <c r="O1504">
        <v>0</v>
      </c>
      <c r="P1504">
        <v>4</v>
      </c>
      <c r="Q1504">
        <v>0</v>
      </c>
      <c r="R1504">
        <v>20.8</v>
      </c>
      <c r="S1504">
        <v>41</v>
      </c>
      <c r="T1504">
        <v>41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41</v>
      </c>
      <c r="AB1504">
        <v>0</v>
      </c>
      <c r="AC1504">
        <v>0</v>
      </c>
      <c r="AH1504">
        <v>61.8</v>
      </c>
    </row>
    <row r="1505" spans="1:34" x14ac:dyDescent="0.3">
      <c r="A1505" s="4">
        <v>1621</v>
      </c>
      <c r="B1505" s="5">
        <v>1498</v>
      </c>
      <c r="C1505">
        <v>5191</v>
      </c>
      <c r="D1505" t="s">
        <v>20935</v>
      </c>
      <c r="E1505" t="s">
        <v>2830</v>
      </c>
      <c r="F1505" t="s">
        <v>68</v>
      </c>
      <c r="G1505" t="s">
        <v>20936</v>
      </c>
      <c r="H1505">
        <v>17.78</v>
      </c>
      <c r="I1505">
        <v>0</v>
      </c>
      <c r="J1505">
        <v>0</v>
      </c>
      <c r="K1505">
        <v>0</v>
      </c>
      <c r="L1505">
        <v>7</v>
      </c>
      <c r="O1505">
        <v>7</v>
      </c>
      <c r="P1505">
        <v>4</v>
      </c>
      <c r="Q1505">
        <v>2</v>
      </c>
      <c r="R1505">
        <v>30.78</v>
      </c>
      <c r="S1505">
        <v>25</v>
      </c>
      <c r="T1505">
        <v>25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25</v>
      </c>
      <c r="AB1505">
        <v>6</v>
      </c>
      <c r="AC1505">
        <v>0</v>
      </c>
      <c r="AH1505">
        <v>61.78</v>
      </c>
    </row>
    <row r="1506" spans="1:34" x14ac:dyDescent="0.3">
      <c r="A1506" s="4">
        <v>1622</v>
      </c>
      <c r="B1506" s="5">
        <v>1499</v>
      </c>
      <c r="C1506">
        <v>8439</v>
      </c>
      <c r="D1506" t="s">
        <v>1822</v>
      </c>
      <c r="E1506" t="s">
        <v>29</v>
      </c>
      <c r="F1506" t="s">
        <v>81</v>
      </c>
      <c r="G1506" t="s">
        <v>20937</v>
      </c>
      <c r="H1506">
        <v>19.73</v>
      </c>
      <c r="I1506">
        <v>0</v>
      </c>
      <c r="J1506">
        <v>0</v>
      </c>
      <c r="K1506">
        <v>20</v>
      </c>
      <c r="N1506">
        <v>3</v>
      </c>
      <c r="O1506">
        <v>3</v>
      </c>
      <c r="P1506">
        <v>4</v>
      </c>
      <c r="Q1506">
        <v>0</v>
      </c>
      <c r="R1506">
        <v>46.73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15</v>
      </c>
      <c r="AC1506">
        <v>0</v>
      </c>
      <c r="AH1506">
        <v>61.73</v>
      </c>
    </row>
    <row r="1507" spans="1:34" x14ac:dyDescent="0.3">
      <c r="A1507" s="4">
        <v>1623</v>
      </c>
      <c r="B1507" s="5">
        <v>1500</v>
      </c>
      <c r="C1507">
        <v>15619</v>
      </c>
      <c r="D1507" t="s">
        <v>20938</v>
      </c>
      <c r="E1507" t="s">
        <v>132</v>
      </c>
      <c r="F1507" t="s">
        <v>587</v>
      </c>
      <c r="G1507" t="s">
        <v>20939</v>
      </c>
      <c r="H1507">
        <v>20.58</v>
      </c>
      <c r="I1507">
        <v>0</v>
      </c>
      <c r="J1507">
        <v>0</v>
      </c>
      <c r="K1507">
        <v>0</v>
      </c>
      <c r="N1507">
        <v>3</v>
      </c>
      <c r="O1507">
        <v>3</v>
      </c>
      <c r="P1507">
        <v>4</v>
      </c>
      <c r="Q1507">
        <v>0</v>
      </c>
      <c r="R1507">
        <v>27.58</v>
      </c>
      <c r="S1507">
        <v>28</v>
      </c>
      <c r="T1507">
        <v>28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28</v>
      </c>
      <c r="AB1507">
        <v>6</v>
      </c>
      <c r="AC1507">
        <v>0</v>
      </c>
      <c r="AH1507">
        <v>61.58</v>
      </c>
    </row>
    <row r="1508" spans="1:34" x14ac:dyDescent="0.3">
      <c r="A1508" s="4">
        <v>1624</v>
      </c>
      <c r="B1508" s="5">
        <v>1501</v>
      </c>
      <c r="C1508">
        <v>5980</v>
      </c>
      <c r="D1508" t="s">
        <v>32</v>
      </c>
      <c r="E1508" t="s">
        <v>132</v>
      </c>
      <c r="F1508" t="s">
        <v>20</v>
      </c>
      <c r="G1508" t="s">
        <v>20940</v>
      </c>
      <c r="H1508">
        <v>19.579999999999998</v>
      </c>
      <c r="I1508">
        <v>0</v>
      </c>
      <c r="J1508">
        <v>0</v>
      </c>
      <c r="K1508">
        <v>20</v>
      </c>
      <c r="N1508">
        <v>3</v>
      </c>
      <c r="O1508">
        <v>3</v>
      </c>
      <c r="P1508">
        <v>4</v>
      </c>
      <c r="Q1508">
        <v>0</v>
      </c>
      <c r="R1508">
        <v>46.58</v>
      </c>
      <c r="S1508">
        <v>15</v>
      </c>
      <c r="T1508">
        <v>15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15</v>
      </c>
      <c r="AB1508">
        <v>0</v>
      </c>
      <c r="AC1508">
        <v>0</v>
      </c>
      <c r="AH1508">
        <v>61.58</v>
      </c>
    </row>
    <row r="1509" spans="1:34" x14ac:dyDescent="0.3">
      <c r="A1509" s="4">
        <v>1625</v>
      </c>
      <c r="B1509" s="5">
        <v>1502</v>
      </c>
      <c r="C1509">
        <v>10094</v>
      </c>
      <c r="D1509" t="s">
        <v>4235</v>
      </c>
      <c r="E1509" t="s">
        <v>110</v>
      </c>
      <c r="F1509" t="s">
        <v>30</v>
      </c>
      <c r="G1509" t="s">
        <v>20941</v>
      </c>
      <c r="H1509">
        <v>18.53</v>
      </c>
      <c r="I1509">
        <v>0</v>
      </c>
      <c r="J1509">
        <v>0</v>
      </c>
      <c r="K1509">
        <v>0</v>
      </c>
      <c r="N1509">
        <v>3</v>
      </c>
      <c r="O1509">
        <v>3</v>
      </c>
      <c r="P1509">
        <v>4</v>
      </c>
      <c r="Q1509">
        <v>2</v>
      </c>
      <c r="R1509">
        <v>27.53</v>
      </c>
      <c r="S1509">
        <v>34</v>
      </c>
      <c r="T1509">
        <v>34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34</v>
      </c>
      <c r="AB1509">
        <v>0</v>
      </c>
      <c r="AC1509">
        <v>0</v>
      </c>
      <c r="AH1509">
        <v>61.53</v>
      </c>
    </row>
    <row r="1510" spans="1:34" x14ac:dyDescent="0.3">
      <c r="A1510" s="4">
        <v>1626</v>
      </c>
      <c r="B1510" s="5">
        <v>1503</v>
      </c>
      <c r="C1510">
        <v>7371</v>
      </c>
      <c r="D1510" t="s">
        <v>20942</v>
      </c>
      <c r="E1510" t="s">
        <v>17</v>
      </c>
      <c r="F1510" t="s">
        <v>136</v>
      </c>
      <c r="G1510" t="s">
        <v>20943</v>
      </c>
      <c r="H1510">
        <v>17.5</v>
      </c>
      <c r="I1510">
        <v>7</v>
      </c>
      <c r="J1510">
        <v>0</v>
      </c>
      <c r="K1510">
        <v>20</v>
      </c>
      <c r="L1510">
        <v>7</v>
      </c>
      <c r="O1510">
        <v>7</v>
      </c>
      <c r="P1510">
        <v>4</v>
      </c>
      <c r="Q1510">
        <v>0</v>
      </c>
      <c r="R1510">
        <v>55.5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6</v>
      </c>
      <c r="AC1510">
        <v>0</v>
      </c>
      <c r="AH1510">
        <v>61.5</v>
      </c>
    </row>
    <row r="1511" spans="1:34" x14ac:dyDescent="0.3">
      <c r="A1511" s="4">
        <v>1627</v>
      </c>
      <c r="B1511" s="5">
        <v>1504</v>
      </c>
      <c r="C1511">
        <v>5886</v>
      </c>
      <c r="D1511" t="s">
        <v>13099</v>
      </c>
      <c r="E1511" t="s">
        <v>789</v>
      </c>
      <c r="F1511" t="s">
        <v>649</v>
      </c>
      <c r="G1511" t="s">
        <v>20944</v>
      </c>
      <c r="H1511">
        <v>17.850000000000001</v>
      </c>
      <c r="I1511">
        <v>0</v>
      </c>
      <c r="J1511">
        <v>0</v>
      </c>
      <c r="K1511">
        <v>0</v>
      </c>
      <c r="O1511">
        <v>0</v>
      </c>
      <c r="P1511">
        <v>0</v>
      </c>
      <c r="Q1511">
        <v>0</v>
      </c>
      <c r="R1511">
        <v>17.850000000000001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6</v>
      </c>
      <c r="AC1511">
        <v>37.6</v>
      </c>
      <c r="AH1511">
        <v>61.45</v>
      </c>
    </row>
    <row r="1512" spans="1:34" x14ac:dyDescent="0.3">
      <c r="A1512" s="4">
        <v>1628</v>
      </c>
      <c r="B1512" s="5">
        <v>1505</v>
      </c>
      <c r="C1512">
        <v>5784</v>
      </c>
      <c r="D1512" t="s">
        <v>14733</v>
      </c>
      <c r="E1512" t="s">
        <v>5537</v>
      </c>
      <c r="F1512" t="s">
        <v>17</v>
      </c>
      <c r="G1512" t="s">
        <v>20945</v>
      </c>
      <c r="H1512">
        <v>20.43</v>
      </c>
      <c r="I1512">
        <v>0</v>
      </c>
      <c r="J1512">
        <v>0</v>
      </c>
      <c r="K1512">
        <v>28</v>
      </c>
      <c r="L1512">
        <v>7</v>
      </c>
      <c r="O1512">
        <v>7</v>
      </c>
      <c r="P1512">
        <v>4</v>
      </c>
      <c r="Q1512">
        <v>2</v>
      </c>
      <c r="R1512">
        <v>61.43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H1512">
        <v>61.43</v>
      </c>
    </row>
    <row r="1513" spans="1:34" x14ac:dyDescent="0.3">
      <c r="A1513" s="4">
        <v>1629</v>
      </c>
      <c r="B1513" s="5">
        <v>1506</v>
      </c>
      <c r="C1513">
        <v>10927</v>
      </c>
      <c r="D1513" t="s">
        <v>74</v>
      </c>
      <c r="E1513" t="s">
        <v>964</v>
      </c>
      <c r="F1513" t="s">
        <v>38</v>
      </c>
      <c r="G1513" t="s">
        <v>20946</v>
      </c>
      <c r="H1513">
        <v>17.329999999999998</v>
      </c>
      <c r="I1513">
        <v>0</v>
      </c>
      <c r="J1513">
        <v>0</v>
      </c>
      <c r="K1513">
        <v>20</v>
      </c>
      <c r="L1513">
        <v>7</v>
      </c>
      <c r="N1513">
        <v>3</v>
      </c>
      <c r="O1513">
        <v>10</v>
      </c>
      <c r="P1513">
        <v>4</v>
      </c>
      <c r="Q1513">
        <v>0</v>
      </c>
      <c r="R1513">
        <v>51.33</v>
      </c>
      <c r="S1513">
        <v>10</v>
      </c>
      <c r="T1513">
        <v>10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10</v>
      </c>
      <c r="AB1513">
        <v>0</v>
      </c>
      <c r="AC1513">
        <v>0</v>
      </c>
      <c r="AH1513">
        <v>61.33</v>
      </c>
    </row>
    <row r="1514" spans="1:34" x14ac:dyDescent="0.3">
      <c r="A1514" s="4">
        <v>1630</v>
      </c>
      <c r="B1514" s="5">
        <v>1507</v>
      </c>
      <c r="C1514">
        <v>2432</v>
      </c>
      <c r="D1514" t="s">
        <v>1715</v>
      </c>
      <c r="E1514" t="s">
        <v>1716</v>
      </c>
      <c r="F1514" t="s">
        <v>91</v>
      </c>
      <c r="G1514" t="s">
        <v>1717</v>
      </c>
      <c r="H1514">
        <v>18.48</v>
      </c>
      <c r="I1514">
        <v>0</v>
      </c>
      <c r="J1514">
        <v>0</v>
      </c>
      <c r="K1514">
        <v>0</v>
      </c>
      <c r="N1514">
        <v>3</v>
      </c>
      <c r="O1514">
        <v>3</v>
      </c>
      <c r="P1514">
        <v>4</v>
      </c>
      <c r="Q1514">
        <v>0</v>
      </c>
      <c r="R1514">
        <v>25.48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9</v>
      </c>
      <c r="AC1514">
        <v>26.8</v>
      </c>
      <c r="AH1514">
        <v>61.28</v>
      </c>
    </row>
    <row r="1515" spans="1:34" x14ac:dyDescent="0.3">
      <c r="A1515" s="4">
        <v>1631</v>
      </c>
      <c r="B1515" s="5">
        <v>1508</v>
      </c>
      <c r="C1515">
        <v>3444</v>
      </c>
      <c r="D1515" t="s">
        <v>20947</v>
      </c>
      <c r="E1515" t="s">
        <v>120</v>
      </c>
      <c r="F1515" t="s">
        <v>136</v>
      </c>
      <c r="G1515" t="s">
        <v>20948</v>
      </c>
      <c r="H1515">
        <v>18.28</v>
      </c>
      <c r="I1515">
        <v>0</v>
      </c>
      <c r="J1515">
        <v>0</v>
      </c>
      <c r="K1515">
        <v>0</v>
      </c>
      <c r="N1515">
        <v>3</v>
      </c>
      <c r="O1515">
        <v>3</v>
      </c>
      <c r="P1515">
        <v>4</v>
      </c>
      <c r="Q1515">
        <v>0</v>
      </c>
      <c r="R1515">
        <v>25.28</v>
      </c>
      <c r="S1515">
        <v>36</v>
      </c>
      <c r="T1515">
        <v>36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36</v>
      </c>
      <c r="AB1515">
        <v>0</v>
      </c>
      <c r="AC1515">
        <v>0</v>
      </c>
      <c r="AH1515">
        <v>61.28</v>
      </c>
    </row>
    <row r="1516" spans="1:34" x14ac:dyDescent="0.3">
      <c r="A1516" s="4">
        <v>1632</v>
      </c>
      <c r="B1516" s="5">
        <v>1509</v>
      </c>
      <c r="C1516">
        <v>4226</v>
      </c>
      <c r="D1516" t="s">
        <v>20949</v>
      </c>
      <c r="E1516" t="s">
        <v>406</v>
      </c>
      <c r="F1516" t="s">
        <v>20950</v>
      </c>
      <c r="G1516" t="s">
        <v>20951</v>
      </c>
      <c r="H1516">
        <v>18.23</v>
      </c>
      <c r="I1516">
        <v>0</v>
      </c>
      <c r="J1516">
        <v>0</v>
      </c>
      <c r="K1516">
        <v>0</v>
      </c>
      <c r="O1516">
        <v>0</v>
      </c>
      <c r="P1516">
        <v>4</v>
      </c>
      <c r="Q1516">
        <v>0</v>
      </c>
      <c r="R1516">
        <v>22.23</v>
      </c>
      <c r="S1516">
        <v>33</v>
      </c>
      <c r="T1516">
        <v>33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33</v>
      </c>
      <c r="AB1516">
        <v>6</v>
      </c>
      <c r="AC1516">
        <v>0</v>
      </c>
      <c r="AH1516">
        <v>61.23</v>
      </c>
    </row>
    <row r="1517" spans="1:34" x14ac:dyDescent="0.3">
      <c r="A1517" s="4">
        <v>1633</v>
      </c>
      <c r="B1517" s="5">
        <v>1510</v>
      </c>
      <c r="C1517">
        <v>3813</v>
      </c>
      <c r="D1517" t="s">
        <v>20952</v>
      </c>
      <c r="E1517" t="s">
        <v>13347</v>
      </c>
      <c r="F1517" t="s">
        <v>81</v>
      </c>
      <c r="G1517" t="s">
        <v>20953</v>
      </c>
      <c r="H1517">
        <v>19.13</v>
      </c>
      <c r="I1517">
        <v>0</v>
      </c>
      <c r="J1517">
        <v>0</v>
      </c>
      <c r="K1517">
        <v>0</v>
      </c>
      <c r="N1517">
        <v>3</v>
      </c>
      <c r="O1517">
        <v>3</v>
      </c>
      <c r="P1517">
        <v>4</v>
      </c>
      <c r="Q1517">
        <v>2</v>
      </c>
      <c r="R1517">
        <v>28.13</v>
      </c>
      <c r="S1517">
        <v>33</v>
      </c>
      <c r="T1517">
        <v>33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33</v>
      </c>
      <c r="AB1517">
        <v>0</v>
      </c>
      <c r="AC1517">
        <v>0</v>
      </c>
      <c r="AH1517">
        <v>61.13</v>
      </c>
    </row>
    <row r="1518" spans="1:34" x14ac:dyDescent="0.3">
      <c r="A1518" s="4">
        <v>1634</v>
      </c>
      <c r="B1518" s="5">
        <v>1511</v>
      </c>
      <c r="C1518">
        <v>11265</v>
      </c>
      <c r="D1518" t="s">
        <v>16173</v>
      </c>
      <c r="E1518" t="s">
        <v>29</v>
      </c>
      <c r="F1518" t="s">
        <v>30</v>
      </c>
      <c r="G1518" t="s">
        <v>20954</v>
      </c>
      <c r="H1518">
        <v>19</v>
      </c>
      <c r="I1518">
        <v>0</v>
      </c>
      <c r="J1518">
        <v>0</v>
      </c>
      <c r="K1518">
        <v>0</v>
      </c>
      <c r="N1518">
        <v>3</v>
      </c>
      <c r="O1518">
        <v>3</v>
      </c>
      <c r="P1518">
        <v>4</v>
      </c>
      <c r="Q1518">
        <v>0</v>
      </c>
      <c r="R1518">
        <v>26</v>
      </c>
      <c r="S1518">
        <v>35</v>
      </c>
      <c r="T1518">
        <v>35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35</v>
      </c>
      <c r="AB1518">
        <v>0</v>
      </c>
      <c r="AC1518">
        <v>0</v>
      </c>
      <c r="AH1518">
        <v>61</v>
      </c>
    </row>
    <row r="1519" spans="1:34" x14ac:dyDescent="0.3">
      <c r="A1519" s="4">
        <v>1635</v>
      </c>
      <c r="B1519" s="5">
        <v>1512</v>
      </c>
      <c r="C1519">
        <v>1786</v>
      </c>
      <c r="D1519" t="s">
        <v>1131</v>
      </c>
      <c r="E1519" t="s">
        <v>19</v>
      </c>
      <c r="F1519" t="s">
        <v>55</v>
      </c>
      <c r="G1519" t="s">
        <v>20955</v>
      </c>
      <c r="H1519">
        <v>19.98</v>
      </c>
      <c r="I1519">
        <v>0</v>
      </c>
      <c r="J1519">
        <v>0</v>
      </c>
      <c r="K1519">
        <v>0</v>
      </c>
      <c r="N1519">
        <v>3</v>
      </c>
      <c r="O1519">
        <v>3</v>
      </c>
      <c r="P1519">
        <v>4</v>
      </c>
      <c r="Q1519">
        <v>0</v>
      </c>
      <c r="R1519">
        <v>26.98</v>
      </c>
      <c r="S1519">
        <v>28</v>
      </c>
      <c r="T1519">
        <v>28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28</v>
      </c>
      <c r="AB1519">
        <v>6</v>
      </c>
      <c r="AC1519">
        <v>0</v>
      </c>
      <c r="AH1519">
        <v>60.98</v>
      </c>
    </row>
    <row r="1520" spans="1:34" x14ac:dyDescent="0.3">
      <c r="A1520" s="4">
        <v>1636</v>
      </c>
      <c r="B1520" s="5">
        <v>1513</v>
      </c>
      <c r="C1520">
        <v>845</v>
      </c>
      <c r="D1520" t="s">
        <v>20956</v>
      </c>
      <c r="E1520" t="s">
        <v>54</v>
      </c>
      <c r="F1520" t="s">
        <v>328</v>
      </c>
      <c r="G1520" t="s">
        <v>20957</v>
      </c>
      <c r="H1520">
        <v>17.95</v>
      </c>
      <c r="I1520">
        <v>0</v>
      </c>
      <c r="J1520">
        <v>0</v>
      </c>
      <c r="K1520">
        <v>0</v>
      </c>
      <c r="N1520">
        <v>3</v>
      </c>
      <c r="O1520">
        <v>3</v>
      </c>
      <c r="P1520">
        <v>4</v>
      </c>
      <c r="Q1520">
        <v>2</v>
      </c>
      <c r="R1520">
        <v>26.95</v>
      </c>
      <c r="S1520">
        <v>34</v>
      </c>
      <c r="T1520">
        <v>34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34</v>
      </c>
      <c r="AB1520">
        <v>0</v>
      </c>
      <c r="AC1520">
        <v>0</v>
      </c>
      <c r="AH1520">
        <v>60.95</v>
      </c>
    </row>
    <row r="1521" spans="1:34" x14ac:dyDescent="0.3">
      <c r="A1521" s="4">
        <v>1637</v>
      </c>
      <c r="B1521" s="5">
        <v>1514</v>
      </c>
      <c r="C1521">
        <v>12961</v>
      </c>
      <c r="D1521" t="s">
        <v>20958</v>
      </c>
      <c r="E1521" t="s">
        <v>20959</v>
      </c>
      <c r="F1521" t="s">
        <v>346</v>
      </c>
      <c r="G1521" t="s">
        <v>20960</v>
      </c>
      <c r="H1521">
        <v>19.93</v>
      </c>
      <c r="I1521">
        <v>0</v>
      </c>
      <c r="J1521">
        <v>0</v>
      </c>
      <c r="K1521">
        <v>20</v>
      </c>
      <c r="L1521">
        <v>7</v>
      </c>
      <c r="N1521">
        <v>3</v>
      </c>
      <c r="O1521">
        <v>10</v>
      </c>
      <c r="P1521">
        <v>4</v>
      </c>
      <c r="Q1521">
        <v>0</v>
      </c>
      <c r="R1521">
        <v>53.93</v>
      </c>
      <c r="S1521">
        <v>7</v>
      </c>
      <c r="T1521">
        <v>7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7</v>
      </c>
      <c r="AB1521">
        <v>0</v>
      </c>
      <c r="AC1521">
        <v>0</v>
      </c>
      <c r="AH1521">
        <v>60.93</v>
      </c>
    </row>
    <row r="1522" spans="1:34" x14ac:dyDescent="0.3">
      <c r="A1522" s="4">
        <v>1638</v>
      </c>
      <c r="B1522" s="5">
        <v>1515</v>
      </c>
      <c r="C1522">
        <v>9849</v>
      </c>
      <c r="D1522" t="s">
        <v>20961</v>
      </c>
      <c r="E1522" t="s">
        <v>17</v>
      </c>
      <c r="F1522" t="s">
        <v>328</v>
      </c>
      <c r="G1522" t="s">
        <v>20962</v>
      </c>
      <c r="H1522">
        <v>16.829999999999998</v>
      </c>
      <c r="I1522">
        <v>0</v>
      </c>
      <c r="J1522">
        <v>0</v>
      </c>
      <c r="K1522">
        <v>0</v>
      </c>
      <c r="L1522">
        <v>7</v>
      </c>
      <c r="O1522">
        <v>7</v>
      </c>
      <c r="P1522">
        <v>4</v>
      </c>
      <c r="Q1522">
        <v>0</v>
      </c>
      <c r="R1522">
        <v>27.83</v>
      </c>
      <c r="S1522">
        <v>33</v>
      </c>
      <c r="T1522">
        <v>33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33</v>
      </c>
      <c r="AB1522">
        <v>0</v>
      </c>
      <c r="AC1522">
        <v>0</v>
      </c>
      <c r="AH1522">
        <v>60.83</v>
      </c>
    </row>
    <row r="1523" spans="1:34" x14ac:dyDescent="0.3">
      <c r="A1523" s="4">
        <v>1639</v>
      </c>
      <c r="B1523" s="5">
        <v>1516</v>
      </c>
      <c r="C1523">
        <v>14663</v>
      </c>
      <c r="D1523" t="s">
        <v>4597</v>
      </c>
      <c r="E1523" t="s">
        <v>20963</v>
      </c>
      <c r="F1523" t="s">
        <v>68</v>
      </c>
      <c r="G1523" t="s">
        <v>20964</v>
      </c>
      <c r="H1523">
        <v>16.78</v>
      </c>
      <c r="I1523">
        <v>0</v>
      </c>
      <c r="J1523">
        <v>0</v>
      </c>
      <c r="K1523">
        <v>28</v>
      </c>
      <c r="L1523">
        <v>7</v>
      </c>
      <c r="M1523">
        <v>5</v>
      </c>
      <c r="O1523">
        <v>12</v>
      </c>
      <c r="P1523">
        <v>4</v>
      </c>
      <c r="Q1523">
        <v>0</v>
      </c>
      <c r="R1523">
        <v>60.78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H1523">
        <v>60.78</v>
      </c>
    </row>
    <row r="1524" spans="1:34" x14ac:dyDescent="0.3">
      <c r="A1524" s="4">
        <v>1640</v>
      </c>
      <c r="B1524" s="5">
        <v>1517</v>
      </c>
      <c r="C1524">
        <v>9282</v>
      </c>
      <c r="D1524" t="s">
        <v>20965</v>
      </c>
      <c r="E1524" t="s">
        <v>20966</v>
      </c>
      <c r="F1524" t="s">
        <v>375</v>
      </c>
      <c r="G1524" t="s">
        <v>20967</v>
      </c>
      <c r="H1524">
        <v>18.75</v>
      </c>
      <c r="I1524">
        <v>0</v>
      </c>
      <c r="J1524">
        <v>0</v>
      </c>
      <c r="K1524">
        <v>0</v>
      </c>
      <c r="N1524">
        <v>3</v>
      </c>
      <c r="O1524">
        <v>3</v>
      </c>
      <c r="P1524">
        <v>4</v>
      </c>
      <c r="Q1524">
        <v>0</v>
      </c>
      <c r="R1524">
        <v>25.75</v>
      </c>
      <c r="S1524">
        <v>35</v>
      </c>
      <c r="T1524">
        <v>35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35</v>
      </c>
      <c r="AB1524">
        <v>0</v>
      </c>
      <c r="AC1524">
        <v>0</v>
      </c>
      <c r="AH1524">
        <v>60.75</v>
      </c>
    </row>
    <row r="1525" spans="1:34" x14ac:dyDescent="0.3">
      <c r="A1525" s="4">
        <v>1641</v>
      </c>
      <c r="B1525" s="5">
        <v>1518</v>
      </c>
      <c r="C1525">
        <v>510</v>
      </c>
      <c r="D1525" t="s">
        <v>8663</v>
      </c>
      <c r="E1525" t="s">
        <v>33</v>
      </c>
      <c r="F1525" t="s">
        <v>38</v>
      </c>
      <c r="G1525" t="s">
        <v>20968</v>
      </c>
      <c r="H1525">
        <v>17.73</v>
      </c>
      <c r="I1525">
        <v>0</v>
      </c>
      <c r="J1525">
        <v>0</v>
      </c>
      <c r="K1525">
        <v>20</v>
      </c>
      <c r="N1525">
        <v>3</v>
      </c>
      <c r="O1525">
        <v>3</v>
      </c>
      <c r="P1525">
        <v>4</v>
      </c>
      <c r="Q1525">
        <v>0</v>
      </c>
      <c r="R1525">
        <v>44.73</v>
      </c>
      <c r="S1525">
        <v>16</v>
      </c>
      <c r="T1525">
        <v>16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16</v>
      </c>
      <c r="AB1525">
        <v>0</v>
      </c>
      <c r="AC1525">
        <v>0</v>
      </c>
      <c r="AH1525">
        <v>60.73</v>
      </c>
    </row>
    <row r="1526" spans="1:34" x14ac:dyDescent="0.3">
      <c r="A1526" s="4">
        <v>1642</v>
      </c>
      <c r="B1526" s="5">
        <v>1519</v>
      </c>
      <c r="C1526">
        <v>14692</v>
      </c>
      <c r="D1526" t="s">
        <v>20969</v>
      </c>
      <c r="E1526" t="s">
        <v>454</v>
      </c>
      <c r="F1526" t="s">
        <v>14</v>
      </c>
      <c r="G1526" t="s">
        <v>20970</v>
      </c>
      <c r="H1526">
        <v>18.7</v>
      </c>
      <c r="I1526">
        <v>0</v>
      </c>
      <c r="J1526">
        <v>0</v>
      </c>
      <c r="K1526">
        <v>20</v>
      </c>
      <c r="N1526">
        <v>3</v>
      </c>
      <c r="O1526">
        <v>3</v>
      </c>
      <c r="P1526">
        <v>4</v>
      </c>
      <c r="Q1526">
        <v>0</v>
      </c>
      <c r="R1526">
        <v>45.7</v>
      </c>
      <c r="S1526">
        <v>15</v>
      </c>
      <c r="T1526">
        <v>15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15</v>
      </c>
      <c r="AB1526">
        <v>0</v>
      </c>
      <c r="AC1526">
        <v>0</v>
      </c>
      <c r="AD1526" t="s">
        <v>130</v>
      </c>
      <c r="AH1526">
        <v>60.7</v>
      </c>
    </row>
    <row r="1527" spans="1:34" x14ac:dyDescent="0.3">
      <c r="A1527" s="4">
        <v>1643</v>
      </c>
      <c r="B1527" s="5">
        <v>1520</v>
      </c>
      <c r="C1527">
        <v>1753</v>
      </c>
      <c r="D1527" t="s">
        <v>12370</v>
      </c>
      <c r="E1527" t="s">
        <v>20971</v>
      </c>
      <c r="F1527" t="s">
        <v>30</v>
      </c>
      <c r="G1527" t="s">
        <v>20972</v>
      </c>
      <c r="H1527">
        <v>18.68</v>
      </c>
      <c r="I1527">
        <v>0</v>
      </c>
      <c r="J1527">
        <v>0</v>
      </c>
      <c r="K1527">
        <v>20</v>
      </c>
      <c r="L1527">
        <v>7</v>
      </c>
      <c r="O1527">
        <v>7</v>
      </c>
      <c r="P1527">
        <v>4</v>
      </c>
      <c r="Q1527">
        <v>2</v>
      </c>
      <c r="R1527">
        <v>51.68</v>
      </c>
      <c r="S1527">
        <v>9</v>
      </c>
      <c r="T1527">
        <v>9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9</v>
      </c>
      <c r="AB1527">
        <v>0</v>
      </c>
      <c r="AC1527">
        <v>0</v>
      </c>
      <c r="AD1527" t="s">
        <v>130</v>
      </c>
      <c r="AH1527">
        <v>60.68</v>
      </c>
    </row>
    <row r="1528" spans="1:34" x14ac:dyDescent="0.3">
      <c r="A1528" s="4">
        <v>1644</v>
      </c>
      <c r="B1528" s="5">
        <v>1521</v>
      </c>
      <c r="C1528">
        <v>1091</v>
      </c>
      <c r="D1528" t="s">
        <v>7685</v>
      </c>
      <c r="E1528" t="s">
        <v>188</v>
      </c>
      <c r="F1528" t="s">
        <v>55</v>
      </c>
      <c r="G1528" t="s">
        <v>20973</v>
      </c>
      <c r="H1528">
        <v>17.68</v>
      </c>
      <c r="I1528">
        <v>0</v>
      </c>
      <c r="J1528">
        <v>0</v>
      </c>
      <c r="K1528">
        <v>0</v>
      </c>
      <c r="N1528">
        <v>3</v>
      </c>
      <c r="O1528">
        <v>3</v>
      </c>
      <c r="P1528">
        <v>4</v>
      </c>
      <c r="Q1528">
        <v>0</v>
      </c>
      <c r="R1528">
        <v>24.68</v>
      </c>
      <c r="S1528">
        <v>36</v>
      </c>
      <c r="T1528">
        <v>36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36</v>
      </c>
      <c r="AB1528">
        <v>0</v>
      </c>
      <c r="AC1528">
        <v>0</v>
      </c>
      <c r="AH1528">
        <v>60.68</v>
      </c>
    </row>
    <row r="1529" spans="1:34" x14ac:dyDescent="0.3">
      <c r="A1529" s="4">
        <v>1645</v>
      </c>
      <c r="B1529" s="5">
        <v>1522</v>
      </c>
      <c r="C1529">
        <v>1473</v>
      </c>
      <c r="D1529" t="s">
        <v>20974</v>
      </c>
      <c r="E1529" t="s">
        <v>110</v>
      </c>
      <c r="F1529" t="s">
        <v>20</v>
      </c>
      <c r="G1529" t="s">
        <v>20975</v>
      </c>
      <c r="H1529">
        <v>16.5</v>
      </c>
      <c r="I1529">
        <v>0</v>
      </c>
      <c r="J1529">
        <v>0</v>
      </c>
      <c r="K1529">
        <v>0</v>
      </c>
      <c r="O1529">
        <v>0</v>
      </c>
      <c r="P1529">
        <v>4</v>
      </c>
      <c r="Q1529">
        <v>2</v>
      </c>
      <c r="R1529">
        <v>22.5</v>
      </c>
      <c r="S1529">
        <v>32</v>
      </c>
      <c r="T1529">
        <v>32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32</v>
      </c>
      <c r="AB1529">
        <v>6</v>
      </c>
      <c r="AC1529">
        <v>0</v>
      </c>
      <c r="AH1529">
        <v>60.5</v>
      </c>
    </row>
    <row r="1530" spans="1:34" x14ac:dyDescent="0.3">
      <c r="A1530" s="4">
        <v>1646</v>
      </c>
      <c r="B1530" s="5">
        <v>1523</v>
      </c>
      <c r="C1530">
        <v>2014</v>
      </c>
      <c r="D1530" t="s">
        <v>549</v>
      </c>
      <c r="E1530" t="s">
        <v>161</v>
      </c>
      <c r="F1530" t="s">
        <v>1812</v>
      </c>
      <c r="G1530" t="s">
        <v>20976</v>
      </c>
      <c r="H1530">
        <v>19.45</v>
      </c>
      <c r="I1530">
        <v>0</v>
      </c>
      <c r="J1530">
        <v>0</v>
      </c>
      <c r="K1530">
        <v>20</v>
      </c>
      <c r="N1530">
        <v>3</v>
      </c>
      <c r="O1530">
        <v>3</v>
      </c>
      <c r="P1530">
        <v>4</v>
      </c>
      <c r="Q1530">
        <v>0</v>
      </c>
      <c r="R1530">
        <v>46.45</v>
      </c>
      <c r="S1530">
        <v>8</v>
      </c>
      <c r="T1530">
        <v>8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8</v>
      </c>
      <c r="AB1530">
        <v>6</v>
      </c>
      <c r="AC1530">
        <v>0</v>
      </c>
      <c r="AH1530">
        <v>60.45</v>
      </c>
    </row>
    <row r="1531" spans="1:34" x14ac:dyDescent="0.3">
      <c r="A1531" s="4">
        <v>1647</v>
      </c>
      <c r="B1531" s="5">
        <v>1524</v>
      </c>
      <c r="C1531">
        <v>10773</v>
      </c>
      <c r="D1531" t="s">
        <v>20977</v>
      </c>
      <c r="E1531" t="s">
        <v>41</v>
      </c>
      <c r="F1531" t="s">
        <v>58</v>
      </c>
      <c r="G1531" t="s">
        <v>20978</v>
      </c>
      <c r="H1531">
        <v>18.399999999999999</v>
      </c>
      <c r="I1531">
        <v>0</v>
      </c>
      <c r="J1531">
        <v>0</v>
      </c>
      <c r="K1531">
        <v>0</v>
      </c>
      <c r="N1531">
        <v>3</v>
      </c>
      <c r="O1531">
        <v>3</v>
      </c>
      <c r="P1531">
        <v>4</v>
      </c>
      <c r="Q1531">
        <v>0</v>
      </c>
      <c r="R1531">
        <v>25.4</v>
      </c>
      <c r="S1531">
        <v>35</v>
      </c>
      <c r="T1531">
        <v>35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35</v>
      </c>
      <c r="AB1531">
        <v>0</v>
      </c>
      <c r="AC1531">
        <v>0</v>
      </c>
      <c r="AH1531">
        <v>60.4</v>
      </c>
    </row>
    <row r="1532" spans="1:34" x14ac:dyDescent="0.3">
      <c r="A1532" s="4">
        <v>1648</v>
      </c>
      <c r="B1532" s="5">
        <v>1525</v>
      </c>
      <c r="C1532">
        <v>6081</v>
      </c>
      <c r="D1532" t="s">
        <v>7140</v>
      </c>
      <c r="E1532" t="s">
        <v>166</v>
      </c>
      <c r="F1532" t="s">
        <v>38</v>
      </c>
      <c r="G1532" t="s">
        <v>20979</v>
      </c>
      <c r="H1532">
        <v>17.399999999999999</v>
      </c>
      <c r="I1532">
        <v>0</v>
      </c>
      <c r="J1532">
        <v>0</v>
      </c>
      <c r="K1532">
        <v>0</v>
      </c>
      <c r="O1532">
        <v>0</v>
      </c>
      <c r="P1532">
        <v>4</v>
      </c>
      <c r="Q1532">
        <v>0</v>
      </c>
      <c r="R1532">
        <v>21.4</v>
      </c>
      <c r="S1532">
        <v>39</v>
      </c>
      <c r="T1532">
        <v>39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39</v>
      </c>
      <c r="AB1532">
        <v>0</v>
      </c>
      <c r="AC1532">
        <v>0</v>
      </c>
      <c r="AH1532">
        <v>60.4</v>
      </c>
    </row>
    <row r="1533" spans="1:34" x14ac:dyDescent="0.3">
      <c r="A1533" s="4">
        <v>1649</v>
      </c>
      <c r="B1533" s="5">
        <v>1526</v>
      </c>
      <c r="C1533">
        <v>6747</v>
      </c>
      <c r="D1533" t="s">
        <v>5542</v>
      </c>
      <c r="E1533" t="s">
        <v>3313</v>
      </c>
      <c r="F1533" t="s">
        <v>442</v>
      </c>
      <c r="G1533" t="s">
        <v>20980</v>
      </c>
      <c r="H1533">
        <v>18.350000000000001</v>
      </c>
      <c r="I1533">
        <v>0</v>
      </c>
      <c r="J1533">
        <v>0</v>
      </c>
      <c r="K1533">
        <v>0</v>
      </c>
      <c r="N1533">
        <v>3</v>
      </c>
      <c r="O1533">
        <v>3</v>
      </c>
      <c r="P1533">
        <v>4</v>
      </c>
      <c r="Q1533">
        <v>2</v>
      </c>
      <c r="R1533">
        <v>27.35</v>
      </c>
      <c r="S1533">
        <v>27</v>
      </c>
      <c r="T1533">
        <v>27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27</v>
      </c>
      <c r="AB1533">
        <v>6</v>
      </c>
      <c r="AC1533">
        <v>0</v>
      </c>
      <c r="AH1533">
        <v>60.35</v>
      </c>
    </row>
    <row r="1534" spans="1:34" x14ac:dyDescent="0.3">
      <c r="A1534" s="4">
        <v>1650</v>
      </c>
      <c r="B1534" s="5">
        <v>1527</v>
      </c>
      <c r="C1534">
        <v>11562</v>
      </c>
      <c r="D1534" t="s">
        <v>20981</v>
      </c>
      <c r="E1534" t="s">
        <v>283</v>
      </c>
      <c r="F1534" t="s">
        <v>38</v>
      </c>
      <c r="G1534" t="s">
        <v>20982</v>
      </c>
      <c r="H1534">
        <v>21.33</v>
      </c>
      <c r="I1534">
        <v>7</v>
      </c>
      <c r="J1534">
        <v>0</v>
      </c>
      <c r="K1534">
        <v>28</v>
      </c>
      <c r="O1534">
        <v>0</v>
      </c>
      <c r="P1534">
        <v>4</v>
      </c>
      <c r="Q1534">
        <v>0</v>
      </c>
      <c r="R1534">
        <v>60.33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H1534">
        <v>60.33</v>
      </c>
    </row>
    <row r="1535" spans="1:34" x14ac:dyDescent="0.3">
      <c r="A1535" s="4">
        <v>1651</v>
      </c>
      <c r="B1535" s="5">
        <v>1528</v>
      </c>
      <c r="C1535">
        <v>6756</v>
      </c>
      <c r="D1535" t="s">
        <v>20983</v>
      </c>
      <c r="E1535" t="s">
        <v>117</v>
      </c>
      <c r="F1535" t="s">
        <v>20</v>
      </c>
      <c r="G1535" t="s">
        <v>20984</v>
      </c>
      <c r="H1535">
        <v>15.3</v>
      </c>
      <c r="I1535">
        <v>0</v>
      </c>
      <c r="J1535">
        <v>40</v>
      </c>
      <c r="K1535">
        <v>0</v>
      </c>
      <c r="M1535">
        <v>5</v>
      </c>
      <c r="O1535">
        <v>5</v>
      </c>
      <c r="P1535">
        <v>0</v>
      </c>
      <c r="Q1535">
        <v>0</v>
      </c>
      <c r="R1535">
        <v>60.3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H1535">
        <v>60.3</v>
      </c>
    </row>
    <row r="1536" spans="1:34" x14ac:dyDescent="0.3">
      <c r="A1536" s="4">
        <v>1652</v>
      </c>
      <c r="B1536" s="5">
        <v>1529</v>
      </c>
      <c r="C1536">
        <v>13136</v>
      </c>
      <c r="D1536" t="s">
        <v>3230</v>
      </c>
      <c r="E1536" t="s">
        <v>132</v>
      </c>
      <c r="F1536" t="s">
        <v>167</v>
      </c>
      <c r="G1536" t="s">
        <v>20985</v>
      </c>
      <c r="H1536">
        <v>20.28</v>
      </c>
      <c r="I1536">
        <v>7</v>
      </c>
      <c r="J1536">
        <v>0</v>
      </c>
      <c r="K1536">
        <v>20</v>
      </c>
      <c r="N1536">
        <v>3</v>
      </c>
      <c r="O1536">
        <v>3</v>
      </c>
      <c r="P1536">
        <v>4</v>
      </c>
      <c r="Q1536">
        <v>0</v>
      </c>
      <c r="R1536">
        <v>54.28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6</v>
      </c>
      <c r="AC1536">
        <v>0</v>
      </c>
      <c r="AH1536">
        <v>60.28</v>
      </c>
    </row>
    <row r="1537" spans="1:34" x14ac:dyDescent="0.3">
      <c r="A1537" s="4">
        <v>1653</v>
      </c>
      <c r="B1537" s="5">
        <v>1530</v>
      </c>
      <c r="C1537">
        <v>9658</v>
      </c>
      <c r="D1537" t="s">
        <v>20986</v>
      </c>
      <c r="E1537" t="s">
        <v>190</v>
      </c>
      <c r="F1537" t="s">
        <v>117</v>
      </c>
      <c r="G1537" t="s">
        <v>20987</v>
      </c>
      <c r="H1537">
        <v>18.2</v>
      </c>
      <c r="I1537">
        <v>0</v>
      </c>
      <c r="J1537">
        <v>0</v>
      </c>
      <c r="K1537">
        <v>20</v>
      </c>
      <c r="N1537">
        <v>3</v>
      </c>
      <c r="O1537">
        <v>3</v>
      </c>
      <c r="P1537">
        <v>4</v>
      </c>
      <c r="Q1537">
        <v>0</v>
      </c>
      <c r="R1537">
        <v>45.2</v>
      </c>
      <c r="S1537">
        <v>15</v>
      </c>
      <c r="T1537">
        <v>15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15</v>
      </c>
      <c r="AB1537">
        <v>0</v>
      </c>
      <c r="AC1537">
        <v>0</v>
      </c>
      <c r="AH1537">
        <v>60.2</v>
      </c>
    </row>
    <row r="1538" spans="1:34" x14ac:dyDescent="0.3">
      <c r="A1538" s="4">
        <v>1654</v>
      </c>
      <c r="B1538" s="5">
        <v>1531</v>
      </c>
      <c r="C1538">
        <v>1871</v>
      </c>
      <c r="D1538" t="s">
        <v>28</v>
      </c>
      <c r="E1538" t="s">
        <v>17756</v>
      </c>
      <c r="F1538" t="s">
        <v>1399</v>
      </c>
      <c r="G1538" t="s">
        <v>20988</v>
      </c>
      <c r="H1538">
        <v>19.149999999999999</v>
      </c>
      <c r="I1538">
        <v>0</v>
      </c>
      <c r="J1538">
        <v>0</v>
      </c>
      <c r="K1538">
        <v>20</v>
      </c>
      <c r="L1538">
        <v>7</v>
      </c>
      <c r="O1538">
        <v>7</v>
      </c>
      <c r="P1538">
        <v>4</v>
      </c>
      <c r="Q1538">
        <v>2</v>
      </c>
      <c r="R1538">
        <v>52.15</v>
      </c>
      <c r="S1538">
        <v>8</v>
      </c>
      <c r="T1538">
        <v>8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8</v>
      </c>
      <c r="AB1538">
        <v>0</v>
      </c>
      <c r="AC1538">
        <v>0</v>
      </c>
      <c r="AH1538">
        <v>60.15</v>
      </c>
    </row>
    <row r="1539" spans="1:34" x14ac:dyDescent="0.3">
      <c r="A1539" s="4">
        <v>1655</v>
      </c>
      <c r="B1539" s="5">
        <v>1532</v>
      </c>
      <c r="C1539">
        <v>1634</v>
      </c>
      <c r="D1539" t="s">
        <v>20989</v>
      </c>
      <c r="E1539" t="s">
        <v>166</v>
      </c>
      <c r="F1539" t="s">
        <v>38</v>
      </c>
      <c r="G1539" t="s">
        <v>20990</v>
      </c>
      <c r="H1539">
        <v>21.1</v>
      </c>
      <c r="I1539">
        <v>0</v>
      </c>
      <c r="J1539">
        <v>0</v>
      </c>
      <c r="K1539">
        <v>20</v>
      </c>
      <c r="L1539">
        <v>7</v>
      </c>
      <c r="O1539">
        <v>7</v>
      </c>
      <c r="P1539">
        <v>4</v>
      </c>
      <c r="Q1539">
        <v>0</v>
      </c>
      <c r="R1539">
        <v>52.1</v>
      </c>
      <c r="S1539">
        <v>8</v>
      </c>
      <c r="T1539">
        <v>8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8</v>
      </c>
      <c r="AB1539">
        <v>0</v>
      </c>
      <c r="AC1539">
        <v>0</v>
      </c>
      <c r="AH1539">
        <v>60.1</v>
      </c>
    </row>
    <row r="1540" spans="1:34" x14ac:dyDescent="0.3">
      <c r="A1540" s="4">
        <v>1656</v>
      </c>
      <c r="B1540" s="5">
        <v>1533</v>
      </c>
      <c r="C1540">
        <v>12205</v>
      </c>
      <c r="D1540" t="s">
        <v>20991</v>
      </c>
      <c r="E1540" t="s">
        <v>81</v>
      </c>
      <c r="F1540" t="s">
        <v>81</v>
      </c>
      <c r="G1540" t="s">
        <v>20992</v>
      </c>
      <c r="H1540">
        <v>17.03</v>
      </c>
      <c r="I1540">
        <v>0</v>
      </c>
      <c r="J1540">
        <v>0</v>
      </c>
      <c r="K1540">
        <v>0</v>
      </c>
      <c r="O1540">
        <v>0</v>
      </c>
      <c r="P1540">
        <v>4</v>
      </c>
      <c r="Q1540">
        <v>0</v>
      </c>
      <c r="R1540">
        <v>21.03</v>
      </c>
      <c r="S1540">
        <v>33</v>
      </c>
      <c r="T1540">
        <v>33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33</v>
      </c>
      <c r="AB1540">
        <v>6</v>
      </c>
      <c r="AC1540">
        <v>0</v>
      </c>
      <c r="AH1540">
        <v>60.03</v>
      </c>
    </row>
    <row r="1541" spans="1:34" x14ac:dyDescent="0.3">
      <c r="A1541" s="4">
        <v>1657</v>
      </c>
      <c r="B1541" s="5">
        <v>1534</v>
      </c>
      <c r="C1541">
        <v>4439</v>
      </c>
      <c r="D1541" t="s">
        <v>6061</v>
      </c>
      <c r="E1541" t="s">
        <v>104</v>
      </c>
      <c r="F1541" t="s">
        <v>136</v>
      </c>
      <c r="G1541" t="s">
        <v>20993</v>
      </c>
      <c r="H1541">
        <v>19</v>
      </c>
      <c r="I1541">
        <v>0</v>
      </c>
      <c r="J1541">
        <v>0</v>
      </c>
      <c r="K1541">
        <v>28</v>
      </c>
      <c r="N1541">
        <v>3</v>
      </c>
      <c r="O1541">
        <v>3</v>
      </c>
      <c r="P1541">
        <v>4</v>
      </c>
      <c r="Q1541">
        <v>0</v>
      </c>
      <c r="R1541">
        <v>54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6</v>
      </c>
      <c r="AC1541">
        <v>0</v>
      </c>
      <c r="AH1541">
        <v>60</v>
      </c>
    </row>
    <row r="1542" spans="1:34" x14ac:dyDescent="0.3">
      <c r="A1542" s="4">
        <v>1658</v>
      </c>
      <c r="B1542" s="5">
        <v>1535</v>
      </c>
      <c r="C1542">
        <v>2159</v>
      </c>
      <c r="D1542" t="s">
        <v>20994</v>
      </c>
      <c r="E1542" t="s">
        <v>158</v>
      </c>
      <c r="F1542" t="s">
        <v>339</v>
      </c>
      <c r="G1542" t="s">
        <v>20995</v>
      </c>
      <c r="H1542">
        <v>17</v>
      </c>
      <c r="I1542">
        <v>0</v>
      </c>
      <c r="J1542">
        <v>0</v>
      </c>
      <c r="K1542">
        <v>0</v>
      </c>
      <c r="O1542">
        <v>0</v>
      </c>
      <c r="P1542">
        <v>4</v>
      </c>
      <c r="Q1542">
        <v>0</v>
      </c>
      <c r="R1542">
        <v>21</v>
      </c>
      <c r="S1542">
        <v>36</v>
      </c>
      <c r="T1542">
        <v>36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36</v>
      </c>
      <c r="AB1542">
        <v>3</v>
      </c>
      <c r="AC1542">
        <v>0</v>
      </c>
      <c r="AH1542">
        <v>60</v>
      </c>
    </row>
    <row r="1543" spans="1:34" x14ac:dyDescent="0.3">
      <c r="A1543" s="4">
        <v>1659</v>
      </c>
      <c r="B1543" s="5">
        <v>1536</v>
      </c>
      <c r="C1543">
        <v>11933</v>
      </c>
      <c r="D1543" t="s">
        <v>20996</v>
      </c>
      <c r="E1543" t="s">
        <v>697</v>
      </c>
      <c r="F1543" t="s">
        <v>158</v>
      </c>
      <c r="G1543" t="s">
        <v>20997</v>
      </c>
      <c r="H1543">
        <v>17.899999999999999</v>
      </c>
      <c r="I1543">
        <v>0</v>
      </c>
      <c r="J1543">
        <v>0</v>
      </c>
      <c r="K1543">
        <v>0</v>
      </c>
      <c r="N1543">
        <v>3</v>
      </c>
      <c r="O1543">
        <v>3</v>
      </c>
      <c r="P1543">
        <v>4</v>
      </c>
      <c r="Q1543">
        <v>0</v>
      </c>
      <c r="R1543">
        <v>24.9</v>
      </c>
      <c r="S1543">
        <v>32</v>
      </c>
      <c r="T1543">
        <v>32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32</v>
      </c>
      <c r="AB1543">
        <v>3</v>
      </c>
      <c r="AC1543">
        <v>0</v>
      </c>
      <c r="AH1543">
        <v>59.9</v>
      </c>
    </row>
    <row r="1544" spans="1:34" x14ac:dyDescent="0.3">
      <c r="A1544" s="4">
        <v>1660</v>
      </c>
      <c r="B1544" s="5">
        <v>1537</v>
      </c>
      <c r="C1544">
        <v>7959</v>
      </c>
      <c r="D1544" t="s">
        <v>572</v>
      </c>
      <c r="E1544" t="s">
        <v>29</v>
      </c>
      <c r="F1544" t="s">
        <v>91</v>
      </c>
      <c r="G1544" t="s">
        <v>20998</v>
      </c>
      <c r="H1544">
        <v>17.899999999999999</v>
      </c>
      <c r="I1544">
        <v>0</v>
      </c>
      <c r="J1544">
        <v>0</v>
      </c>
      <c r="K1544">
        <v>0</v>
      </c>
      <c r="O1544">
        <v>0</v>
      </c>
      <c r="P1544">
        <v>0</v>
      </c>
      <c r="Q1544">
        <v>0</v>
      </c>
      <c r="R1544">
        <v>17.899999999999999</v>
      </c>
      <c r="S1544">
        <v>39</v>
      </c>
      <c r="T1544">
        <v>39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39</v>
      </c>
      <c r="AB1544">
        <v>3</v>
      </c>
      <c r="AC1544">
        <v>0</v>
      </c>
      <c r="AH1544">
        <v>59.9</v>
      </c>
    </row>
    <row r="1545" spans="1:34" x14ac:dyDescent="0.3">
      <c r="A1545" s="4">
        <v>1661</v>
      </c>
      <c r="B1545" s="5">
        <v>1538</v>
      </c>
      <c r="C1545">
        <v>15270</v>
      </c>
      <c r="D1545" t="s">
        <v>20999</v>
      </c>
      <c r="E1545" t="s">
        <v>26</v>
      </c>
      <c r="F1545" t="s">
        <v>9300</v>
      </c>
      <c r="G1545" t="s">
        <v>21000</v>
      </c>
      <c r="H1545">
        <v>18.850000000000001</v>
      </c>
      <c r="I1545">
        <v>0</v>
      </c>
      <c r="J1545">
        <v>0</v>
      </c>
      <c r="K1545">
        <v>20</v>
      </c>
      <c r="N1545">
        <v>3</v>
      </c>
      <c r="O1545">
        <v>3</v>
      </c>
      <c r="P1545">
        <v>4</v>
      </c>
      <c r="Q1545">
        <v>0</v>
      </c>
      <c r="R1545">
        <v>45.85</v>
      </c>
      <c r="S1545">
        <v>8</v>
      </c>
      <c r="T1545">
        <v>8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8</v>
      </c>
      <c r="AB1545">
        <v>6</v>
      </c>
      <c r="AC1545">
        <v>0</v>
      </c>
      <c r="AH1545">
        <v>59.85</v>
      </c>
    </row>
    <row r="1546" spans="1:34" x14ac:dyDescent="0.3">
      <c r="A1546" s="4">
        <v>1662</v>
      </c>
      <c r="B1546" s="5">
        <v>1539</v>
      </c>
      <c r="C1546">
        <v>8571</v>
      </c>
      <c r="D1546" t="s">
        <v>1604</v>
      </c>
      <c r="E1546" t="s">
        <v>29</v>
      </c>
      <c r="F1546" t="s">
        <v>346</v>
      </c>
      <c r="G1546" t="s">
        <v>21001</v>
      </c>
      <c r="H1546">
        <v>20.83</v>
      </c>
      <c r="I1546">
        <v>0</v>
      </c>
      <c r="J1546">
        <v>0</v>
      </c>
      <c r="K1546">
        <v>20</v>
      </c>
      <c r="L1546">
        <v>7</v>
      </c>
      <c r="O1546">
        <v>7</v>
      </c>
      <c r="P1546">
        <v>4</v>
      </c>
      <c r="Q1546">
        <v>0</v>
      </c>
      <c r="R1546">
        <v>51.83</v>
      </c>
      <c r="S1546">
        <v>8</v>
      </c>
      <c r="T1546">
        <v>8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8</v>
      </c>
      <c r="AB1546">
        <v>0</v>
      </c>
      <c r="AC1546">
        <v>0</v>
      </c>
      <c r="AH1546">
        <v>59.83</v>
      </c>
    </row>
    <row r="1547" spans="1:34" x14ac:dyDescent="0.3">
      <c r="A1547" s="4">
        <v>1663</v>
      </c>
      <c r="B1547" s="5">
        <v>1540</v>
      </c>
      <c r="C1547">
        <v>13465</v>
      </c>
      <c r="D1547" t="s">
        <v>6336</v>
      </c>
      <c r="E1547" t="s">
        <v>21002</v>
      </c>
      <c r="F1547" t="s">
        <v>117</v>
      </c>
      <c r="G1547" t="s">
        <v>21003</v>
      </c>
      <c r="H1547">
        <v>16.75</v>
      </c>
      <c r="I1547">
        <v>0</v>
      </c>
      <c r="J1547">
        <v>0</v>
      </c>
      <c r="K1547">
        <v>0</v>
      </c>
      <c r="O1547">
        <v>0</v>
      </c>
      <c r="P1547">
        <v>4</v>
      </c>
      <c r="Q1547">
        <v>2</v>
      </c>
      <c r="R1547">
        <v>22.75</v>
      </c>
      <c r="S1547">
        <v>37</v>
      </c>
      <c r="T1547">
        <v>37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37</v>
      </c>
      <c r="AB1547">
        <v>0</v>
      </c>
      <c r="AC1547">
        <v>0</v>
      </c>
      <c r="AH1547">
        <v>59.75</v>
      </c>
    </row>
    <row r="1548" spans="1:34" x14ac:dyDescent="0.3">
      <c r="A1548" s="4">
        <v>1664</v>
      </c>
      <c r="B1548" s="5">
        <v>1541</v>
      </c>
      <c r="C1548">
        <v>4299</v>
      </c>
      <c r="D1548" t="s">
        <v>93</v>
      </c>
      <c r="E1548" t="s">
        <v>17</v>
      </c>
      <c r="F1548" t="s">
        <v>124</v>
      </c>
      <c r="G1548" t="s">
        <v>21004</v>
      </c>
      <c r="H1548">
        <v>22.63</v>
      </c>
      <c r="I1548">
        <v>0</v>
      </c>
      <c r="J1548">
        <v>0</v>
      </c>
      <c r="K1548">
        <v>20</v>
      </c>
      <c r="L1548">
        <v>7</v>
      </c>
      <c r="O1548">
        <v>7</v>
      </c>
      <c r="P1548">
        <v>4</v>
      </c>
      <c r="Q1548">
        <v>0</v>
      </c>
      <c r="R1548">
        <v>53.63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6</v>
      </c>
      <c r="AC1548">
        <v>0</v>
      </c>
      <c r="AH1548">
        <v>59.63</v>
      </c>
    </row>
    <row r="1549" spans="1:34" x14ac:dyDescent="0.3">
      <c r="A1549" s="4">
        <v>1665</v>
      </c>
      <c r="B1549" s="5">
        <v>1542</v>
      </c>
      <c r="C1549">
        <v>3525</v>
      </c>
      <c r="D1549" t="s">
        <v>6659</v>
      </c>
      <c r="E1549" t="s">
        <v>355</v>
      </c>
      <c r="F1549" t="s">
        <v>81</v>
      </c>
      <c r="G1549" t="s">
        <v>21005</v>
      </c>
      <c r="H1549">
        <v>20.58</v>
      </c>
      <c r="I1549">
        <v>0</v>
      </c>
      <c r="J1549">
        <v>0</v>
      </c>
      <c r="K1549">
        <v>20</v>
      </c>
      <c r="L1549">
        <v>7</v>
      </c>
      <c r="O1549">
        <v>7</v>
      </c>
      <c r="P1549">
        <v>4</v>
      </c>
      <c r="Q1549">
        <v>0</v>
      </c>
      <c r="R1549">
        <v>51.58</v>
      </c>
      <c r="S1549">
        <v>8</v>
      </c>
      <c r="T1549">
        <v>8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8</v>
      </c>
      <c r="AB1549">
        <v>0</v>
      </c>
      <c r="AC1549">
        <v>0</v>
      </c>
      <c r="AH1549">
        <v>59.58</v>
      </c>
    </row>
    <row r="1550" spans="1:34" x14ac:dyDescent="0.3">
      <c r="A1550" s="4">
        <v>1666</v>
      </c>
      <c r="B1550" s="5">
        <v>1543</v>
      </c>
      <c r="C1550">
        <v>14621</v>
      </c>
      <c r="D1550" t="s">
        <v>21006</v>
      </c>
      <c r="E1550" t="s">
        <v>4081</v>
      </c>
      <c r="F1550" t="s">
        <v>17</v>
      </c>
      <c r="G1550" t="s">
        <v>21007</v>
      </c>
      <c r="H1550">
        <v>22.55</v>
      </c>
      <c r="I1550">
        <v>0</v>
      </c>
      <c r="J1550">
        <v>0</v>
      </c>
      <c r="K1550">
        <v>20</v>
      </c>
      <c r="L1550">
        <v>7</v>
      </c>
      <c r="N1550">
        <v>3</v>
      </c>
      <c r="O1550">
        <v>10</v>
      </c>
      <c r="P1550">
        <v>4</v>
      </c>
      <c r="Q1550">
        <v>0</v>
      </c>
      <c r="R1550">
        <v>56.55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3</v>
      </c>
      <c r="AC1550">
        <v>0</v>
      </c>
      <c r="AH1550">
        <v>59.55</v>
      </c>
    </row>
    <row r="1551" spans="1:34" x14ac:dyDescent="0.3">
      <c r="A1551" s="4">
        <v>1667</v>
      </c>
      <c r="B1551" s="5">
        <v>1544</v>
      </c>
      <c r="C1551">
        <v>12167</v>
      </c>
      <c r="D1551" t="s">
        <v>16146</v>
      </c>
      <c r="E1551" t="s">
        <v>33</v>
      </c>
      <c r="F1551" t="s">
        <v>17</v>
      </c>
      <c r="G1551" t="s">
        <v>21008</v>
      </c>
      <c r="H1551">
        <v>20.53</v>
      </c>
      <c r="I1551">
        <v>0</v>
      </c>
      <c r="J1551">
        <v>0</v>
      </c>
      <c r="K1551">
        <v>0</v>
      </c>
      <c r="O1551">
        <v>0</v>
      </c>
      <c r="P1551">
        <v>4</v>
      </c>
      <c r="Q1551">
        <v>0</v>
      </c>
      <c r="R1551">
        <v>24.53</v>
      </c>
      <c r="S1551">
        <v>35</v>
      </c>
      <c r="T1551">
        <v>35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35</v>
      </c>
      <c r="AB1551">
        <v>0</v>
      </c>
      <c r="AC1551">
        <v>0</v>
      </c>
      <c r="AH1551">
        <v>59.53</v>
      </c>
    </row>
    <row r="1552" spans="1:34" x14ac:dyDescent="0.3">
      <c r="A1552" s="4">
        <v>1668</v>
      </c>
      <c r="B1552" s="5">
        <v>1545</v>
      </c>
      <c r="C1552">
        <v>7663</v>
      </c>
      <c r="D1552" t="s">
        <v>21009</v>
      </c>
      <c r="E1552" t="s">
        <v>342</v>
      </c>
      <c r="F1552" t="s">
        <v>442</v>
      </c>
      <c r="G1552" t="s">
        <v>21010</v>
      </c>
      <c r="H1552">
        <v>18.53</v>
      </c>
      <c r="I1552">
        <v>0</v>
      </c>
      <c r="J1552">
        <v>0</v>
      </c>
      <c r="K1552">
        <v>0</v>
      </c>
      <c r="O1552">
        <v>0</v>
      </c>
      <c r="P1552">
        <v>4</v>
      </c>
      <c r="Q1552">
        <v>2</v>
      </c>
      <c r="R1552">
        <v>24.53</v>
      </c>
      <c r="S1552">
        <v>35</v>
      </c>
      <c r="T1552">
        <v>35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35</v>
      </c>
      <c r="AB1552">
        <v>0</v>
      </c>
      <c r="AC1552">
        <v>0</v>
      </c>
      <c r="AH1552">
        <v>59.53</v>
      </c>
    </row>
    <row r="1553" spans="1:34" x14ac:dyDescent="0.3">
      <c r="A1553" s="4">
        <v>1669</v>
      </c>
      <c r="B1553" s="5">
        <v>1546</v>
      </c>
      <c r="C1553">
        <v>14415</v>
      </c>
      <c r="D1553" t="s">
        <v>21011</v>
      </c>
      <c r="E1553" t="s">
        <v>173</v>
      </c>
      <c r="F1553" t="s">
        <v>20</v>
      </c>
      <c r="G1553" t="s">
        <v>21012</v>
      </c>
      <c r="H1553">
        <v>19.5</v>
      </c>
      <c r="I1553">
        <v>0</v>
      </c>
      <c r="J1553">
        <v>0</v>
      </c>
      <c r="K1553">
        <v>20</v>
      </c>
      <c r="L1553">
        <v>7</v>
      </c>
      <c r="O1553">
        <v>7</v>
      </c>
      <c r="P1553">
        <v>4</v>
      </c>
      <c r="Q1553">
        <v>0</v>
      </c>
      <c r="R1553">
        <v>50.5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9</v>
      </c>
      <c r="AC1553">
        <v>0</v>
      </c>
      <c r="AH1553">
        <v>59.5</v>
      </c>
    </row>
    <row r="1554" spans="1:34" x14ac:dyDescent="0.3">
      <c r="A1554" s="4">
        <v>1670</v>
      </c>
      <c r="B1554" s="5">
        <v>1547</v>
      </c>
      <c r="C1554">
        <v>9452</v>
      </c>
      <c r="D1554" t="s">
        <v>8646</v>
      </c>
      <c r="E1554" t="s">
        <v>4935</v>
      </c>
      <c r="F1554" t="s">
        <v>62</v>
      </c>
      <c r="G1554" t="s">
        <v>21013</v>
      </c>
      <c r="H1554">
        <v>19.5</v>
      </c>
      <c r="I1554">
        <v>0</v>
      </c>
      <c r="J1554">
        <v>0</v>
      </c>
      <c r="K1554">
        <v>0</v>
      </c>
      <c r="O1554">
        <v>0</v>
      </c>
      <c r="P1554">
        <v>4</v>
      </c>
      <c r="Q1554">
        <v>0</v>
      </c>
      <c r="R1554">
        <v>23.5</v>
      </c>
      <c r="S1554">
        <v>36</v>
      </c>
      <c r="T1554">
        <v>36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36</v>
      </c>
      <c r="AB1554">
        <v>0</v>
      </c>
      <c r="AC1554">
        <v>0</v>
      </c>
      <c r="AH1554">
        <v>59.5</v>
      </c>
    </row>
    <row r="1555" spans="1:34" x14ac:dyDescent="0.3">
      <c r="A1555" s="4">
        <v>1671</v>
      </c>
      <c r="B1555" s="5">
        <v>1548</v>
      </c>
      <c r="C1555">
        <v>15391</v>
      </c>
      <c r="D1555" t="s">
        <v>3487</v>
      </c>
      <c r="E1555" t="s">
        <v>21014</v>
      </c>
      <c r="F1555" t="s">
        <v>62</v>
      </c>
      <c r="G1555" t="s">
        <v>21015</v>
      </c>
      <c r="H1555">
        <v>18.43</v>
      </c>
      <c r="I1555">
        <v>0</v>
      </c>
      <c r="J1555">
        <v>0</v>
      </c>
      <c r="K1555">
        <v>0</v>
      </c>
      <c r="N1555">
        <v>3</v>
      </c>
      <c r="O1555">
        <v>3</v>
      </c>
      <c r="P1555">
        <v>4</v>
      </c>
      <c r="Q1555">
        <v>0</v>
      </c>
      <c r="R1555">
        <v>25.43</v>
      </c>
      <c r="S1555">
        <v>25</v>
      </c>
      <c r="T1555">
        <v>25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25</v>
      </c>
      <c r="AB1555">
        <v>9</v>
      </c>
      <c r="AC1555">
        <v>0</v>
      </c>
      <c r="AH1555">
        <v>59.43</v>
      </c>
    </row>
    <row r="1556" spans="1:34" x14ac:dyDescent="0.3">
      <c r="A1556" s="4">
        <v>1672</v>
      </c>
      <c r="B1556" s="5">
        <v>1549</v>
      </c>
      <c r="C1556">
        <v>10135</v>
      </c>
      <c r="D1556" t="s">
        <v>5331</v>
      </c>
      <c r="E1556" t="s">
        <v>188</v>
      </c>
      <c r="F1556" t="s">
        <v>68</v>
      </c>
      <c r="G1556" t="s">
        <v>21016</v>
      </c>
      <c r="H1556">
        <v>20.399999999999999</v>
      </c>
      <c r="I1556">
        <v>0</v>
      </c>
      <c r="J1556">
        <v>0</v>
      </c>
      <c r="K1556">
        <v>0</v>
      </c>
      <c r="N1556">
        <v>3</v>
      </c>
      <c r="O1556">
        <v>3</v>
      </c>
      <c r="P1556">
        <v>4</v>
      </c>
      <c r="Q1556">
        <v>2</v>
      </c>
      <c r="R1556">
        <v>29.4</v>
      </c>
      <c r="S1556">
        <v>18</v>
      </c>
      <c r="T1556">
        <v>18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18</v>
      </c>
      <c r="AB1556">
        <v>12</v>
      </c>
      <c r="AC1556">
        <v>0</v>
      </c>
      <c r="AH1556">
        <v>59.4</v>
      </c>
    </row>
    <row r="1557" spans="1:34" x14ac:dyDescent="0.3">
      <c r="A1557" s="4">
        <v>1673</v>
      </c>
      <c r="B1557" s="5">
        <v>1550</v>
      </c>
      <c r="C1557">
        <v>1086</v>
      </c>
      <c r="D1557" t="s">
        <v>21017</v>
      </c>
      <c r="E1557" t="s">
        <v>147</v>
      </c>
      <c r="F1557" t="s">
        <v>68</v>
      </c>
      <c r="G1557" t="s">
        <v>21018</v>
      </c>
      <c r="H1557">
        <v>22.38</v>
      </c>
      <c r="I1557">
        <v>0</v>
      </c>
      <c r="J1557">
        <v>0</v>
      </c>
      <c r="K1557">
        <v>20</v>
      </c>
      <c r="L1557">
        <v>7</v>
      </c>
      <c r="O1557">
        <v>7</v>
      </c>
      <c r="P1557">
        <v>4</v>
      </c>
      <c r="Q1557">
        <v>0</v>
      </c>
      <c r="R1557">
        <v>53.38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6</v>
      </c>
      <c r="AC1557">
        <v>0</v>
      </c>
      <c r="AH1557">
        <v>59.38</v>
      </c>
    </row>
    <row r="1558" spans="1:34" x14ac:dyDescent="0.3">
      <c r="A1558" s="4">
        <v>1674</v>
      </c>
      <c r="B1558" s="5">
        <v>1551</v>
      </c>
      <c r="C1558">
        <v>10513</v>
      </c>
      <c r="D1558" t="s">
        <v>21019</v>
      </c>
      <c r="E1558" t="s">
        <v>100</v>
      </c>
      <c r="F1558" t="s">
        <v>190</v>
      </c>
      <c r="G1558" t="s">
        <v>21020</v>
      </c>
      <c r="H1558">
        <v>18.350000000000001</v>
      </c>
      <c r="I1558">
        <v>0</v>
      </c>
      <c r="J1558">
        <v>0</v>
      </c>
      <c r="K1558">
        <v>28</v>
      </c>
      <c r="L1558">
        <v>7</v>
      </c>
      <c r="N1558">
        <v>3</v>
      </c>
      <c r="O1558">
        <v>10</v>
      </c>
      <c r="P1558">
        <v>0</v>
      </c>
      <c r="Q1558">
        <v>0</v>
      </c>
      <c r="R1558">
        <v>56.35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3</v>
      </c>
      <c r="AC1558">
        <v>0</v>
      </c>
      <c r="AH1558">
        <v>59.35</v>
      </c>
    </row>
    <row r="1559" spans="1:34" x14ac:dyDescent="0.3">
      <c r="A1559" s="4">
        <v>1675</v>
      </c>
      <c r="B1559" s="5">
        <v>1552</v>
      </c>
      <c r="C1559">
        <v>9461</v>
      </c>
      <c r="D1559" t="s">
        <v>7140</v>
      </c>
      <c r="E1559" t="s">
        <v>406</v>
      </c>
      <c r="F1559" t="s">
        <v>2830</v>
      </c>
      <c r="G1559" t="s">
        <v>21021</v>
      </c>
      <c r="H1559">
        <v>17.350000000000001</v>
      </c>
      <c r="I1559">
        <v>0</v>
      </c>
      <c r="J1559">
        <v>0</v>
      </c>
      <c r="K1559">
        <v>20</v>
      </c>
      <c r="L1559">
        <v>7</v>
      </c>
      <c r="N1559">
        <v>3</v>
      </c>
      <c r="O1559">
        <v>10</v>
      </c>
      <c r="P1559">
        <v>4</v>
      </c>
      <c r="Q1559">
        <v>0</v>
      </c>
      <c r="R1559">
        <v>51.35</v>
      </c>
      <c r="S1559">
        <v>8</v>
      </c>
      <c r="T1559">
        <v>8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8</v>
      </c>
      <c r="AB1559">
        <v>0</v>
      </c>
      <c r="AC1559">
        <v>0</v>
      </c>
      <c r="AH1559">
        <v>59.35</v>
      </c>
    </row>
    <row r="1560" spans="1:34" x14ac:dyDescent="0.3">
      <c r="A1560" s="4">
        <v>1676</v>
      </c>
      <c r="B1560" s="5">
        <v>1553</v>
      </c>
      <c r="C1560">
        <v>14039</v>
      </c>
      <c r="D1560" t="s">
        <v>21022</v>
      </c>
      <c r="E1560" t="s">
        <v>21023</v>
      </c>
      <c r="F1560" t="s">
        <v>626</v>
      </c>
      <c r="G1560" t="s">
        <v>21024</v>
      </c>
      <c r="H1560">
        <v>17.28</v>
      </c>
      <c r="I1560">
        <v>0</v>
      </c>
      <c r="J1560">
        <v>0</v>
      </c>
      <c r="K1560">
        <v>20</v>
      </c>
      <c r="L1560">
        <v>7</v>
      </c>
      <c r="M1560">
        <v>5</v>
      </c>
      <c r="O1560">
        <v>12</v>
      </c>
      <c r="P1560">
        <v>4</v>
      </c>
      <c r="Q1560">
        <v>0</v>
      </c>
      <c r="R1560">
        <v>53.28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6</v>
      </c>
      <c r="AC1560">
        <v>0</v>
      </c>
      <c r="AH1560">
        <v>59.28</v>
      </c>
    </row>
    <row r="1561" spans="1:34" x14ac:dyDescent="0.3">
      <c r="A1561" s="4">
        <v>1677</v>
      </c>
      <c r="B1561" s="5">
        <v>1554</v>
      </c>
      <c r="C1561">
        <v>5325</v>
      </c>
      <c r="D1561" t="s">
        <v>21025</v>
      </c>
      <c r="E1561" t="s">
        <v>68</v>
      </c>
      <c r="F1561" t="s">
        <v>38</v>
      </c>
      <c r="G1561" t="s">
        <v>21026</v>
      </c>
      <c r="H1561">
        <v>20.25</v>
      </c>
      <c r="I1561">
        <v>0</v>
      </c>
      <c r="J1561">
        <v>0</v>
      </c>
      <c r="K1561">
        <v>20</v>
      </c>
      <c r="L1561">
        <v>7</v>
      </c>
      <c r="O1561">
        <v>7</v>
      </c>
      <c r="P1561">
        <v>4</v>
      </c>
      <c r="Q1561">
        <v>2</v>
      </c>
      <c r="R1561">
        <v>53.25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6</v>
      </c>
      <c r="AC1561">
        <v>0</v>
      </c>
      <c r="AH1561">
        <v>59.25</v>
      </c>
    </row>
    <row r="1562" spans="1:34" x14ac:dyDescent="0.3">
      <c r="A1562" s="4">
        <v>1678</v>
      </c>
      <c r="B1562" s="5">
        <v>1555</v>
      </c>
      <c r="C1562">
        <v>5563</v>
      </c>
      <c r="D1562" t="s">
        <v>3155</v>
      </c>
      <c r="E1562" t="s">
        <v>1659</v>
      </c>
      <c r="F1562" t="s">
        <v>18139</v>
      </c>
      <c r="G1562" t="s">
        <v>21027</v>
      </c>
      <c r="H1562">
        <v>18.25</v>
      </c>
      <c r="I1562">
        <v>0</v>
      </c>
      <c r="J1562">
        <v>0</v>
      </c>
      <c r="K1562">
        <v>0</v>
      </c>
      <c r="N1562">
        <v>3</v>
      </c>
      <c r="O1562">
        <v>3</v>
      </c>
      <c r="P1562">
        <v>4</v>
      </c>
      <c r="Q1562">
        <v>0</v>
      </c>
      <c r="R1562">
        <v>25.25</v>
      </c>
      <c r="S1562">
        <v>34</v>
      </c>
      <c r="T1562">
        <v>34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34</v>
      </c>
      <c r="AB1562">
        <v>0</v>
      </c>
      <c r="AC1562">
        <v>0</v>
      </c>
      <c r="AH1562">
        <v>59.25</v>
      </c>
    </row>
    <row r="1563" spans="1:34" x14ac:dyDescent="0.3">
      <c r="A1563" s="4">
        <v>1679</v>
      </c>
      <c r="B1563" s="5">
        <v>1556</v>
      </c>
      <c r="C1563">
        <v>11974</v>
      </c>
      <c r="D1563" t="s">
        <v>6215</v>
      </c>
      <c r="E1563" t="s">
        <v>8056</v>
      </c>
      <c r="F1563" t="s">
        <v>117</v>
      </c>
      <c r="G1563" t="s">
        <v>21028</v>
      </c>
      <c r="H1563">
        <v>19.2</v>
      </c>
      <c r="I1563">
        <v>0</v>
      </c>
      <c r="J1563">
        <v>0</v>
      </c>
      <c r="K1563">
        <v>20</v>
      </c>
      <c r="L1563">
        <v>7</v>
      </c>
      <c r="O1563">
        <v>7</v>
      </c>
      <c r="P1563">
        <v>4</v>
      </c>
      <c r="Q1563">
        <v>0</v>
      </c>
      <c r="R1563">
        <v>50.2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9</v>
      </c>
      <c r="AC1563">
        <v>0</v>
      </c>
      <c r="AH1563">
        <v>59.2</v>
      </c>
    </row>
    <row r="1564" spans="1:34" x14ac:dyDescent="0.3">
      <c r="A1564" s="4">
        <v>1680</v>
      </c>
      <c r="B1564" s="5">
        <v>1557</v>
      </c>
      <c r="C1564">
        <v>9546</v>
      </c>
      <c r="D1564" t="s">
        <v>21029</v>
      </c>
      <c r="E1564" t="s">
        <v>208</v>
      </c>
      <c r="F1564" t="s">
        <v>136</v>
      </c>
      <c r="G1564" t="s">
        <v>21030</v>
      </c>
      <c r="H1564">
        <v>18.13</v>
      </c>
      <c r="I1564">
        <v>0</v>
      </c>
      <c r="J1564">
        <v>0</v>
      </c>
      <c r="K1564">
        <v>0</v>
      </c>
      <c r="M1564">
        <v>5</v>
      </c>
      <c r="O1564">
        <v>5</v>
      </c>
      <c r="P1564">
        <v>4</v>
      </c>
      <c r="Q1564">
        <v>2</v>
      </c>
      <c r="R1564">
        <v>29.13</v>
      </c>
      <c r="S1564">
        <v>27</v>
      </c>
      <c r="T1564">
        <v>27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27</v>
      </c>
      <c r="AB1564">
        <v>3</v>
      </c>
      <c r="AC1564">
        <v>0</v>
      </c>
      <c r="AH1564">
        <v>59.13</v>
      </c>
    </row>
    <row r="1565" spans="1:34" x14ac:dyDescent="0.3">
      <c r="A1565" s="4">
        <v>1681</v>
      </c>
      <c r="B1565" s="5">
        <v>1558</v>
      </c>
      <c r="C1565">
        <v>6962</v>
      </c>
      <c r="D1565" t="s">
        <v>1224</v>
      </c>
      <c r="E1565" t="s">
        <v>54</v>
      </c>
      <c r="F1565" t="s">
        <v>21031</v>
      </c>
      <c r="G1565" t="s">
        <v>21032</v>
      </c>
      <c r="H1565">
        <v>17.100000000000001</v>
      </c>
      <c r="I1565">
        <v>0</v>
      </c>
      <c r="J1565">
        <v>0</v>
      </c>
      <c r="K1565">
        <v>0</v>
      </c>
      <c r="N1565">
        <v>3</v>
      </c>
      <c r="O1565">
        <v>3</v>
      </c>
      <c r="P1565">
        <v>4</v>
      </c>
      <c r="Q1565">
        <v>0</v>
      </c>
      <c r="R1565">
        <v>24.1</v>
      </c>
      <c r="S1565">
        <v>35</v>
      </c>
      <c r="T1565">
        <v>35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35</v>
      </c>
      <c r="AB1565">
        <v>0</v>
      </c>
      <c r="AC1565">
        <v>0</v>
      </c>
      <c r="AH1565">
        <v>59.1</v>
      </c>
    </row>
    <row r="1566" spans="1:34" x14ac:dyDescent="0.3">
      <c r="A1566" s="4">
        <v>1682</v>
      </c>
      <c r="B1566" s="5">
        <v>1559</v>
      </c>
      <c r="C1566">
        <v>10375</v>
      </c>
      <c r="D1566" t="s">
        <v>21033</v>
      </c>
      <c r="E1566" t="s">
        <v>2843</v>
      </c>
      <c r="F1566" t="s">
        <v>238</v>
      </c>
      <c r="G1566" t="s">
        <v>21034</v>
      </c>
      <c r="H1566">
        <v>19.079999999999998</v>
      </c>
      <c r="I1566">
        <v>7</v>
      </c>
      <c r="J1566">
        <v>0</v>
      </c>
      <c r="K1566">
        <v>20</v>
      </c>
      <c r="N1566">
        <v>6</v>
      </c>
      <c r="O1566">
        <v>6</v>
      </c>
      <c r="P1566">
        <v>4</v>
      </c>
      <c r="Q1566">
        <v>0</v>
      </c>
      <c r="R1566">
        <v>56.08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3</v>
      </c>
      <c r="AC1566">
        <v>0</v>
      </c>
      <c r="AH1566">
        <v>59.08</v>
      </c>
    </row>
    <row r="1567" spans="1:34" x14ac:dyDescent="0.3">
      <c r="A1567" s="4">
        <v>1683</v>
      </c>
      <c r="B1567" s="5">
        <v>1560</v>
      </c>
      <c r="C1567">
        <v>588</v>
      </c>
      <c r="D1567" t="s">
        <v>2628</v>
      </c>
      <c r="E1567" t="s">
        <v>255</v>
      </c>
      <c r="F1567" t="s">
        <v>328</v>
      </c>
      <c r="G1567" t="s">
        <v>21035</v>
      </c>
      <c r="H1567">
        <v>19.079999999999998</v>
      </c>
      <c r="I1567">
        <v>0</v>
      </c>
      <c r="J1567">
        <v>0</v>
      </c>
      <c r="K1567">
        <v>0</v>
      </c>
      <c r="N1567">
        <v>6</v>
      </c>
      <c r="O1567">
        <v>6</v>
      </c>
      <c r="P1567">
        <v>4</v>
      </c>
      <c r="Q1567">
        <v>2</v>
      </c>
      <c r="R1567">
        <v>31.08</v>
      </c>
      <c r="S1567">
        <v>28</v>
      </c>
      <c r="T1567">
        <v>28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28</v>
      </c>
      <c r="AB1567">
        <v>0</v>
      </c>
      <c r="AC1567">
        <v>0</v>
      </c>
      <c r="AD1567" t="s">
        <v>130</v>
      </c>
      <c r="AH1567">
        <v>59.08</v>
      </c>
    </row>
    <row r="1568" spans="1:34" x14ac:dyDescent="0.3">
      <c r="A1568" s="4">
        <v>1684</v>
      </c>
      <c r="B1568" s="5">
        <v>1561</v>
      </c>
      <c r="C1568">
        <v>12418</v>
      </c>
      <c r="D1568" t="s">
        <v>21036</v>
      </c>
      <c r="E1568" t="s">
        <v>41</v>
      </c>
      <c r="F1568" t="s">
        <v>20</v>
      </c>
      <c r="G1568" t="s">
        <v>21037</v>
      </c>
      <c r="H1568">
        <v>21.23</v>
      </c>
      <c r="I1568">
        <v>0</v>
      </c>
      <c r="J1568">
        <v>0</v>
      </c>
      <c r="K1568">
        <v>0</v>
      </c>
      <c r="L1568">
        <v>7</v>
      </c>
      <c r="O1568">
        <v>7</v>
      </c>
      <c r="P1568">
        <v>4</v>
      </c>
      <c r="Q1568">
        <v>0</v>
      </c>
      <c r="R1568">
        <v>32.229999999999997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26.8</v>
      </c>
      <c r="AH1568">
        <v>59.03</v>
      </c>
    </row>
    <row r="1569" spans="1:34" x14ac:dyDescent="0.3">
      <c r="A1569" s="4">
        <v>1685</v>
      </c>
      <c r="B1569" s="5">
        <v>1562</v>
      </c>
      <c r="C1569">
        <v>2373</v>
      </c>
      <c r="D1569" t="s">
        <v>21038</v>
      </c>
      <c r="E1569" t="s">
        <v>110</v>
      </c>
      <c r="F1569" t="s">
        <v>62</v>
      </c>
      <c r="G1569" t="s">
        <v>21039</v>
      </c>
      <c r="H1569">
        <v>18.95</v>
      </c>
      <c r="I1569">
        <v>0</v>
      </c>
      <c r="J1569">
        <v>0</v>
      </c>
      <c r="K1569">
        <v>20</v>
      </c>
      <c r="N1569">
        <v>3</v>
      </c>
      <c r="O1569">
        <v>3</v>
      </c>
      <c r="P1569">
        <v>4</v>
      </c>
      <c r="Q1569">
        <v>2</v>
      </c>
      <c r="R1569">
        <v>47.95</v>
      </c>
      <c r="S1569">
        <v>8</v>
      </c>
      <c r="T1569">
        <v>8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8</v>
      </c>
      <c r="AB1569">
        <v>3</v>
      </c>
      <c r="AC1569">
        <v>0</v>
      </c>
      <c r="AH1569">
        <v>58.95</v>
      </c>
    </row>
    <row r="1570" spans="1:34" x14ac:dyDescent="0.3">
      <c r="A1570" s="4">
        <v>1686</v>
      </c>
      <c r="B1570" s="5">
        <v>1563</v>
      </c>
      <c r="C1570">
        <v>2201</v>
      </c>
      <c r="D1570" t="s">
        <v>21040</v>
      </c>
      <c r="E1570" t="s">
        <v>115</v>
      </c>
      <c r="F1570" t="s">
        <v>17</v>
      </c>
      <c r="G1570" t="s">
        <v>21041</v>
      </c>
      <c r="H1570">
        <v>20.93</v>
      </c>
      <c r="I1570">
        <v>0</v>
      </c>
      <c r="J1570">
        <v>0</v>
      </c>
      <c r="K1570">
        <v>20</v>
      </c>
      <c r="L1570">
        <v>7</v>
      </c>
      <c r="M1570">
        <v>5</v>
      </c>
      <c r="O1570">
        <v>12</v>
      </c>
      <c r="P1570">
        <v>4</v>
      </c>
      <c r="Q1570">
        <v>2</v>
      </c>
      <c r="R1570">
        <v>58.93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 t="s">
        <v>130</v>
      </c>
      <c r="AH1570">
        <v>58.93</v>
      </c>
    </row>
    <row r="1571" spans="1:34" x14ac:dyDescent="0.3">
      <c r="A1571" s="4">
        <v>1687</v>
      </c>
      <c r="B1571" s="5">
        <v>1564</v>
      </c>
      <c r="C1571">
        <v>8749</v>
      </c>
      <c r="D1571" t="s">
        <v>21042</v>
      </c>
      <c r="E1571" t="s">
        <v>54</v>
      </c>
      <c r="F1571" t="s">
        <v>442</v>
      </c>
      <c r="G1571" t="s">
        <v>21043</v>
      </c>
      <c r="H1571">
        <v>19.88</v>
      </c>
      <c r="I1571">
        <v>0</v>
      </c>
      <c r="J1571">
        <v>0</v>
      </c>
      <c r="K1571">
        <v>20</v>
      </c>
      <c r="L1571">
        <v>7</v>
      </c>
      <c r="N1571">
        <v>3</v>
      </c>
      <c r="O1571">
        <v>10</v>
      </c>
      <c r="P1571">
        <v>4</v>
      </c>
      <c r="Q1571">
        <v>2</v>
      </c>
      <c r="R1571">
        <v>55.88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3</v>
      </c>
      <c r="AC1571">
        <v>0</v>
      </c>
      <c r="AH1571">
        <v>58.88</v>
      </c>
    </row>
    <row r="1572" spans="1:34" x14ac:dyDescent="0.3">
      <c r="A1572" s="4">
        <v>1688</v>
      </c>
      <c r="B1572" s="5">
        <v>1565</v>
      </c>
      <c r="C1572">
        <v>13162</v>
      </c>
      <c r="D1572" t="s">
        <v>21044</v>
      </c>
      <c r="E1572" t="s">
        <v>21045</v>
      </c>
      <c r="F1572" t="s">
        <v>17</v>
      </c>
      <c r="G1572" t="s">
        <v>21046</v>
      </c>
      <c r="H1572">
        <v>16.88</v>
      </c>
      <c r="I1572">
        <v>0</v>
      </c>
      <c r="J1572">
        <v>0</v>
      </c>
      <c r="K1572">
        <v>20</v>
      </c>
      <c r="M1572">
        <v>5</v>
      </c>
      <c r="N1572">
        <v>3</v>
      </c>
      <c r="O1572">
        <v>8</v>
      </c>
      <c r="P1572">
        <v>4</v>
      </c>
      <c r="Q1572">
        <v>0</v>
      </c>
      <c r="R1572">
        <v>48.88</v>
      </c>
      <c r="S1572">
        <v>7</v>
      </c>
      <c r="T1572">
        <v>7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7</v>
      </c>
      <c r="AB1572">
        <v>3</v>
      </c>
      <c r="AC1572">
        <v>0</v>
      </c>
      <c r="AH1572">
        <v>58.88</v>
      </c>
    </row>
    <row r="1573" spans="1:34" x14ac:dyDescent="0.3">
      <c r="A1573" s="4">
        <v>1689</v>
      </c>
      <c r="B1573" s="5">
        <v>1566</v>
      </c>
      <c r="C1573">
        <v>5609</v>
      </c>
      <c r="D1573" t="s">
        <v>181</v>
      </c>
      <c r="E1573" t="s">
        <v>283</v>
      </c>
      <c r="F1573" t="s">
        <v>62</v>
      </c>
      <c r="G1573" t="s">
        <v>21047</v>
      </c>
      <c r="H1573">
        <v>16.8</v>
      </c>
      <c r="I1573">
        <v>0</v>
      </c>
      <c r="J1573">
        <v>0</v>
      </c>
      <c r="K1573">
        <v>0</v>
      </c>
      <c r="N1573">
        <v>3</v>
      </c>
      <c r="O1573">
        <v>3</v>
      </c>
      <c r="P1573">
        <v>4</v>
      </c>
      <c r="Q1573">
        <v>2</v>
      </c>
      <c r="R1573">
        <v>25.8</v>
      </c>
      <c r="S1573">
        <v>33</v>
      </c>
      <c r="T1573">
        <v>33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33</v>
      </c>
      <c r="AB1573">
        <v>0</v>
      </c>
      <c r="AC1573">
        <v>0</v>
      </c>
      <c r="AH1573">
        <v>58.8</v>
      </c>
    </row>
    <row r="1574" spans="1:34" x14ac:dyDescent="0.3">
      <c r="A1574" s="4">
        <v>1690</v>
      </c>
      <c r="B1574" s="5">
        <v>1567</v>
      </c>
      <c r="C1574">
        <v>11350</v>
      </c>
      <c r="D1574" t="s">
        <v>7764</v>
      </c>
      <c r="E1574" t="s">
        <v>29</v>
      </c>
      <c r="F1574" t="s">
        <v>17</v>
      </c>
      <c r="G1574" t="s">
        <v>21048</v>
      </c>
      <c r="H1574">
        <v>18.73</v>
      </c>
      <c r="I1574">
        <v>0</v>
      </c>
      <c r="J1574">
        <v>0</v>
      </c>
      <c r="K1574">
        <v>0</v>
      </c>
      <c r="O1574">
        <v>0</v>
      </c>
      <c r="P1574">
        <v>4</v>
      </c>
      <c r="Q1574">
        <v>2</v>
      </c>
      <c r="R1574">
        <v>24.73</v>
      </c>
      <c r="S1574">
        <v>34</v>
      </c>
      <c r="T1574">
        <v>34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34</v>
      </c>
      <c r="AB1574">
        <v>0</v>
      </c>
      <c r="AC1574">
        <v>0</v>
      </c>
      <c r="AD1574" t="s">
        <v>130</v>
      </c>
      <c r="AH1574">
        <v>58.73</v>
      </c>
    </row>
    <row r="1575" spans="1:34" x14ac:dyDescent="0.3">
      <c r="A1575" s="4">
        <v>1691</v>
      </c>
      <c r="B1575" s="5">
        <v>1568</v>
      </c>
      <c r="C1575">
        <v>4562</v>
      </c>
      <c r="D1575" t="s">
        <v>21049</v>
      </c>
      <c r="E1575" t="s">
        <v>21050</v>
      </c>
      <c r="F1575" t="s">
        <v>30</v>
      </c>
      <c r="G1575" t="s">
        <v>21051</v>
      </c>
      <c r="H1575">
        <v>17.68</v>
      </c>
      <c r="I1575">
        <v>0</v>
      </c>
      <c r="J1575">
        <v>0</v>
      </c>
      <c r="K1575">
        <v>20</v>
      </c>
      <c r="L1575">
        <v>7</v>
      </c>
      <c r="N1575">
        <v>3</v>
      </c>
      <c r="O1575">
        <v>10</v>
      </c>
      <c r="P1575">
        <v>4</v>
      </c>
      <c r="Q1575">
        <v>0</v>
      </c>
      <c r="R1575">
        <v>51.68</v>
      </c>
      <c r="S1575">
        <v>7</v>
      </c>
      <c r="T1575">
        <v>7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7</v>
      </c>
      <c r="AB1575">
        <v>0</v>
      </c>
      <c r="AC1575">
        <v>0</v>
      </c>
      <c r="AH1575">
        <v>58.68</v>
      </c>
    </row>
    <row r="1576" spans="1:34" x14ac:dyDescent="0.3">
      <c r="A1576" s="4">
        <v>1692</v>
      </c>
      <c r="B1576" s="5">
        <v>1569</v>
      </c>
      <c r="C1576">
        <v>1282</v>
      </c>
      <c r="D1576" t="s">
        <v>1703</v>
      </c>
      <c r="E1576" t="s">
        <v>68</v>
      </c>
      <c r="F1576" t="s">
        <v>17</v>
      </c>
      <c r="G1576" t="s">
        <v>21052</v>
      </c>
      <c r="H1576">
        <v>20.48</v>
      </c>
      <c r="I1576">
        <v>7</v>
      </c>
      <c r="J1576">
        <v>0</v>
      </c>
      <c r="K1576">
        <v>20</v>
      </c>
      <c r="L1576">
        <v>7</v>
      </c>
      <c r="O1576">
        <v>7</v>
      </c>
      <c r="P1576">
        <v>4</v>
      </c>
      <c r="Q1576">
        <v>0</v>
      </c>
      <c r="R1576">
        <v>58.48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H1576">
        <v>58.48</v>
      </c>
    </row>
    <row r="1577" spans="1:34" x14ac:dyDescent="0.3">
      <c r="A1577" s="4">
        <v>1693</v>
      </c>
      <c r="B1577" s="5">
        <v>1570</v>
      </c>
      <c r="C1577">
        <v>2977</v>
      </c>
      <c r="D1577" t="s">
        <v>3752</v>
      </c>
      <c r="E1577" t="s">
        <v>439</v>
      </c>
      <c r="F1577" t="s">
        <v>587</v>
      </c>
      <c r="G1577" t="s">
        <v>21053</v>
      </c>
      <c r="H1577">
        <v>16.45</v>
      </c>
      <c r="I1577">
        <v>0</v>
      </c>
      <c r="J1577">
        <v>0</v>
      </c>
      <c r="K1577">
        <v>0</v>
      </c>
      <c r="N1577">
        <v>3</v>
      </c>
      <c r="O1577">
        <v>3</v>
      </c>
      <c r="P1577">
        <v>4</v>
      </c>
      <c r="Q1577">
        <v>0</v>
      </c>
      <c r="R1577">
        <v>23.45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3</v>
      </c>
      <c r="AC1577">
        <v>32</v>
      </c>
      <c r="AH1577">
        <v>58.45</v>
      </c>
    </row>
    <row r="1578" spans="1:34" x14ac:dyDescent="0.3">
      <c r="A1578" s="4">
        <v>1694</v>
      </c>
      <c r="B1578" s="5">
        <v>1571</v>
      </c>
      <c r="C1578">
        <v>8885</v>
      </c>
      <c r="D1578" t="s">
        <v>21054</v>
      </c>
      <c r="E1578" t="s">
        <v>136</v>
      </c>
      <c r="F1578" t="s">
        <v>17</v>
      </c>
      <c r="G1578" t="s">
        <v>21055</v>
      </c>
      <c r="H1578">
        <v>16.399999999999999</v>
      </c>
      <c r="I1578">
        <v>0</v>
      </c>
      <c r="J1578">
        <v>0</v>
      </c>
      <c r="K1578">
        <v>0</v>
      </c>
      <c r="O1578">
        <v>0</v>
      </c>
      <c r="P1578">
        <v>4</v>
      </c>
      <c r="Q1578">
        <v>0</v>
      </c>
      <c r="R1578">
        <v>20.399999999999999</v>
      </c>
      <c r="S1578">
        <v>35</v>
      </c>
      <c r="T1578">
        <v>35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35</v>
      </c>
      <c r="AB1578">
        <v>3</v>
      </c>
      <c r="AC1578">
        <v>0</v>
      </c>
      <c r="AH1578">
        <v>58.4</v>
      </c>
    </row>
    <row r="1579" spans="1:34" x14ac:dyDescent="0.3">
      <c r="A1579" s="4">
        <v>1695</v>
      </c>
      <c r="B1579" s="5">
        <v>1572</v>
      </c>
      <c r="C1579">
        <v>11494</v>
      </c>
      <c r="D1579" t="s">
        <v>7889</v>
      </c>
      <c r="E1579" t="s">
        <v>22</v>
      </c>
      <c r="F1579" t="s">
        <v>30</v>
      </c>
      <c r="G1579" t="s">
        <v>21056</v>
      </c>
      <c r="H1579">
        <v>19.350000000000001</v>
      </c>
      <c r="I1579">
        <v>0</v>
      </c>
      <c r="J1579">
        <v>0</v>
      </c>
      <c r="K1579">
        <v>20</v>
      </c>
      <c r="L1579">
        <v>7</v>
      </c>
      <c r="O1579">
        <v>7</v>
      </c>
      <c r="P1579">
        <v>4</v>
      </c>
      <c r="Q1579">
        <v>2</v>
      </c>
      <c r="R1579">
        <v>52.35</v>
      </c>
      <c r="S1579">
        <v>6</v>
      </c>
      <c r="T1579">
        <v>6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6</v>
      </c>
      <c r="AB1579">
        <v>0</v>
      </c>
      <c r="AC1579">
        <v>0</v>
      </c>
      <c r="AH1579">
        <v>58.35</v>
      </c>
    </row>
    <row r="1580" spans="1:34" x14ac:dyDescent="0.3">
      <c r="A1580" s="4">
        <v>1696</v>
      </c>
      <c r="B1580" s="5">
        <v>1573</v>
      </c>
      <c r="C1580">
        <v>1998</v>
      </c>
      <c r="D1580" t="s">
        <v>21057</v>
      </c>
      <c r="E1580" t="s">
        <v>161</v>
      </c>
      <c r="F1580" t="s">
        <v>17</v>
      </c>
      <c r="G1580" t="s">
        <v>21058</v>
      </c>
      <c r="H1580">
        <v>16.25</v>
      </c>
      <c r="I1580">
        <v>0</v>
      </c>
      <c r="J1580">
        <v>0</v>
      </c>
      <c r="K1580">
        <v>20</v>
      </c>
      <c r="L1580">
        <v>7</v>
      </c>
      <c r="M1580">
        <v>5</v>
      </c>
      <c r="O1580">
        <v>12</v>
      </c>
      <c r="P1580">
        <v>4</v>
      </c>
      <c r="Q1580">
        <v>0</v>
      </c>
      <c r="R1580">
        <v>52.25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6</v>
      </c>
      <c r="AC1580">
        <v>0</v>
      </c>
      <c r="AH1580">
        <v>58.25</v>
      </c>
    </row>
    <row r="1581" spans="1:34" x14ac:dyDescent="0.3">
      <c r="A1581" s="4">
        <v>1697</v>
      </c>
      <c r="B1581" s="5">
        <v>1574</v>
      </c>
      <c r="C1581">
        <v>10609</v>
      </c>
      <c r="D1581" t="s">
        <v>21059</v>
      </c>
      <c r="E1581" t="s">
        <v>21060</v>
      </c>
      <c r="F1581" t="s">
        <v>570</v>
      </c>
      <c r="G1581" t="s">
        <v>21061</v>
      </c>
      <c r="H1581">
        <v>19.2</v>
      </c>
      <c r="I1581">
        <v>0</v>
      </c>
      <c r="J1581">
        <v>0</v>
      </c>
      <c r="K1581">
        <v>28</v>
      </c>
      <c r="L1581">
        <v>7</v>
      </c>
      <c r="O1581">
        <v>7</v>
      </c>
      <c r="P1581">
        <v>4</v>
      </c>
      <c r="Q1581">
        <v>0</v>
      </c>
      <c r="R1581">
        <v>58.2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H1581">
        <v>58.2</v>
      </c>
    </row>
    <row r="1582" spans="1:34" x14ac:dyDescent="0.3">
      <c r="A1582" s="4">
        <v>1698</v>
      </c>
      <c r="B1582" s="5">
        <v>1575</v>
      </c>
      <c r="C1582">
        <v>13473</v>
      </c>
      <c r="D1582" t="s">
        <v>11520</v>
      </c>
      <c r="E1582" t="s">
        <v>283</v>
      </c>
      <c r="F1582" t="s">
        <v>193</v>
      </c>
      <c r="G1582" t="s">
        <v>21062</v>
      </c>
      <c r="H1582">
        <v>17.350000000000001</v>
      </c>
      <c r="I1582">
        <v>0</v>
      </c>
      <c r="J1582">
        <v>0</v>
      </c>
      <c r="K1582">
        <v>0</v>
      </c>
      <c r="L1582">
        <v>7</v>
      </c>
      <c r="O1582">
        <v>7</v>
      </c>
      <c r="P1582">
        <v>4</v>
      </c>
      <c r="Q1582">
        <v>0</v>
      </c>
      <c r="R1582">
        <v>28.35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3</v>
      </c>
      <c r="AC1582">
        <v>26.8</v>
      </c>
      <c r="AH1582">
        <v>58.15</v>
      </c>
    </row>
    <row r="1583" spans="1:34" x14ac:dyDescent="0.3">
      <c r="A1583" s="4">
        <v>1699</v>
      </c>
      <c r="B1583" s="5">
        <v>1576</v>
      </c>
      <c r="C1583">
        <v>11273</v>
      </c>
      <c r="D1583" t="s">
        <v>12</v>
      </c>
      <c r="E1583" t="s">
        <v>2758</v>
      </c>
      <c r="F1583" t="s">
        <v>17</v>
      </c>
      <c r="G1583" t="s">
        <v>21063</v>
      </c>
      <c r="H1583">
        <v>19.100000000000001</v>
      </c>
      <c r="I1583">
        <v>0</v>
      </c>
      <c r="J1583">
        <v>0</v>
      </c>
      <c r="K1583">
        <v>0</v>
      </c>
      <c r="N1583">
        <v>3</v>
      </c>
      <c r="O1583">
        <v>3</v>
      </c>
      <c r="P1583">
        <v>4</v>
      </c>
      <c r="Q1583">
        <v>2</v>
      </c>
      <c r="R1583">
        <v>28.1</v>
      </c>
      <c r="S1583">
        <v>27</v>
      </c>
      <c r="T1583">
        <v>27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27</v>
      </c>
      <c r="AB1583">
        <v>3</v>
      </c>
      <c r="AC1583">
        <v>0</v>
      </c>
      <c r="AD1583" t="s">
        <v>130</v>
      </c>
      <c r="AH1583">
        <v>58.1</v>
      </c>
    </row>
    <row r="1584" spans="1:34" x14ac:dyDescent="0.3">
      <c r="A1584" s="4">
        <v>1700</v>
      </c>
      <c r="B1584" s="5">
        <v>1577</v>
      </c>
      <c r="C1584">
        <v>9754</v>
      </c>
      <c r="D1584" t="s">
        <v>21064</v>
      </c>
      <c r="E1584" t="s">
        <v>54</v>
      </c>
      <c r="F1584" t="s">
        <v>136</v>
      </c>
      <c r="G1584" t="s">
        <v>21065</v>
      </c>
      <c r="H1584">
        <v>19.079999999999998</v>
      </c>
      <c r="I1584">
        <v>0</v>
      </c>
      <c r="J1584">
        <v>0</v>
      </c>
      <c r="K1584">
        <v>20</v>
      </c>
      <c r="L1584">
        <v>7</v>
      </c>
      <c r="N1584">
        <v>3</v>
      </c>
      <c r="O1584">
        <v>10</v>
      </c>
      <c r="P1584">
        <v>4</v>
      </c>
      <c r="Q1584">
        <v>0</v>
      </c>
      <c r="R1584">
        <v>53.08</v>
      </c>
      <c r="S1584">
        <v>5</v>
      </c>
      <c r="T1584">
        <v>5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5</v>
      </c>
      <c r="AB1584">
        <v>0</v>
      </c>
      <c r="AC1584">
        <v>0</v>
      </c>
      <c r="AH1584">
        <v>58.08</v>
      </c>
    </row>
    <row r="1585" spans="1:34" x14ac:dyDescent="0.3">
      <c r="A1585" s="4">
        <v>1701</v>
      </c>
      <c r="B1585" s="5">
        <v>1578</v>
      </c>
      <c r="C1585">
        <v>2354</v>
      </c>
      <c r="D1585" t="s">
        <v>3404</v>
      </c>
      <c r="E1585" t="s">
        <v>88</v>
      </c>
      <c r="F1585" t="s">
        <v>539</v>
      </c>
      <c r="G1585" t="s">
        <v>21066</v>
      </c>
      <c r="H1585">
        <v>18.05</v>
      </c>
      <c r="I1585">
        <v>0</v>
      </c>
      <c r="J1585">
        <v>0</v>
      </c>
      <c r="K1585">
        <v>20</v>
      </c>
      <c r="N1585">
        <v>6</v>
      </c>
      <c r="O1585">
        <v>6</v>
      </c>
      <c r="P1585">
        <v>4</v>
      </c>
      <c r="Q1585">
        <v>2</v>
      </c>
      <c r="R1585">
        <v>50.05</v>
      </c>
      <c r="S1585">
        <v>8</v>
      </c>
      <c r="T1585">
        <v>8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8</v>
      </c>
      <c r="AB1585">
        <v>0</v>
      </c>
      <c r="AC1585">
        <v>0</v>
      </c>
      <c r="AH1585">
        <v>58.05</v>
      </c>
    </row>
    <row r="1586" spans="1:34" x14ac:dyDescent="0.3">
      <c r="A1586" s="4">
        <v>1702</v>
      </c>
      <c r="B1586" s="5">
        <v>1579</v>
      </c>
      <c r="C1586">
        <v>7278</v>
      </c>
      <c r="D1586" t="s">
        <v>21067</v>
      </c>
      <c r="E1586" t="s">
        <v>21068</v>
      </c>
      <c r="F1586" t="s">
        <v>21069</v>
      </c>
      <c r="G1586" t="s">
        <v>21070</v>
      </c>
      <c r="H1586">
        <v>20.03</v>
      </c>
      <c r="I1586">
        <v>0</v>
      </c>
      <c r="J1586">
        <v>0</v>
      </c>
      <c r="K1586">
        <v>20</v>
      </c>
      <c r="L1586">
        <v>14</v>
      </c>
      <c r="O1586">
        <v>14</v>
      </c>
      <c r="P1586">
        <v>4</v>
      </c>
      <c r="Q1586">
        <v>0</v>
      </c>
      <c r="R1586">
        <v>58.03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H1586">
        <v>58.03</v>
      </c>
    </row>
    <row r="1587" spans="1:34" x14ac:dyDescent="0.3">
      <c r="A1587" s="4">
        <v>1703</v>
      </c>
      <c r="B1587" s="5">
        <v>1580</v>
      </c>
      <c r="C1587">
        <v>11584</v>
      </c>
      <c r="D1587" t="s">
        <v>21071</v>
      </c>
      <c r="E1587" t="s">
        <v>104</v>
      </c>
      <c r="F1587" t="s">
        <v>124</v>
      </c>
      <c r="G1587" t="s">
        <v>21072</v>
      </c>
      <c r="H1587">
        <v>18.93</v>
      </c>
      <c r="I1587">
        <v>0</v>
      </c>
      <c r="J1587">
        <v>0</v>
      </c>
      <c r="K1587">
        <v>0</v>
      </c>
      <c r="L1587">
        <v>7</v>
      </c>
      <c r="O1587">
        <v>7</v>
      </c>
      <c r="P1587">
        <v>4</v>
      </c>
      <c r="Q1587">
        <v>0</v>
      </c>
      <c r="R1587">
        <v>29.93</v>
      </c>
      <c r="S1587">
        <v>28</v>
      </c>
      <c r="T1587">
        <v>28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28</v>
      </c>
      <c r="AB1587">
        <v>0</v>
      </c>
      <c r="AC1587">
        <v>0</v>
      </c>
      <c r="AH1587">
        <v>57.93</v>
      </c>
    </row>
    <row r="1588" spans="1:34" x14ac:dyDescent="0.3">
      <c r="A1588" s="4">
        <v>1704</v>
      </c>
      <c r="B1588" s="5">
        <v>1581</v>
      </c>
      <c r="C1588">
        <v>15659</v>
      </c>
      <c r="D1588" t="s">
        <v>1170</v>
      </c>
      <c r="E1588" t="s">
        <v>471</v>
      </c>
      <c r="F1588" t="s">
        <v>38</v>
      </c>
      <c r="G1588" t="s">
        <v>21073</v>
      </c>
      <c r="H1588">
        <v>20.85</v>
      </c>
      <c r="I1588">
        <v>0</v>
      </c>
      <c r="J1588">
        <v>0</v>
      </c>
      <c r="K1588">
        <v>20</v>
      </c>
      <c r="L1588">
        <v>7</v>
      </c>
      <c r="N1588">
        <v>3</v>
      </c>
      <c r="O1588">
        <v>10</v>
      </c>
      <c r="P1588">
        <v>4</v>
      </c>
      <c r="Q1588">
        <v>0</v>
      </c>
      <c r="R1588">
        <v>54.85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3</v>
      </c>
      <c r="AC1588">
        <v>0</v>
      </c>
      <c r="AH1588">
        <v>57.85</v>
      </c>
    </row>
    <row r="1589" spans="1:34" x14ac:dyDescent="0.3">
      <c r="A1589" s="4">
        <v>1705</v>
      </c>
      <c r="B1589" s="5">
        <v>1582</v>
      </c>
      <c r="C1589">
        <v>7617</v>
      </c>
      <c r="D1589" t="s">
        <v>21074</v>
      </c>
      <c r="E1589" t="s">
        <v>41</v>
      </c>
      <c r="F1589" t="s">
        <v>136</v>
      </c>
      <c r="G1589" t="s">
        <v>21075</v>
      </c>
      <c r="H1589">
        <v>18.78</v>
      </c>
      <c r="I1589">
        <v>0</v>
      </c>
      <c r="J1589">
        <v>0</v>
      </c>
      <c r="K1589">
        <v>0</v>
      </c>
      <c r="L1589">
        <v>7</v>
      </c>
      <c r="O1589">
        <v>7</v>
      </c>
      <c r="P1589">
        <v>4</v>
      </c>
      <c r="Q1589">
        <v>2</v>
      </c>
      <c r="R1589">
        <v>31.78</v>
      </c>
      <c r="S1589">
        <v>17</v>
      </c>
      <c r="T1589">
        <v>17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17</v>
      </c>
      <c r="AB1589">
        <v>9</v>
      </c>
      <c r="AC1589">
        <v>0</v>
      </c>
      <c r="AH1589">
        <v>57.78</v>
      </c>
    </row>
    <row r="1590" spans="1:34" x14ac:dyDescent="0.3">
      <c r="A1590" s="4">
        <v>1706</v>
      </c>
      <c r="B1590" s="5">
        <v>1583</v>
      </c>
      <c r="C1590">
        <v>992</v>
      </c>
      <c r="D1590" t="s">
        <v>21076</v>
      </c>
      <c r="E1590" t="s">
        <v>738</v>
      </c>
      <c r="F1590" t="s">
        <v>238</v>
      </c>
      <c r="G1590" t="s">
        <v>21077</v>
      </c>
      <c r="H1590">
        <v>20.75</v>
      </c>
      <c r="I1590">
        <v>0</v>
      </c>
      <c r="J1590">
        <v>0</v>
      </c>
      <c r="K1590">
        <v>0</v>
      </c>
      <c r="L1590">
        <v>7</v>
      </c>
      <c r="O1590">
        <v>7</v>
      </c>
      <c r="P1590">
        <v>4</v>
      </c>
      <c r="Q1590">
        <v>2</v>
      </c>
      <c r="R1590">
        <v>33.75</v>
      </c>
      <c r="S1590">
        <v>18</v>
      </c>
      <c r="T1590">
        <v>18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18</v>
      </c>
      <c r="AB1590">
        <v>6</v>
      </c>
      <c r="AC1590">
        <v>0</v>
      </c>
      <c r="AH1590">
        <v>57.75</v>
      </c>
    </row>
    <row r="1591" spans="1:34" x14ac:dyDescent="0.3">
      <c r="A1591" s="4">
        <v>1707</v>
      </c>
      <c r="B1591" s="5">
        <v>1584</v>
      </c>
      <c r="C1591">
        <v>5284</v>
      </c>
      <c r="D1591" t="s">
        <v>21078</v>
      </c>
      <c r="E1591" t="s">
        <v>21079</v>
      </c>
      <c r="F1591" t="s">
        <v>62</v>
      </c>
      <c r="G1591" t="s">
        <v>21080</v>
      </c>
      <c r="H1591">
        <v>21.75</v>
      </c>
      <c r="I1591">
        <v>0</v>
      </c>
      <c r="J1591">
        <v>0</v>
      </c>
      <c r="K1591">
        <v>20</v>
      </c>
      <c r="L1591">
        <v>7</v>
      </c>
      <c r="O1591">
        <v>7</v>
      </c>
      <c r="P1591">
        <v>4</v>
      </c>
      <c r="Q1591">
        <v>0</v>
      </c>
      <c r="R1591">
        <v>52.75</v>
      </c>
      <c r="S1591">
        <v>5</v>
      </c>
      <c r="T1591">
        <v>5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5</v>
      </c>
      <c r="AB1591">
        <v>0</v>
      </c>
      <c r="AC1591">
        <v>0</v>
      </c>
      <c r="AH1591">
        <v>57.75</v>
      </c>
    </row>
    <row r="1592" spans="1:34" x14ac:dyDescent="0.3">
      <c r="A1592" s="4">
        <v>1708</v>
      </c>
      <c r="B1592" s="5">
        <v>1585</v>
      </c>
      <c r="C1592">
        <v>6533</v>
      </c>
      <c r="D1592" t="s">
        <v>20531</v>
      </c>
      <c r="E1592" t="s">
        <v>41</v>
      </c>
      <c r="F1592" t="s">
        <v>117</v>
      </c>
      <c r="G1592" t="s">
        <v>21081</v>
      </c>
      <c r="H1592">
        <v>17.73</v>
      </c>
      <c r="I1592">
        <v>0</v>
      </c>
      <c r="J1592">
        <v>0</v>
      </c>
      <c r="K1592">
        <v>20</v>
      </c>
      <c r="L1592">
        <v>7</v>
      </c>
      <c r="O1592">
        <v>7</v>
      </c>
      <c r="P1592">
        <v>4</v>
      </c>
      <c r="Q1592">
        <v>0</v>
      </c>
      <c r="R1592">
        <v>48.73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9</v>
      </c>
      <c r="AC1592">
        <v>0</v>
      </c>
      <c r="AH1592">
        <v>57.73</v>
      </c>
    </row>
    <row r="1593" spans="1:34" x14ac:dyDescent="0.3">
      <c r="A1593" s="4">
        <v>1709</v>
      </c>
      <c r="B1593" s="5">
        <v>1586</v>
      </c>
      <c r="C1593">
        <v>4661</v>
      </c>
      <c r="D1593" t="s">
        <v>21082</v>
      </c>
      <c r="E1593" t="s">
        <v>406</v>
      </c>
      <c r="F1593" t="s">
        <v>20</v>
      </c>
      <c r="G1593" t="s">
        <v>21083</v>
      </c>
      <c r="H1593">
        <v>18.7</v>
      </c>
      <c r="I1593">
        <v>0</v>
      </c>
      <c r="J1593">
        <v>0</v>
      </c>
      <c r="K1593">
        <v>0</v>
      </c>
      <c r="O1593">
        <v>0</v>
      </c>
      <c r="P1593">
        <v>4</v>
      </c>
      <c r="Q1593">
        <v>0</v>
      </c>
      <c r="R1593">
        <v>22.7</v>
      </c>
      <c r="S1593">
        <v>5</v>
      </c>
      <c r="T1593">
        <v>5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5</v>
      </c>
      <c r="AB1593">
        <v>0</v>
      </c>
      <c r="AC1593">
        <v>30</v>
      </c>
      <c r="AH1593">
        <v>57.7</v>
      </c>
    </row>
    <row r="1594" spans="1:34" x14ac:dyDescent="0.3">
      <c r="A1594" s="4">
        <v>1710</v>
      </c>
      <c r="B1594" s="5">
        <v>1587</v>
      </c>
      <c r="C1594">
        <v>5918</v>
      </c>
      <c r="D1594" t="s">
        <v>21084</v>
      </c>
      <c r="E1594" t="s">
        <v>1331</v>
      </c>
      <c r="F1594" t="s">
        <v>20</v>
      </c>
      <c r="G1594" t="s">
        <v>21085</v>
      </c>
      <c r="H1594">
        <v>18.7</v>
      </c>
      <c r="I1594">
        <v>0</v>
      </c>
      <c r="J1594">
        <v>0</v>
      </c>
      <c r="K1594">
        <v>0</v>
      </c>
      <c r="M1594">
        <v>5</v>
      </c>
      <c r="O1594">
        <v>5</v>
      </c>
      <c r="P1594">
        <v>0</v>
      </c>
      <c r="Q1594">
        <v>0</v>
      </c>
      <c r="R1594">
        <v>23.7</v>
      </c>
      <c r="S1594">
        <v>16</v>
      </c>
      <c r="T1594">
        <v>16</v>
      </c>
      <c r="U1594">
        <v>9</v>
      </c>
      <c r="V1594">
        <v>18</v>
      </c>
      <c r="W1594">
        <v>0</v>
      </c>
      <c r="X1594">
        <v>0</v>
      </c>
      <c r="Y1594">
        <v>0</v>
      </c>
      <c r="Z1594">
        <v>0</v>
      </c>
      <c r="AA1594">
        <v>34</v>
      </c>
      <c r="AB1594">
        <v>0</v>
      </c>
      <c r="AC1594">
        <v>0</v>
      </c>
      <c r="AH1594">
        <v>57.7</v>
      </c>
    </row>
    <row r="1595" spans="1:34" x14ac:dyDescent="0.3">
      <c r="A1595" s="4">
        <v>1711</v>
      </c>
      <c r="B1595" s="5">
        <v>1588</v>
      </c>
      <c r="C1595">
        <v>3915</v>
      </c>
      <c r="D1595" t="s">
        <v>33</v>
      </c>
      <c r="E1595" t="s">
        <v>21086</v>
      </c>
      <c r="F1595" t="s">
        <v>20</v>
      </c>
      <c r="G1595" t="s">
        <v>21087</v>
      </c>
      <c r="H1595">
        <v>16.63</v>
      </c>
      <c r="I1595">
        <v>0</v>
      </c>
      <c r="J1595">
        <v>0</v>
      </c>
      <c r="K1595">
        <v>0</v>
      </c>
      <c r="L1595">
        <v>7</v>
      </c>
      <c r="O1595">
        <v>7</v>
      </c>
      <c r="P1595">
        <v>4</v>
      </c>
      <c r="Q1595">
        <v>0</v>
      </c>
      <c r="R1595">
        <v>27.63</v>
      </c>
      <c r="S1595">
        <v>30</v>
      </c>
      <c r="T1595">
        <v>30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30</v>
      </c>
      <c r="AB1595">
        <v>0</v>
      </c>
      <c r="AC1595">
        <v>0</v>
      </c>
      <c r="AH1595">
        <v>57.63</v>
      </c>
    </row>
    <row r="1596" spans="1:34" x14ac:dyDescent="0.3">
      <c r="A1596" s="4">
        <v>1712</v>
      </c>
      <c r="B1596" s="5">
        <v>1589</v>
      </c>
      <c r="C1596">
        <v>3072</v>
      </c>
      <c r="D1596" t="s">
        <v>21088</v>
      </c>
      <c r="E1596" t="s">
        <v>71</v>
      </c>
      <c r="F1596" t="s">
        <v>375</v>
      </c>
      <c r="G1596" t="s">
        <v>21089</v>
      </c>
      <c r="H1596">
        <v>20.5</v>
      </c>
      <c r="I1596">
        <v>0</v>
      </c>
      <c r="J1596">
        <v>0</v>
      </c>
      <c r="K1596">
        <v>20</v>
      </c>
      <c r="L1596">
        <v>7</v>
      </c>
      <c r="O1596">
        <v>7</v>
      </c>
      <c r="P1596">
        <v>4</v>
      </c>
      <c r="Q1596">
        <v>0</v>
      </c>
      <c r="R1596">
        <v>51.5</v>
      </c>
      <c r="S1596">
        <v>6</v>
      </c>
      <c r="T1596">
        <v>6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6</v>
      </c>
      <c r="AB1596">
        <v>0</v>
      </c>
      <c r="AC1596">
        <v>0</v>
      </c>
      <c r="AH1596">
        <v>57.5</v>
      </c>
    </row>
    <row r="1597" spans="1:34" x14ac:dyDescent="0.3">
      <c r="A1597" s="4">
        <v>1713</v>
      </c>
      <c r="B1597" s="5">
        <v>1590</v>
      </c>
      <c r="C1597">
        <v>14087</v>
      </c>
      <c r="D1597" t="s">
        <v>13970</v>
      </c>
      <c r="E1597" t="s">
        <v>1189</v>
      </c>
      <c r="F1597" t="s">
        <v>117</v>
      </c>
      <c r="G1597" t="s">
        <v>21090</v>
      </c>
      <c r="H1597">
        <v>20.329999999999998</v>
      </c>
      <c r="I1597">
        <v>0</v>
      </c>
      <c r="J1597">
        <v>0</v>
      </c>
      <c r="K1597">
        <v>20</v>
      </c>
      <c r="L1597">
        <v>7</v>
      </c>
      <c r="O1597">
        <v>7</v>
      </c>
      <c r="P1597">
        <v>4</v>
      </c>
      <c r="Q1597">
        <v>0</v>
      </c>
      <c r="R1597">
        <v>51.33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6</v>
      </c>
      <c r="AC1597">
        <v>0</v>
      </c>
      <c r="AH1597">
        <v>57.33</v>
      </c>
    </row>
    <row r="1598" spans="1:34" x14ac:dyDescent="0.3">
      <c r="A1598" s="4">
        <v>1714</v>
      </c>
      <c r="B1598" s="5">
        <v>1591</v>
      </c>
      <c r="C1598">
        <v>11956</v>
      </c>
      <c r="D1598" t="s">
        <v>1822</v>
      </c>
      <c r="E1598" t="s">
        <v>575</v>
      </c>
      <c r="F1598" t="s">
        <v>20</v>
      </c>
      <c r="G1598" t="s">
        <v>21091</v>
      </c>
      <c r="H1598">
        <v>18.329999999999998</v>
      </c>
      <c r="I1598">
        <v>0</v>
      </c>
      <c r="J1598">
        <v>0</v>
      </c>
      <c r="K1598">
        <v>0</v>
      </c>
      <c r="O1598">
        <v>0</v>
      </c>
      <c r="P1598">
        <v>4</v>
      </c>
      <c r="Q1598">
        <v>0</v>
      </c>
      <c r="R1598">
        <v>22.33</v>
      </c>
      <c r="S1598">
        <v>35</v>
      </c>
      <c r="T1598">
        <v>35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35</v>
      </c>
      <c r="AB1598">
        <v>0</v>
      </c>
      <c r="AC1598">
        <v>0</v>
      </c>
      <c r="AH1598">
        <v>57.33</v>
      </c>
    </row>
    <row r="1599" spans="1:34" x14ac:dyDescent="0.3">
      <c r="A1599" s="4">
        <v>1715</v>
      </c>
      <c r="B1599" s="5">
        <v>1592</v>
      </c>
      <c r="C1599">
        <v>10413</v>
      </c>
      <c r="D1599" t="s">
        <v>21092</v>
      </c>
      <c r="E1599" t="s">
        <v>71</v>
      </c>
      <c r="F1599" t="s">
        <v>1806</v>
      </c>
      <c r="G1599" t="s">
        <v>21093</v>
      </c>
      <c r="H1599">
        <v>19.25</v>
      </c>
      <c r="I1599">
        <v>0</v>
      </c>
      <c r="J1599">
        <v>0</v>
      </c>
      <c r="K1599">
        <v>20</v>
      </c>
      <c r="N1599">
        <v>3</v>
      </c>
      <c r="O1599">
        <v>3</v>
      </c>
      <c r="P1599">
        <v>4</v>
      </c>
      <c r="Q1599">
        <v>0</v>
      </c>
      <c r="R1599">
        <v>46.25</v>
      </c>
      <c r="S1599">
        <v>8</v>
      </c>
      <c r="T1599">
        <v>8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8</v>
      </c>
      <c r="AB1599">
        <v>3</v>
      </c>
      <c r="AC1599">
        <v>0</v>
      </c>
      <c r="AD1599" t="s">
        <v>130</v>
      </c>
      <c r="AH1599">
        <v>57.25</v>
      </c>
    </row>
    <row r="1600" spans="1:34" x14ac:dyDescent="0.3">
      <c r="A1600" s="4">
        <v>1716</v>
      </c>
      <c r="B1600" s="5">
        <v>1593</v>
      </c>
      <c r="C1600">
        <v>10651</v>
      </c>
      <c r="D1600" t="s">
        <v>21094</v>
      </c>
      <c r="E1600" t="s">
        <v>166</v>
      </c>
      <c r="F1600" t="s">
        <v>587</v>
      </c>
      <c r="G1600" t="s">
        <v>21095</v>
      </c>
      <c r="H1600">
        <v>18.18</v>
      </c>
      <c r="I1600">
        <v>0</v>
      </c>
      <c r="J1600">
        <v>0</v>
      </c>
      <c r="K1600">
        <v>0</v>
      </c>
      <c r="N1600">
        <v>3</v>
      </c>
      <c r="O1600">
        <v>3</v>
      </c>
      <c r="P1600">
        <v>0</v>
      </c>
      <c r="Q1600">
        <v>0</v>
      </c>
      <c r="R1600">
        <v>21.18</v>
      </c>
      <c r="S1600">
        <v>36</v>
      </c>
      <c r="T1600">
        <v>36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36</v>
      </c>
      <c r="AB1600">
        <v>0</v>
      </c>
      <c r="AC1600">
        <v>0</v>
      </c>
      <c r="AH1600">
        <v>57.18</v>
      </c>
    </row>
    <row r="1601" spans="1:34" x14ac:dyDescent="0.3">
      <c r="A1601" s="4">
        <v>1717</v>
      </c>
      <c r="B1601" s="5">
        <v>1594</v>
      </c>
      <c r="C1601">
        <v>794</v>
      </c>
      <c r="D1601" t="s">
        <v>999</v>
      </c>
      <c r="E1601" t="s">
        <v>100</v>
      </c>
      <c r="F1601" t="s">
        <v>328</v>
      </c>
      <c r="G1601" t="s">
        <v>21096</v>
      </c>
      <c r="H1601">
        <v>17.329999999999998</v>
      </c>
      <c r="I1601">
        <v>0</v>
      </c>
      <c r="J1601">
        <v>0</v>
      </c>
      <c r="K1601">
        <v>0</v>
      </c>
      <c r="L1601">
        <v>7</v>
      </c>
      <c r="O1601">
        <v>7</v>
      </c>
      <c r="P1601">
        <v>4</v>
      </c>
      <c r="Q1601">
        <v>2</v>
      </c>
      <c r="R1601">
        <v>30.33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26.8</v>
      </c>
      <c r="AD1601" t="s">
        <v>130</v>
      </c>
      <c r="AH1601">
        <v>57.13</v>
      </c>
    </row>
    <row r="1602" spans="1:34" x14ac:dyDescent="0.3">
      <c r="A1602" s="4">
        <v>1718</v>
      </c>
      <c r="B1602" s="5">
        <v>1595</v>
      </c>
      <c r="C1602">
        <v>11276</v>
      </c>
      <c r="D1602" t="s">
        <v>9691</v>
      </c>
      <c r="E1602" t="s">
        <v>3680</v>
      </c>
      <c r="F1602" t="s">
        <v>30</v>
      </c>
      <c r="G1602">
        <v>1044506</v>
      </c>
      <c r="H1602">
        <v>24.13</v>
      </c>
      <c r="I1602">
        <v>0</v>
      </c>
      <c r="J1602">
        <v>0</v>
      </c>
      <c r="K1602">
        <v>20</v>
      </c>
      <c r="L1602">
        <v>7</v>
      </c>
      <c r="O1602">
        <v>7</v>
      </c>
      <c r="P1602">
        <v>4</v>
      </c>
      <c r="Q1602">
        <v>2</v>
      </c>
      <c r="R1602">
        <v>57.13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H1602">
        <v>57.13</v>
      </c>
    </row>
    <row r="1603" spans="1:34" x14ac:dyDescent="0.3">
      <c r="A1603" s="4">
        <v>1719</v>
      </c>
      <c r="B1603" s="5">
        <v>1596</v>
      </c>
      <c r="C1603">
        <v>12156</v>
      </c>
      <c r="D1603" t="s">
        <v>21097</v>
      </c>
      <c r="E1603" t="s">
        <v>5767</v>
      </c>
      <c r="F1603" t="s">
        <v>38</v>
      </c>
      <c r="G1603" t="s">
        <v>21098</v>
      </c>
      <c r="H1603">
        <v>18.100000000000001</v>
      </c>
      <c r="I1603">
        <v>0</v>
      </c>
      <c r="J1603">
        <v>0</v>
      </c>
      <c r="K1603">
        <v>20</v>
      </c>
      <c r="L1603">
        <v>7</v>
      </c>
      <c r="N1603">
        <v>3</v>
      </c>
      <c r="O1603">
        <v>10</v>
      </c>
      <c r="P1603">
        <v>4</v>
      </c>
      <c r="Q1603">
        <v>2</v>
      </c>
      <c r="R1603">
        <v>54.1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3</v>
      </c>
      <c r="AC1603">
        <v>0</v>
      </c>
      <c r="AH1603">
        <v>57.1</v>
      </c>
    </row>
    <row r="1604" spans="1:34" x14ac:dyDescent="0.3">
      <c r="A1604" s="4">
        <v>1720</v>
      </c>
      <c r="B1604" s="5">
        <v>1597</v>
      </c>
      <c r="C1604">
        <v>11692</v>
      </c>
      <c r="D1604" t="s">
        <v>21099</v>
      </c>
      <c r="E1604" t="s">
        <v>88</v>
      </c>
      <c r="F1604" t="s">
        <v>17</v>
      </c>
      <c r="G1604" t="s">
        <v>21100</v>
      </c>
      <c r="H1604">
        <v>19.149999999999999</v>
      </c>
      <c r="I1604">
        <v>0</v>
      </c>
      <c r="J1604">
        <v>0</v>
      </c>
      <c r="K1604">
        <v>0</v>
      </c>
      <c r="L1604">
        <v>7</v>
      </c>
      <c r="O1604">
        <v>7</v>
      </c>
      <c r="P1604">
        <v>4</v>
      </c>
      <c r="Q1604">
        <v>0</v>
      </c>
      <c r="R1604">
        <v>30.15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26.8</v>
      </c>
      <c r="AH1604">
        <v>56.95</v>
      </c>
    </row>
    <row r="1605" spans="1:34" x14ac:dyDescent="0.3">
      <c r="A1605" s="4">
        <v>1721</v>
      </c>
      <c r="B1605" s="5">
        <v>1598</v>
      </c>
      <c r="C1605">
        <v>10021</v>
      </c>
      <c r="D1605" t="s">
        <v>21101</v>
      </c>
      <c r="E1605" t="s">
        <v>37</v>
      </c>
      <c r="F1605" t="s">
        <v>68</v>
      </c>
      <c r="G1605" t="s">
        <v>21102</v>
      </c>
      <c r="H1605">
        <v>18.95</v>
      </c>
      <c r="I1605">
        <v>0</v>
      </c>
      <c r="J1605">
        <v>0</v>
      </c>
      <c r="K1605">
        <v>0</v>
      </c>
      <c r="L1605">
        <v>7</v>
      </c>
      <c r="O1605">
        <v>7</v>
      </c>
      <c r="P1605">
        <v>4</v>
      </c>
      <c r="Q1605">
        <v>2</v>
      </c>
      <c r="R1605">
        <v>31.95</v>
      </c>
      <c r="S1605">
        <v>25</v>
      </c>
      <c r="T1605">
        <v>25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25</v>
      </c>
      <c r="AB1605">
        <v>0</v>
      </c>
      <c r="AC1605">
        <v>0</v>
      </c>
      <c r="AH1605">
        <v>56.95</v>
      </c>
    </row>
    <row r="1606" spans="1:34" x14ac:dyDescent="0.3">
      <c r="A1606" s="4">
        <v>1722</v>
      </c>
      <c r="B1606" s="5">
        <v>1599</v>
      </c>
      <c r="C1606">
        <v>7676</v>
      </c>
      <c r="D1606" t="s">
        <v>21103</v>
      </c>
      <c r="E1606" t="s">
        <v>7864</v>
      </c>
      <c r="F1606" t="s">
        <v>52</v>
      </c>
      <c r="G1606" t="s">
        <v>21104</v>
      </c>
      <c r="H1606">
        <v>19.850000000000001</v>
      </c>
      <c r="I1606">
        <v>0</v>
      </c>
      <c r="J1606">
        <v>0</v>
      </c>
      <c r="K1606">
        <v>20</v>
      </c>
      <c r="L1606">
        <v>7</v>
      </c>
      <c r="O1606">
        <v>7</v>
      </c>
      <c r="P1606">
        <v>4</v>
      </c>
      <c r="Q1606">
        <v>0</v>
      </c>
      <c r="R1606">
        <v>50.85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6</v>
      </c>
      <c r="AC1606">
        <v>0</v>
      </c>
      <c r="AH1606">
        <v>56.85</v>
      </c>
    </row>
    <row r="1607" spans="1:34" x14ac:dyDescent="0.3">
      <c r="A1607" s="4">
        <v>1723</v>
      </c>
      <c r="B1607" s="5">
        <v>1600</v>
      </c>
      <c r="C1607">
        <v>13758</v>
      </c>
      <c r="D1607" t="s">
        <v>21105</v>
      </c>
      <c r="E1607" t="s">
        <v>143</v>
      </c>
      <c r="F1607" t="s">
        <v>20</v>
      </c>
      <c r="G1607" t="s">
        <v>21106</v>
      </c>
      <c r="H1607">
        <v>16.78</v>
      </c>
      <c r="I1607">
        <v>0</v>
      </c>
      <c r="J1607">
        <v>0</v>
      </c>
      <c r="K1607">
        <v>20</v>
      </c>
      <c r="L1607">
        <v>7</v>
      </c>
      <c r="O1607">
        <v>7</v>
      </c>
      <c r="P1607">
        <v>4</v>
      </c>
      <c r="Q1607">
        <v>2</v>
      </c>
      <c r="R1607">
        <v>49.78</v>
      </c>
      <c r="S1607">
        <v>4</v>
      </c>
      <c r="T1607">
        <v>4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4</v>
      </c>
      <c r="AB1607">
        <v>3</v>
      </c>
      <c r="AC1607">
        <v>0</v>
      </c>
      <c r="AH1607">
        <v>56.78</v>
      </c>
    </row>
    <row r="1608" spans="1:34" x14ac:dyDescent="0.3">
      <c r="A1608" s="4">
        <v>1724</v>
      </c>
      <c r="B1608" s="5">
        <v>1601</v>
      </c>
      <c r="C1608">
        <v>14766</v>
      </c>
      <c r="D1608" t="s">
        <v>2416</v>
      </c>
      <c r="E1608" t="s">
        <v>88</v>
      </c>
      <c r="F1608" t="s">
        <v>3604</v>
      </c>
      <c r="G1608" t="s">
        <v>21107</v>
      </c>
      <c r="H1608">
        <v>15.75</v>
      </c>
      <c r="I1608">
        <v>0</v>
      </c>
      <c r="J1608">
        <v>0</v>
      </c>
      <c r="K1608">
        <v>28</v>
      </c>
      <c r="O1608">
        <v>0</v>
      </c>
      <c r="P1608">
        <v>4</v>
      </c>
      <c r="Q1608">
        <v>0</v>
      </c>
      <c r="R1608">
        <v>47.75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9</v>
      </c>
      <c r="AC1608">
        <v>0</v>
      </c>
      <c r="AH1608">
        <v>56.75</v>
      </c>
    </row>
    <row r="1609" spans="1:34" x14ac:dyDescent="0.3">
      <c r="A1609" s="4">
        <v>1725</v>
      </c>
      <c r="B1609" s="5">
        <v>1602</v>
      </c>
      <c r="C1609">
        <v>12278</v>
      </c>
      <c r="D1609" t="s">
        <v>18786</v>
      </c>
      <c r="E1609" t="s">
        <v>41</v>
      </c>
      <c r="F1609" t="s">
        <v>81</v>
      </c>
      <c r="G1609" t="s">
        <v>21108</v>
      </c>
      <c r="H1609">
        <v>18.75</v>
      </c>
      <c r="I1609">
        <v>0</v>
      </c>
      <c r="J1609">
        <v>0</v>
      </c>
      <c r="K1609">
        <v>28</v>
      </c>
      <c r="N1609">
        <v>3</v>
      </c>
      <c r="O1609">
        <v>3</v>
      </c>
      <c r="P1609">
        <v>4</v>
      </c>
      <c r="Q1609">
        <v>0</v>
      </c>
      <c r="R1609">
        <v>53.75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3</v>
      </c>
      <c r="AC1609">
        <v>0</v>
      </c>
      <c r="AH1609">
        <v>56.75</v>
      </c>
    </row>
    <row r="1610" spans="1:34" x14ac:dyDescent="0.3">
      <c r="A1610" s="4">
        <v>1726</v>
      </c>
      <c r="B1610" s="5">
        <v>1603</v>
      </c>
      <c r="C1610">
        <v>5863</v>
      </c>
      <c r="D1610" t="s">
        <v>9672</v>
      </c>
      <c r="E1610" t="s">
        <v>21109</v>
      </c>
      <c r="F1610" t="s">
        <v>17</v>
      </c>
      <c r="G1610" t="s">
        <v>21110</v>
      </c>
      <c r="H1610">
        <v>17.579999999999998</v>
      </c>
      <c r="I1610">
        <v>0</v>
      </c>
      <c r="J1610">
        <v>0</v>
      </c>
      <c r="K1610">
        <v>0</v>
      </c>
      <c r="N1610">
        <v>6</v>
      </c>
      <c r="O1610">
        <v>6</v>
      </c>
      <c r="P1610">
        <v>4</v>
      </c>
      <c r="Q1610">
        <v>2</v>
      </c>
      <c r="R1610">
        <v>29.58</v>
      </c>
      <c r="S1610">
        <v>27</v>
      </c>
      <c r="T1610">
        <v>27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27</v>
      </c>
      <c r="AB1610">
        <v>0</v>
      </c>
      <c r="AC1610">
        <v>0</v>
      </c>
      <c r="AH1610">
        <v>56.58</v>
      </c>
    </row>
    <row r="1611" spans="1:34" x14ac:dyDescent="0.3">
      <c r="A1611" s="4">
        <v>1727</v>
      </c>
      <c r="B1611" s="5">
        <v>1604</v>
      </c>
      <c r="C1611">
        <v>1652</v>
      </c>
      <c r="D1611" t="s">
        <v>21111</v>
      </c>
      <c r="E1611" t="s">
        <v>21112</v>
      </c>
      <c r="F1611" t="s">
        <v>171</v>
      </c>
      <c r="G1611" t="s">
        <v>21113</v>
      </c>
      <c r="H1611">
        <v>22.53</v>
      </c>
      <c r="I1611">
        <v>0</v>
      </c>
      <c r="J1611">
        <v>0</v>
      </c>
      <c r="K1611">
        <v>20</v>
      </c>
      <c r="L1611">
        <v>7</v>
      </c>
      <c r="O1611">
        <v>7</v>
      </c>
      <c r="P1611">
        <v>4</v>
      </c>
      <c r="Q1611">
        <v>0</v>
      </c>
      <c r="R1611">
        <v>53.53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3</v>
      </c>
      <c r="AC1611">
        <v>0</v>
      </c>
      <c r="AH1611">
        <v>56.53</v>
      </c>
    </row>
    <row r="1612" spans="1:34" x14ac:dyDescent="0.3">
      <c r="A1612" s="4">
        <v>1728</v>
      </c>
      <c r="B1612" s="5">
        <v>1605</v>
      </c>
      <c r="C1612">
        <v>12206</v>
      </c>
      <c r="D1612" t="s">
        <v>14863</v>
      </c>
      <c r="E1612" t="s">
        <v>41</v>
      </c>
      <c r="F1612" t="s">
        <v>30</v>
      </c>
      <c r="G1612" t="s">
        <v>21114</v>
      </c>
      <c r="H1612">
        <v>17.5</v>
      </c>
      <c r="I1612">
        <v>0</v>
      </c>
      <c r="J1612">
        <v>0</v>
      </c>
      <c r="K1612">
        <v>0</v>
      </c>
      <c r="L1612">
        <v>7</v>
      </c>
      <c r="O1612">
        <v>7</v>
      </c>
      <c r="P1612">
        <v>4</v>
      </c>
      <c r="Q1612">
        <v>2</v>
      </c>
      <c r="R1612">
        <v>30.5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6</v>
      </c>
      <c r="AC1612">
        <v>20</v>
      </c>
      <c r="AH1612">
        <v>56.5</v>
      </c>
    </row>
    <row r="1613" spans="1:34" x14ac:dyDescent="0.3">
      <c r="A1613" s="4">
        <v>1729</v>
      </c>
      <c r="B1613" s="5">
        <v>1606</v>
      </c>
      <c r="C1613">
        <v>13913</v>
      </c>
      <c r="D1613" t="s">
        <v>13089</v>
      </c>
      <c r="E1613" t="s">
        <v>97</v>
      </c>
      <c r="F1613" t="s">
        <v>38</v>
      </c>
      <c r="G1613" t="s">
        <v>21115</v>
      </c>
      <c r="H1613">
        <v>16.5</v>
      </c>
      <c r="I1613">
        <v>0</v>
      </c>
      <c r="J1613">
        <v>0</v>
      </c>
      <c r="K1613">
        <v>28</v>
      </c>
      <c r="O1613">
        <v>0</v>
      </c>
      <c r="P1613">
        <v>4</v>
      </c>
      <c r="Q1613">
        <v>2</v>
      </c>
      <c r="R1613">
        <v>50.5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6</v>
      </c>
      <c r="AC1613">
        <v>0</v>
      </c>
      <c r="AH1613">
        <v>56.5</v>
      </c>
    </row>
    <row r="1614" spans="1:34" x14ac:dyDescent="0.3">
      <c r="A1614" s="4">
        <v>1730</v>
      </c>
      <c r="B1614" s="5">
        <v>1607</v>
      </c>
      <c r="C1614">
        <v>7519</v>
      </c>
      <c r="D1614" t="s">
        <v>752</v>
      </c>
      <c r="E1614" t="s">
        <v>479</v>
      </c>
      <c r="F1614" t="s">
        <v>17</v>
      </c>
      <c r="G1614" t="s">
        <v>21116</v>
      </c>
      <c r="H1614">
        <v>22.5</v>
      </c>
      <c r="I1614">
        <v>0</v>
      </c>
      <c r="J1614">
        <v>0</v>
      </c>
      <c r="K1614">
        <v>20</v>
      </c>
      <c r="N1614">
        <v>3</v>
      </c>
      <c r="O1614">
        <v>3</v>
      </c>
      <c r="P1614">
        <v>4</v>
      </c>
      <c r="Q1614">
        <v>0</v>
      </c>
      <c r="R1614">
        <v>49.5</v>
      </c>
      <c r="S1614">
        <v>4</v>
      </c>
      <c r="T1614">
        <v>4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4</v>
      </c>
      <c r="AB1614">
        <v>3</v>
      </c>
      <c r="AC1614">
        <v>0</v>
      </c>
      <c r="AH1614">
        <v>56.5</v>
      </c>
    </row>
    <row r="1615" spans="1:34" x14ac:dyDescent="0.3">
      <c r="A1615" s="4">
        <v>1731</v>
      </c>
      <c r="B1615" s="5">
        <v>1608</v>
      </c>
      <c r="C1615">
        <v>4436</v>
      </c>
      <c r="D1615" t="s">
        <v>4286</v>
      </c>
      <c r="E1615" t="s">
        <v>88</v>
      </c>
      <c r="F1615" t="s">
        <v>193</v>
      </c>
      <c r="G1615" t="s">
        <v>21117</v>
      </c>
      <c r="H1615">
        <v>17.5</v>
      </c>
      <c r="I1615">
        <v>0</v>
      </c>
      <c r="J1615">
        <v>0</v>
      </c>
      <c r="K1615">
        <v>0</v>
      </c>
      <c r="N1615">
        <v>3</v>
      </c>
      <c r="O1615">
        <v>3</v>
      </c>
      <c r="P1615">
        <v>4</v>
      </c>
      <c r="Q1615">
        <v>0</v>
      </c>
      <c r="R1615">
        <v>24.5</v>
      </c>
      <c r="S1615">
        <v>32</v>
      </c>
      <c r="T1615">
        <v>32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32</v>
      </c>
      <c r="AB1615">
        <v>0</v>
      </c>
      <c r="AC1615">
        <v>0</v>
      </c>
      <c r="AH1615">
        <v>56.5</v>
      </c>
    </row>
    <row r="1616" spans="1:34" x14ac:dyDescent="0.3">
      <c r="A1616" s="4">
        <v>1732</v>
      </c>
      <c r="B1616" s="5">
        <v>1609</v>
      </c>
      <c r="C1616">
        <v>10154</v>
      </c>
      <c r="D1616" t="s">
        <v>21118</v>
      </c>
      <c r="E1616" t="s">
        <v>81</v>
      </c>
      <c r="F1616" t="s">
        <v>38</v>
      </c>
      <c r="G1616" t="s">
        <v>21119</v>
      </c>
      <c r="H1616">
        <v>18.350000000000001</v>
      </c>
      <c r="I1616">
        <v>7</v>
      </c>
      <c r="J1616">
        <v>0</v>
      </c>
      <c r="K1616">
        <v>20</v>
      </c>
      <c r="L1616">
        <v>7</v>
      </c>
      <c r="O1616">
        <v>7</v>
      </c>
      <c r="P1616">
        <v>4</v>
      </c>
      <c r="Q1616">
        <v>0</v>
      </c>
      <c r="R1616">
        <v>56.35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 t="s">
        <v>130</v>
      </c>
      <c r="AH1616">
        <v>56.35</v>
      </c>
    </row>
    <row r="1617" spans="1:34" x14ac:dyDescent="0.3">
      <c r="A1617" s="4">
        <v>1733</v>
      </c>
      <c r="B1617" s="5">
        <v>1610</v>
      </c>
      <c r="C1617">
        <v>2703</v>
      </c>
      <c r="D1617" t="s">
        <v>9887</v>
      </c>
      <c r="E1617" t="s">
        <v>41</v>
      </c>
      <c r="F1617" t="s">
        <v>230</v>
      </c>
      <c r="G1617" t="s">
        <v>21120</v>
      </c>
      <c r="H1617">
        <v>20.25</v>
      </c>
      <c r="I1617">
        <v>0</v>
      </c>
      <c r="J1617">
        <v>0</v>
      </c>
      <c r="K1617">
        <v>20</v>
      </c>
      <c r="N1617">
        <v>3</v>
      </c>
      <c r="O1617">
        <v>3</v>
      </c>
      <c r="P1617">
        <v>4</v>
      </c>
      <c r="Q1617">
        <v>0</v>
      </c>
      <c r="R1617">
        <v>47.25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9</v>
      </c>
      <c r="AC1617">
        <v>0</v>
      </c>
      <c r="AH1617">
        <v>56.25</v>
      </c>
    </row>
    <row r="1618" spans="1:34" x14ac:dyDescent="0.3">
      <c r="A1618" s="4">
        <v>1734</v>
      </c>
      <c r="B1618" s="5">
        <v>1611</v>
      </c>
      <c r="C1618">
        <v>12304</v>
      </c>
      <c r="D1618" t="s">
        <v>21121</v>
      </c>
      <c r="E1618" t="s">
        <v>1743</v>
      </c>
      <c r="F1618" t="s">
        <v>20</v>
      </c>
      <c r="G1618" t="s">
        <v>21122</v>
      </c>
      <c r="H1618">
        <v>20.25</v>
      </c>
      <c r="I1618">
        <v>0</v>
      </c>
      <c r="J1618">
        <v>0</v>
      </c>
      <c r="K1618">
        <v>20</v>
      </c>
      <c r="N1618">
        <v>3</v>
      </c>
      <c r="O1618">
        <v>3</v>
      </c>
      <c r="P1618">
        <v>4</v>
      </c>
      <c r="Q1618">
        <v>0</v>
      </c>
      <c r="R1618">
        <v>47.25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9</v>
      </c>
      <c r="AC1618">
        <v>0</v>
      </c>
      <c r="AH1618">
        <v>56.25</v>
      </c>
    </row>
    <row r="1619" spans="1:34" x14ac:dyDescent="0.3">
      <c r="A1619" s="4">
        <v>1735</v>
      </c>
      <c r="B1619" s="5">
        <v>1612</v>
      </c>
      <c r="C1619">
        <v>5699</v>
      </c>
      <c r="D1619" t="s">
        <v>21123</v>
      </c>
      <c r="E1619" t="s">
        <v>964</v>
      </c>
      <c r="F1619" t="s">
        <v>21124</v>
      </c>
      <c r="G1619" t="s">
        <v>21125</v>
      </c>
      <c r="H1619">
        <v>19.23</v>
      </c>
      <c r="I1619">
        <v>0</v>
      </c>
      <c r="J1619">
        <v>0</v>
      </c>
      <c r="K1619">
        <v>0</v>
      </c>
      <c r="N1619">
        <v>6</v>
      </c>
      <c r="O1619">
        <v>6</v>
      </c>
      <c r="P1619">
        <v>4</v>
      </c>
      <c r="Q1619">
        <v>0</v>
      </c>
      <c r="R1619">
        <v>29.23</v>
      </c>
      <c r="S1619">
        <v>18</v>
      </c>
      <c r="T1619">
        <v>18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18</v>
      </c>
      <c r="AB1619">
        <v>9</v>
      </c>
      <c r="AC1619">
        <v>0</v>
      </c>
      <c r="AH1619">
        <v>56.23</v>
      </c>
    </row>
    <row r="1620" spans="1:34" x14ac:dyDescent="0.3">
      <c r="A1620" s="4">
        <v>1736</v>
      </c>
      <c r="B1620" s="5">
        <v>1613</v>
      </c>
      <c r="C1620">
        <v>12592</v>
      </c>
      <c r="D1620" t="s">
        <v>18835</v>
      </c>
      <c r="E1620" t="s">
        <v>33</v>
      </c>
      <c r="F1620" t="s">
        <v>18362</v>
      </c>
      <c r="G1620" t="s">
        <v>21126</v>
      </c>
      <c r="H1620">
        <v>20.18</v>
      </c>
      <c r="I1620">
        <v>0</v>
      </c>
      <c r="J1620">
        <v>0</v>
      </c>
      <c r="K1620">
        <v>20</v>
      </c>
      <c r="L1620">
        <v>7</v>
      </c>
      <c r="O1620">
        <v>7</v>
      </c>
      <c r="P1620">
        <v>4</v>
      </c>
      <c r="Q1620">
        <v>2</v>
      </c>
      <c r="R1620">
        <v>53.18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3</v>
      </c>
      <c r="AC1620">
        <v>0</v>
      </c>
      <c r="AH1620">
        <v>56.18</v>
      </c>
    </row>
    <row r="1621" spans="1:34" x14ac:dyDescent="0.3">
      <c r="A1621" s="4">
        <v>1737</v>
      </c>
      <c r="B1621" s="5">
        <v>1614</v>
      </c>
      <c r="C1621">
        <v>1817</v>
      </c>
      <c r="D1621" t="s">
        <v>17589</v>
      </c>
      <c r="E1621" t="s">
        <v>789</v>
      </c>
      <c r="F1621" t="s">
        <v>30</v>
      </c>
      <c r="G1621" t="s">
        <v>21127</v>
      </c>
      <c r="H1621">
        <v>19.100000000000001</v>
      </c>
      <c r="I1621">
        <v>0</v>
      </c>
      <c r="J1621">
        <v>0</v>
      </c>
      <c r="K1621">
        <v>20</v>
      </c>
      <c r="L1621">
        <v>7</v>
      </c>
      <c r="O1621">
        <v>7</v>
      </c>
      <c r="P1621">
        <v>4</v>
      </c>
      <c r="Q1621">
        <v>0</v>
      </c>
      <c r="R1621">
        <v>50.1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6</v>
      </c>
      <c r="AC1621">
        <v>0</v>
      </c>
      <c r="AH1621">
        <v>56.1</v>
      </c>
    </row>
    <row r="1622" spans="1:34" x14ac:dyDescent="0.3">
      <c r="A1622" s="4">
        <v>1738</v>
      </c>
      <c r="B1622" s="5">
        <v>1615</v>
      </c>
      <c r="C1622">
        <v>6622</v>
      </c>
      <c r="D1622" t="s">
        <v>7020</v>
      </c>
      <c r="E1622" t="s">
        <v>29</v>
      </c>
      <c r="F1622" t="s">
        <v>17</v>
      </c>
      <c r="G1622" t="s">
        <v>21128</v>
      </c>
      <c r="H1622">
        <v>17.03</v>
      </c>
      <c r="I1622">
        <v>0</v>
      </c>
      <c r="J1622">
        <v>0</v>
      </c>
      <c r="K1622">
        <v>0</v>
      </c>
      <c r="N1622">
        <v>3</v>
      </c>
      <c r="O1622">
        <v>3</v>
      </c>
      <c r="P1622">
        <v>4</v>
      </c>
      <c r="Q1622">
        <v>2</v>
      </c>
      <c r="R1622">
        <v>26.03</v>
      </c>
      <c r="S1622">
        <v>30</v>
      </c>
      <c r="T1622">
        <v>30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30</v>
      </c>
      <c r="AB1622">
        <v>0</v>
      </c>
      <c r="AC1622">
        <v>0</v>
      </c>
      <c r="AH1622">
        <v>56.03</v>
      </c>
    </row>
    <row r="1623" spans="1:34" x14ac:dyDescent="0.3">
      <c r="A1623" s="4">
        <v>1739</v>
      </c>
      <c r="B1623" s="5">
        <v>1616</v>
      </c>
      <c r="C1623">
        <v>10709</v>
      </c>
      <c r="D1623" t="s">
        <v>6792</v>
      </c>
      <c r="E1623" t="s">
        <v>166</v>
      </c>
      <c r="F1623" t="s">
        <v>2158</v>
      </c>
      <c r="G1623" t="s">
        <v>21129</v>
      </c>
      <c r="H1623">
        <v>19</v>
      </c>
      <c r="I1623">
        <v>0</v>
      </c>
      <c r="J1623">
        <v>0</v>
      </c>
      <c r="K1623">
        <v>20</v>
      </c>
      <c r="L1623">
        <v>7</v>
      </c>
      <c r="O1623">
        <v>7</v>
      </c>
      <c r="P1623">
        <v>4</v>
      </c>
      <c r="Q1623">
        <v>0</v>
      </c>
      <c r="R1623">
        <v>50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6</v>
      </c>
      <c r="AC1623">
        <v>0</v>
      </c>
      <c r="AH1623">
        <v>56</v>
      </c>
    </row>
    <row r="1624" spans="1:34" x14ac:dyDescent="0.3">
      <c r="A1624" s="4">
        <v>1740</v>
      </c>
      <c r="B1624" s="5">
        <v>1617</v>
      </c>
      <c r="C1624">
        <v>8011</v>
      </c>
      <c r="D1624" t="s">
        <v>21130</v>
      </c>
      <c r="E1624" t="s">
        <v>54</v>
      </c>
      <c r="F1624" t="s">
        <v>328</v>
      </c>
      <c r="G1624" t="s">
        <v>21131</v>
      </c>
      <c r="H1624">
        <v>18</v>
      </c>
      <c r="I1624">
        <v>0</v>
      </c>
      <c r="J1624">
        <v>0</v>
      </c>
      <c r="K1624">
        <v>20</v>
      </c>
      <c r="N1624">
        <v>6</v>
      </c>
      <c r="O1624">
        <v>6</v>
      </c>
      <c r="P1624">
        <v>4</v>
      </c>
      <c r="Q1624">
        <v>2</v>
      </c>
      <c r="R1624">
        <v>50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6</v>
      </c>
      <c r="AC1624">
        <v>0</v>
      </c>
      <c r="AH1624">
        <v>56</v>
      </c>
    </row>
    <row r="1625" spans="1:34" x14ac:dyDescent="0.3">
      <c r="A1625" s="4">
        <v>1741</v>
      </c>
      <c r="B1625" s="5">
        <v>1618</v>
      </c>
      <c r="C1625">
        <v>1611</v>
      </c>
      <c r="D1625" t="s">
        <v>2772</v>
      </c>
      <c r="E1625" t="s">
        <v>1075</v>
      </c>
      <c r="F1625" t="s">
        <v>91</v>
      </c>
      <c r="G1625" t="s">
        <v>21132</v>
      </c>
      <c r="H1625">
        <v>19.98</v>
      </c>
      <c r="I1625">
        <v>0</v>
      </c>
      <c r="J1625">
        <v>0</v>
      </c>
      <c r="K1625">
        <v>20</v>
      </c>
      <c r="N1625">
        <v>3</v>
      </c>
      <c r="O1625">
        <v>3</v>
      </c>
      <c r="P1625">
        <v>4</v>
      </c>
      <c r="Q1625">
        <v>0</v>
      </c>
      <c r="R1625">
        <v>46.98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9</v>
      </c>
      <c r="AC1625">
        <v>0</v>
      </c>
      <c r="AH1625">
        <v>55.98</v>
      </c>
    </row>
    <row r="1626" spans="1:34" x14ac:dyDescent="0.3">
      <c r="A1626" s="4">
        <v>1742</v>
      </c>
      <c r="B1626" s="5">
        <v>1619</v>
      </c>
      <c r="C1626">
        <v>6452</v>
      </c>
      <c r="D1626" t="s">
        <v>20114</v>
      </c>
      <c r="E1626" t="s">
        <v>21133</v>
      </c>
      <c r="F1626" t="s">
        <v>21134</v>
      </c>
      <c r="G1626" t="s">
        <v>21135</v>
      </c>
      <c r="H1626">
        <v>19.93</v>
      </c>
      <c r="I1626">
        <v>0</v>
      </c>
      <c r="J1626">
        <v>0</v>
      </c>
      <c r="K1626">
        <v>20</v>
      </c>
      <c r="L1626">
        <v>7</v>
      </c>
      <c r="O1626">
        <v>7</v>
      </c>
      <c r="P1626">
        <v>4</v>
      </c>
      <c r="Q1626">
        <v>2</v>
      </c>
      <c r="R1626">
        <v>52.93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3</v>
      </c>
      <c r="AC1626">
        <v>0</v>
      </c>
      <c r="AH1626">
        <v>55.93</v>
      </c>
    </row>
    <row r="1627" spans="1:34" x14ac:dyDescent="0.3">
      <c r="A1627" s="4">
        <v>1743</v>
      </c>
      <c r="B1627" s="5">
        <v>1620</v>
      </c>
      <c r="C1627">
        <v>14200</v>
      </c>
      <c r="D1627" t="s">
        <v>21136</v>
      </c>
      <c r="E1627" t="s">
        <v>3221</v>
      </c>
      <c r="F1627" t="s">
        <v>892</v>
      </c>
      <c r="G1627" t="s">
        <v>21137</v>
      </c>
      <c r="H1627">
        <v>22.9</v>
      </c>
      <c r="I1627">
        <v>0</v>
      </c>
      <c r="J1627">
        <v>0</v>
      </c>
      <c r="K1627">
        <v>20</v>
      </c>
      <c r="O1627">
        <v>0</v>
      </c>
      <c r="P1627">
        <v>4</v>
      </c>
      <c r="Q1627">
        <v>0</v>
      </c>
      <c r="R1627">
        <v>46.9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9</v>
      </c>
      <c r="AC1627">
        <v>0</v>
      </c>
      <c r="AH1627">
        <v>55.9</v>
      </c>
    </row>
    <row r="1628" spans="1:34" x14ac:dyDescent="0.3">
      <c r="A1628" s="4">
        <v>1744</v>
      </c>
      <c r="B1628" s="5">
        <v>1621</v>
      </c>
      <c r="C1628">
        <v>13994</v>
      </c>
      <c r="D1628" t="s">
        <v>12776</v>
      </c>
      <c r="E1628" t="s">
        <v>68</v>
      </c>
      <c r="F1628" t="s">
        <v>30</v>
      </c>
      <c r="G1628" t="s">
        <v>21138</v>
      </c>
      <c r="H1628">
        <v>18.899999999999999</v>
      </c>
      <c r="I1628">
        <v>0</v>
      </c>
      <c r="J1628">
        <v>0</v>
      </c>
      <c r="K1628">
        <v>20</v>
      </c>
      <c r="L1628">
        <v>7</v>
      </c>
      <c r="O1628">
        <v>7</v>
      </c>
      <c r="P1628">
        <v>4</v>
      </c>
      <c r="Q1628">
        <v>0</v>
      </c>
      <c r="R1628">
        <v>49.9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6</v>
      </c>
      <c r="AC1628">
        <v>0</v>
      </c>
      <c r="AH1628">
        <v>55.9</v>
      </c>
    </row>
    <row r="1629" spans="1:34" x14ac:dyDescent="0.3">
      <c r="A1629" s="4">
        <v>1745</v>
      </c>
      <c r="B1629" s="5">
        <v>1622</v>
      </c>
      <c r="C1629">
        <v>5022</v>
      </c>
      <c r="D1629" t="s">
        <v>21139</v>
      </c>
      <c r="E1629" t="s">
        <v>110</v>
      </c>
      <c r="F1629" t="s">
        <v>167</v>
      </c>
      <c r="G1629" t="s">
        <v>21140</v>
      </c>
      <c r="H1629">
        <v>20.75</v>
      </c>
      <c r="I1629">
        <v>0</v>
      </c>
      <c r="J1629">
        <v>0</v>
      </c>
      <c r="K1629">
        <v>20</v>
      </c>
      <c r="N1629">
        <v>3</v>
      </c>
      <c r="O1629">
        <v>3</v>
      </c>
      <c r="P1629">
        <v>0</v>
      </c>
      <c r="Q1629">
        <v>0</v>
      </c>
      <c r="R1629">
        <v>43.75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12</v>
      </c>
      <c r="AC1629">
        <v>0</v>
      </c>
      <c r="AH1629">
        <v>55.75</v>
      </c>
    </row>
    <row r="1630" spans="1:34" x14ac:dyDescent="0.3">
      <c r="A1630" s="4">
        <v>1746</v>
      </c>
      <c r="B1630" s="5">
        <v>1623</v>
      </c>
      <c r="C1630">
        <v>14490</v>
      </c>
      <c r="D1630" t="s">
        <v>4677</v>
      </c>
      <c r="E1630" t="s">
        <v>283</v>
      </c>
      <c r="F1630" t="s">
        <v>38</v>
      </c>
      <c r="G1630" t="s">
        <v>21141</v>
      </c>
      <c r="H1630">
        <v>19.68</v>
      </c>
      <c r="I1630">
        <v>0</v>
      </c>
      <c r="J1630">
        <v>0</v>
      </c>
      <c r="K1630">
        <v>20</v>
      </c>
      <c r="N1630">
        <v>3</v>
      </c>
      <c r="O1630">
        <v>3</v>
      </c>
      <c r="P1630">
        <v>4</v>
      </c>
      <c r="Q1630">
        <v>0</v>
      </c>
      <c r="R1630">
        <v>46.68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9</v>
      </c>
      <c r="AC1630">
        <v>0</v>
      </c>
      <c r="AH1630">
        <v>55.68</v>
      </c>
    </row>
    <row r="1631" spans="1:34" x14ac:dyDescent="0.3">
      <c r="A1631" s="4">
        <v>1747</v>
      </c>
      <c r="B1631" s="5">
        <v>1624</v>
      </c>
      <c r="C1631">
        <v>13485</v>
      </c>
      <c r="D1631" t="s">
        <v>21142</v>
      </c>
      <c r="E1631" t="s">
        <v>170</v>
      </c>
      <c r="F1631" t="s">
        <v>81</v>
      </c>
      <c r="G1631" t="s">
        <v>21143</v>
      </c>
      <c r="H1631">
        <v>19.63</v>
      </c>
      <c r="I1631">
        <v>0</v>
      </c>
      <c r="J1631">
        <v>0</v>
      </c>
      <c r="K1631">
        <v>20</v>
      </c>
      <c r="L1631">
        <v>7</v>
      </c>
      <c r="N1631">
        <v>3</v>
      </c>
      <c r="O1631">
        <v>10</v>
      </c>
      <c r="P1631">
        <v>4</v>
      </c>
      <c r="Q1631">
        <v>2</v>
      </c>
      <c r="R1631">
        <v>55.63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H1631">
        <v>55.63</v>
      </c>
    </row>
    <row r="1632" spans="1:34" x14ac:dyDescent="0.3">
      <c r="A1632" s="4">
        <v>1748</v>
      </c>
      <c r="B1632" s="5">
        <v>1625</v>
      </c>
      <c r="C1632">
        <v>2919</v>
      </c>
      <c r="D1632" t="s">
        <v>2206</v>
      </c>
      <c r="E1632" t="s">
        <v>21144</v>
      </c>
      <c r="F1632" t="s">
        <v>13155</v>
      </c>
      <c r="G1632" t="s">
        <v>21145</v>
      </c>
      <c r="H1632">
        <v>22.5</v>
      </c>
      <c r="I1632">
        <v>0</v>
      </c>
      <c r="J1632">
        <v>0</v>
      </c>
      <c r="K1632">
        <v>20</v>
      </c>
      <c r="L1632">
        <v>7</v>
      </c>
      <c r="O1632">
        <v>7</v>
      </c>
      <c r="P1632">
        <v>4</v>
      </c>
      <c r="Q1632">
        <v>2</v>
      </c>
      <c r="R1632">
        <v>55.5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H1632">
        <v>55.5</v>
      </c>
    </row>
    <row r="1633" spans="1:34" x14ac:dyDescent="0.3">
      <c r="A1633" s="4">
        <v>1749</v>
      </c>
      <c r="B1633" s="5">
        <v>1626</v>
      </c>
      <c r="C1633">
        <v>13728</v>
      </c>
      <c r="D1633" t="s">
        <v>21146</v>
      </c>
      <c r="E1633" t="s">
        <v>21147</v>
      </c>
      <c r="F1633" t="s">
        <v>17559</v>
      </c>
      <c r="G1633" t="s">
        <v>21148</v>
      </c>
      <c r="H1633">
        <v>21.5</v>
      </c>
      <c r="I1633">
        <v>0</v>
      </c>
      <c r="J1633">
        <v>0</v>
      </c>
      <c r="K1633">
        <v>20</v>
      </c>
      <c r="L1633">
        <v>7</v>
      </c>
      <c r="N1633">
        <v>3</v>
      </c>
      <c r="O1633">
        <v>10</v>
      </c>
      <c r="P1633">
        <v>4</v>
      </c>
      <c r="Q1633">
        <v>0</v>
      </c>
      <c r="R1633">
        <v>55.5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H1633">
        <v>55.5</v>
      </c>
    </row>
    <row r="1634" spans="1:34" x14ac:dyDescent="0.3">
      <c r="A1634" s="4">
        <v>1750</v>
      </c>
      <c r="B1634" s="5">
        <v>1627</v>
      </c>
      <c r="C1634">
        <v>2740</v>
      </c>
      <c r="D1634" t="s">
        <v>21149</v>
      </c>
      <c r="E1634" t="s">
        <v>166</v>
      </c>
      <c r="F1634" t="s">
        <v>343</v>
      </c>
      <c r="G1634" t="s">
        <v>21150</v>
      </c>
      <c r="H1634">
        <v>21.5</v>
      </c>
      <c r="I1634">
        <v>0</v>
      </c>
      <c r="J1634">
        <v>0</v>
      </c>
      <c r="K1634">
        <v>20</v>
      </c>
      <c r="L1634">
        <v>7</v>
      </c>
      <c r="N1634">
        <v>3</v>
      </c>
      <c r="O1634">
        <v>10</v>
      </c>
      <c r="P1634">
        <v>4</v>
      </c>
      <c r="Q1634">
        <v>0</v>
      </c>
      <c r="R1634">
        <v>55.5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H1634">
        <v>55.5</v>
      </c>
    </row>
    <row r="1635" spans="1:34" x14ac:dyDescent="0.3">
      <c r="A1635" s="4">
        <v>1751</v>
      </c>
      <c r="B1635" s="5">
        <v>1628</v>
      </c>
      <c r="C1635">
        <v>2777</v>
      </c>
      <c r="D1635" t="s">
        <v>21151</v>
      </c>
      <c r="E1635" t="s">
        <v>403</v>
      </c>
      <c r="F1635" t="s">
        <v>17</v>
      </c>
      <c r="G1635" t="s">
        <v>21152</v>
      </c>
      <c r="H1635">
        <v>18.48</v>
      </c>
      <c r="I1635">
        <v>0</v>
      </c>
      <c r="J1635">
        <v>0</v>
      </c>
      <c r="K1635">
        <v>28</v>
      </c>
      <c r="N1635">
        <v>3</v>
      </c>
      <c r="O1635">
        <v>3</v>
      </c>
      <c r="P1635">
        <v>4</v>
      </c>
      <c r="Q1635">
        <v>2</v>
      </c>
      <c r="R1635">
        <v>55.48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H1635">
        <v>55.48</v>
      </c>
    </row>
    <row r="1636" spans="1:34" x14ac:dyDescent="0.3">
      <c r="A1636" s="4">
        <v>1752</v>
      </c>
      <c r="B1636" s="5">
        <v>1629</v>
      </c>
      <c r="C1636">
        <v>9707</v>
      </c>
      <c r="D1636" t="s">
        <v>21153</v>
      </c>
      <c r="E1636" t="s">
        <v>110</v>
      </c>
      <c r="F1636" t="s">
        <v>62</v>
      </c>
      <c r="G1636" t="s">
        <v>21154</v>
      </c>
      <c r="H1636">
        <v>18.43</v>
      </c>
      <c r="I1636">
        <v>0</v>
      </c>
      <c r="J1636">
        <v>0</v>
      </c>
      <c r="K1636">
        <v>20</v>
      </c>
      <c r="L1636">
        <v>7</v>
      </c>
      <c r="N1636">
        <v>3</v>
      </c>
      <c r="O1636">
        <v>10</v>
      </c>
      <c r="P1636">
        <v>4</v>
      </c>
      <c r="Q1636">
        <v>0</v>
      </c>
      <c r="R1636">
        <v>52.43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3</v>
      </c>
      <c r="AC1636">
        <v>0</v>
      </c>
      <c r="AH1636">
        <v>55.43</v>
      </c>
    </row>
    <row r="1637" spans="1:34" x14ac:dyDescent="0.3">
      <c r="A1637" s="4">
        <v>1753</v>
      </c>
      <c r="B1637" s="5">
        <v>1630</v>
      </c>
      <c r="C1637">
        <v>13956</v>
      </c>
      <c r="D1637" t="s">
        <v>3891</v>
      </c>
      <c r="E1637" t="s">
        <v>1924</v>
      </c>
      <c r="F1637" t="s">
        <v>38</v>
      </c>
      <c r="G1637" t="s">
        <v>21155</v>
      </c>
      <c r="H1637">
        <v>24.43</v>
      </c>
      <c r="I1637">
        <v>0</v>
      </c>
      <c r="J1637">
        <v>0</v>
      </c>
      <c r="K1637">
        <v>20</v>
      </c>
      <c r="L1637">
        <v>7</v>
      </c>
      <c r="O1637">
        <v>7</v>
      </c>
      <c r="P1637">
        <v>4</v>
      </c>
      <c r="Q1637">
        <v>0</v>
      </c>
      <c r="R1637">
        <v>55.43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H1637">
        <v>55.43</v>
      </c>
    </row>
    <row r="1638" spans="1:34" x14ac:dyDescent="0.3">
      <c r="A1638" s="4">
        <v>1754</v>
      </c>
      <c r="B1638" s="5">
        <v>1631</v>
      </c>
      <c r="C1638">
        <v>507</v>
      </c>
      <c r="D1638" t="s">
        <v>1709</v>
      </c>
      <c r="E1638" t="s">
        <v>21156</v>
      </c>
      <c r="F1638" t="s">
        <v>442</v>
      </c>
      <c r="G1638" t="s">
        <v>21157</v>
      </c>
      <c r="H1638">
        <v>18.350000000000001</v>
      </c>
      <c r="I1638">
        <v>0</v>
      </c>
      <c r="J1638">
        <v>0</v>
      </c>
      <c r="K1638">
        <v>0</v>
      </c>
      <c r="L1638">
        <v>7</v>
      </c>
      <c r="O1638">
        <v>7</v>
      </c>
      <c r="P1638">
        <v>4</v>
      </c>
      <c r="Q1638">
        <v>2</v>
      </c>
      <c r="R1638">
        <v>31.35</v>
      </c>
      <c r="S1638">
        <v>18</v>
      </c>
      <c r="T1638">
        <v>18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18</v>
      </c>
      <c r="AB1638">
        <v>6</v>
      </c>
      <c r="AC1638">
        <v>0</v>
      </c>
      <c r="AH1638">
        <v>55.35</v>
      </c>
    </row>
    <row r="1639" spans="1:34" x14ac:dyDescent="0.3">
      <c r="A1639" s="4">
        <v>1755</v>
      </c>
      <c r="B1639" s="5">
        <v>1632</v>
      </c>
      <c r="C1639">
        <v>11006</v>
      </c>
      <c r="D1639" t="s">
        <v>21158</v>
      </c>
      <c r="E1639" t="s">
        <v>21159</v>
      </c>
      <c r="F1639" t="s">
        <v>55</v>
      </c>
      <c r="G1639" t="s">
        <v>21160</v>
      </c>
      <c r="H1639">
        <v>20.329999999999998</v>
      </c>
      <c r="I1639">
        <v>0</v>
      </c>
      <c r="J1639">
        <v>0</v>
      </c>
      <c r="K1639">
        <v>20</v>
      </c>
      <c r="O1639">
        <v>0</v>
      </c>
      <c r="P1639">
        <v>4</v>
      </c>
      <c r="Q1639">
        <v>2</v>
      </c>
      <c r="R1639">
        <v>46.33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9</v>
      </c>
      <c r="AC1639">
        <v>0</v>
      </c>
      <c r="AH1639">
        <v>55.33</v>
      </c>
    </row>
    <row r="1640" spans="1:34" x14ac:dyDescent="0.3">
      <c r="A1640" s="4">
        <v>1756</v>
      </c>
      <c r="B1640" s="5">
        <v>1633</v>
      </c>
      <c r="C1640">
        <v>12075</v>
      </c>
      <c r="D1640" t="s">
        <v>21161</v>
      </c>
      <c r="E1640" t="s">
        <v>29</v>
      </c>
      <c r="F1640" t="s">
        <v>343</v>
      </c>
      <c r="G1640" t="s">
        <v>21162</v>
      </c>
      <c r="H1640">
        <v>15.68</v>
      </c>
      <c r="I1640">
        <v>0</v>
      </c>
      <c r="J1640">
        <v>0</v>
      </c>
      <c r="K1640">
        <v>0</v>
      </c>
      <c r="O1640">
        <v>0</v>
      </c>
      <c r="P1640">
        <v>4</v>
      </c>
      <c r="Q1640">
        <v>0</v>
      </c>
      <c r="R1640">
        <v>19.68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6</v>
      </c>
      <c r="AC1640">
        <v>29.6</v>
      </c>
      <c r="AD1640" t="s">
        <v>130</v>
      </c>
      <c r="AH1640">
        <v>55.28</v>
      </c>
    </row>
    <row r="1641" spans="1:34" x14ac:dyDescent="0.3">
      <c r="A1641" s="4">
        <v>1757</v>
      </c>
      <c r="B1641" s="5">
        <v>1634</v>
      </c>
      <c r="C1641">
        <v>5589</v>
      </c>
      <c r="D1641" t="s">
        <v>11110</v>
      </c>
      <c r="E1641" t="s">
        <v>110</v>
      </c>
      <c r="F1641" t="s">
        <v>302</v>
      </c>
      <c r="G1641" t="s">
        <v>21163</v>
      </c>
      <c r="H1641">
        <v>20.25</v>
      </c>
      <c r="I1641">
        <v>0</v>
      </c>
      <c r="J1641">
        <v>0</v>
      </c>
      <c r="K1641">
        <v>20</v>
      </c>
      <c r="N1641">
        <v>3</v>
      </c>
      <c r="O1641">
        <v>3</v>
      </c>
      <c r="P1641">
        <v>0</v>
      </c>
      <c r="Q1641">
        <v>0</v>
      </c>
      <c r="R1641">
        <v>43.25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12</v>
      </c>
      <c r="AC1641">
        <v>0</v>
      </c>
      <c r="AH1641">
        <v>55.25</v>
      </c>
    </row>
    <row r="1642" spans="1:34" x14ac:dyDescent="0.3">
      <c r="A1642" s="4">
        <v>1758</v>
      </c>
      <c r="B1642" s="5">
        <v>1635</v>
      </c>
      <c r="C1642">
        <v>13236</v>
      </c>
      <c r="D1642" t="s">
        <v>21164</v>
      </c>
      <c r="E1642" t="s">
        <v>1474</v>
      </c>
      <c r="F1642" t="s">
        <v>2561</v>
      </c>
      <c r="G1642" t="s">
        <v>21165</v>
      </c>
      <c r="H1642">
        <v>18.25</v>
      </c>
      <c r="I1642">
        <v>0</v>
      </c>
      <c r="J1642">
        <v>0</v>
      </c>
      <c r="K1642">
        <v>20</v>
      </c>
      <c r="L1642">
        <v>7</v>
      </c>
      <c r="O1642">
        <v>7</v>
      </c>
      <c r="P1642">
        <v>4</v>
      </c>
      <c r="Q1642">
        <v>0</v>
      </c>
      <c r="R1642">
        <v>49.25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6</v>
      </c>
      <c r="AC1642">
        <v>0</v>
      </c>
      <c r="AH1642">
        <v>55.25</v>
      </c>
    </row>
    <row r="1643" spans="1:34" x14ac:dyDescent="0.3">
      <c r="A1643" s="4">
        <v>1759</v>
      </c>
      <c r="B1643" s="5">
        <v>1636</v>
      </c>
      <c r="C1643">
        <v>2921</v>
      </c>
      <c r="D1643" t="s">
        <v>7046</v>
      </c>
      <c r="E1643" t="s">
        <v>132</v>
      </c>
      <c r="F1643" t="s">
        <v>442</v>
      </c>
      <c r="G1643" t="s">
        <v>21166</v>
      </c>
      <c r="H1643">
        <v>15.25</v>
      </c>
      <c r="I1643">
        <v>0</v>
      </c>
      <c r="J1643">
        <v>0</v>
      </c>
      <c r="K1643">
        <v>0</v>
      </c>
      <c r="O1643">
        <v>0</v>
      </c>
      <c r="P1643">
        <v>4</v>
      </c>
      <c r="Q1643">
        <v>0</v>
      </c>
      <c r="R1643">
        <v>19.25</v>
      </c>
      <c r="S1643">
        <v>33</v>
      </c>
      <c r="T1643">
        <v>33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33</v>
      </c>
      <c r="AB1643">
        <v>3</v>
      </c>
      <c r="AC1643">
        <v>0</v>
      </c>
      <c r="AH1643">
        <v>55.25</v>
      </c>
    </row>
    <row r="1644" spans="1:34" x14ac:dyDescent="0.3">
      <c r="A1644" s="4">
        <v>1760</v>
      </c>
      <c r="B1644" s="5">
        <v>1637</v>
      </c>
      <c r="C1644">
        <v>4059</v>
      </c>
      <c r="D1644" t="s">
        <v>21167</v>
      </c>
      <c r="E1644" t="s">
        <v>182</v>
      </c>
      <c r="F1644" t="s">
        <v>17</v>
      </c>
      <c r="G1644" t="s">
        <v>21168</v>
      </c>
      <c r="H1644">
        <v>17.25</v>
      </c>
      <c r="I1644">
        <v>0</v>
      </c>
      <c r="J1644">
        <v>0</v>
      </c>
      <c r="K1644">
        <v>20</v>
      </c>
      <c r="M1644">
        <v>5</v>
      </c>
      <c r="N1644">
        <v>3</v>
      </c>
      <c r="O1644">
        <v>8</v>
      </c>
      <c r="P1644">
        <v>4</v>
      </c>
      <c r="Q1644">
        <v>0</v>
      </c>
      <c r="R1644">
        <v>49.25</v>
      </c>
      <c r="S1644">
        <v>6</v>
      </c>
      <c r="T1644">
        <v>6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6</v>
      </c>
      <c r="AB1644">
        <v>0</v>
      </c>
      <c r="AC1644">
        <v>0</v>
      </c>
      <c r="AD1644" t="s">
        <v>130</v>
      </c>
      <c r="AH1644">
        <v>55.25</v>
      </c>
    </row>
    <row r="1645" spans="1:34" x14ac:dyDescent="0.3">
      <c r="A1645" s="4">
        <v>1761</v>
      </c>
      <c r="B1645" s="5">
        <v>1638</v>
      </c>
      <c r="C1645">
        <v>10607</v>
      </c>
      <c r="D1645" t="s">
        <v>21169</v>
      </c>
      <c r="E1645" t="s">
        <v>22</v>
      </c>
      <c r="F1645" t="s">
        <v>343</v>
      </c>
      <c r="G1645" t="s">
        <v>21170</v>
      </c>
      <c r="H1645">
        <v>20.18</v>
      </c>
      <c r="I1645">
        <v>0</v>
      </c>
      <c r="J1645">
        <v>0</v>
      </c>
      <c r="K1645">
        <v>20</v>
      </c>
      <c r="N1645">
        <v>3</v>
      </c>
      <c r="O1645">
        <v>3</v>
      </c>
      <c r="P1645">
        <v>4</v>
      </c>
      <c r="Q1645">
        <v>2</v>
      </c>
      <c r="R1645">
        <v>49.18</v>
      </c>
      <c r="S1645">
        <v>6</v>
      </c>
      <c r="T1645">
        <v>6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6</v>
      </c>
      <c r="AB1645">
        <v>0</v>
      </c>
      <c r="AC1645">
        <v>0</v>
      </c>
      <c r="AH1645">
        <v>55.18</v>
      </c>
    </row>
    <row r="1646" spans="1:34" x14ac:dyDescent="0.3">
      <c r="A1646" s="4">
        <v>1762</v>
      </c>
      <c r="B1646" s="5">
        <v>1639</v>
      </c>
      <c r="C1646">
        <v>14483</v>
      </c>
      <c r="D1646" t="s">
        <v>5982</v>
      </c>
      <c r="E1646" t="s">
        <v>1280</v>
      </c>
      <c r="F1646" t="s">
        <v>20</v>
      </c>
      <c r="G1646" t="s">
        <v>21171</v>
      </c>
      <c r="H1646">
        <v>16.100000000000001</v>
      </c>
      <c r="I1646">
        <v>0</v>
      </c>
      <c r="J1646">
        <v>0</v>
      </c>
      <c r="K1646">
        <v>20</v>
      </c>
      <c r="N1646">
        <v>6</v>
      </c>
      <c r="O1646">
        <v>6</v>
      </c>
      <c r="P1646">
        <v>4</v>
      </c>
      <c r="Q1646">
        <v>0</v>
      </c>
      <c r="R1646">
        <v>46.1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9</v>
      </c>
      <c r="AC1646">
        <v>0</v>
      </c>
      <c r="AH1646">
        <v>55.1</v>
      </c>
    </row>
    <row r="1647" spans="1:34" x14ac:dyDescent="0.3">
      <c r="A1647" s="4">
        <v>1763</v>
      </c>
      <c r="B1647" s="5">
        <v>1640</v>
      </c>
      <c r="C1647">
        <v>12623</v>
      </c>
      <c r="D1647" t="s">
        <v>21172</v>
      </c>
      <c r="E1647" t="s">
        <v>213</v>
      </c>
      <c r="F1647" t="s">
        <v>167</v>
      </c>
      <c r="G1647" t="s">
        <v>21173</v>
      </c>
      <c r="H1647">
        <v>20</v>
      </c>
      <c r="I1647">
        <v>0</v>
      </c>
      <c r="J1647">
        <v>0</v>
      </c>
      <c r="K1647">
        <v>0</v>
      </c>
      <c r="N1647">
        <v>3</v>
      </c>
      <c r="O1647">
        <v>3</v>
      </c>
      <c r="P1647">
        <v>4</v>
      </c>
      <c r="Q1647">
        <v>2</v>
      </c>
      <c r="R1647">
        <v>29</v>
      </c>
      <c r="S1647">
        <v>26</v>
      </c>
      <c r="T1647">
        <v>26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26</v>
      </c>
      <c r="AB1647">
        <v>0</v>
      </c>
      <c r="AC1647">
        <v>0</v>
      </c>
      <c r="AH1647">
        <v>55</v>
      </c>
    </row>
    <row r="1648" spans="1:34" x14ac:dyDescent="0.3">
      <c r="A1648" s="4">
        <v>1764</v>
      </c>
      <c r="B1648" s="5">
        <v>1641</v>
      </c>
      <c r="C1648">
        <v>2241</v>
      </c>
      <c r="D1648" t="s">
        <v>21174</v>
      </c>
      <c r="E1648" t="s">
        <v>3235</v>
      </c>
      <c r="F1648" t="s">
        <v>1023</v>
      </c>
      <c r="G1648" t="s">
        <v>21175</v>
      </c>
      <c r="H1648">
        <v>17.98</v>
      </c>
      <c r="I1648">
        <v>0</v>
      </c>
      <c r="J1648">
        <v>0</v>
      </c>
      <c r="K1648">
        <v>20</v>
      </c>
      <c r="L1648">
        <v>7</v>
      </c>
      <c r="N1648">
        <v>3</v>
      </c>
      <c r="O1648">
        <v>10</v>
      </c>
      <c r="P1648">
        <v>4</v>
      </c>
      <c r="Q1648">
        <v>0</v>
      </c>
      <c r="R1648">
        <v>51.98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3</v>
      </c>
      <c r="AC1648">
        <v>0</v>
      </c>
      <c r="AH1648">
        <v>54.98</v>
      </c>
    </row>
    <row r="1649" spans="1:34" x14ac:dyDescent="0.3">
      <c r="A1649" s="4">
        <v>1765</v>
      </c>
      <c r="B1649" s="5">
        <v>1642</v>
      </c>
      <c r="C1649">
        <v>8748</v>
      </c>
      <c r="D1649" t="s">
        <v>19551</v>
      </c>
      <c r="E1649" t="s">
        <v>54</v>
      </c>
      <c r="F1649" t="s">
        <v>38</v>
      </c>
      <c r="G1649" t="s">
        <v>21176</v>
      </c>
      <c r="H1649">
        <v>16.95</v>
      </c>
      <c r="I1649">
        <v>0</v>
      </c>
      <c r="J1649">
        <v>0</v>
      </c>
      <c r="K1649">
        <v>28</v>
      </c>
      <c r="N1649">
        <v>3</v>
      </c>
      <c r="O1649">
        <v>3</v>
      </c>
      <c r="P1649">
        <v>4</v>
      </c>
      <c r="Q1649">
        <v>0</v>
      </c>
      <c r="R1649">
        <v>51.95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3</v>
      </c>
      <c r="AC1649">
        <v>0</v>
      </c>
      <c r="AH1649">
        <v>54.95</v>
      </c>
    </row>
    <row r="1650" spans="1:34" x14ac:dyDescent="0.3">
      <c r="A1650" s="4">
        <v>1766</v>
      </c>
      <c r="B1650" s="5">
        <v>1643</v>
      </c>
      <c r="C1650">
        <v>7069</v>
      </c>
      <c r="D1650" t="s">
        <v>902</v>
      </c>
      <c r="E1650" t="s">
        <v>1576</v>
      </c>
      <c r="F1650" t="s">
        <v>81</v>
      </c>
      <c r="G1650" t="s">
        <v>21177</v>
      </c>
      <c r="H1650">
        <v>18.88</v>
      </c>
      <c r="I1650">
        <v>0</v>
      </c>
      <c r="J1650">
        <v>0</v>
      </c>
      <c r="K1650">
        <v>0</v>
      </c>
      <c r="N1650">
        <v>3</v>
      </c>
      <c r="O1650">
        <v>3</v>
      </c>
      <c r="P1650">
        <v>4</v>
      </c>
      <c r="Q1650">
        <v>2</v>
      </c>
      <c r="R1650">
        <v>27.88</v>
      </c>
      <c r="S1650">
        <v>24</v>
      </c>
      <c r="T1650">
        <v>24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24</v>
      </c>
      <c r="AB1650">
        <v>3</v>
      </c>
      <c r="AC1650">
        <v>0</v>
      </c>
      <c r="AD1650" t="s">
        <v>130</v>
      </c>
      <c r="AH1650">
        <v>54.88</v>
      </c>
    </row>
    <row r="1651" spans="1:34" x14ac:dyDescent="0.3">
      <c r="A1651" s="4">
        <v>1767</v>
      </c>
      <c r="B1651" s="5">
        <v>1644</v>
      </c>
      <c r="C1651">
        <v>633</v>
      </c>
      <c r="D1651" t="s">
        <v>10917</v>
      </c>
      <c r="E1651" t="s">
        <v>173</v>
      </c>
      <c r="F1651" t="s">
        <v>328</v>
      </c>
      <c r="G1651" t="s">
        <v>21178</v>
      </c>
      <c r="H1651">
        <v>18.829999999999998</v>
      </c>
      <c r="I1651">
        <v>0</v>
      </c>
      <c r="J1651">
        <v>0</v>
      </c>
      <c r="K1651">
        <v>0</v>
      </c>
      <c r="N1651">
        <v>3</v>
      </c>
      <c r="O1651">
        <v>3</v>
      </c>
      <c r="P1651">
        <v>4</v>
      </c>
      <c r="Q1651">
        <v>2</v>
      </c>
      <c r="R1651">
        <v>27.83</v>
      </c>
      <c r="S1651">
        <v>18</v>
      </c>
      <c r="T1651">
        <v>18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18</v>
      </c>
      <c r="AB1651">
        <v>9</v>
      </c>
      <c r="AC1651">
        <v>0</v>
      </c>
      <c r="AH1651">
        <v>54.83</v>
      </c>
    </row>
    <row r="1652" spans="1:34" x14ac:dyDescent="0.3">
      <c r="A1652" s="4">
        <v>1768</v>
      </c>
      <c r="B1652" s="5">
        <v>1645</v>
      </c>
      <c r="C1652">
        <v>4521</v>
      </c>
      <c r="D1652" t="s">
        <v>7881</v>
      </c>
      <c r="E1652" t="s">
        <v>88</v>
      </c>
      <c r="F1652" t="s">
        <v>649</v>
      </c>
      <c r="G1652" t="s">
        <v>21179</v>
      </c>
      <c r="H1652">
        <v>20.8</v>
      </c>
      <c r="I1652">
        <v>0</v>
      </c>
      <c r="J1652">
        <v>0</v>
      </c>
      <c r="K1652">
        <v>20</v>
      </c>
      <c r="L1652">
        <v>7</v>
      </c>
      <c r="N1652">
        <v>3</v>
      </c>
      <c r="O1652">
        <v>10</v>
      </c>
      <c r="P1652">
        <v>4</v>
      </c>
      <c r="Q1652">
        <v>0</v>
      </c>
      <c r="R1652">
        <v>54.8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H1652">
        <v>54.8</v>
      </c>
    </row>
    <row r="1653" spans="1:34" x14ac:dyDescent="0.3">
      <c r="A1653" s="4">
        <v>1769</v>
      </c>
      <c r="B1653" s="5">
        <v>1646</v>
      </c>
      <c r="C1653">
        <v>6650</v>
      </c>
      <c r="D1653" t="s">
        <v>8420</v>
      </c>
      <c r="E1653" t="s">
        <v>1331</v>
      </c>
      <c r="F1653" t="s">
        <v>30</v>
      </c>
      <c r="G1653" t="s">
        <v>21180</v>
      </c>
      <c r="H1653">
        <v>17.78</v>
      </c>
      <c r="I1653">
        <v>0</v>
      </c>
      <c r="J1653">
        <v>0</v>
      </c>
      <c r="K1653">
        <v>20</v>
      </c>
      <c r="L1653">
        <v>7</v>
      </c>
      <c r="O1653">
        <v>7</v>
      </c>
      <c r="P1653">
        <v>4</v>
      </c>
      <c r="Q1653">
        <v>0</v>
      </c>
      <c r="R1653">
        <v>48.78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6</v>
      </c>
      <c r="AC1653">
        <v>0</v>
      </c>
      <c r="AH1653">
        <v>54.78</v>
      </c>
    </row>
    <row r="1654" spans="1:34" x14ac:dyDescent="0.3">
      <c r="A1654" s="4">
        <v>1770</v>
      </c>
      <c r="B1654" s="5">
        <v>1647</v>
      </c>
      <c r="C1654">
        <v>4028</v>
      </c>
      <c r="D1654" t="s">
        <v>21181</v>
      </c>
      <c r="E1654" t="s">
        <v>494</v>
      </c>
      <c r="F1654" t="s">
        <v>20</v>
      </c>
      <c r="G1654" t="s">
        <v>21182</v>
      </c>
      <c r="H1654">
        <v>18.75</v>
      </c>
      <c r="I1654">
        <v>0</v>
      </c>
      <c r="J1654">
        <v>0</v>
      </c>
      <c r="K1654">
        <v>20</v>
      </c>
      <c r="N1654">
        <v>3</v>
      </c>
      <c r="O1654">
        <v>3</v>
      </c>
      <c r="P1654">
        <v>4</v>
      </c>
      <c r="Q1654">
        <v>0</v>
      </c>
      <c r="R1654">
        <v>45.75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9</v>
      </c>
      <c r="AC1654">
        <v>0</v>
      </c>
      <c r="AH1654">
        <v>54.75</v>
      </c>
    </row>
    <row r="1655" spans="1:34" x14ac:dyDescent="0.3">
      <c r="A1655" s="4">
        <v>1771</v>
      </c>
      <c r="B1655" s="5">
        <v>1648</v>
      </c>
      <c r="C1655">
        <v>10795</v>
      </c>
      <c r="D1655" t="s">
        <v>715</v>
      </c>
      <c r="E1655" t="s">
        <v>22</v>
      </c>
      <c r="F1655" t="s">
        <v>158</v>
      </c>
      <c r="G1655" t="s">
        <v>21183</v>
      </c>
      <c r="H1655">
        <v>18.75</v>
      </c>
      <c r="I1655">
        <v>0</v>
      </c>
      <c r="J1655">
        <v>0</v>
      </c>
      <c r="K1655">
        <v>20</v>
      </c>
      <c r="N1655">
        <v>3</v>
      </c>
      <c r="O1655">
        <v>3</v>
      </c>
      <c r="P1655">
        <v>4</v>
      </c>
      <c r="Q1655">
        <v>0</v>
      </c>
      <c r="R1655">
        <v>45.75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9</v>
      </c>
      <c r="AC1655">
        <v>0</v>
      </c>
      <c r="AH1655">
        <v>54.75</v>
      </c>
    </row>
    <row r="1656" spans="1:34" x14ac:dyDescent="0.3">
      <c r="A1656" s="4">
        <v>1772</v>
      </c>
      <c r="B1656" s="5">
        <v>1649</v>
      </c>
      <c r="C1656">
        <v>3662</v>
      </c>
      <c r="D1656" t="s">
        <v>21184</v>
      </c>
      <c r="E1656" t="s">
        <v>29</v>
      </c>
      <c r="F1656" t="s">
        <v>158</v>
      </c>
      <c r="G1656" t="s">
        <v>21185</v>
      </c>
      <c r="H1656">
        <v>18.75</v>
      </c>
      <c r="I1656">
        <v>0</v>
      </c>
      <c r="J1656">
        <v>0</v>
      </c>
      <c r="K1656">
        <v>20</v>
      </c>
      <c r="N1656">
        <v>3</v>
      </c>
      <c r="O1656">
        <v>3</v>
      </c>
      <c r="P1656">
        <v>4</v>
      </c>
      <c r="Q1656">
        <v>0</v>
      </c>
      <c r="R1656">
        <v>45.75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9</v>
      </c>
      <c r="AC1656">
        <v>0</v>
      </c>
      <c r="AH1656">
        <v>54.75</v>
      </c>
    </row>
    <row r="1657" spans="1:34" x14ac:dyDescent="0.3">
      <c r="A1657" s="4">
        <v>1773</v>
      </c>
      <c r="B1657" s="5">
        <v>1650</v>
      </c>
      <c r="C1657">
        <v>196</v>
      </c>
      <c r="D1657" t="s">
        <v>21186</v>
      </c>
      <c r="E1657" t="s">
        <v>29</v>
      </c>
      <c r="F1657" t="s">
        <v>4546</v>
      </c>
      <c r="G1657" t="s">
        <v>21187</v>
      </c>
      <c r="H1657">
        <v>17.75</v>
      </c>
      <c r="I1657">
        <v>0</v>
      </c>
      <c r="J1657">
        <v>0</v>
      </c>
      <c r="K1657">
        <v>0</v>
      </c>
      <c r="N1657">
        <v>3</v>
      </c>
      <c r="O1657">
        <v>3</v>
      </c>
      <c r="P1657">
        <v>4</v>
      </c>
      <c r="Q1657">
        <v>2</v>
      </c>
      <c r="R1657">
        <v>26.75</v>
      </c>
      <c r="S1657">
        <v>28</v>
      </c>
      <c r="T1657">
        <v>28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28</v>
      </c>
      <c r="AB1657">
        <v>0</v>
      </c>
      <c r="AC1657">
        <v>0</v>
      </c>
      <c r="AD1657" t="s">
        <v>130</v>
      </c>
      <c r="AH1657">
        <v>54.75</v>
      </c>
    </row>
    <row r="1658" spans="1:34" x14ac:dyDescent="0.3">
      <c r="A1658" s="4">
        <v>1774</v>
      </c>
      <c r="B1658" s="5">
        <v>1651</v>
      </c>
      <c r="C1658">
        <v>9207</v>
      </c>
      <c r="D1658" t="s">
        <v>21188</v>
      </c>
      <c r="E1658" t="s">
        <v>471</v>
      </c>
      <c r="F1658" t="s">
        <v>38</v>
      </c>
      <c r="G1658" t="s">
        <v>21189</v>
      </c>
      <c r="H1658">
        <v>20.63</v>
      </c>
      <c r="I1658">
        <v>0</v>
      </c>
      <c r="J1658">
        <v>0</v>
      </c>
      <c r="K1658">
        <v>0</v>
      </c>
      <c r="L1658">
        <v>7</v>
      </c>
      <c r="O1658">
        <v>7</v>
      </c>
      <c r="P1658">
        <v>4</v>
      </c>
      <c r="Q1658">
        <v>2</v>
      </c>
      <c r="R1658">
        <v>33.630000000000003</v>
      </c>
      <c r="S1658">
        <v>18</v>
      </c>
      <c r="T1658">
        <v>18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18</v>
      </c>
      <c r="AB1658">
        <v>3</v>
      </c>
      <c r="AC1658">
        <v>0</v>
      </c>
      <c r="AD1658" t="s">
        <v>130</v>
      </c>
      <c r="AH1658">
        <v>54.63</v>
      </c>
    </row>
    <row r="1659" spans="1:34" x14ac:dyDescent="0.3">
      <c r="A1659" s="4">
        <v>1775</v>
      </c>
      <c r="B1659" s="5">
        <v>1652</v>
      </c>
      <c r="C1659">
        <v>118</v>
      </c>
      <c r="D1659" t="s">
        <v>8769</v>
      </c>
      <c r="E1659" t="s">
        <v>21190</v>
      </c>
      <c r="F1659" t="s">
        <v>346</v>
      </c>
      <c r="G1659" t="s">
        <v>21191</v>
      </c>
      <c r="H1659">
        <v>17.600000000000001</v>
      </c>
      <c r="I1659">
        <v>0</v>
      </c>
      <c r="J1659">
        <v>0</v>
      </c>
      <c r="K1659">
        <v>20</v>
      </c>
      <c r="L1659">
        <v>7</v>
      </c>
      <c r="O1659">
        <v>7</v>
      </c>
      <c r="P1659">
        <v>4</v>
      </c>
      <c r="Q1659">
        <v>0</v>
      </c>
      <c r="R1659">
        <v>48.6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6</v>
      </c>
      <c r="AC1659">
        <v>0</v>
      </c>
      <c r="AH1659">
        <v>54.6</v>
      </c>
    </row>
    <row r="1660" spans="1:34" x14ac:dyDescent="0.3">
      <c r="A1660" s="4">
        <v>1776</v>
      </c>
      <c r="B1660" s="5">
        <v>1653</v>
      </c>
      <c r="C1660">
        <v>13970</v>
      </c>
      <c r="D1660" t="s">
        <v>21192</v>
      </c>
      <c r="E1660" t="s">
        <v>29</v>
      </c>
      <c r="F1660" t="s">
        <v>385</v>
      </c>
      <c r="G1660" t="s">
        <v>21193</v>
      </c>
      <c r="H1660">
        <v>23.58</v>
      </c>
      <c r="I1660">
        <v>0</v>
      </c>
      <c r="J1660">
        <v>0</v>
      </c>
      <c r="K1660">
        <v>20</v>
      </c>
      <c r="L1660">
        <v>7</v>
      </c>
      <c r="O1660">
        <v>7</v>
      </c>
      <c r="P1660">
        <v>4</v>
      </c>
      <c r="Q1660">
        <v>0</v>
      </c>
      <c r="R1660">
        <v>54.58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H1660">
        <v>54.58</v>
      </c>
    </row>
    <row r="1661" spans="1:34" x14ac:dyDescent="0.3">
      <c r="A1661" s="4">
        <v>1777</v>
      </c>
      <c r="B1661" s="5">
        <v>1654</v>
      </c>
      <c r="C1661">
        <v>8564</v>
      </c>
      <c r="D1661" t="s">
        <v>21194</v>
      </c>
      <c r="E1661" t="s">
        <v>789</v>
      </c>
      <c r="F1661" t="s">
        <v>136</v>
      </c>
      <c r="G1661" t="s">
        <v>21195</v>
      </c>
      <c r="H1661">
        <v>17.53</v>
      </c>
      <c r="I1661">
        <v>0</v>
      </c>
      <c r="J1661">
        <v>0</v>
      </c>
      <c r="K1661">
        <v>0</v>
      </c>
      <c r="M1661">
        <v>5</v>
      </c>
      <c r="O1661">
        <v>5</v>
      </c>
      <c r="P1661">
        <v>4</v>
      </c>
      <c r="Q1661">
        <v>0</v>
      </c>
      <c r="R1661">
        <v>26.53</v>
      </c>
      <c r="S1661">
        <v>8</v>
      </c>
      <c r="T1661">
        <v>8</v>
      </c>
      <c r="U1661">
        <v>10</v>
      </c>
      <c r="V1661">
        <v>20</v>
      </c>
      <c r="W1661">
        <v>0</v>
      </c>
      <c r="X1661">
        <v>0</v>
      </c>
      <c r="Y1661">
        <v>0</v>
      </c>
      <c r="Z1661">
        <v>0</v>
      </c>
      <c r="AA1661">
        <v>28</v>
      </c>
      <c r="AB1661">
        <v>0</v>
      </c>
      <c r="AC1661">
        <v>0</v>
      </c>
      <c r="AH1661">
        <v>54.53</v>
      </c>
    </row>
    <row r="1662" spans="1:34" x14ac:dyDescent="0.3">
      <c r="A1662" s="4">
        <v>1778</v>
      </c>
      <c r="B1662" s="5">
        <v>1655</v>
      </c>
      <c r="C1662">
        <v>14022</v>
      </c>
      <c r="D1662" t="s">
        <v>5770</v>
      </c>
      <c r="E1662" t="s">
        <v>110</v>
      </c>
      <c r="F1662" t="s">
        <v>20</v>
      </c>
      <c r="G1662" t="s">
        <v>21196</v>
      </c>
      <c r="H1662">
        <v>18.5</v>
      </c>
      <c r="I1662">
        <v>0</v>
      </c>
      <c r="J1662">
        <v>0</v>
      </c>
      <c r="K1662">
        <v>20</v>
      </c>
      <c r="N1662">
        <v>3</v>
      </c>
      <c r="O1662">
        <v>3</v>
      </c>
      <c r="P1662">
        <v>4</v>
      </c>
      <c r="Q1662">
        <v>0</v>
      </c>
      <c r="R1662">
        <v>45.5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9</v>
      </c>
      <c r="AC1662">
        <v>0</v>
      </c>
      <c r="AH1662">
        <v>54.5</v>
      </c>
    </row>
    <row r="1663" spans="1:34" x14ac:dyDescent="0.3">
      <c r="A1663" s="4">
        <v>1779</v>
      </c>
      <c r="B1663" s="5">
        <v>1656</v>
      </c>
      <c r="C1663">
        <v>11824</v>
      </c>
      <c r="D1663" t="s">
        <v>21197</v>
      </c>
      <c r="E1663" t="s">
        <v>147</v>
      </c>
      <c r="F1663" t="s">
        <v>20</v>
      </c>
      <c r="G1663" t="s">
        <v>21198</v>
      </c>
      <c r="H1663">
        <v>18.5</v>
      </c>
      <c r="I1663">
        <v>0</v>
      </c>
      <c r="J1663">
        <v>0</v>
      </c>
      <c r="K1663">
        <v>20</v>
      </c>
      <c r="L1663">
        <v>7</v>
      </c>
      <c r="N1663">
        <v>3</v>
      </c>
      <c r="O1663">
        <v>10</v>
      </c>
      <c r="P1663">
        <v>4</v>
      </c>
      <c r="Q1663">
        <v>2</v>
      </c>
      <c r="R1663">
        <v>54.5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H1663">
        <v>54.5</v>
      </c>
    </row>
    <row r="1664" spans="1:34" x14ac:dyDescent="0.3">
      <c r="A1664" s="4">
        <v>1780</v>
      </c>
      <c r="B1664" s="5">
        <v>1657</v>
      </c>
      <c r="C1664">
        <v>835</v>
      </c>
      <c r="D1664" t="s">
        <v>1707</v>
      </c>
      <c r="E1664" t="s">
        <v>390</v>
      </c>
      <c r="F1664" t="s">
        <v>19256</v>
      </c>
      <c r="G1664" t="s">
        <v>21199</v>
      </c>
      <c r="H1664">
        <v>19.43</v>
      </c>
      <c r="I1664">
        <v>0</v>
      </c>
      <c r="J1664">
        <v>0</v>
      </c>
      <c r="K1664">
        <v>20</v>
      </c>
      <c r="M1664">
        <v>5</v>
      </c>
      <c r="O1664">
        <v>5</v>
      </c>
      <c r="P1664">
        <v>4</v>
      </c>
      <c r="Q1664">
        <v>0</v>
      </c>
      <c r="R1664">
        <v>48.43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6</v>
      </c>
      <c r="AC1664">
        <v>0</v>
      </c>
      <c r="AH1664">
        <v>54.43</v>
      </c>
    </row>
    <row r="1665" spans="1:34" x14ac:dyDescent="0.3">
      <c r="A1665" s="4">
        <v>1781</v>
      </c>
      <c r="B1665" s="5">
        <v>1658</v>
      </c>
      <c r="C1665">
        <v>13017</v>
      </c>
      <c r="D1665" t="s">
        <v>9971</v>
      </c>
      <c r="E1665" t="s">
        <v>1659</v>
      </c>
      <c r="F1665" t="s">
        <v>17</v>
      </c>
      <c r="G1665" t="s">
        <v>21200</v>
      </c>
      <c r="H1665">
        <v>18.43</v>
      </c>
      <c r="I1665">
        <v>0</v>
      </c>
      <c r="J1665">
        <v>0</v>
      </c>
      <c r="K1665">
        <v>20</v>
      </c>
      <c r="L1665">
        <v>7</v>
      </c>
      <c r="N1665">
        <v>3</v>
      </c>
      <c r="O1665">
        <v>10</v>
      </c>
      <c r="P1665">
        <v>4</v>
      </c>
      <c r="Q1665">
        <v>2</v>
      </c>
      <c r="R1665">
        <v>54.43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H1665">
        <v>54.43</v>
      </c>
    </row>
    <row r="1666" spans="1:34" x14ac:dyDescent="0.3">
      <c r="A1666" s="4">
        <v>1782</v>
      </c>
      <c r="B1666" s="5">
        <v>1659</v>
      </c>
      <c r="C1666">
        <v>10678</v>
      </c>
      <c r="D1666" t="s">
        <v>10847</v>
      </c>
      <c r="E1666" t="s">
        <v>2843</v>
      </c>
      <c r="F1666" t="s">
        <v>17</v>
      </c>
      <c r="G1666" t="s">
        <v>21201</v>
      </c>
      <c r="H1666">
        <v>18.399999999999999</v>
      </c>
      <c r="I1666">
        <v>0</v>
      </c>
      <c r="J1666">
        <v>0</v>
      </c>
      <c r="K1666">
        <v>0</v>
      </c>
      <c r="N1666">
        <v>3</v>
      </c>
      <c r="O1666">
        <v>3</v>
      </c>
      <c r="P1666">
        <v>4</v>
      </c>
      <c r="Q1666">
        <v>2</v>
      </c>
      <c r="R1666">
        <v>27.4</v>
      </c>
      <c r="S1666">
        <v>18</v>
      </c>
      <c r="T1666">
        <v>18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18</v>
      </c>
      <c r="AB1666">
        <v>9</v>
      </c>
      <c r="AC1666">
        <v>0</v>
      </c>
      <c r="AH1666">
        <v>54.4</v>
      </c>
    </row>
    <row r="1667" spans="1:34" x14ac:dyDescent="0.3">
      <c r="A1667" s="4">
        <v>1783</v>
      </c>
      <c r="B1667" s="5">
        <v>1660</v>
      </c>
      <c r="C1667">
        <v>8880</v>
      </c>
      <c r="D1667" t="s">
        <v>21202</v>
      </c>
      <c r="E1667" t="s">
        <v>188</v>
      </c>
      <c r="F1667" t="s">
        <v>21203</v>
      </c>
      <c r="G1667" t="s">
        <v>21204</v>
      </c>
      <c r="H1667">
        <v>18.350000000000001</v>
      </c>
      <c r="I1667">
        <v>0</v>
      </c>
      <c r="J1667">
        <v>0</v>
      </c>
      <c r="K1667">
        <v>20</v>
      </c>
      <c r="L1667">
        <v>7</v>
      </c>
      <c r="N1667">
        <v>3</v>
      </c>
      <c r="O1667">
        <v>10</v>
      </c>
      <c r="P1667">
        <v>4</v>
      </c>
      <c r="Q1667">
        <v>2</v>
      </c>
      <c r="R1667">
        <v>54.35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H1667">
        <v>54.35</v>
      </c>
    </row>
    <row r="1668" spans="1:34" x14ac:dyDescent="0.3">
      <c r="A1668" s="4">
        <v>1784</v>
      </c>
      <c r="B1668" s="5">
        <v>1661</v>
      </c>
      <c r="C1668">
        <v>13888</v>
      </c>
      <c r="D1668" t="s">
        <v>21205</v>
      </c>
      <c r="E1668" t="s">
        <v>372</v>
      </c>
      <c r="F1668" t="s">
        <v>652</v>
      </c>
      <c r="G1668" t="s">
        <v>21206</v>
      </c>
      <c r="H1668">
        <v>16.350000000000001</v>
      </c>
      <c r="I1668">
        <v>0</v>
      </c>
      <c r="J1668">
        <v>0</v>
      </c>
      <c r="K1668">
        <v>20</v>
      </c>
      <c r="L1668">
        <v>14</v>
      </c>
      <c r="O1668">
        <v>14</v>
      </c>
      <c r="P1668">
        <v>4</v>
      </c>
      <c r="Q1668">
        <v>0</v>
      </c>
      <c r="R1668">
        <v>54.35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H1668">
        <v>54.35</v>
      </c>
    </row>
    <row r="1669" spans="1:34" x14ac:dyDescent="0.3">
      <c r="A1669" s="4">
        <v>1785</v>
      </c>
      <c r="B1669" s="5">
        <v>1662</v>
      </c>
      <c r="C1669">
        <v>7623</v>
      </c>
      <c r="D1669" t="s">
        <v>21207</v>
      </c>
      <c r="E1669" t="s">
        <v>29</v>
      </c>
      <c r="F1669" t="s">
        <v>38</v>
      </c>
      <c r="G1669" t="s">
        <v>21208</v>
      </c>
      <c r="H1669">
        <v>17.3</v>
      </c>
      <c r="I1669">
        <v>0</v>
      </c>
      <c r="J1669">
        <v>0</v>
      </c>
      <c r="K1669">
        <v>20</v>
      </c>
      <c r="L1669">
        <v>7</v>
      </c>
      <c r="O1669">
        <v>7</v>
      </c>
      <c r="P1669">
        <v>4</v>
      </c>
      <c r="Q1669">
        <v>0</v>
      </c>
      <c r="R1669">
        <v>48.3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6</v>
      </c>
      <c r="AC1669">
        <v>0</v>
      </c>
      <c r="AH1669">
        <v>54.3</v>
      </c>
    </row>
    <row r="1670" spans="1:34" x14ac:dyDescent="0.3">
      <c r="A1670" s="4">
        <v>1786</v>
      </c>
      <c r="B1670" s="5">
        <v>1663</v>
      </c>
      <c r="C1670">
        <v>10602</v>
      </c>
      <c r="D1670" t="s">
        <v>2206</v>
      </c>
      <c r="E1670" t="s">
        <v>792</v>
      </c>
      <c r="F1670" t="s">
        <v>892</v>
      </c>
      <c r="G1670" t="s">
        <v>21209</v>
      </c>
      <c r="H1670">
        <v>18.28</v>
      </c>
      <c r="I1670">
        <v>0</v>
      </c>
      <c r="J1670">
        <v>0</v>
      </c>
      <c r="K1670">
        <v>20</v>
      </c>
      <c r="N1670">
        <v>3</v>
      </c>
      <c r="O1670">
        <v>3</v>
      </c>
      <c r="P1670">
        <v>4</v>
      </c>
      <c r="Q1670">
        <v>2</v>
      </c>
      <c r="R1670">
        <v>47.28</v>
      </c>
      <c r="S1670">
        <v>1</v>
      </c>
      <c r="T1670">
        <v>1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1</v>
      </c>
      <c r="AB1670">
        <v>6</v>
      </c>
      <c r="AC1670">
        <v>0</v>
      </c>
      <c r="AH1670">
        <v>54.28</v>
      </c>
    </row>
    <row r="1671" spans="1:34" x14ac:dyDescent="0.3">
      <c r="A1671" s="4">
        <v>1787</v>
      </c>
      <c r="B1671" s="5">
        <v>1664</v>
      </c>
      <c r="C1671">
        <v>4326</v>
      </c>
      <c r="D1671" t="s">
        <v>21210</v>
      </c>
      <c r="E1671" t="s">
        <v>71</v>
      </c>
      <c r="F1671" t="s">
        <v>81</v>
      </c>
      <c r="G1671" t="s">
        <v>21211</v>
      </c>
      <c r="H1671">
        <v>20.18</v>
      </c>
      <c r="I1671">
        <v>0</v>
      </c>
      <c r="J1671">
        <v>0</v>
      </c>
      <c r="K1671">
        <v>20</v>
      </c>
      <c r="L1671">
        <v>7</v>
      </c>
      <c r="N1671">
        <v>3</v>
      </c>
      <c r="O1671">
        <v>10</v>
      </c>
      <c r="P1671">
        <v>4</v>
      </c>
      <c r="Q1671">
        <v>0</v>
      </c>
      <c r="R1671">
        <v>54.18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H1671">
        <v>54.18</v>
      </c>
    </row>
    <row r="1672" spans="1:34" x14ac:dyDescent="0.3">
      <c r="A1672" s="4">
        <v>1788</v>
      </c>
      <c r="B1672" s="5">
        <v>1665</v>
      </c>
      <c r="C1672">
        <v>4834</v>
      </c>
      <c r="D1672" t="s">
        <v>9098</v>
      </c>
      <c r="E1672" t="s">
        <v>816</v>
      </c>
      <c r="F1672" t="s">
        <v>416</v>
      </c>
      <c r="G1672" t="s">
        <v>21212</v>
      </c>
      <c r="H1672">
        <v>17.13</v>
      </c>
      <c r="I1672">
        <v>0</v>
      </c>
      <c r="J1672">
        <v>0</v>
      </c>
      <c r="K1672">
        <v>20</v>
      </c>
      <c r="L1672">
        <v>7</v>
      </c>
      <c r="N1672">
        <v>3</v>
      </c>
      <c r="O1672">
        <v>10</v>
      </c>
      <c r="P1672">
        <v>4</v>
      </c>
      <c r="Q1672">
        <v>0</v>
      </c>
      <c r="R1672">
        <v>51.13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3</v>
      </c>
      <c r="AC1672">
        <v>0</v>
      </c>
      <c r="AH1672">
        <v>54.13</v>
      </c>
    </row>
    <row r="1673" spans="1:34" x14ac:dyDescent="0.3">
      <c r="A1673" s="4">
        <v>1789</v>
      </c>
      <c r="B1673" s="5">
        <v>1666</v>
      </c>
      <c r="C1673">
        <v>1373</v>
      </c>
      <c r="D1673" t="s">
        <v>21213</v>
      </c>
      <c r="E1673" t="s">
        <v>54</v>
      </c>
      <c r="F1673" t="s">
        <v>38</v>
      </c>
      <c r="G1673" t="s">
        <v>21214</v>
      </c>
      <c r="H1673">
        <v>17.13</v>
      </c>
      <c r="I1673">
        <v>0</v>
      </c>
      <c r="J1673">
        <v>0</v>
      </c>
      <c r="K1673">
        <v>20</v>
      </c>
      <c r="L1673">
        <v>7</v>
      </c>
      <c r="N1673">
        <v>3</v>
      </c>
      <c r="O1673">
        <v>10</v>
      </c>
      <c r="P1673">
        <v>4</v>
      </c>
      <c r="Q1673">
        <v>0</v>
      </c>
      <c r="R1673">
        <v>51.13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3</v>
      </c>
      <c r="AC1673">
        <v>0</v>
      </c>
      <c r="AH1673">
        <v>54.13</v>
      </c>
    </row>
    <row r="1674" spans="1:34" x14ac:dyDescent="0.3">
      <c r="A1674" s="4">
        <v>1790</v>
      </c>
      <c r="B1674" s="5">
        <v>1667</v>
      </c>
      <c r="C1674">
        <v>3912</v>
      </c>
      <c r="D1674" t="s">
        <v>21215</v>
      </c>
      <c r="E1674" t="s">
        <v>1484</v>
      </c>
      <c r="F1674" t="s">
        <v>539</v>
      </c>
      <c r="G1674" t="s">
        <v>21216</v>
      </c>
      <c r="H1674">
        <v>20.13</v>
      </c>
      <c r="I1674">
        <v>0</v>
      </c>
      <c r="J1674">
        <v>0</v>
      </c>
      <c r="K1674">
        <v>20</v>
      </c>
      <c r="L1674">
        <v>7</v>
      </c>
      <c r="N1674">
        <v>3</v>
      </c>
      <c r="O1674">
        <v>10</v>
      </c>
      <c r="P1674">
        <v>4</v>
      </c>
      <c r="Q1674">
        <v>0</v>
      </c>
      <c r="R1674">
        <v>54.13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H1674">
        <v>54.13</v>
      </c>
    </row>
    <row r="1675" spans="1:34" x14ac:dyDescent="0.3">
      <c r="A1675" s="4">
        <v>1791</v>
      </c>
      <c r="B1675" s="5">
        <v>1668</v>
      </c>
      <c r="C1675">
        <v>3420</v>
      </c>
      <c r="D1675" t="s">
        <v>21217</v>
      </c>
      <c r="E1675" t="s">
        <v>34</v>
      </c>
      <c r="F1675" t="s">
        <v>81</v>
      </c>
      <c r="G1675" t="s">
        <v>21218</v>
      </c>
      <c r="H1675">
        <v>23.08</v>
      </c>
      <c r="I1675">
        <v>0</v>
      </c>
      <c r="J1675">
        <v>0</v>
      </c>
      <c r="K1675">
        <v>20</v>
      </c>
      <c r="L1675">
        <v>7</v>
      </c>
      <c r="O1675">
        <v>7</v>
      </c>
      <c r="P1675">
        <v>4</v>
      </c>
      <c r="Q1675">
        <v>0</v>
      </c>
      <c r="R1675">
        <v>54.08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H1675">
        <v>54.08</v>
      </c>
    </row>
    <row r="1676" spans="1:34" x14ac:dyDescent="0.3">
      <c r="A1676" s="4">
        <v>1792</v>
      </c>
      <c r="B1676" s="5">
        <v>1669</v>
      </c>
      <c r="C1676">
        <v>10484</v>
      </c>
      <c r="D1676" t="s">
        <v>1279</v>
      </c>
      <c r="E1676" t="s">
        <v>115</v>
      </c>
      <c r="F1676" t="s">
        <v>81</v>
      </c>
      <c r="G1676" t="s">
        <v>21219</v>
      </c>
      <c r="H1676">
        <v>21.03</v>
      </c>
      <c r="I1676">
        <v>0</v>
      </c>
      <c r="J1676">
        <v>0</v>
      </c>
      <c r="K1676">
        <v>20</v>
      </c>
      <c r="O1676">
        <v>0</v>
      </c>
      <c r="P1676">
        <v>4</v>
      </c>
      <c r="Q1676">
        <v>0</v>
      </c>
      <c r="R1676">
        <v>45.03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9</v>
      </c>
      <c r="AC1676">
        <v>0</v>
      </c>
      <c r="AH1676">
        <v>54.03</v>
      </c>
    </row>
    <row r="1677" spans="1:34" x14ac:dyDescent="0.3">
      <c r="A1677" s="4">
        <v>1793</v>
      </c>
      <c r="B1677" s="5">
        <v>1670</v>
      </c>
      <c r="C1677">
        <v>4881</v>
      </c>
      <c r="D1677" t="s">
        <v>21220</v>
      </c>
      <c r="E1677" t="s">
        <v>149</v>
      </c>
      <c r="F1677" t="s">
        <v>20</v>
      </c>
      <c r="G1677" t="s">
        <v>21221</v>
      </c>
      <c r="H1677">
        <v>18.03</v>
      </c>
      <c r="I1677">
        <v>0</v>
      </c>
      <c r="J1677">
        <v>0</v>
      </c>
      <c r="K1677">
        <v>20</v>
      </c>
      <c r="N1677">
        <v>3</v>
      </c>
      <c r="O1677">
        <v>3</v>
      </c>
      <c r="P1677">
        <v>4</v>
      </c>
      <c r="Q1677">
        <v>0</v>
      </c>
      <c r="R1677">
        <v>45.03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9</v>
      </c>
      <c r="AC1677">
        <v>0</v>
      </c>
      <c r="AH1677">
        <v>54.03</v>
      </c>
    </row>
    <row r="1678" spans="1:34" x14ac:dyDescent="0.3">
      <c r="A1678" s="4">
        <v>1794</v>
      </c>
      <c r="B1678" s="5">
        <v>1671</v>
      </c>
      <c r="C1678">
        <v>3967</v>
      </c>
      <c r="D1678" t="s">
        <v>645</v>
      </c>
      <c r="E1678" t="s">
        <v>18599</v>
      </c>
      <c r="F1678" t="s">
        <v>136</v>
      </c>
      <c r="G1678" t="s">
        <v>21222</v>
      </c>
      <c r="H1678">
        <v>19.03</v>
      </c>
      <c r="I1678">
        <v>0</v>
      </c>
      <c r="J1678">
        <v>0</v>
      </c>
      <c r="K1678">
        <v>0</v>
      </c>
      <c r="N1678">
        <v>3</v>
      </c>
      <c r="O1678">
        <v>3</v>
      </c>
      <c r="P1678">
        <v>4</v>
      </c>
      <c r="Q1678">
        <v>2</v>
      </c>
      <c r="R1678">
        <v>28.03</v>
      </c>
      <c r="S1678">
        <v>23</v>
      </c>
      <c r="T1678">
        <v>23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23</v>
      </c>
      <c r="AB1678">
        <v>3</v>
      </c>
      <c r="AC1678">
        <v>0</v>
      </c>
      <c r="AH1678">
        <v>54.03</v>
      </c>
    </row>
    <row r="1679" spans="1:34" x14ac:dyDescent="0.3">
      <c r="A1679" s="4">
        <v>1795</v>
      </c>
      <c r="B1679" s="5">
        <v>1672</v>
      </c>
      <c r="C1679">
        <v>10006</v>
      </c>
      <c r="D1679" t="s">
        <v>21223</v>
      </c>
      <c r="E1679" t="s">
        <v>17</v>
      </c>
      <c r="F1679" t="s">
        <v>17</v>
      </c>
      <c r="G1679" t="s">
        <v>21224</v>
      </c>
      <c r="H1679">
        <v>19.88</v>
      </c>
      <c r="I1679">
        <v>0</v>
      </c>
      <c r="J1679">
        <v>0</v>
      </c>
      <c r="K1679">
        <v>20</v>
      </c>
      <c r="L1679">
        <v>7</v>
      </c>
      <c r="N1679">
        <v>3</v>
      </c>
      <c r="O1679">
        <v>10</v>
      </c>
      <c r="P1679">
        <v>4</v>
      </c>
      <c r="Q1679">
        <v>0</v>
      </c>
      <c r="R1679">
        <v>53.88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H1679">
        <v>53.88</v>
      </c>
    </row>
    <row r="1680" spans="1:34" x14ac:dyDescent="0.3">
      <c r="A1680" s="4">
        <v>1796</v>
      </c>
      <c r="B1680" s="5">
        <v>1673</v>
      </c>
      <c r="C1680">
        <v>12806</v>
      </c>
      <c r="D1680" t="s">
        <v>21225</v>
      </c>
      <c r="E1680" t="s">
        <v>21226</v>
      </c>
      <c r="F1680" t="s">
        <v>5685</v>
      </c>
      <c r="G1680" t="s">
        <v>21227</v>
      </c>
      <c r="H1680">
        <v>19.850000000000001</v>
      </c>
      <c r="I1680">
        <v>0</v>
      </c>
      <c r="J1680">
        <v>0</v>
      </c>
      <c r="K1680">
        <v>0</v>
      </c>
      <c r="O1680">
        <v>0</v>
      </c>
      <c r="P1680">
        <v>4</v>
      </c>
      <c r="Q1680">
        <v>0</v>
      </c>
      <c r="R1680">
        <v>23.85</v>
      </c>
      <c r="S1680">
        <v>24</v>
      </c>
      <c r="T1680">
        <v>24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24</v>
      </c>
      <c r="AB1680">
        <v>6</v>
      </c>
      <c r="AC1680">
        <v>0</v>
      </c>
      <c r="AH1680">
        <v>53.85</v>
      </c>
    </row>
    <row r="1681" spans="1:34" x14ac:dyDescent="0.3">
      <c r="A1681" s="4">
        <v>1797</v>
      </c>
      <c r="B1681" s="5">
        <v>1674</v>
      </c>
      <c r="C1681">
        <v>6213</v>
      </c>
      <c r="D1681" t="s">
        <v>21228</v>
      </c>
      <c r="E1681" t="s">
        <v>964</v>
      </c>
      <c r="F1681" t="s">
        <v>117</v>
      </c>
      <c r="G1681" t="s">
        <v>21229</v>
      </c>
      <c r="H1681">
        <v>20.83</v>
      </c>
      <c r="I1681">
        <v>0</v>
      </c>
      <c r="J1681">
        <v>0</v>
      </c>
      <c r="K1681">
        <v>20</v>
      </c>
      <c r="L1681">
        <v>7</v>
      </c>
      <c r="O1681">
        <v>7</v>
      </c>
      <c r="P1681">
        <v>4</v>
      </c>
      <c r="Q1681">
        <v>2</v>
      </c>
      <c r="R1681">
        <v>53.83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H1681">
        <v>53.83</v>
      </c>
    </row>
    <row r="1682" spans="1:34" x14ac:dyDescent="0.3">
      <c r="A1682" s="4">
        <v>1798</v>
      </c>
      <c r="B1682" s="5">
        <v>1675</v>
      </c>
      <c r="C1682">
        <v>11163</v>
      </c>
      <c r="D1682" t="s">
        <v>21230</v>
      </c>
      <c r="E1682" t="s">
        <v>1075</v>
      </c>
      <c r="F1682" t="s">
        <v>81</v>
      </c>
      <c r="G1682" t="s">
        <v>21231</v>
      </c>
      <c r="H1682">
        <v>19.8</v>
      </c>
      <c r="I1682">
        <v>0</v>
      </c>
      <c r="J1682">
        <v>0</v>
      </c>
      <c r="K1682">
        <v>20</v>
      </c>
      <c r="L1682">
        <v>7</v>
      </c>
      <c r="N1682">
        <v>3</v>
      </c>
      <c r="O1682">
        <v>10</v>
      </c>
      <c r="P1682">
        <v>4</v>
      </c>
      <c r="Q1682">
        <v>0</v>
      </c>
      <c r="R1682">
        <v>53.8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H1682">
        <v>53.8</v>
      </c>
    </row>
    <row r="1683" spans="1:34" x14ac:dyDescent="0.3">
      <c r="A1683" s="4">
        <v>1799</v>
      </c>
      <c r="B1683" s="5">
        <v>1676</v>
      </c>
      <c r="C1683">
        <v>14530</v>
      </c>
      <c r="D1683" t="s">
        <v>1346</v>
      </c>
      <c r="E1683" t="s">
        <v>166</v>
      </c>
      <c r="F1683" t="s">
        <v>328</v>
      </c>
      <c r="G1683" t="s">
        <v>21232</v>
      </c>
      <c r="H1683">
        <v>17.8</v>
      </c>
      <c r="I1683">
        <v>0</v>
      </c>
      <c r="J1683">
        <v>0</v>
      </c>
      <c r="K1683">
        <v>20</v>
      </c>
      <c r="L1683">
        <v>7</v>
      </c>
      <c r="M1683">
        <v>5</v>
      </c>
      <c r="O1683">
        <v>12</v>
      </c>
      <c r="P1683">
        <v>4</v>
      </c>
      <c r="Q1683">
        <v>0</v>
      </c>
      <c r="R1683">
        <v>53.8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H1683">
        <v>53.8</v>
      </c>
    </row>
    <row r="1684" spans="1:34" x14ac:dyDescent="0.3">
      <c r="A1684" s="4">
        <v>1800</v>
      </c>
      <c r="B1684" s="5">
        <v>1677</v>
      </c>
      <c r="C1684">
        <v>10119</v>
      </c>
      <c r="D1684" t="s">
        <v>21233</v>
      </c>
      <c r="E1684" t="s">
        <v>128</v>
      </c>
      <c r="F1684" t="s">
        <v>230</v>
      </c>
      <c r="G1684" t="s">
        <v>21234</v>
      </c>
      <c r="H1684">
        <v>17.75</v>
      </c>
      <c r="I1684">
        <v>0</v>
      </c>
      <c r="J1684">
        <v>0</v>
      </c>
      <c r="K1684">
        <v>20</v>
      </c>
      <c r="N1684">
        <v>3</v>
      </c>
      <c r="O1684">
        <v>3</v>
      </c>
      <c r="P1684">
        <v>4</v>
      </c>
      <c r="Q1684">
        <v>0</v>
      </c>
      <c r="R1684">
        <v>44.75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9</v>
      </c>
      <c r="AC1684">
        <v>0</v>
      </c>
      <c r="AH1684">
        <v>53.75</v>
      </c>
    </row>
    <row r="1685" spans="1:34" x14ac:dyDescent="0.3">
      <c r="A1685" s="4">
        <v>1801</v>
      </c>
      <c r="B1685" s="5">
        <v>1678</v>
      </c>
      <c r="C1685">
        <v>4956</v>
      </c>
      <c r="D1685" t="s">
        <v>21235</v>
      </c>
      <c r="E1685" t="s">
        <v>100</v>
      </c>
      <c r="F1685" t="s">
        <v>68</v>
      </c>
      <c r="G1685" t="s">
        <v>21236</v>
      </c>
      <c r="H1685">
        <v>20.75</v>
      </c>
      <c r="I1685">
        <v>0</v>
      </c>
      <c r="J1685">
        <v>0</v>
      </c>
      <c r="K1685">
        <v>20</v>
      </c>
      <c r="N1685">
        <v>3</v>
      </c>
      <c r="O1685">
        <v>3</v>
      </c>
      <c r="P1685">
        <v>4</v>
      </c>
      <c r="Q1685">
        <v>0</v>
      </c>
      <c r="R1685">
        <v>47.75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6</v>
      </c>
      <c r="AC1685">
        <v>0</v>
      </c>
      <c r="AH1685">
        <v>53.75</v>
      </c>
    </row>
    <row r="1686" spans="1:34" x14ac:dyDescent="0.3">
      <c r="A1686" s="4">
        <v>1802</v>
      </c>
      <c r="B1686" s="5">
        <v>1679</v>
      </c>
      <c r="C1686">
        <v>12764</v>
      </c>
      <c r="D1686" t="s">
        <v>21237</v>
      </c>
      <c r="E1686" t="s">
        <v>1280</v>
      </c>
      <c r="F1686" t="s">
        <v>20</v>
      </c>
      <c r="G1686" t="s">
        <v>21238</v>
      </c>
      <c r="H1686">
        <v>18.68</v>
      </c>
      <c r="I1686">
        <v>0</v>
      </c>
      <c r="J1686">
        <v>0</v>
      </c>
      <c r="K1686">
        <v>20</v>
      </c>
      <c r="N1686">
        <v>3</v>
      </c>
      <c r="O1686">
        <v>3</v>
      </c>
      <c r="P1686">
        <v>4</v>
      </c>
      <c r="Q1686">
        <v>2</v>
      </c>
      <c r="R1686">
        <v>47.68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6</v>
      </c>
      <c r="AC1686">
        <v>0</v>
      </c>
      <c r="AH1686">
        <v>53.68</v>
      </c>
    </row>
    <row r="1687" spans="1:34" x14ac:dyDescent="0.3">
      <c r="A1687" s="4">
        <v>1803</v>
      </c>
      <c r="B1687" s="5">
        <v>1680</v>
      </c>
      <c r="C1687">
        <v>281</v>
      </c>
      <c r="D1687" t="s">
        <v>163</v>
      </c>
      <c r="E1687" t="s">
        <v>132</v>
      </c>
      <c r="F1687" t="s">
        <v>91</v>
      </c>
      <c r="G1687" t="s">
        <v>21239</v>
      </c>
      <c r="H1687">
        <v>19.68</v>
      </c>
      <c r="I1687">
        <v>0</v>
      </c>
      <c r="J1687">
        <v>0</v>
      </c>
      <c r="K1687">
        <v>0</v>
      </c>
      <c r="L1687">
        <v>7</v>
      </c>
      <c r="N1687">
        <v>3</v>
      </c>
      <c r="O1687">
        <v>10</v>
      </c>
      <c r="P1687">
        <v>4</v>
      </c>
      <c r="Q1687">
        <v>0</v>
      </c>
      <c r="R1687">
        <v>33.68</v>
      </c>
      <c r="S1687">
        <v>20</v>
      </c>
      <c r="T1687">
        <v>20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20</v>
      </c>
      <c r="AB1687">
        <v>0</v>
      </c>
      <c r="AC1687">
        <v>0</v>
      </c>
      <c r="AH1687">
        <v>53.68</v>
      </c>
    </row>
    <row r="1688" spans="1:34" x14ac:dyDescent="0.3">
      <c r="A1688" s="4">
        <v>1804</v>
      </c>
      <c r="B1688" s="5">
        <v>1681</v>
      </c>
      <c r="C1688">
        <v>12822</v>
      </c>
      <c r="D1688" t="s">
        <v>21240</v>
      </c>
      <c r="E1688" t="s">
        <v>29</v>
      </c>
      <c r="F1688" t="s">
        <v>521</v>
      </c>
      <c r="G1688" t="s">
        <v>21241</v>
      </c>
      <c r="H1688">
        <v>17.649999999999999</v>
      </c>
      <c r="I1688">
        <v>0</v>
      </c>
      <c r="J1688">
        <v>0</v>
      </c>
      <c r="K1688">
        <v>20</v>
      </c>
      <c r="N1688">
        <v>3</v>
      </c>
      <c r="O1688">
        <v>3</v>
      </c>
      <c r="P1688">
        <v>4</v>
      </c>
      <c r="Q1688">
        <v>0</v>
      </c>
      <c r="R1688">
        <v>44.65</v>
      </c>
      <c r="S1688">
        <v>6</v>
      </c>
      <c r="T1688">
        <v>6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6</v>
      </c>
      <c r="AB1688">
        <v>3</v>
      </c>
      <c r="AC1688">
        <v>0</v>
      </c>
      <c r="AH1688">
        <v>53.65</v>
      </c>
    </row>
    <row r="1689" spans="1:34" x14ac:dyDescent="0.3">
      <c r="A1689" s="4">
        <v>1805</v>
      </c>
      <c r="B1689" s="5">
        <v>1682</v>
      </c>
      <c r="C1689">
        <v>12148</v>
      </c>
      <c r="D1689" t="s">
        <v>21242</v>
      </c>
      <c r="E1689" t="s">
        <v>54</v>
      </c>
      <c r="F1689" t="s">
        <v>52</v>
      </c>
      <c r="G1689" t="s">
        <v>21243</v>
      </c>
      <c r="H1689">
        <v>20.58</v>
      </c>
      <c r="I1689">
        <v>0</v>
      </c>
      <c r="J1689">
        <v>0</v>
      </c>
      <c r="K1689">
        <v>20</v>
      </c>
      <c r="N1689">
        <v>3</v>
      </c>
      <c r="O1689">
        <v>3</v>
      </c>
      <c r="P1689">
        <v>4</v>
      </c>
      <c r="Q1689">
        <v>0</v>
      </c>
      <c r="R1689">
        <v>47.58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6</v>
      </c>
      <c r="AC1689">
        <v>0</v>
      </c>
      <c r="AH1689">
        <v>53.58</v>
      </c>
    </row>
    <row r="1690" spans="1:34" x14ac:dyDescent="0.3">
      <c r="A1690" s="4">
        <v>1806</v>
      </c>
      <c r="B1690" s="5">
        <v>1683</v>
      </c>
      <c r="C1690">
        <v>471</v>
      </c>
      <c r="D1690" t="s">
        <v>8546</v>
      </c>
      <c r="E1690" t="s">
        <v>21244</v>
      </c>
      <c r="F1690" t="s">
        <v>21245</v>
      </c>
      <c r="G1690" t="s">
        <v>21246</v>
      </c>
      <c r="H1690">
        <v>22.53</v>
      </c>
      <c r="I1690">
        <v>0</v>
      </c>
      <c r="J1690">
        <v>0</v>
      </c>
      <c r="K1690">
        <v>20</v>
      </c>
      <c r="L1690">
        <v>7</v>
      </c>
      <c r="O1690">
        <v>7</v>
      </c>
      <c r="P1690">
        <v>4</v>
      </c>
      <c r="Q1690">
        <v>0</v>
      </c>
      <c r="R1690">
        <v>53.53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H1690">
        <v>53.53</v>
      </c>
    </row>
    <row r="1691" spans="1:34" x14ac:dyDescent="0.3">
      <c r="A1691" s="4">
        <v>1807</v>
      </c>
      <c r="B1691" s="5">
        <v>1684</v>
      </c>
      <c r="C1691">
        <v>5310</v>
      </c>
      <c r="D1691" t="s">
        <v>21247</v>
      </c>
      <c r="E1691" t="s">
        <v>88</v>
      </c>
      <c r="F1691" t="s">
        <v>38</v>
      </c>
      <c r="G1691" t="s">
        <v>21248</v>
      </c>
      <c r="H1691">
        <v>20.5</v>
      </c>
      <c r="I1691">
        <v>0</v>
      </c>
      <c r="J1691">
        <v>0</v>
      </c>
      <c r="K1691">
        <v>20</v>
      </c>
      <c r="N1691">
        <v>3</v>
      </c>
      <c r="O1691">
        <v>3</v>
      </c>
      <c r="P1691">
        <v>4</v>
      </c>
      <c r="Q1691">
        <v>0</v>
      </c>
      <c r="R1691">
        <v>47.5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6</v>
      </c>
      <c r="AC1691">
        <v>0</v>
      </c>
      <c r="AH1691">
        <v>53.5</v>
      </c>
    </row>
    <row r="1692" spans="1:34" x14ac:dyDescent="0.3">
      <c r="A1692" s="4">
        <v>1808</v>
      </c>
      <c r="B1692" s="5">
        <v>1685</v>
      </c>
      <c r="C1692">
        <v>2976</v>
      </c>
      <c r="D1692" t="s">
        <v>6441</v>
      </c>
      <c r="E1692" t="s">
        <v>22</v>
      </c>
      <c r="F1692" t="s">
        <v>30</v>
      </c>
      <c r="G1692" t="s">
        <v>21249</v>
      </c>
      <c r="H1692">
        <v>18.5</v>
      </c>
      <c r="I1692">
        <v>0</v>
      </c>
      <c r="J1692">
        <v>0</v>
      </c>
      <c r="K1692">
        <v>20</v>
      </c>
      <c r="N1692">
        <v>3</v>
      </c>
      <c r="O1692">
        <v>3</v>
      </c>
      <c r="P1692">
        <v>4</v>
      </c>
      <c r="Q1692">
        <v>2</v>
      </c>
      <c r="R1692">
        <v>47.5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6</v>
      </c>
      <c r="AC1692">
        <v>0</v>
      </c>
      <c r="AH1692">
        <v>53.5</v>
      </c>
    </row>
    <row r="1693" spans="1:34" x14ac:dyDescent="0.3">
      <c r="A1693" s="4">
        <v>1809</v>
      </c>
      <c r="B1693" s="5">
        <v>1686</v>
      </c>
      <c r="C1693">
        <v>1165</v>
      </c>
      <c r="D1693" t="s">
        <v>21250</v>
      </c>
      <c r="E1693" t="s">
        <v>81</v>
      </c>
      <c r="F1693" t="s">
        <v>17</v>
      </c>
      <c r="G1693" t="s">
        <v>21251</v>
      </c>
      <c r="H1693">
        <v>18.48</v>
      </c>
      <c r="I1693">
        <v>0</v>
      </c>
      <c r="J1693">
        <v>0</v>
      </c>
      <c r="K1693">
        <v>0</v>
      </c>
      <c r="M1693">
        <v>5</v>
      </c>
      <c r="O1693">
        <v>5</v>
      </c>
      <c r="P1693">
        <v>4</v>
      </c>
      <c r="Q1693">
        <v>2</v>
      </c>
      <c r="R1693">
        <v>29.48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24</v>
      </c>
      <c r="AH1693">
        <v>53.48</v>
      </c>
    </row>
    <row r="1694" spans="1:34" x14ac:dyDescent="0.3">
      <c r="A1694" s="4">
        <v>1810</v>
      </c>
      <c r="B1694" s="5">
        <v>1687</v>
      </c>
      <c r="C1694">
        <v>1730</v>
      </c>
      <c r="D1694" t="s">
        <v>5342</v>
      </c>
      <c r="E1694" t="s">
        <v>26</v>
      </c>
      <c r="F1694" t="s">
        <v>6570</v>
      </c>
      <c r="G1694" t="s">
        <v>21252</v>
      </c>
      <c r="H1694">
        <v>20.45</v>
      </c>
      <c r="I1694">
        <v>0</v>
      </c>
      <c r="J1694">
        <v>0</v>
      </c>
      <c r="K1694">
        <v>0</v>
      </c>
      <c r="O1694">
        <v>0</v>
      </c>
      <c r="P1694">
        <v>4</v>
      </c>
      <c r="Q1694">
        <v>2</v>
      </c>
      <c r="R1694">
        <v>26.45</v>
      </c>
      <c r="S1694">
        <v>18</v>
      </c>
      <c r="T1694">
        <v>18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18</v>
      </c>
      <c r="AB1694">
        <v>9</v>
      </c>
      <c r="AC1694">
        <v>0</v>
      </c>
      <c r="AH1694">
        <v>53.45</v>
      </c>
    </row>
    <row r="1695" spans="1:34" x14ac:dyDescent="0.3">
      <c r="A1695" s="4">
        <v>1811</v>
      </c>
      <c r="B1695" s="5">
        <v>1688</v>
      </c>
      <c r="C1695">
        <v>1048</v>
      </c>
      <c r="D1695" t="s">
        <v>21253</v>
      </c>
      <c r="E1695" t="s">
        <v>182</v>
      </c>
      <c r="F1695" t="s">
        <v>190</v>
      </c>
      <c r="G1695" t="s">
        <v>21254</v>
      </c>
      <c r="H1695">
        <v>19.45</v>
      </c>
      <c r="I1695">
        <v>0</v>
      </c>
      <c r="J1695">
        <v>0</v>
      </c>
      <c r="K1695">
        <v>20</v>
      </c>
      <c r="L1695">
        <v>7</v>
      </c>
      <c r="O1695">
        <v>7</v>
      </c>
      <c r="P1695">
        <v>4</v>
      </c>
      <c r="Q1695">
        <v>0</v>
      </c>
      <c r="R1695">
        <v>50.45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3</v>
      </c>
      <c r="AC1695">
        <v>0</v>
      </c>
      <c r="AH1695">
        <v>53.45</v>
      </c>
    </row>
    <row r="1696" spans="1:34" x14ac:dyDescent="0.3">
      <c r="A1696" s="4">
        <v>1812</v>
      </c>
      <c r="B1696" s="5">
        <v>1689</v>
      </c>
      <c r="C1696">
        <v>12519</v>
      </c>
      <c r="D1696" t="s">
        <v>21255</v>
      </c>
      <c r="E1696" t="s">
        <v>166</v>
      </c>
      <c r="F1696" t="s">
        <v>328</v>
      </c>
      <c r="G1696" t="s">
        <v>21256</v>
      </c>
      <c r="H1696">
        <v>16.45</v>
      </c>
      <c r="I1696">
        <v>0</v>
      </c>
      <c r="J1696">
        <v>0</v>
      </c>
      <c r="K1696">
        <v>0</v>
      </c>
      <c r="O1696">
        <v>0</v>
      </c>
      <c r="P1696">
        <v>4</v>
      </c>
      <c r="Q1696">
        <v>2</v>
      </c>
      <c r="R1696">
        <v>22.45</v>
      </c>
      <c r="S1696">
        <v>31</v>
      </c>
      <c r="T1696">
        <v>31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31</v>
      </c>
      <c r="AB1696">
        <v>0</v>
      </c>
      <c r="AC1696">
        <v>0</v>
      </c>
      <c r="AH1696">
        <v>53.45</v>
      </c>
    </row>
    <row r="1697" spans="1:34" x14ac:dyDescent="0.3">
      <c r="A1697" s="4">
        <v>1813</v>
      </c>
      <c r="B1697" s="5">
        <v>1690</v>
      </c>
      <c r="C1697">
        <v>1021</v>
      </c>
      <c r="D1697" t="s">
        <v>2043</v>
      </c>
      <c r="E1697" t="s">
        <v>1659</v>
      </c>
      <c r="F1697" t="s">
        <v>101</v>
      </c>
      <c r="G1697" t="s">
        <v>21257</v>
      </c>
      <c r="H1697">
        <v>19.43</v>
      </c>
      <c r="I1697">
        <v>0</v>
      </c>
      <c r="J1697">
        <v>0</v>
      </c>
      <c r="K1697">
        <v>20</v>
      </c>
      <c r="L1697">
        <v>7</v>
      </c>
      <c r="N1697">
        <v>3</v>
      </c>
      <c r="O1697">
        <v>10</v>
      </c>
      <c r="P1697">
        <v>4</v>
      </c>
      <c r="Q1697">
        <v>0</v>
      </c>
      <c r="R1697">
        <v>53.43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H1697">
        <v>53.43</v>
      </c>
    </row>
    <row r="1698" spans="1:34" x14ac:dyDescent="0.3">
      <c r="A1698" s="4">
        <v>1814</v>
      </c>
      <c r="B1698" s="5">
        <v>1691</v>
      </c>
      <c r="C1698">
        <v>2936</v>
      </c>
      <c r="D1698" t="s">
        <v>21258</v>
      </c>
      <c r="E1698" t="s">
        <v>454</v>
      </c>
      <c r="F1698" t="s">
        <v>81</v>
      </c>
      <c r="G1698" t="s">
        <v>21259</v>
      </c>
      <c r="H1698">
        <v>20.350000000000001</v>
      </c>
      <c r="I1698">
        <v>0</v>
      </c>
      <c r="J1698">
        <v>0</v>
      </c>
      <c r="K1698">
        <v>0</v>
      </c>
      <c r="L1698">
        <v>7</v>
      </c>
      <c r="O1698">
        <v>7</v>
      </c>
      <c r="P1698">
        <v>4</v>
      </c>
      <c r="Q1698">
        <v>2</v>
      </c>
      <c r="R1698">
        <v>33.35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20</v>
      </c>
      <c r="AH1698">
        <v>53.35</v>
      </c>
    </row>
    <row r="1699" spans="1:34" x14ac:dyDescent="0.3">
      <c r="A1699" s="4">
        <v>1815</v>
      </c>
      <c r="B1699" s="5">
        <v>1692</v>
      </c>
      <c r="C1699">
        <v>12127</v>
      </c>
      <c r="D1699" t="s">
        <v>16184</v>
      </c>
      <c r="E1699" t="s">
        <v>21260</v>
      </c>
      <c r="F1699" t="s">
        <v>81</v>
      </c>
      <c r="G1699" t="s">
        <v>21261</v>
      </c>
      <c r="H1699">
        <v>19.350000000000001</v>
      </c>
      <c r="I1699">
        <v>0</v>
      </c>
      <c r="J1699">
        <v>0</v>
      </c>
      <c r="K1699">
        <v>28</v>
      </c>
      <c r="N1699">
        <v>6</v>
      </c>
      <c r="O1699">
        <v>6</v>
      </c>
      <c r="P1699">
        <v>0</v>
      </c>
      <c r="Q1699">
        <v>0</v>
      </c>
      <c r="R1699">
        <v>53.35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H1699">
        <v>53.35</v>
      </c>
    </row>
    <row r="1700" spans="1:34" x14ac:dyDescent="0.3">
      <c r="A1700" s="4">
        <v>1816</v>
      </c>
      <c r="B1700" s="5">
        <v>1693</v>
      </c>
      <c r="C1700">
        <v>6324</v>
      </c>
      <c r="D1700" t="s">
        <v>21262</v>
      </c>
      <c r="E1700" t="s">
        <v>479</v>
      </c>
      <c r="F1700" t="s">
        <v>17</v>
      </c>
      <c r="G1700" t="s">
        <v>21263</v>
      </c>
      <c r="H1700">
        <v>20.28</v>
      </c>
      <c r="I1700">
        <v>0</v>
      </c>
      <c r="J1700">
        <v>0</v>
      </c>
      <c r="K1700">
        <v>20</v>
      </c>
      <c r="N1700">
        <v>3</v>
      </c>
      <c r="O1700">
        <v>3</v>
      </c>
      <c r="P1700">
        <v>4</v>
      </c>
      <c r="Q1700">
        <v>0</v>
      </c>
      <c r="R1700">
        <v>47.28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6</v>
      </c>
      <c r="AC1700">
        <v>0</v>
      </c>
      <c r="AH1700">
        <v>53.28</v>
      </c>
    </row>
    <row r="1701" spans="1:34" x14ac:dyDescent="0.3">
      <c r="A1701" s="4">
        <v>1817</v>
      </c>
      <c r="B1701" s="5">
        <v>1694</v>
      </c>
      <c r="C1701">
        <v>8690</v>
      </c>
      <c r="D1701" t="s">
        <v>21264</v>
      </c>
      <c r="E1701" t="s">
        <v>161</v>
      </c>
      <c r="F1701" t="s">
        <v>81</v>
      </c>
      <c r="G1701" t="s">
        <v>21265</v>
      </c>
      <c r="H1701">
        <v>20.25</v>
      </c>
      <c r="I1701">
        <v>0</v>
      </c>
      <c r="J1701">
        <v>0</v>
      </c>
      <c r="K1701">
        <v>20</v>
      </c>
      <c r="N1701">
        <v>3</v>
      </c>
      <c r="O1701">
        <v>3</v>
      </c>
      <c r="P1701">
        <v>4</v>
      </c>
      <c r="Q1701">
        <v>0</v>
      </c>
      <c r="R1701">
        <v>47.25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6</v>
      </c>
      <c r="AC1701">
        <v>0</v>
      </c>
      <c r="AH1701">
        <v>53.25</v>
      </c>
    </row>
    <row r="1702" spans="1:34" x14ac:dyDescent="0.3">
      <c r="A1702" s="4">
        <v>1818</v>
      </c>
      <c r="B1702" s="5">
        <v>1695</v>
      </c>
      <c r="C1702">
        <v>12440</v>
      </c>
      <c r="D1702" t="s">
        <v>1430</v>
      </c>
      <c r="E1702" t="s">
        <v>15218</v>
      </c>
      <c r="F1702" t="s">
        <v>1274</v>
      </c>
      <c r="G1702" t="s">
        <v>15219</v>
      </c>
      <c r="H1702">
        <v>22.25</v>
      </c>
      <c r="I1702">
        <v>7</v>
      </c>
      <c r="J1702">
        <v>0</v>
      </c>
      <c r="K1702">
        <v>20</v>
      </c>
      <c r="O1702">
        <v>0</v>
      </c>
      <c r="P1702">
        <v>4</v>
      </c>
      <c r="Q1702">
        <v>0</v>
      </c>
      <c r="R1702">
        <v>53.25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H1702">
        <v>53.25</v>
      </c>
    </row>
    <row r="1703" spans="1:34" x14ac:dyDescent="0.3">
      <c r="A1703" s="4">
        <v>1819</v>
      </c>
      <c r="B1703" s="5">
        <v>1696</v>
      </c>
      <c r="C1703">
        <v>5721</v>
      </c>
      <c r="D1703" t="s">
        <v>1528</v>
      </c>
      <c r="E1703" t="s">
        <v>454</v>
      </c>
      <c r="F1703" t="s">
        <v>68</v>
      </c>
      <c r="G1703" t="s">
        <v>21266</v>
      </c>
      <c r="H1703">
        <v>20.13</v>
      </c>
      <c r="I1703">
        <v>0</v>
      </c>
      <c r="J1703">
        <v>0</v>
      </c>
      <c r="K1703">
        <v>20</v>
      </c>
      <c r="N1703">
        <v>3</v>
      </c>
      <c r="O1703">
        <v>3</v>
      </c>
      <c r="P1703">
        <v>4</v>
      </c>
      <c r="Q1703">
        <v>0</v>
      </c>
      <c r="R1703">
        <v>47.13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6</v>
      </c>
      <c r="AC1703">
        <v>0</v>
      </c>
      <c r="AH1703">
        <v>53.13</v>
      </c>
    </row>
    <row r="1704" spans="1:34" x14ac:dyDescent="0.3">
      <c r="A1704" s="4">
        <v>1820</v>
      </c>
      <c r="B1704" s="5">
        <v>1697</v>
      </c>
      <c r="C1704">
        <v>9104</v>
      </c>
      <c r="D1704" t="s">
        <v>21267</v>
      </c>
      <c r="E1704" t="s">
        <v>21268</v>
      </c>
      <c r="F1704" t="s">
        <v>68</v>
      </c>
      <c r="G1704" t="s">
        <v>21269</v>
      </c>
      <c r="H1704">
        <v>17.13</v>
      </c>
      <c r="I1704">
        <v>0</v>
      </c>
      <c r="J1704">
        <v>0</v>
      </c>
      <c r="K1704">
        <v>20</v>
      </c>
      <c r="L1704">
        <v>7</v>
      </c>
      <c r="N1704">
        <v>3</v>
      </c>
      <c r="O1704">
        <v>10</v>
      </c>
      <c r="P1704">
        <v>4</v>
      </c>
      <c r="Q1704">
        <v>2</v>
      </c>
      <c r="R1704">
        <v>53.13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H1704">
        <v>53.13</v>
      </c>
    </row>
    <row r="1705" spans="1:34" x14ac:dyDescent="0.3">
      <c r="A1705" s="4">
        <v>1821</v>
      </c>
      <c r="B1705" s="5">
        <v>1698</v>
      </c>
      <c r="C1705">
        <v>1515</v>
      </c>
      <c r="D1705" t="s">
        <v>2818</v>
      </c>
      <c r="E1705" t="s">
        <v>21270</v>
      </c>
      <c r="F1705" t="s">
        <v>38</v>
      </c>
      <c r="G1705" t="s">
        <v>21271</v>
      </c>
      <c r="H1705">
        <v>21.08</v>
      </c>
      <c r="I1705">
        <v>0</v>
      </c>
      <c r="J1705">
        <v>0</v>
      </c>
      <c r="K1705">
        <v>20</v>
      </c>
      <c r="M1705">
        <v>5</v>
      </c>
      <c r="O1705">
        <v>5</v>
      </c>
      <c r="P1705">
        <v>4</v>
      </c>
      <c r="Q1705">
        <v>0</v>
      </c>
      <c r="R1705">
        <v>50.08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3</v>
      </c>
      <c r="AC1705">
        <v>0</v>
      </c>
      <c r="AH1705">
        <v>53.08</v>
      </c>
    </row>
    <row r="1706" spans="1:34" x14ac:dyDescent="0.3">
      <c r="A1706" s="4">
        <v>1822</v>
      </c>
      <c r="B1706" s="5">
        <v>1699</v>
      </c>
      <c r="C1706">
        <v>6240</v>
      </c>
      <c r="D1706" t="s">
        <v>5299</v>
      </c>
      <c r="E1706" t="s">
        <v>2795</v>
      </c>
      <c r="F1706" t="s">
        <v>81</v>
      </c>
      <c r="G1706" t="s">
        <v>21272</v>
      </c>
      <c r="H1706">
        <v>22.08</v>
      </c>
      <c r="I1706">
        <v>0</v>
      </c>
      <c r="J1706">
        <v>0</v>
      </c>
      <c r="K1706">
        <v>20</v>
      </c>
      <c r="L1706">
        <v>7</v>
      </c>
      <c r="O1706">
        <v>7</v>
      </c>
      <c r="P1706">
        <v>4</v>
      </c>
      <c r="Q1706">
        <v>0</v>
      </c>
      <c r="R1706">
        <v>53.08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H1706">
        <v>53.08</v>
      </c>
    </row>
    <row r="1707" spans="1:34" x14ac:dyDescent="0.3">
      <c r="A1707" s="4">
        <v>1823</v>
      </c>
      <c r="B1707" s="5">
        <v>1700</v>
      </c>
      <c r="C1707">
        <v>3096</v>
      </c>
      <c r="D1707" t="s">
        <v>3223</v>
      </c>
      <c r="E1707" t="s">
        <v>372</v>
      </c>
      <c r="F1707" t="s">
        <v>52</v>
      </c>
      <c r="G1707" t="s">
        <v>21273</v>
      </c>
      <c r="H1707">
        <v>18.05</v>
      </c>
      <c r="I1707">
        <v>0</v>
      </c>
      <c r="J1707">
        <v>0</v>
      </c>
      <c r="K1707">
        <v>20</v>
      </c>
      <c r="L1707">
        <v>7</v>
      </c>
      <c r="O1707">
        <v>7</v>
      </c>
      <c r="P1707">
        <v>4</v>
      </c>
      <c r="Q1707">
        <v>0</v>
      </c>
      <c r="R1707">
        <v>49.05</v>
      </c>
      <c r="S1707">
        <v>4</v>
      </c>
      <c r="T1707">
        <v>4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4</v>
      </c>
      <c r="AB1707">
        <v>0</v>
      </c>
      <c r="AC1707">
        <v>0</v>
      </c>
      <c r="AH1707">
        <v>53.05</v>
      </c>
    </row>
    <row r="1708" spans="1:34" x14ac:dyDescent="0.3">
      <c r="A1708" s="4">
        <v>1824</v>
      </c>
      <c r="B1708" s="5">
        <v>1701</v>
      </c>
      <c r="C1708">
        <v>4692</v>
      </c>
      <c r="D1708" t="s">
        <v>17186</v>
      </c>
      <c r="E1708" t="s">
        <v>132</v>
      </c>
      <c r="F1708" t="s">
        <v>79</v>
      </c>
      <c r="G1708" t="s">
        <v>21274</v>
      </c>
      <c r="H1708">
        <v>17.95</v>
      </c>
      <c r="I1708">
        <v>0</v>
      </c>
      <c r="J1708">
        <v>0</v>
      </c>
      <c r="K1708">
        <v>20</v>
      </c>
      <c r="N1708">
        <v>3</v>
      </c>
      <c r="O1708">
        <v>3</v>
      </c>
      <c r="P1708">
        <v>4</v>
      </c>
      <c r="Q1708">
        <v>2</v>
      </c>
      <c r="R1708">
        <v>46.95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6</v>
      </c>
      <c r="AC1708">
        <v>0</v>
      </c>
      <c r="AH1708">
        <v>52.95</v>
      </c>
    </row>
    <row r="1709" spans="1:34" x14ac:dyDescent="0.3">
      <c r="A1709" s="4">
        <v>1825</v>
      </c>
      <c r="B1709" s="5">
        <v>1702</v>
      </c>
      <c r="C1709">
        <v>2007</v>
      </c>
      <c r="D1709" t="s">
        <v>9643</v>
      </c>
      <c r="E1709" t="s">
        <v>22</v>
      </c>
      <c r="F1709" t="s">
        <v>17</v>
      </c>
      <c r="G1709" t="s">
        <v>21275</v>
      </c>
      <c r="H1709">
        <v>16.95</v>
      </c>
      <c r="I1709">
        <v>0</v>
      </c>
      <c r="J1709">
        <v>0</v>
      </c>
      <c r="K1709">
        <v>20</v>
      </c>
      <c r="N1709">
        <v>6</v>
      </c>
      <c r="O1709">
        <v>6</v>
      </c>
      <c r="P1709">
        <v>4</v>
      </c>
      <c r="Q1709">
        <v>0</v>
      </c>
      <c r="R1709">
        <v>46.95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6</v>
      </c>
      <c r="AC1709">
        <v>0</v>
      </c>
      <c r="AH1709">
        <v>52.95</v>
      </c>
    </row>
    <row r="1710" spans="1:34" x14ac:dyDescent="0.3">
      <c r="A1710" s="4">
        <v>1826</v>
      </c>
      <c r="B1710" s="5">
        <v>1703</v>
      </c>
      <c r="C1710">
        <v>3819</v>
      </c>
      <c r="D1710" t="s">
        <v>21276</v>
      </c>
      <c r="E1710" t="s">
        <v>3449</v>
      </c>
      <c r="F1710" t="s">
        <v>21277</v>
      </c>
      <c r="G1710" t="s">
        <v>21278</v>
      </c>
      <c r="H1710">
        <v>17.93</v>
      </c>
      <c r="I1710">
        <v>0</v>
      </c>
      <c r="J1710">
        <v>0</v>
      </c>
      <c r="K1710">
        <v>20</v>
      </c>
      <c r="M1710">
        <v>5</v>
      </c>
      <c r="O1710">
        <v>5</v>
      </c>
      <c r="P1710">
        <v>4</v>
      </c>
      <c r="Q1710">
        <v>0</v>
      </c>
      <c r="R1710">
        <v>46.93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6</v>
      </c>
      <c r="AC1710">
        <v>0</v>
      </c>
      <c r="AH1710">
        <v>52.93</v>
      </c>
    </row>
    <row r="1711" spans="1:34" x14ac:dyDescent="0.3">
      <c r="A1711" s="4">
        <v>1827</v>
      </c>
      <c r="B1711" s="5">
        <v>1704</v>
      </c>
      <c r="C1711">
        <v>62</v>
      </c>
      <c r="D1711" t="s">
        <v>3434</v>
      </c>
      <c r="E1711" t="s">
        <v>166</v>
      </c>
      <c r="F1711" t="s">
        <v>20</v>
      </c>
      <c r="G1711" t="s">
        <v>21279</v>
      </c>
      <c r="H1711">
        <v>19.899999999999999</v>
      </c>
      <c r="I1711">
        <v>0</v>
      </c>
      <c r="J1711">
        <v>0</v>
      </c>
      <c r="K1711">
        <v>0</v>
      </c>
      <c r="N1711">
        <v>3</v>
      </c>
      <c r="O1711">
        <v>3</v>
      </c>
      <c r="P1711">
        <v>4</v>
      </c>
      <c r="Q1711">
        <v>0</v>
      </c>
      <c r="R1711">
        <v>26.9</v>
      </c>
      <c r="S1711">
        <v>23</v>
      </c>
      <c r="T1711">
        <v>23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23</v>
      </c>
      <c r="AB1711">
        <v>3</v>
      </c>
      <c r="AC1711">
        <v>0</v>
      </c>
      <c r="AH1711">
        <v>52.9</v>
      </c>
    </row>
    <row r="1712" spans="1:34" x14ac:dyDescent="0.3">
      <c r="A1712" s="4">
        <v>1828</v>
      </c>
      <c r="B1712" s="5">
        <v>1705</v>
      </c>
      <c r="C1712">
        <v>6670</v>
      </c>
      <c r="D1712" t="s">
        <v>645</v>
      </c>
      <c r="E1712" t="s">
        <v>3880</v>
      </c>
      <c r="F1712" t="s">
        <v>91</v>
      </c>
      <c r="G1712" t="s">
        <v>21280</v>
      </c>
      <c r="H1712">
        <v>17.899999999999999</v>
      </c>
      <c r="I1712">
        <v>0</v>
      </c>
      <c r="J1712">
        <v>0</v>
      </c>
      <c r="K1712">
        <v>0</v>
      </c>
      <c r="N1712">
        <v>3</v>
      </c>
      <c r="O1712">
        <v>3</v>
      </c>
      <c r="P1712">
        <v>4</v>
      </c>
      <c r="Q1712">
        <v>0</v>
      </c>
      <c r="R1712">
        <v>24.9</v>
      </c>
      <c r="S1712">
        <v>25</v>
      </c>
      <c r="T1712">
        <v>25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25</v>
      </c>
      <c r="AB1712">
        <v>3</v>
      </c>
      <c r="AC1712">
        <v>0</v>
      </c>
      <c r="AH1712">
        <v>52.9</v>
      </c>
    </row>
    <row r="1713" spans="1:34" x14ac:dyDescent="0.3">
      <c r="A1713" s="4">
        <v>1829</v>
      </c>
      <c r="B1713" s="5">
        <v>1706</v>
      </c>
      <c r="C1713">
        <v>1910</v>
      </c>
      <c r="D1713" t="s">
        <v>11925</v>
      </c>
      <c r="E1713" t="s">
        <v>41</v>
      </c>
      <c r="F1713" t="s">
        <v>124</v>
      </c>
      <c r="G1713" t="s">
        <v>21281</v>
      </c>
      <c r="H1713">
        <v>23.9</v>
      </c>
      <c r="I1713">
        <v>0</v>
      </c>
      <c r="J1713">
        <v>0</v>
      </c>
      <c r="K1713">
        <v>20</v>
      </c>
      <c r="M1713">
        <v>5</v>
      </c>
      <c r="O1713">
        <v>5</v>
      </c>
      <c r="P1713">
        <v>4</v>
      </c>
      <c r="Q1713">
        <v>0</v>
      </c>
      <c r="R1713">
        <v>52.9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H1713">
        <v>52.9</v>
      </c>
    </row>
    <row r="1714" spans="1:34" x14ac:dyDescent="0.3">
      <c r="A1714" s="4">
        <v>1830</v>
      </c>
      <c r="B1714" s="5">
        <v>1707</v>
      </c>
      <c r="C1714">
        <v>5034</v>
      </c>
      <c r="D1714" t="s">
        <v>877</v>
      </c>
      <c r="E1714" t="s">
        <v>816</v>
      </c>
      <c r="F1714" t="s">
        <v>68</v>
      </c>
      <c r="G1714" t="s">
        <v>21282</v>
      </c>
      <c r="H1714">
        <v>19.88</v>
      </c>
      <c r="I1714">
        <v>0</v>
      </c>
      <c r="J1714">
        <v>0</v>
      </c>
      <c r="K1714">
        <v>20</v>
      </c>
      <c r="N1714">
        <v>3</v>
      </c>
      <c r="O1714">
        <v>3</v>
      </c>
      <c r="P1714">
        <v>4</v>
      </c>
      <c r="Q1714">
        <v>0</v>
      </c>
      <c r="R1714">
        <v>46.88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6</v>
      </c>
      <c r="AC1714">
        <v>0</v>
      </c>
      <c r="AH1714">
        <v>52.88</v>
      </c>
    </row>
    <row r="1715" spans="1:34" x14ac:dyDescent="0.3">
      <c r="A1715" s="4">
        <v>1831</v>
      </c>
      <c r="B1715" s="5">
        <v>1708</v>
      </c>
      <c r="C1715">
        <v>3144</v>
      </c>
      <c r="D1715" t="s">
        <v>21283</v>
      </c>
      <c r="E1715" t="s">
        <v>208</v>
      </c>
      <c r="F1715" t="s">
        <v>79</v>
      </c>
      <c r="G1715" t="s">
        <v>21284</v>
      </c>
      <c r="H1715">
        <v>19.829999999999998</v>
      </c>
      <c r="I1715">
        <v>0</v>
      </c>
      <c r="J1715">
        <v>0</v>
      </c>
      <c r="K1715">
        <v>20</v>
      </c>
      <c r="N1715">
        <v>3</v>
      </c>
      <c r="O1715">
        <v>3</v>
      </c>
      <c r="P1715">
        <v>4</v>
      </c>
      <c r="Q1715">
        <v>0</v>
      </c>
      <c r="R1715">
        <v>46.83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6</v>
      </c>
      <c r="AC1715">
        <v>0</v>
      </c>
      <c r="AH1715">
        <v>52.83</v>
      </c>
    </row>
    <row r="1716" spans="1:34" x14ac:dyDescent="0.3">
      <c r="A1716" s="4">
        <v>1832</v>
      </c>
      <c r="B1716" s="5">
        <v>1709</v>
      </c>
      <c r="C1716">
        <v>2483</v>
      </c>
      <c r="D1716" t="s">
        <v>21285</v>
      </c>
      <c r="E1716" t="s">
        <v>789</v>
      </c>
      <c r="F1716" t="s">
        <v>17</v>
      </c>
      <c r="G1716" t="s">
        <v>21286</v>
      </c>
      <c r="H1716">
        <v>19.829999999999998</v>
      </c>
      <c r="I1716">
        <v>0</v>
      </c>
      <c r="J1716">
        <v>0</v>
      </c>
      <c r="K1716">
        <v>20</v>
      </c>
      <c r="L1716">
        <v>7</v>
      </c>
      <c r="O1716">
        <v>7</v>
      </c>
      <c r="P1716">
        <v>4</v>
      </c>
      <c r="Q1716">
        <v>2</v>
      </c>
      <c r="R1716">
        <v>52.83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H1716">
        <v>52.83</v>
      </c>
    </row>
    <row r="1717" spans="1:34" x14ac:dyDescent="0.3">
      <c r="A1717" s="4">
        <v>1833</v>
      </c>
      <c r="B1717" s="5">
        <v>1710</v>
      </c>
      <c r="C1717">
        <v>5012</v>
      </c>
      <c r="D1717" t="s">
        <v>21287</v>
      </c>
      <c r="E1717" t="s">
        <v>136</v>
      </c>
      <c r="F1717" t="s">
        <v>117</v>
      </c>
      <c r="G1717" t="s">
        <v>21288</v>
      </c>
      <c r="H1717">
        <v>18.829999999999998</v>
      </c>
      <c r="I1717">
        <v>0</v>
      </c>
      <c r="J1717">
        <v>0</v>
      </c>
      <c r="K1717">
        <v>20</v>
      </c>
      <c r="L1717">
        <v>7</v>
      </c>
      <c r="N1717">
        <v>3</v>
      </c>
      <c r="O1717">
        <v>10</v>
      </c>
      <c r="P1717">
        <v>4</v>
      </c>
      <c r="Q1717">
        <v>0</v>
      </c>
      <c r="R1717">
        <v>52.83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H1717">
        <v>52.83</v>
      </c>
    </row>
    <row r="1718" spans="1:34" x14ac:dyDescent="0.3">
      <c r="A1718" s="4">
        <v>1834</v>
      </c>
      <c r="B1718" s="5">
        <v>1711</v>
      </c>
      <c r="C1718">
        <v>7457</v>
      </c>
      <c r="D1718" t="s">
        <v>3587</v>
      </c>
      <c r="E1718" t="s">
        <v>268</v>
      </c>
      <c r="F1718" t="s">
        <v>328</v>
      </c>
      <c r="G1718" t="s">
        <v>21289</v>
      </c>
      <c r="H1718">
        <v>18.829999999999998</v>
      </c>
      <c r="I1718">
        <v>0</v>
      </c>
      <c r="J1718">
        <v>0</v>
      </c>
      <c r="K1718">
        <v>20</v>
      </c>
      <c r="L1718">
        <v>7</v>
      </c>
      <c r="N1718">
        <v>3</v>
      </c>
      <c r="O1718">
        <v>10</v>
      </c>
      <c r="P1718">
        <v>4</v>
      </c>
      <c r="Q1718">
        <v>0</v>
      </c>
      <c r="R1718">
        <v>52.83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H1718">
        <v>52.83</v>
      </c>
    </row>
    <row r="1719" spans="1:34" x14ac:dyDescent="0.3">
      <c r="A1719" s="4">
        <v>1835</v>
      </c>
      <c r="B1719" s="5">
        <v>1712</v>
      </c>
      <c r="C1719">
        <v>3678</v>
      </c>
      <c r="D1719" t="s">
        <v>21290</v>
      </c>
      <c r="E1719" t="s">
        <v>37</v>
      </c>
      <c r="F1719" t="s">
        <v>68</v>
      </c>
      <c r="G1719" t="s">
        <v>21291</v>
      </c>
      <c r="H1719">
        <v>16.829999999999998</v>
      </c>
      <c r="I1719">
        <v>0</v>
      </c>
      <c r="J1719">
        <v>0</v>
      </c>
      <c r="K1719">
        <v>0</v>
      </c>
      <c r="N1719">
        <v>3</v>
      </c>
      <c r="O1719">
        <v>3</v>
      </c>
      <c r="P1719">
        <v>4</v>
      </c>
      <c r="Q1719">
        <v>2</v>
      </c>
      <c r="R1719">
        <v>25.83</v>
      </c>
      <c r="S1719">
        <v>27</v>
      </c>
      <c r="T1719">
        <v>27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27</v>
      </c>
      <c r="AB1719">
        <v>0</v>
      </c>
      <c r="AC1719">
        <v>0</v>
      </c>
      <c r="AH1719">
        <v>52.83</v>
      </c>
    </row>
    <row r="1720" spans="1:34" x14ac:dyDescent="0.3">
      <c r="A1720" s="4">
        <v>1836</v>
      </c>
      <c r="B1720" s="5">
        <v>1713</v>
      </c>
      <c r="C1720">
        <v>14609</v>
      </c>
      <c r="D1720" t="s">
        <v>12432</v>
      </c>
      <c r="E1720" t="s">
        <v>110</v>
      </c>
      <c r="F1720" t="s">
        <v>1854</v>
      </c>
      <c r="G1720" t="s">
        <v>21292</v>
      </c>
      <c r="H1720">
        <v>17.8</v>
      </c>
      <c r="I1720">
        <v>0</v>
      </c>
      <c r="J1720">
        <v>0</v>
      </c>
      <c r="K1720">
        <v>20</v>
      </c>
      <c r="N1720">
        <v>3</v>
      </c>
      <c r="O1720">
        <v>3</v>
      </c>
      <c r="P1720">
        <v>4</v>
      </c>
      <c r="Q1720">
        <v>2</v>
      </c>
      <c r="R1720">
        <v>46.8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6</v>
      </c>
      <c r="AC1720">
        <v>0</v>
      </c>
      <c r="AH1720">
        <v>52.8</v>
      </c>
    </row>
    <row r="1721" spans="1:34" x14ac:dyDescent="0.3">
      <c r="A1721" s="4">
        <v>1837</v>
      </c>
      <c r="B1721" s="5">
        <v>1714</v>
      </c>
      <c r="C1721">
        <v>9545</v>
      </c>
      <c r="D1721" t="s">
        <v>13546</v>
      </c>
      <c r="E1721" t="s">
        <v>286</v>
      </c>
      <c r="F1721" t="s">
        <v>17</v>
      </c>
      <c r="G1721" t="s">
        <v>21293</v>
      </c>
      <c r="H1721">
        <v>17.78</v>
      </c>
      <c r="I1721">
        <v>0</v>
      </c>
      <c r="J1721">
        <v>0</v>
      </c>
      <c r="K1721">
        <v>20</v>
      </c>
      <c r="M1721">
        <v>5</v>
      </c>
      <c r="O1721">
        <v>5</v>
      </c>
      <c r="P1721">
        <v>4</v>
      </c>
      <c r="Q1721">
        <v>0</v>
      </c>
      <c r="R1721">
        <v>46.78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6</v>
      </c>
      <c r="AC1721">
        <v>0</v>
      </c>
      <c r="AH1721">
        <v>52.78</v>
      </c>
    </row>
    <row r="1722" spans="1:34" x14ac:dyDescent="0.3">
      <c r="A1722" s="4">
        <v>1838</v>
      </c>
      <c r="B1722" s="5">
        <v>1715</v>
      </c>
      <c r="C1722">
        <v>7167</v>
      </c>
      <c r="D1722" t="s">
        <v>21294</v>
      </c>
      <c r="E1722" t="s">
        <v>213</v>
      </c>
      <c r="F1722" t="s">
        <v>230</v>
      </c>
      <c r="G1722" t="s">
        <v>21295</v>
      </c>
      <c r="H1722">
        <v>18.78</v>
      </c>
      <c r="I1722">
        <v>0</v>
      </c>
      <c r="J1722">
        <v>0</v>
      </c>
      <c r="K1722">
        <v>20</v>
      </c>
      <c r="L1722">
        <v>7</v>
      </c>
      <c r="O1722">
        <v>7</v>
      </c>
      <c r="P1722">
        <v>4</v>
      </c>
      <c r="Q1722">
        <v>0</v>
      </c>
      <c r="R1722">
        <v>49.78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3</v>
      </c>
      <c r="AC1722">
        <v>0</v>
      </c>
      <c r="AH1722">
        <v>52.78</v>
      </c>
    </row>
    <row r="1723" spans="1:34" x14ac:dyDescent="0.3">
      <c r="A1723" s="4">
        <v>1839</v>
      </c>
      <c r="B1723" s="5">
        <v>1716</v>
      </c>
      <c r="C1723">
        <v>795</v>
      </c>
      <c r="D1723" t="s">
        <v>21296</v>
      </c>
      <c r="E1723" t="s">
        <v>37</v>
      </c>
      <c r="F1723" t="s">
        <v>30</v>
      </c>
      <c r="G1723" t="s">
        <v>21297</v>
      </c>
      <c r="H1723">
        <v>21.78</v>
      </c>
      <c r="I1723">
        <v>0</v>
      </c>
      <c r="J1723">
        <v>0</v>
      </c>
      <c r="K1723">
        <v>20</v>
      </c>
      <c r="L1723">
        <v>7</v>
      </c>
      <c r="O1723">
        <v>7</v>
      </c>
      <c r="P1723">
        <v>4</v>
      </c>
      <c r="Q1723">
        <v>0</v>
      </c>
      <c r="R1723">
        <v>52.78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H1723">
        <v>52.78</v>
      </c>
    </row>
    <row r="1724" spans="1:34" x14ac:dyDescent="0.3">
      <c r="A1724" s="4">
        <v>1840</v>
      </c>
      <c r="B1724" s="5">
        <v>1717</v>
      </c>
      <c r="C1724">
        <v>4979</v>
      </c>
      <c r="D1724" t="s">
        <v>21298</v>
      </c>
      <c r="E1724" t="s">
        <v>21299</v>
      </c>
      <c r="F1724" t="s">
        <v>38</v>
      </c>
      <c r="G1724" t="s">
        <v>21300</v>
      </c>
      <c r="H1724">
        <v>18.75</v>
      </c>
      <c r="I1724">
        <v>0</v>
      </c>
      <c r="J1724">
        <v>0</v>
      </c>
      <c r="K1724">
        <v>20</v>
      </c>
      <c r="N1724">
        <v>3</v>
      </c>
      <c r="O1724">
        <v>3</v>
      </c>
      <c r="P1724">
        <v>0</v>
      </c>
      <c r="Q1724">
        <v>2</v>
      </c>
      <c r="R1724">
        <v>43.75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9</v>
      </c>
      <c r="AC1724">
        <v>0</v>
      </c>
      <c r="AH1724">
        <v>52.75</v>
      </c>
    </row>
    <row r="1725" spans="1:34" x14ac:dyDescent="0.3">
      <c r="A1725" s="4">
        <v>1841</v>
      </c>
      <c r="B1725" s="5">
        <v>1718</v>
      </c>
      <c r="C1725">
        <v>444</v>
      </c>
      <c r="D1725" t="s">
        <v>21301</v>
      </c>
      <c r="E1725" t="s">
        <v>8185</v>
      </c>
      <c r="F1725" t="s">
        <v>62</v>
      </c>
      <c r="G1725" t="s">
        <v>21302</v>
      </c>
      <c r="H1725">
        <v>18.75</v>
      </c>
      <c r="I1725">
        <v>0</v>
      </c>
      <c r="J1725">
        <v>0</v>
      </c>
      <c r="K1725">
        <v>20</v>
      </c>
      <c r="L1725">
        <v>7</v>
      </c>
      <c r="O1725">
        <v>7</v>
      </c>
      <c r="P1725">
        <v>4</v>
      </c>
      <c r="Q1725">
        <v>0</v>
      </c>
      <c r="R1725">
        <v>49.75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3</v>
      </c>
      <c r="AC1725">
        <v>0</v>
      </c>
      <c r="AH1725">
        <v>52.75</v>
      </c>
    </row>
    <row r="1726" spans="1:34" x14ac:dyDescent="0.3">
      <c r="A1726" s="4">
        <v>1842</v>
      </c>
      <c r="B1726" s="5">
        <v>1719</v>
      </c>
      <c r="C1726">
        <v>2463</v>
      </c>
      <c r="D1726" t="s">
        <v>21303</v>
      </c>
      <c r="E1726" t="s">
        <v>41</v>
      </c>
      <c r="F1726" t="s">
        <v>488</v>
      </c>
      <c r="G1726" t="s">
        <v>21304</v>
      </c>
      <c r="H1726">
        <v>17.73</v>
      </c>
      <c r="I1726">
        <v>0</v>
      </c>
      <c r="J1726">
        <v>0</v>
      </c>
      <c r="K1726">
        <v>0</v>
      </c>
      <c r="O1726">
        <v>0</v>
      </c>
      <c r="P1726">
        <v>4</v>
      </c>
      <c r="Q1726">
        <v>0</v>
      </c>
      <c r="R1726">
        <v>21.73</v>
      </c>
      <c r="S1726">
        <v>31</v>
      </c>
      <c r="T1726">
        <v>31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31</v>
      </c>
      <c r="AB1726">
        <v>0</v>
      </c>
      <c r="AC1726">
        <v>0</v>
      </c>
      <c r="AH1726">
        <v>52.73</v>
      </c>
    </row>
    <row r="1727" spans="1:34" x14ac:dyDescent="0.3">
      <c r="A1727" s="4">
        <v>1843</v>
      </c>
      <c r="B1727" s="5">
        <v>1720</v>
      </c>
      <c r="C1727">
        <v>6258</v>
      </c>
      <c r="D1727" t="s">
        <v>1894</v>
      </c>
      <c r="E1727" t="s">
        <v>10969</v>
      </c>
      <c r="F1727" t="s">
        <v>20</v>
      </c>
      <c r="G1727" t="s">
        <v>21305</v>
      </c>
      <c r="H1727">
        <v>19.7</v>
      </c>
      <c r="I1727">
        <v>0</v>
      </c>
      <c r="J1727">
        <v>0</v>
      </c>
      <c r="K1727">
        <v>0</v>
      </c>
      <c r="N1727">
        <v>3</v>
      </c>
      <c r="O1727">
        <v>3</v>
      </c>
      <c r="P1727">
        <v>4</v>
      </c>
      <c r="Q1727">
        <v>2</v>
      </c>
      <c r="R1727">
        <v>28.7</v>
      </c>
      <c r="S1727">
        <v>18</v>
      </c>
      <c r="T1727">
        <v>18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18</v>
      </c>
      <c r="AB1727">
        <v>6</v>
      </c>
      <c r="AC1727">
        <v>0</v>
      </c>
      <c r="AH1727">
        <v>52.7</v>
      </c>
    </row>
    <row r="1728" spans="1:34" x14ac:dyDescent="0.3">
      <c r="A1728" s="4">
        <v>1844</v>
      </c>
      <c r="B1728" s="5">
        <v>1721</v>
      </c>
      <c r="C1728">
        <v>1959</v>
      </c>
      <c r="D1728" t="s">
        <v>21306</v>
      </c>
      <c r="E1728" t="s">
        <v>858</v>
      </c>
      <c r="F1728" t="s">
        <v>38</v>
      </c>
      <c r="G1728" t="s">
        <v>21307</v>
      </c>
      <c r="H1728">
        <v>19.68</v>
      </c>
      <c r="I1728">
        <v>0</v>
      </c>
      <c r="J1728">
        <v>0</v>
      </c>
      <c r="K1728">
        <v>0</v>
      </c>
      <c r="N1728">
        <v>3</v>
      </c>
      <c r="O1728">
        <v>3</v>
      </c>
      <c r="P1728">
        <v>4</v>
      </c>
      <c r="Q1728">
        <v>2</v>
      </c>
      <c r="R1728">
        <v>28.68</v>
      </c>
      <c r="S1728">
        <v>18</v>
      </c>
      <c r="T1728">
        <v>18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18</v>
      </c>
      <c r="AB1728">
        <v>6</v>
      </c>
      <c r="AC1728">
        <v>0</v>
      </c>
      <c r="AH1728">
        <v>52.68</v>
      </c>
    </row>
    <row r="1729" spans="1:34" x14ac:dyDescent="0.3">
      <c r="A1729" s="4">
        <v>1845</v>
      </c>
      <c r="B1729" s="5">
        <v>1722</v>
      </c>
      <c r="C1729">
        <v>8146</v>
      </c>
      <c r="D1729" t="s">
        <v>181</v>
      </c>
      <c r="E1729" t="s">
        <v>41</v>
      </c>
      <c r="F1729" t="s">
        <v>782</v>
      </c>
      <c r="G1729" t="s">
        <v>21308</v>
      </c>
      <c r="H1729">
        <v>16.649999999999999</v>
      </c>
      <c r="I1729">
        <v>0</v>
      </c>
      <c r="J1729">
        <v>0</v>
      </c>
      <c r="K1729">
        <v>0</v>
      </c>
      <c r="N1729">
        <v>3</v>
      </c>
      <c r="O1729">
        <v>3</v>
      </c>
      <c r="P1729">
        <v>4</v>
      </c>
      <c r="Q1729">
        <v>2</v>
      </c>
      <c r="R1729">
        <v>25.65</v>
      </c>
      <c r="S1729">
        <v>24</v>
      </c>
      <c r="T1729">
        <v>24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24</v>
      </c>
      <c r="AB1729">
        <v>3</v>
      </c>
      <c r="AC1729">
        <v>0</v>
      </c>
      <c r="AH1729">
        <v>52.65</v>
      </c>
    </row>
    <row r="1730" spans="1:34" x14ac:dyDescent="0.3">
      <c r="A1730" s="4">
        <v>1846</v>
      </c>
      <c r="B1730" s="5">
        <v>1723</v>
      </c>
      <c r="C1730">
        <v>916</v>
      </c>
      <c r="D1730" t="s">
        <v>6660</v>
      </c>
      <c r="E1730" t="s">
        <v>37</v>
      </c>
      <c r="F1730" t="s">
        <v>124</v>
      </c>
      <c r="G1730" t="s">
        <v>21309</v>
      </c>
      <c r="H1730">
        <v>21.6</v>
      </c>
      <c r="I1730">
        <v>0</v>
      </c>
      <c r="J1730">
        <v>0</v>
      </c>
      <c r="K1730">
        <v>20</v>
      </c>
      <c r="L1730">
        <v>7</v>
      </c>
      <c r="O1730">
        <v>7</v>
      </c>
      <c r="P1730">
        <v>4</v>
      </c>
      <c r="Q1730">
        <v>0</v>
      </c>
      <c r="R1730">
        <v>52.6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H1730">
        <v>52.6</v>
      </c>
    </row>
    <row r="1731" spans="1:34" x14ac:dyDescent="0.3">
      <c r="A1731" s="4">
        <v>1847</v>
      </c>
      <c r="B1731" s="5">
        <v>1724</v>
      </c>
      <c r="C1731">
        <v>8072</v>
      </c>
      <c r="D1731" t="s">
        <v>21310</v>
      </c>
      <c r="E1731" t="s">
        <v>1000</v>
      </c>
      <c r="F1731" t="s">
        <v>79</v>
      </c>
      <c r="G1731" t="s">
        <v>21311</v>
      </c>
      <c r="H1731">
        <v>21.55</v>
      </c>
      <c r="I1731">
        <v>0</v>
      </c>
      <c r="J1731">
        <v>0</v>
      </c>
      <c r="K1731">
        <v>20</v>
      </c>
      <c r="L1731">
        <v>7</v>
      </c>
      <c r="O1731">
        <v>7</v>
      </c>
      <c r="P1731">
        <v>4</v>
      </c>
      <c r="Q1731">
        <v>0</v>
      </c>
      <c r="R1731">
        <v>52.55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H1731">
        <v>52.55</v>
      </c>
    </row>
    <row r="1732" spans="1:34" x14ac:dyDescent="0.3">
      <c r="A1732" s="4">
        <v>1848</v>
      </c>
      <c r="B1732" s="5">
        <v>1725</v>
      </c>
      <c r="C1732">
        <v>4949</v>
      </c>
      <c r="D1732" t="s">
        <v>7746</v>
      </c>
      <c r="E1732" t="s">
        <v>54</v>
      </c>
      <c r="F1732" t="s">
        <v>20</v>
      </c>
      <c r="G1732" t="s">
        <v>21312</v>
      </c>
      <c r="H1732">
        <v>21.55</v>
      </c>
      <c r="I1732">
        <v>0</v>
      </c>
      <c r="J1732">
        <v>0</v>
      </c>
      <c r="K1732">
        <v>20</v>
      </c>
      <c r="L1732">
        <v>7</v>
      </c>
      <c r="O1732">
        <v>7</v>
      </c>
      <c r="P1732">
        <v>4</v>
      </c>
      <c r="Q1732">
        <v>0</v>
      </c>
      <c r="R1732">
        <v>52.55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H1732">
        <v>52.55</v>
      </c>
    </row>
    <row r="1733" spans="1:34" x14ac:dyDescent="0.3">
      <c r="A1733" s="4">
        <v>1849</v>
      </c>
      <c r="B1733" s="5">
        <v>1726</v>
      </c>
      <c r="C1733">
        <v>3859</v>
      </c>
      <c r="D1733" t="s">
        <v>21313</v>
      </c>
      <c r="E1733" t="s">
        <v>1694</v>
      </c>
      <c r="F1733" t="s">
        <v>17</v>
      </c>
      <c r="G1733" t="s">
        <v>21314</v>
      </c>
      <c r="H1733">
        <v>17.48</v>
      </c>
      <c r="I1733">
        <v>0</v>
      </c>
      <c r="J1733">
        <v>0</v>
      </c>
      <c r="K1733">
        <v>20</v>
      </c>
      <c r="L1733">
        <v>7</v>
      </c>
      <c r="O1733">
        <v>7</v>
      </c>
      <c r="P1733">
        <v>4</v>
      </c>
      <c r="Q1733">
        <v>0</v>
      </c>
      <c r="R1733">
        <v>48.48</v>
      </c>
      <c r="S1733">
        <v>4</v>
      </c>
      <c r="T1733">
        <v>4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4</v>
      </c>
      <c r="AB1733">
        <v>0</v>
      </c>
      <c r="AC1733">
        <v>0</v>
      </c>
      <c r="AH1733">
        <v>52.48</v>
      </c>
    </row>
    <row r="1734" spans="1:34" x14ac:dyDescent="0.3">
      <c r="A1734" s="4">
        <v>1850</v>
      </c>
      <c r="B1734" s="5">
        <v>1727</v>
      </c>
      <c r="C1734">
        <v>7385</v>
      </c>
      <c r="D1734" t="s">
        <v>12507</v>
      </c>
      <c r="E1734" t="s">
        <v>29</v>
      </c>
      <c r="F1734" t="s">
        <v>17</v>
      </c>
      <c r="G1734" t="s">
        <v>21315</v>
      </c>
      <c r="H1734">
        <v>18.43</v>
      </c>
      <c r="I1734">
        <v>0</v>
      </c>
      <c r="J1734">
        <v>0</v>
      </c>
      <c r="K1734">
        <v>0</v>
      </c>
      <c r="N1734">
        <v>6</v>
      </c>
      <c r="O1734">
        <v>6</v>
      </c>
      <c r="P1734">
        <v>4</v>
      </c>
      <c r="Q1734">
        <v>0</v>
      </c>
      <c r="R1734">
        <v>28.43</v>
      </c>
      <c r="S1734">
        <v>18</v>
      </c>
      <c r="T1734">
        <v>18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18</v>
      </c>
      <c r="AB1734">
        <v>6</v>
      </c>
      <c r="AC1734">
        <v>0</v>
      </c>
      <c r="AH1734">
        <v>52.43</v>
      </c>
    </row>
    <row r="1735" spans="1:34" x14ac:dyDescent="0.3">
      <c r="A1735" s="4">
        <v>1851</v>
      </c>
      <c r="B1735" s="5">
        <v>1728</v>
      </c>
      <c r="C1735">
        <v>3729</v>
      </c>
      <c r="D1735" t="s">
        <v>21316</v>
      </c>
      <c r="E1735" t="s">
        <v>563</v>
      </c>
      <c r="F1735" t="s">
        <v>1526</v>
      </c>
      <c r="G1735" t="s">
        <v>21317</v>
      </c>
      <c r="H1735">
        <v>19.350000000000001</v>
      </c>
      <c r="I1735">
        <v>0</v>
      </c>
      <c r="J1735">
        <v>0</v>
      </c>
      <c r="K1735">
        <v>20</v>
      </c>
      <c r="N1735">
        <v>3</v>
      </c>
      <c r="O1735">
        <v>3</v>
      </c>
      <c r="P1735">
        <v>4</v>
      </c>
      <c r="Q1735">
        <v>0</v>
      </c>
      <c r="R1735">
        <v>46.35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6</v>
      </c>
      <c r="AC1735">
        <v>0</v>
      </c>
      <c r="AH1735">
        <v>52.35</v>
      </c>
    </row>
    <row r="1736" spans="1:34" x14ac:dyDescent="0.3">
      <c r="A1736" s="4">
        <v>1852</v>
      </c>
      <c r="B1736" s="5">
        <v>1729</v>
      </c>
      <c r="C1736">
        <v>11463</v>
      </c>
      <c r="D1736" t="s">
        <v>21318</v>
      </c>
      <c r="E1736" t="s">
        <v>22</v>
      </c>
      <c r="F1736" t="s">
        <v>136</v>
      </c>
      <c r="G1736" t="s">
        <v>21319</v>
      </c>
      <c r="H1736">
        <v>19.329999999999998</v>
      </c>
      <c r="I1736">
        <v>0</v>
      </c>
      <c r="J1736">
        <v>0</v>
      </c>
      <c r="K1736">
        <v>20</v>
      </c>
      <c r="N1736">
        <v>3</v>
      </c>
      <c r="O1736">
        <v>3</v>
      </c>
      <c r="P1736">
        <v>4</v>
      </c>
      <c r="Q1736">
        <v>0</v>
      </c>
      <c r="R1736">
        <v>46.33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6</v>
      </c>
      <c r="AC1736">
        <v>0</v>
      </c>
      <c r="AH1736">
        <v>52.33</v>
      </c>
    </row>
    <row r="1737" spans="1:34" x14ac:dyDescent="0.3">
      <c r="A1737" s="4">
        <v>1853</v>
      </c>
      <c r="B1737" s="5">
        <v>1730</v>
      </c>
      <c r="C1737">
        <v>8407</v>
      </c>
      <c r="D1737" t="s">
        <v>21320</v>
      </c>
      <c r="E1737" t="s">
        <v>442</v>
      </c>
      <c r="F1737" t="s">
        <v>62</v>
      </c>
      <c r="G1737" t="s">
        <v>21321</v>
      </c>
      <c r="H1737">
        <v>17.329999999999998</v>
      </c>
      <c r="I1737">
        <v>0</v>
      </c>
      <c r="J1737">
        <v>0</v>
      </c>
      <c r="K1737">
        <v>28</v>
      </c>
      <c r="N1737">
        <v>3</v>
      </c>
      <c r="O1737">
        <v>3</v>
      </c>
      <c r="P1737">
        <v>4</v>
      </c>
      <c r="Q1737">
        <v>0</v>
      </c>
      <c r="R1737">
        <v>52.33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H1737">
        <v>52.33</v>
      </c>
    </row>
    <row r="1738" spans="1:34" x14ac:dyDescent="0.3">
      <c r="A1738" s="4">
        <v>1854</v>
      </c>
      <c r="B1738" s="5">
        <v>1731</v>
      </c>
      <c r="C1738">
        <v>13404</v>
      </c>
      <c r="D1738" t="s">
        <v>21322</v>
      </c>
      <c r="E1738" t="s">
        <v>825</v>
      </c>
      <c r="F1738" t="s">
        <v>81</v>
      </c>
      <c r="G1738" t="s">
        <v>21323</v>
      </c>
      <c r="H1738">
        <v>22.3</v>
      </c>
      <c r="I1738">
        <v>0</v>
      </c>
      <c r="J1738">
        <v>0</v>
      </c>
      <c r="K1738">
        <v>20</v>
      </c>
      <c r="O1738">
        <v>0</v>
      </c>
      <c r="P1738">
        <v>4</v>
      </c>
      <c r="Q1738">
        <v>0</v>
      </c>
      <c r="R1738">
        <v>46.3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6</v>
      </c>
      <c r="AC1738">
        <v>0</v>
      </c>
      <c r="AH1738">
        <v>52.3</v>
      </c>
    </row>
    <row r="1739" spans="1:34" x14ac:dyDescent="0.3">
      <c r="A1739" s="4">
        <v>1855</v>
      </c>
      <c r="B1739" s="5">
        <v>1732</v>
      </c>
      <c r="C1739">
        <v>4939</v>
      </c>
      <c r="D1739" t="s">
        <v>2073</v>
      </c>
      <c r="E1739" t="s">
        <v>789</v>
      </c>
      <c r="F1739" t="s">
        <v>5375</v>
      </c>
      <c r="G1739" t="s">
        <v>21324</v>
      </c>
      <c r="H1739">
        <v>19.25</v>
      </c>
      <c r="I1739">
        <v>0</v>
      </c>
      <c r="J1739">
        <v>0</v>
      </c>
      <c r="K1739">
        <v>20</v>
      </c>
      <c r="N1739">
        <v>3</v>
      </c>
      <c r="O1739">
        <v>3</v>
      </c>
      <c r="P1739">
        <v>4</v>
      </c>
      <c r="Q1739">
        <v>0</v>
      </c>
      <c r="R1739">
        <v>46.25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6</v>
      </c>
      <c r="AC1739">
        <v>0</v>
      </c>
      <c r="AH1739">
        <v>52.25</v>
      </c>
    </row>
    <row r="1740" spans="1:34" x14ac:dyDescent="0.3">
      <c r="A1740" s="4">
        <v>1856</v>
      </c>
      <c r="B1740" s="5">
        <v>1733</v>
      </c>
      <c r="C1740">
        <v>1219</v>
      </c>
      <c r="D1740" t="s">
        <v>434</v>
      </c>
      <c r="E1740" t="s">
        <v>100</v>
      </c>
      <c r="F1740" t="s">
        <v>68</v>
      </c>
      <c r="G1740" t="s">
        <v>21325</v>
      </c>
      <c r="H1740">
        <v>20.25</v>
      </c>
      <c r="I1740">
        <v>0</v>
      </c>
      <c r="J1740">
        <v>0</v>
      </c>
      <c r="K1740">
        <v>0</v>
      </c>
      <c r="L1740">
        <v>7</v>
      </c>
      <c r="O1740">
        <v>7</v>
      </c>
      <c r="P1740">
        <v>4</v>
      </c>
      <c r="Q1740">
        <v>2</v>
      </c>
      <c r="R1740">
        <v>33.25</v>
      </c>
      <c r="S1740">
        <v>13</v>
      </c>
      <c r="T1740">
        <v>13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13</v>
      </c>
      <c r="AB1740">
        <v>6</v>
      </c>
      <c r="AC1740">
        <v>0</v>
      </c>
      <c r="AH1740">
        <v>52.25</v>
      </c>
    </row>
    <row r="1741" spans="1:34" x14ac:dyDescent="0.3">
      <c r="A1741" s="4">
        <v>1857</v>
      </c>
      <c r="B1741" s="5">
        <v>1734</v>
      </c>
      <c r="C1741">
        <v>3130</v>
      </c>
      <c r="D1741" t="s">
        <v>21326</v>
      </c>
      <c r="E1741" t="s">
        <v>3825</v>
      </c>
      <c r="F1741" t="s">
        <v>30</v>
      </c>
      <c r="G1741" t="s">
        <v>21327</v>
      </c>
      <c r="H1741">
        <v>19.25</v>
      </c>
      <c r="I1741">
        <v>0</v>
      </c>
      <c r="J1741">
        <v>0</v>
      </c>
      <c r="K1741">
        <v>0</v>
      </c>
      <c r="N1741">
        <v>3</v>
      </c>
      <c r="O1741">
        <v>3</v>
      </c>
      <c r="P1741">
        <v>4</v>
      </c>
      <c r="Q1741">
        <v>0</v>
      </c>
      <c r="R1741">
        <v>26.25</v>
      </c>
      <c r="S1741">
        <v>23</v>
      </c>
      <c r="T1741">
        <v>23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23</v>
      </c>
      <c r="AB1741">
        <v>3</v>
      </c>
      <c r="AC1741">
        <v>0</v>
      </c>
      <c r="AH1741">
        <v>52.25</v>
      </c>
    </row>
    <row r="1742" spans="1:34" x14ac:dyDescent="0.3">
      <c r="A1742" s="4">
        <v>1858</v>
      </c>
      <c r="B1742" s="5">
        <v>1735</v>
      </c>
      <c r="C1742">
        <v>9780</v>
      </c>
      <c r="D1742" t="s">
        <v>21328</v>
      </c>
      <c r="E1742" t="s">
        <v>33</v>
      </c>
      <c r="F1742" t="s">
        <v>117</v>
      </c>
      <c r="G1742" t="s">
        <v>21329</v>
      </c>
      <c r="H1742">
        <v>18.25</v>
      </c>
      <c r="I1742">
        <v>7</v>
      </c>
      <c r="J1742">
        <v>0</v>
      </c>
      <c r="K1742">
        <v>20</v>
      </c>
      <c r="N1742">
        <v>3</v>
      </c>
      <c r="O1742">
        <v>3</v>
      </c>
      <c r="P1742">
        <v>4</v>
      </c>
      <c r="Q1742">
        <v>0</v>
      </c>
      <c r="R1742">
        <v>52.25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H1742">
        <v>52.25</v>
      </c>
    </row>
    <row r="1743" spans="1:34" x14ac:dyDescent="0.3">
      <c r="A1743" s="4">
        <v>1859</v>
      </c>
      <c r="B1743" s="5">
        <v>1736</v>
      </c>
      <c r="C1743">
        <v>5540</v>
      </c>
      <c r="D1743" t="s">
        <v>21330</v>
      </c>
      <c r="E1743" t="s">
        <v>3221</v>
      </c>
      <c r="F1743" t="s">
        <v>101</v>
      </c>
      <c r="G1743" t="s">
        <v>21331</v>
      </c>
      <c r="H1743">
        <v>16.25</v>
      </c>
      <c r="I1743">
        <v>0</v>
      </c>
      <c r="J1743">
        <v>0</v>
      </c>
      <c r="K1743">
        <v>20</v>
      </c>
      <c r="L1743">
        <v>7</v>
      </c>
      <c r="N1743">
        <v>3</v>
      </c>
      <c r="O1743">
        <v>10</v>
      </c>
      <c r="P1743">
        <v>4</v>
      </c>
      <c r="Q1743">
        <v>2</v>
      </c>
      <c r="R1743">
        <v>52.25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H1743">
        <v>52.25</v>
      </c>
    </row>
    <row r="1744" spans="1:34" x14ac:dyDescent="0.3">
      <c r="A1744" s="4">
        <v>1860</v>
      </c>
      <c r="B1744" s="5">
        <v>1737</v>
      </c>
      <c r="C1744">
        <v>608</v>
      </c>
      <c r="D1744" t="s">
        <v>21332</v>
      </c>
      <c r="E1744" t="s">
        <v>166</v>
      </c>
      <c r="F1744" t="s">
        <v>10259</v>
      </c>
      <c r="G1744" t="s">
        <v>21333</v>
      </c>
      <c r="H1744">
        <v>17.23</v>
      </c>
      <c r="I1744">
        <v>0</v>
      </c>
      <c r="J1744">
        <v>0</v>
      </c>
      <c r="K1744">
        <v>0</v>
      </c>
      <c r="N1744">
        <v>3</v>
      </c>
      <c r="O1744">
        <v>3</v>
      </c>
      <c r="P1744">
        <v>4</v>
      </c>
      <c r="Q1744">
        <v>0</v>
      </c>
      <c r="R1744">
        <v>24.23</v>
      </c>
      <c r="S1744">
        <v>22</v>
      </c>
      <c r="T1744">
        <v>22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22</v>
      </c>
      <c r="AB1744">
        <v>6</v>
      </c>
      <c r="AC1744">
        <v>0</v>
      </c>
      <c r="AH1744">
        <v>52.23</v>
      </c>
    </row>
    <row r="1745" spans="1:34" x14ac:dyDescent="0.3">
      <c r="A1745" s="4">
        <v>1861</v>
      </c>
      <c r="B1745" s="5">
        <v>1738</v>
      </c>
      <c r="C1745">
        <v>2863</v>
      </c>
      <c r="D1745" t="s">
        <v>21334</v>
      </c>
      <c r="E1745" t="s">
        <v>29</v>
      </c>
      <c r="F1745" t="s">
        <v>30</v>
      </c>
      <c r="G1745" t="s">
        <v>21335</v>
      </c>
      <c r="H1745">
        <v>19.2</v>
      </c>
      <c r="I1745">
        <v>0</v>
      </c>
      <c r="J1745">
        <v>0</v>
      </c>
      <c r="K1745">
        <v>20</v>
      </c>
      <c r="N1745">
        <v>3</v>
      </c>
      <c r="O1745">
        <v>3</v>
      </c>
      <c r="P1745">
        <v>4</v>
      </c>
      <c r="Q1745">
        <v>0</v>
      </c>
      <c r="R1745">
        <v>46.2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6</v>
      </c>
      <c r="AC1745">
        <v>0</v>
      </c>
      <c r="AH1745">
        <v>52.2</v>
      </c>
    </row>
    <row r="1746" spans="1:34" x14ac:dyDescent="0.3">
      <c r="A1746" s="4">
        <v>1862</v>
      </c>
      <c r="B1746" s="5">
        <v>1739</v>
      </c>
      <c r="C1746">
        <v>952</v>
      </c>
      <c r="D1746" t="s">
        <v>6215</v>
      </c>
      <c r="E1746" t="s">
        <v>41</v>
      </c>
      <c r="F1746" t="s">
        <v>136</v>
      </c>
      <c r="G1746" t="s">
        <v>21336</v>
      </c>
      <c r="H1746">
        <v>22.2</v>
      </c>
      <c r="I1746">
        <v>0</v>
      </c>
      <c r="J1746">
        <v>0</v>
      </c>
      <c r="K1746">
        <v>20</v>
      </c>
      <c r="N1746">
        <v>3</v>
      </c>
      <c r="O1746">
        <v>3</v>
      </c>
      <c r="P1746">
        <v>4</v>
      </c>
      <c r="Q1746">
        <v>0</v>
      </c>
      <c r="R1746">
        <v>49.2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3</v>
      </c>
      <c r="AC1746">
        <v>0</v>
      </c>
      <c r="AH1746">
        <v>52.2</v>
      </c>
    </row>
    <row r="1747" spans="1:34" x14ac:dyDescent="0.3">
      <c r="A1747" s="4">
        <v>1863</v>
      </c>
      <c r="B1747" s="5">
        <v>1740</v>
      </c>
      <c r="C1747">
        <v>13119</v>
      </c>
      <c r="D1747" t="s">
        <v>2666</v>
      </c>
      <c r="E1747" t="s">
        <v>147</v>
      </c>
      <c r="F1747" t="s">
        <v>158</v>
      </c>
      <c r="G1747" t="s">
        <v>21337</v>
      </c>
      <c r="H1747">
        <v>21.2</v>
      </c>
      <c r="I1747">
        <v>0</v>
      </c>
      <c r="J1747">
        <v>0</v>
      </c>
      <c r="K1747">
        <v>20</v>
      </c>
      <c r="L1747">
        <v>7</v>
      </c>
      <c r="O1747">
        <v>7</v>
      </c>
      <c r="P1747">
        <v>4</v>
      </c>
      <c r="Q1747">
        <v>0</v>
      </c>
      <c r="R1747">
        <v>52.2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H1747">
        <v>52.2</v>
      </c>
    </row>
    <row r="1748" spans="1:34" x14ac:dyDescent="0.3">
      <c r="A1748" s="4">
        <v>1864</v>
      </c>
      <c r="B1748" s="5">
        <v>1741</v>
      </c>
      <c r="C1748">
        <v>14933</v>
      </c>
      <c r="D1748" t="s">
        <v>19861</v>
      </c>
      <c r="E1748" t="s">
        <v>5424</v>
      </c>
      <c r="F1748" t="s">
        <v>62</v>
      </c>
      <c r="G1748" t="s">
        <v>21338</v>
      </c>
      <c r="H1748">
        <v>19.149999999999999</v>
      </c>
      <c r="I1748">
        <v>0</v>
      </c>
      <c r="J1748">
        <v>0</v>
      </c>
      <c r="K1748">
        <v>20</v>
      </c>
      <c r="N1748">
        <v>3</v>
      </c>
      <c r="O1748">
        <v>3</v>
      </c>
      <c r="P1748">
        <v>4</v>
      </c>
      <c r="Q1748">
        <v>0</v>
      </c>
      <c r="R1748">
        <v>46.15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6</v>
      </c>
      <c r="AC1748">
        <v>0</v>
      </c>
      <c r="AH1748">
        <v>52.15</v>
      </c>
    </row>
    <row r="1749" spans="1:34" x14ac:dyDescent="0.3">
      <c r="A1749" s="4">
        <v>1865</v>
      </c>
      <c r="B1749" s="5">
        <v>1742</v>
      </c>
      <c r="C1749">
        <v>14349</v>
      </c>
      <c r="D1749" t="s">
        <v>21339</v>
      </c>
      <c r="E1749" t="s">
        <v>81</v>
      </c>
      <c r="F1749" t="s">
        <v>442</v>
      </c>
      <c r="G1749" t="s">
        <v>21340</v>
      </c>
      <c r="H1749">
        <v>18.149999999999999</v>
      </c>
      <c r="I1749">
        <v>0</v>
      </c>
      <c r="J1749">
        <v>0</v>
      </c>
      <c r="K1749">
        <v>20</v>
      </c>
      <c r="L1749">
        <v>7</v>
      </c>
      <c r="N1749">
        <v>3</v>
      </c>
      <c r="O1749">
        <v>10</v>
      </c>
      <c r="P1749">
        <v>4</v>
      </c>
      <c r="Q1749">
        <v>0</v>
      </c>
      <c r="R1749">
        <v>52.15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H1749">
        <v>52.15</v>
      </c>
    </row>
    <row r="1750" spans="1:34" x14ac:dyDescent="0.3">
      <c r="A1750" s="4">
        <v>1866</v>
      </c>
      <c r="B1750" s="5">
        <v>1743</v>
      </c>
      <c r="C1750">
        <v>6463</v>
      </c>
      <c r="D1750" t="s">
        <v>21341</v>
      </c>
      <c r="E1750" t="s">
        <v>1484</v>
      </c>
      <c r="F1750" t="s">
        <v>38</v>
      </c>
      <c r="G1750" t="s">
        <v>21342</v>
      </c>
      <c r="H1750">
        <v>18.149999999999999</v>
      </c>
      <c r="I1750">
        <v>0</v>
      </c>
      <c r="J1750">
        <v>0</v>
      </c>
      <c r="K1750">
        <v>20</v>
      </c>
      <c r="L1750">
        <v>7</v>
      </c>
      <c r="N1750">
        <v>3</v>
      </c>
      <c r="O1750">
        <v>10</v>
      </c>
      <c r="P1750">
        <v>4</v>
      </c>
      <c r="Q1750">
        <v>0</v>
      </c>
      <c r="R1750">
        <v>52.15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H1750">
        <v>52.15</v>
      </c>
    </row>
    <row r="1751" spans="1:34" x14ac:dyDescent="0.3">
      <c r="A1751" s="4">
        <v>1867</v>
      </c>
      <c r="B1751" s="5">
        <v>1744</v>
      </c>
      <c r="C1751">
        <v>2665</v>
      </c>
      <c r="D1751" t="s">
        <v>21343</v>
      </c>
      <c r="E1751" t="s">
        <v>21344</v>
      </c>
      <c r="F1751" t="s">
        <v>81</v>
      </c>
      <c r="G1751" t="s">
        <v>21345</v>
      </c>
      <c r="H1751">
        <v>16.13</v>
      </c>
      <c r="I1751">
        <v>0</v>
      </c>
      <c r="J1751">
        <v>0</v>
      </c>
      <c r="K1751">
        <v>20</v>
      </c>
      <c r="N1751">
        <v>6</v>
      </c>
      <c r="O1751">
        <v>6</v>
      </c>
      <c r="P1751">
        <v>4</v>
      </c>
      <c r="Q1751">
        <v>0</v>
      </c>
      <c r="R1751">
        <v>46.13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6</v>
      </c>
      <c r="AC1751">
        <v>0</v>
      </c>
      <c r="AH1751">
        <v>52.13</v>
      </c>
    </row>
    <row r="1752" spans="1:34" x14ac:dyDescent="0.3">
      <c r="A1752" s="4">
        <v>1868</v>
      </c>
      <c r="B1752" s="5">
        <v>1745</v>
      </c>
      <c r="C1752">
        <v>2120</v>
      </c>
      <c r="D1752" t="s">
        <v>165</v>
      </c>
      <c r="E1752" t="s">
        <v>15271</v>
      </c>
      <c r="F1752" t="s">
        <v>117</v>
      </c>
      <c r="G1752" t="s">
        <v>21346</v>
      </c>
      <c r="H1752">
        <v>22.13</v>
      </c>
      <c r="I1752">
        <v>0</v>
      </c>
      <c r="J1752">
        <v>0</v>
      </c>
      <c r="K1752">
        <v>20</v>
      </c>
      <c r="N1752">
        <v>3</v>
      </c>
      <c r="O1752">
        <v>3</v>
      </c>
      <c r="P1752">
        <v>4</v>
      </c>
      <c r="Q1752">
        <v>0</v>
      </c>
      <c r="R1752">
        <v>49.13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3</v>
      </c>
      <c r="AC1752">
        <v>0</v>
      </c>
      <c r="AH1752">
        <v>52.13</v>
      </c>
    </row>
    <row r="1753" spans="1:34" x14ac:dyDescent="0.3">
      <c r="A1753" s="4">
        <v>1869</v>
      </c>
      <c r="B1753" s="5">
        <v>1746</v>
      </c>
      <c r="C1753">
        <v>5730</v>
      </c>
      <c r="D1753" t="s">
        <v>21347</v>
      </c>
      <c r="E1753" t="s">
        <v>136</v>
      </c>
      <c r="F1753" t="s">
        <v>81</v>
      </c>
      <c r="G1753" t="s">
        <v>21348</v>
      </c>
      <c r="H1753">
        <v>21.13</v>
      </c>
      <c r="I1753">
        <v>0</v>
      </c>
      <c r="J1753">
        <v>0</v>
      </c>
      <c r="K1753">
        <v>20</v>
      </c>
      <c r="L1753">
        <v>7</v>
      </c>
      <c r="O1753">
        <v>7</v>
      </c>
      <c r="P1753">
        <v>4</v>
      </c>
      <c r="Q1753">
        <v>0</v>
      </c>
      <c r="R1753">
        <v>52.13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H1753">
        <v>52.13</v>
      </c>
    </row>
    <row r="1754" spans="1:34" x14ac:dyDescent="0.3">
      <c r="A1754" s="4">
        <v>1870</v>
      </c>
      <c r="B1754" s="5">
        <v>1747</v>
      </c>
      <c r="C1754">
        <v>14832</v>
      </c>
      <c r="D1754" t="s">
        <v>21349</v>
      </c>
      <c r="E1754" t="s">
        <v>54</v>
      </c>
      <c r="F1754" t="s">
        <v>892</v>
      </c>
      <c r="G1754" t="s">
        <v>21350</v>
      </c>
      <c r="H1754">
        <v>18.13</v>
      </c>
      <c r="I1754">
        <v>0</v>
      </c>
      <c r="J1754">
        <v>0</v>
      </c>
      <c r="K1754">
        <v>20</v>
      </c>
      <c r="N1754">
        <v>3</v>
      </c>
      <c r="O1754">
        <v>3</v>
      </c>
      <c r="P1754">
        <v>4</v>
      </c>
      <c r="Q1754">
        <v>0</v>
      </c>
      <c r="R1754">
        <v>45.13</v>
      </c>
      <c r="S1754">
        <v>7</v>
      </c>
      <c r="T1754">
        <v>7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7</v>
      </c>
      <c r="AB1754">
        <v>0</v>
      </c>
      <c r="AC1754">
        <v>0</v>
      </c>
      <c r="AH1754">
        <v>52.13</v>
      </c>
    </row>
    <row r="1755" spans="1:34" x14ac:dyDescent="0.3">
      <c r="A1755" s="4">
        <v>1871</v>
      </c>
      <c r="B1755" s="5">
        <v>1748</v>
      </c>
      <c r="C1755">
        <v>5399</v>
      </c>
      <c r="D1755" t="s">
        <v>9081</v>
      </c>
      <c r="E1755" t="s">
        <v>268</v>
      </c>
      <c r="F1755" t="s">
        <v>17</v>
      </c>
      <c r="G1755" t="s">
        <v>21351</v>
      </c>
      <c r="H1755">
        <v>19.100000000000001</v>
      </c>
      <c r="I1755">
        <v>0</v>
      </c>
      <c r="J1755">
        <v>0</v>
      </c>
      <c r="K1755">
        <v>20</v>
      </c>
      <c r="N1755">
        <v>6</v>
      </c>
      <c r="O1755">
        <v>6</v>
      </c>
      <c r="P1755">
        <v>4</v>
      </c>
      <c r="Q1755">
        <v>0</v>
      </c>
      <c r="R1755">
        <v>49.1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3</v>
      </c>
      <c r="AC1755">
        <v>0</v>
      </c>
      <c r="AH1755">
        <v>52.1</v>
      </c>
    </row>
    <row r="1756" spans="1:34" x14ac:dyDescent="0.3">
      <c r="A1756" s="4">
        <v>1872</v>
      </c>
      <c r="B1756" s="5">
        <v>1749</v>
      </c>
      <c r="C1756">
        <v>10385</v>
      </c>
      <c r="D1756" t="s">
        <v>21352</v>
      </c>
      <c r="E1756" t="s">
        <v>143</v>
      </c>
      <c r="F1756" t="s">
        <v>19529</v>
      </c>
      <c r="G1756" t="s">
        <v>21353</v>
      </c>
      <c r="H1756">
        <v>21.1</v>
      </c>
      <c r="I1756">
        <v>0</v>
      </c>
      <c r="J1756">
        <v>0</v>
      </c>
      <c r="K1756">
        <v>20</v>
      </c>
      <c r="L1756">
        <v>7</v>
      </c>
      <c r="O1756">
        <v>7</v>
      </c>
      <c r="P1756">
        <v>4</v>
      </c>
      <c r="Q1756">
        <v>0</v>
      </c>
      <c r="R1756">
        <v>52.1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H1756">
        <v>52.1</v>
      </c>
    </row>
    <row r="1757" spans="1:34" x14ac:dyDescent="0.3">
      <c r="A1757" s="4">
        <v>1873</v>
      </c>
      <c r="B1757" s="5">
        <v>1750</v>
      </c>
      <c r="C1757">
        <v>11609</v>
      </c>
      <c r="D1757" t="s">
        <v>21354</v>
      </c>
      <c r="E1757" t="s">
        <v>400</v>
      </c>
      <c r="F1757" t="s">
        <v>38</v>
      </c>
      <c r="G1757" t="s">
        <v>21355</v>
      </c>
      <c r="H1757">
        <v>18.100000000000001</v>
      </c>
      <c r="I1757">
        <v>0</v>
      </c>
      <c r="J1757">
        <v>0</v>
      </c>
      <c r="K1757">
        <v>20</v>
      </c>
      <c r="N1757">
        <v>3</v>
      </c>
      <c r="O1757">
        <v>3</v>
      </c>
      <c r="P1757">
        <v>4</v>
      </c>
      <c r="Q1757">
        <v>2</v>
      </c>
      <c r="R1757">
        <v>47.1</v>
      </c>
      <c r="S1757">
        <v>5</v>
      </c>
      <c r="T1757">
        <v>5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5</v>
      </c>
      <c r="AB1757">
        <v>0</v>
      </c>
      <c r="AC1757">
        <v>0</v>
      </c>
      <c r="AH1757">
        <v>52.1</v>
      </c>
    </row>
    <row r="1758" spans="1:34" x14ac:dyDescent="0.3">
      <c r="A1758" s="4">
        <v>1874</v>
      </c>
      <c r="B1758" s="5">
        <v>1751</v>
      </c>
      <c r="C1758">
        <v>881</v>
      </c>
      <c r="D1758" t="s">
        <v>18891</v>
      </c>
      <c r="E1758" t="s">
        <v>29</v>
      </c>
      <c r="F1758" t="s">
        <v>136</v>
      </c>
      <c r="G1758" t="s">
        <v>21356</v>
      </c>
      <c r="H1758">
        <v>22.08</v>
      </c>
      <c r="I1758">
        <v>0</v>
      </c>
      <c r="J1758">
        <v>0</v>
      </c>
      <c r="K1758">
        <v>20</v>
      </c>
      <c r="N1758">
        <v>3</v>
      </c>
      <c r="O1758">
        <v>3</v>
      </c>
      <c r="P1758">
        <v>4</v>
      </c>
      <c r="Q1758">
        <v>0</v>
      </c>
      <c r="R1758">
        <v>49.08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3</v>
      </c>
      <c r="AC1758">
        <v>0</v>
      </c>
      <c r="AH1758">
        <v>52.08</v>
      </c>
    </row>
    <row r="1759" spans="1:34" x14ac:dyDescent="0.3">
      <c r="A1759" s="4">
        <v>1875</v>
      </c>
      <c r="B1759" s="5">
        <v>1752</v>
      </c>
      <c r="C1759">
        <v>13272</v>
      </c>
      <c r="D1759" t="s">
        <v>21357</v>
      </c>
      <c r="E1759" t="s">
        <v>273</v>
      </c>
      <c r="F1759" t="s">
        <v>81</v>
      </c>
      <c r="G1759" t="s">
        <v>21358</v>
      </c>
      <c r="H1759">
        <v>19</v>
      </c>
      <c r="I1759">
        <v>0</v>
      </c>
      <c r="J1759">
        <v>0</v>
      </c>
      <c r="K1759">
        <v>20</v>
      </c>
      <c r="N1759">
        <v>3</v>
      </c>
      <c r="O1759">
        <v>3</v>
      </c>
      <c r="P1759">
        <v>4</v>
      </c>
      <c r="Q1759">
        <v>0</v>
      </c>
      <c r="R1759">
        <v>46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6</v>
      </c>
      <c r="AC1759">
        <v>0</v>
      </c>
      <c r="AH1759">
        <v>52</v>
      </c>
    </row>
    <row r="1760" spans="1:34" x14ac:dyDescent="0.3">
      <c r="A1760" s="4">
        <v>1876</v>
      </c>
      <c r="B1760" s="5">
        <v>1753</v>
      </c>
      <c r="C1760">
        <v>12939</v>
      </c>
      <c r="D1760" t="s">
        <v>21359</v>
      </c>
      <c r="E1760" t="s">
        <v>29</v>
      </c>
      <c r="F1760" t="s">
        <v>34</v>
      </c>
      <c r="G1760" t="s">
        <v>21360</v>
      </c>
      <c r="H1760">
        <v>20</v>
      </c>
      <c r="I1760">
        <v>0</v>
      </c>
      <c r="J1760">
        <v>0</v>
      </c>
      <c r="K1760">
        <v>0</v>
      </c>
      <c r="N1760">
        <v>3</v>
      </c>
      <c r="O1760">
        <v>3</v>
      </c>
      <c r="P1760">
        <v>4</v>
      </c>
      <c r="Q1760">
        <v>2</v>
      </c>
      <c r="R1760">
        <v>29</v>
      </c>
      <c r="S1760">
        <v>17</v>
      </c>
      <c r="T1760">
        <v>17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17</v>
      </c>
      <c r="AB1760">
        <v>6</v>
      </c>
      <c r="AC1760">
        <v>0</v>
      </c>
      <c r="AH1760">
        <v>52</v>
      </c>
    </row>
    <row r="1761" spans="1:34" x14ac:dyDescent="0.3">
      <c r="A1761" s="4">
        <v>1877</v>
      </c>
      <c r="B1761" s="5">
        <v>1754</v>
      </c>
      <c r="C1761">
        <v>4777</v>
      </c>
      <c r="D1761" t="s">
        <v>21361</v>
      </c>
      <c r="E1761" t="s">
        <v>21362</v>
      </c>
      <c r="F1761" t="s">
        <v>136</v>
      </c>
      <c r="G1761" t="s">
        <v>21363</v>
      </c>
      <c r="H1761">
        <v>18</v>
      </c>
      <c r="I1761">
        <v>0</v>
      </c>
      <c r="J1761">
        <v>0</v>
      </c>
      <c r="K1761">
        <v>20</v>
      </c>
      <c r="L1761">
        <v>7</v>
      </c>
      <c r="O1761">
        <v>7</v>
      </c>
      <c r="P1761">
        <v>4</v>
      </c>
      <c r="Q1761">
        <v>0</v>
      </c>
      <c r="R1761">
        <v>49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3</v>
      </c>
      <c r="AC1761">
        <v>0</v>
      </c>
      <c r="AH1761">
        <v>52</v>
      </c>
    </row>
    <row r="1762" spans="1:34" x14ac:dyDescent="0.3">
      <c r="A1762" s="4">
        <v>1878</v>
      </c>
      <c r="B1762" s="5">
        <v>1755</v>
      </c>
      <c r="C1762">
        <v>1111</v>
      </c>
      <c r="D1762" t="s">
        <v>3599</v>
      </c>
      <c r="E1762" t="s">
        <v>9015</v>
      </c>
      <c r="F1762" t="s">
        <v>17</v>
      </c>
      <c r="G1762" t="s">
        <v>21364</v>
      </c>
      <c r="H1762">
        <v>22</v>
      </c>
      <c r="I1762">
        <v>0</v>
      </c>
      <c r="J1762">
        <v>0</v>
      </c>
      <c r="K1762">
        <v>0</v>
      </c>
      <c r="N1762">
        <v>3</v>
      </c>
      <c r="O1762">
        <v>3</v>
      </c>
      <c r="P1762">
        <v>4</v>
      </c>
      <c r="Q1762">
        <v>2</v>
      </c>
      <c r="R1762">
        <v>31</v>
      </c>
      <c r="S1762">
        <v>18</v>
      </c>
      <c r="T1762">
        <v>18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18</v>
      </c>
      <c r="AB1762">
        <v>3</v>
      </c>
      <c r="AC1762">
        <v>0</v>
      </c>
      <c r="AH1762">
        <v>52</v>
      </c>
    </row>
    <row r="1763" spans="1:34" x14ac:dyDescent="0.3">
      <c r="A1763" s="4">
        <v>1879</v>
      </c>
      <c r="B1763" s="5">
        <v>1756</v>
      </c>
      <c r="C1763">
        <v>13050</v>
      </c>
      <c r="D1763" t="s">
        <v>21365</v>
      </c>
      <c r="E1763" t="s">
        <v>62</v>
      </c>
      <c r="F1763" t="s">
        <v>21366</v>
      </c>
      <c r="G1763" t="s">
        <v>21367</v>
      </c>
      <c r="H1763">
        <v>19</v>
      </c>
      <c r="I1763">
        <v>0</v>
      </c>
      <c r="J1763">
        <v>0</v>
      </c>
      <c r="K1763">
        <v>20</v>
      </c>
      <c r="L1763">
        <v>7</v>
      </c>
      <c r="O1763">
        <v>7</v>
      </c>
      <c r="P1763">
        <v>4</v>
      </c>
      <c r="Q1763">
        <v>2</v>
      </c>
      <c r="R1763">
        <v>52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H1763">
        <v>52</v>
      </c>
    </row>
    <row r="1764" spans="1:34" x14ac:dyDescent="0.3">
      <c r="A1764" s="4">
        <v>1880</v>
      </c>
      <c r="B1764" s="5">
        <v>1757</v>
      </c>
      <c r="C1764">
        <v>1075</v>
      </c>
      <c r="D1764" t="s">
        <v>21368</v>
      </c>
      <c r="E1764" t="s">
        <v>21369</v>
      </c>
      <c r="F1764" t="s">
        <v>11145</v>
      </c>
      <c r="G1764" t="s">
        <v>21370</v>
      </c>
      <c r="H1764">
        <v>18</v>
      </c>
      <c r="I1764">
        <v>0</v>
      </c>
      <c r="J1764">
        <v>0</v>
      </c>
      <c r="K1764">
        <v>20</v>
      </c>
      <c r="L1764">
        <v>7</v>
      </c>
      <c r="N1764">
        <v>3</v>
      </c>
      <c r="O1764">
        <v>10</v>
      </c>
      <c r="P1764">
        <v>4</v>
      </c>
      <c r="Q1764">
        <v>0</v>
      </c>
      <c r="R1764">
        <v>52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H1764">
        <v>52</v>
      </c>
    </row>
    <row r="1765" spans="1:34" x14ac:dyDescent="0.3">
      <c r="A1765" s="4">
        <v>1881</v>
      </c>
      <c r="B1765" s="5">
        <v>1758</v>
      </c>
      <c r="C1765">
        <v>8987</v>
      </c>
      <c r="D1765" t="s">
        <v>21371</v>
      </c>
      <c r="E1765" t="s">
        <v>7689</v>
      </c>
      <c r="F1765" t="s">
        <v>79</v>
      </c>
      <c r="G1765" t="s">
        <v>21372</v>
      </c>
      <c r="H1765">
        <v>17.98</v>
      </c>
      <c r="I1765">
        <v>0</v>
      </c>
      <c r="J1765">
        <v>0</v>
      </c>
      <c r="K1765">
        <v>20</v>
      </c>
      <c r="L1765">
        <v>7</v>
      </c>
      <c r="O1765">
        <v>7</v>
      </c>
      <c r="P1765">
        <v>4</v>
      </c>
      <c r="Q1765">
        <v>0</v>
      </c>
      <c r="R1765">
        <v>48.98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3</v>
      </c>
      <c r="AC1765">
        <v>0</v>
      </c>
      <c r="AH1765">
        <v>51.98</v>
      </c>
    </row>
    <row r="1766" spans="1:34" x14ac:dyDescent="0.3">
      <c r="A1766" s="4">
        <v>1882</v>
      </c>
      <c r="B1766" s="5">
        <v>1759</v>
      </c>
      <c r="C1766">
        <v>13714</v>
      </c>
      <c r="D1766" t="s">
        <v>1703</v>
      </c>
      <c r="E1766" t="s">
        <v>29</v>
      </c>
      <c r="F1766" t="s">
        <v>124</v>
      </c>
      <c r="G1766" t="s">
        <v>21373</v>
      </c>
      <c r="H1766">
        <v>19.98</v>
      </c>
      <c r="I1766">
        <v>0</v>
      </c>
      <c r="J1766">
        <v>0</v>
      </c>
      <c r="K1766">
        <v>20</v>
      </c>
      <c r="N1766">
        <v>3</v>
      </c>
      <c r="O1766">
        <v>3</v>
      </c>
      <c r="P1766">
        <v>4</v>
      </c>
      <c r="Q1766">
        <v>0</v>
      </c>
      <c r="R1766">
        <v>46.98</v>
      </c>
      <c r="S1766">
        <v>5</v>
      </c>
      <c r="T1766">
        <v>5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5</v>
      </c>
      <c r="AB1766">
        <v>0</v>
      </c>
      <c r="AC1766">
        <v>0</v>
      </c>
      <c r="AD1766" t="s">
        <v>130</v>
      </c>
      <c r="AH1766">
        <v>51.98</v>
      </c>
    </row>
    <row r="1767" spans="1:34" x14ac:dyDescent="0.3">
      <c r="A1767" s="4">
        <v>1883</v>
      </c>
      <c r="B1767" s="5">
        <v>1760</v>
      </c>
      <c r="C1767">
        <v>8305</v>
      </c>
      <c r="D1767" t="s">
        <v>21374</v>
      </c>
      <c r="E1767" t="s">
        <v>21375</v>
      </c>
      <c r="F1767" t="s">
        <v>822</v>
      </c>
      <c r="G1767" t="s">
        <v>21376</v>
      </c>
      <c r="H1767">
        <v>20.95</v>
      </c>
      <c r="I1767">
        <v>0</v>
      </c>
      <c r="J1767">
        <v>0</v>
      </c>
      <c r="K1767">
        <v>20</v>
      </c>
      <c r="L1767">
        <v>7</v>
      </c>
      <c r="O1767">
        <v>7</v>
      </c>
      <c r="P1767">
        <v>4</v>
      </c>
      <c r="Q1767">
        <v>0</v>
      </c>
      <c r="R1767">
        <v>51.95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H1767">
        <v>51.95</v>
      </c>
    </row>
    <row r="1768" spans="1:34" x14ac:dyDescent="0.3">
      <c r="A1768" s="4">
        <v>1884</v>
      </c>
      <c r="B1768" s="5">
        <v>1761</v>
      </c>
      <c r="C1768">
        <v>5197</v>
      </c>
      <c r="D1768" t="s">
        <v>21377</v>
      </c>
      <c r="E1768" t="s">
        <v>858</v>
      </c>
      <c r="F1768" t="s">
        <v>3439</v>
      </c>
      <c r="G1768" t="s">
        <v>21378</v>
      </c>
      <c r="H1768">
        <v>18.93</v>
      </c>
      <c r="I1768">
        <v>0</v>
      </c>
      <c r="J1768">
        <v>0</v>
      </c>
      <c r="K1768">
        <v>20</v>
      </c>
      <c r="N1768">
        <v>3</v>
      </c>
      <c r="O1768">
        <v>3</v>
      </c>
      <c r="P1768">
        <v>4</v>
      </c>
      <c r="Q1768">
        <v>0</v>
      </c>
      <c r="R1768">
        <v>45.93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6</v>
      </c>
      <c r="AC1768">
        <v>0</v>
      </c>
      <c r="AH1768">
        <v>51.93</v>
      </c>
    </row>
    <row r="1769" spans="1:34" x14ac:dyDescent="0.3">
      <c r="A1769" s="4">
        <v>1885</v>
      </c>
      <c r="B1769" s="5">
        <v>1762</v>
      </c>
      <c r="C1769">
        <v>466</v>
      </c>
      <c r="D1769" t="s">
        <v>21379</v>
      </c>
      <c r="E1769" t="s">
        <v>22</v>
      </c>
      <c r="F1769" t="s">
        <v>62</v>
      </c>
      <c r="G1769" t="s">
        <v>21380</v>
      </c>
      <c r="H1769">
        <v>20.9</v>
      </c>
      <c r="I1769">
        <v>0</v>
      </c>
      <c r="J1769">
        <v>0</v>
      </c>
      <c r="K1769">
        <v>20</v>
      </c>
      <c r="L1769">
        <v>7</v>
      </c>
      <c r="O1769">
        <v>7</v>
      </c>
      <c r="P1769">
        <v>4</v>
      </c>
      <c r="Q1769">
        <v>0</v>
      </c>
      <c r="R1769">
        <v>51.9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H1769">
        <v>51.9</v>
      </c>
    </row>
    <row r="1770" spans="1:34" x14ac:dyDescent="0.3">
      <c r="A1770" s="4">
        <v>1886</v>
      </c>
      <c r="B1770" s="5">
        <v>1763</v>
      </c>
      <c r="C1770">
        <v>2886</v>
      </c>
      <c r="D1770" t="s">
        <v>21381</v>
      </c>
      <c r="E1770" t="s">
        <v>21382</v>
      </c>
      <c r="F1770" t="s">
        <v>649</v>
      </c>
      <c r="G1770" t="s">
        <v>21383</v>
      </c>
      <c r="H1770">
        <v>19.88</v>
      </c>
      <c r="I1770">
        <v>0</v>
      </c>
      <c r="J1770">
        <v>0</v>
      </c>
      <c r="K1770">
        <v>0</v>
      </c>
      <c r="N1770">
        <v>3</v>
      </c>
      <c r="O1770">
        <v>3</v>
      </c>
      <c r="P1770">
        <v>4</v>
      </c>
      <c r="Q1770">
        <v>2</v>
      </c>
      <c r="R1770">
        <v>28.88</v>
      </c>
      <c r="S1770">
        <v>14</v>
      </c>
      <c r="T1770">
        <v>14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14</v>
      </c>
      <c r="AB1770">
        <v>9</v>
      </c>
      <c r="AC1770">
        <v>0</v>
      </c>
      <c r="AH1770">
        <v>51.88</v>
      </c>
    </row>
    <row r="1771" spans="1:34" x14ac:dyDescent="0.3">
      <c r="A1771" s="4">
        <v>1887</v>
      </c>
      <c r="B1771" s="5">
        <v>1764</v>
      </c>
      <c r="C1771">
        <v>15174</v>
      </c>
      <c r="D1771" t="s">
        <v>21384</v>
      </c>
      <c r="E1771" t="s">
        <v>54</v>
      </c>
      <c r="F1771" t="s">
        <v>17</v>
      </c>
      <c r="G1771" t="s">
        <v>21385</v>
      </c>
      <c r="H1771">
        <v>18.829999999999998</v>
      </c>
      <c r="I1771">
        <v>0</v>
      </c>
      <c r="J1771">
        <v>0</v>
      </c>
      <c r="K1771">
        <v>20</v>
      </c>
      <c r="N1771">
        <v>3</v>
      </c>
      <c r="O1771">
        <v>3</v>
      </c>
      <c r="P1771">
        <v>4</v>
      </c>
      <c r="Q1771">
        <v>0</v>
      </c>
      <c r="R1771">
        <v>45.83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6</v>
      </c>
      <c r="AC1771">
        <v>0</v>
      </c>
      <c r="AH1771">
        <v>51.83</v>
      </c>
    </row>
    <row r="1772" spans="1:34" x14ac:dyDescent="0.3">
      <c r="A1772" s="4">
        <v>1888</v>
      </c>
      <c r="B1772" s="5">
        <v>1765</v>
      </c>
      <c r="C1772">
        <v>1851</v>
      </c>
      <c r="D1772" t="s">
        <v>21386</v>
      </c>
      <c r="E1772" t="s">
        <v>18599</v>
      </c>
      <c r="F1772" t="s">
        <v>91</v>
      </c>
      <c r="G1772" t="s">
        <v>21387</v>
      </c>
      <c r="H1772">
        <v>19.829999999999998</v>
      </c>
      <c r="I1772">
        <v>0</v>
      </c>
      <c r="J1772">
        <v>0</v>
      </c>
      <c r="K1772">
        <v>0</v>
      </c>
      <c r="L1772">
        <v>7</v>
      </c>
      <c r="O1772">
        <v>7</v>
      </c>
      <c r="P1772">
        <v>4</v>
      </c>
      <c r="Q1772">
        <v>2</v>
      </c>
      <c r="R1772">
        <v>32.83</v>
      </c>
      <c r="S1772">
        <v>13</v>
      </c>
      <c r="T1772">
        <v>13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13</v>
      </c>
      <c r="AB1772">
        <v>6</v>
      </c>
      <c r="AC1772">
        <v>0</v>
      </c>
      <c r="AH1772">
        <v>51.83</v>
      </c>
    </row>
    <row r="1773" spans="1:34" x14ac:dyDescent="0.3">
      <c r="A1773" s="4">
        <v>1889</v>
      </c>
      <c r="B1773" s="5">
        <v>1766</v>
      </c>
      <c r="C1773">
        <v>1105</v>
      </c>
      <c r="D1773" t="s">
        <v>13136</v>
      </c>
      <c r="E1773" t="s">
        <v>29</v>
      </c>
      <c r="F1773" t="s">
        <v>38</v>
      </c>
      <c r="G1773" t="s">
        <v>21388</v>
      </c>
      <c r="H1773">
        <v>18.829999999999998</v>
      </c>
      <c r="I1773">
        <v>0</v>
      </c>
      <c r="J1773">
        <v>0</v>
      </c>
      <c r="K1773">
        <v>20</v>
      </c>
      <c r="L1773">
        <v>7</v>
      </c>
      <c r="O1773">
        <v>7</v>
      </c>
      <c r="P1773">
        <v>4</v>
      </c>
      <c r="Q1773">
        <v>2</v>
      </c>
      <c r="R1773">
        <v>51.83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H1773">
        <v>51.83</v>
      </c>
    </row>
    <row r="1774" spans="1:34" x14ac:dyDescent="0.3">
      <c r="A1774" s="4">
        <v>1890</v>
      </c>
      <c r="B1774" s="5">
        <v>1767</v>
      </c>
      <c r="C1774">
        <v>2859</v>
      </c>
      <c r="D1774" t="s">
        <v>21389</v>
      </c>
      <c r="E1774" t="s">
        <v>21390</v>
      </c>
      <c r="F1774" t="s">
        <v>62</v>
      </c>
      <c r="G1774" t="s">
        <v>21391</v>
      </c>
      <c r="H1774">
        <v>15.8</v>
      </c>
      <c r="I1774">
        <v>0</v>
      </c>
      <c r="J1774">
        <v>0</v>
      </c>
      <c r="K1774">
        <v>0</v>
      </c>
      <c r="O1774">
        <v>0</v>
      </c>
      <c r="P1774">
        <v>4</v>
      </c>
      <c r="Q1774">
        <v>2</v>
      </c>
      <c r="R1774">
        <v>21.8</v>
      </c>
      <c r="S1774">
        <v>30</v>
      </c>
      <c r="T1774">
        <v>30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30</v>
      </c>
      <c r="AB1774">
        <v>0</v>
      </c>
      <c r="AC1774">
        <v>0</v>
      </c>
      <c r="AH1774">
        <v>51.8</v>
      </c>
    </row>
    <row r="1775" spans="1:34" x14ac:dyDescent="0.3">
      <c r="A1775" s="4">
        <v>1891</v>
      </c>
      <c r="B1775" s="5">
        <v>1768</v>
      </c>
      <c r="C1775">
        <v>8397</v>
      </c>
      <c r="D1775" t="s">
        <v>20478</v>
      </c>
      <c r="E1775" t="s">
        <v>1975</v>
      </c>
      <c r="F1775" t="s">
        <v>91</v>
      </c>
      <c r="G1775" t="s">
        <v>21392</v>
      </c>
      <c r="H1775">
        <v>20.78</v>
      </c>
      <c r="I1775">
        <v>0</v>
      </c>
      <c r="J1775">
        <v>0</v>
      </c>
      <c r="K1775">
        <v>20</v>
      </c>
      <c r="L1775">
        <v>7</v>
      </c>
      <c r="O1775">
        <v>7</v>
      </c>
      <c r="P1775">
        <v>4</v>
      </c>
      <c r="Q1775">
        <v>0</v>
      </c>
      <c r="R1775">
        <v>51.78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H1775">
        <v>51.78</v>
      </c>
    </row>
    <row r="1776" spans="1:34" x14ac:dyDescent="0.3">
      <c r="A1776" s="4">
        <v>1892</v>
      </c>
      <c r="B1776" s="5">
        <v>1769</v>
      </c>
      <c r="C1776">
        <v>12022</v>
      </c>
      <c r="D1776" t="s">
        <v>432</v>
      </c>
      <c r="E1776" t="s">
        <v>166</v>
      </c>
      <c r="F1776" t="s">
        <v>17</v>
      </c>
      <c r="G1776" t="s">
        <v>21393</v>
      </c>
      <c r="H1776">
        <v>16.75</v>
      </c>
      <c r="I1776">
        <v>0</v>
      </c>
      <c r="J1776">
        <v>0</v>
      </c>
      <c r="K1776">
        <v>0</v>
      </c>
      <c r="O1776">
        <v>0</v>
      </c>
      <c r="P1776">
        <v>4</v>
      </c>
      <c r="Q1776">
        <v>0</v>
      </c>
      <c r="R1776">
        <v>20.75</v>
      </c>
      <c r="S1776">
        <v>31</v>
      </c>
      <c r="T1776">
        <v>31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31</v>
      </c>
      <c r="AB1776">
        <v>0</v>
      </c>
      <c r="AC1776">
        <v>0</v>
      </c>
      <c r="AH1776">
        <v>51.75</v>
      </c>
    </row>
    <row r="1777" spans="1:34" x14ac:dyDescent="0.3">
      <c r="A1777" s="4">
        <v>1893</v>
      </c>
      <c r="B1777" s="5">
        <v>1770</v>
      </c>
      <c r="C1777">
        <v>207</v>
      </c>
      <c r="D1777" t="s">
        <v>21394</v>
      </c>
      <c r="E1777" t="s">
        <v>38</v>
      </c>
      <c r="F1777" t="s">
        <v>136</v>
      </c>
      <c r="G1777" t="s">
        <v>21395</v>
      </c>
      <c r="H1777">
        <v>18.73</v>
      </c>
      <c r="I1777">
        <v>0</v>
      </c>
      <c r="J1777">
        <v>0</v>
      </c>
      <c r="K1777">
        <v>20</v>
      </c>
      <c r="O1777">
        <v>0</v>
      </c>
      <c r="P1777">
        <v>4</v>
      </c>
      <c r="Q1777">
        <v>0</v>
      </c>
      <c r="R1777">
        <v>42.73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9</v>
      </c>
      <c r="AC1777">
        <v>0</v>
      </c>
      <c r="AH1777">
        <v>51.73</v>
      </c>
    </row>
    <row r="1778" spans="1:34" x14ac:dyDescent="0.3">
      <c r="A1778" s="4">
        <v>1894</v>
      </c>
      <c r="B1778" s="5">
        <v>1771</v>
      </c>
      <c r="C1778">
        <v>4644</v>
      </c>
      <c r="D1778" t="s">
        <v>8663</v>
      </c>
      <c r="E1778" t="s">
        <v>342</v>
      </c>
      <c r="F1778" t="s">
        <v>38</v>
      </c>
      <c r="G1778" t="s">
        <v>21396</v>
      </c>
      <c r="H1778">
        <v>20.73</v>
      </c>
      <c r="I1778">
        <v>0</v>
      </c>
      <c r="J1778">
        <v>0</v>
      </c>
      <c r="K1778">
        <v>20</v>
      </c>
      <c r="L1778">
        <v>7</v>
      </c>
      <c r="O1778">
        <v>7</v>
      </c>
      <c r="P1778">
        <v>4</v>
      </c>
      <c r="Q1778">
        <v>0</v>
      </c>
      <c r="R1778">
        <v>51.73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H1778">
        <v>51.73</v>
      </c>
    </row>
    <row r="1779" spans="1:34" x14ac:dyDescent="0.3">
      <c r="A1779" s="4">
        <v>1895</v>
      </c>
      <c r="B1779" s="5">
        <v>1772</v>
      </c>
      <c r="C1779">
        <v>2993</v>
      </c>
      <c r="D1779" t="s">
        <v>21397</v>
      </c>
      <c r="E1779" t="s">
        <v>208</v>
      </c>
      <c r="F1779" t="s">
        <v>136</v>
      </c>
      <c r="G1779" t="s">
        <v>21398</v>
      </c>
      <c r="H1779">
        <v>20.73</v>
      </c>
      <c r="I1779">
        <v>0</v>
      </c>
      <c r="J1779">
        <v>0</v>
      </c>
      <c r="K1779">
        <v>20</v>
      </c>
      <c r="L1779">
        <v>7</v>
      </c>
      <c r="O1779">
        <v>7</v>
      </c>
      <c r="P1779">
        <v>4</v>
      </c>
      <c r="Q1779">
        <v>0</v>
      </c>
      <c r="R1779">
        <v>51.73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H1779">
        <v>51.73</v>
      </c>
    </row>
    <row r="1780" spans="1:34" x14ac:dyDescent="0.3">
      <c r="A1780" s="4">
        <v>1896</v>
      </c>
      <c r="B1780" s="5">
        <v>1773</v>
      </c>
      <c r="C1780">
        <v>7202</v>
      </c>
      <c r="D1780" t="s">
        <v>21399</v>
      </c>
      <c r="E1780" t="s">
        <v>21400</v>
      </c>
      <c r="F1780" t="s">
        <v>21401</v>
      </c>
      <c r="G1780" t="s">
        <v>21402</v>
      </c>
      <c r="H1780">
        <v>20.68</v>
      </c>
      <c r="I1780">
        <v>0</v>
      </c>
      <c r="J1780">
        <v>0</v>
      </c>
      <c r="K1780">
        <v>20</v>
      </c>
      <c r="L1780">
        <v>7</v>
      </c>
      <c r="O1780">
        <v>7</v>
      </c>
      <c r="P1780">
        <v>4</v>
      </c>
      <c r="Q1780">
        <v>0</v>
      </c>
      <c r="R1780">
        <v>51.68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H1780">
        <v>51.68</v>
      </c>
    </row>
    <row r="1781" spans="1:34" x14ac:dyDescent="0.3">
      <c r="A1781" s="4">
        <v>1897</v>
      </c>
      <c r="B1781" s="5">
        <v>1774</v>
      </c>
      <c r="C1781">
        <v>3642</v>
      </c>
      <c r="D1781" t="s">
        <v>13929</v>
      </c>
      <c r="E1781" t="s">
        <v>132</v>
      </c>
      <c r="F1781" t="s">
        <v>136</v>
      </c>
      <c r="G1781" t="s">
        <v>21403</v>
      </c>
      <c r="H1781">
        <v>20.68</v>
      </c>
      <c r="I1781">
        <v>0</v>
      </c>
      <c r="J1781">
        <v>0</v>
      </c>
      <c r="K1781">
        <v>20</v>
      </c>
      <c r="L1781">
        <v>7</v>
      </c>
      <c r="O1781">
        <v>7</v>
      </c>
      <c r="P1781">
        <v>4</v>
      </c>
      <c r="Q1781">
        <v>0</v>
      </c>
      <c r="R1781">
        <v>51.68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H1781">
        <v>51.68</v>
      </c>
    </row>
    <row r="1782" spans="1:34" x14ac:dyDescent="0.3">
      <c r="A1782" s="4">
        <v>1898</v>
      </c>
      <c r="B1782" s="5">
        <v>1775</v>
      </c>
      <c r="C1782">
        <v>2739</v>
      </c>
      <c r="D1782" t="s">
        <v>21404</v>
      </c>
      <c r="E1782" t="s">
        <v>166</v>
      </c>
      <c r="F1782" t="s">
        <v>328</v>
      </c>
      <c r="G1782" t="s">
        <v>21405</v>
      </c>
      <c r="H1782">
        <v>17.649999999999999</v>
      </c>
      <c r="I1782">
        <v>0</v>
      </c>
      <c r="J1782">
        <v>0</v>
      </c>
      <c r="K1782">
        <v>20</v>
      </c>
      <c r="L1782">
        <v>7</v>
      </c>
      <c r="N1782">
        <v>3</v>
      </c>
      <c r="O1782">
        <v>10</v>
      </c>
      <c r="P1782">
        <v>4</v>
      </c>
      <c r="Q1782">
        <v>0</v>
      </c>
      <c r="R1782">
        <v>51.65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H1782">
        <v>51.65</v>
      </c>
    </row>
    <row r="1783" spans="1:34" x14ac:dyDescent="0.3">
      <c r="A1783" s="4">
        <v>1899</v>
      </c>
      <c r="B1783" s="5">
        <v>1776</v>
      </c>
      <c r="C1783">
        <v>14095</v>
      </c>
      <c r="D1783" t="s">
        <v>9461</v>
      </c>
      <c r="E1783" t="s">
        <v>166</v>
      </c>
      <c r="F1783" t="s">
        <v>243</v>
      </c>
      <c r="G1783" t="s">
        <v>21406</v>
      </c>
      <c r="H1783">
        <v>18.63</v>
      </c>
      <c r="I1783">
        <v>0</v>
      </c>
      <c r="J1783">
        <v>0</v>
      </c>
      <c r="K1783">
        <v>0</v>
      </c>
      <c r="N1783">
        <v>3</v>
      </c>
      <c r="O1783">
        <v>3</v>
      </c>
      <c r="P1783">
        <v>4</v>
      </c>
      <c r="Q1783">
        <v>2</v>
      </c>
      <c r="R1783">
        <v>27.63</v>
      </c>
      <c r="S1783">
        <v>18</v>
      </c>
      <c r="T1783">
        <v>18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18</v>
      </c>
      <c r="AB1783">
        <v>6</v>
      </c>
      <c r="AC1783">
        <v>0</v>
      </c>
      <c r="AH1783">
        <v>51.63</v>
      </c>
    </row>
    <row r="1784" spans="1:34" x14ac:dyDescent="0.3">
      <c r="A1784" s="4">
        <v>1900</v>
      </c>
      <c r="B1784" s="5">
        <v>1777</v>
      </c>
      <c r="C1784">
        <v>8340</v>
      </c>
      <c r="D1784" t="s">
        <v>21407</v>
      </c>
      <c r="E1784" t="s">
        <v>21408</v>
      </c>
      <c r="F1784" t="s">
        <v>21409</v>
      </c>
      <c r="G1784" t="s">
        <v>21410</v>
      </c>
      <c r="H1784">
        <v>19.63</v>
      </c>
      <c r="I1784">
        <v>0</v>
      </c>
      <c r="J1784">
        <v>0</v>
      </c>
      <c r="K1784">
        <v>20</v>
      </c>
      <c r="O1784">
        <v>0</v>
      </c>
      <c r="P1784">
        <v>4</v>
      </c>
      <c r="Q1784">
        <v>0</v>
      </c>
      <c r="R1784">
        <v>43.63</v>
      </c>
      <c r="S1784">
        <v>8</v>
      </c>
      <c r="T1784">
        <v>8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8</v>
      </c>
      <c r="AB1784">
        <v>0</v>
      </c>
      <c r="AC1784">
        <v>0</v>
      </c>
      <c r="AH1784">
        <v>51.63</v>
      </c>
    </row>
    <row r="1785" spans="1:34" x14ac:dyDescent="0.3">
      <c r="A1785" s="4">
        <v>1901</v>
      </c>
      <c r="B1785" s="5">
        <v>1778</v>
      </c>
      <c r="C1785">
        <v>5174</v>
      </c>
      <c r="D1785" t="s">
        <v>4607</v>
      </c>
      <c r="E1785" t="s">
        <v>208</v>
      </c>
      <c r="F1785" t="s">
        <v>20</v>
      </c>
      <c r="G1785" t="s">
        <v>21411</v>
      </c>
      <c r="H1785">
        <v>18.579999999999998</v>
      </c>
      <c r="I1785">
        <v>0</v>
      </c>
      <c r="J1785">
        <v>0</v>
      </c>
      <c r="K1785">
        <v>20</v>
      </c>
      <c r="N1785">
        <v>3</v>
      </c>
      <c r="O1785">
        <v>3</v>
      </c>
      <c r="P1785">
        <v>4</v>
      </c>
      <c r="Q1785">
        <v>0</v>
      </c>
      <c r="R1785">
        <v>45.58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6</v>
      </c>
      <c r="AC1785">
        <v>0</v>
      </c>
      <c r="AH1785">
        <v>51.58</v>
      </c>
    </row>
    <row r="1786" spans="1:34" x14ac:dyDescent="0.3">
      <c r="A1786" s="4">
        <v>1902</v>
      </c>
      <c r="B1786" s="5">
        <v>1779</v>
      </c>
      <c r="C1786">
        <v>3040</v>
      </c>
      <c r="D1786" t="s">
        <v>21412</v>
      </c>
      <c r="E1786" t="s">
        <v>8253</v>
      </c>
      <c r="F1786" t="s">
        <v>21413</v>
      </c>
      <c r="G1786" t="s">
        <v>21414</v>
      </c>
      <c r="H1786">
        <v>17.55</v>
      </c>
      <c r="I1786">
        <v>0</v>
      </c>
      <c r="J1786">
        <v>0</v>
      </c>
      <c r="K1786">
        <v>0</v>
      </c>
      <c r="N1786">
        <v>3</v>
      </c>
      <c r="O1786">
        <v>3</v>
      </c>
      <c r="P1786">
        <v>4</v>
      </c>
      <c r="Q1786">
        <v>0</v>
      </c>
      <c r="R1786">
        <v>24.55</v>
      </c>
      <c r="S1786">
        <v>18</v>
      </c>
      <c r="T1786">
        <v>18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18</v>
      </c>
      <c r="AB1786">
        <v>9</v>
      </c>
      <c r="AC1786">
        <v>0</v>
      </c>
      <c r="AH1786">
        <v>51.55</v>
      </c>
    </row>
    <row r="1787" spans="1:34" x14ac:dyDescent="0.3">
      <c r="A1787" s="4">
        <v>1903</v>
      </c>
      <c r="B1787" s="5">
        <v>1780</v>
      </c>
      <c r="C1787">
        <v>11391</v>
      </c>
      <c r="D1787" t="s">
        <v>21415</v>
      </c>
      <c r="E1787" t="s">
        <v>575</v>
      </c>
      <c r="F1787" t="s">
        <v>158</v>
      </c>
      <c r="G1787" t="s">
        <v>21416</v>
      </c>
      <c r="H1787">
        <v>18.53</v>
      </c>
      <c r="I1787">
        <v>0</v>
      </c>
      <c r="J1787">
        <v>0</v>
      </c>
      <c r="K1787">
        <v>20</v>
      </c>
      <c r="L1787">
        <v>7</v>
      </c>
      <c r="O1787">
        <v>7</v>
      </c>
      <c r="P1787">
        <v>0</v>
      </c>
      <c r="Q1787">
        <v>0</v>
      </c>
      <c r="R1787">
        <v>45.53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6</v>
      </c>
      <c r="AC1787">
        <v>0</v>
      </c>
      <c r="AH1787">
        <v>51.53</v>
      </c>
    </row>
    <row r="1788" spans="1:34" x14ac:dyDescent="0.3">
      <c r="A1788" s="4">
        <v>1904</v>
      </c>
      <c r="B1788" s="5">
        <v>1781</v>
      </c>
      <c r="C1788">
        <v>14999</v>
      </c>
      <c r="D1788" t="s">
        <v>3889</v>
      </c>
      <c r="E1788" t="s">
        <v>6507</v>
      </c>
      <c r="F1788" t="s">
        <v>158</v>
      </c>
      <c r="G1788" t="s">
        <v>21417</v>
      </c>
      <c r="H1788">
        <v>20.53</v>
      </c>
      <c r="I1788">
        <v>0</v>
      </c>
      <c r="J1788">
        <v>0</v>
      </c>
      <c r="K1788">
        <v>20</v>
      </c>
      <c r="L1788">
        <v>7</v>
      </c>
      <c r="O1788">
        <v>7</v>
      </c>
      <c r="P1788">
        <v>4</v>
      </c>
      <c r="Q1788">
        <v>0</v>
      </c>
      <c r="R1788">
        <v>51.53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H1788">
        <v>51.53</v>
      </c>
    </row>
    <row r="1789" spans="1:34" x14ac:dyDescent="0.3">
      <c r="A1789" s="4">
        <v>1905</v>
      </c>
      <c r="B1789" s="5">
        <v>1782</v>
      </c>
      <c r="C1789">
        <v>821</v>
      </c>
      <c r="D1789" t="s">
        <v>21418</v>
      </c>
      <c r="E1789" t="s">
        <v>21419</v>
      </c>
      <c r="F1789" t="s">
        <v>91</v>
      </c>
      <c r="G1789" t="s">
        <v>21420</v>
      </c>
      <c r="H1789">
        <v>21.5</v>
      </c>
      <c r="I1789">
        <v>0</v>
      </c>
      <c r="J1789">
        <v>0</v>
      </c>
      <c r="K1789">
        <v>20</v>
      </c>
      <c r="N1789">
        <v>3</v>
      </c>
      <c r="O1789">
        <v>3</v>
      </c>
      <c r="P1789">
        <v>4</v>
      </c>
      <c r="Q1789">
        <v>0</v>
      </c>
      <c r="R1789">
        <v>48.5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3</v>
      </c>
      <c r="AC1789">
        <v>0</v>
      </c>
      <c r="AH1789">
        <v>51.5</v>
      </c>
    </row>
    <row r="1790" spans="1:34" x14ac:dyDescent="0.3">
      <c r="A1790" s="4">
        <v>1906</v>
      </c>
      <c r="B1790" s="5">
        <v>1783</v>
      </c>
      <c r="C1790">
        <v>12650</v>
      </c>
      <c r="D1790" t="s">
        <v>3159</v>
      </c>
      <c r="E1790" t="s">
        <v>560</v>
      </c>
      <c r="F1790" t="s">
        <v>587</v>
      </c>
      <c r="G1790" t="s">
        <v>21421</v>
      </c>
      <c r="H1790">
        <v>21.48</v>
      </c>
      <c r="I1790">
        <v>0</v>
      </c>
      <c r="J1790">
        <v>0</v>
      </c>
      <c r="K1790">
        <v>20</v>
      </c>
      <c r="N1790">
        <v>6</v>
      </c>
      <c r="O1790">
        <v>6</v>
      </c>
      <c r="P1790">
        <v>4</v>
      </c>
      <c r="Q1790">
        <v>0</v>
      </c>
      <c r="R1790">
        <v>51.48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H1790">
        <v>51.48</v>
      </c>
    </row>
    <row r="1791" spans="1:34" x14ac:dyDescent="0.3">
      <c r="A1791" s="4">
        <v>1907</v>
      </c>
      <c r="B1791" s="5">
        <v>1784</v>
      </c>
      <c r="C1791">
        <v>15320</v>
      </c>
      <c r="D1791" t="s">
        <v>3072</v>
      </c>
      <c r="E1791" t="s">
        <v>161</v>
      </c>
      <c r="F1791" t="s">
        <v>81</v>
      </c>
      <c r="G1791" t="s">
        <v>21422</v>
      </c>
      <c r="H1791">
        <v>17.45</v>
      </c>
      <c r="I1791">
        <v>0</v>
      </c>
      <c r="J1791">
        <v>0</v>
      </c>
      <c r="K1791">
        <v>20</v>
      </c>
      <c r="L1791">
        <v>7</v>
      </c>
      <c r="N1791">
        <v>3</v>
      </c>
      <c r="O1791">
        <v>10</v>
      </c>
      <c r="P1791">
        <v>4</v>
      </c>
      <c r="Q1791">
        <v>0</v>
      </c>
      <c r="R1791">
        <v>51.45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H1791">
        <v>51.45</v>
      </c>
    </row>
    <row r="1792" spans="1:34" x14ac:dyDescent="0.3">
      <c r="A1792" s="4">
        <v>1908</v>
      </c>
      <c r="B1792" s="5">
        <v>1785</v>
      </c>
      <c r="C1792">
        <v>9296</v>
      </c>
      <c r="D1792" t="s">
        <v>21423</v>
      </c>
      <c r="E1792" t="s">
        <v>21424</v>
      </c>
      <c r="F1792" t="s">
        <v>238</v>
      </c>
      <c r="G1792" t="s">
        <v>21425</v>
      </c>
      <c r="H1792">
        <v>18.38</v>
      </c>
      <c r="I1792">
        <v>0</v>
      </c>
      <c r="J1792">
        <v>0</v>
      </c>
      <c r="K1792">
        <v>0</v>
      </c>
      <c r="N1792">
        <v>3</v>
      </c>
      <c r="O1792">
        <v>3</v>
      </c>
      <c r="P1792">
        <v>4</v>
      </c>
      <c r="Q1792">
        <v>2</v>
      </c>
      <c r="R1792">
        <v>27.38</v>
      </c>
      <c r="S1792">
        <v>18</v>
      </c>
      <c r="T1792">
        <v>18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18</v>
      </c>
      <c r="AB1792">
        <v>6</v>
      </c>
      <c r="AC1792">
        <v>0</v>
      </c>
      <c r="AH1792">
        <v>51.38</v>
      </c>
    </row>
    <row r="1793" spans="1:34" x14ac:dyDescent="0.3">
      <c r="A1793" s="4">
        <v>1909</v>
      </c>
      <c r="B1793" s="5">
        <v>1786</v>
      </c>
      <c r="C1793">
        <v>12499</v>
      </c>
      <c r="D1793" t="s">
        <v>21426</v>
      </c>
      <c r="E1793" t="s">
        <v>227</v>
      </c>
      <c r="F1793" t="s">
        <v>4176</v>
      </c>
      <c r="G1793" t="s">
        <v>21427</v>
      </c>
      <c r="H1793">
        <v>22.35</v>
      </c>
      <c r="I1793">
        <v>0</v>
      </c>
      <c r="J1793">
        <v>0</v>
      </c>
      <c r="K1793">
        <v>0</v>
      </c>
      <c r="N1793">
        <v>3</v>
      </c>
      <c r="O1793">
        <v>3</v>
      </c>
      <c r="P1793">
        <v>4</v>
      </c>
      <c r="Q1793">
        <v>0</v>
      </c>
      <c r="R1793">
        <v>29.35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22</v>
      </c>
      <c r="AH1793">
        <v>51.35</v>
      </c>
    </row>
    <row r="1794" spans="1:34" x14ac:dyDescent="0.3">
      <c r="A1794" s="4">
        <v>1910</v>
      </c>
      <c r="B1794" s="5">
        <v>1787</v>
      </c>
      <c r="C1794">
        <v>1631</v>
      </c>
      <c r="D1794" t="s">
        <v>16902</v>
      </c>
      <c r="E1794" t="s">
        <v>21428</v>
      </c>
      <c r="F1794" t="s">
        <v>17</v>
      </c>
      <c r="G1794" t="s">
        <v>21429</v>
      </c>
      <c r="H1794">
        <v>18.350000000000001</v>
      </c>
      <c r="I1794">
        <v>0</v>
      </c>
      <c r="J1794">
        <v>0</v>
      </c>
      <c r="K1794">
        <v>20</v>
      </c>
      <c r="N1794">
        <v>3</v>
      </c>
      <c r="O1794">
        <v>3</v>
      </c>
      <c r="P1794">
        <v>4</v>
      </c>
      <c r="Q1794">
        <v>0</v>
      </c>
      <c r="R1794">
        <v>45.35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6</v>
      </c>
      <c r="AC1794">
        <v>0</v>
      </c>
      <c r="AH1794">
        <v>51.35</v>
      </c>
    </row>
    <row r="1795" spans="1:34" x14ac:dyDescent="0.3">
      <c r="A1795" s="4">
        <v>1911</v>
      </c>
      <c r="B1795" s="5">
        <v>1788</v>
      </c>
      <c r="C1795">
        <v>13156</v>
      </c>
      <c r="D1795" t="s">
        <v>4607</v>
      </c>
      <c r="E1795" t="s">
        <v>54</v>
      </c>
      <c r="F1795" t="s">
        <v>6454</v>
      </c>
      <c r="G1795" t="s">
        <v>21430</v>
      </c>
      <c r="H1795">
        <v>21.35</v>
      </c>
      <c r="I1795">
        <v>0</v>
      </c>
      <c r="J1795">
        <v>0</v>
      </c>
      <c r="K1795">
        <v>20</v>
      </c>
      <c r="N1795">
        <v>3</v>
      </c>
      <c r="O1795">
        <v>3</v>
      </c>
      <c r="P1795">
        <v>4</v>
      </c>
      <c r="Q1795">
        <v>0</v>
      </c>
      <c r="R1795">
        <v>48.35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3</v>
      </c>
      <c r="AC1795">
        <v>0</v>
      </c>
      <c r="AH1795">
        <v>51.35</v>
      </c>
    </row>
    <row r="1796" spans="1:34" x14ac:dyDescent="0.3">
      <c r="A1796" s="4">
        <v>1912</v>
      </c>
      <c r="B1796" s="5">
        <v>1789</v>
      </c>
      <c r="C1796">
        <v>12667</v>
      </c>
      <c r="D1796" t="s">
        <v>19673</v>
      </c>
      <c r="E1796" t="s">
        <v>789</v>
      </c>
      <c r="F1796" t="s">
        <v>91</v>
      </c>
      <c r="G1796" t="s">
        <v>21431</v>
      </c>
      <c r="H1796">
        <v>18.350000000000001</v>
      </c>
      <c r="I1796">
        <v>0</v>
      </c>
      <c r="J1796">
        <v>0</v>
      </c>
      <c r="K1796">
        <v>0</v>
      </c>
      <c r="N1796">
        <v>3</v>
      </c>
      <c r="O1796">
        <v>3</v>
      </c>
      <c r="P1796">
        <v>4</v>
      </c>
      <c r="Q1796">
        <v>0</v>
      </c>
      <c r="R1796">
        <v>25.35</v>
      </c>
      <c r="S1796">
        <v>23</v>
      </c>
      <c r="T1796">
        <v>23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23</v>
      </c>
      <c r="AB1796">
        <v>3</v>
      </c>
      <c r="AC1796">
        <v>0</v>
      </c>
      <c r="AH1796">
        <v>51.35</v>
      </c>
    </row>
    <row r="1797" spans="1:34" x14ac:dyDescent="0.3">
      <c r="A1797" s="4">
        <v>1913</v>
      </c>
      <c r="B1797" s="5">
        <v>1790</v>
      </c>
      <c r="C1797">
        <v>2107</v>
      </c>
      <c r="D1797" t="s">
        <v>21432</v>
      </c>
      <c r="E1797" t="s">
        <v>54</v>
      </c>
      <c r="F1797" t="s">
        <v>539</v>
      </c>
      <c r="G1797" t="s">
        <v>21433</v>
      </c>
      <c r="H1797">
        <v>20.350000000000001</v>
      </c>
      <c r="I1797">
        <v>0</v>
      </c>
      <c r="J1797">
        <v>0</v>
      </c>
      <c r="K1797">
        <v>20</v>
      </c>
      <c r="L1797">
        <v>7</v>
      </c>
      <c r="O1797">
        <v>7</v>
      </c>
      <c r="P1797">
        <v>4</v>
      </c>
      <c r="Q1797">
        <v>0</v>
      </c>
      <c r="R1797">
        <v>51.35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H1797">
        <v>51.35</v>
      </c>
    </row>
    <row r="1798" spans="1:34" x14ac:dyDescent="0.3">
      <c r="A1798" s="4">
        <v>1914</v>
      </c>
      <c r="B1798" s="5">
        <v>1791</v>
      </c>
      <c r="C1798">
        <v>10711</v>
      </c>
      <c r="D1798" t="s">
        <v>4279</v>
      </c>
      <c r="E1798" t="s">
        <v>29</v>
      </c>
      <c r="F1798" t="s">
        <v>801</v>
      </c>
      <c r="G1798" t="s">
        <v>21434</v>
      </c>
      <c r="H1798">
        <v>17.329999999999998</v>
      </c>
      <c r="I1798">
        <v>0</v>
      </c>
      <c r="J1798">
        <v>0</v>
      </c>
      <c r="K1798">
        <v>20</v>
      </c>
      <c r="L1798">
        <v>7</v>
      </c>
      <c r="O1798">
        <v>7</v>
      </c>
      <c r="P1798">
        <v>4</v>
      </c>
      <c r="Q1798">
        <v>0</v>
      </c>
      <c r="R1798">
        <v>48.33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3</v>
      </c>
      <c r="AC1798">
        <v>0</v>
      </c>
      <c r="AH1798">
        <v>51.33</v>
      </c>
    </row>
    <row r="1799" spans="1:34" x14ac:dyDescent="0.3">
      <c r="A1799" s="4">
        <v>1915</v>
      </c>
      <c r="B1799" s="5">
        <v>1792</v>
      </c>
      <c r="C1799">
        <v>2309</v>
      </c>
      <c r="D1799" t="s">
        <v>6545</v>
      </c>
      <c r="E1799" t="s">
        <v>21435</v>
      </c>
      <c r="F1799" t="s">
        <v>20</v>
      </c>
      <c r="G1799" t="s">
        <v>21436</v>
      </c>
      <c r="H1799">
        <v>17.329999999999998</v>
      </c>
      <c r="I1799">
        <v>0</v>
      </c>
      <c r="J1799">
        <v>0</v>
      </c>
      <c r="K1799">
        <v>20</v>
      </c>
      <c r="L1799">
        <v>7</v>
      </c>
      <c r="N1799">
        <v>3</v>
      </c>
      <c r="O1799">
        <v>10</v>
      </c>
      <c r="P1799">
        <v>4</v>
      </c>
      <c r="Q1799">
        <v>0</v>
      </c>
      <c r="R1799">
        <v>51.33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H1799">
        <v>51.33</v>
      </c>
    </row>
    <row r="1800" spans="1:34" x14ac:dyDescent="0.3">
      <c r="A1800" s="4">
        <v>1916</v>
      </c>
      <c r="B1800" s="5">
        <v>1793</v>
      </c>
      <c r="C1800">
        <v>47</v>
      </c>
      <c r="D1800" t="s">
        <v>21437</v>
      </c>
      <c r="E1800" t="s">
        <v>21438</v>
      </c>
      <c r="F1800" t="s">
        <v>91</v>
      </c>
      <c r="G1800" t="s">
        <v>21439</v>
      </c>
      <c r="H1800">
        <v>20.3</v>
      </c>
      <c r="I1800">
        <v>0</v>
      </c>
      <c r="J1800">
        <v>0</v>
      </c>
      <c r="K1800">
        <v>20</v>
      </c>
      <c r="L1800">
        <v>7</v>
      </c>
      <c r="O1800">
        <v>7</v>
      </c>
      <c r="P1800">
        <v>4</v>
      </c>
      <c r="Q1800">
        <v>0</v>
      </c>
      <c r="R1800">
        <v>51.3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 t="s">
        <v>130</v>
      </c>
      <c r="AH1800">
        <v>51.3</v>
      </c>
    </row>
    <row r="1801" spans="1:34" x14ac:dyDescent="0.3">
      <c r="A1801" s="4">
        <v>1917</v>
      </c>
      <c r="B1801" s="5">
        <v>1794</v>
      </c>
      <c r="C1801">
        <v>10195</v>
      </c>
      <c r="D1801" t="s">
        <v>1317</v>
      </c>
      <c r="E1801" t="s">
        <v>29</v>
      </c>
      <c r="F1801" t="s">
        <v>81</v>
      </c>
      <c r="G1801" t="s">
        <v>21440</v>
      </c>
      <c r="H1801">
        <v>20.3</v>
      </c>
      <c r="I1801">
        <v>0</v>
      </c>
      <c r="J1801">
        <v>0</v>
      </c>
      <c r="K1801">
        <v>20</v>
      </c>
      <c r="L1801">
        <v>7</v>
      </c>
      <c r="O1801">
        <v>7</v>
      </c>
      <c r="P1801">
        <v>4</v>
      </c>
      <c r="Q1801">
        <v>0</v>
      </c>
      <c r="R1801">
        <v>51.3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H1801">
        <v>51.3</v>
      </c>
    </row>
    <row r="1802" spans="1:34" x14ac:dyDescent="0.3">
      <c r="A1802" s="4">
        <v>1918</v>
      </c>
      <c r="B1802" s="5">
        <v>1795</v>
      </c>
      <c r="C1802">
        <v>15657</v>
      </c>
      <c r="D1802" t="s">
        <v>21441</v>
      </c>
      <c r="E1802" t="s">
        <v>34</v>
      </c>
      <c r="F1802" t="s">
        <v>1265</v>
      </c>
      <c r="G1802" t="s">
        <v>21442</v>
      </c>
      <c r="H1802">
        <v>17.48</v>
      </c>
      <c r="I1802">
        <v>0</v>
      </c>
      <c r="J1802">
        <v>0</v>
      </c>
      <c r="K1802">
        <v>0</v>
      </c>
      <c r="L1802">
        <v>7</v>
      </c>
      <c r="O1802">
        <v>7</v>
      </c>
      <c r="P1802">
        <v>0</v>
      </c>
      <c r="Q1802">
        <v>0</v>
      </c>
      <c r="R1802">
        <v>24.48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26.8</v>
      </c>
      <c r="AH1802">
        <v>51.28</v>
      </c>
    </row>
    <row r="1803" spans="1:34" x14ac:dyDescent="0.3">
      <c r="A1803" s="4">
        <v>1919</v>
      </c>
      <c r="B1803" s="5">
        <v>1796</v>
      </c>
      <c r="C1803">
        <v>74</v>
      </c>
      <c r="D1803" t="s">
        <v>21443</v>
      </c>
      <c r="E1803" t="s">
        <v>1997</v>
      </c>
      <c r="F1803" t="s">
        <v>38</v>
      </c>
      <c r="G1803" t="s">
        <v>21444</v>
      </c>
      <c r="H1803">
        <v>18.28</v>
      </c>
      <c r="I1803">
        <v>0</v>
      </c>
      <c r="J1803">
        <v>0</v>
      </c>
      <c r="K1803">
        <v>20</v>
      </c>
      <c r="L1803">
        <v>7</v>
      </c>
      <c r="O1803">
        <v>7</v>
      </c>
      <c r="P1803">
        <v>4</v>
      </c>
      <c r="Q1803">
        <v>2</v>
      </c>
      <c r="R1803">
        <v>51.28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H1803">
        <v>51.28</v>
      </c>
    </row>
    <row r="1804" spans="1:34" x14ac:dyDescent="0.3">
      <c r="A1804" s="4">
        <v>1920</v>
      </c>
      <c r="B1804" s="5">
        <v>1797</v>
      </c>
      <c r="C1804">
        <v>11561</v>
      </c>
      <c r="D1804" t="s">
        <v>7029</v>
      </c>
      <c r="E1804" t="s">
        <v>442</v>
      </c>
      <c r="F1804" t="s">
        <v>1526</v>
      </c>
      <c r="G1804" t="s">
        <v>21445</v>
      </c>
      <c r="H1804">
        <v>18.25</v>
      </c>
      <c r="I1804">
        <v>0</v>
      </c>
      <c r="J1804">
        <v>0</v>
      </c>
      <c r="K1804">
        <v>20</v>
      </c>
      <c r="N1804">
        <v>3</v>
      </c>
      <c r="O1804">
        <v>3</v>
      </c>
      <c r="P1804">
        <v>4</v>
      </c>
      <c r="Q1804">
        <v>0</v>
      </c>
      <c r="R1804">
        <v>45.25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6</v>
      </c>
      <c r="AC1804">
        <v>0</v>
      </c>
      <c r="AH1804">
        <v>51.25</v>
      </c>
    </row>
    <row r="1805" spans="1:34" x14ac:dyDescent="0.3">
      <c r="A1805" s="4">
        <v>1921</v>
      </c>
      <c r="B1805" s="5">
        <v>1798</v>
      </c>
      <c r="C1805">
        <v>14201</v>
      </c>
      <c r="D1805" t="s">
        <v>20210</v>
      </c>
      <c r="E1805" t="s">
        <v>5850</v>
      </c>
      <c r="F1805" t="s">
        <v>81</v>
      </c>
      <c r="G1805" t="s">
        <v>21446</v>
      </c>
      <c r="H1805">
        <v>21.25</v>
      </c>
      <c r="I1805">
        <v>0</v>
      </c>
      <c r="J1805">
        <v>0</v>
      </c>
      <c r="K1805">
        <v>20</v>
      </c>
      <c r="N1805">
        <v>6</v>
      </c>
      <c r="O1805">
        <v>6</v>
      </c>
      <c r="P1805">
        <v>4</v>
      </c>
      <c r="Q1805">
        <v>0</v>
      </c>
      <c r="R1805">
        <v>51.25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H1805">
        <v>51.25</v>
      </c>
    </row>
    <row r="1806" spans="1:34" x14ac:dyDescent="0.3">
      <c r="A1806" s="4">
        <v>1922</v>
      </c>
      <c r="B1806" s="5">
        <v>1799</v>
      </c>
      <c r="C1806">
        <v>9748</v>
      </c>
      <c r="D1806" t="s">
        <v>21447</v>
      </c>
      <c r="E1806" t="s">
        <v>26</v>
      </c>
      <c r="F1806" t="s">
        <v>136</v>
      </c>
      <c r="G1806" t="s">
        <v>21448</v>
      </c>
      <c r="H1806">
        <v>20.23</v>
      </c>
      <c r="I1806">
        <v>0</v>
      </c>
      <c r="J1806">
        <v>0</v>
      </c>
      <c r="K1806">
        <v>20</v>
      </c>
      <c r="L1806">
        <v>7</v>
      </c>
      <c r="O1806">
        <v>7</v>
      </c>
      <c r="P1806">
        <v>4</v>
      </c>
      <c r="Q1806">
        <v>0</v>
      </c>
      <c r="R1806">
        <v>51.23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H1806">
        <v>51.23</v>
      </c>
    </row>
    <row r="1807" spans="1:34" x14ac:dyDescent="0.3">
      <c r="A1807" s="4">
        <v>1923</v>
      </c>
      <c r="B1807" s="5">
        <v>1800</v>
      </c>
      <c r="C1807">
        <v>288</v>
      </c>
      <c r="D1807" t="s">
        <v>2735</v>
      </c>
      <c r="E1807" t="s">
        <v>26</v>
      </c>
      <c r="F1807" t="s">
        <v>62</v>
      </c>
      <c r="G1807" t="s">
        <v>21449</v>
      </c>
      <c r="H1807">
        <v>20.23</v>
      </c>
      <c r="I1807">
        <v>0</v>
      </c>
      <c r="J1807">
        <v>0</v>
      </c>
      <c r="K1807">
        <v>20</v>
      </c>
      <c r="L1807">
        <v>7</v>
      </c>
      <c r="O1807">
        <v>7</v>
      </c>
      <c r="P1807">
        <v>4</v>
      </c>
      <c r="Q1807">
        <v>0</v>
      </c>
      <c r="R1807">
        <v>51.23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H1807">
        <v>51.23</v>
      </c>
    </row>
    <row r="1808" spans="1:34" x14ac:dyDescent="0.3">
      <c r="A1808" s="4">
        <v>1924</v>
      </c>
      <c r="B1808" s="5">
        <v>1801</v>
      </c>
      <c r="C1808">
        <v>9464</v>
      </c>
      <c r="D1808" t="s">
        <v>11021</v>
      </c>
      <c r="E1808" t="s">
        <v>738</v>
      </c>
      <c r="F1808" t="s">
        <v>81</v>
      </c>
      <c r="G1808" t="s">
        <v>21450</v>
      </c>
      <c r="H1808">
        <v>18.23</v>
      </c>
      <c r="I1808">
        <v>0</v>
      </c>
      <c r="J1808">
        <v>0</v>
      </c>
      <c r="K1808">
        <v>0</v>
      </c>
      <c r="L1808">
        <v>7</v>
      </c>
      <c r="O1808">
        <v>7</v>
      </c>
      <c r="P1808">
        <v>4</v>
      </c>
      <c r="Q1808">
        <v>2</v>
      </c>
      <c r="R1808">
        <v>31.23</v>
      </c>
      <c r="S1808">
        <v>20</v>
      </c>
      <c r="T1808">
        <v>20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20</v>
      </c>
      <c r="AB1808">
        <v>0</v>
      </c>
      <c r="AC1808">
        <v>0</v>
      </c>
      <c r="AH1808">
        <v>51.23</v>
      </c>
    </row>
    <row r="1809" spans="1:34" x14ac:dyDescent="0.3">
      <c r="A1809" s="4">
        <v>1925</v>
      </c>
      <c r="B1809" s="5">
        <v>1802</v>
      </c>
      <c r="C1809">
        <v>13516</v>
      </c>
      <c r="D1809" t="s">
        <v>1192</v>
      </c>
      <c r="E1809" t="s">
        <v>188</v>
      </c>
      <c r="F1809" t="s">
        <v>570</v>
      </c>
      <c r="G1809" t="s">
        <v>21451</v>
      </c>
      <c r="H1809">
        <v>21.2</v>
      </c>
      <c r="I1809">
        <v>0</v>
      </c>
      <c r="J1809">
        <v>0</v>
      </c>
      <c r="K1809">
        <v>20</v>
      </c>
      <c r="N1809">
        <v>6</v>
      </c>
      <c r="O1809">
        <v>6</v>
      </c>
      <c r="P1809">
        <v>4</v>
      </c>
      <c r="Q1809">
        <v>0</v>
      </c>
      <c r="R1809">
        <v>51.2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H1809">
        <v>51.2</v>
      </c>
    </row>
    <row r="1810" spans="1:34" x14ac:dyDescent="0.3">
      <c r="A1810" s="4">
        <v>1926</v>
      </c>
      <c r="B1810" s="5">
        <v>1803</v>
      </c>
      <c r="C1810">
        <v>8171</v>
      </c>
      <c r="D1810" t="s">
        <v>21452</v>
      </c>
      <c r="E1810" t="s">
        <v>2234</v>
      </c>
      <c r="F1810" t="s">
        <v>375</v>
      </c>
      <c r="G1810" t="s">
        <v>21453</v>
      </c>
      <c r="H1810">
        <v>19.149999999999999</v>
      </c>
      <c r="I1810">
        <v>0</v>
      </c>
      <c r="J1810">
        <v>0</v>
      </c>
      <c r="K1810">
        <v>0</v>
      </c>
      <c r="O1810">
        <v>0</v>
      </c>
      <c r="P1810">
        <v>4</v>
      </c>
      <c r="Q1810">
        <v>2</v>
      </c>
      <c r="R1810">
        <v>25.15</v>
      </c>
      <c r="S1810">
        <v>26</v>
      </c>
      <c r="T1810">
        <v>26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26</v>
      </c>
      <c r="AB1810">
        <v>0</v>
      </c>
      <c r="AC1810">
        <v>0</v>
      </c>
      <c r="AH1810">
        <v>51.15</v>
      </c>
    </row>
    <row r="1811" spans="1:34" x14ac:dyDescent="0.3">
      <c r="A1811" s="4">
        <v>1927</v>
      </c>
      <c r="B1811" s="5">
        <v>1804</v>
      </c>
      <c r="C1811">
        <v>6504</v>
      </c>
      <c r="D1811" t="s">
        <v>267</v>
      </c>
      <c r="E1811" t="s">
        <v>161</v>
      </c>
      <c r="F1811" t="s">
        <v>1854</v>
      </c>
      <c r="G1811" t="s">
        <v>21454</v>
      </c>
      <c r="H1811">
        <v>18.329999999999998</v>
      </c>
      <c r="I1811">
        <v>0</v>
      </c>
      <c r="J1811">
        <v>0</v>
      </c>
      <c r="K1811">
        <v>0</v>
      </c>
      <c r="O1811">
        <v>0</v>
      </c>
      <c r="P1811">
        <v>0</v>
      </c>
      <c r="Q1811">
        <v>0</v>
      </c>
      <c r="R1811">
        <v>18.329999999999998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6</v>
      </c>
      <c r="AC1811">
        <v>26.8</v>
      </c>
      <c r="AH1811">
        <v>51.13</v>
      </c>
    </row>
    <row r="1812" spans="1:34" x14ac:dyDescent="0.3">
      <c r="A1812" s="4">
        <v>1928</v>
      </c>
      <c r="B1812" s="5">
        <v>1805</v>
      </c>
      <c r="C1812">
        <v>4398</v>
      </c>
      <c r="D1812" t="s">
        <v>21455</v>
      </c>
      <c r="E1812" t="s">
        <v>6835</v>
      </c>
      <c r="F1812" t="s">
        <v>20</v>
      </c>
      <c r="G1812" t="s">
        <v>21456</v>
      </c>
      <c r="H1812">
        <v>24.13</v>
      </c>
      <c r="I1812">
        <v>0</v>
      </c>
      <c r="J1812">
        <v>0</v>
      </c>
      <c r="K1812">
        <v>20</v>
      </c>
      <c r="N1812">
        <v>3</v>
      </c>
      <c r="O1812">
        <v>3</v>
      </c>
      <c r="P1812">
        <v>4</v>
      </c>
      <c r="Q1812">
        <v>0</v>
      </c>
      <c r="R1812">
        <v>51.13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H1812">
        <v>51.13</v>
      </c>
    </row>
    <row r="1813" spans="1:34" x14ac:dyDescent="0.3">
      <c r="A1813" s="4">
        <v>1929</v>
      </c>
      <c r="B1813" s="5">
        <v>1806</v>
      </c>
      <c r="C1813">
        <v>571</v>
      </c>
      <c r="D1813" t="s">
        <v>907</v>
      </c>
      <c r="E1813" t="s">
        <v>178</v>
      </c>
      <c r="F1813" t="s">
        <v>62</v>
      </c>
      <c r="G1813" t="s">
        <v>21457</v>
      </c>
      <c r="H1813">
        <v>18.100000000000001</v>
      </c>
      <c r="I1813">
        <v>0</v>
      </c>
      <c r="J1813">
        <v>0</v>
      </c>
      <c r="K1813">
        <v>0</v>
      </c>
      <c r="N1813">
        <v>3</v>
      </c>
      <c r="O1813">
        <v>3</v>
      </c>
      <c r="P1813">
        <v>4</v>
      </c>
      <c r="Q1813">
        <v>2</v>
      </c>
      <c r="R1813">
        <v>27.1</v>
      </c>
      <c r="S1813">
        <v>18</v>
      </c>
      <c r="T1813">
        <v>18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18</v>
      </c>
      <c r="AB1813">
        <v>6</v>
      </c>
      <c r="AC1813">
        <v>0</v>
      </c>
      <c r="AH1813">
        <v>51.1</v>
      </c>
    </row>
    <row r="1814" spans="1:34" x14ac:dyDescent="0.3">
      <c r="A1814" s="4">
        <v>1930</v>
      </c>
      <c r="B1814" s="5">
        <v>1807</v>
      </c>
      <c r="C1814">
        <v>10360</v>
      </c>
      <c r="D1814" t="s">
        <v>2609</v>
      </c>
      <c r="E1814" t="s">
        <v>54</v>
      </c>
      <c r="F1814" t="s">
        <v>626</v>
      </c>
      <c r="G1814" t="s">
        <v>21458</v>
      </c>
      <c r="H1814">
        <v>20.079999999999998</v>
      </c>
      <c r="I1814">
        <v>0</v>
      </c>
      <c r="J1814">
        <v>0</v>
      </c>
      <c r="K1814">
        <v>20</v>
      </c>
      <c r="L1814">
        <v>7</v>
      </c>
      <c r="O1814">
        <v>7</v>
      </c>
      <c r="P1814">
        <v>4</v>
      </c>
      <c r="Q1814">
        <v>0</v>
      </c>
      <c r="R1814">
        <v>51.08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H1814">
        <v>51.08</v>
      </c>
    </row>
    <row r="1815" spans="1:34" x14ac:dyDescent="0.3">
      <c r="A1815" s="4">
        <v>1931</v>
      </c>
      <c r="B1815" s="5">
        <v>1808</v>
      </c>
      <c r="C1815">
        <v>5577</v>
      </c>
      <c r="D1815" t="s">
        <v>1095</v>
      </c>
      <c r="E1815" t="s">
        <v>825</v>
      </c>
      <c r="F1815" t="s">
        <v>68</v>
      </c>
      <c r="G1815" t="s">
        <v>21459</v>
      </c>
      <c r="H1815">
        <v>20.079999999999998</v>
      </c>
      <c r="I1815">
        <v>0</v>
      </c>
      <c r="J1815">
        <v>0</v>
      </c>
      <c r="K1815">
        <v>0</v>
      </c>
      <c r="L1815">
        <v>7</v>
      </c>
      <c r="O1815">
        <v>7</v>
      </c>
      <c r="P1815">
        <v>4</v>
      </c>
      <c r="Q1815">
        <v>2</v>
      </c>
      <c r="R1815">
        <v>33.08</v>
      </c>
      <c r="S1815">
        <v>18</v>
      </c>
      <c r="T1815">
        <v>18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18</v>
      </c>
      <c r="AB1815">
        <v>0</v>
      </c>
      <c r="AC1815">
        <v>0</v>
      </c>
      <c r="AH1815">
        <v>51.08</v>
      </c>
    </row>
    <row r="1816" spans="1:34" x14ac:dyDescent="0.3">
      <c r="A1816" s="4">
        <v>1932</v>
      </c>
      <c r="B1816" s="5">
        <v>1809</v>
      </c>
      <c r="C1816">
        <v>2142</v>
      </c>
      <c r="D1816" t="s">
        <v>1791</v>
      </c>
      <c r="E1816" t="s">
        <v>54</v>
      </c>
      <c r="F1816" t="s">
        <v>466</v>
      </c>
      <c r="G1816" t="s">
        <v>21460</v>
      </c>
      <c r="H1816">
        <v>18</v>
      </c>
      <c r="I1816">
        <v>0</v>
      </c>
      <c r="J1816">
        <v>0</v>
      </c>
      <c r="K1816">
        <v>20</v>
      </c>
      <c r="N1816">
        <v>3</v>
      </c>
      <c r="O1816">
        <v>3</v>
      </c>
      <c r="P1816">
        <v>4</v>
      </c>
      <c r="Q1816">
        <v>0</v>
      </c>
      <c r="R1816">
        <v>45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6</v>
      </c>
      <c r="AC1816">
        <v>0</v>
      </c>
      <c r="AH1816">
        <v>51</v>
      </c>
    </row>
    <row r="1817" spans="1:34" x14ac:dyDescent="0.3">
      <c r="A1817" s="4">
        <v>1933</v>
      </c>
      <c r="B1817" s="5">
        <v>1810</v>
      </c>
      <c r="C1817">
        <v>5231</v>
      </c>
      <c r="D1817" t="s">
        <v>5342</v>
      </c>
      <c r="E1817" t="s">
        <v>258</v>
      </c>
      <c r="F1817" t="s">
        <v>158</v>
      </c>
      <c r="G1817" t="s">
        <v>21461</v>
      </c>
      <c r="H1817">
        <v>18</v>
      </c>
      <c r="I1817">
        <v>0</v>
      </c>
      <c r="J1817">
        <v>0</v>
      </c>
      <c r="K1817">
        <v>0</v>
      </c>
      <c r="N1817">
        <v>3</v>
      </c>
      <c r="O1817">
        <v>3</v>
      </c>
      <c r="P1817">
        <v>4</v>
      </c>
      <c r="Q1817">
        <v>2</v>
      </c>
      <c r="R1817">
        <v>27</v>
      </c>
      <c r="S1817">
        <v>18</v>
      </c>
      <c r="T1817">
        <v>18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18</v>
      </c>
      <c r="AB1817">
        <v>6</v>
      </c>
      <c r="AC1817">
        <v>0</v>
      </c>
      <c r="AD1817" t="s">
        <v>130</v>
      </c>
      <c r="AH1817">
        <v>51</v>
      </c>
    </row>
    <row r="1818" spans="1:34" x14ac:dyDescent="0.3">
      <c r="A1818" s="4">
        <v>1934</v>
      </c>
      <c r="B1818" s="5">
        <v>1811</v>
      </c>
      <c r="C1818">
        <v>11774</v>
      </c>
      <c r="D1818" t="s">
        <v>21462</v>
      </c>
      <c r="E1818" t="s">
        <v>789</v>
      </c>
      <c r="F1818" t="s">
        <v>343</v>
      </c>
      <c r="G1818" t="s">
        <v>21463</v>
      </c>
      <c r="H1818">
        <v>17.98</v>
      </c>
      <c r="I1818">
        <v>0</v>
      </c>
      <c r="J1818">
        <v>0</v>
      </c>
      <c r="K1818">
        <v>20</v>
      </c>
      <c r="N1818">
        <v>3</v>
      </c>
      <c r="O1818">
        <v>3</v>
      </c>
      <c r="P1818">
        <v>4</v>
      </c>
      <c r="Q1818">
        <v>0</v>
      </c>
      <c r="R1818">
        <v>44.98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6</v>
      </c>
      <c r="AC1818">
        <v>0</v>
      </c>
      <c r="AH1818">
        <v>50.98</v>
      </c>
    </row>
    <row r="1819" spans="1:34" x14ac:dyDescent="0.3">
      <c r="A1819" s="4">
        <v>1935</v>
      </c>
      <c r="B1819" s="5">
        <v>1812</v>
      </c>
      <c r="C1819">
        <v>11583</v>
      </c>
      <c r="D1819" t="s">
        <v>3390</v>
      </c>
      <c r="E1819" t="s">
        <v>88</v>
      </c>
      <c r="F1819" t="s">
        <v>243</v>
      </c>
      <c r="G1819" t="s">
        <v>21464</v>
      </c>
      <c r="H1819">
        <v>18.98</v>
      </c>
      <c r="I1819">
        <v>0</v>
      </c>
      <c r="J1819">
        <v>0</v>
      </c>
      <c r="K1819">
        <v>20</v>
      </c>
      <c r="N1819">
        <v>3</v>
      </c>
      <c r="O1819">
        <v>3</v>
      </c>
      <c r="P1819">
        <v>4</v>
      </c>
      <c r="Q1819">
        <v>2</v>
      </c>
      <c r="R1819">
        <v>47.98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3</v>
      </c>
      <c r="AC1819">
        <v>0</v>
      </c>
      <c r="AH1819">
        <v>50.98</v>
      </c>
    </row>
    <row r="1820" spans="1:34" x14ac:dyDescent="0.3">
      <c r="A1820" s="4">
        <v>1936</v>
      </c>
      <c r="B1820" s="5">
        <v>1813</v>
      </c>
      <c r="C1820">
        <v>9840</v>
      </c>
      <c r="D1820" t="s">
        <v>2899</v>
      </c>
      <c r="E1820" t="s">
        <v>54</v>
      </c>
      <c r="F1820" t="s">
        <v>21465</v>
      </c>
      <c r="G1820" t="s">
        <v>21466</v>
      </c>
      <c r="H1820">
        <v>20.98</v>
      </c>
      <c r="I1820">
        <v>0</v>
      </c>
      <c r="J1820">
        <v>0</v>
      </c>
      <c r="K1820">
        <v>0</v>
      </c>
      <c r="N1820">
        <v>3</v>
      </c>
      <c r="O1820">
        <v>3</v>
      </c>
      <c r="P1820">
        <v>0</v>
      </c>
      <c r="Q1820">
        <v>0</v>
      </c>
      <c r="R1820">
        <v>23.98</v>
      </c>
      <c r="S1820">
        <v>27</v>
      </c>
      <c r="T1820">
        <v>27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27</v>
      </c>
      <c r="AB1820">
        <v>0</v>
      </c>
      <c r="AC1820">
        <v>0</v>
      </c>
      <c r="AD1820" t="s">
        <v>130</v>
      </c>
      <c r="AH1820">
        <v>50.98</v>
      </c>
    </row>
    <row r="1821" spans="1:34" x14ac:dyDescent="0.3">
      <c r="A1821" s="4">
        <v>1937</v>
      </c>
      <c r="B1821" s="5">
        <v>1814</v>
      </c>
      <c r="C1821">
        <v>11586</v>
      </c>
      <c r="D1821" t="s">
        <v>21467</v>
      </c>
      <c r="E1821" t="s">
        <v>560</v>
      </c>
      <c r="F1821" t="s">
        <v>17</v>
      </c>
      <c r="G1821" t="s">
        <v>21468</v>
      </c>
      <c r="H1821">
        <v>20.93</v>
      </c>
      <c r="I1821">
        <v>0</v>
      </c>
      <c r="J1821">
        <v>0</v>
      </c>
      <c r="K1821">
        <v>20</v>
      </c>
      <c r="O1821">
        <v>0</v>
      </c>
      <c r="P1821">
        <v>4</v>
      </c>
      <c r="Q1821">
        <v>0</v>
      </c>
      <c r="R1821">
        <v>44.93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6</v>
      </c>
      <c r="AC1821">
        <v>0</v>
      </c>
      <c r="AH1821">
        <v>50.93</v>
      </c>
    </row>
    <row r="1822" spans="1:34" x14ac:dyDescent="0.3">
      <c r="A1822" s="4">
        <v>1938</v>
      </c>
      <c r="B1822" s="5">
        <v>1815</v>
      </c>
      <c r="C1822">
        <v>13274</v>
      </c>
      <c r="D1822" t="s">
        <v>2066</v>
      </c>
      <c r="E1822" t="s">
        <v>471</v>
      </c>
      <c r="F1822" t="s">
        <v>34</v>
      </c>
      <c r="G1822" t="s">
        <v>21469</v>
      </c>
      <c r="H1822">
        <v>18.93</v>
      </c>
      <c r="I1822">
        <v>0</v>
      </c>
      <c r="J1822">
        <v>0</v>
      </c>
      <c r="K1822">
        <v>28</v>
      </c>
      <c r="O1822">
        <v>0</v>
      </c>
      <c r="P1822">
        <v>4</v>
      </c>
      <c r="Q1822">
        <v>0</v>
      </c>
      <c r="R1822">
        <v>50.93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H1822">
        <v>50.93</v>
      </c>
    </row>
    <row r="1823" spans="1:34" x14ac:dyDescent="0.3">
      <c r="A1823" s="4">
        <v>1939</v>
      </c>
      <c r="B1823" s="5">
        <v>1816</v>
      </c>
      <c r="C1823">
        <v>6544</v>
      </c>
      <c r="D1823" t="s">
        <v>8489</v>
      </c>
      <c r="E1823" t="s">
        <v>238</v>
      </c>
      <c r="F1823" t="s">
        <v>343</v>
      </c>
      <c r="G1823" t="s">
        <v>21470</v>
      </c>
      <c r="H1823">
        <v>18.899999999999999</v>
      </c>
      <c r="I1823">
        <v>0</v>
      </c>
      <c r="J1823">
        <v>0</v>
      </c>
      <c r="K1823">
        <v>20</v>
      </c>
      <c r="M1823">
        <v>5</v>
      </c>
      <c r="O1823">
        <v>5</v>
      </c>
      <c r="P1823">
        <v>4</v>
      </c>
      <c r="Q1823">
        <v>0</v>
      </c>
      <c r="R1823">
        <v>47.9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3</v>
      </c>
      <c r="AC1823">
        <v>0</v>
      </c>
      <c r="AH1823">
        <v>50.9</v>
      </c>
    </row>
    <row r="1824" spans="1:34" x14ac:dyDescent="0.3">
      <c r="A1824" s="4">
        <v>1940</v>
      </c>
      <c r="B1824" s="5">
        <v>1817</v>
      </c>
      <c r="C1824">
        <v>2435</v>
      </c>
      <c r="D1824" t="s">
        <v>21471</v>
      </c>
      <c r="E1824" t="s">
        <v>117</v>
      </c>
      <c r="F1824" t="s">
        <v>81</v>
      </c>
      <c r="G1824" t="s">
        <v>21472</v>
      </c>
      <c r="H1824">
        <v>19.899999999999999</v>
      </c>
      <c r="I1824">
        <v>0</v>
      </c>
      <c r="J1824">
        <v>0</v>
      </c>
      <c r="K1824">
        <v>0</v>
      </c>
      <c r="L1824">
        <v>7</v>
      </c>
      <c r="O1824">
        <v>7</v>
      </c>
      <c r="P1824">
        <v>4</v>
      </c>
      <c r="Q1824">
        <v>2</v>
      </c>
      <c r="R1824">
        <v>32.9</v>
      </c>
      <c r="S1824">
        <v>18</v>
      </c>
      <c r="T1824">
        <v>18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18</v>
      </c>
      <c r="AB1824">
        <v>0</v>
      </c>
      <c r="AC1824">
        <v>0</v>
      </c>
      <c r="AH1824">
        <v>50.9</v>
      </c>
    </row>
    <row r="1825" spans="1:34" x14ac:dyDescent="0.3">
      <c r="A1825" s="4">
        <v>1941</v>
      </c>
      <c r="B1825" s="5">
        <v>1818</v>
      </c>
      <c r="C1825">
        <v>7600</v>
      </c>
      <c r="D1825" t="s">
        <v>165</v>
      </c>
      <c r="E1825" t="s">
        <v>29</v>
      </c>
      <c r="F1825" t="s">
        <v>20</v>
      </c>
      <c r="G1825" t="s">
        <v>21473</v>
      </c>
      <c r="H1825">
        <v>20.85</v>
      </c>
      <c r="I1825">
        <v>0</v>
      </c>
      <c r="J1825">
        <v>0</v>
      </c>
      <c r="K1825">
        <v>20</v>
      </c>
      <c r="N1825">
        <v>3</v>
      </c>
      <c r="O1825">
        <v>3</v>
      </c>
      <c r="P1825">
        <v>4</v>
      </c>
      <c r="Q1825">
        <v>0</v>
      </c>
      <c r="R1825">
        <v>47.85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3</v>
      </c>
      <c r="AC1825">
        <v>0</v>
      </c>
      <c r="AH1825">
        <v>50.85</v>
      </c>
    </row>
    <row r="1826" spans="1:34" x14ac:dyDescent="0.3">
      <c r="A1826" s="4">
        <v>1942</v>
      </c>
      <c r="B1826" s="5">
        <v>1819</v>
      </c>
      <c r="C1826">
        <v>8350</v>
      </c>
      <c r="D1826" t="s">
        <v>9666</v>
      </c>
      <c r="E1826" t="s">
        <v>33</v>
      </c>
      <c r="F1826" t="s">
        <v>252</v>
      </c>
      <c r="G1826" t="s">
        <v>21474</v>
      </c>
      <c r="H1826">
        <v>17.829999999999998</v>
      </c>
      <c r="I1826">
        <v>0</v>
      </c>
      <c r="J1826">
        <v>0</v>
      </c>
      <c r="K1826">
        <v>20</v>
      </c>
      <c r="L1826">
        <v>7</v>
      </c>
      <c r="O1826">
        <v>7</v>
      </c>
      <c r="P1826">
        <v>4</v>
      </c>
      <c r="Q1826">
        <v>2</v>
      </c>
      <c r="R1826">
        <v>50.83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H1826">
        <v>50.83</v>
      </c>
    </row>
    <row r="1827" spans="1:34" x14ac:dyDescent="0.3">
      <c r="A1827" s="4">
        <v>1943</v>
      </c>
      <c r="B1827" s="5">
        <v>1820</v>
      </c>
      <c r="C1827">
        <v>5845</v>
      </c>
      <c r="D1827" t="s">
        <v>21475</v>
      </c>
      <c r="E1827" t="s">
        <v>21476</v>
      </c>
      <c r="F1827" t="s">
        <v>68</v>
      </c>
      <c r="G1827" t="s">
        <v>21477</v>
      </c>
      <c r="H1827">
        <v>19.75</v>
      </c>
      <c r="I1827">
        <v>0</v>
      </c>
      <c r="J1827">
        <v>0</v>
      </c>
      <c r="K1827">
        <v>20</v>
      </c>
      <c r="L1827">
        <v>7</v>
      </c>
      <c r="O1827">
        <v>7</v>
      </c>
      <c r="P1827">
        <v>4</v>
      </c>
      <c r="Q1827">
        <v>0</v>
      </c>
      <c r="R1827">
        <v>50.75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H1827">
        <v>50.75</v>
      </c>
    </row>
    <row r="1828" spans="1:34" x14ac:dyDescent="0.3">
      <c r="A1828" s="4">
        <v>1944</v>
      </c>
      <c r="B1828" s="5">
        <v>1821</v>
      </c>
      <c r="C1828">
        <v>15472</v>
      </c>
      <c r="D1828" t="s">
        <v>21478</v>
      </c>
      <c r="E1828" t="s">
        <v>892</v>
      </c>
      <c r="F1828" t="s">
        <v>343</v>
      </c>
      <c r="G1828" t="s">
        <v>21479</v>
      </c>
      <c r="H1828">
        <v>18.75</v>
      </c>
      <c r="I1828">
        <v>0</v>
      </c>
      <c r="J1828">
        <v>0</v>
      </c>
      <c r="K1828">
        <v>20</v>
      </c>
      <c r="M1828">
        <v>5</v>
      </c>
      <c r="N1828">
        <v>3</v>
      </c>
      <c r="O1828">
        <v>8</v>
      </c>
      <c r="P1828">
        <v>4</v>
      </c>
      <c r="Q1828">
        <v>0</v>
      </c>
      <c r="R1828">
        <v>50.75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H1828">
        <v>50.75</v>
      </c>
    </row>
    <row r="1829" spans="1:34" x14ac:dyDescent="0.3">
      <c r="A1829" s="4">
        <v>1945</v>
      </c>
      <c r="B1829" s="5">
        <v>1822</v>
      </c>
      <c r="C1829">
        <v>12523</v>
      </c>
      <c r="D1829" t="s">
        <v>5008</v>
      </c>
      <c r="E1829" t="s">
        <v>115</v>
      </c>
      <c r="F1829" t="s">
        <v>117</v>
      </c>
      <c r="G1829" t="s">
        <v>21480</v>
      </c>
      <c r="H1829">
        <v>23.73</v>
      </c>
      <c r="I1829">
        <v>0</v>
      </c>
      <c r="J1829">
        <v>0</v>
      </c>
      <c r="K1829">
        <v>20</v>
      </c>
      <c r="N1829">
        <v>3</v>
      </c>
      <c r="O1829">
        <v>3</v>
      </c>
      <c r="P1829">
        <v>4</v>
      </c>
      <c r="Q1829">
        <v>0</v>
      </c>
      <c r="R1829">
        <v>50.73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H1829">
        <v>50.73</v>
      </c>
    </row>
    <row r="1830" spans="1:34" x14ac:dyDescent="0.3">
      <c r="A1830" s="4">
        <v>1946</v>
      </c>
      <c r="B1830" s="5">
        <v>1823</v>
      </c>
      <c r="C1830">
        <v>1899</v>
      </c>
      <c r="D1830" t="s">
        <v>21481</v>
      </c>
      <c r="E1830" t="s">
        <v>17</v>
      </c>
      <c r="F1830" t="s">
        <v>2998</v>
      </c>
      <c r="G1830" t="s">
        <v>21482</v>
      </c>
      <c r="H1830">
        <v>17.7</v>
      </c>
      <c r="I1830">
        <v>0</v>
      </c>
      <c r="J1830">
        <v>0</v>
      </c>
      <c r="K1830">
        <v>20</v>
      </c>
      <c r="L1830">
        <v>7</v>
      </c>
      <c r="O1830">
        <v>7</v>
      </c>
      <c r="P1830">
        <v>4</v>
      </c>
      <c r="Q1830">
        <v>2</v>
      </c>
      <c r="R1830">
        <v>50.7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 t="s">
        <v>130</v>
      </c>
      <c r="AH1830">
        <v>50.7</v>
      </c>
    </row>
    <row r="1831" spans="1:34" x14ac:dyDescent="0.3">
      <c r="A1831" s="4">
        <v>1947</v>
      </c>
      <c r="B1831" s="5">
        <v>1824</v>
      </c>
      <c r="C1831">
        <v>13429</v>
      </c>
      <c r="D1831" t="s">
        <v>21483</v>
      </c>
      <c r="E1831" t="s">
        <v>132</v>
      </c>
      <c r="F1831" t="s">
        <v>190</v>
      </c>
      <c r="G1831" t="s">
        <v>21484</v>
      </c>
      <c r="H1831">
        <v>20.68</v>
      </c>
      <c r="I1831">
        <v>0</v>
      </c>
      <c r="J1831">
        <v>0</v>
      </c>
      <c r="K1831">
        <v>0</v>
      </c>
      <c r="N1831">
        <v>6</v>
      </c>
      <c r="O1831">
        <v>6</v>
      </c>
      <c r="P1831">
        <v>4</v>
      </c>
      <c r="Q1831">
        <v>2</v>
      </c>
      <c r="R1831">
        <v>32.68</v>
      </c>
      <c r="S1831">
        <v>18</v>
      </c>
      <c r="T1831">
        <v>18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18</v>
      </c>
      <c r="AB1831">
        <v>0</v>
      </c>
      <c r="AC1831">
        <v>0</v>
      </c>
      <c r="AH1831">
        <v>50.68</v>
      </c>
    </row>
    <row r="1832" spans="1:34" x14ac:dyDescent="0.3">
      <c r="A1832" s="4">
        <v>1948</v>
      </c>
      <c r="B1832" s="5">
        <v>1825</v>
      </c>
      <c r="C1832">
        <v>2370</v>
      </c>
      <c r="D1832" t="s">
        <v>21485</v>
      </c>
      <c r="E1832" t="s">
        <v>286</v>
      </c>
      <c r="F1832" t="s">
        <v>30</v>
      </c>
      <c r="G1832" t="s">
        <v>21486</v>
      </c>
      <c r="H1832">
        <v>20.65</v>
      </c>
      <c r="I1832">
        <v>0</v>
      </c>
      <c r="J1832">
        <v>0</v>
      </c>
      <c r="K1832">
        <v>20</v>
      </c>
      <c r="N1832">
        <v>3</v>
      </c>
      <c r="O1832">
        <v>3</v>
      </c>
      <c r="P1832">
        <v>4</v>
      </c>
      <c r="Q1832">
        <v>0</v>
      </c>
      <c r="R1832">
        <v>47.65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3</v>
      </c>
      <c r="AC1832">
        <v>0</v>
      </c>
      <c r="AH1832">
        <v>50.65</v>
      </c>
    </row>
    <row r="1833" spans="1:34" x14ac:dyDescent="0.3">
      <c r="A1833" s="4">
        <v>1949</v>
      </c>
      <c r="B1833" s="5">
        <v>1826</v>
      </c>
      <c r="C1833">
        <v>6702</v>
      </c>
      <c r="D1833" t="s">
        <v>1317</v>
      </c>
      <c r="E1833" t="s">
        <v>5730</v>
      </c>
      <c r="F1833" t="s">
        <v>375</v>
      </c>
      <c r="G1833" t="s">
        <v>21487</v>
      </c>
      <c r="H1833">
        <v>20.65</v>
      </c>
      <c r="I1833">
        <v>0</v>
      </c>
      <c r="J1833">
        <v>0</v>
      </c>
      <c r="K1833">
        <v>20</v>
      </c>
      <c r="N1833">
        <v>6</v>
      </c>
      <c r="O1833">
        <v>6</v>
      </c>
      <c r="P1833">
        <v>4</v>
      </c>
      <c r="Q1833">
        <v>0</v>
      </c>
      <c r="R1833">
        <v>50.65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H1833">
        <v>50.65</v>
      </c>
    </row>
    <row r="1834" spans="1:34" x14ac:dyDescent="0.3">
      <c r="A1834" s="4">
        <v>1950</v>
      </c>
      <c r="B1834" s="5">
        <v>1827</v>
      </c>
      <c r="C1834">
        <v>10625</v>
      </c>
      <c r="D1834" t="s">
        <v>21488</v>
      </c>
      <c r="E1834" t="s">
        <v>213</v>
      </c>
      <c r="F1834" t="s">
        <v>243</v>
      </c>
      <c r="G1834" t="s">
        <v>21489</v>
      </c>
      <c r="H1834">
        <v>17.5</v>
      </c>
      <c r="I1834">
        <v>0</v>
      </c>
      <c r="J1834">
        <v>0</v>
      </c>
      <c r="K1834">
        <v>0</v>
      </c>
      <c r="N1834">
        <v>3</v>
      </c>
      <c r="O1834">
        <v>3</v>
      </c>
      <c r="P1834">
        <v>4</v>
      </c>
      <c r="Q1834">
        <v>0</v>
      </c>
      <c r="R1834">
        <v>24.5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6</v>
      </c>
      <c r="AC1834">
        <v>20</v>
      </c>
      <c r="AH1834">
        <v>50.5</v>
      </c>
    </row>
    <row r="1835" spans="1:34" x14ac:dyDescent="0.3">
      <c r="A1835" s="4">
        <v>1951</v>
      </c>
      <c r="B1835" s="5">
        <v>1828</v>
      </c>
      <c r="C1835">
        <v>10617</v>
      </c>
      <c r="D1835" t="s">
        <v>5649</v>
      </c>
      <c r="E1835" t="s">
        <v>5537</v>
      </c>
      <c r="F1835" t="s">
        <v>17</v>
      </c>
      <c r="G1835" t="s">
        <v>21490</v>
      </c>
      <c r="H1835">
        <v>17.5</v>
      </c>
      <c r="I1835">
        <v>0</v>
      </c>
      <c r="J1835">
        <v>0</v>
      </c>
      <c r="K1835">
        <v>0</v>
      </c>
      <c r="L1835">
        <v>7</v>
      </c>
      <c r="N1835">
        <v>3</v>
      </c>
      <c r="O1835">
        <v>10</v>
      </c>
      <c r="P1835">
        <v>0</v>
      </c>
      <c r="Q1835">
        <v>0</v>
      </c>
      <c r="R1835">
        <v>27.5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3</v>
      </c>
      <c r="AC1835">
        <v>20</v>
      </c>
      <c r="AH1835">
        <v>50.5</v>
      </c>
    </row>
    <row r="1836" spans="1:34" x14ac:dyDescent="0.3">
      <c r="A1836" s="4">
        <v>1952</v>
      </c>
      <c r="B1836" s="5">
        <v>1829</v>
      </c>
      <c r="C1836">
        <v>3455</v>
      </c>
      <c r="D1836" t="s">
        <v>5809</v>
      </c>
      <c r="E1836" t="s">
        <v>161</v>
      </c>
      <c r="F1836" t="s">
        <v>136</v>
      </c>
      <c r="G1836" t="s">
        <v>21491</v>
      </c>
      <c r="H1836">
        <v>17.5</v>
      </c>
      <c r="I1836">
        <v>0</v>
      </c>
      <c r="J1836">
        <v>0</v>
      </c>
      <c r="K1836">
        <v>20</v>
      </c>
      <c r="N1836">
        <v>3</v>
      </c>
      <c r="O1836">
        <v>3</v>
      </c>
      <c r="P1836">
        <v>4</v>
      </c>
      <c r="Q1836">
        <v>0</v>
      </c>
      <c r="R1836">
        <v>44.5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6</v>
      </c>
      <c r="AC1836">
        <v>0</v>
      </c>
      <c r="AH1836">
        <v>50.5</v>
      </c>
    </row>
    <row r="1837" spans="1:34" x14ac:dyDescent="0.3">
      <c r="A1837" s="4">
        <v>1953</v>
      </c>
      <c r="B1837" s="5">
        <v>1830</v>
      </c>
      <c r="C1837">
        <v>10942</v>
      </c>
      <c r="D1837" t="s">
        <v>21492</v>
      </c>
      <c r="E1837" t="s">
        <v>26</v>
      </c>
      <c r="F1837" t="s">
        <v>55</v>
      </c>
      <c r="G1837" t="s">
        <v>21493</v>
      </c>
      <c r="H1837">
        <v>18.5</v>
      </c>
      <c r="I1837">
        <v>0</v>
      </c>
      <c r="J1837">
        <v>0</v>
      </c>
      <c r="K1837">
        <v>20</v>
      </c>
      <c r="N1837">
        <v>3</v>
      </c>
      <c r="O1837">
        <v>3</v>
      </c>
      <c r="P1837">
        <v>4</v>
      </c>
      <c r="Q1837">
        <v>0</v>
      </c>
      <c r="R1837">
        <v>45.5</v>
      </c>
      <c r="S1837">
        <v>5</v>
      </c>
      <c r="T1837">
        <v>5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5</v>
      </c>
      <c r="AB1837">
        <v>0</v>
      </c>
      <c r="AC1837">
        <v>0</v>
      </c>
      <c r="AH1837">
        <v>50.5</v>
      </c>
    </row>
    <row r="1838" spans="1:34" x14ac:dyDescent="0.3">
      <c r="A1838" s="4">
        <v>1954</v>
      </c>
      <c r="B1838" s="5">
        <v>1831</v>
      </c>
      <c r="C1838">
        <v>12625</v>
      </c>
      <c r="D1838" t="s">
        <v>21494</v>
      </c>
      <c r="E1838" t="s">
        <v>143</v>
      </c>
      <c r="F1838" t="s">
        <v>626</v>
      </c>
      <c r="G1838" t="s">
        <v>21495</v>
      </c>
      <c r="H1838">
        <v>18.5</v>
      </c>
      <c r="I1838">
        <v>0</v>
      </c>
      <c r="J1838">
        <v>0</v>
      </c>
      <c r="K1838">
        <v>0</v>
      </c>
      <c r="O1838">
        <v>0</v>
      </c>
      <c r="P1838">
        <v>4</v>
      </c>
      <c r="Q1838">
        <v>0</v>
      </c>
      <c r="R1838">
        <v>22.5</v>
      </c>
      <c r="S1838">
        <v>28</v>
      </c>
      <c r="T1838">
        <v>28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28</v>
      </c>
      <c r="AB1838">
        <v>0</v>
      </c>
      <c r="AC1838">
        <v>0</v>
      </c>
      <c r="AH1838">
        <v>50.5</v>
      </c>
    </row>
    <row r="1839" spans="1:34" x14ac:dyDescent="0.3">
      <c r="A1839" s="4">
        <v>1955</v>
      </c>
      <c r="B1839" s="5">
        <v>1832</v>
      </c>
      <c r="C1839">
        <v>10972</v>
      </c>
      <c r="D1839" t="s">
        <v>21496</v>
      </c>
      <c r="E1839" t="s">
        <v>21497</v>
      </c>
      <c r="F1839" t="s">
        <v>62</v>
      </c>
      <c r="G1839" t="s">
        <v>21498</v>
      </c>
      <c r="H1839">
        <v>20.399999999999999</v>
      </c>
      <c r="I1839">
        <v>0</v>
      </c>
      <c r="J1839">
        <v>0</v>
      </c>
      <c r="K1839">
        <v>20</v>
      </c>
      <c r="N1839">
        <v>6</v>
      </c>
      <c r="O1839">
        <v>6</v>
      </c>
      <c r="P1839">
        <v>4</v>
      </c>
      <c r="Q1839">
        <v>0</v>
      </c>
      <c r="R1839">
        <v>50.4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H1839">
        <v>50.4</v>
      </c>
    </row>
    <row r="1840" spans="1:34" x14ac:dyDescent="0.3">
      <c r="A1840" s="4">
        <v>1956</v>
      </c>
      <c r="B1840" s="5">
        <v>1833</v>
      </c>
      <c r="C1840">
        <v>15405</v>
      </c>
      <c r="D1840" t="s">
        <v>1693</v>
      </c>
      <c r="E1840" t="s">
        <v>110</v>
      </c>
      <c r="F1840" t="s">
        <v>117</v>
      </c>
      <c r="G1840" t="s">
        <v>21499</v>
      </c>
      <c r="H1840">
        <v>19.399999999999999</v>
      </c>
      <c r="I1840">
        <v>0</v>
      </c>
      <c r="J1840">
        <v>0</v>
      </c>
      <c r="K1840">
        <v>20</v>
      </c>
      <c r="L1840">
        <v>7</v>
      </c>
      <c r="O1840">
        <v>7</v>
      </c>
      <c r="P1840">
        <v>4</v>
      </c>
      <c r="Q1840">
        <v>0</v>
      </c>
      <c r="R1840">
        <v>50.4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H1840">
        <v>50.4</v>
      </c>
    </row>
    <row r="1841" spans="1:34" x14ac:dyDescent="0.3">
      <c r="A1841" s="4">
        <v>1957</v>
      </c>
      <c r="B1841" s="5">
        <v>1834</v>
      </c>
      <c r="C1841">
        <v>5766</v>
      </c>
      <c r="D1841" t="s">
        <v>21500</v>
      </c>
      <c r="E1841" t="s">
        <v>38</v>
      </c>
      <c r="F1841" t="s">
        <v>158</v>
      </c>
      <c r="G1841" t="s">
        <v>21501</v>
      </c>
      <c r="H1841">
        <v>19.399999999999999</v>
      </c>
      <c r="I1841">
        <v>0</v>
      </c>
      <c r="J1841">
        <v>0</v>
      </c>
      <c r="K1841">
        <v>20</v>
      </c>
      <c r="L1841">
        <v>7</v>
      </c>
      <c r="O1841">
        <v>7</v>
      </c>
      <c r="P1841">
        <v>4</v>
      </c>
      <c r="Q1841">
        <v>0</v>
      </c>
      <c r="R1841">
        <v>50.4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H1841">
        <v>50.4</v>
      </c>
    </row>
    <row r="1842" spans="1:34" x14ac:dyDescent="0.3">
      <c r="A1842" s="4">
        <v>1958</v>
      </c>
      <c r="B1842" s="5">
        <v>1835</v>
      </c>
      <c r="C1842">
        <v>8746</v>
      </c>
      <c r="D1842" t="s">
        <v>21502</v>
      </c>
      <c r="E1842" t="s">
        <v>71</v>
      </c>
      <c r="F1842" t="s">
        <v>38</v>
      </c>
      <c r="G1842" t="s">
        <v>21503</v>
      </c>
      <c r="H1842">
        <v>16.399999999999999</v>
      </c>
      <c r="I1842">
        <v>0</v>
      </c>
      <c r="J1842">
        <v>0</v>
      </c>
      <c r="K1842">
        <v>20</v>
      </c>
      <c r="L1842">
        <v>7</v>
      </c>
      <c r="N1842">
        <v>3</v>
      </c>
      <c r="O1842">
        <v>10</v>
      </c>
      <c r="P1842">
        <v>4</v>
      </c>
      <c r="Q1842">
        <v>0</v>
      </c>
      <c r="R1842">
        <v>50.4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H1842">
        <v>50.4</v>
      </c>
    </row>
    <row r="1843" spans="1:34" x14ac:dyDescent="0.3">
      <c r="A1843" s="4">
        <v>1959</v>
      </c>
      <c r="B1843" s="5">
        <v>1836</v>
      </c>
      <c r="C1843">
        <v>11800</v>
      </c>
      <c r="D1843" t="s">
        <v>21504</v>
      </c>
      <c r="E1843" t="s">
        <v>21505</v>
      </c>
      <c r="F1843" t="s">
        <v>14</v>
      </c>
      <c r="G1843" t="s">
        <v>21506</v>
      </c>
      <c r="H1843">
        <v>19.38</v>
      </c>
      <c r="I1843">
        <v>0</v>
      </c>
      <c r="J1843">
        <v>0</v>
      </c>
      <c r="K1843">
        <v>20</v>
      </c>
      <c r="L1843">
        <v>7</v>
      </c>
      <c r="O1843">
        <v>7</v>
      </c>
      <c r="P1843">
        <v>4</v>
      </c>
      <c r="Q1843">
        <v>0</v>
      </c>
      <c r="R1843">
        <v>50.38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H1843">
        <v>50.38</v>
      </c>
    </row>
    <row r="1844" spans="1:34" x14ac:dyDescent="0.3">
      <c r="A1844" s="4">
        <v>1960</v>
      </c>
      <c r="B1844" s="5">
        <v>1837</v>
      </c>
      <c r="C1844">
        <v>7926</v>
      </c>
      <c r="D1844" t="s">
        <v>21507</v>
      </c>
      <c r="E1844" t="s">
        <v>132</v>
      </c>
      <c r="F1844" t="s">
        <v>375</v>
      </c>
      <c r="G1844" t="s">
        <v>21508</v>
      </c>
      <c r="H1844">
        <v>19.350000000000001</v>
      </c>
      <c r="I1844">
        <v>0</v>
      </c>
      <c r="J1844">
        <v>0</v>
      </c>
      <c r="K1844">
        <v>20</v>
      </c>
      <c r="L1844">
        <v>7</v>
      </c>
      <c r="O1844">
        <v>7</v>
      </c>
      <c r="P1844">
        <v>4</v>
      </c>
      <c r="Q1844">
        <v>0</v>
      </c>
      <c r="R1844">
        <v>50.35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H1844">
        <v>50.35</v>
      </c>
    </row>
    <row r="1845" spans="1:34" x14ac:dyDescent="0.3">
      <c r="A1845" s="4">
        <v>1961</v>
      </c>
      <c r="B1845" s="5">
        <v>1838</v>
      </c>
      <c r="C1845">
        <v>4525</v>
      </c>
      <c r="D1845" t="s">
        <v>21509</v>
      </c>
      <c r="E1845" t="s">
        <v>166</v>
      </c>
      <c r="F1845" t="s">
        <v>81</v>
      </c>
      <c r="G1845" t="s">
        <v>21510</v>
      </c>
      <c r="H1845">
        <v>19.350000000000001</v>
      </c>
      <c r="I1845">
        <v>0</v>
      </c>
      <c r="J1845">
        <v>0</v>
      </c>
      <c r="K1845">
        <v>20</v>
      </c>
      <c r="L1845">
        <v>7</v>
      </c>
      <c r="O1845">
        <v>7</v>
      </c>
      <c r="P1845">
        <v>4</v>
      </c>
      <c r="Q1845">
        <v>0</v>
      </c>
      <c r="R1845">
        <v>50.35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H1845">
        <v>50.35</v>
      </c>
    </row>
    <row r="1846" spans="1:34" x14ac:dyDescent="0.3">
      <c r="A1846" s="4">
        <v>1962</v>
      </c>
      <c r="B1846" s="5">
        <v>1839</v>
      </c>
      <c r="C1846">
        <v>15248</v>
      </c>
      <c r="D1846" t="s">
        <v>21511</v>
      </c>
      <c r="E1846" t="s">
        <v>37</v>
      </c>
      <c r="F1846" t="s">
        <v>230</v>
      </c>
      <c r="G1846" t="s">
        <v>21512</v>
      </c>
      <c r="H1846">
        <v>19.350000000000001</v>
      </c>
      <c r="I1846">
        <v>0</v>
      </c>
      <c r="J1846">
        <v>0</v>
      </c>
      <c r="K1846">
        <v>20</v>
      </c>
      <c r="L1846">
        <v>7</v>
      </c>
      <c r="O1846">
        <v>7</v>
      </c>
      <c r="P1846">
        <v>4</v>
      </c>
      <c r="Q1846">
        <v>0</v>
      </c>
      <c r="R1846">
        <v>50.35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H1846">
        <v>50.35</v>
      </c>
    </row>
    <row r="1847" spans="1:34" x14ac:dyDescent="0.3">
      <c r="A1847" s="4">
        <v>1963</v>
      </c>
      <c r="B1847" s="5">
        <v>1840</v>
      </c>
      <c r="C1847">
        <v>4540</v>
      </c>
      <c r="D1847" t="s">
        <v>21513</v>
      </c>
      <c r="E1847" t="s">
        <v>161</v>
      </c>
      <c r="F1847" t="s">
        <v>58</v>
      </c>
      <c r="G1847" t="s">
        <v>21514</v>
      </c>
      <c r="H1847">
        <v>19.3</v>
      </c>
      <c r="I1847">
        <v>0</v>
      </c>
      <c r="J1847">
        <v>0</v>
      </c>
      <c r="K1847">
        <v>20</v>
      </c>
      <c r="L1847">
        <v>7</v>
      </c>
      <c r="O1847">
        <v>7</v>
      </c>
      <c r="P1847">
        <v>4</v>
      </c>
      <c r="Q1847">
        <v>0</v>
      </c>
      <c r="R1847">
        <v>50.3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H1847">
        <v>50.3</v>
      </c>
    </row>
    <row r="1848" spans="1:34" x14ac:dyDescent="0.3">
      <c r="A1848" s="4">
        <v>1964</v>
      </c>
      <c r="B1848" s="5">
        <v>1841</v>
      </c>
      <c r="C1848">
        <v>12451</v>
      </c>
      <c r="D1848" t="s">
        <v>21515</v>
      </c>
      <c r="E1848" t="s">
        <v>126</v>
      </c>
      <c r="F1848" t="s">
        <v>136</v>
      </c>
      <c r="G1848" t="s">
        <v>21516</v>
      </c>
      <c r="H1848">
        <v>19.3</v>
      </c>
      <c r="I1848">
        <v>0</v>
      </c>
      <c r="J1848">
        <v>0</v>
      </c>
      <c r="K1848">
        <v>20</v>
      </c>
      <c r="N1848">
        <v>3</v>
      </c>
      <c r="O1848">
        <v>3</v>
      </c>
      <c r="P1848">
        <v>4</v>
      </c>
      <c r="Q1848">
        <v>0</v>
      </c>
      <c r="R1848">
        <v>46.3</v>
      </c>
      <c r="S1848">
        <v>4</v>
      </c>
      <c r="T1848">
        <v>4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4</v>
      </c>
      <c r="AB1848">
        <v>0</v>
      </c>
      <c r="AC1848">
        <v>0</v>
      </c>
      <c r="AH1848">
        <v>50.3</v>
      </c>
    </row>
    <row r="1849" spans="1:34" x14ac:dyDescent="0.3">
      <c r="A1849" s="4">
        <v>1965</v>
      </c>
      <c r="B1849" s="5">
        <v>1842</v>
      </c>
      <c r="C1849">
        <v>13311</v>
      </c>
      <c r="D1849" t="s">
        <v>8302</v>
      </c>
      <c r="E1849" t="s">
        <v>88</v>
      </c>
      <c r="F1849" t="s">
        <v>1225</v>
      </c>
      <c r="G1849" t="s">
        <v>21517</v>
      </c>
      <c r="H1849">
        <v>20.28</v>
      </c>
      <c r="I1849">
        <v>0</v>
      </c>
      <c r="J1849">
        <v>0</v>
      </c>
      <c r="K1849">
        <v>20</v>
      </c>
      <c r="N1849">
        <v>3</v>
      </c>
      <c r="O1849">
        <v>3</v>
      </c>
      <c r="P1849">
        <v>4</v>
      </c>
      <c r="Q1849">
        <v>0</v>
      </c>
      <c r="R1849">
        <v>47.28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3</v>
      </c>
      <c r="AC1849">
        <v>0</v>
      </c>
      <c r="AH1849">
        <v>50.28</v>
      </c>
    </row>
    <row r="1850" spans="1:34" x14ac:dyDescent="0.3">
      <c r="A1850" s="4">
        <v>1966</v>
      </c>
      <c r="B1850" s="5">
        <v>1843</v>
      </c>
      <c r="C1850">
        <v>11965</v>
      </c>
      <c r="D1850" t="s">
        <v>21518</v>
      </c>
      <c r="E1850" t="s">
        <v>3803</v>
      </c>
      <c r="F1850" t="s">
        <v>892</v>
      </c>
      <c r="G1850" t="s">
        <v>21519</v>
      </c>
      <c r="H1850">
        <v>18.25</v>
      </c>
      <c r="I1850">
        <v>0</v>
      </c>
      <c r="J1850">
        <v>0</v>
      </c>
      <c r="K1850">
        <v>20</v>
      </c>
      <c r="N1850">
        <v>6</v>
      </c>
      <c r="O1850">
        <v>6</v>
      </c>
      <c r="P1850">
        <v>0</v>
      </c>
      <c r="Q1850">
        <v>0</v>
      </c>
      <c r="R1850">
        <v>44.25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6</v>
      </c>
      <c r="AC1850">
        <v>0</v>
      </c>
      <c r="AH1850">
        <v>50.25</v>
      </c>
    </row>
    <row r="1851" spans="1:34" x14ac:dyDescent="0.3">
      <c r="A1851" s="4">
        <v>1967</v>
      </c>
      <c r="B1851" s="5">
        <v>1844</v>
      </c>
      <c r="C1851">
        <v>10496</v>
      </c>
      <c r="D1851" t="s">
        <v>21520</v>
      </c>
      <c r="E1851" t="s">
        <v>6121</v>
      </c>
      <c r="F1851" t="s">
        <v>30</v>
      </c>
      <c r="G1851" t="s">
        <v>21521</v>
      </c>
      <c r="H1851">
        <v>20.25</v>
      </c>
      <c r="I1851">
        <v>0</v>
      </c>
      <c r="J1851">
        <v>0</v>
      </c>
      <c r="K1851">
        <v>20</v>
      </c>
      <c r="N1851">
        <v>3</v>
      </c>
      <c r="O1851">
        <v>3</v>
      </c>
      <c r="P1851">
        <v>4</v>
      </c>
      <c r="Q1851">
        <v>0</v>
      </c>
      <c r="R1851">
        <v>47.25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3</v>
      </c>
      <c r="AC1851">
        <v>0</v>
      </c>
      <c r="AH1851">
        <v>50.25</v>
      </c>
    </row>
    <row r="1852" spans="1:34" x14ac:dyDescent="0.3">
      <c r="A1852" s="4">
        <v>1968</v>
      </c>
      <c r="B1852" s="5">
        <v>1845</v>
      </c>
      <c r="C1852">
        <v>8069</v>
      </c>
      <c r="D1852" t="s">
        <v>21522</v>
      </c>
      <c r="E1852" t="s">
        <v>54</v>
      </c>
      <c r="F1852" t="s">
        <v>442</v>
      </c>
      <c r="G1852" t="s">
        <v>21523</v>
      </c>
      <c r="H1852">
        <v>16.25</v>
      </c>
      <c r="I1852">
        <v>0</v>
      </c>
      <c r="J1852">
        <v>0</v>
      </c>
      <c r="K1852">
        <v>20</v>
      </c>
      <c r="L1852">
        <v>7</v>
      </c>
      <c r="O1852">
        <v>7</v>
      </c>
      <c r="P1852">
        <v>4</v>
      </c>
      <c r="Q1852">
        <v>0</v>
      </c>
      <c r="R1852">
        <v>47.25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3</v>
      </c>
      <c r="AC1852">
        <v>0</v>
      </c>
      <c r="AH1852">
        <v>50.25</v>
      </c>
    </row>
    <row r="1853" spans="1:34" x14ac:dyDescent="0.3">
      <c r="A1853" s="4">
        <v>1969</v>
      </c>
      <c r="B1853" s="5">
        <v>1846</v>
      </c>
      <c r="C1853">
        <v>2985</v>
      </c>
      <c r="D1853" t="s">
        <v>14393</v>
      </c>
      <c r="E1853" t="s">
        <v>166</v>
      </c>
      <c r="F1853" t="s">
        <v>190</v>
      </c>
      <c r="G1853" t="s">
        <v>21524</v>
      </c>
      <c r="H1853">
        <v>19.25</v>
      </c>
      <c r="I1853">
        <v>0</v>
      </c>
      <c r="J1853">
        <v>0</v>
      </c>
      <c r="K1853">
        <v>20</v>
      </c>
      <c r="L1853">
        <v>7</v>
      </c>
      <c r="O1853">
        <v>7</v>
      </c>
      <c r="P1853">
        <v>4</v>
      </c>
      <c r="Q1853">
        <v>0</v>
      </c>
      <c r="R1853">
        <v>50.25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H1853">
        <v>50.25</v>
      </c>
    </row>
    <row r="1854" spans="1:34" x14ac:dyDescent="0.3">
      <c r="A1854" s="4">
        <v>1970</v>
      </c>
      <c r="B1854" s="5">
        <v>1847</v>
      </c>
      <c r="C1854">
        <v>8927</v>
      </c>
      <c r="D1854" t="s">
        <v>21525</v>
      </c>
      <c r="E1854" t="s">
        <v>34</v>
      </c>
      <c r="F1854" t="s">
        <v>136</v>
      </c>
      <c r="G1854" t="s">
        <v>21526</v>
      </c>
      <c r="H1854">
        <v>20.23</v>
      </c>
      <c r="I1854">
        <v>0</v>
      </c>
      <c r="J1854">
        <v>0</v>
      </c>
      <c r="K1854">
        <v>20</v>
      </c>
      <c r="N1854">
        <v>3</v>
      </c>
      <c r="O1854">
        <v>3</v>
      </c>
      <c r="P1854">
        <v>4</v>
      </c>
      <c r="Q1854">
        <v>0</v>
      </c>
      <c r="R1854">
        <v>47.23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3</v>
      </c>
      <c r="AC1854">
        <v>0</v>
      </c>
      <c r="AH1854">
        <v>50.23</v>
      </c>
    </row>
    <row r="1855" spans="1:34" x14ac:dyDescent="0.3">
      <c r="A1855" s="4">
        <v>1971</v>
      </c>
      <c r="B1855" s="5">
        <v>1848</v>
      </c>
      <c r="C1855">
        <v>6173</v>
      </c>
      <c r="D1855" t="s">
        <v>10923</v>
      </c>
      <c r="E1855" t="s">
        <v>166</v>
      </c>
      <c r="F1855" t="s">
        <v>38</v>
      </c>
      <c r="G1855" t="s">
        <v>21527</v>
      </c>
      <c r="H1855">
        <v>17.2</v>
      </c>
      <c r="I1855">
        <v>0</v>
      </c>
      <c r="J1855">
        <v>0</v>
      </c>
      <c r="K1855">
        <v>20</v>
      </c>
      <c r="N1855">
        <v>3</v>
      </c>
      <c r="O1855">
        <v>3</v>
      </c>
      <c r="P1855">
        <v>4</v>
      </c>
      <c r="Q1855">
        <v>0</v>
      </c>
      <c r="R1855">
        <v>44.2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6</v>
      </c>
      <c r="AC1855">
        <v>0</v>
      </c>
      <c r="AH1855">
        <v>50.2</v>
      </c>
    </row>
    <row r="1856" spans="1:34" x14ac:dyDescent="0.3">
      <c r="A1856" s="4">
        <v>1972</v>
      </c>
      <c r="B1856" s="5">
        <v>1849</v>
      </c>
      <c r="C1856">
        <v>6540</v>
      </c>
      <c r="D1856" t="s">
        <v>21528</v>
      </c>
      <c r="E1856" t="s">
        <v>54</v>
      </c>
      <c r="F1856" t="s">
        <v>3968</v>
      </c>
      <c r="G1856" t="s">
        <v>21529</v>
      </c>
      <c r="H1856">
        <v>19.2</v>
      </c>
      <c r="I1856">
        <v>0</v>
      </c>
      <c r="J1856">
        <v>0</v>
      </c>
      <c r="K1856">
        <v>20</v>
      </c>
      <c r="L1856">
        <v>7</v>
      </c>
      <c r="O1856">
        <v>7</v>
      </c>
      <c r="P1856">
        <v>4</v>
      </c>
      <c r="Q1856">
        <v>0</v>
      </c>
      <c r="R1856">
        <v>50.2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H1856">
        <v>50.2</v>
      </c>
    </row>
    <row r="1857" spans="1:34" x14ac:dyDescent="0.3">
      <c r="A1857" s="4">
        <v>1973</v>
      </c>
      <c r="B1857" s="5">
        <v>1850</v>
      </c>
      <c r="C1857">
        <v>3481</v>
      </c>
      <c r="D1857" t="s">
        <v>380</v>
      </c>
      <c r="E1857" t="s">
        <v>147</v>
      </c>
      <c r="F1857" t="s">
        <v>68</v>
      </c>
      <c r="G1857" t="s">
        <v>21530</v>
      </c>
      <c r="H1857">
        <v>19.18</v>
      </c>
      <c r="I1857">
        <v>0</v>
      </c>
      <c r="J1857">
        <v>0</v>
      </c>
      <c r="K1857">
        <v>20</v>
      </c>
      <c r="L1857">
        <v>7</v>
      </c>
      <c r="O1857">
        <v>7</v>
      </c>
      <c r="P1857">
        <v>4</v>
      </c>
      <c r="Q1857">
        <v>0</v>
      </c>
      <c r="R1857">
        <v>50.18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H1857">
        <v>50.18</v>
      </c>
    </row>
    <row r="1858" spans="1:34" x14ac:dyDescent="0.3">
      <c r="A1858" s="4">
        <v>1974</v>
      </c>
      <c r="B1858" s="5">
        <v>1851</v>
      </c>
      <c r="C1858">
        <v>2708</v>
      </c>
      <c r="D1858" t="s">
        <v>21531</v>
      </c>
      <c r="E1858" t="s">
        <v>213</v>
      </c>
      <c r="F1858" t="s">
        <v>17</v>
      </c>
      <c r="G1858" t="s">
        <v>21532</v>
      </c>
      <c r="H1858">
        <v>21.1</v>
      </c>
      <c r="I1858">
        <v>0</v>
      </c>
      <c r="J1858">
        <v>0</v>
      </c>
      <c r="K1858">
        <v>20</v>
      </c>
      <c r="M1858">
        <v>5</v>
      </c>
      <c r="O1858">
        <v>5</v>
      </c>
      <c r="P1858">
        <v>4</v>
      </c>
      <c r="Q1858">
        <v>0</v>
      </c>
      <c r="R1858">
        <v>50.1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H1858">
        <v>50.1</v>
      </c>
    </row>
    <row r="1859" spans="1:34" x14ac:dyDescent="0.3">
      <c r="A1859" s="4">
        <v>1975</v>
      </c>
      <c r="B1859" s="5">
        <v>1852</v>
      </c>
      <c r="C1859">
        <v>4996</v>
      </c>
      <c r="D1859" t="s">
        <v>21533</v>
      </c>
      <c r="E1859" t="s">
        <v>178</v>
      </c>
      <c r="F1859" t="s">
        <v>416</v>
      </c>
      <c r="G1859" t="s">
        <v>21534</v>
      </c>
      <c r="H1859">
        <v>20</v>
      </c>
      <c r="I1859">
        <v>0</v>
      </c>
      <c r="J1859">
        <v>0</v>
      </c>
      <c r="K1859">
        <v>20</v>
      </c>
      <c r="O1859">
        <v>0</v>
      </c>
      <c r="P1859">
        <v>4</v>
      </c>
      <c r="Q1859">
        <v>0</v>
      </c>
      <c r="R1859">
        <v>44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6</v>
      </c>
      <c r="AC1859">
        <v>0</v>
      </c>
      <c r="AH1859">
        <v>50</v>
      </c>
    </row>
    <row r="1860" spans="1:34" x14ac:dyDescent="0.3">
      <c r="A1860" s="4">
        <v>1976</v>
      </c>
      <c r="B1860" s="5">
        <v>1853</v>
      </c>
      <c r="C1860">
        <v>14484</v>
      </c>
      <c r="D1860" t="s">
        <v>21535</v>
      </c>
      <c r="E1860" t="s">
        <v>81</v>
      </c>
      <c r="F1860" t="s">
        <v>20</v>
      </c>
      <c r="G1860" t="s">
        <v>21536</v>
      </c>
      <c r="H1860">
        <v>19</v>
      </c>
      <c r="I1860">
        <v>0</v>
      </c>
      <c r="J1860">
        <v>0</v>
      </c>
      <c r="K1860">
        <v>20</v>
      </c>
      <c r="L1860">
        <v>7</v>
      </c>
      <c r="O1860">
        <v>7</v>
      </c>
      <c r="P1860">
        <v>4</v>
      </c>
      <c r="Q1860">
        <v>0</v>
      </c>
      <c r="R1860">
        <v>50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H1860">
        <v>50</v>
      </c>
    </row>
    <row r="1861" spans="1:34" x14ac:dyDescent="0.3">
      <c r="A1861" s="4">
        <v>1977</v>
      </c>
      <c r="B1861" s="5">
        <v>1854</v>
      </c>
      <c r="C1861">
        <v>3019</v>
      </c>
      <c r="D1861" t="s">
        <v>1711</v>
      </c>
      <c r="E1861" t="s">
        <v>166</v>
      </c>
      <c r="F1861" t="s">
        <v>81</v>
      </c>
      <c r="G1861" t="s">
        <v>21537</v>
      </c>
      <c r="H1861">
        <v>19</v>
      </c>
      <c r="I1861">
        <v>0</v>
      </c>
      <c r="J1861">
        <v>0</v>
      </c>
      <c r="K1861">
        <v>20</v>
      </c>
      <c r="L1861">
        <v>7</v>
      </c>
      <c r="O1861">
        <v>7</v>
      </c>
      <c r="P1861">
        <v>4</v>
      </c>
      <c r="Q1861">
        <v>0</v>
      </c>
      <c r="R1861">
        <v>50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H1861">
        <v>50</v>
      </c>
    </row>
    <row r="1862" spans="1:34" x14ac:dyDescent="0.3">
      <c r="A1862" s="4">
        <v>1978</v>
      </c>
      <c r="B1862" s="5">
        <v>1855</v>
      </c>
      <c r="C1862">
        <v>12021</v>
      </c>
      <c r="D1862" t="s">
        <v>2951</v>
      </c>
      <c r="E1862" t="s">
        <v>1140</v>
      </c>
      <c r="F1862" t="s">
        <v>34</v>
      </c>
      <c r="G1862" t="s">
        <v>21538</v>
      </c>
      <c r="H1862">
        <v>20</v>
      </c>
      <c r="I1862">
        <v>0</v>
      </c>
      <c r="J1862">
        <v>0</v>
      </c>
      <c r="K1862">
        <v>0</v>
      </c>
      <c r="N1862">
        <v>6</v>
      </c>
      <c r="O1862">
        <v>6</v>
      </c>
      <c r="P1862">
        <v>4</v>
      </c>
      <c r="Q1862">
        <v>2</v>
      </c>
      <c r="R1862">
        <v>32</v>
      </c>
      <c r="S1862">
        <v>18</v>
      </c>
      <c r="T1862">
        <v>18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18</v>
      </c>
      <c r="AB1862">
        <v>0</v>
      </c>
      <c r="AC1862">
        <v>0</v>
      </c>
      <c r="AH1862">
        <v>50</v>
      </c>
    </row>
    <row r="1863" spans="1:34" x14ac:dyDescent="0.3">
      <c r="A1863" s="4">
        <v>1979</v>
      </c>
      <c r="B1863" s="5">
        <v>1856</v>
      </c>
      <c r="C1863">
        <v>4586</v>
      </c>
      <c r="D1863" t="s">
        <v>8923</v>
      </c>
      <c r="E1863" t="s">
        <v>21539</v>
      </c>
      <c r="F1863" t="s">
        <v>68</v>
      </c>
      <c r="G1863" t="s">
        <v>21540</v>
      </c>
      <c r="H1863">
        <v>18.98</v>
      </c>
      <c r="I1863">
        <v>0</v>
      </c>
      <c r="J1863">
        <v>0</v>
      </c>
      <c r="K1863">
        <v>20</v>
      </c>
      <c r="L1863">
        <v>7</v>
      </c>
      <c r="O1863">
        <v>7</v>
      </c>
      <c r="P1863">
        <v>4</v>
      </c>
      <c r="Q1863">
        <v>0</v>
      </c>
      <c r="R1863">
        <v>49.98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H1863">
        <v>49.98</v>
      </c>
    </row>
    <row r="1864" spans="1:34" x14ac:dyDescent="0.3">
      <c r="A1864" s="4">
        <v>1980</v>
      </c>
      <c r="B1864" s="5">
        <v>1857</v>
      </c>
      <c r="C1864">
        <v>11795</v>
      </c>
      <c r="D1864" t="s">
        <v>4543</v>
      </c>
      <c r="E1864" t="s">
        <v>273</v>
      </c>
      <c r="F1864" t="s">
        <v>570</v>
      </c>
      <c r="G1864" t="s">
        <v>21541</v>
      </c>
      <c r="H1864">
        <v>18.93</v>
      </c>
      <c r="I1864">
        <v>0</v>
      </c>
      <c r="J1864">
        <v>0</v>
      </c>
      <c r="K1864">
        <v>0</v>
      </c>
      <c r="N1864">
        <v>3</v>
      </c>
      <c r="O1864">
        <v>3</v>
      </c>
      <c r="P1864">
        <v>4</v>
      </c>
      <c r="Q1864">
        <v>0</v>
      </c>
      <c r="R1864">
        <v>25.93</v>
      </c>
      <c r="S1864">
        <v>18</v>
      </c>
      <c r="T1864">
        <v>18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18</v>
      </c>
      <c r="AB1864">
        <v>6</v>
      </c>
      <c r="AC1864">
        <v>0</v>
      </c>
      <c r="AH1864">
        <v>49.93</v>
      </c>
    </row>
    <row r="1865" spans="1:34" x14ac:dyDescent="0.3">
      <c r="A1865" s="4">
        <v>1981</v>
      </c>
      <c r="B1865" s="5">
        <v>1858</v>
      </c>
      <c r="C1865">
        <v>8576</v>
      </c>
      <c r="D1865" t="s">
        <v>8841</v>
      </c>
      <c r="E1865" t="s">
        <v>88</v>
      </c>
      <c r="F1865" t="s">
        <v>124</v>
      </c>
      <c r="G1865" t="s">
        <v>21542</v>
      </c>
      <c r="H1865">
        <v>17.93</v>
      </c>
      <c r="I1865">
        <v>0</v>
      </c>
      <c r="J1865">
        <v>0</v>
      </c>
      <c r="K1865">
        <v>20</v>
      </c>
      <c r="O1865">
        <v>0</v>
      </c>
      <c r="P1865">
        <v>4</v>
      </c>
      <c r="Q1865">
        <v>0</v>
      </c>
      <c r="R1865">
        <v>41.93</v>
      </c>
      <c r="S1865">
        <v>5</v>
      </c>
      <c r="T1865">
        <v>5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5</v>
      </c>
      <c r="AB1865">
        <v>3</v>
      </c>
      <c r="AC1865">
        <v>0</v>
      </c>
      <c r="AD1865" t="s">
        <v>130</v>
      </c>
      <c r="AH1865">
        <v>49.93</v>
      </c>
    </row>
    <row r="1866" spans="1:34" x14ac:dyDescent="0.3">
      <c r="A1866" s="4">
        <v>1982</v>
      </c>
      <c r="B1866" s="5">
        <v>1859</v>
      </c>
      <c r="C1866">
        <v>12861</v>
      </c>
      <c r="D1866" t="s">
        <v>3889</v>
      </c>
      <c r="E1866" t="s">
        <v>563</v>
      </c>
      <c r="F1866" t="s">
        <v>167</v>
      </c>
      <c r="G1866" t="s">
        <v>21543</v>
      </c>
      <c r="H1866">
        <v>18.899999999999999</v>
      </c>
      <c r="I1866">
        <v>0</v>
      </c>
      <c r="J1866">
        <v>0</v>
      </c>
      <c r="K1866">
        <v>20</v>
      </c>
      <c r="L1866">
        <v>7</v>
      </c>
      <c r="O1866">
        <v>7</v>
      </c>
      <c r="P1866">
        <v>4</v>
      </c>
      <c r="Q1866">
        <v>0</v>
      </c>
      <c r="R1866">
        <v>49.9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H1866">
        <v>49.9</v>
      </c>
    </row>
    <row r="1867" spans="1:34" x14ac:dyDescent="0.3">
      <c r="A1867" s="4">
        <v>1983</v>
      </c>
      <c r="B1867" s="5">
        <v>1860</v>
      </c>
      <c r="C1867">
        <v>14245</v>
      </c>
      <c r="D1867" t="s">
        <v>6227</v>
      </c>
      <c r="E1867" t="s">
        <v>54</v>
      </c>
      <c r="F1867" t="s">
        <v>38</v>
      </c>
      <c r="G1867" t="s">
        <v>21544</v>
      </c>
      <c r="H1867">
        <v>15.85</v>
      </c>
      <c r="I1867">
        <v>0</v>
      </c>
      <c r="J1867">
        <v>0</v>
      </c>
      <c r="K1867">
        <v>0</v>
      </c>
      <c r="L1867">
        <v>7</v>
      </c>
      <c r="N1867">
        <v>3</v>
      </c>
      <c r="O1867">
        <v>10</v>
      </c>
      <c r="P1867">
        <v>4</v>
      </c>
      <c r="Q1867">
        <v>2</v>
      </c>
      <c r="R1867">
        <v>31.85</v>
      </c>
      <c r="S1867">
        <v>18</v>
      </c>
      <c r="T1867">
        <v>18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18</v>
      </c>
      <c r="AB1867">
        <v>0</v>
      </c>
      <c r="AC1867">
        <v>0</v>
      </c>
      <c r="AH1867">
        <v>49.85</v>
      </c>
    </row>
    <row r="1868" spans="1:34" x14ac:dyDescent="0.3">
      <c r="A1868" s="4">
        <v>1984</v>
      </c>
      <c r="B1868" s="5">
        <v>1861</v>
      </c>
      <c r="C1868">
        <v>15004</v>
      </c>
      <c r="D1868" t="s">
        <v>1287</v>
      </c>
      <c r="E1868" t="s">
        <v>9158</v>
      </c>
      <c r="F1868" t="s">
        <v>343</v>
      </c>
      <c r="G1868" t="s">
        <v>21545</v>
      </c>
      <c r="H1868">
        <v>19.829999999999998</v>
      </c>
      <c r="I1868">
        <v>0</v>
      </c>
      <c r="J1868">
        <v>0</v>
      </c>
      <c r="K1868">
        <v>20</v>
      </c>
      <c r="N1868">
        <v>3</v>
      </c>
      <c r="O1868">
        <v>3</v>
      </c>
      <c r="P1868">
        <v>4</v>
      </c>
      <c r="Q1868">
        <v>0</v>
      </c>
      <c r="R1868">
        <v>46.83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3</v>
      </c>
      <c r="AC1868">
        <v>0</v>
      </c>
      <c r="AH1868">
        <v>49.83</v>
      </c>
    </row>
    <row r="1869" spans="1:34" x14ac:dyDescent="0.3">
      <c r="A1869" s="4">
        <v>1985</v>
      </c>
      <c r="B1869" s="5">
        <v>1862</v>
      </c>
      <c r="C1869">
        <v>8890</v>
      </c>
      <c r="D1869" t="s">
        <v>21546</v>
      </c>
      <c r="E1869" t="s">
        <v>21547</v>
      </c>
      <c r="F1869" t="s">
        <v>2408</v>
      </c>
      <c r="G1869" t="s">
        <v>21548</v>
      </c>
      <c r="H1869">
        <v>18.829999999999998</v>
      </c>
      <c r="I1869">
        <v>0</v>
      </c>
      <c r="J1869">
        <v>0</v>
      </c>
      <c r="K1869">
        <v>20</v>
      </c>
      <c r="L1869">
        <v>7</v>
      </c>
      <c r="O1869">
        <v>7</v>
      </c>
      <c r="P1869">
        <v>4</v>
      </c>
      <c r="Q1869">
        <v>0</v>
      </c>
      <c r="R1869">
        <v>49.83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H1869">
        <v>49.83</v>
      </c>
    </row>
    <row r="1870" spans="1:34" x14ac:dyDescent="0.3">
      <c r="A1870" s="4">
        <v>1986</v>
      </c>
      <c r="B1870" s="5">
        <v>1863</v>
      </c>
      <c r="C1870">
        <v>4593</v>
      </c>
      <c r="D1870" t="s">
        <v>3072</v>
      </c>
      <c r="E1870" t="s">
        <v>400</v>
      </c>
      <c r="F1870" t="s">
        <v>30</v>
      </c>
      <c r="G1870" t="s">
        <v>21549</v>
      </c>
      <c r="H1870">
        <v>18.829999999999998</v>
      </c>
      <c r="I1870">
        <v>0</v>
      </c>
      <c r="J1870">
        <v>0</v>
      </c>
      <c r="K1870">
        <v>0</v>
      </c>
      <c r="L1870">
        <v>7</v>
      </c>
      <c r="O1870">
        <v>7</v>
      </c>
      <c r="P1870">
        <v>4</v>
      </c>
      <c r="Q1870">
        <v>2</v>
      </c>
      <c r="R1870">
        <v>31.83</v>
      </c>
      <c r="S1870">
        <v>18</v>
      </c>
      <c r="T1870">
        <v>18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18</v>
      </c>
      <c r="AB1870">
        <v>0</v>
      </c>
      <c r="AC1870">
        <v>0</v>
      </c>
      <c r="AH1870">
        <v>49.83</v>
      </c>
    </row>
    <row r="1871" spans="1:34" x14ac:dyDescent="0.3">
      <c r="A1871" s="4">
        <v>1987</v>
      </c>
      <c r="B1871" s="5">
        <v>1864</v>
      </c>
      <c r="C1871">
        <v>5930</v>
      </c>
      <c r="D1871" t="s">
        <v>21550</v>
      </c>
      <c r="E1871" t="s">
        <v>230</v>
      </c>
      <c r="F1871" t="s">
        <v>117</v>
      </c>
      <c r="G1871" t="s">
        <v>21551</v>
      </c>
      <c r="H1871">
        <v>16.75</v>
      </c>
      <c r="I1871">
        <v>0</v>
      </c>
      <c r="J1871">
        <v>0</v>
      </c>
      <c r="K1871">
        <v>20</v>
      </c>
      <c r="O1871">
        <v>0</v>
      </c>
      <c r="P1871">
        <v>4</v>
      </c>
      <c r="Q1871">
        <v>0</v>
      </c>
      <c r="R1871">
        <v>40.75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9</v>
      </c>
      <c r="AC1871">
        <v>0</v>
      </c>
      <c r="AH1871">
        <v>49.75</v>
      </c>
    </row>
    <row r="1872" spans="1:34" x14ac:dyDescent="0.3">
      <c r="A1872" s="4">
        <v>1988</v>
      </c>
      <c r="B1872" s="5">
        <v>1865</v>
      </c>
      <c r="C1872">
        <v>81</v>
      </c>
      <c r="D1872" t="s">
        <v>1078</v>
      </c>
      <c r="E1872" t="s">
        <v>33</v>
      </c>
      <c r="F1872" t="s">
        <v>21552</v>
      </c>
      <c r="G1872" t="s">
        <v>21553</v>
      </c>
      <c r="H1872">
        <v>20.75</v>
      </c>
      <c r="I1872">
        <v>0</v>
      </c>
      <c r="J1872">
        <v>0</v>
      </c>
      <c r="K1872">
        <v>20</v>
      </c>
      <c r="M1872">
        <v>5</v>
      </c>
      <c r="O1872">
        <v>5</v>
      </c>
      <c r="P1872">
        <v>4</v>
      </c>
      <c r="Q1872">
        <v>0</v>
      </c>
      <c r="R1872">
        <v>49.75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H1872">
        <v>49.75</v>
      </c>
    </row>
    <row r="1873" spans="1:34" x14ac:dyDescent="0.3">
      <c r="A1873" s="4">
        <v>1989</v>
      </c>
      <c r="B1873" s="5">
        <v>1866</v>
      </c>
      <c r="C1873">
        <v>673</v>
      </c>
      <c r="D1873" t="s">
        <v>21554</v>
      </c>
      <c r="E1873" t="s">
        <v>132</v>
      </c>
      <c r="F1873" t="s">
        <v>81</v>
      </c>
      <c r="G1873" t="s">
        <v>21555</v>
      </c>
      <c r="H1873">
        <v>15.75</v>
      </c>
      <c r="I1873">
        <v>0</v>
      </c>
      <c r="J1873">
        <v>0</v>
      </c>
      <c r="K1873">
        <v>20</v>
      </c>
      <c r="L1873">
        <v>7</v>
      </c>
      <c r="N1873">
        <v>3</v>
      </c>
      <c r="O1873">
        <v>10</v>
      </c>
      <c r="P1873">
        <v>4</v>
      </c>
      <c r="Q1873">
        <v>0</v>
      </c>
      <c r="R1873">
        <v>49.75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H1873">
        <v>49.75</v>
      </c>
    </row>
    <row r="1874" spans="1:34" x14ac:dyDescent="0.3">
      <c r="A1874" s="4">
        <v>1990</v>
      </c>
      <c r="B1874" s="5">
        <v>1867</v>
      </c>
      <c r="C1874">
        <v>6541</v>
      </c>
      <c r="D1874" t="s">
        <v>21556</v>
      </c>
      <c r="E1874" t="s">
        <v>21557</v>
      </c>
      <c r="F1874" t="s">
        <v>81</v>
      </c>
      <c r="G1874" t="s">
        <v>32071</v>
      </c>
      <c r="H1874">
        <v>17.75</v>
      </c>
      <c r="I1874">
        <v>0</v>
      </c>
      <c r="J1874">
        <v>0</v>
      </c>
      <c r="K1874">
        <v>0</v>
      </c>
      <c r="L1874">
        <v>7</v>
      </c>
      <c r="N1874">
        <v>3</v>
      </c>
      <c r="O1874">
        <v>10</v>
      </c>
      <c r="P1874">
        <v>4</v>
      </c>
      <c r="Q1874">
        <v>0</v>
      </c>
      <c r="R1874">
        <v>31.75</v>
      </c>
      <c r="S1874">
        <v>18</v>
      </c>
      <c r="T1874">
        <v>18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18</v>
      </c>
      <c r="AB1874">
        <v>0</v>
      </c>
      <c r="AC1874">
        <v>0</v>
      </c>
      <c r="AH1874">
        <v>49.75</v>
      </c>
    </row>
    <row r="1875" spans="1:34" x14ac:dyDescent="0.3">
      <c r="A1875" s="4">
        <v>1991</v>
      </c>
      <c r="B1875" s="5">
        <v>1868</v>
      </c>
      <c r="C1875">
        <v>4563</v>
      </c>
      <c r="D1875" t="s">
        <v>4607</v>
      </c>
      <c r="E1875" t="s">
        <v>20</v>
      </c>
      <c r="F1875" t="s">
        <v>243</v>
      </c>
      <c r="G1875" t="s">
        <v>21558</v>
      </c>
      <c r="H1875">
        <v>19.73</v>
      </c>
      <c r="I1875">
        <v>0</v>
      </c>
      <c r="J1875">
        <v>0</v>
      </c>
      <c r="K1875">
        <v>0</v>
      </c>
      <c r="N1875">
        <v>3</v>
      </c>
      <c r="O1875">
        <v>3</v>
      </c>
      <c r="P1875">
        <v>4</v>
      </c>
      <c r="Q1875">
        <v>0</v>
      </c>
      <c r="R1875">
        <v>26.73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3</v>
      </c>
      <c r="AC1875">
        <v>20</v>
      </c>
      <c r="AH1875">
        <v>49.73</v>
      </c>
    </row>
    <row r="1876" spans="1:34" x14ac:dyDescent="0.3">
      <c r="A1876" s="4">
        <v>1992</v>
      </c>
      <c r="B1876" s="5">
        <v>1869</v>
      </c>
      <c r="C1876">
        <v>5445</v>
      </c>
      <c r="D1876" t="s">
        <v>1310</v>
      </c>
      <c r="E1876" t="s">
        <v>48</v>
      </c>
      <c r="F1876" t="s">
        <v>81</v>
      </c>
      <c r="G1876" t="s">
        <v>21559</v>
      </c>
      <c r="H1876">
        <v>18.73</v>
      </c>
      <c r="I1876">
        <v>0</v>
      </c>
      <c r="J1876">
        <v>0</v>
      </c>
      <c r="K1876">
        <v>20</v>
      </c>
      <c r="L1876">
        <v>7</v>
      </c>
      <c r="O1876">
        <v>7</v>
      </c>
      <c r="P1876">
        <v>4</v>
      </c>
      <c r="Q1876">
        <v>0</v>
      </c>
      <c r="R1876">
        <v>49.73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H1876">
        <v>49.73</v>
      </c>
    </row>
    <row r="1877" spans="1:34" x14ac:dyDescent="0.3">
      <c r="A1877" s="4">
        <v>1993</v>
      </c>
      <c r="B1877" s="5">
        <v>1870</v>
      </c>
      <c r="C1877">
        <v>3606</v>
      </c>
      <c r="D1877" t="s">
        <v>21560</v>
      </c>
      <c r="E1877" t="s">
        <v>54</v>
      </c>
      <c r="F1877" t="s">
        <v>38</v>
      </c>
      <c r="G1877" t="s">
        <v>21561</v>
      </c>
      <c r="H1877">
        <v>22.7</v>
      </c>
      <c r="I1877">
        <v>0</v>
      </c>
      <c r="J1877">
        <v>0</v>
      </c>
      <c r="K1877">
        <v>20</v>
      </c>
      <c r="N1877">
        <v>3</v>
      </c>
      <c r="O1877">
        <v>3</v>
      </c>
      <c r="P1877">
        <v>4</v>
      </c>
      <c r="Q1877">
        <v>0</v>
      </c>
      <c r="R1877">
        <v>49.7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H1877">
        <v>49.7</v>
      </c>
    </row>
    <row r="1878" spans="1:34" x14ac:dyDescent="0.3">
      <c r="A1878" s="4">
        <v>1994</v>
      </c>
      <c r="B1878" s="5">
        <v>1871</v>
      </c>
      <c r="C1878">
        <v>9914</v>
      </c>
      <c r="D1878" t="s">
        <v>6215</v>
      </c>
      <c r="E1878" t="s">
        <v>88</v>
      </c>
      <c r="F1878" t="s">
        <v>68</v>
      </c>
      <c r="G1878" t="s">
        <v>21562</v>
      </c>
      <c r="H1878">
        <v>18.600000000000001</v>
      </c>
      <c r="I1878">
        <v>0</v>
      </c>
      <c r="J1878">
        <v>0</v>
      </c>
      <c r="K1878">
        <v>20</v>
      </c>
      <c r="M1878">
        <v>5</v>
      </c>
      <c r="O1878">
        <v>5</v>
      </c>
      <c r="P1878">
        <v>0</v>
      </c>
      <c r="Q1878">
        <v>0</v>
      </c>
      <c r="R1878">
        <v>43.6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6</v>
      </c>
      <c r="AC1878">
        <v>0</v>
      </c>
      <c r="AH1878">
        <v>49.6</v>
      </c>
    </row>
    <row r="1879" spans="1:34" x14ac:dyDescent="0.3">
      <c r="A1879" s="4">
        <v>1995</v>
      </c>
      <c r="B1879" s="5">
        <v>1872</v>
      </c>
      <c r="C1879">
        <v>3169</v>
      </c>
      <c r="D1879" t="s">
        <v>21563</v>
      </c>
      <c r="E1879" t="s">
        <v>471</v>
      </c>
      <c r="F1879" t="s">
        <v>20</v>
      </c>
      <c r="G1879" t="s">
        <v>21564</v>
      </c>
      <c r="H1879">
        <v>22.6</v>
      </c>
      <c r="I1879">
        <v>0</v>
      </c>
      <c r="J1879">
        <v>0</v>
      </c>
      <c r="K1879">
        <v>20</v>
      </c>
      <c r="N1879">
        <v>3</v>
      </c>
      <c r="O1879">
        <v>3</v>
      </c>
      <c r="P1879">
        <v>4</v>
      </c>
      <c r="Q1879">
        <v>0</v>
      </c>
      <c r="R1879">
        <v>49.6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H1879">
        <v>49.6</v>
      </c>
    </row>
    <row r="1880" spans="1:34" x14ac:dyDescent="0.3">
      <c r="A1880" s="4">
        <v>1996</v>
      </c>
      <c r="B1880" s="5">
        <v>1873</v>
      </c>
      <c r="C1880">
        <v>10287</v>
      </c>
      <c r="D1880" t="s">
        <v>21565</v>
      </c>
      <c r="E1880" t="s">
        <v>136</v>
      </c>
      <c r="F1880" t="s">
        <v>20</v>
      </c>
      <c r="G1880" t="s">
        <v>21566</v>
      </c>
      <c r="H1880">
        <v>19.579999999999998</v>
      </c>
      <c r="I1880">
        <v>0</v>
      </c>
      <c r="J1880">
        <v>0</v>
      </c>
      <c r="K1880">
        <v>20</v>
      </c>
      <c r="O1880">
        <v>0</v>
      </c>
      <c r="P1880">
        <v>4</v>
      </c>
      <c r="Q1880">
        <v>0</v>
      </c>
      <c r="R1880">
        <v>43.58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6</v>
      </c>
      <c r="AC1880">
        <v>0</v>
      </c>
      <c r="AH1880">
        <v>49.58</v>
      </c>
    </row>
    <row r="1881" spans="1:34" x14ac:dyDescent="0.3">
      <c r="A1881" s="4">
        <v>1997</v>
      </c>
      <c r="B1881" s="5">
        <v>1874</v>
      </c>
      <c r="C1881">
        <v>956</v>
      </c>
      <c r="D1881" t="s">
        <v>21567</v>
      </c>
      <c r="E1881" t="s">
        <v>21568</v>
      </c>
      <c r="F1881" t="s">
        <v>17</v>
      </c>
      <c r="G1881" t="s">
        <v>21569</v>
      </c>
      <c r="H1881">
        <v>19.55</v>
      </c>
      <c r="I1881">
        <v>0</v>
      </c>
      <c r="J1881">
        <v>0</v>
      </c>
      <c r="K1881">
        <v>20</v>
      </c>
      <c r="N1881">
        <v>3</v>
      </c>
      <c r="O1881">
        <v>3</v>
      </c>
      <c r="P1881">
        <v>4</v>
      </c>
      <c r="Q1881">
        <v>0</v>
      </c>
      <c r="R1881">
        <v>46.55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3</v>
      </c>
      <c r="AC1881">
        <v>0</v>
      </c>
      <c r="AH1881">
        <v>49.55</v>
      </c>
    </row>
    <row r="1882" spans="1:34" x14ac:dyDescent="0.3">
      <c r="A1882" s="4">
        <v>1998</v>
      </c>
      <c r="B1882" s="5">
        <v>1875</v>
      </c>
      <c r="C1882">
        <v>10529</v>
      </c>
      <c r="D1882" t="s">
        <v>3724</v>
      </c>
      <c r="E1882" t="s">
        <v>37</v>
      </c>
      <c r="F1882" t="s">
        <v>892</v>
      </c>
      <c r="G1882" t="s">
        <v>21570</v>
      </c>
      <c r="H1882">
        <v>18.55</v>
      </c>
      <c r="I1882">
        <v>0</v>
      </c>
      <c r="J1882">
        <v>0</v>
      </c>
      <c r="K1882">
        <v>20</v>
      </c>
      <c r="L1882">
        <v>7</v>
      </c>
      <c r="O1882">
        <v>7</v>
      </c>
      <c r="P1882">
        <v>4</v>
      </c>
      <c r="Q1882">
        <v>0</v>
      </c>
      <c r="R1882">
        <v>49.55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H1882">
        <v>49.55</v>
      </c>
    </row>
    <row r="1883" spans="1:34" x14ac:dyDescent="0.3">
      <c r="A1883" s="4">
        <v>1999</v>
      </c>
      <c r="B1883" s="5">
        <v>1876</v>
      </c>
      <c r="C1883">
        <v>7144</v>
      </c>
      <c r="D1883" t="s">
        <v>21571</v>
      </c>
      <c r="E1883" t="s">
        <v>54</v>
      </c>
      <c r="F1883" t="s">
        <v>38</v>
      </c>
      <c r="G1883" t="s">
        <v>21572</v>
      </c>
      <c r="H1883">
        <v>19.53</v>
      </c>
      <c r="I1883">
        <v>0</v>
      </c>
      <c r="J1883">
        <v>0</v>
      </c>
      <c r="K1883">
        <v>20</v>
      </c>
      <c r="N1883">
        <v>3</v>
      </c>
      <c r="O1883">
        <v>3</v>
      </c>
      <c r="P1883">
        <v>4</v>
      </c>
      <c r="Q1883">
        <v>0</v>
      </c>
      <c r="R1883">
        <v>46.53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3</v>
      </c>
      <c r="AC1883">
        <v>0</v>
      </c>
      <c r="AH1883">
        <v>49.53</v>
      </c>
    </row>
    <row r="1884" spans="1:34" x14ac:dyDescent="0.3">
      <c r="A1884" s="4">
        <v>2000</v>
      </c>
      <c r="B1884" s="5">
        <v>1877</v>
      </c>
      <c r="C1884">
        <v>14409</v>
      </c>
      <c r="D1884" t="s">
        <v>21573</v>
      </c>
      <c r="E1884" t="s">
        <v>789</v>
      </c>
      <c r="F1884" t="s">
        <v>2370</v>
      </c>
      <c r="G1884" t="s">
        <v>21574</v>
      </c>
      <c r="H1884">
        <v>18.5</v>
      </c>
      <c r="I1884">
        <v>0</v>
      </c>
      <c r="J1884">
        <v>0</v>
      </c>
      <c r="K1884">
        <v>20</v>
      </c>
      <c r="L1884">
        <v>7</v>
      </c>
      <c r="O1884">
        <v>7</v>
      </c>
      <c r="P1884">
        <v>4</v>
      </c>
      <c r="Q1884">
        <v>0</v>
      </c>
      <c r="R1884">
        <v>49.5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H1884">
        <v>49.5</v>
      </c>
    </row>
    <row r="1885" spans="1:34" x14ac:dyDescent="0.3">
      <c r="A1885" s="4">
        <v>2001</v>
      </c>
      <c r="B1885" s="5">
        <v>1878</v>
      </c>
      <c r="C1885">
        <v>15214</v>
      </c>
      <c r="D1885" t="s">
        <v>21575</v>
      </c>
      <c r="E1885" t="s">
        <v>158</v>
      </c>
      <c r="F1885" t="s">
        <v>339</v>
      </c>
      <c r="G1885" t="s">
        <v>21576</v>
      </c>
      <c r="H1885">
        <v>18.45</v>
      </c>
      <c r="I1885">
        <v>0</v>
      </c>
      <c r="J1885">
        <v>0</v>
      </c>
      <c r="K1885">
        <v>20</v>
      </c>
      <c r="L1885">
        <v>7</v>
      </c>
      <c r="O1885">
        <v>7</v>
      </c>
      <c r="P1885">
        <v>4</v>
      </c>
      <c r="Q1885">
        <v>0</v>
      </c>
      <c r="R1885">
        <v>49.45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H1885">
        <v>49.45</v>
      </c>
    </row>
    <row r="1886" spans="1:34" x14ac:dyDescent="0.3">
      <c r="A1886" s="4">
        <v>2002</v>
      </c>
      <c r="B1886" s="5">
        <v>1879</v>
      </c>
      <c r="C1886">
        <v>9890</v>
      </c>
      <c r="D1886" t="s">
        <v>21577</v>
      </c>
      <c r="E1886" t="s">
        <v>54</v>
      </c>
      <c r="F1886" t="s">
        <v>30</v>
      </c>
      <c r="G1886" t="s">
        <v>21578</v>
      </c>
      <c r="H1886">
        <v>18.43</v>
      </c>
      <c r="I1886">
        <v>0</v>
      </c>
      <c r="J1886">
        <v>0</v>
      </c>
      <c r="K1886">
        <v>20</v>
      </c>
      <c r="L1886">
        <v>7</v>
      </c>
      <c r="O1886">
        <v>7</v>
      </c>
      <c r="P1886">
        <v>4</v>
      </c>
      <c r="Q1886">
        <v>0</v>
      </c>
      <c r="R1886">
        <v>49.43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H1886">
        <v>49.43</v>
      </c>
    </row>
    <row r="1887" spans="1:34" x14ac:dyDescent="0.3">
      <c r="A1887" s="4">
        <v>2003</v>
      </c>
      <c r="B1887" s="5">
        <v>1880</v>
      </c>
      <c r="C1887">
        <v>2</v>
      </c>
      <c r="D1887" t="s">
        <v>2695</v>
      </c>
      <c r="E1887" t="s">
        <v>789</v>
      </c>
      <c r="F1887" t="s">
        <v>30</v>
      </c>
      <c r="G1887" t="s">
        <v>21579</v>
      </c>
      <c r="H1887">
        <v>18.43</v>
      </c>
      <c r="I1887">
        <v>0</v>
      </c>
      <c r="J1887">
        <v>0</v>
      </c>
      <c r="K1887">
        <v>20</v>
      </c>
      <c r="L1887">
        <v>7</v>
      </c>
      <c r="O1887">
        <v>7</v>
      </c>
      <c r="P1887">
        <v>4</v>
      </c>
      <c r="Q1887">
        <v>0</v>
      </c>
      <c r="R1887">
        <v>49.43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H1887">
        <v>49.43</v>
      </c>
    </row>
    <row r="1888" spans="1:34" x14ac:dyDescent="0.3">
      <c r="A1888" s="4">
        <v>2004</v>
      </c>
      <c r="B1888" s="5">
        <v>1881</v>
      </c>
      <c r="C1888">
        <v>10589</v>
      </c>
      <c r="D1888" t="s">
        <v>2132</v>
      </c>
      <c r="E1888" t="s">
        <v>110</v>
      </c>
      <c r="F1888" t="s">
        <v>81</v>
      </c>
      <c r="G1888" t="s">
        <v>21580</v>
      </c>
      <c r="H1888">
        <v>18.399999999999999</v>
      </c>
      <c r="I1888">
        <v>0</v>
      </c>
      <c r="J1888">
        <v>0</v>
      </c>
      <c r="K1888">
        <v>20</v>
      </c>
      <c r="L1888">
        <v>7</v>
      </c>
      <c r="O1888">
        <v>7</v>
      </c>
      <c r="P1888">
        <v>4</v>
      </c>
      <c r="Q1888">
        <v>0</v>
      </c>
      <c r="R1888">
        <v>49.4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H1888">
        <v>49.4</v>
      </c>
    </row>
    <row r="1889" spans="1:34" x14ac:dyDescent="0.3">
      <c r="A1889" s="4">
        <v>2005</v>
      </c>
      <c r="B1889" s="5">
        <v>1882</v>
      </c>
      <c r="C1889">
        <v>6238</v>
      </c>
      <c r="D1889" t="s">
        <v>3404</v>
      </c>
      <c r="E1889" t="s">
        <v>22</v>
      </c>
      <c r="F1889" t="s">
        <v>20</v>
      </c>
      <c r="G1889" t="s">
        <v>21581</v>
      </c>
      <c r="H1889">
        <v>20.3</v>
      </c>
      <c r="I1889">
        <v>0</v>
      </c>
      <c r="J1889">
        <v>0</v>
      </c>
      <c r="K1889">
        <v>20</v>
      </c>
      <c r="N1889">
        <v>3</v>
      </c>
      <c r="O1889">
        <v>3</v>
      </c>
      <c r="P1889">
        <v>4</v>
      </c>
      <c r="Q1889">
        <v>2</v>
      </c>
      <c r="R1889">
        <v>49.3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H1889">
        <v>49.3</v>
      </c>
    </row>
    <row r="1890" spans="1:34" x14ac:dyDescent="0.3">
      <c r="A1890" s="4">
        <v>2006</v>
      </c>
      <c r="B1890" s="5">
        <v>1883</v>
      </c>
      <c r="C1890">
        <v>6437</v>
      </c>
      <c r="D1890" t="s">
        <v>21582</v>
      </c>
      <c r="E1890" t="s">
        <v>161</v>
      </c>
      <c r="F1890" t="s">
        <v>68</v>
      </c>
      <c r="G1890" t="s">
        <v>21583</v>
      </c>
      <c r="H1890">
        <v>16.25</v>
      </c>
      <c r="I1890">
        <v>0</v>
      </c>
      <c r="J1890">
        <v>0</v>
      </c>
      <c r="K1890">
        <v>20</v>
      </c>
      <c r="N1890">
        <v>6</v>
      </c>
      <c r="O1890">
        <v>6</v>
      </c>
      <c r="P1890">
        <v>4</v>
      </c>
      <c r="Q1890">
        <v>0</v>
      </c>
      <c r="R1890">
        <v>46.25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3</v>
      </c>
      <c r="AC1890">
        <v>0</v>
      </c>
      <c r="AH1890">
        <v>49.25</v>
      </c>
    </row>
    <row r="1891" spans="1:34" x14ac:dyDescent="0.3">
      <c r="A1891" s="4">
        <v>2007</v>
      </c>
      <c r="B1891" s="5">
        <v>1884</v>
      </c>
      <c r="C1891">
        <v>15568</v>
      </c>
      <c r="D1891" t="s">
        <v>1125</v>
      </c>
      <c r="E1891" t="s">
        <v>343</v>
      </c>
      <c r="F1891" t="s">
        <v>34</v>
      </c>
      <c r="G1891" t="s">
        <v>21584</v>
      </c>
      <c r="H1891">
        <v>18.25</v>
      </c>
      <c r="I1891">
        <v>0</v>
      </c>
      <c r="J1891">
        <v>0</v>
      </c>
      <c r="K1891">
        <v>20</v>
      </c>
      <c r="L1891">
        <v>7</v>
      </c>
      <c r="O1891">
        <v>7</v>
      </c>
      <c r="P1891">
        <v>4</v>
      </c>
      <c r="Q1891">
        <v>0</v>
      </c>
      <c r="R1891">
        <v>49.25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H1891">
        <v>49.25</v>
      </c>
    </row>
    <row r="1892" spans="1:34" x14ac:dyDescent="0.3">
      <c r="A1892" s="4">
        <v>2008</v>
      </c>
      <c r="B1892" s="5">
        <v>1885</v>
      </c>
      <c r="C1892">
        <v>6944</v>
      </c>
      <c r="D1892" t="s">
        <v>21585</v>
      </c>
      <c r="E1892" t="s">
        <v>8150</v>
      </c>
      <c r="F1892" t="s">
        <v>782</v>
      </c>
      <c r="G1892" t="s">
        <v>21586</v>
      </c>
      <c r="H1892">
        <v>18.23</v>
      </c>
      <c r="I1892">
        <v>0</v>
      </c>
      <c r="J1892">
        <v>0</v>
      </c>
      <c r="K1892">
        <v>20</v>
      </c>
      <c r="L1892">
        <v>7</v>
      </c>
      <c r="O1892">
        <v>7</v>
      </c>
      <c r="P1892">
        <v>4</v>
      </c>
      <c r="Q1892">
        <v>0</v>
      </c>
      <c r="R1892">
        <v>49.23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H1892">
        <v>49.23</v>
      </c>
    </row>
    <row r="1893" spans="1:34" x14ac:dyDescent="0.3">
      <c r="A1893" s="4">
        <v>2009</v>
      </c>
      <c r="B1893" s="5">
        <v>1886</v>
      </c>
      <c r="C1893">
        <v>9525</v>
      </c>
      <c r="D1893" t="s">
        <v>1432</v>
      </c>
      <c r="E1893" t="s">
        <v>5537</v>
      </c>
      <c r="F1893" t="s">
        <v>17</v>
      </c>
      <c r="G1893" t="s">
        <v>21587</v>
      </c>
      <c r="H1893">
        <v>18.23</v>
      </c>
      <c r="I1893">
        <v>0</v>
      </c>
      <c r="J1893">
        <v>0</v>
      </c>
      <c r="K1893">
        <v>20</v>
      </c>
      <c r="L1893">
        <v>7</v>
      </c>
      <c r="O1893">
        <v>7</v>
      </c>
      <c r="P1893">
        <v>4</v>
      </c>
      <c r="Q1893">
        <v>0</v>
      </c>
      <c r="R1893">
        <v>49.23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H1893">
        <v>49.23</v>
      </c>
    </row>
    <row r="1894" spans="1:34" x14ac:dyDescent="0.3">
      <c r="A1894" s="4">
        <v>2010</v>
      </c>
      <c r="B1894" s="5">
        <v>1887</v>
      </c>
      <c r="C1894">
        <v>128</v>
      </c>
      <c r="D1894" t="s">
        <v>18289</v>
      </c>
      <c r="E1894" t="s">
        <v>255</v>
      </c>
      <c r="F1894" t="s">
        <v>38</v>
      </c>
      <c r="G1894" t="s">
        <v>21588</v>
      </c>
      <c r="H1894">
        <v>21.2</v>
      </c>
      <c r="I1894">
        <v>0</v>
      </c>
      <c r="J1894">
        <v>0</v>
      </c>
      <c r="K1894">
        <v>0</v>
      </c>
      <c r="O1894">
        <v>0</v>
      </c>
      <c r="P1894">
        <v>4</v>
      </c>
      <c r="Q1894">
        <v>0</v>
      </c>
      <c r="R1894">
        <v>25.2</v>
      </c>
      <c r="S1894">
        <v>18</v>
      </c>
      <c r="T1894">
        <v>18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18</v>
      </c>
      <c r="AB1894">
        <v>6</v>
      </c>
      <c r="AC1894">
        <v>0</v>
      </c>
      <c r="AH1894">
        <v>49.2</v>
      </c>
    </row>
    <row r="1895" spans="1:34" x14ac:dyDescent="0.3">
      <c r="A1895" s="4">
        <v>2011</v>
      </c>
      <c r="B1895" s="5">
        <v>1888</v>
      </c>
      <c r="C1895">
        <v>3016</v>
      </c>
      <c r="D1895" t="s">
        <v>21589</v>
      </c>
      <c r="E1895" t="s">
        <v>328</v>
      </c>
      <c r="F1895" t="s">
        <v>20</v>
      </c>
      <c r="G1895" t="s">
        <v>21590</v>
      </c>
      <c r="H1895">
        <v>18.2</v>
      </c>
      <c r="I1895">
        <v>0</v>
      </c>
      <c r="J1895">
        <v>0</v>
      </c>
      <c r="K1895">
        <v>20</v>
      </c>
      <c r="L1895">
        <v>7</v>
      </c>
      <c r="O1895">
        <v>7</v>
      </c>
      <c r="P1895">
        <v>4</v>
      </c>
      <c r="Q1895">
        <v>0</v>
      </c>
      <c r="R1895">
        <v>49.2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H1895">
        <v>49.2</v>
      </c>
    </row>
    <row r="1896" spans="1:34" x14ac:dyDescent="0.3">
      <c r="A1896" s="4">
        <v>2012</v>
      </c>
      <c r="B1896" s="5">
        <v>1889</v>
      </c>
      <c r="C1896">
        <v>4635</v>
      </c>
      <c r="D1896" t="s">
        <v>21591</v>
      </c>
      <c r="E1896" t="s">
        <v>147</v>
      </c>
      <c r="F1896" t="s">
        <v>117</v>
      </c>
      <c r="G1896" t="s">
        <v>21592</v>
      </c>
      <c r="H1896">
        <v>18.2</v>
      </c>
      <c r="I1896">
        <v>0</v>
      </c>
      <c r="J1896">
        <v>0</v>
      </c>
      <c r="K1896">
        <v>0</v>
      </c>
      <c r="O1896">
        <v>0</v>
      </c>
      <c r="P1896">
        <v>4</v>
      </c>
      <c r="Q1896">
        <v>2</v>
      </c>
      <c r="R1896">
        <v>24.2</v>
      </c>
      <c r="S1896">
        <v>25</v>
      </c>
      <c r="T1896">
        <v>25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25</v>
      </c>
      <c r="AB1896">
        <v>0</v>
      </c>
      <c r="AC1896">
        <v>0</v>
      </c>
      <c r="AH1896">
        <v>49.2</v>
      </c>
    </row>
    <row r="1897" spans="1:34" x14ac:dyDescent="0.3">
      <c r="A1897" s="4">
        <v>2013</v>
      </c>
      <c r="B1897" s="5">
        <v>1890</v>
      </c>
      <c r="C1897">
        <v>3608</v>
      </c>
      <c r="D1897" t="s">
        <v>21593</v>
      </c>
      <c r="E1897" t="s">
        <v>21594</v>
      </c>
      <c r="F1897" t="s">
        <v>34</v>
      </c>
      <c r="G1897" t="s">
        <v>21595</v>
      </c>
      <c r="H1897">
        <v>19.18</v>
      </c>
      <c r="I1897">
        <v>0</v>
      </c>
      <c r="J1897">
        <v>0</v>
      </c>
      <c r="K1897">
        <v>20</v>
      </c>
      <c r="N1897">
        <v>6</v>
      </c>
      <c r="O1897">
        <v>6</v>
      </c>
      <c r="P1897">
        <v>4</v>
      </c>
      <c r="Q1897">
        <v>0</v>
      </c>
      <c r="R1897">
        <v>49.18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H1897">
        <v>49.18</v>
      </c>
    </row>
    <row r="1898" spans="1:34" x14ac:dyDescent="0.3">
      <c r="A1898" s="4">
        <v>2014</v>
      </c>
      <c r="B1898" s="5">
        <v>1891</v>
      </c>
      <c r="C1898">
        <v>9978</v>
      </c>
      <c r="D1898" t="s">
        <v>3996</v>
      </c>
      <c r="E1898" t="s">
        <v>51</v>
      </c>
      <c r="F1898" t="s">
        <v>38</v>
      </c>
      <c r="G1898" t="s">
        <v>21596</v>
      </c>
      <c r="H1898">
        <v>18.149999999999999</v>
      </c>
      <c r="I1898">
        <v>0</v>
      </c>
      <c r="J1898">
        <v>0</v>
      </c>
      <c r="K1898">
        <v>0</v>
      </c>
      <c r="N1898">
        <v>3</v>
      </c>
      <c r="O1898">
        <v>3</v>
      </c>
      <c r="P1898">
        <v>4</v>
      </c>
      <c r="Q1898">
        <v>2</v>
      </c>
      <c r="R1898">
        <v>27.15</v>
      </c>
      <c r="S1898">
        <v>5</v>
      </c>
      <c r="T1898">
        <v>5</v>
      </c>
      <c r="U1898">
        <v>7</v>
      </c>
      <c r="V1898">
        <v>14</v>
      </c>
      <c r="W1898">
        <v>0</v>
      </c>
      <c r="X1898">
        <v>0</v>
      </c>
      <c r="Y1898">
        <v>0</v>
      </c>
      <c r="Z1898">
        <v>0</v>
      </c>
      <c r="AA1898">
        <v>19</v>
      </c>
      <c r="AB1898">
        <v>3</v>
      </c>
      <c r="AC1898">
        <v>0</v>
      </c>
      <c r="AH1898">
        <v>49.15</v>
      </c>
    </row>
    <row r="1899" spans="1:34" x14ac:dyDescent="0.3">
      <c r="A1899" s="4">
        <v>2015</v>
      </c>
      <c r="B1899" s="5">
        <v>1892</v>
      </c>
      <c r="C1899">
        <v>7995</v>
      </c>
      <c r="D1899" t="s">
        <v>17824</v>
      </c>
      <c r="E1899" t="s">
        <v>869</v>
      </c>
      <c r="F1899" t="s">
        <v>20</v>
      </c>
      <c r="G1899" t="s">
        <v>21597</v>
      </c>
      <c r="H1899">
        <v>18.13</v>
      </c>
      <c r="I1899">
        <v>0</v>
      </c>
      <c r="J1899">
        <v>0</v>
      </c>
      <c r="K1899">
        <v>20</v>
      </c>
      <c r="L1899">
        <v>7</v>
      </c>
      <c r="O1899">
        <v>7</v>
      </c>
      <c r="P1899">
        <v>4</v>
      </c>
      <c r="Q1899">
        <v>0</v>
      </c>
      <c r="R1899">
        <v>49.13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H1899">
        <v>49.13</v>
      </c>
    </row>
    <row r="1900" spans="1:34" x14ac:dyDescent="0.3">
      <c r="A1900" s="4">
        <v>2016</v>
      </c>
      <c r="B1900" s="5">
        <v>1893</v>
      </c>
      <c r="C1900">
        <v>4977</v>
      </c>
      <c r="D1900" t="s">
        <v>21598</v>
      </c>
      <c r="E1900" t="s">
        <v>29</v>
      </c>
      <c r="F1900" t="s">
        <v>158</v>
      </c>
      <c r="G1900" t="s">
        <v>21599</v>
      </c>
      <c r="H1900">
        <v>19.100000000000001</v>
      </c>
      <c r="I1900">
        <v>0</v>
      </c>
      <c r="J1900">
        <v>0</v>
      </c>
      <c r="K1900">
        <v>20</v>
      </c>
      <c r="N1900">
        <v>3</v>
      </c>
      <c r="O1900">
        <v>3</v>
      </c>
      <c r="P1900">
        <v>4</v>
      </c>
      <c r="Q1900">
        <v>0</v>
      </c>
      <c r="R1900">
        <v>46.1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3</v>
      </c>
      <c r="AC1900">
        <v>0</v>
      </c>
      <c r="AH1900">
        <v>49.1</v>
      </c>
    </row>
    <row r="1901" spans="1:34" x14ac:dyDescent="0.3">
      <c r="A1901" s="4">
        <v>2017</v>
      </c>
      <c r="B1901" s="5">
        <v>1894</v>
      </c>
      <c r="C1901">
        <v>13406</v>
      </c>
      <c r="D1901" t="s">
        <v>10869</v>
      </c>
      <c r="E1901" t="s">
        <v>88</v>
      </c>
      <c r="F1901" t="s">
        <v>20</v>
      </c>
      <c r="G1901" t="s">
        <v>21600</v>
      </c>
      <c r="H1901">
        <v>18.100000000000001</v>
      </c>
      <c r="I1901">
        <v>0</v>
      </c>
      <c r="J1901">
        <v>0</v>
      </c>
      <c r="K1901">
        <v>20</v>
      </c>
      <c r="L1901">
        <v>7</v>
      </c>
      <c r="O1901">
        <v>7</v>
      </c>
      <c r="P1901">
        <v>4</v>
      </c>
      <c r="Q1901">
        <v>0</v>
      </c>
      <c r="R1901">
        <v>49.1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H1901">
        <v>49.1</v>
      </c>
    </row>
    <row r="1902" spans="1:34" x14ac:dyDescent="0.3">
      <c r="A1902" s="4">
        <v>2018</v>
      </c>
      <c r="B1902" s="5">
        <v>1895</v>
      </c>
      <c r="C1902">
        <v>14375</v>
      </c>
      <c r="D1902" t="s">
        <v>21601</v>
      </c>
      <c r="E1902" t="s">
        <v>471</v>
      </c>
      <c r="F1902" t="s">
        <v>243</v>
      </c>
      <c r="G1902" t="s">
        <v>21602</v>
      </c>
      <c r="H1902">
        <v>19</v>
      </c>
      <c r="I1902">
        <v>0</v>
      </c>
      <c r="J1902">
        <v>0</v>
      </c>
      <c r="K1902">
        <v>0</v>
      </c>
      <c r="O1902">
        <v>0</v>
      </c>
      <c r="P1902">
        <v>4</v>
      </c>
      <c r="Q1902">
        <v>0</v>
      </c>
      <c r="R1902">
        <v>23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6</v>
      </c>
      <c r="AC1902">
        <v>20</v>
      </c>
      <c r="AH1902">
        <v>49</v>
      </c>
    </row>
    <row r="1903" spans="1:34" x14ac:dyDescent="0.3">
      <c r="A1903" s="4">
        <v>2019</v>
      </c>
      <c r="B1903" s="5">
        <v>1896</v>
      </c>
      <c r="C1903">
        <v>8389</v>
      </c>
      <c r="D1903" t="s">
        <v>3212</v>
      </c>
      <c r="E1903" t="s">
        <v>147</v>
      </c>
      <c r="F1903" t="s">
        <v>343</v>
      </c>
      <c r="G1903" t="s">
        <v>21603</v>
      </c>
      <c r="H1903">
        <v>20</v>
      </c>
      <c r="I1903">
        <v>0</v>
      </c>
      <c r="J1903">
        <v>0</v>
      </c>
      <c r="K1903">
        <v>0</v>
      </c>
      <c r="M1903">
        <v>5</v>
      </c>
      <c r="O1903">
        <v>5</v>
      </c>
      <c r="P1903">
        <v>4</v>
      </c>
      <c r="Q1903">
        <v>2</v>
      </c>
      <c r="R1903">
        <v>31</v>
      </c>
      <c r="S1903">
        <v>18</v>
      </c>
      <c r="T1903">
        <v>18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18</v>
      </c>
      <c r="AB1903">
        <v>0</v>
      </c>
      <c r="AC1903">
        <v>0</v>
      </c>
      <c r="AH1903">
        <v>49</v>
      </c>
    </row>
    <row r="1904" spans="1:34" x14ac:dyDescent="0.3">
      <c r="A1904" s="4">
        <v>2020</v>
      </c>
      <c r="B1904" s="5">
        <v>1897</v>
      </c>
      <c r="C1904">
        <v>6003</v>
      </c>
      <c r="D1904" t="s">
        <v>21604</v>
      </c>
      <c r="E1904" t="s">
        <v>38</v>
      </c>
      <c r="F1904" t="s">
        <v>124</v>
      </c>
      <c r="G1904" t="s">
        <v>21605</v>
      </c>
      <c r="H1904">
        <v>17.98</v>
      </c>
      <c r="I1904">
        <v>0</v>
      </c>
      <c r="J1904">
        <v>0</v>
      </c>
      <c r="K1904">
        <v>20</v>
      </c>
      <c r="L1904">
        <v>7</v>
      </c>
      <c r="O1904">
        <v>7</v>
      </c>
      <c r="P1904">
        <v>4</v>
      </c>
      <c r="Q1904">
        <v>0</v>
      </c>
      <c r="R1904">
        <v>48.98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H1904">
        <v>48.98</v>
      </c>
    </row>
    <row r="1905" spans="1:34" x14ac:dyDescent="0.3">
      <c r="A1905" s="4">
        <v>2021</v>
      </c>
      <c r="B1905" s="5">
        <v>1898</v>
      </c>
      <c r="C1905">
        <v>363</v>
      </c>
      <c r="D1905" t="s">
        <v>21606</v>
      </c>
      <c r="E1905" t="s">
        <v>1450</v>
      </c>
      <c r="F1905" t="s">
        <v>158</v>
      </c>
      <c r="G1905" t="s">
        <v>21607</v>
      </c>
      <c r="H1905">
        <v>15.95</v>
      </c>
      <c r="I1905">
        <v>0</v>
      </c>
      <c r="J1905">
        <v>0</v>
      </c>
      <c r="K1905">
        <v>20</v>
      </c>
      <c r="N1905">
        <v>3</v>
      </c>
      <c r="O1905">
        <v>3</v>
      </c>
      <c r="P1905">
        <v>4</v>
      </c>
      <c r="Q1905">
        <v>0</v>
      </c>
      <c r="R1905">
        <v>42.95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6</v>
      </c>
      <c r="AC1905">
        <v>0</v>
      </c>
      <c r="AH1905">
        <v>48.95</v>
      </c>
    </row>
    <row r="1906" spans="1:34" x14ac:dyDescent="0.3">
      <c r="A1906" s="4">
        <v>2022</v>
      </c>
      <c r="B1906" s="5">
        <v>1899</v>
      </c>
      <c r="C1906">
        <v>5380</v>
      </c>
      <c r="D1906" t="s">
        <v>1752</v>
      </c>
      <c r="E1906" t="s">
        <v>21608</v>
      </c>
      <c r="F1906" t="s">
        <v>10805</v>
      </c>
      <c r="G1906" t="s">
        <v>21609</v>
      </c>
      <c r="H1906">
        <v>18.95</v>
      </c>
      <c r="I1906">
        <v>0</v>
      </c>
      <c r="J1906">
        <v>0</v>
      </c>
      <c r="K1906">
        <v>20</v>
      </c>
      <c r="N1906">
        <v>6</v>
      </c>
      <c r="O1906">
        <v>6</v>
      </c>
      <c r="P1906">
        <v>4</v>
      </c>
      <c r="Q1906">
        <v>0</v>
      </c>
      <c r="R1906">
        <v>48.95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H1906">
        <v>48.95</v>
      </c>
    </row>
    <row r="1907" spans="1:34" x14ac:dyDescent="0.3">
      <c r="A1907" s="4">
        <v>2023</v>
      </c>
      <c r="B1907" s="5">
        <v>1900</v>
      </c>
      <c r="C1907">
        <v>15653</v>
      </c>
      <c r="D1907" t="s">
        <v>21610</v>
      </c>
      <c r="E1907" t="s">
        <v>21611</v>
      </c>
      <c r="F1907" t="s">
        <v>81</v>
      </c>
      <c r="G1907" t="s">
        <v>21612</v>
      </c>
      <c r="H1907">
        <v>17.95</v>
      </c>
      <c r="I1907">
        <v>0</v>
      </c>
      <c r="J1907">
        <v>0</v>
      </c>
      <c r="K1907">
        <v>20</v>
      </c>
      <c r="L1907">
        <v>7</v>
      </c>
      <c r="O1907">
        <v>7</v>
      </c>
      <c r="P1907">
        <v>4</v>
      </c>
      <c r="Q1907">
        <v>0</v>
      </c>
      <c r="R1907">
        <v>48.95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H1907">
        <v>48.95</v>
      </c>
    </row>
    <row r="1908" spans="1:34" x14ac:dyDescent="0.3">
      <c r="A1908" s="4">
        <v>2024</v>
      </c>
      <c r="B1908" s="5">
        <v>1901</v>
      </c>
      <c r="C1908">
        <v>7822</v>
      </c>
      <c r="D1908" t="s">
        <v>1831</v>
      </c>
      <c r="E1908" t="s">
        <v>2372</v>
      </c>
      <c r="F1908" t="s">
        <v>375</v>
      </c>
      <c r="G1908" t="s">
        <v>21613</v>
      </c>
      <c r="H1908">
        <v>16.93</v>
      </c>
      <c r="I1908">
        <v>0</v>
      </c>
      <c r="J1908">
        <v>0</v>
      </c>
      <c r="K1908">
        <v>20</v>
      </c>
      <c r="M1908">
        <v>5</v>
      </c>
      <c r="O1908">
        <v>5</v>
      </c>
      <c r="P1908">
        <v>4</v>
      </c>
      <c r="Q1908">
        <v>0</v>
      </c>
      <c r="R1908">
        <v>45.93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3</v>
      </c>
      <c r="AC1908">
        <v>0</v>
      </c>
      <c r="AH1908">
        <v>48.93</v>
      </c>
    </row>
    <row r="1909" spans="1:34" x14ac:dyDescent="0.3">
      <c r="A1909" s="4">
        <v>2025</v>
      </c>
      <c r="B1909" s="5">
        <v>1902</v>
      </c>
      <c r="C1909">
        <v>9290</v>
      </c>
      <c r="D1909" t="s">
        <v>21614</v>
      </c>
      <c r="E1909" t="s">
        <v>10100</v>
      </c>
      <c r="F1909" t="s">
        <v>21615</v>
      </c>
      <c r="G1909" t="s">
        <v>21616</v>
      </c>
      <c r="H1909">
        <v>19.88</v>
      </c>
      <c r="I1909">
        <v>0</v>
      </c>
      <c r="J1909">
        <v>0</v>
      </c>
      <c r="K1909">
        <v>20</v>
      </c>
      <c r="N1909">
        <v>3</v>
      </c>
      <c r="O1909">
        <v>3</v>
      </c>
      <c r="P1909">
        <v>4</v>
      </c>
      <c r="Q1909">
        <v>2</v>
      </c>
      <c r="R1909">
        <v>48.88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H1909">
        <v>48.88</v>
      </c>
    </row>
    <row r="1910" spans="1:34" x14ac:dyDescent="0.3">
      <c r="A1910" s="4">
        <v>2026</v>
      </c>
      <c r="B1910" s="5">
        <v>1903</v>
      </c>
      <c r="C1910">
        <v>12747</v>
      </c>
      <c r="D1910" t="s">
        <v>226</v>
      </c>
      <c r="E1910" t="s">
        <v>166</v>
      </c>
      <c r="F1910" t="s">
        <v>158</v>
      </c>
      <c r="G1910" t="s">
        <v>21617</v>
      </c>
      <c r="H1910">
        <v>16.850000000000001</v>
      </c>
      <c r="I1910">
        <v>0</v>
      </c>
      <c r="J1910">
        <v>0</v>
      </c>
      <c r="K1910">
        <v>0</v>
      </c>
      <c r="L1910">
        <v>7</v>
      </c>
      <c r="O1910">
        <v>7</v>
      </c>
      <c r="P1910">
        <v>4</v>
      </c>
      <c r="Q1910">
        <v>0</v>
      </c>
      <c r="R1910">
        <v>27.85</v>
      </c>
      <c r="S1910">
        <v>18</v>
      </c>
      <c r="T1910">
        <v>18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18</v>
      </c>
      <c r="AB1910">
        <v>3</v>
      </c>
      <c r="AC1910">
        <v>0</v>
      </c>
      <c r="AH1910">
        <v>48.85</v>
      </c>
    </row>
    <row r="1911" spans="1:34" x14ac:dyDescent="0.3">
      <c r="A1911" s="4">
        <v>2027</v>
      </c>
      <c r="B1911" s="5">
        <v>1904</v>
      </c>
      <c r="C1911">
        <v>9628</v>
      </c>
      <c r="D1911" t="s">
        <v>21618</v>
      </c>
      <c r="E1911" t="s">
        <v>7957</v>
      </c>
      <c r="F1911" t="s">
        <v>30</v>
      </c>
      <c r="G1911" t="s">
        <v>21619</v>
      </c>
      <c r="H1911">
        <v>17.829999999999998</v>
      </c>
      <c r="I1911">
        <v>0</v>
      </c>
      <c r="J1911">
        <v>0</v>
      </c>
      <c r="K1911">
        <v>20</v>
      </c>
      <c r="L1911">
        <v>7</v>
      </c>
      <c r="O1911">
        <v>7</v>
      </c>
      <c r="P1911">
        <v>4</v>
      </c>
      <c r="Q1911">
        <v>0</v>
      </c>
      <c r="R1911">
        <v>48.83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H1911">
        <v>48.83</v>
      </c>
    </row>
    <row r="1912" spans="1:34" x14ac:dyDescent="0.3">
      <c r="A1912" s="4">
        <v>2028</v>
      </c>
      <c r="B1912" s="5">
        <v>1905</v>
      </c>
      <c r="C1912">
        <v>1739</v>
      </c>
      <c r="D1912" t="s">
        <v>21620</v>
      </c>
      <c r="E1912" t="s">
        <v>21621</v>
      </c>
      <c r="F1912" t="s">
        <v>339</v>
      </c>
      <c r="G1912" t="s">
        <v>21622</v>
      </c>
      <c r="H1912">
        <v>17.829999999999998</v>
      </c>
      <c r="I1912">
        <v>0</v>
      </c>
      <c r="J1912">
        <v>0</v>
      </c>
      <c r="K1912">
        <v>0</v>
      </c>
      <c r="L1912">
        <v>7</v>
      </c>
      <c r="O1912">
        <v>7</v>
      </c>
      <c r="P1912">
        <v>4</v>
      </c>
      <c r="Q1912">
        <v>2</v>
      </c>
      <c r="R1912">
        <v>30.83</v>
      </c>
      <c r="S1912">
        <v>18</v>
      </c>
      <c r="T1912">
        <v>18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18</v>
      </c>
      <c r="AB1912">
        <v>0</v>
      </c>
      <c r="AC1912">
        <v>0</v>
      </c>
      <c r="AH1912">
        <v>48.83</v>
      </c>
    </row>
    <row r="1913" spans="1:34" x14ac:dyDescent="0.3">
      <c r="A1913" s="4">
        <v>2029</v>
      </c>
      <c r="B1913" s="5">
        <v>1906</v>
      </c>
      <c r="C1913">
        <v>4891</v>
      </c>
      <c r="D1913" t="s">
        <v>21623</v>
      </c>
      <c r="E1913" t="s">
        <v>188</v>
      </c>
      <c r="F1913" t="s">
        <v>91</v>
      </c>
      <c r="G1913" t="s">
        <v>21624</v>
      </c>
      <c r="H1913">
        <v>21.8</v>
      </c>
      <c r="I1913">
        <v>0</v>
      </c>
      <c r="J1913">
        <v>0</v>
      </c>
      <c r="K1913">
        <v>20</v>
      </c>
      <c r="L1913">
        <v>7</v>
      </c>
      <c r="O1913">
        <v>7</v>
      </c>
      <c r="P1913">
        <v>0</v>
      </c>
      <c r="Q1913">
        <v>0</v>
      </c>
      <c r="R1913">
        <v>48.8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H1913">
        <v>48.8</v>
      </c>
    </row>
    <row r="1914" spans="1:34" x14ac:dyDescent="0.3">
      <c r="A1914" s="4">
        <v>2030</v>
      </c>
      <c r="B1914" s="5">
        <v>1907</v>
      </c>
      <c r="C1914">
        <v>5450</v>
      </c>
      <c r="D1914" t="s">
        <v>15632</v>
      </c>
      <c r="E1914" t="s">
        <v>21625</v>
      </c>
      <c r="F1914" t="s">
        <v>68</v>
      </c>
      <c r="G1914" t="s">
        <v>21626</v>
      </c>
      <c r="H1914">
        <v>17.8</v>
      </c>
      <c r="I1914">
        <v>0</v>
      </c>
      <c r="J1914">
        <v>0</v>
      </c>
      <c r="K1914">
        <v>20</v>
      </c>
      <c r="L1914">
        <v>7</v>
      </c>
      <c r="O1914">
        <v>7</v>
      </c>
      <c r="P1914">
        <v>4</v>
      </c>
      <c r="Q1914">
        <v>0</v>
      </c>
      <c r="R1914">
        <v>48.8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H1914">
        <v>48.8</v>
      </c>
    </row>
    <row r="1915" spans="1:34" x14ac:dyDescent="0.3">
      <c r="A1915" s="4">
        <v>2031</v>
      </c>
      <c r="B1915" s="5">
        <v>1908</v>
      </c>
      <c r="C1915">
        <v>1307</v>
      </c>
      <c r="D1915" t="s">
        <v>21627</v>
      </c>
      <c r="E1915" t="s">
        <v>100</v>
      </c>
      <c r="F1915" t="s">
        <v>17</v>
      </c>
      <c r="G1915" t="s">
        <v>21628</v>
      </c>
      <c r="H1915">
        <v>18.78</v>
      </c>
      <c r="I1915">
        <v>0</v>
      </c>
      <c r="J1915">
        <v>0</v>
      </c>
      <c r="K1915">
        <v>20</v>
      </c>
      <c r="N1915">
        <v>3</v>
      </c>
      <c r="O1915">
        <v>3</v>
      </c>
      <c r="P1915">
        <v>4</v>
      </c>
      <c r="Q1915">
        <v>0</v>
      </c>
      <c r="R1915">
        <v>45.78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3</v>
      </c>
      <c r="AC1915">
        <v>0</v>
      </c>
      <c r="AH1915">
        <v>48.78</v>
      </c>
    </row>
    <row r="1916" spans="1:34" x14ac:dyDescent="0.3">
      <c r="A1916" s="4">
        <v>2032</v>
      </c>
      <c r="B1916" s="5">
        <v>1909</v>
      </c>
      <c r="C1916">
        <v>4101</v>
      </c>
      <c r="D1916" t="s">
        <v>21629</v>
      </c>
      <c r="E1916" t="s">
        <v>792</v>
      </c>
      <c r="F1916" t="s">
        <v>2582</v>
      </c>
      <c r="G1916" t="s">
        <v>21630</v>
      </c>
      <c r="H1916">
        <v>18.75</v>
      </c>
      <c r="I1916">
        <v>0</v>
      </c>
      <c r="J1916">
        <v>0</v>
      </c>
      <c r="K1916">
        <v>20</v>
      </c>
      <c r="N1916">
        <v>3</v>
      </c>
      <c r="O1916">
        <v>3</v>
      </c>
      <c r="P1916">
        <v>4</v>
      </c>
      <c r="Q1916">
        <v>0</v>
      </c>
      <c r="R1916">
        <v>45.75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3</v>
      </c>
      <c r="AC1916">
        <v>0</v>
      </c>
      <c r="AH1916">
        <v>48.75</v>
      </c>
    </row>
    <row r="1917" spans="1:34" x14ac:dyDescent="0.3">
      <c r="A1917" s="4">
        <v>2033</v>
      </c>
      <c r="B1917" s="5">
        <v>1910</v>
      </c>
      <c r="C1917">
        <v>12421</v>
      </c>
      <c r="D1917" t="s">
        <v>21631</v>
      </c>
      <c r="E1917" t="s">
        <v>861</v>
      </c>
      <c r="F1917" t="s">
        <v>136</v>
      </c>
      <c r="G1917" t="s">
        <v>21632</v>
      </c>
      <c r="H1917">
        <v>17.75</v>
      </c>
      <c r="I1917">
        <v>0</v>
      </c>
      <c r="J1917">
        <v>0</v>
      </c>
      <c r="K1917">
        <v>20</v>
      </c>
      <c r="L1917">
        <v>7</v>
      </c>
      <c r="O1917">
        <v>7</v>
      </c>
      <c r="P1917">
        <v>4</v>
      </c>
      <c r="Q1917">
        <v>0</v>
      </c>
      <c r="R1917">
        <v>48.75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H1917">
        <v>48.75</v>
      </c>
    </row>
    <row r="1918" spans="1:34" x14ac:dyDescent="0.3">
      <c r="A1918" s="4">
        <v>2034</v>
      </c>
      <c r="B1918" s="5">
        <v>1911</v>
      </c>
      <c r="C1918">
        <v>9944</v>
      </c>
      <c r="D1918" t="s">
        <v>9127</v>
      </c>
      <c r="E1918" t="s">
        <v>158</v>
      </c>
      <c r="F1918" t="s">
        <v>81</v>
      </c>
      <c r="G1918" t="s">
        <v>21633</v>
      </c>
      <c r="H1918">
        <v>18.73</v>
      </c>
      <c r="I1918">
        <v>0</v>
      </c>
      <c r="J1918">
        <v>0</v>
      </c>
      <c r="K1918">
        <v>20</v>
      </c>
      <c r="N1918">
        <v>3</v>
      </c>
      <c r="O1918">
        <v>3</v>
      </c>
      <c r="P1918">
        <v>4</v>
      </c>
      <c r="Q1918">
        <v>0</v>
      </c>
      <c r="R1918">
        <v>45.73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3</v>
      </c>
      <c r="AC1918">
        <v>0</v>
      </c>
      <c r="AH1918">
        <v>48.73</v>
      </c>
    </row>
    <row r="1919" spans="1:34" x14ac:dyDescent="0.3">
      <c r="A1919" s="4">
        <v>2035</v>
      </c>
      <c r="B1919" s="5">
        <v>1912</v>
      </c>
      <c r="C1919">
        <v>11935</v>
      </c>
      <c r="D1919" t="s">
        <v>21634</v>
      </c>
      <c r="E1919" t="s">
        <v>33</v>
      </c>
      <c r="F1919" t="s">
        <v>21635</v>
      </c>
      <c r="G1919" t="s">
        <v>32072</v>
      </c>
      <c r="H1919">
        <v>17.73</v>
      </c>
      <c r="I1919">
        <v>0</v>
      </c>
      <c r="J1919">
        <v>0</v>
      </c>
      <c r="K1919">
        <v>20</v>
      </c>
      <c r="L1919">
        <v>7</v>
      </c>
      <c r="O1919">
        <v>7</v>
      </c>
      <c r="P1919">
        <v>4</v>
      </c>
      <c r="Q1919">
        <v>0</v>
      </c>
      <c r="R1919">
        <v>48.73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H1919">
        <v>48.73</v>
      </c>
    </row>
    <row r="1920" spans="1:34" x14ac:dyDescent="0.3">
      <c r="A1920" s="4">
        <v>2036</v>
      </c>
      <c r="B1920" s="5">
        <v>1913</v>
      </c>
      <c r="C1920">
        <v>6808</v>
      </c>
      <c r="D1920" t="s">
        <v>21636</v>
      </c>
      <c r="E1920" t="s">
        <v>188</v>
      </c>
      <c r="F1920" t="s">
        <v>17</v>
      </c>
      <c r="G1920" t="s">
        <v>21637</v>
      </c>
      <c r="H1920">
        <v>19.7</v>
      </c>
      <c r="I1920">
        <v>0</v>
      </c>
      <c r="J1920">
        <v>0</v>
      </c>
      <c r="K1920">
        <v>0</v>
      </c>
      <c r="O1920">
        <v>0</v>
      </c>
      <c r="P1920">
        <v>4</v>
      </c>
      <c r="Q1920">
        <v>2</v>
      </c>
      <c r="R1920">
        <v>25.7</v>
      </c>
      <c r="S1920">
        <v>17</v>
      </c>
      <c r="T1920">
        <v>17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17</v>
      </c>
      <c r="AB1920">
        <v>6</v>
      </c>
      <c r="AC1920">
        <v>0</v>
      </c>
      <c r="AH1920">
        <v>48.7</v>
      </c>
    </row>
    <row r="1921" spans="1:34" x14ac:dyDescent="0.3">
      <c r="A1921" s="4">
        <v>2037</v>
      </c>
      <c r="B1921" s="5">
        <v>1914</v>
      </c>
      <c r="C1921">
        <v>13654</v>
      </c>
      <c r="D1921" t="s">
        <v>4257</v>
      </c>
      <c r="E1921" t="s">
        <v>54</v>
      </c>
      <c r="F1921" t="s">
        <v>117</v>
      </c>
      <c r="G1921" t="s">
        <v>21638</v>
      </c>
      <c r="H1921">
        <v>21.7</v>
      </c>
      <c r="I1921">
        <v>0</v>
      </c>
      <c r="J1921">
        <v>0</v>
      </c>
      <c r="K1921">
        <v>20</v>
      </c>
      <c r="N1921">
        <v>3</v>
      </c>
      <c r="O1921">
        <v>3</v>
      </c>
      <c r="P1921">
        <v>4</v>
      </c>
      <c r="Q1921">
        <v>0</v>
      </c>
      <c r="R1921">
        <v>48.7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H1921">
        <v>48.7</v>
      </c>
    </row>
    <row r="1922" spans="1:34" x14ac:dyDescent="0.3">
      <c r="A1922" s="4">
        <v>2038</v>
      </c>
      <c r="B1922" s="5">
        <v>1915</v>
      </c>
      <c r="C1922">
        <v>9850</v>
      </c>
      <c r="D1922" t="s">
        <v>3181</v>
      </c>
      <c r="E1922" t="s">
        <v>88</v>
      </c>
      <c r="F1922" t="s">
        <v>81</v>
      </c>
      <c r="G1922" t="s">
        <v>21639</v>
      </c>
      <c r="H1922">
        <v>17.7</v>
      </c>
      <c r="I1922">
        <v>0</v>
      </c>
      <c r="J1922">
        <v>0</v>
      </c>
      <c r="K1922">
        <v>0</v>
      </c>
      <c r="L1922">
        <v>7</v>
      </c>
      <c r="O1922">
        <v>7</v>
      </c>
      <c r="P1922">
        <v>4</v>
      </c>
      <c r="Q1922">
        <v>2</v>
      </c>
      <c r="R1922">
        <v>30.7</v>
      </c>
      <c r="S1922">
        <v>18</v>
      </c>
      <c r="T1922">
        <v>18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18</v>
      </c>
      <c r="AB1922">
        <v>0</v>
      </c>
      <c r="AC1922">
        <v>0</v>
      </c>
      <c r="AD1922" t="s">
        <v>130</v>
      </c>
      <c r="AH1922">
        <v>48.7</v>
      </c>
    </row>
    <row r="1923" spans="1:34" x14ac:dyDescent="0.3">
      <c r="A1923" s="4">
        <v>2039</v>
      </c>
      <c r="B1923" s="5">
        <v>1916</v>
      </c>
      <c r="C1923">
        <v>4133</v>
      </c>
      <c r="D1923" t="s">
        <v>21640</v>
      </c>
      <c r="E1923" t="s">
        <v>10141</v>
      </c>
      <c r="F1923" t="s">
        <v>21641</v>
      </c>
      <c r="G1923" t="s">
        <v>21642</v>
      </c>
      <c r="H1923">
        <v>20.63</v>
      </c>
      <c r="I1923">
        <v>0</v>
      </c>
      <c r="J1923">
        <v>0</v>
      </c>
      <c r="K1923">
        <v>0</v>
      </c>
      <c r="N1923">
        <v>3</v>
      </c>
      <c r="O1923">
        <v>3</v>
      </c>
      <c r="P1923">
        <v>4</v>
      </c>
      <c r="Q1923">
        <v>0</v>
      </c>
      <c r="R1923">
        <v>27.63</v>
      </c>
      <c r="S1923">
        <v>18</v>
      </c>
      <c r="T1923">
        <v>18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18</v>
      </c>
      <c r="AB1923">
        <v>3</v>
      </c>
      <c r="AC1923">
        <v>0</v>
      </c>
      <c r="AH1923">
        <v>48.63</v>
      </c>
    </row>
    <row r="1924" spans="1:34" x14ac:dyDescent="0.3">
      <c r="A1924" s="4">
        <v>2040</v>
      </c>
      <c r="B1924" s="5">
        <v>1917</v>
      </c>
      <c r="C1924">
        <v>2398</v>
      </c>
      <c r="D1924" t="s">
        <v>21643</v>
      </c>
      <c r="E1924" t="s">
        <v>570</v>
      </c>
      <c r="F1924" t="s">
        <v>2101</v>
      </c>
      <c r="G1924" t="s">
        <v>21644</v>
      </c>
      <c r="H1924">
        <v>21.63</v>
      </c>
      <c r="I1924">
        <v>0</v>
      </c>
      <c r="J1924">
        <v>0</v>
      </c>
      <c r="K1924">
        <v>20</v>
      </c>
      <c r="N1924">
        <v>3</v>
      </c>
      <c r="O1924">
        <v>3</v>
      </c>
      <c r="P1924">
        <v>4</v>
      </c>
      <c r="Q1924">
        <v>0</v>
      </c>
      <c r="R1924">
        <v>48.63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H1924">
        <v>48.63</v>
      </c>
    </row>
    <row r="1925" spans="1:34" x14ac:dyDescent="0.3">
      <c r="A1925" s="4">
        <v>2041</v>
      </c>
      <c r="B1925" s="5">
        <v>1918</v>
      </c>
      <c r="C1925">
        <v>9831</v>
      </c>
      <c r="D1925" t="s">
        <v>3889</v>
      </c>
      <c r="E1925" t="s">
        <v>22</v>
      </c>
      <c r="F1925" t="s">
        <v>158</v>
      </c>
      <c r="G1925" t="s">
        <v>21645</v>
      </c>
      <c r="H1925">
        <v>17.600000000000001</v>
      </c>
      <c r="I1925">
        <v>0</v>
      </c>
      <c r="J1925">
        <v>0</v>
      </c>
      <c r="K1925">
        <v>0</v>
      </c>
      <c r="L1925">
        <v>7</v>
      </c>
      <c r="O1925">
        <v>7</v>
      </c>
      <c r="P1925">
        <v>4</v>
      </c>
      <c r="Q1925">
        <v>2</v>
      </c>
      <c r="R1925">
        <v>30.6</v>
      </c>
      <c r="S1925">
        <v>18</v>
      </c>
      <c r="T1925">
        <v>18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18</v>
      </c>
      <c r="AB1925">
        <v>0</v>
      </c>
      <c r="AC1925">
        <v>0</v>
      </c>
      <c r="AH1925">
        <v>48.6</v>
      </c>
    </row>
    <row r="1926" spans="1:34" x14ac:dyDescent="0.3">
      <c r="A1926" s="4">
        <v>2042</v>
      </c>
      <c r="B1926" s="5">
        <v>1919</v>
      </c>
      <c r="C1926">
        <v>869</v>
      </c>
      <c r="D1926" t="s">
        <v>7475</v>
      </c>
      <c r="E1926" t="s">
        <v>182</v>
      </c>
      <c r="F1926" t="s">
        <v>20</v>
      </c>
      <c r="G1926" t="s">
        <v>21646</v>
      </c>
      <c r="H1926">
        <v>19.48</v>
      </c>
      <c r="I1926">
        <v>0</v>
      </c>
      <c r="J1926">
        <v>0</v>
      </c>
      <c r="K1926">
        <v>0</v>
      </c>
      <c r="N1926">
        <v>3</v>
      </c>
      <c r="O1926">
        <v>3</v>
      </c>
      <c r="P1926">
        <v>4</v>
      </c>
      <c r="Q1926">
        <v>0</v>
      </c>
      <c r="R1926">
        <v>26.48</v>
      </c>
      <c r="S1926">
        <v>16</v>
      </c>
      <c r="T1926">
        <v>16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16</v>
      </c>
      <c r="AB1926">
        <v>6</v>
      </c>
      <c r="AC1926">
        <v>0</v>
      </c>
      <c r="AH1926">
        <v>48.48</v>
      </c>
    </row>
    <row r="1927" spans="1:34" x14ac:dyDescent="0.3">
      <c r="A1927" s="4">
        <v>2043</v>
      </c>
      <c r="B1927" s="5">
        <v>1920</v>
      </c>
      <c r="C1927">
        <v>3469</v>
      </c>
      <c r="D1927" t="s">
        <v>10888</v>
      </c>
      <c r="E1927" t="s">
        <v>8216</v>
      </c>
      <c r="F1927" t="s">
        <v>5060</v>
      </c>
      <c r="G1927" t="s">
        <v>21647</v>
      </c>
      <c r="H1927">
        <v>19.48</v>
      </c>
      <c r="I1927">
        <v>0</v>
      </c>
      <c r="J1927">
        <v>0</v>
      </c>
      <c r="K1927">
        <v>20</v>
      </c>
      <c r="N1927">
        <v>3</v>
      </c>
      <c r="O1927">
        <v>3</v>
      </c>
      <c r="P1927">
        <v>4</v>
      </c>
      <c r="Q1927">
        <v>2</v>
      </c>
      <c r="R1927">
        <v>48.48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H1927">
        <v>48.48</v>
      </c>
    </row>
    <row r="1928" spans="1:34" x14ac:dyDescent="0.3">
      <c r="A1928" s="4">
        <v>2044</v>
      </c>
      <c r="B1928" s="5">
        <v>1921</v>
      </c>
      <c r="C1928">
        <v>10826</v>
      </c>
      <c r="D1928" t="s">
        <v>1791</v>
      </c>
      <c r="E1928" t="s">
        <v>1458</v>
      </c>
      <c r="F1928" t="s">
        <v>972</v>
      </c>
      <c r="G1928" t="s">
        <v>21648</v>
      </c>
      <c r="H1928">
        <v>16.48</v>
      </c>
      <c r="I1928">
        <v>0</v>
      </c>
      <c r="J1928">
        <v>0</v>
      </c>
      <c r="K1928">
        <v>20</v>
      </c>
      <c r="N1928">
        <v>6</v>
      </c>
      <c r="O1928">
        <v>6</v>
      </c>
      <c r="P1928">
        <v>4</v>
      </c>
      <c r="Q1928">
        <v>2</v>
      </c>
      <c r="R1928">
        <v>48.48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H1928">
        <v>48.48</v>
      </c>
    </row>
    <row r="1929" spans="1:34" x14ac:dyDescent="0.3">
      <c r="A1929" s="4">
        <v>2045</v>
      </c>
      <c r="B1929" s="5">
        <v>1922</v>
      </c>
      <c r="C1929">
        <v>11368</v>
      </c>
      <c r="D1929" t="s">
        <v>18687</v>
      </c>
      <c r="E1929" t="s">
        <v>161</v>
      </c>
      <c r="F1929" t="s">
        <v>52</v>
      </c>
      <c r="G1929" t="s">
        <v>21649</v>
      </c>
      <c r="H1929">
        <v>18.45</v>
      </c>
      <c r="I1929">
        <v>0</v>
      </c>
      <c r="J1929">
        <v>0</v>
      </c>
      <c r="K1929">
        <v>20</v>
      </c>
      <c r="N1929">
        <v>3</v>
      </c>
      <c r="O1929">
        <v>3</v>
      </c>
      <c r="P1929">
        <v>4</v>
      </c>
      <c r="Q1929">
        <v>0</v>
      </c>
      <c r="R1929">
        <v>45.45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3</v>
      </c>
      <c r="AC1929">
        <v>0</v>
      </c>
      <c r="AH1929">
        <v>48.45</v>
      </c>
    </row>
    <row r="1930" spans="1:34" x14ac:dyDescent="0.3">
      <c r="A1930" s="4">
        <v>2046</v>
      </c>
      <c r="B1930" s="5">
        <v>1923</v>
      </c>
      <c r="C1930">
        <v>6194</v>
      </c>
      <c r="D1930" t="s">
        <v>14134</v>
      </c>
      <c r="E1930" t="s">
        <v>21650</v>
      </c>
      <c r="F1930" t="s">
        <v>190</v>
      </c>
      <c r="G1930" t="s">
        <v>21651</v>
      </c>
      <c r="H1930">
        <v>17.45</v>
      </c>
      <c r="I1930">
        <v>0</v>
      </c>
      <c r="J1930">
        <v>0</v>
      </c>
      <c r="K1930">
        <v>20</v>
      </c>
      <c r="L1930">
        <v>7</v>
      </c>
      <c r="O1930">
        <v>7</v>
      </c>
      <c r="P1930">
        <v>4</v>
      </c>
      <c r="Q1930">
        <v>0</v>
      </c>
      <c r="R1930">
        <v>48.45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H1930">
        <v>48.45</v>
      </c>
    </row>
    <row r="1931" spans="1:34" x14ac:dyDescent="0.3">
      <c r="A1931" s="4">
        <v>2047</v>
      </c>
      <c r="B1931" s="5">
        <v>1924</v>
      </c>
      <c r="C1931">
        <v>6991</v>
      </c>
      <c r="D1931" t="s">
        <v>1613</v>
      </c>
      <c r="E1931" t="s">
        <v>29</v>
      </c>
      <c r="F1931" t="s">
        <v>17</v>
      </c>
      <c r="G1931" t="s">
        <v>21652</v>
      </c>
      <c r="H1931">
        <v>19.43</v>
      </c>
      <c r="I1931">
        <v>0</v>
      </c>
      <c r="J1931">
        <v>0</v>
      </c>
      <c r="K1931">
        <v>20</v>
      </c>
      <c r="M1931">
        <v>5</v>
      </c>
      <c r="O1931">
        <v>5</v>
      </c>
      <c r="P1931">
        <v>4</v>
      </c>
      <c r="Q1931">
        <v>0</v>
      </c>
      <c r="R1931">
        <v>48.43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H1931">
        <v>48.43</v>
      </c>
    </row>
    <row r="1932" spans="1:34" x14ac:dyDescent="0.3">
      <c r="A1932" s="4">
        <v>2048</v>
      </c>
      <c r="B1932" s="5">
        <v>1925</v>
      </c>
      <c r="C1932">
        <v>6353</v>
      </c>
      <c r="D1932" t="s">
        <v>3968</v>
      </c>
      <c r="E1932" t="s">
        <v>26</v>
      </c>
      <c r="F1932" t="s">
        <v>136</v>
      </c>
      <c r="G1932" t="s">
        <v>21653</v>
      </c>
      <c r="H1932">
        <v>17.43</v>
      </c>
      <c r="I1932">
        <v>0</v>
      </c>
      <c r="J1932">
        <v>0</v>
      </c>
      <c r="K1932">
        <v>20</v>
      </c>
      <c r="L1932">
        <v>7</v>
      </c>
      <c r="O1932">
        <v>7</v>
      </c>
      <c r="P1932">
        <v>4</v>
      </c>
      <c r="Q1932">
        <v>0</v>
      </c>
      <c r="R1932">
        <v>48.43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H1932">
        <v>48.43</v>
      </c>
    </row>
    <row r="1933" spans="1:34" x14ac:dyDescent="0.3">
      <c r="A1933" s="4">
        <v>2049</v>
      </c>
      <c r="B1933" s="5">
        <v>1926</v>
      </c>
      <c r="C1933">
        <v>7566</v>
      </c>
      <c r="D1933" t="s">
        <v>21654</v>
      </c>
      <c r="E1933" t="s">
        <v>170</v>
      </c>
      <c r="F1933" t="s">
        <v>1000</v>
      </c>
      <c r="G1933" t="s">
        <v>21655</v>
      </c>
      <c r="H1933">
        <v>18.399999999999999</v>
      </c>
      <c r="I1933">
        <v>0</v>
      </c>
      <c r="J1933">
        <v>0</v>
      </c>
      <c r="K1933">
        <v>20</v>
      </c>
      <c r="O1933">
        <v>0</v>
      </c>
      <c r="P1933">
        <v>4</v>
      </c>
      <c r="Q1933">
        <v>0</v>
      </c>
      <c r="R1933">
        <v>42.4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6</v>
      </c>
      <c r="AC1933">
        <v>0</v>
      </c>
      <c r="AH1933">
        <v>48.4</v>
      </c>
    </row>
    <row r="1934" spans="1:34" x14ac:dyDescent="0.3">
      <c r="A1934" s="4">
        <v>2050</v>
      </c>
      <c r="B1934" s="5">
        <v>1927</v>
      </c>
      <c r="C1934">
        <v>14225</v>
      </c>
      <c r="D1934" t="s">
        <v>9014</v>
      </c>
      <c r="E1934" t="s">
        <v>454</v>
      </c>
      <c r="F1934" t="s">
        <v>17</v>
      </c>
      <c r="G1934" t="s">
        <v>21656</v>
      </c>
      <c r="H1934">
        <v>18.350000000000001</v>
      </c>
      <c r="I1934">
        <v>0</v>
      </c>
      <c r="J1934">
        <v>0</v>
      </c>
      <c r="K1934">
        <v>20</v>
      </c>
      <c r="O1934">
        <v>0</v>
      </c>
      <c r="P1934">
        <v>4</v>
      </c>
      <c r="Q1934">
        <v>0</v>
      </c>
      <c r="R1934">
        <v>42.35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6</v>
      </c>
      <c r="AC1934">
        <v>0</v>
      </c>
      <c r="AH1934">
        <v>48.35</v>
      </c>
    </row>
    <row r="1935" spans="1:34" x14ac:dyDescent="0.3">
      <c r="A1935" s="4">
        <v>2051</v>
      </c>
      <c r="B1935" s="5">
        <v>1928</v>
      </c>
      <c r="C1935">
        <v>3418</v>
      </c>
      <c r="D1935" t="s">
        <v>1630</v>
      </c>
      <c r="E1935" t="s">
        <v>161</v>
      </c>
      <c r="F1935" t="s">
        <v>117</v>
      </c>
      <c r="G1935" t="s">
        <v>21657</v>
      </c>
      <c r="H1935">
        <v>21.33</v>
      </c>
      <c r="I1935">
        <v>0</v>
      </c>
      <c r="J1935">
        <v>0</v>
      </c>
      <c r="K1935">
        <v>20</v>
      </c>
      <c r="N1935">
        <v>3</v>
      </c>
      <c r="O1935">
        <v>3</v>
      </c>
      <c r="P1935">
        <v>4</v>
      </c>
      <c r="Q1935">
        <v>0</v>
      </c>
      <c r="R1935">
        <v>48.33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H1935">
        <v>48.33</v>
      </c>
    </row>
    <row r="1936" spans="1:34" x14ac:dyDescent="0.3">
      <c r="A1936" s="4">
        <v>2052</v>
      </c>
      <c r="B1936" s="5">
        <v>1929</v>
      </c>
      <c r="C1936">
        <v>10495</v>
      </c>
      <c r="D1936" t="s">
        <v>21658</v>
      </c>
      <c r="E1936" t="s">
        <v>1222</v>
      </c>
      <c r="F1936" t="s">
        <v>243</v>
      </c>
      <c r="G1936" t="s">
        <v>21659</v>
      </c>
      <c r="H1936">
        <v>17.3</v>
      </c>
      <c r="I1936">
        <v>0</v>
      </c>
      <c r="J1936">
        <v>0</v>
      </c>
      <c r="K1936">
        <v>20</v>
      </c>
      <c r="L1936">
        <v>7</v>
      </c>
      <c r="O1936">
        <v>7</v>
      </c>
      <c r="P1936">
        <v>4</v>
      </c>
      <c r="Q1936">
        <v>0</v>
      </c>
      <c r="R1936">
        <v>48.3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H1936">
        <v>48.3</v>
      </c>
    </row>
    <row r="1937" spans="1:34" x14ac:dyDescent="0.3">
      <c r="A1937" s="4">
        <v>2053</v>
      </c>
      <c r="B1937" s="5">
        <v>1930</v>
      </c>
      <c r="C1937">
        <v>10106</v>
      </c>
      <c r="D1937" t="s">
        <v>6377</v>
      </c>
      <c r="E1937" t="s">
        <v>166</v>
      </c>
      <c r="F1937" t="s">
        <v>20</v>
      </c>
      <c r="G1937" t="s">
        <v>21660</v>
      </c>
      <c r="H1937">
        <v>19.28</v>
      </c>
      <c r="I1937">
        <v>0</v>
      </c>
      <c r="J1937">
        <v>0</v>
      </c>
      <c r="K1937">
        <v>20</v>
      </c>
      <c r="N1937">
        <v>3</v>
      </c>
      <c r="O1937">
        <v>3</v>
      </c>
      <c r="P1937">
        <v>4</v>
      </c>
      <c r="Q1937">
        <v>2</v>
      </c>
      <c r="R1937">
        <v>48.28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H1937">
        <v>48.28</v>
      </c>
    </row>
    <row r="1938" spans="1:34" x14ac:dyDescent="0.3">
      <c r="A1938" s="4">
        <v>2054</v>
      </c>
      <c r="B1938" s="5">
        <v>1931</v>
      </c>
      <c r="C1938">
        <v>8664</v>
      </c>
      <c r="D1938" t="s">
        <v>21661</v>
      </c>
      <c r="E1938" t="s">
        <v>178</v>
      </c>
      <c r="F1938" t="s">
        <v>442</v>
      </c>
      <c r="G1938" t="s">
        <v>21662</v>
      </c>
      <c r="H1938">
        <v>17.28</v>
      </c>
      <c r="I1938">
        <v>0</v>
      </c>
      <c r="J1938">
        <v>0</v>
      </c>
      <c r="K1938">
        <v>20</v>
      </c>
      <c r="L1938">
        <v>7</v>
      </c>
      <c r="O1938">
        <v>7</v>
      </c>
      <c r="P1938">
        <v>4</v>
      </c>
      <c r="Q1938">
        <v>0</v>
      </c>
      <c r="R1938">
        <v>48.28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H1938">
        <v>48.28</v>
      </c>
    </row>
    <row r="1939" spans="1:34" x14ac:dyDescent="0.3">
      <c r="A1939" s="4">
        <v>2055</v>
      </c>
      <c r="B1939" s="5">
        <v>1932</v>
      </c>
      <c r="C1939">
        <v>15404</v>
      </c>
      <c r="D1939" t="s">
        <v>21663</v>
      </c>
      <c r="E1939" t="s">
        <v>110</v>
      </c>
      <c r="F1939" t="s">
        <v>227</v>
      </c>
      <c r="G1939" t="s">
        <v>21664</v>
      </c>
      <c r="H1939">
        <v>17.25</v>
      </c>
      <c r="I1939">
        <v>0</v>
      </c>
      <c r="J1939">
        <v>0</v>
      </c>
      <c r="K1939">
        <v>20</v>
      </c>
      <c r="L1939">
        <v>7</v>
      </c>
      <c r="O1939">
        <v>7</v>
      </c>
      <c r="P1939">
        <v>4</v>
      </c>
      <c r="Q1939">
        <v>0</v>
      </c>
      <c r="R1939">
        <v>48.25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H1939">
        <v>48.25</v>
      </c>
    </row>
    <row r="1940" spans="1:34" x14ac:dyDescent="0.3">
      <c r="A1940" s="4">
        <v>2056</v>
      </c>
      <c r="B1940" s="5">
        <v>1933</v>
      </c>
      <c r="C1940">
        <v>13241</v>
      </c>
      <c r="D1940" t="s">
        <v>21665</v>
      </c>
      <c r="E1940" t="s">
        <v>471</v>
      </c>
      <c r="F1940" t="s">
        <v>136</v>
      </c>
      <c r="G1940" t="s">
        <v>21666</v>
      </c>
      <c r="H1940">
        <v>21.23</v>
      </c>
      <c r="I1940">
        <v>0</v>
      </c>
      <c r="J1940">
        <v>0</v>
      </c>
      <c r="K1940">
        <v>0</v>
      </c>
      <c r="O1940">
        <v>0</v>
      </c>
      <c r="P1940">
        <v>4</v>
      </c>
      <c r="Q1940">
        <v>0</v>
      </c>
      <c r="R1940">
        <v>25.23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3</v>
      </c>
      <c r="AC1940">
        <v>20</v>
      </c>
      <c r="AH1940">
        <v>48.23</v>
      </c>
    </row>
    <row r="1941" spans="1:34" x14ac:dyDescent="0.3">
      <c r="A1941" s="4">
        <v>2057</v>
      </c>
      <c r="B1941" s="5">
        <v>1934</v>
      </c>
      <c r="C1941">
        <v>3631</v>
      </c>
      <c r="D1941" t="s">
        <v>2043</v>
      </c>
      <c r="E1941" t="s">
        <v>161</v>
      </c>
      <c r="F1941" t="s">
        <v>17</v>
      </c>
      <c r="G1941" t="s">
        <v>21667</v>
      </c>
      <c r="H1941">
        <v>15.2</v>
      </c>
      <c r="I1941">
        <v>0</v>
      </c>
      <c r="J1941">
        <v>0</v>
      </c>
      <c r="K1941">
        <v>20</v>
      </c>
      <c r="L1941">
        <v>7</v>
      </c>
      <c r="O1941">
        <v>7</v>
      </c>
      <c r="P1941">
        <v>4</v>
      </c>
      <c r="Q1941">
        <v>2</v>
      </c>
      <c r="R1941">
        <v>48.2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 t="s">
        <v>130</v>
      </c>
      <c r="AH1941">
        <v>48.2</v>
      </c>
    </row>
    <row r="1942" spans="1:34" x14ac:dyDescent="0.3">
      <c r="A1942" s="4">
        <v>2058</v>
      </c>
      <c r="B1942" s="5">
        <v>1935</v>
      </c>
      <c r="C1942">
        <v>7428</v>
      </c>
      <c r="D1942" t="s">
        <v>12954</v>
      </c>
      <c r="E1942" t="s">
        <v>132</v>
      </c>
      <c r="F1942" t="s">
        <v>81</v>
      </c>
      <c r="G1942" t="s">
        <v>21668</v>
      </c>
      <c r="H1942">
        <v>21.18</v>
      </c>
      <c r="I1942">
        <v>0</v>
      </c>
      <c r="J1942">
        <v>0</v>
      </c>
      <c r="K1942">
        <v>20</v>
      </c>
      <c r="N1942">
        <v>3</v>
      </c>
      <c r="O1942">
        <v>3</v>
      </c>
      <c r="P1942">
        <v>4</v>
      </c>
      <c r="Q1942">
        <v>0</v>
      </c>
      <c r="R1942">
        <v>48.18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H1942">
        <v>48.18</v>
      </c>
    </row>
    <row r="1943" spans="1:34" x14ac:dyDescent="0.3">
      <c r="A1943" s="4">
        <v>2059</v>
      </c>
      <c r="B1943" s="5">
        <v>1936</v>
      </c>
      <c r="C1943">
        <v>12947</v>
      </c>
      <c r="D1943" t="s">
        <v>60</v>
      </c>
      <c r="E1943" t="s">
        <v>54</v>
      </c>
      <c r="F1943" t="s">
        <v>30</v>
      </c>
      <c r="G1943" t="s">
        <v>21669</v>
      </c>
      <c r="H1943">
        <v>21.18</v>
      </c>
      <c r="I1943">
        <v>0</v>
      </c>
      <c r="J1943">
        <v>0</v>
      </c>
      <c r="K1943">
        <v>20</v>
      </c>
      <c r="N1943">
        <v>3</v>
      </c>
      <c r="O1943">
        <v>3</v>
      </c>
      <c r="P1943">
        <v>4</v>
      </c>
      <c r="Q1943">
        <v>0</v>
      </c>
      <c r="R1943">
        <v>48.18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H1943">
        <v>48.18</v>
      </c>
    </row>
    <row r="1944" spans="1:34" x14ac:dyDescent="0.3">
      <c r="A1944" s="4">
        <v>2060</v>
      </c>
      <c r="B1944" s="5">
        <v>1937</v>
      </c>
      <c r="C1944">
        <v>884</v>
      </c>
      <c r="D1944" t="s">
        <v>8055</v>
      </c>
      <c r="E1944" t="s">
        <v>208</v>
      </c>
      <c r="F1944" t="s">
        <v>343</v>
      </c>
      <c r="G1944" t="s">
        <v>21670</v>
      </c>
      <c r="H1944">
        <v>17.13</v>
      </c>
      <c r="I1944">
        <v>0</v>
      </c>
      <c r="J1944">
        <v>0</v>
      </c>
      <c r="K1944">
        <v>0</v>
      </c>
      <c r="N1944">
        <v>3</v>
      </c>
      <c r="O1944">
        <v>3</v>
      </c>
      <c r="P1944">
        <v>4</v>
      </c>
      <c r="Q1944">
        <v>0</v>
      </c>
      <c r="R1944">
        <v>24.13</v>
      </c>
      <c r="S1944">
        <v>24</v>
      </c>
      <c r="T1944">
        <v>24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24</v>
      </c>
      <c r="AB1944">
        <v>0</v>
      </c>
      <c r="AC1944">
        <v>0</v>
      </c>
      <c r="AH1944">
        <v>48.13</v>
      </c>
    </row>
    <row r="1945" spans="1:34" x14ac:dyDescent="0.3">
      <c r="A1945" s="4">
        <v>2061</v>
      </c>
      <c r="B1945" s="5">
        <v>1938</v>
      </c>
      <c r="C1945">
        <v>3473</v>
      </c>
      <c r="D1945" t="s">
        <v>1630</v>
      </c>
      <c r="E1945" t="s">
        <v>14016</v>
      </c>
      <c r="F1945" t="s">
        <v>38</v>
      </c>
      <c r="G1945" t="s">
        <v>21671</v>
      </c>
      <c r="H1945">
        <v>21.1</v>
      </c>
      <c r="I1945">
        <v>0</v>
      </c>
      <c r="J1945">
        <v>0</v>
      </c>
      <c r="K1945">
        <v>20</v>
      </c>
      <c r="N1945">
        <v>3</v>
      </c>
      <c r="O1945">
        <v>3</v>
      </c>
      <c r="P1945">
        <v>4</v>
      </c>
      <c r="Q1945">
        <v>0</v>
      </c>
      <c r="R1945">
        <v>48.1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H1945">
        <v>48.1</v>
      </c>
    </row>
    <row r="1946" spans="1:34" x14ac:dyDescent="0.3">
      <c r="A1946" s="4">
        <v>2062</v>
      </c>
      <c r="B1946" s="5">
        <v>1939</v>
      </c>
      <c r="C1946">
        <v>3036</v>
      </c>
      <c r="D1946" t="s">
        <v>21672</v>
      </c>
      <c r="E1946" t="s">
        <v>158</v>
      </c>
      <c r="F1946" t="s">
        <v>136</v>
      </c>
      <c r="G1946" t="s">
        <v>21673</v>
      </c>
      <c r="H1946">
        <v>18.079999999999998</v>
      </c>
      <c r="I1946">
        <v>0</v>
      </c>
      <c r="J1946">
        <v>0</v>
      </c>
      <c r="K1946">
        <v>20</v>
      </c>
      <c r="O1946">
        <v>0</v>
      </c>
      <c r="P1946">
        <v>4</v>
      </c>
      <c r="Q1946">
        <v>0</v>
      </c>
      <c r="R1946">
        <v>42.08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6</v>
      </c>
      <c r="AC1946">
        <v>0</v>
      </c>
      <c r="AH1946">
        <v>48.08</v>
      </c>
    </row>
    <row r="1947" spans="1:34" x14ac:dyDescent="0.3">
      <c r="A1947" s="4">
        <v>2063</v>
      </c>
      <c r="B1947" s="5">
        <v>1940</v>
      </c>
      <c r="C1947">
        <v>13846</v>
      </c>
      <c r="D1947" t="s">
        <v>21674</v>
      </c>
      <c r="E1947" t="s">
        <v>744</v>
      </c>
      <c r="F1947" t="s">
        <v>20</v>
      </c>
      <c r="G1947" t="s">
        <v>21675</v>
      </c>
      <c r="H1947">
        <v>17.079999999999998</v>
      </c>
      <c r="I1947">
        <v>0</v>
      </c>
      <c r="J1947">
        <v>0</v>
      </c>
      <c r="K1947">
        <v>20</v>
      </c>
      <c r="L1947">
        <v>7</v>
      </c>
      <c r="O1947">
        <v>7</v>
      </c>
      <c r="P1947">
        <v>4</v>
      </c>
      <c r="Q1947">
        <v>0</v>
      </c>
      <c r="R1947">
        <v>48.08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H1947">
        <v>48.08</v>
      </c>
    </row>
    <row r="1948" spans="1:34" x14ac:dyDescent="0.3">
      <c r="A1948" s="4">
        <v>2064</v>
      </c>
      <c r="B1948" s="5">
        <v>1941</v>
      </c>
      <c r="C1948">
        <v>2507</v>
      </c>
      <c r="D1948" t="s">
        <v>1701</v>
      </c>
      <c r="E1948" t="s">
        <v>338</v>
      </c>
      <c r="F1948" t="s">
        <v>38</v>
      </c>
      <c r="G1948" t="s">
        <v>21676</v>
      </c>
      <c r="H1948">
        <v>20.05</v>
      </c>
      <c r="I1948">
        <v>0</v>
      </c>
      <c r="J1948">
        <v>0</v>
      </c>
      <c r="K1948">
        <v>0</v>
      </c>
      <c r="O1948">
        <v>0</v>
      </c>
      <c r="P1948">
        <v>4</v>
      </c>
      <c r="Q1948">
        <v>0</v>
      </c>
      <c r="R1948">
        <v>24.05</v>
      </c>
      <c r="S1948">
        <v>18</v>
      </c>
      <c r="T1948">
        <v>18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18</v>
      </c>
      <c r="AB1948">
        <v>6</v>
      </c>
      <c r="AC1948">
        <v>0</v>
      </c>
      <c r="AH1948">
        <v>48.05</v>
      </c>
    </row>
    <row r="1949" spans="1:34" x14ac:dyDescent="0.3">
      <c r="A1949" s="4">
        <v>2065</v>
      </c>
      <c r="B1949" s="5">
        <v>1942</v>
      </c>
      <c r="C1949">
        <v>11283</v>
      </c>
      <c r="D1949" t="s">
        <v>4198</v>
      </c>
      <c r="E1949" t="s">
        <v>563</v>
      </c>
      <c r="F1949" t="s">
        <v>230</v>
      </c>
      <c r="G1949" t="s">
        <v>21677</v>
      </c>
      <c r="H1949">
        <v>17.05</v>
      </c>
      <c r="I1949">
        <v>0</v>
      </c>
      <c r="J1949">
        <v>0</v>
      </c>
      <c r="K1949">
        <v>20</v>
      </c>
      <c r="L1949">
        <v>7</v>
      </c>
      <c r="O1949">
        <v>7</v>
      </c>
      <c r="P1949">
        <v>4</v>
      </c>
      <c r="Q1949">
        <v>0</v>
      </c>
      <c r="R1949">
        <v>48.05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H1949">
        <v>48.05</v>
      </c>
    </row>
    <row r="1950" spans="1:34" x14ac:dyDescent="0.3">
      <c r="A1950" s="4">
        <v>2066</v>
      </c>
      <c r="B1950" s="5">
        <v>1943</v>
      </c>
      <c r="C1950">
        <v>11506</v>
      </c>
      <c r="D1950" t="s">
        <v>21678</v>
      </c>
      <c r="E1950" t="s">
        <v>5850</v>
      </c>
      <c r="F1950" t="s">
        <v>81</v>
      </c>
      <c r="G1950" t="s">
        <v>21679</v>
      </c>
      <c r="H1950">
        <v>17.05</v>
      </c>
      <c r="I1950">
        <v>0</v>
      </c>
      <c r="J1950">
        <v>0</v>
      </c>
      <c r="K1950">
        <v>20</v>
      </c>
      <c r="L1950">
        <v>7</v>
      </c>
      <c r="O1950">
        <v>7</v>
      </c>
      <c r="P1950">
        <v>4</v>
      </c>
      <c r="Q1950">
        <v>0</v>
      </c>
      <c r="R1950">
        <v>48.05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H1950">
        <v>48.05</v>
      </c>
    </row>
    <row r="1951" spans="1:34" x14ac:dyDescent="0.3">
      <c r="A1951" s="4">
        <v>2067</v>
      </c>
      <c r="B1951" s="5">
        <v>1944</v>
      </c>
      <c r="C1951">
        <v>5138</v>
      </c>
      <c r="D1951" t="s">
        <v>21680</v>
      </c>
      <c r="E1951" t="s">
        <v>29</v>
      </c>
      <c r="F1951" t="s">
        <v>1450</v>
      </c>
      <c r="G1951" t="s">
        <v>21681</v>
      </c>
      <c r="H1951">
        <v>18.03</v>
      </c>
      <c r="I1951">
        <v>0</v>
      </c>
      <c r="J1951">
        <v>0</v>
      </c>
      <c r="K1951">
        <v>0</v>
      </c>
      <c r="O1951">
        <v>0</v>
      </c>
      <c r="P1951">
        <v>4</v>
      </c>
      <c r="Q1951">
        <v>2</v>
      </c>
      <c r="R1951">
        <v>24.03</v>
      </c>
      <c r="S1951">
        <v>18</v>
      </c>
      <c r="T1951">
        <v>18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18</v>
      </c>
      <c r="AB1951">
        <v>6</v>
      </c>
      <c r="AC1951">
        <v>0</v>
      </c>
      <c r="AD1951" t="s">
        <v>130</v>
      </c>
      <c r="AH1951">
        <v>48.03</v>
      </c>
    </row>
    <row r="1952" spans="1:34" x14ac:dyDescent="0.3">
      <c r="A1952" s="4">
        <v>2068</v>
      </c>
      <c r="B1952" s="5">
        <v>1945</v>
      </c>
      <c r="C1952">
        <v>10752</v>
      </c>
      <c r="D1952" t="s">
        <v>4097</v>
      </c>
      <c r="E1952" t="s">
        <v>4081</v>
      </c>
      <c r="F1952" t="s">
        <v>17</v>
      </c>
      <c r="G1952" t="s">
        <v>21682</v>
      </c>
      <c r="H1952">
        <v>21.03</v>
      </c>
      <c r="I1952">
        <v>0</v>
      </c>
      <c r="J1952">
        <v>0</v>
      </c>
      <c r="K1952">
        <v>20</v>
      </c>
      <c r="N1952">
        <v>3</v>
      </c>
      <c r="O1952">
        <v>3</v>
      </c>
      <c r="P1952">
        <v>4</v>
      </c>
      <c r="Q1952">
        <v>0</v>
      </c>
      <c r="R1952">
        <v>48.03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H1952">
        <v>48.03</v>
      </c>
    </row>
    <row r="1953" spans="1:34" x14ac:dyDescent="0.3">
      <c r="A1953" s="4">
        <v>2069</v>
      </c>
      <c r="B1953" s="5">
        <v>1946</v>
      </c>
      <c r="C1953">
        <v>7719</v>
      </c>
      <c r="D1953" t="s">
        <v>21683</v>
      </c>
      <c r="E1953" t="s">
        <v>9170</v>
      </c>
      <c r="F1953" t="s">
        <v>68</v>
      </c>
      <c r="G1953" t="s">
        <v>21684</v>
      </c>
      <c r="H1953">
        <v>19</v>
      </c>
      <c r="I1953">
        <v>0</v>
      </c>
      <c r="J1953">
        <v>0</v>
      </c>
      <c r="K1953">
        <v>20</v>
      </c>
      <c r="N1953">
        <v>3</v>
      </c>
      <c r="O1953">
        <v>3</v>
      </c>
      <c r="P1953">
        <v>0</v>
      </c>
      <c r="Q1953">
        <v>0</v>
      </c>
      <c r="R1953">
        <v>42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6</v>
      </c>
      <c r="AC1953">
        <v>0</v>
      </c>
      <c r="AH1953">
        <v>48</v>
      </c>
    </row>
    <row r="1954" spans="1:34" x14ac:dyDescent="0.3">
      <c r="A1954" s="4">
        <v>2070</v>
      </c>
      <c r="B1954" s="5">
        <v>1947</v>
      </c>
      <c r="C1954">
        <v>6861</v>
      </c>
      <c r="D1954" t="s">
        <v>18361</v>
      </c>
      <c r="E1954" t="s">
        <v>54</v>
      </c>
      <c r="F1954" t="s">
        <v>20</v>
      </c>
      <c r="G1954" t="s">
        <v>21685</v>
      </c>
      <c r="H1954">
        <v>18</v>
      </c>
      <c r="I1954">
        <v>0</v>
      </c>
      <c r="J1954">
        <v>0</v>
      </c>
      <c r="K1954">
        <v>20</v>
      </c>
      <c r="N1954">
        <v>3</v>
      </c>
      <c r="O1954">
        <v>3</v>
      </c>
      <c r="P1954">
        <v>4</v>
      </c>
      <c r="Q1954">
        <v>0</v>
      </c>
      <c r="R1954">
        <v>45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3</v>
      </c>
      <c r="AC1954">
        <v>0</v>
      </c>
      <c r="AH1954">
        <v>48</v>
      </c>
    </row>
    <row r="1955" spans="1:34" x14ac:dyDescent="0.3">
      <c r="A1955" s="4">
        <v>2071</v>
      </c>
      <c r="B1955" s="5">
        <v>1948</v>
      </c>
      <c r="C1955">
        <v>6344</v>
      </c>
      <c r="D1955" t="s">
        <v>21686</v>
      </c>
      <c r="E1955" t="s">
        <v>6946</v>
      </c>
      <c r="F1955" t="s">
        <v>652</v>
      </c>
      <c r="G1955" t="s">
        <v>21687</v>
      </c>
      <c r="H1955">
        <v>21</v>
      </c>
      <c r="I1955">
        <v>0</v>
      </c>
      <c r="J1955">
        <v>0</v>
      </c>
      <c r="K1955">
        <v>20</v>
      </c>
      <c r="N1955">
        <v>3</v>
      </c>
      <c r="O1955">
        <v>3</v>
      </c>
      <c r="P1955">
        <v>4</v>
      </c>
      <c r="Q1955">
        <v>0</v>
      </c>
      <c r="R1955">
        <v>48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H1955">
        <v>48</v>
      </c>
    </row>
    <row r="1956" spans="1:34" x14ac:dyDescent="0.3">
      <c r="A1956" s="4">
        <v>2072</v>
      </c>
      <c r="B1956" s="5">
        <v>1949</v>
      </c>
      <c r="C1956">
        <v>8013</v>
      </c>
      <c r="D1956" t="s">
        <v>21688</v>
      </c>
      <c r="E1956" t="s">
        <v>471</v>
      </c>
      <c r="F1956" t="s">
        <v>328</v>
      </c>
      <c r="G1956" t="s">
        <v>21689</v>
      </c>
      <c r="H1956">
        <v>21</v>
      </c>
      <c r="I1956">
        <v>0</v>
      </c>
      <c r="J1956">
        <v>0</v>
      </c>
      <c r="K1956">
        <v>20</v>
      </c>
      <c r="N1956">
        <v>3</v>
      </c>
      <c r="O1956">
        <v>3</v>
      </c>
      <c r="P1956">
        <v>4</v>
      </c>
      <c r="Q1956">
        <v>0</v>
      </c>
      <c r="R1956">
        <v>48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H1956">
        <v>48</v>
      </c>
    </row>
    <row r="1957" spans="1:34" x14ac:dyDescent="0.3">
      <c r="A1957" s="4">
        <v>2073</v>
      </c>
      <c r="B1957" s="5">
        <v>1950</v>
      </c>
      <c r="C1957">
        <v>11980</v>
      </c>
      <c r="D1957" t="s">
        <v>21690</v>
      </c>
      <c r="E1957" t="s">
        <v>88</v>
      </c>
      <c r="F1957" t="s">
        <v>34</v>
      </c>
      <c r="G1957" t="s">
        <v>21691</v>
      </c>
      <c r="H1957">
        <v>19.95</v>
      </c>
      <c r="I1957">
        <v>0</v>
      </c>
      <c r="J1957">
        <v>0</v>
      </c>
      <c r="K1957">
        <v>0</v>
      </c>
      <c r="N1957">
        <v>3</v>
      </c>
      <c r="O1957">
        <v>3</v>
      </c>
      <c r="P1957">
        <v>4</v>
      </c>
      <c r="Q1957">
        <v>0</v>
      </c>
      <c r="R1957">
        <v>26.95</v>
      </c>
      <c r="S1957">
        <v>15</v>
      </c>
      <c r="T1957">
        <v>15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15</v>
      </c>
      <c r="AB1957">
        <v>6</v>
      </c>
      <c r="AC1957">
        <v>0</v>
      </c>
      <c r="AH1957">
        <v>47.95</v>
      </c>
    </row>
    <row r="1958" spans="1:34" x14ac:dyDescent="0.3">
      <c r="A1958" s="4">
        <v>2074</v>
      </c>
      <c r="B1958" s="5">
        <v>1951</v>
      </c>
      <c r="C1958">
        <v>12944</v>
      </c>
      <c r="D1958" t="s">
        <v>21692</v>
      </c>
      <c r="E1958" t="s">
        <v>957</v>
      </c>
      <c r="F1958" t="s">
        <v>81</v>
      </c>
      <c r="G1958" t="s">
        <v>21693</v>
      </c>
      <c r="H1958">
        <v>18.95</v>
      </c>
      <c r="I1958">
        <v>0</v>
      </c>
      <c r="J1958">
        <v>0</v>
      </c>
      <c r="K1958">
        <v>0</v>
      </c>
      <c r="L1958">
        <v>7</v>
      </c>
      <c r="O1958">
        <v>7</v>
      </c>
      <c r="P1958">
        <v>4</v>
      </c>
      <c r="Q1958">
        <v>0</v>
      </c>
      <c r="R1958">
        <v>29.95</v>
      </c>
      <c r="S1958">
        <v>18</v>
      </c>
      <c r="T1958">
        <v>18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18</v>
      </c>
      <c r="AB1958">
        <v>0</v>
      </c>
      <c r="AC1958">
        <v>0</v>
      </c>
      <c r="AH1958">
        <v>47.95</v>
      </c>
    </row>
    <row r="1959" spans="1:34" x14ac:dyDescent="0.3">
      <c r="A1959" s="4">
        <v>2075</v>
      </c>
      <c r="B1959" s="5">
        <v>1952</v>
      </c>
      <c r="C1959">
        <v>10814</v>
      </c>
      <c r="D1959" t="s">
        <v>1430</v>
      </c>
      <c r="E1959" t="s">
        <v>255</v>
      </c>
      <c r="F1959" t="s">
        <v>136</v>
      </c>
      <c r="G1959" t="s">
        <v>21694</v>
      </c>
      <c r="H1959">
        <v>20.93</v>
      </c>
      <c r="I1959">
        <v>0</v>
      </c>
      <c r="J1959">
        <v>0</v>
      </c>
      <c r="K1959">
        <v>20</v>
      </c>
      <c r="N1959">
        <v>3</v>
      </c>
      <c r="O1959">
        <v>3</v>
      </c>
      <c r="P1959">
        <v>4</v>
      </c>
      <c r="Q1959">
        <v>0</v>
      </c>
      <c r="R1959">
        <v>47.93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H1959">
        <v>47.93</v>
      </c>
    </row>
    <row r="1960" spans="1:34" x14ac:dyDescent="0.3">
      <c r="A1960" s="4">
        <v>2076</v>
      </c>
      <c r="B1960" s="5">
        <v>1953</v>
      </c>
      <c r="C1960">
        <v>10679</v>
      </c>
      <c r="D1960" t="s">
        <v>7692</v>
      </c>
      <c r="E1960" t="s">
        <v>21695</v>
      </c>
      <c r="F1960" t="s">
        <v>2237</v>
      </c>
      <c r="G1960" t="s">
        <v>21696</v>
      </c>
      <c r="H1960">
        <v>20.9</v>
      </c>
      <c r="I1960">
        <v>0</v>
      </c>
      <c r="J1960">
        <v>0</v>
      </c>
      <c r="K1960">
        <v>20</v>
      </c>
      <c r="N1960">
        <v>3</v>
      </c>
      <c r="O1960">
        <v>3</v>
      </c>
      <c r="P1960">
        <v>4</v>
      </c>
      <c r="Q1960">
        <v>0</v>
      </c>
      <c r="R1960">
        <v>47.9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H1960">
        <v>47.9</v>
      </c>
    </row>
    <row r="1961" spans="1:34" x14ac:dyDescent="0.3">
      <c r="A1961" s="4">
        <v>2077</v>
      </c>
      <c r="B1961" s="5">
        <v>1954</v>
      </c>
      <c r="C1961">
        <v>13271</v>
      </c>
      <c r="D1961" t="s">
        <v>21697</v>
      </c>
      <c r="E1961" t="s">
        <v>744</v>
      </c>
      <c r="F1961" t="s">
        <v>136</v>
      </c>
      <c r="G1961" t="s">
        <v>21698</v>
      </c>
      <c r="H1961">
        <v>16.899999999999999</v>
      </c>
      <c r="I1961">
        <v>0</v>
      </c>
      <c r="J1961">
        <v>0</v>
      </c>
      <c r="K1961">
        <v>20</v>
      </c>
      <c r="L1961">
        <v>7</v>
      </c>
      <c r="O1961">
        <v>7</v>
      </c>
      <c r="P1961">
        <v>4</v>
      </c>
      <c r="Q1961">
        <v>0</v>
      </c>
      <c r="R1961">
        <v>47.9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H1961">
        <v>47.9</v>
      </c>
    </row>
    <row r="1962" spans="1:34" x14ac:dyDescent="0.3">
      <c r="A1962" s="4">
        <v>2078</v>
      </c>
      <c r="B1962" s="5">
        <v>1955</v>
      </c>
      <c r="C1962">
        <v>12089</v>
      </c>
      <c r="D1962" t="s">
        <v>21699</v>
      </c>
      <c r="E1962" t="s">
        <v>2011</v>
      </c>
      <c r="F1962" t="s">
        <v>117</v>
      </c>
      <c r="G1962" t="s">
        <v>21700</v>
      </c>
      <c r="H1962">
        <v>20.83</v>
      </c>
      <c r="I1962">
        <v>0</v>
      </c>
      <c r="J1962">
        <v>0</v>
      </c>
      <c r="K1962">
        <v>20</v>
      </c>
      <c r="N1962">
        <v>3</v>
      </c>
      <c r="O1962">
        <v>3</v>
      </c>
      <c r="P1962">
        <v>4</v>
      </c>
      <c r="Q1962">
        <v>0</v>
      </c>
      <c r="R1962">
        <v>47.83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H1962">
        <v>47.83</v>
      </c>
    </row>
    <row r="1963" spans="1:34" x14ac:dyDescent="0.3">
      <c r="A1963" s="4">
        <v>2079</v>
      </c>
      <c r="B1963" s="5">
        <v>1956</v>
      </c>
      <c r="C1963">
        <v>1102</v>
      </c>
      <c r="D1963" t="s">
        <v>21701</v>
      </c>
      <c r="E1963" t="s">
        <v>29</v>
      </c>
      <c r="F1963" t="s">
        <v>591</v>
      </c>
      <c r="G1963" t="s">
        <v>21702</v>
      </c>
      <c r="H1963">
        <v>20.83</v>
      </c>
      <c r="I1963">
        <v>0</v>
      </c>
      <c r="J1963">
        <v>0</v>
      </c>
      <c r="K1963">
        <v>20</v>
      </c>
      <c r="N1963">
        <v>3</v>
      </c>
      <c r="O1963">
        <v>3</v>
      </c>
      <c r="P1963">
        <v>4</v>
      </c>
      <c r="Q1963">
        <v>0</v>
      </c>
      <c r="R1963">
        <v>47.83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H1963">
        <v>47.83</v>
      </c>
    </row>
    <row r="1964" spans="1:34" x14ac:dyDescent="0.3">
      <c r="A1964" s="4">
        <v>2080</v>
      </c>
      <c r="B1964" s="5">
        <v>1957</v>
      </c>
      <c r="C1964">
        <v>2868</v>
      </c>
      <c r="D1964" t="s">
        <v>21703</v>
      </c>
      <c r="E1964" t="s">
        <v>29</v>
      </c>
      <c r="F1964" t="s">
        <v>17</v>
      </c>
      <c r="G1964" t="s">
        <v>21704</v>
      </c>
      <c r="H1964">
        <v>18.829999999999998</v>
      </c>
      <c r="I1964">
        <v>0</v>
      </c>
      <c r="J1964">
        <v>0</v>
      </c>
      <c r="K1964">
        <v>20</v>
      </c>
      <c r="N1964">
        <v>3</v>
      </c>
      <c r="O1964">
        <v>3</v>
      </c>
      <c r="P1964">
        <v>4</v>
      </c>
      <c r="Q1964">
        <v>2</v>
      </c>
      <c r="R1964">
        <v>47.83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H1964">
        <v>47.83</v>
      </c>
    </row>
    <row r="1965" spans="1:34" x14ac:dyDescent="0.3">
      <c r="A1965" s="4">
        <v>2081</v>
      </c>
      <c r="B1965" s="5">
        <v>1958</v>
      </c>
      <c r="C1965">
        <v>5613</v>
      </c>
      <c r="D1965" t="s">
        <v>14118</v>
      </c>
      <c r="E1965" t="s">
        <v>41</v>
      </c>
      <c r="F1965" t="s">
        <v>136</v>
      </c>
      <c r="G1965" t="s">
        <v>21705</v>
      </c>
      <c r="H1965">
        <v>17.8</v>
      </c>
      <c r="I1965">
        <v>0</v>
      </c>
      <c r="J1965">
        <v>0</v>
      </c>
      <c r="K1965">
        <v>20</v>
      </c>
      <c r="O1965">
        <v>0</v>
      </c>
      <c r="P1965">
        <v>4</v>
      </c>
      <c r="Q1965">
        <v>0</v>
      </c>
      <c r="R1965">
        <v>41.8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6</v>
      </c>
      <c r="AC1965">
        <v>0</v>
      </c>
      <c r="AH1965">
        <v>47.8</v>
      </c>
    </row>
    <row r="1966" spans="1:34" x14ac:dyDescent="0.3">
      <c r="A1966" s="4">
        <v>2082</v>
      </c>
      <c r="B1966" s="5">
        <v>1959</v>
      </c>
      <c r="C1966">
        <v>4465</v>
      </c>
      <c r="D1966" t="s">
        <v>21706</v>
      </c>
      <c r="E1966" t="s">
        <v>21707</v>
      </c>
      <c r="F1966" t="s">
        <v>38</v>
      </c>
      <c r="G1966" t="s">
        <v>21708</v>
      </c>
      <c r="H1966">
        <v>17.78</v>
      </c>
      <c r="I1966">
        <v>0</v>
      </c>
      <c r="J1966">
        <v>0</v>
      </c>
      <c r="K1966">
        <v>20</v>
      </c>
      <c r="N1966">
        <v>3</v>
      </c>
      <c r="O1966">
        <v>3</v>
      </c>
      <c r="P1966">
        <v>4</v>
      </c>
      <c r="Q1966">
        <v>0</v>
      </c>
      <c r="R1966">
        <v>44.78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3</v>
      </c>
      <c r="AC1966">
        <v>0</v>
      </c>
      <c r="AH1966">
        <v>47.78</v>
      </c>
    </row>
    <row r="1967" spans="1:34" x14ac:dyDescent="0.3">
      <c r="A1967" s="4">
        <v>2083</v>
      </c>
      <c r="B1967" s="5">
        <v>1960</v>
      </c>
      <c r="C1967">
        <v>15342</v>
      </c>
      <c r="D1967" t="s">
        <v>1284</v>
      </c>
      <c r="E1967" t="s">
        <v>22</v>
      </c>
      <c r="F1967" t="s">
        <v>81</v>
      </c>
      <c r="G1967" t="s">
        <v>21709</v>
      </c>
      <c r="H1967">
        <v>17.75</v>
      </c>
      <c r="I1967">
        <v>0</v>
      </c>
      <c r="J1967">
        <v>0</v>
      </c>
      <c r="K1967">
        <v>20</v>
      </c>
      <c r="N1967">
        <v>6</v>
      </c>
      <c r="O1967">
        <v>6</v>
      </c>
      <c r="P1967">
        <v>4</v>
      </c>
      <c r="Q1967">
        <v>0</v>
      </c>
      <c r="R1967">
        <v>47.75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H1967">
        <v>47.75</v>
      </c>
    </row>
    <row r="1968" spans="1:34" x14ac:dyDescent="0.3">
      <c r="A1968" s="4">
        <v>2084</v>
      </c>
      <c r="B1968" s="5">
        <v>1961</v>
      </c>
      <c r="C1968">
        <v>13321</v>
      </c>
      <c r="D1968" t="s">
        <v>21710</v>
      </c>
      <c r="E1968" t="s">
        <v>208</v>
      </c>
      <c r="F1968" t="s">
        <v>243</v>
      </c>
      <c r="G1968" t="s">
        <v>21711</v>
      </c>
      <c r="H1968">
        <v>20.68</v>
      </c>
      <c r="I1968">
        <v>0</v>
      </c>
      <c r="J1968">
        <v>0</v>
      </c>
      <c r="K1968">
        <v>0</v>
      </c>
      <c r="O1968">
        <v>0</v>
      </c>
      <c r="P1968">
        <v>4</v>
      </c>
      <c r="Q1968">
        <v>2</v>
      </c>
      <c r="R1968">
        <v>26.68</v>
      </c>
      <c r="S1968">
        <v>18</v>
      </c>
      <c r="T1968">
        <v>18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18</v>
      </c>
      <c r="AB1968">
        <v>3</v>
      </c>
      <c r="AC1968">
        <v>0</v>
      </c>
      <c r="AH1968">
        <v>47.68</v>
      </c>
    </row>
    <row r="1969" spans="1:34" x14ac:dyDescent="0.3">
      <c r="A1969" s="4">
        <v>2085</v>
      </c>
      <c r="B1969" s="5">
        <v>1962</v>
      </c>
      <c r="C1969">
        <v>13771</v>
      </c>
      <c r="D1969" t="s">
        <v>1528</v>
      </c>
      <c r="E1969" t="s">
        <v>54</v>
      </c>
      <c r="F1969" t="s">
        <v>1161</v>
      </c>
      <c r="G1969" t="s">
        <v>21712</v>
      </c>
      <c r="H1969">
        <v>17.600000000000001</v>
      </c>
      <c r="I1969">
        <v>0</v>
      </c>
      <c r="J1969">
        <v>0</v>
      </c>
      <c r="K1969">
        <v>20</v>
      </c>
      <c r="N1969">
        <v>3</v>
      </c>
      <c r="O1969">
        <v>3</v>
      </c>
      <c r="P1969">
        <v>4</v>
      </c>
      <c r="Q1969">
        <v>0</v>
      </c>
      <c r="R1969">
        <v>44.6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3</v>
      </c>
      <c r="AC1969">
        <v>0</v>
      </c>
      <c r="AH1969">
        <v>47.6</v>
      </c>
    </row>
    <row r="1970" spans="1:34" x14ac:dyDescent="0.3">
      <c r="A1970" s="4">
        <v>2086</v>
      </c>
      <c r="B1970" s="5">
        <v>1963</v>
      </c>
      <c r="C1970">
        <v>4626</v>
      </c>
      <c r="D1970" t="s">
        <v>4841</v>
      </c>
      <c r="E1970" t="s">
        <v>54</v>
      </c>
      <c r="F1970" t="s">
        <v>158</v>
      </c>
      <c r="G1970" t="s">
        <v>21713</v>
      </c>
      <c r="H1970">
        <v>20.6</v>
      </c>
      <c r="I1970">
        <v>0</v>
      </c>
      <c r="J1970">
        <v>0</v>
      </c>
      <c r="K1970">
        <v>20</v>
      </c>
      <c r="N1970">
        <v>3</v>
      </c>
      <c r="O1970">
        <v>3</v>
      </c>
      <c r="P1970">
        <v>4</v>
      </c>
      <c r="Q1970">
        <v>0</v>
      </c>
      <c r="R1970">
        <v>47.6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H1970">
        <v>47.6</v>
      </c>
    </row>
    <row r="1971" spans="1:34" x14ac:dyDescent="0.3">
      <c r="A1971" s="4">
        <v>2087</v>
      </c>
      <c r="B1971" s="5">
        <v>1964</v>
      </c>
      <c r="C1971">
        <v>443</v>
      </c>
      <c r="D1971" t="s">
        <v>12694</v>
      </c>
      <c r="E1971" t="s">
        <v>166</v>
      </c>
      <c r="F1971" t="s">
        <v>34</v>
      </c>
      <c r="G1971" t="s">
        <v>21714</v>
      </c>
      <c r="H1971">
        <v>20.6</v>
      </c>
      <c r="I1971">
        <v>0</v>
      </c>
      <c r="J1971">
        <v>0</v>
      </c>
      <c r="K1971">
        <v>20</v>
      </c>
      <c r="N1971">
        <v>3</v>
      </c>
      <c r="O1971">
        <v>3</v>
      </c>
      <c r="P1971">
        <v>4</v>
      </c>
      <c r="Q1971">
        <v>0</v>
      </c>
      <c r="R1971">
        <v>47.6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H1971">
        <v>47.6</v>
      </c>
    </row>
    <row r="1972" spans="1:34" x14ac:dyDescent="0.3">
      <c r="A1972" s="4">
        <v>2088</v>
      </c>
      <c r="B1972" s="5">
        <v>1965</v>
      </c>
      <c r="C1972">
        <v>553</v>
      </c>
      <c r="D1972" t="s">
        <v>21715</v>
      </c>
      <c r="E1972" t="s">
        <v>88</v>
      </c>
      <c r="F1972" t="s">
        <v>521</v>
      </c>
      <c r="G1972" t="s">
        <v>21716</v>
      </c>
      <c r="H1972">
        <v>16.600000000000001</v>
      </c>
      <c r="I1972">
        <v>0</v>
      </c>
      <c r="J1972">
        <v>0</v>
      </c>
      <c r="K1972">
        <v>20</v>
      </c>
      <c r="L1972">
        <v>7</v>
      </c>
      <c r="O1972">
        <v>7</v>
      </c>
      <c r="P1972">
        <v>4</v>
      </c>
      <c r="Q1972">
        <v>0</v>
      </c>
      <c r="R1972">
        <v>47.6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H1972">
        <v>47.6</v>
      </c>
    </row>
    <row r="1973" spans="1:34" x14ac:dyDescent="0.3">
      <c r="A1973" s="4">
        <v>2089</v>
      </c>
      <c r="B1973" s="5">
        <v>1966</v>
      </c>
      <c r="C1973">
        <v>7318</v>
      </c>
      <c r="D1973" t="s">
        <v>3027</v>
      </c>
      <c r="E1973" t="s">
        <v>21717</v>
      </c>
      <c r="F1973" t="s">
        <v>587</v>
      </c>
      <c r="G1973" t="s">
        <v>21718</v>
      </c>
      <c r="H1973">
        <v>18.579999999999998</v>
      </c>
      <c r="I1973">
        <v>0</v>
      </c>
      <c r="J1973">
        <v>0</v>
      </c>
      <c r="K1973">
        <v>20</v>
      </c>
      <c r="N1973">
        <v>3</v>
      </c>
      <c r="O1973">
        <v>3</v>
      </c>
      <c r="P1973">
        <v>4</v>
      </c>
      <c r="Q1973">
        <v>2</v>
      </c>
      <c r="R1973">
        <v>47.58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H1973">
        <v>47.58</v>
      </c>
    </row>
    <row r="1974" spans="1:34" x14ac:dyDescent="0.3">
      <c r="A1974" s="4">
        <v>2090</v>
      </c>
      <c r="B1974" s="5">
        <v>1967</v>
      </c>
      <c r="C1974">
        <v>8660</v>
      </c>
      <c r="D1974" t="s">
        <v>21719</v>
      </c>
      <c r="E1974" t="s">
        <v>21720</v>
      </c>
      <c r="F1974" t="s">
        <v>21721</v>
      </c>
      <c r="G1974" t="s">
        <v>21722</v>
      </c>
      <c r="H1974">
        <v>21.58</v>
      </c>
      <c r="I1974">
        <v>0</v>
      </c>
      <c r="J1974">
        <v>0</v>
      </c>
      <c r="K1974">
        <v>0</v>
      </c>
      <c r="N1974">
        <v>3</v>
      </c>
      <c r="O1974">
        <v>3</v>
      </c>
      <c r="P1974">
        <v>4</v>
      </c>
      <c r="Q1974">
        <v>2</v>
      </c>
      <c r="R1974">
        <v>30.58</v>
      </c>
      <c r="S1974">
        <v>17</v>
      </c>
      <c r="T1974">
        <v>17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17</v>
      </c>
      <c r="AB1974">
        <v>0</v>
      </c>
      <c r="AC1974">
        <v>0</v>
      </c>
      <c r="AH1974">
        <v>47.58</v>
      </c>
    </row>
    <row r="1975" spans="1:34" x14ac:dyDescent="0.3">
      <c r="A1975" s="4">
        <v>2091</v>
      </c>
      <c r="B1975" s="5">
        <v>1968</v>
      </c>
      <c r="C1975">
        <v>57</v>
      </c>
      <c r="D1975" t="s">
        <v>21723</v>
      </c>
      <c r="E1975" t="s">
        <v>166</v>
      </c>
      <c r="F1975" t="s">
        <v>81</v>
      </c>
      <c r="G1975" t="s">
        <v>21724</v>
      </c>
      <c r="H1975">
        <v>15.55</v>
      </c>
      <c r="I1975">
        <v>0</v>
      </c>
      <c r="J1975">
        <v>0</v>
      </c>
      <c r="K1975">
        <v>0</v>
      </c>
      <c r="O1975">
        <v>0</v>
      </c>
      <c r="P1975">
        <v>4</v>
      </c>
      <c r="Q1975">
        <v>0</v>
      </c>
      <c r="R1975">
        <v>19.55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28</v>
      </c>
      <c r="AH1975">
        <v>47.55</v>
      </c>
    </row>
    <row r="1976" spans="1:34" x14ac:dyDescent="0.3">
      <c r="A1976" s="4">
        <v>2092</v>
      </c>
      <c r="B1976" s="5">
        <v>1969</v>
      </c>
      <c r="C1976">
        <v>5147</v>
      </c>
      <c r="D1976" t="s">
        <v>7270</v>
      </c>
      <c r="E1976" t="s">
        <v>255</v>
      </c>
      <c r="F1976" t="s">
        <v>38</v>
      </c>
      <c r="G1976" t="s">
        <v>21725</v>
      </c>
      <c r="H1976">
        <v>18.5</v>
      </c>
      <c r="I1976">
        <v>0</v>
      </c>
      <c r="J1976">
        <v>0</v>
      </c>
      <c r="K1976">
        <v>20</v>
      </c>
      <c r="N1976">
        <v>3</v>
      </c>
      <c r="O1976">
        <v>3</v>
      </c>
      <c r="P1976">
        <v>0</v>
      </c>
      <c r="Q1976">
        <v>0</v>
      </c>
      <c r="R1976">
        <v>41.5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6</v>
      </c>
      <c r="AC1976">
        <v>0</v>
      </c>
      <c r="AH1976">
        <v>47.5</v>
      </c>
    </row>
    <row r="1977" spans="1:34" x14ac:dyDescent="0.3">
      <c r="A1977" s="4">
        <v>2093</v>
      </c>
      <c r="B1977" s="5">
        <v>1970</v>
      </c>
      <c r="C1977">
        <v>13395</v>
      </c>
      <c r="D1977" t="s">
        <v>4825</v>
      </c>
      <c r="E1977" t="s">
        <v>21726</v>
      </c>
      <c r="F1977" t="s">
        <v>21727</v>
      </c>
      <c r="G1977" t="s">
        <v>21728</v>
      </c>
      <c r="H1977">
        <v>20.5</v>
      </c>
      <c r="I1977">
        <v>0</v>
      </c>
      <c r="J1977">
        <v>0</v>
      </c>
      <c r="K1977">
        <v>20</v>
      </c>
      <c r="O1977">
        <v>0</v>
      </c>
      <c r="P1977">
        <v>4</v>
      </c>
      <c r="Q1977">
        <v>0</v>
      </c>
      <c r="R1977">
        <v>44.5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3</v>
      </c>
      <c r="AC1977">
        <v>0</v>
      </c>
      <c r="AH1977">
        <v>47.5</v>
      </c>
    </row>
    <row r="1978" spans="1:34" x14ac:dyDescent="0.3">
      <c r="A1978" s="4">
        <v>2094</v>
      </c>
      <c r="B1978" s="5">
        <v>1971</v>
      </c>
      <c r="C1978">
        <v>7750</v>
      </c>
      <c r="D1978" t="s">
        <v>21729</v>
      </c>
      <c r="E1978" t="s">
        <v>29</v>
      </c>
      <c r="F1978" t="s">
        <v>136</v>
      </c>
      <c r="G1978" t="s">
        <v>21730</v>
      </c>
      <c r="H1978">
        <v>17.5</v>
      </c>
      <c r="I1978">
        <v>0</v>
      </c>
      <c r="J1978">
        <v>0</v>
      </c>
      <c r="K1978">
        <v>20</v>
      </c>
      <c r="N1978">
        <v>3</v>
      </c>
      <c r="O1978">
        <v>3</v>
      </c>
      <c r="P1978">
        <v>4</v>
      </c>
      <c r="Q1978">
        <v>0</v>
      </c>
      <c r="R1978">
        <v>44.5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3</v>
      </c>
      <c r="AC1978">
        <v>0</v>
      </c>
      <c r="AH1978">
        <v>47.5</v>
      </c>
    </row>
    <row r="1979" spans="1:34" x14ac:dyDescent="0.3">
      <c r="A1979" s="4">
        <v>2095</v>
      </c>
      <c r="B1979" s="5">
        <v>1972</v>
      </c>
      <c r="C1979">
        <v>1840</v>
      </c>
      <c r="D1979" t="s">
        <v>21731</v>
      </c>
      <c r="E1979" t="s">
        <v>208</v>
      </c>
      <c r="F1979" t="s">
        <v>325</v>
      </c>
      <c r="G1979" t="s">
        <v>21732</v>
      </c>
      <c r="H1979">
        <v>20.48</v>
      </c>
      <c r="I1979">
        <v>0</v>
      </c>
      <c r="J1979">
        <v>0</v>
      </c>
      <c r="K1979">
        <v>20</v>
      </c>
      <c r="N1979">
        <v>3</v>
      </c>
      <c r="O1979">
        <v>3</v>
      </c>
      <c r="P1979">
        <v>4</v>
      </c>
      <c r="Q1979">
        <v>0</v>
      </c>
      <c r="R1979">
        <v>47.48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H1979">
        <v>47.48</v>
      </c>
    </row>
    <row r="1980" spans="1:34" x14ac:dyDescent="0.3">
      <c r="A1980" s="4">
        <v>2096</v>
      </c>
      <c r="B1980" s="5">
        <v>1973</v>
      </c>
      <c r="C1980">
        <v>4999</v>
      </c>
      <c r="D1980" t="s">
        <v>11246</v>
      </c>
      <c r="E1980" t="s">
        <v>21733</v>
      </c>
      <c r="F1980" t="s">
        <v>68</v>
      </c>
      <c r="G1980" t="s">
        <v>21734</v>
      </c>
      <c r="H1980">
        <v>17.48</v>
      </c>
      <c r="I1980">
        <v>0</v>
      </c>
      <c r="J1980">
        <v>0</v>
      </c>
      <c r="K1980">
        <v>0</v>
      </c>
      <c r="O1980">
        <v>0</v>
      </c>
      <c r="P1980">
        <v>4</v>
      </c>
      <c r="Q1980">
        <v>2</v>
      </c>
      <c r="R1980">
        <v>23.48</v>
      </c>
      <c r="S1980">
        <v>24</v>
      </c>
      <c r="T1980">
        <v>24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24</v>
      </c>
      <c r="AB1980">
        <v>0</v>
      </c>
      <c r="AC1980">
        <v>0</v>
      </c>
      <c r="AH1980">
        <v>47.48</v>
      </c>
    </row>
    <row r="1981" spans="1:34" x14ac:dyDescent="0.3">
      <c r="A1981" s="4">
        <v>2097</v>
      </c>
      <c r="B1981" s="5">
        <v>1974</v>
      </c>
      <c r="C1981">
        <v>391</v>
      </c>
      <c r="D1981" t="s">
        <v>21735</v>
      </c>
      <c r="E1981" t="s">
        <v>22</v>
      </c>
      <c r="F1981" t="s">
        <v>2261</v>
      </c>
      <c r="G1981" t="s">
        <v>21736</v>
      </c>
      <c r="H1981">
        <v>18.43</v>
      </c>
      <c r="I1981">
        <v>0</v>
      </c>
      <c r="J1981">
        <v>0</v>
      </c>
      <c r="K1981">
        <v>20</v>
      </c>
      <c r="M1981">
        <v>5</v>
      </c>
      <c r="O1981">
        <v>5</v>
      </c>
      <c r="P1981">
        <v>4</v>
      </c>
      <c r="Q1981">
        <v>0</v>
      </c>
      <c r="R1981">
        <v>47.43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H1981">
        <v>47.43</v>
      </c>
    </row>
    <row r="1982" spans="1:34" x14ac:dyDescent="0.3">
      <c r="A1982" s="4">
        <v>2098</v>
      </c>
      <c r="B1982" s="5">
        <v>1975</v>
      </c>
      <c r="C1982">
        <v>953</v>
      </c>
      <c r="D1982" t="s">
        <v>19651</v>
      </c>
      <c r="E1982" t="s">
        <v>166</v>
      </c>
      <c r="F1982" t="s">
        <v>55</v>
      </c>
      <c r="G1982" t="s">
        <v>21737</v>
      </c>
      <c r="H1982">
        <v>17.329999999999998</v>
      </c>
      <c r="I1982">
        <v>0</v>
      </c>
      <c r="J1982">
        <v>0</v>
      </c>
      <c r="K1982">
        <v>20</v>
      </c>
      <c r="N1982">
        <v>3</v>
      </c>
      <c r="O1982">
        <v>3</v>
      </c>
      <c r="P1982">
        <v>4</v>
      </c>
      <c r="Q1982">
        <v>0</v>
      </c>
      <c r="R1982">
        <v>44.33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3</v>
      </c>
      <c r="AC1982">
        <v>0</v>
      </c>
      <c r="AH1982">
        <v>47.33</v>
      </c>
    </row>
    <row r="1983" spans="1:34" x14ac:dyDescent="0.3">
      <c r="A1983" s="4">
        <v>2099</v>
      </c>
      <c r="B1983" s="5">
        <v>1976</v>
      </c>
      <c r="C1983">
        <v>6661</v>
      </c>
      <c r="D1983" t="s">
        <v>2951</v>
      </c>
      <c r="E1983" t="s">
        <v>29</v>
      </c>
      <c r="F1983" t="s">
        <v>81</v>
      </c>
      <c r="G1983" t="s">
        <v>21738</v>
      </c>
      <c r="H1983">
        <v>16.329999999999998</v>
      </c>
      <c r="I1983">
        <v>0</v>
      </c>
      <c r="J1983">
        <v>0</v>
      </c>
      <c r="K1983">
        <v>20</v>
      </c>
      <c r="L1983">
        <v>7</v>
      </c>
      <c r="O1983">
        <v>7</v>
      </c>
      <c r="P1983">
        <v>4</v>
      </c>
      <c r="Q1983">
        <v>0</v>
      </c>
      <c r="R1983">
        <v>47.33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H1983">
        <v>47.33</v>
      </c>
    </row>
    <row r="1984" spans="1:34" x14ac:dyDescent="0.3">
      <c r="A1984" s="4">
        <v>2100</v>
      </c>
      <c r="B1984" s="5">
        <v>1977</v>
      </c>
      <c r="C1984">
        <v>2780</v>
      </c>
      <c r="D1984" t="s">
        <v>21739</v>
      </c>
      <c r="E1984" t="s">
        <v>33</v>
      </c>
      <c r="F1984" t="s">
        <v>20</v>
      </c>
      <c r="G1984" t="s">
        <v>21740</v>
      </c>
      <c r="H1984">
        <v>20.3</v>
      </c>
      <c r="I1984">
        <v>0</v>
      </c>
      <c r="J1984">
        <v>0</v>
      </c>
      <c r="K1984">
        <v>20</v>
      </c>
      <c r="N1984">
        <v>3</v>
      </c>
      <c r="O1984">
        <v>3</v>
      </c>
      <c r="P1984">
        <v>4</v>
      </c>
      <c r="Q1984">
        <v>0</v>
      </c>
      <c r="R1984">
        <v>47.3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H1984">
        <v>47.3</v>
      </c>
    </row>
    <row r="1985" spans="1:34" x14ac:dyDescent="0.3">
      <c r="A1985" s="4">
        <v>2101</v>
      </c>
      <c r="B1985" s="5">
        <v>1978</v>
      </c>
      <c r="C1985">
        <v>4555</v>
      </c>
      <c r="D1985" t="s">
        <v>21741</v>
      </c>
      <c r="E1985" t="s">
        <v>516</v>
      </c>
      <c r="F1985" t="s">
        <v>17</v>
      </c>
      <c r="G1985" t="s">
        <v>21742</v>
      </c>
      <c r="H1985">
        <v>17.28</v>
      </c>
      <c r="I1985">
        <v>0</v>
      </c>
      <c r="J1985">
        <v>0</v>
      </c>
      <c r="K1985">
        <v>20</v>
      </c>
      <c r="N1985">
        <v>6</v>
      </c>
      <c r="O1985">
        <v>6</v>
      </c>
      <c r="P1985">
        <v>4</v>
      </c>
      <c r="Q1985">
        <v>0</v>
      </c>
      <c r="R1985">
        <v>47.28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H1985">
        <v>47.28</v>
      </c>
    </row>
    <row r="1986" spans="1:34" x14ac:dyDescent="0.3">
      <c r="A1986" s="4">
        <v>2102</v>
      </c>
      <c r="B1986" s="5">
        <v>1979</v>
      </c>
      <c r="C1986">
        <v>11306</v>
      </c>
      <c r="D1986" t="s">
        <v>1980</v>
      </c>
      <c r="E1986" t="s">
        <v>21743</v>
      </c>
      <c r="F1986" t="s">
        <v>17</v>
      </c>
      <c r="G1986" t="s">
        <v>21744</v>
      </c>
      <c r="H1986">
        <v>18.25</v>
      </c>
      <c r="I1986">
        <v>0</v>
      </c>
      <c r="J1986">
        <v>0</v>
      </c>
      <c r="K1986">
        <v>0</v>
      </c>
      <c r="O1986">
        <v>0</v>
      </c>
      <c r="P1986">
        <v>4</v>
      </c>
      <c r="Q1986">
        <v>2</v>
      </c>
      <c r="R1986">
        <v>24.25</v>
      </c>
      <c r="S1986">
        <v>17</v>
      </c>
      <c r="T1986">
        <v>17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17</v>
      </c>
      <c r="AB1986">
        <v>6</v>
      </c>
      <c r="AC1986">
        <v>0</v>
      </c>
      <c r="AH1986">
        <v>47.25</v>
      </c>
    </row>
    <row r="1987" spans="1:34" x14ac:dyDescent="0.3">
      <c r="A1987" s="4">
        <v>2103</v>
      </c>
      <c r="B1987" s="5">
        <v>1980</v>
      </c>
      <c r="C1987">
        <v>6012</v>
      </c>
      <c r="D1987" t="s">
        <v>13374</v>
      </c>
      <c r="E1987" t="s">
        <v>21745</v>
      </c>
      <c r="F1987" t="s">
        <v>21746</v>
      </c>
      <c r="G1987" t="s">
        <v>21747</v>
      </c>
      <c r="H1987">
        <v>16.25</v>
      </c>
      <c r="I1987">
        <v>0</v>
      </c>
      <c r="J1987">
        <v>0</v>
      </c>
      <c r="K1987">
        <v>20</v>
      </c>
      <c r="L1987">
        <v>7</v>
      </c>
      <c r="O1987">
        <v>7</v>
      </c>
      <c r="P1987">
        <v>4</v>
      </c>
      <c r="Q1987">
        <v>0</v>
      </c>
      <c r="R1987">
        <v>47.25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H1987">
        <v>47.25</v>
      </c>
    </row>
    <row r="1988" spans="1:34" x14ac:dyDescent="0.3">
      <c r="A1988" s="4">
        <v>2104</v>
      </c>
      <c r="B1988" s="5">
        <v>1981</v>
      </c>
      <c r="C1988">
        <v>9745</v>
      </c>
      <c r="D1988" t="s">
        <v>21748</v>
      </c>
      <c r="E1988" t="s">
        <v>100</v>
      </c>
      <c r="F1988" t="s">
        <v>442</v>
      </c>
      <c r="G1988" t="s">
        <v>21749</v>
      </c>
      <c r="H1988">
        <v>16.25</v>
      </c>
      <c r="I1988">
        <v>0</v>
      </c>
      <c r="J1988">
        <v>0</v>
      </c>
      <c r="K1988">
        <v>20</v>
      </c>
      <c r="L1988">
        <v>7</v>
      </c>
      <c r="O1988">
        <v>7</v>
      </c>
      <c r="P1988">
        <v>4</v>
      </c>
      <c r="Q1988">
        <v>0</v>
      </c>
      <c r="R1988">
        <v>47.25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H1988">
        <v>47.25</v>
      </c>
    </row>
    <row r="1989" spans="1:34" x14ac:dyDescent="0.3">
      <c r="A1989" s="4">
        <v>2105</v>
      </c>
      <c r="B1989" s="5">
        <v>1982</v>
      </c>
      <c r="C1989">
        <v>6063</v>
      </c>
      <c r="D1989" t="s">
        <v>7848</v>
      </c>
      <c r="E1989" t="s">
        <v>54</v>
      </c>
      <c r="F1989" t="s">
        <v>626</v>
      </c>
      <c r="G1989" t="s">
        <v>21750</v>
      </c>
      <c r="H1989">
        <v>17.23</v>
      </c>
      <c r="I1989">
        <v>0</v>
      </c>
      <c r="J1989">
        <v>0</v>
      </c>
      <c r="K1989">
        <v>20</v>
      </c>
      <c r="N1989">
        <v>3</v>
      </c>
      <c r="O1989">
        <v>3</v>
      </c>
      <c r="P1989">
        <v>4</v>
      </c>
      <c r="Q1989">
        <v>0</v>
      </c>
      <c r="R1989">
        <v>44.23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3</v>
      </c>
      <c r="AC1989">
        <v>0</v>
      </c>
      <c r="AH1989">
        <v>47.23</v>
      </c>
    </row>
    <row r="1990" spans="1:34" x14ac:dyDescent="0.3">
      <c r="A1990" s="4">
        <v>2106</v>
      </c>
      <c r="B1990" s="5">
        <v>1983</v>
      </c>
      <c r="C1990">
        <v>2036</v>
      </c>
      <c r="D1990" t="s">
        <v>1565</v>
      </c>
      <c r="E1990" t="s">
        <v>149</v>
      </c>
      <c r="F1990" t="s">
        <v>117</v>
      </c>
      <c r="G1990" t="s">
        <v>21751</v>
      </c>
      <c r="H1990">
        <v>19.2</v>
      </c>
      <c r="I1990">
        <v>0</v>
      </c>
      <c r="J1990">
        <v>0</v>
      </c>
      <c r="K1990">
        <v>0</v>
      </c>
      <c r="L1990">
        <v>7</v>
      </c>
      <c r="O1990">
        <v>7</v>
      </c>
      <c r="P1990">
        <v>4</v>
      </c>
      <c r="Q1990">
        <v>2</v>
      </c>
      <c r="R1990">
        <v>32.200000000000003</v>
      </c>
      <c r="S1990">
        <v>15</v>
      </c>
      <c r="T1990">
        <v>15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15</v>
      </c>
      <c r="AB1990">
        <v>0</v>
      </c>
      <c r="AC1990">
        <v>0</v>
      </c>
      <c r="AH1990">
        <v>47.2</v>
      </c>
    </row>
    <row r="1991" spans="1:34" x14ac:dyDescent="0.3">
      <c r="A1991" s="4">
        <v>2107</v>
      </c>
      <c r="B1991" s="5">
        <v>1984</v>
      </c>
      <c r="C1991">
        <v>11022</v>
      </c>
      <c r="D1991" t="s">
        <v>21752</v>
      </c>
      <c r="E1991" t="s">
        <v>21753</v>
      </c>
      <c r="F1991" t="s">
        <v>21754</v>
      </c>
      <c r="G1991" t="s">
        <v>21755</v>
      </c>
      <c r="H1991">
        <v>18.149999999999999</v>
      </c>
      <c r="I1991">
        <v>0</v>
      </c>
      <c r="J1991">
        <v>0</v>
      </c>
      <c r="K1991">
        <v>20</v>
      </c>
      <c r="N1991">
        <v>3</v>
      </c>
      <c r="O1991">
        <v>3</v>
      </c>
      <c r="P1991">
        <v>0</v>
      </c>
      <c r="Q1991">
        <v>0</v>
      </c>
      <c r="R1991">
        <v>41.15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6</v>
      </c>
      <c r="AC1991">
        <v>0</v>
      </c>
      <c r="AH1991">
        <v>47.15</v>
      </c>
    </row>
    <row r="1992" spans="1:34" x14ac:dyDescent="0.3">
      <c r="A1992" s="4">
        <v>2108</v>
      </c>
      <c r="B1992" s="5">
        <v>1985</v>
      </c>
      <c r="C1992">
        <v>1170</v>
      </c>
      <c r="D1992" t="s">
        <v>10614</v>
      </c>
      <c r="E1992" t="s">
        <v>26</v>
      </c>
      <c r="F1992" t="s">
        <v>117</v>
      </c>
      <c r="G1992" t="s">
        <v>21756</v>
      </c>
      <c r="H1992">
        <v>19.149999999999999</v>
      </c>
      <c r="I1992">
        <v>0</v>
      </c>
      <c r="J1992">
        <v>0</v>
      </c>
      <c r="K1992">
        <v>0</v>
      </c>
      <c r="L1992">
        <v>7</v>
      </c>
      <c r="N1992">
        <v>3</v>
      </c>
      <c r="O1992">
        <v>10</v>
      </c>
      <c r="P1992">
        <v>4</v>
      </c>
      <c r="Q1992">
        <v>0</v>
      </c>
      <c r="R1992">
        <v>33.15</v>
      </c>
      <c r="S1992">
        <v>8</v>
      </c>
      <c r="T1992">
        <v>8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8</v>
      </c>
      <c r="AB1992">
        <v>6</v>
      </c>
      <c r="AC1992">
        <v>0</v>
      </c>
      <c r="AH1992">
        <v>47.15</v>
      </c>
    </row>
    <row r="1993" spans="1:34" x14ac:dyDescent="0.3">
      <c r="A1993" s="4">
        <v>2109</v>
      </c>
      <c r="B1993" s="5">
        <v>1986</v>
      </c>
      <c r="C1993">
        <v>9349</v>
      </c>
      <c r="D1993" t="s">
        <v>21757</v>
      </c>
      <c r="E1993" t="s">
        <v>71</v>
      </c>
      <c r="F1993" t="s">
        <v>782</v>
      </c>
      <c r="G1993" t="s">
        <v>21758</v>
      </c>
      <c r="H1993">
        <v>17.13</v>
      </c>
      <c r="I1993">
        <v>0</v>
      </c>
      <c r="J1993">
        <v>0</v>
      </c>
      <c r="K1993">
        <v>0</v>
      </c>
      <c r="N1993">
        <v>6</v>
      </c>
      <c r="O1993">
        <v>6</v>
      </c>
      <c r="P1993">
        <v>4</v>
      </c>
      <c r="Q1993">
        <v>2</v>
      </c>
      <c r="R1993">
        <v>29.13</v>
      </c>
      <c r="S1993">
        <v>18</v>
      </c>
      <c r="T1993">
        <v>18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18</v>
      </c>
      <c r="AB1993">
        <v>0</v>
      </c>
      <c r="AC1993">
        <v>0</v>
      </c>
      <c r="AH1993">
        <v>47.13</v>
      </c>
    </row>
    <row r="1994" spans="1:34" x14ac:dyDescent="0.3">
      <c r="A1994" s="4">
        <v>2110</v>
      </c>
      <c r="B1994" s="5">
        <v>1987</v>
      </c>
      <c r="C1994">
        <v>8329</v>
      </c>
      <c r="D1994" t="s">
        <v>21759</v>
      </c>
      <c r="E1994" t="s">
        <v>375</v>
      </c>
      <c r="F1994" t="s">
        <v>570</v>
      </c>
      <c r="G1994" t="s">
        <v>21760</v>
      </c>
      <c r="H1994">
        <v>17.079999999999998</v>
      </c>
      <c r="I1994">
        <v>0</v>
      </c>
      <c r="J1994">
        <v>0</v>
      </c>
      <c r="K1994">
        <v>20</v>
      </c>
      <c r="N1994">
        <v>3</v>
      </c>
      <c r="O1994">
        <v>3</v>
      </c>
      <c r="P1994">
        <v>4</v>
      </c>
      <c r="Q1994">
        <v>0</v>
      </c>
      <c r="R1994">
        <v>44.08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3</v>
      </c>
      <c r="AC1994">
        <v>0</v>
      </c>
      <c r="AH1994">
        <v>47.08</v>
      </c>
    </row>
    <row r="1995" spans="1:34" x14ac:dyDescent="0.3">
      <c r="A1995" s="4">
        <v>2111</v>
      </c>
      <c r="B1995" s="5">
        <v>1988</v>
      </c>
      <c r="C1995">
        <v>14031</v>
      </c>
      <c r="D1995" t="s">
        <v>21761</v>
      </c>
      <c r="E1995" t="s">
        <v>178</v>
      </c>
      <c r="F1995" t="s">
        <v>17</v>
      </c>
      <c r="G1995" t="s">
        <v>21762</v>
      </c>
      <c r="H1995">
        <v>20.05</v>
      </c>
      <c r="I1995">
        <v>0</v>
      </c>
      <c r="J1995">
        <v>0</v>
      </c>
      <c r="K1995">
        <v>20</v>
      </c>
      <c r="N1995">
        <v>3</v>
      </c>
      <c r="O1995">
        <v>3</v>
      </c>
      <c r="P1995">
        <v>4</v>
      </c>
      <c r="Q1995">
        <v>0</v>
      </c>
      <c r="R1995">
        <v>47.05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H1995">
        <v>47.05</v>
      </c>
    </row>
    <row r="1996" spans="1:34" x14ac:dyDescent="0.3">
      <c r="A1996" s="4">
        <v>2112</v>
      </c>
      <c r="B1996" s="5">
        <v>1989</v>
      </c>
      <c r="C1996">
        <v>14145</v>
      </c>
      <c r="D1996" t="s">
        <v>21763</v>
      </c>
      <c r="E1996" t="s">
        <v>789</v>
      </c>
      <c r="F1996" t="s">
        <v>62</v>
      </c>
      <c r="G1996" t="s">
        <v>21764</v>
      </c>
      <c r="H1996">
        <v>17</v>
      </c>
      <c r="I1996">
        <v>0</v>
      </c>
      <c r="J1996">
        <v>0</v>
      </c>
      <c r="K1996">
        <v>20</v>
      </c>
      <c r="N1996">
        <v>3</v>
      </c>
      <c r="O1996">
        <v>3</v>
      </c>
      <c r="P1996">
        <v>4</v>
      </c>
      <c r="Q1996">
        <v>0</v>
      </c>
      <c r="R1996">
        <v>44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3</v>
      </c>
      <c r="AC1996">
        <v>0</v>
      </c>
      <c r="AH1996">
        <v>47</v>
      </c>
    </row>
    <row r="1997" spans="1:34" x14ac:dyDescent="0.3">
      <c r="A1997" s="4">
        <v>2113</v>
      </c>
      <c r="B1997" s="5">
        <v>1990</v>
      </c>
      <c r="C1997">
        <v>6582</v>
      </c>
      <c r="D1997" t="s">
        <v>21761</v>
      </c>
      <c r="E1997" t="s">
        <v>516</v>
      </c>
      <c r="F1997" t="s">
        <v>17</v>
      </c>
      <c r="G1997" t="s">
        <v>21765</v>
      </c>
      <c r="H1997">
        <v>20</v>
      </c>
      <c r="I1997">
        <v>0</v>
      </c>
      <c r="J1997">
        <v>0</v>
      </c>
      <c r="K1997">
        <v>20</v>
      </c>
      <c r="N1997">
        <v>3</v>
      </c>
      <c r="O1997">
        <v>3</v>
      </c>
      <c r="P1997">
        <v>4</v>
      </c>
      <c r="Q1997">
        <v>0</v>
      </c>
      <c r="R1997">
        <v>47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H1997">
        <v>47</v>
      </c>
    </row>
    <row r="1998" spans="1:34" x14ac:dyDescent="0.3">
      <c r="A1998" s="4">
        <v>2114</v>
      </c>
      <c r="B1998" s="5">
        <v>1991</v>
      </c>
      <c r="C1998">
        <v>13967</v>
      </c>
      <c r="D1998" t="s">
        <v>21766</v>
      </c>
      <c r="E1998" t="s">
        <v>789</v>
      </c>
      <c r="F1998" t="s">
        <v>20</v>
      </c>
      <c r="G1998" t="s">
        <v>21767</v>
      </c>
      <c r="H1998">
        <v>18</v>
      </c>
      <c r="I1998">
        <v>0</v>
      </c>
      <c r="J1998">
        <v>0</v>
      </c>
      <c r="K1998">
        <v>0</v>
      </c>
      <c r="L1998">
        <v>7</v>
      </c>
      <c r="O1998">
        <v>7</v>
      </c>
      <c r="P1998">
        <v>4</v>
      </c>
      <c r="Q1998">
        <v>0</v>
      </c>
      <c r="R1998">
        <v>29</v>
      </c>
      <c r="S1998">
        <v>18</v>
      </c>
      <c r="T1998">
        <v>18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18</v>
      </c>
      <c r="AB1998">
        <v>0</v>
      </c>
      <c r="AC1998">
        <v>0</v>
      </c>
      <c r="AH1998">
        <v>47</v>
      </c>
    </row>
    <row r="1999" spans="1:34" x14ac:dyDescent="0.3">
      <c r="A1999" s="4">
        <v>2115</v>
      </c>
      <c r="B1999" s="5">
        <v>1992</v>
      </c>
      <c r="C1999">
        <v>10064</v>
      </c>
      <c r="D1999" t="s">
        <v>387</v>
      </c>
      <c r="E1999" t="s">
        <v>29</v>
      </c>
      <c r="F1999" t="s">
        <v>17</v>
      </c>
      <c r="G1999" t="s">
        <v>21768</v>
      </c>
      <c r="H1999">
        <v>19.98</v>
      </c>
      <c r="I1999">
        <v>0</v>
      </c>
      <c r="J1999">
        <v>0</v>
      </c>
      <c r="K1999">
        <v>0</v>
      </c>
      <c r="L1999">
        <v>7</v>
      </c>
      <c r="O1999">
        <v>7</v>
      </c>
      <c r="P1999">
        <v>4</v>
      </c>
      <c r="Q1999">
        <v>0</v>
      </c>
      <c r="R1999">
        <v>30.98</v>
      </c>
      <c r="S1999">
        <v>16</v>
      </c>
      <c r="T1999">
        <v>16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16</v>
      </c>
      <c r="AB1999">
        <v>0</v>
      </c>
      <c r="AC1999">
        <v>0</v>
      </c>
      <c r="AD1999" t="s">
        <v>130</v>
      </c>
      <c r="AH1999">
        <v>46.98</v>
      </c>
    </row>
    <row r="2000" spans="1:34" x14ac:dyDescent="0.3">
      <c r="A2000" s="4">
        <v>2116</v>
      </c>
      <c r="B2000" s="5">
        <v>1993</v>
      </c>
      <c r="C2000">
        <v>1468</v>
      </c>
      <c r="D2000" t="s">
        <v>21769</v>
      </c>
      <c r="E2000" t="s">
        <v>136</v>
      </c>
      <c r="F2000" t="s">
        <v>55</v>
      </c>
      <c r="G2000" t="s">
        <v>21770</v>
      </c>
      <c r="H2000">
        <v>17.93</v>
      </c>
      <c r="I2000">
        <v>0</v>
      </c>
      <c r="J2000">
        <v>0</v>
      </c>
      <c r="K2000">
        <v>20</v>
      </c>
      <c r="M2000">
        <v>5</v>
      </c>
      <c r="O2000">
        <v>5</v>
      </c>
      <c r="P2000">
        <v>4</v>
      </c>
      <c r="Q2000">
        <v>0</v>
      </c>
      <c r="R2000">
        <v>46.93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H2000">
        <v>46.93</v>
      </c>
    </row>
    <row r="2001" spans="1:34" x14ac:dyDescent="0.3">
      <c r="A2001" s="4">
        <v>2117</v>
      </c>
      <c r="B2001" s="5">
        <v>1994</v>
      </c>
      <c r="C2001">
        <v>7291</v>
      </c>
      <c r="D2001" t="s">
        <v>21771</v>
      </c>
      <c r="E2001" t="s">
        <v>158</v>
      </c>
      <c r="F2001" t="s">
        <v>38</v>
      </c>
      <c r="G2001" t="s">
        <v>21772</v>
      </c>
      <c r="H2001">
        <v>17.899999999999999</v>
      </c>
      <c r="I2001">
        <v>0</v>
      </c>
      <c r="J2001">
        <v>0</v>
      </c>
      <c r="K2001">
        <v>20</v>
      </c>
      <c r="M2001">
        <v>5</v>
      </c>
      <c r="O2001">
        <v>5</v>
      </c>
      <c r="P2001">
        <v>4</v>
      </c>
      <c r="Q2001">
        <v>0</v>
      </c>
      <c r="R2001">
        <v>46.9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H2001">
        <v>46.9</v>
      </c>
    </row>
    <row r="2002" spans="1:34" x14ac:dyDescent="0.3">
      <c r="A2002" s="4">
        <v>2118</v>
      </c>
      <c r="B2002" s="5">
        <v>1995</v>
      </c>
      <c r="C2002">
        <v>1441</v>
      </c>
      <c r="D2002" t="s">
        <v>21210</v>
      </c>
      <c r="E2002" t="s">
        <v>5237</v>
      </c>
      <c r="F2002" t="s">
        <v>81</v>
      </c>
      <c r="G2002" t="s">
        <v>21773</v>
      </c>
      <c r="H2002">
        <v>19.88</v>
      </c>
      <c r="I2002">
        <v>0</v>
      </c>
      <c r="J2002">
        <v>0</v>
      </c>
      <c r="K2002">
        <v>20</v>
      </c>
      <c r="N2002">
        <v>3</v>
      </c>
      <c r="O2002">
        <v>3</v>
      </c>
      <c r="P2002">
        <v>4</v>
      </c>
      <c r="Q2002">
        <v>0</v>
      </c>
      <c r="R2002">
        <v>46.88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H2002">
        <v>46.88</v>
      </c>
    </row>
    <row r="2003" spans="1:34" x14ac:dyDescent="0.3">
      <c r="A2003" s="4">
        <v>2119</v>
      </c>
      <c r="B2003" s="5">
        <v>1996</v>
      </c>
      <c r="C2003">
        <v>3349</v>
      </c>
      <c r="D2003" t="s">
        <v>1133</v>
      </c>
      <c r="E2003" t="s">
        <v>967</v>
      </c>
      <c r="F2003" t="s">
        <v>38</v>
      </c>
      <c r="G2003" t="s">
        <v>21774</v>
      </c>
      <c r="H2003">
        <v>17.88</v>
      </c>
      <c r="I2003">
        <v>0</v>
      </c>
      <c r="J2003">
        <v>0</v>
      </c>
      <c r="K2003">
        <v>20</v>
      </c>
      <c r="M2003">
        <v>5</v>
      </c>
      <c r="O2003">
        <v>5</v>
      </c>
      <c r="P2003">
        <v>4</v>
      </c>
      <c r="Q2003">
        <v>0</v>
      </c>
      <c r="R2003">
        <v>46.88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H2003">
        <v>46.88</v>
      </c>
    </row>
    <row r="2004" spans="1:34" x14ac:dyDescent="0.3">
      <c r="A2004" s="4">
        <v>2120</v>
      </c>
      <c r="B2004" s="5">
        <v>1997</v>
      </c>
      <c r="C2004">
        <v>14312</v>
      </c>
      <c r="D2004" t="s">
        <v>21775</v>
      </c>
      <c r="E2004" t="s">
        <v>262</v>
      </c>
      <c r="F2004" t="s">
        <v>17803</v>
      </c>
      <c r="G2004" t="s">
        <v>21776</v>
      </c>
      <c r="H2004">
        <v>18.850000000000001</v>
      </c>
      <c r="I2004">
        <v>0</v>
      </c>
      <c r="J2004">
        <v>0</v>
      </c>
      <c r="K2004">
        <v>0</v>
      </c>
      <c r="O2004">
        <v>0</v>
      </c>
      <c r="P2004">
        <v>4</v>
      </c>
      <c r="Q2004">
        <v>2</v>
      </c>
      <c r="R2004">
        <v>24.85</v>
      </c>
      <c r="S2004">
        <v>16</v>
      </c>
      <c r="T2004">
        <v>16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16</v>
      </c>
      <c r="AB2004">
        <v>6</v>
      </c>
      <c r="AC2004">
        <v>0</v>
      </c>
      <c r="AD2004" t="s">
        <v>130</v>
      </c>
      <c r="AH2004">
        <v>46.85</v>
      </c>
    </row>
    <row r="2005" spans="1:34" x14ac:dyDescent="0.3">
      <c r="A2005" s="4">
        <v>2121</v>
      </c>
      <c r="B2005" s="5">
        <v>1998</v>
      </c>
      <c r="C2005">
        <v>10026</v>
      </c>
      <c r="D2005" t="s">
        <v>947</v>
      </c>
      <c r="E2005" t="s">
        <v>21014</v>
      </c>
      <c r="F2005" t="s">
        <v>136</v>
      </c>
      <c r="G2005" t="s">
        <v>21777</v>
      </c>
      <c r="H2005">
        <v>18.850000000000001</v>
      </c>
      <c r="I2005">
        <v>0</v>
      </c>
      <c r="J2005">
        <v>0</v>
      </c>
      <c r="K2005">
        <v>0</v>
      </c>
      <c r="N2005">
        <v>3</v>
      </c>
      <c r="O2005">
        <v>3</v>
      </c>
      <c r="P2005">
        <v>4</v>
      </c>
      <c r="Q2005">
        <v>0</v>
      </c>
      <c r="R2005">
        <v>25.85</v>
      </c>
      <c r="S2005">
        <v>18</v>
      </c>
      <c r="T2005">
        <v>18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18</v>
      </c>
      <c r="AB2005">
        <v>3</v>
      </c>
      <c r="AC2005">
        <v>0</v>
      </c>
      <c r="AH2005">
        <v>46.85</v>
      </c>
    </row>
    <row r="2006" spans="1:34" x14ac:dyDescent="0.3">
      <c r="A2006" s="4">
        <v>2122</v>
      </c>
      <c r="B2006" s="5">
        <v>1999</v>
      </c>
      <c r="C2006">
        <v>4897</v>
      </c>
      <c r="D2006" t="s">
        <v>354</v>
      </c>
      <c r="E2006" t="s">
        <v>17309</v>
      </c>
      <c r="F2006" t="s">
        <v>117</v>
      </c>
      <c r="G2006" t="s">
        <v>21778</v>
      </c>
      <c r="H2006">
        <v>19.850000000000001</v>
      </c>
      <c r="I2006">
        <v>0</v>
      </c>
      <c r="J2006">
        <v>0</v>
      </c>
      <c r="K2006">
        <v>20</v>
      </c>
      <c r="N2006">
        <v>3</v>
      </c>
      <c r="O2006">
        <v>3</v>
      </c>
      <c r="P2006">
        <v>4</v>
      </c>
      <c r="Q2006">
        <v>0</v>
      </c>
      <c r="R2006">
        <v>46.85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H2006">
        <v>46.85</v>
      </c>
    </row>
    <row r="2007" spans="1:34" x14ac:dyDescent="0.3">
      <c r="A2007" s="4">
        <v>2123</v>
      </c>
      <c r="B2007" s="5">
        <v>2000</v>
      </c>
      <c r="C2007">
        <v>4767</v>
      </c>
      <c r="D2007" t="s">
        <v>21779</v>
      </c>
      <c r="E2007" t="s">
        <v>10280</v>
      </c>
      <c r="F2007" t="s">
        <v>117</v>
      </c>
      <c r="G2007" t="s">
        <v>21780</v>
      </c>
      <c r="H2007">
        <v>17.850000000000001</v>
      </c>
      <c r="I2007">
        <v>0</v>
      </c>
      <c r="J2007">
        <v>0</v>
      </c>
      <c r="K2007">
        <v>20</v>
      </c>
      <c r="N2007">
        <v>3</v>
      </c>
      <c r="O2007">
        <v>3</v>
      </c>
      <c r="P2007">
        <v>4</v>
      </c>
      <c r="Q2007">
        <v>2</v>
      </c>
      <c r="R2007">
        <v>46.85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H2007">
        <v>46.85</v>
      </c>
    </row>
    <row r="2008" spans="1:34" x14ac:dyDescent="0.3">
      <c r="A2008" s="4">
        <v>2124</v>
      </c>
      <c r="B2008" s="5">
        <v>2001</v>
      </c>
      <c r="C2008">
        <v>7293</v>
      </c>
      <c r="D2008" t="s">
        <v>11180</v>
      </c>
      <c r="E2008" t="s">
        <v>178</v>
      </c>
      <c r="F2008" t="s">
        <v>136</v>
      </c>
      <c r="G2008" t="s">
        <v>21781</v>
      </c>
      <c r="H2008">
        <v>19.829999999999998</v>
      </c>
      <c r="I2008">
        <v>0</v>
      </c>
      <c r="J2008">
        <v>0</v>
      </c>
      <c r="K2008">
        <v>20</v>
      </c>
      <c r="N2008">
        <v>3</v>
      </c>
      <c r="O2008">
        <v>3</v>
      </c>
      <c r="P2008">
        <v>4</v>
      </c>
      <c r="Q2008">
        <v>0</v>
      </c>
      <c r="R2008">
        <v>46.83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H2008">
        <v>46.83</v>
      </c>
    </row>
    <row r="2009" spans="1:34" x14ac:dyDescent="0.3">
      <c r="A2009" s="4">
        <v>2125</v>
      </c>
      <c r="B2009" s="5">
        <v>2002</v>
      </c>
      <c r="C2009">
        <v>6595</v>
      </c>
      <c r="D2009" t="s">
        <v>549</v>
      </c>
      <c r="E2009" t="s">
        <v>255</v>
      </c>
      <c r="F2009" t="s">
        <v>20</v>
      </c>
      <c r="G2009" t="s">
        <v>21782</v>
      </c>
      <c r="H2009">
        <v>18.78</v>
      </c>
      <c r="I2009">
        <v>0</v>
      </c>
      <c r="J2009">
        <v>0</v>
      </c>
      <c r="K2009">
        <v>0</v>
      </c>
      <c r="O2009">
        <v>0</v>
      </c>
      <c r="P2009">
        <v>4</v>
      </c>
      <c r="Q2009">
        <v>0</v>
      </c>
      <c r="R2009">
        <v>22.78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24</v>
      </c>
      <c r="AC2009">
        <v>0</v>
      </c>
      <c r="AH2009">
        <v>46.78</v>
      </c>
    </row>
    <row r="2010" spans="1:34" x14ac:dyDescent="0.3">
      <c r="A2010" s="4">
        <v>2126</v>
      </c>
      <c r="B2010" s="5">
        <v>2003</v>
      </c>
      <c r="C2010">
        <v>10165</v>
      </c>
      <c r="D2010" t="s">
        <v>21783</v>
      </c>
      <c r="E2010" t="s">
        <v>97</v>
      </c>
      <c r="F2010" t="s">
        <v>30</v>
      </c>
      <c r="G2010" t="s">
        <v>21784</v>
      </c>
      <c r="H2010">
        <v>19.78</v>
      </c>
      <c r="I2010">
        <v>0</v>
      </c>
      <c r="J2010">
        <v>0</v>
      </c>
      <c r="K2010">
        <v>20</v>
      </c>
      <c r="N2010">
        <v>3</v>
      </c>
      <c r="O2010">
        <v>3</v>
      </c>
      <c r="P2010">
        <v>4</v>
      </c>
      <c r="Q2010">
        <v>0</v>
      </c>
      <c r="R2010">
        <v>46.78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H2010">
        <v>46.78</v>
      </c>
    </row>
    <row r="2011" spans="1:34" x14ac:dyDescent="0.3">
      <c r="A2011" s="4">
        <v>2127</v>
      </c>
      <c r="B2011" s="5">
        <v>2004</v>
      </c>
      <c r="C2011">
        <v>2748</v>
      </c>
      <c r="D2011" t="s">
        <v>21785</v>
      </c>
      <c r="E2011" t="s">
        <v>166</v>
      </c>
      <c r="F2011" t="s">
        <v>457</v>
      </c>
      <c r="G2011" t="s">
        <v>21786</v>
      </c>
      <c r="H2011">
        <v>19.78</v>
      </c>
      <c r="I2011">
        <v>0</v>
      </c>
      <c r="J2011">
        <v>0</v>
      </c>
      <c r="K2011">
        <v>0</v>
      </c>
      <c r="N2011">
        <v>3</v>
      </c>
      <c r="O2011">
        <v>3</v>
      </c>
      <c r="P2011">
        <v>4</v>
      </c>
      <c r="Q2011">
        <v>2</v>
      </c>
      <c r="R2011">
        <v>28.78</v>
      </c>
      <c r="S2011">
        <v>18</v>
      </c>
      <c r="T2011">
        <v>18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18</v>
      </c>
      <c r="AB2011">
        <v>0</v>
      </c>
      <c r="AC2011">
        <v>0</v>
      </c>
      <c r="AH2011">
        <v>46.78</v>
      </c>
    </row>
    <row r="2012" spans="1:34" x14ac:dyDescent="0.3">
      <c r="A2012" s="4">
        <v>2128</v>
      </c>
      <c r="B2012" s="5">
        <v>2005</v>
      </c>
      <c r="C2012">
        <v>11101</v>
      </c>
      <c r="D2012" t="s">
        <v>21787</v>
      </c>
      <c r="E2012" t="s">
        <v>21788</v>
      </c>
      <c r="F2012" t="s">
        <v>17</v>
      </c>
      <c r="G2012" t="s">
        <v>21789</v>
      </c>
      <c r="H2012">
        <v>16.75</v>
      </c>
      <c r="I2012">
        <v>0</v>
      </c>
      <c r="J2012">
        <v>0</v>
      </c>
      <c r="K2012">
        <v>20</v>
      </c>
      <c r="N2012">
        <v>3</v>
      </c>
      <c r="O2012">
        <v>3</v>
      </c>
      <c r="P2012">
        <v>4</v>
      </c>
      <c r="Q2012">
        <v>0</v>
      </c>
      <c r="R2012">
        <v>43.75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3</v>
      </c>
      <c r="AC2012">
        <v>0</v>
      </c>
      <c r="AH2012">
        <v>46.75</v>
      </c>
    </row>
    <row r="2013" spans="1:34" x14ac:dyDescent="0.3">
      <c r="A2013" s="4">
        <v>2129</v>
      </c>
      <c r="B2013" s="5">
        <v>2006</v>
      </c>
      <c r="C2013">
        <v>6153</v>
      </c>
      <c r="D2013" t="s">
        <v>21790</v>
      </c>
      <c r="E2013" t="s">
        <v>550</v>
      </c>
      <c r="F2013" t="s">
        <v>117</v>
      </c>
      <c r="G2013" t="s">
        <v>21791</v>
      </c>
      <c r="H2013">
        <v>17.7</v>
      </c>
      <c r="I2013">
        <v>0</v>
      </c>
      <c r="J2013">
        <v>0</v>
      </c>
      <c r="K2013">
        <v>20</v>
      </c>
      <c r="N2013">
        <v>3</v>
      </c>
      <c r="O2013">
        <v>3</v>
      </c>
      <c r="P2013">
        <v>4</v>
      </c>
      <c r="Q2013">
        <v>2</v>
      </c>
      <c r="R2013">
        <v>46.7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H2013">
        <v>46.7</v>
      </c>
    </row>
    <row r="2014" spans="1:34" x14ac:dyDescent="0.3">
      <c r="A2014" s="4">
        <v>2130</v>
      </c>
      <c r="B2014" s="5">
        <v>2007</v>
      </c>
      <c r="C2014">
        <v>9465</v>
      </c>
      <c r="D2014" t="s">
        <v>21792</v>
      </c>
      <c r="E2014" t="s">
        <v>21793</v>
      </c>
      <c r="F2014" t="s">
        <v>20</v>
      </c>
      <c r="G2014" t="s">
        <v>21794</v>
      </c>
      <c r="H2014">
        <v>16.68</v>
      </c>
      <c r="I2014">
        <v>0</v>
      </c>
      <c r="J2014">
        <v>0</v>
      </c>
      <c r="K2014">
        <v>0</v>
      </c>
      <c r="O2014">
        <v>0</v>
      </c>
      <c r="P2014">
        <v>4</v>
      </c>
      <c r="Q2014">
        <v>0</v>
      </c>
      <c r="R2014">
        <v>20.68</v>
      </c>
      <c r="S2014">
        <v>26</v>
      </c>
      <c r="T2014">
        <v>26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26</v>
      </c>
      <c r="AB2014">
        <v>0</v>
      </c>
      <c r="AC2014">
        <v>0</v>
      </c>
      <c r="AH2014">
        <v>46.68</v>
      </c>
    </row>
    <row r="2015" spans="1:34" x14ac:dyDescent="0.3">
      <c r="A2015" s="4">
        <v>2131</v>
      </c>
      <c r="B2015" s="5">
        <v>2008</v>
      </c>
      <c r="C2015">
        <v>3054</v>
      </c>
      <c r="D2015" t="s">
        <v>21795</v>
      </c>
      <c r="E2015" t="s">
        <v>652</v>
      </c>
      <c r="F2015" t="s">
        <v>17</v>
      </c>
      <c r="G2015" t="s">
        <v>21796</v>
      </c>
      <c r="H2015">
        <v>19.600000000000001</v>
      </c>
      <c r="I2015">
        <v>0</v>
      </c>
      <c r="J2015">
        <v>0</v>
      </c>
      <c r="K2015">
        <v>20</v>
      </c>
      <c r="N2015">
        <v>3</v>
      </c>
      <c r="O2015">
        <v>3</v>
      </c>
      <c r="P2015">
        <v>4</v>
      </c>
      <c r="Q2015">
        <v>0</v>
      </c>
      <c r="R2015">
        <v>46.6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H2015">
        <v>46.6</v>
      </c>
    </row>
    <row r="2016" spans="1:34" x14ac:dyDescent="0.3">
      <c r="A2016" s="4">
        <v>2132</v>
      </c>
      <c r="B2016" s="5">
        <v>2009</v>
      </c>
      <c r="C2016">
        <v>11813</v>
      </c>
      <c r="D2016" t="s">
        <v>294</v>
      </c>
      <c r="E2016" t="s">
        <v>406</v>
      </c>
      <c r="F2016" t="s">
        <v>136</v>
      </c>
      <c r="G2016" t="s">
        <v>21797</v>
      </c>
      <c r="H2016">
        <v>17.600000000000001</v>
      </c>
      <c r="I2016">
        <v>0</v>
      </c>
      <c r="J2016">
        <v>0</v>
      </c>
      <c r="K2016">
        <v>20</v>
      </c>
      <c r="N2016">
        <v>3</v>
      </c>
      <c r="O2016">
        <v>3</v>
      </c>
      <c r="P2016">
        <v>4</v>
      </c>
      <c r="Q2016">
        <v>2</v>
      </c>
      <c r="R2016">
        <v>46.6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H2016">
        <v>46.6</v>
      </c>
    </row>
    <row r="2017" spans="1:34" x14ac:dyDescent="0.3">
      <c r="A2017" s="4">
        <v>2133</v>
      </c>
      <c r="B2017" s="5">
        <v>2010</v>
      </c>
      <c r="C2017">
        <v>12729</v>
      </c>
      <c r="D2017" t="s">
        <v>21798</v>
      </c>
      <c r="E2017" t="s">
        <v>380</v>
      </c>
      <c r="F2017" t="s">
        <v>6216</v>
      </c>
      <c r="G2017" t="s">
        <v>21799</v>
      </c>
      <c r="H2017">
        <v>16.579999999999998</v>
      </c>
      <c r="I2017">
        <v>0</v>
      </c>
      <c r="J2017">
        <v>0</v>
      </c>
      <c r="K2017">
        <v>0</v>
      </c>
      <c r="O2017">
        <v>0</v>
      </c>
      <c r="P2017">
        <v>0</v>
      </c>
      <c r="Q2017">
        <v>0</v>
      </c>
      <c r="R2017">
        <v>16.579999999999998</v>
      </c>
      <c r="S2017">
        <v>24</v>
      </c>
      <c r="T2017">
        <v>24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24</v>
      </c>
      <c r="AB2017">
        <v>6</v>
      </c>
      <c r="AC2017">
        <v>0</v>
      </c>
      <c r="AH2017">
        <v>46.58</v>
      </c>
    </row>
    <row r="2018" spans="1:34" x14ac:dyDescent="0.3">
      <c r="A2018" s="4">
        <v>2134</v>
      </c>
      <c r="B2018" s="5">
        <v>2011</v>
      </c>
      <c r="C2018">
        <v>8067</v>
      </c>
      <c r="D2018" t="s">
        <v>21800</v>
      </c>
      <c r="E2018" t="s">
        <v>626</v>
      </c>
      <c r="F2018" t="s">
        <v>158</v>
      </c>
      <c r="G2018" t="s">
        <v>21801</v>
      </c>
      <c r="H2018">
        <v>16.55</v>
      </c>
      <c r="I2018">
        <v>0</v>
      </c>
      <c r="J2018">
        <v>0</v>
      </c>
      <c r="K2018">
        <v>0</v>
      </c>
      <c r="N2018">
        <v>3</v>
      </c>
      <c r="O2018">
        <v>3</v>
      </c>
      <c r="P2018">
        <v>4</v>
      </c>
      <c r="Q2018">
        <v>0</v>
      </c>
      <c r="R2018">
        <v>23.55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3</v>
      </c>
      <c r="AC2018">
        <v>20</v>
      </c>
      <c r="AH2018">
        <v>46.55</v>
      </c>
    </row>
    <row r="2019" spans="1:34" x14ac:dyDescent="0.3">
      <c r="A2019" s="4">
        <v>2135</v>
      </c>
      <c r="B2019" s="5">
        <v>2012</v>
      </c>
      <c r="C2019">
        <v>4298</v>
      </c>
      <c r="D2019" t="s">
        <v>21802</v>
      </c>
      <c r="E2019" t="s">
        <v>37</v>
      </c>
      <c r="F2019" t="s">
        <v>117</v>
      </c>
      <c r="G2019" t="s">
        <v>21803</v>
      </c>
      <c r="H2019">
        <v>18.55</v>
      </c>
      <c r="I2019">
        <v>0</v>
      </c>
      <c r="J2019">
        <v>0</v>
      </c>
      <c r="K2019">
        <v>0</v>
      </c>
      <c r="N2019">
        <v>3</v>
      </c>
      <c r="O2019">
        <v>3</v>
      </c>
      <c r="P2019">
        <v>4</v>
      </c>
      <c r="Q2019">
        <v>0</v>
      </c>
      <c r="R2019">
        <v>25.55</v>
      </c>
      <c r="S2019">
        <v>18</v>
      </c>
      <c r="T2019">
        <v>18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18</v>
      </c>
      <c r="AB2019">
        <v>3</v>
      </c>
      <c r="AC2019">
        <v>0</v>
      </c>
      <c r="AH2019">
        <v>46.55</v>
      </c>
    </row>
    <row r="2020" spans="1:34" x14ac:dyDescent="0.3">
      <c r="A2020" s="4">
        <v>2136</v>
      </c>
      <c r="B2020" s="5">
        <v>2013</v>
      </c>
      <c r="C2020">
        <v>262</v>
      </c>
      <c r="D2020" t="s">
        <v>1174</v>
      </c>
      <c r="E2020" t="s">
        <v>20</v>
      </c>
      <c r="F2020" t="s">
        <v>892</v>
      </c>
      <c r="G2020" t="s">
        <v>21804</v>
      </c>
      <c r="H2020">
        <v>19.55</v>
      </c>
      <c r="I2020">
        <v>0</v>
      </c>
      <c r="J2020">
        <v>0</v>
      </c>
      <c r="K2020">
        <v>20</v>
      </c>
      <c r="N2020">
        <v>3</v>
      </c>
      <c r="O2020">
        <v>3</v>
      </c>
      <c r="P2020">
        <v>4</v>
      </c>
      <c r="Q2020">
        <v>0</v>
      </c>
      <c r="R2020">
        <v>46.55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H2020">
        <v>46.55</v>
      </c>
    </row>
    <row r="2021" spans="1:34" x14ac:dyDescent="0.3">
      <c r="A2021" s="4">
        <v>2137</v>
      </c>
      <c r="B2021" s="5">
        <v>2014</v>
      </c>
      <c r="C2021">
        <v>5094</v>
      </c>
      <c r="D2021" t="s">
        <v>9738</v>
      </c>
      <c r="E2021" t="s">
        <v>21805</v>
      </c>
      <c r="F2021" t="s">
        <v>17</v>
      </c>
      <c r="G2021" t="s">
        <v>21806</v>
      </c>
      <c r="H2021">
        <v>19.53</v>
      </c>
      <c r="I2021">
        <v>0</v>
      </c>
      <c r="J2021">
        <v>0</v>
      </c>
      <c r="K2021">
        <v>20</v>
      </c>
      <c r="N2021">
        <v>3</v>
      </c>
      <c r="O2021">
        <v>3</v>
      </c>
      <c r="P2021">
        <v>4</v>
      </c>
      <c r="Q2021">
        <v>0</v>
      </c>
      <c r="R2021">
        <v>46.53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H2021">
        <v>46.53</v>
      </c>
    </row>
    <row r="2022" spans="1:34" x14ac:dyDescent="0.3">
      <c r="A2022" s="4">
        <v>2138</v>
      </c>
      <c r="B2022" s="5">
        <v>2015</v>
      </c>
      <c r="C2022">
        <v>3627</v>
      </c>
      <c r="D2022" t="s">
        <v>9942</v>
      </c>
      <c r="E2022" t="s">
        <v>149</v>
      </c>
      <c r="F2022" t="s">
        <v>38</v>
      </c>
      <c r="G2022" t="s">
        <v>21807</v>
      </c>
      <c r="H2022">
        <v>12.5</v>
      </c>
      <c r="I2022">
        <v>0</v>
      </c>
      <c r="J2022">
        <v>0</v>
      </c>
      <c r="K2022">
        <v>20</v>
      </c>
      <c r="L2022">
        <v>7</v>
      </c>
      <c r="O2022">
        <v>7</v>
      </c>
      <c r="P2022">
        <v>4</v>
      </c>
      <c r="Q2022">
        <v>0</v>
      </c>
      <c r="R2022">
        <v>43.5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3</v>
      </c>
      <c r="AC2022">
        <v>0</v>
      </c>
      <c r="AH2022">
        <v>46.5</v>
      </c>
    </row>
    <row r="2023" spans="1:34" x14ac:dyDescent="0.3">
      <c r="A2023" s="4">
        <v>2139</v>
      </c>
      <c r="B2023" s="5">
        <v>2016</v>
      </c>
      <c r="C2023">
        <v>12394</v>
      </c>
      <c r="D2023" t="s">
        <v>21808</v>
      </c>
      <c r="E2023" t="s">
        <v>26</v>
      </c>
      <c r="F2023" t="s">
        <v>346</v>
      </c>
      <c r="G2023" t="s">
        <v>21809</v>
      </c>
      <c r="H2023">
        <v>21.5</v>
      </c>
      <c r="I2023">
        <v>0</v>
      </c>
      <c r="J2023">
        <v>0</v>
      </c>
      <c r="K2023">
        <v>0</v>
      </c>
      <c r="N2023">
        <v>3</v>
      </c>
      <c r="O2023">
        <v>3</v>
      </c>
      <c r="P2023">
        <v>4</v>
      </c>
      <c r="Q2023">
        <v>0</v>
      </c>
      <c r="R2023">
        <v>28.5</v>
      </c>
      <c r="S2023">
        <v>15</v>
      </c>
      <c r="T2023">
        <v>15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15</v>
      </c>
      <c r="AB2023">
        <v>3</v>
      </c>
      <c r="AC2023">
        <v>0</v>
      </c>
      <c r="AH2023">
        <v>46.5</v>
      </c>
    </row>
    <row r="2024" spans="1:34" x14ac:dyDescent="0.3">
      <c r="A2024" s="4">
        <v>2140</v>
      </c>
      <c r="B2024" s="5">
        <v>2017</v>
      </c>
      <c r="C2024">
        <v>8892</v>
      </c>
      <c r="D2024" t="s">
        <v>348</v>
      </c>
      <c r="E2024" t="s">
        <v>173</v>
      </c>
      <c r="F2024" t="s">
        <v>55</v>
      </c>
      <c r="G2024" t="s">
        <v>21810</v>
      </c>
      <c r="H2024">
        <v>19.5</v>
      </c>
      <c r="I2024">
        <v>0</v>
      </c>
      <c r="J2024">
        <v>0</v>
      </c>
      <c r="K2024">
        <v>20</v>
      </c>
      <c r="N2024">
        <v>3</v>
      </c>
      <c r="O2024">
        <v>3</v>
      </c>
      <c r="P2024">
        <v>4</v>
      </c>
      <c r="Q2024">
        <v>0</v>
      </c>
      <c r="R2024">
        <v>46.5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H2024">
        <v>46.5</v>
      </c>
    </row>
    <row r="2025" spans="1:34" x14ac:dyDescent="0.3">
      <c r="A2025" s="4">
        <v>2141</v>
      </c>
      <c r="B2025" s="5">
        <v>2018</v>
      </c>
      <c r="C2025">
        <v>9529</v>
      </c>
      <c r="D2025" t="s">
        <v>6980</v>
      </c>
      <c r="E2025" t="s">
        <v>2481</v>
      </c>
      <c r="F2025" t="s">
        <v>17</v>
      </c>
      <c r="G2025" t="s">
        <v>21811</v>
      </c>
      <c r="H2025">
        <v>19.5</v>
      </c>
      <c r="I2025">
        <v>0</v>
      </c>
      <c r="J2025">
        <v>0</v>
      </c>
      <c r="K2025">
        <v>20</v>
      </c>
      <c r="N2025">
        <v>3</v>
      </c>
      <c r="O2025">
        <v>3</v>
      </c>
      <c r="P2025">
        <v>4</v>
      </c>
      <c r="Q2025">
        <v>0</v>
      </c>
      <c r="R2025">
        <v>46.5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H2025">
        <v>46.5</v>
      </c>
    </row>
    <row r="2026" spans="1:34" x14ac:dyDescent="0.3">
      <c r="A2026" s="4">
        <v>2142</v>
      </c>
      <c r="B2026" s="5">
        <v>2019</v>
      </c>
      <c r="C2026">
        <v>10162</v>
      </c>
      <c r="D2026" t="s">
        <v>21812</v>
      </c>
      <c r="E2026" t="s">
        <v>88</v>
      </c>
      <c r="F2026" t="s">
        <v>38</v>
      </c>
      <c r="G2026" t="s">
        <v>21813</v>
      </c>
      <c r="H2026">
        <v>19.5</v>
      </c>
      <c r="I2026">
        <v>0</v>
      </c>
      <c r="J2026">
        <v>0</v>
      </c>
      <c r="K2026">
        <v>20</v>
      </c>
      <c r="N2026">
        <v>3</v>
      </c>
      <c r="O2026">
        <v>3</v>
      </c>
      <c r="P2026">
        <v>4</v>
      </c>
      <c r="Q2026">
        <v>0</v>
      </c>
      <c r="R2026">
        <v>46.5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H2026">
        <v>46.5</v>
      </c>
    </row>
    <row r="2027" spans="1:34" x14ac:dyDescent="0.3">
      <c r="A2027" s="4">
        <v>2143</v>
      </c>
      <c r="B2027" s="5">
        <v>2020</v>
      </c>
      <c r="C2027">
        <v>5148</v>
      </c>
      <c r="D2027" t="s">
        <v>4562</v>
      </c>
      <c r="E2027" t="s">
        <v>1242</v>
      </c>
      <c r="F2027" t="s">
        <v>117</v>
      </c>
      <c r="G2027" t="s">
        <v>21814</v>
      </c>
      <c r="H2027">
        <v>17.48</v>
      </c>
      <c r="I2027">
        <v>0</v>
      </c>
      <c r="J2027">
        <v>0</v>
      </c>
      <c r="K2027">
        <v>20</v>
      </c>
      <c r="N2027">
        <v>3</v>
      </c>
      <c r="O2027">
        <v>3</v>
      </c>
      <c r="P2027">
        <v>0</v>
      </c>
      <c r="Q2027">
        <v>0</v>
      </c>
      <c r="R2027">
        <v>40.479999999999997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6</v>
      </c>
      <c r="AC2027">
        <v>0</v>
      </c>
      <c r="AH2027">
        <v>46.48</v>
      </c>
    </row>
    <row r="2028" spans="1:34" x14ac:dyDescent="0.3">
      <c r="A2028" s="4">
        <v>2144</v>
      </c>
      <c r="B2028" s="5">
        <v>2021</v>
      </c>
      <c r="C2028">
        <v>8187</v>
      </c>
      <c r="D2028" t="s">
        <v>21815</v>
      </c>
      <c r="E2028" t="s">
        <v>258</v>
      </c>
      <c r="F2028" t="s">
        <v>81</v>
      </c>
      <c r="G2028" t="s">
        <v>21816</v>
      </c>
      <c r="H2028">
        <v>19.399999999999999</v>
      </c>
      <c r="I2028">
        <v>0</v>
      </c>
      <c r="J2028">
        <v>0</v>
      </c>
      <c r="K2028">
        <v>20</v>
      </c>
      <c r="N2028">
        <v>3</v>
      </c>
      <c r="O2028">
        <v>3</v>
      </c>
      <c r="P2028">
        <v>4</v>
      </c>
      <c r="Q2028">
        <v>0</v>
      </c>
      <c r="R2028">
        <v>46.4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H2028">
        <v>46.4</v>
      </c>
    </row>
    <row r="2029" spans="1:34" x14ac:dyDescent="0.3">
      <c r="A2029" s="4">
        <v>2145</v>
      </c>
      <c r="B2029" s="5">
        <v>2022</v>
      </c>
      <c r="C2029">
        <v>5999</v>
      </c>
      <c r="D2029" t="s">
        <v>1133</v>
      </c>
      <c r="E2029" t="s">
        <v>110</v>
      </c>
      <c r="F2029" t="s">
        <v>136</v>
      </c>
      <c r="G2029" t="s">
        <v>21817</v>
      </c>
      <c r="H2029">
        <v>19.38</v>
      </c>
      <c r="I2029">
        <v>0</v>
      </c>
      <c r="J2029">
        <v>0</v>
      </c>
      <c r="K2029">
        <v>20</v>
      </c>
      <c r="N2029">
        <v>3</v>
      </c>
      <c r="O2029">
        <v>3</v>
      </c>
      <c r="P2029">
        <v>4</v>
      </c>
      <c r="Q2029">
        <v>0</v>
      </c>
      <c r="R2029">
        <v>46.38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H2029">
        <v>46.38</v>
      </c>
    </row>
    <row r="2030" spans="1:34" x14ac:dyDescent="0.3">
      <c r="A2030" s="4">
        <v>2146</v>
      </c>
      <c r="B2030" s="5">
        <v>2023</v>
      </c>
      <c r="C2030">
        <v>3290</v>
      </c>
      <c r="D2030" t="s">
        <v>21818</v>
      </c>
      <c r="E2030" t="s">
        <v>21726</v>
      </c>
      <c r="F2030" t="s">
        <v>21819</v>
      </c>
      <c r="G2030" t="s">
        <v>21820</v>
      </c>
      <c r="H2030">
        <v>19.350000000000001</v>
      </c>
      <c r="I2030">
        <v>0</v>
      </c>
      <c r="J2030">
        <v>0</v>
      </c>
      <c r="K2030">
        <v>20</v>
      </c>
      <c r="N2030">
        <v>3</v>
      </c>
      <c r="O2030">
        <v>3</v>
      </c>
      <c r="P2030">
        <v>4</v>
      </c>
      <c r="Q2030">
        <v>0</v>
      </c>
      <c r="R2030">
        <v>46.35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H2030">
        <v>46.35</v>
      </c>
    </row>
    <row r="2031" spans="1:34" x14ac:dyDescent="0.3">
      <c r="A2031" s="4">
        <v>2147</v>
      </c>
      <c r="B2031" s="5">
        <v>2024</v>
      </c>
      <c r="C2031">
        <v>12697</v>
      </c>
      <c r="D2031" t="s">
        <v>21821</v>
      </c>
      <c r="E2031" t="s">
        <v>1189</v>
      </c>
      <c r="F2031" t="s">
        <v>23</v>
      </c>
      <c r="G2031" t="s">
        <v>21822</v>
      </c>
      <c r="H2031">
        <v>19.329999999999998</v>
      </c>
      <c r="I2031">
        <v>0</v>
      </c>
      <c r="J2031">
        <v>0</v>
      </c>
      <c r="K2031">
        <v>20</v>
      </c>
      <c r="N2031">
        <v>3</v>
      </c>
      <c r="O2031">
        <v>3</v>
      </c>
      <c r="P2031">
        <v>4</v>
      </c>
      <c r="Q2031">
        <v>0</v>
      </c>
      <c r="R2031">
        <v>46.33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H2031">
        <v>46.33</v>
      </c>
    </row>
    <row r="2032" spans="1:34" x14ac:dyDescent="0.3">
      <c r="A2032" s="4">
        <v>2148</v>
      </c>
      <c r="B2032" s="5">
        <v>2025</v>
      </c>
      <c r="C2032">
        <v>9424</v>
      </c>
      <c r="D2032" t="s">
        <v>16852</v>
      </c>
      <c r="E2032" t="s">
        <v>54</v>
      </c>
      <c r="F2032" t="s">
        <v>975</v>
      </c>
      <c r="G2032" t="s">
        <v>21823</v>
      </c>
      <c r="H2032">
        <v>19.23</v>
      </c>
      <c r="I2032">
        <v>0</v>
      </c>
      <c r="J2032">
        <v>0</v>
      </c>
      <c r="K2032">
        <v>0</v>
      </c>
      <c r="N2032">
        <v>3</v>
      </c>
      <c r="O2032">
        <v>3</v>
      </c>
      <c r="P2032">
        <v>4</v>
      </c>
      <c r="Q2032">
        <v>2</v>
      </c>
      <c r="R2032">
        <v>28.23</v>
      </c>
      <c r="S2032">
        <v>18</v>
      </c>
      <c r="T2032">
        <v>18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18</v>
      </c>
      <c r="AB2032">
        <v>0</v>
      </c>
      <c r="AC2032">
        <v>0</v>
      </c>
      <c r="AH2032">
        <v>46.23</v>
      </c>
    </row>
    <row r="2033" spans="1:34" x14ac:dyDescent="0.3">
      <c r="A2033" s="4">
        <v>2149</v>
      </c>
      <c r="B2033" s="5">
        <v>2026</v>
      </c>
      <c r="C2033">
        <v>7282</v>
      </c>
      <c r="D2033" t="s">
        <v>21824</v>
      </c>
      <c r="E2033" t="s">
        <v>20</v>
      </c>
      <c r="F2033" t="s">
        <v>878</v>
      </c>
      <c r="G2033" t="s">
        <v>21825</v>
      </c>
      <c r="H2033">
        <v>19.2</v>
      </c>
      <c r="I2033">
        <v>0</v>
      </c>
      <c r="J2033">
        <v>0</v>
      </c>
      <c r="K2033">
        <v>20</v>
      </c>
      <c r="N2033">
        <v>3</v>
      </c>
      <c r="O2033">
        <v>3</v>
      </c>
      <c r="P2033">
        <v>4</v>
      </c>
      <c r="Q2033">
        <v>0</v>
      </c>
      <c r="R2033">
        <v>46.2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H2033">
        <v>46.2</v>
      </c>
    </row>
    <row r="2034" spans="1:34" x14ac:dyDescent="0.3">
      <c r="A2034" s="4">
        <v>2150</v>
      </c>
      <c r="B2034" s="5">
        <v>2027</v>
      </c>
      <c r="C2034">
        <v>1006</v>
      </c>
      <c r="D2034" t="s">
        <v>1530</v>
      </c>
      <c r="E2034" t="s">
        <v>964</v>
      </c>
      <c r="F2034" t="s">
        <v>2370</v>
      </c>
      <c r="G2034" t="s">
        <v>21826</v>
      </c>
      <c r="H2034">
        <v>19.2</v>
      </c>
      <c r="I2034">
        <v>0</v>
      </c>
      <c r="J2034">
        <v>0</v>
      </c>
      <c r="K2034">
        <v>0</v>
      </c>
      <c r="N2034">
        <v>3</v>
      </c>
      <c r="O2034">
        <v>3</v>
      </c>
      <c r="P2034">
        <v>4</v>
      </c>
      <c r="Q2034">
        <v>2</v>
      </c>
      <c r="R2034">
        <v>28.2</v>
      </c>
      <c r="S2034">
        <v>18</v>
      </c>
      <c r="T2034">
        <v>18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18</v>
      </c>
      <c r="AB2034">
        <v>0</v>
      </c>
      <c r="AC2034">
        <v>0</v>
      </c>
      <c r="AH2034">
        <v>46.2</v>
      </c>
    </row>
    <row r="2035" spans="1:34" x14ac:dyDescent="0.3">
      <c r="A2035" s="4">
        <v>2151</v>
      </c>
      <c r="B2035" s="5">
        <v>2028</v>
      </c>
      <c r="C2035">
        <v>11577</v>
      </c>
      <c r="D2035" t="s">
        <v>21827</v>
      </c>
      <c r="E2035" t="s">
        <v>54</v>
      </c>
      <c r="F2035" t="s">
        <v>124</v>
      </c>
      <c r="G2035" t="s">
        <v>21828</v>
      </c>
      <c r="H2035">
        <v>20.2</v>
      </c>
      <c r="I2035">
        <v>0</v>
      </c>
      <c r="J2035">
        <v>0</v>
      </c>
      <c r="K2035">
        <v>0</v>
      </c>
      <c r="O2035">
        <v>0</v>
      </c>
      <c r="P2035">
        <v>4</v>
      </c>
      <c r="Q2035">
        <v>2</v>
      </c>
      <c r="R2035">
        <v>26.2</v>
      </c>
      <c r="S2035">
        <v>20</v>
      </c>
      <c r="T2035">
        <v>20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20</v>
      </c>
      <c r="AB2035">
        <v>0</v>
      </c>
      <c r="AC2035">
        <v>0</v>
      </c>
      <c r="AH2035">
        <v>46.2</v>
      </c>
    </row>
    <row r="2036" spans="1:34" x14ac:dyDescent="0.3">
      <c r="A2036" s="4">
        <v>2152</v>
      </c>
      <c r="B2036" s="5">
        <v>2029</v>
      </c>
      <c r="C2036">
        <v>2554</v>
      </c>
      <c r="D2036" t="s">
        <v>21829</v>
      </c>
      <c r="E2036" t="s">
        <v>22</v>
      </c>
      <c r="F2036" t="s">
        <v>17</v>
      </c>
      <c r="G2036" t="s">
        <v>21830</v>
      </c>
      <c r="H2036">
        <v>19.149999999999999</v>
      </c>
      <c r="I2036">
        <v>0</v>
      </c>
      <c r="J2036">
        <v>0</v>
      </c>
      <c r="K2036">
        <v>20</v>
      </c>
      <c r="N2036">
        <v>3</v>
      </c>
      <c r="O2036">
        <v>3</v>
      </c>
      <c r="P2036">
        <v>4</v>
      </c>
      <c r="Q2036">
        <v>0</v>
      </c>
      <c r="R2036">
        <v>46.15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H2036">
        <v>46.15</v>
      </c>
    </row>
    <row r="2037" spans="1:34" x14ac:dyDescent="0.3">
      <c r="A2037" s="4">
        <v>2153</v>
      </c>
      <c r="B2037" s="5">
        <v>2030</v>
      </c>
      <c r="C2037">
        <v>11437</v>
      </c>
      <c r="D2037" t="s">
        <v>21831</v>
      </c>
      <c r="E2037" t="s">
        <v>21832</v>
      </c>
      <c r="F2037" t="s">
        <v>38</v>
      </c>
      <c r="G2037" t="s">
        <v>21833</v>
      </c>
      <c r="H2037">
        <v>19.100000000000001</v>
      </c>
      <c r="I2037">
        <v>0</v>
      </c>
      <c r="J2037">
        <v>0</v>
      </c>
      <c r="K2037">
        <v>20</v>
      </c>
      <c r="O2037">
        <v>0</v>
      </c>
      <c r="P2037">
        <v>4</v>
      </c>
      <c r="Q2037">
        <v>0</v>
      </c>
      <c r="R2037">
        <v>43.1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3</v>
      </c>
      <c r="AC2037">
        <v>0</v>
      </c>
      <c r="AH2037">
        <v>46.1</v>
      </c>
    </row>
    <row r="2038" spans="1:34" x14ac:dyDescent="0.3">
      <c r="A2038" s="4">
        <v>2154</v>
      </c>
      <c r="B2038" s="5">
        <v>2031</v>
      </c>
      <c r="C2038">
        <v>5162</v>
      </c>
      <c r="D2038" t="s">
        <v>14675</v>
      </c>
      <c r="E2038" t="s">
        <v>1426</v>
      </c>
      <c r="F2038" t="s">
        <v>652</v>
      </c>
      <c r="G2038" t="s">
        <v>14676</v>
      </c>
      <c r="H2038">
        <v>18.079999999999998</v>
      </c>
      <c r="I2038">
        <v>7</v>
      </c>
      <c r="J2038">
        <v>0</v>
      </c>
      <c r="K2038">
        <v>0</v>
      </c>
      <c r="M2038">
        <v>5</v>
      </c>
      <c r="N2038">
        <v>3</v>
      </c>
      <c r="O2038">
        <v>8</v>
      </c>
      <c r="P2038">
        <v>4</v>
      </c>
      <c r="Q2038">
        <v>0</v>
      </c>
      <c r="R2038">
        <v>37.08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9</v>
      </c>
      <c r="AC2038">
        <v>0</v>
      </c>
      <c r="AH2038">
        <v>46.08</v>
      </c>
    </row>
    <row r="2039" spans="1:34" x14ac:dyDescent="0.3">
      <c r="A2039" s="4">
        <v>2155</v>
      </c>
      <c r="B2039" s="5">
        <v>2032</v>
      </c>
      <c r="C2039">
        <v>1659</v>
      </c>
      <c r="D2039" t="s">
        <v>21834</v>
      </c>
      <c r="E2039" t="s">
        <v>158</v>
      </c>
      <c r="F2039" t="s">
        <v>81</v>
      </c>
      <c r="G2039" t="s">
        <v>21835</v>
      </c>
      <c r="H2039">
        <v>19.079999999999998</v>
      </c>
      <c r="I2039">
        <v>0</v>
      </c>
      <c r="J2039">
        <v>0</v>
      </c>
      <c r="K2039">
        <v>20</v>
      </c>
      <c r="N2039">
        <v>3</v>
      </c>
      <c r="O2039">
        <v>3</v>
      </c>
      <c r="P2039">
        <v>4</v>
      </c>
      <c r="Q2039">
        <v>0</v>
      </c>
      <c r="R2039">
        <v>46.08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H2039">
        <v>46.08</v>
      </c>
    </row>
    <row r="2040" spans="1:34" x14ac:dyDescent="0.3">
      <c r="A2040" s="4">
        <v>2156</v>
      </c>
      <c r="B2040" s="5">
        <v>2033</v>
      </c>
      <c r="C2040">
        <v>15446</v>
      </c>
      <c r="D2040" t="s">
        <v>21836</v>
      </c>
      <c r="E2040" t="s">
        <v>789</v>
      </c>
      <c r="F2040" t="s">
        <v>68</v>
      </c>
      <c r="G2040" t="s">
        <v>21837</v>
      </c>
      <c r="H2040">
        <v>22.05</v>
      </c>
      <c r="I2040">
        <v>0</v>
      </c>
      <c r="J2040">
        <v>0</v>
      </c>
      <c r="K2040">
        <v>20</v>
      </c>
      <c r="O2040">
        <v>0</v>
      </c>
      <c r="P2040">
        <v>4</v>
      </c>
      <c r="Q2040">
        <v>0</v>
      </c>
      <c r="R2040">
        <v>46.05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H2040">
        <v>46.05</v>
      </c>
    </row>
    <row r="2041" spans="1:34" x14ac:dyDescent="0.3">
      <c r="A2041" s="4">
        <v>2157</v>
      </c>
      <c r="B2041" s="5">
        <v>2034</v>
      </c>
      <c r="C2041">
        <v>11451</v>
      </c>
      <c r="D2041" t="s">
        <v>21838</v>
      </c>
      <c r="E2041" t="s">
        <v>54</v>
      </c>
      <c r="F2041" t="s">
        <v>117</v>
      </c>
      <c r="G2041" t="s">
        <v>21839</v>
      </c>
      <c r="H2041">
        <v>19.05</v>
      </c>
      <c r="I2041">
        <v>0</v>
      </c>
      <c r="J2041">
        <v>0</v>
      </c>
      <c r="K2041">
        <v>20</v>
      </c>
      <c r="N2041">
        <v>3</v>
      </c>
      <c r="O2041">
        <v>3</v>
      </c>
      <c r="P2041">
        <v>4</v>
      </c>
      <c r="Q2041">
        <v>0</v>
      </c>
      <c r="R2041">
        <v>46.05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H2041">
        <v>46.05</v>
      </c>
    </row>
    <row r="2042" spans="1:34" x14ac:dyDescent="0.3">
      <c r="A2042" s="4">
        <v>2158</v>
      </c>
      <c r="B2042" s="5">
        <v>2035</v>
      </c>
      <c r="C2042">
        <v>3007</v>
      </c>
      <c r="D2042" t="s">
        <v>21840</v>
      </c>
      <c r="E2042" t="s">
        <v>147</v>
      </c>
      <c r="F2042" t="s">
        <v>55</v>
      </c>
      <c r="G2042" t="s">
        <v>21841</v>
      </c>
      <c r="H2042">
        <v>19</v>
      </c>
      <c r="I2042">
        <v>0</v>
      </c>
      <c r="J2042">
        <v>0</v>
      </c>
      <c r="K2042">
        <v>20</v>
      </c>
      <c r="N2042">
        <v>3</v>
      </c>
      <c r="O2042">
        <v>3</v>
      </c>
      <c r="P2042">
        <v>4</v>
      </c>
      <c r="Q2042">
        <v>0</v>
      </c>
      <c r="R2042">
        <v>46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H2042">
        <v>46</v>
      </c>
    </row>
    <row r="2043" spans="1:34" x14ac:dyDescent="0.3">
      <c r="A2043" s="4">
        <v>2159</v>
      </c>
      <c r="B2043" s="5">
        <v>2036</v>
      </c>
      <c r="C2043">
        <v>14514</v>
      </c>
      <c r="D2043" t="s">
        <v>13613</v>
      </c>
      <c r="E2043" t="s">
        <v>54</v>
      </c>
      <c r="F2043" t="s">
        <v>328</v>
      </c>
      <c r="G2043" t="s">
        <v>21842</v>
      </c>
      <c r="H2043">
        <v>18.98</v>
      </c>
      <c r="I2043">
        <v>0</v>
      </c>
      <c r="J2043">
        <v>0</v>
      </c>
      <c r="K2043">
        <v>20</v>
      </c>
      <c r="O2043">
        <v>0</v>
      </c>
      <c r="P2043">
        <v>4</v>
      </c>
      <c r="Q2043">
        <v>0</v>
      </c>
      <c r="R2043">
        <v>42.98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3</v>
      </c>
      <c r="AC2043">
        <v>0</v>
      </c>
      <c r="AH2043">
        <v>45.98</v>
      </c>
    </row>
    <row r="2044" spans="1:34" x14ac:dyDescent="0.3">
      <c r="A2044" s="4">
        <v>2160</v>
      </c>
      <c r="B2044" s="5">
        <v>2037</v>
      </c>
      <c r="C2044">
        <v>5084</v>
      </c>
      <c r="D2044" t="s">
        <v>21316</v>
      </c>
      <c r="E2044" t="s">
        <v>29</v>
      </c>
      <c r="F2044" t="s">
        <v>1526</v>
      </c>
      <c r="G2044" t="s">
        <v>21843</v>
      </c>
      <c r="H2044">
        <v>19.95</v>
      </c>
      <c r="I2044">
        <v>7</v>
      </c>
      <c r="J2044">
        <v>0</v>
      </c>
      <c r="K2044">
        <v>0</v>
      </c>
      <c r="N2044">
        <v>3</v>
      </c>
      <c r="O2044">
        <v>3</v>
      </c>
      <c r="P2044">
        <v>4</v>
      </c>
      <c r="Q2044">
        <v>0</v>
      </c>
      <c r="R2044">
        <v>33.950000000000003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12</v>
      </c>
      <c r="AC2044">
        <v>0</v>
      </c>
      <c r="AH2044">
        <v>45.95</v>
      </c>
    </row>
    <row r="2045" spans="1:34" x14ac:dyDescent="0.3">
      <c r="A2045" s="4">
        <v>2161</v>
      </c>
      <c r="B2045" s="5">
        <v>2038</v>
      </c>
      <c r="C2045">
        <v>9895</v>
      </c>
      <c r="D2045" t="s">
        <v>7834</v>
      </c>
      <c r="E2045" t="s">
        <v>29</v>
      </c>
      <c r="F2045" t="s">
        <v>5088</v>
      </c>
      <c r="G2045" t="s">
        <v>21844</v>
      </c>
      <c r="H2045">
        <v>20.93</v>
      </c>
      <c r="I2045">
        <v>0</v>
      </c>
      <c r="J2045">
        <v>0</v>
      </c>
      <c r="K2045">
        <v>20</v>
      </c>
      <c r="M2045">
        <v>5</v>
      </c>
      <c r="O2045">
        <v>5</v>
      </c>
      <c r="P2045">
        <v>0</v>
      </c>
      <c r="Q2045">
        <v>0</v>
      </c>
      <c r="R2045">
        <v>45.93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H2045">
        <v>45.93</v>
      </c>
    </row>
    <row r="2046" spans="1:34" x14ac:dyDescent="0.3">
      <c r="A2046" s="4">
        <v>2162</v>
      </c>
      <c r="B2046" s="5">
        <v>2039</v>
      </c>
      <c r="C2046">
        <v>3050</v>
      </c>
      <c r="D2046" t="s">
        <v>1430</v>
      </c>
      <c r="E2046" t="s">
        <v>613</v>
      </c>
      <c r="F2046" t="s">
        <v>5614</v>
      </c>
      <c r="G2046" t="s">
        <v>21845</v>
      </c>
      <c r="H2046">
        <v>18.93</v>
      </c>
      <c r="I2046">
        <v>0</v>
      </c>
      <c r="J2046">
        <v>0</v>
      </c>
      <c r="K2046">
        <v>20</v>
      </c>
      <c r="N2046">
        <v>3</v>
      </c>
      <c r="O2046">
        <v>3</v>
      </c>
      <c r="P2046">
        <v>4</v>
      </c>
      <c r="Q2046">
        <v>0</v>
      </c>
      <c r="R2046">
        <v>45.93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H2046">
        <v>45.93</v>
      </c>
    </row>
    <row r="2047" spans="1:34" x14ac:dyDescent="0.3">
      <c r="A2047" s="4">
        <v>2163</v>
      </c>
      <c r="B2047" s="5">
        <v>2040</v>
      </c>
      <c r="C2047">
        <v>14744</v>
      </c>
      <c r="D2047" t="s">
        <v>21846</v>
      </c>
      <c r="E2047" t="s">
        <v>21847</v>
      </c>
      <c r="F2047" t="s">
        <v>81</v>
      </c>
      <c r="G2047" t="s">
        <v>21848</v>
      </c>
      <c r="H2047">
        <v>18.899999999999999</v>
      </c>
      <c r="I2047">
        <v>0</v>
      </c>
      <c r="J2047">
        <v>0</v>
      </c>
      <c r="K2047">
        <v>20</v>
      </c>
      <c r="O2047">
        <v>0</v>
      </c>
      <c r="P2047">
        <v>4</v>
      </c>
      <c r="Q2047">
        <v>0</v>
      </c>
      <c r="R2047">
        <v>42.9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3</v>
      </c>
      <c r="AC2047">
        <v>0</v>
      </c>
      <c r="AH2047">
        <v>45.9</v>
      </c>
    </row>
    <row r="2048" spans="1:34" x14ac:dyDescent="0.3">
      <c r="A2048" s="4">
        <v>2164</v>
      </c>
      <c r="B2048" s="5">
        <v>2041</v>
      </c>
      <c r="C2048">
        <v>12097</v>
      </c>
      <c r="D2048" t="s">
        <v>317</v>
      </c>
      <c r="E2048" t="s">
        <v>161</v>
      </c>
      <c r="F2048" t="s">
        <v>649</v>
      </c>
      <c r="G2048" t="s">
        <v>21849</v>
      </c>
      <c r="H2048">
        <v>18.88</v>
      </c>
      <c r="I2048">
        <v>0</v>
      </c>
      <c r="J2048">
        <v>0</v>
      </c>
      <c r="K2048">
        <v>20</v>
      </c>
      <c r="N2048">
        <v>3</v>
      </c>
      <c r="O2048">
        <v>3</v>
      </c>
      <c r="P2048">
        <v>4</v>
      </c>
      <c r="Q2048">
        <v>0</v>
      </c>
      <c r="R2048">
        <v>45.88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H2048">
        <v>45.88</v>
      </c>
    </row>
    <row r="2049" spans="1:34" x14ac:dyDescent="0.3">
      <c r="A2049" s="4">
        <v>2165</v>
      </c>
      <c r="B2049" s="5">
        <v>2042</v>
      </c>
      <c r="C2049">
        <v>11607</v>
      </c>
      <c r="D2049" t="s">
        <v>3889</v>
      </c>
      <c r="E2049" t="s">
        <v>178</v>
      </c>
      <c r="F2049" t="s">
        <v>20</v>
      </c>
      <c r="G2049" t="s">
        <v>21850</v>
      </c>
      <c r="H2049">
        <v>21.85</v>
      </c>
      <c r="I2049">
        <v>0</v>
      </c>
      <c r="J2049">
        <v>0</v>
      </c>
      <c r="K2049">
        <v>20</v>
      </c>
      <c r="O2049">
        <v>0</v>
      </c>
      <c r="P2049">
        <v>4</v>
      </c>
      <c r="Q2049">
        <v>0</v>
      </c>
      <c r="R2049">
        <v>45.85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H2049">
        <v>45.85</v>
      </c>
    </row>
    <row r="2050" spans="1:34" x14ac:dyDescent="0.3">
      <c r="A2050" s="4">
        <v>2166</v>
      </c>
      <c r="B2050" s="5">
        <v>2043</v>
      </c>
      <c r="C2050">
        <v>5615</v>
      </c>
      <c r="D2050" t="s">
        <v>21851</v>
      </c>
      <c r="E2050" t="s">
        <v>22</v>
      </c>
      <c r="F2050" t="s">
        <v>17</v>
      </c>
      <c r="G2050" t="s">
        <v>21852</v>
      </c>
      <c r="H2050">
        <v>18.829999999999998</v>
      </c>
      <c r="I2050">
        <v>0</v>
      </c>
      <c r="J2050">
        <v>0</v>
      </c>
      <c r="K2050">
        <v>20</v>
      </c>
      <c r="N2050">
        <v>3</v>
      </c>
      <c r="O2050">
        <v>3</v>
      </c>
      <c r="P2050">
        <v>4</v>
      </c>
      <c r="Q2050">
        <v>0</v>
      </c>
      <c r="R2050">
        <v>45.83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H2050">
        <v>45.83</v>
      </c>
    </row>
    <row r="2051" spans="1:34" x14ac:dyDescent="0.3">
      <c r="A2051" s="4">
        <v>2167</v>
      </c>
      <c r="B2051" s="5">
        <v>2044</v>
      </c>
      <c r="C2051">
        <v>2470</v>
      </c>
      <c r="D2051" t="s">
        <v>21853</v>
      </c>
      <c r="E2051" t="s">
        <v>471</v>
      </c>
      <c r="F2051" t="s">
        <v>68</v>
      </c>
      <c r="G2051" t="s">
        <v>21854</v>
      </c>
      <c r="H2051">
        <v>18.829999999999998</v>
      </c>
      <c r="I2051">
        <v>0</v>
      </c>
      <c r="J2051">
        <v>0</v>
      </c>
      <c r="K2051">
        <v>0</v>
      </c>
      <c r="L2051">
        <v>7</v>
      </c>
      <c r="O2051">
        <v>7</v>
      </c>
      <c r="P2051">
        <v>4</v>
      </c>
      <c r="Q2051">
        <v>0</v>
      </c>
      <c r="R2051">
        <v>29.83</v>
      </c>
      <c r="S2051">
        <v>16</v>
      </c>
      <c r="T2051">
        <v>16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16</v>
      </c>
      <c r="AB2051">
        <v>0</v>
      </c>
      <c r="AC2051">
        <v>0</v>
      </c>
      <c r="AH2051">
        <v>45.83</v>
      </c>
    </row>
    <row r="2052" spans="1:34" x14ac:dyDescent="0.3">
      <c r="A2052" s="4">
        <v>2168</v>
      </c>
      <c r="B2052" s="5">
        <v>2045</v>
      </c>
      <c r="C2052">
        <v>2754</v>
      </c>
      <c r="D2052" t="s">
        <v>7135</v>
      </c>
      <c r="E2052" t="s">
        <v>21855</v>
      </c>
      <c r="F2052" t="s">
        <v>117</v>
      </c>
      <c r="G2052" t="s">
        <v>21856</v>
      </c>
      <c r="H2052">
        <v>16.8</v>
      </c>
      <c r="I2052">
        <v>0</v>
      </c>
      <c r="J2052">
        <v>0</v>
      </c>
      <c r="K2052">
        <v>20</v>
      </c>
      <c r="N2052">
        <v>3</v>
      </c>
      <c r="O2052">
        <v>3</v>
      </c>
      <c r="P2052">
        <v>4</v>
      </c>
      <c r="Q2052">
        <v>2</v>
      </c>
      <c r="R2052">
        <v>45.8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H2052">
        <v>45.8</v>
      </c>
    </row>
    <row r="2053" spans="1:34" x14ac:dyDescent="0.3">
      <c r="A2053" s="4">
        <v>2169</v>
      </c>
      <c r="B2053" s="5">
        <v>2046</v>
      </c>
      <c r="C2053">
        <v>12317</v>
      </c>
      <c r="D2053" t="s">
        <v>3887</v>
      </c>
      <c r="E2053" t="s">
        <v>29</v>
      </c>
      <c r="F2053" t="s">
        <v>124</v>
      </c>
      <c r="G2053" t="s">
        <v>21857</v>
      </c>
      <c r="H2053">
        <v>18.78</v>
      </c>
      <c r="I2053">
        <v>0</v>
      </c>
      <c r="J2053">
        <v>0</v>
      </c>
      <c r="K2053">
        <v>20</v>
      </c>
      <c r="N2053">
        <v>3</v>
      </c>
      <c r="O2053">
        <v>3</v>
      </c>
      <c r="P2053">
        <v>4</v>
      </c>
      <c r="Q2053">
        <v>0</v>
      </c>
      <c r="R2053">
        <v>45.78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H2053">
        <v>45.78</v>
      </c>
    </row>
    <row r="2054" spans="1:34" x14ac:dyDescent="0.3">
      <c r="A2054" s="4">
        <v>2170</v>
      </c>
      <c r="B2054" s="5">
        <v>2047</v>
      </c>
      <c r="C2054">
        <v>3383</v>
      </c>
      <c r="D2054" t="s">
        <v>4108</v>
      </c>
      <c r="E2054" t="s">
        <v>188</v>
      </c>
      <c r="F2054" t="s">
        <v>62</v>
      </c>
      <c r="G2054" t="s">
        <v>21858</v>
      </c>
      <c r="H2054">
        <v>17.75</v>
      </c>
      <c r="I2054">
        <v>0</v>
      </c>
      <c r="J2054">
        <v>0</v>
      </c>
      <c r="K2054">
        <v>0</v>
      </c>
      <c r="L2054">
        <v>7</v>
      </c>
      <c r="O2054">
        <v>7</v>
      </c>
      <c r="P2054">
        <v>4</v>
      </c>
      <c r="Q2054">
        <v>0</v>
      </c>
      <c r="R2054">
        <v>28.75</v>
      </c>
      <c r="S2054">
        <v>14</v>
      </c>
      <c r="T2054">
        <v>14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14</v>
      </c>
      <c r="AB2054">
        <v>3</v>
      </c>
      <c r="AC2054">
        <v>0</v>
      </c>
      <c r="AH2054">
        <v>45.75</v>
      </c>
    </row>
    <row r="2055" spans="1:34" x14ac:dyDescent="0.3">
      <c r="A2055" s="4">
        <v>2171</v>
      </c>
      <c r="B2055" s="5">
        <v>2048</v>
      </c>
      <c r="C2055">
        <v>3513</v>
      </c>
      <c r="D2055" t="s">
        <v>1630</v>
      </c>
      <c r="E2055" t="s">
        <v>471</v>
      </c>
      <c r="F2055" t="s">
        <v>1806</v>
      </c>
      <c r="G2055" t="s">
        <v>21859</v>
      </c>
      <c r="H2055">
        <v>18.75</v>
      </c>
      <c r="I2055">
        <v>0</v>
      </c>
      <c r="J2055">
        <v>0</v>
      </c>
      <c r="K2055">
        <v>20</v>
      </c>
      <c r="N2055">
        <v>3</v>
      </c>
      <c r="O2055">
        <v>3</v>
      </c>
      <c r="P2055">
        <v>4</v>
      </c>
      <c r="Q2055">
        <v>0</v>
      </c>
      <c r="R2055">
        <v>45.75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H2055">
        <v>45.75</v>
      </c>
    </row>
    <row r="2056" spans="1:34" x14ac:dyDescent="0.3">
      <c r="A2056" s="4">
        <v>2172</v>
      </c>
      <c r="B2056" s="5">
        <v>2049</v>
      </c>
      <c r="C2056">
        <v>10772</v>
      </c>
      <c r="D2056" t="s">
        <v>21860</v>
      </c>
      <c r="E2056" t="s">
        <v>166</v>
      </c>
      <c r="F2056" t="s">
        <v>30</v>
      </c>
      <c r="G2056" t="s">
        <v>21861</v>
      </c>
      <c r="H2056">
        <v>18.75</v>
      </c>
      <c r="I2056">
        <v>0</v>
      </c>
      <c r="J2056">
        <v>0</v>
      </c>
      <c r="K2056">
        <v>0</v>
      </c>
      <c r="M2056">
        <v>5</v>
      </c>
      <c r="O2056">
        <v>5</v>
      </c>
      <c r="P2056">
        <v>4</v>
      </c>
      <c r="Q2056">
        <v>0</v>
      </c>
      <c r="R2056">
        <v>27.75</v>
      </c>
      <c r="S2056">
        <v>18</v>
      </c>
      <c r="T2056">
        <v>18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18</v>
      </c>
      <c r="AB2056">
        <v>0</v>
      </c>
      <c r="AC2056">
        <v>0</v>
      </c>
      <c r="AH2056">
        <v>45.75</v>
      </c>
    </row>
    <row r="2057" spans="1:34" x14ac:dyDescent="0.3">
      <c r="A2057" s="4">
        <v>2173</v>
      </c>
      <c r="B2057" s="5">
        <v>2050</v>
      </c>
      <c r="C2057">
        <v>6169</v>
      </c>
      <c r="D2057" t="s">
        <v>565</v>
      </c>
      <c r="E2057" t="s">
        <v>51</v>
      </c>
      <c r="F2057" t="s">
        <v>38</v>
      </c>
      <c r="G2057" t="s">
        <v>21862</v>
      </c>
      <c r="H2057">
        <v>18.73</v>
      </c>
      <c r="I2057">
        <v>0</v>
      </c>
      <c r="J2057">
        <v>0</v>
      </c>
      <c r="K2057">
        <v>0</v>
      </c>
      <c r="N2057">
        <v>3</v>
      </c>
      <c r="O2057">
        <v>3</v>
      </c>
      <c r="P2057">
        <v>4</v>
      </c>
      <c r="Q2057">
        <v>0</v>
      </c>
      <c r="R2057">
        <v>25.73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20</v>
      </c>
      <c r="AH2057">
        <v>45.73</v>
      </c>
    </row>
    <row r="2058" spans="1:34" x14ac:dyDescent="0.3">
      <c r="A2058" s="4">
        <v>2174</v>
      </c>
      <c r="B2058" s="5">
        <v>2051</v>
      </c>
      <c r="C2058">
        <v>14965</v>
      </c>
      <c r="D2058" t="s">
        <v>3317</v>
      </c>
      <c r="E2058" t="s">
        <v>178</v>
      </c>
      <c r="F2058" t="s">
        <v>38</v>
      </c>
      <c r="G2058" t="s">
        <v>21863</v>
      </c>
      <c r="H2058">
        <v>16.73</v>
      </c>
      <c r="I2058">
        <v>0</v>
      </c>
      <c r="J2058">
        <v>0</v>
      </c>
      <c r="K2058">
        <v>0</v>
      </c>
      <c r="N2058">
        <v>3</v>
      </c>
      <c r="O2058">
        <v>3</v>
      </c>
      <c r="P2058">
        <v>4</v>
      </c>
      <c r="Q2058">
        <v>0</v>
      </c>
      <c r="R2058">
        <v>23.73</v>
      </c>
      <c r="S2058">
        <v>16</v>
      </c>
      <c r="T2058">
        <v>16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16</v>
      </c>
      <c r="AB2058">
        <v>6</v>
      </c>
      <c r="AC2058">
        <v>0</v>
      </c>
      <c r="AH2058">
        <v>45.73</v>
      </c>
    </row>
    <row r="2059" spans="1:34" x14ac:dyDescent="0.3">
      <c r="A2059" s="4">
        <v>2175</v>
      </c>
      <c r="B2059" s="5">
        <v>2052</v>
      </c>
      <c r="C2059">
        <v>13138</v>
      </c>
      <c r="D2059" t="s">
        <v>4607</v>
      </c>
      <c r="E2059" t="s">
        <v>26</v>
      </c>
      <c r="F2059" t="s">
        <v>38</v>
      </c>
      <c r="G2059" t="s">
        <v>21864</v>
      </c>
      <c r="H2059">
        <v>18.73</v>
      </c>
      <c r="I2059">
        <v>0</v>
      </c>
      <c r="J2059">
        <v>0</v>
      </c>
      <c r="K2059">
        <v>20</v>
      </c>
      <c r="O2059">
        <v>0</v>
      </c>
      <c r="P2059">
        <v>4</v>
      </c>
      <c r="Q2059">
        <v>0</v>
      </c>
      <c r="R2059">
        <v>42.73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3</v>
      </c>
      <c r="AC2059">
        <v>0</v>
      </c>
      <c r="AH2059">
        <v>45.73</v>
      </c>
    </row>
    <row r="2060" spans="1:34" x14ac:dyDescent="0.3">
      <c r="A2060" s="4">
        <v>2176</v>
      </c>
      <c r="B2060" s="5">
        <v>2053</v>
      </c>
      <c r="C2060">
        <v>14098</v>
      </c>
      <c r="D2060" t="s">
        <v>21865</v>
      </c>
      <c r="E2060" t="s">
        <v>33</v>
      </c>
      <c r="F2060" t="s">
        <v>328</v>
      </c>
      <c r="G2060" t="s">
        <v>21866</v>
      </c>
      <c r="H2060">
        <v>18.73</v>
      </c>
      <c r="I2060">
        <v>0</v>
      </c>
      <c r="J2060">
        <v>0</v>
      </c>
      <c r="K2060">
        <v>20</v>
      </c>
      <c r="N2060">
        <v>3</v>
      </c>
      <c r="O2060">
        <v>3</v>
      </c>
      <c r="P2060">
        <v>4</v>
      </c>
      <c r="Q2060">
        <v>0</v>
      </c>
      <c r="R2060">
        <v>45.73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H2060">
        <v>45.73</v>
      </c>
    </row>
    <row r="2061" spans="1:34" x14ac:dyDescent="0.3">
      <c r="A2061" s="4">
        <v>2177</v>
      </c>
      <c r="B2061" s="5">
        <v>2054</v>
      </c>
      <c r="C2061">
        <v>4203</v>
      </c>
      <c r="D2061" t="s">
        <v>4803</v>
      </c>
      <c r="E2061" t="s">
        <v>22</v>
      </c>
      <c r="F2061" t="s">
        <v>38</v>
      </c>
      <c r="G2061" t="s">
        <v>21867</v>
      </c>
      <c r="H2061">
        <v>18.7</v>
      </c>
      <c r="I2061">
        <v>0</v>
      </c>
      <c r="J2061">
        <v>0</v>
      </c>
      <c r="K2061">
        <v>20</v>
      </c>
      <c r="N2061">
        <v>3</v>
      </c>
      <c r="O2061">
        <v>3</v>
      </c>
      <c r="P2061">
        <v>4</v>
      </c>
      <c r="Q2061">
        <v>0</v>
      </c>
      <c r="R2061">
        <v>45.7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H2061">
        <v>45.7</v>
      </c>
    </row>
    <row r="2062" spans="1:34" x14ac:dyDescent="0.3">
      <c r="A2062" s="4">
        <v>2178</v>
      </c>
      <c r="B2062" s="5">
        <v>2055</v>
      </c>
      <c r="C2062">
        <v>473</v>
      </c>
      <c r="D2062" t="s">
        <v>21868</v>
      </c>
      <c r="E2062" t="s">
        <v>48</v>
      </c>
      <c r="F2062" t="s">
        <v>4176</v>
      </c>
      <c r="G2062" t="s">
        <v>21869</v>
      </c>
      <c r="H2062">
        <v>18.68</v>
      </c>
      <c r="I2062">
        <v>0</v>
      </c>
      <c r="J2062">
        <v>0</v>
      </c>
      <c r="K2062">
        <v>0</v>
      </c>
      <c r="N2062">
        <v>3</v>
      </c>
      <c r="O2062">
        <v>3</v>
      </c>
      <c r="P2062">
        <v>4</v>
      </c>
      <c r="Q2062">
        <v>2</v>
      </c>
      <c r="R2062">
        <v>27.68</v>
      </c>
      <c r="S2062">
        <v>18</v>
      </c>
      <c r="T2062">
        <v>18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18</v>
      </c>
      <c r="AB2062">
        <v>0</v>
      </c>
      <c r="AC2062">
        <v>0</v>
      </c>
      <c r="AH2062">
        <v>45.68</v>
      </c>
    </row>
    <row r="2063" spans="1:34" x14ac:dyDescent="0.3">
      <c r="A2063" s="4">
        <v>2179</v>
      </c>
      <c r="B2063" s="5">
        <v>2056</v>
      </c>
      <c r="C2063">
        <v>14716</v>
      </c>
      <c r="D2063" t="s">
        <v>477</v>
      </c>
      <c r="E2063" t="s">
        <v>29</v>
      </c>
      <c r="F2063" t="s">
        <v>81</v>
      </c>
      <c r="G2063" t="s">
        <v>21870</v>
      </c>
      <c r="H2063">
        <v>18.649999999999999</v>
      </c>
      <c r="I2063">
        <v>0</v>
      </c>
      <c r="J2063">
        <v>0</v>
      </c>
      <c r="K2063">
        <v>20</v>
      </c>
      <c r="N2063">
        <v>3</v>
      </c>
      <c r="O2063">
        <v>3</v>
      </c>
      <c r="P2063">
        <v>4</v>
      </c>
      <c r="Q2063">
        <v>0</v>
      </c>
      <c r="R2063">
        <v>45.65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H2063">
        <v>45.65</v>
      </c>
    </row>
    <row r="2064" spans="1:34" x14ac:dyDescent="0.3">
      <c r="A2064" s="4">
        <v>2180</v>
      </c>
      <c r="B2064" s="5">
        <v>2057</v>
      </c>
      <c r="C2064">
        <v>5372</v>
      </c>
      <c r="D2064" t="s">
        <v>21871</v>
      </c>
      <c r="E2064" t="s">
        <v>208</v>
      </c>
      <c r="F2064" t="s">
        <v>19806</v>
      </c>
      <c r="G2064" t="s">
        <v>21872</v>
      </c>
      <c r="H2064">
        <v>18.63</v>
      </c>
      <c r="I2064">
        <v>0</v>
      </c>
      <c r="J2064">
        <v>0</v>
      </c>
      <c r="K2064">
        <v>20</v>
      </c>
      <c r="N2064">
        <v>3</v>
      </c>
      <c r="O2064">
        <v>3</v>
      </c>
      <c r="P2064">
        <v>4</v>
      </c>
      <c r="Q2064">
        <v>0</v>
      </c>
      <c r="R2064">
        <v>45.63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H2064">
        <v>45.63</v>
      </c>
    </row>
    <row r="2065" spans="1:34" x14ac:dyDescent="0.3">
      <c r="A2065" s="4">
        <v>2181</v>
      </c>
      <c r="B2065" s="5">
        <v>2058</v>
      </c>
      <c r="C2065">
        <v>5405</v>
      </c>
      <c r="D2065" t="s">
        <v>21873</v>
      </c>
      <c r="E2065" t="s">
        <v>2150</v>
      </c>
      <c r="F2065" t="s">
        <v>81</v>
      </c>
      <c r="G2065" t="s">
        <v>21874</v>
      </c>
      <c r="H2065">
        <v>18.63</v>
      </c>
      <c r="I2065">
        <v>0</v>
      </c>
      <c r="J2065">
        <v>0</v>
      </c>
      <c r="K2065">
        <v>20</v>
      </c>
      <c r="N2065">
        <v>3</v>
      </c>
      <c r="O2065">
        <v>3</v>
      </c>
      <c r="P2065">
        <v>4</v>
      </c>
      <c r="Q2065">
        <v>0</v>
      </c>
      <c r="R2065">
        <v>45.63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H2065">
        <v>45.63</v>
      </c>
    </row>
    <row r="2066" spans="1:34" x14ac:dyDescent="0.3">
      <c r="A2066" s="4">
        <v>2182</v>
      </c>
      <c r="B2066" s="5">
        <v>2059</v>
      </c>
      <c r="C2066">
        <v>12655</v>
      </c>
      <c r="D2066" t="s">
        <v>21875</v>
      </c>
      <c r="E2066" t="s">
        <v>21876</v>
      </c>
      <c r="F2066" t="s">
        <v>11853</v>
      </c>
      <c r="G2066" t="s">
        <v>21877</v>
      </c>
      <c r="H2066">
        <v>18.600000000000001</v>
      </c>
      <c r="I2066">
        <v>0</v>
      </c>
      <c r="J2066">
        <v>0</v>
      </c>
      <c r="K2066">
        <v>20</v>
      </c>
      <c r="N2066">
        <v>3</v>
      </c>
      <c r="O2066">
        <v>3</v>
      </c>
      <c r="P2066">
        <v>4</v>
      </c>
      <c r="Q2066">
        <v>0</v>
      </c>
      <c r="R2066">
        <v>45.6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H2066">
        <v>45.6</v>
      </c>
    </row>
    <row r="2067" spans="1:34" x14ac:dyDescent="0.3">
      <c r="A2067" s="4">
        <v>2183</v>
      </c>
      <c r="B2067" s="5">
        <v>2060</v>
      </c>
      <c r="C2067">
        <v>14239</v>
      </c>
      <c r="D2067" t="s">
        <v>21878</v>
      </c>
      <c r="E2067" t="s">
        <v>1331</v>
      </c>
      <c r="F2067" t="s">
        <v>17</v>
      </c>
      <c r="G2067" t="s">
        <v>21879</v>
      </c>
      <c r="H2067">
        <v>18.600000000000001</v>
      </c>
      <c r="I2067">
        <v>0</v>
      </c>
      <c r="J2067">
        <v>0</v>
      </c>
      <c r="K2067">
        <v>20</v>
      </c>
      <c r="N2067">
        <v>3</v>
      </c>
      <c r="O2067">
        <v>3</v>
      </c>
      <c r="P2067">
        <v>4</v>
      </c>
      <c r="Q2067">
        <v>0</v>
      </c>
      <c r="R2067">
        <v>45.6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H2067">
        <v>45.6</v>
      </c>
    </row>
    <row r="2068" spans="1:34" x14ac:dyDescent="0.3">
      <c r="A2068" s="4">
        <v>2184</v>
      </c>
      <c r="B2068" s="5">
        <v>2061</v>
      </c>
      <c r="C2068">
        <v>11423</v>
      </c>
      <c r="D2068" t="s">
        <v>1286</v>
      </c>
      <c r="E2068" t="s">
        <v>97</v>
      </c>
      <c r="F2068" t="s">
        <v>2830</v>
      </c>
      <c r="G2068" t="s">
        <v>21880</v>
      </c>
      <c r="H2068">
        <v>16.600000000000001</v>
      </c>
      <c r="I2068">
        <v>0</v>
      </c>
      <c r="J2068">
        <v>0</v>
      </c>
      <c r="K2068">
        <v>0</v>
      </c>
      <c r="L2068">
        <v>7</v>
      </c>
      <c r="O2068">
        <v>7</v>
      </c>
      <c r="P2068">
        <v>4</v>
      </c>
      <c r="Q2068">
        <v>0</v>
      </c>
      <c r="R2068">
        <v>27.6</v>
      </c>
      <c r="S2068">
        <v>18</v>
      </c>
      <c r="T2068">
        <v>18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18</v>
      </c>
      <c r="AB2068">
        <v>0</v>
      </c>
      <c r="AC2068">
        <v>0</v>
      </c>
      <c r="AH2068">
        <v>45.6</v>
      </c>
    </row>
    <row r="2069" spans="1:34" x14ac:dyDescent="0.3">
      <c r="A2069" s="4">
        <v>2185</v>
      </c>
      <c r="B2069" s="5">
        <v>2062</v>
      </c>
      <c r="C2069">
        <v>7354</v>
      </c>
      <c r="D2069" t="s">
        <v>5542</v>
      </c>
      <c r="E2069" t="s">
        <v>166</v>
      </c>
      <c r="F2069" t="s">
        <v>117</v>
      </c>
      <c r="G2069" t="s">
        <v>21881</v>
      </c>
      <c r="H2069">
        <v>18.55</v>
      </c>
      <c r="I2069">
        <v>0</v>
      </c>
      <c r="J2069">
        <v>0</v>
      </c>
      <c r="K2069">
        <v>20</v>
      </c>
      <c r="N2069">
        <v>3</v>
      </c>
      <c r="O2069">
        <v>3</v>
      </c>
      <c r="P2069">
        <v>4</v>
      </c>
      <c r="Q2069">
        <v>0</v>
      </c>
      <c r="R2069">
        <v>45.55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H2069">
        <v>45.55</v>
      </c>
    </row>
    <row r="2070" spans="1:34" x14ac:dyDescent="0.3">
      <c r="A2070" s="4">
        <v>2186</v>
      </c>
      <c r="B2070" s="5">
        <v>2063</v>
      </c>
      <c r="C2070">
        <v>13539</v>
      </c>
      <c r="D2070" t="s">
        <v>21882</v>
      </c>
      <c r="E2070" t="s">
        <v>21883</v>
      </c>
      <c r="F2070" t="s">
        <v>21884</v>
      </c>
      <c r="G2070" t="s">
        <v>21885</v>
      </c>
      <c r="H2070">
        <v>16.53</v>
      </c>
      <c r="I2070">
        <v>0</v>
      </c>
      <c r="J2070">
        <v>0</v>
      </c>
      <c r="K2070">
        <v>20</v>
      </c>
      <c r="N2070">
        <v>3</v>
      </c>
      <c r="O2070">
        <v>3</v>
      </c>
      <c r="P2070">
        <v>0</v>
      </c>
      <c r="Q2070">
        <v>0</v>
      </c>
      <c r="R2070">
        <v>39.53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6</v>
      </c>
      <c r="AC2070">
        <v>0</v>
      </c>
      <c r="AH2070">
        <v>45.53</v>
      </c>
    </row>
    <row r="2071" spans="1:34" x14ac:dyDescent="0.3">
      <c r="A2071" s="4">
        <v>2187</v>
      </c>
      <c r="B2071" s="5">
        <v>2064</v>
      </c>
      <c r="C2071">
        <v>12122</v>
      </c>
      <c r="D2071" t="s">
        <v>21886</v>
      </c>
      <c r="E2071" t="s">
        <v>26</v>
      </c>
      <c r="F2071" t="s">
        <v>20</v>
      </c>
      <c r="G2071" t="s">
        <v>21887</v>
      </c>
      <c r="H2071">
        <v>19.53</v>
      </c>
      <c r="I2071">
        <v>0</v>
      </c>
      <c r="J2071">
        <v>0</v>
      </c>
      <c r="K2071">
        <v>20</v>
      </c>
      <c r="O2071">
        <v>0</v>
      </c>
      <c r="P2071">
        <v>4</v>
      </c>
      <c r="Q2071">
        <v>2</v>
      </c>
      <c r="R2071">
        <v>45.53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H2071">
        <v>45.53</v>
      </c>
    </row>
    <row r="2072" spans="1:34" x14ac:dyDescent="0.3">
      <c r="A2072" s="4">
        <v>2188</v>
      </c>
      <c r="B2072" s="5">
        <v>2065</v>
      </c>
      <c r="C2072">
        <v>5315</v>
      </c>
      <c r="D2072" t="s">
        <v>21888</v>
      </c>
      <c r="E2072" t="s">
        <v>3968</v>
      </c>
      <c r="F2072" t="s">
        <v>81</v>
      </c>
      <c r="G2072" t="s">
        <v>21889</v>
      </c>
      <c r="H2072">
        <v>18.53</v>
      </c>
      <c r="I2072">
        <v>0</v>
      </c>
      <c r="J2072">
        <v>0</v>
      </c>
      <c r="K2072">
        <v>20</v>
      </c>
      <c r="N2072">
        <v>3</v>
      </c>
      <c r="O2072">
        <v>3</v>
      </c>
      <c r="P2072">
        <v>4</v>
      </c>
      <c r="Q2072">
        <v>0</v>
      </c>
      <c r="R2072">
        <v>45.53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H2072">
        <v>45.53</v>
      </c>
    </row>
    <row r="2073" spans="1:34" x14ac:dyDescent="0.3">
      <c r="A2073" s="4">
        <v>2189</v>
      </c>
      <c r="B2073" s="5">
        <v>2066</v>
      </c>
      <c r="C2073">
        <v>10022</v>
      </c>
      <c r="D2073" t="s">
        <v>4607</v>
      </c>
      <c r="E2073" t="s">
        <v>41</v>
      </c>
      <c r="F2073" t="s">
        <v>58</v>
      </c>
      <c r="G2073" t="s">
        <v>21890</v>
      </c>
      <c r="H2073">
        <v>18.53</v>
      </c>
      <c r="I2073">
        <v>0</v>
      </c>
      <c r="J2073">
        <v>0</v>
      </c>
      <c r="K2073">
        <v>20</v>
      </c>
      <c r="N2073">
        <v>3</v>
      </c>
      <c r="O2073">
        <v>3</v>
      </c>
      <c r="P2073">
        <v>4</v>
      </c>
      <c r="Q2073">
        <v>0</v>
      </c>
      <c r="R2073">
        <v>45.53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H2073">
        <v>45.53</v>
      </c>
    </row>
    <row r="2074" spans="1:34" x14ac:dyDescent="0.3">
      <c r="A2074" s="4">
        <v>2190</v>
      </c>
      <c r="B2074" s="5">
        <v>2067</v>
      </c>
      <c r="C2074">
        <v>8087</v>
      </c>
      <c r="D2074" t="s">
        <v>8624</v>
      </c>
      <c r="E2074" t="s">
        <v>166</v>
      </c>
      <c r="F2074" t="s">
        <v>117</v>
      </c>
      <c r="G2074" t="s">
        <v>21891</v>
      </c>
      <c r="H2074">
        <v>18.5</v>
      </c>
      <c r="I2074">
        <v>0</v>
      </c>
      <c r="J2074">
        <v>0</v>
      </c>
      <c r="K2074">
        <v>20</v>
      </c>
      <c r="N2074">
        <v>3</v>
      </c>
      <c r="O2074">
        <v>3</v>
      </c>
      <c r="P2074">
        <v>4</v>
      </c>
      <c r="Q2074">
        <v>0</v>
      </c>
      <c r="R2074">
        <v>45.5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H2074">
        <v>45.5</v>
      </c>
    </row>
    <row r="2075" spans="1:34" x14ac:dyDescent="0.3">
      <c r="A2075" s="4">
        <v>2191</v>
      </c>
      <c r="B2075" s="5">
        <v>2068</v>
      </c>
      <c r="C2075">
        <v>13488</v>
      </c>
      <c r="D2075" t="s">
        <v>4279</v>
      </c>
      <c r="E2075" t="s">
        <v>88</v>
      </c>
      <c r="F2075" t="s">
        <v>17</v>
      </c>
      <c r="G2075" t="s">
        <v>21892</v>
      </c>
      <c r="H2075">
        <v>21.48</v>
      </c>
      <c r="I2075">
        <v>0</v>
      </c>
      <c r="J2075">
        <v>0</v>
      </c>
      <c r="K2075">
        <v>20</v>
      </c>
      <c r="O2075">
        <v>0</v>
      </c>
      <c r="P2075">
        <v>4</v>
      </c>
      <c r="Q2075">
        <v>0</v>
      </c>
      <c r="R2075">
        <v>45.48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H2075">
        <v>45.48</v>
      </c>
    </row>
    <row r="2076" spans="1:34" x14ac:dyDescent="0.3">
      <c r="A2076" s="4">
        <v>2192</v>
      </c>
      <c r="B2076" s="5">
        <v>2069</v>
      </c>
      <c r="C2076">
        <v>5114</v>
      </c>
      <c r="D2076" t="s">
        <v>21893</v>
      </c>
      <c r="E2076" t="s">
        <v>21894</v>
      </c>
      <c r="F2076" t="s">
        <v>5171</v>
      </c>
      <c r="G2076" t="s">
        <v>21895</v>
      </c>
      <c r="H2076">
        <v>18.48</v>
      </c>
      <c r="I2076">
        <v>0</v>
      </c>
      <c r="J2076">
        <v>0</v>
      </c>
      <c r="K2076">
        <v>20</v>
      </c>
      <c r="N2076">
        <v>3</v>
      </c>
      <c r="O2076">
        <v>3</v>
      </c>
      <c r="P2076">
        <v>4</v>
      </c>
      <c r="Q2076">
        <v>0</v>
      </c>
      <c r="R2076">
        <v>45.48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H2076">
        <v>45.48</v>
      </c>
    </row>
    <row r="2077" spans="1:34" x14ac:dyDescent="0.3">
      <c r="A2077" s="4">
        <v>2193</v>
      </c>
      <c r="B2077" s="5">
        <v>2070</v>
      </c>
      <c r="C2077">
        <v>10284</v>
      </c>
      <c r="D2077" t="s">
        <v>21896</v>
      </c>
      <c r="E2077" t="s">
        <v>346</v>
      </c>
      <c r="F2077" t="s">
        <v>442</v>
      </c>
      <c r="G2077" t="s">
        <v>21897</v>
      </c>
      <c r="H2077">
        <v>16.48</v>
      </c>
      <c r="I2077">
        <v>0</v>
      </c>
      <c r="J2077">
        <v>0</v>
      </c>
      <c r="K2077">
        <v>20</v>
      </c>
      <c r="N2077">
        <v>3</v>
      </c>
      <c r="O2077">
        <v>3</v>
      </c>
      <c r="P2077">
        <v>4</v>
      </c>
      <c r="Q2077">
        <v>2</v>
      </c>
      <c r="R2077">
        <v>45.48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H2077">
        <v>45.48</v>
      </c>
    </row>
    <row r="2078" spans="1:34" x14ac:dyDescent="0.3">
      <c r="A2078" s="4">
        <v>2194</v>
      </c>
      <c r="B2078" s="5">
        <v>2071</v>
      </c>
      <c r="C2078">
        <v>12540</v>
      </c>
      <c r="D2078" t="s">
        <v>21898</v>
      </c>
      <c r="E2078" t="s">
        <v>170</v>
      </c>
      <c r="F2078" t="s">
        <v>17</v>
      </c>
      <c r="G2078" t="s">
        <v>21899</v>
      </c>
      <c r="H2078">
        <v>18.43</v>
      </c>
      <c r="I2078">
        <v>0</v>
      </c>
      <c r="J2078">
        <v>0</v>
      </c>
      <c r="K2078">
        <v>20</v>
      </c>
      <c r="N2078">
        <v>3</v>
      </c>
      <c r="O2078">
        <v>3</v>
      </c>
      <c r="P2078">
        <v>4</v>
      </c>
      <c r="Q2078">
        <v>0</v>
      </c>
      <c r="R2078">
        <v>45.43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H2078">
        <v>45.43</v>
      </c>
    </row>
    <row r="2079" spans="1:34" x14ac:dyDescent="0.3">
      <c r="A2079" s="4">
        <v>2195</v>
      </c>
      <c r="B2079" s="5">
        <v>2072</v>
      </c>
      <c r="C2079">
        <v>13229</v>
      </c>
      <c r="D2079" t="s">
        <v>961</v>
      </c>
      <c r="E2079" t="s">
        <v>29</v>
      </c>
      <c r="F2079" t="s">
        <v>52</v>
      </c>
      <c r="G2079" t="s">
        <v>21900</v>
      </c>
      <c r="H2079">
        <v>18.43</v>
      </c>
      <c r="I2079">
        <v>0</v>
      </c>
      <c r="J2079">
        <v>0</v>
      </c>
      <c r="K2079">
        <v>0</v>
      </c>
      <c r="N2079">
        <v>3</v>
      </c>
      <c r="O2079">
        <v>3</v>
      </c>
      <c r="P2079">
        <v>4</v>
      </c>
      <c r="Q2079">
        <v>2</v>
      </c>
      <c r="R2079">
        <v>27.43</v>
      </c>
      <c r="S2079">
        <v>18</v>
      </c>
      <c r="T2079">
        <v>18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18</v>
      </c>
      <c r="AB2079">
        <v>0</v>
      </c>
      <c r="AC2079">
        <v>0</v>
      </c>
      <c r="AD2079" t="s">
        <v>130</v>
      </c>
      <c r="AH2079">
        <v>45.43</v>
      </c>
    </row>
    <row r="2080" spans="1:34" x14ac:dyDescent="0.3">
      <c r="A2080" s="4">
        <v>2196</v>
      </c>
      <c r="B2080" s="5">
        <v>2073</v>
      </c>
      <c r="C2080">
        <v>5222</v>
      </c>
      <c r="D2080" t="s">
        <v>8266</v>
      </c>
      <c r="E2080" t="s">
        <v>21901</v>
      </c>
      <c r="F2080" t="s">
        <v>136</v>
      </c>
      <c r="G2080" t="s">
        <v>21902</v>
      </c>
      <c r="H2080">
        <v>18.38</v>
      </c>
      <c r="I2080">
        <v>0</v>
      </c>
      <c r="J2080">
        <v>0</v>
      </c>
      <c r="K2080">
        <v>0</v>
      </c>
      <c r="L2080">
        <v>7</v>
      </c>
      <c r="O2080">
        <v>7</v>
      </c>
      <c r="P2080">
        <v>4</v>
      </c>
      <c r="Q2080">
        <v>2</v>
      </c>
      <c r="R2080">
        <v>31.38</v>
      </c>
      <c r="S2080">
        <v>11</v>
      </c>
      <c r="T2080">
        <v>11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11</v>
      </c>
      <c r="AB2080">
        <v>3</v>
      </c>
      <c r="AC2080">
        <v>0</v>
      </c>
      <c r="AH2080">
        <v>45.38</v>
      </c>
    </row>
    <row r="2081" spans="1:34" x14ac:dyDescent="0.3">
      <c r="A2081" s="4">
        <v>2197</v>
      </c>
      <c r="B2081" s="5">
        <v>2074</v>
      </c>
      <c r="C2081">
        <v>9190</v>
      </c>
      <c r="D2081" t="s">
        <v>6980</v>
      </c>
      <c r="E2081" t="s">
        <v>3778</v>
      </c>
      <c r="F2081" t="s">
        <v>20</v>
      </c>
      <c r="G2081" t="s">
        <v>21903</v>
      </c>
      <c r="H2081">
        <v>16.38</v>
      </c>
      <c r="I2081">
        <v>0</v>
      </c>
      <c r="J2081">
        <v>0</v>
      </c>
      <c r="K2081">
        <v>0</v>
      </c>
      <c r="N2081">
        <v>3</v>
      </c>
      <c r="O2081">
        <v>3</v>
      </c>
      <c r="P2081">
        <v>4</v>
      </c>
      <c r="Q2081">
        <v>2</v>
      </c>
      <c r="R2081">
        <v>25.38</v>
      </c>
      <c r="S2081">
        <v>17</v>
      </c>
      <c r="T2081">
        <v>17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17</v>
      </c>
      <c r="AB2081">
        <v>3</v>
      </c>
      <c r="AC2081">
        <v>0</v>
      </c>
      <c r="AH2081">
        <v>45.38</v>
      </c>
    </row>
    <row r="2082" spans="1:34" x14ac:dyDescent="0.3">
      <c r="A2082" s="4">
        <v>2198</v>
      </c>
      <c r="B2082" s="5">
        <v>2075</v>
      </c>
      <c r="C2082">
        <v>6100</v>
      </c>
      <c r="D2082" t="s">
        <v>21904</v>
      </c>
      <c r="E2082" t="s">
        <v>1280</v>
      </c>
      <c r="F2082" t="s">
        <v>2237</v>
      </c>
      <c r="G2082" t="s">
        <v>21905</v>
      </c>
      <c r="H2082">
        <v>18.329999999999998</v>
      </c>
      <c r="I2082">
        <v>0</v>
      </c>
      <c r="J2082">
        <v>0</v>
      </c>
      <c r="K2082">
        <v>20</v>
      </c>
      <c r="N2082">
        <v>3</v>
      </c>
      <c r="O2082">
        <v>3</v>
      </c>
      <c r="P2082">
        <v>4</v>
      </c>
      <c r="Q2082">
        <v>0</v>
      </c>
      <c r="R2082">
        <v>45.33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H2082">
        <v>45.33</v>
      </c>
    </row>
    <row r="2083" spans="1:34" x14ac:dyDescent="0.3">
      <c r="A2083" s="4">
        <v>2199</v>
      </c>
      <c r="B2083" s="5">
        <v>2076</v>
      </c>
      <c r="C2083">
        <v>4682</v>
      </c>
      <c r="D2083" t="s">
        <v>21906</v>
      </c>
      <c r="E2083" t="s">
        <v>54</v>
      </c>
      <c r="F2083" t="s">
        <v>3130</v>
      </c>
      <c r="G2083" t="s">
        <v>21907</v>
      </c>
      <c r="H2083">
        <v>18.329999999999998</v>
      </c>
      <c r="I2083">
        <v>0</v>
      </c>
      <c r="J2083">
        <v>0</v>
      </c>
      <c r="K2083">
        <v>20</v>
      </c>
      <c r="N2083">
        <v>3</v>
      </c>
      <c r="O2083">
        <v>3</v>
      </c>
      <c r="P2083">
        <v>4</v>
      </c>
      <c r="Q2083">
        <v>0</v>
      </c>
      <c r="R2083">
        <v>45.33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H2083">
        <v>45.33</v>
      </c>
    </row>
    <row r="2084" spans="1:34" x14ac:dyDescent="0.3">
      <c r="A2084" s="4">
        <v>2200</v>
      </c>
      <c r="B2084" s="5">
        <v>2077</v>
      </c>
      <c r="C2084">
        <v>2236</v>
      </c>
      <c r="D2084" t="s">
        <v>21908</v>
      </c>
      <c r="E2084" t="s">
        <v>182</v>
      </c>
      <c r="F2084" t="s">
        <v>375</v>
      </c>
      <c r="G2084" t="s">
        <v>21909</v>
      </c>
      <c r="H2084">
        <v>19.3</v>
      </c>
      <c r="I2084">
        <v>0</v>
      </c>
      <c r="J2084">
        <v>0</v>
      </c>
      <c r="K2084">
        <v>20</v>
      </c>
      <c r="O2084">
        <v>0</v>
      </c>
      <c r="P2084">
        <v>4</v>
      </c>
      <c r="Q2084">
        <v>2</v>
      </c>
      <c r="R2084">
        <v>45.3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H2084">
        <v>45.3</v>
      </c>
    </row>
    <row r="2085" spans="1:34" x14ac:dyDescent="0.3">
      <c r="A2085" s="4">
        <v>2201</v>
      </c>
      <c r="B2085" s="5">
        <v>2078</v>
      </c>
      <c r="C2085">
        <v>7557</v>
      </c>
      <c r="D2085" t="s">
        <v>10010</v>
      </c>
      <c r="E2085" t="s">
        <v>81</v>
      </c>
      <c r="F2085" t="s">
        <v>167</v>
      </c>
      <c r="G2085" t="s">
        <v>21910</v>
      </c>
      <c r="H2085">
        <v>18.3</v>
      </c>
      <c r="I2085">
        <v>0</v>
      </c>
      <c r="J2085">
        <v>0</v>
      </c>
      <c r="K2085">
        <v>20</v>
      </c>
      <c r="N2085">
        <v>3</v>
      </c>
      <c r="O2085">
        <v>3</v>
      </c>
      <c r="P2085">
        <v>4</v>
      </c>
      <c r="Q2085">
        <v>0</v>
      </c>
      <c r="R2085">
        <v>45.3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H2085">
        <v>45.3</v>
      </c>
    </row>
    <row r="2086" spans="1:34" x14ac:dyDescent="0.3">
      <c r="A2086" s="4">
        <v>2202</v>
      </c>
      <c r="B2086" s="5">
        <v>2079</v>
      </c>
      <c r="C2086">
        <v>13821</v>
      </c>
      <c r="D2086" t="s">
        <v>21911</v>
      </c>
      <c r="E2086" t="s">
        <v>33</v>
      </c>
      <c r="F2086" t="s">
        <v>117</v>
      </c>
      <c r="G2086" t="s">
        <v>21912</v>
      </c>
      <c r="H2086">
        <v>18.28</v>
      </c>
      <c r="I2086">
        <v>0</v>
      </c>
      <c r="J2086">
        <v>0</v>
      </c>
      <c r="K2086">
        <v>20</v>
      </c>
      <c r="N2086">
        <v>3</v>
      </c>
      <c r="O2086">
        <v>3</v>
      </c>
      <c r="P2086">
        <v>4</v>
      </c>
      <c r="Q2086">
        <v>0</v>
      </c>
      <c r="R2086">
        <v>45.28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H2086">
        <v>45.28</v>
      </c>
    </row>
    <row r="2087" spans="1:34" x14ac:dyDescent="0.3">
      <c r="A2087" s="4">
        <v>2203</v>
      </c>
      <c r="B2087" s="5">
        <v>2080</v>
      </c>
      <c r="C2087">
        <v>6282</v>
      </c>
      <c r="D2087" t="s">
        <v>21913</v>
      </c>
      <c r="E2087" t="s">
        <v>41</v>
      </c>
      <c r="F2087" t="s">
        <v>117</v>
      </c>
      <c r="G2087" t="s">
        <v>21914</v>
      </c>
      <c r="H2087">
        <v>18.28</v>
      </c>
      <c r="I2087">
        <v>0</v>
      </c>
      <c r="J2087">
        <v>0</v>
      </c>
      <c r="K2087">
        <v>20</v>
      </c>
      <c r="N2087">
        <v>3</v>
      </c>
      <c r="O2087">
        <v>3</v>
      </c>
      <c r="P2087">
        <v>4</v>
      </c>
      <c r="Q2087">
        <v>0</v>
      </c>
      <c r="R2087">
        <v>45.28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H2087">
        <v>45.28</v>
      </c>
    </row>
    <row r="2088" spans="1:34" x14ac:dyDescent="0.3">
      <c r="A2088" s="4">
        <v>2204</v>
      </c>
      <c r="B2088" s="5">
        <v>2081</v>
      </c>
      <c r="C2088">
        <v>9209</v>
      </c>
      <c r="D2088" t="s">
        <v>15668</v>
      </c>
      <c r="E2088" t="s">
        <v>51</v>
      </c>
      <c r="F2088" t="s">
        <v>167</v>
      </c>
      <c r="G2088" t="s">
        <v>21915</v>
      </c>
      <c r="H2088">
        <v>18.23</v>
      </c>
      <c r="I2088">
        <v>0</v>
      </c>
      <c r="J2088">
        <v>0</v>
      </c>
      <c r="K2088">
        <v>0</v>
      </c>
      <c r="O2088">
        <v>0</v>
      </c>
      <c r="P2088">
        <v>4</v>
      </c>
      <c r="Q2088">
        <v>0</v>
      </c>
      <c r="R2088">
        <v>22.23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3</v>
      </c>
      <c r="AC2088">
        <v>20</v>
      </c>
      <c r="AH2088">
        <v>45.23</v>
      </c>
    </row>
    <row r="2089" spans="1:34" x14ac:dyDescent="0.3">
      <c r="A2089" s="4">
        <v>2205</v>
      </c>
      <c r="B2089" s="5">
        <v>2082</v>
      </c>
      <c r="C2089">
        <v>13248</v>
      </c>
      <c r="D2089" t="s">
        <v>21916</v>
      </c>
      <c r="E2089" t="s">
        <v>20</v>
      </c>
      <c r="F2089" t="s">
        <v>38</v>
      </c>
      <c r="G2089" t="s">
        <v>21917</v>
      </c>
      <c r="H2089">
        <v>18.23</v>
      </c>
      <c r="I2089">
        <v>0</v>
      </c>
      <c r="J2089">
        <v>0</v>
      </c>
      <c r="K2089">
        <v>20</v>
      </c>
      <c r="N2089">
        <v>3</v>
      </c>
      <c r="O2089">
        <v>3</v>
      </c>
      <c r="P2089">
        <v>4</v>
      </c>
      <c r="Q2089">
        <v>0</v>
      </c>
      <c r="R2089">
        <v>45.23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H2089">
        <v>45.23</v>
      </c>
    </row>
    <row r="2090" spans="1:34" x14ac:dyDescent="0.3">
      <c r="A2090" s="4">
        <v>2206</v>
      </c>
      <c r="B2090" s="5">
        <v>2083</v>
      </c>
      <c r="C2090">
        <v>9966</v>
      </c>
      <c r="D2090" t="s">
        <v>21918</v>
      </c>
      <c r="E2090" t="s">
        <v>21919</v>
      </c>
      <c r="F2090" t="s">
        <v>68</v>
      </c>
      <c r="G2090" t="s">
        <v>21920</v>
      </c>
      <c r="H2090">
        <v>18.2</v>
      </c>
      <c r="I2090">
        <v>0</v>
      </c>
      <c r="J2090">
        <v>0</v>
      </c>
      <c r="K2090">
        <v>20</v>
      </c>
      <c r="N2090">
        <v>3</v>
      </c>
      <c r="O2090">
        <v>3</v>
      </c>
      <c r="P2090">
        <v>4</v>
      </c>
      <c r="Q2090">
        <v>0</v>
      </c>
      <c r="R2090">
        <v>45.2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H2090">
        <v>45.2</v>
      </c>
    </row>
    <row r="2091" spans="1:34" x14ac:dyDescent="0.3">
      <c r="A2091" s="4">
        <v>2207</v>
      </c>
      <c r="B2091" s="5">
        <v>2084</v>
      </c>
      <c r="C2091">
        <v>4330</v>
      </c>
      <c r="D2091" t="s">
        <v>21921</v>
      </c>
      <c r="E2091" t="s">
        <v>97</v>
      </c>
      <c r="F2091" t="s">
        <v>38</v>
      </c>
      <c r="G2091" t="s">
        <v>21922</v>
      </c>
      <c r="H2091">
        <v>18.13</v>
      </c>
      <c r="I2091">
        <v>0</v>
      </c>
      <c r="J2091">
        <v>0</v>
      </c>
      <c r="K2091">
        <v>0</v>
      </c>
      <c r="N2091">
        <v>3</v>
      </c>
      <c r="O2091">
        <v>3</v>
      </c>
      <c r="P2091">
        <v>4</v>
      </c>
      <c r="Q2091">
        <v>0</v>
      </c>
      <c r="R2091">
        <v>25.13</v>
      </c>
      <c r="S2091">
        <v>17</v>
      </c>
      <c r="T2091">
        <v>17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17</v>
      </c>
      <c r="AB2091">
        <v>3</v>
      </c>
      <c r="AC2091">
        <v>0</v>
      </c>
      <c r="AH2091">
        <v>45.13</v>
      </c>
    </row>
    <row r="2092" spans="1:34" x14ac:dyDescent="0.3">
      <c r="A2092" s="4">
        <v>2208</v>
      </c>
      <c r="B2092" s="5">
        <v>2085</v>
      </c>
      <c r="C2092">
        <v>13741</v>
      </c>
      <c r="D2092" t="s">
        <v>1950</v>
      </c>
      <c r="E2092" t="s">
        <v>26</v>
      </c>
      <c r="F2092" t="s">
        <v>17</v>
      </c>
      <c r="G2092" t="s">
        <v>21923</v>
      </c>
      <c r="H2092">
        <v>15.1</v>
      </c>
      <c r="I2092">
        <v>0</v>
      </c>
      <c r="J2092">
        <v>0</v>
      </c>
      <c r="K2092">
        <v>0</v>
      </c>
      <c r="N2092">
        <v>3</v>
      </c>
      <c r="O2092">
        <v>3</v>
      </c>
      <c r="P2092">
        <v>4</v>
      </c>
      <c r="Q2092">
        <v>0</v>
      </c>
      <c r="R2092">
        <v>22.1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3</v>
      </c>
      <c r="AC2092">
        <v>20</v>
      </c>
      <c r="AH2092">
        <v>45.1</v>
      </c>
    </row>
    <row r="2093" spans="1:34" x14ac:dyDescent="0.3">
      <c r="A2093" s="4">
        <v>2209</v>
      </c>
      <c r="B2093" s="5">
        <v>2086</v>
      </c>
      <c r="C2093">
        <v>11030</v>
      </c>
      <c r="D2093" t="s">
        <v>10222</v>
      </c>
      <c r="E2093" t="s">
        <v>21924</v>
      </c>
      <c r="F2093" t="s">
        <v>38</v>
      </c>
      <c r="G2093" t="s">
        <v>21925</v>
      </c>
      <c r="H2093">
        <v>18.05</v>
      </c>
      <c r="I2093">
        <v>0</v>
      </c>
      <c r="J2093">
        <v>0</v>
      </c>
      <c r="K2093">
        <v>0</v>
      </c>
      <c r="N2093">
        <v>3</v>
      </c>
      <c r="O2093">
        <v>3</v>
      </c>
      <c r="P2093">
        <v>4</v>
      </c>
      <c r="Q2093">
        <v>0</v>
      </c>
      <c r="R2093">
        <v>25.05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20</v>
      </c>
      <c r="AH2093">
        <v>45.05</v>
      </c>
    </row>
    <row r="2094" spans="1:34" x14ac:dyDescent="0.3">
      <c r="A2094" s="4">
        <v>2210</v>
      </c>
      <c r="B2094" s="5">
        <v>2087</v>
      </c>
      <c r="C2094">
        <v>9046</v>
      </c>
      <c r="D2094" t="s">
        <v>21926</v>
      </c>
      <c r="E2094" t="s">
        <v>166</v>
      </c>
      <c r="F2094" t="s">
        <v>38</v>
      </c>
      <c r="G2094" t="s">
        <v>21927</v>
      </c>
      <c r="H2094">
        <v>18.05</v>
      </c>
      <c r="I2094">
        <v>0</v>
      </c>
      <c r="J2094">
        <v>0</v>
      </c>
      <c r="K2094">
        <v>20</v>
      </c>
      <c r="N2094">
        <v>3</v>
      </c>
      <c r="O2094">
        <v>3</v>
      </c>
      <c r="P2094">
        <v>4</v>
      </c>
      <c r="Q2094">
        <v>0</v>
      </c>
      <c r="R2094">
        <v>45.05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 t="s">
        <v>130</v>
      </c>
      <c r="AH2094">
        <v>45.05</v>
      </c>
    </row>
    <row r="2095" spans="1:34" x14ac:dyDescent="0.3">
      <c r="A2095" s="4">
        <v>2211</v>
      </c>
      <c r="B2095" s="5">
        <v>2088</v>
      </c>
      <c r="C2095">
        <v>1488</v>
      </c>
      <c r="D2095" t="s">
        <v>3377</v>
      </c>
      <c r="E2095" t="s">
        <v>54</v>
      </c>
      <c r="F2095" t="s">
        <v>38</v>
      </c>
      <c r="G2095" t="s">
        <v>21928</v>
      </c>
      <c r="H2095">
        <v>19</v>
      </c>
      <c r="I2095">
        <v>0</v>
      </c>
      <c r="J2095">
        <v>0</v>
      </c>
      <c r="K2095">
        <v>20</v>
      </c>
      <c r="O2095">
        <v>0</v>
      </c>
      <c r="P2095">
        <v>0</v>
      </c>
      <c r="Q2095">
        <v>0</v>
      </c>
      <c r="R2095">
        <v>39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6</v>
      </c>
      <c r="AC2095">
        <v>0</v>
      </c>
      <c r="AH2095">
        <v>45</v>
      </c>
    </row>
    <row r="2096" spans="1:34" x14ac:dyDescent="0.3">
      <c r="A2096" s="4">
        <v>2212</v>
      </c>
      <c r="B2096" s="5">
        <v>2089</v>
      </c>
      <c r="C2096">
        <v>6165</v>
      </c>
      <c r="D2096" t="s">
        <v>5667</v>
      </c>
      <c r="E2096" t="s">
        <v>110</v>
      </c>
      <c r="F2096" t="s">
        <v>17</v>
      </c>
      <c r="G2096" t="s">
        <v>21929</v>
      </c>
      <c r="H2096">
        <v>18</v>
      </c>
      <c r="I2096">
        <v>0</v>
      </c>
      <c r="J2096">
        <v>0</v>
      </c>
      <c r="K2096">
        <v>0</v>
      </c>
      <c r="N2096">
        <v>3</v>
      </c>
      <c r="O2096">
        <v>3</v>
      </c>
      <c r="P2096">
        <v>4</v>
      </c>
      <c r="Q2096">
        <v>2</v>
      </c>
      <c r="R2096">
        <v>27</v>
      </c>
      <c r="S2096">
        <v>18</v>
      </c>
      <c r="T2096">
        <v>18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18</v>
      </c>
      <c r="AB2096">
        <v>0</v>
      </c>
      <c r="AC2096">
        <v>0</v>
      </c>
      <c r="AH2096">
        <v>45</v>
      </c>
    </row>
    <row r="2097" spans="1:34" x14ac:dyDescent="0.3">
      <c r="A2097" s="4">
        <v>2213</v>
      </c>
      <c r="B2097" s="5">
        <v>2090</v>
      </c>
      <c r="C2097">
        <v>3879</v>
      </c>
      <c r="D2097" t="s">
        <v>21930</v>
      </c>
      <c r="E2097" t="s">
        <v>173</v>
      </c>
      <c r="F2097" t="s">
        <v>892</v>
      </c>
      <c r="G2097" t="s">
        <v>21931</v>
      </c>
      <c r="H2097">
        <v>18.93</v>
      </c>
      <c r="I2097">
        <v>0</v>
      </c>
      <c r="J2097">
        <v>0</v>
      </c>
      <c r="K2097">
        <v>0</v>
      </c>
      <c r="O2097">
        <v>0</v>
      </c>
      <c r="P2097">
        <v>4</v>
      </c>
      <c r="Q2097">
        <v>2</v>
      </c>
      <c r="R2097">
        <v>24.93</v>
      </c>
      <c r="S2097">
        <v>14</v>
      </c>
      <c r="T2097">
        <v>14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14</v>
      </c>
      <c r="AB2097">
        <v>6</v>
      </c>
      <c r="AC2097">
        <v>0</v>
      </c>
      <c r="AH2097">
        <v>44.93</v>
      </c>
    </row>
    <row r="2098" spans="1:34" x14ac:dyDescent="0.3">
      <c r="A2098" s="4">
        <v>2214</v>
      </c>
      <c r="B2098" s="5">
        <v>2091</v>
      </c>
      <c r="C2098">
        <v>8298</v>
      </c>
      <c r="D2098" t="s">
        <v>13728</v>
      </c>
      <c r="E2098" t="s">
        <v>166</v>
      </c>
      <c r="F2098" t="s">
        <v>230</v>
      </c>
      <c r="G2098" t="s">
        <v>21932</v>
      </c>
      <c r="H2098">
        <v>17.88</v>
      </c>
      <c r="I2098">
        <v>0</v>
      </c>
      <c r="J2098">
        <v>0</v>
      </c>
      <c r="K2098">
        <v>20</v>
      </c>
      <c r="N2098">
        <v>3</v>
      </c>
      <c r="O2098">
        <v>3</v>
      </c>
      <c r="P2098">
        <v>4</v>
      </c>
      <c r="Q2098">
        <v>0</v>
      </c>
      <c r="R2098">
        <v>44.88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H2098">
        <v>44.88</v>
      </c>
    </row>
    <row r="2099" spans="1:34" x14ac:dyDescent="0.3">
      <c r="A2099" s="4">
        <v>2215</v>
      </c>
      <c r="B2099" s="5">
        <v>2092</v>
      </c>
      <c r="C2099">
        <v>7954</v>
      </c>
      <c r="D2099" t="s">
        <v>21933</v>
      </c>
      <c r="E2099" t="s">
        <v>21934</v>
      </c>
      <c r="F2099" t="s">
        <v>17</v>
      </c>
      <c r="G2099" t="s">
        <v>21935</v>
      </c>
      <c r="H2099">
        <v>17.850000000000001</v>
      </c>
      <c r="I2099">
        <v>0</v>
      </c>
      <c r="J2099">
        <v>0</v>
      </c>
      <c r="K2099">
        <v>20</v>
      </c>
      <c r="O2099">
        <v>0</v>
      </c>
      <c r="P2099">
        <v>4</v>
      </c>
      <c r="Q2099">
        <v>0</v>
      </c>
      <c r="R2099">
        <v>41.85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3</v>
      </c>
      <c r="AC2099">
        <v>0</v>
      </c>
      <c r="AH2099">
        <v>44.85</v>
      </c>
    </row>
    <row r="2100" spans="1:34" x14ac:dyDescent="0.3">
      <c r="A2100" s="4">
        <v>2216</v>
      </c>
      <c r="B2100" s="5">
        <v>2093</v>
      </c>
      <c r="C2100">
        <v>361</v>
      </c>
      <c r="D2100" t="s">
        <v>784</v>
      </c>
      <c r="E2100" t="s">
        <v>29</v>
      </c>
      <c r="F2100" t="s">
        <v>30</v>
      </c>
      <c r="G2100" t="s">
        <v>21936</v>
      </c>
      <c r="H2100">
        <v>18.8</v>
      </c>
      <c r="I2100">
        <v>0</v>
      </c>
      <c r="J2100">
        <v>0</v>
      </c>
      <c r="K2100">
        <v>0</v>
      </c>
      <c r="L2100">
        <v>7</v>
      </c>
      <c r="O2100">
        <v>7</v>
      </c>
      <c r="P2100">
        <v>4</v>
      </c>
      <c r="Q2100">
        <v>0</v>
      </c>
      <c r="R2100">
        <v>29.8</v>
      </c>
      <c r="S2100">
        <v>6</v>
      </c>
      <c r="T2100">
        <v>6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6</v>
      </c>
      <c r="AB2100">
        <v>9</v>
      </c>
      <c r="AC2100">
        <v>0</v>
      </c>
      <c r="AH2100">
        <v>44.8</v>
      </c>
    </row>
    <row r="2101" spans="1:34" x14ac:dyDescent="0.3">
      <c r="A2101" s="4">
        <v>2217</v>
      </c>
      <c r="B2101" s="5">
        <v>2094</v>
      </c>
      <c r="C2101">
        <v>2639</v>
      </c>
      <c r="D2101" t="s">
        <v>8704</v>
      </c>
      <c r="E2101" t="s">
        <v>29</v>
      </c>
      <c r="F2101" t="s">
        <v>81</v>
      </c>
      <c r="G2101" t="s">
        <v>21937</v>
      </c>
      <c r="H2101">
        <v>17.78</v>
      </c>
      <c r="I2101">
        <v>0</v>
      </c>
      <c r="J2101">
        <v>0</v>
      </c>
      <c r="K2101">
        <v>20</v>
      </c>
      <c r="N2101">
        <v>3</v>
      </c>
      <c r="O2101">
        <v>3</v>
      </c>
      <c r="P2101">
        <v>4</v>
      </c>
      <c r="Q2101">
        <v>0</v>
      </c>
      <c r="R2101">
        <v>44.78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H2101">
        <v>44.78</v>
      </c>
    </row>
    <row r="2102" spans="1:34" x14ac:dyDescent="0.3">
      <c r="A2102" s="4">
        <v>2218</v>
      </c>
      <c r="B2102" s="5">
        <v>2095</v>
      </c>
      <c r="C2102">
        <v>5414</v>
      </c>
      <c r="D2102" t="s">
        <v>9931</v>
      </c>
      <c r="E2102" t="s">
        <v>406</v>
      </c>
      <c r="F2102" t="s">
        <v>21938</v>
      </c>
      <c r="G2102" t="s">
        <v>21939</v>
      </c>
      <c r="H2102">
        <v>17.78</v>
      </c>
      <c r="I2102">
        <v>0</v>
      </c>
      <c r="J2102">
        <v>0</v>
      </c>
      <c r="K2102">
        <v>20</v>
      </c>
      <c r="N2102">
        <v>3</v>
      </c>
      <c r="O2102">
        <v>3</v>
      </c>
      <c r="P2102">
        <v>4</v>
      </c>
      <c r="Q2102">
        <v>0</v>
      </c>
      <c r="R2102">
        <v>44.78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H2102">
        <v>44.78</v>
      </c>
    </row>
    <row r="2103" spans="1:34" x14ac:dyDescent="0.3">
      <c r="A2103" s="4">
        <v>2219</v>
      </c>
      <c r="B2103" s="5">
        <v>2096</v>
      </c>
      <c r="C2103">
        <v>942</v>
      </c>
      <c r="D2103" t="s">
        <v>3179</v>
      </c>
      <c r="E2103" t="s">
        <v>132</v>
      </c>
      <c r="F2103" t="s">
        <v>190</v>
      </c>
      <c r="G2103" t="s">
        <v>21940</v>
      </c>
      <c r="H2103">
        <v>17.75</v>
      </c>
      <c r="I2103">
        <v>0</v>
      </c>
      <c r="J2103">
        <v>0</v>
      </c>
      <c r="K2103">
        <v>20</v>
      </c>
      <c r="N2103">
        <v>3</v>
      </c>
      <c r="O2103">
        <v>3</v>
      </c>
      <c r="P2103">
        <v>4</v>
      </c>
      <c r="Q2103">
        <v>0</v>
      </c>
      <c r="R2103">
        <v>44.75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H2103">
        <v>44.75</v>
      </c>
    </row>
    <row r="2104" spans="1:34" x14ac:dyDescent="0.3">
      <c r="A2104" s="4">
        <v>2220</v>
      </c>
      <c r="B2104" s="5">
        <v>2097</v>
      </c>
      <c r="C2104">
        <v>6031</v>
      </c>
      <c r="D2104" t="s">
        <v>21941</v>
      </c>
      <c r="E2104" t="s">
        <v>780</v>
      </c>
      <c r="F2104" t="s">
        <v>2427</v>
      </c>
      <c r="G2104" t="s">
        <v>21942</v>
      </c>
      <c r="H2104">
        <v>17.73</v>
      </c>
      <c r="I2104">
        <v>0</v>
      </c>
      <c r="J2104">
        <v>0</v>
      </c>
      <c r="K2104">
        <v>20</v>
      </c>
      <c r="N2104">
        <v>3</v>
      </c>
      <c r="O2104">
        <v>3</v>
      </c>
      <c r="P2104">
        <v>4</v>
      </c>
      <c r="Q2104">
        <v>0</v>
      </c>
      <c r="R2104">
        <v>44.73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H2104">
        <v>44.73</v>
      </c>
    </row>
    <row r="2105" spans="1:34" x14ac:dyDescent="0.3">
      <c r="A2105" s="4">
        <v>2221</v>
      </c>
      <c r="B2105" s="5">
        <v>2098</v>
      </c>
      <c r="C2105">
        <v>9272</v>
      </c>
      <c r="D2105" t="s">
        <v>21943</v>
      </c>
      <c r="E2105" t="s">
        <v>170</v>
      </c>
      <c r="F2105" t="s">
        <v>1399</v>
      </c>
      <c r="G2105" t="s">
        <v>21944</v>
      </c>
      <c r="H2105">
        <v>18.7</v>
      </c>
      <c r="I2105">
        <v>0</v>
      </c>
      <c r="J2105">
        <v>0</v>
      </c>
      <c r="K2105">
        <v>0</v>
      </c>
      <c r="N2105">
        <v>3</v>
      </c>
      <c r="O2105">
        <v>3</v>
      </c>
      <c r="P2105">
        <v>4</v>
      </c>
      <c r="Q2105">
        <v>2</v>
      </c>
      <c r="R2105">
        <v>27.7</v>
      </c>
      <c r="S2105">
        <v>14</v>
      </c>
      <c r="T2105">
        <v>14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14</v>
      </c>
      <c r="AB2105">
        <v>3</v>
      </c>
      <c r="AC2105">
        <v>0</v>
      </c>
      <c r="AH2105">
        <v>44.7</v>
      </c>
    </row>
    <row r="2106" spans="1:34" x14ac:dyDescent="0.3">
      <c r="A2106" s="4">
        <v>2222</v>
      </c>
      <c r="B2106" s="5">
        <v>2099</v>
      </c>
      <c r="C2106">
        <v>762</v>
      </c>
      <c r="D2106" t="s">
        <v>21945</v>
      </c>
      <c r="E2106" t="s">
        <v>230</v>
      </c>
      <c r="F2106" t="s">
        <v>117</v>
      </c>
      <c r="G2106" t="s">
        <v>21946</v>
      </c>
      <c r="H2106">
        <v>18.68</v>
      </c>
      <c r="I2106">
        <v>0</v>
      </c>
      <c r="J2106">
        <v>0</v>
      </c>
      <c r="K2106">
        <v>0</v>
      </c>
      <c r="M2106">
        <v>5</v>
      </c>
      <c r="O2106">
        <v>5</v>
      </c>
      <c r="P2106">
        <v>4</v>
      </c>
      <c r="Q2106">
        <v>0</v>
      </c>
      <c r="R2106">
        <v>27.68</v>
      </c>
      <c r="S2106">
        <v>17</v>
      </c>
      <c r="T2106">
        <v>17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17</v>
      </c>
      <c r="AB2106">
        <v>0</v>
      </c>
      <c r="AC2106">
        <v>0</v>
      </c>
      <c r="AH2106">
        <v>44.68</v>
      </c>
    </row>
    <row r="2107" spans="1:34" x14ac:dyDescent="0.3">
      <c r="A2107" s="4">
        <v>2223</v>
      </c>
      <c r="B2107" s="5">
        <v>2100</v>
      </c>
      <c r="C2107">
        <v>8537</v>
      </c>
      <c r="D2107" t="s">
        <v>12653</v>
      </c>
      <c r="E2107" t="s">
        <v>789</v>
      </c>
      <c r="F2107" t="s">
        <v>243</v>
      </c>
      <c r="G2107" t="s">
        <v>21947</v>
      </c>
      <c r="H2107">
        <v>17.55</v>
      </c>
      <c r="I2107">
        <v>0</v>
      </c>
      <c r="J2107">
        <v>0</v>
      </c>
      <c r="K2107">
        <v>20</v>
      </c>
      <c r="N2107">
        <v>3</v>
      </c>
      <c r="O2107">
        <v>3</v>
      </c>
      <c r="P2107">
        <v>4</v>
      </c>
      <c r="Q2107">
        <v>0</v>
      </c>
      <c r="R2107">
        <v>44.55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H2107">
        <v>44.55</v>
      </c>
    </row>
    <row r="2108" spans="1:34" x14ac:dyDescent="0.3">
      <c r="A2108" s="4">
        <v>2224</v>
      </c>
      <c r="B2108" s="5">
        <v>2101</v>
      </c>
      <c r="C2108">
        <v>8429</v>
      </c>
      <c r="D2108" t="s">
        <v>1119</v>
      </c>
      <c r="E2108" t="s">
        <v>110</v>
      </c>
      <c r="F2108" t="s">
        <v>20</v>
      </c>
      <c r="G2108" t="s">
        <v>21948</v>
      </c>
      <c r="H2108">
        <v>20.5</v>
      </c>
      <c r="I2108">
        <v>0</v>
      </c>
      <c r="J2108">
        <v>0</v>
      </c>
      <c r="K2108">
        <v>20</v>
      </c>
      <c r="O2108">
        <v>0</v>
      </c>
      <c r="P2108">
        <v>4</v>
      </c>
      <c r="Q2108">
        <v>0</v>
      </c>
      <c r="R2108">
        <v>44.5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H2108">
        <v>44.5</v>
      </c>
    </row>
    <row r="2109" spans="1:34" x14ac:dyDescent="0.3">
      <c r="A2109" s="4">
        <v>2225</v>
      </c>
      <c r="B2109" s="5">
        <v>2102</v>
      </c>
      <c r="C2109">
        <v>3388</v>
      </c>
      <c r="D2109" t="s">
        <v>21949</v>
      </c>
      <c r="E2109" t="s">
        <v>17</v>
      </c>
      <c r="F2109" t="s">
        <v>81</v>
      </c>
      <c r="G2109" t="s">
        <v>21950</v>
      </c>
      <c r="H2109">
        <v>17.45</v>
      </c>
      <c r="I2109">
        <v>0</v>
      </c>
      <c r="J2109">
        <v>0</v>
      </c>
      <c r="K2109">
        <v>20</v>
      </c>
      <c r="N2109">
        <v>3</v>
      </c>
      <c r="O2109">
        <v>3</v>
      </c>
      <c r="P2109">
        <v>4</v>
      </c>
      <c r="Q2109">
        <v>0</v>
      </c>
      <c r="R2109">
        <v>44.45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H2109">
        <v>44.45</v>
      </c>
    </row>
    <row r="2110" spans="1:34" x14ac:dyDescent="0.3">
      <c r="A2110" s="4">
        <v>2226</v>
      </c>
      <c r="B2110" s="5">
        <v>2103</v>
      </c>
      <c r="C2110">
        <v>10031</v>
      </c>
      <c r="D2110" t="s">
        <v>21951</v>
      </c>
      <c r="E2110" t="s">
        <v>2998</v>
      </c>
      <c r="F2110" t="s">
        <v>55</v>
      </c>
      <c r="G2110" t="s">
        <v>21952</v>
      </c>
      <c r="H2110">
        <v>17.43</v>
      </c>
      <c r="I2110">
        <v>0</v>
      </c>
      <c r="J2110">
        <v>0</v>
      </c>
      <c r="K2110">
        <v>20</v>
      </c>
      <c r="N2110">
        <v>3</v>
      </c>
      <c r="O2110">
        <v>3</v>
      </c>
      <c r="P2110">
        <v>4</v>
      </c>
      <c r="Q2110">
        <v>0</v>
      </c>
      <c r="R2110">
        <v>44.43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H2110">
        <v>44.43</v>
      </c>
    </row>
    <row r="2111" spans="1:34" x14ac:dyDescent="0.3">
      <c r="A2111" s="4">
        <v>2227</v>
      </c>
      <c r="B2111" s="5">
        <v>2104</v>
      </c>
      <c r="C2111">
        <v>5193</v>
      </c>
      <c r="D2111" t="s">
        <v>21953</v>
      </c>
      <c r="E2111" t="s">
        <v>97</v>
      </c>
      <c r="F2111" t="s">
        <v>117</v>
      </c>
      <c r="G2111" t="s">
        <v>21954</v>
      </c>
      <c r="H2111">
        <v>18.399999999999999</v>
      </c>
      <c r="I2111">
        <v>0</v>
      </c>
      <c r="J2111">
        <v>0</v>
      </c>
      <c r="K2111">
        <v>20</v>
      </c>
      <c r="N2111">
        <v>3</v>
      </c>
      <c r="O2111">
        <v>3</v>
      </c>
      <c r="P2111">
        <v>0</v>
      </c>
      <c r="Q2111">
        <v>0</v>
      </c>
      <c r="R2111">
        <v>41.4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3</v>
      </c>
      <c r="AC2111">
        <v>0</v>
      </c>
      <c r="AD2111" t="s">
        <v>130</v>
      </c>
      <c r="AH2111">
        <v>44.4</v>
      </c>
    </row>
    <row r="2112" spans="1:34" x14ac:dyDescent="0.3">
      <c r="A2112" s="4">
        <v>2228</v>
      </c>
      <c r="B2112" s="5">
        <v>2105</v>
      </c>
      <c r="C2112">
        <v>3716</v>
      </c>
      <c r="D2112" t="s">
        <v>4937</v>
      </c>
      <c r="E2112" t="s">
        <v>147</v>
      </c>
      <c r="F2112" t="s">
        <v>7769</v>
      </c>
      <c r="G2112" t="s">
        <v>21955</v>
      </c>
      <c r="H2112">
        <v>18.350000000000001</v>
      </c>
      <c r="I2112">
        <v>0</v>
      </c>
      <c r="J2112">
        <v>0</v>
      </c>
      <c r="K2112">
        <v>20</v>
      </c>
      <c r="N2112">
        <v>3</v>
      </c>
      <c r="O2112">
        <v>3</v>
      </c>
      <c r="P2112">
        <v>0</v>
      </c>
      <c r="Q2112">
        <v>0</v>
      </c>
      <c r="R2112">
        <v>41.35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3</v>
      </c>
      <c r="AC2112">
        <v>0</v>
      </c>
      <c r="AH2112">
        <v>44.35</v>
      </c>
    </row>
    <row r="2113" spans="1:34" x14ac:dyDescent="0.3">
      <c r="A2113" s="4">
        <v>2229</v>
      </c>
      <c r="B2113" s="5">
        <v>2106</v>
      </c>
      <c r="C2113">
        <v>1178</v>
      </c>
      <c r="D2113" t="s">
        <v>7029</v>
      </c>
      <c r="E2113" t="s">
        <v>117</v>
      </c>
      <c r="F2113" t="s">
        <v>20</v>
      </c>
      <c r="G2113" t="s">
        <v>21956</v>
      </c>
      <c r="H2113">
        <v>17.3</v>
      </c>
      <c r="I2113">
        <v>0</v>
      </c>
      <c r="J2113">
        <v>0</v>
      </c>
      <c r="K2113">
        <v>20</v>
      </c>
      <c r="O2113">
        <v>0</v>
      </c>
      <c r="P2113">
        <v>4</v>
      </c>
      <c r="Q2113">
        <v>0</v>
      </c>
      <c r="R2113">
        <v>41.3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3</v>
      </c>
      <c r="AC2113">
        <v>0</v>
      </c>
      <c r="AH2113">
        <v>44.3</v>
      </c>
    </row>
    <row r="2114" spans="1:34" x14ac:dyDescent="0.3">
      <c r="A2114" s="4">
        <v>2230</v>
      </c>
      <c r="B2114" s="5">
        <v>2107</v>
      </c>
      <c r="C2114">
        <v>14544</v>
      </c>
      <c r="D2114" t="s">
        <v>9127</v>
      </c>
      <c r="E2114" t="s">
        <v>167</v>
      </c>
      <c r="F2114" t="s">
        <v>117</v>
      </c>
      <c r="G2114" t="s">
        <v>21957</v>
      </c>
      <c r="H2114">
        <v>17.3</v>
      </c>
      <c r="I2114">
        <v>0</v>
      </c>
      <c r="J2114">
        <v>0</v>
      </c>
      <c r="K2114">
        <v>20</v>
      </c>
      <c r="N2114">
        <v>3</v>
      </c>
      <c r="O2114">
        <v>3</v>
      </c>
      <c r="P2114">
        <v>4</v>
      </c>
      <c r="Q2114">
        <v>0</v>
      </c>
      <c r="R2114">
        <v>44.3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H2114">
        <v>44.3</v>
      </c>
    </row>
    <row r="2115" spans="1:34" x14ac:dyDescent="0.3">
      <c r="A2115" s="4">
        <v>2231</v>
      </c>
      <c r="B2115" s="5">
        <v>2108</v>
      </c>
      <c r="C2115">
        <v>10590</v>
      </c>
      <c r="D2115" t="s">
        <v>5662</v>
      </c>
      <c r="E2115" t="s">
        <v>54</v>
      </c>
      <c r="F2115" t="s">
        <v>14</v>
      </c>
      <c r="G2115" t="s">
        <v>21958</v>
      </c>
      <c r="H2115">
        <v>20.3</v>
      </c>
      <c r="I2115">
        <v>0</v>
      </c>
      <c r="J2115">
        <v>0</v>
      </c>
      <c r="K2115">
        <v>0</v>
      </c>
      <c r="O2115">
        <v>0</v>
      </c>
      <c r="P2115">
        <v>4</v>
      </c>
      <c r="Q2115">
        <v>2</v>
      </c>
      <c r="R2115">
        <v>26.3</v>
      </c>
      <c r="S2115">
        <v>18</v>
      </c>
      <c r="T2115">
        <v>18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18</v>
      </c>
      <c r="AB2115">
        <v>0</v>
      </c>
      <c r="AC2115">
        <v>0</v>
      </c>
      <c r="AH2115">
        <v>44.3</v>
      </c>
    </row>
    <row r="2116" spans="1:34" x14ac:dyDescent="0.3">
      <c r="A2116" s="4">
        <v>2232</v>
      </c>
      <c r="B2116" s="5">
        <v>2109</v>
      </c>
      <c r="C2116">
        <v>11966</v>
      </c>
      <c r="D2116" t="s">
        <v>21959</v>
      </c>
      <c r="E2116" t="s">
        <v>41</v>
      </c>
      <c r="F2116" t="s">
        <v>136</v>
      </c>
      <c r="G2116" t="s">
        <v>21960</v>
      </c>
      <c r="H2116">
        <v>17.3</v>
      </c>
      <c r="I2116">
        <v>0</v>
      </c>
      <c r="J2116">
        <v>0</v>
      </c>
      <c r="K2116">
        <v>0</v>
      </c>
      <c r="N2116">
        <v>3</v>
      </c>
      <c r="O2116">
        <v>3</v>
      </c>
      <c r="P2116">
        <v>4</v>
      </c>
      <c r="Q2116">
        <v>2</v>
      </c>
      <c r="R2116">
        <v>26.3</v>
      </c>
      <c r="S2116">
        <v>18</v>
      </c>
      <c r="T2116">
        <v>18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18</v>
      </c>
      <c r="AB2116">
        <v>0</v>
      </c>
      <c r="AC2116">
        <v>0</v>
      </c>
      <c r="AH2116">
        <v>44.3</v>
      </c>
    </row>
    <row r="2117" spans="1:34" x14ac:dyDescent="0.3">
      <c r="A2117" s="4">
        <v>2233</v>
      </c>
      <c r="B2117" s="5">
        <v>2110</v>
      </c>
      <c r="C2117">
        <v>864</v>
      </c>
      <c r="D2117" t="s">
        <v>21961</v>
      </c>
      <c r="E2117" t="s">
        <v>454</v>
      </c>
      <c r="F2117" t="s">
        <v>17</v>
      </c>
      <c r="G2117" t="s">
        <v>21962</v>
      </c>
      <c r="H2117">
        <v>17.28</v>
      </c>
      <c r="I2117">
        <v>0</v>
      </c>
      <c r="J2117">
        <v>0</v>
      </c>
      <c r="K2117">
        <v>0</v>
      </c>
      <c r="N2117">
        <v>3</v>
      </c>
      <c r="O2117">
        <v>3</v>
      </c>
      <c r="P2117">
        <v>4</v>
      </c>
      <c r="Q2117">
        <v>2</v>
      </c>
      <c r="R2117">
        <v>26.28</v>
      </c>
      <c r="S2117">
        <v>18</v>
      </c>
      <c r="T2117">
        <v>18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18</v>
      </c>
      <c r="AB2117">
        <v>0</v>
      </c>
      <c r="AC2117">
        <v>0</v>
      </c>
      <c r="AH2117">
        <v>44.28</v>
      </c>
    </row>
    <row r="2118" spans="1:34" x14ac:dyDescent="0.3">
      <c r="A2118" s="4">
        <v>2234</v>
      </c>
      <c r="B2118" s="5">
        <v>2111</v>
      </c>
      <c r="C2118">
        <v>7363</v>
      </c>
      <c r="D2118" t="s">
        <v>21963</v>
      </c>
      <c r="E2118" t="s">
        <v>173</v>
      </c>
      <c r="F2118" t="s">
        <v>38</v>
      </c>
      <c r="G2118" t="s">
        <v>21964</v>
      </c>
      <c r="H2118">
        <v>17.25</v>
      </c>
      <c r="I2118">
        <v>0</v>
      </c>
      <c r="J2118">
        <v>0</v>
      </c>
      <c r="K2118">
        <v>0</v>
      </c>
      <c r="N2118">
        <v>3</v>
      </c>
      <c r="O2118">
        <v>3</v>
      </c>
      <c r="P2118">
        <v>4</v>
      </c>
      <c r="Q2118">
        <v>2</v>
      </c>
      <c r="R2118">
        <v>26.25</v>
      </c>
      <c r="S2118">
        <v>18</v>
      </c>
      <c r="T2118">
        <v>18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18</v>
      </c>
      <c r="AB2118">
        <v>0</v>
      </c>
      <c r="AC2118">
        <v>0</v>
      </c>
      <c r="AH2118">
        <v>44.25</v>
      </c>
    </row>
    <row r="2119" spans="1:34" x14ac:dyDescent="0.3">
      <c r="A2119" s="4">
        <v>2235</v>
      </c>
      <c r="B2119" s="5">
        <v>2112</v>
      </c>
      <c r="C2119">
        <v>7658</v>
      </c>
      <c r="D2119" t="s">
        <v>8289</v>
      </c>
      <c r="E2119" t="s">
        <v>173</v>
      </c>
      <c r="F2119" t="s">
        <v>81</v>
      </c>
      <c r="G2119" t="s">
        <v>21965</v>
      </c>
      <c r="H2119">
        <v>19.2</v>
      </c>
      <c r="I2119">
        <v>0</v>
      </c>
      <c r="J2119">
        <v>0</v>
      </c>
      <c r="K2119">
        <v>0</v>
      </c>
      <c r="N2119">
        <v>3</v>
      </c>
      <c r="O2119">
        <v>3</v>
      </c>
      <c r="P2119">
        <v>4</v>
      </c>
      <c r="Q2119">
        <v>2</v>
      </c>
      <c r="R2119">
        <v>28.2</v>
      </c>
      <c r="S2119">
        <v>16</v>
      </c>
      <c r="T2119">
        <v>16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16</v>
      </c>
      <c r="AB2119">
        <v>0</v>
      </c>
      <c r="AC2119">
        <v>0</v>
      </c>
      <c r="AD2119" t="s">
        <v>130</v>
      </c>
      <c r="AH2119">
        <v>44.2</v>
      </c>
    </row>
    <row r="2120" spans="1:34" x14ac:dyDescent="0.3">
      <c r="A2120" s="4">
        <v>2236</v>
      </c>
      <c r="B2120" s="5">
        <v>2113</v>
      </c>
      <c r="C2120">
        <v>3316</v>
      </c>
      <c r="D2120" t="s">
        <v>21966</v>
      </c>
      <c r="E2120" t="s">
        <v>26</v>
      </c>
      <c r="F2120" t="s">
        <v>878</v>
      </c>
      <c r="G2120" t="s">
        <v>21967</v>
      </c>
      <c r="H2120">
        <v>20.149999999999999</v>
      </c>
      <c r="I2120">
        <v>0</v>
      </c>
      <c r="J2120">
        <v>0</v>
      </c>
      <c r="K2120">
        <v>20</v>
      </c>
      <c r="O2120">
        <v>0</v>
      </c>
      <c r="P2120">
        <v>4</v>
      </c>
      <c r="Q2120">
        <v>0</v>
      </c>
      <c r="R2120">
        <v>44.15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H2120">
        <v>44.15</v>
      </c>
    </row>
    <row r="2121" spans="1:34" x14ac:dyDescent="0.3">
      <c r="A2121" s="4">
        <v>2237</v>
      </c>
      <c r="B2121" s="5">
        <v>2114</v>
      </c>
      <c r="C2121">
        <v>12415</v>
      </c>
      <c r="D2121" t="s">
        <v>21968</v>
      </c>
      <c r="E2121" t="s">
        <v>54</v>
      </c>
      <c r="F2121" t="s">
        <v>20</v>
      </c>
      <c r="G2121" t="s">
        <v>21969</v>
      </c>
      <c r="H2121">
        <v>17.149999999999999</v>
      </c>
      <c r="I2121">
        <v>0</v>
      </c>
      <c r="J2121">
        <v>0</v>
      </c>
      <c r="K2121">
        <v>20</v>
      </c>
      <c r="N2121">
        <v>3</v>
      </c>
      <c r="O2121">
        <v>3</v>
      </c>
      <c r="P2121">
        <v>4</v>
      </c>
      <c r="Q2121">
        <v>0</v>
      </c>
      <c r="R2121">
        <v>44.15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H2121">
        <v>44.15</v>
      </c>
    </row>
    <row r="2122" spans="1:34" x14ac:dyDescent="0.3">
      <c r="A2122" s="4">
        <v>2238</v>
      </c>
      <c r="B2122" s="5">
        <v>2115</v>
      </c>
      <c r="C2122">
        <v>12707</v>
      </c>
      <c r="D2122" t="s">
        <v>21970</v>
      </c>
      <c r="E2122" t="s">
        <v>182</v>
      </c>
      <c r="F2122" t="s">
        <v>587</v>
      </c>
      <c r="G2122" t="s">
        <v>21971</v>
      </c>
      <c r="H2122">
        <v>18.149999999999999</v>
      </c>
      <c r="I2122">
        <v>0</v>
      </c>
      <c r="J2122">
        <v>0</v>
      </c>
      <c r="K2122">
        <v>0</v>
      </c>
      <c r="L2122">
        <v>7</v>
      </c>
      <c r="N2122">
        <v>3</v>
      </c>
      <c r="O2122">
        <v>10</v>
      </c>
      <c r="P2122">
        <v>4</v>
      </c>
      <c r="Q2122">
        <v>2</v>
      </c>
      <c r="R2122">
        <v>34.15</v>
      </c>
      <c r="S2122">
        <v>10</v>
      </c>
      <c r="T2122">
        <v>10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10</v>
      </c>
      <c r="AB2122">
        <v>0</v>
      </c>
      <c r="AC2122">
        <v>0</v>
      </c>
      <c r="AH2122">
        <v>44.15</v>
      </c>
    </row>
    <row r="2123" spans="1:34" x14ac:dyDescent="0.3">
      <c r="A2123" s="4">
        <v>2239</v>
      </c>
      <c r="B2123" s="5">
        <v>2116</v>
      </c>
      <c r="C2123">
        <v>1665</v>
      </c>
      <c r="D2123" t="s">
        <v>21972</v>
      </c>
      <c r="E2123" t="s">
        <v>6507</v>
      </c>
      <c r="F2123" t="s">
        <v>136</v>
      </c>
      <c r="G2123" t="s">
        <v>21973</v>
      </c>
      <c r="H2123">
        <v>16.13</v>
      </c>
      <c r="I2123">
        <v>0</v>
      </c>
      <c r="J2123">
        <v>0</v>
      </c>
      <c r="K2123">
        <v>0</v>
      </c>
      <c r="O2123">
        <v>0</v>
      </c>
      <c r="P2123">
        <v>4</v>
      </c>
      <c r="Q2123">
        <v>0</v>
      </c>
      <c r="R2123">
        <v>20.13</v>
      </c>
      <c r="S2123">
        <v>18</v>
      </c>
      <c r="T2123">
        <v>18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18</v>
      </c>
      <c r="AB2123">
        <v>6</v>
      </c>
      <c r="AC2123">
        <v>0</v>
      </c>
      <c r="AH2123">
        <v>44.13</v>
      </c>
    </row>
    <row r="2124" spans="1:34" x14ac:dyDescent="0.3">
      <c r="A2124" s="4">
        <v>2240</v>
      </c>
      <c r="B2124" s="5">
        <v>2117</v>
      </c>
      <c r="C2124">
        <v>6343</v>
      </c>
      <c r="D2124" t="s">
        <v>21974</v>
      </c>
      <c r="E2124" t="s">
        <v>161</v>
      </c>
      <c r="F2124" t="s">
        <v>230</v>
      </c>
      <c r="G2124" t="s">
        <v>21975</v>
      </c>
      <c r="H2124">
        <v>18.079999999999998</v>
      </c>
      <c r="I2124">
        <v>0</v>
      </c>
      <c r="J2124">
        <v>0</v>
      </c>
      <c r="K2124">
        <v>0</v>
      </c>
      <c r="N2124">
        <v>3</v>
      </c>
      <c r="O2124">
        <v>3</v>
      </c>
      <c r="P2124">
        <v>4</v>
      </c>
      <c r="Q2124">
        <v>2</v>
      </c>
      <c r="R2124">
        <v>27.08</v>
      </c>
      <c r="S2124">
        <v>17</v>
      </c>
      <c r="T2124">
        <v>17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17</v>
      </c>
      <c r="AB2124">
        <v>0</v>
      </c>
      <c r="AC2124">
        <v>0</v>
      </c>
      <c r="AH2124">
        <v>44.08</v>
      </c>
    </row>
    <row r="2125" spans="1:34" x14ac:dyDescent="0.3">
      <c r="A2125" s="4">
        <v>2241</v>
      </c>
      <c r="B2125" s="5">
        <v>2118</v>
      </c>
      <c r="C2125">
        <v>10109</v>
      </c>
      <c r="D2125" t="s">
        <v>21976</v>
      </c>
      <c r="E2125" t="s">
        <v>170</v>
      </c>
      <c r="F2125" t="s">
        <v>30</v>
      </c>
      <c r="G2125" t="s">
        <v>21977</v>
      </c>
      <c r="H2125">
        <v>18.05</v>
      </c>
      <c r="I2125">
        <v>0</v>
      </c>
      <c r="J2125">
        <v>0</v>
      </c>
      <c r="K2125">
        <v>20</v>
      </c>
      <c r="O2125">
        <v>0</v>
      </c>
      <c r="P2125">
        <v>4</v>
      </c>
      <c r="Q2125">
        <v>2</v>
      </c>
      <c r="R2125">
        <v>44.05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H2125">
        <v>44.05</v>
      </c>
    </row>
    <row r="2126" spans="1:34" x14ac:dyDescent="0.3">
      <c r="A2126" s="4">
        <v>2242</v>
      </c>
      <c r="B2126" s="5">
        <v>2119</v>
      </c>
      <c r="C2126">
        <v>6560</v>
      </c>
      <c r="D2126" t="s">
        <v>21978</v>
      </c>
      <c r="E2126" t="s">
        <v>38</v>
      </c>
      <c r="F2126" t="s">
        <v>136</v>
      </c>
      <c r="G2126" t="s">
        <v>21979</v>
      </c>
      <c r="H2126">
        <v>17.03</v>
      </c>
      <c r="I2126">
        <v>0</v>
      </c>
      <c r="J2126">
        <v>0</v>
      </c>
      <c r="K2126">
        <v>20</v>
      </c>
      <c r="N2126">
        <v>3</v>
      </c>
      <c r="O2126">
        <v>3</v>
      </c>
      <c r="P2126">
        <v>4</v>
      </c>
      <c r="Q2126">
        <v>0</v>
      </c>
      <c r="R2126">
        <v>44.03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H2126">
        <v>44.03</v>
      </c>
    </row>
    <row r="2127" spans="1:34" x14ac:dyDescent="0.3">
      <c r="A2127" s="4">
        <v>2243</v>
      </c>
      <c r="B2127" s="5">
        <v>2120</v>
      </c>
      <c r="C2127">
        <v>552</v>
      </c>
      <c r="D2127" t="s">
        <v>831</v>
      </c>
      <c r="E2127" t="s">
        <v>219</v>
      </c>
      <c r="F2127" t="s">
        <v>91</v>
      </c>
      <c r="G2127" t="s">
        <v>21980</v>
      </c>
      <c r="H2127">
        <v>18</v>
      </c>
      <c r="I2127">
        <v>0</v>
      </c>
      <c r="J2127">
        <v>0</v>
      </c>
      <c r="K2127">
        <v>0</v>
      </c>
      <c r="O2127">
        <v>0</v>
      </c>
      <c r="P2127">
        <v>0</v>
      </c>
      <c r="Q2127">
        <v>0</v>
      </c>
      <c r="R2127">
        <v>18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6</v>
      </c>
      <c r="AC2127">
        <v>20</v>
      </c>
      <c r="AH2127">
        <v>44</v>
      </c>
    </row>
    <row r="2128" spans="1:34" x14ac:dyDescent="0.3">
      <c r="A2128" s="4">
        <v>2244</v>
      </c>
      <c r="B2128" s="5">
        <v>2121</v>
      </c>
      <c r="C2128">
        <v>10600</v>
      </c>
      <c r="D2128" t="s">
        <v>21981</v>
      </c>
      <c r="E2128" t="s">
        <v>2582</v>
      </c>
      <c r="F2128" t="s">
        <v>38</v>
      </c>
      <c r="G2128" t="s">
        <v>21982</v>
      </c>
      <c r="H2128">
        <v>17</v>
      </c>
      <c r="I2128">
        <v>0</v>
      </c>
      <c r="J2128">
        <v>0</v>
      </c>
      <c r="K2128">
        <v>20</v>
      </c>
      <c r="N2128">
        <v>3</v>
      </c>
      <c r="O2128">
        <v>3</v>
      </c>
      <c r="P2128">
        <v>4</v>
      </c>
      <c r="Q2128">
        <v>0</v>
      </c>
      <c r="R2128">
        <v>44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H2128">
        <v>44</v>
      </c>
    </row>
    <row r="2129" spans="1:34" x14ac:dyDescent="0.3">
      <c r="A2129" s="4">
        <v>2245</v>
      </c>
      <c r="B2129" s="5">
        <v>2122</v>
      </c>
      <c r="C2129">
        <v>3917</v>
      </c>
      <c r="D2129" t="s">
        <v>1170</v>
      </c>
      <c r="E2129" t="s">
        <v>54</v>
      </c>
      <c r="F2129" t="s">
        <v>117</v>
      </c>
      <c r="G2129" t="s">
        <v>21983</v>
      </c>
      <c r="H2129">
        <v>18.95</v>
      </c>
      <c r="I2129">
        <v>0</v>
      </c>
      <c r="J2129">
        <v>0</v>
      </c>
      <c r="K2129">
        <v>0</v>
      </c>
      <c r="L2129">
        <v>7</v>
      </c>
      <c r="O2129">
        <v>7</v>
      </c>
      <c r="P2129">
        <v>4</v>
      </c>
      <c r="Q2129">
        <v>0</v>
      </c>
      <c r="R2129">
        <v>29.95</v>
      </c>
      <c r="S2129">
        <v>8</v>
      </c>
      <c r="T2129">
        <v>8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8</v>
      </c>
      <c r="AB2129">
        <v>6</v>
      </c>
      <c r="AC2129">
        <v>0</v>
      </c>
      <c r="AH2129">
        <v>43.95</v>
      </c>
    </row>
    <row r="2130" spans="1:34" x14ac:dyDescent="0.3">
      <c r="A2130" s="4">
        <v>2246</v>
      </c>
      <c r="B2130" s="5">
        <v>2123</v>
      </c>
      <c r="C2130">
        <v>11942</v>
      </c>
      <c r="D2130" t="s">
        <v>950</v>
      </c>
      <c r="E2130" t="s">
        <v>6956</v>
      </c>
      <c r="F2130" t="s">
        <v>81</v>
      </c>
      <c r="G2130" t="s">
        <v>21984</v>
      </c>
      <c r="H2130">
        <v>19.95</v>
      </c>
      <c r="I2130">
        <v>0</v>
      </c>
      <c r="J2130">
        <v>0</v>
      </c>
      <c r="K2130">
        <v>0</v>
      </c>
      <c r="N2130">
        <v>3</v>
      </c>
      <c r="O2130">
        <v>3</v>
      </c>
      <c r="P2130">
        <v>4</v>
      </c>
      <c r="Q2130">
        <v>2</v>
      </c>
      <c r="R2130">
        <v>28.95</v>
      </c>
      <c r="S2130">
        <v>15</v>
      </c>
      <c r="T2130">
        <v>15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15</v>
      </c>
      <c r="AB2130">
        <v>0</v>
      </c>
      <c r="AC2130">
        <v>0</v>
      </c>
      <c r="AD2130" t="s">
        <v>130</v>
      </c>
      <c r="AH2130">
        <v>43.95</v>
      </c>
    </row>
    <row r="2131" spans="1:34" x14ac:dyDescent="0.3">
      <c r="A2131" s="4">
        <v>2247</v>
      </c>
      <c r="B2131" s="5">
        <v>2124</v>
      </c>
      <c r="C2131">
        <v>8319</v>
      </c>
      <c r="D2131" t="s">
        <v>21985</v>
      </c>
      <c r="E2131" t="s">
        <v>55</v>
      </c>
      <c r="F2131" t="s">
        <v>38</v>
      </c>
      <c r="G2131" t="s">
        <v>21986</v>
      </c>
      <c r="H2131">
        <v>17.93</v>
      </c>
      <c r="I2131">
        <v>0</v>
      </c>
      <c r="J2131">
        <v>0</v>
      </c>
      <c r="K2131">
        <v>20</v>
      </c>
      <c r="O2131">
        <v>0</v>
      </c>
      <c r="P2131">
        <v>0</v>
      </c>
      <c r="Q2131">
        <v>0</v>
      </c>
      <c r="R2131">
        <v>37.93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6</v>
      </c>
      <c r="AC2131">
        <v>0</v>
      </c>
      <c r="AH2131">
        <v>43.93</v>
      </c>
    </row>
    <row r="2132" spans="1:34" x14ac:dyDescent="0.3">
      <c r="A2132" s="4">
        <v>2248</v>
      </c>
      <c r="B2132" s="5">
        <v>2125</v>
      </c>
      <c r="C2132">
        <v>10433</v>
      </c>
      <c r="D2132" t="s">
        <v>21987</v>
      </c>
      <c r="E2132" t="s">
        <v>173</v>
      </c>
      <c r="F2132" t="s">
        <v>62</v>
      </c>
      <c r="G2132" t="s">
        <v>21988</v>
      </c>
      <c r="H2132">
        <v>19.88</v>
      </c>
      <c r="I2132">
        <v>0</v>
      </c>
      <c r="J2132">
        <v>0</v>
      </c>
      <c r="K2132">
        <v>20</v>
      </c>
      <c r="O2132">
        <v>0</v>
      </c>
      <c r="P2132">
        <v>4</v>
      </c>
      <c r="Q2132">
        <v>0</v>
      </c>
      <c r="R2132">
        <v>43.88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H2132">
        <v>43.88</v>
      </c>
    </row>
    <row r="2133" spans="1:34" x14ac:dyDescent="0.3">
      <c r="A2133" s="4">
        <v>2249</v>
      </c>
      <c r="B2133" s="5">
        <v>2126</v>
      </c>
      <c r="C2133">
        <v>4843</v>
      </c>
      <c r="D2133" t="s">
        <v>114</v>
      </c>
      <c r="E2133" t="s">
        <v>6225</v>
      </c>
      <c r="F2133" t="s">
        <v>442</v>
      </c>
      <c r="G2133" t="s">
        <v>21989</v>
      </c>
      <c r="H2133">
        <v>16.88</v>
      </c>
      <c r="I2133">
        <v>0</v>
      </c>
      <c r="J2133">
        <v>0</v>
      </c>
      <c r="K2133">
        <v>20</v>
      </c>
      <c r="N2133">
        <v>3</v>
      </c>
      <c r="O2133">
        <v>3</v>
      </c>
      <c r="P2133">
        <v>4</v>
      </c>
      <c r="Q2133">
        <v>0</v>
      </c>
      <c r="R2133">
        <v>43.88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H2133">
        <v>43.88</v>
      </c>
    </row>
    <row r="2134" spans="1:34" x14ac:dyDescent="0.3">
      <c r="A2134" s="4">
        <v>2250</v>
      </c>
      <c r="B2134" s="5">
        <v>2127</v>
      </c>
      <c r="C2134">
        <v>15528</v>
      </c>
      <c r="D2134" t="s">
        <v>21990</v>
      </c>
      <c r="E2134" t="s">
        <v>81</v>
      </c>
      <c r="F2134" t="s">
        <v>117</v>
      </c>
      <c r="G2134" t="s">
        <v>21991</v>
      </c>
      <c r="H2134">
        <v>18.78</v>
      </c>
      <c r="I2134">
        <v>0</v>
      </c>
      <c r="J2134">
        <v>0</v>
      </c>
      <c r="K2134">
        <v>0</v>
      </c>
      <c r="L2134">
        <v>7</v>
      </c>
      <c r="O2134">
        <v>7</v>
      </c>
      <c r="P2134">
        <v>4</v>
      </c>
      <c r="Q2134">
        <v>0</v>
      </c>
      <c r="R2134">
        <v>29.78</v>
      </c>
      <c r="S2134">
        <v>14</v>
      </c>
      <c r="T2134">
        <v>14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14</v>
      </c>
      <c r="AB2134">
        <v>0</v>
      </c>
      <c r="AC2134">
        <v>0</v>
      </c>
      <c r="AH2134">
        <v>43.78</v>
      </c>
    </row>
    <row r="2135" spans="1:34" x14ac:dyDescent="0.3">
      <c r="A2135" s="4">
        <v>2251</v>
      </c>
      <c r="B2135" s="5">
        <v>2128</v>
      </c>
      <c r="C2135">
        <v>5993</v>
      </c>
      <c r="D2135" t="s">
        <v>12040</v>
      </c>
      <c r="E2135" t="s">
        <v>54</v>
      </c>
      <c r="F2135" t="s">
        <v>52</v>
      </c>
      <c r="G2135" t="s">
        <v>21992</v>
      </c>
      <c r="H2135">
        <v>17.75</v>
      </c>
      <c r="I2135">
        <v>0</v>
      </c>
      <c r="J2135">
        <v>0</v>
      </c>
      <c r="K2135">
        <v>0</v>
      </c>
      <c r="O2135">
        <v>0</v>
      </c>
      <c r="P2135">
        <v>4</v>
      </c>
      <c r="Q2135">
        <v>0</v>
      </c>
      <c r="R2135">
        <v>21.75</v>
      </c>
      <c r="S2135">
        <v>19</v>
      </c>
      <c r="T2135">
        <v>19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19</v>
      </c>
      <c r="AB2135">
        <v>3</v>
      </c>
      <c r="AC2135">
        <v>0</v>
      </c>
      <c r="AH2135">
        <v>43.75</v>
      </c>
    </row>
    <row r="2136" spans="1:34" x14ac:dyDescent="0.3">
      <c r="A2136" s="4">
        <v>2252</v>
      </c>
      <c r="B2136" s="5">
        <v>2129</v>
      </c>
      <c r="C2136">
        <v>13165</v>
      </c>
      <c r="D2136" t="s">
        <v>13020</v>
      </c>
      <c r="E2136" t="s">
        <v>29</v>
      </c>
      <c r="F2136" t="s">
        <v>416</v>
      </c>
      <c r="G2136" t="s">
        <v>21993</v>
      </c>
      <c r="H2136">
        <v>16.75</v>
      </c>
      <c r="I2136">
        <v>0</v>
      </c>
      <c r="J2136">
        <v>0</v>
      </c>
      <c r="K2136">
        <v>20</v>
      </c>
      <c r="N2136">
        <v>3</v>
      </c>
      <c r="O2136">
        <v>3</v>
      </c>
      <c r="P2136">
        <v>4</v>
      </c>
      <c r="Q2136">
        <v>0</v>
      </c>
      <c r="R2136">
        <v>43.75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H2136">
        <v>43.75</v>
      </c>
    </row>
    <row r="2137" spans="1:34" x14ac:dyDescent="0.3">
      <c r="A2137" s="4">
        <v>2253</v>
      </c>
      <c r="B2137" s="5">
        <v>2130</v>
      </c>
      <c r="C2137">
        <v>6680</v>
      </c>
      <c r="D2137" t="s">
        <v>21994</v>
      </c>
      <c r="E2137" t="s">
        <v>283</v>
      </c>
      <c r="F2137" t="s">
        <v>83</v>
      </c>
      <c r="G2137" t="s">
        <v>21995</v>
      </c>
      <c r="H2137">
        <v>22.73</v>
      </c>
      <c r="I2137">
        <v>0</v>
      </c>
      <c r="J2137">
        <v>0</v>
      </c>
      <c r="K2137">
        <v>0</v>
      </c>
      <c r="O2137">
        <v>0</v>
      </c>
      <c r="P2137">
        <v>4</v>
      </c>
      <c r="Q2137">
        <v>2</v>
      </c>
      <c r="R2137">
        <v>28.73</v>
      </c>
      <c r="S2137">
        <v>15</v>
      </c>
      <c r="T2137">
        <v>15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15</v>
      </c>
      <c r="AB2137">
        <v>0</v>
      </c>
      <c r="AC2137">
        <v>0</v>
      </c>
      <c r="AH2137">
        <v>43.73</v>
      </c>
    </row>
    <row r="2138" spans="1:34" x14ac:dyDescent="0.3">
      <c r="A2138" s="4">
        <v>2254</v>
      </c>
      <c r="B2138" s="5">
        <v>2131</v>
      </c>
      <c r="C2138">
        <v>12922</v>
      </c>
      <c r="D2138" t="s">
        <v>752</v>
      </c>
      <c r="E2138" t="s">
        <v>54</v>
      </c>
      <c r="F2138" t="s">
        <v>230</v>
      </c>
      <c r="G2138" t="s">
        <v>21996</v>
      </c>
      <c r="H2138">
        <v>19.600000000000001</v>
      </c>
      <c r="I2138">
        <v>0</v>
      </c>
      <c r="J2138">
        <v>0</v>
      </c>
      <c r="K2138">
        <v>20</v>
      </c>
      <c r="O2138">
        <v>0</v>
      </c>
      <c r="P2138">
        <v>4</v>
      </c>
      <c r="Q2138">
        <v>0</v>
      </c>
      <c r="R2138">
        <v>43.6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H2138">
        <v>43.6</v>
      </c>
    </row>
    <row r="2139" spans="1:34" x14ac:dyDescent="0.3">
      <c r="A2139" s="4">
        <v>2255</v>
      </c>
      <c r="B2139" s="5">
        <v>2132</v>
      </c>
      <c r="C2139">
        <v>1214</v>
      </c>
      <c r="D2139" t="s">
        <v>21997</v>
      </c>
      <c r="E2139" t="s">
        <v>361</v>
      </c>
      <c r="F2139" t="s">
        <v>30</v>
      </c>
      <c r="G2139" t="s">
        <v>21998</v>
      </c>
      <c r="H2139">
        <v>20.58</v>
      </c>
      <c r="I2139">
        <v>0</v>
      </c>
      <c r="J2139">
        <v>0</v>
      </c>
      <c r="K2139">
        <v>20</v>
      </c>
      <c r="N2139">
        <v>3</v>
      </c>
      <c r="O2139">
        <v>3</v>
      </c>
      <c r="P2139">
        <v>0</v>
      </c>
      <c r="Q2139">
        <v>0</v>
      </c>
      <c r="R2139">
        <v>43.58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H2139">
        <v>43.58</v>
      </c>
    </row>
    <row r="2140" spans="1:34" x14ac:dyDescent="0.3">
      <c r="A2140" s="4">
        <v>2256</v>
      </c>
      <c r="B2140" s="5">
        <v>2133</v>
      </c>
      <c r="C2140">
        <v>3882</v>
      </c>
      <c r="D2140" t="s">
        <v>21999</v>
      </c>
      <c r="E2140" t="s">
        <v>29</v>
      </c>
      <c r="F2140" t="s">
        <v>801</v>
      </c>
      <c r="G2140" t="s">
        <v>22000</v>
      </c>
      <c r="H2140">
        <v>19.579999999999998</v>
      </c>
      <c r="I2140">
        <v>0</v>
      </c>
      <c r="J2140">
        <v>0</v>
      </c>
      <c r="K2140">
        <v>0</v>
      </c>
      <c r="N2140">
        <v>3</v>
      </c>
      <c r="O2140">
        <v>3</v>
      </c>
      <c r="P2140">
        <v>4</v>
      </c>
      <c r="Q2140">
        <v>0</v>
      </c>
      <c r="R2140">
        <v>26.58</v>
      </c>
      <c r="S2140">
        <v>17</v>
      </c>
      <c r="T2140">
        <v>17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17</v>
      </c>
      <c r="AB2140">
        <v>0</v>
      </c>
      <c r="AC2140">
        <v>0</v>
      </c>
      <c r="AH2140">
        <v>43.58</v>
      </c>
    </row>
    <row r="2141" spans="1:34" x14ac:dyDescent="0.3">
      <c r="A2141" s="4">
        <v>2257</v>
      </c>
      <c r="B2141" s="5">
        <v>2134</v>
      </c>
      <c r="C2141">
        <v>7860</v>
      </c>
      <c r="D2141" t="s">
        <v>11246</v>
      </c>
      <c r="E2141" t="s">
        <v>789</v>
      </c>
      <c r="F2141" t="s">
        <v>81</v>
      </c>
      <c r="G2141" t="s">
        <v>22001</v>
      </c>
      <c r="H2141">
        <v>18.55</v>
      </c>
      <c r="I2141">
        <v>0</v>
      </c>
      <c r="J2141">
        <v>0</v>
      </c>
      <c r="K2141">
        <v>0</v>
      </c>
      <c r="N2141">
        <v>3</v>
      </c>
      <c r="O2141">
        <v>3</v>
      </c>
      <c r="P2141">
        <v>4</v>
      </c>
      <c r="Q2141">
        <v>0</v>
      </c>
      <c r="R2141">
        <v>25.55</v>
      </c>
      <c r="S2141">
        <v>18</v>
      </c>
      <c r="T2141">
        <v>18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18</v>
      </c>
      <c r="AB2141">
        <v>0</v>
      </c>
      <c r="AC2141">
        <v>0</v>
      </c>
      <c r="AH2141">
        <v>43.55</v>
      </c>
    </row>
    <row r="2142" spans="1:34" x14ac:dyDescent="0.3">
      <c r="A2142" s="4">
        <v>2258</v>
      </c>
      <c r="B2142" s="5">
        <v>2135</v>
      </c>
      <c r="C2142">
        <v>14435</v>
      </c>
      <c r="D2142" t="s">
        <v>22002</v>
      </c>
      <c r="E2142" t="s">
        <v>406</v>
      </c>
      <c r="F2142" t="s">
        <v>3130</v>
      </c>
      <c r="G2142" t="s">
        <v>22003</v>
      </c>
      <c r="H2142">
        <v>19.53</v>
      </c>
      <c r="I2142">
        <v>0</v>
      </c>
      <c r="J2142">
        <v>0</v>
      </c>
      <c r="K2142">
        <v>20</v>
      </c>
      <c r="O2142">
        <v>0</v>
      </c>
      <c r="P2142">
        <v>4</v>
      </c>
      <c r="Q2142">
        <v>0</v>
      </c>
      <c r="R2142">
        <v>43.53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H2142">
        <v>43.53</v>
      </c>
    </row>
    <row r="2143" spans="1:34" x14ac:dyDescent="0.3">
      <c r="A2143" s="4">
        <v>2259</v>
      </c>
      <c r="B2143" s="5">
        <v>2136</v>
      </c>
      <c r="C2143">
        <v>10654</v>
      </c>
      <c r="D2143" t="s">
        <v>22004</v>
      </c>
      <c r="E2143" t="s">
        <v>652</v>
      </c>
      <c r="F2143" t="s">
        <v>117</v>
      </c>
      <c r="G2143" t="s">
        <v>22005</v>
      </c>
      <c r="H2143">
        <v>19.43</v>
      </c>
      <c r="I2143">
        <v>0</v>
      </c>
      <c r="J2143">
        <v>0</v>
      </c>
      <c r="K2143">
        <v>20</v>
      </c>
      <c r="O2143">
        <v>0</v>
      </c>
      <c r="P2143">
        <v>4</v>
      </c>
      <c r="Q2143">
        <v>0</v>
      </c>
      <c r="R2143">
        <v>43.43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H2143">
        <v>43.43</v>
      </c>
    </row>
    <row r="2144" spans="1:34" x14ac:dyDescent="0.3">
      <c r="A2144" s="4">
        <v>2260</v>
      </c>
      <c r="B2144" s="5">
        <v>2137</v>
      </c>
      <c r="C2144">
        <v>4770</v>
      </c>
      <c r="D2144" t="s">
        <v>11178</v>
      </c>
      <c r="E2144" t="s">
        <v>188</v>
      </c>
      <c r="F2144" t="s">
        <v>91</v>
      </c>
      <c r="G2144" t="s">
        <v>22006</v>
      </c>
      <c r="H2144">
        <v>21.35</v>
      </c>
      <c r="I2144">
        <v>0</v>
      </c>
      <c r="J2144">
        <v>0</v>
      </c>
      <c r="K2144">
        <v>0</v>
      </c>
      <c r="N2144">
        <v>3</v>
      </c>
      <c r="O2144">
        <v>3</v>
      </c>
      <c r="P2144">
        <v>4</v>
      </c>
      <c r="Q2144">
        <v>0</v>
      </c>
      <c r="R2144">
        <v>28.35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15</v>
      </c>
      <c r="AC2144">
        <v>0</v>
      </c>
      <c r="AH2144">
        <v>43.35</v>
      </c>
    </row>
    <row r="2145" spans="1:34" x14ac:dyDescent="0.3">
      <c r="A2145" s="4">
        <v>2261</v>
      </c>
      <c r="B2145" s="5">
        <v>2138</v>
      </c>
      <c r="C2145">
        <v>2181</v>
      </c>
      <c r="D2145" t="s">
        <v>22007</v>
      </c>
      <c r="E2145" t="s">
        <v>3130</v>
      </c>
      <c r="F2145" t="s">
        <v>30</v>
      </c>
      <c r="G2145" t="s">
        <v>22008</v>
      </c>
      <c r="H2145">
        <v>19.350000000000001</v>
      </c>
      <c r="I2145">
        <v>0</v>
      </c>
      <c r="J2145">
        <v>0</v>
      </c>
      <c r="K2145">
        <v>20</v>
      </c>
      <c r="O2145">
        <v>0</v>
      </c>
      <c r="P2145">
        <v>4</v>
      </c>
      <c r="Q2145">
        <v>0</v>
      </c>
      <c r="R2145">
        <v>43.35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H2145">
        <v>43.35</v>
      </c>
    </row>
    <row r="2146" spans="1:34" x14ac:dyDescent="0.3">
      <c r="A2146" s="4">
        <v>2262</v>
      </c>
      <c r="B2146" s="5">
        <v>2139</v>
      </c>
      <c r="C2146">
        <v>7094</v>
      </c>
      <c r="D2146" t="s">
        <v>22009</v>
      </c>
      <c r="E2146" t="s">
        <v>652</v>
      </c>
      <c r="F2146" t="s">
        <v>68</v>
      </c>
      <c r="G2146" t="s">
        <v>22010</v>
      </c>
      <c r="H2146">
        <v>16.329999999999998</v>
      </c>
      <c r="I2146">
        <v>0</v>
      </c>
      <c r="J2146">
        <v>0</v>
      </c>
      <c r="K2146">
        <v>20</v>
      </c>
      <c r="N2146">
        <v>3</v>
      </c>
      <c r="O2146">
        <v>3</v>
      </c>
      <c r="P2146">
        <v>4</v>
      </c>
      <c r="Q2146">
        <v>0</v>
      </c>
      <c r="R2146">
        <v>43.33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H2146">
        <v>43.33</v>
      </c>
    </row>
    <row r="2147" spans="1:34" x14ac:dyDescent="0.3">
      <c r="A2147" s="4">
        <v>2263</v>
      </c>
      <c r="B2147" s="5">
        <v>2140</v>
      </c>
      <c r="C2147">
        <v>14825</v>
      </c>
      <c r="D2147" t="s">
        <v>717</v>
      </c>
      <c r="E2147" t="s">
        <v>54</v>
      </c>
      <c r="F2147" t="s">
        <v>117</v>
      </c>
      <c r="G2147" t="s">
        <v>22011</v>
      </c>
      <c r="H2147">
        <v>20.25</v>
      </c>
      <c r="I2147">
        <v>0</v>
      </c>
      <c r="J2147">
        <v>0</v>
      </c>
      <c r="K2147">
        <v>20</v>
      </c>
      <c r="N2147">
        <v>3</v>
      </c>
      <c r="O2147">
        <v>3</v>
      </c>
      <c r="P2147">
        <v>0</v>
      </c>
      <c r="Q2147">
        <v>0</v>
      </c>
      <c r="R2147">
        <v>43.25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H2147">
        <v>43.25</v>
      </c>
    </row>
    <row r="2148" spans="1:34" x14ac:dyDescent="0.3">
      <c r="A2148" s="4">
        <v>2264</v>
      </c>
      <c r="B2148" s="5">
        <v>2141</v>
      </c>
      <c r="C2148">
        <v>15222</v>
      </c>
      <c r="D2148" t="s">
        <v>1097</v>
      </c>
      <c r="E2148" t="s">
        <v>22012</v>
      </c>
      <c r="F2148" t="s">
        <v>190</v>
      </c>
      <c r="G2148" t="s">
        <v>22013</v>
      </c>
      <c r="H2148">
        <v>16.25</v>
      </c>
      <c r="I2148">
        <v>0</v>
      </c>
      <c r="J2148">
        <v>0</v>
      </c>
      <c r="K2148">
        <v>20</v>
      </c>
      <c r="N2148">
        <v>3</v>
      </c>
      <c r="O2148">
        <v>3</v>
      </c>
      <c r="P2148">
        <v>4</v>
      </c>
      <c r="Q2148">
        <v>0</v>
      </c>
      <c r="R2148">
        <v>43.25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H2148">
        <v>43.25</v>
      </c>
    </row>
    <row r="2149" spans="1:34" x14ac:dyDescent="0.3">
      <c r="A2149" s="4">
        <v>2265</v>
      </c>
      <c r="B2149" s="5">
        <v>2142</v>
      </c>
      <c r="C2149">
        <v>13734</v>
      </c>
      <c r="D2149" t="s">
        <v>22014</v>
      </c>
      <c r="E2149" t="s">
        <v>37</v>
      </c>
      <c r="F2149" t="s">
        <v>136</v>
      </c>
      <c r="G2149" t="s">
        <v>22015</v>
      </c>
      <c r="H2149">
        <v>16.25</v>
      </c>
      <c r="I2149">
        <v>0</v>
      </c>
      <c r="J2149">
        <v>0</v>
      </c>
      <c r="K2149">
        <v>20</v>
      </c>
      <c r="L2149">
        <v>7</v>
      </c>
      <c r="O2149">
        <v>7</v>
      </c>
      <c r="P2149">
        <v>0</v>
      </c>
      <c r="Q2149">
        <v>0</v>
      </c>
      <c r="R2149">
        <v>43.25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H2149">
        <v>43.25</v>
      </c>
    </row>
    <row r="2150" spans="1:34" x14ac:dyDescent="0.3">
      <c r="A2150" s="4">
        <v>2266</v>
      </c>
      <c r="B2150" s="5">
        <v>2143</v>
      </c>
      <c r="C2150">
        <v>8629</v>
      </c>
      <c r="D2150" t="s">
        <v>12757</v>
      </c>
      <c r="E2150" t="s">
        <v>97</v>
      </c>
      <c r="F2150" t="s">
        <v>81</v>
      </c>
      <c r="G2150" t="s">
        <v>22016</v>
      </c>
      <c r="H2150">
        <v>16.25</v>
      </c>
      <c r="I2150">
        <v>0</v>
      </c>
      <c r="J2150">
        <v>0</v>
      </c>
      <c r="K2150">
        <v>20</v>
      </c>
      <c r="N2150">
        <v>3</v>
      </c>
      <c r="O2150">
        <v>3</v>
      </c>
      <c r="P2150">
        <v>4</v>
      </c>
      <c r="Q2150">
        <v>0</v>
      </c>
      <c r="R2150">
        <v>43.25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H2150">
        <v>43.25</v>
      </c>
    </row>
    <row r="2151" spans="1:34" x14ac:dyDescent="0.3">
      <c r="A2151" s="4">
        <v>2267</v>
      </c>
      <c r="B2151" s="5">
        <v>2144</v>
      </c>
      <c r="C2151">
        <v>14477</v>
      </c>
      <c r="D2151" t="s">
        <v>1696</v>
      </c>
      <c r="E2151" t="s">
        <v>18207</v>
      </c>
      <c r="F2151" t="s">
        <v>227</v>
      </c>
      <c r="G2151" t="s">
        <v>22017</v>
      </c>
      <c r="H2151">
        <v>16.25</v>
      </c>
      <c r="I2151">
        <v>0</v>
      </c>
      <c r="J2151">
        <v>0</v>
      </c>
      <c r="K2151">
        <v>20</v>
      </c>
      <c r="N2151">
        <v>3</v>
      </c>
      <c r="O2151">
        <v>3</v>
      </c>
      <c r="P2151">
        <v>4</v>
      </c>
      <c r="Q2151">
        <v>0</v>
      </c>
      <c r="R2151">
        <v>43.25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H2151">
        <v>43.25</v>
      </c>
    </row>
    <row r="2152" spans="1:34" x14ac:dyDescent="0.3">
      <c r="A2152" s="4">
        <v>2268</v>
      </c>
      <c r="B2152" s="5">
        <v>2145</v>
      </c>
      <c r="C2152">
        <v>1566</v>
      </c>
      <c r="D2152" t="s">
        <v>22018</v>
      </c>
      <c r="E2152" t="s">
        <v>132</v>
      </c>
      <c r="F2152" t="s">
        <v>20</v>
      </c>
      <c r="G2152" t="s">
        <v>22019</v>
      </c>
      <c r="H2152">
        <v>18.25</v>
      </c>
      <c r="I2152">
        <v>0</v>
      </c>
      <c r="J2152">
        <v>0</v>
      </c>
      <c r="K2152">
        <v>0</v>
      </c>
      <c r="N2152">
        <v>3</v>
      </c>
      <c r="O2152">
        <v>3</v>
      </c>
      <c r="P2152">
        <v>4</v>
      </c>
      <c r="Q2152">
        <v>0</v>
      </c>
      <c r="R2152">
        <v>25.25</v>
      </c>
      <c r="S2152">
        <v>18</v>
      </c>
      <c r="T2152">
        <v>18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18</v>
      </c>
      <c r="AB2152">
        <v>0</v>
      </c>
      <c r="AC2152">
        <v>0</v>
      </c>
      <c r="AH2152">
        <v>43.25</v>
      </c>
    </row>
    <row r="2153" spans="1:34" x14ac:dyDescent="0.3">
      <c r="A2153" s="4">
        <v>2269</v>
      </c>
      <c r="B2153" s="5">
        <v>2146</v>
      </c>
      <c r="C2153">
        <v>14286</v>
      </c>
      <c r="D2153" t="s">
        <v>22020</v>
      </c>
      <c r="E2153" t="s">
        <v>6946</v>
      </c>
      <c r="F2153" t="s">
        <v>17</v>
      </c>
      <c r="G2153" t="s">
        <v>32014</v>
      </c>
      <c r="H2153">
        <v>19.23</v>
      </c>
      <c r="I2153">
        <v>0</v>
      </c>
      <c r="J2153">
        <v>0</v>
      </c>
      <c r="K2153">
        <v>0</v>
      </c>
      <c r="L2153">
        <v>7</v>
      </c>
      <c r="O2153">
        <v>7</v>
      </c>
      <c r="P2153">
        <v>4</v>
      </c>
      <c r="Q2153">
        <v>2</v>
      </c>
      <c r="R2153">
        <v>32.229999999999997</v>
      </c>
      <c r="S2153">
        <v>8</v>
      </c>
      <c r="T2153">
        <v>8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8</v>
      </c>
      <c r="AB2153">
        <v>3</v>
      </c>
      <c r="AC2153">
        <v>0</v>
      </c>
      <c r="AH2153">
        <v>43.23</v>
      </c>
    </row>
    <row r="2154" spans="1:34" x14ac:dyDescent="0.3">
      <c r="A2154" s="4">
        <v>2270</v>
      </c>
      <c r="B2154" s="5">
        <v>2147</v>
      </c>
      <c r="C2154">
        <v>3194</v>
      </c>
      <c r="D2154" t="s">
        <v>22021</v>
      </c>
      <c r="E2154" t="s">
        <v>124</v>
      </c>
      <c r="F2154" t="s">
        <v>79</v>
      </c>
      <c r="G2154" t="s">
        <v>22022</v>
      </c>
      <c r="H2154">
        <v>19.2</v>
      </c>
      <c r="I2154">
        <v>0</v>
      </c>
      <c r="J2154">
        <v>0</v>
      </c>
      <c r="K2154">
        <v>20</v>
      </c>
      <c r="O2154">
        <v>0</v>
      </c>
      <c r="P2154">
        <v>4</v>
      </c>
      <c r="Q2154">
        <v>0</v>
      </c>
      <c r="R2154">
        <v>43.2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H2154">
        <v>43.2</v>
      </c>
    </row>
    <row r="2155" spans="1:34" x14ac:dyDescent="0.3">
      <c r="A2155" s="4">
        <v>2271</v>
      </c>
      <c r="B2155" s="5">
        <v>2148</v>
      </c>
      <c r="C2155">
        <v>7330</v>
      </c>
      <c r="D2155" t="s">
        <v>22023</v>
      </c>
      <c r="E2155" t="s">
        <v>188</v>
      </c>
      <c r="F2155" t="s">
        <v>136</v>
      </c>
      <c r="G2155" t="s">
        <v>22024</v>
      </c>
      <c r="H2155">
        <v>19.2</v>
      </c>
      <c r="I2155">
        <v>0</v>
      </c>
      <c r="J2155">
        <v>0</v>
      </c>
      <c r="K2155">
        <v>20</v>
      </c>
      <c r="O2155">
        <v>0</v>
      </c>
      <c r="P2155">
        <v>4</v>
      </c>
      <c r="Q2155">
        <v>0</v>
      </c>
      <c r="R2155">
        <v>43.2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H2155">
        <v>43.2</v>
      </c>
    </row>
    <row r="2156" spans="1:34" x14ac:dyDescent="0.3">
      <c r="A2156" s="4">
        <v>2272</v>
      </c>
      <c r="B2156" s="5">
        <v>2149</v>
      </c>
      <c r="C2156">
        <v>12219</v>
      </c>
      <c r="D2156" t="s">
        <v>5008</v>
      </c>
      <c r="E2156" t="s">
        <v>41</v>
      </c>
      <c r="F2156" t="s">
        <v>30</v>
      </c>
      <c r="G2156" t="s">
        <v>22025</v>
      </c>
      <c r="H2156">
        <v>19.149999999999999</v>
      </c>
      <c r="I2156">
        <v>0</v>
      </c>
      <c r="J2156">
        <v>0</v>
      </c>
      <c r="K2156">
        <v>0</v>
      </c>
      <c r="N2156">
        <v>6</v>
      </c>
      <c r="O2156">
        <v>6</v>
      </c>
      <c r="P2156">
        <v>4</v>
      </c>
      <c r="Q2156">
        <v>0</v>
      </c>
      <c r="R2156">
        <v>29.15</v>
      </c>
      <c r="S2156">
        <v>14</v>
      </c>
      <c r="T2156">
        <v>14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14</v>
      </c>
      <c r="AB2156">
        <v>0</v>
      </c>
      <c r="AC2156">
        <v>0</v>
      </c>
      <c r="AH2156">
        <v>43.15</v>
      </c>
    </row>
    <row r="2157" spans="1:34" x14ac:dyDescent="0.3">
      <c r="A2157" s="4">
        <v>2273</v>
      </c>
      <c r="B2157" s="5">
        <v>2150</v>
      </c>
      <c r="C2157">
        <v>10831</v>
      </c>
      <c r="D2157" t="s">
        <v>22026</v>
      </c>
      <c r="E2157" t="s">
        <v>182</v>
      </c>
      <c r="F2157" t="s">
        <v>17</v>
      </c>
      <c r="G2157" t="s">
        <v>22027</v>
      </c>
      <c r="H2157">
        <v>17.079999999999998</v>
      </c>
      <c r="I2157">
        <v>0</v>
      </c>
      <c r="J2157">
        <v>0</v>
      </c>
      <c r="K2157">
        <v>0</v>
      </c>
      <c r="N2157">
        <v>3</v>
      </c>
      <c r="O2157">
        <v>3</v>
      </c>
      <c r="P2157">
        <v>4</v>
      </c>
      <c r="Q2157">
        <v>2</v>
      </c>
      <c r="R2157">
        <v>26.08</v>
      </c>
      <c r="S2157">
        <v>17</v>
      </c>
      <c r="T2157">
        <v>17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17</v>
      </c>
      <c r="AB2157">
        <v>0</v>
      </c>
      <c r="AC2157">
        <v>0</v>
      </c>
      <c r="AH2157">
        <v>43.08</v>
      </c>
    </row>
    <row r="2158" spans="1:34" x14ac:dyDescent="0.3">
      <c r="A2158" s="4">
        <v>2274</v>
      </c>
      <c r="B2158" s="5">
        <v>2151</v>
      </c>
      <c r="C2158">
        <v>2622</v>
      </c>
      <c r="D2158" t="s">
        <v>22028</v>
      </c>
      <c r="E2158" t="s">
        <v>550</v>
      </c>
      <c r="F2158" t="s">
        <v>136</v>
      </c>
      <c r="G2158" t="s">
        <v>22029</v>
      </c>
      <c r="H2158">
        <v>18.05</v>
      </c>
      <c r="I2158">
        <v>0</v>
      </c>
      <c r="J2158">
        <v>0</v>
      </c>
      <c r="K2158">
        <v>0</v>
      </c>
      <c r="L2158">
        <v>7</v>
      </c>
      <c r="O2158">
        <v>7</v>
      </c>
      <c r="P2158">
        <v>4</v>
      </c>
      <c r="Q2158">
        <v>0</v>
      </c>
      <c r="R2158">
        <v>29.05</v>
      </c>
      <c r="S2158">
        <v>8</v>
      </c>
      <c r="T2158">
        <v>8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8</v>
      </c>
      <c r="AB2158">
        <v>6</v>
      </c>
      <c r="AC2158">
        <v>0</v>
      </c>
      <c r="AH2158">
        <v>43.05</v>
      </c>
    </row>
    <row r="2159" spans="1:34" x14ac:dyDescent="0.3">
      <c r="A2159" s="4">
        <v>2275</v>
      </c>
      <c r="B2159" s="5">
        <v>2152</v>
      </c>
      <c r="C2159">
        <v>14778</v>
      </c>
      <c r="D2159" t="s">
        <v>9676</v>
      </c>
      <c r="E2159" t="s">
        <v>33</v>
      </c>
      <c r="F2159" t="s">
        <v>136</v>
      </c>
      <c r="G2159" t="s">
        <v>22030</v>
      </c>
      <c r="H2159">
        <v>19.03</v>
      </c>
      <c r="I2159">
        <v>0</v>
      </c>
      <c r="J2159">
        <v>0</v>
      </c>
      <c r="K2159">
        <v>20</v>
      </c>
      <c r="O2159">
        <v>0</v>
      </c>
      <c r="P2159">
        <v>4</v>
      </c>
      <c r="Q2159">
        <v>0</v>
      </c>
      <c r="R2159">
        <v>43.03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H2159">
        <v>43.03</v>
      </c>
    </row>
    <row r="2160" spans="1:34" x14ac:dyDescent="0.3">
      <c r="A2160" s="4">
        <v>2276</v>
      </c>
      <c r="B2160" s="5">
        <v>2153</v>
      </c>
      <c r="C2160">
        <v>12511</v>
      </c>
      <c r="D2160" t="s">
        <v>22031</v>
      </c>
      <c r="E2160" t="s">
        <v>789</v>
      </c>
      <c r="F2160" t="s">
        <v>158</v>
      </c>
      <c r="G2160" t="s">
        <v>22032</v>
      </c>
      <c r="H2160">
        <v>19.03</v>
      </c>
      <c r="I2160">
        <v>0</v>
      </c>
      <c r="J2160">
        <v>0</v>
      </c>
      <c r="K2160">
        <v>20</v>
      </c>
      <c r="O2160">
        <v>0</v>
      </c>
      <c r="P2160">
        <v>4</v>
      </c>
      <c r="Q2160">
        <v>0</v>
      </c>
      <c r="R2160">
        <v>43.03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H2160">
        <v>43.03</v>
      </c>
    </row>
    <row r="2161" spans="1:34" x14ac:dyDescent="0.3">
      <c r="A2161" s="4">
        <v>2277</v>
      </c>
      <c r="B2161" s="5">
        <v>2154</v>
      </c>
      <c r="C2161">
        <v>1829</v>
      </c>
      <c r="D2161" t="s">
        <v>22033</v>
      </c>
      <c r="E2161" t="s">
        <v>22034</v>
      </c>
      <c r="F2161" t="s">
        <v>38</v>
      </c>
      <c r="G2161" t="s">
        <v>22035</v>
      </c>
      <c r="H2161">
        <v>19</v>
      </c>
      <c r="I2161">
        <v>0</v>
      </c>
      <c r="J2161">
        <v>0</v>
      </c>
      <c r="K2161">
        <v>0</v>
      </c>
      <c r="L2161">
        <v>7</v>
      </c>
      <c r="O2161">
        <v>7</v>
      </c>
      <c r="P2161">
        <v>4</v>
      </c>
      <c r="Q2161">
        <v>2</v>
      </c>
      <c r="R2161">
        <v>32</v>
      </c>
      <c r="S2161">
        <v>11</v>
      </c>
      <c r="T2161">
        <v>11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11</v>
      </c>
      <c r="AB2161">
        <v>0</v>
      </c>
      <c r="AC2161">
        <v>0</v>
      </c>
      <c r="AH2161">
        <v>43</v>
      </c>
    </row>
    <row r="2162" spans="1:34" x14ac:dyDescent="0.3">
      <c r="A2162" s="4">
        <v>2278</v>
      </c>
      <c r="B2162" s="5">
        <v>2155</v>
      </c>
      <c r="C2162">
        <v>3154</v>
      </c>
      <c r="D2162" t="s">
        <v>5378</v>
      </c>
      <c r="E2162" t="s">
        <v>2237</v>
      </c>
      <c r="F2162" t="s">
        <v>38</v>
      </c>
      <c r="G2162" t="s">
        <v>22036</v>
      </c>
      <c r="H2162">
        <v>18.95</v>
      </c>
      <c r="I2162">
        <v>0</v>
      </c>
      <c r="J2162">
        <v>0</v>
      </c>
      <c r="K2162">
        <v>0</v>
      </c>
      <c r="N2162">
        <v>3</v>
      </c>
      <c r="O2162">
        <v>3</v>
      </c>
      <c r="P2162">
        <v>4</v>
      </c>
      <c r="Q2162">
        <v>0</v>
      </c>
      <c r="R2162">
        <v>25.95</v>
      </c>
      <c r="S2162">
        <v>17</v>
      </c>
      <c r="T2162">
        <v>17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17</v>
      </c>
      <c r="AB2162">
        <v>0</v>
      </c>
      <c r="AC2162">
        <v>0</v>
      </c>
      <c r="AH2162">
        <v>42.95</v>
      </c>
    </row>
    <row r="2163" spans="1:34" x14ac:dyDescent="0.3">
      <c r="A2163" s="4">
        <v>2279</v>
      </c>
      <c r="B2163" s="5">
        <v>2156</v>
      </c>
      <c r="C2163">
        <v>719</v>
      </c>
      <c r="D2163" t="s">
        <v>16625</v>
      </c>
      <c r="E2163" t="s">
        <v>149</v>
      </c>
      <c r="F2163" t="s">
        <v>30</v>
      </c>
      <c r="G2163" t="s">
        <v>22037</v>
      </c>
      <c r="H2163">
        <v>18.88</v>
      </c>
      <c r="I2163">
        <v>0</v>
      </c>
      <c r="J2163">
        <v>0</v>
      </c>
      <c r="K2163">
        <v>20</v>
      </c>
      <c r="O2163">
        <v>0</v>
      </c>
      <c r="P2163">
        <v>4</v>
      </c>
      <c r="Q2163">
        <v>0</v>
      </c>
      <c r="R2163">
        <v>42.88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H2163">
        <v>42.88</v>
      </c>
    </row>
    <row r="2164" spans="1:34" x14ac:dyDescent="0.3">
      <c r="A2164" s="4">
        <v>2280</v>
      </c>
      <c r="B2164" s="5">
        <v>2157</v>
      </c>
      <c r="C2164">
        <v>13730</v>
      </c>
      <c r="D2164" t="s">
        <v>22038</v>
      </c>
      <c r="E2164" t="s">
        <v>29</v>
      </c>
      <c r="F2164" t="s">
        <v>243</v>
      </c>
      <c r="G2164" t="s">
        <v>22039</v>
      </c>
      <c r="H2164">
        <v>17.88</v>
      </c>
      <c r="I2164">
        <v>0</v>
      </c>
      <c r="J2164">
        <v>0</v>
      </c>
      <c r="K2164">
        <v>20</v>
      </c>
      <c r="N2164">
        <v>3</v>
      </c>
      <c r="O2164">
        <v>3</v>
      </c>
      <c r="P2164">
        <v>0</v>
      </c>
      <c r="Q2164">
        <v>2</v>
      </c>
      <c r="R2164">
        <v>42.88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H2164">
        <v>42.88</v>
      </c>
    </row>
    <row r="2165" spans="1:34" x14ac:dyDescent="0.3">
      <c r="A2165" s="4">
        <v>2281</v>
      </c>
      <c r="B2165" s="5">
        <v>2158</v>
      </c>
      <c r="C2165">
        <v>7903</v>
      </c>
      <c r="D2165" t="s">
        <v>22040</v>
      </c>
      <c r="E2165" t="s">
        <v>136</v>
      </c>
      <c r="F2165" t="s">
        <v>68</v>
      </c>
      <c r="G2165" t="s">
        <v>22041</v>
      </c>
      <c r="H2165">
        <v>17.829999999999998</v>
      </c>
      <c r="I2165">
        <v>0</v>
      </c>
      <c r="J2165">
        <v>0</v>
      </c>
      <c r="K2165">
        <v>0</v>
      </c>
      <c r="N2165">
        <v>3</v>
      </c>
      <c r="O2165">
        <v>3</v>
      </c>
      <c r="P2165">
        <v>4</v>
      </c>
      <c r="Q2165">
        <v>0</v>
      </c>
      <c r="R2165">
        <v>24.83</v>
      </c>
      <c r="S2165">
        <v>18</v>
      </c>
      <c r="T2165">
        <v>18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18</v>
      </c>
      <c r="AB2165">
        <v>0</v>
      </c>
      <c r="AC2165">
        <v>0</v>
      </c>
      <c r="AH2165">
        <v>42.83</v>
      </c>
    </row>
    <row r="2166" spans="1:34" x14ac:dyDescent="0.3">
      <c r="A2166" s="4">
        <v>2282</v>
      </c>
      <c r="B2166" s="5">
        <v>2159</v>
      </c>
      <c r="C2166">
        <v>3427</v>
      </c>
      <c r="D2166" t="s">
        <v>181</v>
      </c>
      <c r="E2166" t="s">
        <v>1053</v>
      </c>
      <c r="F2166" t="s">
        <v>34</v>
      </c>
      <c r="G2166" t="s">
        <v>22042</v>
      </c>
      <c r="H2166">
        <v>21.73</v>
      </c>
      <c r="I2166">
        <v>7</v>
      </c>
      <c r="J2166">
        <v>0</v>
      </c>
      <c r="K2166">
        <v>0</v>
      </c>
      <c r="L2166">
        <v>7</v>
      </c>
      <c r="O2166">
        <v>7</v>
      </c>
      <c r="P2166">
        <v>4</v>
      </c>
      <c r="Q2166">
        <v>0</v>
      </c>
      <c r="R2166">
        <v>39.729999999999997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3</v>
      </c>
      <c r="AC2166">
        <v>0</v>
      </c>
      <c r="AH2166">
        <v>42.73</v>
      </c>
    </row>
    <row r="2167" spans="1:34" x14ac:dyDescent="0.3">
      <c r="A2167" s="4">
        <v>2283</v>
      </c>
      <c r="B2167" s="5">
        <v>2160</v>
      </c>
      <c r="C2167">
        <v>12073</v>
      </c>
      <c r="D2167" t="s">
        <v>22043</v>
      </c>
      <c r="E2167" t="s">
        <v>789</v>
      </c>
      <c r="F2167" t="s">
        <v>22044</v>
      </c>
      <c r="G2167" t="s">
        <v>22045</v>
      </c>
      <c r="H2167">
        <v>16.7</v>
      </c>
      <c r="I2167">
        <v>0</v>
      </c>
      <c r="J2167">
        <v>0</v>
      </c>
      <c r="K2167">
        <v>20</v>
      </c>
      <c r="N2167">
        <v>3</v>
      </c>
      <c r="O2167">
        <v>3</v>
      </c>
      <c r="P2167">
        <v>0</v>
      </c>
      <c r="Q2167">
        <v>0</v>
      </c>
      <c r="R2167">
        <v>39.700000000000003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3</v>
      </c>
      <c r="AC2167">
        <v>0</v>
      </c>
      <c r="AH2167">
        <v>42.7</v>
      </c>
    </row>
    <row r="2168" spans="1:34" x14ac:dyDescent="0.3">
      <c r="A2168" s="4">
        <v>2284</v>
      </c>
      <c r="B2168" s="5">
        <v>2161</v>
      </c>
      <c r="C2168">
        <v>6370</v>
      </c>
      <c r="D2168" t="s">
        <v>22046</v>
      </c>
      <c r="E2168" t="s">
        <v>26</v>
      </c>
      <c r="F2168" t="s">
        <v>68</v>
      </c>
      <c r="G2168" t="s">
        <v>22047</v>
      </c>
      <c r="H2168">
        <v>18.7</v>
      </c>
      <c r="I2168">
        <v>0</v>
      </c>
      <c r="J2168">
        <v>0</v>
      </c>
      <c r="K2168">
        <v>20</v>
      </c>
      <c r="O2168">
        <v>0</v>
      </c>
      <c r="P2168">
        <v>4</v>
      </c>
      <c r="Q2168">
        <v>0</v>
      </c>
      <c r="R2168">
        <v>42.7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H2168">
        <v>42.7</v>
      </c>
    </row>
    <row r="2169" spans="1:34" x14ac:dyDescent="0.3">
      <c r="A2169" s="4">
        <v>2285</v>
      </c>
      <c r="B2169" s="5">
        <v>2162</v>
      </c>
      <c r="C2169">
        <v>523</v>
      </c>
      <c r="D2169" t="s">
        <v>4536</v>
      </c>
      <c r="E2169" t="s">
        <v>26</v>
      </c>
      <c r="F2169" t="s">
        <v>38</v>
      </c>
      <c r="G2169" t="s">
        <v>22048</v>
      </c>
      <c r="H2169">
        <v>19.63</v>
      </c>
      <c r="I2169">
        <v>0</v>
      </c>
      <c r="J2169">
        <v>0</v>
      </c>
      <c r="K2169">
        <v>0</v>
      </c>
      <c r="N2169">
        <v>3</v>
      </c>
      <c r="O2169">
        <v>3</v>
      </c>
      <c r="P2169">
        <v>4</v>
      </c>
      <c r="Q2169">
        <v>0</v>
      </c>
      <c r="R2169">
        <v>26.63</v>
      </c>
      <c r="S2169">
        <v>16</v>
      </c>
      <c r="T2169">
        <v>16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16</v>
      </c>
      <c r="AB2169">
        <v>0</v>
      </c>
      <c r="AC2169">
        <v>0</v>
      </c>
      <c r="AH2169">
        <v>42.63</v>
      </c>
    </row>
    <row r="2170" spans="1:34" x14ac:dyDescent="0.3">
      <c r="A2170" s="4">
        <v>2286</v>
      </c>
      <c r="B2170" s="5">
        <v>2163</v>
      </c>
      <c r="C2170">
        <v>10491</v>
      </c>
      <c r="D2170" t="s">
        <v>22049</v>
      </c>
      <c r="E2170" t="s">
        <v>20</v>
      </c>
      <c r="F2170" t="s">
        <v>17</v>
      </c>
      <c r="G2170" t="s">
        <v>22050</v>
      </c>
      <c r="H2170">
        <v>15.58</v>
      </c>
      <c r="I2170">
        <v>0</v>
      </c>
      <c r="J2170">
        <v>0</v>
      </c>
      <c r="K2170">
        <v>0</v>
      </c>
      <c r="N2170">
        <v>3</v>
      </c>
      <c r="O2170">
        <v>3</v>
      </c>
      <c r="P2170">
        <v>4</v>
      </c>
      <c r="Q2170">
        <v>0</v>
      </c>
      <c r="R2170">
        <v>22.58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20</v>
      </c>
      <c r="AH2170">
        <v>42.58</v>
      </c>
    </row>
    <row r="2171" spans="1:34" x14ac:dyDescent="0.3">
      <c r="A2171" s="4">
        <v>2287</v>
      </c>
      <c r="B2171" s="5">
        <v>2164</v>
      </c>
      <c r="C2171">
        <v>7583</v>
      </c>
      <c r="D2171" t="s">
        <v>22051</v>
      </c>
      <c r="E2171" t="s">
        <v>1716</v>
      </c>
      <c r="F2171" t="s">
        <v>17</v>
      </c>
      <c r="G2171" t="s">
        <v>22052</v>
      </c>
      <c r="H2171">
        <v>18.55</v>
      </c>
      <c r="I2171">
        <v>0</v>
      </c>
      <c r="J2171">
        <v>0</v>
      </c>
      <c r="K2171">
        <v>20</v>
      </c>
      <c r="O2171">
        <v>0</v>
      </c>
      <c r="P2171">
        <v>4</v>
      </c>
      <c r="Q2171">
        <v>0</v>
      </c>
      <c r="R2171">
        <v>42.55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H2171">
        <v>42.55</v>
      </c>
    </row>
    <row r="2172" spans="1:34" x14ac:dyDescent="0.3">
      <c r="A2172" s="4">
        <v>2288</v>
      </c>
      <c r="B2172" s="5">
        <v>2165</v>
      </c>
      <c r="C2172">
        <v>63</v>
      </c>
      <c r="D2172" t="s">
        <v>12632</v>
      </c>
      <c r="E2172" t="s">
        <v>29</v>
      </c>
      <c r="F2172" t="s">
        <v>55</v>
      </c>
      <c r="G2172" t="s">
        <v>22053</v>
      </c>
      <c r="H2172">
        <v>12.5</v>
      </c>
      <c r="I2172">
        <v>0</v>
      </c>
      <c r="J2172">
        <v>0</v>
      </c>
      <c r="K2172">
        <v>20</v>
      </c>
      <c r="N2172">
        <v>6</v>
      </c>
      <c r="O2172">
        <v>6</v>
      </c>
      <c r="P2172">
        <v>4</v>
      </c>
      <c r="Q2172">
        <v>0</v>
      </c>
      <c r="R2172">
        <v>42.5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H2172">
        <v>42.5</v>
      </c>
    </row>
    <row r="2173" spans="1:34" x14ac:dyDescent="0.3">
      <c r="A2173" s="4">
        <v>2289</v>
      </c>
      <c r="B2173" s="5">
        <v>2166</v>
      </c>
      <c r="C2173">
        <v>9082</v>
      </c>
      <c r="D2173" t="s">
        <v>22054</v>
      </c>
      <c r="E2173" t="s">
        <v>1508</v>
      </c>
      <c r="F2173" t="s">
        <v>117</v>
      </c>
      <c r="G2173" t="s">
        <v>22055</v>
      </c>
      <c r="H2173">
        <v>17.5</v>
      </c>
      <c r="I2173">
        <v>0</v>
      </c>
      <c r="J2173">
        <v>0</v>
      </c>
      <c r="K2173">
        <v>0</v>
      </c>
      <c r="N2173">
        <v>3</v>
      </c>
      <c r="O2173">
        <v>3</v>
      </c>
      <c r="P2173">
        <v>4</v>
      </c>
      <c r="Q2173">
        <v>0</v>
      </c>
      <c r="R2173">
        <v>24.5</v>
      </c>
      <c r="S2173">
        <v>18</v>
      </c>
      <c r="T2173">
        <v>18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18</v>
      </c>
      <c r="AB2173">
        <v>0</v>
      </c>
      <c r="AC2173">
        <v>0</v>
      </c>
      <c r="AH2173">
        <v>42.5</v>
      </c>
    </row>
    <row r="2174" spans="1:34" x14ac:dyDescent="0.3">
      <c r="A2174" s="4">
        <v>2290</v>
      </c>
      <c r="B2174" s="5">
        <v>2167</v>
      </c>
      <c r="C2174">
        <v>4509</v>
      </c>
      <c r="D2174" t="s">
        <v>1447</v>
      </c>
      <c r="E2174" t="s">
        <v>789</v>
      </c>
      <c r="F2174" t="s">
        <v>167</v>
      </c>
      <c r="G2174" t="s">
        <v>22056</v>
      </c>
      <c r="H2174">
        <v>18.48</v>
      </c>
      <c r="I2174">
        <v>0</v>
      </c>
      <c r="J2174">
        <v>0</v>
      </c>
      <c r="K2174">
        <v>20</v>
      </c>
      <c r="O2174">
        <v>0</v>
      </c>
      <c r="P2174">
        <v>4</v>
      </c>
      <c r="Q2174">
        <v>0</v>
      </c>
      <c r="R2174">
        <v>42.48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H2174">
        <v>42.48</v>
      </c>
    </row>
    <row r="2175" spans="1:34" x14ac:dyDescent="0.3">
      <c r="A2175" s="4">
        <v>2291</v>
      </c>
      <c r="B2175" s="5">
        <v>2168</v>
      </c>
      <c r="C2175">
        <v>3999</v>
      </c>
      <c r="D2175" t="s">
        <v>22057</v>
      </c>
      <c r="E2175" t="s">
        <v>2122</v>
      </c>
      <c r="F2175" t="s">
        <v>17</v>
      </c>
      <c r="G2175" t="s">
        <v>22058</v>
      </c>
      <c r="H2175">
        <v>16.350000000000001</v>
      </c>
      <c r="I2175">
        <v>0</v>
      </c>
      <c r="J2175">
        <v>0</v>
      </c>
      <c r="K2175">
        <v>0</v>
      </c>
      <c r="O2175">
        <v>0</v>
      </c>
      <c r="P2175">
        <v>4</v>
      </c>
      <c r="Q2175">
        <v>0</v>
      </c>
      <c r="R2175">
        <v>20.350000000000001</v>
      </c>
      <c r="S2175">
        <v>16</v>
      </c>
      <c r="T2175">
        <v>16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16</v>
      </c>
      <c r="AB2175">
        <v>6</v>
      </c>
      <c r="AC2175">
        <v>0</v>
      </c>
      <c r="AH2175">
        <v>42.35</v>
      </c>
    </row>
    <row r="2176" spans="1:34" x14ac:dyDescent="0.3">
      <c r="A2176" s="4">
        <v>2292</v>
      </c>
      <c r="B2176" s="5">
        <v>2169</v>
      </c>
      <c r="C2176">
        <v>3861</v>
      </c>
      <c r="D2176" t="s">
        <v>241</v>
      </c>
      <c r="E2176" t="s">
        <v>22059</v>
      </c>
      <c r="F2176" t="s">
        <v>1593</v>
      </c>
      <c r="G2176" t="s">
        <v>22060</v>
      </c>
      <c r="H2176">
        <v>19.25</v>
      </c>
      <c r="I2176">
        <v>0</v>
      </c>
      <c r="J2176">
        <v>0</v>
      </c>
      <c r="K2176">
        <v>0</v>
      </c>
      <c r="N2176">
        <v>3</v>
      </c>
      <c r="O2176">
        <v>3</v>
      </c>
      <c r="P2176">
        <v>4</v>
      </c>
      <c r="Q2176">
        <v>0</v>
      </c>
      <c r="R2176">
        <v>26.25</v>
      </c>
      <c r="S2176">
        <v>16</v>
      </c>
      <c r="T2176">
        <v>16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16</v>
      </c>
      <c r="AB2176">
        <v>0</v>
      </c>
      <c r="AC2176">
        <v>0</v>
      </c>
      <c r="AH2176">
        <v>42.25</v>
      </c>
    </row>
    <row r="2177" spans="1:34" x14ac:dyDescent="0.3">
      <c r="A2177" s="4">
        <v>2293</v>
      </c>
      <c r="B2177" s="5">
        <v>2170</v>
      </c>
      <c r="C2177">
        <v>2199</v>
      </c>
      <c r="D2177" t="s">
        <v>22061</v>
      </c>
      <c r="E2177" t="s">
        <v>29</v>
      </c>
      <c r="F2177" t="s">
        <v>17</v>
      </c>
      <c r="G2177" t="s">
        <v>22062</v>
      </c>
      <c r="H2177">
        <v>18.2</v>
      </c>
      <c r="I2177">
        <v>0</v>
      </c>
      <c r="J2177">
        <v>0</v>
      </c>
      <c r="K2177">
        <v>0</v>
      </c>
      <c r="O2177">
        <v>0</v>
      </c>
      <c r="P2177">
        <v>4</v>
      </c>
      <c r="Q2177">
        <v>2</v>
      </c>
      <c r="R2177">
        <v>24.2</v>
      </c>
      <c r="S2177">
        <v>18</v>
      </c>
      <c r="T2177">
        <v>18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18</v>
      </c>
      <c r="AB2177">
        <v>0</v>
      </c>
      <c r="AC2177">
        <v>0</v>
      </c>
      <c r="AH2177">
        <v>42.2</v>
      </c>
    </row>
    <row r="2178" spans="1:34" x14ac:dyDescent="0.3">
      <c r="A2178" s="4">
        <v>2294</v>
      </c>
      <c r="B2178" s="5">
        <v>2171</v>
      </c>
      <c r="C2178">
        <v>8695</v>
      </c>
      <c r="D2178" t="s">
        <v>22063</v>
      </c>
      <c r="E2178" t="s">
        <v>117</v>
      </c>
      <c r="F2178" t="s">
        <v>68</v>
      </c>
      <c r="G2178" t="s">
        <v>22064</v>
      </c>
      <c r="H2178">
        <v>18.18</v>
      </c>
      <c r="I2178">
        <v>0</v>
      </c>
      <c r="J2178">
        <v>0</v>
      </c>
      <c r="K2178">
        <v>0</v>
      </c>
      <c r="N2178">
        <v>3</v>
      </c>
      <c r="O2178">
        <v>3</v>
      </c>
      <c r="P2178">
        <v>4</v>
      </c>
      <c r="Q2178">
        <v>2</v>
      </c>
      <c r="R2178">
        <v>27.18</v>
      </c>
      <c r="S2178">
        <v>15</v>
      </c>
      <c r="T2178">
        <v>15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15</v>
      </c>
      <c r="AB2178">
        <v>0</v>
      </c>
      <c r="AC2178">
        <v>0</v>
      </c>
      <c r="AH2178">
        <v>42.18</v>
      </c>
    </row>
    <row r="2179" spans="1:34" x14ac:dyDescent="0.3">
      <c r="A2179" s="4">
        <v>2295</v>
      </c>
      <c r="B2179" s="5">
        <v>2172</v>
      </c>
      <c r="C2179">
        <v>12602</v>
      </c>
      <c r="D2179" t="s">
        <v>22065</v>
      </c>
      <c r="E2179" t="s">
        <v>563</v>
      </c>
      <c r="F2179" t="s">
        <v>17</v>
      </c>
      <c r="G2179" t="s">
        <v>22066</v>
      </c>
      <c r="H2179">
        <v>18.079999999999998</v>
      </c>
      <c r="I2179">
        <v>0</v>
      </c>
      <c r="J2179">
        <v>0</v>
      </c>
      <c r="K2179">
        <v>0</v>
      </c>
      <c r="O2179">
        <v>0</v>
      </c>
      <c r="P2179">
        <v>4</v>
      </c>
      <c r="Q2179">
        <v>0</v>
      </c>
      <c r="R2179">
        <v>22.08</v>
      </c>
      <c r="S2179">
        <v>20</v>
      </c>
      <c r="T2179">
        <v>20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20</v>
      </c>
      <c r="AB2179">
        <v>0</v>
      </c>
      <c r="AC2179">
        <v>0</v>
      </c>
      <c r="AH2179">
        <v>42.08</v>
      </c>
    </row>
    <row r="2180" spans="1:34" x14ac:dyDescent="0.3">
      <c r="A2180" s="4">
        <v>2296</v>
      </c>
      <c r="B2180" s="5">
        <v>2173</v>
      </c>
      <c r="C2180">
        <v>5183</v>
      </c>
      <c r="D2180" t="s">
        <v>22067</v>
      </c>
      <c r="E2180" t="s">
        <v>88</v>
      </c>
      <c r="F2180" t="s">
        <v>328</v>
      </c>
      <c r="G2180" t="s">
        <v>22068</v>
      </c>
      <c r="H2180">
        <v>19</v>
      </c>
      <c r="I2180">
        <v>0</v>
      </c>
      <c r="J2180">
        <v>0</v>
      </c>
      <c r="K2180">
        <v>20</v>
      </c>
      <c r="O2180">
        <v>0</v>
      </c>
      <c r="P2180">
        <v>0</v>
      </c>
      <c r="Q2180">
        <v>0</v>
      </c>
      <c r="R2180">
        <v>39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3</v>
      </c>
      <c r="AC2180">
        <v>0</v>
      </c>
      <c r="AH2180">
        <v>42</v>
      </c>
    </row>
    <row r="2181" spans="1:34" x14ac:dyDescent="0.3">
      <c r="A2181" s="4">
        <v>2297</v>
      </c>
      <c r="B2181" s="5">
        <v>2174</v>
      </c>
      <c r="C2181">
        <v>9646</v>
      </c>
      <c r="D2181" t="s">
        <v>3340</v>
      </c>
      <c r="E2181" t="s">
        <v>37</v>
      </c>
      <c r="F2181" t="s">
        <v>81</v>
      </c>
      <c r="G2181" t="s">
        <v>22069</v>
      </c>
      <c r="H2181">
        <v>18.850000000000001</v>
      </c>
      <c r="I2181">
        <v>0</v>
      </c>
      <c r="J2181">
        <v>0</v>
      </c>
      <c r="K2181">
        <v>20</v>
      </c>
      <c r="N2181">
        <v>3</v>
      </c>
      <c r="O2181">
        <v>3</v>
      </c>
      <c r="P2181">
        <v>0</v>
      </c>
      <c r="Q2181">
        <v>0</v>
      </c>
      <c r="R2181">
        <v>41.85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H2181">
        <v>41.85</v>
      </c>
    </row>
    <row r="2182" spans="1:34" x14ac:dyDescent="0.3">
      <c r="A2182" s="4">
        <v>2298</v>
      </c>
      <c r="B2182" s="5">
        <v>2175</v>
      </c>
      <c r="C2182">
        <v>7196</v>
      </c>
      <c r="D2182" t="s">
        <v>22070</v>
      </c>
      <c r="E2182" t="s">
        <v>33</v>
      </c>
      <c r="F2182" t="s">
        <v>1023</v>
      </c>
      <c r="G2182" t="s">
        <v>22071</v>
      </c>
      <c r="H2182">
        <v>17.78</v>
      </c>
      <c r="I2182">
        <v>0</v>
      </c>
      <c r="J2182">
        <v>0</v>
      </c>
      <c r="K2182">
        <v>0</v>
      </c>
      <c r="L2182">
        <v>7</v>
      </c>
      <c r="O2182">
        <v>7</v>
      </c>
      <c r="P2182">
        <v>4</v>
      </c>
      <c r="Q2182">
        <v>2</v>
      </c>
      <c r="R2182">
        <v>30.78</v>
      </c>
      <c r="S2182">
        <v>11</v>
      </c>
      <c r="T2182">
        <v>11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11</v>
      </c>
      <c r="AB2182">
        <v>0</v>
      </c>
      <c r="AC2182">
        <v>0</v>
      </c>
      <c r="AH2182">
        <v>41.78</v>
      </c>
    </row>
    <row r="2183" spans="1:34" x14ac:dyDescent="0.3">
      <c r="A2183" s="4">
        <v>2299</v>
      </c>
      <c r="B2183" s="5">
        <v>2176</v>
      </c>
      <c r="C2183">
        <v>3701</v>
      </c>
      <c r="D2183" t="s">
        <v>22072</v>
      </c>
      <c r="E2183" t="s">
        <v>136</v>
      </c>
      <c r="F2183" t="s">
        <v>782</v>
      </c>
      <c r="G2183" t="s">
        <v>22073</v>
      </c>
      <c r="H2183">
        <v>17.5</v>
      </c>
      <c r="I2183">
        <v>0</v>
      </c>
      <c r="J2183">
        <v>0</v>
      </c>
      <c r="K2183">
        <v>20</v>
      </c>
      <c r="O2183">
        <v>0</v>
      </c>
      <c r="P2183">
        <v>4</v>
      </c>
      <c r="Q2183">
        <v>0</v>
      </c>
      <c r="R2183">
        <v>41.5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H2183">
        <v>41.5</v>
      </c>
    </row>
    <row r="2184" spans="1:34" x14ac:dyDescent="0.3">
      <c r="A2184" s="4">
        <v>2300</v>
      </c>
      <c r="B2184" s="5">
        <v>2177</v>
      </c>
      <c r="C2184">
        <v>8271</v>
      </c>
      <c r="D2184" t="s">
        <v>5097</v>
      </c>
      <c r="E2184" t="s">
        <v>516</v>
      </c>
      <c r="F2184" t="s">
        <v>62</v>
      </c>
      <c r="G2184" t="s">
        <v>22074</v>
      </c>
      <c r="H2184">
        <v>17.43</v>
      </c>
      <c r="I2184">
        <v>7</v>
      </c>
      <c r="J2184">
        <v>0</v>
      </c>
      <c r="K2184">
        <v>0</v>
      </c>
      <c r="L2184">
        <v>7</v>
      </c>
      <c r="O2184">
        <v>7</v>
      </c>
      <c r="P2184">
        <v>4</v>
      </c>
      <c r="Q2184">
        <v>0</v>
      </c>
      <c r="R2184">
        <v>35.43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6</v>
      </c>
      <c r="AC2184">
        <v>0</v>
      </c>
      <c r="AH2184">
        <v>41.43</v>
      </c>
    </row>
    <row r="2185" spans="1:34" x14ac:dyDescent="0.3">
      <c r="A2185" s="4">
        <v>2301</v>
      </c>
      <c r="B2185" s="5">
        <v>2178</v>
      </c>
      <c r="C2185">
        <v>1852</v>
      </c>
      <c r="D2185" t="s">
        <v>22075</v>
      </c>
      <c r="E2185" t="s">
        <v>149</v>
      </c>
      <c r="F2185" t="s">
        <v>1450</v>
      </c>
      <c r="G2185" t="s">
        <v>22076</v>
      </c>
      <c r="H2185">
        <v>18.28</v>
      </c>
      <c r="I2185">
        <v>0</v>
      </c>
      <c r="J2185">
        <v>0</v>
      </c>
      <c r="K2185">
        <v>0</v>
      </c>
      <c r="O2185">
        <v>0</v>
      </c>
      <c r="P2185">
        <v>4</v>
      </c>
      <c r="Q2185">
        <v>2</v>
      </c>
      <c r="R2185">
        <v>24.28</v>
      </c>
      <c r="S2185">
        <v>14</v>
      </c>
      <c r="T2185">
        <v>14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14</v>
      </c>
      <c r="AB2185">
        <v>3</v>
      </c>
      <c r="AC2185">
        <v>0</v>
      </c>
      <c r="AH2185">
        <v>41.28</v>
      </c>
    </row>
    <row r="2186" spans="1:34" x14ac:dyDescent="0.3">
      <c r="A2186" s="4">
        <v>2302</v>
      </c>
      <c r="B2186" s="5">
        <v>2179</v>
      </c>
      <c r="C2186">
        <v>6940</v>
      </c>
      <c r="D2186" t="s">
        <v>170</v>
      </c>
      <c r="E2186" t="s">
        <v>273</v>
      </c>
      <c r="F2186" t="s">
        <v>20</v>
      </c>
      <c r="G2186" t="s">
        <v>22077</v>
      </c>
      <c r="H2186">
        <v>17.28</v>
      </c>
      <c r="I2186">
        <v>0</v>
      </c>
      <c r="J2186">
        <v>0</v>
      </c>
      <c r="K2186">
        <v>0</v>
      </c>
      <c r="O2186">
        <v>0</v>
      </c>
      <c r="P2186">
        <v>4</v>
      </c>
      <c r="Q2186">
        <v>2</v>
      </c>
      <c r="R2186">
        <v>23.28</v>
      </c>
      <c r="S2186">
        <v>18</v>
      </c>
      <c r="T2186">
        <v>18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18</v>
      </c>
      <c r="AB2186">
        <v>0</v>
      </c>
      <c r="AC2186">
        <v>0</v>
      </c>
      <c r="AH2186">
        <v>41.28</v>
      </c>
    </row>
    <row r="2187" spans="1:34" x14ac:dyDescent="0.3">
      <c r="A2187" s="4">
        <v>2303</v>
      </c>
      <c r="B2187" s="5">
        <v>2180</v>
      </c>
      <c r="C2187">
        <v>8550</v>
      </c>
      <c r="D2187" t="s">
        <v>1287</v>
      </c>
      <c r="E2187" t="s">
        <v>789</v>
      </c>
      <c r="F2187" t="s">
        <v>136</v>
      </c>
      <c r="G2187" t="s">
        <v>22078</v>
      </c>
      <c r="H2187">
        <v>17.23</v>
      </c>
      <c r="I2187">
        <v>0</v>
      </c>
      <c r="J2187">
        <v>0</v>
      </c>
      <c r="K2187">
        <v>0</v>
      </c>
      <c r="N2187">
        <v>3</v>
      </c>
      <c r="O2187">
        <v>3</v>
      </c>
      <c r="P2187">
        <v>4</v>
      </c>
      <c r="Q2187">
        <v>0</v>
      </c>
      <c r="R2187">
        <v>24.23</v>
      </c>
      <c r="S2187">
        <v>17</v>
      </c>
      <c r="T2187">
        <v>17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17</v>
      </c>
      <c r="AB2187">
        <v>0</v>
      </c>
      <c r="AC2187">
        <v>0</v>
      </c>
      <c r="AH2187">
        <v>41.23</v>
      </c>
    </row>
    <row r="2188" spans="1:34" x14ac:dyDescent="0.3">
      <c r="A2188" s="4">
        <v>2304</v>
      </c>
      <c r="B2188" s="5">
        <v>2181</v>
      </c>
      <c r="C2188">
        <v>11271</v>
      </c>
      <c r="D2188" t="s">
        <v>8440</v>
      </c>
      <c r="E2188" t="s">
        <v>22079</v>
      </c>
      <c r="F2188" t="s">
        <v>6385</v>
      </c>
      <c r="G2188" t="s">
        <v>22080</v>
      </c>
      <c r="H2188">
        <v>16.23</v>
      </c>
      <c r="I2188">
        <v>0</v>
      </c>
      <c r="J2188">
        <v>0</v>
      </c>
      <c r="K2188">
        <v>0</v>
      </c>
      <c r="N2188">
        <v>3</v>
      </c>
      <c r="O2188">
        <v>3</v>
      </c>
      <c r="P2188">
        <v>4</v>
      </c>
      <c r="Q2188">
        <v>0</v>
      </c>
      <c r="R2188">
        <v>23.23</v>
      </c>
      <c r="S2188">
        <v>18</v>
      </c>
      <c r="T2188">
        <v>18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18</v>
      </c>
      <c r="AB2188">
        <v>0</v>
      </c>
      <c r="AC2188">
        <v>0</v>
      </c>
      <c r="AH2188">
        <v>41.23</v>
      </c>
    </row>
    <row r="2189" spans="1:34" x14ac:dyDescent="0.3">
      <c r="A2189" s="4">
        <v>2305</v>
      </c>
      <c r="B2189" s="5">
        <v>2182</v>
      </c>
      <c r="C2189">
        <v>11303</v>
      </c>
      <c r="D2189" t="s">
        <v>7778</v>
      </c>
      <c r="E2189" t="s">
        <v>166</v>
      </c>
      <c r="F2189" t="s">
        <v>2474</v>
      </c>
      <c r="G2189" t="s">
        <v>22081</v>
      </c>
      <c r="H2189">
        <v>20.149999999999999</v>
      </c>
      <c r="I2189">
        <v>0</v>
      </c>
      <c r="J2189">
        <v>0</v>
      </c>
      <c r="K2189">
        <v>0</v>
      </c>
      <c r="O2189">
        <v>0</v>
      </c>
      <c r="P2189">
        <v>4</v>
      </c>
      <c r="Q2189">
        <v>0</v>
      </c>
      <c r="R2189">
        <v>24.15</v>
      </c>
      <c r="S2189">
        <v>17</v>
      </c>
      <c r="T2189">
        <v>17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17</v>
      </c>
      <c r="AB2189">
        <v>0</v>
      </c>
      <c r="AC2189">
        <v>0</v>
      </c>
      <c r="AH2189">
        <v>41.15</v>
      </c>
    </row>
    <row r="2190" spans="1:34" x14ac:dyDescent="0.3">
      <c r="A2190" s="4">
        <v>2306</v>
      </c>
      <c r="B2190" s="5">
        <v>2183</v>
      </c>
      <c r="C2190">
        <v>691</v>
      </c>
      <c r="D2190" t="s">
        <v>22082</v>
      </c>
      <c r="E2190" t="s">
        <v>3719</v>
      </c>
      <c r="F2190" t="s">
        <v>1526</v>
      </c>
      <c r="G2190" t="s">
        <v>22083</v>
      </c>
      <c r="H2190">
        <v>17.05</v>
      </c>
      <c r="I2190">
        <v>0</v>
      </c>
      <c r="J2190">
        <v>0</v>
      </c>
      <c r="K2190">
        <v>0</v>
      </c>
      <c r="O2190">
        <v>0</v>
      </c>
      <c r="P2190">
        <v>4</v>
      </c>
      <c r="Q2190">
        <v>2</v>
      </c>
      <c r="R2190">
        <v>23.05</v>
      </c>
      <c r="S2190">
        <v>8</v>
      </c>
      <c r="T2190">
        <v>8</v>
      </c>
      <c r="U2190">
        <v>0</v>
      </c>
      <c r="V2190">
        <v>0</v>
      </c>
      <c r="W2190">
        <v>7</v>
      </c>
      <c r="X2190">
        <v>10</v>
      </c>
      <c r="Y2190">
        <v>0</v>
      </c>
      <c r="Z2190">
        <v>0</v>
      </c>
      <c r="AA2190">
        <v>18</v>
      </c>
      <c r="AB2190">
        <v>0</v>
      </c>
      <c r="AC2190">
        <v>0</v>
      </c>
      <c r="AH2190">
        <v>41.05</v>
      </c>
    </row>
    <row r="2191" spans="1:34" x14ac:dyDescent="0.3">
      <c r="A2191" s="4">
        <v>2307</v>
      </c>
      <c r="B2191" s="5">
        <v>2184</v>
      </c>
      <c r="C2191">
        <v>2642</v>
      </c>
      <c r="D2191" t="s">
        <v>16175</v>
      </c>
      <c r="E2191" t="s">
        <v>10984</v>
      </c>
      <c r="F2191" t="s">
        <v>62</v>
      </c>
      <c r="G2191" t="s">
        <v>22084</v>
      </c>
      <c r="H2191">
        <v>20</v>
      </c>
      <c r="I2191">
        <v>0</v>
      </c>
      <c r="J2191">
        <v>0</v>
      </c>
      <c r="K2191">
        <v>0</v>
      </c>
      <c r="N2191">
        <v>3</v>
      </c>
      <c r="O2191">
        <v>3</v>
      </c>
      <c r="P2191">
        <v>4</v>
      </c>
      <c r="Q2191">
        <v>0</v>
      </c>
      <c r="R2191">
        <v>27</v>
      </c>
      <c r="S2191">
        <v>14</v>
      </c>
      <c r="T2191">
        <v>14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14</v>
      </c>
      <c r="AB2191">
        <v>0</v>
      </c>
      <c r="AC2191">
        <v>0</v>
      </c>
      <c r="AH2191">
        <v>41</v>
      </c>
    </row>
    <row r="2192" spans="1:34" x14ac:dyDescent="0.3">
      <c r="A2192" s="4">
        <v>2308</v>
      </c>
      <c r="B2192" s="5">
        <v>2185</v>
      </c>
      <c r="C2192">
        <v>9590</v>
      </c>
      <c r="D2192" t="s">
        <v>22085</v>
      </c>
      <c r="E2192" t="s">
        <v>54</v>
      </c>
      <c r="F2192" t="s">
        <v>3094</v>
      </c>
      <c r="G2192" t="s">
        <v>22086</v>
      </c>
      <c r="H2192">
        <v>17.829999999999998</v>
      </c>
      <c r="I2192">
        <v>0</v>
      </c>
      <c r="J2192">
        <v>0</v>
      </c>
      <c r="K2192">
        <v>0</v>
      </c>
      <c r="N2192">
        <v>3</v>
      </c>
      <c r="O2192">
        <v>3</v>
      </c>
      <c r="P2192">
        <v>4</v>
      </c>
      <c r="Q2192">
        <v>2</v>
      </c>
      <c r="R2192">
        <v>26.83</v>
      </c>
      <c r="S2192">
        <v>11</v>
      </c>
      <c r="T2192">
        <v>11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11</v>
      </c>
      <c r="AB2192">
        <v>3</v>
      </c>
      <c r="AC2192">
        <v>0</v>
      </c>
      <c r="AH2192">
        <v>40.83</v>
      </c>
    </row>
    <row r="2193" spans="1:34" x14ac:dyDescent="0.3">
      <c r="A2193" s="4">
        <v>2309</v>
      </c>
      <c r="B2193" s="5">
        <v>2186</v>
      </c>
      <c r="C2193">
        <v>8803</v>
      </c>
      <c r="D2193" t="s">
        <v>22087</v>
      </c>
      <c r="E2193" t="s">
        <v>22088</v>
      </c>
      <c r="F2193" t="s">
        <v>22089</v>
      </c>
      <c r="G2193" t="s">
        <v>22090</v>
      </c>
      <c r="H2193">
        <v>17.8</v>
      </c>
      <c r="I2193">
        <v>0</v>
      </c>
      <c r="J2193">
        <v>0</v>
      </c>
      <c r="K2193">
        <v>20</v>
      </c>
      <c r="N2193">
        <v>3</v>
      </c>
      <c r="O2193">
        <v>3</v>
      </c>
      <c r="P2193">
        <v>0</v>
      </c>
      <c r="Q2193">
        <v>0</v>
      </c>
      <c r="R2193">
        <v>40.799999999999997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H2193">
        <v>40.799999999999997</v>
      </c>
    </row>
    <row r="2194" spans="1:34" x14ac:dyDescent="0.3">
      <c r="A2194" s="4">
        <v>2310</v>
      </c>
      <c r="B2194" s="5">
        <v>2187</v>
      </c>
      <c r="C2194">
        <v>12255</v>
      </c>
      <c r="D2194" t="s">
        <v>16202</v>
      </c>
      <c r="E2194" t="s">
        <v>68</v>
      </c>
      <c r="F2194" t="s">
        <v>6703</v>
      </c>
      <c r="G2194" t="s">
        <v>22091</v>
      </c>
      <c r="H2194">
        <v>18.78</v>
      </c>
      <c r="I2194">
        <v>0</v>
      </c>
      <c r="J2194">
        <v>0</v>
      </c>
      <c r="K2194">
        <v>0</v>
      </c>
      <c r="L2194">
        <v>7</v>
      </c>
      <c r="N2194">
        <v>3</v>
      </c>
      <c r="O2194">
        <v>10</v>
      </c>
      <c r="P2194">
        <v>4</v>
      </c>
      <c r="Q2194">
        <v>2</v>
      </c>
      <c r="R2194">
        <v>34.78</v>
      </c>
      <c r="S2194">
        <v>6</v>
      </c>
      <c r="T2194">
        <v>6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6</v>
      </c>
      <c r="AB2194">
        <v>0</v>
      </c>
      <c r="AC2194">
        <v>0</v>
      </c>
      <c r="AH2194">
        <v>40.78</v>
      </c>
    </row>
    <row r="2195" spans="1:34" x14ac:dyDescent="0.3">
      <c r="A2195" s="4">
        <v>2311</v>
      </c>
      <c r="B2195" s="5">
        <v>2188</v>
      </c>
      <c r="C2195">
        <v>11529</v>
      </c>
      <c r="D2195" t="s">
        <v>22092</v>
      </c>
      <c r="E2195" t="s">
        <v>38</v>
      </c>
      <c r="F2195" t="s">
        <v>52</v>
      </c>
      <c r="G2195" t="s">
        <v>22093</v>
      </c>
      <c r="H2195">
        <v>17.78</v>
      </c>
      <c r="I2195">
        <v>0</v>
      </c>
      <c r="J2195">
        <v>0</v>
      </c>
      <c r="K2195">
        <v>0</v>
      </c>
      <c r="L2195">
        <v>7</v>
      </c>
      <c r="O2195">
        <v>7</v>
      </c>
      <c r="P2195">
        <v>0</v>
      </c>
      <c r="Q2195">
        <v>2</v>
      </c>
      <c r="R2195">
        <v>26.78</v>
      </c>
      <c r="S2195">
        <v>14</v>
      </c>
      <c r="T2195">
        <v>14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14</v>
      </c>
      <c r="AB2195">
        <v>0</v>
      </c>
      <c r="AC2195">
        <v>0</v>
      </c>
      <c r="AH2195">
        <v>40.78</v>
      </c>
    </row>
    <row r="2196" spans="1:34" x14ac:dyDescent="0.3">
      <c r="A2196" s="4">
        <v>2312</v>
      </c>
      <c r="B2196" s="5">
        <v>2189</v>
      </c>
      <c r="C2196">
        <v>7382</v>
      </c>
      <c r="D2196" t="s">
        <v>22094</v>
      </c>
      <c r="E2196" t="s">
        <v>219</v>
      </c>
      <c r="F2196" t="s">
        <v>136</v>
      </c>
      <c r="G2196" t="s">
        <v>22095</v>
      </c>
      <c r="H2196">
        <v>17.75</v>
      </c>
      <c r="I2196">
        <v>0</v>
      </c>
      <c r="J2196">
        <v>0</v>
      </c>
      <c r="K2196">
        <v>0</v>
      </c>
      <c r="L2196">
        <v>7</v>
      </c>
      <c r="O2196">
        <v>7</v>
      </c>
      <c r="P2196">
        <v>4</v>
      </c>
      <c r="Q2196">
        <v>0</v>
      </c>
      <c r="R2196">
        <v>28.75</v>
      </c>
      <c r="S2196">
        <v>6</v>
      </c>
      <c r="T2196">
        <v>6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6</v>
      </c>
      <c r="AB2196">
        <v>6</v>
      </c>
      <c r="AC2196">
        <v>0</v>
      </c>
      <c r="AH2196">
        <v>40.75</v>
      </c>
    </row>
    <row r="2197" spans="1:34" x14ac:dyDescent="0.3">
      <c r="A2197" s="4">
        <v>2313</v>
      </c>
      <c r="B2197" s="5">
        <v>2190</v>
      </c>
      <c r="C2197">
        <v>4055</v>
      </c>
      <c r="D2197" t="s">
        <v>7283</v>
      </c>
      <c r="E2197" t="s">
        <v>22096</v>
      </c>
      <c r="F2197" t="s">
        <v>17</v>
      </c>
      <c r="G2197" t="s">
        <v>22097</v>
      </c>
      <c r="H2197">
        <v>18.75</v>
      </c>
      <c r="I2197">
        <v>0</v>
      </c>
      <c r="J2197">
        <v>0</v>
      </c>
      <c r="K2197">
        <v>0</v>
      </c>
      <c r="O2197">
        <v>0</v>
      </c>
      <c r="P2197">
        <v>4</v>
      </c>
      <c r="Q2197">
        <v>0</v>
      </c>
      <c r="R2197">
        <v>22.75</v>
      </c>
      <c r="S2197">
        <v>18</v>
      </c>
      <c r="T2197">
        <v>18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18</v>
      </c>
      <c r="AB2197">
        <v>0</v>
      </c>
      <c r="AC2197">
        <v>0</v>
      </c>
      <c r="AH2197">
        <v>40.75</v>
      </c>
    </row>
    <row r="2198" spans="1:34" x14ac:dyDescent="0.3">
      <c r="A2198" s="4">
        <v>2314</v>
      </c>
      <c r="B2198" s="5">
        <v>2191</v>
      </c>
      <c r="C2198">
        <v>6215</v>
      </c>
      <c r="D2198" t="s">
        <v>22098</v>
      </c>
      <c r="E2198" t="s">
        <v>54</v>
      </c>
      <c r="F2198" t="s">
        <v>38</v>
      </c>
      <c r="G2198" t="s">
        <v>22099</v>
      </c>
      <c r="H2198">
        <v>19.68</v>
      </c>
      <c r="I2198">
        <v>0</v>
      </c>
      <c r="J2198">
        <v>0</v>
      </c>
      <c r="K2198">
        <v>0</v>
      </c>
      <c r="N2198">
        <v>3</v>
      </c>
      <c r="O2198">
        <v>3</v>
      </c>
      <c r="P2198">
        <v>4</v>
      </c>
      <c r="Q2198">
        <v>2</v>
      </c>
      <c r="R2198">
        <v>28.68</v>
      </c>
      <c r="S2198">
        <v>12</v>
      </c>
      <c r="T2198">
        <v>12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12</v>
      </c>
      <c r="AB2198">
        <v>0</v>
      </c>
      <c r="AC2198">
        <v>0</v>
      </c>
      <c r="AH2198">
        <v>40.68</v>
      </c>
    </row>
    <row r="2199" spans="1:34" x14ac:dyDescent="0.3">
      <c r="A2199" s="4">
        <v>2315</v>
      </c>
      <c r="B2199" s="5">
        <v>2192</v>
      </c>
      <c r="C2199">
        <v>15109</v>
      </c>
      <c r="D2199" t="s">
        <v>22100</v>
      </c>
      <c r="E2199" t="s">
        <v>789</v>
      </c>
      <c r="F2199" t="s">
        <v>7899</v>
      </c>
      <c r="G2199" t="s">
        <v>22101</v>
      </c>
      <c r="H2199">
        <v>19.5</v>
      </c>
      <c r="I2199">
        <v>0</v>
      </c>
      <c r="J2199">
        <v>0</v>
      </c>
      <c r="K2199">
        <v>0</v>
      </c>
      <c r="L2199">
        <v>7</v>
      </c>
      <c r="O2199">
        <v>7</v>
      </c>
      <c r="P2199">
        <v>4</v>
      </c>
      <c r="Q2199">
        <v>2</v>
      </c>
      <c r="R2199">
        <v>32.5</v>
      </c>
      <c r="S2199">
        <v>8</v>
      </c>
      <c r="T2199">
        <v>8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8</v>
      </c>
      <c r="AB2199">
        <v>0</v>
      </c>
      <c r="AC2199">
        <v>0</v>
      </c>
      <c r="AD2199" t="s">
        <v>130</v>
      </c>
      <c r="AH2199">
        <v>40.5</v>
      </c>
    </row>
    <row r="2200" spans="1:34" x14ac:dyDescent="0.3">
      <c r="A2200" s="4">
        <v>2316</v>
      </c>
      <c r="B2200" s="5">
        <v>2193</v>
      </c>
      <c r="C2200">
        <v>5632</v>
      </c>
      <c r="D2200" t="s">
        <v>22102</v>
      </c>
      <c r="E2200" t="s">
        <v>37</v>
      </c>
      <c r="F2200" t="s">
        <v>167</v>
      </c>
      <c r="G2200" t="s">
        <v>22103</v>
      </c>
      <c r="H2200">
        <v>19.48</v>
      </c>
      <c r="I2200">
        <v>0</v>
      </c>
      <c r="J2200">
        <v>0</v>
      </c>
      <c r="K2200">
        <v>0</v>
      </c>
      <c r="N2200">
        <v>3</v>
      </c>
      <c r="O2200">
        <v>3</v>
      </c>
      <c r="P2200">
        <v>4</v>
      </c>
      <c r="Q2200">
        <v>2</v>
      </c>
      <c r="R2200">
        <v>28.48</v>
      </c>
      <c r="S2200">
        <v>6</v>
      </c>
      <c r="T2200">
        <v>6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6</v>
      </c>
      <c r="AB2200">
        <v>6</v>
      </c>
      <c r="AC2200">
        <v>0</v>
      </c>
      <c r="AH2200">
        <v>40.479999999999997</v>
      </c>
    </row>
    <row r="2201" spans="1:34" x14ac:dyDescent="0.3">
      <c r="A2201" s="4">
        <v>2317</v>
      </c>
      <c r="B2201" s="5">
        <v>2194</v>
      </c>
      <c r="C2201">
        <v>4768</v>
      </c>
      <c r="D2201" t="s">
        <v>3764</v>
      </c>
      <c r="E2201" t="s">
        <v>139</v>
      </c>
      <c r="F2201" t="s">
        <v>243</v>
      </c>
      <c r="G2201" t="s">
        <v>22104</v>
      </c>
      <c r="H2201">
        <v>19.45</v>
      </c>
      <c r="I2201">
        <v>0</v>
      </c>
      <c r="J2201">
        <v>0</v>
      </c>
      <c r="K2201">
        <v>0</v>
      </c>
      <c r="O2201">
        <v>0</v>
      </c>
      <c r="P2201">
        <v>0</v>
      </c>
      <c r="Q2201">
        <v>0</v>
      </c>
      <c r="R2201">
        <v>19.45</v>
      </c>
      <c r="S2201">
        <v>15</v>
      </c>
      <c r="T2201">
        <v>15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15</v>
      </c>
      <c r="AB2201">
        <v>6</v>
      </c>
      <c r="AC2201">
        <v>0</v>
      </c>
      <c r="AH2201">
        <v>40.450000000000003</v>
      </c>
    </row>
    <row r="2202" spans="1:34" x14ac:dyDescent="0.3">
      <c r="A2202" s="4">
        <v>2318</v>
      </c>
      <c r="B2202" s="5">
        <v>2195</v>
      </c>
      <c r="C2202">
        <v>1321</v>
      </c>
      <c r="D2202" t="s">
        <v>8470</v>
      </c>
      <c r="E2202" t="s">
        <v>789</v>
      </c>
      <c r="F2202" t="s">
        <v>17</v>
      </c>
      <c r="G2202" t="s">
        <v>22105</v>
      </c>
      <c r="H2202">
        <v>22.4</v>
      </c>
      <c r="I2202">
        <v>7</v>
      </c>
      <c r="J2202">
        <v>0</v>
      </c>
      <c r="K2202">
        <v>0</v>
      </c>
      <c r="L2202">
        <v>7</v>
      </c>
      <c r="O2202">
        <v>7</v>
      </c>
      <c r="P2202">
        <v>4</v>
      </c>
      <c r="Q2202">
        <v>0</v>
      </c>
      <c r="R2202">
        <v>40.4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H2202">
        <v>40.4</v>
      </c>
    </row>
    <row r="2203" spans="1:34" x14ac:dyDescent="0.3">
      <c r="A2203" s="4">
        <v>2319</v>
      </c>
      <c r="B2203" s="5">
        <v>2196</v>
      </c>
      <c r="C2203">
        <v>332</v>
      </c>
      <c r="D2203" t="s">
        <v>22106</v>
      </c>
      <c r="E2203" t="s">
        <v>1854</v>
      </c>
      <c r="F2203" t="s">
        <v>20</v>
      </c>
      <c r="G2203" t="s">
        <v>22107</v>
      </c>
      <c r="H2203">
        <v>16.25</v>
      </c>
      <c r="I2203">
        <v>0</v>
      </c>
      <c r="J2203">
        <v>0</v>
      </c>
      <c r="K2203">
        <v>20</v>
      </c>
      <c r="O2203">
        <v>0</v>
      </c>
      <c r="P2203">
        <v>4</v>
      </c>
      <c r="Q2203">
        <v>0</v>
      </c>
      <c r="R2203">
        <v>40.25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H2203">
        <v>40.25</v>
      </c>
    </row>
    <row r="2204" spans="1:34" x14ac:dyDescent="0.3">
      <c r="A2204" s="4">
        <v>2320</v>
      </c>
      <c r="B2204" s="5">
        <v>2197</v>
      </c>
      <c r="C2204">
        <v>3404</v>
      </c>
      <c r="D2204" t="s">
        <v>22108</v>
      </c>
      <c r="E2204" t="s">
        <v>1728</v>
      </c>
      <c r="F2204" t="s">
        <v>52</v>
      </c>
      <c r="G2204" t="s">
        <v>22109</v>
      </c>
      <c r="H2204">
        <v>16.25</v>
      </c>
      <c r="I2204">
        <v>0</v>
      </c>
      <c r="J2204">
        <v>0</v>
      </c>
      <c r="K2204">
        <v>20</v>
      </c>
      <c r="O2204">
        <v>0</v>
      </c>
      <c r="P2204">
        <v>4</v>
      </c>
      <c r="Q2204">
        <v>0</v>
      </c>
      <c r="R2204">
        <v>40.25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H2204">
        <v>40.25</v>
      </c>
    </row>
    <row r="2205" spans="1:34" x14ac:dyDescent="0.3">
      <c r="A2205" s="4">
        <v>2321</v>
      </c>
      <c r="B2205" s="5">
        <v>2198</v>
      </c>
      <c r="C2205">
        <v>12805</v>
      </c>
      <c r="D2205" t="s">
        <v>22110</v>
      </c>
      <c r="E2205" t="s">
        <v>442</v>
      </c>
      <c r="F2205" t="s">
        <v>1526</v>
      </c>
      <c r="G2205" t="s">
        <v>22111</v>
      </c>
      <c r="H2205">
        <v>17.25</v>
      </c>
      <c r="I2205">
        <v>0</v>
      </c>
      <c r="J2205">
        <v>0</v>
      </c>
      <c r="K2205">
        <v>0</v>
      </c>
      <c r="N2205">
        <v>3</v>
      </c>
      <c r="O2205">
        <v>3</v>
      </c>
      <c r="P2205">
        <v>4</v>
      </c>
      <c r="Q2205">
        <v>0</v>
      </c>
      <c r="R2205">
        <v>24.25</v>
      </c>
      <c r="S2205">
        <v>6</v>
      </c>
      <c r="T2205">
        <v>6</v>
      </c>
      <c r="U2205">
        <v>0</v>
      </c>
      <c r="V2205">
        <v>0</v>
      </c>
      <c r="W2205">
        <v>7</v>
      </c>
      <c r="X2205">
        <v>10</v>
      </c>
      <c r="Y2205">
        <v>0</v>
      </c>
      <c r="Z2205">
        <v>0</v>
      </c>
      <c r="AA2205">
        <v>16</v>
      </c>
      <c r="AB2205">
        <v>0</v>
      </c>
      <c r="AC2205">
        <v>0</v>
      </c>
      <c r="AH2205">
        <v>40.25</v>
      </c>
    </row>
    <row r="2206" spans="1:34" x14ac:dyDescent="0.3">
      <c r="A2206" s="4">
        <v>2322</v>
      </c>
      <c r="B2206" s="5">
        <v>2199</v>
      </c>
      <c r="C2206">
        <v>4798</v>
      </c>
      <c r="D2206" t="s">
        <v>22112</v>
      </c>
      <c r="E2206" t="s">
        <v>3778</v>
      </c>
      <c r="F2206" t="s">
        <v>328</v>
      </c>
      <c r="G2206" t="s">
        <v>22113</v>
      </c>
      <c r="H2206">
        <v>16.23</v>
      </c>
      <c r="I2206">
        <v>0</v>
      </c>
      <c r="J2206">
        <v>0</v>
      </c>
      <c r="K2206">
        <v>20</v>
      </c>
      <c r="O2206">
        <v>0</v>
      </c>
      <c r="P2206">
        <v>4</v>
      </c>
      <c r="Q2206">
        <v>0</v>
      </c>
      <c r="R2206">
        <v>40.229999999999997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H2206">
        <v>40.229999999999997</v>
      </c>
    </row>
    <row r="2207" spans="1:34" x14ac:dyDescent="0.3">
      <c r="A2207" s="4">
        <v>2323</v>
      </c>
      <c r="B2207" s="5">
        <v>2200</v>
      </c>
      <c r="C2207">
        <v>13924</v>
      </c>
      <c r="D2207" t="s">
        <v>22114</v>
      </c>
      <c r="E2207" t="s">
        <v>29</v>
      </c>
      <c r="F2207" t="s">
        <v>136</v>
      </c>
      <c r="G2207" t="s">
        <v>22115</v>
      </c>
      <c r="H2207">
        <v>17.149999999999999</v>
      </c>
      <c r="I2207">
        <v>0</v>
      </c>
      <c r="J2207">
        <v>0</v>
      </c>
      <c r="K2207">
        <v>20</v>
      </c>
      <c r="N2207">
        <v>3</v>
      </c>
      <c r="O2207">
        <v>3</v>
      </c>
      <c r="P2207">
        <v>0</v>
      </c>
      <c r="Q2207">
        <v>0</v>
      </c>
      <c r="R2207">
        <v>40.15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H2207">
        <v>40.15</v>
      </c>
    </row>
    <row r="2208" spans="1:34" x14ac:dyDescent="0.3">
      <c r="A2208" s="4">
        <v>2324</v>
      </c>
      <c r="B2208" s="5">
        <v>2201</v>
      </c>
      <c r="C2208">
        <v>3847</v>
      </c>
      <c r="D2208" t="s">
        <v>22116</v>
      </c>
      <c r="E2208" t="s">
        <v>286</v>
      </c>
      <c r="F2208" t="s">
        <v>17</v>
      </c>
      <c r="G2208" t="s">
        <v>22117</v>
      </c>
      <c r="H2208">
        <v>19.03</v>
      </c>
      <c r="I2208">
        <v>0</v>
      </c>
      <c r="J2208">
        <v>0</v>
      </c>
      <c r="K2208">
        <v>0</v>
      </c>
      <c r="N2208">
        <v>3</v>
      </c>
      <c r="O2208">
        <v>3</v>
      </c>
      <c r="P2208">
        <v>4</v>
      </c>
      <c r="Q2208">
        <v>0</v>
      </c>
      <c r="R2208">
        <v>26.03</v>
      </c>
      <c r="S2208">
        <v>14</v>
      </c>
      <c r="T2208">
        <v>14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14</v>
      </c>
      <c r="AB2208">
        <v>0</v>
      </c>
      <c r="AC2208">
        <v>0</v>
      </c>
      <c r="AH2208">
        <v>40.03</v>
      </c>
    </row>
    <row r="2209" spans="1:34" x14ac:dyDescent="0.3">
      <c r="A2209" s="4">
        <v>2325</v>
      </c>
      <c r="B2209" s="5">
        <v>2202</v>
      </c>
      <c r="C2209">
        <v>3357</v>
      </c>
      <c r="D2209" t="s">
        <v>2208</v>
      </c>
      <c r="E2209" t="s">
        <v>283</v>
      </c>
      <c r="F2209" t="s">
        <v>328</v>
      </c>
      <c r="G2209" t="s">
        <v>22118</v>
      </c>
      <c r="H2209">
        <v>17.03</v>
      </c>
      <c r="I2209">
        <v>0</v>
      </c>
      <c r="J2209">
        <v>0</v>
      </c>
      <c r="K2209">
        <v>0</v>
      </c>
      <c r="O2209">
        <v>0</v>
      </c>
      <c r="P2209">
        <v>4</v>
      </c>
      <c r="Q2209">
        <v>0</v>
      </c>
      <c r="R2209">
        <v>21.03</v>
      </c>
      <c r="S2209">
        <v>19</v>
      </c>
      <c r="T2209">
        <v>19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19</v>
      </c>
      <c r="AB2209">
        <v>0</v>
      </c>
      <c r="AC2209">
        <v>0</v>
      </c>
      <c r="AH2209">
        <v>40.03</v>
      </c>
    </row>
    <row r="2210" spans="1:34" x14ac:dyDescent="0.3">
      <c r="A2210" s="4">
        <v>2326</v>
      </c>
      <c r="B2210" s="5">
        <v>2203</v>
      </c>
      <c r="C2210">
        <v>9815</v>
      </c>
      <c r="D2210" t="s">
        <v>12972</v>
      </c>
      <c r="E2210" t="s">
        <v>126</v>
      </c>
      <c r="F2210" t="s">
        <v>343</v>
      </c>
      <c r="G2210" t="s">
        <v>22119</v>
      </c>
      <c r="H2210">
        <v>17.98</v>
      </c>
      <c r="I2210">
        <v>0</v>
      </c>
      <c r="J2210">
        <v>0</v>
      </c>
      <c r="K2210">
        <v>0</v>
      </c>
      <c r="L2210">
        <v>7</v>
      </c>
      <c r="O2210">
        <v>7</v>
      </c>
      <c r="P2210">
        <v>4</v>
      </c>
      <c r="Q2210">
        <v>2</v>
      </c>
      <c r="R2210">
        <v>30.98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9</v>
      </c>
      <c r="AC2210">
        <v>0</v>
      </c>
      <c r="AH2210">
        <v>39.979999999999997</v>
      </c>
    </row>
    <row r="2211" spans="1:34" x14ac:dyDescent="0.3">
      <c r="A2211" s="4">
        <v>2327</v>
      </c>
      <c r="B2211" s="5">
        <v>2204</v>
      </c>
      <c r="C2211">
        <v>4797</v>
      </c>
      <c r="D2211" t="s">
        <v>22120</v>
      </c>
      <c r="E2211" t="s">
        <v>22121</v>
      </c>
      <c r="F2211" t="s">
        <v>79</v>
      </c>
      <c r="G2211" t="s">
        <v>22122</v>
      </c>
      <c r="H2211">
        <v>18.98</v>
      </c>
      <c r="I2211">
        <v>0</v>
      </c>
      <c r="J2211">
        <v>0</v>
      </c>
      <c r="K2211">
        <v>0</v>
      </c>
      <c r="M2211">
        <v>5</v>
      </c>
      <c r="O2211">
        <v>5</v>
      </c>
      <c r="P2211">
        <v>4</v>
      </c>
      <c r="Q2211">
        <v>2</v>
      </c>
      <c r="R2211">
        <v>29.98</v>
      </c>
      <c r="S2211">
        <v>10</v>
      </c>
      <c r="T2211">
        <v>10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10</v>
      </c>
      <c r="AB2211">
        <v>0</v>
      </c>
      <c r="AC2211">
        <v>0</v>
      </c>
      <c r="AH2211">
        <v>39.979999999999997</v>
      </c>
    </row>
    <row r="2212" spans="1:34" x14ac:dyDescent="0.3">
      <c r="A2212" s="4">
        <v>2328</v>
      </c>
      <c r="B2212" s="5">
        <v>2205</v>
      </c>
      <c r="C2212">
        <v>4535</v>
      </c>
      <c r="D2212" t="s">
        <v>22123</v>
      </c>
      <c r="E2212" t="s">
        <v>178</v>
      </c>
      <c r="F2212" t="s">
        <v>3814</v>
      </c>
      <c r="G2212" t="s">
        <v>22124</v>
      </c>
      <c r="H2212">
        <v>18.93</v>
      </c>
      <c r="I2212">
        <v>0</v>
      </c>
      <c r="J2212">
        <v>0</v>
      </c>
      <c r="K2212">
        <v>0</v>
      </c>
      <c r="N2212">
        <v>3</v>
      </c>
      <c r="O2212">
        <v>3</v>
      </c>
      <c r="P2212">
        <v>4</v>
      </c>
      <c r="Q2212">
        <v>0</v>
      </c>
      <c r="R2212">
        <v>25.93</v>
      </c>
      <c r="S2212">
        <v>11</v>
      </c>
      <c r="T2212">
        <v>11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11</v>
      </c>
      <c r="AB2212">
        <v>3</v>
      </c>
      <c r="AC2212">
        <v>0</v>
      </c>
      <c r="AH2212">
        <v>39.93</v>
      </c>
    </row>
    <row r="2213" spans="1:34" x14ac:dyDescent="0.3">
      <c r="A2213" s="4">
        <v>2329</v>
      </c>
      <c r="B2213" s="5">
        <v>2206</v>
      </c>
      <c r="C2213">
        <v>11065</v>
      </c>
      <c r="D2213" t="s">
        <v>389</v>
      </c>
      <c r="E2213" t="s">
        <v>372</v>
      </c>
      <c r="F2213" t="s">
        <v>30</v>
      </c>
      <c r="G2213" t="s">
        <v>22125</v>
      </c>
      <c r="H2213">
        <v>17.88</v>
      </c>
      <c r="I2213">
        <v>0</v>
      </c>
      <c r="J2213">
        <v>0</v>
      </c>
      <c r="K2213">
        <v>0</v>
      </c>
      <c r="O2213">
        <v>0</v>
      </c>
      <c r="P2213">
        <v>4</v>
      </c>
      <c r="Q2213">
        <v>0</v>
      </c>
      <c r="R2213">
        <v>21.88</v>
      </c>
      <c r="S2213">
        <v>18</v>
      </c>
      <c r="T2213">
        <v>18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18</v>
      </c>
      <c r="AB2213">
        <v>0</v>
      </c>
      <c r="AC2213">
        <v>0</v>
      </c>
      <c r="AH2213">
        <v>39.880000000000003</v>
      </c>
    </row>
    <row r="2214" spans="1:34" x14ac:dyDescent="0.3">
      <c r="A2214" s="4">
        <v>2330</v>
      </c>
      <c r="B2214" s="5">
        <v>2207</v>
      </c>
      <c r="C2214">
        <v>7438</v>
      </c>
      <c r="D2214" t="s">
        <v>3097</v>
      </c>
      <c r="E2214" t="s">
        <v>132</v>
      </c>
      <c r="F2214" t="s">
        <v>38</v>
      </c>
      <c r="G2214" t="s">
        <v>22126</v>
      </c>
      <c r="H2214">
        <v>17.78</v>
      </c>
      <c r="I2214">
        <v>0</v>
      </c>
      <c r="J2214">
        <v>0</v>
      </c>
      <c r="K2214">
        <v>0</v>
      </c>
      <c r="N2214">
        <v>3</v>
      </c>
      <c r="O2214">
        <v>3</v>
      </c>
      <c r="P2214">
        <v>4</v>
      </c>
      <c r="Q2214">
        <v>0</v>
      </c>
      <c r="R2214">
        <v>24.78</v>
      </c>
      <c r="S2214">
        <v>15</v>
      </c>
      <c r="T2214">
        <v>15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15</v>
      </c>
      <c r="AB2214">
        <v>0</v>
      </c>
      <c r="AC2214">
        <v>0</v>
      </c>
      <c r="AH2214">
        <v>39.78</v>
      </c>
    </row>
    <row r="2215" spans="1:34" x14ac:dyDescent="0.3">
      <c r="A2215" s="4">
        <v>2331</v>
      </c>
      <c r="B2215" s="5">
        <v>2208</v>
      </c>
      <c r="C2215">
        <v>4546</v>
      </c>
      <c r="D2215" t="s">
        <v>22127</v>
      </c>
      <c r="E2215" t="s">
        <v>342</v>
      </c>
      <c r="F2215" t="s">
        <v>488</v>
      </c>
      <c r="G2215" t="s">
        <v>22128</v>
      </c>
      <c r="H2215">
        <v>16.75</v>
      </c>
      <c r="I2215">
        <v>0</v>
      </c>
      <c r="J2215">
        <v>0</v>
      </c>
      <c r="K2215">
        <v>0</v>
      </c>
      <c r="O2215">
        <v>0</v>
      </c>
      <c r="P2215">
        <v>4</v>
      </c>
      <c r="Q2215">
        <v>0</v>
      </c>
      <c r="R2215">
        <v>20.75</v>
      </c>
      <c r="S2215">
        <v>16</v>
      </c>
      <c r="T2215">
        <v>16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16</v>
      </c>
      <c r="AB2215">
        <v>3</v>
      </c>
      <c r="AC2215">
        <v>0</v>
      </c>
      <c r="AH2215">
        <v>39.75</v>
      </c>
    </row>
    <row r="2216" spans="1:34" x14ac:dyDescent="0.3">
      <c r="A2216" s="4">
        <v>2332</v>
      </c>
      <c r="B2216" s="5">
        <v>2209</v>
      </c>
      <c r="C2216">
        <v>12738</v>
      </c>
      <c r="D2216" t="s">
        <v>22129</v>
      </c>
      <c r="E2216" t="s">
        <v>188</v>
      </c>
      <c r="F2216" t="s">
        <v>38</v>
      </c>
      <c r="G2216" t="s">
        <v>22130</v>
      </c>
      <c r="H2216">
        <v>21.73</v>
      </c>
      <c r="I2216">
        <v>7</v>
      </c>
      <c r="J2216">
        <v>0</v>
      </c>
      <c r="K2216">
        <v>0</v>
      </c>
      <c r="L2216">
        <v>7</v>
      </c>
      <c r="O2216">
        <v>7</v>
      </c>
      <c r="P2216">
        <v>4</v>
      </c>
      <c r="Q2216">
        <v>0</v>
      </c>
      <c r="R2216">
        <v>39.729999999999997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H2216">
        <v>39.729999999999997</v>
      </c>
    </row>
    <row r="2217" spans="1:34" x14ac:dyDescent="0.3">
      <c r="A2217" s="4">
        <v>2333</v>
      </c>
      <c r="B2217" s="5">
        <v>2210</v>
      </c>
      <c r="C2217">
        <v>11092</v>
      </c>
      <c r="D2217" t="s">
        <v>22131</v>
      </c>
      <c r="E2217" t="s">
        <v>17</v>
      </c>
      <c r="F2217" t="s">
        <v>136</v>
      </c>
      <c r="G2217" t="s">
        <v>22132</v>
      </c>
      <c r="H2217">
        <v>16.7</v>
      </c>
      <c r="I2217">
        <v>0</v>
      </c>
      <c r="J2217">
        <v>0</v>
      </c>
      <c r="K2217">
        <v>0</v>
      </c>
      <c r="N2217">
        <v>3</v>
      </c>
      <c r="O2217">
        <v>3</v>
      </c>
      <c r="P2217">
        <v>0</v>
      </c>
      <c r="Q2217">
        <v>2</v>
      </c>
      <c r="R2217">
        <v>21.7</v>
      </c>
      <c r="S2217">
        <v>18</v>
      </c>
      <c r="T2217">
        <v>18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18</v>
      </c>
      <c r="AB2217">
        <v>0</v>
      </c>
      <c r="AC2217">
        <v>0</v>
      </c>
      <c r="AH2217">
        <v>39.700000000000003</v>
      </c>
    </row>
    <row r="2218" spans="1:34" x14ac:dyDescent="0.3">
      <c r="A2218" s="4">
        <v>2334</v>
      </c>
      <c r="B2218" s="5">
        <v>2211</v>
      </c>
      <c r="C2218">
        <v>7857</v>
      </c>
      <c r="D2218" t="s">
        <v>20556</v>
      </c>
      <c r="E2218" t="s">
        <v>100</v>
      </c>
      <c r="F2218" t="s">
        <v>124</v>
      </c>
      <c r="G2218" t="s">
        <v>22133</v>
      </c>
      <c r="H2218">
        <v>18.63</v>
      </c>
      <c r="I2218">
        <v>0</v>
      </c>
      <c r="J2218">
        <v>0</v>
      </c>
      <c r="K2218">
        <v>0</v>
      </c>
      <c r="N2218">
        <v>3</v>
      </c>
      <c r="O2218">
        <v>3</v>
      </c>
      <c r="P2218">
        <v>4</v>
      </c>
      <c r="Q2218">
        <v>2</v>
      </c>
      <c r="R2218">
        <v>27.63</v>
      </c>
      <c r="S2218">
        <v>6</v>
      </c>
      <c r="T2218">
        <v>6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6</v>
      </c>
      <c r="AB2218">
        <v>6</v>
      </c>
      <c r="AC2218">
        <v>0</v>
      </c>
      <c r="AH2218">
        <v>39.630000000000003</v>
      </c>
    </row>
    <row r="2219" spans="1:34" x14ac:dyDescent="0.3">
      <c r="A2219" s="4">
        <v>2335</v>
      </c>
      <c r="B2219" s="5">
        <v>2212</v>
      </c>
      <c r="C2219">
        <v>6349</v>
      </c>
      <c r="D2219" t="s">
        <v>22134</v>
      </c>
      <c r="E2219" t="s">
        <v>22135</v>
      </c>
      <c r="F2219" t="s">
        <v>17868</v>
      </c>
      <c r="G2219" t="s">
        <v>22136</v>
      </c>
      <c r="H2219">
        <v>18.55</v>
      </c>
      <c r="I2219">
        <v>0</v>
      </c>
      <c r="J2219">
        <v>0</v>
      </c>
      <c r="K2219">
        <v>0</v>
      </c>
      <c r="N2219">
        <v>3</v>
      </c>
      <c r="O2219">
        <v>3</v>
      </c>
      <c r="P2219">
        <v>4</v>
      </c>
      <c r="Q2219">
        <v>0</v>
      </c>
      <c r="R2219">
        <v>25.55</v>
      </c>
      <c r="S2219">
        <v>14</v>
      </c>
      <c r="T2219">
        <v>14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14</v>
      </c>
      <c r="AB2219">
        <v>0</v>
      </c>
      <c r="AC2219">
        <v>0</v>
      </c>
      <c r="AH2219">
        <v>39.549999999999997</v>
      </c>
    </row>
    <row r="2220" spans="1:34" x14ac:dyDescent="0.3">
      <c r="A2220" s="4">
        <v>2336</v>
      </c>
      <c r="B2220" s="5">
        <v>2213</v>
      </c>
      <c r="C2220">
        <v>867</v>
      </c>
      <c r="D2220" t="s">
        <v>9102</v>
      </c>
      <c r="E2220" t="s">
        <v>17</v>
      </c>
      <c r="F2220" t="s">
        <v>442</v>
      </c>
      <c r="G2220" t="s">
        <v>22137</v>
      </c>
      <c r="H2220">
        <v>21.53</v>
      </c>
      <c r="I2220">
        <v>0</v>
      </c>
      <c r="J2220">
        <v>0</v>
      </c>
      <c r="K2220">
        <v>0</v>
      </c>
      <c r="L2220">
        <v>7</v>
      </c>
      <c r="O2220">
        <v>7</v>
      </c>
      <c r="P2220">
        <v>4</v>
      </c>
      <c r="Q2220">
        <v>0</v>
      </c>
      <c r="R2220">
        <v>32.53</v>
      </c>
      <c r="S2220">
        <v>7</v>
      </c>
      <c r="T2220">
        <v>7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7</v>
      </c>
      <c r="AB2220">
        <v>0</v>
      </c>
      <c r="AC2220">
        <v>0</v>
      </c>
      <c r="AH2220">
        <v>39.53</v>
      </c>
    </row>
    <row r="2221" spans="1:34" x14ac:dyDescent="0.3">
      <c r="A2221" s="4">
        <v>2337</v>
      </c>
      <c r="B2221" s="5">
        <v>2214</v>
      </c>
      <c r="C2221">
        <v>379</v>
      </c>
      <c r="D2221" t="s">
        <v>16392</v>
      </c>
      <c r="E2221" t="s">
        <v>22138</v>
      </c>
      <c r="F2221" t="s">
        <v>68</v>
      </c>
      <c r="G2221" t="s">
        <v>22139</v>
      </c>
      <c r="H2221">
        <v>19.5</v>
      </c>
      <c r="I2221">
        <v>7</v>
      </c>
      <c r="J2221">
        <v>0</v>
      </c>
      <c r="K2221">
        <v>0</v>
      </c>
      <c r="N2221">
        <v>6</v>
      </c>
      <c r="O2221">
        <v>6</v>
      </c>
      <c r="P2221">
        <v>4</v>
      </c>
      <c r="Q2221">
        <v>0</v>
      </c>
      <c r="R2221">
        <v>36.5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3</v>
      </c>
      <c r="AC2221">
        <v>0</v>
      </c>
      <c r="AH2221">
        <v>39.5</v>
      </c>
    </row>
    <row r="2222" spans="1:34" x14ac:dyDescent="0.3">
      <c r="A2222" s="4">
        <v>2338</v>
      </c>
      <c r="B2222" s="5">
        <v>2215</v>
      </c>
      <c r="C2222">
        <v>498</v>
      </c>
      <c r="D2222" t="s">
        <v>12321</v>
      </c>
      <c r="E2222" t="s">
        <v>143</v>
      </c>
      <c r="F2222" t="s">
        <v>4176</v>
      </c>
      <c r="G2222" t="s">
        <v>22140</v>
      </c>
      <c r="H2222">
        <v>12.5</v>
      </c>
      <c r="I2222">
        <v>0</v>
      </c>
      <c r="J2222">
        <v>0</v>
      </c>
      <c r="K2222">
        <v>20</v>
      </c>
      <c r="N2222">
        <v>3</v>
      </c>
      <c r="O2222">
        <v>3</v>
      </c>
      <c r="P2222">
        <v>4</v>
      </c>
      <c r="Q2222">
        <v>0</v>
      </c>
      <c r="R2222">
        <v>39.5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H2222">
        <v>39.5</v>
      </c>
    </row>
    <row r="2223" spans="1:34" x14ac:dyDescent="0.3">
      <c r="A2223" s="4">
        <v>2339</v>
      </c>
      <c r="B2223" s="5">
        <v>2216</v>
      </c>
      <c r="C2223">
        <v>564</v>
      </c>
      <c r="D2223" t="s">
        <v>22141</v>
      </c>
      <c r="E2223" t="s">
        <v>37</v>
      </c>
      <c r="F2223" t="s">
        <v>227</v>
      </c>
      <c r="G2223" t="s">
        <v>22142</v>
      </c>
      <c r="H2223">
        <v>20.48</v>
      </c>
      <c r="I2223">
        <v>0</v>
      </c>
      <c r="J2223">
        <v>0</v>
      </c>
      <c r="K2223">
        <v>0</v>
      </c>
      <c r="L2223">
        <v>7</v>
      </c>
      <c r="O2223">
        <v>7</v>
      </c>
      <c r="P2223">
        <v>0</v>
      </c>
      <c r="Q2223">
        <v>0</v>
      </c>
      <c r="R2223">
        <v>27.48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12</v>
      </c>
      <c r="AC2223">
        <v>0</v>
      </c>
      <c r="AH2223">
        <v>39.479999999999997</v>
      </c>
    </row>
    <row r="2224" spans="1:34" x14ac:dyDescent="0.3">
      <c r="A2224" s="4">
        <v>2340</v>
      </c>
      <c r="B2224" s="5">
        <v>2217</v>
      </c>
      <c r="C2224">
        <v>986</v>
      </c>
      <c r="D2224" t="s">
        <v>22143</v>
      </c>
      <c r="E2224" t="s">
        <v>37</v>
      </c>
      <c r="F2224" t="s">
        <v>124</v>
      </c>
      <c r="G2224" t="s">
        <v>22144</v>
      </c>
      <c r="H2224">
        <v>21.45</v>
      </c>
      <c r="I2224">
        <v>0</v>
      </c>
      <c r="J2224">
        <v>0</v>
      </c>
      <c r="K2224">
        <v>0</v>
      </c>
      <c r="L2224">
        <v>14</v>
      </c>
      <c r="O2224">
        <v>14</v>
      </c>
      <c r="P2224">
        <v>4</v>
      </c>
      <c r="Q2224">
        <v>0</v>
      </c>
      <c r="R2224">
        <v>39.450000000000003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H2224">
        <v>39.450000000000003</v>
      </c>
    </row>
    <row r="2225" spans="1:34" x14ac:dyDescent="0.3">
      <c r="A2225" s="4">
        <v>2341</v>
      </c>
      <c r="B2225" s="5">
        <v>2218</v>
      </c>
      <c r="C2225">
        <v>4696</v>
      </c>
      <c r="D2225" t="s">
        <v>3981</v>
      </c>
      <c r="E2225" t="s">
        <v>110</v>
      </c>
      <c r="F2225" t="s">
        <v>62</v>
      </c>
      <c r="G2225" t="s">
        <v>22145</v>
      </c>
      <c r="H2225">
        <v>22.28</v>
      </c>
      <c r="I2225">
        <v>0</v>
      </c>
      <c r="J2225">
        <v>0</v>
      </c>
      <c r="K2225">
        <v>0</v>
      </c>
      <c r="L2225">
        <v>7</v>
      </c>
      <c r="O2225">
        <v>7</v>
      </c>
      <c r="P2225">
        <v>4</v>
      </c>
      <c r="Q2225">
        <v>0</v>
      </c>
      <c r="R2225">
        <v>33.28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6</v>
      </c>
      <c r="AC2225">
        <v>0</v>
      </c>
      <c r="AH2225">
        <v>39.28</v>
      </c>
    </row>
    <row r="2226" spans="1:34" x14ac:dyDescent="0.3">
      <c r="A2226" s="4">
        <v>2342</v>
      </c>
      <c r="B2226" s="5">
        <v>2219</v>
      </c>
      <c r="C2226">
        <v>8639</v>
      </c>
      <c r="D2226" t="s">
        <v>22146</v>
      </c>
      <c r="E2226" t="s">
        <v>41</v>
      </c>
      <c r="F2226" t="s">
        <v>17</v>
      </c>
      <c r="G2226" t="s">
        <v>22147</v>
      </c>
      <c r="H2226">
        <v>21.15</v>
      </c>
      <c r="I2226">
        <v>0</v>
      </c>
      <c r="J2226">
        <v>0</v>
      </c>
      <c r="K2226">
        <v>0</v>
      </c>
      <c r="M2226">
        <v>5</v>
      </c>
      <c r="N2226">
        <v>3</v>
      </c>
      <c r="O2226">
        <v>8</v>
      </c>
      <c r="P2226">
        <v>4</v>
      </c>
      <c r="Q2226">
        <v>0</v>
      </c>
      <c r="R2226">
        <v>33.15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6</v>
      </c>
      <c r="AC2226">
        <v>0</v>
      </c>
      <c r="AH2226">
        <v>39.15</v>
      </c>
    </row>
    <row r="2227" spans="1:34" x14ac:dyDescent="0.3">
      <c r="A2227" s="4">
        <v>2343</v>
      </c>
      <c r="B2227" s="5">
        <v>2220</v>
      </c>
      <c r="C2227">
        <v>6002</v>
      </c>
      <c r="D2227" t="s">
        <v>3404</v>
      </c>
      <c r="E2227" t="s">
        <v>110</v>
      </c>
      <c r="F2227" t="s">
        <v>81</v>
      </c>
      <c r="G2227" t="s">
        <v>22148</v>
      </c>
      <c r="H2227">
        <v>23.15</v>
      </c>
      <c r="I2227">
        <v>0</v>
      </c>
      <c r="J2227">
        <v>0</v>
      </c>
      <c r="K2227">
        <v>0</v>
      </c>
      <c r="L2227">
        <v>7</v>
      </c>
      <c r="M2227">
        <v>5</v>
      </c>
      <c r="O2227">
        <v>12</v>
      </c>
      <c r="P2227">
        <v>4</v>
      </c>
      <c r="Q2227">
        <v>0</v>
      </c>
      <c r="R2227">
        <v>39.15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H2227">
        <v>39.15</v>
      </c>
    </row>
    <row r="2228" spans="1:34" x14ac:dyDescent="0.3">
      <c r="A2228" s="4">
        <v>2344</v>
      </c>
      <c r="B2228" s="5">
        <v>2221</v>
      </c>
      <c r="C2228">
        <v>6069</v>
      </c>
      <c r="D2228" t="s">
        <v>22149</v>
      </c>
      <c r="E2228" t="s">
        <v>273</v>
      </c>
      <c r="F2228" t="s">
        <v>238</v>
      </c>
      <c r="G2228" t="s">
        <v>22150</v>
      </c>
      <c r="H2228">
        <v>17.100000000000001</v>
      </c>
      <c r="I2228">
        <v>0</v>
      </c>
      <c r="J2228">
        <v>0</v>
      </c>
      <c r="K2228">
        <v>0</v>
      </c>
      <c r="O2228">
        <v>0</v>
      </c>
      <c r="P2228">
        <v>4</v>
      </c>
      <c r="Q2228">
        <v>0</v>
      </c>
      <c r="R2228">
        <v>21.1</v>
      </c>
      <c r="S2228">
        <v>18</v>
      </c>
      <c r="T2228">
        <v>18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18</v>
      </c>
      <c r="AB2228">
        <v>0</v>
      </c>
      <c r="AC2228">
        <v>0</v>
      </c>
      <c r="AH2228">
        <v>39.1</v>
      </c>
    </row>
    <row r="2229" spans="1:34" x14ac:dyDescent="0.3">
      <c r="A2229" s="4">
        <v>2345</v>
      </c>
      <c r="B2229" s="5">
        <v>2222</v>
      </c>
      <c r="C2229">
        <v>8415</v>
      </c>
      <c r="D2229" t="s">
        <v>2036</v>
      </c>
      <c r="E2229" t="s">
        <v>29</v>
      </c>
      <c r="F2229" t="s">
        <v>81</v>
      </c>
      <c r="G2229" t="s">
        <v>22151</v>
      </c>
      <c r="H2229">
        <v>19.05</v>
      </c>
      <c r="I2229">
        <v>0</v>
      </c>
      <c r="J2229">
        <v>0</v>
      </c>
      <c r="K2229">
        <v>0</v>
      </c>
      <c r="L2229">
        <v>7</v>
      </c>
      <c r="O2229">
        <v>7</v>
      </c>
      <c r="P2229">
        <v>4</v>
      </c>
      <c r="Q2229">
        <v>0</v>
      </c>
      <c r="R2229">
        <v>30.05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9</v>
      </c>
      <c r="AC2229">
        <v>0</v>
      </c>
      <c r="AH2229">
        <v>39.049999999999997</v>
      </c>
    </row>
    <row r="2230" spans="1:34" x14ac:dyDescent="0.3">
      <c r="A2230" s="4">
        <v>2346</v>
      </c>
      <c r="B2230" s="5">
        <v>2223</v>
      </c>
      <c r="C2230">
        <v>6704</v>
      </c>
      <c r="D2230" t="s">
        <v>22152</v>
      </c>
      <c r="E2230" t="s">
        <v>126</v>
      </c>
      <c r="F2230" t="s">
        <v>117</v>
      </c>
      <c r="G2230" t="s">
        <v>22153</v>
      </c>
      <c r="H2230">
        <v>18</v>
      </c>
      <c r="I2230">
        <v>0</v>
      </c>
      <c r="J2230">
        <v>0</v>
      </c>
      <c r="K2230">
        <v>0</v>
      </c>
      <c r="N2230">
        <v>3</v>
      </c>
      <c r="O2230">
        <v>3</v>
      </c>
      <c r="P2230">
        <v>0</v>
      </c>
      <c r="Q2230">
        <v>0</v>
      </c>
      <c r="R2230">
        <v>21</v>
      </c>
      <c r="S2230">
        <v>18</v>
      </c>
      <c r="T2230">
        <v>18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18</v>
      </c>
      <c r="AB2230">
        <v>0</v>
      </c>
      <c r="AC2230">
        <v>0</v>
      </c>
      <c r="AH2230">
        <v>39</v>
      </c>
    </row>
    <row r="2231" spans="1:34" x14ac:dyDescent="0.3">
      <c r="A2231" s="4">
        <v>2347</v>
      </c>
      <c r="B2231" s="5">
        <v>2224</v>
      </c>
      <c r="C2231">
        <v>7986</v>
      </c>
      <c r="D2231" t="s">
        <v>6107</v>
      </c>
      <c r="E2231" t="s">
        <v>54</v>
      </c>
      <c r="F2231" t="s">
        <v>20</v>
      </c>
      <c r="G2231" t="s">
        <v>22154</v>
      </c>
      <c r="H2231">
        <v>18.98</v>
      </c>
      <c r="I2231">
        <v>0</v>
      </c>
      <c r="J2231">
        <v>0</v>
      </c>
      <c r="K2231">
        <v>0</v>
      </c>
      <c r="L2231">
        <v>7</v>
      </c>
      <c r="N2231">
        <v>3</v>
      </c>
      <c r="O2231">
        <v>10</v>
      </c>
      <c r="P2231">
        <v>4</v>
      </c>
      <c r="Q2231">
        <v>0</v>
      </c>
      <c r="R2231">
        <v>32.979999999999997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6</v>
      </c>
      <c r="AC2231">
        <v>0</v>
      </c>
      <c r="AH2231">
        <v>38.979999999999997</v>
      </c>
    </row>
    <row r="2232" spans="1:34" x14ac:dyDescent="0.3">
      <c r="A2232" s="4">
        <v>2348</v>
      </c>
      <c r="B2232" s="5">
        <v>2225</v>
      </c>
      <c r="C2232">
        <v>9117</v>
      </c>
      <c r="D2232" t="s">
        <v>1624</v>
      </c>
      <c r="E2232" t="s">
        <v>219</v>
      </c>
      <c r="F2232" t="s">
        <v>17</v>
      </c>
      <c r="G2232" t="s">
        <v>22155</v>
      </c>
      <c r="H2232">
        <v>17.98</v>
      </c>
      <c r="I2232">
        <v>0</v>
      </c>
      <c r="J2232">
        <v>0</v>
      </c>
      <c r="K2232">
        <v>0</v>
      </c>
      <c r="N2232">
        <v>3</v>
      </c>
      <c r="O2232">
        <v>3</v>
      </c>
      <c r="P2232">
        <v>4</v>
      </c>
      <c r="Q2232">
        <v>2</v>
      </c>
      <c r="R2232">
        <v>26.98</v>
      </c>
      <c r="S2232">
        <v>6</v>
      </c>
      <c r="T2232">
        <v>6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6</v>
      </c>
      <c r="AB2232">
        <v>6</v>
      </c>
      <c r="AC2232">
        <v>0</v>
      </c>
      <c r="AH2232">
        <v>38.979999999999997</v>
      </c>
    </row>
    <row r="2233" spans="1:34" x14ac:dyDescent="0.3">
      <c r="A2233" s="4">
        <v>2349</v>
      </c>
      <c r="B2233" s="5">
        <v>2226</v>
      </c>
      <c r="C2233">
        <v>5502</v>
      </c>
      <c r="D2233" t="s">
        <v>22156</v>
      </c>
      <c r="E2233" t="s">
        <v>1998</v>
      </c>
      <c r="F2233" t="s">
        <v>22157</v>
      </c>
      <c r="G2233" t="s">
        <v>22158</v>
      </c>
      <c r="H2233">
        <v>16.95</v>
      </c>
      <c r="I2233">
        <v>0</v>
      </c>
      <c r="J2233">
        <v>0</v>
      </c>
      <c r="K2233">
        <v>0</v>
      </c>
      <c r="N2233">
        <v>3</v>
      </c>
      <c r="O2233">
        <v>3</v>
      </c>
      <c r="P2233">
        <v>4</v>
      </c>
      <c r="Q2233">
        <v>0</v>
      </c>
      <c r="R2233">
        <v>23.95</v>
      </c>
      <c r="S2233">
        <v>15</v>
      </c>
      <c r="T2233">
        <v>15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15</v>
      </c>
      <c r="AB2233">
        <v>0</v>
      </c>
      <c r="AC2233">
        <v>0</v>
      </c>
      <c r="AH2233">
        <v>38.950000000000003</v>
      </c>
    </row>
    <row r="2234" spans="1:34" x14ac:dyDescent="0.3">
      <c r="A2234" s="4">
        <v>2350</v>
      </c>
      <c r="B2234" s="5">
        <v>2227</v>
      </c>
      <c r="C2234">
        <v>377</v>
      </c>
      <c r="D2234" t="s">
        <v>22159</v>
      </c>
      <c r="E2234" t="s">
        <v>22160</v>
      </c>
      <c r="F2234" t="s">
        <v>22161</v>
      </c>
      <c r="G2234" t="s">
        <v>22162</v>
      </c>
      <c r="H2234">
        <v>19.899999999999999</v>
      </c>
      <c r="I2234">
        <v>0</v>
      </c>
      <c r="J2234">
        <v>0</v>
      </c>
      <c r="K2234">
        <v>0</v>
      </c>
      <c r="N2234">
        <v>3</v>
      </c>
      <c r="O2234">
        <v>3</v>
      </c>
      <c r="P2234">
        <v>4</v>
      </c>
      <c r="Q2234">
        <v>2</v>
      </c>
      <c r="R2234">
        <v>28.9</v>
      </c>
      <c r="S2234">
        <v>7</v>
      </c>
      <c r="T2234">
        <v>7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7</v>
      </c>
      <c r="AB2234">
        <v>3</v>
      </c>
      <c r="AC2234">
        <v>0</v>
      </c>
      <c r="AD2234" t="s">
        <v>130</v>
      </c>
      <c r="AH2234">
        <v>38.9</v>
      </c>
    </row>
    <row r="2235" spans="1:34" x14ac:dyDescent="0.3">
      <c r="A2235" s="4">
        <v>2351</v>
      </c>
      <c r="B2235" s="5">
        <v>2228</v>
      </c>
      <c r="C2235">
        <v>6778</v>
      </c>
      <c r="D2235" t="s">
        <v>21011</v>
      </c>
      <c r="E2235" t="s">
        <v>166</v>
      </c>
      <c r="F2235" t="s">
        <v>20</v>
      </c>
      <c r="G2235" t="s">
        <v>22163</v>
      </c>
      <c r="H2235">
        <v>20.85</v>
      </c>
      <c r="I2235">
        <v>0</v>
      </c>
      <c r="J2235">
        <v>0</v>
      </c>
      <c r="K2235">
        <v>0</v>
      </c>
      <c r="N2235">
        <v>3</v>
      </c>
      <c r="O2235">
        <v>3</v>
      </c>
      <c r="P2235">
        <v>4</v>
      </c>
      <c r="Q2235">
        <v>2</v>
      </c>
      <c r="R2235">
        <v>29.85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9</v>
      </c>
      <c r="AC2235">
        <v>0</v>
      </c>
      <c r="AH2235">
        <v>38.85</v>
      </c>
    </row>
    <row r="2236" spans="1:34" x14ac:dyDescent="0.3">
      <c r="A2236" s="4">
        <v>2352</v>
      </c>
      <c r="B2236" s="5">
        <v>2229</v>
      </c>
      <c r="C2236">
        <v>10160</v>
      </c>
      <c r="D2236" t="s">
        <v>5130</v>
      </c>
      <c r="E2236" t="s">
        <v>5080</v>
      </c>
      <c r="F2236" t="s">
        <v>136</v>
      </c>
      <c r="G2236" t="s">
        <v>22164</v>
      </c>
      <c r="H2236">
        <v>18.829999999999998</v>
      </c>
      <c r="I2236">
        <v>0</v>
      </c>
      <c r="J2236">
        <v>0</v>
      </c>
      <c r="K2236">
        <v>0</v>
      </c>
      <c r="N2236">
        <v>3</v>
      </c>
      <c r="O2236">
        <v>3</v>
      </c>
      <c r="P2236">
        <v>4</v>
      </c>
      <c r="Q2236">
        <v>0</v>
      </c>
      <c r="R2236">
        <v>25.83</v>
      </c>
      <c r="S2236">
        <v>4</v>
      </c>
      <c r="T2236">
        <v>4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4</v>
      </c>
      <c r="AB2236">
        <v>9</v>
      </c>
      <c r="AC2236">
        <v>0</v>
      </c>
      <c r="AH2236">
        <v>38.83</v>
      </c>
    </row>
    <row r="2237" spans="1:34" x14ac:dyDescent="0.3">
      <c r="A2237" s="4">
        <v>2353</v>
      </c>
      <c r="B2237" s="5">
        <v>2230</v>
      </c>
      <c r="C2237">
        <v>8727</v>
      </c>
      <c r="D2237" t="s">
        <v>22165</v>
      </c>
      <c r="E2237" t="s">
        <v>100</v>
      </c>
      <c r="F2237" t="s">
        <v>570</v>
      </c>
      <c r="G2237" t="s">
        <v>22166</v>
      </c>
      <c r="H2237">
        <v>20.83</v>
      </c>
      <c r="I2237">
        <v>0</v>
      </c>
      <c r="J2237">
        <v>0</v>
      </c>
      <c r="K2237">
        <v>0</v>
      </c>
      <c r="L2237">
        <v>14</v>
      </c>
      <c r="O2237">
        <v>14</v>
      </c>
      <c r="P2237">
        <v>4</v>
      </c>
      <c r="Q2237">
        <v>0</v>
      </c>
      <c r="R2237">
        <v>38.83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H2237">
        <v>38.83</v>
      </c>
    </row>
    <row r="2238" spans="1:34" x14ac:dyDescent="0.3">
      <c r="A2238" s="4">
        <v>2354</v>
      </c>
      <c r="B2238" s="5">
        <v>2231</v>
      </c>
      <c r="C2238">
        <v>13263</v>
      </c>
      <c r="D2238" t="s">
        <v>22167</v>
      </c>
      <c r="E2238" t="s">
        <v>34</v>
      </c>
      <c r="F2238" t="s">
        <v>17</v>
      </c>
      <c r="G2238" t="s">
        <v>22168</v>
      </c>
      <c r="H2238">
        <v>19.73</v>
      </c>
      <c r="I2238">
        <v>0</v>
      </c>
      <c r="J2238">
        <v>0</v>
      </c>
      <c r="K2238">
        <v>0</v>
      </c>
      <c r="L2238">
        <v>7</v>
      </c>
      <c r="O2238">
        <v>7</v>
      </c>
      <c r="P2238">
        <v>4</v>
      </c>
      <c r="Q2238">
        <v>2</v>
      </c>
      <c r="R2238">
        <v>32.729999999999997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6</v>
      </c>
      <c r="AC2238">
        <v>0</v>
      </c>
      <c r="AH2238">
        <v>38.729999999999997</v>
      </c>
    </row>
    <row r="2239" spans="1:34" x14ac:dyDescent="0.3">
      <c r="A2239" s="4">
        <v>2355</v>
      </c>
      <c r="B2239" s="5">
        <v>2232</v>
      </c>
      <c r="C2239">
        <v>4747</v>
      </c>
      <c r="D2239" t="s">
        <v>22169</v>
      </c>
      <c r="E2239" t="s">
        <v>33</v>
      </c>
      <c r="F2239" t="s">
        <v>81</v>
      </c>
      <c r="G2239" t="s">
        <v>22170</v>
      </c>
      <c r="H2239">
        <v>17.73</v>
      </c>
      <c r="I2239">
        <v>0</v>
      </c>
      <c r="J2239">
        <v>0</v>
      </c>
      <c r="K2239">
        <v>0</v>
      </c>
      <c r="O2239">
        <v>0</v>
      </c>
      <c r="P2239">
        <v>4</v>
      </c>
      <c r="Q2239">
        <v>2</v>
      </c>
      <c r="R2239">
        <v>23.73</v>
      </c>
      <c r="S2239">
        <v>15</v>
      </c>
      <c r="T2239">
        <v>15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15</v>
      </c>
      <c r="AB2239">
        <v>0</v>
      </c>
      <c r="AC2239">
        <v>0</v>
      </c>
      <c r="AH2239">
        <v>38.729999999999997</v>
      </c>
    </row>
    <row r="2240" spans="1:34" x14ac:dyDescent="0.3">
      <c r="A2240" s="4">
        <v>2356</v>
      </c>
      <c r="B2240" s="5">
        <v>2233</v>
      </c>
      <c r="C2240">
        <v>6598</v>
      </c>
      <c r="D2240" t="s">
        <v>22171</v>
      </c>
      <c r="E2240" t="s">
        <v>5730</v>
      </c>
      <c r="F2240" t="s">
        <v>38</v>
      </c>
      <c r="G2240" t="s">
        <v>22172</v>
      </c>
      <c r="H2240">
        <v>16.68</v>
      </c>
      <c r="I2240">
        <v>0</v>
      </c>
      <c r="J2240">
        <v>0</v>
      </c>
      <c r="K2240">
        <v>0</v>
      </c>
      <c r="L2240">
        <v>7</v>
      </c>
      <c r="O2240">
        <v>7</v>
      </c>
      <c r="P2240">
        <v>4</v>
      </c>
      <c r="Q2240">
        <v>2</v>
      </c>
      <c r="R2240">
        <v>29.68</v>
      </c>
      <c r="S2240">
        <v>9</v>
      </c>
      <c r="T2240">
        <v>9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9</v>
      </c>
      <c r="AB2240">
        <v>0</v>
      </c>
      <c r="AC2240">
        <v>0</v>
      </c>
      <c r="AH2240">
        <v>38.68</v>
      </c>
    </row>
    <row r="2241" spans="1:34" x14ac:dyDescent="0.3">
      <c r="A2241" s="4">
        <v>2357</v>
      </c>
      <c r="B2241" s="5">
        <v>2234</v>
      </c>
      <c r="C2241">
        <v>10764</v>
      </c>
      <c r="D2241" t="s">
        <v>3905</v>
      </c>
      <c r="E2241" t="s">
        <v>550</v>
      </c>
      <c r="F2241" t="s">
        <v>81</v>
      </c>
      <c r="G2241" t="s">
        <v>22173</v>
      </c>
      <c r="H2241">
        <v>17.649999999999999</v>
      </c>
      <c r="I2241">
        <v>0</v>
      </c>
      <c r="J2241">
        <v>0</v>
      </c>
      <c r="K2241">
        <v>0</v>
      </c>
      <c r="N2241">
        <v>3</v>
      </c>
      <c r="O2241">
        <v>3</v>
      </c>
      <c r="P2241">
        <v>0</v>
      </c>
      <c r="Q2241">
        <v>0</v>
      </c>
      <c r="R2241">
        <v>20.65</v>
      </c>
      <c r="S2241">
        <v>18</v>
      </c>
      <c r="T2241">
        <v>18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18</v>
      </c>
      <c r="AB2241">
        <v>0</v>
      </c>
      <c r="AC2241">
        <v>0</v>
      </c>
      <c r="AH2241">
        <v>38.65</v>
      </c>
    </row>
    <row r="2242" spans="1:34" x14ac:dyDescent="0.3">
      <c r="A2242" s="4">
        <v>2358</v>
      </c>
      <c r="B2242" s="5">
        <v>2235</v>
      </c>
      <c r="C2242">
        <v>4649</v>
      </c>
      <c r="D2242" t="s">
        <v>6357</v>
      </c>
      <c r="E2242" t="s">
        <v>2843</v>
      </c>
      <c r="F2242" t="s">
        <v>7403</v>
      </c>
      <c r="G2242" t="s">
        <v>22174</v>
      </c>
      <c r="H2242">
        <v>20.63</v>
      </c>
      <c r="I2242">
        <v>0</v>
      </c>
      <c r="J2242">
        <v>0</v>
      </c>
      <c r="K2242">
        <v>0</v>
      </c>
      <c r="N2242">
        <v>3</v>
      </c>
      <c r="O2242">
        <v>3</v>
      </c>
      <c r="P2242">
        <v>4</v>
      </c>
      <c r="Q2242">
        <v>0</v>
      </c>
      <c r="R2242">
        <v>27.63</v>
      </c>
      <c r="S2242">
        <v>5</v>
      </c>
      <c r="T2242">
        <v>5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5</v>
      </c>
      <c r="AB2242">
        <v>6</v>
      </c>
      <c r="AC2242">
        <v>0</v>
      </c>
      <c r="AH2242">
        <v>38.630000000000003</v>
      </c>
    </row>
    <row r="2243" spans="1:34" x14ac:dyDescent="0.3">
      <c r="A2243" s="4">
        <v>2359</v>
      </c>
      <c r="B2243" s="5">
        <v>2236</v>
      </c>
      <c r="C2243">
        <v>8609</v>
      </c>
      <c r="D2243" t="s">
        <v>15446</v>
      </c>
      <c r="E2243" t="s">
        <v>4362</v>
      </c>
      <c r="F2243" t="s">
        <v>12504</v>
      </c>
      <c r="G2243" t="s">
        <v>22175</v>
      </c>
      <c r="H2243">
        <v>12.5</v>
      </c>
      <c r="I2243">
        <v>0</v>
      </c>
      <c r="J2243">
        <v>0</v>
      </c>
      <c r="K2243">
        <v>20</v>
      </c>
      <c r="N2243">
        <v>3</v>
      </c>
      <c r="O2243">
        <v>3</v>
      </c>
      <c r="P2243">
        <v>0</v>
      </c>
      <c r="Q2243">
        <v>0</v>
      </c>
      <c r="R2243">
        <v>35.5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3</v>
      </c>
      <c r="AC2243">
        <v>0</v>
      </c>
      <c r="AH2243">
        <v>38.5</v>
      </c>
    </row>
    <row r="2244" spans="1:34" x14ac:dyDescent="0.3">
      <c r="A2244" s="4">
        <v>2360</v>
      </c>
      <c r="B2244" s="5">
        <v>2237</v>
      </c>
      <c r="C2244">
        <v>1844</v>
      </c>
      <c r="D2244" t="s">
        <v>5911</v>
      </c>
      <c r="E2244" t="s">
        <v>858</v>
      </c>
      <c r="F2244" t="s">
        <v>62</v>
      </c>
      <c r="G2244" t="s">
        <v>22176</v>
      </c>
      <c r="H2244">
        <v>17.48</v>
      </c>
      <c r="I2244">
        <v>0</v>
      </c>
      <c r="J2244">
        <v>0</v>
      </c>
      <c r="K2244">
        <v>0</v>
      </c>
      <c r="N2244">
        <v>3</v>
      </c>
      <c r="O2244">
        <v>3</v>
      </c>
      <c r="P2244">
        <v>4</v>
      </c>
      <c r="Q2244">
        <v>0</v>
      </c>
      <c r="R2244">
        <v>24.48</v>
      </c>
      <c r="S2244">
        <v>8</v>
      </c>
      <c r="T2244">
        <v>8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8</v>
      </c>
      <c r="AB2244">
        <v>6</v>
      </c>
      <c r="AC2244">
        <v>0</v>
      </c>
      <c r="AH2244">
        <v>38.479999999999997</v>
      </c>
    </row>
    <row r="2245" spans="1:34" x14ac:dyDescent="0.3">
      <c r="A2245" s="4">
        <v>2361</v>
      </c>
      <c r="B2245" s="5">
        <v>2238</v>
      </c>
      <c r="C2245">
        <v>12395</v>
      </c>
      <c r="D2245" t="s">
        <v>2115</v>
      </c>
      <c r="E2245" t="s">
        <v>26</v>
      </c>
      <c r="F2245" t="s">
        <v>243</v>
      </c>
      <c r="G2245" t="s">
        <v>22177</v>
      </c>
      <c r="H2245">
        <v>17.43</v>
      </c>
      <c r="I2245">
        <v>0</v>
      </c>
      <c r="J2245">
        <v>0</v>
      </c>
      <c r="K2245">
        <v>0</v>
      </c>
      <c r="L2245">
        <v>7</v>
      </c>
      <c r="O2245">
        <v>7</v>
      </c>
      <c r="P2245">
        <v>4</v>
      </c>
      <c r="Q2245">
        <v>0</v>
      </c>
      <c r="R2245">
        <v>28.43</v>
      </c>
      <c r="S2245">
        <v>7</v>
      </c>
      <c r="T2245">
        <v>7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7</v>
      </c>
      <c r="AB2245">
        <v>3</v>
      </c>
      <c r="AC2245">
        <v>0</v>
      </c>
      <c r="AH2245">
        <v>38.43</v>
      </c>
    </row>
    <row r="2246" spans="1:34" x14ac:dyDescent="0.3">
      <c r="A2246" s="4">
        <v>2362</v>
      </c>
      <c r="B2246" s="5">
        <v>2239</v>
      </c>
      <c r="C2246">
        <v>3715</v>
      </c>
      <c r="D2246" t="s">
        <v>22178</v>
      </c>
      <c r="E2246" t="s">
        <v>33</v>
      </c>
      <c r="F2246" t="s">
        <v>81</v>
      </c>
      <c r="G2246" t="s">
        <v>22179</v>
      </c>
      <c r="H2246">
        <v>19.399999999999999</v>
      </c>
      <c r="I2246">
        <v>0</v>
      </c>
      <c r="J2246">
        <v>0</v>
      </c>
      <c r="K2246">
        <v>0</v>
      </c>
      <c r="L2246">
        <v>7</v>
      </c>
      <c r="O2246">
        <v>7</v>
      </c>
      <c r="P2246">
        <v>4</v>
      </c>
      <c r="Q2246">
        <v>2</v>
      </c>
      <c r="R2246">
        <v>32.4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6</v>
      </c>
      <c r="AC2246">
        <v>0</v>
      </c>
      <c r="AH2246">
        <v>38.4</v>
      </c>
    </row>
    <row r="2247" spans="1:34" x14ac:dyDescent="0.3">
      <c r="A2247" s="4">
        <v>2363</v>
      </c>
      <c r="B2247" s="5">
        <v>2240</v>
      </c>
      <c r="C2247">
        <v>12298</v>
      </c>
      <c r="D2247" t="s">
        <v>7301</v>
      </c>
      <c r="E2247" t="s">
        <v>41</v>
      </c>
      <c r="F2247" t="s">
        <v>38</v>
      </c>
      <c r="G2247" t="s">
        <v>22180</v>
      </c>
      <c r="H2247">
        <v>18.38</v>
      </c>
      <c r="I2247">
        <v>0</v>
      </c>
      <c r="J2247">
        <v>0</v>
      </c>
      <c r="K2247">
        <v>0</v>
      </c>
      <c r="O2247">
        <v>0</v>
      </c>
      <c r="P2247">
        <v>4</v>
      </c>
      <c r="Q2247">
        <v>2</v>
      </c>
      <c r="R2247">
        <v>24.38</v>
      </c>
      <c r="S2247">
        <v>8</v>
      </c>
      <c r="T2247">
        <v>8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8</v>
      </c>
      <c r="AB2247">
        <v>6</v>
      </c>
      <c r="AC2247">
        <v>0</v>
      </c>
      <c r="AH2247">
        <v>38.380000000000003</v>
      </c>
    </row>
    <row r="2248" spans="1:34" x14ac:dyDescent="0.3">
      <c r="A2248" s="4">
        <v>2364</v>
      </c>
      <c r="B2248" s="5">
        <v>2241</v>
      </c>
      <c r="C2248">
        <v>9167</v>
      </c>
      <c r="D2248" t="s">
        <v>22181</v>
      </c>
      <c r="E2248" t="s">
        <v>792</v>
      </c>
      <c r="F2248" t="s">
        <v>22182</v>
      </c>
      <c r="G2248" t="s">
        <v>22183</v>
      </c>
      <c r="H2248">
        <v>16.329999999999998</v>
      </c>
      <c r="I2248">
        <v>0</v>
      </c>
      <c r="J2248">
        <v>0</v>
      </c>
      <c r="K2248">
        <v>0</v>
      </c>
      <c r="L2248">
        <v>7</v>
      </c>
      <c r="O2248">
        <v>7</v>
      </c>
      <c r="P2248">
        <v>0</v>
      </c>
      <c r="Q2248">
        <v>0</v>
      </c>
      <c r="R2248">
        <v>23.33</v>
      </c>
      <c r="S2248">
        <v>15</v>
      </c>
      <c r="T2248">
        <v>15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15</v>
      </c>
      <c r="AB2248">
        <v>0</v>
      </c>
      <c r="AC2248">
        <v>0</v>
      </c>
      <c r="AH2248">
        <v>38.33</v>
      </c>
    </row>
    <row r="2249" spans="1:34" x14ac:dyDescent="0.3">
      <c r="A2249" s="4">
        <v>2365</v>
      </c>
      <c r="B2249" s="5">
        <v>2242</v>
      </c>
      <c r="C2249">
        <v>10845</v>
      </c>
      <c r="D2249" t="s">
        <v>22184</v>
      </c>
      <c r="E2249" t="s">
        <v>594</v>
      </c>
      <c r="F2249" t="s">
        <v>10541</v>
      </c>
      <c r="G2249" t="s">
        <v>22185</v>
      </c>
      <c r="H2249">
        <v>19.2</v>
      </c>
      <c r="I2249">
        <v>0</v>
      </c>
      <c r="J2249">
        <v>0</v>
      </c>
      <c r="K2249">
        <v>0</v>
      </c>
      <c r="N2249">
        <v>3</v>
      </c>
      <c r="O2249">
        <v>3</v>
      </c>
      <c r="P2249">
        <v>4</v>
      </c>
      <c r="Q2249">
        <v>0</v>
      </c>
      <c r="R2249">
        <v>26.2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12</v>
      </c>
      <c r="AC2249">
        <v>0</v>
      </c>
      <c r="AH2249">
        <v>38.200000000000003</v>
      </c>
    </row>
    <row r="2250" spans="1:34" x14ac:dyDescent="0.3">
      <c r="A2250" s="4">
        <v>2366</v>
      </c>
      <c r="B2250" s="5">
        <v>2243</v>
      </c>
      <c r="C2250">
        <v>13030</v>
      </c>
      <c r="D2250" t="s">
        <v>22186</v>
      </c>
      <c r="E2250" t="s">
        <v>22187</v>
      </c>
      <c r="F2250" t="s">
        <v>3511</v>
      </c>
      <c r="G2250" t="s">
        <v>22188</v>
      </c>
      <c r="H2250">
        <v>18.2</v>
      </c>
      <c r="I2250">
        <v>0</v>
      </c>
      <c r="J2250">
        <v>0</v>
      </c>
      <c r="K2250">
        <v>20</v>
      </c>
      <c r="O2250">
        <v>0</v>
      </c>
      <c r="P2250">
        <v>0</v>
      </c>
      <c r="Q2250">
        <v>0</v>
      </c>
      <c r="R2250">
        <v>38.200000000000003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H2250">
        <v>38.200000000000003</v>
      </c>
    </row>
    <row r="2251" spans="1:34" x14ac:dyDescent="0.3">
      <c r="A2251" s="4">
        <v>2367</v>
      </c>
      <c r="B2251" s="5">
        <v>2244</v>
      </c>
      <c r="C2251">
        <v>9097</v>
      </c>
      <c r="D2251" t="s">
        <v>22189</v>
      </c>
      <c r="E2251" t="s">
        <v>22190</v>
      </c>
      <c r="F2251" t="s">
        <v>81</v>
      </c>
      <c r="G2251" t="s">
        <v>22191</v>
      </c>
      <c r="H2251">
        <v>17.2</v>
      </c>
      <c r="I2251">
        <v>0</v>
      </c>
      <c r="J2251">
        <v>0</v>
      </c>
      <c r="K2251">
        <v>0</v>
      </c>
      <c r="O2251">
        <v>0</v>
      </c>
      <c r="P2251">
        <v>0</v>
      </c>
      <c r="Q2251">
        <v>0</v>
      </c>
      <c r="R2251">
        <v>17.2</v>
      </c>
      <c r="S2251">
        <v>5</v>
      </c>
      <c r="T2251">
        <v>5</v>
      </c>
      <c r="U2251">
        <v>8</v>
      </c>
      <c r="V2251">
        <v>16</v>
      </c>
      <c r="W2251">
        <v>0</v>
      </c>
      <c r="X2251">
        <v>0</v>
      </c>
      <c r="Y2251">
        <v>0</v>
      </c>
      <c r="Z2251">
        <v>0</v>
      </c>
      <c r="AA2251">
        <v>21</v>
      </c>
      <c r="AB2251">
        <v>0</v>
      </c>
      <c r="AC2251">
        <v>0</v>
      </c>
      <c r="AH2251">
        <v>38.200000000000003</v>
      </c>
    </row>
    <row r="2252" spans="1:34" x14ac:dyDescent="0.3">
      <c r="A2252" s="4">
        <v>2368</v>
      </c>
      <c r="B2252" s="5">
        <v>2245</v>
      </c>
      <c r="C2252">
        <v>10749</v>
      </c>
      <c r="D2252" t="s">
        <v>22192</v>
      </c>
      <c r="E2252" t="s">
        <v>964</v>
      </c>
      <c r="F2252" t="s">
        <v>361</v>
      </c>
      <c r="G2252" t="s">
        <v>22193</v>
      </c>
      <c r="H2252">
        <v>17.05</v>
      </c>
      <c r="I2252">
        <v>0</v>
      </c>
      <c r="J2252">
        <v>0</v>
      </c>
      <c r="K2252">
        <v>0</v>
      </c>
      <c r="N2252">
        <v>3</v>
      </c>
      <c r="O2252">
        <v>3</v>
      </c>
      <c r="P2252">
        <v>4</v>
      </c>
      <c r="Q2252">
        <v>0</v>
      </c>
      <c r="R2252">
        <v>24.05</v>
      </c>
      <c r="S2252">
        <v>14</v>
      </c>
      <c r="T2252">
        <v>14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14</v>
      </c>
      <c r="AB2252">
        <v>0</v>
      </c>
      <c r="AC2252">
        <v>0</v>
      </c>
      <c r="AE2252" t="s">
        <v>130</v>
      </c>
      <c r="AH2252">
        <v>38.049999999999997</v>
      </c>
    </row>
    <row r="2253" spans="1:34" x14ac:dyDescent="0.3">
      <c r="A2253" s="4">
        <v>2369</v>
      </c>
      <c r="B2253" s="5">
        <v>2246</v>
      </c>
      <c r="C2253">
        <v>9822</v>
      </c>
      <c r="D2253" t="s">
        <v>2460</v>
      </c>
      <c r="E2253" t="s">
        <v>1242</v>
      </c>
      <c r="F2253" t="s">
        <v>17</v>
      </c>
      <c r="G2253" t="s">
        <v>22194</v>
      </c>
      <c r="H2253">
        <v>18.03</v>
      </c>
      <c r="I2253">
        <v>0</v>
      </c>
      <c r="J2253">
        <v>0</v>
      </c>
      <c r="K2253">
        <v>0</v>
      </c>
      <c r="L2253">
        <v>7</v>
      </c>
      <c r="O2253">
        <v>7</v>
      </c>
      <c r="P2253">
        <v>4</v>
      </c>
      <c r="Q2253">
        <v>0</v>
      </c>
      <c r="R2253">
        <v>29.03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9</v>
      </c>
      <c r="AC2253">
        <v>0</v>
      </c>
      <c r="AH2253">
        <v>38.03</v>
      </c>
    </row>
    <row r="2254" spans="1:34" x14ac:dyDescent="0.3">
      <c r="A2254" s="4">
        <v>2370</v>
      </c>
      <c r="B2254" s="5">
        <v>2247</v>
      </c>
      <c r="C2254">
        <v>9350</v>
      </c>
      <c r="D2254" t="s">
        <v>20390</v>
      </c>
      <c r="E2254" t="s">
        <v>301</v>
      </c>
      <c r="F2254" t="s">
        <v>20</v>
      </c>
      <c r="G2254" t="s">
        <v>32073</v>
      </c>
      <c r="H2254">
        <v>18</v>
      </c>
      <c r="I2254">
        <v>7</v>
      </c>
      <c r="J2254">
        <v>0</v>
      </c>
      <c r="K2254">
        <v>0</v>
      </c>
      <c r="N2254">
        <v>3</v>
      </c>
      <c r="O2254">
        <v>3</v>
      </c>
      <c r="P2254">
        <v>4</v>
      </c>
      <c r="Q2254">
        <v>0</v>
      </c>
      <c r="R2254">
        <v>32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6</v>
      </c>
      <c r="AC2254">
        <v>0</v>
      </c>
      <c r="AH2254">
        <v>38</v>
      </c>
    </row>
    <row r="2255" spans="1:34" x14ac:dyDescent="0.3">
      <c r="A2255" s="4">
        <v>2371</v>
      </c>
      <c r="B2255" s="5">
        <v>2248</v>
      </c>
      <c r="C2255">
        <v>11719</v>
      </c>
      <c r="D2255" t="s">
        <v>22195</v>
      </c>
      <c r="E2255" t="s">
        <v>158</v>
      </c>
      <c r="F2255" t="s">
        <v>892</v>
      </c>
      <c r="G2255" t="s">
        <v>22196</v>
      </c>
      <c r="H2255">
        <v>20</v>
      </c>
      <c r="I2255">
        <v>7</v>
      </c>
      <c r="J2255">
        <v>0</v>
      </c>
      <c r="K2255">
        <v>0</v>
      </c>
      <c r="L2255">
        <v>7</v>
      </c>
      <c r="O2255">
        <v>7</v>
      </c>
      <c r="P2255">
        <v>4</v>
      </c>
      <c r="Q2255">
        <v>0</v>
      </c>
      <c r="R2255">
        <v>38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H2255">
        <v>38</v>
      </c>
    </row>
    <row r="2256" spans="1:34" x14ac:dyDescent="0.3">
      <c r="A2256" s="4">
        <v>2372</v>
      </c>
      <c r="B2256" s="5">
        <v>2249</v>
      </c>
      <c r="C2256">
        <v>9306</v>
      </c>
      <c r="D2256" t="s">
        <v>22197</v>
      </c>
      <c r="E2256" t="s">
        <v>100</v>
      </c>
      <c r="F2256" t="s">
        <v>17</v>
      </c>
      <c r="G2256" t="s">
        <v>22198</v>
      </c>
      <c r="H2256">
        <v>16.98</v>
      </c>
      <c r="I2256">
        <v>0</v>
      </c>
      <c r="J2256">
        <v>0</v>
      </c>
      <c r="K2256">
        <v>0</v>
      </c>
      <c r="N2256">
        <v>3</v>
      </c>
      <c r="O2256">
        <v>3</v>
      </c>
      <c r="P2256">
        <v>4</v>
      </c>
      <c r="Q2256">
        <v>0</v>
      </c>
      <c r="R2256">
        <v>23.98</v>
      </c>
      <c r="S2256">
        <v>8</v>
      </c>
      <c r="T2256">
        <v>8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8</v>
      </c>
      <c r="AB2256">
        <v>6</v>
      </c>
      <c r="AC2256">
        <v>0</v>
      </c>
      <c r="AH2256">
        <v>37.979999999999997</v>
      </c>
    </row>
    <row r="2257" spans="1:34" x14ac:dyDescent="0.3">
      <c r="A2257" s="4">
        <v>2373</v>
      </c>
      <c r="B2257" s="5">
        <v>2250</v>
      </c>
      <c r="C2257">
        <v>9161</v>
      </c>
      <c r="D2257" t="s">
        <v>22199</v>
      </c>
      <c r="E2257" t="s">
        <v>22200</v>
      </c>
      <c r="F2257" t="s">
        <v>17</v>
      </c>
      <c r="G2257" t="s">
        <v>22201</v>
      </c>
      <c r="H2257">
        <v>21.98</v>
      </c>
      <c r="I2257">
        <v>0</v>
      </c>
      <c r="J2257">
        <v>0</v>
      </c>
      <c r="K2257">
        <v>0</v>
      </c>
      <c r="L2257">
        <v>7</v>
      </c>
      <c r="N2257">
        <v>3</v>
      </c>
      <c r="O2257">
        <v>10</v>
      </c>
      <c r="P2257">
        <v>4</v>
      </c>
      <c r="Q2257">
        <v>2</v>
      </c>
      <c r="R2257">
        <v>37.979999999999997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H2257">
        <v>37.979999999999997</v>
      </c>
    </row>
    <row r="2258" spans="1:34" x14ac:dyDescent="0.3">
      <c r="A2258" s="4">
        <v>2374</v>
      </c>
      <c r="B2258" s="5">
        <v>2251</v>
      </c>
      <c r="C2258">
        <v>15613</v>
      </c>
      <c r="D2258" t="s">
        <v>7209</v>
      </c>
      <c r="E2258" t="s">
        <v>161</v>
      </c>
      <c r="F2258" t="s">
        <v>17</v>
      </c>
      <c r="G2258" t="s">
        <v>22202</v>
      </c>
      <c r="H2258">
        <v>19.88</v>
      </c>
      <c r="I2258">
        <v>0</v>
      </c>
      <c r="J2258">
        <v>0</v>
      </c>
      <c r="K2258">
        <v>0</v>
      </c>
      <c r="N2258">
        <v>3</v>
      </c>
      <c r="O2258">
        <v>3</v>
      </c>
      <c r="P2258">
        <v>4</v>
      </c>
      <c r="Q2258">
        <v>0</v>
      </c>
      <c r="R2258">
        <v>26.88</v>
      </c>
      <c r="S2258">
        <v>11</v>
      </c>
      <c r="T2258">
        <v>11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11</v>
      </c>
      <c r="AB2258">
        <v>0</v>
      </c>
      <c r="AC2258">
        <v>0</v>
      </c>
      <c r="AD2258" t="s">
        <v>130</v>
      </c>
      <c r="AH2258">
        <v>37.880000000000003</v>
      </c>
    </row>
    <row r="2259" spans="1:34" x14ac:dyDescent="0.3">
      <c r="A2259" s="4">
        <v>2375</v>
      </c>
      <c r="B2259" s="5">
        <v>2252</v>
      </c>
      <c r="C2259">
        <v>5480</v>
      </c>
      <c r="D2259" t="s">
        <v>1139</v>
      </c>
      <c r="E2259" t="s">
        <v>22203</v>
      </c>
      <c r="F2259" t="s">
        <v>7050</v>
      </c>
      <c r="G2259" t="s">
        <v>22204</v>
      </c>
      <c r="H2259">
        <v>20.85</v>
      </c>
      <c r="I2259">
        <v>0</v>
      </c>
      <c r="J2259">
        <v>0</v>
      </c>
      <c r="K2259">
        <v>0</v>
      </c>
      <c r="L2259">
        <v>7</v>
      </c>
      <c r="O2259">
        <v>7</v>
      </c>
      <c r="P2259">
        <v>4</v>
      </c>
      <c r="Q2259">
        <v>0</v>
      </c>
      <c r="R2259">
        <v>31.85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6</v>
      </c>
      <c r="AC2259">
        <v>0</v>
      </c>
      <c r="AH2259">
        <v>37.85</v>
      </c>
    </row>
    <row r="2260" spans="1:34" x14ac:dyDescent="0.3">
      <c r="A2260" s="4">
        <v>2376</v>
      </c>
      <c r="B2260" s="5">
        <v>2253</v>
      </c>
      <c r="C2260">
        <v>11840</v>
      </c>
      <c r="D2260" t="s">
        <v>22205</v>
      </c>
      <c r="E2260" t="s">
        <v>29</v>
      </c>
      <c r="F2260" t="s">
        <v>81</v>
      </c>
      <c r="G2260" t="s">
        <v>22206</v>
      </c>
      <c r="H2260">
        <v>21.83</v>
      </c>
      <c r="I2260">
        <v>0</v>
      </c>
      <c r="J2260">
        <v>0</v>
      </c>
      <c r="K2260">
        <v>0</v>
      </c>
      <c r="N2260">
        <v>3</v>
      </c>
      <c r="O2260">
        <v>3</v>
      </c>
      <c r="P2260">
        <v>4</v>
      </c>
      <c r="Q2260">
        <v>0</v>
      </c>
      <c r="R2260">
        <v>28.83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9</v>
      </c>
      <c r="AC2260">
        <v>0</v>
      </c>
      <c r="AH2260">
        <v>37.83</v>
      </c>
    </row>
    <row r="2261" spans="1:34" x14ac:dyDescent="0.3">
      <c r="A2261" s="4">
        <v>2377</v>
      </c>
      <c r="B2261" s="5">
        <v>2254</v>
      </c>
      <c r="C2261">
        <v>9091</v>
      </c>
      <c r="D2261" t="s">
        <v>22207</v>
      </c>
      <c r="E2261" t="s">
        <v>289</v>
      </c>
      <c r="F2261" t="s">
        <v>136</v>
      </c>
      <c r="G2261" t="s">
        <v>22208</v>
      </c>
      <c r="H2261">
        <v>20.8</v>
      </c>
      <c r="I2261">
        <v>0</v>
      </c>
      <c r="J2261">
        <v>0</v>
      </c>
      <c r="K2261">
        <v>0</v>
      </c>
      <c r="L2261">
        <v>7</v>
      </c>
      <c r="O2261">
        <v>7</v>
      </c>
      <c r="P2261">
        <v>4</v>
      </c>
      <c r="Q2261">
        <v>0</v>
      </c>
      <c r="R2261">
        <v>31.8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6</v>
      </c>
      <c r="AC2261">
        <v>0</v>
      </c>
      <c r="AH2261">
        <v>37.799999999999997</v>
      </c>
    </row>
    <row r="2262" spans="1:34" x14ac:dyDescent="0.3">
      <c r="A2262" s="4">
        <v>2378</v>
      </c>
      <c r="B2262" s="5">
        <v>2255</v>
      </c>
      <c r="C2262">
        <v>513</v>
      </c>
      <c r="D2262" t="s">
        <v>22209</v>
      </c>
      <c r="E2262" t="s">
        <v>26</v>
      </c>
      <c r="F2262" t="s">
        <v>22210</v>
      </c>
      <c r="G2262" t="s">
        <v>22211</v>
      </c>
      <c r="H2262">
        <v>18.78</v>
      </c>
      <c r="I2262">
        <v>0</v>
      </c>
      <c r="J2262">
        <v>0</v>
      </c>
      <c r="K2262">
        <v>0</v>
      </c>
      <c r="L2262">
        <v>7</v>
      </c>
      <c r="N2262">
        <v>3</v>
      </c>
      <c r="O2262">
        <v>10</v>
      </c>
      <c r="P2262">
        <v>4</v>
      </c>
      <c r="Q2262">
        <v>2</v>
      </c>
      <c r="R2262">
        <v>34.78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3</v>
      </c>
      <c r="AC2262">
        <v>0</v>
      </c>
      <c r="AH2262">
        <v>37.78</v>
      </c>
    </row>
    <row r="2263" spans="1:34" x14ac:dyDescent="0.3">
      <c r="A2263" s="4">
        <v>2379</v>
      </c>
      <c r="B2263" s="5">
        <v>2256</v>
      </c>
      <c r="C2263">
        <v>9018</v>
      </c>
      <c r="D2263" t="s">
        <v>22212</v>
      </c>
      <c r="E2263" t="s">
        <v>1016</v>
      </c>
      <c r="F2263" t="s">
        <v>34</v>
      </c>
      <c r="G2263" t="s">
        <v>22213</v>
      </c>
      <c r="H2263">
        <v>18.7</v>
      </c>
      <c r="I2263">
        <v>0</v>
      </c>
      <c r="J2263">
        <v>0</v>
      </c>
      <c r="K2263">
        <v>0</v>
      </c>
      <c r="L2263">
        <v>7</v>
      </c>
      <c r="O2263">
        <v>7</v>
      </c>
      <c r="P2263">
        <v>4</v>
      </c>
      <c r="Q2263">
        <v>2</v>
      </c>
      <c r="R2263">
        <v>31.7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6</v>
      </c>
      <c r="AC2263">
        <v>0</v>
      </c>
      <c r="AH2263">
        <v>37.700000000000003</v>
      </c>
    </row>
    <row r="2264" spans="1:34" x14ac:dyDescent="0.3">
      <c r="A2264" s="4">
        <v>2380</v>
      </c>
      <c r="B2264" s="5">
        <v>2257</v>
      </c>
      <c r="C2264">
        <v>7515</v>
      </c>
      <c r="D2264" t="s">
        <v>737</v>
      </c>
      <c r="E2264" t="s">
        <v>11132</v>
      </c>
      <c r="F2264" t="s">
        <v>238</v>
      </c>
      <c r="G2264" t="s">
        <v>22214</v>
      </c>
      <c r="H2264">
        <v>23.68</v>
      </c>
      <c r="I2264">
        <v>0</v>
      </c>
      <c r="J2264">
        <v>0</v>
      </c>
      <c r="K2264">
        <v>0</v>
      </c>
      <c r="L2264">
        <v>7</v>
      </c>
      <c r="N2264">
        <v>3</v>
      </c>
      <c r="O2264">
        <v>10</v>
      </c>
      <c r="P2264">
        <v>4</v>
      </c>
      <c r="Q2264">
        <v>0</v>
      </c>
      <c r="R2264">
        <v>37.68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H2264">
        <v>37.68</v>
      </c>
    </row>
    <row r="2265" spans="1:34" x14ac:dyDescent="0.3">
      <c r="A2265" s="4">
        <v>2381</v>
      </c>
      <c r="B2265" s="5">
        <v>2258</v>
      </c>
      <c r="C2265">
        <v>11877</v>
      </c>
      <c r="D2265" t="s">
        <v>22215</v>
      </c>
      <c r="E2265" t="s">
        <v>170</v>
      </c>
      <c r="F2265" t="s">
        <v>328</v>
      </c>
      <c r="G2265" t="s">
        <v>22216</v>
      </c>
      <c r="H2265">
        <v>19.68</v>
      </c>
      <c r="I2265">
        <v>0</v>
      </c>
      <c r="J2265">
        <v>0</v>
      </c>
      <c r="K2265">
        <v>0</v>
      </c>
      <c r="L2265">
        <v>14</v>
      </c>
      <c r="O2265">
        <v>14</v>
      </c>
      <c r="P2265">
        <v>4</v>
      </c>
      <c r="Q2265">
        <v>0</v>
      </c>
      <c r="R2265">
        <v>37.68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H2265">
        <v>37.68</v>
      </c>
    </row>
    <row r="2266" spans="1:34" x14ac:dyDescent="0.3">
      <c r="A2266" s="4">
        <v>2382</v>
      </c>
      <c r="B2266" s="5">
        <v>2259</v>
      </c>
      <c r="C2266">
        <v>2343</v>
      </c>
      <c r="D2266" t="s">
        <v>22217</v>
      </c>
      <c r="E2266" t="s">
        <v>560</v>
      </c>
      <c r="F2266" t="s">
        <v>91</v>
      </c>
      <c r="G2266" t="s">
        <v>22218</v>
      </c>
      <c r="H2266">
        <v>18.649999999999999</v>
      </c>
      <c r="I2266">
        <v>0</v>
      </c>
      <c r="J2266">
        <v>0</v>
      </c>
      <c r="K2266">
        <v>0</v>
      </c>
      <c r="L2266">
        <v>7</v>
      </c>
      <c r="O2266">
        <v>7</v>
      </c>
      <c r="P2266">
        <v>4</v>
      </c>
      <c r="Q2266">
        <v>2</v>
      </c>
      <c r="R2266">
        <v>31.65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6</v>
      </c>
      <c r="AC2266">
        <v>0</v>
      </c>
      <c r="AH2266">
        <v>37.65</v>
      </c>
    </row>
    <row r="2267" spans="1:34" x14ac:dyDescent="0.3">
      <c r="A2267" s="4">
        <v>2383</v>
      </c>
      <c r="B2267" s="5">
        <v>2260</v>
      </c>
      <c r="C2267">
        <v>9846</v>
      </c>
      <c r="D2267" t="s">
        <v>22219</v>
      </c>
      <c r="E2267" t="s">
        <v>858</v>
      </c>
      <c r="F2267" t="s">
        <v>227</v>
      </c>
      <c r="G2267" t="s">
        <v>22220</v>
      </c>
      <c r="H2267">
        <v>17.600000000000001</v>
      </c>
      <c r="I2267">
        <v>0</v>
      </c>
      <c r="J2267">
        <v>0</v>
      </c>
      <c r="K2267">
        <v>0</v>
      </c>
      <c r="L2267">
        <v>7</v>
      </c>
      <c r="N2267">
        <v>3</v>
      </c>
      <c r="O2267">
        <v>10</v>
      </c>
      <c r="P2267">
        <v>4</v>
      </c>
      <c r="Q2267">
        <v>0</v>
      </c>
      <c r="R2267">
        <v>31.6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6</v>
      </c>
      <c r="AC2267">
        <v>0</v>
      </c>
      <c r="AH2267">
        <v>37.6</v>
      </c>
    </row>
    <row r="2268" spans="1:34" x14ac:dyDescent="0.3">
      <c r="A2268" s="4">
        <v>2384</v>
      </c>
      <c r="B2268" s="5">
        <v>2261</v>
      </c>
      <c r="C2268">
        <v>5030</v>
      </c>
      <c r="D2268" t="s">
        <v>15709</v>
      </c>
      <c r="E2268" t="s">
        <v>26</v>
      </c>
      <c r="F2268" t="s">
        <v>68</v>
      </c>
      <c r="G2268" t="s">
        <v>22221</v>
      </c>
      <c r="H2268">
        <v>18.45</v>
      </c>
      <c r="I2268">
        <v>0</v>
      </c>
      <c r="J2268">
        <v>0</v>
      </c>
      <c r="K2268">
        <v>0</v>
      </c>
      <c r="N2268">
        <v>6</v>
      </c>
      <c r="O2268">
        <v>6</v>
      </c>
      <c r="P2268">
        <v>4</v>
      </c>
      <c r="Q2268">
        <v>0</v>
      </c>
      <c r="R2268">
        <v>28.45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9</v>
      </c>
      <c r="AC2268">
        <v>0</v>
      </c>
      <c r="AH2268">
        <v>37.450000000000003</v>
      </c>
    </row>
    <row r="2269" spans="1:34" x14ac:dyDescent="0.3">
      <c r="A2269" s="4">
        <v>2385</v>
      </c>
      <c r="B2269" s="5">
        <v>2262</v>
      </c>
      <c r="C2269">
        <v>3063</v>
      </c>
      <c r="D2269" t="s">
        <v>22222</v>
      </c>
      <c r="E2269" t="s">
        <v>29</v>
      </c>
      <c r="F2269" t="s">
        <v>1526</v>
      </c>
      <c r="G2269" t="s">
        <v>22223</v>
      </c>
      <c r="H2269">
        <v>21.4</v>
      </c>
      <c r="I2269">
        <v>0</v>
      </c>
      <c r="J2269">
        <v>0</v>
      </c>
      <c r="K2269">
        <v>0</v>
      </c>
      <c r="N2269">
        <v>3</v>
      </c>
      <c r="O2269">
        <v>3</v>
      </c>
      <c r="P2269">
        <v>4</v>
      </c>
      <c r="Q2269">
        <v>0</v>
      </c>
      <c r="R2269">
        <v>28.4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9</v>
      </c>
      <c r="AC2269">
        <v>0</v>
      </c>
      <c r="AH2269">
        <v>37.4</v>
      </c>
    </row>
    <row r="2270" spans="1:34" x14ac:dyDescent="0.3">
      <c r="A2270" s="4">
        <v>2386</v>
      </c>
      <c r="B2270" s="5">
        <v>2263</v>
      </c>
      <c r="C2270">
        <v>3983</v>
      </c>
      <c r="D2270" t="s">
        <v>22224</v>
      </c>
      <c r="E2270" t="s">
        <v>100</v>
      </c>
      <c r="F2270" t="s">
        <v>117</v>
      </c>
      <c r="G2270" t="s">
        <v>22225</v>
      </c>
      <c r="H2270">
        <v>19.38</v>
      </c>
      <c r="I2270">
        <v>7</v>
      </c>
      <c r="J2270">
        <v>0</v>
      </c>
      <c r="K2270">
        <v>0</v>
      </c>
      <c r="L2270">
        <v>7</v>
      </c>
      <c r="O2270">
        <v>7</v>
      </c>
      <c r="P2270">
        <v>4</v>
      </c>
      <c r="Q2270">
        <v>0</v>
      </c>
      <c r="R2270">
        <v>37.380000000000003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H2270">
        <v>37.380000000000003</v>
      </c>
    </row>
    <row r="2271" spans="1:34" x14ac:dyDescent="0.3">
      <c r="A2271" s="4">
        <v>2387</v>
      </c>
      <c r="B2271" s="5">
        <v>2264</v>
      </c>
      <c r="C2271">
        <v>2473</v>
      </c>
      <c r="D2271" t="s">
        <v>22226</v>
      </c>
      <c r="E2271" t="s">
        <v>594</v>
      </c>
      <c r="F2271" t="s">
        <v>17</v>
      </c>
      <c r="G2271" t="s">
        <v>22227</v>
      </c>
      <c r="H2271">
        <v>17.350000000000001</v>
      </c>
      <c r="I2271">
        <v>0</v>
      </c>
      <c r="J2271">
        <v>0</v>
      </c>
      <c r="K2271">
        <v>0</v>
      </c>
      <c r="L2271">
        <v>7</v>
      </c>
      <c r="O2271">
        <v>7</v>
      </c>
      <c r="P2271">
        <v>4</v>
      </c>
      <c r="Q2271">
        <v>0</v>
      </c>
      <c r="R2271">
        <v>28.35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9</v>
      </c>
      <c r="AC2271">
        <v>0</v>
      </c>
      <c r="AH2271">
        <v>37.35</v>
      </c>
    </row>
    <row r="2272" spans="1:34" x14ac:dyDescent="0.3">
      <c r="A2272" s="4">
        <v>2388</v>
      </c>
      <c r="B2272" s="5">
        <v>2265</v>
      </c>
      <c r="C2272">
        <v>3108</v>
      </c>
      <c r="D2272" t="s">
        <v>22228</v>
      </c>
      <c r="E2272" t="s">
        <v>188</v>
      </c>
      <c r="F2272" t="s">
        <v>34</v>
      </c>
      <c r="G2272" t="s">
        <v>22229</v>
      </c>
      <c r="H2272">
        <v>19.25</v>
      </c>
      <c r="I2272">
        <v>0</v>
      </c>
      <c r="J2272">
        <v>0</v>
      </c>
      <c r="K2272">
        <v>0</v>
      </c>
      <c r="N2272">
        <v>3</v>
      </c>
      <c r="O2272">
        <v>3</v>
      </c>
      <c r="P2272">
        <v>4</v>
      </c>
      <c r="Q2272">
        <v>2</v>
      </c>
      <c r="R2272">
        <v>28.25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9</v>
      </c>
      <c r="AC2272">
        <v>0</v>
      </c>
      <c r="AH2272">
        <v>37.25</v>
      </c>
    </row>
    <row r="2273" spans="1:34" x14ac:dyDescent="0.3">
      <c r="A2273" s="4">
        <v>2389</v>
      </c>
      <c r="B2273" s="5">
        <v>2266</v>
      </c>
      <c r="C2273">
        <v>2724</v>
      </c>
      <c r="D2273" t="s">
        <v>22230</v>
      </c>
      <c r="E2273" t="s">
        <v>22231</v>
      </c>
      <c r="F2273" t="s">
        <v>9731</v>
      </c>
      <c r="G2273" t="s">
        <v>22232</v>
      </c>
      <c r="H2273">
        <v>20.149999999999999</v>
      </c>
      <c r="I2273">
        <v>0</v>
      </c>
      <c r="J2273">
        <v>0</v>
      </c>
      <c r="K2273">
        <v>0</v>
      </c>
      <c r="L2273">
        <v>7</v>
      </c>
      <c r="O2273">
        <v>7</v>
      </c>
      <c r="P2273">
        <v>4</v>
      </c>
      <c r="Q2273">
        <v>0</v>
      </c>
      <c r="R2273">
        <v>31.15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6</v>
      </c>
      <c r="AC2273">
        <v>0</v>
      </c>
      <c r="AH2273">
        <v>37.15</v>
      </c>
    </row>
    <row r="2274" spans="1:34" x14ac:dyDescent="0.3">
      <c r="A2274" s="4">
        <v>2390</v>
      </c>
      <c r="B2274" s="5">
        <v>2267</v>
      </c>
      <c r="C2274">
        <v>3334</v>
      </c>
      <c r="D2274" t="s">
        <v>3508</v>
      </c>
      <c r="E2274" t="s">
        <v>182</v>
      </c>
      <c r="F2274" t="s">
        <v>68</v>
      </c>
      <c r="G2274" t="s">
        <v>22233</v>
      </c>
      <c r="H2274">
        <v>19.13</v>
      </c>
      <c r="I2274">
        <v>0</v>
      </c>
      <c r="J2274">
        <v>0</v>
      </c>
      <c r="K2274">
        <v>0</v>
      </c>
      <c r="N2274">
        <v>3</v>
      </c>
      <c r="O2274">
        <v>3</v>
      </c>
      <c r="P2274">
        <v>4</v>
      </c>
      <c r="Q2274">
        <v>2</v>
      </c>
      <c r="R2274">
        <v>28.13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9</v>
      </c>
      <c r="AC2274">
        <v>0</v>
      </c>
      <c r="AH2274">
        <v>37.130000000000003</v>
      </c>
    </row>
    <row r="2275" spans="1:34" x14ac:dyDescent="0.3">
      <c r="A2275" s="4">
        <v>2391</v>
      </c>
      <c r="B2275" s="5">
        <v>2268</v>
      </c>
      <c r="C2275">
        <v>12433</v>
      </c>
      <c r="D2275" t="s">
        <v>22234</v>
      </c>
      <c r="E2275" t="s">
        <v>100</v>
      </c>
      <c r="F2275" t="s">
        <v>17</v>
      </c>
      <c r="G2275" t="s">
        <v>22235</v>
      </c>
      <c r="H2275">
        <v>19.13</v>
      </c>
      <c r="I2275">
        <v>0</v>
      </c>
      <c r="J2275">
        <v>0</v>
      </c>
      <c r="K2275">
        <v>0</v>
      </c>
      <c r="N2275">
        <v>6</v>
      </c>
      <c r="O2275">
        <v>6</v>
      </c>
      <c r="P2275">
        <v>4</v>
      </c>
      <c r="Q2275">
        <v>0</v>
      </c>
      <c r="R2275">
        <v>29.13</v>
      </c>
      <c r="S2275">
        <v>8</v>
      </c>
      <c r="T2275">
        <v>8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8</v>
      </c>
      <c r="AB2275">
        <v>0</v>
      </c>
      <c r="AC2275">
        <v>0</v>
      </c>
      <c r="AH2275">
        <v>37.130000000000003</v>
      </c>
    </row>
    <row r="2276" spans="1:34" x14ac:dyDescent="0.3">
      <c r="A2276" s="4">
        <v>2392</v>
      </c>
      <c r="B2276" s="5">
        <v>2269</v>
      </c>
      <c r="C2276">
        <v>2275</v>
      </c>
      <c r="D2276" t="s">
        <v>22236</v>
      </c>
      <c r="E2276" t="s">
        <v>29</v>
      </c>
      <c r="F2276" t="s">
        <v>124</v>
      </c>
      <c r="G2276" t="s">
        <v>22237</v>
      </c>
      <c r="H2276">
        <v>23</v>
      </c>
      <c r="I2276">
        <v>0</v>
      </c>
      <c r="J2276">
        <v>0</v>
      </c>
      <c r="K2276">
        <v>0</v>
      </c>
      <c r="L2276">
        <v>7</v>
      </c>
      <c r="N2276">
        <v>3</v>
      </c>
      <c r="O2276">
        <v>10</v>
      </c>
      <c r="P2276">
        <v>4</v>
      </c>
      <c r="Q2276">
        <v>0</v>
      </c>
      <c r="R2276">
        <v>37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H2276">
        <v>37</v>
      </c>
    </row>
    <row r="2277" spans="1:34" x14ac:dyDescent="0.3">
      <c r="A2277" s="4">
        <v>2393</v>
      </c>
      <c r="B2277" s="5">
        <v>2270</v>
      </c>
      <c r="C2277">
        <v>15689</v>
      </c>
      <c r="D2277" t="s">
        <v>22238</v>
      </c>
      <c r="E2277" t="s">
        <v>29</v>
      </c>
      <c r="F2277" t="s">
        <v>20</v>
      </c>
      <c r="G2277" t="s">
        <v>22239</v>
      </c>
      <c r="H2277">
        <v>20.98</v>
      </c>
      <c r="I2277">
        <v>0</v>
      </c>
      <c r="J2277">
        <v>0</v>
      </c>
      <c r="K2277">
        <v>0</v>
      </c>
      <c r="N2277">
        <v>3</v>
      </c>
      <c r="O2277">
        <v>3</v>
      </c>
      <c r="P2277">
        <v>4</v>
      </c>
      <c r="Q2277">
        <v>0</v>
      </c>
      <c r="R2277">
        <v>27.98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9</v>
      </c>
      <c r="AC2277">
        <v>0</v>
      </c>
      <c r="AH2277">
        <v>36.979999999999997</v>
      </c>
    </row>
    <row r="2278" spans="1:34" x14ac:dyDescent="0.3">
      <c r="A2278" s="4">
        <v>2394</v>
      </c>
      <c r="B2278" s="5">
        <v>2271</v>
      </c>
      <c r="C2278">
        <v>6304</v>
      </c>
      <c r="D2278" t="s">
        <v>22240</v>
      </c>
      <c r="E2278" t="s">
        <v>29</v>
      </c>
      <c r="F2278" t="s">
        <v>1023</v>
      </c>
      <c r="G2278" t="s">
        <v>22241</v>
      </c>
      <c r="H2278">
        <v>18.98</v>
      </c>
      <c r="I2278">
        <v>0</v>
      </c>
      <c r="J2278">
        <v>0</v>
      </c>
      <c r="K2278">
        <v>0</v>
      </c>
      <c r="L2278">
        <v>7</v>
      </c>
      <c r="O2278">
        <v>7</v>
      </c>
      <c r="P2278">
        <v>4</v>
      </c>
      <c r="Q2278">
        <v>0</v>
      </c>
      <c r="R2278">
        <v>29.98</v>
      </c>
      <c r="S2278">
        <v>7</v>
      </c>
      <c r="T2278">
        <v>7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7</v>
      </c>
      <c r="AB2278">
        <v>0</v>
      </c>
      <c r="AC2278">
        <v>0</v>
      </c>
      <c r="AD2278" t="s">
        <v>130</v>
      </c>
      <c r="AH2278">
        <v>36.979999999999997</v>
      </c>
    </row>
    <row r="2279" spans="1:34" x14ac:dyDescent="0.3">
      <c r="A2279" s="4">
        <v>2395</v>
      </c>
      <c r="B2279" s="5">
        <v>2272</v>
      </c>
      <c r="C2279">
        <v>650</v>
      </c>
      <c r="D2279" t="s">
        <v>21878</v>
      </c>
      <c r="E2279" t="s">
        <v>147</v>
      </c>
      <c r="F2279" t="s">
        <v>136</v>
      </c>
      <c r="G2279" t="s">
        <v>22242</v>
      </c>
      <c r="H2279">
        <v>19.98</v>
      </c>
      <c r="I2279">
        <v>0</v>
      </c>
      <c r="J2279">
        <v>0</v>
      </c>
      <c r="K2279">
        <v>0</v>
      </c>
      <c r="N2279">
        <v>3</v>
      </c>
      <c r="O2279">
        <v>3</v>
      </c>
      <c r="P2279">
        <v>4</v>
      </c>
      <c r="Q2279">
        <v>2</v>
      </c>
      <c r="R2279">
        <v>28.98</v>
      </c>
      <c r="S2279">
        <v>8</v>
      </c>
      <c r="T2279">
        <v>8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8</v>
      </c>
      <c r="AB2279">
        <v>0</v>
      </c>
      <c r="AC2279">
        <v>0</v>
      </c>
      <c r="AH2279">
        <v>36.979999999999997</v>
      </c>
    </row>
    <row r="2280" spans="1:34" x14ac:dyDescent="0.3">
      <c r="A2280" s="4">
        <v>2396</v>
      </c>
      <c r="B2280" s="5">
        <v>2273</v>
      </c>
      <c r="C2280">
        <v>837</v>
      </c>
      <c r="D2280" t="s">
        <v>2429</v>
      </c>
      <c r="E2280" t="s">
        <v>29</v>
      </c>
      <c r="F2280" t="s">
        <v>81</v>
      </c>
      <c r="G2280" t="s">
        <v>22243</v>
      </c>
      <c r="H2280">
        <v>19.95</v>
      </c>
      <c r="I2280">
        <v>0</v>
      </c>
      <c r="J2280">
        <v>0</v>
      </c>
      <c r="K2280">
        <v>0</v>
      </c>
      <c r="L2280">
        <v>7</v>
      </c>
      <c r="N2280">
        <v>3</v>
      </c>
      <c r="O2280">
        <v>10</v>
      </c>
      <c r="P2280">
        <v>4</v>
      </c>
      <c r="Q2280">
        <v>0</v>
      </c>
      <c r="R2280">
        <v>33.950000000000003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3</v>
      </c>
      <c r="AC2280">
        <v>0</v>
      </c>
      <c r="AH2280">
        <v>36.950000000000003</v>
      </c>
    </row>
    <row r="2281" spans="1:34" x14ac:dyDescent="0.3">
      <c r="A2281" s="4">
        <v>2397</v>
      </c>
      <c r="B2281" s="5">
        <v>2274</v>
      </c>
      <c r="C2281">
        <v>11505</v>
      </c>
      <c r="D2281" t="s">
        <v>17640</v>
      </c>
      <c r="E2281" t="s">
        <v>149</v>
      </c>
      <c r="F2281" t="s">
        <v>442</v>
      </c>
      <c r="G2281" t="s">
        <v>22244</v>
      </c>
      <c r="H2281">
        <v>16.850000000000001</v>
      </c>
      <c r="I2281">
        <v>0</v>
      </c>
      <c r="J2281">
        <v>0</v>
      </c>
      <c r="K2281">
        <v>0</v>
      </c>
      <c r="O2281">
        <v>0</v>
      </c>
      <c r="P2281">
        <v>4</v>
      </c>
      <c r="Q2281">
        <v>2</v>
      </c>
      <c r="R2281">
        <v>22.85</v>
      </c>
      <c r="S2281">
        <v>5</v>
      </c>
      <c r="T2281">
        <v>5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5</v>
      </c>
      <c r="AB2281">
        <v>9</v>
      </c>
      <c r="AC2281">
        <v>0</v>
      </c>
      <c r="AH2281">
        <v>36.85</v>
      </c>
    </row>
    <row r="2282" spans="1:34" x14ac:dyDescent="0.3">
      <c r="A2282" s="4">
        <v>2398</v>
      </c>
      <c r="B2282" s="5">
        <v>2275</v>
      </c>
      <c r="C2282">
        <v>2049</v>
      </c>
      <c r="D2282" t="s">
        <v>22245</v>
      </c>
      <c r="E2282" t="s">
        <v>54</v>
      </c>
      <c r="F2282" t="s">
        <v>2830</v>
      </c>
      <c r="G2282" t="s">
        <v>22246</v>
      </c>
      <c r="H2282">
        <v>18.850000000000001</v>
      </c>
      <c r="I2282">
        <v>0</v>
      </c>
      <c r="J2282">
        <v>0</v>
      </c>
      <c r="K2282">
        <v>0</v>
      </c>
      <c r="L2282">
        <v>14</v>
      </c>
      <c r="O2282">
        <v>14</v>
      </c>
      <c r="P2282">
        <v>4</v>
      </c>
      <c r="Q2282">
        <v>0</v>
      </c>
      <c r="R2282">
        <v>36.85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H2282">
        <v>36.85</v>
      </c>
    </row>
    <row r="2283" spans="1:34" x14ac:dyDescent="0.3">
      <c r="A2283" s="4">
        <v>2399</v>
      </c>
      <c r="B2283" s="5">
        <v>2276</v>
      </c>
      <c r="C2283">
        <v>13761</v>
      </c>
      <c r="D2283" t="s">
        <v>22247</v>
      </c>
      <c r="E2283" t="s">
        <v>41</v>
      </c>
      <c r="F2283" t="s">
        <v>17</v>
      </c>
      <c r="G2283" t="s">
        <v>22248</v>
      </c>
      <c r="H2283">
        <v>19.829999999999998</v>
      </c>
      <c r="I2283">
        <v>0</v>
      </c>
      <c r="J2283">
        <v>0</v>
      </c>
      <c r="K2283">
        <v>0</v>
      </c>
      <c r="L2283">
        <v>7</v>
      </c>
      <c r="O2283">
        <v>7</v>
      </c>
      <c r="P2283">
        <v>4</v>
      </c>
      <c r="Q2283">
        <v>0</v>
      </c>
      <c r="R2283">
        <v>30.83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6</v>
      </c>
      <c r="AC2283">
        <v>0</v>
      </c>
      <c r="AH2283">
        <v>36.83</v>
      </c>
    </row>
    <row r="2284" spans="1:34" x14ac:dyDescent="0.3">
      <c r="A2284" s="4">
        <v>2400</v>
      </c>
      <c r="B2284" s="5">
        <v>2277</v>
      </c>
      <c r="C2284">
        <v>2629</v>
      </c>
      <c r="D2284" t="s">
        <v>22249</v>
      </c>
      <c r="E2284" t="s">
        <v>81</v>
      </c>
      <c r="F2284" t="s">
        <v>346</v>
      </c>
      <c r="G2284" t="s">
        <v>22250</v>
      </c>
      <c r="H2284">
        <v>16.829999999999998</v>
      </c>
      <c r="I2284">
        <v>0</v>
      </c>
      <c r="J2284">
        <v>0</v>
      </c>
      <c r="K2284">
        <v>0</v>
      </c>
      <c r="O2284">
        <v>0</v>
      </c>
      <c r="P2284">
        <v>4</v>
      </c>
      <c r="Q2284">
        <v>0</v>
      </c>
      <c r="R2284">
        <v>20.83</v>
      </c>
      <c r="S2284">
        <v>0</v>
      </c>
      <c r="T2284">
        <v>0</v>
      </c>
      <c r="U2284">
        <v>8</v>
      </c>
      <c r="V2284">
        <v>16</v>
      </c>
      <c r="W2284">
        <v>0</v>
      </c>
      <c r="X2284">
        <v>0</v>
      </c>
      <c r="Y2284">
        <v>0</v>
      </c>
      <c r="Z2284">
        <v>0</v>
      </c>
      <c r="AA2284">
        <v>16</v>
      </c>
      <c r="AB2284">
        <v>0</v>
      </c>
      <c r="AC2284">
        <v>0</v>
      </c>
      <c r="AH2284">
        <v>36.83</v>
      </c>
    </row>
    <row r="2285" spans="1:34" x14ac:dyDescent="0.3">
      <c r="A2285" s="4">
        <v>2401</v>
      </c>
      <c r="B2285" s="5">
        <v>2278</v>
      </c>
      <c r="C2285">
        <v>7119</v>
      </c>
      <c r="D2285" t="s">
        <v>22251</v>
      </c>
      <c r="E2285" t="s">
        <v>8697</v>
      </c>
      <c r="F2285" t="s">
        <v>3511</v>
      </c>
      <c r="G2285" t="s">
        <v>22252</v>
      </c>
      <c r="H2285">
        <v>19.8</v>
      </c>
      <c r="I2285">
        <v>0</v>
      </c>
      <c r="J2285">
        <v>0</v>
      </c>
      <c r="K2285">
        <v>0</v>
      </c>
      <c r="L2285">
        <v>7</v>
      </c>
      <c r="N2285">
        <v>3</v>
      </c>
      <c r="O2285">
        <v>10</v>
      </c>
      <c r="P2285">
        <v>4</v>
      </c>
      <c r="Q2285">
        <v>0</v>
      </c>
      <c r="R2285">
        <v>33.799999999999997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3</v>
      </c>
      <c r="AC2285">
        <v>0</v>
      </c>
      <c r="AH2285">
        <v>36.799999999999997</v>
      </c>
    </row>
    <row r="2286" spans="1:34" x14ac:dyDescent="0.3">
      <c r="A2286" s="4">
        <v>2402</v>
      </c>
      <c r="B2286" s="5">
        <v>2279</v>
      </c>
      <c r="C2286">
        <v>6501</v>
      </c>
      <c r="D2286" t="s">
        <v>1296</v>
      </c>
      <c r="E2286" t="s">
        <v>9325</v>
      </c>
      <c r="F2286" t="s">
        <v>20</v>
      </c>
      <c r="G2286" t="s">
        <v>22253</v>
      </c>
      <c r="H2286">
        <v>18.78</v>
      </c>
      <c r="I2286">
        <v>7</v>
      </c>
      <c r="J2286">
        <v>0</v>
      </c>
      <c r="K2286">
        <v>0</v>
      </c>
      <c r="L2286">
        <v>7</v>
      </c>
      <c r="O2286">
        <v>7</v>
      </c>
      <c r="P2286">
        <v>4</v>
      </c>
      <c r="Q2286">
        <v>0</v>
      </c>
      <c r="R2286">
        <v>36.78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H2286">
        <v>36.78</v>
      </c>
    </row>
    <row r="2287" spans="1:34" x14ac:dyDescent="0.3">
      <c r="A2287" s="4">
        <v>2403</v>
      </c>
      <c r="B2287" s="5">
        <v>2280</v>
      </c>
      <c r="C2287">
        <v>13952</v>
      </c>
      <c r="D2287" t="s">
        <v>3377</v>
      </c>
      <c r="E2287" t="s">
        <v>9975</v>
      </c>
      <c r="F2287" t="s">
        <v>91</v>
      </c>
      <c r="G2287" t="s">
        <v>22254</v>
      </c>
      <c r="H2287">
        <v>22.68</v>
      </c>
      <c r="I2287">
        <v>0</v>
      </c>
      <c r="J2287">
        <v>0</v>
      </c>
      <c r="K2287">
        <v>0</v>
      </c>
      <c r="L2287">
        <v>7</v>
      </c>
      <c r="O2287">
        <v>7</v>
      </c>
      <c r="P2287">
        <v>4</v>
      </c>
      <c r="Q2287">
        <v>0</v>
      </c>
      <c r="R2287">
        <v>33.68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3</v>
      </c>
      <c r="AC2287">
        <v>0</v>
      </c>
      <c r="AH2287">
        <v>36.68</v>
      </c>
    </row>
    <row r="2288" spans="1:34" x14ac:dyDescent="0.3">
      <c r="A2288" s="4">
        <v>2404</v>
      </c>
      <c r="B2288" s="5">
        <v>2281</v>
      </c>
      <c r="C2288">
        <v>10642</v>
      </c>
      <c r="D2288" t="s">
        <v>22255</v>
      </c>
      <c r="E2288" t="s">
        <v>188</v>
      </c>
      <c r="F2288" t="s">
        <v>17</v>
      </c>
      <c r="G2288" t="s">
        <v>22256</v>
      </c>
      <c r="H2288">
        <v>19.649999999999999</v>
      </c>
      <c r="I2288">
        <v>0</v>
      </c>
      <c r="J2288">
        <v>0</v>
      </c>
      <c r="K2288">
        <v>0</v>
      </c>
      <c r="L2288">
        <v>7</v>
      </c>
      <c r="O2288">
        <v>7</v>
      </c>
      <c r="P2288">
        <v>4</v>
      </c>
      <c r="Q2288">
        <v>0</v>
      </c>
      <c r="R2288">
        <v>30.65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6</v>
      </c>
      <c r="AC2288">
        <v>0</v>
      </c>
      <c r="AH2288">
        <v>36.65</v>
      </c>
    </row>
    <row r="2289" spans="1:34" x14ac:dyDescent="0.3">
      <c r="A2289" s="4">
        <v>2405</v>
      </c>
      <c r="B2289" s="5">
        <v>2282</v>
      </c>
      <c r="C2289">
        <v>7495</v>
      </c>
      <c r="D2289" t="s">
        <v>165</v>
      </c>
      <c r="E2289" t="s">
        <v>258</v>
      </c>
      <c r="F2289" t="s">
        <v>68</v>
      </c>
      <c r="G2289" t="s">
        <v>22257</v>
      </c>
      <c r="H2289">
        <v>23.58</v>
      </c>
      <c r="I2289">
        <v>0</v>
      </c>
      <c r="J2289">
        <v>0</v>
      </c>
      <c r="K2289">
        <v>0</v>
      </c>
      <c r="L2289">
        <v>7</v>
      </c>
      <c r="O2289">
        <v>7</v>
      </c>
      <c r="P2289">
        <v>4</v>
      </c>
      <c r="Q2289">
        <v>2</v>
      </c>
      <c r="R2289">
        <v>36.58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H2289">
        <v>36.58</v>
      </c>
    </row>
    <row r="2290" spans="1:34" x14ac:dyDescent="0.3">
      <c r="A2290" s="4">
        <v>2406</v>
      </c>
      <c r="B2290" s="5">
        <v>2283</v>
      </c>
      <c r="C2290">
        <v>6770</v>
      </c>
      <c r="D2290" t="s">
        <v>5155</v>
      </c>
      <c r="E2290" t="s">
        <v>22258</v>
      </c>
      <c r="F2290" t="s">
        <v>20</v>
      </c>
      <c r="G2290" t="s">
        <v>22259</v>
      </c>
      <c r="H2290">
        <v>22.55</v>
      </c>
      <c r="I2290">
        <v>0</v>
      </c>
      <c r="J2290">
        <v>0</v>
      </c>
      <c r="K2290">
        <v>0</v>
      </c>
      <c r="L2290">
        <v>7</v>
      </c>
      <c r="N2290">
        <v>3</v>
      </c>
      <c r="O2290">
        <v>10</v>
      </c>
      <c r="P2290">
        <v>4</v>
      </c>
      <c r="Q2290">
        <v>0</v>
      </c>
      <c r="R2290">
        <v>36.549999999999997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H2290">
        <v>36.549999999999997</v>
      </c>
    </row>
    <row r="2291" spans="1:34" x14ac:dyDescent="0.3">
      <c r="A2291" s="4">
        <v>2407</v>
      </c>
      <c r="B2291" s="5">
        <v>2284</v>
      </c>
      <c r="C2291">
        <v>11634</v>
      </c>
      <c r="D2291" t="s">
        <v>22260</v>
      </c>
      <c r="E2291" t="s">
        <v>97</v>
      </c>
      <c r="F2291" t="s">
        <v>652</v>
      </c>
      <c r="G2291" t="s">
        <v>22261</v>
      </c>
      <c r="H2291">
        <v>19.53</v>
      </c>
      <c r="I2291">
        <v>0</v>
      </c>
      <c r="J2291">
        <v>0</v>
      </c>
      <c r="K2291">
        <v>0</v>
      </c>
      <c r="L2291">
        <v>7</v>
      </c>
      <c r="O2291">
        <v>7</v>
      </c>
      <c r="P2291">
        <v>4</v>
      </c>
      <c r="Q2291">
        <v>0</v>
      </c>
      <c r="R2291">
        <v>30.53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6</v>
      </c>
      <c r="AC2291">
        <v>0</v>
      </c>
      <c r="AH2291">
        <v>36.53</v>
      </c>
    </row>
    <row r="2292" spans="1:34" x14ac:dyDescent="0.3">
      <c r="A2292" s="4">
        <v>2408</v>
      </c>
      <c r="B2292" s="5">
        <v>2285</v>
      </c>
      <c r="C2292">
        <v>11187</v>
      </c>
      <c r="D2292" t="s">
        <v>22262</v>
      </c>
      <c r="E2292" t="s">
        <v>54</v>
      </c>
      <c r="F2292" t="s">
        <v>30</v>
      </c>
      <c r="G2292" t="s">
        <v>22263</v>
      </c>
      <c r="H2292">
        <v>17.53</v>
      </c>
      <c r="I2292">
        <v>0</v>
      </c>
      <c r="J2292">
        <v>0</v>
      </c>
      <c r="K2292">
        <v>0</v>
      </c>
      <c r="L2292">
        <v>7</v>
      </c>
      <c r="O2292">
        <v>7</v>
      </c>
      <c r="P2292">
        <v>4</v>
      </c>
      <c r="Q2292">
        <v>2</v>
      </c>
      <c r="R2292">
        <v>30.53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6</v>
      </c>
      <c r="AC2292">
        <v>0</v>
      </c>
      <c r="AH2292">
        <v>36.53</v>
      </c>
    </row>
    <row r="2293" spans="1:34" x14ac:dyDescent="0.3">
      <c r="A2293" s="4">
        <v>2409</v>
      </c>
      <c r="B2293" s="5">
        <v>2286</v>
      </c>
      <c r="C2293">
        <v>4937</v>
      </c>
      <c r="D2293" t="s">
        <v>2989</v>
      </c>
      <c r="E2293" t="s">
        <v>100</v>
      </c>
      <c r="F2293" t="s">
        <v>1511</v>
      </c>
      <c r="G2293" t="s">
        <v>22264</v>
      </c>
      <c r="H2293">
        <v>17.45</v>
      </c>
      <c r="I2293">
        <v>0</v>
      </c>
      <c r="J2293">
        <v>0</v>
      </c>
      <c r="K2293">
        <v>0</v>
      </c>
      <c r="L2293">
        <v>7</v>
      </c>
      <c r="O2293">
        <v>7</v>
      </c>
      <c r="P2293">
        <v>4</v>
      </c>
      <c r="Q2293">
        <v>2</v>
      </c>
      <c r="R2293">
        <v>30.45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6</v>
      </c>
      <c r="AC2293">
        <v>0</v>
      </c>
      <c r="AH2293">
        <v>36.450000000000003</v>
      </c>
    </row>
    <row r="2294" spans="1:34" x14ac:dyDescent="0.3">
      <c r="A2294" s="4">
        <v>2410</v>
      </c>
      <c r="B2294" s="5">
        <v>2287</v>
      </c>
      <c r="C2294">
        <v>6779</v>
      </c>
      <c r="D2294" t="s">
        <v>22265</v>
      </c>
      <c r="E2294" t="s">
        <v>29</v>
      </c>
      <c r="F2294" t="s">
        <v>62</v>
      </c>
      <c r="G2294" t="s">
        <v>22266</v>
      </c>
      <c r="H2294">
        <v>22.43</v>
      </c>
      <c r="I2294">
        <v>0</v>
      </c>
      <c r="J2294">
        <v>0</v>
      </c>
      <c r="K2294">
        <v>0</v>
      </c>
      <c r="L2294">
        <v>7</v>
      </c>
      <c r="N2294">
        <v>3</v>
      </c>
      <c r="O2294">
        <v>10</v>
      </c>
      <c r="P2294">
        <v>4</v>
      </c>
      <c r="Q2294">
        <v>0</v>
      </c>
      <c r="R2294">
        <v>36.43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H2294">
        <v>36.43</v>
      </c>
    </row>
    <row r="2295" spans="1:34" x14ac:dyDescent="0.3">
      <c r="A2295" s="4">
        <v>2411</v>
      </c>
      <c r="B2295" s="5">
        <v>2288</v>
      </c>
      <c r="C2295">
        <v>6842</v>
      </c>
      <c r="D2295" t="s">
        <v>1911</v>
      </c>
      <c r="E2295" t="s">
        <v>22267</v>
      </c>
      <c r="F2295" t="s">
        <v>20</v>
      </c>
      <c r="G2295" t="s">
        <v>22268</v>
      </c>
      <c r="H2295">
        <v>16.43</v>
      </c>
      <c r="I2295">
        <v>0</v>
      </c>
      <c r="J2295">
        <v>0</v>
      </c>
      <c r="K2295">
        <v>0</v>
      </c>
      <c r="M2295">
        <v>5</v>
      </c>
      <c r="N2295">
        <v>3</v>
      </c>
      <c r="O2295">
        <v>8</v>
      </c>
      <c r="P2295">
        <v>4</v>
      </c>
      <c r="Q2295">
        <v>0</v>
      </c>
      <c r="R2295">
        <v>28.43</v>
      </c>
      <c r="S2295">
        <v>8</v>
      </c>
      <c r="T2295">
        <v>8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8</v>
      </c>
      <c r="AB2295">
        <v>0</v>
      </c>
      <c r="AC2295">
        <v>0</v>
      </c>
      <c r="AH2295">
        <v>36.43</v>
      </c>
    </row>
    <row r="2296" spans="1:34" x14ac:dyDescent="0.3">
      <c r="A2296" s="4">
        <v>2412</v>
      </c>
      <c r="B2296" s="5">
        <v>2289</v>
      </c>
      <c r="C2296">
        <v>6489</v>
      </c>
      <c r="D2296" t="s">
        <v>7471</v>
      </c>
      <c r="E2296" t="s">
        <v>3948</v>
      </c>
      <c r="F2296" t="s">
        <v>375</v>
      </c>
      <c r="G2296" t="s">
        <v>22269</v>
      </c>
      <c r="H2296">
        <v>19.38</v>
      </c>
      <c r="I2296">
        <v>0</v>
      </c>
      <c r="J2296">
        <v>0</v>
      </c>
      <c r="K2296">
        <v>0</v>
      </c>
      <c r="L2296">
        <v>7</v>
      </c>
      <c r="O2296">
        <v>7</v>
      </c>
      <c r="P2296">
        <v>4</v>
      </c>
      <c r="Q2296">
        <v>0</v>
      </c>
      <c r="R2296">
        <v>30.38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6</v>
      </c>
      <c r="AC2296">
        <v>0</v>
      </c>
      <c r="AH2296">
        <v>36.380000000000003</v>
      </c>
    </row>
    <row r="2297" spans="1:34" x14ac:dyDescent="0.3">
      <c r="A2297" s="4">
        <v>2413</v>
      </c>
      <c r="B2297" s="5">
        <v>2290</v>
      </c>
      <c r="C2297">
        <v>3032</v>
      </c>
      <c r="D2297" t="s">
        <v>12864</v>
      </c>
      <c r="E2297" t="s">
        <v>1997</v>
      </c>
      <c r="F2297" t="s">
        <v>62</v>
      </c>
      <c r="G2297" t="s">
        <v>22270</v>
      </c>
      <c r="H2297">
        <v>20.38</v>
      </c>
      <c r="I2297">
        <v>0</v>
      </c>
      <c r="J2297">
        <v>0</v>
      </c>
      <c r="K2297">
        <v>0</v>
      </c>
      <c r="L2297">
        <v>7</v>
      </c>
      <c r="N2297">
        <v>3</v>
      </c>
      <c r="O2297">
        <v>10</v>
      </c>
      <c r="P2297">
        <v>4</v>
      </c>
      <c r="Q2297">
        <v>2</v>
      </c>
      <c r="R2297">
        <v>36.380000000000003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H2297">
        <v>36.380000000000003</v>
      </c>
    </row>
    <row r="2298" spans="1:34" x14ac:dyDescent="0.3">
      <c r="A2298" s="4">
        <v>2414</v>
      </c>
      <c r="B2298" s="5">
        <v>2291</v>
      </c>
      <c r="C2298">
        <v>12587</v>
      </c>
      <c r="D2298" t="s">
        <v>2704</v>
      </c>
      <c r="E2298" t="s">
        <v>22271</v>
      </c>
      <c r="F2298" t="s">
        <v>34</v>
      </c>
      <c r="G2298" t="s">
        <v>22272</v>
      </c>
      <c r="H2298">
        <v>20.350000000000001</v>
      </c>
      <c r="I2298">
        <v>0</v>
      </c>
      <c r="J2298">
        <v>0</v>
      </c>
      <c r="K2298">
        <v>0</v>
      </c>
      <c r="L2298">
        <v>7</v>
      </c>
      <c r="M2298">
        <v>5</v>
      </c>
      <c r="O2298">
        <v>12</v>
      </c>
      <c r="P2298">
        <v>4</v>
      </c>
      <c r="Q2298">
        <v>0</v>
      </c>
      <c r="R2298">
        <v>36.35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H2298">
        <v>36.35</v>
      </c>
    </row>
    <row r="2299" spans="1:34" x14ac:dyDescent="0.3">
      <c r="A2299" s="4">
        <v>2415</v>
      </c>
      <c r="B2299" s="5">
        <v>2292</v>
      </c>
      <c r="C2299">
        <v>4012</v>
      </c>
      <c r="D2299" t="s">
        <v>20659</v>
      </c>
      <c r="E2299" t="s">
        <v>268</v>
      </c>
      <c r="F2299" t="s">
        <v>52</v>
      </c>
      <c r="G2299" t="s">
        <v>22273</v>
      </c>
      <c r="H2299">
        <v>20.329999999999998</v>
      </c>
      <c r="I2299">
        <v>0</v>
      </c>
      <c r="J2299">
        <v>0</v>
      </c>
      <c r="K2299">
        <v>0</v>
      </c>
      <c r="N2299">
        <v>3</v>
      </c>
      <c r="O2299">
        <v>3</v>
      </c>
      <c r="P2299">
        <v>4</v>
      </c>
      <c r="Q2299">
        <v>0</v>
      </c>
      <c r="R2299">
        <v>27.33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9</v>
      </c>
      <c r="AC2299">
        <v>0</v>
      </c>
      <c r="AD2299" t="s">
        <v>130</v>
      </c>
      <c r="AH2299">
        <v>36.33</v>
      </c>
    </row>
    <row r="2300" spans="1:34" x14ac:dyDescent="0.3">
      <c r="A2300" s="4">
        <v>2416</v>
      </c>
      <c r="B2300" s="5">
        <v>2293</v>
      </c>
      <c r="C2300">
        <v>11204</v>
      </c>
      <c r="D2300" t="s">
        <v>22274</v>
      </c>
      <c r="E2300" t="s">
        <v>22275</v>
      </c>
      <c r="F2300" t="s">
        <v>20</v>
      </c>
      <c r="G2300" t="s">
        <v>22276</v>
      </c>
      <c r="H2300">
        <v>22.33</v>
      </c>
      <c r="I2300">
        <v>0</v>
      </c>
      <c r="J2300">
        <v>0</v>
      </c>
      <c r="K2300">
        <v>0</v>
      </c>
      <c r="L2300">
        <v>7</v>
      </c>
      <c r="N2300">
        <v>3</v>
      </c>
      <c r="O2300">
        <v>10</v>
      </c>
      <c r="P2300">
        <v>4</v>
      </c>
      <c r="Q2300">
        <v>0</v>
      </c>
      <c r="R2300">
        <v>36.33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H2300">
        <v>36.33</v>
      </c>
    </row>
    <row r="2301" spans="1:34" x14ac:dyDescent="0.3">
      <c r="A2301" s="4">
        <v>2417</v>
      </c>
      <c r="B2301" s="5">
        <v>2294</v>
      </c>
      <c r="C2301">
        <v>4271</v>
      </c>
      <c r="D2301" t="s">
        <v>2666</v>
      </c>
      <c r="E2301" t="s">
        <v>697</v>
      </c>
      <c r="F2301" t="s">
        <v>158</v>
      </c>
      <c r="G2301" t="s">
        <v>22277</v>
      </c>
      <c r="H2301">
        <v>23.28</v>
      </c>
      <c r="I2301">
        <v>0</v>
      </c>
      <c r="J2301">
        <v>0</v>
      </c>
      <c r="K2301">
        <v>0</v>
      </c>
      <c r="N2301">
        <v>3</v>
      </c>
      <c r="O2301">
        <v>3</v>
      </c>
      <c r="P2301">
        <v>4</v>
      </c>
      <c r="Q2301">
        <v>0</v>
      </c>
      <c r="R2301">
        <v>30.28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6</v>
      </c>
      <c r="AC2301">
        <v>0</v>
      </c>
      <c r="AH2301">
        <v>36.28</v>
      </c>
    </row>
    <row r="2302" spans="1:34" x14ac:dyDescent="0.3">
      <c r="A2302" s="4">
        <v>2418</v>
      </c>
      <c r="B2302" s="5">
        <v>2295</v>
      </c>
      <c r="C2302">
        <v>3369</v>
      </c>
      <c r="D2302" t="s">
        <v>22278</v>
      </c>
      <c r="E2302" t="s">
        <v>355</v>
      </c>
      <c r="F2302" t="s">
        <v>20</v>
      </c>
      <c r="G2302" t="s">
        <v>22279</v>
      </c>
      <c r="H2302">
        <v>20.28</v>
      </c>
      <c r="I2302">
        <v>0</v>
      </c>
      <c r="J2302">
        <v>0</v>
      </c>
      <c r="K2302">
        <v>0</v>
      </c>
      <c r="L2302">
        <v>7</v>
      </c>
      <c r="M2302">
        <v>5</v>
      </c>
      <c r="O2302">
        <v>12</v>
      </c>
      <c r="P2302">
        <v>4</v>
      </c>
      <c r="Q2302">
        <v>0</v>
      </c>
      <c r="R2302">
        <v>36.28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H2302">
        <v>36.28</v>
      </c>
    </row>
    <row r="2303" spans="1:34" x14ac:dyDescent="0.3">
      <c r="A2303" s="4">
        <v>2419</v>
      </c>
      <c r="B2303" s="5">
        <v>2296</v>
      </c>
      <c r="C2303">
        <v>9749</v>
      </c>
      <c r="D2303" t="s">
        <v>22280</v>
      </c>
      <c r="E2303" t="s">
        <v>1053</v>
      </c>
      <c r="F2303" t="s">
        <v>81</v>
      </c>
      <c r="G2303" t="s">
        <v>22281</v>
      </c>
      <c r="H2303">
        <v>20.25</v>
      </c>
      <c r="I2303">
        <v>0</v>
      </c>
      <c r="J2303">
        <v>0</v>
      </c>
      <c r="K2303">
        <v>0</v>
      </c>
      <c r="N2303">
        <v>3</v>
      </c>
      <c r="O2303">
        <v>3</v>
      </c>
      <c r="P2303">
        <v>4</v>
      </c>
      <c r="Q2303">
        <v>0</v>
      </c>
      <c r="R2303">
        <v>27.25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9</v>
      </c>
      <c r="AC2303">
        <v>0</v>
      </c>
      <c r="AH2303">
        <v>36.25</v>
      </c>
    </row>
    <row r="2304" spans="1:34" x14ac:dyDescent="0.3">
      <c r="A2304" s="4">
        <v>2420</v>
      </c>
      <c r="B2304" s="5">
        <v>2297</v>
      </c>
      <c r="C2304">
        <v>11975</v>
      </c>
      <c r="D2304" t="s">
        <v>11048</v>
      </c>
      <c r="E2304" t="s">
        <v>22282</v>
      </c>
      <c r="F2304" t="s">
        <v>17</v>
      </c>
      <c r="G2304" t="s">
        <v>22283</v>
      </c>
      <c r="H2304">
        <v>17.25</v>
      </c>
      <c r="I2304">
        <v>0</v>
      </c>
      <c r="J2304">
        <v>0</v>
      </c>
      <c r="K2304">
        <v>0</v>
      </c>
      <c r="L2304">
        <v>7</v>
      </c>
      <c r="O2304">
        <v>7</v>
      </c>
      <c r="P2304">
        <v>4</v>
      </c>
      <c r="Q2304">
        <v>2</v>
      </c>
      <c r="R2304">
        <v>30.25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6</v>
      </c>
      <c r="AC2304">
        <v>0</v>
      </c>
      <c r="AH2304">
        <v>36.25</v>
      </c>
    </row>
    <row r="2305" spans="1:34" x14ac:dyDescent="0.3">
      <c r="A2305" s="4">
        <v>2421</v>
      </c>
      <c r="B2305" s="5">
        <v>2298</v>
      </c>
      <c r="C2305">
        <v>2116</v>
      </c>
      <c r="D2305" t="s">
        <v>22284</v>
      </c>
      <c r="E2305" t="s">
        <v>29</v>
      </c>
      <c r="F2305" t="s">
        <v>328</v>
      </c>
      <c r="G2305" t="s">
        <v>22285</v>
      </c>
      <c r="H2305">
        <v>21.2</v>
      </c>
      <c r="I2305">
        <v>0</v>
      </c>
      <c r="J2305">
        <v>0</v>
      </c>
      <c r="K2305">
        <v>0</v>
      </c>
      <c r="L2305">
        <v>7</v>
      </c>
      <c r="O2305">
        <v>7</v>
      </c>
      <c r="P2305">
        <v>4</v>
      </c>
      <c r="Q2305">
        <v>0</v>
      </c>
      <c r="R2305">
        <v>32.200000000000003</v>
      </c>
      <c r="S2305">
        <v>4</v>
      </c>
      <c r="T2305">
        <v>4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4</v>
      </c>
      <c r="AB2305">
        <v>0</v>
      </c>
      <c r="AC2305">
        <v>0</v>
      </c>
      <c r="AH2305">
        <v>36.200000000000003</v>
      </c>
    </row>
    <row r="2306" spans="1:34" x14ac:dyDescent="0.3">
      <c r="A2306" s="4">
        <v>2422</v>
      </c>
      <c r="B2306" s="5">
        <v>2299</v>
      </c>
      <c r="C2306">
        <v>495</v>
      </c>
      <c r="D2306" t="s">
        <v>1035</v>
      </c>
      <c r="E2306" t="s">
        <v>100</v>
      </c>
      <c r="F2306" t="s">
        <v>4546</v>
      </c>
      <c r="G2306" t="s">
        <v>22286</v>
      </c>
      <c r="H2306">
        <v>19.18</v>
      </c>
      <c r="I2306">
        <v>0</v>
      </c>
      <c r="J2306">
        <v>0</v>
      </c>
      <c r="K2306">
        <v>0</v>
      </c>
      <c r="L2306">
        <v>7</v>
      </c>
      <c r="O2306">
        <v>7</v>
      </c>
      <c r="P2306">
        <v>4</v>
      </c>
      <c r="Q2306">
        <v>0</v>
      </c>
      <c r="R2306">
        <v>30.18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6</v>
      </c>
      <c r="AC2306">
        <v>0</v>
      </c>
      <c r="AH2306">
        <v>36.18</v>
      </c>
    </row>
    <row r="2307" spans="1:34" x14ac:dyDescent="0.3">
      <c r="A2307" s="4">
        <v>2423</v>
      </c>
      <c r="B2307" s="5">
        <v>2300</v>
      </c>
      <c r="C2307">
        <v>11396</v>
      </c>
      <c r="D2307" t="s">
        <v>22287</v>
      </c>
      <c r="E2307" t="s">
        <v>789</v>
      </c>
      <c r="F2307" t="s">
        <v>30</v>
      </c>
      <c r="G2307" t="s">
        <v>22288</v>
      </c>
      <c r="H2307">
        <v>19.149999999999999</v>
      </c>
      <c r="I2307">
        <v>0</v>
      </c>
      <c r="J2307">
        <v>0</v>
      </c>
      <c r="K2307">
        <v>0</v>
      </c>
      <c r="L2307">
        <v>7</v>
      </c>
      <c r="O2307">
        <v>7</v>
      </c>
      <c r="P2307">
        <v>4</v>
      </c>
      <c r="Q2307">
        <v>0</v>
      </c>
      <c r="R2307">
        <v>30.15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6</v>
      </c>
      <c r="AC2307">
        <v>0</v>
      </c>
      <c r="AH2307">
        <v>36.15</v>
      </c>
    </row>
    <row r="2308" spans="1:34" x14ac:dyDescent="0.3">
      <c r="A2308" s="4">
        <v>2424</v>
      </c>
      <c r="B2308" s="5">
        <v>2301</v>
      </c>
      <c r="C2308">
        <v>3745</v>
      </c>
      <c r="D2308" t="s">
        <v>5553</v>
      </c>
      <c r="E2308" t="s">
        <v>29</v>
      </c>
      <c r="F2308" t="s">
        <v>20</v>
      </c>
      <c r="G2308" t="s">
        <v>22289</v>
      </c>
      <c r="H2308">
        <v>20.13</v>
      </c>
      <c r="I2308">
        <v>0</v>
      </c>
      <c r="J2308">
        <v>0</v>
      </c>
      <c r="K2308">
        <v>0</v>
      </c>
      <c r="N2308">
        <v>3</v>
      </c>
      <c r="O2308">
        <v>3</v>
      </c>
      <c r="P2308">
        <v>4</v>
      </c>
      <c r="Q2308">
        <v>0</v>
      </c>
      <c r="R2308">
        <v>27.13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9</v>
      </c>
      <c r="AC2308">
        <v>0</v>
      </c>
      <c r="AH2308">
        <v>36.130000000000003</v>
      </c>
    </row>
    <row r="2309" spans="1:34" x14ac:dyDescent="0.3">
      <c r="A2309" s="4">
        <v>2425</v>
      </c>
      <c r="B2309" s="5">
        <v>2302</v>
      </c>
      <c r="C2309">
        <v>14633</v>
      </c>
      <c r="D2309" t="s">
        <v>6107</v>
      </c>
      <c r="E2309" t="s">
        <v>789</v>
      </c>
      <c r="F2309" t="s">
        <v>81</v>
      </c>
      <c r="G2309" t="s">
        <v>22290</v>
      </c>
      <c r="H2309">
        <v>22.1</v>
      </c>
      <c r="I2309">
        <v>0</v>
      </c>
      <c r="J2309">
        <v>0</v>
      </c>
      <c r="K2309">
        <v>0</v>
      </c>
      <c r="L2309">
        <v>7</v>
      </c>
      <c r="O2309">
        <v>7</v>
      </c>
      <c r="P2309">
        <v>4</v>
      </c>
      <c r="Q2309">
        <v>0</v>
      </c>
      <c r="R2309">
        <v>33.1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3</v>
      </c>
      <c r="AC2309">
        <v>0</v>
      </c>
      <c r="AH2309">
        <v>36.1</v>
      </c>
    </row>
    <row r="2310" spans="1:34" x14ac:dyDescent="0.3">
      <c r="A2310" s="4">
        <v>2426</v>
      </c>
      <c r="B2310" s="5">
        <v>2303</v>
      </c>
      <c r="C2310">
        <v>11233</v>
      </c>
      <c r="D2310" t="s">
        <v>18187</v>
      </c>
      <c r="E2310" t="s">
        <v>26</v>
      </c>
      <c r="F2310" t="s">
        <v>30</v>
      </c>
      <c r="G2310" t="s">
        <v>22291</v>
      </c>
      <c r="H2310">
        <v>19.100000000000001</v>
      </c>
      <c r="I2310">
        <v>0</v>
      </c>
      <c r="J2310">
        <v>0</v>
      </c>
      <c r="K2310">
        <v>0</v>
      </c>
      <c r="O2310">
        <v>0</v>
      </c>
      <c r="P2310">
        <v>0</v>
      </c>
      <c r="Q2310">
        <v>0</v>
      </c>
      <c r="R2310">
        <v>19.100000000000001</v>
      </c>
      <c r="S2310">
        <v>17</v>
      </c>
      <c r="T2310">
        <v>17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17</v>
      </c>
      <c r="AB2310">
        <v>0</v>
      </c>
      <c r="AC2310">
        <v>0</v>
      </c>
      <c r="AH2310">
        <v>36.1</v>
      </c>
    </row>
    <row r="2311" spans="1:34" x14ac:dyDescent="0.3">
      <c r="A2311" s="4">
        <v>2427</v>
      </c>
      <c r="B2311" s="5">
        <v>2304</v>
      </c>
      <c r="C2311">
        <v>11053</v>
      </c>
      <c r="D2311" t="s">
        <v>9931</v>
      </c>
      <c r="E2311" t="s">
        <v>1659</v>
      </c>
      <c r="F2311" t="s">
        <v>975</v>
      </c>
      <c r="G2311" t="s">
        <v>22292</v>
      </c>
      <c r="H2311">
        <v>19.079999999999998</v>
      </c>
      <c r="I2311">
        <v>0</v>
      </c>
      <c r="J2311">
        <v>0</v>
      </c>
      <c r="K2311">
        <v>0</v>
      </c>
      <c r="O2311">
        <v>0</v>
      </c>
      <c r="P2311">
        <v>4</v>
      </c>
      <c r="Q2311">
        <v>2</v>
      </c>
      <c r="R2311">
        <v>25.08</v>
      </c>
      <c r="S2311">
        <v>5</v>
      </c>
      <c r="T2311">
        <v>5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5</v>
      </c>
      <c r="AB2311">
        <v>6</v>
      </c>
      <c r="AC2311">
        <v>0</v>
      </c>
      <c r="AH2311">
        <v>36.08</v>
      </c>
    </row>
    <row r="2312" spans="1:34" x14ac:dyDescent="0.3">
      <c r="A2312" s="4">
        <v>2428</v>
      </c>
      <c r="B2312" s="5">
        <v>2305</v>
      </c>
      <c r="C2312">
        <v>3351</v>
      </c>
      <c r="D2312" t="s">
        <v>22293</v>
      </c>
      <c r="E2312" t="s">
        <v>54</v>
      </c>
      <c r="F2312" t="s">
        <v>81</v>
      </c>
      <c r="G2312" t="s">
        <v>22294</v>
      </c>
      <c r="H2312">
        <v>17.05</v>
      </c>
      <c r="I2312">
        <v>0</v>
      </c>
      <c r="J2312">
        <v>0</v>
      </c>
      <c r="K2312">
        <v>0</v>
      </c>
      <c r="L2312">
        <v>7</v>
      </c>
      <c r="M2312">
        <v>5</v>
      </c>
      <c r="O2312">
        <v>12</v>
      </c>
      <c r="P2312">
        <v>4</v>
      </c>
      <c r="Q2312">
        <v>0</v>
      </c>
      <c r="R2312">
        <v>33.049999999999997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3</v>
      </c>
      <c r="AC2312">
        <v>0</v>
      </c>
      <c r="AH2312">
        <v>36.049999999999997</v>
      </c>
    </row>
    <row r="2313" spans="1:34" x14ac:dyDescent="0.3">
      <c r="A2313" s="4">
        <v>2429</v>
      </c>
      <c r="B2313" s="5">
        <v>2306</v>
      </c>
      <c r="C2313">
        <v>10248</v>
      </c>
      <c r="D2313" t="s">
        <v>22295</v>
      </c>
      <c r="E2313" t="s">
        <v>5685</v>
      </c>
      <c r="F2313" t="s">
        <v>343</v>
      </c>
      <c r="G2313" t="s">
        <v>22296</v>
      </c>
      <c r="H2313">
        <v>21.03</v>
      </c>
      <c r="I2313">
        <v>0</v>
      </c>
      <c r="J2313">
        <v>0</v>
      </c>
      <c r="K2313">
        <v>0</v>
      </c>
      <c r="N2313">
        <v>3</v>
      </c>
      <c r="O2313">
        <v>3</v>
      </c>
      <c r="P2313">
        <v>0</v>
      </c>
      <c r="Q2313">
        <v>0</v>
      </c>
      <c r="R2313">
        <v>24.03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12</v>
      </c>
      <c r="AC2313">
        <v>0</v>
      </c>
      <c r="AH2313">
        <v>36.03</v>
      </c>
    </row>
    <row r="2314" spans="1:34" x14ac:dyDescent="0.3">
      <c r="A2314" s="4">
        <v>2430</v>
      </c>
      <c r="B2314" s="5">
        <v>2307</v>
      </c>
      <c r="C2314">
        <v>11763</v>
      </c>
      <c r="D2314" t="s">
        <v>22297</v>
      </c>
      <c r="E2314" t="s">
        <v>343</v>
      </c>
      <c r="F2314" t="s">
        <v>6071</v>
      </c>
      <c r="G2314" t="s">
        <v>22298</v>
      </c>
      <c r="H2314">
        <v>18.03</v>
      </c>
      <c r="I2314">
        <v>0</v>
      </c>
      <c r="J2314">
        <v>0</v>
      </c>
      <c r="K2314">
        <v>0</v>
      </c>
      <c r="L2314">
        <v>7</v>
      </c>
      <c r="O2314">
        <v>7</v>
      </c>
      <c r="P2314">
        <v>4</v>
      </c>
      <c r="Q2314">
        <v>2</v>
      </c>
      <c r="R2314">
        <v>31.03</v>
      </c>
      <c r="S2314">
        <v>5</v>
      </c>
      <c r="T2314">
        <v>5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5</v>
      </c>
      <c r="AB2314">
        <v>0</v>
      </c>
      <c r="AC2314">
        <v>0</v>
      </c>
      <c r="AH2314">
        <v>36.03</v>
      </c>
    </row>
    <row r="2315" spans="1:34" x14ac:dyDescent="0.3">
      <c r="A2315" s="4">
        <v>2431</v>
      </c>
      <c r="B2315" s="5">
        <v>2308</v>
      </c>
      <c r="C2315">
        <v>11747</v>
      </c>
      <c r="D2315" t="s">
        <v>22299</v>
      </c>
      <c r="E2315" t="s">
        <v>26</v>
      </c>
      <c r="F2315" t="s">
        <v>136</v>
      </c>
      <c r="G2315" t="s">
        <v>22300</v>
      </c>
      <c r="H2315">
        <v>20</v>
      </c>
      <c r="I2315">
        <v>0</v>
      </c>
      <c r="J2315">
        <v>0</v>
      </c>
      <c r="K2315">
        <v>0</v>
      </c>
      <c r="N2315">
        <v>3</v>
      </c>
      <c r="O2315">
        <v>3</v>
      </c>
      <c r="P2315">
        <v>4</v>
      </c>
      <c r="Q2315">
        <v>0</v>
      </c>
      <c r="R2315">
        <v>27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9</v>
      </c>
      <c r="AC2315">
        <v>0</v>
      </c>
      <c r="AH2315">
        <v>36</v>
      </c>
    </row>
    <row r="2316" spans="1:34" x14ac:dyDescent="0.3">
      <c r="A2316" s="4">
        <v>2432</v>
      </c>
      <c r="B2316" s="5">
        <v>2309</v>
      </c>
      <c r="C2316">
        <v>11886</v>
      </c>
      <c r="D2316" t="s">
        <v>22301</v>
      </c>
      <c r="E2316" t="s">
        <v>88</v>
      </c>
      <c r="F2316" t="s">
        <v>55</v>
      </c>
      <c r="G2316" t="s">
        <v>22302</v>
      </c>
      <c r="H2316">
        <v>21</v>
      </c>
      <c r="I2316">
        <v>0</v>
      </c>
      <c r="J2316">
        <v>0</v>
      </c>
      <c r="K2316">
        <v>0</v>
      </c>
      <c r="M2316">
        <v>5</v>
      </c>
      <c r="O2316">
        <v>5</v>
      </c>
      <c r="P2316">
        <v>4</v>
      </c>
      <c r="Q2316">
        <v>0</v>
      </c>
      <c r="R2316">
        <v>30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6</v>
      </c>
      <c r="AC2316">
        <v>0</v>
      </c>
      <c r="AH2316">
        <v>36</v>
      </c>
    </row>
    <row r="2317" spans="1:34" x14ac:dyDescent="0.3">
      <c r="A2317" s="4">
        <v>2433</v>
      </c>
      <c r="B2317" s="5">
        <v>2310</v>
      </c>
      <c r="C2317">
        <v>6361</v>
      </c>
      <c r="D2317" t="s">
        <v>1703</v>
      </c>
      <c r="E2317" t="s">
        <v>54</v>
      </c>
      <c r="F2317" t="s">
        <v>230</v>
      </c>
      <c r="G2317" t="s">
        <v>4069</v>
      </c>
      <c r="H2317">
        <v>19</v>
      </c>
      <c r="I2317">
        <v>0</v>
      </c>
      <c r="J2317">
        <v>0</v>
      </c>
      <c r="K2317">
        <v>0</v>
      </c>
      <c r="L2317">
        <v>7</v>
      </c>
      <c r="O2317">
        <v>7</v>
      </c>
      <c r="P2317">
        <v>4</v>
      </c>
      <c r="Q2317">
        <v>0</v>
      </c>
      <c r="R2317">
        <v>30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6</v>
      </c>
      <c r="AC2317">
        <v>0</v>
      </c>
      <c r="AH2317">
        <v>36</v>
      </c>
    </row>
    <row r="2318" spans="1:34" x14ac:dyDescent="0.3">
      <c r="A2318" s="4">
        <v>2434</v>
      </c>
      <c r="B2318" s="5">
        <v>2311</v>
      </c>
      <c r="C2318">
        <v>13319</v>
      </c>
      <c r="D2318" t="s">
        <v>22303</v>
      </c>
      <c r="E2318" t="s">
        <v>789</v>
      </c>
      <c r="F2318" t="s">
        <v>91</v>
      </c>
      <c r="G2318" t="s">
        <v>22304</v>
      </c>
      <c r="H2318">
        <v>19</v>
      </c>
      <c r="I2318">
        <v>0</v>
      </c>
      <c r="J2318">
        <v>0</v>
      </c>
      <c r="K2318">
        <v>0</v>
      </c>
      <c r="L2318">
        <v>7</v>
      </c>
      <c r="O2318">
        <v>7</v>
      </c>
      <c r="P2318">
        <v>4</v>
      </c>
      <c r="Q2318">
        <v>0</v>
      </c>
      <c r="R2318">
        <v>30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6</v>
      </c>
      <c r="AC2318">
        <v>0</v>
      </c>
      <c r="AH2318">
        <v>36</v>
      </c>
    </row>
    <row r="2319" spans="1:34" x14ac:dyDescent="0.3">
      <c r="A2319" s="4">
        <v>2435</v>
      </c>
      <c r="B2319" s="5">
        <v>2312</v>
      </c>
      <c r="C2319">
        <v>15013</v>
      </c>
      <c r="D2319" t="s">
        <v>229</v>
      </c>
      <c r="E2319" t="s">
        <v>858</v>
      </c>
      <c r="F2319" t="s">
        <v>7899</v>
      </c>
      <c r="G2319" t="s">
        <v>22305</v>
      </c>
      <c r="H2319">
        <v>20</v>
      </c>
      <c r="I2319">
        <v>0</v>
      </c>
      <c r="J2319">
        <v>0</v>
      </c>
      <c r="K2319">
        <v>0</v>
      </c>
      <c r="L2319">
        <v>7</v>
      </c>
      <c r="N2319">
        <v>3</v>
      </c>
      <c r="O2319">
        <v>10</v>
      </c>
      <c r="P2319">
        <v>4</v>
      </c>
      <c r="Q2319">
        <v>2</v>
      </c>
      <c r="R2319">
        <v>36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H2319">
        <v>36</v>
      </c>
    </row>
    <row r="2320" spans="1:34" x14ac:dyDescent="0.3">
      <c r="A2320" s="4">
        <v>2436</v>
      </c>
      <c r="B2320" s="5">
        <v>2313</v>
      </c>
      <c r="C2320">
        <v>315</v>
      </c>
      <c r="D2320" t="s">
        <v>22306</v>
      </c>
      <c r="E2320" t="s">
        <v>550</v>
      </c>
      <c r="F2320" t="s">
        <v>20</v>
      </c>
      <c r="G2320" t="s">
        <v>22307</v>
      </c>
      <c r="H2320">
        <v>19.98</v>
      </c>
      <c r="I2320">
        <v>0</v>
      </c>
      <c r="J2320">
        <v>0</v>
      </c>
      <c r="K2320">
        <v>0</v>
      </c>
      <c r="L2320">
        <v>7</v>
      </c>
      <c r="M2320">
        <v>5</v>
      </c>
      <c r="O2320">
        <v>12</v>
      </c>
      <c r="P2320">
        <v>4</v>
      </c>
      <c r="Q2320">
        <v>0</v>
      </c>
      <c r="R2320">
        <v>35.979999999999997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H2320">
        <v>35.979999999999997</v>
      </c>
    </row>
    <row r="2321" spans="1:34" x14ac:dyDescent="0.3">
      <c r="A2321" s="4">
        <v>2437</v>
      </c>
      <c r="B2321" s="5">
        <v>2314</v>
      </c>
      <c r="C2321">
        <v>13007</v>
      </c>
      <c r="D2321" t="s">
        <v>22308</v>
      </c>
      <c r="E2321" t="s">
        <v>6070</v>
      </c>
      <c r="F2321" t="s">
        <v>2598</v>
      </c>
      <c r="G2321" t="s">
        <v>22309</v>
      </c>
      <c r="H2321">
        <v>21.9</v>
      </c>
      <c r="I2321">
        <v>0</v>
      </c>
      <c r="J2321">
        <v>0</v>
      </c>
      <c r="K2321">
        <v>0</v>
      </c>
      <c r="N2321">
        <v>3</v>
      </c>
      <c r="O2321">
        <v>3</v>
      </c>
      <c r="P2321">
        <v>4</v>
      </c>
      <c r="Q2321">
        <v>0</v>
      </c>
      <c r="R2321">
        <v>28.9</v>
      </c>
      <c r="S2321">
        <v>7</v>
      </c>
      <c r="T2321">
        <v>7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7</v>
      </c>
      <c r="AB2321">
        <v>0</v>
      </c>
      <c r="AC2321">
        <v>0</v>
      </c>
      <c r="AH2321">
        <v>35.9</v>
      </c>
    </row>
    <row r="2322" spans="1:34" x14ac:dyDescent="0.3">
      <c r="A2322" s="4">
        <v>2438</v>
      </c>
      <c r="B2322" s="5">
        <v>2315</v>
      </c>
      <c r="C2322">
        <v>15534</v>
      </c>
      <c r="D2322" t="s">
        <v>1619</v>
      </c>
      <c r="E2322" t="s">
        <v>29</v>
      </c>
      <c r="F2322" t="s">
        <v>243</v>
      </c>
      <c r="G2322" t="s">
        <v>22310</v>
      </c>
      <c r="H2322">
        <v>16.829999999999998</v>
      </c>
      <c r="I2322">
        <v>0</v>
      </c>
      <c r="J2322">
        <v>0</v>
      </c>
      <c r="K2322">
        <v>0</v>
      </c>
      <c r="L2322">
        <v>7</v>
      </c>
      <c r="O2322">
        <v>7</v>
      </c>
      <c r="P2322">
        <v>4</v>
      </c>
      <c r="Q2322">
        <v>2</v>
      </c>
      <c r="R2322">
        <v>29.83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6</v>
      </c>
      <c r="AC2322">
        <v>0</v>
      </c>
      <c r="AH2322">
        <v>35.83</v>
      </c>
    </row>
    <row r="2323" spans="1:34" x14ac:dyDescent="0.3">
      <c r="A2323" s="4">
        <v>2439</v>
      </c>
      <c r="B2323" s="5">
        <v>2316</v>
      </c>
      <c r="C2323">
        <v>10726</v>
      </c>
      <c r="D2323" t="s">
        <v>5678</v>
      </c>
      <c r="E2323" t="s">
        <v>10969</v>
      </c>
      <c r="F2323" t="s">
        <v>38</v>
      </c>
      <c r="G2323" t="s">
        <v>22311</v>
      </c>
      <c r="H2323">
        <v>17.78</v>
      </c>
      <c r="I2323">
        <v>0</v>
      </c>
      <c r="J2323">
        <v>0</v>
      </c>
      <c r="K2323">
        <v>0</v>
      </c>
      <c r="M2323">
        <v>5</v>
      </c>
      <c r="N2323">
        <v>3</v>
      </c>
      <c r="O2323">
        <v>8</v>
      </c>
      <c r="P2323">
        <v>4</v>
      </c>
      <c r="Q2323">
        <v>0</v>
      </c>
      <c r="R2323">
        <v>29.78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6</v>
      </c>
      <c r="AC2323">
        <v>0</v>
      </c>
      <c r="AH2323">
        <v>35.78</v>
      </c>
    </row>
    <row r="2324" spans="1:34" x14ac:dyDescent="0.3">
      <c r="A2324" s="4">
        <v>2440</v>
      </c>
      <c r="B2324" s="5">
        <v>2317</v>
      </c>
      <c r="C2324">
        <v>8525</v>
      </c>
      <c r="D2324" t="s">
        <v>22312</v>
      </c>
      <c r="E2324" t="s">
        <v>29</v>
      </c>
      <c r="F2324" t="s">
        <v>17</v>
      </c>
      <c r="G2324" t="s">
        <v>22313</v>
      </c>
      <c r="H2324">
        <v>22.63</v>
      </c>
      <c r="I2324">
        <v>0</v>
      </c>
      <c r="J2324">
        <v>0</v>
      </c>
      <c r="K2324">
        <v>0</v>
      </c>
      <c r="N2324">
        <v>3</v>
      </c>
      <c r="O2324">
        <v>3</v>
      </c>
      <c r="P2324">
        <v>4</v>
      </c>
      <c r="Q2324">
        <v>0</v>
      </c>
      <c r="R2324">
        <v>29.63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6</v>
      </c>
      <c r="AC2324">
        <v>0</v>
      </c>
      <c r="AH2324">
        <v>35.630000000000003</v>
      </c>
    </row>
    <row r="2325" spans="1:34" x14ac:dyDescent="0.3">
      <c r="A2325" s="4">
        <v>2441</v>
      </c>
      <c r="B2325" s="5">
        <v>2318</v>
      </c>
      <c r="C2325">
        <v>10096</v>
      </c>
      <c r="D2325" t="s">
        <v>22314</v>
      </c>
      <c r="E2325" t="s">
        <v>147</v>
      </c>
      <c r="F2325" t="s">
        <v>81</v>
      </c>
      <c r="G2325" t="s">
        <v>22315</v>
      </c>
      <c r="H2325">
        <v>18.63</v>
      </c>
      <c r="I2325">
        <v>0</v>
      </c>
      <c r="J2325">
        <v>0</v>
      </c>
      <c r="K2325">
        <v>0</v>
      </c>
      <c r="L2325">
        <v>7</v>
      </c>
      <c r="O2325">
        <v>7</v>
      </c>
      <c r="P2325">
        <v>4</v>
      </c>
      <c r="Q2325">
        <v>0</v>
      </c>
      <c r="R2325">
        <v>29.63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6</v>
      </c>
      <c r="AC2325">
        <v>0</v>
      </c>
      <c r="AH2325">
        <v>35.630000000000003</v>
      </c>
    </row>
    <row r="2326" spans="1:34" x14ac:dyDescent="0.3">
      <c r="A2326" s="4">
        <v>2442</v>
      </c>
      <c r="B2326" s="5">
        <v>2319</v>
      </c>
      <c r="C2326">
        <v>4124</v>
      </c>
      <c r="D2326" t="s">
        <v>5359</v>
      </c>
      <c r="E2326" t="s">
        <v>3523</v>
      </c>
      <c r="F2326" t="s">
        <v>38</v>
      </c>
      <c r="G2326" t="s">
        <v>22316</v>
      </c>
      <c r="H2326">
        <v>18.600000000000001</v>
      </c>
      <c r="I2326">
        <v>0</v>
      </c>
      <c r="J2326">
        <v>0</v>
      </c>
      <c r="K2326">
        <v>0</v>
      </c>
      <c r="L2326">
        <v>7</v>
      </c>
      <c r="O2326">
        <v>7</v>
      </c>
      <c r="P2326">
        <v>4</v>
      </c>
      <c r="Q2326">
        <v>0</v>
      </c>
      <c r="R2326">
        <v>29.6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6</v>
      </c>
      <c r="AC2326">
        <v>0</v>
      </c>
      <c r="AH2326">
        <v>35.6</v>
      </c>
    </row>
    <row r="2327" spans="1:34" x14ac:dyDescent="0.3">
      <c r="A2327" s="4">
        <v>2443</v>
      </c>
      <c r="B2327" s="5">
        <v>2320</v>
      </c>
      <c r="C2327">
        <v>358</v>
      </c>
      <c r="D2327" t="s">
        <v>950</v>
      </c>
      <c r="E2327" t="s">
        <v>22</v>
      </c>
      <c r="F2327" t="s">
        <v>238</v>
      </c>
      <c r="G2327" t="s">
        <v>22317</v>
      </c>
      <c r="H2327">
        <v>18.600000000000001</v>
      </c>
      <c r="I2327">
        <v>0</v>
      </c>
      <c r="J2327">
        <v>0</v>
      </c>
      <c r="K2327">
        <v>0</v>
      </c>
      <c r="M2327">
        <v>5</v>
      </c>
      <c r="O2327">
        <v>5</v>
      </c>
      <c r="P2327">
        <v>4</v>
      </c>
      <c r="Q2327">
        <v>0</v>
      </c>
      <c r="R2327">
        <v>27.6</v>
      </c>
      <c r="S2327">
        <v>8</v>
      </c>
      <c r="T2327">
        <v>8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8</v>
      </c>
      <c r="AB2327">
        <v>0</v>
      </c>
      <c r="AC2327">
        <v>0</v>
      </c>
      <c r="AH2327">
        <v>35.6</v>
      </c>
    </row>
    <row r="2328" spans="1:34" x14ac:dyDescent="0.3">
      <c r="A2328" s="4">
        <v>2444</v>
      </c>
      <c r="B2328" s="5">
        <v>2321</v>
      </c>
      <c r="C2328">
        <v>2222</v>
      </c>
      <c r="D2328" t="s">
        <v>15118</v>
      </c>
      <c r="E2328" t="s">
        <v>17</v>
      </c>
      <c r="F2328" t="s">
        <v>343</v>
      </c>
      <c r="G2328" t="s">
        <v>22318</v>
      </c>
      <c r="H2328">
        <v>18.5</v>
      </c>
      <c r="I2328">
        <v>0</v>
      </c>
      <c r="J2328">
        <v>0</v>
      </c>
      <c r="K2328">
        <v>0</v>
      </c>
      <c r="L2328">
        <v>7</v>
      </c>
      <c r="O2328">
        <v>7</v>
      </c>
      <c r="P2328">
        <v>4</v>
      </c>
      <c r="Q2328">
        <v>0</v>
      </c>
      <c r="R2328">
        <v>29.5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6</v>
      </c>
      <c r="AC2328">
        <v>0</v>
      </c>
      <c r="AH2328">
        <v>35.5</v>
      </c>
    </row>
    <row r="2329" spans="1:34" x14ac:dyDescent="0.3">
      <c r="A2329" s="4">
        <v>2445</v>
      </c>
      <c r="B2329" s="5">
        <v>2322</v>
      </c>
      <c r="C2329">
        <v>1151</v>
      </c>
      <c r="D2329" t="s">
        <v>22319</v>
      </c>
      <c r="E2329" t="s">
        <v>182</v>
      </c>
      <c r="F2329" t="s">
        <v>243</v>
      </c>
      <c r="G2329" t="s">
        <v>22320</v>
      </c>
      <c r="H2329">
        <v>18.5</v>
      </c>
      <c r="I2329">
        <v>0</v>
      </c>
      <c r="J2329">
        <v>0</v>
      </c>
      <c r="K2329">
        <v>0</v>
      </c>
      <c r="L2329">
        <v>7</v>
      </c>
      <c r="O2329">
        <v>7</v>
      </c>
      <c r="P2329">
        <v>4</v>
      </c>
      <c r="Q2329">
        <v>0</v>
      </c>
      <c r="R2329">
        <v>29.5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6</v>
      </c>
      <c r="AC2329">
        <v>0</v>
      </c>
      <c r="AH2329">
        <v>35.5</v>
      </c>
    </row>
    <row r="2330" spans="1:34" x14ac:dyDescent="0.3">
      <c r="A2330" s="4">
        <v>2446</v>
      </c>
      <c r="B2330" s="5">
        <v>2323</v>
      </c>
      <c r="C2330">
        <v>4565</v>
      </c>
      <c r="D2330" t="s">
        <v>22321</v>
      </c>
      <c r="E2330" t="s">
        <v>816</v>
      </c>
      <c r="F2330" t="s">
        <v>1806</v>
      </c>
      <c r="G2330" t="s">
        <v>22322</v>
      </c>
      <c r="H2330">
        <v>18.5</v>
      </c>
      <c r="I2330">
        <v>0</v>
      </c>
      <c r="J2330">
        <v>0</v>
      </c>
      <c r="K2330">
        <v>0</v>
      </c>
      <c r="L2330">
        <v>7</v>
      </c>
      <c r="O2330">
        <v>7</v>
      </c>
      <c r="P2330">
        <v>4</v>
      </c>
      <c r="Q2330">
        <v>0</v>
      </c>
      <c r="R2330">
        <v>29.5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6</v>
      </c>
      <c r="AC2330">
        <v>0</v>
      </c>
      <c r="AH2330">
        <v>35.5</v>
      </c>
    </row>
    <row r="2331" spans="1:34" x14ac:dyDescent="0.3">
      <c r="A2331" s="4">
        <v>2447</v>
      </c>
      <c r="B2331" s="5">
        <v>2324</v>
      </c>
      <c r="C2331">
        <v>9112</v>
      </c>
      <c r="D2331" t="s">
        <v>1299</v>
      </c>
      <c r="E2331" t="s">
        <v>88</v>
      </c>
      <c r="F2331" t="s">
        <v>3439</v>
      </c>
      <c r="G2331" t="s">
        <v>22323</v>
      </c>
      <c r="H2331">
        <v>19.5</v>
      </c>
      <c r="I2331">
        <v>0</v>
      </c>
      <c r="J2331">
        <v>0</v>
      </c>
      <c r="K2331">
        <v>0</v>
      </c>
      <c r="M2331">
        <v>5</v>
      </c>
      <c r="O2331">
        <v>5</v>
      </c>
      <c r="P2331">
        <v>4</v>
      </c>
      <c r="Q2331">
        <v>0</v>
      </c>
      <c r="R2331">
        <v>28.5</v>
      </c>
      <c r="S2331">
        <v>7</v>
      </c>
      <c r="T2331">
        <v>7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7</v>
      </c>
      <c r="AB2331">
        <v>0</v>
      </c>
      <c r="AC2331">
        <v>0</v>
      </c>
      <c r="AH2331">
        <v>35.5</v>
      </c>
    </row>
    <row r="2332" spans="1:34" x14ac:dyDescent="0.3">
      <c r="A2332" s="4">
        <v>2448</v>
      </c>
      <c r="B2332" s="5">
        <v>2325</v>
      </c>
      <c r="C2332">
        <v>9215</v>
      </c>
      <c r="D2332" t="s">
        <v>22324</v>
      </c>
      <c r="E2332" t="s">
        <v>957</v>
      </c>
      <c r="F2332" t="s">
        <v>2237</v>
      </c>
      <c r="G2332" t="s">
        <v>22325</v>
      </c>
      <c r="H2332">
        <v>18.45</v>
      </c>
      <c r="I2332">
        <v>0</v>
      </c>
      <c r="J2332">
        <v>0</v>
      </c>
      <c r="K2332">
        <v>0</v>
      </c>
      <c r="L2332">
        <v>7</v>
      </c>
      <c r="N2332">
        <v>3</v>
      </c>
      <c r="O2332">
        <v>10</v>
      </c>
      <c r="P2332">
        <v>4</v>
      </c>
      <c r="Q2332">
        <v>0</v>
      </c>
      <c r="R2332">
        <v>32.450000000000003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3</v>
      </c>
      <c r="AC2332">
        <v>0</v>
      </c>
      <c r="AH2332">
        <v>35.450000000000003</v>
      </c>
    </row>
    <row r="2333" spans="1:34" x14ac:dyDescent="0.3">
      <c r="A2333" s="4">
        <v>2449</v>
      </c>
      <c r="B2333" s="5">
        <v>2326</v>
      </c>
      <c r="C2333">
        <v>11726</v>
      </c>
      <c r="D2333" t="s">
        <v>22326</v>
      </c>
      <c r="E2333" t="s">
        <v>406</v>
      </c>
      <c r="F2333" t="s">
        <v>30</v>
      </c>
      <c r="G2333" t="s">
        <v>22327</v>
      </c>
      <c r="H2333">
        <v>21.43</v>
      </c>
      <c r="I2333">
        <v>0</v>
      </c>
      <c r="J2333">
        <v>0</v>
      </c>
      <c r="K2333">
        <v>0</v>
      </c>
      <c r="L2333">
        <v>7</v>
      </c>
      <c r="N2333">
        <v>3</v>
      </c>
      <c r="O2333">
        <v>10</v>
      </c>
      <c r="P2333">
        <v>4</v>
      </c>
      <c r="Q2333">
        <v>0</v>
      </c>
      <c r="R2333">
        <v>35.43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H2333">
        <v>35.43</v>
      </c>
    </row>
    <row r="2334" spans="1:34" x14ac:dyDescent="0.3">
      <c r="A2334" s="4">
        <v>2450</v>
      </c>
      <c r="B2334" s="5">
        <v>2327</v>
      </c>
      <c r="C2334">
        <v>1978</v>
      </c>
      <c r="D2334" t="s">
        <v>22328</v>
      </c>
      <c r="E2334" t="s">
        <v>2707</v>
      </c>
      <c r="F2334" t="s">
        <v>2543</v>
      </c>
      <c r="G2334" t="s">
        <v>22329</v>
      </c>
      <c r="H2334">
        <v>19.399999999999999</v>
      </c>
      <c r="I2334">
        <v>0</v>
      </c>
      <c r="J2334">
        <v>0</v>
      </c>
      <c r="K2334">
        <v>0</v>
      </c>
      <c r="L2334">
        <v>7</v>
      </c>
      <c r="O2334">
        <v>7</v>
      </c>
      <c r="P2334">
        <v>4</v>
      </c>
      <c r="Q2334">
        <v>2</v>
      </c>
      <c r="R2334">
        <v>32.4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3</v>
      </c>
      <c r="AC2334">
        <v>0</v>
      </c>
      <c r="AH2334">
        <v>35.4</v>
      </c>
    </row>
    <row r="2335" spans="1:34" x14ac:dyDescent="0.3">
      <c r="A2335" s="4">
        <v>2451</v>
      </c>
      <c r="B2335" s="5">
        <v>2328</v>
      </c>
      <c r="C2335">
        <v>4446</v>
      </c>
      <c r="D2335" t="s">
        <v>22330</v>
      </c>
      <c r="E2335" t="s">
        <v>132</v>
      </c>
      <c r="F2335" t="s">
        <v>55</v>
      </c>
      <c r="G2335" t="s">
        <v>22331</v>
      </c>
      <c r="H2335">
        <v>21.4</v>
      </c>
      <c r="I2335">
        <v>0</v>
      </c>
      <c r="J2335">
        <v>0</v>
      </c>
      <c r="K2335">
        <v>0</v>
      </c>
      <c r="O2335">
        <v>0</v>
      </c>
      <c r="P2335">
        <v>4</v>
      </c>
      <c r="Q2335">
        <v>0</v>
      </c>
      <c r="R2335">
        <v>25.4</v>
      </c>
      <c r="S2335">
        <v>7</v>
      </c>
      <c r="T2335">
        <v>7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7</v>
      </c>
      <c r="AB2335">
        <v>3</v>
      </c>
      <c r="AC2335">
        <v>0</v>
      </c>
      <c r="AH2335">
        <v>35.4</v>
      </c>
    </row>
    <row r="2336" spans="1:34" x14ac:dyDescent="0.3">
      <c r="A2336" s="4">
        <v>2452</v>
      </c>
      <c r="B2336" s="5">
        <v>2329</v>
      </c>
      <c r="C2336">
        <v>6208</v>
      </c>
      <c r="D2336" t="s">
        <v>22332</v>
      </c>
      <c r="E2336" t="s">
        <v>17</v>
      </c>
      <c r="F2336" t="s">
        <v>68</v>
      </c>
      <c r="G2336" t="s">
        <v>22333</v>
      </c>
      <c r="H2336">
        <v>17.350000000000001</v>
      </c>
      <c r="I2336">
        <v>0</v>
      </c>
      <c r="J2336">
        <v>0</v>
      </c>
      <c r="K2336">
        <v>0</v>
      </c>
      <c r="M2336">
        <v>5</v>
      </c>
      <c r="N2336">
        <v>3</v>
      </c>
      <c r="O2336">
        <v>8</v>
      </c>
      <c r="P2336">
        <v>4</v>
      </c>
      <c r="Q2336">
        <v>0</v>
      </c>
      <c r="R2336">
        <v>29.35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6</v>
      </c>
      <c r="AC2336">
        <v>0</v>
      </c>
      <c r="AH2336">
        <v>35.35</v>
      </c>
    </row>
    <row r="2337" spans="1:34" x14ac:dyDescent="0.3">
      <c r="A2337" s="4">
        <v>2453</v>
      </c>
      <c r="B2337" s="5">
        <v>2330</v>
      </c>
      <c r="C2337">
        <v>4653</v>
      </c>
      <c r="D2337" t="s">
        <v>22334</v>
      </c>
      <c r="E2337" t="s">
        <v>188</v>
      </c>
      <c r="F2337" t="s">
        <v>22335</v>
      </c>
      <c r="G2337" t="s">
        <v>22336</v>
      </c>
      <c r="H2337">
        <v>19.350000000000001</v>
      </c>
      <c r="I2337">
        <v>0</v>
      </c>
      <c r="J2337">
        <v>0</v>
      </c>
      <c r="K2337">
        <v>0</v>
      </c>
      <c r="L2337">
        <v>7</v>
      </c>
      <c r="O2337">
        <v>7</v>
      </c>
      <c r="P2337">
        <v>4</v>
      </c>
      <c r="Q2337">
        <v>2</v>
      </c>
      <c r="R2337">
        <v>32.35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3</v>
      </c>
      <c r="AC2337">
        <v>0</v>
      </c>
      <c r="AD2337" t="s">
        <v>130</v>
      </c>
      <c r="AH2337">
        <v>35.35</v>
      </c>
    </row>
    <row r="2338" spans="1:34" x14ac:dyDescent="0.3">
      <c r="A2338" s="4">
        <v>2454</v>
      </c>
      <c r="B2338" s="5">
        <v>2331</v>
      </c>
      <c r="C2338">
        <v>4722</v>
      </c>
      <c r="D2338" t="s">
        <v>22337</v>
      </c>
      <c r="E2338" t="s">
        <v>97</v>
      </c>
      <c r="F2338" t="s">
        <v>12890</v>
      </c>
      <c r="G2338" t="s">
        <v>22338</v>
      </c>
      <c r="H2338">
        <v>19.350000000000001</v>
      </c>
      <c r="I2338">
        <v>0</v>
      </c>
      <c r="J2338">
        <v>0</v>
      </c>
      <c r="K2338">
        <v>0</v>
      </c>
      <c r="N2338">
        <v>3</v>
      </c>
      <c r="O2338">
        <v>3</v>
      </c>
      <c r="P2338">
        <v>4</v>
      </c>
      <c r="Q2338">
        <v>0</v>
      </c>
      <c r="R2338">
        <v>26.35</v>
      </c>
      <c r="S2338">
        <v>6</v>
      </c>
      <c r="T2338">
        <v>6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6</v>
      </c>
      <c r="AB2338">
        <v>3</v>
      </c>
      <c r="AC2338">
        <v>0</v>
      </c>
      <c r="AH2338">
        <v>35.35</v>
      </c>
    </row>
    <row r="2339" spans="1:34" x14ac:dyDescent="0.3">
      <c r="A2339" s="4">
        <v>2455</v>
      </c>
      <c r="B2339" s="5">
        <v>2332</v>
      </c>
      <c r="C2339">
        <v>900</v>
      </c>
      <c r="D2339" t="s">
        <v>4279</v>
      </c>
      <c r="E2339" t="s">
        <v>2011</v>
      </c>
      <c r="F2339" t="s">
        <v>68</v>
      </c>
      <c r="G2339" t="s">
        <v>22339</v>
      </c>
      <c r="H2339">
        <v>18.329999999999998</v>
      </c>
      <c r="I2339">
        <v>0</v>
      </c>
      <c r="J2339">
        <v>0</v>
      </c>
      <c r="K2339">
        <v>0</v>
      </c>
      <c r="N2339">
        <v>3</v>
      </c>
      <c r="O2339">
        <v>3</v>
      </c>
      <c r="P2339">
        <v>4</v>
      </c>
      <c r="Q2339">
        <v>2</v>
      </c>
      <c r="R2339">
        <v>27.33</v>
      </c>
      <c r="S2339">
        <v>8</v>
      </c>
      <c r="T2339">
        <v>8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8</v>
      </c>
      <c r="AB2339">
        <v>0</v>
      </c>
      <c r="AC2339">
        <v>0</v>
      </c>
      <c r="AH2339">
        <v>35.33</v>
      </c>
    </row>
    <row r="2340" spans="1:34" x14ac:dyDescent="0.3">
      <c r="A2340" s="4">
        <v>2456</v>
      </c>
      <c r="B2340" s="5">
        <v>2333</v>
      </c>
      <c r="C2340">
        <v>14542</v>
      </c>
      <c r="D2340" t="s">
        <v>22340</v>
      </c>
      <c r="E2340" t="s">
        <v>30</v>
      </c>
      <c r="F2340" t="s">
        <v>591</v>
      </c>
      <c r="G2340" t="s">
        <v>22341</v>
      </c>
      <c r="H2340">
        <v>18.3</v>
      </c>
      <c r="I2340">
        <v>0</v>
      </c>
      <c r="J2340">
        <v>0</v>
      </c>
      <c r="K2340">
        <v>0</v>
      </c>
      <c r="L2340">
        <v>7</v>
      </c>
      <c r="N2340">
        <v>3</v>
      </c>
      <c r="O2340">
        <v>10</v>
      </c>
      <c r="P2340">
        <v>4</v>
      </c>
      <c r="Q2340">
        <v>0</v>
      </c>
      <c r="R2340">
        <v>32.299999999999997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3</v>
      </c>
      <c r="AC2340">
        <v>0</v>
      </c>
      <c r="AH2340">
        <v>35.299999999999997</v>
      </c>
    </row>
    <row r="2341" spans="1:34" x14ac:dyDescent="0.3">
      <c r="A2341" s="4">
        <v>2457</v>
      </c>
      <c r="B2341" s="5">
        <v>2334</v>
      </c>
      <c r="C2341">
        <v>13798</v>
      </c>
      <c r="D2341" t="s">
        <v>22342</v>
      </c>
      <c r="E2341" t="s">
        <v>149</v>
      </c>
      <c r="F2341" t="s">
        <v>259</v>
      </c>
      <c r="G2341" t="s">
        <v>22343</v>
      </c>
      <c r="H2341">
        <v>18.28</v>
      </c>
      <c r="I2341">
        <v>0</v>
      </c>
      <c r="J2341">
        <v>0</v>
      </c>
      <c r="K2341">
        <v>0</v>
      </c>
      <c r="L2341">
        <v>7</v>
      </c>
      <c r="O2341">
        <v>7</v>
      </c>
      <c r="P2341">
        <v>4</v>
      </c>
      <c r="Q2341">
        <v>0</v>
      </c>
      <c r="R2341">
        <v>29.28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6</v>
      </c>
      <c r="AC2341">
        <v>0</v>
      </c>
      <c r="AH2341">
        <v>35.28</v>
      </c>
    </row>
    <row r="2342" spans="1:34" x14ac:dyDescent="0.3">
      <c r="A2342" s="4">
        <v>2458</v>
      </c>
      <c r="B2342" s="5">
        <v>2335</v>
      </c>
      <c r="C2342">
        <v>2010</v>
      </c>
      <c r="D2342" t="s">
        <v>22344</v>
      </c>
      <c r="E2342" t="s">
        <v>41</v>
      </c>
      <c r="F2342" t="s">
        <v>81</v>
      </c>
      <c r="G2342" t="s">
        <v>22345</v>
      </c>
      <c r="H2342">
        <v>22.28</v>
      </c>
      <c r="I2342">
        <v>0</v>
      </c>
      <c r="J2342">
        <v>0</v>
      </c>
      <c r="K2342">
        <v>0</v>
      </c>
      <c r="N2342">
        <v>6</v>
      </c>
      <c r="O2342">
        <v>6</v>
      </c>
      <c r="P2342">
        <v>4</v>
      </c>
      <c r="Q2342">
        <v>0</v>
      </c>
      <c r="R2342">
        <v>32.28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3</v>
      </c>
      <c r="AC2342">
        <v>0</v>
      </c>
      <c r="AH2342">
        <v>35.28</v>
      </c>
    </row>
    <row r="2343" spans="1:34" x14ac:dyDescent="0.3">
      <c r="A2343" s="4">
        <v>2459</v>
      </c>
      <c r="B2343" s="5">
        <v>2336</v>
      </c>
      <c r="C2343">
        <v>5340</v>
      </c>
      <c r="D2343" t="s">
        <v>22346</v>
      </c>
      <c r="E2343" t="s">
        <v>110</v>
      </c>
      <c r="F2343" t="s">
        <v>30</v>
      </c>
      <c r="G2343" t="s">
        <v>22347</v>
      </c>
      <c r="H2343">
        <v>19.25</v>
      </c>
      <c r="I2343">
        <v>0</v>
      </c>
      <c r="J2343">
        <v>0</v>
      </c>
      <c r="K2343">
        <v>0</v>
      </c>
      <c r="N2343">
        <v>3</v>
      </c>
      <c r="O2343">
        <v>3</v>
      </c>
      <c r="P2343">
        <v>4</v>
      </c>
      <c r="Q2343">
        <v>0</v>
      </c>
      <c r="R2343">
        <v>26.25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9</v>
      </c>
      <c r="AC2343">
        <v>0</v>
      </c>
      <c r="AH2343">
        <v>35.25</v>
      </c>
    </row>
    <row r="2344" spans="1:34" x14ac:dyDescent="0.3">
      <c r="A2344" s="4">
        <v>2460</v>
      </c>
      <c r="B2344" s="5">
        <v>2337</v>
      </c>
      <c r="C2344">
        <v>11359</v>
      </c>
      <c r="D2344" t="s">
        <v>18534</v>
      </c>
      <c r="E2344" t="s">
        <v>29</v>
      </c>
      <c r="F2344" t="s">
        <v>81</v>
      </c>
      <c r="G2344" t="s">
        <v>22348</v>
      </c>
      <c r="H2344">
        <v>18.25</v>
      </c>
      <c r="I2344">
        <v>0</v>
      </c>
      <c r="J2344">
        <v>0</v>
      </c>
      <c r="K2344">
        <v>0</v>
      </c>
      <c r="N2344">
        <v>3</v>
      </c>
      <c r="O2344">
        <v>3</v>
      </c>
      <c r="P2344">
        <v>4</v>
      </c>
      <c r="Q2344">
        <v>0</v>
      </c>
      <c r="R2344">
        <v>25.25</v>
      </c>
      <c r="S2344">
        <v>7</v>
      </c>
      <c r="T2344">
        <v>7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7</v>
      </c>
      <c r="AB2344">
        <v>3</v>
      </c>
      <c r="AC2344">
        <v>0</v>
      </c>
      <c r="AH2344">
        <v>35.25</v>
      </c>
    </row>
    <row r="2345" spans="1:34" x14ac:dyDescent="0.3">
      <c r="A2345" s="4">
        <v>2461</v>
      </c>
      <c r="B2345" s="5">
        <v>2338</v>
      </c>
      <c r="C2345">
        <v>5159</v>
      </c>
      <c r="D2345" t="s">
        <v>22349</v>
      </c>
      <c r="E2345" t="s">
        <v>1484</v>
      </c>
      <c r="F2345" t="s">
        <v>81</v>
      </c>
      <c r="G2345" t="s">
        <v>22350</v>
      </c>
      <c r="H2345">
        <v>19.23</v>
      </c>
      <c r="I2345">
        <v>0</v>
      </c>
      <c r="J2345">
        <v>0</v>
      </c>
      <c r="K2345">
        <v>0</v>
      </c>
      <c r="O2345">
        <v>0</v>
      </c>
      <c r="P2345">
        <v>4</v>
      </c>
      <c r="Q2345">
        <v>0</v>
      </c>
      <c r="R2345">
        <v>23.23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12</v>
      </c>
      <c r="AC2345">
        <v>0</v>
      </c>
      <c r="AH2345">
        <v>35.229999999999997</v>
      </c>
    </row>
    <row r="2346" spans="1:34" x14ac:dyDescent="0.3">
      <c r="A2346" s="4">
        <v>2462</v>
      </c>
      <c r="B2346" s="5">
        <v>2339</v>
      </c>
      <c r="C2346">
        <v>3069</v>
      </c>
      <c r="D2346" t="s">
        <v>8023</v>
      </c>
      <c r="E2346" t="s">
        <v>471</v>
      </c>
      <c r="F2346" t="s">
        <v>68</v>
      </c>
      <c r="G2346" t="s">
        <v>22351</v>
      </c>
      <c r="H2346">
        <v>22.2</v>
      </c>
      <c r="I2346">
        <v>0</v>
      </c>
      <c r="J2346">
        <v>0</v>
      </c>
      <c r="K2346">
        <v>0</v>
      </c>
      <c r="L2346">
        <v>7</v>
      </c>
      <c r="O2346">
        <v>7</v>
      </c>
      <c r="P2346">
        <v>4</v>
      </c>
      <c r="Q2346">
        <v>2</v>
      </c>
      <c r="R2346">
        <v>35.200000000000003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H2346">
        <v>35.200000000000003</v>
      </c>
    </row>
    <row r="2347" spans="1:34" x14ac:dyDescent="0.3">
      <c r="A2347" s="4">
        <v>2463</v>
      </c>
      <c r="B2347" s="5">
        <v>2340</v>
      </c>
      <c r="C2347">
        <v>5505</v>
      </c>
      <c r="D2347" t="s">
        <v>19948</v>
      </c>
      <c r="E2347" t="s">
        <v>6507</v>
      </c>
      <c r="F2347" t="s">
        <v>158</v>
      </c>
      <c r="G2347" t="s">
        <v>22352</v>
      </c>
      <c r="H2347">
        <v>18.18</v>
      </c>
      <c r="I2347">
        <v>0</v>
      </c>
      <c r="J2347">
        <v>0</v>
      </c>
      <c r="K2347">
        <v>0</v>
      </c>
      <c r="L2347">
        <v>7</v>
      </c>
      <c r="O2347">
        <v>7</v>
      </c>
      <c r="P2347">
        <v>4</v>
      </c>
      <c r="Q2347">
        <v>0</v>
      </c>
      <c r="R2347">
        <v>29.18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6</v>
      </c>
      <c r="AC2347">
        <v>0</v>
      </c>
      <c r="AH2347">
        <v>35.18</v>
      </c>
    </row>
    <row r="2348" spans="1:34" x14ac:dyDescent="0.3">
      <c r="A2348" s="4">
        <v>2464</v>
      </c>
      <c r="B2348" s="5">
        <v>2341</v>
      </c>
      <c r="C2348">
        <v>9416</v>
      </c>
      <c r="D2348" t="s">
        <v>6556</v>
      </c>
      <c r="E2348" t="s">
        <v>789</v>
      </c>
      <c r="F2348" t="s">
        <v>17</v>
      </c>
      <c r="G2348" t="s">
        <v>22353</v>
      </c>
      <c r="H2348">
        <v>21.15</v>
      </c>
      <c r="I2348">
        <v>0</v>
      </c>
      <c r="J2348">
        <v>0</v>
      </c>
      <c r="K2348">
        <v>0</v>
      </c>
      <c r="L2348">
        <v>7</v>
      </c>
      <c r="N2348">
        <v>3</v>
      </c>
      <c r="O2348">
        <v>10</v>
      </c>
      <c r="P2348">
        <v>4</v>
      </c>
      <c r="Q2348">
        <v>0</v>
      </c>
      <c r="R2348">
        <v>35.15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H2348">
        <v>35.15</v>
      </c>
    </row>
    <row r="2349" spans="1:34" x14ac:dyDescent="0.3">
      <c r="A2349" s="4">
        <v>2465</v>
      </c>
      <c r="B2349" s="5">
        <v>2342</v>
      </c>
      <c r="C2349">
        <v>10338</v>
      </c>
      <c r="D2349" t="s">
        <v>17031</v>
      </c>
      <c r="E2349" t="s">
        <v>268</v>
      </c>
      <c r="F2349" t="s">
        <v>30</v>
      </c>
      <c r="G2349" t="s">
        <v>22354</v>
      </c>
      <c r="H2349">
        <v>16.13</v>
      </c>
      <c r="I2349">
        <v>0</v>
      </c>
      <c r="J2349">
        <v>0</v>
      </c>
      <c r="K2349">
        <v>0</v>
      </c>
      <c r="L2349">
        <v>7</v>
      </c>
      <c r="N2349">
        <v>3</v>
      </c>
      <c r="O2349">
        <v>10</v>
      </c>
      <c r="P2349">
        <v>4</v>
      </c>
      <c r="Q2349">
        <v>2</v>
      </c>
      <c r="R2349">
        <v>32.130000000000003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3</v>
      </c>
      <c r="AC2349">
        <v>0</v>
      </c>
      <c r="AH2349">
        <v>35.130000000000003</v>
      </c>
    </row>
    <row r="2350" spans="1:34" x14ac:dyDescent="0.3">
      <c r="A2350" s="4">
        <v>2466</v>
      </c>
      <c r="B2350" s="5">
        <v>2343</v>
      </c>
      <c r="C2350">
        <v>8032</v>
      </c>
      <c r="D2350" t="s">
        <v>22355</v>
      </c>
      <c r="E2350" t="s">
        <v>22356</v>
      </c>
      <c r="F2350" t="s">
        <v>6351</v>
      </c>
      <c r="G2350" t="s">
        <v>22357</v>
      </c>
      <c r="H2350">
        <v>19.100000000000001</v>
      </c>
      <c r="I2350">
        <v>0</v>
      </c>
      <c r="J2350">
        <v>0</v>
      </c>
      <c r="K2350">
        <v>0</v>
      </c>
      <c r="N2350">
        <v>3</v>
      </c>
      <c r="O2350">
        <v>3</v>
      </c>
      <c r="P2350">
        <v>4</v>
      </c>
      <c r="Q2350">
        <v>0</v>
      </c>
      <c r="R2350">
        <v>26.1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9</v>
      </c>
      <c r="AC2350">
        <v>0</v>
      </c>
      <c r="AH2350">
        <v>35.1</v>
      </c>
    </row>
    <row r="2351" spans="1:34" x14ac:dyDescent="0.3">
      <c r="A2351" s="4">
        <v>2467</v>
      </c>
      <c r="B2351" s="5">
        <v>2344</v>
      </c>
      <c r="C2351">
        <v>3980</v>
      </c>
      <c r="D2351" t="s">
        <v>3849</v>
      </c>
      <c r="E2351" t="s">
        <v>132</v>
      </c>
      <c r="F2351" t="s">
        <v>238</v>
      </c>
      <c r="G2351" t="s">
        <v>22358</v>
      </c>
      <c r="H2351">
        <v>22.1</v>
      </c>
      <c r="I2351">
        <v>0</v>
      </c>
      <c r="J2351">
        <v>0</v>
      </c>
      <c r="K2351">
        <v>0</v>
      </c>
      <c r="N2351">
        <v>3</v>
      </c>
      <c r="O2351">
        <v>3</v>
      </c>
      <c r="P2351">
        <v>4</v>
      </c>
      <c r="Q2351">
        <v>0</v>
      </c>
      <c r="R2351">
        <v>29.1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6</v>
      </c>
      <c r="AC2351">
        <v>0</v>
      </c>
      <c r="AH2351">
        <v>35.1</v>
      </c>
    </row>
    <row r="2352" spans="1:34" x14ac:dyDescent="0.3">
      <c r="A2352" s="4">
        <v>2468</v>
      </c>
      <c r="B2352" s="5">
        <v>2345</v>
      </c>
      <c r="C2352">
        <v>9648</v>
      </c>
      <c r="D2352" t="s">
        <v>11449</v>
      </c>
      <c r="E2352" t="s">
        <v>268</v>
      </c>
      <c r="F2352" t="s">
        <v>1174</v>
      </c>
      <c r="G2352" t="s">
        <v>22359</v>
      </c>
      <c r="H2352">
        <v>18.100000000000001</v>
      </c>
      <c r="I2352">
        <v>0</v>
      </c>
      <c r="J2352">
        <v>0</v>
      </c>
      <c r="K2352">
        <v>0</v>
      </c>
      <c r="L2352">
        <v>7</v>
      </c>
      <c r="O2352">
        <v>7</v>
      </c>
      <c r="P2352">
        <v>4</v>
      </c>
      <c r="Q2352">
        <v>0</v>
      </c>
      <c r="R2352">
        <v>29.1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6</v>
      </c>
      <c r="AC2352">
        <v>0</v>
      </c>
      <c r="AH2352">
        <v>35.1</v>
      </c>
    </row>
    <row r="2353" spans="1:34" x14ac:dyDescent="0.3">
      <c r="A2353" s="4">
        <v>2469</v>
      </c>
      <c r="B2353" s="5">
        <v>2346</v>
      </c>
      <c r="C2353">
        <v>6508</v>
      </c>
      <c r="D2353" t="s">
        <v>22360</v>
      </c>
      <c r="E2353" t="s">
        <v>342</v>
      </c>
      <c r="F2353" t="s">
        <v>68</v>
      </c>
      <c r="G2353" t="s">
        <v>22361</v>
      </c>
      <c r="H2353">
        <v>21.08</v>
      </c>
      <c r="I2353">
        <v>0</v>
      </c>
      <c r="J2353">
        <v>0</v>
      </c>
      <c r="K2353">
        <v>0</v>
      </c>
      <c r="L2353">
        <v>7</v>
      </c>
      <c r="N2353">
        <v>3</v>
      </c>
      <c r="O2353">
        <v>10</v>
      </c>
      <c r="P2353">
        <v>4</v>
      </c>
      <c r="Q2353">
        <v>0</v>
      </c>
      <c r="R2353">
        <v>35.08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H2353">
        <v>35.08</v>
      </c>
    </row>
    <row r="2354" spans="1:34" x14ac:dyDescent="0.3">
      <c r="A2354" s="4">
        <v>2470</v>
      </c>
      <c r="B2354" s="5">
        <v>2347</v>
      </c>
      <c r="C2354">
        <v>10001</v>
      </c>
      <c r="D2354" t="s">
        <v>2871</v>
      </c>
      <c r="E2354" t="s">
        <v>342</v>
      </c>
      <c r="F2354" t="s">
        <v>136</v>
      </c>
      <c r="G2354" t="s">
        <v>22362</v>
      </c>
      <c r="H2354">
        <v>19</v>
      </c>
      <c r="I2354">
        <v>0</v>
      </c>
      <c r="J2354">
        <v>0</v>
      </c>
      <c r="K2354">
        <v>0</v>
      </c>
      <c r="N2354">
        <v>3</v>
      </c>
      <c r="O2354">
        <v>3</v>
      </c>
      <c r="P2354">
        <v>4</v>
      </c>
      <c r="Q2354">
        <v>0</v>
      </c>
      <c r="R2354">
        <v>26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9</v>
      </c>
      <c r="AC2354">
        <v>0</v>
      </c>
      <c r="AH2354">
        <v>35</v>
      </c>
    </row>
    <row r="2355" spans="1:34" x14ac:dyDescent="0.3">
      <c r="A2355" s="4">
        <v>2471</v>
      </c>
      <c r="B2355" s="5">
        <v>2348</v>
      </c>
      <c r="C2355">
        <v>9485</v>
      </c>
      <c r="D2355" t="s">
        <v>22363</v>
      </c>
      <c r="E2355" t="s">
        <v>29</v>
      </c>
      <c r="F2355" t="s">
        <v>68</v>
      </c>
      <c r="G2355" t="s">
        <v>22364</v>
      </c>
      <c r="H2355">
        <v>18</v>
      </c>
      <c r="I2355">
        <v>0</v>
      </c>
      <c r="J2355">
        <v>0</v>
      </c>
      <c r="K2355">
        <v>0</v>
      </c>
      <c r="L2355">
        <v>7</v>
      </c>
      <c r="O2355">
        <v>7</v>
      </c>
      <c r="P2355">
        <v>4</v>
      </c>
      <c r="Q2355">
        <v>0</v>
      </c>
      <c r="R2355">
        <v>29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6</v>
      </c>
      <c r="AC2355">
        <v>0</v>
      </c>
      <c r="AH2355">
        <v>35</v>
      </c>
    </row>
    <row r="2356" spans="1:34" x14ac:dyDescent="0.3">
      <c r="A2356" s="4">
        <v>2472</v>
      </c>
      <c r="B2356" s="5">
        <v>2349</v>
      </c>
      <c r="C2356">
        <v>15510</v>
      </c>
      <c r="D2356" t="s">
        <v>22365</v>
      </c>
      <c r="E2356" t="s">
        <v>4041</v>
      </c>
      <c r="F2356" t="s">
        <v>158</v>
      </c>
      <c r="G2356" t="s">
        <v>22366</v>
      </c>
      <c r="H2356">
        <v>16.88</v>
      </c>
      <c r="I2356">
        <v>0</v>
      </c>
      <c r="J2356">
        <v>0</v>
      </c>
      <c r="K2356">
        <v>0</v>
      </c>
      <c r="N2356">
        <v>3</v>
      </c>
      <c r="O2356">
        <v>3</v>
      </c>
      <c r="P2356">
        <v>4</v>
      </c>
      <c r="Q2356">
        <v>2</v>
      </c>
      <c r="R2356">
        <v>25.88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9</v>
      </c>
      <c r="AC2356">
        <v>0</v>
      </c>
      <c r="AH2356">
        <v>34.880000000000003</v>
      </c>
    </row>
    <row r="2357" spans="1:34" x14ac:dyDescent="0.3">
      <c r="A2357" s="4">
        <v>2473</v>
      </c>
      <c r="B2357" s="5">
        <v>2350</v>
      </c>
      <c r="C2357">
        <v>8359</v>
      </c>
      <c r="D2357" t="s">
        <v>22367</v>
      </c>
      <c r="E2357" t="s">
        <v>22368</v>
      </c>
      <c r="F2357" t="s">
        <v>22369</v>
      </c>
      <c r="G2357" t="s">
        <v>22370</v>
      </c>
      <c r="H2357">
        <v>21.88</v>
      </c>
      <c r="I2357">
        <v>0</v>
      </c>
      <c r="J2357">
        <v>0</v>
      </c>
      <c r="K2357">
        <v>0</v>
      </c>
      <c r="N2357">
        <v>3</v>
      </c>
      <c r="O2357">
        <v>3</v>
      </c>
      <c r="P2357">
        <v>4</v>
      </c>
      <c r="Q2357">
        <v>0</v>
      </c>
      <c r="R2357">
        <v>28.88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6</v>
      </c>
      <c r="AC2357">
        <v>0</v>
      </c>
      <c r="AH2357">
        <v>34.880000000000003</v>
      </c>
    </row>
    <row r="2358" spans="1:34" x14ac:dyDescent="0.3">
      <c r="A2358" s="4">
        <v>2474</v>
      </c>
      <c r="B2358" s="5">
        <v>2351</v>
      </c>
      <c r="C2358">
        <v>8848</v>
      </c>
      <c r="D2358" t="s">
        <v>22371</v>
      </c>
      <c r="E2358" t="s">
        <v>1997</v>
      </c>
      <c r="F2358" t="s">
        <v>117</v>
      </c>
      <c r="G2358" t="s">
        <v>22372</v>
      </c>
      <c r="H2358">
        <v>17.829999999999998</v>
      </c>
      <c r="I2358">
        <v>0</v>
      </c>
      <c r="J2358">
        <v>0</v>
      </c>
      <c r="K2358">
        <v>0</v>
      </c>
      <c r="N2358">
        <v>3</v>
      </c>
      <c r="O2358">
        <v>3</v>
      </c>
      <c r="P2358">
        <v>4</v>
      </c>
      <c r="Q2358">
        <v>0</v>
      </c>
      <c r="R2358">
        <v>24.83</v>
      </c>
      <c r="S2358">
        <v>0</v>
      </c>
      <c r="T2358">
        <v>0</v>
      </c>
      <c r="U2358">
        <v>5</v>
      </c>
      <c r="V2358">
        <v>10</v>
      </c>
      <c r="W2358">
        <v>0</v>
      </c>
      <c r="X2358">
        <v>0</v>
      </c>
      <c r="Y2358">
        <v>0</v>
      </c>
      <c r="Z2358">
        <v>0</v>
      </c>
      <c r="AA2358">
        <v>10</v>
      </c>
      <c r="AB2358">
        <v>0</v>
      </c>
      <c r="AC2358">
        <v>0</v>
      </c>
      <c r="AH2358">
        <v>34.83</v>
      </c>
    </row>
    <row r="2359" spans="1:34" x14ac:dyDescent="0.3">
      <c r="A2359" s="4">
        <v>2475</v>
      </c>
      <c r="B2359" s="5">
        <v>2352</v>
      </c>
      <c r="C2359">
        <v>11488</v>
      </c>
      <c r="D2359" t="s">
        <v>1604</v>
      </c>
      <c r="E2359" t="s">
        <v>2206</v>
      </c>
      <c r="F2359" t="s">
        <v>652</v>
      </c>
      <c r="G2359" t="s">
        <v>22373</v>
      </c>
      <c r="H2359">
        <v>18.829999999999998</v>
      </c>
      <c r="I2359">
        <v>0</v>
      </c>
      <c r="J2359">
        <v>0</v>
      </c>
      <c r="K2359">
        <v>0</v>
      </c>
      <c r="O2359">
        <v>0</v>
      </c>
      <c r="P2359">
        <v>4</v>
      </c>
      <c r="Q2359">
        <v>0</v>
      </c>
      <c r="R2359">
        <v>22.83</v>
      </c>
      <c r="S2359">
        <v>12</v>
      </c>
      <c r="T2359">
        <v>12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12</v>
      </c>
      <c r="AB2359">
        <v>0</v>
      </c>
      <c r="AC2359">
        <v>0</v>
      </c>
      <c r="AH2359">
        <v>34.83</v>
      </c>
    </row>
    <row r="2360" spans="1:34" x14ac:dyDescent="0.3">
      <c r="A2360" s="4">
        <v>2476</v>
      </c>
      <c r="B2360" s="5">
        <v>2353</v>
      </c>
      <c r="C2360">
        <v>12569</v>
      </c>
      <c r="D2360" t="s">
        <v>1604</v>
      </c>
      <c r="E2360" t="s">
        <v>55</v>
      </c>
      <c r="F2360" t="s">
        <v>136</v>
      </c>
      <c r="G2360" t="s">
        <v>22374</v>
      </c>
      <c r="H2360">
        <v>18.78</v>
      </c>
      <c r="I2360">
        <v>0</v>
      </c>
      <c r="J2360">
        <v>0</v>
      </c>
      <c r="K2360">
        <v>0</v>
      </c>
      <c r="N2360">
        <v>6</v>
      </c>
      <c r="O2360">
        <v>6</v>
      </c>
      <c r="P2360">
        <v>4</v>
      </c>
      <c r="Q2360">
        <v>0</v>
      </c>
      <c r="R2360">
        <v>28.78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6</v>
      </c>
      <c r="AC2360">
        <v>0</v>
      </c>
      <c r="AH2360">
        <v>34.78</v>
      </c>
    </row>
    <row r="2361" spans="1:34" x14ac:dyDescent="0.3">
      <c r="A2361" s="4">
        <v>2477</v>
      </c>
      <c r="B2361" s="5">
        <v>2354</v>
      </c>
      <c r="C2361">
        <v>5277</v>
      </c>
      <c r="D2361" t="s">
        <v>22375</v>
      </c>
      <c r="E2361" t="s">
        <v>136</v>
      </c>
      <c r="F2361" t="s">
        <v>91</v>
      </c>
      <c r="G2361" t="s">
        <v>22376</v>
      </c>
      <c r="H2361">
        <v>17.75</v>
      </c>
      <c r="I2361">
        <v>0</v>
      </c>
      <c r="J2361">
        <v>0</v>
      </c>
      <c r="K2361">
        <v>0</v>
      </c>
      <c r="L2361">
        <v>7</v>
      </c>
      <c r="O2361">
        <v>7</v>
      </c>
      <c r="P2361">
        <v>4</v>
      </c>
      <c r="Q2361">
        <v>0</v>
      </c>
      <c r="R2361">
        <v>28.75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6</v>
      </c>
      <c r="AC2361">
        <v>0</v>
      </c>
      <c r="AH2361">
        <v>34.75</v>
      </c>
    </row>
    <row r="2362" spans="1:34" x14ac:dyDescent="0.3">
      <c r="A2362" s="4">
        <v>2478</v>
      </c>
      <c r="B2362" s="5">
        <v>2355</v>
      </c>
      <c r="C2362">
        <v>3509</v>
      </c>
      <c r="D2362" t="s">
        <v>22377</v>
      </c>
      <c r="E2362" t="s">
        <v>110</v>
      </c>
      <c r="F2362" t="s">
        <v>81</v>
      </c>
      <c r="G2362" t="s">
        <v>22378</v>
      </c>
      <c r="H2362">
        <v>19.73</v>
      </c>
      <c r="I2362">
        <v>0</v>
      </c>
      <c r="J2362">
        <v>0</v>
      </c>
      <c r="K2362">
        <v>0</v>
      </c>
      <c r="N2362">
        <v>3</v>
      </c>
      <c r="O2362">
        <v>3</v>
      </c>
      <c r="P2362">
        <v>4</v>
      </c>
      <c r="Q2362">
        <v>2</v>
      </c>
      <c r="R2362">
        <v>28.73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6</v>
      </c>
      <c r="AC2362">
        <v>0</v>
      </c>
      <c r="AH2362">
        <v>34.729999999999997</v>
      </c>
    </row>
    <row r="2363" spans="1:34" x14ac:dyDescent="0.3">
      <c r="A2363" s="4">
        <v>2479</v>
      </c>
      <c r="B2363" s="5">
        <v>2356</v>
      </c>
      <c r="C2363">
        <v>4566</v>
      </c>
      <c r="D2363" t="s">
        <v>22379</v>
      </c>
      <c r="E2363" t="s">
        <v>29</v>
      </c>
      <c r="F2363" t="s">
        <v>17</v>
      </c>
      <c r="G2363" t="s">
        <v>22380</v>
      </c>
      <c r="H2363">
        <v>18.73</v>
      </c>
      <c r="I2363">
        <v>0</v>
      </c>
      <c r="J2363">
        <v>0</v>
      </c>
      <c r="K2363">
        <v>0</v>
      </c>
      <c r="M2363">
        <v>10</v>
      </c>
      <c r="O2363">
        <v>10</v>
      </c>
      <c r="P2363">
        <v>0</v>
      </c>
      <c r="Q2363">
        <v>0</v>
      </c>
      <c r="R2363">
        <v>28.73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6</v>
      </c>
      <c r="AC2363">
        <v>0</v>
      </c>
      <c r="AH2363">
        <v>34.729999999999997</v>
      </c>
    </row>
    <row r="2364" spans="1:34" x14ac:dyDescent="0.3">
      <c r="A2364" s="4">
        <v>2480</v>
      </c>
      <c r="B2364" s="5">
        <v>2357</v>
      </c>
      <c r="C2364">
        <v>7756</v>
      </c>
      <c r="D2364" t="s">
        <v>22381</v>
      </c>
      <c r="E2364" t="s">
        <v>33</v>
      </c>
      <c r="F2364" t="s">
        <v>30</v>
      </c>
      <c r="G2364" t="s">
        <v>22382</v>
      </c>
      <c r="H2364">
        <v>17.73</v>
      </c>
      <c r="I2364">
        <v>0</v>
      </c>
      <c r="J2364">
        <v>0</v>
      </c>
      <c r="K2364">
        <v>0</v>
      </c>
      <c r="L2364">
        <v>7</v>
      </c>
      <c r="O2364">
        <v>7</v>
      </c>
      <c r="P2364">
        <v>4</v>
      </c>
      <c r="Q2364">
        <v>0</v>
      </c>
      <c r="R2364">
        <v>28.73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6</v>
      </c>
      <c r="AC2364">
        <v>0</v>
      </c>
      <c r="AH2364">
        <v>34.729999999999997</v>
      </c>
    </row>
    <row r="2365" spans="1:34" x14ac:dyDescent="0.3">
      <c r="A2365" s="4">
        <v>2481</v>
      </c>
      <c r="B2365" s="5">
        <v>2358</v>
      </c>
      <c r="C2365">
        <v>5172</v>
      </c>
      <c r="D2365" t="s">
        <v>3983</v>
      </c>
      <c r="E2365" t="s">
        <v>697</v>
      </c>
      <c r="F2365" t="s">
        <v>20</v>
      </c>
      <c r="G2365" t="s">
        <v>22383</v>
      </c>
      <c r="H2365">
        <v>17.68</v>
      </c>
      <c r="I2365">
        <v>0</v>
      </c>
      <c r="J2365">
        <v>0</v>
      </c>
      <c r="K2365">
        <v>0</v>
      </c>
      <c r="L2365">
        <v>7</v>
      </c>
      <c r="O2365">
        <v>7</v>
      </c>
      <c r="P2365">
        <v>4</v>
      </c>
      <c r="Q2365">
        <v>0</v>
      </c>
      <c r="R2365">
        <v>28.68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6</v>
      </c>
      <c r="AC2365">
        <v>0</v>
      </c>
      <c r="AH2365">
        <v>34.68</v>
      </c>
    </row>
    <row r="2366" spans="1:34" x14ac:dyDescent="0.3">
      <c r="A2366" s="4">
        <v>2482</v>
      </c>
      <c r="B2366" s="5">
        <v>2359</v>
      </c>
      <c r="C2366">
        <v>15647</v>
      </c>
      <c r="D2366" t="s">
        <v>3200</v>
      </c>
      <c r="E2366" t="s">
        <v>161</v>
      </c>
      <c r="F2366" t="s">
        <v>230</v>
      </c>
      <c r="G2366" t="s">
        <v>22384</v>
      </c>
      <c r="H2366">
        <v>20.68</v>
      </c>
      <c r="I2366">
        <v>0</v>
      </c>
      <c r="J2366">
        <v>0</v>
      </c>
      <c r="K2366">
        <v>0</v>
      </c>
      <c r="L2366">
        <v>7</v>
      </c>
      <c r="N2366">
        <v>3</v>
      </c>
      <c r="O2366">
        <v>10</v>
      </c>
      <c r="P2366">
        <v>4</v>
      </c>
      <c r="Q2366">
        <v>0</v>
      </c>
      <c r="R2366">
        <v>34.68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H2366">
        <v>34.68</v>
      </c>
    </row>
    <row r="2367" spans="1:34" x14ac:dyDescent="0.3">
      <c r="A2367" s="4">
        <v>2483</v>
      </c>
      <c r="B2367" s="5">
        <v>2360</v>
      </c>
      <c r="C2367">
        <v>11550</v>
      </c>
      <c r="D2367" t="s">
        <v>1613</v>
      </c>
      <c r="E2367" t="s">
        <v>29</v>
      </c>
      <c r="F2367" t="s">
        <v>20</v>
      </c>
      <c r="G2367" t="s">
        <v>22385</v>
      </c>
      <c r="H2367">
        <v>17.649999999999999</v>
      </c>
      <c r="I2367">
        <v>0</v>
      </c>
      <c r="J2367">
        <v>0</v>
      </c>
      <c r="K2367">
        <v>0</v>
      </c>
      <c r="L2367">
        <v>7</v>
      </c>
      <c r="O2367">
        <v>7</v>
      </c>
      <c r="P2367">
        <v>4</v>
      </c>
      <c r="Q2367">
        <v>0</v>
      </c>
      <c r="R2367">
        <v>28.65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6</v>
      </c>
      <c r="AC2367">
        <v>0</v>
      </c>
      <c r="AH2367">
        <v>34.65</v>
      </c>
    </row>
    <row r="2368" spans="1:34" x14ac:dyDescent="0.3">
      <c r="A2368" s="4">
        <v>2484</v>
      </c>
      <c r="B2368" s="5">
        <v>2361</v>
      </c>
      <c r="C2368">
        <v>2726</v>
      </c>
      <c r="D2368" t="s">
        <v>421</v>
      </c>
      <c r="E2368" t="s">
        <v>342</v>
      </c>
      <c r="F2368" t="s">
        <v>375</v>
      </c>
      <c r="G2368" t="s">
        <v>22386</v>
      </c>
      <c r="H2368">
        <v>17.649999999999999</v>
      </c>
      <c r="I2368">
        <v>0</v>
      </c>
      <c r="J2368">
        <v>0</v>
      </c>
      <c r="K2368">
        <v>0</v>
      </c>
      <c r="L2368">
        <v>7</v>
      </c>
      <c r="O2368">
        <v>7</v>
      </c>
      <c r="P2368">
        <v>4</v>
      </c>
      <c r="Q2368">
        <v>0</v>
      </c>
      <c r="R2368">
        <v>28.65</v>
      </c>
      <c r="S2368">
        <v>3</v>
      </c>
      <c r="T2368">
        <v>3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3</v>
      </c>
      <c r="AB2368">
        <v>3</v>
      </c>
      <c r="AC2368">
        <v>0</v>
      </c>
      <c r="AH2368">
        <v>34.65</v>
      </c>
    </row>
    <row r="2369" spans="1:34" x14ac:dyDescent="0.3">
      <c r="A2369" s="4">
        <v>2485</v>
      </c>
      <c r="B2369" s="5">
        <v>2362</v>
      </c>
      <c r="C2369">
        <v>13980</v>
      </c>
      <c r="D2369" t="s">
        <v>22387</v>
      </c>
      <c r="E2369" t="s">
        <v>5537</v>
      </c>
      <c r="F2369" t="s">
        <v>68</v>
      </c>
      <c r="G2369" t="s">
        <v>22388</v>
      </c>
      <c r="H2369">
        <v>20.65</v>
      </c>
      <c r="I2369">
        <v>0</v>
      </c>
      <c r="J2369">
        <v>0</v>
      </c>
      <c r="K2369">
        <v>0</v>
      </c>
      <c r="L2369">
        <v>7</v>
      </c>
      <c r="N2369">
        <v>3</v>
      </c>
      <c r="O2369">
        <v>10</v>
      </c>
      <c r="P2369">
        <v>4</v>
      </c>
      <c r="Q2369">
        <v>0</v>
      </c>
      <c r="R2369">
        <v>34.65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H2369">
        <v>34.65</v>
      </c>
    </row>
    <row r="2370" spans="1:34" x14ac:dyDescent="0.3">
      <c r="A2370" s="4">
        <v>2486</v>
      </c>
      <c r="B2370" s="5">
        <v>2363</v>
      </c>
      <c r="C2370">
        <v>1400</v>
      </c>
      <c r="D2370" t="s">
        <v>181</v>
      </c>
      <c r="E2370" t="s">
        <v>516</v>
      </c>
      <c r="F2370" t="s">
        <v>30</v>
      </c>
      <c r="G2370" t="s">
        <v>22389</v>
      </c>
      <c r="H2370">
        <v>19.649999999999999</v>
      </c>
      <c r="I2370">
        <v>0</v>
      </c>
      <c r="J2370">
        <v>0</v>
      </c>
      <c r="K2370">
        <v>0</v>
      </c>
      <c r="N2370">
        <v>3</v>
      </c>
      <c r="O2370">
        <v>3</v>
      </c>
      <c r="P2370">
        <v>4</v>
      </c>
      <c r="Q2370">
        <v>0</v>
      </c>
      <c r="R2370">
        <v>26.65</v>
      </c>
      <c r="S2370">
        <v>8</v>
      </c>
      <c r="T2370">
        <v>8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8</v>
      </c>
      <c r="AB2370">
        <v>0</v>
      </c>
      <c r="AC2370">
        <v>0</v>
      </c>
      <c r="AH2370">
        <v>34.65</v>
      </c>
    </row>
    <row r="2371" spans="1:34" x14ac:dyDescent="0.3">
      <c r="A2371" s="4">
        <v>2487</v>
      </c>
      <c r="B2371" s="5">
        <v>2364</v>
      </c>
      <c r="C2371">
        <v>8618</v>
      </c>
      <c r="D2371" t="s">
        <v>14978</v>
      </c>
      <c r="E2371" t="s">
        <v>29</v>
      </c>
      <c r="F2371" t="s">
        <v>62</v>
      </c>
      <c r="G2371" t="s">
        <v>22390</v>
      </c>
      <c r="H2371">
        <v>19.63</v>
      </c>
      <c r="I2371">
        <v>0</v>
      </c>
      <c r="J2371">
        <v>0</v>
      </c>
      <c r="K2371">
        <v>0</v>
      </c>
      <c r="N2371">
        <v>3</v>
      </c>
      <c r="O2371">
        <v>3</v>
      </c>
      <c r="P2371">
        <v>4</v>
      </c>
      <c r="Q2371">
        <v>2</v>
      </c>
      <c r="R2371">
        <v>28.63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6</v>
      </c>
      <c r="AC2371">
        <v>0</v>
      </c>
      <c r="AH2371">
        <v>34.630000000000003</v>
      </c>
    </row>
    <row r="2372" spans="1:34" x14ac:dyDescent="0.3">
      <c r="A2372" s="4">
        <v>2488</v>
      </c>
      <c r="B2372" s="5">
        <v>2365</v>
      </c>
      <c r="C2372">
        <v>13978</v>
      </c>
      <c r="D2372" t="s">
        <v>6215</v>
      </c>
      <c r="E2372" t="s">
        <v>1508</v>
      </c>
      <c r="F2372" t="s">
        <v>158</v>
      </c>
      <c r="G2372" t="s">
        <v>22391</v>
      </c>
      <c r="H2372">
        <v>17.63</v>
      </c>
      <c r="I2372">
        <v>0</v>
      </c>
      <c r="J2372">
        <v>0</v>
      </c>
      <c r="K2372">
        <v>0</v>
      </c>
      <c r="L2372">
        <v>7</v>
      </c>
      <c r="O2372">
        <v>7</v>
      </c>
      <c r="P2372">
        <v>4</v>
      </c>
      <c r="Q2372">
        <v>0</v>
      </c>
      <c r="R2372">
        <v>28.63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6</v>
      </c>
      <c r="AC2372">
        <v>0</v>
      </c>
      <c r="AH2372">
        <v>34.630000000000003</v>
      </c>
    </row>
    <row r="2373" spans="1:34" x14ac:dyDescent="0.3">
      <c r="A2373" s="4">
        <v>2489</v>
      </c>
      <c r="B2373" s="5">
        <v>2366</v>
      </c>
      <c r="C2373">
        <v>3055</v>
      </c>
      <c r="D2373" t="s">
        <v>22392</v>
      </c>
      <c r="E2373" t="s">
        <v>208</v>
      </c>
      <c r="F2373" t="s">
        <v>30</v>
      </c>
      <c r="G2373" t="s">
        <v>22393</v>
      </c>
      <c r="H2373">
        <v>18.600000000000001</v>
      </c>
      <c r="I2373">
        <v>0</v>
      </c>
      <c r="J2373">
        <v>0</v>
      </c>
      <c r="K2373">
        <v>0</v>
      </c>
      <c r="L2373">
        <v>7</v>
      </c>
      <c r="O2373">
        <v>7</v>
      </c>
      <c r="P2373">
        <v>4</v>
      </c>
      <c r="Q2373">
        <v>2</v>
      </c>
      <c r="R2373">
        <v>31.6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3</v>
      </c>
      <c r="AC2373">
        <v>0</v>
      </c>
      <c r="AH2373">
        <v>34.6</v>
      </c>
    </row>
    <row r="2374" spans="1:34" x14ac:dyDescent="0.3">
      <c r="A2374" s="4">
        <v>2490</v>
      </c>
      <c r="B2374" s="5">
        <v>2367</v>
      </c>
      <c r="C2374">
        <v>8314</v>
      </c>
      <c r="D2374" t="s">
        <v>4910</v>
      </c>
      <c r="E2374" t="s">
        <v>97</v>
      </c>
      <c r="F2374" t="s">
        <v>14</v>
      </c>
      <c r="G2374" t="s">
        <v>22394</v>
      </c>
      <c r="H2374">
        <v>19.579999999999998</v>
      </c>
      <c r="I2374">
        <v>0</v>
      </c>
      <c r="J2374">
        <v>0</v>
      </c>
      <c r="K2374">
        <v>0</v>
      </c>
      <c r="O2374">
        <v>0</v>
      </c>
      <c r="P2374">
        <v>4</v>
      </c>
      <c r="Q2374">
        <v>2</v>
      </c>
      <c r="R2374">
        <v>25.58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9</v>
      </c>
      <c r="AC2374">
        <v>0</v>
      </c>
      <c r="AH2374">
        <v>34.58</v>
      </c>
    </row>
    <row r="2375" spans="1:34" x14ac:dyDescent="0.3">
      <c r="A2375" s="4">
        <v>2491</v>
      </c>
      <c r="B2375" s="5">
        <v>2368</v>
      </c>
      <c r="C2375">
        <v>11637</v>
      </c>
      <c r="D2375" t="s">
        <v>1149</v>
      </c>
      <c r="E2375" t="s">
        <v>4717</v>
      </c>
      <c r="F2375" t="s">
        <v>2830</v>
      </c>
      <c r="G2375" t="s">
        <v>22395</v>
      </c>
      <c r="H2375">
        <v>17.579999999999998</v>
      </c>
      <c r="I2375">
        <v>0</v>
      </c>
      <c r="J2375">
        <v>0</v>
      </c>
      <c r="K2375">
        <v>0</v>
      </c>
      <c r="L2375">
        <v>7</v>
      </c>
      <c r="O2375">
        <v>7</v>
      </c>
      <c r="P2375">
        <v>4</v>
      </c>
      <c r="Q2375">
        <v>0</v>
      </c>
      <c r="R2375">
        <v>28.58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6</v>
      </c>
      <c r="AC2375">
        <v>0</v>
      </c>
      <c r="AH2375">
        <v>34.58</v>
      </c>
    </row>
    <row r="2376" spans="1:34" x14ac:dyDescent="0.3">
      <c r="A2376" s="4">
        <v>2492</v>
      </c>
      <c r="B2376" s="5">
        <v>2369</v>
      </c>
      <c r="C2376">
        <v>5758</v>
      </c>
      <c r="D2376" t="s">
        <v>1194</v>
      </c>
      <c r="E2376" t="s">
        <v>54</v>
      </c>
      <c r="F2376" t="s">
        <v>1526</v>
      </c>
      <c r="G2376" t="s">
        <v>22396</v>
      </c>
      <c r="H2376">
        <v>16.579999999999998</v>
      </c>
      <c r="I2376">
        <v>0</v>
      </c>
      <c r="J2376">
        <v>0</v>
      </c>
      <c r="K2376">
        <v>0</v>
      </c>
      <c r="M2376">
        <v>5</v>
      </c>
      <c r="N2376">
        <v>3</v>
      </c>
      <c r="O2376">
        <v>8</v>
      </c>
      <c r="P2376">
        <v>4</v>
      </c>
      <c r="Q2376">
        <v>0</v>
      </c>
      <c r="R2376">
        <v>28.58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6</v>
      </c>
      <c r="AC2376">
        <v>0</v>
      </c>
      <c r="AH2376">
        <v>34.58</v>
      </c>
    </row>
    <row r="2377" spans="1:34" x14ac:dyDescent="0.3">
      <c r="A2377" s="4">
        <v>2493</v>
      </c>
      <c r="B2377" s="5">
        <v>2370</v>
      </c>
      <c r="C2377">
        <v>10624</v>
      </c>
      <c r="D2377" t="s">
        <v>195</v>
      </c>
      <c r="E2377" t="s">
        <v>132</v>
      </c>
      <c r="F2377" t="s">
        <v>22397</v>
      </c>
      <c r="G2377" t="s">
        <v>22398</v>
      </c>
      <c r="H2377">
        <v>21.58</v>
      </c>
      <c r="I2377">
        <v>0</v>
      </c>
      <c r="J2377">
        <v>0</v>
      </c>
      <c r="K2377">
        <v>0</v>
      </c>
      <c r="L2377">
        <v>7</v>
      </c>
      <c r="O2377">
        <v>7</v>
      </c>
      <c r="P2377">
        <v>4</v>
      </c>
      <c r="Q2377">
        <v>2</v>
      </c>
      <c r="R2377">
        <v>34.58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H2377">
        <v>34.58</v>
      </c>
    </row>
    <row r="2378" spans="1:34" x14ac:dyDescent="0.3">
      <c r="A2378" s="4">
        <v>2494</v>
      </c>
      <c r="B2378" s="5">
        <v>2371</v>
      </c>
      <c r="C2378">
        <v>14267</v>
      </c>
      <c r="D2378" t="s">
        <v>22399</v>
      </c>
      <c r="E2378" t="s">
        <v>789</v>
      </c>
      <c r="F2378" t="s">
        <v>20</v>
      </c>
      <c r="G2378" t="s">
        <v>22400</v>
      </c>
      <c r="H2378">
        <v>19.5</v>
      </c>
      <c r="I2378">
        <v>0</v>
      </c>
      <c r="J2378">
        <v>0</v>
      </c>
      <c r="K2378">
        <v>0</v>
      </c>
      <c r="M2378">
        <v>5</v>
      </c>
      <c r="O2378">
        <v>5</v>
      </c>
      <c r="P2378">
        <v>4</v>
      </c>
      <c r="Q2378">
        <v>0</v>
      </c>
      <c r="R2378">
        <v>28.5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6</v>
      </c>
      <c r="AC2378">
        <v>0</v>
      </c>
      <c r="AH2378">
        <v>34.5</v>
      </c>
    </row>
    <row r="2379" spans="1:34" x14ac:dyDescent="0.3">
      <c r="A2379" s="4">
        <v>2495</v>
      </c>
      <c r="B2379" s="5">
        <v>2372</v>
      </c>
      <c r="C2379">
        <v>6294</v>
      </c>
      <c r="D2379" t="s">
        <v>4725</v>
      </c>
      <c r="E2379" t="s">
        <v>1743</v>
      </c>
      <c r="F2379" t="s">
        <v>117</v>
      </c>
      <c r="G2379" t="s">
        <v>22401</v>
      </c>
      <c r="H2379">
        <v>18.5</v>
      </c>
      <c r="I2379">
        <v>0</v>
      </c>
      <c r="J2379">
        <v>0</v>
      </c>
      <c r="K2379">
        <v>0</v>
      </c>
      <c r="N2379">
        <v>6</v>
      </c>
      <c r="O2379">
        <v>6</v>
      </c>
      <c r="P2379">
        <v>4</v>
      </c>
      <c r="Q2379">
        <v>0</v>
      </c>
      <c r="R2379">
        <v>28.5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6</v>
      </c>
      <c r="AC2379">
        <v>0</v>
      </c>
      <c r="AH2379">
        <v>34.5</v>
      </c>
    </row>
    <row r="2380" spans="1:34" x14ac:dyDescent="0.3">
      <c r="A2380" s="4">
        <v>2496</v>
      </c>
      <c r="B2380" s="5">
        <v>2373</v>
      </c>
      <c r="C2380">
        <v>5279</v>
      </c>
      <c r="D2380" t="s">
        <v>22402</v>
      </c>
      <c r="E2380" t="s">
        <v>406</v>
      </c>
      <c r="F2380" t="s">
        <v>38</v>
      </c>
      <c r="G2380" t="s">
        <v>22403</v>
      </c>
      <c r="H2380">
        <v>17.5</v>
      </c>
      <c r="I2380">
        <v>0</v>
      </c>
      <c r="J2380">
        <v>0</v>
      </c>
      <c r="K2380">
        <v>0</v>
      </c>
      <c r="L2380">
        <v>7</v>
      </c>
      <c r="N2380">
        <v>3</v>
      </c>
      <c r="O2380">
        <v>10</v>
      </c>
      <c r="P2380">
        <v>4</v>
      </c>
      <c r="Q2380">
        <v>0</v>
      </c>
      <c r="R2380">
        <v>31.5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3</v>
      </c>
      <c r="AC2380">
        <v>0</v>
      </c>
      <c r="AH2380">
        <v>34.5</v>
      </c>
    </row>
    <row r="2381" spans="1:34" x14ac:dyDescent="0.3">
      <c r="A2381" s="4">
        <v>2497</v>
      </c>
      <c r="B2381" s="5">
        <v>2374</v>
      </c>
      <c r="C2381">
        <v>3855</v>
      </c>
      <c r="D2381" t="s">
        <v>22404</v>
      </c>
      <c r="E2381" t="s">
        <v>575</v>
      </c>
      <c r="F2381" t="s">
        <v>81</v>
      </c>
      <c r="G2381" t="s">
        <v>22405</v>
      </c>
      <c r="H2381">
        <v>20.5</v>
      </c>
      <c r="I2381">
        <v>7</v>
      </c>
      <c r="J2381">
        <v>0</v>
      </c>
      <c r="K2381">
        <v>0</v>
      </c>
      <c r="N2381">
        <v>3</v>
      </c>
      <c r="O2381">
        <v>3</v>
      </c>
      <c r="P2381">
        <v>4</v>
      </c>
      <c r="Q2381">
        <v>0</v>
      </c>
      <c r="R2381">
        <v>34.5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H2381">
        <v>34.5</v>
      </c>
    </row>
    <row r="2382" spans="1:34" x14ac:dyDescent="0.3">
      <c r="A2382" s="4">
        <v>2498</v>
      </c>
      <c r="B2382" s="5">
        <v>2375</v>
      </c>
      <c r="C2382">
        <v>7113</v>
      </c>
      <c r="D2382" t="s">
        <v>1455</v>
      </c>
      <c r="E2382" t="s">
        <v>100</v>
      </c>
      <c r="F2382" t="s">
        <v>81</v>
      </c>
      <c r="G2382" t="s">
        <v>22406</v>
      </c>
      <c r="H2382">
        <v>21.45</v>
      </c>
      <c r="I2382">
        <v>0</v>
      </c>
      <c r="J2382">
        <v>0</v>
      </c>
      <c r="K2382">
        <v>0</v>
      </c>
      <c r="O2382">
        <v>0</v>
      </c>
      <c r="P2382">
        <v>4</v>
      </c>
      <c r="Q2382">
        <v>0</v>
      </c>
      <c r="R2382">
        <v>25.45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9</v>
      </c>
      <c r="AC2382">
        <v>0</v>
      </c>
      <c r="AH2382">
        <v>34.450000000000003</v>
      </c>
    </row>
    <row r="2383" spans="1:34" x14ac:dyDescent="0.3">
      <c r="A2383" s="4">
        <v>2499</v>
      </c>
      <c r="B2383" s="5">
        <v>2376</v>
      </c>
      <c r="C2383">
        <v>7662</v>
      </c>
      <c r="D2383" t="s">
        <v>1889</v>
      </c>
      <c r="E2383" t="s">
        <v>29</v>
      </c>
      <c r="F2383" t="s">
        <v>8418</v>
      </c>
      <c r="G2383" t="s">
        <v>22407</v>
      </c>
      <c r="H2383">
        <v>18.45</v>
      </c>
      <c r="I2383">
        <v>0</v>
      </c>
      <c r="J2383">
        <v>0</v>
      </c>
      <c r="K2383">
        <v>0</v>
      </c>
      <c r="N2383">
        <v>3</v>
      </c>
      <c r="O2383">
        <v>3</v>
      </c>
      <c r="P2383">
        <v>4</v>
      </c>
      <c r="Q2383">
        <v>0</v>
      </c>
      <c r="R2383">
        <v>25.45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9</v>
      </c>
      <c r="AC2383">
        <v>0</v>
      </c>
      <c r="AH2383">
        <v>34.450000000000003</v>
      </c>
    </row>
    <row r="2384" spans="1:34" x14ac:dyDescent="0.3">
      <c r="A2384" s="4">
        <v>2500</v>
      </c>
      <c r="B2384" s="5">
        <v>2377</v>
      </c>
      <c r="C2384">
        <v>7647</v>
      </c>
      <c r="D2384" t="s">
        <v>9241</v>
      </c>
      <c r="E2384" t="s">
        <v>15174</v>
      </c>
      <c r="F2384" t="s">
        <v>52</v>
      </c>
      <c r="G2384" t="s">
        <v>22408</v>
      </c>
      <c r="H2384">
        <v>21.45</v>
      </c>
      <c r="I2384">
        <v>0</v>
      </c>
      <c r="J2384">
        <v>0</v>
      </c>
      <c r="K2384">
        <v>0</v>
      </c>
      <c r="N2384">
        <v>3</v>
      </c>
      <c r="O2384">
        <v>3</v>
      </c>
      <c r="P2384">
        <v>4</v>
      </c>
      <c r="Q2384">
        <v>2</v>
      </c>
      <c r="R2384">
        <v>30.45</v>
      </c>
      <c r="S2384">
        <v>4</v>
      </c>
      <c r="T2384">
        <v>4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4</v>
      </c>
      <c r="AB2384">
        <v>0</v>
      </c>
      <c r="AC2384">
        <v>0</v>
      </c>
      <c r="AH2384">
        <v>34.450000000000003</v>
      </c>
    </row>
    <row r="2385" spans="1:34" x14ac:dyDescent="0.3">
      <c r="A2385" s="4">
        <v>2501</v>
      </c>
      <c r="B2385" s="5">
        <v>2378</v>
      </c>
      <c r="C2385">
        <v>10483</v>
      </c>
      <c r="D2385" t="s">
        <v>717</v>
      </c>
      <c r="E2385" t="s">
        <v>10782</v>
      </c>
      <c r="F2385" t="s">
        <v>587</v>
      </c>
      <c r="G2385" t="s">
        <v>22409</v>
      </c>
      <c r="H2385">
        <v>17.43</v>
      </c>
      <c r="I2385">
        <v>0</v>
      </c>
      <c r="J2385">
        <v>0</v>
      </c>
      <c r="K2385">
        <v>0</v>
      </c>
      <c r="L2385">
        <v>7</v>
      </c>
      <c r="O2385">
        <v>7</v>
      </c>
      <c r="P2385">
        <v>4</v>
      </c>
      <c r="Q2385">
        <v>0</v>
      </c>
      <c r="R2385">
        <v>28.43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6</v>
      </c>
      <c r="AC2385">
        <v>0</v>
      </c>
      <c r="AH2385">
        <v>34.43</v>
      </c>
    </row>
    <row r="2386" spans="1:34" x14ac:dyDescent="0.3">
      <c r="A2386" s="4">
        <v>2502</v>
      </c>
      <c r="B2386" s="5">
        <v>2379</v>
      </c>
      <c r="C2386">
        <v>8959</v>
      </c>
      <c r="D2386" t="s">
        <v>9738</v>
      </c>
      <c r="E2386" t="s">
        <v>22410</v>
      </c>
      <c r="F2386" t="s">
        <v>20</v>
      </c>
      <c r="G2386" t="s">
        <v>22411</v>
      </c>
      <c r="H2386">
        <v>20.43</v>
      </c>
      <c r="I2386">
        <v>0</v>
      </c>
      <c r="J2386">
        <v>0</v>
      </c>
      <c r="K2386">
        <v>0</v>
      </c>
      <c r="L2386">
        <v>7</v>
      </c>
      <c r="N2386">
        <v>3</v>
      </c>
      <c r="O2386">
        <v>10</v>
      </c>
      <c r="P2386">
        <v>4</v>
      </c>
      <c r="Q2386">
        <v>0</v>
      </c>
      <c r="R2386">
        <v>34.43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H2386">
        <v>34.43</v>
      </c>
    </row>
    <row r="2387" spans="1:34" x14ac:dyDescent="0.3">
      <c r="A2387" s="4">
        <v>2503</v>
      </c>
      <c r="B2387" s="5">
        <v>2380</v>
      </c>
      <c r="C2387">
        <v>3685</v>
      </c>
      <c r="D2387" t="s">
        <v>22412</v>
      </c>
      <c r="E2387" t="s">
        <v>188</v>
      </c>
      <c r="F2387" t="s">
        <v>17</v>
      </c>
      <c r="G2387" t="s">
        <v>22413</v>
      </c>
      <c r="H2387">
        <v>19.399999999999999</v>
      </c>
      <c r="I2387">
        <v>0</v>
      </c>
      <c r="J2387">
        <v>0</v>
      </c>
      <c r="K2387">
        <v>0</v>
      </c>
      <c r="M2387">
        <v>5</v>
      </c>
      <c r="O2387">
        <v>5</v>
      </c>
      <c r="P2387">
        <v>4</v>
      </c>
      <c r="Q2387">
        <v>0</v>
      </c>
      <c r="R2387">
        <v>28.4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6</v>
      </c>
      <c r="AC2387">
        <v>0</v>
      </c>
      <c r="AH2387">
        <v>34.4</v>
      </c>
    </row>
    <row r="2388" spans="1:34" x14ac:dyDescent="0.3">
      <c r="A2388" s="4">
        <v>2504</v>
      </c>
      <c r="B2388" s="5">
        <v>2381</v>
      </c>
      <c r="C2388">
        <v>716</v>
      </c>
      <c r="D2388" t="s">
        <v>22414</v>
      </c>
      <c r="E2388" t="s">
        <v>471</v>
      </c>
      <c r="F2388" t="s">
        <v>30</v>
      </c>
      <c r="G2388" t="s">
        <v>22415</v>
      </c>
      <c r="H2388">
        <v>16.38</v>
      </c>
      <c r="I2388">
        <v>0</v>
      </c>
      <c r="J2388">
        <v>0</v>
      </c>
      <c r="K2388">
        <v>0</v>
      </c>
      <c r="N2388">
        <v>3</v>
      </c>
      <c r="O2388">
        <v>3</v>
      </c>
      <c r="P2388">
        <v>4</v>
      </c>
      <c r="Q2388">
        <v>2</v>
      </c>
      <c r="R2388">
        <v>25.38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9</v>
      </c>
      <c r="AC2388">
        <v>0</v>
      </c>
      <c r="AH2388">
        <v>34.380000000000003</v>
      </c>
    </row>
    <row r="2389" spans="1:34" x14ac:dyDescent="0.3">
      <c r="A2389" s="4">
        <v>2505</v>
      </c>
      <c r="B2389" s="5">
        <v>2382</v>
      </c>
      <c r="C2389">
        <v>7241</v>
      </c>
      <c r="D2389" t="s">
        <v>22416</v>
      </c>
      <c r="E2389" t="s">
        <v>22417</v>
      </c>
      <c r="F2389" t="s">
        <v>190</v>
      </c>
      <c r="G2389" t="s">
        <v>22418</v>
      </c>
      <c r="H2389">
        <v>22.38</v>
      </c>
      <c r="I2389">
        <v>0</v>
      </c>
      <c r="J2389">
        <v>0</v>
      </c>
      <c r="K2389">
        <v>0</v>
      </c>
      <c r="M2389">
        <v>5</v>
      </c>
      <c r="N2389">
        <v>3</v>
      </c>
      <c r="O2389">
        <v>8</v>
      </c>
      <c r="P2389">
        <v>4</v>
      </c>
      <c r="Q2389">
        <v>0</v>
      </c>
      <c r="R2389">
        <v>34.380000000000003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H2389">
        <v>34.380000000000003</v>
      </c>
    </row>
    <row r="2390" spans="1:34" x14ac:dyDescent="0.3">
      <c r="A2390" s="4">
        <v>2506</v>
      </c>
      <c r="B2390" s="5">
        <v>2383</v>
      </c>
      <c r="C2390">
        <v>6762</v>
      </c>
      <c r="D2390" t="s">
        <v>572</v>
      </c>
      <c r="E2390" t="s">
        <v>97</v>
      </c>
      <c r="F2390" t="s">
        <v>158</v>
      </c>
      <c r="G2390" t="s">
        <v>22419</v>
      </c>
      <c r="H2390">
        <v>18.25</v>
      </c>
      <c r="I2390">
        <v>0</v>
      </c>
      <c r="J2390">
        <v>0</v>
      </c>
      <c r="K2390">
        <v>0</v>
      </c>
      <c r="N2390">
        <v>3</v>
      </c>
      <c r="O2390">
        <v>3</v>
      </c>
      <c r="P2390">
        <v>4</v>
      </c>
      <c r="Q2390">
        <v>0</v>
      </c>
      <c r="R2390">
        <v>25.25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9</v>
      </c>
      <c r="AC2390">
        <v>0</v>
      </c>
      <c r="AH2390">
        <v>34.25</v>
      </c>
    </row>
    <row r="2391" spans="1:34" x14ac:dyDescent="0.3">
      <c r="A2391" s="4">
        <v>2507</v>
      </c>
      <c r="B2391" s="5">
        <v>2384</v>
      </c>
      <c r="C2391">
        <v>14067</v>
      </c>
      <c r="D2391" t="s">
        <v>10428</v>
      </c>
      <c r="E2391" t="s">
        <v>115</v>
      </c>
      <c r="F2391" t="s">
        <v>20</v>
      </c>
      <c r="G2391" t="s">
        <v>22420</v>
      </c>
      <c r="H2391">
        <v>18.25</v>
      </c>
      <c r="I2391">
        <v>0</v>
      </c>
      <c r="J2391">
        <v>0</v>
      </c>
      <c r="K2391">
        <v>0</v>
      </c>
      <c r="N2391">
        <v>3</v>
      </c>
      <c r="O2391">
        <v>3</v>
      </c>
      <c r="P2391">
        <v>4</v>
      </c>
      <c r="Q2391">
        <v>0</v>
      </c>
      <c r="R2391">
        <v>25.25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9</v>
      </c>
      <c r="AC2391">
        <v>0</v>
      </c>
      <c r="AH2391">
        <v>34.25</v>
      </c>
    </row>
    <row r="2392" spans="1:34" x14ac:dyDescent="0.3">
      <c r="A2392" s="4">
        <v>2508</v>
      </c>
      <c r="B2392" s="5">
        <v>2385</v>
      </c>
      <c r="C2392">
        <v>7175</v>
      </c>
      <c r="D2392" t="s">
        <v>22421</v>
      </c>
      <c r="E2392" t="s">
        <v>26</v>
      </c>
      <c r="F2392" t="s">
        <v>38</v>
      </c>
      <c r="G2392" t="s">
        <v>22422</v>
      </c>
      <c r="H2392">
        <v>18.25</v>
      </c>
      <c r="I2392">
        <v>0</v>
      </c>
      <c r="J2392">
        <v>0</v>
      </c>
      <c r="K2392">
        <v>0</v>
      </c>
      <c r="L2392">
        <v>7</v>
      </c>
      <c r="O2392">
        <v>7</v>
      </c>
      <c r="P2392">
        <v>4</v>
      </c>
      <c r="Q2392">
        <v>2</v>
      </c>
      <c r="R2392">
        <v>31.25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3</v>
      </c>
      <c r="AC2392">
        <v>0</v>
      </c>
      <c r="AH2392">
        <v>34.25</v>
      </c>
    </row>
    <row r="2393" spans="1:34" x14ac:dyDescent="0.3">
      <c r="A2393" s="4">
        <v>2509</v>
      </c>
      <c r="B2393" s="5">
        <v>2386</v>
      </c>
      <c r="C2393">
        <v>8839</v>
      </c>
      <c r="D2393" t="s">
        <v>1129</v>
      </c>
      <c r="E2393" t="s">
        <v>2867</v>
      </c>
      <c r="F2393" t="s">
        <v>2598</v>
      </c>
      <c r="G2393" t="s">
        <v>22423</v>
      </c>
      <c r="H2393">
        <v>20.25</v>
      </c>
      <c r="I2393">
        <v>0</v>
      </c>
      <c r="J2393">
        <v>0</v>
      </c>
      <c r="K2393">
        <v>0</v>
      </c>
      <c r="N2393">
        <v>3</v>
      </c>
      <c r="O2393">
        <v>3</v>
      </c>
      <c r="P2393">
        <v>4</v>
      </c>
      <c r="Q2393">
        <v>0</v>
      </c>
      <c r="R2393">
        <v>27.25</v>
      </c>
      <c r="S2393">
        <v>7</v>
      </c>
      <c r="T2393">
        <v>7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7</v>
      </c>
      <c r="AB2393">
        <v>0</v>
      </c>
      <c r="AC2393">
        <v>0</v>
      </c>
      <c r="AH2393">
        <v>34.25</v>
      </c>
    </row>
    <row r="2394" spans="1:34" x14ac:dyDescent="0.3">
      <c r="A2394" s="4">
        <v>2510</v>
      </c>
      <c r="B2394" s="5">
        <v>2387</v>
      </c>
      <c r="C2394">
        <v>1444</v>
      </c>
      <c r="D2394" t="s">
        <v>22424</v>
      </c>
      <c r="E2394" t="s">
        <v>328</v>
      </c>
      <c r="F2394" t="s">
        <v>22425</v>
      </c>
      <c r="G2394" t="s">
        <v>22426</v>
      </c>
      <c r="H2394">
        <v>20.23</v>
      </c>
      <c r="I2394">
        <v>7</v>
      </c>
      <c r="J2394">
        <v>0</v>
      </c>
      <c r="K2394">
        <v>0</v>
      </c>
      <c r="N2394">
        <v>3</v>
      </c>
      <c r="O2394">
        <v>3</v>
      </c>
      <c r="P2394">
        <v>4</v>
      </c>
      <c r="Q2394">
        <v>0</v>
      </c>
      <c r="R2394">
        <v>34.229999999999997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H2394">
        <v>34.229999999999997</v>
      </c>
    </row>
    <row r="2395" spans="1:34" x14ac:dyDescent="0.3">
      <c r="A2395" s="4">
        <v>2511</v>
      </c>
      <c r="B2395" s="5">
        <v>2388</v>
      </c>
      <c r="C2395">
        <v>11571</v>
      </c>
      <c r="D2395" t="s">
        <v>5239</v>
      </c>
      <c r="E2395" t="s">
        <v>5505</v>
      </c>
      <c r="F2395" t="s">
        <v>570</v>
      </c>
      <c r="G2395" t="s">
        <v>22427</v>
      </c>
      <c r="H2395">
        <v>17.2</v>
      </c>
      <c r="I2395">
        <v>0</v>
      </c>
      <c r="J2395">
        <v>0</v>
      </c>
      <c r="K2395">
        <v>0</v>
      </c>
      <c r="L2395">
        <v>7</v>
      </c>
      <c r="O2395">
        <v>7</v>
      </c>
      <c r="P2395">
        <v>4</v>
      </c>
      <c r="Q2395">
        <v>0</v>
      </c>
      <c r="R2395">
        <v>28.2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6</v>
      </c>
      <c r="AC2395">
        <v>0</v>
      </c>
      <c r="AH2395">
        <v>34.200000000000003</v>
      </c>
    </row>
    <row r="2396" spans="1:34" x14ac:dyDescent="0.3">
      <c r="A2396" s="4">
        <v>2512</v>
      </c>
      <c r="B2396" s="5">
        <v>2389</v>
      </c>
      <c r="C2396">
        <v>8096</v>
      </c>
      <c r="D2396" t="s">
        <v>22428</v>
      </c>
      <c r="E2396" t="s">
        <v>132</v>
      </c>
      <c r="F2396" t="s">
        <v>38</v>
      </c>
      <c r="G2396" t="s">
        <v>22429</v>
      </c>
      <c r="H2396">
        <v>19.2</v>
      </c>
      <c r="I2396">
        <v>0</v>
      </c>
      <c r="J2396">
        <v>0</v>
      </c>
      <c r="K2396">
        <v>0</v>
      </c>
      <c r="O2396">
        <v>0</v>
      </c>
      <c r="P2396">
        <v>4</v>
      </c>
      <c r="Q2396">
        <v>0</v>
      </c>
      <c r="R2396">
        <v>23.2</v>
      </c>
      <c r="S2396">
        <v>5</v>
      </c>
      <c r="T2396">
        <v>5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5</v>
      </c>
      <c r="AB2396">
        <v>6</v>
      </c>
      <c r="AC2396">
        <v>0</v>
      </c>
      <c r="AH2396">
        <v>34.200000000000003</v>
      </c>
    </row>
    <row r="2397" spans="1:34" x14ac:dyDescent="0.3">
      <c r="A2397" s="4">
        <v>2513</v>
      </c>
      <c r="B2397" s="5">
        <v>2390</v>
      </c>
      <c r="C2397">
        <v>14720</v>
      </c>
      <c r="D2397" t="s">
        <v>8138</v>
      </c>
      <c r="E2397" t="s">
        <v>182</v>
      </c>
      <c r="F2397" t="s">
        <v>328</v>
      </c>
      <c r="G2397" t="s">
        <v>22430</v>
      </c>
      <c r="H2397">
        <v>20.2</v>
      </c>
      <c r="I2397">
        <v>0</v>
      </c>
      <c r="J2397">
        <v>0</v>
      </c>
      <c r="K2397">
        <v>0</v>
      </c>
      <c r="L2397">
        <v>7</v>
      </c>
      <c r="N2397">
        <v>3</v>
      </c>
      <c r="O2397">
        <v>10</v>
      </c>
      <c r="P2397">
        <v>4</v>
      </c>
      <c r="Q2397">
        <v>0</v>
      </c>
      <c r="R2397">
        <v>34.200000000000003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H2397">
        <v>34.200000000000003</v>
      </c>
    </row>
    <row r="2398" spans="1:34" x14ac:dyDescent="0.3">
      <c r="A2398" s="4">
        <v>2514</v>
      </c>
      <c r="B2398" s="5">
        <v>2391</v>
      </c>
      <c r="C2398">
        <v>1041</v>
      </c>
      <c r="D2398" t="s">
        <v>368</v>
      </c>
      <c r="E2398" t="s">
        <v>178</v>
      </c>
      <c r="F2398" t="s">
        <v>136</v>
      </c>
      <c r="G2398" t="s">
        <v>22431</v>
      </c>
      <c r="H2398">
        <v>19.18</v>
      </c>
      <c r="I2398">
        <v>0</v>
      </c>
      <c r="J2398">
        <v>0</v>
      </c>
      <c r="K2398">
        <v>0</v>
      </c>
      <c r="N2398">
        <v>3</v>
      </c>
      <c r="O2398">
        <v>3</v>
      </c>
      <c r="P2398">
        <v>4</v>
      </c>
      <c r="Q2398">
        <v>2</v>
      </c>
      <c r="R2398">
        <v>28.18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6</v>
      </c>
      <c r="AC2398">
        <v>0</v>
      </c>
      <c r="AE2398" t="s">
        <v>130</v>
      </c>
      <c r="AH2398">
        <v>34.18</v>
      </c>
    </row>
    <row r="2399" spans="1:34" x14ac:dyDescent="0.3">
      <c r="A2399" s="4">
        <v>2515</v>
      </c>
      <c r="B2399" s="5">
        <v>2392</v>
      </c>
      <c r="C2399">
        <v>2897</v>
      </c>
      <c r="D2399" t="s">
        <v>22432</v>
      </c>
      <c r="E2399" t="s">
        <v>161</v>
      </c>
      <c r="F2399" t="s">
        <v>17</v>
      </c>
      <c r="G2399" t="s">
        <v>22433</v>
      </c>
      <c r="H2399">
        <v>16.18</v>
      </c>
      <c r="I2399">
        <v>0</v>
      </c>
      <c r="J2399">
        <v>0</v>
      </c>
      <c r="K2399">
        <v>0</v>
      </c>
      <c r="L2399">
        <v>7</v>
      </c>
      <c r="M2399">
        <v>5</v>
      </c>
      <c r="O2399">
        <v>12</v>
      </c>
      <c r="P2399">
        <v>4</v>
      </c>
      <c r="Q2399">
        <v>2</v>
      </c>
      <c r="R2399">
        <v>34.18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H2399">
        <v>34.18</v>
      </c>
    </row>
    <row r="2400" spans="1:34" x14ac:dyDescent="0.3">
      <c r="A2400" s="4">
        <v>2516</v>
      </c>
      <c r="B2400" s="5">
        <v>2393</v>
      </c>
      <c r="C2400">
        <v>15540</v>
      </c>
      <c r="D2400" t="s">
        <v>22434</v>
      </c>
      <c r="E2400" t="s">
        <v>132</v>
      </c>
      <c r="F2400" t="s">
        <v>81</v>
      </c>
      <c r="G2400" t="s">
        <v>22435</v>
      </c>
      <c r="H2400">
        <v>20.149999999999999</v>
      </c>
      <c r="I2400">
        <v>0</v>
      </c>
      <c r="J2400">
        <v>0</v>
      </c>
      <c r="K2400">
        <v>0</v>
      </c>
      <c r="L2400">
        <v>7</v>
      </c>
      <c r="N2400">
        <v>3</v>
      </c>
      <c r="O2400">
        <v>10</v>
      </c>
      <c r="P2400">
        <v>4</v>
      </c>
      <c r="Q2400">
        <v>0</v>
      </c>
      <c r="R2400">
        <v>34.15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H2400">
        <v>34.15</v>
      </c>
    </row>
    <row r="2401" spans="1:34" x14ac:dyDescent="0.3">
      <c r="A2401" s="4">
        <v>2517</v>
      </c>
      <c r="B2401" s="5">
        <v>2394</v>
      </c>
      <c r="C2401">
        <v>9976</v>
      </c>
      <c r="D2401" t="s">
        <v>3843</v>
      </c>
      <c r="E2401" t="s">
        <v>26</v>
      </c>
      <c r="F2401" t="s">
        <v>81</v>
      </c>
      <c r="G2401" t="s">
        <v>3844</v>
      </c>
      <c r="H2401">
        <v>18.13</v>
      </c>
      <c r="I2401">
        <v>0</v>
      </c>
      <c r="J2401">
        <v>0</v>
      </c>
      <c r="K2401">
        <v>0</v>
      </c>
      <c r="N2401">
        <v>6</v>
      </c>
      <c r="O2401">
        <v>6</v>
      </c>
      <c r="P2401">
        <v>4</v>
      </c>
      <c r="Q2401">
        <v>0</v>
      </c>
      <c r="R2401">
        <v>28.13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6</v>
      </c>
      <c r="AC2401">
        <v>0</v>
      </c>
      <c r="AH2401">
        <v>34.130000000000003</v>
      </c>
    </row>
    <row r="2402" spans="1:34" x14ac:dyDescent="0.3">
      <c r="A2402" s="4">
        <v>2518</v>
      </c>
      <c r="B2402" s="5">
        <v>2395</v>
      </c>
      <c r="C2402">
        <v>15110</v>
      </c>
      <c r="D2402" t="s">
        <v>22436</v>
      </c>
      <c r="E2402" t="s">
        <v>33</v>
      </c>
      <c r="F2402" t="s">
        <v>17</v>
      </c>
      <c r="G2402" t="s">
        <v>22437</v>
      </c>
      <c r="H2402">
        <v>18.100000000000001</v>
      </c>
      <c r="I2402">
        <v>0</v>
      </c>
      <c r="J2402">
        <v>0</v>
      </c>
      <c r="K2402">
        <v>0</v>
      </c>
      <c r="L2402">
        <v>7</v>
      </c>
      <c r="M2402">
        <v>5</v>
      </c>
      <c r="O2402">
        <v>12</v>
      </c>
      <c r="P2402">
        <v>4</v>
      </c>
      <c r="Q2402">
        <v>0</v>
      </c>
      <c r="R2402">
        <v>34.1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H2402">
        <v>34.1</v>
      </c>
    </row>
    <row r="2403" spans="1:34" x14ac:dyDescent="0.3">
      <c r="A2403" s="4">
        <v>2519</v>
      </c>
      <c r="B2403" s="5">
        <v>2396</v>
      </c>
      <c r="C2403">
        <v>5370</v>
      </c>
      <c r="D2403" t="s">
        <v>11141</v>
      </c>
      <c r="E2403" t="s">
        <v>166</v>
      </c>
      <c r="F2403" t="s">
        <v>81</v>
      </c>
      <c r="G2403" t="s">
        <v>22438</v>
      </c>
      <c r="H2403">
        <v>19.079999999999998</v>
      </c>
      <c r="I2403">
        <v>0</v>
      </c>
      <c r="J2403">
        <v>0</v>
      </c>
      <c r="K2403">
        <v>0</v>
      </c>
      <c r="M2403">
        <v>5</v>
      </c>
      <c r="O2403">
        <v>5</v>
      </c>
      <c r="P2403">
        <v>4</v>
      </c>
      <c r="Q2403">
        <v>0</v>
      </c>
      <c r="R2403">
        <v>28.08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6</v>
      </c>
      <c r="AC2403">
        <v>0</v>
      </c>
      <c r="AH2403">
        <v>34.08</v>
      </c>
    </row>
    <row r="2404" spans="1:34" x14ac:dyDescent="0.3">
      <c r="A2404" s="4">
        <v>2520</v>
      </c>
      <c r="B2404" s="5">
        <v>2397</v>
      </c>
      <c r="C2404">
        <v>2711</v>
      </c>
      <c r="D2404" t="s">
        <v>15100</v>
      </c>
      <c r="E2404" t="s">
        <v>307</v>
      </c>
      <c r="F2404" t="s">
        <v>34</v>
      </c>
      <c r="G2404" t="s">
        <v>22439</v>
      </c>
      <c r="H2404">
        <v>17.05</v>
      </c>
      <c r="I2404">
        <v>0</v>
      </c>
      <c r="J2404">
        <v>0</v>
      </c>
      <c r="K2404">
        <v>0</v>
      </c>
      <c r="N2404">
        <v>3</v>
      </c>
      <c r="O2404">
        <v>3</v>
      </c>
      <c r="P2404">
        <v>4</v>
      </c>
      <c r="Q2404">
        <v>0</v>
      </c>
      <c r="R2404">
        <v>24.05</v>
      </c>
      <c r="S2404">
        <v>4</v>
      </c>
      <c r="T2404">
        <v>4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4</v>
      </c>
      <c r="AB2404">
        <v>6</v>
      </c>
      <c r="AC2404">
        <v>0</v>
      </c>
      <c r="AH2404">
        <v>34.049999999999997</v>
      </c>
    </row>
    <row r="2405" spans="1:34" x14ac:dyDescent="0.3">
      <c r="A2405" s="4">
        <v>2521</v>
      </c>
      <c r="B2405" s="5">
        <v>2398</v>
      </c>
      <c r="C2405">
        <v>8360</v>
      </c>
      <c r="D2405" t="s">
        <v>22440</v>
      </c>
      <c r="E2405" t="s">
        <v>91</v>
      </c>
      <c r="F2405" t="s">
        <v>22441</v>
      </c>
      <c r="G2405" t="s">
        <v>22442</v>
      </c>
      <c r="H2405">
        <v>18.05</v>
      </c>
      <c r="I2405">
        <v>0</v>
      </c>
      <c r="J2405">
        <v>0</v>
      </c>
      <c r="K2405">
        <v>0</v>
      </c>
      <c r="L2405">
        <v>7</v>
      </c>
      <c r="N2405">
        <v>3</v>
      </c>
      <c r="O2405">
        <v>10</v>
      </c>
      <c r="P2405">
        <v>4</v>
      </c>
      <c r="Q2405">
        <v>2</v>
      </c>
      <c r="R2405">
        <v>34.049999999999997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H2405">
        <v>34.049999999999997</v>
      </c>
    </row>
    <row r="2406" spans="1:34" x14ac:dyDescent="0.3">
      <c r="A2406" s="4">
        <v>2522</v>
      </c>
      <c r="B2406" s="5">
        <v>2399</v>
      </c>
      <c r="C2406">
        <v>1155</v>
      </c>
      <c r="D2406" t="s">
        <v>22443</v>
      </c>
      <c r="E2406" t="s">
        <v>17</v>
      </c>
      <c r="F2406" t="s">
        <v>167</v>
      </c>
      <c r="G2406" t="s">
        <v>22444</v>
      </c>
      <c r="H2406">
        <v>17</v>
      </c>
      <c r="I2406">
        <v>0</v>
      </c>
      <c r="J2406">
        <v>0</v>
      </c>
      <c r="K2406">
        <v>0</v>
      </c>
      <c r="L2406">
        <v>7</v>
      </c>
      <c r="O2406">
        <v>7</v>
      </c>
      <c r="P2406">
        <v>4</v>
      </c>
      <c r="Q2406">
        <v>0</v>
      </c>
      <c r="R2406">
        <v>28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6</v>
      </c>
      <c r="AC2406">
        <v>0</v>
      </c>
      <c r="AH2406">
        <v>34</v>
      </c>
    </row>
    <row r="2407" spans="1:34" x14ac:dyDescent="0.3">
      <c r="A2407" s="4">
        <v>2523</v>
      </c>
      <c r="B2407" s="5">
        <v>2400</v>
      </c>
      <c r="C2407">
        <v>5946</v>
      </c>
      <c r="D2407" t="s">
        <v>22445</v>
      </c>
      <c r="E2407" t="s">
        <v>37</v>
      </c>
      <c r="F2407" t="s">
        <v>81</v>
      </c>
      <c r="G2407" t="s">
        <v>22446</v>
      </c>
      <c r="H2407">
        <v>20</v>
      </c>
      <c r="I2407">
        <v>0</v>
      </c>
      <c r="J2407">
        <v>0</v>
      </c>
      <c r="K2407">
        <v>0</v>
      </c>
      <c r="L2407">
        <v>7</v>
      </c>
      <c r="O2407">
        <v>7</v>
      </c>
      <c r="P2407">
        <v>4</v>
      </c>
      <c r="Q2407">
        <v>0</v>
      </c>
      <c r="R2407">
        <v>31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3</v>
      </c>
      <c r="AC2407">
        <v>0</v>
      </c>
      <c r="AH2407">
        <v>34</v>
      </c>
    </row>
    <row r="2408" spans="1:34" x14ac:dyDescent="0.3">
      <c r="A2408" s="4">
        <v>2524</v>
      </c>
      <c r="B2408" s="5">
        <v>2401</v>
      </c>
      <c r="C2408">
        <v>700</v>
      </c>
      <c r="D2408" t="s">
        <v>22447</v>
      </c>
      <c r="E2408" t="s">
        <v>20</v>
      </c>
      <c r="F2408" t="s">
        <v>5741</v>
      </c>
      <c r="G2408" t="s">
        <v>22448</v>
      </c>
      <c r="H2408">
        <v>20.98</v>
      </c>
      <c r="I2408">
        <v>0</v>
      </c>
      <c r="J2408">
        <v>0</v>
      </c>
      <c r="K2408">
        <v>0</v>
      </c>
      <c r="N2408">
        <v>3</v>
      </c>
      <c r="O2408">
        <v>3</v>
      </c>
      <c r="P2408">
        <v>4</v>
      </c>
      <c r="Q2408">
        <v>0</v>
      </c>
      <c r="R2408">
        <v>27.98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6</v>
      </c>
      <c r="AC2408">
        <v>0</v>
      </c>
      <c r="AH2408">
        <v>33.979999999999997</v>
      </c>
    </row>
    <row r="2409" spans="1:34" x14ac:dyDescent="0.3">
      <c r="A2409" s="4">
        <v>2525</v>
      </c>
      <c r="B2409" s="5">
        <v>2402</v>
      </c>
      <c r="C2409">
        <v>12072</v>
      </c>
      <c r="D2409" t="s">
        <v>498</v>
      </c>
      <c r="E2409" t="s">
        <v>81</v>
      </c>
      <c r="F2409" t="s">
        <v>17</v>
      </c>
      <c r="G2409" t="s">
        <v>22449</v>
      </c>
      <c r="H2409">
        <v>22.9</v>
      </c>
      <c r="I2409">
        <v>0</v>
      </c>
      <c r="J2409">
        <v>0</v>
      </c>
      <c r="K2409">
        <v>0</v>
      </c>
      <c r="L2409">
        <v>7</v>
      </c>
      <c r="O2409">
        <v>7</v>
      </c>
      <c r="P2409">
        <v>4</v>
      </c>
      <c r="Q2409">
        <v>0</v>
      </c>
      <c r="R2409">
        <v>33.9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H2409">
        <v>33.9</v>
      </c>
    </row>
    <row r="2410" spans="1:34" x14ac:dyDescent="0.3">
      <c r="A2410" s="4">
        <v>2526</v>
      </c>
      <c r="B2410" s="5">
        <v>2403</v>
      </c>
      <c r="C2410">
        <v>15554</v>
      </c>
      <c r="D2410" t="s">
        <v>22450</v>
      </c>
      <c r="E2410" t="s">
        <v>26</v>
      </c>
      <c r="F2410" t="s">
        <v>20</v>
      </c>
      <c r="G2410" t="s">
        <v>22451</v>
      </c>
      <c r="H2410">
        <v>17.88</v>
      </c>
      <c r="I2410">
        <v>0</v>
      </c>
      <c r="J2410">
        <v>0</v>
      </c>
      <c r="K2410">
        <v>0</v>
      </c>
      <c r="N2410">
        <v>3</v>
      </c>
      <c r="O2410">
        <v>3</v>
      </c>
      <c r="P2410">
        <v>4</v>
      </c>
      <c r="Q2410">
        <v>0</v>
      </c>
      <c r="R2410">
        <v>24.88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9</v>
      </c>
      <c r="AC2410">
        <v>0</v>
      </c>
      <c r="AH2410">
        <v>33.880000000000003</v>
      </c>
    </row>
    <row r="2411" spans="1:34" x14ac:dyDescent="0.3">
      <c r="A2411" s="4">
        <v>2527</v>
      </c>
      <c r="B2411" s="5">
        <v>2404</v>
      </c>
      <c r="C2411">
        <v>14562</v>
      </c>
      <c r="D2411" t="s">
        <v>22452</v>
      </c>
      <c r="E2411" t="s">
        <v>100</v>
      </c>
      <c r="F2411" t="s">
        <v>385</v>
      </c>
      <c r="G2411" t="s">
        <v>22453</v>
      </c>
      <c r="H2411">
        <v>18.88</v>
      </c>
      <c r="I2411">
        <v>0</v>
      </c>
      <c r="J2411">
        <v>0</v>
      </c>
      <c r="K2411">
        <v>0</v>
      </c>
      <c r="N2411">
        <v>3</v>
      </c>
      <c r="O2411">
        <v>3</v>
      </c>
      <c r="P2411">
        <v>4</v>
      </c>
      <c r="Q2411">
        <v>2</v>
      </c>
      <c r="R2411">
        <v>27.88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6</v>
      </c>
      <c r="AC2411">
        <v>0</v>
      </c>
      <c r="AH2411">
        <v>33.880000000000003</v>
      </c>
    </row>
    <row r="2412" spans="1:34" x14ac:dyDescent="0.3">
      <c r="A2412" s="4">
        <v>2528</v>
      </c>
      <c r="B2412" s="5">
        <v>2405</v>
      </c>
      <c r="C2412">
        <v>13680</v>
      </c>
      <c r="D2412" t="s">
        <v>60</v>
      </c>
      <c r="E2412" t="s">
        <v>18039</v>
      </c>
      <c r="F2412" t="s">
        <v>6216</v>
      </c>
      <c r="G2412" t="s">
        <v>22454</v>
      </c>
      <c r="H2412">
        <v>16.88</v>
      </c>
      <c r="I2412">
        <v>0</v>
      </c>
      <c r="J2412">
        <v>0</v>
      </c>
      <c r="K2412">
        <v>0</v>
      </c>
      <c r="L2412">
        <v>7</v>
      </c>
      <c r="O2412">
        <v>7</v>
      </c>
      <c r="P2412">
        <v>4</v>
      </c>
      <c r="Q2412">
        <v>0</v>
      </c>
      <c r="R2412">
        <v>27.88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6</v>
      </c>
      <c r="AC2412">
        <v>0</v>
      </c>
      <c r="AH2412">
        <v>33.880000000000003</v>
      </c>
    </row>
    <row r="2413" spans="1:34" x14ac:dyDescent="0.3">
      <c r="A2413" s="4">
        <v>2529</v>
      </c>
      <c r="B2413" s="5">
        <v>2406</v>
      </c>
      <c r="C2413">
        <v>8461</v>
      </c>
      <c r="D2413" t="s">
        <v>2554</v>
      </c>
      <c r="E2413" t="s">
        <v>29</v>
      </c>
      <c r="F2413" t="s">
        <v>55</v>
      </c>
      <c r="G2413" t="s">
        <v>22455</v>
      </c>
      <c r="H2413">
        <v>22.88</v>
      </c>
      <c r="I2413">
        <v>0</v>
      </c>
      <c r="J2413">
        <v>0</v>
      </c>
      <c r="K2413">
        <v>0</v>
      </c>
      <c r="L2413">
        <v>7</v>
      </c>
      <c r="O2413">
        <v>7</v>
      </c>
      <c r="P2413">
        <v>4</v>
      </c>
      <c r="Q2413">
        <v>0</v>
      </c>
      <c r="R2413">
        <v>33.880000000000003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 t="s">
        <v>130</v>
      </c>
      <c r="AH2413">
        <v>33.880000000000003</v>
      </c>
    </row>
    <row r="2414" spans="1:34" x14ac:dyDescent="0.3">
      <c r="A2414" s="4">
        <v>2530</v>
      </c>
      <c r="B2414" s="5">
        <v>2407</v>
      </c>
      <c r="C2414">
        <v>2211</v>
      </c>
      <c r="D2414" t="s">
        <v>22456</v>
      </c>
      <c r="E2414" t="s">
        <v>88</v>
      </c>
      <c r="F2414" t="s">
        <v>124</v>
      </c>
      <c r="G2414" t="s">
        <v>22457</v>
      </c>
      <c r="H2414">
        <v>20.88</v>
      </c>
      <c r="I2414">
        <v>0</v>
      </c>
      <c r="J2414">
        <v>0</v>
      </c>
      <c r="K2414">
        <v>0</v>
      </c>
      <c r="L2414">
        <v>7</v>
      </c>
      <c r="O2414">
        <v>7</v>
      </c>
      <c r="P2414">
        <v>4</v>
      </c>
      <c r="Q2414">
        <v>2</v>
      </c>
      <c r="R2414">
        <v>33.880000000000003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H2414">
        <v>33.880000000000003</v>
      </c>
    </row>
    <row r="2415" spans="1:34" x14ac:dyDescent="0.3">
      <c r="A2415" s="4">
        <v>2531</v>
      </c>
      <c r="B2415" s="5">
        <v>2408</v>
      </c>
      <c r="C2415">
        <v>2024</v>
      </c>
      <c r="D2415" t="s">
        <v>22458</v>
      </c>
      <c r="E2415" t="s">
        <v>1639</v>
      </c>
      <c r="F2415" t="s">
        <v>124</v>
      </c>
      <c r="G2415" t="s">
        <v>22459</v>
      </c>
      <c r="H2415">
        <v>18.850000000000001</v>
      </c>
      <c r="I2415">
        <v>0</v>
      </c>
      <c r="J2415">
        <v>0</v>
      </c>
      <c r="K2415">
        <v>0</v>
      </c>
      <c r="N2415">
        <v>3</v>
      </c>
      <c r="O2415">
        <v>3</v>
      </c>
      <c r="P2415">
        <v>0</v>
      </c>
      <c r="Q2415">
        <v>0</v>
      </c>
      <c r="R2415">
        <v>21.85</v>
      </c>
      <c r="S2415">
        <v>6</v>
      </c>
      <c r="T2415">
        <v>6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6</v>
      </c>
      <c r="AB2415">
        <v>6</v>
      </c>
      <c r="AC2415">
        <v>0</v>
      </c>
      <c r="AH2415">
        <v>33.85</v>
      </c>
    </row>
    <row r="2416" spans="1:34" x14ac:dyDescent="0.3">
      <c r="A2416" s="4">
        <v>2532</v>
      </c>
      <c r="B2416" s="5">
        <v>2409</v>
      </c>
      <c r="C2416">
        <v>4258</v>
      </c>
      <c r="D2416" t="s">
        <v>1013</v>
      </c>
      <c r="E2416" t="s">
        <v>697</v>
      </c>
      <c r="F2416" t="s">
        <v>68</v>
      </c>
      <c r="G2416" t="s">
        <v>22460</v>
      </c>
      <c r="H2416">
        <v>19.829999999999998</v>
      </c>
      <c r="I2416">
        <v>0</v>
      </c>
      <c r="J2416">
        <v>0</v>
      </c>
      <c r="K2416">
        <v>0</v>
      </c>
      <c r="L2416">
        <v>7</v>
      </c>
      <c r="O2416">
        <v>7</v>
      </c>
      <c r="P2416">
        <v>4</v>
      </c>
      <c r="Q2416">
        <v>0</v>
      </c>
      <c r="R2416">
        <v>30.83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3</v>
      </c>
      <c r="AC2416">
        <v>0</v>
      </c>
      <c r="AH2416">
        <v>33.83</v>
      </c>
    </row>
    <row r="2417" spans="1:34" x14ac:dyDescent="0.3">
      <c r="A2417" s="4">
        <v>2533</v>
      </c>
      <c r="B2417" s="5">
        <v>2410</v>
      </c>
      <c r="C2417">
        <v>1777</v>
      </c>
      <c r="D2417" t="s">
        <v>181</v>
      </c>
      <c r="E2417" t="s">
        <v>22461</v>
      </c>
      <c r="F2417" t="s">
        <v>17</v>
      </c>
      <c r="G2417" t="s">
        <v>22462</v>
      </c>
      <c r="H2417">
        <v>22.83</v>
      </c>
      <c r="I2417">
        <v>0</v>
      </c>
      <c r="J2417">
        <v>0</v>
      </c>
      <c r="K2417">
        <v>0</v>
      </c>
      <c r="L2417">
        <v>7</v>
      </c>
      <c r="O2417">
        <v>7</v>
      </c>
      <c r="P2417">
        <v>4</v>
      </c>
      <c r="Q2417">
        <v>0</v>
      </c>
      <c r="R2417">
        <v>33.83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H2417">
        <v>33.83</v>
      </c>
    </row>
    <row r="2418" spans="1:34" x14ac:dyDescent="0.3">
      <c r="A2418" s="4">
        <v>2534</v>
      </c>
      <c r="B2418" s="5">
        <v>2411</v>
      </c>
      <c r="C2418">
        <v>5768</v>
      </c>
      <c r="D2418" t="s">
        <v>22463</v>
      </c>
      <c r="E2418" t="s">
        <v>744</v>
      </c>
      <c r="F2418" t="s">
        <v>243</v>
      </c>
      <c r="G2418" t="s">
        <v>22464</v>
      </c>
      <c r="H2418">
        <v>19.829999999999998</v>
      </c>
      <c r="I2418">
        <v>7</v>
      </c>
      <c r="J2418">
        <v>0</v>
      </c>
      <c r="K2418">
        <v>0</v>
      </c>
      <c r="N2418">
        <v>3</v>
      </c>
      <c r="O2418">
        <v>3</v>
      </c>
      <c r="P2418">
        <v>4</v>
      </c>
      <c r="Q2418">
        <v>0</v>
      </c>
      <c r="R2418">
        <v>33.83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H2418">
        <v>33.83</v>
      </c>
    </row>
    <row r="2419" spans="1:34" x14ac:dyDescent="0.3">
      <c r="A2419" s="4">
        <v>2535</v>
      </c>
      <c r="B2419" s="5">
        <v>2412</v>
      </c>
      <c r="C2419">
        <v>14955</v>
      </c>
      <c r="D2419" t="s">
        <v>22465</v>
      </c>
      <c r="E2419" t="s">
        <v>2044</v>
      </c>
      <c r="F2419" t="s">
        <v>343</v>
      </c>
      <c r="G2419" t="s">
        <v>22466</v>
      </c>
      <c r="H2419">
        <v>18.8</v>
      </c>
      <c r="I2419">
        <v>0</v>
      </c>
      <c r="J2419">
        <v>0</v>
      </c>
      <c r="K2419">
        <v>0</v>
      </c>
      <c r="N2419">
        <v>3</v>
      </c>
      <c r="O2419">
        <v>3</v>
      </c>
      <c r="P2419">
        <v>4</v>
      </c>
      <c r="Q2419">
        <v>2</v>
      </c>
      <c r="R2419">
        <v>27.8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6</v>
      </c>
      <c r="AC2419">
        <v>0</v>
      </c>
      <c r="AH2419">
        <v>33.799999999999997</v>
      </c>
    </row>
    <row r="2420" spans="1:34" x14ac:dyDescent="0.3">
      <c r="A2420" s="4">
        <v>2536</v>
      </c>
      <c r="B2420" s="5">
        <v>2413</v>
      </c>
      <c r="C2420">
        <v>9413</v>
      </c>
      <c r="D2420" t="s">
        <v>22467</v>
      </c>
      <c r="E2420" t="s">
        <v>54</v>
      </c>
      <c r="F2420" t="s">
        <v>136</v>
      </c>
      <c r="G2420" t="s">
        <v>22468</v>
      </c>
      <c r="H2420">
        <v>20.8</v>
      </c>
      <c r="I2420">
        <v>0</v>
      </c>
      <c r="J2420">
        <v>0</v>
      </c>
      <c r="K2420">
        <v>0</v>
      </c>
      <c r="L2420">
        <v>7</v>
      </c>
      <c r="O2420">
        <v>7</v>
      </c>
      <c r="P2420">
        <v>4</v>
      </c>
      <c r="Q2420">
        <v>2</v>
      </c>
      <c r="R2420">
        <v>33.799999999999997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H2420">
        <v>33.799999999999997</v>
      </c>
    </row>
    <row r="2421" spans="1:34" x14ac:dyDescent="0.3">
      <c r="A2421" s="4">
        <v>2537</v>
      </c>
      <c r="B2421" s="5">
        <v>2414</v>
      </c>
      <c r="C2421">
        <v>8773</v>
      </c>
      <c r="D2421" t="s">
        <v>13298</v>
      </c>
      <c r="E2421" t="s">
        <v>178</v>
      </c>
      <c r="F2421" t="s">
        <v>81</v>
      </c>
      <c r="G2421" t="s">
        <v>22469</v>
      </c>
      <c r="H2421">
        <v>20.78</v>
      </c>
      <c r="I2421">
        <v>0</v>
      </c>
      <c r="J2421">
        <v>0</v>
      </c>
      <c r="K2421">
        <v>0</v>
      </c>
      <c r="N2421">
        <v>3</v>
      </c>
      <c r="O2421">
        <v>3</v>
      </c>
      <c r="P2421">
        <v>4</v>
      </c>
      <c r="Q2421">
        <v>0</v>
      </c>
      <c r="R2421">
        <v>27.78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6</v>
      </c>
      <c r="AC2421">
        <v>0</v>
      </c>
      <c r="AH2421">
        <v>33.78</v>
      </c>
    </row>
    <row r="2422" spans="1:34" x14ac:dyDescent="0.3">
      <c r="A2422" s="4">
        <v>2538</v>
      </c>
      <c r="B2422" s="5">
        <v>2415</v>
      </c>
      <c r="C2422">
        <v>14133</v>
      </c>
      <c r="D2422" t="s">
        <v>22470</v>
      </c>
      <c r="E2422" t="s">
        <v>132</v>
      </c>
      <c r="F2422" t="s">
        <v>62</v>
      </c>
      <c r="G2422" t="s">
        <v>22471</v>
      </c>
      <c r="H2422">
        <v>22.78</v>
      </c>
      <c r="I2422">
        <v>0</v>
      </c>
      <c r="J2422">
        <v>0</v>
      </c>
      <c r="K2422">
        <v>0</v>
      </c>
      <c r="L2422">
        <v>7</v>
      </c>
      <c r="O2422">
        <v>7</v>
      </c>
      <c r="P2422">
        <v>4</v>
      </c>
      <c r="Q2422">
        <v>0</v>
      </c>
      <c r="R2422">
        <v>33.78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H2422">
        <v>33.78</v>
      </c>
    </row>
    <row r="2423" spans="1:34" x14ac:dyDescent="0.3">
      <c r="A2423" s="4">
        <v>2539</v>
      </c>
      <c r="B2423" s="5">
        <v>2416</v>
      </c>
      <c r="C2423">
        <v>428</v>
      </c>
      <c r="D2423" t="s">
        <v>20179</v>
      </c>
      <c r="E2423" t="s">
        <v>54</v>
      </c>
      <c r="F2423" t="s">
        <v>20</v>
      </c>
      <c r="G2423" t="s">
        <v>22472</v>
      </c>
      <c r="H2423">
        <v>20.75</v>
      </c>
      <c r="I2423">
        <v>0</v>
      </c>
      <c r="J2423">
        <v>0</v>
      </c>
      <c r="K2423">
        <v>0</v>
      </c>
      <c r="N2423">
        <v>3</v>
      </c>
      <c r="O2423">
        <v>3</v>
      </c>
      <c r="P2423">
        <v>4</v>
      </c>
      <c r="Q2423">
        <v>0</v>
      </c>
      <c r="R2423">
        <v>27.75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6</v>
      </c>
      <c r="AC2423">
        <v>0</v>
      </c>
      <c r="AH2423">
        <v>33.75</v>
      </c>
    </row>
    <row r="2424" spans="1:34" x14ac:dyDescent="0.3">
      <c r="A2424" s="4">
        <v>2540</v>
      </c>
      <c r="B2424" s="5">
        <v>2417</v>
      </c>
      <c r="C2424">
        <v>4642</v>
      </c>
      <c r="D2424" t="s">
        <v>22473</v>
      </c>
      <c r="E2424" t="s">
        <v>29</v>
      </c>
      <c r="F2424" t="s">
        <v>30</v>
      </c>
      <c r="G2424" t="s">
        <v>22474</v>
      </c>
      <c r="H2424">
        <v>16.75</v>
      </c>
      <c r="I2424">
        <v>0</v>
      </c>
      <c r="J2424">
        <v>0</v>
      </c>
      <c r="K2424">
        <v>0</v>
      </c>
      <c r="L2424">
        <v>7</v>
      </c>
      <c r="O2424">
        <v>7</v>
      </c>
      <c r="P2424">
        <v>4</v>
      </c>
      <c r="Q2424">
        <v>0</v>
      </c>
      <c r="R2424">
        <v>27.75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6</v>
      </c>
      <c r="AC2424">
        <v>0</v>
      </c>
      <c r="AH2424">
        <v>33.75</v>
      </c>
    </row>
    <row r="2425" spans="1:34" x14ac:dyDescent="0.3">
      <c r="A2425" s="4">
        <v>2541</v>
      </c>
      <c r="B2425" s="5">
        <v>2418</v>
      </c>
      <c r="C2425">
        <v>8592</v>
      </c>
      <c r="D2425" t="s">
        <v>6082</v>
      </c>
      <c r="E2425" t="s">
        <v>33</v>
      </c>
      <c r="F2425" t="s">
        <v>17559</v>
      </c>
      <c r="G2425" t="s">
        <v>22475</v>
      </c>
      <c r="H2425">
        <v>19.75</v>
      </c>
      <c r="I2425">
        <v>0</v>
      </c>
      <c r="J2425">
        <v>0</v>
      </c>
      <c r="K2425">
        <v>0</v>
      </c>
      <c r="L2425">
        <v>7</v>
      </c>
      <c r="O2425">
        <v>7</v>
      </c>
      <c r="P2425">
        <v>4</v>
      </c>
      <c r="Q2425">
        <v>0</v>
      </c>
      <c r="R2425">
        <v>30.75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3</v>
      </c>
      <c r="AC2425">
        <v>0</v>
      </c>
      <c r="AH2425">
        <v>33.75</v>
      </c>
    </row>
    <row r="2426" spans="1:34" x14ac:dyDescent="0.3">
      <c r="A2426" s="4">
        <v>2542</v>
      </c>
      <c r="B2426" s="5">
        <v>2419</v>
      </c>
      <c r="C2426">
        <v>10346</v>
      </c>
      <c r="D2426" t="s">
        <v>22476</v>
      </c>
      <c r="E2426" t="s">
        <v>29</v>
      </c>
      <c r="F2426" t="s">
        <v>9999</v>
      </c>
      <c r="G2426" t="s">
        <v>22477</v>
      </c>
      <c r="H2426">
        <v>17.73</v>
      </c>
      <c r="I2426">
        <v>0</v>
      </c>
      <c r="J2426">
        <v>0</v>
      </c>
      <c r="K2426">
        <v>0</v>
      </c>
      <c r="N2426">
        <v>3</v>
      </c>
      <c r="O2426">
        <v>3</v>
      </c>
      <c r="P2426">
        <v>4</v>
      </c>
      <c r="Q2426">
        <v>0</v>
      </c>
      <c r="R2426">
        <v>24.73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9</v>
      </c>
      <c r="AC2426">
        <v>0</v>
      </c>
      <c r="AH2426">
        <v>33.729999999999997</v>
      </c>
    </row>
    <row r="2427" spans="1:34" x14ac:dyDescent="0.3">
      <c r="A2427" s="4">
        <v>2543</v>
      </c>
      <c r="B2427" s="5">
        <v>2420</v>
      </c>
      <c r="C2427">
        <v>2224</v>
      </c>
      <c r="D2427" t="s">
        <v>10502</v>
      </c>
      <c r="E2427" t="s">
        <v>37</v>
      </c>
      <c r="F2427" t="s">
        <v>243</v>
      </c>
      <c r="G2427" t="s">
        <v>22478</v>
      </c>
      <c r="H2427">
        <v>19.73</v>
      </c>
      <c r="I2427">
        <v>0</v>
      </c>
      <c r="J2427">
        <v>0</v>
      </c>
      <c r="K2427">
        <v>0</v>
      </c>
      <c r="N2427">
        <v>3</v>
      </c>
      <c r="O2427">
        <v>3</v>
      </c>
      <c r="P2427">
        <v>4</v>
      </c>
      <c r="Q2427">
        <v>0</v>
      </c>
      <c r="R2427">
        <v>26.73</v>
      </c>
      <c r="S2427">
        <v>7</v>
      </c>
      <c r="T2427">
        <v>7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7</v>
      </c>
      <c r="AB2427">
        <v>0</v>
      </c>
      <c r="AC2427">
        <v>0</v>
      </c>
      <c r="AH2427">
        <v>33.729999999999997</v>
      </c>
    </row>
    <row r="2428" spans="1:34" x14ac:dyDescent="0.3">
      <c r="A2428" s="4">
        <v>2544</v>
      </c>
      <c r="B2428" s="5">
        <v>2421</v>
      </c>
      <c r="C2428">
        <v>3292</v>
      </c>
      <c r="D2428" t="s">
        <v>2552</v>
      </c>
      <c r="E2428" t="s">
        <v>795</v>
      </c>
      <c r="F2428" t="s">
        <v>17</v>
      </c>
      <c r="G2428" t="s">
        <v>22479</v>
      </c>
      <c r="H2428">
        <v>17.7</v>
      </c>
      <c r="I2428">
        <v>0</v>
      </c>
      <c r="J2428">
        <v>0</v>
      </c>
      <c r="K2428">
        <v>0</v>
      </c>
      <c r="L2428">
        <v>7</v>
      </c>
      <c r="O2428">
        <v>7</v>
      </c>
      <c r="P2428">
        <v>4</v>
      </c>
      <c r="Q2428">
        <v>2</v>
      </c>
      <c r="R2428">
        <v>30.7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3</v>
      </c>
      <c r="AC2428">
        <v>0</v>
      </c>
      <c r="AH2428">
        <v>33.700000000000003</v>
      </c>
    </row>
    <row r="2429" spans="1:34" x14ac:dyDescent="0.3">
      <c r="A2429" s="4">
        <v>2545</v>
      </c>
      <c r="B2429" s="5">
        <v>2422</v>
      </c>
      <c r="C2429">
        <v>7242</v>
      </c>
      <c r="D2429" t="s">
        <v>22480</v>
      </c>
      <c r="E2429" t="s">
        <v>88</v>
      </c>
      <c r="F2429" t="s">
        <v>124</v>
      </c>
      <c r="G2429" t="s">
        <v>22481</v>
      </c>
      <c r="H2429">
        <v>22.7</v>
      </c>
      <c r="I2429">
        <v>0</v>
      </c>
      <c r="J2429">
        <v>0</v>
      </c>
      <c r="K2429">
        <v>0</v>
      </c>
      <c r="L2429">
        <v>7</v>
      </c>
      <c r="O2429">
        <v>7</v>
      </c>
      <c r="P2429">
        <v>4</v>
      </c>
      <c r="Q2429">
        <v>0</v>
      </c>
      <c r="R2429">
        <v>33.700000000000003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H2429">
        <v>33.700000000000003</v>
      </c>
    </row>
    <row r="2430" spans="1:34" x14ac:dyDescent="0.3">
      <c r="A2430" s="4">
        <v>2546</v>
      </c>
      <c r="B2430" s="5">
        <v>2423</v>
      </c>
      <c r="C2430">
        <v>12766</v>
      </c>
      <c r="D2430" t="s">
        <v>1425</v>
      </c>
      <c r="E2430" t="s">
        <v>33</v>
      </c>
      <c r="F2430" t="s">
        <v>17</v>
      </c>
      <c r="G2430" t="s">
        <v>22482</v>
      </c>
      <c r="H2430">
        <v>18.7</v>
      </c>
      <c r="I2430">
        <v>0</v>
      </c>
      <c r="J2430">
        <v>0</v>
      </c>
      <c r="K2430">
        <v>0</v>
      </c>
      <c r="M2430">
        <v>5</v>
      </c>
      <c r="N2430">
        <v>3</v>
      </c>
      <c r="O2430">
        <v>8</v>
      </c>
      <c r="P2430">
        <v>4</v>
      </c>
      <c r="Q2430">
        <v>0</v>
      </c>
      <c r="R2430">
        <v>30.7</v>
      </c>
      <c r="S2430">
        <v>3</v>
      </c>
      <c r="T2430">
        <v>3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3</v>
      </c>
      <c r="AB2430">
        <v>0</v>
      </c>
      <c r="AC2430">
        <v>0</v>
      </c>
      <c r="AH2430">
        <v>33.700000000000003</v>
      </c>
    </row>
    <row r="2431" spans="1:34" x14ac:dyDescent="0.3">
      <c r="A2431" s="4">
        <v>2547</v>
      </c>
      <c r="B2431" s="5">
        <v>2424</v>
      </c>
      <c r="C2431">
        <v>8815</v>
      </c>
      <c r="D2431" t="s">
        <v>22483</v>
      </c>
      <c r="E2431" t="s">
        <v>41</v>
      </c>
      <c r="F2431" t="s">
        <v>375</v>
      </c>
      <c r="G2431" t="s">
        <v>22484</v>
      </c>
      <c r="H2431">
        <v>17.7</v>
      </c>
      <c r="I2431">
        <v>0</v>
      </c>
      <c r="J2431">
        <v>0</v>
      </c>
      <c r="K2431">
        <v>0</v>
      </c>
      <c r="N2431">
        <v>6</v>
      </c>
      <c r="O2431">
        <v>6</v>
      </c>
      <c r="P2431">
        <v>4</v>
      </c>
      <c r="Q2431">
        <v>0</v>
      </c>
      <c r="R2431">
        <v>27.7</v>
      </c>
      <c r="S2431">
        <v>6</v>
      </c>
      <c r="T2431">
        <v>6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6</v>
      </c>
      <c r="AB2431">
        <v>0</v>
      </c>
      <c r="AC2431">
        <v>0</v>
      </c>
      <c r="AH2431">
        <v>33.700000000000003</v>
      </c>
    </row>
    <row r="2432" spans="1:34" x14ac:dyDescent="0.3">
      <c r="A2432" s="4">
        <v>2548</v>
      </c>
      <c r="B2432" s="5">
        <v>2425</v>
      </c>
      <c r="C2432">
        <v>381</v>
      </c>
      <c r="D2432" t="s">
        <v>22485</v>
      </c>
      <c r="E2432" t="s">
        <v>10372</v>
      </c>
      <c r="F2432" t="s">
        <v>22486</v>
      </c>
      <c r="G2432" t="s">
        <v>22487</v>
      </c>
      <c r="H2432">
        <v>17.68</v>
      </c>
      <c r="I2432">
        <v>0</v>
      </c>
      <c r="J2432">
        <v>0</v>
      </c>
      <c r="K2432">
        <v>0</v>
      </c>
      <c r="L2432">
        <v>7</v>
      </c>
      <c r="N2432">
        <v>3</v>
      </c>
      <c r="O2432">
        <v>10</v>
      </c>
      <c r="P2432">
        <v>4</v>
      </c>
      <c r="Q2432">
        <v>2</v>
      </c>
      <c r="R2432">
        <v>33.68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H2432">
        <v>33.68</v>
      </c>
    </row>
    <row r="2433" spans="1:34" x14ac:dyDescent="0.3">
      <c r="A2433" s="4">
        <v>2549</v>
      </c>
      <c r="B2433" s="5">
        <v>2426</v>
      </c>
      <c r="C2433">
        <v>8148</v>
      </c>
      <c r="D2433" t="s">
        <v>1822</v>
      </c>
      <c r="E2433" t="s">
        <v>100</v>
      </c>
      <c r="F2433" t="s">
        <v>539</v>
      </c>
      <c r="G2433" t="s">
        <v>22488</v>
      </c>
      <c r="H2433">
        <v>20.63</v>
      </c>
      <c r="I2433">
        <v>0</v>
      </c>
      <c r="J2433">
        <v>0</v>
      </c>
      <c r="K2433">
        <v>0</v>
      </c>
      <c r="N2433">
        <v>3</v>
      </c>
      <c r="O2433">
        <v>3</v>
      </c>
      <c r="P2433">
        <v>4</v>
      </c>
      <c r="Q2433">
        <v>0</v>
      </c>
      <c r="R2433">
        <v>27.63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6</v>
      </c>
      <c r="AC2433">
        <v>0</v>
      </c>
      <c r="AH2433">
        <v>33.630000000000003</v>
      </c>
    </row>
    <row r="2434" spans="1:34" x14ac:dyDescent="0.3">
      <c r="A2434" s="4">
        <v>2550</v>
      </c>
      <c r="B2434" s="5">
        <v>2427</v>
      </c>
      <c r="C2434">
        <v>4988</v>
      </c>
      <c r="D2434" t="s">
        <v>22489</v>
      </c>
      <c r="E2434" t="s">
        <v>97</v>
      </c>
      <c r="F2434" t="s">
        <v>17803</v>
      </c>
      <c r="G2434" t="s">
        <v>22490</v>
      </c>
      <c r="H2434">
        <v>22.63</v>
      </c>
      <c r="I2434">
        <v>0</v>
      </c>
      <c r="J2434">
        <v>0</v>
      </c>
      <c r="K2434">
        <v>0</v>
      </c>
      <c r="L2434">
        <v>7</v>
      </c>
      <c r="O2434">
        <v>7</v>
      </c>
      <c r="P2434">
        <v>4</v>
      </c>
      <c r="Q2434">
        <v>0</v>
      </c>
      <c r="R2434">
        <v>33.630000000000003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H2434">
        <v>33.630000000000003</v>
      </c>
    </row>
    <row r="2435" spans="1:34" x14ac:dyDescent="0.3">
      <c r="A2435" s="4">
        <v>2551</v>
      </c>
      <c r="B2435" s="5">
        <v>2428</v>
      </c>
      <c r="C2435">
        <v>366</v>
      </c>
      <c r="D2435" t="s">
        <v>16392</v>
      </c>
      <c r="E2435" t="s">
        <v>100</v>
      </c>
      <c r="F2435" t="s">
        <v>81</v>
      </c>
      <c r="G2435" t="s">
        <v>22491</v>
      </c>
      <c r="H2435">
        <v>19.63</v>
      </c>
      <c r="I2435">
        <v>0</v>
      </c>
      <c r="J2435">
        <v>0</v>
      </c>
      <c r="K2435">
        <v>0</v>
      </c>
      <c r="L2435">
        <v>7</v>
      </c>
      <c r="N2435">
        <v>3</v>
      </c>
      <c r="O2435">
        <v>10</v>
      </c>
      <c r="P2435">
        <v>4</v>
      </c>
      <c r="Q2435">
        <v>0</v>
      </c>
      <c r="R2435">
        <v>33.630000000000003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H2435">
        <v>33.630000000000003</v>
      </c>
    </row>
    <row r="2436" spans="1:34" x14ac:dyDescent="0.3">
      <c r="A2436" s="4">
        <v>2552</v>
      </c>
      <c r="B2436" s="5">
        <v>2429</v>
      </c>
      <c r="C2436">
        <v>5583</v>
      </c>
      <c r="D2436" t="s">
        <v>22492</v>
      </c>
      <c r="E2436" t="s">
        <v>41</v>
      </c>
      <c r="F2436" t="s">
        <v>30</v>
      </c>
      <c r="G2436" t="s">
        <v>22493</v>
      </c>
      <c r="H2436">
        <v>17.600000000000001</v>
      </c>
      <c r="I2436">
        <v>0</v>
      </c>
      <c r="J2436">
        <v>0</v>
      </c>
      <c r="K2436">
        <v>0</v>
      </c>
      <c r="N2436">
        <v>3</v>
      </c>
      <c r="O2436">
        <v>3</v>
      </c>
      <c r="P2436">
        <v>4</v>
      </c>
      <c r="Q2436">
        <v>0</v>
      </c>
      <c r="R2436">
        <v>24.6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9</v>
      </c>
      <c r="AC2436">
        <v>0</v>
      </c>
      <c r="AH2436">
        <v>33.6</v>
      </c>
    </row>
    <row r="2437" spans="1:34" x14ac:dyDescent="0.3">
      <c r="A2437" s="4">
        <v>2553</v>
      </c>
      <c r="B2437" s="5">
        <v>2430</v>
      </c>
      <c r="C2437">
        <v>4604</v>
      </c>
      <c r="D2437" t="s">
        <v>22494</v>
      </c>
      <c r="E2437" t="s">
        <v>132</v>
      </c>
      <c r="F2437" t="s">
        <v>38</v>
      </c>
      <c r="G2437" t="s">
        <v>22495</v>
      </c>
      <c r="H2437">
        <v>20.6</v>
      </c>
      <c r="I2437">
        <v>0</v>
      </c>
      <c r="J2437">
        <v>0</v>
      </c>
      <c r="K2437">
        <v>0</v>
      </c>
      <c r="N2437">
        <v>3</v>
      </c>
      <c r="O2437">
        <v>3</v>
      </c>
      <c r="P2437">
        <v>4</v>
      </c>
      <c r="Q2437">
        <v>0</v>
      </c>
      <c r="R2437">
        <v>27.6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6</v>
      </c>
      <c r="AC2437">
        <v>0</v>
      </c>
      <c r="AH2437">
        <v>33.6</v>
      </c>
    </row>
    <row r="2438" spans="1:34" x14ac:dyDescent="0.3">
      <c r="A2438" s="4">
        <v>2554</v>
      </c>
      <c r="B2438" s="5">
        <v>2431</v>
      </c>
      <c r="C2438">
        <v>1434</v>
      </c>
      <c r="D2438" t="s">
        <v>8524</v>
      </c>
      <c r="E2438" t="s">
        <v>20</v>
      </c>
      <c r="F2438" t="s">
        <v>62</v>
      </c>
      <c r="G2438" t="s">
        <v>22496</v>
      </c>
      <c r="H2438">
        <v>16.600000000000001</v>
      </c>
      <c r="I2438">
        <v>0</v>
      </c>
      <c r="J2438">
        <v>0</v>
      </c>
      <c r="K2438">
        <v>0</v>
      </c>
      <c r="L2438">
        <v>7</v>
      </c>
      <c r="O2438">
        <v>7</v>
      </c>
      <c r="P2438">
        <v>4</v>
      </c>
      <c r="Q2438">
        <v>0</v>
      </c>
      <c r="R2438">
        <v>27.6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6</v>
      </c>
      <c r="AC2438">
        <v>0</v>
      </c>
      <c r="AH2438">
        <v>33.6</v>
      </c>
    </row>
    <row r="2439" spans="1:34" x14ac:dyDescent="0.3">
      <c r="A2439" s="4">
        <v>2555</v>
      </c>
      <c r="B2439" s="5">
        <v>2432</v>
      </c>
      <c r="C2439">
        <v>8002</v>
      </c>
      <c r="D2439" t="s">
        <v>22497</v>
      </c>
      <c r="E2439" t="s">
        <v>967</v>
      </c>
      <c r="F2439" t="s">
        <v>158</v>
      </c>
      <c r="G2439" t="s">
        <v>22498</v>
      </c>
      <c r="H2439">
        <v>20.55</v>
      </c>
      <c r="I2439">
        <v>0</v>
      </c>
      <c r="J2439">
        <v>0</v>
      </c>
      <c r="K2439">
        <v>0</v>
      </c>
      <c r="N2439">
        <v>3</v>
      </c>
      <c r="O2439">
        <v>3</v>
      </c>
      <c r="P2439">
        <v>4</v>
      </c>
      <c r="Q2439">
        <v>0</v>
      </c>
      <c r="R2439">
        <v>27.55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6</v>
      </c>
      <c r="AC2439">
        <v>0</v>
      </c>
      <c r="AH2439">
        <v>33.549999999999997</v>
      </c>
    </row>
    <row r="2440" spans="1:34" x14ac:dyDescent="0.3">
      <c r="A2440" s="4">
        <v>2556</v>
      </c>
      <c r="B2440" s="5">
        <v>2433</v>
      </c>
      <c r="C2440">
        <v>6493</v>
      </c>
      <c r="D2440" t="s">
        <v>20600</v>
      </c>
      <c r="E2440" t="s">
        <v>967</v>
      </c>
      <c r="F2440" t="s">
        <v>62</v>
      </c>
      <c r="G2440" t="s">
        <v>22499</v>
      </c>
      <c r="H2440">
        <v>20.55</v>
      </c>
      <c r="I2440">
        <v>0</v>
      </c>
      <c r="J2440">
        <v>0</v>
      </c>
      <c r="K2440">
        <v>0</v>
      </c>
      <c r="N2440">
        <v>3</v>
      </c>
      <c r="O2440">
        <v>3</v>
      </c>
      <c r="P2440">
        <v>4</v>
      </c>
      <c r="Q2440">
        <v>0</v>
      </c>
      <c r="R2440">
        <v>27.55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6</v>
      </c>
      <c r="AC2440">
        <v>0</v>
      </c>
      <c r="AH2440">
        <v>33.549999999999997</v>
      </c>
    </row>
    <row r="2441" spans="1:34" x14ac:dyDescent="0.3">
      <c r="A2441" s="4">
        <v>2557</v>
      </c>
      <c r="B2441" s="5">
        <v>2434</v>
      </c>
      <c r="C2441">
        <v>6639</v>
      </c>
      <c r="D2441" t="s">
        <v>22500</v>
      </c>
      <c r="E2441" t="s">
        <v>697</v>
      </c>
      <c r="F2441" t="s">
        <v>22501</v>
      </c>
      <c r="G2441" t="s">
        <v>22502</v>
      </c>
      <c r="H2441">
        <v>17.53</v>
      </c>
      <c r="I2441">
        <v>0</v>
      </c>
      <c r="J2441">
        <v>0</v>
      </c>
      <c r="K2441">
        <v>0</v>
      </c>
      <c r="L2441">
        <v>7</v>
      </c>
      <c r="N2441">
        <v>3</v>
      </c>
      <c r="O2441">
        <v>10</v>
      </c>
      <c r="P2441">
        <v>4</v>
      </c>
      <c r="Q2441">
        <v>2</v>
      </c>
      <c r="R2441">
        <v>33.53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H2441">
        <v>33.53</v>
      </c>
    </row>
    <row r="2442" spans="1:34" x14ac:dyDescent="0.3">
      <c r="A2442" s="4">
        <v>2558</v>
      </c>
      <c r="B2442" s="5">
        <v>2435</v>
      </c>
      <c r="C2442">
        <v>11235</v>
      </c>
      <c r="D2442" t="s">
        <v>22503</v>
      </c>
      <c r="E2442" t="s">
        <v>110</v>
      </c>
      <c r="F2442" t="s">
        <v>416</v>
      </c>
      <c r="G2442" t="s">
        <v>22504</v>
      </c>
      <c r="H2442">
        <v>17.5</v>
      </c>
      <c r="I2442">
        <v>0</v>
      </c>
      <c r="J2442">
        <v>0</v>
      </c>
      <c r="K2442">
        <v>0</v>
      </c>
      <c r="N2442">
        <v>3</v>
      </c>
      <c r="O2442">
        <v>3</v>
      </c>
      <c r="P2442">
        <v>4</v>
      </c>
      <c r="Q2442">
        <v>0</v>
      </c>
      <c r="R2442">
        <v>24.5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9</v>
      </c>
      <c r="AC2442">
        <v>0</v>
      </c>
      <c r="AH2442">
        <v>33.5</v>
      </c>
    </row>
    <row r="2443" spans="1:34" x14ac:dyDescent="0.3">
      <c r="A2443" s="4">
        <v>2559</v>
      </c>
      <c r="B2443" s="5">
        <v>2436</v>
      </c>
      <c r="C2443">
        <v>13422</v>
      </c>
      <c r="D2443" t="s">
        <v>22505</v>
      </c>
      <c r="E2443" t="s">
        <v>283</v>
      </c>
      <c r="F2443" t="s">
        <v>190</v>
      </c>
      <c r="G2443" t="s">
        <v>22506</v>
      </c>
      <c r="H2443">
        <v>20.5</v>
      </c>
      <c r="I2443">
        <v>0</v>
      </c>
      <c r="J2443">
        <v>0</v>
      </c>
      <c r="K2443">
        <v>0</v>
      </c>
      <c r="N2443">
        <v>3</v>
      </c>
      <c r="O2443">
        <v>3</v>
      </c>
      <c r="P2443">
        <v>4</v>
      </c>
      <c r="Q2443">
        <v>0</v>
      </c>
      <c r="R2443">
        <v>27.5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6</v>
      </c>
      <c r="AC2443">
        <v>0</v>
      </c>
      <c r="AH2443">
        <v>33.5</v>
      </c>
    </row>
    <row r="2444" spans="1:34" x14ac:dyDescent="0.3">
      <c r="A2444" s="4">
        <v>2560</v>
      </c>
      <c r="B2444" s="5">
        <v>2437</v>
      </c>
      <c r="C2444">
        <v>758</v>
      </c>
      <c r="D2444" t="s">
        <v>784</v>
      </c>
      <c r="E2444" t="s">
        <v>1189</v>
      </c>
      <c r="F2444" t="s">
        <v>243</v>
      </c>
      <c r="G2444" t="s">
        <v>22507</v>
      </c>
      <c r="H2444">
        <v>18.5</v>
      </c>
      <c r="I2444">
        <v>0</v>
      </c>
      <c r="J2444">
        <v>0</v>
      </c>
      <c r="K2444">
        <v>0</v>
      </c>
      <c r="N2444">
        <v>3</v>
      </c>
      <c r="O2444">
        <v>3</v>
      </c>
      <c r="P2444">
        <v>4</v>
      </c>
      <c r="Q2444">
        <v>2</v>
      </c>
      <c r="R2444">
        <v>27.5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6</v>
      </c>
      <c r="AC2444">
        <v>0</v>
      </c>
      <c r="AH2444">
        <v>33.5</v>
      </c>
    </row>
    <row r="2445" spans="1:34" x14ac:dyDescent="0.3">
      <c r="A2445" s="4">
        <v>2561</v>
      </c>
      <c r="B2445" s="5">
        <v>2438</v>
      </c>
      <c r="C2445">
        <v>1527</v>
      </c>
      <c r="D2445" t="s">
        <v>22508</v>
      </c>
      <c r="E2445" t="s">
        <v>3680</v>
      </c>
      <c r="F2445" t="s">
        <v>17</v>
      </c>
      <c r="G2445" t="s">
        <v>22509</v>
      </c>
      <c r="H2445">
        <v>22.5</v>
      </c>
      <c r="I2445">
        <v>0</v>
      </c>
      <c r="J2445">
        <v>0</v>
      </c>
      <c r="K2445">
        <v>0</v>
      </c>
      <c r="L2445">
        <v>7</v>
      </c>
      <c r="O2445">
        <v>7</v>
      </c>
      <c r="P2445">
        <v>4</v>
      </c>
      <c r="Q2445">
        <v>0</v>
      </c>
      <c r="R2445">
        <v>33.5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 t="s">
        <v>130</v>
      </c>
      <c r="AH2445">
        <v>33.5</v>
      </c>
    </row>
    <row r="2446" spans="1:34" x14ac:dyDescent="0.3">
      <c r="A2446" s="4">
        <v>2562</v>
      </c>
      <c r="B2446" s="5">
        <v>2439</v>
      </c>
      <c r="C2446">
        <v>8267</v>
      </c>
      <c r="D2446" t="s">
        <v>4615</v>
      </c>
      <c r="E2446" t="s">
        <v>110</v>
      </c>
      <c r="F2446" t="s">
        <v>62</v>
      </c>
      <c r="G2446" t="s">
        <v>22510</v>
      </c>
      <c r="H2446">
        <v>21.48</v>
      </c>
      <c r="I2446">
        <v>0</v>
      </c>
      <c r="J2446">
        <v>0</v>
      </c>
      <c r="K2446">
        <v>0</v>
      </c>
      <c r="O2446">
        <v>0</v>
      </c>
      <c r="P2446">
        <v>4</v>
      </c>
      <c r="Q2446">
        <v>2</v>
      </c>
      <c r="R2446">
        <v>27.48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6</v>
      </c>
      <c r="AC2446">
        <v>0</v>
      </c>
      <c r="AH2446">
        <v>33.479999999999997</v>
      </c>
    </row>
    <row r="2447" spans="1:34" x14ac:dyDescent="0.3">
      <c r="A2447" s="4">
        <v>2563</v>
      </c>
      <c r="B2447" s="5">
        <v>2440</v>
      </c>
      <c r="C2447">
        <v>594</v>
      </c>
      <c r="D2447" t="s">
        <v>22511</v>
      </c>
      <c r="E2447" t="s">
        <v>29</v>
      </c>
      <c r="F2447" t="s">
        <v>570</v>
      </c>
      <c r="G2447" t="s">
        <v>22512</v>
      </c>
      <c r="H2447">
        <v>22.48</v>
      </c>
      <c r="I2447">
        <v>0</v>
      </c>
      <c r="J2447">
        <v>0</v>
      </c>
      <c r="K2447">
        <v>0</v>
      </c>
      <c r="L2447">
        <v>7</v>
      </c>
      <c r="O2447">
        <v>7</v>
      </c>
      <c r="P2447">
        <v>4</v>
      </c>
      <c r="Q2447">
        <v>0</v>
      </c>
      <c r="R2447">
        <v>33.479999999999997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H2447">
        <v>33.479999999999997</v>
      </c>
    </row>
    <row r="2448" spans="1:34" x14ac:dyDescent="0.3">
      <c r="A2448" s="4">
        <v>2564</v>
      </c>
      <c r="B2448" s="5">
        <v>2441</v>
      </c>
      <c r="C2448">
        <v>2256</v>
      </c>
      <c r="D2448" t="s">
        <v>21636</v>
      </c>
      <c r="E2448" t="s">
        <v>54</v>
      </c>
      <c r="F2448" t="s">
        <v>20</v>
      </c>
      <c r="G2448" t="s">
        <v>22513</v>
      </c>
      <c r="H2448">
        <v>22.48</v>
      </c>
      <c r="I2448">
        <v>0</v>
      </c>
      <c r="J2448">
        <v>0</v>
      </c>
      <c r="K2448">
        <v>0</v>
      </c>
      <c r="L2448">
        <v>7</v>
      </c>
      <c r="O2448">
        <v>7</v>
      </c>
      <c r="P2448">
        <v>4</v>
      </c>
      <c r="Q2448">
        <v>0</v>
      </c>
      <c r="R2448">
        <v>33.479999999999997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H2448">
        <v>33.479999999999997</v>
      </c>
    </row>
    <row r="2449" spans="1:34" x14ac:dyDescent="0.3">
      <c r="A2449" s="4">
        <v>2565</v>
      </c>
      <c r="B2449" s="5">
        <v>2442</v>
      </c>
      <c r="C2449">
        <v>2599</v>
      </c>
      <c r="D2449" t="s">
        <v>93</v>
      </c>
      <c r="E2449" t="s">
        <v>29</v>
      </c>
      <c r="F2449" t="s">
        <v>17</v>
      </c>
      <c r="G2449" t="s">
        <v>22514</v>
      </c>
      <c r="H2449">
        <v>18.48</v>
      </c>
      <c r="I2449">
        <v>0</v>
      </c>
      <c r="J2449">
        <v>0</v>
      </c>
      <c r="K2449">
        <v>0</v>
      </c>
      <c r="N2449">
        <v>3</v>
      </c>
      <c r="O2449">
        <v>3</v>
      </c>
      <c r="P2449">
        <v>4</v>
      </c>
      <c r="Q2449">
        <v>0</v>
      </c>
      <c r="R2449">
        <v>25.48</v>
      </c>
      <c r="S2449">
        <v>8</v>
      </c>
      <c r="T2449">
        <v>8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8</v>
      </c>
      <c r="AB2449">
        <v>0</v>
      </c>
      <c r="AC2449">
        <v>0</v>
      </c>
      <c r="AH2449">
        <v>33.479999999999997</v>
      </c>
    </row>
    <row r="2450" spans="1:34" x14ac:dyDescent="0.3">
      <c r="A2450" s="4">
        <v>2566</v>
      </c>
      <c r="B2450" s="5">
        <v>2443</v>
      </c>
      <c r="C2450">
        <v>195</v>
      </c>
      <c r="D2450" t="s">
        <v>22515</v>
      </c>
      <c r="E2450" t="s">
        <v>29</v>
      </c>
      <c r="F2450" t="s">
        <v>6108</v>
      </c>
      <c r="G2450" t="s">
        <v>22516</v>
      </c>
      <c r="H2450">
        <v>18.45</v>
      </c>
      <c r="I2450">
        <v>0</v>
      </c>
      <c r="J2450">
        <v>0</v>
      </c>
      <c r="K2450">
        <v>0</v>
      </c>
      <c r="N2450">
        <v>3</v>
      </c>
      <c r="O2450">
        <v>3</v>
      </c>
      <c r="P2450">
        <v>4</v>
      </c>
      <c r="Q2450">
        <v>2</v>
      </c>
      <c r="R2450">
        <v>27.45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6</v>
      </c>
      <c r="AC2450">
        <v>0</v>
      </c>
      <c r="AH2450">
        <v>33.450000000000003</v>
      </c>
    </row>
    <row r="2451" spans="1:34" x14ac:dyDescent="0.3">
      <c r="A2451" s="4">
        <v>2567</v>
      </c>
      <c r="B2451" s="5">
        <v>2444</v>
      </c>
      <c r="C2451">
        <v>7886</v>
      </c>
      <c r="D2451" t="s">
        <v>22517</v>
      </c>
      <c r="E2451" t="s">
        <v>2386</v>
      </c>
      <c r="F2451" t="s">
        <v>2598</v>
      </c>
      <c r="G2451" t="s">
        <v>22518</v>
      </c>
      <c r="H2451">
        <v>18.45</v>
      </c>
      <c r="I2451">
        <v>0</v>
      </c>
      <c r="J2451">
        <v>0</v>
      </c>
      <c r="K2451">
        <v>0</v>
      </c>
      <c r="N2451">
        <v>3</v>
      </c>
      <c r="O2451">
        <v>3</v>
      </c>
      <c r="P2451">
        <v>4</v>
      </c>
      <c r="Q2451">
        <v>2</v>
      </c>
      <c r="R2451">
        <v>27.45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6</v>
      </c>
      <c r="AC2451">
        <v>0</v>
      </c>
      <c r="AH2451">
        <v>33.450000000000003</v>
      </c>
    </row>
    <row r="2452" spans="1:34" x14ac:dyDescent="0.3">
      <c r="A2452" s="4">
        <v>2568</v>
      </c>
      <c r="B2452" s="5">
        <v>2445</v>
      </c>
      <c r="C2452">
        <v>6719</v>
      </c>
      <c r="D2452" t="s">
        <v>4841</v>
      </c>
      <c r="E2452" t="s">
        <v>372</v>
      </c>
      <c r="F2452" t="s">
        <v>30</v>
      </c>
      <c r="G2452" t="s">
        <v>22519</v>
      </c>
      <c r="H2452">
        <v>20.43</v>
      </c>
      <c r="I2452">
        <v>0</v>
      </c>
      <c r="J2452">
        <v>0</v>
      </c>
      <c r="K2452">
        <v>0</v>
      </c>
      <c r="N2452">
        <v>3</v>
      </c>
      <c r="O2452">
        <v>3</v>
      </c>
      <c r="P2452">
        <v>4</v>
      </c>
      <c r="Q2452">
        <v>0</v>
      </c>
      <c r="R2452">
        <v>27.43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6</v>
      </c>
      <c r="AC2452">
        <v>0</v>
      </c>
      <c r="AH2452">
        <v>33.43</v>
      </c>
    </row>
    <row r="2453" spans="1:34" x14ac:dyDescent="0.3">
      <c r="A2453" s="4">
        <v>2569</v>
      </c>
      <c r="B2453" s="5">
        <v>2446</v>
      </c>
      <c r="C2453">
        <v>3956</v>
      </c>
      <c r="D2453" t="s">
        <v>22520</v>
      </c>
      <c r="E2453" t="s">
        <v>439</v>
      </c>
      <c r="F2453" t="s">
        <v>124</v>
      </c>
      <c r="G2453" t="s">
        <v>22521</v>
      </c>
      <c r="H2453">
        <v>18.43</v>
      </c>
      <c r="I2453">
        <v>0</v>
      </c>
      <c r="J2453">
        <v>0</v>
      </c>
      <c r="K2453">
        <v>0</v>
      </c>
      <c r="N2453">
        <v>3</v>
      </c>
      <c r="O2453">
        <v>3</v>
      </c>
      <c r="P2453">
        <v>4</v>
      </c>
      <c r="Q2453">
        <v>2</v>
      </c>
      <c r="R2453">
        <v>27.43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6</v>
      </c>
      <c r="AC2453">
        <v>0</v>
      </c>
      <c r="AH2453">
        <v>33.43</v>
      </c>
    </row>
    <row r="2454" spans="1:34" x14ac:dyDescent="0.3">
      <c r="A2454" s="4">
        <v>2570</v>
      </c>
      <c r="B2454" s="5">
        <v>2447</v>
      </c>
      <c r="C2454">
        <v>15408</v>
      </c>
      <c r="D2454" t="s">
        <v>22522</v>
      </c>
      <c r="E2454" t="s">
        <v>29</v>
      </c>
      <c r="F2454" t="s">
        <v>38</v>
      </c>
      <c r="G2454" t="s">
        <v>22523</v>
      </c>
      <c r="H2454">
        <v>19.43</v>
      </c>
      <c r="I2454">
        <v>0</v>
      </c>
      <c r="J2454">
        <v>0</v>
      </c>
      <c r="K2454">
        <v>0</v>
      </c>
      <c r="L2454">
        <v>7</v>
      </c>
      <c r="N2454">
        <v>3</v>
      </c>
      <c r="O2454">
        <v>10</v>
      </c>
      <c r="P2454">
        <v>4</v>
      </c>
      <c r="Q2454">
        <v>0</v>
      </c>
      <c r="R2454">
        <v>33.43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H2454">
        <v>33.43</v>
      </c>
    </row>
    <row r="2455" spans="1:34" x14ac:dyDescent="0.3">
      <c r="A2455" s="4">
        <v>2571</v>
      </c>
      <c r="B2455" s="5">
        <v>2448</v>
      </c>
      <c r="C2455">
        <v>8519</v>
      </c>
      <c r="D2455" t="s">
        <v>22524</v>
      </c>
      <c r="E2455" t="s">
        <v>182</v>
      </c>
      <c r="F2455" t="s">
        <v>136</v>
      </c>
      <c r="G2455" t="s">
        <v>22525</v>
      </c>
      <c r="H2455">
        <v>19.43</v>
      </c>
      <c r="I2455">
        <v>0</v>
      </c>
      <c r="J2455">
        <v>0</v>
      </c>
      <c r="K2455">
        <v>0</v>
      </c>
      <c r="L2455">
        <v>7</v>
      </c>
      <c r="N2455">
        <v>3</v>
      </c>
      <c r="O2455">
        <v>10</v>
      </c>
      <c r="P2455">
        <v>4</v>
      </c>
      <c r="Q2455">
        <v>0</v>
      </c>
      <c r="R2455">
        <v>33.43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H2455">
        <v>33.43</v>
      </c>
    </row>
    <row r="2456" spans="1:34" x14ac:dyDescent="0.3">
      <c r="A2456" s="4">
        <v>2572</v>
      </c>
      <c r="B2456" s="5">
        <v>2449</v>
      </c>
      <c r="C2456">
        <v>13126</v>
      </c>
      <c r="D2456" t="s">
        <v>22526</v>
      </c>
      <c r="E2456" t="s">
        <v>17</v>
      </c>
      <c r="F2456" t="s">
        <v>34</v>
      </c>
      <c r="G2456" t="s">
        <v>22527</v>
      </c>
      <c r="H2456">
        <v>17.399999999999999</v>
      </c>
      <c r="I2456">
        <v>0</v>
      </c>
      <c r="J2456">
        <v>0</v>
      </c>
      <c r="K2456">
        <v>0</v>
      </c>
      <c r="N2456">
        <v>3</v>
      </c>
      <c r="O2456">
        <v>3</v>
      </c>
      <c r="P2456">
        <v>4</v>
      </c>
      <c r="Q2456">
        <v>0</v>
      </c>
      <c r="R2456">
        <v>24.4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9</v>
      </c>
      <c r="AC2456">
        <v>0</v>
      </c>
      <c r="AH2456">
        <v>33.4</v>
      </c>
    </row>
    <row r="2457" spans="1:34" x14ac:dyDescent="0.3">
      <c r="A2457" s="4">
        <v>2573</v>
      </c>
      <c r="B2457" s="5">
        <v>2450</v>
      </c>
      <c r="C2457">
        <v>1152</v>
      </c>
      <c r="D2457" t="s">
        <v>15589</v>
      </c>
      <c r="E2457" t="s">
        <v>1652</v>
      </c>
      <c r="F2457" t="s">
        <v>343</v>
      </c>
      <c r="G2457" t="s">
        <v>22528</v>
      </c>
      <c r="H2457">
        <v>22.4</v>
      </c>
      <c r="I2457">
        <v>0</v>
      </c>
      <c r="J2457">
        <v>0</v>
      </c>
      <c r="K2457">
        <v>0</v>
      </c>
      <c r="L2457">
        <v>7</v>
      </c>
      <c r="O2457">
        <v>7</v>
      </c>
      <c r="P2457">
        <v>4</v>
      </c>
      <c r="Q2457">
        <v>0</v>
      </c>
      <c r="R2457">
        <v>33.4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H2457">
        <v>33.4</v>
      </c>
    </row>
    <row r="2458" spans="1:34" x14ac:dyDescent="0.3">
      <c r="A2458" s="4">
        <v>2574</v>
      </c>
      <c r="B2458" s="5">
        <v>2451</v>
      </c>
      <c r="C2458">
        <v>9251</v>
      </c>
      <c r="D2458" t="s">
        <v>7064</v>
      </c>
      <c r="E2458" t="s">
        <v>1542</v>
      </c>
      <c r="F2458" t="s">
        <v>167</v>
      </c>
      <c r="G2458" t="s">
        <v>22529</v>
      </c>
      <c r="H2458">
        <v>16.399999999999999</v>
      </c>
      <c r="I2458">
        <v>0</v>
      </c>
      <c r="J2458">
        <v>0</v>
      </c>
      <c r="K2458">
        <v>0</v>
      </c>
      <c r="N2458">
        <v>3</v>
      </c>
      <c r="O2458">
        <v>3</v>
      </c>
      <c r="P2458">
        <v>4</v>
      </c>
      <c r="Q2458">
        <v>2</v>
      </c>
      <c r="R2458">
        <v>25.4</v>
      </c>
      <c r="S2458">
        <v>8</v>
      </c>
      <c r="T2458">
        <v>8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8</v>
      </c>
      <c r="AB2458">
        <v>0</v>
      </c>
      <c r="AC2458">
        <v>0</v>
      </c>
      <c r="AD2458" t="s">
        <v>130</v>
      </c>
      <c r="AH2458">
        <v>33.4</v>
      </c>
    </row>
    <row r="2459" spans="1:34" x14ac:dyDescent="0.3">
      <c r="A2459" s="4">
        <v>2575</v>
      </c>
      <c r="B2459" s="5">
        <v>2452</v>
      </c>
      <c r="C2459">
        <v>10655</v>
      </c>
      <c r="D2459" t="s">
        <v>4051</v>
      </c>
      <c r="E2459" t="s">
        <v>161</v>
      </c>
      <c r="F2459" t="s">
        <v>570</v>
      </c>
      <c r="G2459" t="s">
        <v>22530</v>
      </c>
      <c r="H2459">
        <v>20.38</v>
      </c>
      <c r="I2459">
        <v>0</v>
      </c>
      <c r="J2459">
        <v>0</v>
      </c>
      <c r="K2459">
        <v>0</v>
      </c>
      <c r="L2459">
        <v>7</v>
      </c>
      <c r="O2459">
        <v>7</v>
      </c>
      <c r="P2459">
        <v>4</v>
      </c>
      <c r="Q2459">
        <v>2</v>
      </c>
      <c r="R2459">
        <v>33.380000000000003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H2459">
        <v>33.380000000000003</v>
      </c>
    </row>
    <row r="2460" spans="1:34" x14ac:dyDescent="0.3">
      <c r="A2460" s="4">
        <v>2576</v>
      </c>
      <c r="B2460" s="5">
        <v>2453</v>
      </c>
      <c r="C2460">
        <v>4087</v>
      </c>
      <c r="D2460" t="s">
        <v>8843</v>
      </c>
      <c r="E2460" t="s">
        <v>97</v>
      </c>
      <c r="F2460" t="s">
        <v>587</v>
      </c>
      <c r="G2460" t="s">
        <v>22531</v>
      </c>
      <c r="H2460">
        <v>20.38</v>
      </c>
      <c r="I2460">
        <v>0</v>
      </c>
      <c r="J2460">
        <v>0</v>
      </c>
      <c r="K2460">
        <v>0</v>
      </c>
      <c r="L2460">
        <v>7</v>
      </c>
      <c r="O2460">
        <v>7</v>
      </c>
      <c r="P2460">
        <v>4</v>
      </c>
      <c r="Q2460">
        <v>2</v>
      </c>
      <c r="R2460">
        <v>33.380000000000003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H2460">
        <v>33.380000000000003</v>
      </c>
    </row>
    <row r="2461" spans="1:34" x14ac:dyDescent="0.3">
      <c r="A2461" s="4">
        <v>2577</v>
      </c>
      <c r="B2461" s="5">
        <v>2454</v>
      </c>
      <c r="C2461">
        <v>10215</v>
      </c>
      <c r="D2461" t="s">
        <v>2115</v>
      </c>
      <c r="E2461" t="s">
        <v>406</v>
      </c>
      <c r="F2461" t="s">
        <v>3094</v>
      </c>
      <c r="G2461" t="s">
        <v>22532</v>
      </c>
      <c r="H2461">
        <v>20.329999999999998</v>
      </c>
      <c r="I2461">
        <v>0</v>
      </c>
      <c r="J2461">
        <v>0</v>
      </c>
      <c r="K2461">
        <v>0</v>
      </c>
      <c r="O2461">
        <v>0</v>
      </c>
      <c r="P2461">
        <v>4</v>
      </c>
      <c r="Q2461">
        <v>0</v>
      </c>
      <c r="R2461">
        <v>24.33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9</v>
      </c>
      <c r="AC2461">
        <v>0</v>
      </c>
      <c r="AH2461">
        <v>33.33</v>
      </c>
    </row>
    <row r="2462" spans="1:34" x14ac:dyDescent="0.3">
      <c r="A2462" s="4">
        <v>2578</v>
      </c>
      <c r="B2462" s="5">
        <v>2455</v>
      </c>
      <c r="C2462">
        <v>4378</v>
      </c>
      <c r="D2462" t="s">
        <v>22533</v>
      </c>
      <c r="E2462" t="s">
        <v>19</v>
      </c>
      <c r="F2462" t="s">
        <v>17</v>
      </c>
      <c r="G2462" t="s">
        <v>22534</v>
      </c>
      <c r="H2462">
        <v>19.329999999999998</v>
      </c>
      <c r="I2462">
        <v>0</v>
      </c>
      <c r="J2462">
        <v>0</v>
      </c>
      <c r="K2462">
        <v>0</v>
      </c>
      <c r="L2462">
        <v>7</v>
      </c>
      <c r="O2462">
        <v>7</v>
      </c>
      <c r="P2462">
        <v>4</v>
      </c>
      <c r="Q2462">
        <v>0</v>
      </c>
      <c r="R2462">
        <v>30.33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3</v>
      </c>
      <c r="AC2462">
        <v>0</v>
      </c>
      <c r="AH2462">
        <v>33.33</v>
      </c>
    </row>
    <row r="2463" spans="1:34" x14ac:dyDescent="0.3">
      <c r="A2463" s="4">
        <v>2579</v>
      </c>
      <c r="B2463" s="5">
        <v>2456</v>
      </c>
      <c r="C2463">
        <v>1836</v>
      </c>
      <c r="D2463" t="s">
        <v>2865</v>
      </c>
      <c r="E2463" t="s">
        <v>110</v>
      </c>
      <c r="F2463" t="s">
        <v>17</v>
      </c>
      <c r="G2463" t="s">
        <v>22535</v>
      </c>
      <c r="H2463">
        <v>19.329999999999998</v>
      </c>
      <c r="I2463">
        <v>0</v>
      </c>
      <c r="J2463">
        <v>0</v>
      </c>
      <c r="K2463">
        <v>0</v>
      </c>
      <c r="L2463">
        <v>7</v>
      </c>
      <c r="N2463">
        <v>3</v>
      </c>
      <c r="O2463">
        <v>10</v>
      </c>
      <c r="P2463">
        <v>4</v>
      </c>
      <c r="Q2463">
        <v>0</v>
      </c>
      <c r="R2463">
        <v>33.33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H2463">
        <v>33.33</v>
      </c>
    </row>
    <row r="2464" spans="1:34" x14ac:dyDescent="0.3">
      <c r="A2464" s="4">
        <v>2580</v>
      </c>
      <c r="B2464" s="5">
        <v>2457</v>
      </c>
      <c r="C2464">
        <v>14762</v>
      </c>
      <c r="D2464" t="s">
        <v>21520</v>
      </c>
      <c r="E2464" t="s">
        <v>29</v>
      </c>
      <c r="F2464" t="s">
        <v>17</v>
      </c>
      <c r="G2464" t="s">
        <v>22536</v>
      </c>
      <c r="H2464">
        <v>19.329999999999998</v>
      </c>
      <c r="I2464">
        <v>0</v>
      </c>
      <c r="J2464">
        <v>0</v>
      </c>
      <c r="K2464">
        <v>0</v>
      </c>
      <c r="L2464">
        <v>7</v>
      </c>
      <c r="N2464">
        <v>3</v>
      </c>
      <c r="O2464">
        <v>10</v>
      </c>
      <c r="P2464">
        <v>4</v>
      </c>
      <c r="Q2464">
        <v>0</v>
      </c>
      <c r="R2464">
        <v>33.33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H2464">
        <v>33.33</v>
      </c>
    </row>
    <row r="2465" spans="1:34" x14ac:dyDescent="0.3">
      <c r="A2465" s="4">
        <v>2581</v>
      </c>
      <c r="B2465" s="5">
        <v>2458</v>
      </c>
      <c r="C2465">
        <v>12100</v>
      </c>
      <c r="D2465" t="s">
        <v>22537</v>
      </c>
      <c r="E2465" t="s">
        <v>161</v>
      </c>
      <c r="F2465" t="s">
        <v>38</v>
      </c>
      <c r="G2465" t="s">
        <v>22538</v>
      </c>
      <c r="H2465">
        <v>20.3</v>
      </c>
      <c r="I2465">
        <v>0</v>
      </c>
      <c r="J2465">
        <v>0</v>
      </c>
      <c r="K2465">
        <v>0</v>
      </c>
      <c r="L2465">
        <v>7</v>
      </c>
      <c r="O2465">
        <v>7</v>
      </c>
      <c r="P2465">
        <v>4</v>
      </c>
      <c r="Q2465">
        <v>2</v>
      </c>
      <c r="R2465">
        <v>33.299999999999997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H2465">
        <v>33.299999999999997</v>
      </c>
    </row>
    <row r="2466" spans="1:34" x14ac:dyDescent="0.3">
      <c r="A2466" s="4">
        <v>2582</v>
      </c>
      <c r="B2466" s="5">
        <v>2459</v>
      </c>
      <c r="C2466">
        <v>12129</v>
      </c>
      <c r="D2466" t="s">
        <v>22539</v>
      </c>
      <c r="E2466" t="s">
        <v>697</v>
      </c>
      <c r="F2466" t="s">
        <v>124</v>
      </c>
      <c r="G2466" t="s">
        <v>22540</v>
      </c>
      <c r="H2466">
        <v>19.28</v>
      </c>
      <c r="I2466">
        <v>0</v>
      </c>
      <c r="J2466">
        <v>0</v>
      </c>
      <c r="K2466">
        <v>0</v>
      </c>
      <c r="N2466">
        <v>3</v>
      </c>
      <c r="O2466">
        <v>3</v>
      </c>
      <c r="P2466">
        <v>4</v>
      </c>
      <c r="Q2466">
        <v>0</v>
      </c>
      <c r="R2466">
        <v>26.28</v>
      </c>
      <c r="S2466">
        <v>7</v>
      </c>
      <c r="T2466">
        <v>7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7</v>
      </c>
      <c r="AB2466">
        <v>0</v>
      </c>
      <c r="AC2466">
        <v>0</v>
      </c>
      <c r="AH2466">
        <v>33.28</v>
      </c>
    </row>
    <row r="2467" spans="1:34" x14ac:dyDescent="0.3">
      <c r="A2467" s="4">
        <v>2583</v>
      </c>
      <c r="B2467" s="5">
        <v>2460</v>
      </c>
      <c r="C2467">
        <v>3155</v>
      </c>
      <c r="D2467" t="s">
        <v>20771</v>
      </c>
      <c r="E2467" t="s">
        <v>54</v>
      </c>
      <c r="F2467" t="s">
        <v>38</v>
      </c>
      <c r="G2467" t="s">
        <v>22541</v>
      </c>
      <c r="H2467">
        <v>18.25</v>
      </c>
      <c r="I2467">
        <v>0</v>
      </c>
      <c r="J2467">
        <v>0</v>
      </c>
      <c r="K2467">
        <v>0</v>
      </c>
      <c r="N2467">
        <v>3</v>
      </c>
      <c r="O2467">
        <v>3</v>
      </c>
      <c r="P2467">
        <v>4</v>
      </c>
      <c r="Q2467">
        <v>2</v>
      </c>
      <c r="R2467">
        <v>27.25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6</v>
      </c>
      <c r="AC2467">
        <v>0</v>
      </c>
      <c r="AH2467">
        <v>33.25</v>
      </c>
    </row>
    <row r="2468" spans="1:34" x14ac:dyDescent="0.3">
      <c r="A2468" s="4">
        <v>2584</v>
      </c>
      <c r="B2468" s="5">
        <v>2461</v>
      </c>
      <c r="C2468">
        <v>15039</v>
      </c>
      <c r="D2468" t="s">
        <v>7209</v>
      </c>
      <c r="E2468" t="s">
        <v>3313</v>
      </c>
      <c r="F2468" t="s">
        <v>17</v>
      </c>
      <c r="G2468" t="s">
        <v>22542</v>
      </c>
      <c r="H2468">
        <v>16.25</v>
      </c>
      <c r="I2468">
        <v>0</v>
      </c>
      <c r="J2468">
        <v>0</v>
      </c>
      <c r="K2468">
        <v>0</v>
      </c>
      <c r="L2468">
        <v>7</v>
      </c>
      <c r="O2468">
        <v>7</v>
      </c>
      <c r="P2468">
        <v>4</v>
      </c>
      <c r="Q2468">
        <v>0</v>
      </c>
      <c r="R2468">
        <v>27.25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6</v>
      </c>
      <c r="AC2468">
        <v>0</v>
      </c>
      <c r="AH2468">
        <v>33.25</v>
      </c>
    </row>
    <row r="2469" spans="1:34" x14ac:dyDescent="0.3">
      <c r="A2469" s="4">
        <v>2585</v>
      </c>
      <c r="B2469" s="5">
        <v>2462</v>
      </c>
      <c r="C2469">
        <v>10442</v>
      </c>
      <c r="D2469" t="s">
        <v>22543</v>
      </c>
      <c r="E2469" t="s">
        <v>1874</v>
      </c>
      <c r="F2469" t="s">
        <v>17</v>
      </c>
      <c r="G2469" t="s">
        <v>22544</v>
      </c>
      <c r="H2469">
        <v>19.25</v>
      </c>
      <c r="I2469">
        <v>0</v>
      </c>
      <c r="J2469">
        <v>0</v>
      </c>
      <c r="K2469">
        <v>0</v>
      </c>
      <c r="N2469">
        <v>3</v>
      </c>
      <c r="O2469">
        <v>3</v>
      </c>
      <c r="P2469">
        <v>4</v>
      </c>
      <c r="Q2469">
        <v>2</v>
      </c>
      <c r="R2469">
        <v>28.25</v>
      </c>
      <c r="S2469">
        <v>5</v>
      </c>
      <c r="T2469">
        <v>5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5</v>
      </c>
      <c r="AB2469">
        <v>0</v>
      </c>
      <c r="AC2469">
        <v>0</v>
      </c>
      <c r="AH2469">
        <v>33.25</v>
      </c>
    </row>
    <row r="2470" spans="1:34" x14ac:dyDescent="0.3">
      <c r="A2470" s="4">
        <v>2586</v>
      </c>
      <c r="B2470" s="5">
        <v>2463</v>
      </c>
      <c r="C2470">
        <v>1426</v>
      </c>
      <c r="D2470" t="s">
        <v>13597</v>
      </c>
      <c r="E2470" t="s">
        <v>110</v>
      </c>
      <c r="F2470" t="s">
        <v>17</v>
      </c>
      <c r="G2470" t="s">
        <v>22545</v>
      </c>
      <c r="H2470">
        <v>20.23</v>
      </c>
      <c r="I2470">
        <v>0</v>
      </c>
      <c r="J2470">
        <v>0</v>
      </c>
      <c r="K2470">
        <v>0</v>
      </c>
      <c r="N2470">
        <v>3</v>
      </c>
      <c r="O2470">
        <v>3</v>
      </c>
      <c r="P2470">
        <v>4</v>
      </c>
      <c r="Q2470">
        <v>0</v>
      </c>
      <c r="R2470">
        <v>27.23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6</v>
      </c>
      <c r="AC2470">
        <v>0</v>
      </c>
      <c r="AH2470">
        <v>33.229999999999997</v>
      </c>
    </row>
    <row r="2471" spans="1:34" x14ac:dyDescent="0.3">
      <c r="A2471" s="4">
        <v>2587</v>
      </c>
      <c r="B2471" s="5">
        <v>2464</v>
      </c>
      <c r="C2471">
        <v>8313</v>
      </c>
      <c r="D2471" t="s">
        <v>22546</v>
      </c>
      <c r="E2471" t="s">
        <v>178</v>
      </c>
      <c r="F2471" t="s">
        <v>22547</v>
      </c>
      <c r="G2471" t="s">
        <v>22548</v>
      </c>
      <c r="H2471">
        <v>19.2</v>
      </c>
      <c r="I2471">
        <v>0</v>
      </c>
      <c r="J2471">
        <v>0</v>
      </c>
      <c r="K2471">
        <v>0</v>
      </c>
      <c r="N2471">
        <v>3</v>
      </c>
      <c r="O2471">
        <v>3</v>
      </c>
      <c r="P2471">
        <v>4</v>
      </c>
      <c r="Q2471">
        <v>2</v>
      </c>
      <c r="R2471">
        <v>28.2</v>
      </c>
      <c r="S2471">
        <v>5</v>
      </c>
      <c r="T2471">
        <v>5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5</v>
      </c>
      <c r="AB2471">
        <v>0</v>
      </c>
      <c r="AC2471">
        <v>0</v>
      </c>
      <c r="AH2471">
        <v>33.200000000000003</v>
      </c>
    </row>
    <row r="2472" spans="1:34" x14ac:dyDescent="0.3">
      <c r="A2472" s="4">
        <v>2588</v>
      </c>
      <c r="B2472" s="5">
        <v>2465</v>
      </c>
      <c r="C2472">
        <v>11400</v>
      </c>
      <c r="D2472" t="s">
        <v>11447</v>
      </c>
      <c r="E2472" t="s">
        <v>22549</v>
      </c>
      <c r="F2472" t="s">
        <v>652</v>
      </c>
      <c r="G2472" t="s">
        <v>22550</v>
      </c>
      <c r="H2472">
        <v>20.18</v>
      </c>
      <c r="I2472">
        <v>0</v>
      </c>
      <c r="J2472">
        <v>0</v>
      </c>
      <c r="K2472">
        <v>0</v>
      </c>
      <c r="N2472">
        <v>3</v>
      </c>
      <c r="O2472">
        <v>3</v>
      </c>
      <c r="P2472">
        <v>4</v>
      </c>
      <c r="Q2472">
        <v>0</v>
      </c>
      <c r="R2472">
        <v>27.18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6</v>
      </c>
      <c r="AC2472">
        <v>0</v>
      </c>
      <c r="AH2472">
        <v>33.18</v>
      </c>
    </row>
    <row r="2473" spans="1:34" x14ac:dyDescent="0.3">
      <c r="A2473" s="4">
        <v>2589</v>
      </c>
      <c r="B2473" s="5">
        <v>2466</v>
      </c>
      <c r="C2473">
        <v>12926</v>
      </c>
      <c r="D2473" t="s">
        <v>22551</v>
      </c>
      <c r="E2473" t="s">
        <v>355</v>
      </c>
      <c r="F2473" t="s">
        <v>416</v>
      </c>
      <c r="G2473" t="s">
        <v>22552</v>
      </c>
      <c r="H2473">
        <v>19.18</v>
      </c>
      <c r="I2473">
        <v>0</v>
      </c>
      <c r="J2473">
        <v>0</v>
      </c>
      <c r="K2473">
        <v>0</v>
      </c>
      <c r="L2473">
        <v>7</v>
      </c>
      <c r="O2473">
        <v>7</v>
      </c>
      <c r="P2473">
        <v>4</v>
      </c>
      <c r="Q2473">
        <v>0</v>
      </c>
      <c r="R2473">
        <v>30.18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3</v>
      </c>
      <c r="AC2473">
        <v>0</v>
      </c>
      <c r="AH2473">
        <v>33.18</v>
      </c>
    </row>
    <row r="2474" spans="1:34" x14ac:dyDescent="0.3">
      <c r="A2474" s="4">
        <v>2590</v>
      </c>
      <c r="B2474" s="5">
        <v>2467</v>
      </c>
      <c r="C2474">
        <v>3843</v>
      </c>
      <c r="D2474" t="s">
        <v>22553</v>
      </c>
      <c r="E2474" t="s">
        <v>20</v>
      </c>
      <c r="F2474" t="s">
        <v>539</v>
      </c>
      <c r="G2474" t="s">
        <v>22554</v>
      </c>
      <c r="H2474">
        <v>20.18</v>
      </c>
      <c r="I2474">
        <v>0</v>
      </c>
      <c r="J2474">
        <v>0</v>
      </c>
      <c r="K2474">
        <v>0</v>
      </c>
      <c r="L2474">
        <v>7</v>
      </c>
      <c r="O2474">
        <v>7</v>
      </c>
      <c r="P2474">
        <v>4</v>
      </c>
      <c r="Q2474">
        <v>2</v>
      </c>
      <c r="R2474">
        <v>33.18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H2474">
        <v>33.18</v>
      </c>
    </row>
    <row r="2475" spans="1:34" x14ac:dyDescent="0.3">
      <c r="A2475" s="4">
        <v>2591</v>
      </c>
      <c r="B2475" s="5">
        <v>2468</v>
      </c>
      <c r="C2475">
        <v>5299</v>
      </c>
      <c r="D2475" t="s">
        <v>1822</v>
      </c>
      <c r="E2475" t="s">
        <v>516</v>
      </c>
      <c r="F2475" t="s">
        <v>158</v>
      </c>
      <c r="G2475" t="s">
        <v>22555</v>
      </c>
      <c r="H2475">
        <v>17.149999999999999</v>
      </c>
      <c r="I2475">
        <v>0</v>
      </c>
      <c r="J2475">
        <v>0</v>
      </c>
      <c r="K2475">
        <v>0</v>
      </c>
      <c r="L2475">
        <v>7</v>
      </c>
      <c r="O2475">
        <v>7</v>
      </c>
      <c r="P2475">
        <v>4</v>
      </c>
      <c r="Q2475">
        <v>2</v>
      </c>
      <c r="R2475">
        <v>30.15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3</v>
      </c>
      <c r="AC2475">
        <v>0</v>
      </c>
      <c r="AH2475">
        <v>33.15</v>
      </c>
    </row>
    <row r="2476" spans="1:34" x14ac:dyDescent="0.3">
      <c r="A2476" s="4">
        <v>2592</v>
      </c>
      <c r="B2476" s="5">
        <v>2469</v>
      </c>
      <c r="C2476">
        <v>4547</v>
      </c>
      <c r="D2476" t="s">
        <v>22556</v>
      </c>
      <c r="E2476" t="s">
        <v>132</v>
      </c>
      <c r="F2476" t="s">
        <v>52</v>
      </c>
      <c r="G2476" t="s">
        <v>22557</v>
      </c>
      <c r="H2476">
        <v>22.15</v>
      </c>
      <c r="I2476">
        <v>0</v>
      </c>
      <c r="J2476">
        <v>0</v>
      </c>
      <c r="K2476">
        <v>0</v>
      </c>
      <c r="L2476">
        <v>7</v>
      </c>
      <c r="O2476">
        <v>7</v>
      </c>
      <c r="P2476">
        <v>4</v>
      </c>
      <c r="Q2476">
        <v>0</v>
      </c>
      <c r="R2476">
        <v>33.15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H2476">
        <v>33.15</v>
      </c>
    </row>
    <row r="2477" spans="1:34" x14ac:dyDescent="0.3">
      <c r="A2477" s="4">
        <v>2593</v>
      </c>
      <c r="B2477" s="5">
        <v>2470</v>
      </c>
      <c r="C2477">
        <v>15418</v>
      </c>
      <c r="D2477" t="s">
        <v>5502</v>
      </c>
      <c r="E2477" t="s">
        <v>170</v>
      </c>
      <c r="F2477" t="s">
        <v>55</v>
      </c>
      <c r="G2477" t="s">
        <v>22558</v>
      </c>
      <c r="H2477">
        <v>18.13</v>
      </c>
      <c r="I2477">
        <v>0</v>
      </c>
      <c r="J2477">
        <v>0</v>
      </c>
      <c r="K2477">
        <v>0</v>
      </c>
      <c r="M2477">
        <v>5</v>
      </c>
      <c r="O2477">
        <v>5</v>
      </c>
      <c r="P2477">
        <v>4</v>
      </c>
      <c r="Q2477">
        <v>0</v>
      </c>
      <c r="R2477">
        <v>27.13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6</v>
      </c>
      <c r="AC2477">
        <v>0</v>
      </c>
      <c r="AH2477">
        <v>33.130000000000003</v>
      </c>
    </row>
    <row r="2478" spans="1:34" x14ac:dyDescent="0.3">
      <c r="A2478" s="4">
        <v>2594</v>
      </c>
      <c r="B2478" s="5">
        <v>2471</v>
      </c>
      <c r="C2478">
        <v>5270</v>
      </c>
      <c r="D2478" t="s">
        <v>22559</v>
      </c>
      <c r="E2478" t="s">
        <v>166</v>
      </c>
      <c r="F2478" t="s">
        <v>17</v>
      </c>
      <c r="G2478" t="s">
        <v>22560</v>
      </c>
      <c r="H2478">
        <v>21.13</v>
      </c>
      <c r="I2478">
        <v>0</v>
      </c>
      <c r="J2478">
        <v>0</v>
      </c>
      <c r="K2478">
        <v>0</v>
      </c>
      <c r="M2478">
        <v>5</v>
      </c>
      <c r="O2478">
        <v>5</v>
      </c>
      <c r="P2478">
        <v>4</v>
      </c>
      <c r="Q2478">
        <v>0</v>
      </c>
      <c r="R2478">
        <v>30.13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3</v>
      </c>
      <c r="AC2478">
        <v>0</v>
      </c>
      <c r="AH2478">
        <v>33.130000000000003</v>
      </c>
    </row>
    <row r="2479" spans="1:34" x14ac:dyDescent="0.3">
      <c r="A2479" s="4">
        <v>2595</v>
      </c>
      <c r="B2479" s="5">
        <v>2472</v>
      </c>
      <c r="C2479">
        <v>9395</v>
      </c>
      <c r="D2479" t="s">
        <v>22561</v>
      </c>
      <c r="E2479" t="s">
        <v>29</v>
      </c>
      <c r="F2479" t="s">
        <v>20</v>
      </c>
      <c r="G2479" t="s">
        <v>22562</v>
      </c>
      <c r="H2479">
        <v>18.13</v>
      </c>
      <c r="I2479">
        <v>0</v>
      </c>
      <c r="J2479">
        <v>0</v>
      </c>
      <c r="K2479">
        <v>0</v>
      </c>
      <c r="N2479">
        <v>3</v>
      </c>
      <c r="O2479">
        <v>3</v>
      </c>
      <c r="P2479">
        <v>4</v>
      </c>
      <c r="Q2479">
        <v>0</v>
      </c>
      <c r="R2479">
        <v>25.13</v>
      </c>
      <c r="S2479">
        <v>8</v>
      </c>
      <c r="T2479">
        <v>8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8</v>
      </c>
      <c r="AB2479">
        <v>0</v>
      </c>
      <c r="AC2479">
        <v>0</v>
      </c>
      <c r="AH2479">
        <v>33.130000000000003</v>
      </c>
    </row>
    <row r="2480" spans="1:34" x14ac:dyDescent="0.3">
      <c r="A2480" s="4">
        <v>2596</v>
      </c>
      <c r="B2480" s="5">
        <v>2473</v>
      </c>
      <c r="C2480">
        <v>2698</v>
      </c>
      <c r="D2480" t="s">
        <v>22563</v>
      </c>
      <c r="E2480" t="s">
        <v>17</v>
      </c>
      <c r="F2480" t="s">
        <v>328</v>
      </c>
      <c r="G2480" t="s">
        <v>22564</v>
      </c>
      <c r="H2480">
        <v>17.079999999999998</v>
      </c>
      <c r="I2480">
        <v>0</v>
      </c>
      <c r="J2480">
        <v>0</v>
      </c>
      <c r="K2480">
        <v>0</v>
      </c>
      <c r="N2480">
        <v>3</v>
      </c>
      <c r="O2480">
        <v>3</v>
      </c>
      <c r="P2480">
        <v>4</v>
      </c>
      <c r="Q2480">
        <v>0</v>
      </c>
      <c r="R2480">
        <v>24.08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9</v>
      </c>
      <c r="AC2480">
        <v>0</v>
      </c>
      <c r="AH2480">
        <v>33.08</v>
      </c>
    </row>
    <row r="2481" spans="1:34" x14ac:dyDescent="0.3">
      <c r="A2481" s="4">
        <v>2597</v>
      </c>
      <c r="B2481" s="5">
        <v>2474</v>
      </c>
      <c r="C2481">
        <v>2649</v>
      </c>
      <c r="D2481" t="s">
        <v>22565</v>
      </c>
      <c r="E2481" t="s">
        <v>1542</v>
      </c>
      <c r="F2481" t="s">
        <v>81</v>
      </c>
      <c r="G2481" t="s">
        <v>22566</v>
      </c>
      <c r="H2481">
        <v>20.079999999999998</v>
      </c>
      <c r="I2481">
        <v>0</v>
      </c>
      <c r="J2481">
        <v>0</v>
      </c>
      <c r="K2481">
        <v>0</v>
      </c>
      <c r="N2481">
        <v>3</v>
      </c>
      <c r="O2481">
        <v>3</v>
      </c>
      <c r="P2481">
        <v>4</v>
      </c>
      <c r="Q2481">
        <v>0</v>
      </c>
      <c r="R2481">
        <v>27.08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6</v>
      </c>
      <c r="AC2481">
        <v>0</v>
      </c>
      <c r="AH2481">
        <v>33.08</v>
      </c>
    </row>
    <row r="2482" spans="1:34" x14ac:dyDescent="0.3">
      <c r="A2482" s="4">
        <v>2598</v>
      </c>
      <c r="B2482" s="5">
        <v>2475</v>
      </c>
      <c r="C2482">
        <v>3609</v>
      </c>
      <c r="D2482" t="s">
        <v>22567</v>
      </c>
      <c r="E2482" t="s">
        <v>17</v>
      </c>
      <c r="F2482" t="s">
        <v>91</v>
      </c>
      <c r="G2482" t="s">
        <v>32074</v>
      </c>
      <c r="H2482">
        <v>22.08</v>
      </c>
      <c r="I2482">
        <v>0</v>
      </c>
      <c r="J2482">
        <v>0</v>
      </c>
      <c r="K2482">
        <v>0</v>
      </c>
      <c r="L2482">
        <v>7</v>
      </c>
      <c r="O2482">
        <v>7</v>
      </c>
      <c r="P2482">
        <v>4</v>
      </c>
      <c r="Q2482">
        <v>0</v>
      </c>
      <c r="R2482">
        <v>33.08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H2482">
        <v>33.08</v>
      </c>
    </row>
    <row r="2483" spans="1:34" x14ac:dyDescent="0.3">
      <c r="A2483" s="4">
        <v>2599</v>
      </c>
      <c r="B2483" s="5">
        <v>2476</v>
      </c>
      <c r="C2483">
        <v>12364</v>
      </c>
      <c r="D2483" t="s">
        <v>22568</v>
      </c>
      <c r="E2483" t="s">
        <v>161</v>
      </c>
      <c r="F2483" t="s">
        <v>158</v>
      </c>
      <c r="G2483" t="s">
        <v>22569</v>
      </c>
      <c r="H2483">
        <v>17.079999999999998</v>
      </c>
      <c r="I2483">
        <v>0</v>
      </c>
      <c r="J2483">
        <v>0</v>
      </c>
      <c r="K2483">
        <v>0</v>
      </c>
      <c r="L2483">
        <v>7</v>
      </c>
      <c r="N2483">
        <v>3</v>
      </c>
      <c r="O2483">
        <v>10</v>
      </c>
      <c r="P2483">
        <v>4</v>
      </c>
      <c r="Q2483">
        <v>2</v>
      </c>
      <c r="R2483">
        <v>33.08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H2483">
        <v>33.08</v>
      </c>
    </row>
    <row r="2484" spans="1:34" x14ac:dyDescent="0.3">
      <c r="A2484" s="4">
        <v>2600</v>
      </c>
      <c r="B2484" s="5">
        <v>2477</v>
      </c>
      <c r="C2484">
        <v>15359</v>
      </c>
      <c r="D2484" t="s">
        <v>4038</v>
      </c>
      <c r="E2484" t="s">
        <v>1450</v>
      </c>
      <c r="F2484" t="s">
        <v>136</v>
      </c>
      <c r="G2484" t="s">
        <v>22570</v>
      </c>
      <c r="H2484">
        <v>22.05</v>
      </c>
      <c r="I2484">
        <v>0</v>
      </c>
      <c r="J2484">
        <v>0</v>
      </c>
      <c r="K2484">
        <v>0</v>
      </c>
      <c r="L2484">
        <v>7</v>
      </c>
      <c r="O2484">
        <v>7</v>
      </c>
      <c r="P2484">
        <v>4</v>
      </c>
      <c r="Q2484">
        <v>0</v>
      </c>
      <c r="R2484">
        <v>33.049999999999997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H2484">
        <v>33.049999999999997</v>
      </c>
    </row>
    <row r="2485" spans="1:34" x14ac:dyDescent="0.3">
      <c r="A2485" s="4">
        <v>2601</v>
      </c>
      <c r="B2485" s="5">
        <v>2478</v>
      </c>
      <c r="C2485">
        <v>3721</v>
      </c>
      <c r="D2485" t="s">
        <v>1736</v>
      </c>
      <c r="E2485" t="s">
        <v>1387</v>
      </c>
      <c r="F2485" t="s">
        <v>626</v>
      </c>
      <c r="G2485" t="s">
        <v>22571</v>
      </c>
      <c r="H2485">
        <v>20.05</v>
      </c>
      <c r="I2485">
        <v>0</v>
      </c>
      <c r="J2485">
        <v>0</v>
      </c>
      <c r="K2485">
        <v>0</v>
      </c>
      <c r="L2485">
        <v>7</v>
      </c>
      <c r="O2485">
        <v>7</v>
      </c>
      <c r="P2485">
        <v>4</v>
      </c>
      <c r="Q2485">
        <v>2</v>
      </c>
      <c r="R2485">
        <v>33.049999999999997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H2485">
        <v>33.049999999999997</v>
      </c>
    </row>
    <row r="2486" spans="1:34" x14ac:dyDescent="0.3">
      <c r="A2486" s="4">
        <v>2602</v>
      </c>
      <c r="B2486" s="5">
        <v>2479</v>
      </c>
      <c r="C2486">
        <v>12115</v>
      </c>
      <c r="D2486" t="s">
        <v>4885</v>
      </c>
      <c r="E2486" t="s">
        <v>88</v>
      </c>
      <c r="F2486" t="s">
        <v>81</v>
      </c>
      <c r="G2486" t="s">
        <v>22572</v>
      </c>
      <c r="H2486">
        <v>19.03</v>
      </c>
      <c r="I2486">
        <v>0</v>
      </c>
      <c r="J2486">
        <v>0</v>
      </c>
      <c r="K2486">
        <v>0</v>
      </c>
      <c r="L2486">
        <v>7</v>
      </c>
      <c r="N2486">
        <v>3</v>
      </c>
      <c r="O2486">
        <v>10</v>
      </c>
      <c r="P2486">
        <v>4</v>
      </c>
      <c r="Q2486">
        <v>0</v>
      </c>
      <c r="R2486">
        <v>33.03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H2486">
        <v>33.03</v>
      </c>
    </row>
    <row r="2487" spans="1:34" x14ac:dyDescent="0.3">
      <c r="A2487" s="4">
        <v>2603</v>
      </c>
      <c r="B2487" s="5">
        <v>2480</v>
      </c>
      <c r="C2487">
        <v>10874</v>
      </c>
      <c r="D2487" t="s">
        <v>22573</v>
      </c>
      <c r="E2487" t="s">
        <v>283</v>
      </c>
      <c r="F2487" t="s">
        <v>38</v>
      </c>
      <c r="G2487" t="s">
        <v>22574</v>
      </c>
      <c r="H2487">
        <v>17</v>
      </c>
      <c r="I2487">
        <v>0</v>
      </c>
      <c r="J2487">
        <v>0</v>
      </c>
      <c r="K2487">
        <v>0</v>
      </c>
      <c r="N2487">
        <v>3</v>
      </c>
      <c r="O2487">
        <v>3</v>
      </c>
      <c r="P2487">
        <v>4</v>
      </c>
      <c r="Q2487">
        <v>0</v>
      </c>
      <c r="R2487">
        <v>24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9</v>
      </c>
      <c r="AC2487">
        <v>0</v>
      </c>
      <c r="AH2487">
        <v>33</v>
      </c>
    </row>
    <row r="2488" spans="1:34" x14ac:dyDescent="0.3">
      <c r="A2488" s="4">
        <v>2604</v>
      </c>
      <c r="B2488" s="5">
        <v>2481</v>
      </c>
      <c r="C2488">
        <v>2742</v>
      </c>
      <c r="D2488" t="s">
        <v>181</v>
      </c>
      <c r="E2488" t="s">
        <v>29</v>
      </c>
      <c r="F2488" t="s">
        <v>81</v>
      </c>
      <c r="G2488" t="s">
        <v>22575</v>
      </c>
      <c r="H2488">
        <v>20</v>
      </c>
      <c r="I2488">
        <v>0</v>
      </c>
      <c r="J2488">
        <v>0</v>
      </c>
      <c r="K2488">
        <v>0</v>
      </c>
      <c r="N2488">
        <v>3</v>
      </c>
      <c r="O2488">
        <v>3</v>
      </c>
      <c r="P2488">
        <v>4</v>
      </c>
      <c r="Q2488">
        <v>0</v>
      </c>
      <c r="R2488">
        <v>27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6</v>
      </c>
      <c r="AC2488">
        <v>0</v>
      </c>
      <c r="AH2488">
        <v>33</v>
      </c>
    </row>
    <row r="2489" spans="1:34" x14ac:dyDescent="0.3">
      <c r="A2489" s="4">
        <v>2605</v>
      </c>
      <c r="B2489" s="5">
        <v>2482</v>
      </c>
      <c r="C2489">
        <v>5934</v>
      </c>
      <c r="D2489" t="s">
        <v>22576</v>
      </c>
      <c r="E2489" t="s">
        <v>320</v>
      </c>
      <c r="F2489" t="s">
        <v>81</v>
      </c>
      <c r="G2489" t="s">
        <v>22577</v>
      </c>
      <c r="H2489">
        <v>20</v>
      </c>
      <c r="I2489">
        <v>0</v>
      </c>
      <c r="J2489">
        <v>0</v>
      </c>
      <c r="K2489">
        <v>0</v>
      </c>
      <c r="N2489">
        <v>3</v>
      </c>
      <c r="O2489">
        <v>3</v>
      </c>
      <c r="P2489">
        <v>4</v>
      </c>
      <c r="Q2489">
        <v>0</v>
      </c>
      <c r="R2489">
        <v>27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6</v>
      </c>
      <c r="AC2489">
        <v>0</v>
      </c>
      <c r="AH2489">
        <v>33</v>
      </c>
    </row>
    <row r="2490" spans="1:34" x14ac:dyDescent="0.3">
      <c r="A2490" s="4">
        <v>2606</v>
      </c>
      <c r="B2490" s="5">
        <v>2483</v>
      </c>
      <c r="C2490">
        <v>3005</v>
      </c>
      <c r="D2490" t="s">
        <v>22578</v>
      </c>
      <c r="E2490" t="s">
        <v>792</v>
      </c>
      <c r="F2490" t="s">
        <v>17</v>
      </c>
      <c r="G2490" t="s">
        <v>22579</v>
      </c>
      <c r="H2490">
        <v>19</v>
      </c>
      <c r="I2490">
        <v>0</v>
      </c>
      <c r="J2490">
        <v>0</v>
      </c>
      <c r="K2490">
        <v>0</v>
      </c>
      <c r="L2490">
        <v>7</v>
      </c>
      <c r="N2490">
        <v>3</v>
      </c>
      <c r="O2490">
        <v>10</v>
      </c>
      <c r="P2490">
        <v>4</v>
      </c>
      <c r="Q2490">
        <v>0</v>
      </c>
      <c r="R2490">
        <v>33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H2490">
        <v>33</v>
      </c>
    </row>
    <row r="2491" spans="1:34" x14ac:dyDescent="0.3">
      <c r="A2491" s="4">
        <v>2607</v>
      </c>
      <c r="B2491" s="5">
        <v>2484</v>
      </c>
      <c r="C2491">
        <v>11528</v>
      </c>
      <c r="D2491" t="s">
        <v>3774</v>
      </c>
      <c r="E2491" t="s">
        <v>3866</v>
      </c>
      <c r="F2491" t="s">
        <v>466</v>
      </c>
      <c r="G2491" t="s">
        <v>22580</v>
      </c>
      <c r="H2491">
        <v>17.98</v>
      </c>
      <c r="I2491">
        <v>0</v>
      </c>
      <c r="J2491">
        <v>0</v>
      </c>
      <c r="K2491">
        <v>0</v>
      </c>
      <c r="N2491">
        <v>3</v>
      </c>
      <c r="O2491">
        <v>3</v>
      </c>
      <c r="P2491">
        <v>4</v>
      </c>
      <c r="Q2491">
        <v>2</v>
      </c>
      <c r="R2491">
        <v>26.98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6</v>
      </c>
      <c r="AC2491">
        <v>0</v>
      </c>
      <c r="AH2491">
        <v>32.979999999999997</v>
      </c>
    </row>
    <row r="2492" spans="1:34" x14ac:dyDescent="0.3">
      <c r="A2492" s="4">
        <v>2608</v>
      </c>
      <c r="B2492" s="5">
        <v>2485</v>
      </c>
      <c r="C2492">
        <v>8330</v>
      </c>
      <c r="D2492" t="s">
        <v>13997</v>
      </c>
      <c r="E2492" t="s">
        <v>61</v>
      </c>
      <c r="F2492" t="s">
        <v>17559</v>
      </c>
      <c r="G2492" t="s">
        <v>22581</v>
      </c>
      <c r="H2492">
        <v>21.98</v>
      </c>
      <c r="I2492">
        <v>0</v>
      </c>
      <c r="J2492">
        <v>0</v>
      </c>
      <c r="K2492">
        <v>0</v>
      </c>
      <c r="L2492">
        <v>7</v>
      </c>
      <c r="O2492">
        <v>7</v>
      </c>
      <c r="P2492">
        <v>4</v>
      </c>
      <c r="Q2492">
        <v>0</v>
      </c>
      <c r="R2492">
        <v>32.979999999999997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H2492">
        <v>32.979999999999997</v>
      </c>
    </row>
    <row r="2493" spans="1:34" x14ac:dyDescent="0.3">
      <c r="A2493" s="4">
        <v>2609</v>
      </c>
      <c r="B2493" s="5">
        <v>2486</v>
      </c>
      <c r="C2493">
        <v>9030</v>
      </c>
      <c r="D2493" t="s">
        <v>2043</v>
      </c>
      <c r="E2493" t="s">
        <v>22</v>
      </c>
      <c r="F2493" t="s">
        <v>105</v>
      </c>
      <c r="G2493" t="s">
        <v>22582</v>
      </c>
      <c r="H2493">
        <v>18.95</v>
      </c>
      <c r="I2493">
        <v>0</v>
      </c>
      <c r="J2493">
        <v>0</v>
      </c>
      <c r="K2493">
        <v>0</v>
      </c>
      <c r="L2493">
        <v>7</v>
      </c>
      <c r="O2493">
        <v>7</v>
      </c>
      <c r="P2493">
        <v>4</v>
      </c>
      <c r="Q2493">
        <v>0</v>
      </c>
      <c r="R2493">
        <v>29.95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3</v>
      </c>
      <c r="AC2493">
        <v>0</v>
      </c>
      <c r="AH2493">
        <v>32.950000000000003</v>
      </c>
    </row>
    <row r="2494" spans="1:34" x14ac:dyDescent="0.3">
      <c r="A2494" s="4">
        <v>2610</v>
      </c>
      <c r="B2494" s="5">
        <v>2487</v>
      </c>
      <c r="C2494">
        <v>14582</v>
      </c>
      <c r="D2494" t="s">
        <v>22583</v>
      </c>
      <c r="E2494" t="s">
        <v>54</v>
      </c>
      <c r="F2494" t="s">
        <v>17</v>
      </c>
      <c r="G2494" t="s">
        <v>22584</v>
      </c>
      <c r="H2494">
        <v>21.95</v>
      </c>
      <c r="I2494">
        <v>0</v>
      </c>
      <c r="J2494">
        <v>0</v>
      </c>
      <c r="K2494">
        <v>0</v>
      </c>
      <c r="L2494">
        <v>7</v>
      </c>
      <c r="O2494">
        <v>7</v>
      </c>
      <c r="P2494">
        <v>4</v>
      </c>
      <c r="Q2494">
        <v>0</v>
      </c>
      <c r="R2494">
        <v>32.950000000000003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H2494">
        <v>32.950000000000003</v>
      </c>
    </row>
    <row r="2495" spans="1:34" x14ac:dyDescent="0.3">
      <c r="A2495" s="4">
        <v>2611</v>
      </c>
      <c r="B2495" s="5">
        <v>2488</v>
      </c>
      <c r="C2495">
        <v>11662</v>
      </c>
      <c r="D2495" t="s">
        <v>22585</v>
      </c>
      <c r="E2495" t="s">
        <v>38</v>
      </c>
      <c r="F2495" t="s">
        <v>68</v>
      </c>
      <c r="G2495" t="s">
        <v>22586</v>
      </c>
      <c r="H2495">
        <v>18.95</v>
      </c>
      <c r="I2495">
        <v>0</v>
      </c>
      <c r="J2495">
        <v>0</v>
      </c>
      <c r="K2495">
        <v>0</v>
      </c>
      <c r="L2495">
        <v>7</v>
      </c>
      <c r="N2495">
        <v>3</v>
      </c>
      <c r="O2495">
        <v>10</v>
      </c>
      <c r="P2495">
        <v>4</v>
      </c>
      <c r="Q2495">
        <v>0</v>
      </c>
      <c r="R2495">
        <v>32.950000000000003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H2495">
        <v>32.950000000000003</v>
      </c>
    </row>
    <row r="2496" spans="1:34" x14ac:dyDescent="0.3">
      <c r="A2496" s="4">
        <v>2612</v>
      </c>
      <c r="B2496" s="5">
        <v>2489</v>
      </c>
      <c r="C2496">
        <v>9637</v>
      </c>
      <c r="D2496" t="s">
        <v>22587</v>
      </c>
      <c r="E2496" t="s">
        <v>22588</v>
      </c>
      <c r="F2496" t="s">
        <v>68</v>
      </c>
      <c r="G2496" t="s">
        <v>22589</v>
      </c>
      <c r="H2496">
        <v>19.93</v>
      </c>
      <c r="I2496">
        <v>0</v>
      </c>
      <c r="J2496">
        <v>0</v>
      </c>
      <c r="K2496">
        <v>0</v>
      </c>
      <c r="L2496">
        <v>7</v>
      </c>
      <c r="O2496">
        <v>7</v>
      </c>
      <c r="P2496">
        <v>4</v>
      </c>
      <c r="Q2496">
        <v>2</v>
      </c>
      <c r="R2496">
        <v>32.93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H2496">
        <v>32.93</v>
      </c>
    </row>
    <row r="2497" spans="1:34" x14ac:dyDescent="0.3">
      <c r="A2497" s="4">
        <v>2613</v>
      </c>
      <c r="B2497" s="5">
        <v>2490</v>
      </c>
      <c r="C2497">
        <v>10723</v>
      </c>
      <c r="D2497" t="s">
        <v>22590</v>
      </c>
      <c r="E2497" t="s">
        <v>33</v>
      </c>
      <c r="F2497" t="s">
        <v>20</v>
      </c>
      <c r="G2497" t="s">
        <v>22591</v>
      </c>
      <c r="H2497">
        <v>17.93</v>
      </c>
      <c r="I2497">
        <v>0</v>
      </c>
      <c r="J2497">
        <v>0</v>
      </c>
      <c r="K2497">
        <v>0</v>
      </c>
      <c r="N2497">
        <v>3</v>
      </c>
      <c r="O2497">
        <v>3</v>
      </c>
      <c r="P2497">
        <v>4</v>
      </c>
      <c r="Q2497">
        <v>0</v>
      </c>
      <c r="R2497">
        <v>24.93</v>
      </c>
      <c r="S2497">
        <v>8</v>
      </c>
      <c r="T2497">
        <v>8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8</v>
      </c>
      <c r="AB2497">
        <v>0</v>
      </c>
      <c r="AC2497">
        <v>0</v>
      </c>
      <c r="AH2497">
        <v>32.93</v>
      </c>
    </row>
    <row r="2498" spans="1:34" x14ac:dyDescent="0.3">
      <c r="A2498" s="4">
        <v>2614</v>
      </c>
      <c r="B2498" s="5">
        <v>2491</v>
      </c>
      <c r="C2498">
        <v>3528</v>
      </c>
      <c r="D2498" t="s">
        <v>22592</v>
      </c>
      <c r="E2498" t="s">
        <v>54</v>
      </c>
      <c r="F2498" t="s">
        <v>878</v>
      </c>
      <c r="G2498" t="s">
        <v>22593</v>
      </c>
      <c r="H2498">
        <v>21.9</v>
      </c>
      <c r="I2498">
        <v>0</v>
      </c>
      <c r="J2498">
        <v>0</v>
      </c>
      <c r="K2498">
        <v>0</v>
      </c>
      <c r="L2498">
        <v>7</v>
      </c>
      <c r="O2498">
        <v>7</v>
      </c>
      <c r="P2498">
        <v>4</v>
      </c>
      <c r="Q2498">
        <v>0</v>
      </c>
      <c r="R2498">
        <v>32.9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H2498">
        <v>32.9</v>
      </c>
    </row>
    <row r="2499" spans="1:34" x14ac:dyDescent="0.3">
      <c r="A2499" s="4">
        <v>2615</v>
      </c>
      <c r="B2499" s="5">
        <v>2492</v>
      </c>
      <c r="C2499">
        <v>1407</v>
      </c>
      <c r="D2499" t="s">
        <v>22594</v>
      </c>
      <c r="E2499" t="s">
        <v>20</v>
      </c>
      <c r="F2499" t="s">
        <v>117</v>
      </c>
      <c r="G2499" t="s">
        <v>22595</v>
      </c>
      <c r="H2499">
        <v>19.88</v>
      </c>
      <c r="I2499">
        <v>0</v>
      </c>
      <c r="J2499">
        <v>0</v>
      </c>
      <c r="K2499">
        <v>0</v>
      </c>
      <c r="N2499">
        <v>3</v>
      </c>
      <c r="O2499">
        <v>3</v>
      </c>
      <c r="P2499">
        <v>4</v>
      </c>
      <c r="Q2499">
        <v>0</v>
      </c>
      <c r="R2499">
        <v>26.88</v>
      </c>
      <c r="S2499">
        <v>6</v>
      </c>
      <c r="T2499">
        <v>6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6</v>
      </c>
      <c r="AB2499">
        <v>0</v>
      </c>
      <c r="AC2499">
        <v>0</v>
      </c>
      <c r="AH2499">
        <v>32.880000000000003</v>
      </c>
    </row>
    <row r="2500" spans="1:34" x14ac:dyDescent="0.3">
      <c r="A2500" s="4">
        <v>2616</v>
      </c>
      <c r="B2500" s="5">
        <v>2493</v>
      </c>
      <c r="C2500">
        <v>13711</v>
      </c>
      <c r="D2500" t="s">
        <v>22596</v>
      </c>
      <c r="E2500" t="s">
        <v>68</v>
      </c>
      <c r="F2500" t="s">
        <v>20</v>
      </c>
      <c r="G2500" t="s">
        <v>22597</v>
      </c>
      <c r="H2500">
        <v>15.85</v>
      </c>
      <c r="I2500">
        <v>0</v>
      </c>
      <c r="J2500">
        <v>0</v>
      </c>
      <c r="K2500">
        <v>0</v>
      </c>
      <c r="L2500">
        <v>7</v>
      </c>
      <c r="O2500">
        <v>7</v>
      </c>
      <c r="P2500">
        <v>4</v>
      </c>
      <c r="Q2500">
        <v>0</v>
      </c>
      <c r="R2500">
        <v>26.85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6</v>
      </c>
      <c r="AC2500">
        <v>0</v>
      </c>
      <c r="AH2500">
        <v>32.85</v>
      </c>
    </row>
    <row r="2501" spans="1:34" x14ac:dyDescent="0.3">
      <c r="A2501" s="4">
        <v>2617</v>
      </c>
      <c r="B2501" s="5">
        <v>2494</v>
      </c>
      <c r="C2501">
        <v>2816</v>
      </c>
      <c r="D2501" t="s">
        <v>22598</v>
      </c>
      <c r="E2501" t="s">
        <v>117</v>
      </c>
      <c r="F2501" t="s">
        <v>30</v>
      </c>
      <c r="G2501" t="s">
        <v>22599</v>
      </c>
      <c r="H2501">
        <v>21.85</v>
      </c>
      <c r="I2501">
        <v>0</v>
      </c>
      <c r="J2501">
        <v>0</v>
      </c>
      <c r="K2501">
        <v>0</v>
      </c>
      <c r="L2501">
        <v>7</v>
      </c>
      <c r="O2501">
        <v>7</v>
      </c>
      <c r="P2501">
        <v>4</v>
      </c>
      <c r="Q2501">
        <v>0</v>
      </c>
      <c r="R2501">
        <v>32.85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H2501">
        <v>32.85</v>
      </c>
    </row>
    <row r="2502" spans="1:34" x14ac:dyDescent="0.3">
      <c r="A2502" s="4">
        <v>2618</v>
      </c>
      <c r="B2502" s="5">
        <v>2495</v>
      </c>
      <c r="C2502">
        <v>6662</v>
      </c>
      <c r="D2502" t="s">
        <v>20138</v>
      </c>
      <c r="E2502" t="s">
        <v>54</v>
      </c>
      <c r="F2502" t="s">
        <v>17</v>
      </c>
      <c r="G2502" t="s">
        <v>22600</v>
      </c>
      <c r="H2502">
        <v>16.829999999999998</v>
      </c>
      <c r="I2502">
        <v>0</v>
      </c>
      <c r="J2502">
        <v>0</v>
      </c>
      <c r="K2502">
        <v>0</v>
      </c>
      <c r="N2502">
        <v>3</v>
      </c>
      <c r="O2502">
        <v>3</v>
      </c>
      <c r="P2502">
        <v>4</v>
      </c>
      <c r="Q2502">
        <v>0</v>
      </c>
      <c r="R2502">
        <v>23.83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9</v>
      </c>
      <c r="AC2502">
        <v>0</v>
      </c>
      <c r="AH2502">
        <v>32.83</v>
      </c>
    </row>
    <row r="2503" spans="1:34" x14ac:dyDescent="0.3">
      <c r="A2503" s="4">
        <v>2619</v>
      </c>
      <c r="B2503" s="5">
        <v>2496</v>
      </c>
      <c r="C2503">
        <v>7692</v>
      </c>
      <c r="D2503" t="s">
        <v>10293</v>
      </c>
      <c r="E2503" t="s">
        <v>147</v>
      </c>
      <c r="F2503" t="s">
        <v>117</v>
      </c>
      <c r="G2503" t="s">
        <v>22601</v>
      </c>
      <c r="H2503">
        <v>19.829999999999998</v>
      </c>
      <c r="I2503">
        <v>0</v>
      </c>
      <c r="J2503">
        <v>0</v>
      </c>
      <c r="K2503">
        <v>0</v>
      </c>
      <c r="N2503">
        <v>3</v>
      </c>
      <c r="O2503">
        <v>3</v>
      </c>
      <c r="P2503">
        <v>4</v>
      </c>
      <c r="Q2503">
        <v>0</v>
      </c>
      <c r="R2503">
        <v>26.83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6</v>
      </c>
      <c r="AC2503">
        <v>0</v>
      </c>
      <c r="AH2503">
        <v>32.83</v>
      </c>
    </row>
    <row r="2504" spans="1:34" x14ac:dyDescent="0.3">
      <c r="A2504" s="4">
        <v>2620</v>
      </c>
      <c r="B2504" s="5">
        <v>2497</v>
      </c>
      <c r="C2504">
        <v>5099</v>
      </c>
      <c r="D2504" t="s">
        <v>22602</v>
      </c>
      <c r="E2504" t="s">
        <v>255</v>
      </c>
      <c r="F2504" t="s">
        <v>68</v>
      </c>
      <c r="G2504" t="s">
        <v>22603</v>
      </c>
      <c r="H2504">
        <v>21.83</v>
      </c>
      <c r="I2504">
        <v>0</v>
      </c>
      <c r="J2504">
        <v>0</v>
      </c>
      <c r="K2504">
        <v>0</v>
      </c>
      <c r="L2504">
        <v>7</v>
      </c>
      <c r="O2504">
        <v>7</v>
      </c>
      <c r="P2504">
        <v>4</v>
      </c>
      <c r="Q2504">
        <v>0</v>
      </c>
      <c r="R2504">
        <v>32.83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H2504">
        <v>32.83</v>
      </c>
    </row>
    <row r="2505" spans="1:34" x14ac:dyDescent="0.3">
      <c r="A2505" s="4">
        <v>2621</v>
      </c>
      <c r="B2505" s="5">
        <v>2498</v>
      </c>
      <c r="C2505">
        <v>15500</v>
      </c>
      <c r="D2505" t="s">
        <v>22604</v>
      </c>
      <c r="E2505" t="s">
        <v>744</v>
      </c>
      <c r="F2505" t="s">
        <v>38</v>
      </c>
      <c r="G2505" t="s">
        <v>22605</v>
      </c>
      <c r="H2505">
        <v>21.83</v>
      </c>
      <c r="I2505">
        <v>0</v>
      </c>
      <c r="J2505">
        <v>0</v>
      </c>
      <c r="K2505">
        <v>0</v>
      </c>
      <c r="L2505">
        <v>7</v>
      </c>
      <c r="O2505">
        <v>7</v>
      </c>
      <c r="P2505">
        <v>4</v>
      </c>
      <c r="Q2505">
        <v>0</v>
      </c>
      <c r="R2505">
        <v>32.83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H2505">
        <v>32.83</v>
      </c>
    </row>
    <row r="2506" spans="1:34" x14ac:dyDescent="0.3">
      <c r="A2506" s="4">
        <v>2622</v>
      </c>
      <c r="B2506" s="5">
        <v>2499</v>
      </c>
      <c r="C2506">
        <v>6005</v>
      </c>
      <c r="D2506" t="s">
        <v>122</v>
      </c>
      <c r="E2506" t="s">
        <v>54</v>
      </c>
      <c r="F2506" t="s">
        <v>4680</v>
      </c>
      <c r="G2506" t="s">
        <v>22606</v>
      </c>
      <c r="H2506">
        <v>19.829999999999998</v>
      </c>
      <c r="I2506">
        <v>0</v>
      </c>
      <c r="J2506">
        <v>0</v>
      </c>
      <c r="K2506">
        <v>0</v>
      </c>
      <c r="N2506">
        <v>3</v>
      </c>
      <c r="O2506">
        <v>3</v>
      </c>
      <c r="P2506">
        <v>4</v>
      </c>
      <c r="Q2506">
        <v>0</v>
      </c>
      <c r="R2506">
        <v>26.83</v>
      </c>
      <c r="S2506">
        <v>6</v>
      </c>
      <c r="T2506">
        <v>6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6</v>
      </c>
      <c r="AB2506">
        <v>0</v>
      </c>
      <c r="AC2506">
        <v>0</v>
      </c>
      <c r="AH2506">
        <v>32.83</v>
      </c>
    </row>
    <row r="2507" spans="1:34" x14ac:dyDescent="0.3">
      <c r="A2507" s="4">
        <v>2623</v>
      </c>
      <c r="B2507" s="5">
        <v>2500</v>
      </c>
      <c r="C2507">
        <v>14187</v>
      </c>
      <c r="D2507" t="s">
        <v>22607</v>
      </c>
      <c r="E2507" t="s">
        <v>41</v>
      </c>
      <c r="F2507" t="s">
        <v>22608</v>
      </c>
      <c r="G2507" t="s">
        <v>22609</v>
      </c>
      <c r="H2507">
        <v>17.78</v>
      </c>
      <c r="I2507">
        <v>0</v>
      </c>
      <c r="J2507">
        <v>0</v>
      </c>
      <c r="K2507">
        <v>0</v>
      </c>
      <c r="O2507">
        <v>0</v>
      </c>
      <c r="P2507">
        <v>0</v>
      </c>
      <c r="Q2507">
        <v>0</v>
      </c>
      <c r="R2507">
        <v>17.78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15</v>
      </c>
      <c r="AC2507">
        <v>0</v>
      </c>
      <c r="AH2507">
        <v>32.78</v>
      </c>
    </row>
    <row r="2508" spans="1:34" x14ac:dyDescent="0.3">
      <c r="A2508" s="4">
        <v>2624</v>
      </c>
      <c r="B2508" s="5">
        <v>2501</v>
      </c>
      <c r="C2508">
        <v>6253</v>
      </c>
      <c r="D2508" t="s">
        <v>22610</v>
      </c>
      <c r="E2508" t="s">
        <v>454</v>
      </c>
      <c r="F2508" t="s">
        <v>17</v>
      </c>
      <c r="G2508" t="s">
        <v>22611</v>
      </c>
      <c r="H2508">
        <v>19.78</v>
      </c>
      <c r="I2508">
        <v>0</v>
      </c>
      <c r="J2508">
        <v>0</v>
      </c>
      <c r="K2508">
        <v>0</v>
      </c>
      <c r="N2508">
        <v>3</v>
      </c>
      <c r="O2508">
        <v>3</v>
      </c>
      <c r="P2508">
        <v>4</v>
      </c>
      <c r="Q2508">
        <v>0</v>
      </c>
      <c r="R2508">
        <v>26.78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6</v>
      </c>
      <c r="AC2508">
        <v>0</v>
      </c>
      <c r="AH2508">
        <v>32.78</v>
      </c>
    </row>
    <row r="2509" spans="1:34" x14ac:dyDescent="0.3">
      <c r="A2509" s="4">
        <v>2625</v>
      </c>
      <c r="B2509" s="5">
        <v>2502</v>
      </c>
      <c r="C2509">
        <v>13649</v>
      </c>
      <c r="D2509" t="s">
        <v>22612</v>
      </c>
      <c r="E2509" t="s">
        <v>29</v>
      </c>
      <c r="F2509" t="s">
        <v>2017</v>
      </c>
      <c r="G2509" t="s">
        <v>22613</v>
      </c>
      <c r="H2509">
        <v>19.78</v>
      </c>
      <c r="I2509">
        <v>0</v>
      </c>
      <c r="J2509">
        <v>0</v>
      </c>
      <c r="K2509">
        <v>0</v>
      </c>
      <c r="N2509">
        <v>3</v>
      </c>
      <c r="O2509">
        <v>3</v>
      </c>
      <c r="P2509">
        <v>4</v>
      </c>
      <c r="Q2509">
        <v>0</v>
      </c>
      <c r="R2509">
        <v>26.78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6</v>
      </c>
      <c r="AC2509">
        <v>0</v>
      </c>
      <c r="AH2509">
        <v>32.78</v>
      </c>
    </row>
    <row r="2510" spans="1:34" x14ac:dyDescent="0.3">
      <c r="A2510" s="4">
        <v>2626</v>
      </c>
      <c r="B2510" s="5">
        <v>2503</v>
      </c>
      <c r="C2510">
        <v>13713</v>
      </c>
      <c r="D2510" t="s">
        <v>22614</v>
      </c>
      <c r="E2510" t="s">
        <v>190</v>
      </c>
      <c r="F2510" t="s">
        <v>158</v>
      </c>
      <c r="G2510" t="s">
        <v>22615</v>
      </c>
      <c r="H2510">
        <v>18.75</v>
      </c>
      <c r="I2510">
        <v>0</v>
      </c>
      <c r="J2510">
        <v>0</v>
      </c>
      <c r="K2510">
        <v>0</v>
      </c>
      <c r="L2510">
        <v>7</v>
      </c>
      <c r="O2510">
        <v>7</v>
      </c>
      <c r="P2510">
        <v>4</v>
      </c>
      <c r="Q2510">
        <v>0</v>
      </c>
      <c r="R2510">
        <v>29.75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3</v>
      </c>
      <c r="AC2510">
        <v>0</v>
      </c>
      <c r="AH2510">
        <v>32.75</v>
      </c>
    </row>
    <row r="2511" spans="1:34" x14ac:dyDescent="0.3">
      <c r="A2511" s="4">
        <v>2627</v>
      </c>
      <c r="B2511" s="5">
        <v>2504</v>
      </c>
      <c r="C2511">
        <v>12823</v>
      </c>
      <c r="D2511" t="s">
        <v>22616</v>
      </c>
      <c r="E2511" t="s">
        <v>471</v>
      </c>
      <c r="F2511" t="s">
        <v>17</v>
      </c>
      <c r="G2511" t="s">
        <v>22617</v>
      </c>
      <c r="H2511">
        <v>21.75</v>
      </c>
      <c r="I2511">
        <v>0</v>
      </c>
      <c r="J2511">
        <v>0</v>
      </c>
      <c r="K2511">
        <v>0</v>
      </c>
      <c r="L2511">
        <v>7</v>
      </c>
      <c r="O2511">
        <v>7</v>
      </c>
      <c r="P2511">
        <v>4</v>
      </c>
      <c r="Q2511">
        <v>0</v>
      </c>
      <c r="R2511">
        <v>32.75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H2511">
        <v>32.75</v>
      </c>
    </row>
    <row r="2512" spans="1:34" x14ac:dyDescent="0.3">
      <c r="A2512" s="4">
        <v>2628</v>
      </c>
      <c r="B2512" s="5">
        <v>2505</v>
      </c>
      <c r="C2512">
        <v>475</v>
      </c>
      <c r="D2512" t="s">
        <v>13</v>
      </c>
      <c r="E2512" t="s">
        <v>132</v>
      </c>
      <c r="F2512" t="s">
        <v>117</v>
      </c>
      <c r="G2512" t="s">
        <v>22618</v>
      </c>
      <c r="H2512">
        <v>21.75</v>
      </c>
      <c r="I2512">
        <v>0</v>
      </c>
      <c r="J2512">
        <v>0</v>
      </c>
      <c r="K2512">
        <v>0</v>
      </c>
      <c r="L2512">
        <v>7</v>
      </c>
      <c r="O2512">
        <v>7</v>
      </c>
      <c r="P2512">
        <v>4</v>
      </c>
      <c r="Q2512">
        <v>0</v>
      </c>
      <c r="R2512">
        <v>32.75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H2512">
        <v>32.75</v>
      </c>
    </row>
    <row r="2513" spans="1:34" x14ac:dyDescent="0.3">
      <c r="A2513" s="4">
        <v>2629</v>
      </c>
      <c r="B2513" s="5">
        <v>2506</v>
      </c>
      <c r="C2513">
        <v>13823</v>
      </c>
      <c r="D2513" t="s">
        <v>549</v>
      </c>
      <c r="E2513" t="s">
        <v>33</v>
      </c>
      <c r="F2513" t="s">
        <v>179</v>
      </c>
      <c r="G2513" t="s">
        <v>22619</v>
      </c>
      <c r="H2513">
        <v>20.75</v>
      </c>
      <c r="I2513">
        <v>0</v>
      </c>
      <c r="J2513">
        <v>0</v>
      </c>
      <c r="K2513">
        <v>0</v>
      </c>
      <c r="M2513">
        <v>5</v>
      </c>
      <c r="N2513">
        <v>3</v>
      </c>
      <c r="O2513">
        <v>8</v>
      </c>
      <c r="P2513">
        <v>4</v>
      </c>
      <c r="Q2513">
        <v>0</v>
      </c>
      <c r="R2513">
        <v>32.75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H2513">
        <v>32.75</v>
      </c>
    </row>
    <row r="2514" spans="1:34" x14ac:dyDescent="0.3">
      <c r="A2514" s="4">
        <v>2630</v>
      </c>
      <c r="B2514" s="5">
        <v>2507</v>
      </c>
      <c r="C2514">
        <v>14274</v>
      </c>
      <c r="D2514" t="s">
        <v>22620</v>
      </c>
      <c r="E2514" t="s">
        <v>208</v>
      </c>
      <c r="F2514" t="s">
        <v>1450</v>
      </c>
      <c r="G2514" t="s">
        <v>22621</v>
      </c>
      <c r="H2514">
        <v>16.75</v>
      </c>
      <c r="I2514">
        <v>0</v>
      </c>
      <c r="J2514">
        <v>0</v>
      </c>
      <c r="K2514">
        <v>0</v>
      </c>
      <c r="L2514">
        <v>7</v>
      </c>
      <c r="N2514">
        <v>3</v>
      </c>
      <c r="O2514">
        <v>10</v>
      </c>
      <c r="P2514">
        <v>4</v>
      </c>
      <c r="Q2514">
        <v>2</v>
      </c>
      <c r="R2514">
        <v>32.75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H2514">
        <v>32.75</v>
      </c>
    </row>
    <row r="2515" spans="1:34" x14ac:dyDescent="0.3">
      <c r="A2515" s="4">
        <v>2631</v>
      </c>
      <c r="B2515" s="5">
        <v>2508</v>
      </c>
      <c r="C2515">
        <v>1472</v>
      </c>
      <c r="D2515" t="s">
        <v>6796</v>
      </c>
      <c r="E2515" t="s">
        <v>29</v>
      </c>
      <c r="F2515" t="s">
        <v>34</v>
      </c>
      <c r="G2515" t="s">
        <v>22622</v>
      </c>
      <c r="H2515">
        <v>19.73</v>
      </c>
      <c r="I2515">
        <v>0</v>
      </c>
      <c r="J2515">
        <v>0</v>
      </c>
      <c r="K2515">
        <v>0</v>
      </c>
      <c r="N2515">
        <v>6</v>
      </c>
      <c r="O2515">
        <v>6</v>
      </c>
      <c r="P2515">
        <v>4</v>
      </c>
      <c r="Q2515">
        <v>0</v>
      </c>
      <c r="R2515">
        <v>29.73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3</v>
      </c>
      <c r="AC2515">
        <v>0</v>
      </c>
      <c r="AH2515">
        <v>32.729999999999997</v>
      </c>
    </row>
    <row r="2516" spans="1:34" x14ac:dyDescent="0.3">
      <c r="A2516" s="4">
        <v>2632</v>
      </c>
      <c r="B2516" s="5">
        <v>2509</v>
      </c>
      <c r="C2516">
        <v>1038</v>
      </c>
      <c r="D2516" t="s">
        <v>22623</v>
      </c>
      <c r="E2516" t="s">
        <v>100</v>
      </c>
      <c r="F2516" t="s">
        <v>17</v>
      </c>
      <c r="G2516" t="s">
        <v>22624</v>
      </c>
      <c r="H2516">
        <v>18.73</v>
      </c>
      <c r="I2516">
        <v>0</v>
      </c>
      <c r="J2516">
        <v>0</v>
      </c>
      <c r="K2516">
        <v>0</v>
      </c>
      <c r="L2516">
        <v>7</v>
      </c>
      <c r="N2516">
        <v>3</v>
      </c>
      <c r="O2516">
        <v>10</v>
      </c>
      <c r="P2516">
        <v>4</v>
      </c>
      <c r="Q2516">
        <v>0</v>
      </c>
      <c r="R2516">
        <v>32.729999999999997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H2516">
        <v>32.729999999999997</v>
      </c>
    </row>
    <row r="2517" spans="1:34" x14ac:dyDescent="0.3">
      <c r="A2517" s="4">
        <v>2633</v>
      </c>
      <c r="B2517" s="5">
        <v>2510</v>
      </c>
      <c r="C2517">
        <v>244</v>
      </c>
      <c r="D2517" t="s">
        <v>22625</v>
      </c>
      <c r="E2517" t="s">
        <v>54</v>
      </c>
      <c r="F2517" t="s">
        <v>17</v>
      </c>
      <c r="G2517" t="s">
        <v>22626</v>
      </c>
      <c r="H2517">
        <v>19.7</v>
      </c>
      <c r="I2517">
        <v>0</v>
      </c>
      <c r="J2517">
        <v>0</v>
      </c>
      <c r="K2517">
        <v>0</v>
      </c>
      <c r="N2517">
        <v>3</v>
      </c>
      <c r="O2517">
        <v>3</v>
      </c>
      <c r="P2517">
        <v>4</v>
      </c>
      <c r="Q2517">
        <v>0</v>
      </c>
      <c r="R2517">
        <v>26.7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6</v>
      </c>
      <c r="AC2517">
        <v>0</v>
      </c>
      <c r="AH2517">
        <v>32.700000000000003</v>
      </c>
    </row>
    <row r="2518" spans="1:34" x14ac:dyDescent="0.3">
      <c r="A2518" s="4">
        <v>2634</v>
      </c>
      <c r="B2518" s="5">
        <v>2511</v>
      </c>
      <c r="C2518">
        <v>781</v>
      </c>
      <c r="D2518" t="s">
        <v>22627</v>
      </c>
      <c r="E2518" t="s">
        <v>33</v>
      </c>
      <c r="F2518" t="s">
        <v>17</v>
      </c>
      <c r="G2518" t="s">
        <v>22628</v>
      </c>
      <c r="H2518">
        <v>19.7</v>
      </c>
      <c r="I2518">
        <v>0</v>
      </c>
      <c r="J2518">
        <v>0</v>
      </c>
      <c r="K2518">
        <v>0</v>
      </c>
      <c r="N2518">
        <v>3</v>
      </c>
      <c r="O2518">
        <v>3</v>
      </c>
      <c r="P2518">
        <v>4</v>
      </c>
      <c r="Q2518">
        <v>0</v>
      </c>
      <c r="R2518">
        <v>26.7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6</v>
      </c>
      <c r="AC2518">
        <v>0</v>
      </c>
      <c r="AH2518">
        <v>32.700000000000003</v>
      </c>
    </row>
    <row r="2519" spans="1:34" x14ac:dyDescent="0.3">
      <c r="A2519" s="4">
        <v>2635</v>
      </c>
      <c r="B2519" s="5">
        <v>2512</v>
      </c>
      <c r="C2519">
        <v>14313</v>
      </c>
      <c r="D2519" t="s">
        <v>22629</v>
      </c>
      <c r="E2519" t="s">
        <v>11356</v>
      </c>
      <c r="F2519" t="s">
        <v>20</v>
      </c>
      <c r="G2519" t="s">
        <v>22630</v>
      </c>
      <c r="H2519">
        <v>21.68</v>
      </c>
      <c r="I2519">
        <v>0</v>
      </c>
      <c r="J2519">
        <v>0</v>
      </c>
      <c r="K2519">
        <v>0</v>
      </c>
      <c r="L2519">
        <v>7</v>
      </c>
      <c r="O2519">
        <v>7</v>
      </c>
      <c r="P2519">
        <v>4</v>
      </c>
      <c r="Q2519">
        <v>0</v>
      </c>
      <c r="R2519">
        <v>32.68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H2519">
        <v>32.68</v>
      </c>
    </row>
    <row r="2520" spans="1:34" x14ac:dyDescent="0.3">
      <c r="A2520" s="4">
        <v>2636</v>
      </c>
      <c r="B2520" s="5">
        <v>2513</v>
      </c>
      <c r="C2520">
        <v>1093</v>
      </c>
      <c r="D2520" t="s">
        <v>22631</v>
      </c>
      <c r="E2520" t="s">
        <v>1117</v>
      </c>
      <c r="F2520" t="s">
        <v>124</v>
      </c>
      <c r="G2520" t="s">
        <v>22632</v>
      </c>
      <c r="H2520">
        <v>19.68</v>
      </c>
      <c r="I2520">
        <v>0</v>
      </c>
      <c r="J2520">
        <v>0</v>
      </c>
      <c r="K2520">
        <v>0</v>
      </c>
      <c r="L2520">
        <v>7</v>
      </c>
      <c r="O2520">
        <v>7</v>
      </c>
      <c r="P2520">
        <v>4</v>
      </c>
      <c r="Q2520">
        <v>2</v>
      </c>
      <c r="R2520">
        <v>32.68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H2520">
        <v>32.68</v>
      </c>
    </row>
    <row r="2521" spans="1:34" x14ac:dyDescent="0.3">
      <c r="A2521" s="4">
        <v>2637</v>
      </c>
      <c r="B2521" s="5">
        <v>2514</v>
      </c>
      <c r="C2521">
        <v>12244</v>
      </c>
      <c r="D2521" t="s">
        <v>22633</v>
      </c>
      <c r="E2521" t="s">
        <v>471</v>
      </c>
      <c r="F2521" t="s">
        <v>38</v>
      </c>
      <c r="G2521" t="s">
        <v>22634</v>
      </c>
      <c r="H2521">
        <v>19.63</v>
      </c>
      <c r="I2521">
        <v>0</v>
      </c>
      <c r="J2521">
        <v>0</v>
      </c>
      <c r="K2521">
        <v>0</v>
      </c>
      <c r="O2521">
        <v>0</v>
      </c>
      <c r="P2521">
        <v>4</v>
      </c>
      <c r="Q2521">
        <v>0</v>
      </c>
      <c r="R2521">
        <v>23.63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9</v>
      </c>
      <c r="AC2521">
        <v>0</v>
      </c>
      <c r="AH2521">
        <v>32.630000000000003</v>
      </c>
    </row>
    <row r="2522" spans="1:34" x14ac:dyDescent="0.3">
      <c r="A2522" s="4">
        <v>2638</v>
      </c>
      <c r="B2522" s="5">
        <v>2515</v>
      </c>
      <c r="C2522">
        <v>6728</v>
      </c>
      <c r="D2522" t="s">
        <v>1361</v>
      </c>
      <c r="E2522" t="s">
        <v>41</v>
      </c>
      <c r="F2522" t="s">
        <v>4546</v>
      </c>
      <c r="G2522" t="s">
        <v>22635</v>
      </c>
      <c r="H2522">
        <v>19.63</v>
      </c>
      <c r="I2522">
        <v>0</v>
      </c>
      <c r="J2522">
        <v>0</v>
      </c>
      <c r="K2522">
        <v>0</v>
      </c>
      <c r="N2522">
        <v>3</v>
      </c>
      <c r="O2522">
        <v>3</v>
      </c>
      <c r="P2522">
        <v>4</v>
      </c>
      <c r="Q2522">
        <v>0</v>
      </c>
      <c r="R2522">
        <v>26.63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6</v>
      </c>
      <c r="AC2522">
        <v>0</v>
      </c>
      <c r="AH2522">
        <v>32.630000000000003</v>
      </c>
    </row>
    <row r="2523" spans="1:34" x14ac:dyDescent="0.3">
      <c r="A2523" s="4">
        <v>2639</v>
      </c>
      <c r="B2523" s="5">
        <v>2516</v>
      </c>
      <c r="C2523">
        <v>3126</v>
      </c>
      <c r="D2523" t="s">
        <v>22636</v>
      </c>
      <c r="E2523" t="s">
        <v>22637</v>
      </c>
      <c r="F2523" t="s">
        <v>832</v>
      </c>
      <c r="G2523" t="s">
        <v>22638</v>
      </c>
      <c r="H2523">
        <v>18.63</v>
      </c>
      <c r="I2523">
        <v>0</v>
      </c>
      <c r="J2523">
        <v>0</v>
      </c>
      <c r="K2523">
        <v>0</v>
      </c>
      <c r="L2523">
        <v>7</v>
      </c>
      <c r="O2523">
        <v>7</v>
      </c>
      <c r="P2523">
        <v>4</v>
      </c>
      <c r="Q2523">
        <v>0</v>
      </c>
      <c r="R2523">
        <v>29.63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3</v>
      </c>
      <c r="AC2523">
        <v>0</v>
      </c>
      <c r="AH2523">
        <v>32.630000000000003</v>
      </c>
    </row>
    <row r="2524" spans="1:34" x14ac:dyDescent="0.3">
      <c r="A2524" s="4">
        <v>2640</v>
      </c>
      <c r="B2524" s="5">
        <v>2517</v>
      </c>
      <c r="C2524">
        <v>10471</v>
      </c>
      <c r="D2524" t="s">
        <v>6043</v>
      </c>
      <c r="E2524" t="s">
        <v>29</v>
      </c>
      <c r="F2524" t="s">
        <v>68</v>
      </c>
      <c r="G2524" t="s">
        <v>22639</v>
      </c>
      <c r="H2524">
        <v>18.600000000000001</v>
      </c>
      <c r="I2524">
        <v>0</v>
      </c>
      <c r="J2524">
        <v>0</v>
      </c>
      <c r="K2524">
        <v>0</v>
      </c>
      <c r="N2524">
        <v>3</v>
      </c>
      <c r="O2524">
        <v>3</v>
      </c>
      <c r="P2524">
        <v>4</v>
      </c>
      <c r="Q2524">
        <v>0</v>
      </c>
      <c r="R2524">
        <v>25.6</v>
      </c>
      <c r="S2524">
        <v>4</v>
      </c>
      <c r="T2524">
        <v>4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4</v>
      </c>
      <c r="AB2524">
        <v>3</v>
      </c>
      <c r="AC2524">
        <v>0</v>
      </c>
      <c r="AD2524" t="s">
        <v>130</v>
      </c>
      <c r="AH2524">
        <v>32.6</v>
      </c>
    </row>
    <row r="2525" spans="1:34" x14ac:dyDescent="0.3">
      <c r="A2525" s="4">
        <v>2641</v>
      </c>
      <c r="B2525" s="5">
        <v>2518</v>
      </c>
      <c r="C2525">
        <v>1741</v>
      </c>
      <c r="D2525" t="s">
        <v>8308</v>
      </c>
      <c r="E2525" t="s">
        <v>26</v>
      </c>
      <c r="F2525" t="s">
        <v>30</v>
      </c>
      <c r="G2525" t="s">
        <v>22640</v>
      </c>
      <c r="H2525">
        <v>21.6</v>
      </c>
      <c r="I2525">
        <v>0</v>
      </c>
      <c r="J2525">
        <v>0</v>
      </c>
      <c r="K2525">
        <v>0</v>
      </c>
      <c r="L2525">
        <v>7</v>
      </c>
      <c r="O2525">
        <v>7</v>
      </c>
      <c r="P2525">
        <v>4</v>
      </c>
      <c r="Q2525">
        <v>0</v>
      </c>
      <c r="R2525">
        <v>32.6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H2525">
        <v>32.6</v>
      </c>
    </row>
    <row r="2526" spans="1:34" x14ac:dyDescent="0.3">
      <c r="A2526" s="4">
        <v>2642</v>
      </c>
      <c r="B2526" s="5">
        <v>2519</v>
      </c>
      <c r="C2526">
        <v>818</v>
      </c>
      <c r="D2526" t="s">
        <v>784</v>
      </c>
      <c r="E2526" t="s">
        <v>992</v>
      </c>
      <c r="F2526" t="s">
        <v>1238</v>
      </c>
      <c r="G2526" t="s">
        <v>22641</v>
      </c>
      <c r="H2526">
        <v>19.600000000000001</v>
      </c>
      <c r="I2526">
        <v>0</v>
      </c>
      <c r="J2526">
        <v>0</v>
      </c>
      <c r="K2526">
        <v>0</v>
      </c>
      <c r="L2526">
        <v>7</v>
      </c>
      <c r="O2526">
        <v>7</v>
      </c>
      <c r="P2526">
        <v>4</v>
      </c>
      <c r="Q2526">
        <v>2</v>
      </c>
      <c r="R2526">
        <v>32.6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H2526">
        <v>32.6</v>
      </c>
    </row>
    <row r="2527" spans="1:34" x14ac:dyDescent="0.3">
      <c r="A2527" s="4">
        <v>2643</v>
      </c>
      <c r="B2527" s="5">
        <v>2520</v>
      </c>
      <c r="C2527">
        <v>3925</v>
      </c>
      <c r="D2527" t="s">
        <v>22642</v>
      </c>
      <c r="E2527" t="s">
        <v>97</v>
      </c>
      <c r="F2527" t="s">
        <v>136</v>
      </c>
      <c r="G2527" t="s">
        <v>22643</v>
      </c>
      <c r="H2527">
        <v>21.58</v>
      </c>
      <c r="I2527">
        <v>0</v>
      </c>
      <c r="J2527">
        <v>0</v>
      </c>
      <c r="K2527">
        <v>0</v>
      </c>
      <c r="L2527">
        <v>7</v>
      </c>
      <c r="O2527">
        <v>7</v>
      </c>
      <c r="P2527">
        <v>4</v>
      </c>
      <c r="Q2527">
        <v>0</v>
      </c>
      <c r="R2527">
        <v>32.58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H2527">
        <v>32.58</v>
      </c>
    </row>
    <row r="2528" spans="1:34" x14ac:dyDescent="0.3">
      <c r="A2528" s="4">
        <v>2644</v>
      </c>
      <c r="B2528" s="5">
        <v>2521</v>
      </c>
      <c r="C2528">
        <v>1918</v>
      </c>
      <c r="D2528" t="s">
        <v>1129</v>
      </c>
      <c r="E2528" t="s">
        <v>54</v>
      </c>
      <c r="F2528" t="s">
        <v>238</v>
      </c>
      <c r="G2528" t="s">
        <v>22644</v>
      </c>
      <c r="H2528">
        <v>17.55</v>
      </c>
      <c r="I2528">
        <v>0</v>
      </c>
      <c r="J2528">
        <v>0</v>
      </c>
      <c r="K2528">
        <v>0</v>
      </c>
      <c r="N2528">
        <v>3</v>
      </c>
      <c r="O2528">
        <v>3</v>
      </c>
      <c r="P2528">
        <v>4</v>
      </c>
      <c r="Q2528">
        <v>0</v>
      </c>
      <c r="R2528">
        <v>24.55</v>
      </c>
      <c r="S2528">
        <v>8</v>
      </c>
      <c r="T2528">
        <v>8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8</v>
      </c>
      <c r="AB2528">
        <v>0</v>
      </c>
      <c r="AC2528">
        <v>0</v>
      </c>
      <c r="AH2528">
        <v>32.549999999999997</v>
      </c>
    </row>
    <row r="2529" spans="1:34" x14ac:dyDescent="0.3">
      <c r="A2529" s="4">
        <v>2645</v>
      </c>
      <c r="B2529" s="5">
        <v>2522</v>
      </c>
      <c r="C2529">
        <v>4905</v>
      </c>
      <c r="D2529" t="s">
        <v>17360</v>
      </c>
      <c r="E2529" t="s">
        <v>147</v>
      </c>
      <c r="F2529" t="s">
        <v>416</v>
      </c>
      <c r="G2529" t="s">
        <v>22645</v>
      </c>
      <c r="H2529">
        <v>19.53</v>
      </c>
      <c r="I2529">
        <v>0</v>
      </c>
      <c r="J2529">
        <v>0</v>
      </c>
      <c r="K2529">
        <v>0</v>
      </c>
      <c r="N2529">
        <v>3</v>
      </c>
      <c r="O2529">
        <v>3</v>
      </c>
      <c r="P2529">
        <v>4</v>
      </c>
      <c r="Q2529">
        <v>0</v>
      </c>
      <c r="R2529">
        <v>26.53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6</v>
      </c>
      <c r="AC2529">
        <v>0</v>
      </c>
      <c r="AH2529">
        <v>32.53</v>
      </c>
    </row>
    <row r="2530" spans="1:34" x14ac:dyDescent="0.3">
      <c r="A2530" s="4">
        <v>2646</v>
      </c>
      <c r="B2530" s="5">
        <v>2523</v>
      </c>
      <c r="C2530">
        <v>10113</v>
      </c>
      <c r="D2530" t="s">
        <v>22646</v>
      </c>
      <c r="E2530" t="s">
        <v>178</v>
      </c>
      <c r="F2530" t="s">
        <v>136</v>
      </c>
      <c r="G2530" t="s">
        <v>22647</v>
      </c>
      <c r="H2530">
        <v>17.53</v>
      </c>
      <c r="I2530">
        <v>0</v>
      </c>
      <c r="J2530">
        <v>0</v>
      </c>
      <c r="K2530">
        <v>0</v>
      </c>
      <c r="L2530">
        <v>7</v>
      </c>
      <c r="O2530">
        <v>7</v>
      </c>
      <c r="P2530">
        <v>4</v>
      </c>
      <c r="Q2530">
        <v>0</v>
      </c>
      <c r="R2530">
        <v>28.53</v>
      </c>
      <c r="S2530">
        <v>4</v>
      </c>
      <c r="T2530">
        <v>4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4</v>
      </c>
      <c r="AB2530">
        <v>0</v>
      </c>
      <c r="AC2530">
        <v>0</v>
      </c>
      <c r="AH2530">
        <v>32.53</v>
      </c>
    </row>
    <row r="2531" spans="1:34" x14ac:dyDescent="0.3">
      <c r="A2531" s="4">
        <v>2647</v>
      </c>
      <c r="B2531" s="5">
        <v>2524</v>
      </c>
      <c r="C2531">
        <v>8620</v>
      </c>
      <c r="D2531" t="s">
        <v>322</v>
      </c>
      <c r="E2531" t="s">
        <v>173</v>
      </c>
      <c r="F2531" t="s">
        <v>117</v>
      </c>
      <c r="G2531" t="s">
        <v>22648</v>
      </c>
      <c r="H2531">
        <v>17.5</v>
      </c>
      <c r="I2531">
        <v>0</v>
      </c>
      <c r="J2531">
        <v>0</v>
      </c>
      <c r="K2531">
        <v>0</v>
      </c>
      <c r="N2531">
        <v>3</v>
      </c>
      <c r="O2531">
        <v>3</v>
      </c>
      <c r="P2531">
        <v>4</v>
      </c>
      <c r="Q2531">
        <v>2</v>
      </c>
      <c r="R2531">
        <v>26.5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6</v>
      </c>
      <c r="AC2531">
        <v>0</v>
      </c>
      <c r="AH2531">
        <v>32.5</v>
      </c>
    </row>
    <row r="2532" spans="1:34" x14ac:dyDescent="0.3">
      <c r="A2532" s="4">
        <v>2648</v>
      </c>
      <c r="B2532" s="5">
        <v>2525</v>
      </c>
      <c r="C2532">
        <v>6248</v>
      </c>
      <c r="D2532" t="s">
        <v>2416</v>
      </c>
      <c r="E2532" t="s">
        <v>166</v>
      </c>
      <c r="F2532" t="s">
        <v>38</v>
      </c>
      <c r="G2532" t="s">
        <v>22649</v>
      </c>
      <c r="H2532">
        <v>19.5</v>
      </c>
      <c r="I2532">
        <v>0</v>
      </c>
      <c r="J2532">
        <v>0</v>
      </c>
      <c r="K2532">
        <v>0</v>
      </c>
      <c r="N2532">
        <v>6</v>
      </c>
      <c r="O2532">
        <v>6</v>
      </c>
      <c r="P2532">
        <v>4</v>
      </c>
      <c r="Q2532">
        <v>0</v>
      </c>
      <c r="R2532">
        <v>29.5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3</v>
      </c>
      <c r="AC2532">
        <v>0</v>
      </c>
      <c r="AH2532">
        <v>32.5</v>
      </c>
    </row>
    <row r="2533" spans="1:34" x14ac:dyDescent="0.3">
      <c r="A2533" s="4">
        <v>2649</v>
      </c>
      <c r="B2533" s="5">
        <v>2526</v>
      </c>
      <c r="C2533">
        <v>12736</v>
      </c>
      <c r="D2533" t="s">
        <v>5822</v>
      </c>
      <c r="E2533" t="s">
        <v>132</v>
      </c>
      <c r="F2533" t="s">
        <v>17</v>
      </c>
      <c r="G2533" t="s">
        <v>22650</v>
      </c>
      <c r="H2533">
        <v>21.5</v>
      </c>
      <c r="I2533">
        <v>0</v>
      </c>
      <c r="J2533">
        <v>0</v>
      </c>
      <c r="K2533">
        <v>0</v>
      </c>
      <c r="L2533">
        <v>7</v>
      </c>
      <c r="O2533">
        <v>7</v>
      </c>
      <c r="P2533">
        <v>4</v>
      </c>
      <c r="Q2533">
        <v>0</v>
      </c>
      <c r="R2533">
        <v>32.5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H2533">
        <v>32.5</v>
      </c>
    </row>
    <row r="2534" spans="1:34" x14ac:dyDescent="0.3">
      <c r="A2534" s="4">
        <v>2650</v>
      </c>
      <c r="B2534" s="5">
        <v>2527</v>
      </c>
      <c r="C2534">
        <v>8556</v>
      </c>
      <c r="D2534" t="s">
        <v>22651</v>
      </c>
      <c r="E2534" t="s">
        <v>5470</v>
      </c>
      <c r="F2534" t="s">
        <v>158</v>
      </c>
      <c r="G2534" t="s">
        <v>22652</v>
      </c>
      <c r="H2534">
        <v>19.5</v>
      </c>
      <c r="I2534">
        <v>0</v>
      </c>
      <c r="J2534">
        <v>0</v>
      </c>
      <c r="K2534">
        <v>0</v>
      </c>
      <c r="L2534">
        <v>7</v>
      </c>
      <c r="O2534">
        <v>7</v>
      </c>
      <c r="P2534">
        <v>4</v>
      </c>
      <c r="Q2534">
        <v>2</v>
      </c>
      <c r="R2534">
        <v>32.5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H2534">
        <v>32.5</v>
      </c>
    </row>
    <row r="2535" spans="1:34" x14ac:dyDescent="0.3">
      <c r="A2535" s="4">
        <v>2651</v>
      </c>
      <c r="B2535" s="5">
        <v>2528</v>
      </c>
      <c r="C2535">
        <v>6609</v>
      </c>
      <c r="D2535" t="s">
        <v>22653</v>
      </c>
      <c r="E2535" t="s">
        <v>166</v>
      </c>
      <c r="F2535" t="s">
        <v>22654</v>
      </c>
      <c r="G2535" t="s">
        <v>22655</v>
      </c>
      <c r="H2535">
        <v>18.48</v>
      </c>
      <c r="I2535">
        <v>0</v>
      </c>
      <c r="J2535">
        <v>0</v>
      </c>
      <c r="K2535">
        <v>0</v>
      </c>
      <c r="L2535">
        <v>7</v>
      </c>
      <c r="O2535">
        <v>7</v>
      </c>
      <c r="P2535">
        <v>4</v>
      </c>
      <c r="Q2535">
        <v>0</v>
      </c>
      <c r="R2535">
        <v>29.48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3</v>
      </c>
      <c r="AC2535">
        <v>0</v>
      </c>
      <c r="AH2535">
        <v>32.479999999999997</v>
      </c>
    </row>
    <row r="2536" spans="1:34" x14ac:dyDescent="0.3">
      <c r="A2536" s="4">
        <v>2652</v>
      </c>
      <c r="B2536" s="5">
        <v>2529</v>
      </c>
      <c r="C2536">
        <v>14573</v>
      </c>
      <c r="D2536" t="s">
        <v>1613</v>
      </c>
      <c r="E2536" t="s">
        <v>29</v>
      </c>
      <c r="F2536" t="s">
        <v>136</v>
      </c>
      <c r="G2536" t="s">
        <v>22656</v>
      </c>
      <c r="H2536">
        <v>18.48</v>
      </c>
      <c r="I2536">
        <v>0</v>
      </c>
      <c r="J2536">
        <v>0</v>
      </c>
      <c r="K2536">
        <v>0</v>
      </c>
      <c r="L2536">
        <v>7</v>
      </c>
      <c r="N2536">
        <v>3</v>
      </c>
      <c r="O2536">
        <v>10</v>
      </c>
      <c r="P2536">
        <v>4</v>
      </c>
      <c r="Q2536">
        <v>0</v>
      </c>
      <c r="R2536">
        <v>32.479999999999997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H2536">
        <v>32.479999999999997</v>
      </c>
    </row>
    <row r="2537" spans="1:34" x14ac:dyDescent="0.3">
      <c r="A2537" s="4">
        <v>2653</v>
      </c>
      <c r="B2537" s="5">
        <v>2530</v>
      </c>
      <c r="C2537">
        <v>4662</v>
      </c>
      <c r="D2537" t="s">
        <v>22657</v>
      </c>
      <c r="E2537" t="s">
        <v>104</v>
      </c>
      <c r="F2537" t="s">
        <v>17</v>
      </c>
      <c r="G2537" t="s">
        <v>22658</v>
      </c>
      <c r="H2537">
        <v>19.45</v>
      </c>
      <c r="I2537">
        <v>0</v>
      </c>
      <c r="J2537">
        <v>0</v>
      </c>
      <c r="K2537">
        <v>0</v>
      </c>
      <c r="L2537">
        <v>7</v>
      </c>
      <c r="O2537">
        <v>7</v>
      </c>
      <c r="P2537">
        <v>4</v>
      </c>
      <c r="Q2537">
        <v>2</v>
      </c>
      <c r="R2537">
        <v>32.450000000000003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H2537">
        <v>32.450000000000003</v>
      </c>
    </row>
    <row r="2538" spans="1:34" x14ac:dyDescent="0.3">
      <c r="A2538" s="4">
        <v>2654</v>
      </c>
      <c r="B2538" s="5">
        <v>2531</v>
      </c>
      <c r="C2538">
        <v>12191</v>
      </c>
      <c r="D2538" t="s">
        <v>1742</v>
      </c>
      <c r="E2538" t="s">
        <v>283</v>
      </c>
      <c r="F2538" t="s">
        <v>20</v>
      </c>
      <c r="G2538" t="s">
        <v>22659</v>
      </c>
      <c r="H2538">
        <v>18.45</v>
      </c>
      <c r="I2538">
        <v>0</v>
      </c>
      <c r="J2538">
        <v>0</v>
      </c>
      <c r="K2538">
        <v>0</v>
      </c>
      <c r="L2538">
        <v>7</v>
      </c>
      <c r="N2538">
        <v>3</v>
      </c>
      <c r="O2538">
        <v>10</v>
      </c>
      <c r="P2538">
        <v>4</v>
      </c>
      <c r="Q2538">
        <v>0</v>
      </c>
      <c r="R2538">
        <v>32.450000000000003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H2538">
        <v>32.450000000000003</v>
      </c>
    </row>
    <row r="2539" spans="1:34" x14ac:dyDescent="0.3">
      <c r="A2539" s="4">
        <v>2655</v>
      </c>
      <c r="B2539" s="5">
        <v>2532</v>
      </c>
      <c r="C2539">
        <v>13621</v>
      </c>
      <c r="D2539" t="s">
        <v>860</v>
      </c>
      <c r="E2539" t="s">
        <v>1728</v>
      </c>
      <c r="F2539" t="s">
        <v>20</v>
      </c>
      <c r="G2539" t="s">
        <v>22660</v>
      </c>
      <c r="H2539">
        <v>16.45</v>
      </c>
      <c r="I2539">
        <v>0</v>
      </c>
      <c r="J2539">
        <v>0</v>
      </c>
      <c r="K2539">
        <v>0</v>
      </c>
      <c r="L2539">
        <v>7</v>
      </c>
      <c r="M2539">
        <v>5</v>
      </c>
      <c r="O2539">
        <v>12</v>
      </c>
      <c r="P2539">
        <v>4</v>
      </c>
      <c r="Q2539">
        <v>0</v>
      </c>
      <c r="R2539">
        <v>32.450000000000003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H2539">
        <v>32.450000000000003</v>
      </c>
    </row>
    <row r="2540" spans="1:34" x14ac:dyDescent="0.3">
      <c r="A2540" s="4">
        <v>2656</v>
      </c>
      <c r="B2540" s="5">
        <v>2533</v>
      </c>
      <c r="C2540">
        <v>13510</v>
      </c>
      <c r="D2540" t="s">
        <v>22661</v>
      </c>
      <c r="E2540" t="s">
        <v>110</v>
      </c>
      <c r="F2540" t="s">
        <v>81</v>
      </c>
      <c r="G2540" t="s">
        <v>22662</v>
      </c>
      <c r="H2540">
        <v>19.399999999999999</v>
      </c>
      <c r="I2540">
        <v>0</v>
      </c>
      <c r="J2540">
        <v>0</v>
      </c>
      <c r="K2540">
        <v>0</v>
      </c>
      <c r="N2540">
        <v>3</v>
      </c>
      <c r="O2540">
        <v>3</v>
      </c>
      <c r="P2540">
        <v>4</v>
      </c>
      <c r="Q2540">
        <v>0</v>
      </c>
      <c r="R2540">
        <v>26.4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6</v>
      </c>
      <c r="AC2540">
        <v>0</v>
      </c>
      <c r="AH2540">
        <v>32.4</v>
      </c>
    </row>
    <row r="2541" spans="1:34" x14ac:dyDescent="0.3">
      <c r="A2541" s="4">
        <v>2657</v>
      </c>
      <c r="B2541" s="5">
        <v>2534</v>
      </c>
      <c r="C2541">
        <v>497</v>
      </c>
      <c r="D2541" t="s">
        <v>14425</v>
      </c>
      <c r="E2541" t="s">
        <v>110</v>
      </c>
      <c r="F2541" t="s">
        <v>91</v>
      </c>
      <c r="G2541" t="s">
        <v>22663</v>
      </c>
      <c r="H2541">
        <v>21.4</v>
      </c>
      <c r="I2541">
        <v>0</v>
      </c>
      <c r="J2541">
        <v>0</v>
      </c>
      <c r="K2541">
        <v>0</v>
      </c>
      <c r="L2541">
        <v>7</v>
      </c>
      <c r="O2541">
        <v>7</v>
      </c>
      <c r="P2541">
        <v>4</v>
      </c>
      <c r="Q2541">
        <v>0</v>
      </c>
      <c r="R2541">
        <v>32.4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H2541">
        <v>32.4</v>
      </c>
    </row>
    <row r="2542" spans="1:34" x14ac:dyDescent="0.3">
      <c r="A2542" s="4">
        <v>2658</v>
      </c>
      <c r="B2542" s="5">
        <v>2535</v>
      </c>
      <c r="C2542">
        <v>12320</v>
      </c>
      <c r="D2542" t="s">
        <v>22664</v>
      </c>
      <c r="E2542" t="s">
        <v>22665</v>
      </c>
      <c r="F2542" t="s">
        <v>22666</v>
      </c>
      <c r="G2542" t="s">
        <v>32015</v>
      </c>
      <c r="H2542">
        <v>20.399999999999999</v>
      </c>
      <c r="I2542">
        <v>0</v>
      </c>
      <c r="J2542">
        <v>0</v>
      </c>
      <c r="K2542">
        <v>0</v>
      </c>
      <c r="O2542">
        <v>0</v>
      </c>
      <c r="P2542">
        <v>4</v>
      </c>
      <c r="Q2542">
        <v>0</v>
      </c>
      <c r="R2542">
        <v>24.4</v>
      </c>
      <c r="S2542">
        <v>8</v>
      </c>
      <c r="T2542">
        <v>8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8</v>
      </c>
      <c r="AB2542">
        <v>0</v>
      </c>
      <c r="AC2542">
        <v>0</v>
      </c>
      <c r="AD2542" t="s">
        <v>130</v>
      </c>
      <c r="AH2542">
        <v>32.4</v>
      </c>
    </row>
    <row r="2543" spans="1:34" x14ac:dyDescent="0.3">
      <c r="A2543" s="4">
        <v>2659</v>
      </c>
      <c r="B2543" s="5">
        <v>2536</v>
      </c>
      <c r="C2543">
        <v>12763</v>
      </c>
      <c r="D2543" t="s">
        <v>19996</v>
      </c>
      <c r="E2543" t="s">
        <v>208</v>
      </c>
      <c r="F2543" t="s">
        <v>17</v>
      </c>
      <c r="G2543" t="s">
        <v>22667</v>
      </c>
      <c r="H2543">
        <v>16.38</v>
      </c>
      <c r="I2543">
        <v>0</v>
      </c>
      <c r="J2543">
        <v>0</v>
      </c>
      <c r="K2543">
        <v>0</v>
      </c>
      <c r="N2543">
        <v>3</v>
      </c>
      <c r="O2543">
        <v>3</v>
      </c>
      <c r="P2543">
        <v>4</v>
      </c>
      <c r="Q2543">
        <v>0</v>
      </c>
      <c r="R2543">
        <v>23.38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9</v>
      </c>
      <c r="AC2543">
        <v>0</v>
      </c>
      <c r="AH2543">
        <v>32.380000000000003</v>
      </c>
    </row>
    <row r="2544" spans="1:34" x14ac:dyDescent="0.3">
      <c r="A2544" s="4">
        <v>2660</v>
      </c>
      <c r="B2544" s="5">
        <v>2537</v>
      </c>
      <c r="C2544">
        <v>7455</v>
      </c>
      <c r="D2544" t="s">
        <v>22668</v>
      </c>
      <c r="E2544" t="s">
        <v>208</v>
      </c>
      <c r="F2544" t="s">
        <v>68</v>
      </c>
      <c r="G2544" t="s">
        <v>22669</v>
      </c>
      <c r="H2544">
        <v>19.38</v>
      </c>
      <c r="I2544">
        <v>0</v>
      </c>
      <c r="J2544">
        <v>0</v>
      </c>
      <c r="K2544">
        <v>0</v>
      </c>
      <c r="N2544">
        <v>3</v>
      </c>
      <c r="O2544">
        <v>3</v>
      </c>
      <c r="P2544">
        <v>4</v>
      </c>
      <c r="Q2544">
        <v>0</v>
      </c>
      <c r="R2544">
        <v>26.38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6</v>
      </c>
      <c r="AC2544">
        <v>0</v>
      </c>
      <c r="AH2544">
        <v>32.380000000000003</v>
      </c>
    </row>
    <row r="2545" spans="1:34" x14ac:dyDescent="0.3">
      <c r="A2545" s="4">
        <v>2661</v>
      </c>
      <c r="B2545" s="5">
        <v>2538</v>
      </c>
      <c r="C2545">
        <v>14455</v>
      </c>
      <c r="D2545" t="s">
        <v>16876</v>
      </c>
      <c r="E2545" t="s">
        <v>26</v>
      </c>
      <c r="F2545" t="s">
        <v>17</v>
      </c>
      <c r="G2545" t="s">
        <v>22670</v>
      </c>
      <c r="H2545">
        <v>18.38</v>
      </c>
      <c r="I2545">
        <v>0</v>
      </c>
      <c r="J2545">
        <v>0</v>
      </c>
      <c r="K2545">
        <v>0</v>
      </c>
      <c r="L2545">
        <v>7</v>
      </c>
      <c r="O2545">
        <v>7</v>
      </c>
      <c r="P2545">
        <v>4</v>
      </c>
      <c r="Q2545">
        <v>0</v>
      </c>
      <c r="R2545">
        <v>29.38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3</v>
      </c>
      <c r="AC2545">
        <v>0</v>
      </c>
      <c r="AH2545">
        <v>32.380000000000003</v>
      </c>
    </row>
    <row r="2546" spans="1:34" x14ac:dyDescent="0.3">
      <c r="A2546" s="4">
        <v>2662</v>
      </c>
      <c r="B2546" s="5">
        <v>2539</v>
      </c>
      <c r="C2546">
        <v>3365</v>
      </c>
      <c r="D2546" t="s">
        <v>22671</v>
      </c>
      <c r="E2546" t="s">
        <v>37</v>
      </c>
      <c r="F2546" t="s">
        <v>442</v>
      </c>
      <c r="G2546" t="s">
        <v>22672</v>
      </c>
      <c r="H2546">
        <v>21.38</v>
      </c>
      <c r="I2546">
        <v>0</v>
      </c>
      <c r="J2546">
        <v>0</v>
      </c>
      <c r="K2546">
        <v>0</v>
      </c>
      <c r="L2546">
        <v>7</v>
      </c>
      <c r="O2546">
        <v>7</v>
      </c>
      <c r="P2546">
        <v>4</v>
      </c>
      <c r="Q2546">
        <v>0</v>
      </c>
      <c r="R2546">
        <v>32.380000000000003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H2546">
        <v>32.380000000000003</v>
      </c>
    </row>
    <row r="2547" spans="1:34" x14ac:dyDescent="0.3">
      <c r="A2547" s="4">
        <v>2663</v>
      </c>
      <c r="B2547" s="5">
        <v>2540</v>
      </c>
      <c r="C2547">
        <v>1946</v>
      </c>
      <c r="D2547" t="s">
        <v>1613</v>
      </c>
      <c r="E2547" t="s">
        <v>88</v>
      </c>
      <c r="F2547" t="s">
        <v>20</v>
      </c>
      <c r="G2547" t="s">
        <v>22673</v>
      </c>
      <c r="H2547">
        <v>19.350000000000001</v>
      </c>
      <c r="I2547">
        <v>0</v>
      </c>
      <c r="J2547">
        <v>0</v>
      </c>
      <c r="K2547">
        <v>0</v>
      </c>
      <c r="O2547">
        <v>0</v>
      </c>
      <c r="P2547">
        <v>4</v>
      </c>
      <c r="Q2547">
        <v>0</v>
      </c>
      <c r="R2547">
        <v>23.35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9</v>
      </c>
      <c r="AC2547">
        <v>0</v>
      </c>
      <c r="AD2547" t="s">
        <v>130</v>
      </c>
      <c r="AH2547">
        <v>32.35</v>
      </c>
    </row>
    <row r="2548" spans="1:34" x14ac:dyDescent="0.3">
      <c r="A2548" s="4">
        <v>2664</v>
      </c>
      <c r="B2548" s="5">
        <v>2541</v>
      </c>
      <c r="C2548">
        <v>2722</v>
      </c>
      <c r="D2548" t="s">
        <v>22674</v>
      </c>
      <c r="E2548" t="s">
        <v>289</v>
      </c>
      <c r="F2548" t="s">
        <v>136</v>
      </c>
      <c r="G2548" t="s">
        <v>22675</v>
      </c>
      <c r="H2548">
        <v>19.350000000000001</v>
      </c>
      <c r="I2548">
        <v>0</v>
      </c>
      <c r="J2548">
        <v>0</v>
      </c>
      <c r="K2548">
        <v>0</v>
      </c>
      <c r="N2548">
        <v>3</v>
      </c>
      <c r="O2548">
        <v>3</v>
      </c>
      <c r="P2548">
        <v>4</v>
      </c>
      <c r="Q2548">
        <v>0</v>
      </c>
      <c r="R2548">
        <v>26.35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6</v>
      </c>
      <c r="AC2548">
        <v>0</v>
      </c>
      <c r="AH2548">
        <v>32.35</v>
      </c>
    </row>
    <row r="2549" spans="1:34" x14ac:dyDescent="0.3">
      <c r="A2549" s="4">
        <v>2665</v>
      </c>
      <c r="B2549" s="5">
        <v>2542</v>
      </c>
      <c r="C2549">
        <v>11020</v>
      </c>
      <c r="D2549" t="s">
        <v>22676</v>
      </c>
      <c r="E2549" t="s">
        <v>55</v>
      </c>
      <c r="F2549" t="s">
        <v>117</v>
      </c>
      <c r="G2549" t="s">
        <v>22677</v>
      </c>
      <c r="H2549">
        <v>19.350000000000001</v>
      </c>
      <c r="I2549">
        <v>0</v>
      </c>
      <c r="J2549">
        <v>0</v>
      </c>
      <c r="K2549">
        <v>0</v>
      </c>
      <c r="N2549">
        <v>3</v>
      </c>
      <c r="O2549">
        <v>3</v>
      </c>
      <c r="P2549">
        <v>4</v>
      </c>
      <c r="Q2549">
        <v>0</v>
      </c>
      <c r="R2549">
        <v>26.35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6</v>
      </c>
      <c r="AC2549">
        <v>0</v>
      </c>
      <c r="AH2549">
        <v>32.35</v>
      </c>
    </row>
    <row r="2550" spans="1:34" x14ac:dyDescent="0.3">
      <c r="A2550" s="4">
        <v>2666</v>
      </c>
      <c r="B2550" s="5">
        <v>2543</v>
      </c>
      <c r="C2550">
        <v>7665</v>
      </c>
      <c r="D2550" t="s">
        <v>19856</v>
      </c>
      <c r="E2550" t="s">
        <v>338</v>
      </c>
      <c r="F2550" t="s">
        <v>171</v>
      </c>
      <c r="G2550" t="s">
        <v>22678</v>
      </c>
      <c r="H2550">
        <v>21.33</v>
      </c>
      <c r="I2550">
        <v>0</v>
      </c>
      <c r="J2550">
        <v>0</v>
      </c>
      <c r="K2550">
        <v>0</v>
      </c>
      <c r="L2550">
        <v>7</v>
      </c>
      <c r="O2550">
        <v>7</v>
      </c>
      <c r="P2550">
        <v>4</v>
      </c>
      <c r="Q2550">
        <v>0</v>
      </c>
      <c r="R2550">
        <v>32.33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H2550">
        <v>32.33</v>
      </c>
    </row>
    <row r="2551" spans="1:34" x14ac:dyDescent="0.3">
      <c r="A2551" s="4">
        <v>2667</v>
      </c>
      <c r="B2551" s="5">
        <v>2544</v>
      </c>
      <c r="C2551">
        <v>10017</v>
      </c>
      <c r="D2551" t="s">
        <v>5353</v>
      </c>
      <c r="E2551" t="s">
        <v>1140</v>
      </c>
      <c r="F2551" t="s">
        <v>5685</v>
      </c>
      <c r="G2551" t="s">
        <v>22679</v>
      </c>
      <c r="H2551">
        <v>21.33</v>
      </c>
      <c r="I2551">
        <v>0</v>
      </c>
      <c r="J2551">
        <v>0</v>
      </c>
      <c r="K2551">
        <v>0</v>
      </c>
      <c r="L2551">
        <v>7</v>
      </c>
      <c r="O2551">
        <v>7</v>
      </c>
      <c r="P2551">
        <v>4</v>
      </c>
      <c r="Q2551">
        <v>0</v>
      </c>
      <c r="R2551">
        <v>32.33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H2551">
        <v>32.33</v>
      </c>
    </row>
    <row r="2552" spans="1:34" x14ac:dyDescent="0.3">
      <c r="A2552" s="4">
        <v>2668</v>
      </c>
      <c r="B2552" s="5">
        <v>2545</v>
      </c>
      <c r="C2552">
        <v>6200</v>
      </c>
      <c r="D2552" t="s">
        <v>22680</v>
      </c>
      <c r="E2552" t="s">
        <v>2758</v>
      </c>
      <c r="F2552" t="s">
        <v>62</v>
      </c>
      <c r="G2552" t="s">
        <v>22681</v>
      </c>
      <c r="H2552">
        <v>19.329999999999998</v>
      </c>
      <c r="I2552">
        <v>0</v>
      </c>
      <c r="J2552">
        <v>0</v>
      </c>
      <c r="K2552">
        <v>0</v>
      </c>
      <c r="L2552">
        <v>7</v>
      </c>
      <c r="O2552">
        <v>7</v>
      </c>
      <c r="P2552">
        <v>4</v>
      </c>
      <c r="Q2552">
        <v>2</v>
      </c>
      <c r="R2552">
        <v>32.33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H2552">
        <v>32.33</v>
      </c>
    </row>
    <row r="2553" spans="1:34" x14ac:dyDescent="0.3">
      <c r="A2553" s="4">
        <v>2669</v>
      </c>
      <c r="B2553" s="5">
        <v>2546</v>
      </c>
      <c r="C2553">
        <v>12553</v>
      </c>
      <c r="D2553" t="s">
        <v>22682</v>
      </c>
      <c r="E2553" t="s">
        <v>789</v>
      </c>
      <c r="F2553" t="s">
        <v>17</v>
      </c>
      <c r="G2553" t="s">
        <v>22683</v>
      </c>
      <c r="H2553">
        <v>18.3</v>
      </c>
      <c r="I2553">
        <v>0</v>
      </c>
      <c r="J2553">
        <v>0</v>
      </c>
      <c r="K2553">
        <v>0</v>
      </c>
      <c r="L2553">
        <v>7</v>
      </c>
      <c r="N2553">
        <v>3</v>
      </c>
      <c r="O2553">
        <v>10</v>
      </c>
      <c r="P2553">
        <v>4</v>
      </c>
      <c r="Q2553">
        <v>0</v>
      </c>
      <c r="R2553">
        <v>32.299999999999997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H2553">
        <v>32.299999999999997</v>
      </c>
    </row>
    <row r="2554" spans="1:34" x14ac:dyDescent="0.3">
      <c r="A2554" s="4">
        <v>2670</v>
      </c>
      <c r="B2554" s="5">
        <v>2547</v>
      </c>
      <c r="C2554">
        <v>12629</v>
      </c>
      <c r="D2554" t="s">
        <v>22684</v>
      </c>
      <c r="E2554" t="s">
        <v>3184</v>
      </c>
      <c r="F2554" t="s">
        <v>124</v>
      </c>
      <c r="G2554" t="s">
        <v>22685</v>
      </c>
      <c r="H2554">
        <v>19.28</v>
      </c>
      <c r="I2554">
        <v>0</v>
      </c>
      <c r="J2554">
        <v>0</v>
      </c>
      <c r="K2554">
        <v>0</v>
      </c>
      <c r="N2554">
        <v>3</v>
      </c>
      <c r="O2554">
        <v>3</v>
      </c>
      <c r="P2554">
        <v>4</v>
      </c>
      <c r="Q2554">
        <v>0</v>
      </c>
      <c r="R2554">
        <v>26.28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6</v>
      </c>
      <c r="AC2554">
        <v>0</v>
      </c>
      <c r="AH2554">
        <v>32.28</v>
      </c>
    </row>
    <row r="2555" spans="1:34" x14ac:dyDescent="0.3">
      <c r="A2555" s="4">
        <v>2671</v>
      </c>
      <c r="B2555" s="5">
        <v>2548</v>
      </c>
      <c r="C2555">
        <v>472</v>
      </c>
      <c r="D2555" t="s">
        <v>22686</v>
      </c>
      <c r="E2555" t="s">
        <v>71</v>
      </c>
      <c r="F2555" t="s">
        <v>55</v>
      </c>
      <c r="G2555" t="s">
        <v>22687</v>
      </c>
      <c r="H2555">
        <v>19.28</v>
      </c>
      <c r="I2555">
        <v>0</v>
      </c>
      <c r="J2555">
        <v>0</v>
      </c>
      <c r="K2555">
        <v>0</v>
      </c>
      <c r="N2555">
        <v>3</v>
      </c>
      <c r="O2555">
        <v>3</v>
      </c>
      <c r="P2555">
        <v>4</v>
      </c>
      <c r="Q2555">
        <v>0</v>
      </c>
      <c r="R2555">
        <v>26.28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6</v>
      </c>
      <c r="AC2555">
        <v>0</v>
      </c>
      <c r="AH2555">
        <v>32.28</v>
      </c>
    </row>
    <row r="2556" spans="1:34" x14ac:dyDescent="0.3">
      <c r="A2556" s="4">
        <v>2672</v>
      </c>
      <c r="B2556" s="5">
        <v>2549</v>
      </c>
      <c r="C2556">
        <v>8503</v>
      </c>
      <c r="D2556" t="s">
        <v>22688</v>
      </c>
      <c r="E2556" t="s">
        <v>33</v>
      </c>
      <c r="F2556" t="s">
        <v>30</v>
      </c>
      <c r="G2556" t="s">
        <v>22689</v>
      </c>
      <c r="H2556">
        <v>19.28</v>
      </c>
      <c r="I2556">
        <v>0</v>
      </c>
      <c r="J2556">
        <v>0</v>
      </c>
      <c r="K2556">
        <v>0</v>
      </c>
      <c r="N2556">
        <v>3</v>
      </c>
      <c r="O2556">
        <v>3</v>
      </c>
      <c r="P2556">
        <v>4</v>
      </c>
      <c r="Q2556">
        <v>0</v>
      </c>
      <c r="R2556">
        <v>26.28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6</v>
      </c>
      <c r="AC2556">
        <v>0</v>
      </c>
      <c r="AH2556">
        <v>32.28</v>
      </c>
    </row>
    <row r="2557" spans="1:34" x14ac:dyDescent="0.3">
      <c r="A2557" s="4">
        <v>2673</v>
      </c>
      <c r="B2557" s="5">
        <v>2550</v>
      </c>
      <c r="C2557">
        <v>3754</v>
      </c>
      <c r="D2557" t="s">
        <v>22690</v>
      </c>
      <c r="E2557" t="s">
        <v>825</v>
      </c>
      <c r="F2557" t="s">
        <v>91</v>
      </c>
      <c r="G2557" t="s">
        <v>22691</v>
      </c>
      <c r="H2557">
        <v>19.28</v>
      </c>
      <c r="I2557">
        <v>0</v>
      </c>
      <c r="J2557">
        <v>0</v>
      </c>
      <c r="K2557">
        <v>0</v>
      </c>
      <c r="L2557">
        <v>7</v>
      </c>
      <c r="O2557">
        <v>7</v>
      </c>
      <c r="P2557">
        <v>4</v>
      </c>
      <c r="Q2557">
        <v>2</v>
      </c>
      <c r="R2557">
        <v>32.28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H2557">
        <v>32.28</v>
      </c>
    </row>
    <row r="2558" spans="1:34" x14ac:dyDescent="0.3">
      <c r="A2558" s="4">
        <v>2674</v>
      </c>
      <c r="B2558" s="5">
        <v>2551</v>
      </c>
      <c r="C2558">
        <v>12779</v>
      </c>
      <c r="D2558" t="s">
        <v>22692</v>
      </c>
      <c r="E2558" t="s">
        <v>132</v>
      </c>
      <c r="F2558" t="s">
        <v>972</v>
      </c>
      <c r="G2558" t="s">
        <v>22693</v>
      </c>
      <c r="H2558">
        <v>19.25</v>
      </c>
      <c r="I2558">
        <v>0</v>
      </c>
      <c r="J2558">
        <v>0</v>
      </c>
      <c r="K2558">
        <v>0</v>
      </c>
      <c r="N2558">
        <v>3</v>
      </c>
      <c r="O2558">
        <v>3</v>
      </c>
      <c r="P2558">
        <v>4</v>
      </c>
      <c r="Q2558">
        <v>0</v>
      </c>
      <c r="R2558">
        <v>26.25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6</v>
      </c>
      <c r="AC2558">
        <v>0</v>
      </c>
      <c r="AH2558">
        <v>32.25</v>
      </c>
    </row>
    <row r="2559" spans="1:34" x14ac:dyDescent="0.3">
      <c r="A2559" s="4">
        <v>2675</v>
      </c>
      <c r="B2559" s="5">
        <v>2552</v>
      </c>
      <c r="C2559">
        <v>6995</v>
      </c>
      <c r="D2559" t="s">
        <v>22694</v>
      </c>
      <c r="E2559" t="s">
        <v>1089</v>
      </c>
      <c r="F2559" t="s">
        <v>55</v>
      </c>
      <c r="G2559" t="s">
        <v>22695</v>
      </c>
      <c r="H2559">
        <v>18.25</v>
      </c>
      <c r="I2559">
        <v>0</v>
      </c>
      <c r="J2559">
        <v>0</v>
      </c>
      <c r="K2559">
        <v>0</v>
      </c>
      <c r="L2559">
        <v>7</v>
      </c>
      <c r="O2559">
        <v>7</v>
      </c>
      <c r="P2559">
        <v>4</v>
      </c>
      <c r="Q2559">
        <v>0</v>
      </c>
      <c r="R2559">
        <v>29.25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3</v>
      </c>
      <c r="AC2559">
        <v>0</v>
      </c>
      <c r="AH2559">
        <v>32.25</v>
      </c>
    </row>
    <row r="2560" spans="1:34" x14ac:dyDescent="0.3">
      <c r="A2560" s="4">
        <v>2676</v>
      </c>
      <c r="B2560" s="5">
        <v>2553</v>
      </c>
      <c r="C2560">
        <v>7790</v>
      </c>
      <c r="D2560" t="s">
        <v>22696</v>
      </c>
      <c r="E2560" t="s">
        <v>1280</v>
      </c>
      <c r="F2560" t="s">
        <v>2442</v>
      </c>
      <c r="G2560" t="s">
        <v>22697</v>
      </c>
      <c r="H2560">
        <v>21.25</v>
      </c>
      <c r="I2560">
        <v>0</v>
      </c>
      <c r="J2560">
        <v>0</v>
      </c>
      <c r="K2560">
        <v>0</v>
      </c>
      <c r="L2560">
        <v>7</v>
      </c>
      <c r="O2560">
        <v>7</v>
      </c>
      <c r="P2560">
        <v>4</v>
      </c>
      <c r="Q2560">
        <v>0</v>
      </c>
      <c r="R2560">
        <v>32.25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 t="s">
        <v>130</v>
      </c>
      <c r="AH2560">
        <v>32.25</v>
      </c>
    </row>
    <row r="2561" spans="1:34" x14ac:dyDescent="0.3">
      <c r="A2561" s="4">
        <v>2677</v>
      </c>
      <c r="B2561" s="5">
        <v>2554</v>
      </c>
      <c r="C2561">
        <v>11682</v>
      </c>
      <c r="D2561" t="s">
        <v>6914</v>
      </c>
      <c r="E2561" t="s">
        <v>132</v>
      </c>
      <c r="F2561" t="s">
        <v>8147</v>
      </c>
      <c r="G2561" t="s">
        <v>22698</v>
      </c>
      <c r="H2561">
        <v>16.23</v>
      </c>
      <c r="I2561">
        <v>0</v>
      </c>
      <c r="J2561">
        <v>0</v>
      </c>
      <c r="K2561">
        <v>0</v>
      </c>
      <c r="N2561">
        <v>3</v>
      </c>
      <c r="O2561">
        <v>3</v>
      </c>
      <c r="P2561">
        <v>4</v>
      </c>
      <c r="Q2561">
        <v>0</v>
      </c>
      <c r="R2561">
        <v>23.23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9</v>
      </c>
      <c r="AC2561">
        <v>0</v>
      </c>
      <c r="AH2561">
        <v>32.229999999999997</v>
      </c>
    </row>
    <row r="2562" spans="1:34" x14ac:dyDescent="0.3">
      <c r="A2562" s="4">
        <v>2678</v>
      </c>
      <c r="B2562" s="5">
        <v>2555</v>
      </c>
      <c r="C2562">
        <v>4617</v>
      </c>
      <c r="D2562" t="s">
        <v>14582</v>
      </c>
      <c r="E2562" t="s">
        <v>147</v>
      </c>
      <c r="F2562" t="s">
        <v>171</v>
      </c>
      <c r="G2562" t="s">
        <v>22699</v>
      </c>
      <c r="H2562">
        <v>19.23</v>
      </c>
      <c r="I2562">
        <v>0</v>
      </c>
      <c r="J2562">
        <v>0</v>
      </c>
      <c r="K2562">
        <v>0</v>
      </c>
      <c r="N2562">
        <v>3</v>
      </c>
      <c r="O2562">
        <v>3</v>
      </c>
      <c r="P2562">
        <v>4</v>
      </c>
      <c r="Q2562">
        <v>0</v>
      </c>
      <c r="R2562">
        <v>26.23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6</v>
      </c>
      <c r="AC2562">
        <v>0</v>
      </c>
      <c r="AH2562">
        <v>32.229999999999997</v>
      </c>
    </row>
    <row r="2563" spans="1:34" x14ac:dyDescent="0.3">
      <c r="A2563" s="4">
        <v>2679</v>
      </c>
      <c r="B2563" s="5">
        <v>2556</v>
      </c>
      <c r="C2563">
        <v>10561</v>
      </c>
      <c r="D2563" t="s">
        <v>16460</v>
      </c>
      <c r="E2563" t="s">
        <v>110</v>
      </c>
      <c r="F2563" t="s">
        <v>30</v>
      </c>
      <c r="G2563" t="s">
        <v>22700</v>
      </c>
      <c r="H2563">
        <v>19.23</v>
      </c>
      <c r="I2563">
        <v>0</v>
      </c>
      <c r="J2563">
        <v>0</v>
      </c>
      <c r="K2563">
        <v>0</v>
      </c>
      <c r="N2563">
        <v>3</v>
      </c>
      <c r="O2563">
        <v>3</v>
      </c>
      <c r="P2563">
        <v>4</v>
      </c>
      <c r="Q2563">
        <v>0</v>
      </c>
      <c r="R2563">
        <v>26.23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6</v>
      </c>
      <c r="AC2563">
        <v>0</v>
      </c>
      <c r="AH2563">
        <v>32.229999999999997</v>
      </c>
    </row>
    <row r="2564" spans="1:34" x14ac:dyDescent="0.3">
      <c r="A2564" s="4">
        <v>2680</v>
      </c>
      <c r="B2564" s="5">
        <v>2557</v>
      </c>
      <c r="C2564">
        <v>3766</v>
      </c>
      <c r="D2564" t="s">
        <v>12883</v>
      </c>
      <c r="E2564" t="s">
        <v>166</v>
      </c>
      <c r="F2564" t="s">
        <v>20</v>
      </c>
      <c r="G2564" t="s">
        <v>22701</v>
      </c>
      <c r="H2564">
        <v>19.23</v>
      </c>
      <c r="I2564">
        <v>0</v>
      </c>
      <c r="J2564">
        <v>0</v>
      </c>
      <c r="K2564">
        <v>0</v>
      </c>
      <c r="L2564">
        <v>7</v>
      </c>
      <c r="O2564">
        <v>7</v>
      </c>
      <c r="P2564">
        <v>4</v>
      </c>
      <c r="Q2564">
        <v>2</v>
      </c>
      <c r="R2564">
        <v>32.229999999999997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H2564">
        <v>32.229999999999997</v>
      </c>
    </row>
    <row r="2565" spans="1:34" x14ac:dyDescent="0.3">
      <c r="A2565" s="4">
        <v>2681</v>
      </c>
      <c r="B2565" s="5">
        <v>2558</v>
      </c>
      <c r="C2565">
        <v>10288</v>
      </c>
      <c r="D2565" t="s">
        <v>22321</v>
      </c>
      <c r="E2565" t="s">
        <v>283</v>
      </c>
      <c r="F2565" t="s">
        <v>158</v>
      </c>
      <c r="G2565" t="s">
        <v>22702</v>
      </c>
      <c r="H2565">
        <v>19.2</v>
      </c>
      <c r="I2565">
        <v>0</v>
      </c>
      <c r="J2565">
        <v>0</v>
      </c>
      <c r="K2565">
        <v>0</v>
      </c>
      <c r="N2565">
        <v>3</v>
      </c>
      <c r="O2565">
        <v>3</v>
      </c>
      <c r="P2565">
        <v>4</v>
      </c>
      <c r="Q2565">
        <v>0</v>
      </c>
      <c r="R2565">
        <v>26.2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6</v>
      </c>
      <c r="AC2565">
        <v>0</v>
      </c>
      <c r="AH2565">
        <v>32.200000000000003</v>
      </c>
    </row>
    <row r="2566" spans="1:34" x14ac:dyDescent="0.3">
      <c r="A2566" s="4">
        <v>2682</v>
      </c>
      <c r="B2566" s="5">
        <v>2559</v>
      </c>
      <c r="C2566">
        <v>12124</v>
      </c>
      <c r="D2566" t="s">
        <v>7041</v>
      </c>
      <c r="E2566" t="s">
        <v>110</v>
      </c>
      <c r="F2566" t="s">
        <v>30</v>
      </c>
      <c r="G2566" t="s">
        <v>22703</v>
      </c>
      <c r="H2566">
        <v>18.2</v>
      </c>
      <c r="I2566">
        <v>0</v>
      </c>
      <c r="J2566">
        <v>0</v>
      </c>
      <c r="K2566">
        <v>0</v>
      </c>
      <c r="L2566">
        <v>7</v>
      </c>
      <c r="O2566">
        <v>7</v>
      </c>
      <c r="P2566">
        <v>4</v>
      </c>
      <c r="Q2566">
        <v>0</v>
      </c>
      <c r="R2566">
        <v>29.2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3</v>
      </c>
      <c r="AC2566">
        <v>0</v>
      </c>
      <c r="AD2566" t="s">
        <v>130</v>
      </c>
      <c r="AH2566">
        <v>32.200000000000003</v>
      </c>
    </row>
    <row r="2567" spans="1:34" x14ac:dyDescent="0.3">
      <c r="A2567" s="4">
        <v>2683</v>
      </c>
      <c r="B2567" s="5">
        <v>2560</v>
      </c>
      <c r="C2567">
        <v>10233</v>
      </c>
      <c r="D2567" t="s">
        <v>22704</v>
      </c>
      <c r="E2567" t="s">
        <v>255</v>
      </c>
      <c r="F2567" t="s">
        <v>20</v>
      </c>
      <c r="G2567" t="s">
        <v>22705</v>
      </c>
      <c r="H2567">
        <v>22.18</v>
      </c>
      <c r="I2567">
        <v>0</v>
      </c>
      <c r="J2567">
        <v>0</v>
      </c>
      <c r="K2567">
        <v>0</v>
      </c>
      <c r="N2567">
        <v>3</v>
      </c>
      <c r="O2567">
        <v>3</v>
      </c>
      <c r="P2567">
        <v>4</v>
      </c>
      <c r="Q2567">
        <v>0</v>
      </c>
      <c r="R2567">
        <v>29.18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3</v>
      </c>
      <c r="AC2567">
        <v>0</v>
      </c>
      <c r="AH2567">
        <v>32.18</v>
      </c>
    </row>
    <row r="2568" spans="1:34" x14ac:dyDescent="0.3">
      <c r="A2568" s="4">
        <v>2684</v>
      </c>
      <c r="B2568" s="5">
        <v>2561</v>
      </c>
      <c r="C2568">
        <v>3535</v>
      </c>
      <c r="D2568" t="s">
        <v>22706</v>
      </c>
      <c r="E2568" t="s">
        <v>1371</v>
      </c>
      <c r="F2568" t="s">
        <v>34</v>
      </c>
      <c r="G2568" t="s">
        <v>22707</v>
      </c>
      <c r="H2568">
        <v>18.18</v>
      </c>
      <c r="I2568">
        <v>0</v>
      </c>
      <c r="J2568">
        <v>0</v>
      </c>
      <c r="K2568">
        <v>0</v>
      </c>
      <c r="L2568">
        <v>7</v>
      </c>
      <c r="O2568">
        <v>7</v>
      </c>
      <c r="P2568">
        <v>4</v>
      </c>
      <c r="Q2568">
        <v>0</v>
      </c>
      <c r="R2568">
        <v>29.18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3</v>
      </c>
      <c r="AC2568">
        <v>0</v>
      </c>
      <c r="AH2568">
        <v>32.18</v>
      </c>
    </row>
    <row r="2569" spans="1:34" x14ac:dyDescent="0.3">
      <c r="A2569" s="4">
        <v>2685</v>
      </c>
      <c r="B2569" s="5">
        <v>2562</v>
      </c>
      <c r="C2569">
        <v>9905</v>
      </c>
      <c r="D2569" t="s">
        <v>22708</v>
      </c>
      <c r="E2569" t="s">
        <v>26</v>
      </c>
      <c r="F2569" t="s">
        <v>22709</v>
      </c>
      <c r="G2569" t="s">
        <v>22710</v>
      </c>
      <c r="H2569">
        <v>18.18</v>
      </c>
      <c r="I2569">
        <v>0</v>
      </c>
      <c r="J2569">
        <v>0</v>
      </c>
      <c r="K2569">
        <v>0</v>
      </c>
      <c r="L2569">
        <v>7</v>
      </c>
      <c r="N2569">
        <v>3</v>
      </c>
      <c r="O2569">
        <v>10</v>
      </c>
      <c r="P2569">
        <v>4</v>
      </c>
      <c r="Q2569">
        <v>0</v>
      </c>
      <c r="R2569">
        <v>32.18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H2569">
        <v>32.18</v>
      </c>
    </row>
    <row r="2570" spans="1:34" x14ac:dyDescent="0.3">
      <c r="A2570" s="4">
        <v>2686</v>
      </c>
      <c r="B2570" s="5">
        <v>2563</v>
      </c>
      <c r="C2570">
        <v>10186</v>
      </c>
      <c r="D2570" t="s">
        <v>22711</v>
      </c>
      <c r="E2570" t="s">
        <v>575</v>
      </c>
      <c r="F2570" t="s">
        <v>22712</v>
      </c>
      <c r="G2570" t="s">
        <v>22713</v>
      </c>
      <c r="H2570">
        <v>19.149999999999999</v>
      </c>
      <c r="I2570">
        <v>0</v>
      </c>
      <c r="J2570">
        <v>0</v>
      </c>
      <c r="K2570">
        <v>0</v>
      </c>
      <c r="O2570">
        <v>0</v>
      </c>
      <c r="P2570">
        <v>4</v>
      </c>
      <c r="Q2570">
        <v>0</v>
      </c>
      <c r="R2570">
        <v>23.15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9</v>
      </c>
      <c r="AC2570">
        <v>0</v>
      </c>
      <c r="AH2570">
        <v>32.15</v>
      </c>
    </row>
    <row r="2571" spans="1:34" x14ac:dyDescent="0.3">
      <c r="A2571" s="4">
        <v>2687</v>
      </c>
      <c r="B2571" s="5">
        <v>2564</v>
      </c>
      <c r="C2571">
        <v>6212</v>
      </c>
      <c r="D2571" t="s">
        <v>3406</v>
      </c>
      <c r="E2571" t="s">
        <v>88</v>
      </c>
      <c r="F2571" t="s">
        <v>117</v>
      </c>
      <c r="G2571" t="s">
        <v>22714</v>
      </c>
      <c r="H2571">
        <v>19.149999999999999</v>
      </c>
      <c r="I2571">
        <v>0</v>
      </c>
      <c r="J2571">
        <v>0</v>
      </c>
      <c r="K2571">
        <v>0</v>
      </c>
      <c r="N2571">
        <v>3</v>
      </c>
      <c r="O2571">
        <v>3</v>
      </c>
      <c r="P2571">
        <v>4</v>
      </c>
      <c r="Q2571">
        <v>0</v>
      </c>
      <c r="R2571">
        <v>26.15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6</v>
      </c>
      <c r="AC2571">
        <v>0</v>
      </c>
      <c r="AH2571">
        <v>32.15</v>
      </c>
    </row>
    <row r="2572" spans="1:34" x14ac:dyDescent="0.3">
      <c r="A2572" s="4">
        <v>2688</v>
      </c>
      <c r="B2572" s="5">
        <v>2565</v>
      </c>
      <c r="C2572">
        <v>13020</v>
      </c>
      <c r="D2572" t="s">
        <v>3774</v>
      </c>
      <c r="E2572" t="s">
        <v>29</v>
      </c>
      <c r="F2572" t="s">
        <v>62</v>
      </c>
      <c r="G2572" t="s">
        <v>22715</v>
      </c>
      <c r="H2572">
        <v>22.15</v>
      </c>
      <c r="I2572">
        <v>0</v>
      </c>
      <c r="J2572">
        <v>0</v>
      </c>
      <c r="K2572">
        <v>0</v>
      </c>
      <c r="N2572">
        <v>3</v>
      </c>
      <c r="O2572">
        <v>3</v>
      </c>
      <c r="P2572">
        <v>4</v>
      </c>
      <c r="Q2572">
        <v>0</v>
      </c>
      <c r="R2572">
        <v>29.15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3</v>
      </c>
      <c r="AC2572">
        <v>0</v>
      </c>
      <c r="AH2572">
        <v>32.15</v>
      </c>
    </row>
    <row r="2573" spans="1:34" x14ac:dyDescent="0.3">
      <c r="A2573" s="4">
        <v>2689</v>
      </c>
      <c r="B2573" s="5">
        <v>2566</v>
      </c>
      <c r="C2573">
        <v>2119</v>
      </c>
      <c r="D2573" t="s">
        <v>11282</v>
      </c>
      <c r="E2573" t="s">
        <v>110</v>
      </c>
      <c r="F2573" t="s">
        <v>10541</v>
      </c>
      <c r="G2573" t="s">
        <v>22716</v>
      </c>
      <c r="H2573">
        <v>18.149999999999999</v>
      </c>
      <c r="I2573">
        <v>0</v>
      </c>
      <c r="J2573">
        <v>0</v>
      </c>
      <c r="K2573">
        <v>0</v>
      </c>
      <c r="L2573">
        <v>7</v>
      </c>
      <c r="O2573">
        <v>7</v>
      </c>
      <c r="P2573">
        <v>4</v>
      </c>
      <c r="Q2573">
        <v>0</v>
      </c>
      <c r="R2573">
        <v>29.15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3</v>
      </c>
      <c r="AC2573">
        <v>0</v>
      </c>
      <c r="AH2573">
        <v>32.15</v>
      </c>
    </row>
    <row r="2574" spans="1:34" x14ac:dyDescent="0.3">
      <c r="A2574" s="4">
        <v>2690</v>
      </c>
      <c r="B2574" s="5">
        <v>2567</v>
      </c>
      <c r="C2574">
        <v>12169</v>
      </c>
      <c r="D2574" t="s">
        <v>421</v>
      </c>
      <c r="E2574" t="s">
        <v>338</v>
      </c>
      <c r="F2574" t="s">
        <v>34</v>
      </c>
      <c r="G2574" t="s">
        <v>22717</v>
      </c>
      <c r="H2574">
        <v>19.13</v>
      </c>
      <c r="I2574">
        <v>0</v>
      </c>
      <c r="J2574">
        <v>0</v>
      </c>
      <c r="K2574">
        <v>0</v>
      </c>
      <c r="N2574">
        <v>3</v>
      </c>
      <c r="O2574">
        <v>3</v>
      </c>
      <c r="P2574">
        <v>4</v>
      </c>
      <c r="Q2574">
        <v>0</v>
      </c>
      <c r="R2574">
        <v>26.13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6</v>
      </c>
      <c r="AC2574">
        <v>0</v>
      </c>
      <c r="AH2574">
        <v>32.130000000000003</v>
      </c>
    </row>
    <row r="2575" spans="1:34" x14ac:dyDescent="0.3">
      <c r="A2575" s="4">
        <v>2691</v>
      </c>
      <c r="B2575" s="5">
        <v>2568</v>
      </c>
      <c r="C2575">
        <v>6774</v>
      </c>
      <c r="D2575" t="s">
        <v>22718</v>
      </c>
      <c r="E2575" t="s">
        <v>81</v>
      </c>
      <c r="F2575" t="s">
        <v>62</v>
      </c>
      <c r="G2575" t="s">
        <v>22719</v>
      </c>
      <c r="H2575">
        <v>22.13</v>
      </c>
      <c r="I2575">
        <v>0</v>
      </c>
      <c r="J2575">
        <v>0</v>
      </c>
      <c r="K2575">
        <v>0</v>
      </c>
      <c r="N2575">
        <v>3</v>
      </c>
      <c r="O2575">
        <v>3</v>
      </c>
      <c r="P2575">
        <v>4</v>
      </c>
      <c r="Q2575">
        <v>0</v>
      </c>
      <c r="R2575">
        <v>29.13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3</v>
      </c>
      <c r="AC2575">
        <v>0</v>
      </c>
      <c r="AH2575">
        <v>32.130000000000003</v>
      </c>
    </row>
    <row r="2576" spans="1:34" x14ac:dyDescent="0.3">
      <c r="A2576" s="4">
        <v>2692</v>
      </c>
      <c r="B2576" s="5">
        <v>2569</v>
      </c>
      <c r="C2576">
        <v>14244</v>
      </c>
      <c r="D2576" t="s">
        <v>496</v>
      </c>
      <c r="E2576" t="s">
        <v>166</v>
      </c>
      <c r="F2576" t="s">
        <v>17</v>
      </c>
      <c r="G2576" t="s">
        <v>22720</v>
      </c>
      <c r="H2576">
        <v>21.13</v>
      </c>
      <c r="I2576">
        <v>0</v>
      </c>
      <c r="J2576">
        <v>0</v>
      </c>
      <c r="K2576">
        <v>0</v>
      </c>
      <c r="L2576">
        <v>7</v>
      </c>
      <c r="O2576">
        <v>7</v>
      </c>
      <c r="P2576">
        <v>4</v>
      </c>
      <c r="Q2576">
        <v>0</v>
      </c>
      <c r="R2576">
        <v>32.130000000000003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H2576">
        <v>32.130000000000003</v>
      </c>
    </row>
    <row r="2577" spans="1:34" x14ac:dyDescent="0.3">
      <c r="A2577" s="4">
        <v>2693</v>
      </c>
      <c r="B2577" s="5">
        <v>2570</v>
      </c>
      <c r="C2577">
        <v>15517</v>
      </c>
      <c r="D2577" t="s">
        <v>22721</v>
      </c>
      <c r="E2577" t="s">
        <v>342</v>
      </c>
      <c r="F2577" t="s">
        <v>91</v>
      </c>
      <c r="G2577" t="s">
        <v>22722</v>
      </c>
      <c r="H2577">
        <v>18.13</v>
      </c>
      <c r="I2577">
        <v>0</v>
      </c>
      <c r="J2577">
        <v>0</v>
      </c>
      <c r="K2577">
        <v>0</v>
      </c>
      <c r="L2577">
        <v>7</v>
      </c>
      <c r="N2577">
        <v>3</v>
      </c>
      <c r="O2577">
        <v>10</v>
      </c>
      <c r="P2577">
        <v>4</v>
      </c>
      <c r="Q2577">
        <v>0</v>
      </c>
      <c r="R2577">
        <v>32.130000000000003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H2577">
        <v>32.130000000000003</v>
      </c>
    </row>
    <row r="2578" spans="1:34" x14ac:dyDescent="0.3">
      <c r="A2578" s="4">
        <v>2694</v>
      </c>
      <c r="B2578" s="5">
        <v>2571</v>
      </c>
      <c r="C2578">
        <v>14335</v>
      </c>
      <c r="D2578" t="s">
        <v>22723</v>
      </c>
      <c r="E2578" t="s">
        <v>1809</v>
      </c>
      <c r="F2578" t="s">
        <v>17</v>
      </c>
      <c r="G2578" t="s">
        <v>22724</v>
      </c>
      <c r="H2578">
        <v>18.13</v>
      </c>
      <c r="I2578">
        <v>0</v>
      </c>
      <c r="J2578">
        <v>0</v>
      </c>
      <c r="K2578">
        <v>0</v>
      </c>
      <c r="L2578">
        <v>7</v>
      </c>
      <c r="N2578">
        <v>3</v>
      </c>
      <c r="O2578">
        <v>10</v>
      </c>
      <c r="P2578">
        <v>4</v>
      </c>
      <c r="Q2578">
        <v>0</v>
      </c>
      <c r="R2578">
        <v>32.130000000000003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H2578">
        <v>32.130000000000003</v>
      </c>
    </row>
    <row r="2579" spans="1:34" x14ac:dyDescent="0.3">
      <c r="A2579" s="4">
        <v>2695</v>
      </c>
      <c r="B2579" s="5">
        <v>2572</v>
      </c>
      <c r="C2579">
        <v>15690</v>
      </c>
      <c r="D2579" t="s">
        <v>22725</v>
      </c>
      <c r="E2579" t="s">
        <v>22726</v>
      </c>
      <c r="F2579" t="s">
        <v>626</v>
      </c>
      <c r="G2579" t="s">
        <v>22727</v>
      </c>
      <c r="H2579">
        <v>21.1</v>
      </c>
      <c r="I2579">
        <v>0</v>
      </c>
      <c r="J2579">
        <v>0</v>
      </c>
      <c r="K2579">
        <v>0</v>
      </c>
      <c r="L2579">
        <v>7</v>
      </c>
      <c r="O2579">
        <v>7</v>
      </c>
      <c r="P2579">
        <v>4</v>
      </c>
      <c r="Q2579">
        <v>0</v>
      </c>
      <c r="R2579">
        <v>32.1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H2579">
        <v>32.1</v>
      </c>
    </row>
    <row r="2580" spans="1:34" x14ac:dyDescent="0.3">
      <c r="A2580" s="4">
        <v>2696</v>
      </c>
      <c r="B2580" s="5">
        <v>2573</v>
      </c>
      <c r="C2580">
        <v>4550</v>
      </c>
      <c r="D2580" t="s">
        <v>22728</v>
      </c>
      <c r="E2580" t="s">
        <v>789</v>
      </c>
      <c r="F2580" t="s">
        <v>521</v>
      </c>
      <c r="G2580" t="s">
        <v>22729</v>
      </c>
      <c r="H2580">
        <v>19.079999999999998</v>
      </c>
      <c r="I2580">
        <v>0</v>
      </c>
      <c r="J2580">
        <v>0</v>
      </c>
      <c r="K2580">
        <v>0</v>
      </c>
      <c r="N2580">
        <v>3</v>
      </c>
      <c r="O2580">
        <v>3</v>
      </c>
      <c r="P2580">
        <v>4</v>
      </c>
      <c r="Q2580">
        <v>0</v>
      </c>
      <c r="R2580">
        <v>26.08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6</v>
      </c>
      <c r="AC2580">
        <v>0</v>
      </c>
      <c r="AH2580">
        <v>32.08</v>
      </c>
    </row>
    <row r="2581" spans="1:34" x14ac:dyDescent="0.3">
      <c r="A2581" s="4">
        <v>2697</v>
      </c>
      <c r="B2581" s="5">
        <v>2574</v>
      </c>
      <c r="C2581">
        <v>12534</v>
      </c>
      <c r="D2581" t="s">
        <v>1526</v>
      </c>
      <c r="E2581" t="s">
        <v>52</v>
      </c>
      <c r="F2581" t="s">
        <v>136</v>
      </c>
      <c r="G2581" t="s">
        <v>22730</v>
      </c>
      <c r="H2581">
        <v>19.079999999999998</v>
      </c>
      <c r="I2581">
        <v>0</v>
      </c>
      <c r="J2581">
        <v>0</v>
      </c>
      <c r="K2581">
        <v>0</v>
      </c>
      <c r="L2581">
        <v>7</v>
      </c>
      <c r="O2581">
        <v>7</v>
      </c>
      <c r="P2581">
        <v>4</v>
      </c>
      <c r="Q2581">
        <v>2</v>
      </c>
      <c r="R2581">
        <v>32.08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H2581">
        <v>32.08</v>
      </c>
    </row>
    <row r="2582" spans="1:34" x14ac:dyDescent="0.3">
      <c r="A2582" s="4">
        <v>2698</v>
      </c>
      <c r="B2582" s="5">
        <v>2575</v>
      </c>
      <c r="C2582">
        <v>2896</v>
      </c>
      <c r="D2582" t="s">
        <v>22731</v>
      </c>
      <c r="E2582" t="s">
        <v>22732</v>
      </c>
      <c r="F2582" t="s">
        <v>22733</v>
      </c>
      <c r="G2582" t="s">
        <v>22734</v>
      </c>
      <c r="H2582">
        <v>18.079999999999998</v>
      </c>
      <c r="I2582">
        <v>0</v>
      </c>
      <c r="J2582">
        <v>0</v>
      </c>
      <c r="K2582">
        <v>0</v>
      </c>
      <c r="N2582">
        <v>3</v>
      </c>
      <c r="O2582">
        <v>3</v>
      </c>
      <c r="P2582">
        <v>4</v>
      </c>
      <c r="Q2582">
        <v>0</v>
      </c>
      <c r="R2582">
        <v>25.08</v>
      </c>
      <c r="S2582">
        <v>7</v>
      </c>
      <c r="T2582">
        <v>7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7</v>
      </c>
      <c r="AB2582">
        <v>0</v>
      </c>
      <c r="AC2582">
        <v>0</v>
      </c>
      <c r="AH2582">
        <v>32.08</v>
      </c>
    </row>
    <row r="2583" spans="1:34" x14ac:dyDescent="0.3">
      <c r="A2583" s="4">
        <v>2699</v>
      </c>
      <c r="B2583" s="5">
        <v>2576</v>
      </c>
      <c r="C2583">
        <v>10916</v>
      </c>
      <c r="D2583" t="s">
        <v>22735</v>
      </c>
      <c r="E2583" t="s">
        <v>744</v>
      </c>
      <c r="F2583" t="s">
        <v>190</v>
      </c>
      <c r="G2583" t="s">
        <v>22736</v>
      </c>
      <c r="H2583">
        <v>19.05</v>
      </c>
      <c r="I2583">
        <v>0</v>
      </c>
      <c r="J2583">
        <v>0</v>
      </c>
      <c r="K2583">
        <v>0</v>
      </c>
      <c r="N2583">
        <v>3</v>
      </c>
      <c r="O2583">
        <v>3</v>
      </c>
      <c r="P2583">
        <v>4</v>
      </c>
      <c r="Q2583">
        <v>0</v>
      </c>
      <c r="R2583">
        <v>26.05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6</v>
      </c>
      <c r="AC2583">
        <v>0</v>
      </c>
      <c r="AH2583">
        <v>32.049999999999997</v>
      </c>
    </row>
    <row r="2584" spans="1:34" x14ac:dyDescent="0.3">
      <c r="A2584" s="4">
        <v>2700</v>
      </c>
      <c r="B2584" s="5">
        <v>2577</v>
      </c>
      <c r="C2584">
        <v>3753</v>
      </c>
      <c r="D2584" t="s">
        <v>3404</v>
      </c>
      <c r="E2584" t="s">
        <v>1171</v>
      </c>
      <c r="F2584" t="s">
        <v>158</v>
      </c>
      <c r="G2584" t="s">
        <v>22737</v>
      </c>
      <c r="H2584">
        <v>19.05</v>
      </c>
      <c r="I2584">
        <v>0</v>
      </c>
      <c r="J2584">
        <v>0</v>
      </c>
      <c r="K2584">
        <v>0</v>
      </c>
      <c r="N2584">
        <v>3</v>
      </c>
      <c r="O2584">
        <v>3</v>
      </c>
      <c r="P2584">
        <v>4</v>
      </c>
      <c r="Q2584">
        <v>0</v>
      </c>
      <c r="R2584">
        <v>26.05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6</v>
      </c>
      <c r="AC2584">
        <v>0</v>
      </c>
      <c r="AH2584">
        <v>32.049999999999997</v>
      </c>
    </row>
    <row r="2585" spans="1:34" x14ac:dyDescent="0.3">
      <c r="A2585" s="4">
        <v>2701</v>
      </c>
      <c r="B2585" s="5">
        <v>2578</v>
      </c>
      <c r="C2585">
        <v>7031</v>
      </c>
      <c r="D2585" t="s">
        <v>22738</v>
      </c>
      <c r="E2585" t="s">
        <v>29</v>
      </c>
      <c r="F2585" t="s">
        <v>2582</v>
      </c>
      <c r="G2585" t="s">
        <v>22739</v>
      </c>
      <c r="H2585">
        <v>21.05</v>
      </c>
      <c r="I2585">
        <v>0</v>
      </c>
      <c r="J2585">
        <v>0</v>
      </c>
      <c r="K2585">
        <v>0</v>
      </c>
      <c r="L2585">
        <v>7</v>
      </c>
      <c r="O2585">
        <v>7</v>
      </c>
      <c r="P2585">
        <v>4</v>
      </c>
      <c r="Q2585">
        <v>0</v>
      </c>
      <c r="R2585">
        <v>32.049999999999997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H2585">
        <v>32.049999999999997</v>
      </c>
    </row>
    <row r="2586" spans="1:34" x14ac:dyDescent="0.3">
      <c r="A2586" s="4">
        <v>2702</v>
      </c>
      <c r="B2586" s="5">
        <v>2579</v>
      </c>
      <c r="C2586">
        <v>11890</v>
      </c>
      <c r="D2586" t="s">
        <v>3309</v>
      </c>
      <c r="E2586" t="s">
        <v>161</v>
      </c>
      <c r="F2586" t="s">
        <v>343</v>
      </c>
      <c r="G2586" t="s">
        <v>22740</v>
      </c>
      <c r="H2586">
        <v>20.05</v>
      </c>
      <c r="I2586">
        <v>0</v>
      </c>
      <c r="J2586">
        <v>0</v>
      </c>
      <c r="K2586">
        <v>0</v>
      </c>
      <c r="N2586">
        <v>3</v>
      </c>
      <c r="O2586">
        <v>3</v>
      </c>
      <c r="P2586">
        <v>4</v>
      </c>
      <c r="Q2586">
        <v>0</v>
      </c>
      <c r="R2586">
        <v>27.05</v>
      </c>
      <c r="S2586">
        <v>5</v>
      </c>
      <c r="T2586">
        <v>5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5</v>
      </c>
      <c r="AB2586">
        <v>0</v>
      </c>
      <c r="AC2586">
        <v>0</v>
      </c>
      <c r="AH2586">
        <v>32.049999999999997</v>
      </c>
    </row>
    <row r="2587" spans="1:34" x14ac:dyDescent="0.3">
      <c r="A2587" s="4">
        <v>2703</v>
      </c>
      <c r="B2587" s="5">
        <v>2580</v>
      </c>
      <c r="C2587">
        <v>7313</v>
      </c>
      <c r="D2587" t="s">
        <v>22741</v>
      </c>
      <c r="E2587" t="s">
        <v>361</v>
      </c>
      <c r="F2587" t="s">
        <v>136</v>
      </c>
      <c r="G2587" t="s">
        <v>22742</v>
      </c>
      <c r="H2587">
        <v>17.05</v>
      </c>
      <c r="I2587">
        <v>0</v>
      </c>
      <c r="J2587">
        <v>0</v>
      </c>
      <c r="K2587">
        <v>0</v>
      </c>
      <c r="N2587">
        <v>3</v>
      </c>
      <c r="O2587">
        <v>3</v>
      </c>
      <c r="P2587">
        <v>4</v>
      </c>
      <c r="Q2587">
        <v>0</v>
      </c>
      <c r="R2587">
        <v>24.05</v>
      </c>
      <c r="S2587">
        <v>8</v>
      </c>
      <c r="T2587">
        <v>8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8</v>
      </c>
      <c r="AB2587">
        <v>0</v>
      </c>
      <c r="AC2587">
        <v>0</v>
      </c>
      <c r="AH2587">
        <v>32.049999999999997</v>
      </c>
    </row>
    <row r="2588" spans="1:34" x14ac:dyDescent="0.3">
      <c r="A2588" s="4">
        <v>2704</v>
      </c>
      <c r="B2588" s="5">
        <v>2581</v>
      </c>
      <c r="C2588">
        <v>14396</v>
      </c>
      <c r="D2588" t="s">
        <v>1742</v>
      </c>
      <c r="E2588" t="s">
        <v>276</v>
      </c>
      <c r="F2588" t="s">
        <v>136</v>
      </c>
      <c r="G2588" t="s">
        <v>22743</v>
      </c>
      <c r="H2588">
        <v>19.03</v>
      </c>
      <c r="I2588">
        <v>0</v>
      </c>
      <c r="J2588">
        <v>0</v>
      </c>
      <c r="K2588">
        <v>0</v>
      </c>
      <c r="N2588">
        <v>3</v>
      </c>
      <c r="O2588">
        <v>3</v>
      </c>
      <c r="P2588">
        <v>4</v>
      </c>
      <c r="Q2588">
        <v>0</v>
      </c>
      <c r="R2588">
        <v>26.03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6</v>
      </c>
      <c r="AC2588">
        <v>0</v>
      </c>
      <c r="AH2588">
        <v>32.03</v>
      </c>
    </row>
    <row r="2589" spans="1:34" x14ac:dyDescent="0.3">
      <c r="A2589" s="4">
        <v>2705</v>
      </c>
      <c r="B2589" s="5">
        <v>2582</v>
      </c>
      <c r="C2589">
        <v>6983</v>
      </c>
      <c r="D2589" t="s">
        <v>22744</v>
      </c>
      <c r="E2589" t="s">
        <v>22745</v>
      </c>
      <c r="F2589" t="s">
        <v>649</v>
      </c>
      <c r="G2589" t="s">
        <v>22746</v>
      </c>
      <c r="H2589">
        <v>22.03</v>
      </c>
      <c r="I2589">
        <v>0</v>
      </c>
      <c r="J2589">
        <v>0</v>
      </c>
      <c r="K2589">
        <v>0</v>
      </c>
      <c r="N2589">
        <v>3</v>
      </c>
      <c r="O2589">
        <v>3</v>
      </c>
      <c r="P2589">
        <v>4</v>
      </c>
      <c r="Q2589">
        <v>0</v>
      </c>
      <c r="R2589">
        <v>29.03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3</v>
      </c>
      <c r="AC2589">
        <v>0</v>
      </c>
      <c r="AH2589">
        <v>32.03</v>
      </c>
    </row>
    <row r="2590" spans="1:34" x14ac:dyDescent="0.3">
      <c r="A2590" s="4">
        <v>2706</v>
      </c>
      <c r="B2590" s="5">
        <v>2583</v>
      </c>
      <c r="C2590">
        <v>5417</v>
      </c>
      <c r="D2590" t="s">
        <v>22747</v>
      </c>
      <c r="E2590" t="s">
        <v>424</v>
      </c>
      <c r="F2590" t="s">
        <v>20</v>
      </c>
      <c r="G2590" t="s">
        <v>22748</v>
      </c>
      <c r="H2590">
        <v>19</v>
      </c>
      <c r="I2590">
        <v>0</v>
      </c>
      <c r="J2590">
        <v>0</v>
      </c>
      <c r="K2590">
        <v>0</v>
      </c>
      <c r="N2590">
        <v>3</v>
      </c>
      <c r="O2590">
        <v>3</v>
      </c>
      <c r="P2590">
        <v>4</v>
      </c>
      <c r="Q2590">
        <v>0</v>
      </c>
      <c r="R2590">
        <v>26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6</v>
      </c>
      <c r="AC2590">
        <v>0</v>
      </c>
      <c r="AH2590">
        <v>32</v>
      </c>
    </row>
    <row r="2591" spans="1:34" x14ac:dyDescent="0.3">
      <c r="A2591" s="4">
        <v>2707</v>
      </c>
      <c r="B2591" s="5">
        <v>2584</v>
      </c>
      <c r="C2591">
        <v>12014</v>
      </c>
      <c r="D2591" t="s">
        <v>4597</v>
      </c>
      <c r="E2591" t="s">
        <v>967</v>
      </c>
      <c r="F2591" t="s">
        <v>62</v>
      </c>
      <c r="G2591" t="s">
        <v>22749</v>
      </c>
      <c r="H2591">
        <v>19</v>
      </c>
      <c r="I2591">
        <v>0</v>
      </c>
      <c r="J2591">
        <v>0</v>
      </c>
      <c r="K2591">
        <v>0</v>
      </c>
      <c r="N2591">
        <v>3</v>
      </c>
      <c r="O2591">
        <v>3</v>
      </c>
      <c r="P2591">
        <v>4</v>
      </c>
      <c r="Q2591">
        <v>0</v>
      </c>
      <c r="R2591">
        <v>26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6</v>
      </c>
      <c r="AC2591">
        <v>0</v>
      </c>
      <c r="AH2591">
        <v>32</v>
      </c>
    </row>
    <row r="2592" spans="1:34" x14ac:dyDescent="0.3">
      <c r="A2592" s="4">
        <v>2708</v>
      </c>
      <c r="B2592" s="5">
        <v>2585</v>
      </c>
      <c r="C2592">
        <v>5915</v>
      </c>
      <c r="D2592" t="s">
        <v>181</v>
      </c>
      <c r="E2592" t="s">
        <v>100</v>
      </c>
      <c r="F2592" t="s">
        <v>801</v>
      </c>
      <c r="G2592" t="s">
        <v>22750</v>
      </c>
      <c r="H2592">
        <v>19</v>
      </c>
      <c r="I2592">
        <v>0</v>
      </c>
      <c r="J2592">
        <v>0</v>
      </c>
      <c r="K2592">
        <v>0</v>
      </c>
      <c r="L2592">
        <v>7</v>
      </c>
      <c r="O2592">
        <v>7</v>
      </c>
      <c r="P2592">
        <v>0</v>
      </c>
      <c r="Q2592">
        <v>0</v>
      </c>
      <c r="R2592">
        <v>26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6</v>
      </c>
      <c r="AC2592">
        <v>0</v>
      </c>
      <c r="AH2592">
        <v>32</v>
      </c>
    </row>
    <row r="2593" spans="1:34" x14ac:dyDescent="0.3">
      <c r="A2593" s="4">
        <v>2709</v>
      </c>
      <c r="B2593" s="5">
        <v>2586</v>
      </c>
      <c r="C2593">
        <v>16</v>
      </c>
      <c r="D2593" t="s">
        <v>5483</v>
      </c>
      <c r="E2593" t="s">
        <v>110</v>
      </c>
      <c r="F2593" t="s">
        <v>801</v>
      </c>
      <c r="G2593" t="s">
        <v>22751</v>
      </c>
      <c r="H2593">
        <v>20</v>
      </c>
      <c r="I2593">
        <v>0</v>
      </c>
      <c r="J2593">
        <v>0</v>
      </c>
      <c r="K2593">
        <v>0</v>
      </c>
      <c r="M2593">
        <v>5</v>
      </c>
      <c r="O2593">
        <v>5</v>
      </c>
      <c r="P2593">
        <v>4</v>
      </c>
      <c r="Q2593">
        <v>0</v>
      </c>
      <c r="R2593">
        <v>29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3</v>
      </c>
      <c r="AC2593">
        <v>0</v>
      </c>
      <c r="AD2593" t="s">
        <v>130</v>
      </c>
      <c r="AH2593">
        <v>32</v>
      </c>
    </row>
    <row r="2594" spans="1:34" x14ac:dyDescent="0.3">
      <c r="A2594" s="4">
        <v>2710</v>
      </c>
      <c r="B2594" s="5">
        <v>2587</v>
      </c>
      <c r="C2594">
        <v>3997</v>
      </c>
      <c r="D2594" t="s">
        <v>6460</v>
      </c>
      <c r="E2594" t="s">
        <v>147</v>
      </c>
      <c r="F2594" t="s">
        <v>81</v>
      </c>
      <c r="G2594" t="s">
        <v>22752</v>
      </c>
      <c r="H2594">
        <v>19</v>
      </c>
      <c r="I2594">
        <v>0</v>
      </c>
      <c r="J2594">
        <v>0</v>
      </c>
      <c r="K2594">
        <v>0</v>
      </c>
      <c r="L2594">
        <v>7</v>
      </c>
      <c r="O2594">
        <v>7</v>
      </c>
      <c r="P2594">
        <v>4</v>
      </c>
      <c r="Q2594">
        <v>2</v>
      </c>
      <c r="R2594">
        <v>32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H2594">
        <v>32</v>
      </c>
    </row>
    <row r="2595" spans="1:34" x14ac:dyDescent="0.3">
      <c r="A2595" s="4">
        <v>2711</v>
      </c>
      <c r="B2595" s="5">
        <v>2588</v>
      </c>
      <c r="C2595">
        <v>11410</v>
      </c>
      <c r="D2595" t="s">
        <v>11138</v>
      </c>
      <c r="E2595" t="s">
        <v>22</v>
      </c>
      <c r="F2595" t="s">
        <v>91</v>
      </c>
      <c r="G2595" t="s">
        <v>22753</v>
      </c>
      <c r="H2595">
        <v>18.98</v>
      </c>
      <c r="I2595">
        <v>0</v>
      </c>
      <c r="J2595">
        <v>0</v>
      </c>
      <c r="K2595">
        <v>0</v>
      </c>
      <c r="N2595">
        <v>3</v>
      </c>
      <c r="O2595">
        <v>3</v>
      </c>
      <c r="P2595">
        <v>4</v>
      </c>
      <c r="Q2595">
        <v>0</v>
      </c>
      <c r="R2595">
        <v>25.98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6</v>
      </c>
      <c r="AC2595">
        <v>0</v>
      </c>
      <c r="AH2595">
        <v>31.98</v>
      </c>
    </row>
    <row r="2596" spans="1:34" x14ac:dyDescent="0.3">
      <c r="A2596" s="4">
        <v>2712</v>
      </c>
      <c r="B2596" s="5">
        <v>2589</v>
      </c>
      <c r="C2596">
        <v>4982</v>
      </c>
      <c r="D2596" t="s">
        <v>22754</v>
      </c>
      <c r="E2596" t="s">
        <v>789</v>
      </c>
      <c r="F2596" t="s">
        <v>3094</v>
      </c>
      <c r="G2596" t="s">
        <v>22755</v>
      </c>
      <c r="H2596">
        <v>18.93</v>
      </c>
      <c r="I2596">
        <v>0</v>
      </c>
      <c r="J2596">
        <v>0</v>
      </c>
      <c r="K2596">
        <v>0</v>
      </c>
      <c r="N2596">
        <v>3</v>
      </c>
      <c r="O2596">
        <v>3</v>
      </c>
      <c r="P2596">
        <v>4</v>
      </c>
      <c r="Q2596">
        <v>0</v>
      </c>
      <c r="R2596">
        <v>25.93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6</v>
      </c>
      <c r="AC2596">
        <v>0</v>
      </c>
      <c r="AH2596">
        <v>31.93</v>
      </c>
    </row>
    <row r="2597" spans="1:34" x14ac:dyDescent="0.3">
      <c r="A2597" s="4">
        <v>2713</v>
      </c>
      <c r="B2597" s="5">
        <v>2590</v>
      </c>
      <c r="C2597">
        <v>4199</v>
      </c>
      <c r="D2597" t="s">
        <v>3091</v>
      </c>
      <c r="E2597" t="s">
        <v>268</v>
      </c>
      <c r="F2597" t="s">
        <v>17</v>
      </c>
      <c r="G2597" t="s">
        <v>22756</v>
      </c>
      <c r="H2597">
        <v>20.93</v>
      </c>
      <c r="I2597">
        <v>0</v>
      </c>
      <c r="J2597">
        <v>0</v>
      </c>
      <c r="K2597">
        <v>0</v>
      </c>
      <c r="L2597">
        <v>7</v>
      </c>
      <c r="O2597">
        <v>7</v>
      </c>
      <c r="P2597">
        <v>4</v>
      </c>
      <c r="Q2597">
        <v>0</v>
      </c>
      <c r="R2597">
        <v>31.93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H2597">
        <v>31.93</v>
      </c>
    </row>
    <row r="2598" spans="1:34" x14ac:dyDescent="0.3">
      <c r="A2598" s="4">
        <v>2714</v>
      </c>
      <c r="B2598" s="5">
        <v>2591</v>
      </c>
      <c r="C2598">
        <v>6042</v>
      </c>
      <c r="D2598" t="s">
        <v>4675</v>
      </c>
      <c r="E2598" t="s">
        <v>182</v>
      </c>
      <c r="F2598" t="s">
        <v>124</v>
      </c>
      <c r="G2598" t="s">
        <v>22757</v>
      </c>
      <c r="H2598">
        <v>17.93</v>
      </c>
      <c r="I2598">
        <v>0</v>
      </c>
      <c r="J2598">
        <v>0</v>
      </c>
      <c r="K2598">
        <v>0</v>
      </c>
      <c r="L2598">
        <v>7</v>
      </c>
      <c r="N2598">
        <v>3</v>
      </c>
      <c r="O2598">
        <v>10</v>
      </c>
      <c r="P2598">
        <v>4</v>
      </c>
      <c r="Q2598">
        <v>0</v>
      </c>
      <c r="R2598">
        <v>31.93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H2598">
        <v>31.93</v>
      </c>
    </row>
    <row r="2599" spans="1:34" x14ac:dyDescent="0.3">
      <c r="A2599" s="4">
        <v>2715</v>
      </c>
      <c r="B2599" s="5">
        <v>2592</v>
      </c>
      <c r="C2599">
        <v>6445</v>
      </c>
      <c r="D2599" t="s">
        <v>1058</v>
      </c>
      <c r="E2599" t="s">
        <v>33</v>
      </c>
      <c r="F2599" t="s">
        <v>81</v>
      </c>
      <c r="G2599" t="s">
        <v>22758</v>
      </c>
      <c r="H2599">
        <v>18.899999999999999</v>
      </c>
      <c r="I2599">
        <v>0</v>
      </c>
      <c r="J2599">
        <v>0</v>
      </c>
      <c r="K2599">
        <v>0</v>
      </c>
      <c r="N2599">
        <v>3</v>
      </c>
      <c r="O2599">
        <v>3</v>
      </c>
      <c r="P2599">
        <v>4</v>
      </c>
      <c r="Q2599">
        <v>0</v>
      </c>
      <c r="R2599">
        <v>25.9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6</v>
      </c>
      <c r="AC2599">
        <v>0</v>
      </c>
      <c r="AH2599">
        <v>31.9</v>
      </c>
    </row>
    <row r="2600" spans="1:34" x14ac:dyDescent="0.3">
      <c r="A2600" s="4">
        <v>2716</v>
      </c>
      <c r="B2600" s="5">
        <v>2593</v>
      </c>
      <c r="C2600">
        <v>1600</v>
      </c>
      <c r="D2600" t="s">
        <v>22759</v>
      </c>
      <c r="E2600" t="s">
        <v>22760</v>
      </c>
      <c r="F2600" t="s">
        <v>17</v>
      </c>
      <c r="G2600" t="s">
        <v>22761</v>
      </c>
      <c r="H2600">
        <v>14.9</v>
      </c>
      <c r="I2600">
        <v>0</v>
      </c>
      <c r="J2600">
        <v>0</v>
      </c>
      <c r="K2600">
        <v>0</v>
      </c>
      <c r="L2600">
        <v>7</v>
      </c>
      <c r="O2600">
        <v>7</v>
      </c>
      <c r="P2600">
        <v>4</v>
      </c>
      <c r="Q2600">
        <v>0</v>
      </c>
      <c r="R2600">
        <v>25.9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6</v>
      </c>
      <c r="AC2600">
        <v>0</v>
      </c>
      <c r="AH2600">
        <v>31.9</v>
      </c>
    </row>
    <row r="2601" spans="1:34" x14ac:dyDescent="0.3">
      <c r="A2601" s="4">
        <v>2717</v>
      </c>
      <c r="B2601" s="5">
        <v>2594</v>
      </c>
      <c r="C2601">
        <v>9705</v>
      </c>
      <c r="D2601" t="s">
        <v>11520</v>
      </c>
      <c r="E2601" t="s">
        <v>88</v>
      </c>
      <c r="F2601" t="s">
        <v>190</v>
      </c>
      <c r="G2601" t="s">
        <v>22762</v>
      </c>
      <c r="H2601">
        <v>19.88</v>
      </c>
      <c r="I2601">
        <v>0</v>
      </c>
      <c r="J2601">
        <v>0</v>
      </c>
      <c r="K2601">
        <v>0</v>
      </c>
      <c r="O2601">
        <v>0</v>
      </c>
      <c r="P2601">
        <v>4</v>
      </c>
      <c r="Q2601">
        <v>2</v>
      </c>
      <c r="R2601">
        <v>25.88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6</v>
      </c>
      <c r="AC2601">
        <v>0</v>
      </c>
      <c r="AH2601">
        <v>31.88</v>
      </c>
    </row>
    <row r="2602" spans="1:34" x14ac:dyDescent="0.3">
      <c r="A2602" s="4">
        <v>2718</v>
      </c>
      <c r="B2602" s="5">
        <v>2595</v>
      </c>
      <c r="C2602">
        <v>3569</v>
      </c>
      <c r="D2602" t="s">
        <v>22763</v>
      </c>
      <c r="E2602" t="s">
        <v>268</v>
      </c>
      <c r="F2602" t="s">
        <v>68</v>
      </c>
      <c r="G2602" t="s">
        <v>22764</v>
      </c>
      <c r="H2602">
        <v>18.88</v>
      </c>
      <c r="I2602">
        <v>0</v>
      </c>
      <c r="J2602">
        <v>0</v>
      </c>
      <c r="K2602">
        <v>0</v>
      </c>
      <c r="N2602">
        <v>3</v>
      </c>
      <c r="O2602">
        <v>3</v>
      </c>
      <c r="P2602">
        <v>4</v>
      </c>
      <c r="Q2602">
        <v>0</v>
      </c>
      <c r="R2602">
        <v>25.88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6</v>
      </c>
      <c r="AC2602">
        <v>0</v>
      </c>
      <c r="AH2602">
        <v>31.88</v>
      </c>
    </row>
    <row r="2603" spans="1:34" x14ac:dyDescent="0.3">
      <c r="A2603" s="4">
        <v>2719</v>
      </c>
      <c r="B2603" s="5">
        <v>2596</v>
      </c>
      <c r="C2603">
        <v>13198</v>
      </c>
      <c r="D2603" t="s">
        <v>22765</v>
      </c>
      <c r="E2603" t="s">
        <v>789</v>
      </c>
      <c r="F2603" t="s">
        <v>30</v>
      </c>
      <c r="G2603" t="s">
        <v>22766</v>
      </c>
      <c r="H2603">
        <v>18.88</v>
      </c>
      <c r="I2603">
        <v>0</v>
      </c>
      <c r="J2603">
        <v>0</v>
      </c>
      <c r="K2603">
        <v>0</v>
      </c>
      <c r="L2603">
        <v>7</v>
      </c>
      <c r="O2603">
        <v>7</v>
      </c>
      <c r="P2603">
        <v>4</v>
      </c>
      <c r="Q2603">
        <v>2</v>
      </c>
      <c r="R2603">
        <v>31.88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H2603">
        <v>31.88</v>
      </c>
    </row>
    <row r="2604" spans="1:34" x14ac:dyDescent="0.3">
      <c r="A2604" s="4">
        <v>2720</v>
      </c>
      <c r="B2604" s="5">
        <v>2597</v>
      </c>
      <c r="C2604">
        <v>9332</v>
      </c>
      <c r="D2604" t="s">
        <v>5387</v>
      </c>
      <c r="E2604" t="s">
        <v>5776</v>
      </c>
      <c r="F2604" t="s">
        <v>81</v>
      </c>
      <c r="G2604" t="s">
        <v>22767</v>
      </c>
      <c r="H2604">
        <v>18.850000000000001</v>
      </c>
      <c r="I2604">
        <v>0</v>
      </c>
      <c r="J2604">
        <v>0</v>
      </c>
      <c r="K2604">
        <v>0</v>
      </c>
      <c r="O2604">
        <v>0</v>
      </c>
      <c r="P2604">
        <v>4</v>
      </c>
      <c r="Q2604">
        <v>0</v>
      </c>
      <c r="R2604">
        <v>22.85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9</v>
      </c>
      <c r="AC2604">
        <v>0</v>
      </c>
      <c r="AH2604">
        <v>31.85</v>
      </c>
    </row>
    <row r="2605" spans="1:34" x14ac:dyDescent="0.3">
      <c r="A2605" s="4">
        <v>2721</v>
      </c>
      <c r="B2605" s="5">
        <v>2598</v>
      </c>
      <c r="C2605">
        <v>9379</v>
      </c>
      <c r="D2605" t="s">
        <v>6215</v>
      </c>
      <c r="E2605" t="s">
        <v>22768</v>
      </c>
      <c r="F2605" t="s">
        <v>539</v>
      </c>
      <c r="G2605" t="s">
        <v>22769</v>
      </c>
      <c r="H2605">
        <v>17.850000000000001</v>
      </c>
      <c r="I2605">
        <v>0</v>
      </c>
      <c r="J2605">
        <v>0</v>
      </c>
      <c r="K2605">
        <v>0</v>
      </c>
      <c r="L2605">
        <v>7</v>
      </c>
      <c r="N2605">
        <v>3</v>
      </c>
      <c r="O2605">
        <v>10</v>
      </c>
      <c r="P2605">
        <v>4</v>
      </c>
      <c r="Q2605">
        <v>0</v>
      </c>
      <c r="R2605">
        <v>31.85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H2605">
        <v>31.85</v>
      </c>
    </row>
    <row r="2606" spans="1:34" x14ac:dyDescent="0.3">
      <c r="A2606" s="4">
        <v>2722</v>
      </c>
      <c r="B2606" s="5">
        <v>2599</v>
      </c>
      <c r="C2606">
        <v>9876</v>
      </c>
      <c r="D2606" t="s">
        <v>22770</v>
      </c>
      <c r="E2606" t="s">
        <v>479</v>
      </c>
      <c r="F2606" t="s">
        <v>17</v>
      </c>
      <c r="G2606" t="s">
        <v>22771</v>
      </c>
      <c r="H2606">
        <v>18.829999999999998</v>
      </c>
      <c r="I2606">
        <v>0</v>
      </c>
      <c r="J2606">
        <v>0</v>
      </c>
      <c r="K2606">
        <v>0</v>
      </c>
      <c r="N2606">
        <v>3</v>
      </c>
      <c r="O2606">
        <v>3</v>
      </c>
      <c r="P2606">
        <v>4</v>
      </c>
      <c r="Q2606">
        <v>0</v>
      </c>
      <c r="R2606">
        <v>25.83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6</v>
      </c>
      <c r="AC2606">
        <v>0</v>
      </c>
      <c r="AH2606">
        <v>31.83</v>
      </c>
    </row>
    <row r="2607" spans="1:34" x14ac:dyDescent="0.3">
      <c r="A2607" s="4">
        <v>2723</v>
      </c>
      <c r="B2607" s="5">
        <v>2600</v>
      </c>
      <c r="C2607">
        <v>7494</v>
      </c>
      <c r="D2607" t="s">
        <v>8108</v>
      </c>
      <c r="E2607" t="s">
        <v>166</v>
      </c>
      <c r="F2607" t="s">
        <v>17</v>
      </c>
      <c r="G2607" t="s">
        <v>22772</v>
      </c>
      <c r="H2607">
        <v>22.83</v>
      </c>
      <c r="I2607">
        <v>0</v>
      </c>
      <c r="J2607">
        <v>0</v>
      </c>
      <c r="K2607">
        <v>0</v>
      </c>
      <c r="N2607">
        <v>3</v>
      </c>
      <c r="O2607">
        <v>3</v>
      </c>
      <c r="P2607">
        <v>4</v>
      </c>
      <c r="Q2607">
        <v>2</v>
      </c>
      <c r="R2607">
        <v>31.83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H2607">
        <v>31.83</v>
      </c>
    </row>
    <row r="2608" spans="1:34" x14ac:dyDescent="0.3">
      <c r="A2608" s="4">
        <v>2724</v>
      </c>
      <c r="B2608" s="5">
        <v>2601</v>
      </c>
      <c r="C2608">
        <v>11455</v>
      </c>
      <c r="D2608" t="s">
        <v>3438</v>
      </c>
      <c r="E2608" t="s">
        <v>22773</v>
      </c>
      <c r="F2608" t="s">
        <v>38</v>
      </c>
      <c r="G2608" t="s">
        <v>22774</v>
      </c>
      <c r="H2608">
        <v>20.83</v>
      </c>
      <c r="I2608">
        <v>0</v>
      </c>
      <c r="J2608">
        <v>0</v>
      </c>
      <c r="K2608">
        <v>0</v>
      </c>
      <c r="L2608">
        <v>7</v>
      </c>
      <c r="O2608">
        <v>7</v>
      </c>
      <c r="P2608">
        <v>4</v>
      </c>
      <c r="Q2608">
        <v>0</v>
      </c>
      <c r="R2608">
        <v>31.83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H2608">
        <v>31.83</v>
      </c>
    </row>
    <row r="2609" spans="1:34" x14ac:dyDescent="0.3">
      <c r="A2609" s="4">
        <v>2725</v>
      </c>
      <c r="B2609" s="5">
        <v>2602</v>
      </c>
      <c r="C2609">
        <v>15578</v>
      </c>
      <c r="D2609" t="s">
        <v>1711</v>
      </c>
      <c r="E2609" t="s">
        <v>789</v>
      </c>
      <c r="F2609" t="s">
        <v>20</v>
      </c>
      <c r="G2609" t="s">
        <v>22775</v>
      </c>
      <c r="H2609">
        <v>18.8</v>
      </c>
      <c r="I2609">
        <v>0</v>
      </c>
      <c r="J2609">
        <v>0</v>
      </c>
      <c r="K2609">
        <v>0</v>
      </c>
      <c r="N2609">
        <v>3</v>
      </c>
      <c r="O2609">
        <v>3</v>
      </c>
      <c r="P2609">
        <v>4</v>
      </c>
      <c r="Q2609">
        <v>0</v>
      </c>
      <c r="R2609">
        <v>25.8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6</v>
      </c>
      <c r="AC2609">
        <v>0</v>
      </c>
      <c r="AH2609">
        <v>31.8</v>
      </c>
    </row>
    <row r="2610" spans="1:34" x14ac:dyDescent="0.3">
      <c r="A2610" s="4">
        <v>2726</v>
      </c>
      <c r="B2610" s="5">
        <v>2603</v>
      </c>
      <c r="C2610">
        <v>8368</v>
      </c>
      <c r="D2610" t="s">
        <v>22776</v>
      </c>
      <c r="E2610" t="s">
        <v>41</v>
      </c>
      <c r="F2610" t="s">
        <v>81</v>
      </c>
      <c r="G2610" t="s">
        <v>22777</v>
      </c>
      <c r="H2610">
        <v>20.8</v>
      </c>
      <c r="I2610">
        <v>0</v>
      </c>
      <c r="J2610">
        <v>0</v>
      </c>
      <c r="K2610">
        <v>0</v>
      </c>
      <c r="L2610">
        <v>7</v>
      </c>
      <c r="O2610">
        <v>7</v>
      </c>
      <c r="P2610">
        <v>4</v>
      </c>
      <c r="Q2610">
        <v>0</v>
      </c>
      <c r="R2610">
        <v>31.8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H2610">
        <v>31.8</v>
      </c>
    </row>
    <row r="2611" spans="1:34" x14ac:dyDescent="0.3">
      <c r="A2611" s="4">
        <v>2727</v>
      </c>
      <c r="B2611" s="5">
        <v>2604</v>
      </c>
      <c r="C2611">
        <v>2317</v>
      </c>
      <c r="D2611" t="s">
        <v>20586</v>
      </c>
      <c r="E2611" t="s">
        <v>213</v>
      </c>
      <c r="F2611" t="s">
        <v>17</v>
      </c>
      <c r="G2611" t="s">
        <v>22778</v>
      </c>
      <c r="H2611">
        <v>21.78</v>
      </c>
      <c r="I2611">
        <v>0</v>
      </c>
      <c r="J2611">
        <v>0</v>
      </c>
      <c r="K2611">
        <v>0</v>
      </c>
      <c r="O2611">
        <v>0</v>
      </c>
      <c r="P2611">
        <v>4</v>
      </c>
      <c r="Q2611">
        <v>0</v>
      </c>
      <c r="R2611">
        <v>25.78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6</v>
      </c>
      <c r="AC2611">
        <v>0</v>
      </c>
      <c r="AH2611">
        <v>31.78</v>
      </c>
    </row>
    <row r="2612" spans="1:34" x14ac:dyDescent="0.3">
      <c r="A2612" s="4">
        <v>2728</v>
      </c>
      <c r="B2612" s="5">
        <v>2605</v>
      </c>
      <c r="C2612">
        <v>8282</v>
      </c>
      <c r="D2612" t="s">
        <v>22779</v>
      </c>
      <c r="E2612" t="s">
        <v>789</v>
      </c>
      <c r="F2612" t="s">
        <v>79</v>
      </c>
      <c r="G2612" t="s">
        <v>22780</v>
      </c>
      <c r="H2612">
        <v>19.75</v>
      </c>
      <c r="I2612">
        <v>0</v>
      </c>
      <c r="J2612">
        <v>0</v>
      </c>
      <c r="K2612">
        <v>0</v>
      </c>
      <c r="O2612">
        <v>0</v>
      </c>
      <c r="P2612">
        <v>4</v>
      </c>
      <c r="Q2612">
        <v>2</v>
      </c>
      <c r="R2612">
        <v>25.75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6</v>
      </c>
      <c r="AC2612">
        <v>0</v>
      </c>
      <c r="AH2612">
        <v>31.75</v>
      </c>
    </row>
    <row r="2613" spans="1:34" x14ac:dyDescent="0.3">
      <c r="A2613" s="4">
        <v>2729</v>
      </c>
      <c r="B2613" s="5">
        <v>2606</v>
      </c>
      <c r="C2613">
        <v>2940</v>
      </c>
      <c r="D2613" t="s">
        <v>22781</v>
      </c>
      <c r="E2613" t="s">
        <v>14477</v>
      </c>
      <c r="F2613" t="s">
        <v>91</v>
      </c>
      <c r="G2613" t="s">
        <v>22782</v>
      </c>
      <c r="H2613">
        <v>18.75</v>
      </c>
      <c r="I2613">
        <v>0</v>
      </c>
      <c r="J2613">
        <v>0</v>
      </c>
      <c r="K2613">
        <v>0</v>
      </c>
      <c r="N2613">
        <v>3</v>
      </c>
      <c r="O2613">
        <v>3</v>
      </c>
      <c r="P2613">
        <v>4</v>
      </c>
      <c r="Q2613">
        <v>0</v>
      </c>
      <c r="R2613">
        <v>25.75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6</v>
      </c>
      <c r="AC2613">
        <v>0</v>
      </c>
      <c r="AH2613">
        <v>31.75</v>
      </c>
    </row>
    <row r="2614" spans="1:34" x14ac:dyDescent="0.3">
      <c r="A2614" s="4">
        <v>2730</v>
      </c>
      <c r="B2614" s="5">
        <v>2607</v>
      </c>
      <c r="C2614">
        <v>536</v>
      </c>
      <c r="D2614" t="s">
        <v>22783</v>
      </c>
      <c r="E2614" t="s">
        <v>166</v>
      </c>
      <c r="F2614" t="s">
        <v>68</v>
      </c>
      <c r="G2614" t="s">
        <v>22784</v>
      </c>
      <c r="H2614">
        <v>18.75</v>
      </c>
      <c r="I2614">
        <v>0</v>
      </c>
      <c r="J2614">
        <v>0</v>
      </c>
      <c r="K2614">
        <v>0</v>
      </c>
      <c r="N2614">
        <v>3</v>
      </c>
      <c r="O2614">
        <v>3</v>
      </c>
      <c r="P2614">
        <v>4</v>
      </c>
      <c r="Q2614">
        <v>0</v>
      </c>
      <c r="R2614">
        <v>25.75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6</v>
      </c>
      <c r="AC2614">
        <v>0</v>
      </c>
      <c r="AH2614">
        <v>31.75</v>
      </c>
    </row>
    <row r="2615" spans="1:34" x14ac:dyDescent="0.3">
      <c r="A2615" s="4">
        <v>2731</v>
      </c>
      <c r="B2615" s="5">
        <v>2608</v>
      </c>
      <c r="C2615">
        <v>484</v>
      </c>
      <c r="D2615" t="s">
        <v>22785</v>
      </c>
      <c r="E2615" t="s">
        <v>29</v>
      </c>
      <c r="F2615" t="s">
        <v>38</v>
      </c>
      <c r="G2615" t="s">
        <v>22786</v>
      </c>
      <c r="H2615">
        <v>20.75</v>
      </c>
      <c r="I2615">
        <v>0</v>
      </c>
      <c r="J2615">
        <v>0</v>
      </c>
      <c r="K2615">
        <v>0</v>
      </c>
      <c r="L2615">
        <v>7</v>
      </c>
      <c r="O2615">
        <v>7</v>
      </c>
      <c r="P2615">
        <v>4</v>
      </c>
      <c r="Q2615">
        <v>0</v>
      </c>
      <c r="R2615">
        <v>31.75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H2615">
        <v>31.75</v>
      </c>
    </row>
    <row r="2616" spans="1:34" x14ac:dyDescent="0.3">
      <c r="A2616" s="4">
        <v>2732</v>
      </c>
      <c r="B2616" s="5">
        <v>2609</v>
      </c>
      <c r="C2616">
        <v>11336</v>
      </c>
      <c r="D2616" t="s">
        <v>22787</v>
      </c>
      <c r="E2616" t="s">
        <v>29</v>
      </c>
      <c r="F2616" t="s">
        <v>20</v>
      </c>
      <c r="G2616" t="s">
        <v>22788</v>
      </c>
      <c r="H2616">
        <v>18.73</v>
      </c>
      <c r="I2616">
        <v>0</v>
      </c>
      <c r="J2616">
        <v>0</v>
      </c>
      <c r="K2616">
        <v>0</v>
      </c>
      <c r="N2616">
        <v>3</v>
      </c>
      <c r="O2616">
        <v>3</v>
      </c>
      <c r="P2616">
        <v>4</v>
      </c>
      <c r="Q2616">
        <v>0</v>
      </c>
      <c r="R2616">
        <v>25.73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6</v>
      </c>
      <c r="AC2616">
        <v>0</v>
      </c>
      <c r="AH2616">
        <v>31.73</v>
      </c>
    </row>
    <row r="2617" spans="1:34" x14ac:dyDescent="0.3">
      <c r="A2617" s="4">
        <v>2733</v>
      </c>
      <c r="B2617" s="5">
        <v>2610</v>
      </c>
      <c r="C2617">
        <v>13015</v>
      </c>
      <c r="D2617" t="s">
        <v>22789</v>
      </c>
      <c r="E2617" t="s">
        <v>88</v>
      </c>
      <c r="F2617" t="s">
        <v>117</v>
      </c>
      <c r="G2617" t="s">
        <v>22790</v>
      </c>
      <c r="H2617">
        <v>18.73</v>
      </c>
      <c r="I2617">
        <v>0</v>
      </c>
      <c r="J2617">
        <v>0</v>
      </c>
      <c r="K2617">
        <v>0</v>
      </c>
      <c r="N2617">
        <v>3</v>
      </c>
      <c r="O2617">
        <v>3</v>
      </c>
      <c r="P2617">
        <v>4</v>
      </c>
      <c r="Q2617">
        <v>0</v>
      </c>
      <c r="R2617">
        <v>25.73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6</v>
      </c>
      <c r="AC2617">
        <v>0</v>
      </c>
      <c r="AH2617">
        <v>31.73</v>
      </c>
    </row>
    <row r="2618" spans="1:34" x14ac:dyDescent="0.3">
      <c r="A2618" s="4">
        <v>2734</v>
      </c>
      <c r="B2618" s="5">
        <v>2611</v>
      </c>
      <c r="C2618">
        <v>13034</v>
      </c>
      <c r="D2618" t="s">
        <v>22791</v>
      </c>
      <c r="E2618" t="s">
        <v>139</v>
      </c>
      <c r="F2618" t="s">
        <v>91</v>
      </c>
      <c r="G2618" t="s">
        <v>22792</v>
      </c>
      <c r="H2618">
        <v>18.73</v>
      </c>
      <c r="I2618">
        <v>0</v>
      </c>
      <c r="J2618">
        <v>0</v>
      </c>
      <c r="K2618">
        <v>0</v>
      </c>
      <c r="N2618">
        <v>3</v>
      </c>
      <c r="O2618">
        <v>3</v>
      </c>
      <c r="P2618">
        <v>4</v>
      </c>
      <c r="Q2618">
        <v>0</v>
      </c>
      <c r="R2618">
        <v>25.73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6</v>
      </c>
      <c r="AC2618">
        <v>0</v>
      </c>
      <c r="AH2618">
        <v>31.73</v>
      </c>
    </row>
    <row r="2619" spans="1:34" x14ac:dyDescent="0.3">
      <c r="A2619" s="4">
        <v>2735</v>
      </c>
      <c r="B2619" s="5">
        <v>2612</v>
      </c>
      <c r="C2619">
        <v>12801</v>
      </c>
      <c r="D2619" t="s">
        <v>22793</v>
      </c>
      <c r="E2619" t="s">
        <v>268</v>
      </c>
      <c r="F2619" t="s">
        <v>343</v>
      </c>
      <c r="G2619" t="s">
        <v>22794</v>
      </c>
      <c r="H2619">
        <v>18.73</v>
      </c>
      <c r="I2619">
        <v>0</v>
      </c>
      <c r="J2619">
        <v>0</v>
      </c>
      <c r="K2619">
        <v>0</v>
      </c>
      <c r="N2619">
        <v>3</v>
      </c>
      <c r="O2619">
        <v>3</v>
      </c>
      <c r="P2619">
        <v>4</v>
      </c>
      <c r="Q2619">
        <v>0</v>
      </c>
      <c r="R2619">
        <v>25.73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6</v>
      </c>
      <c r="AC2619">
        <v>0</v>
      </c>
      <c r="AH2619">
        <v>31.73</v>
      </c>
    </row>
    <row r="2620" spans="1:34" x14ac:dyDescent="0.3">
      <c r="A2620" s="4">
        <v>2736</v>
      </c>
      <c r="B2620" s="5">
        <v>2613</v>
      </c>
      <c r="C2620">
        <v>12815</v>
      </c>
      <c r="D2620" t="s">
        <v>21153</v>
      </c>
      <c r="E2620" t="s">
        <v>33</v>
      </c>
      <c r="F2620" t="s">
        <v>81</v>
      </c>
      <c r="G2620" t="s">
        <v>22795</v>
      </c>
      <c r="H2620">
        <v>18.7</v>
      </c>
      <c r="I2620">
        <v>0</v>
      </c>
      <c r="J2620">
        <v>0</v>
      </c>
      <c r="K2620">
        <v>0</v>
      </c>
      <c r="O2620">
        <v>0</v>
      </c>
      <c r="P2620">
        <v>4</v>
      </c>
      <c r="Q2620">
        <v>0</v>
      </c>
      <c r="R2620">
        <v>22.7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9</v>
      </c>
      <c r="AC2620">
        <v>0</v>
      </c>
      <c r="AH2620">
        <v>31.7</v>
      </c>
    </row>
    <row r="2621" spans="1:34" x14ac:dyDescent="0.3">
      <c r="A2621" s="4">
        <v>2737</v>
      </c>
      <c r="B2621" s="5">
        <v>2614</v>
      </c>
      <c r="C2621">
        <v>528</v>
      </c>
      <c r="D2621" t="s">
        <v>4070</v>
      </c>
      <c r="E2621" t="s">
        <v>54</v>
      </c>
      <c r="F2621" t="s">
        <v>62</v>
      </c>
      <c r="G2621" t="s">
        <v>22796</v>
      </c>
      <c r="H2621">
        <v>21.7</v>
      </c>
      <c r="I2621">
        <v>0</v>
      </c>
      <c r="J2621">
        <v>0</v>
      </c>
      <c r="K2621">
        <v>0</v>
      </c>
      <c r="O2621">
        <v>0</v>
      </c>
      <c r="P2621">
        <v>4</v>
      </c>
      <c r="Q2621">
        <v>0</v>
      </c>
      <c r="R2621">
        <v>25.7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6</v>
      </c>
      <c r="AC2621">
        <v>0</v>
      </c>
      <c r="AH2621">
        <v>31.7</v>
      </c>
    </row>
    <row r="2622" spans="1:34" x14ac:dyDescent="0.3">
      <c r="A2622" s="4">
        <v>2738</v>
      </c>
      <c r="B2622" s="5">
        <v>2615</v>
      </c>
      <c r="C2622">
        <v>1154</v>
      </c>
      <c r="D2622" t="s">
        <v>22797</v>
      </c>
      <c r="E2622" t="s">
        <v>170</v>
      </c>
      <c r="F2622" t="s">
        <v>38</v>
      </c>
      <c r="G2622" t="s">
        <v>22798</v>
      </c>
      <c r="H2622">
        <v>18.7</v>
      </c>
      <c r="I2622">
        <v>0</v>
      </c>
      <c r="J2622">
        <v>0</v>
      </c>
      <c r="K2622">
        <v>0</v>
      </c>
      <c r="N2622">
        <v>3</v>
      </c>
      <c r="O2622">
        <v>3</v>
      </c>
      <c r="P2622">
        <v>0</v>
      </c>
      <c r="Q2622">
        <v>0</v>
      </c>
      <c r="R2622">
        <v>21.7</v>
      </c>
      <c r="S2622">
        <v>7</v>
      </c>
      <c r="T2622">
        <v>7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7</v>
      </c>
      <c r="AB2622">
        <v>3</v>
      </c>
      <c r="AC2622">
        <v>0</v>
      </c>
      <c r="AH2622">
        <v>31.7</v>
      </c>
    </row>
    <row r="2623" spans="1:34" x14ac:dyDescent="0.3">
      <c r="A2623" s="4">
        <v>2739</v>
      </c>
      <c r="B2623" s="5">
        <v>2616</v>
      </c>
      <c r="C2623">
        <v>43</v>
      </c>
      <c r="D2623" t="s">
        <v>22799</v>
      </c>
      <c r="E2623" t="s">
        <v>400</v>
      </c>
      <c r="F2623" t="s">
        <v>17</v>
      </c>
      <c r="G2623" t="s">
        <v>22800</v>
      </c>
      <c r="H2623">
        <v>20.7</v>
      </c>
      <c r="I2623">
        <v>0</v>
      </c>
      <c r="J2623">
        <v>0</v>
      </c>
      <c r="K2623">
        <v>0</v>
      </c>
      <c r="L2623">
        <v>7</v>
      </c>
      <c r="O2623">
        <v>7</v>
      </c>
      <c r="P2623">
        <v>4</v>
      </c>
      <c r="Q2623">
        <v>0</v>
      </c>
      <c r="R2623">
        <v>31.7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H2623">
        <v>31.7</v>
      </c>
    </row>
    <row r="2624" spans="1:34" x14ac:dyDescent="0.3">
      <c r="A2624" s="4">
        <v>2740</v>
      </c>
      <c r="B2624" s="5">
        <v>2617</v>
      </c>
      <c r="C2624">
        <v>12263</v>
      </c>
      <c r="D2624" t="s">
        <v>21663</v>
      </c>
      <c r="E2624" t="s">
        <v>789</v>
      </c>
      <c r="F2624" t="s">
        <v>62</v>
      </c>
      <c r="G2624" t="s">
        <v>22801</v>
      </c>
      <c r="H2624">
        <v>19.7</v>
      </c>
      <c r="I2624">
        <v>0</v>
      </c>
      <c r="J2624">
        <v>0</v>
      </c>
      <c r="K2624">
        <v>0</v>
      </c>
      <c r="M2624">
        <v>5</v>
      </c>
      <c r="N2624">
        <v>3</v>
      </c>
      <c r="O2624">
        <v>8</v>
      </c>
      <c r="P2624">
        <v>4</v>
      </c>
      <c r="Q2624">
        <v>0</v>
      </c>
      <c r="R2624">
        <v>31.7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H2624">
        <v>31.7</v>
      </c>
    </row>
    <row r="2625" spans="1:34" x14ac:dyDescent="0.3">
      <c r="A2625" s="4">
        <v>2741</v>
      </c>
      <c r="B2625" s="5">
        <v>2618</v>
      </c>
      <c r="C2625">
        <v>9195</v>
      </c>
      <c r="D2625" t="s">
        <v>9538</v>
      </c>
      <c r="E2625" t="s">
        <v>22802</v>
      </c>
      <c r="F2625" t="s">
        <v>190</v>
      </c>
      <c r="G2625" t="s">
        <v>22803</v>
      </c>
      <c r="H2625">
        <v>18.7</v>
      </c>
      <c r="I2625">
        <v>0</v>
      </c>
      <c r="J2625">
        <v>0</v>
      </c>
      <c r="K2625">
        <v>0</v>
      </c>
      <c r="L2625">
        <v>7</v>
      </c>
      <c r="O2625">
        <v>7</v>
      </c>
      <c r="P2625">
        <v>4</v>
      </c>
      <c r="Q2625">
        <v>2</v>
      </c>
      <c r="R2625">
        <v>31.7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 t="s">
        <v>130</v>
      </c>
      <c r="AH2625">
        <v>31.7</v>
      </c>
    </row>
    <row r="2626" spans="1:34" x14ac:dyDescent="0.3">
      <c r="A2626" s="4">
        <v>2742</v>
      </c>
      <c r="B2626" s="5">
        <v>2619</v>
      </c>
      <c r="C2626">
        <v>11836</v>
      </c>
      <c r="D2626" t="s">
        <v>22804</v>
      </c>
      <c r="E2626" t="s">
        <v>132</v>
      </c>
      <c r="F2626" t="s">
        <v>81</v>
      </c>
      <c r="G2626" t="s">
        <v>22805</v>
      </c>
      <c r="H2626">
        <v>18.68</v>
      </c>
      <c r="I2626">
        <v>0</v>
      </c>
      <c r="J2626">
        <v>0</v>
      </c>
      <c r="K2626">
        <v>0</v>
      </c>
      <c r="L2626">
        <v>7</v>
      </c>
      <c r="O2626">
        <v>7</v>
      </c>
      <c r="P2626">
        <v>4</v>
      </c>
      <c r="Q2626">
        <v>2</v>
      </c>
      <c r="R2626">
        <v>31.68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H2626">
        <v>31.68</v>
      </c>
    </row>
    <row r="2627" spans="1:34" x14ac:dyDescent="0.3">
      <c r="A2627" s="4">
        <v>2743</v>
      </c>
      <c r="B2627" s="5">
        <v>2620</v>
      </c>
      <c r="C2627">
        <v>10197</v>
      </c>
      <c r="D2627" t="s">
        <v>22806</v>
      </c>
      <c r="E2627" t="s">
        <v>1237</v>
      </c>
      <c r="F2627" t="s">
        <v>136</v>
      </c>
      <c r="G2627" t="s">
        <v>22807</v>
      </c>
      <c r="H2627">
        <v>17.68</v>
      </c>
      <c r="I2627">
        <v>0</v>
      </c>
      <c r="J2627">
        <v>0</v>
      </c>
      <c r="K2627">
        <v>0</v>
      </c>
      <c r="L2627">
        <v>7</v>
      </c>
      <c r="N2627">
        <v>3</v>
      </c>
      <c r="O2627">
        <v>10</v>
      </c>
      <c r="P2627">
        <v>4</v>
      </c>
      <c r="Q2627">
        <v>0</v>
      </c>
      <c r="R2627">
        <v>31.68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H2627">
        <v>31.68</v>
      </c>
    </row>
    <row r="2628" spans="1:34" x14ac:dyDescent="0.3">
      <c r="A2628" s="4">
        <v>2744</v>
      </c>
      <c r="B2628" s="5">
        <v>2621</v>
      </c>
      <c r="C2628">
        <v>2835</v>
      </c>
      <c r="D2628" t="s">
        <v>22808</v>
      </c>
      <c r="E2628" t="s">
        <v>100</v>
      </c>
      <c r="F2628" t="s">
        <v>17</v>
      </c>
      <c r="G2628" t="s">
        <v>22809</v>
      </c>
      <c r="H2628">
        <v>17.68</v>
      </c>
      <c r="I2628">
        <v>0</v>
      </c>
      <c r="J2628">
        <v>0</v>
      </c>
      <c r="K2628">
        <v>0</v>
      </c>
      <c r="N2628">
        <v>3</v>
      </c>
      <c r="O2628">
        <v>3</v>
      </c>
      <c r="P2628">
        <v>4</v>
      </c>
      <c r="Q2628">
        <v>0</v>
      </c>
      <c r="R2628">
        <v>24.68</v>
      </c>
      <c r="S2628">
        <v>7</v>
      </c>
      <c r="T2628">
        <v>7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7</v>
      </c>
      <c r="AB2628">
        <v>0</v>
      </c>
      <c r="AC2628">
        <v>0</v>
      </c>
      <c r="AH2628">
        <v>31.68</v>
      </c>
    </row>
    <row r="2629" spans="1:34" x14ac:dyDescent="0.3">
      <c r="A2629" s="4">
        <v>2745</v>
      </c>
      <c r="B2629" s="5">
        <v>2622</v>
      </c>
      <c r="C2629">
        <v>1454</v>
      </c>
      <c r="D2629" t="s">
        <v>22810</v>
      </c>
      <c r="E2629" t="s">
        <v>188</v>
      </c>
      <c r="F2629" t="s">
        <v>782</v>
      </c>
      <c r="G2629" t="s">
        <v>22811</v>
      </c>
      <c r="H2629">
        <v>17.649999999999999</v>
      </c>
      <c r="I2629">
        <v>0</v>
      </c>
      <c r="J2629">
        <v>0</v>
      </c>
      <c r="K2629">
        <v>0</v>
      </c>
      <c r="L2629">
        <v>7</v>
      </c>
      <c r="N2629">
        <v>3</v>
      </c>
      <c r="O2629">
        <v>10</v>
      </c>
      <c r="P2629">
        <v>4</v>
      </c>
      <c r="Q2629">
        <v>0</v>
      </c>
      <c r="R2629">
        <v>31.65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H2629">
        <v>31.65</v>
      </c>
    </row>
    <row r="2630" spans="1:34" x14ac:dyDescent="0.3">
      <c r="A2630" s="4">
        <v>2746</v>
      </c>
      <c r="B2630" s="5">
        <v>2623</v>
      </c>
      <c r="C2630">
        <v>14246</v>
      </c>
      <c r="D2630" t="s">
        <v>22812</v>
      </c>
      <c r="E2630" t="s">
        <v>161</v>
      </c>
      <c r="F2630" t="s">
        <v>136</v>
      </c>
      <c r="G2630" t="s">
        <v>22813</v>
      </c>
      <c r="H2630">
        <v>18.63</v>
      </c>
      <c r="I2630">
        <v>0</v>
      </c>
      <c r="J2630">
        <v>0</v>
      </c>
      <c r="K2630">
        <v>0</v>
      </c>
      <c r="O2630">
        <v>0</v>
      </c>
      <c r="P2630">
        <v>4</v>
      </c>
      <c r="Q2630">
        <v>0</v>
      </c>
      <c r="R2630">
        <v>22.63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9</v>
      </c>
      <c r="AC2630">
        <v>0</v>
      </c>
      <c r="AH2630">
        <v>31.63</v>
      </c>
    </row>
    <row r="2631" spans="1:34" x14ac:dyDescent="0.3">
      <c r="A2631" s="4">
        <v>2747</v>
      </c>
      <c r="B2631" s="5">
        <v>2624</v>
      </c>
      <c r="C2631">
        <v>6460</v>
      </c>
      <c r="D2631" t="s">
        <v>22814</v>
      </c>
      <c r="E2631" t="s">
        <v>825</v>
      </c>
      <c r="F2631" t="s">
        <v>2474</v>
      </c>
      <c r="G2631" t="s">
        <v>22815</v>
      </c>
      <c r="H2631">
        <v>20.63</v>
      </c>
      <c r="I2631">
        <v>0</v>
      </c>
      <c r="J2631">
        <v>0</v>
      </c>
      <c r="K2631">
        <v>0</v>
      </c>
      <c r="L2631">
        <v>7</v>
      </c>
      <c r="O2631">
        <v>7</v>
      </c>
      <c r="P2631">
        <v>4</v>
      </c>
      <c r="Q2631">
        <v>0</v>
      </c>
      <c r="R2631">
        <v>31.63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H2631">
        <v>31.63</v>
      </c>
    </row>
    <row r="2632" spans="1:34" x14ac:dyDescent="0.3">
      <c r="A2632" s="4">
        <v>2748</v>
      </c>
      <c r="B2632" s="5">
        <v>2625</v>
      </c>
      <c r="C2632">
        <v>10073</v>
      </c>
      <c r="D2632" t="s">
        <v>12834</v>
      </c>
      <c r="E2632" t="s">
        <v>6996</v>
      </c>
      <c r="F2632" t="s">
        <v>570</v>
      </c>
      <c r="G2632" t="s">
        <v>22816</v>
      </c>
      <c r="H2632">
        <v>20.63</v>
      </c>
      <c r="I2632">
        <v>0</v>
      </c>
      <c r="J2632">
        <v>0</v>
      </c>
      <c r="K2632">
        <v>0</v>
      </c>
      <c r="L2632">
        <v>7</v>
      </c>
      <c r="O2632">
        <v>7</v>
      </c>
      <c r="P2632">
        <v>4</v>
      </c>
      <c r="Q2632">
        <v>0</v>
      </c>
      <c r="R2632">
        <v>31.63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H2632">
        <v>31.63</v>
      </c>
    </row>
    <row r="2633" spans="1:34" x14ac:dyDescent="0.3">
      <c r="A2633" s="4">
        <v>2749</v>
      </c>
      <c r="B2633" s="5">
        <v>2626</v>
      </c>
      <c r="C2633">
        <v>698</v>
      </c>
      <c r="D2633" t="s">
        <v>2113</v>
      </c>
      <c r="E2633" t="s">
        <v>575</v>
      </c>
      <c r="F2633" t="s">
        <v>68</v>
      </c>
      <c r="G2633" t="s">
        <v>22817</v>
      </c>
      <c r="H2633">
        <v>18.600000000000001</v>
      </c>
      <c r="I2633">
        <v>0</v>
      </c>
      <c r="J2633">
        <v>0</v>
      </c>
      <c r="K2633">
        <v>0</v>
      </c>
      <c r="N2633">
        <v>3</v>
      </c>
      <c r="O2633">
        <v>3</v>
      </c>
      <c r="P2633">
        <v>4</v>
      </c>
      <c r="Q2633">
        <v>0</v>
      </c>
      <c r="R2633">
        <v>25.6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6</v>
      </c>
      <c r="AC2633">
        <v>0</v>
      </c>
      <c r="AH2633">
        <v>31.6</v>
      </c>
    </row>
    <row r="2634" spans="1:34" x14ac:dyDescent="0.3">
      <c r="A2634" s="4">
        <v>2750</v>
      </c>
      <c r="B2634" s="5">
        <v>2627</v>
      </c>
      <c r="C2634">
        <v>12591</v>
      </c>
      <c r="D2634" t="s">
        <v>16916</v>
      </c>
      <c r="E2634" t="s">
        <v>147</v>
      </c>
      <c r="F2634" t="s">
        <v>68</v>
      </c>
      <c r="G2634" t="s">
        <v>22818</v>
      </c>
      <c r="H2634">
        <v>18.600000000000001</v>
      </c>
      <c r="I2634">
        <v>0</v>
      </c>
      <c r="J2634">
        <v>0</v>
      </c>
      <c r="K2634">
        <v>0</v>
      </c>
      <c r="N2634">
        <v>3</v>
      </c>
      <c r="O2634">
        <v>3</v>
      </c>
      <c r="P2634">
        <v>4</v>
      </c>
      <c r="Q2634">
        <v>0</v>
      </c>
      <c r="R2634">
        <v>25.6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6</v>
      </c>
      <c r="AC2634">
        <v>0</v>
      </c>
      <c r="AH2634">
        <v>31.6</v>
      </c>
    </row>
    <row r="2635" spans="1:34" x14ac:dyDescent="0.3">
      <c r="A2635" s="4">
        <v>2751</v>
      </c>
      <c r="B2635" s="5">
        <v>2628</v>
      </c>
      <c r="C2635">
        <v>11454</v>
      </c>
      <c r="D2635" t="s">
        <v>22819</v>
      </c>
      <c r="E2635" t="s">
        <v>37</v>
      </c>
      <c r="F2635" t="s">
        <v>38</v>
      </c>
      <c r="G2635" t="s">
        <v>22820</v>
      </c>
      <c r="H2635">
        <v>18.579999999999998</v>
      </c>
      <c r="I2635">
        <v>0</v>
      </c>
      <c r="J2635">
        <v>0</v>
      </c>
      <c r="K2635">
        <v>0</v>
      </c>
      <c r="N2635">
        <v>3</v>
      </c>
      <c r="O2635">
        <v>3</v>
      </c>
      <c r="P2635">
        <v>4</v>
      </c>
      <c r="Q2635">
        <v>0</v>
      </c>
      <c r="R2635">
        <v>25.58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6</v>
      </c>
      <c r="AC2635">
        <v>0</v>
      </c>
      <c r="AH2635">
        <v>31.58</v>
      </c>
    </row>
    <row r="2636" spans="1:34" x14ac:dyDescent="0.3">
      <c r="A2636" s="4">
        <v>2752</v>
      </c>
      <c r="B2636" s="5">
        <v>2629</v>
      </c>
      <c r="C2636">
        <v>12216</v>
      </c>
      <c r="D2636" t="s">
        <v>20503</v>
      </c>
      <c r="E2636" t="s">
        <v>88</v>
      </c>
      <c r="F2636" t="s">
        <v>136</v>
      </c>
      <c r="G2636" t="s">
        <v>22821</v>
      </c>
      <c r="H2636">
        <v>20.53</v>
      </c>
      <c r="I2636">
        <v>0</v>
      </c>
      <c r="J2636">
        <v>0</v>
      </c>
      <c r="K2636">
        <v>0</v>
      </c>
      <c r="L2636">
        <v>7</v>
      </c>
      <c r="O2636">
        <v>7</v>
      </c>
      <c r="P2636">
        <v>4</v>
      </c>
      <c r="Q2636">
        <v>0</v>
      </c>
      <c r="R2636">
        <v>31.53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H2636">
        <v>31.53</v>
      </c>
    </row>
    <row r="2637" spans="1:34" x14ac:dyDescent="0.3">
      <c r="A2637" s="4">
        <v>2753</v>
      </c>
      <c r="B2637" s="5">
        <v>2630</v>
      </c>
      <c r="C2637">
        <v>4371</v>
      </c>
      <c r="D2637" t="s">
        <v>20833</v>
      </c>
      <c r="E2637" t="s">
        <v>29</v>
      </c>
      <c r="F2637" t="s">
        <v>81</v>
      </c>
      <c r="G2637" t="s">
        <v>22822</v>
      </c>
      <c r="H2637">
        <v>18.5</v>
      </c>
      <c r="I2637">
        <v>0</v>
      </c>
      <c r="J2637">
        <v>0</v>
      </c>
      <c r="K2637">
        <v>0</v>
      </c>
      <c r="N2637">
        <v>3</v>
      </c>
      <c r="O2637">
        <v>3</v>
      </c>
      <c r="P2637">
        <v>4</v>
      </c>
      <c r="Q2637">
        <v>0</v>
      </c>
      <c r="R2637">
        <v>25.5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6</v>
      </c>
      <c r="AC2637">
        <v>0</v>
      </c>
      <c r="AH2637">
        <v>31.5</v>
      </c>
    </row>
    <row r="2638" spans="1:34" x14ac:dyDescent="0.3">
      <c r="A2638" s="4">
        <v>2754</v>
      </c>
      <c r="B2638" s="5">
        <v>2631</v>
      </c>
      <c r="C2638">
        <v>14848</v>
      </c>
      <c r="D2638" t="s">
        <v>22823</v>
      </c>
      <c r="E2638" t="s">
        <v>894</v>
      </c>
      <c r="F2638" t="s">
        <v>343</v>
      </c>
      <c r="G2638" t="s">
        <v>22824</v>
      </c>
      <c r="H2638">
        <v>20.5</v>
      </c>
      <c r="I2638">
        <v>0</v>
      </c>
      <c r="J2638">
        <v>0</v>
      </c>
      <c r="K2638">
        <v>0</v>
      </c>
      <c r="L2638">
        <v>7</v>
      </c>
      <c r="O2638">
        <v>7</v>
      </c>
      <c r="P2638">
        <v>4</v>
      </c>
      <c r="Q2638">
        <v>0</v>
      </c>
      <c r="R2638">
        <v>31.5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H2638">
        <v>31.5</v>
      </c>
    </row>
    <row r="2639" spans="1:34" x14ac:dyDescent="0.3">
      <c r="A2639" s="4">
        <v>2755</v>
      </c>
      <c r="B2639" s="5">
        <v>2632</v>
      </c>
      <c r="C2639">
        <v>8999</v>
      </c>
      <c r="D2639" t="s">
        <v>432</v>
      </c>
      <c r="E2639" t="s">
        <v>29</v>
      </c>
      <c r="F2639" t="s">
        <v>17</v>
      </c>
      <c r="G2639" t="s">
        <v>22825</v>
      </c>
      <c r="H2639">
        <v>18.48</v>
      </c>
      <c r="I2639">
        <v>0</v>
      </c>
      <c r="J2639">
        <v>0</v>
      </c>
      <c r="K2639">
        <v>0</v>
      </c>
      <c r="O2639">
        <v>0</v>
      </c>
      <c r="P2639">
        <v>4</v>
      </c>
      <c r="Q2639">
        <v>0</v>
      </c>
      <c r="R2639">
        <v>22.48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9</v>
      </c>
      <c r="AC2639">
        <v>0</v>
      </c>
      <c r="AH2639">
        <v>31.48</v>
      </c>
    </row>
    <row r="2640" spans="1:34" x14ac:dyDescent="0.3">
      <c r="A2640" s="4">
        <v>2756</v>
      </c>
      <c r="B2640" s="5">
        <v>2633</v>
      </c>
      <c r="C2640">
        <v>7201</v>
      </c>
      <c r="D2640" t="s">
        <v>22826</v>
      </c>
      <c r="E2640" t="s">
        <v>967</v>
      </c>
      <c r="F2640" t="s">
        <v>1526</v>
      </c>
      <c r="G2640" t="s">
        <v>22827</v>
      </c>
      <c r="H2640">
        <v>18.45</v>
      </c>
      <c r="I2640">
        <v>0</v>
      </c>
      <c r="J2640">
        <v>0</v>
      </c>
      <c r="K2640">
        <v>0</v>
      </c>
      <c r="N2640">
        <v>3</v>
      </c>
      <c r="O2640">
        <v>3</v>
      </c>
      <c r="P2640">
        <v>4</v>
      </c>
      <c r="Q2640">
        <v>0</v>
      </c>
      <c r="R2640">
        <v>25.45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6</v>
      </c>
      <c r="AC2640">
        <v>0</v>
      </c>
      <c r="AH2640">
        <v>31.45</v>
      </c>
    </row>
    <row r="2641" spans="1:34" x14ac:dyDescent="0.3">
      <c r="A2641" s="4">
        <v>2757</v>
      </c>
      <c r="B2641" s="5">
        <v>2634</v>
      </c>
      <c r="C2641">
        <v>3088</v>
      </c>
      <c r="D2641" t="s">
        <v>3266</v>
      </c>
      <c r="E2641" t="s">
        <v>166</v>
      </c>
      <c r="F2641" t="s">
        <v>20</v>
      </c>
      <c r="G2641" t="s">
        <v>22828</v>
      </c>
      <c r="H2641">
        <v>20.45</v>
      </c>
      <c r="I2641">
        <v>0</v>
      </c>
      <c r="J2641">
        <v>0</v>
      </c>
      <c r="K2641">
        <v>0</v>
      </c>
      <c r="L2641">
        <v>7</v>
      </c>
      <c r="O2641">
        <v>7</v>
      </c>
      <c r="P2641">
        <v>4</v>
      </c>
      <c r="Q2641">
        <v>0</v>
      </c>
      <c r="R2641">
        <v>31.45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H2641">
        <v>31.45</v>
      </c>
    </row>
    <row r="2642" spans="1:34" x14ac:dyDescent="0.3">
      <c r="A2642" s="4">
        <v>2758</v>
      </c>
      <c r="B2642" s="5">
        <v>2635</v>
      </c>
      <c r="C2642">
        <v>2460</v>
      </c>
      <c r="D2642" t="s">
        <v>28</v>
      </c>
      <c r="E2642" t="s">
        <v>97</v>
      </c>
      <c r="F2642" t="s">
        <v>2944</v>
      </c>
      <c r="G2642" t="s">
        <v>22829</v>
      </c>
      <c r="H2642">
        <v>20.45</v>
      </c>
      <c r="I2642">
        <v>0</v>
      </c>
      <c r="J2642">
        <v>0</v>
      </c>
      <c r="K2642">
        <v>0</v>
      </c>
      <c r="L2642">
        <v>7</v>
      </c>
      <c r="O2642">
        <v>7</v>
      </c>
      <c r="P2642">
        <v>4</v>
      </c>
      <c r="Q2642">
        <v>0</v>
      </c>
      <c r="R2642">
        <v>31.45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H2642">
        <v>31.45</v>
      </c>
    </row>
    <row r="2643" spans="1:34" x14ac:dyDescent="0.3">
      <c r="A2643" s="4">
        <v>2759</v>
      </c>
      <c r="B2643" s="5">
        <v>2636</v>
      </c>
      <c r="C2643">
        <v>8719</v>
      </c>
      <c r="D2643" t="s">
        <v>22830</v>
      </c>
      <c r="E2643" t="s">
        <v>208</v>
      </c>
      <c r="F2643" t="s">
        <v>230</v>
      </c>
      <c r="G2643" t="s">
        <v>22831</v>
      </c>
      <c r="H2643">
        <v>18.43</v>
      </c>
      <c r="I2643">
        <v>0</v>
      </c>
      <c r="J2643">
        <v>0</v>
      </c>
      <c r="K2643">
        <v>0</v>
      </c>
      <c r="N2643">
        <v>3</v>
      </c>
      <c r="O2643">
        <v>3</v>
      </c>
      <c r="P2643">
        <v>4</v>
      </c>
      <c r="Q2643">
        <v>0</v>
      </c>
      <c r="R2643">
        <v>25.43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6</v>
      </c>
      <c r="AC2643">
        <v>0</v>
      </c>
      <c r="AH2643">
        <v>31.43</v>
      </c>
    </row>
    <row r="2644" spans="1:34" x14ac:dyDescent="0.3">
      <c r="A2644" s="4">
        <v>2760</v>
      </c>
      <c r="B2644" s="5">
        <v>2637</v>
      </c>
      <c r="C2644">
        <v>3530</v>
      </c>
      <c r="D2644" t="s">
        <v>877</v>
      </c>
      <c r="E2644" t="s">
        <v>3775</v>
      </c>
      <c r="F2644" t="s">
        <v>442</v>
      </c>
      <c r="G2644" t="s">
        <v>22832</v>
      </c>
      <c r="H2644">
        <v>17.43</v>
      </c>
      <c r="I2644">
        <v>0</v>
      </c>
      <c r="J2644">
        <v>0</v>
      </c>
      <c r="K2644">
        <v>0</v>
      </c>
      <c r="L2644">
        <v>7</v>
      </c>
      <c r="N2644">
        <v>3</v>
      </c>
      <c r="O2644">
        <v>10</v>
      </c>
      <c r="P2644">
        <v>4</v>
      </c>
      <c r="Q2644">
        <v>0</v>
      </c>
      <c r="R2644">
        <v>31.43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H2644">
        <v>31.43</v>
      </c>
    </row>
    <row r="2645" spans="1:34" x14ac:dyDescent="0.3">
      <c r="A2645" s="4">
        <v>2761</v>
      </c>
      <c r="B2645" s="5">
        <v>2638</v>
      </c>
      <c r="C2645">
        <v>7040</v>
      </c>
      <c r="D2645" t="s">
        <v>22833</v>
      </c>
      <c r="E2645" t="s">
        <v>258</v>
      </c>
      <c r="F2645" t="s">
        <v>1526</v>
      </c>
      <c r="G2645" t="s">
        <v>22834</v>
      </c>
      <c r="H2645">
        <v>21.4</v>
      </c>
      <c r="I2645">
        <v>0</v>
      </c>
      <c r="J2645">
        <v>0</v>
      </c>
      <c r="K2645">
        <v>0</v>
      </c>
      <c r="O2645">
        <v>0</v>
      </c>
      <c r="P2645">
        <v>4</v>
      </c>
      <c r="Q2645">
        <v>0</v>
      </c>
      <c r="R2645">
        <v>25.4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6</v>
      </c>
      <c r="AC2645">
        <v>0</v>
      </c>
      <c r="AH2645">
        <v>31.4</v>
      </c>
    </row>
    <row r="2646" spans="1:34" x14ac:dyDescent="0.3">
      <c r="A2646" s="4">
        <v>2762</v>
      </c>
      <c r="B2646" s="5">
        <v>2639</v>
      </c>
      <c r="C2646">
        <v>11801</v>
      </c>
      <c r="D2646" t="s">
        <v>22835</v>
      </c>
      <c r="E2646" t="s">
        <v>29</v>
      </c>
      <c r="F2646" t="s">
        <v>20</v>
      </c>
      <c r="G2646" t="s">
        <v>22836</v>
      </c>
      <c r="H2646">
        <v>18.399999999999999</v>
      </c>
      <c r="I2646">
        <v>0</v>
      </c>
      <c r="J2646">
        <v>0</v>
      </c>
      <c r="K2646">
        <v>0</v>
      </c>
      <c r="N2646">
        <v>3</v>
      </c>
      <c r="O2646">
        <v>3</v>
      </c>
      <c r="P2646">
        <v>4</v>
      </c>
      <c r="Q2646">
        <v>0</v>
      </c>
      <c r="R2646">
        <v>25.4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6</v>
      </c>
      <c r="AC2646">
        <v>0</v>
      </c>
      <c r="AH2646">
        <v>31.4</v>
      </c>
    </row>
    <row r="2647" spans="1:34" x14ac:dyDescent="0.3">
      <c r="A2647" s="4">
        <v>2763</v>
      </c>
      <c r="B2647" s="5">
        <v>2640</v>
      </c>
      <c r="C2647">
        <v>11208</v>
      </c>
      <c r="D2647" t="s">
        <v>22837</v>
      </c>
      <c r="E2647" t="s">
        <v>158</v>
      </c>
      <c r="F2647" t="s">
        <v>17</v>
      </c>
      <c r="G2647" t="s">
        <v>22838</v>
      </c>
      <c r="H2647">
        <v>18.399999999999999</v>
      </c>
      <c r="I2647">
        <v>0</v>
      </c>
      <c r="J2647">
        <v>0</v>
      </c>
      <c r="K2647">
        <v>0</v>
      </c>
      <c r="N2647">
        <v>3</v>
      </c>
      <c r="O2647">
        <v>3</v>
      </c>
      <c r="P2647">
        <v>4</v>
      </c>
      <c r="Q2647">
        <v>0</v>
      </c>
      <c r="R2647">
        <v>25.4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6</v>
      </c>
      <c r="AC2647">
        <v>0</v>
      </c>
      <c r="AH2647">
        <v>31.4</v>
      </c>
    </row>
    <row r="2648" spans="1:34" x14ac:dyDescent="0.3">
      <c r="A2648" s="4">
        <v>2764</v>
      </c>
      <c r="B2648" s="5">
        <v>2641</v>
      </c>
      <c r="C2648">
        <v>1136</v>
      </c>
      <c r="D2648" t="s">
        <v>3889</v>
      </c>
      <c r="E2648" t="s">
        <v>100</v>
      </c>
      <c r="F2648" t="s">
        <v>343</v>
      </c>
      <c r="G2648" t="s">
        <v>22839</v>
      </c>
      <c r="H2648">
        <v>20.399999999999999</v>
      </c>
      <c r="I2648">
        <v>0</v>
      </c>
      <c r="J2648">
        <v>0</v>
      </c>
      <c r="K2648">
        <v>0</v>
      </c>
      <c r="M2648">
        <v>5</v>
      </c>
      <c r="O2648">
        <v>5</v>
      </c>
      <c r="P2648">
        <v>4</v>
      </c>
      <c r="Q2648">
        <v>2</v>
      </c>
      <c r="R2648">
        <v>31.4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H2648">
        <v>31.4</v>
      </c>
    </row>
    <row r="2649" spans="1:34" x14ac:dyDescent="0.3">
      <c r="A2649" s="4">
        <v>2765</v>
      </c>
      <c r="B2649" s="5">
        <v>2642</v>
      </c>
      <c r="C2649">
        <v>12607</v>
      </c>
      <c r="D2649" t="s">
        <v>22840</v>
      </c>
      <c r="E2649" t="s">
        <v>97</v>
      </c>
      <c r="F2649" t="s">
        <v>136</v>
      </c>
      <c r="G2649" t="s">
        <v>22841</v>
      </c>
      <c r="H2649">
        <v>18.38</v>
      </c>
      <c r="I2649">
        <v>0</v>
      </c>
      <c r="J2649">
        <v>0</v>
      </c>
      <c r="K2649">
        <v>0</v>
      </c>
      <c r="N2649">
        <v>3</v>
      </c>
      <c r="O2649">
        <v>3</v>
      </c>
      <c r="P2649">
        <v>4</v>
      </c>
      <c r="Q2649">
        <v>0</v>
      </c>
      <c r="R2649">
        <v>25.38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6</v>
      </c>
      <c r="AC2649">
        <v>0</v>
      </c>
      <c r="AH2649">
        <v>31.38</v>
      </c>
    </row>
    <row r="2650" spans="1:34" x14ac:dyDescent="0.3">
      <c r="A2650" s="4">
        <v>2766</v>
      </c>
      <c r="B2650" s="5">
        <v>2643</v>
      </c>
      <c r="C2650">
        <v>6545</v>
      </c>
      <c r="D2650" t="s">
        <v>22842</v>
      </c>
      <c r="E2650" t="s">
        <v>21894</v>
      </c>
      <c r="F2650" t="s">
        <v>22843</v>
      </c>
      <c r="G2650" t="s">
        <v>22844</v>
      </c>
      <c r="H2650">
        <v>20.38</v>
      </c>
      <c r="I2650">
        <v>0</v>
      </c>
      <c r="J2650">
        <v>0</v>
      </c>
      <c r="K2650">
        <v>0</v>
      </c>
      <c r="L2650">
        <v>7</v>
      </c>
      <c r="O2650">
        <v>7</v>
      </c>
      <c r="P2650">
        <v>4</v>
      </c>
      <c r="Q2650">
        <v>0</v>
      </c>
      <c r="R2650">
        <v>31.38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H2650">
        <v>31.38</v>
      </c>
    </row>
    <row r="2651" spans="1:34" x14ac:dyDescent="0.3">
      <c r="A2651" s="4">
        <v>2767</v>
      </c>
      <c r="B2651" s="5">
        <v>2644</v>
      </c>
      <c r="C2651">
        <v>4190</v>
      </c>
      <c r="D2651" t="s">
        <v>22845</v>
      </c>
      <c r="E2651" t="s">
        <v>2557</v>
      </c>
      <c r="F2651" t="s">
        <v>9170</v>
      </c>
      <c r="G2651" t="s">
        <v>22846</v>
      </c>
      <c r="H2651">
        <v>18.38</v>
      </c>
      <c r="I2651">
        <v>0</v>
      </c>
      <c r="J2651">
        <v>0</v>
      </c>
      <c r="K2651">
        <v>0</v>
      </c>
      <c r="O2651">
        <v>0</v>
      </c>
      <c r="P2651">
        <v>0</v>
      </c>
      <c r="Q2651">
        <v>0</v>
      </c>
      <c r="R2651">
        <v>18.38</v>
      </c>
      <c r="S2651">
        <v>13</v>
      </c>
      <c r="T2651">
        <v>13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13</v>
      </c>
      <c r="AB2651">
        <v>0</v>
      </c>
      <c r="AC2651">
        <v>0</v>
      </c>
      <c r="AH2651">
        <v>31.38</v>
      </c>
    </row>
    <row r="2652" spans="1:34" x14ac:dyDescent="0.3">
      <c r="A2652" s="4">
        <v>2768</v>
      </c>
      <c r="B2652" s="5">
        <v>2645</v>
      </c>
      <c r="C2652">
        <v>3484</v>
      </c>
      <c r="D2652" t="s">
        <v>22847</v>
      </c>
      <c r="E2652" t="s">
        <v>41</v>
      </c>
      <c r="F2652" t="s">
        <v>17</v>
      </c>
      <c r="G2652" t="s">
        <v>22848</v>
      </c>
      <c r="H2652">
        <v>18.350000000000001</v>
      </c>
      <c r="I2652">
        <v>0</v>
      </c>
      <c r="J2652">
        <v>0</v>
      </c>
      <c r="K2652">
        <v>0</v>
      </c>
      <c r="N2652">
        <v>3</v>
      </c>
      <c r="O2652">
        <v>3</v>
      </c>
      <c r="P2652">
        <v>4</v>
      </c>
      <c r="Q2652">
        <v>0</v>
      </c>
      <c r="R2652">
        <v>25.35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6</v>
      </c>
      <c r="AC2652">
        <v>0</v>
      </c>
      <c r="AH2652">
        <v>31.35</v>
      </c>
    </row>
    <row r="2653" spans="1:34" x14ac:dyDescent="0.3">
      <c r="A2653" s="4">
        <v>2769</v>
      </c>
      <c r="B2653" s="5">
        <v>2646</v>
      </c>
      <c r="C2653">
        <v>9182</v>
      </c>
      <c r="D2653" t="s">
        <v>22849</v>
      </c>
      <c r="E2653" t="s">
        <v>132</v>
      </c>
      <c r="F2653" t="s">
        <v>17</v>
      </c>
      <c r="G2653" t="s">
        <v>22850</v>
      </c>
      <c r="H2653">
        <v>18.350000000000001</v>
      </c>
      <c r="I2653">
        <v>0</v>
      </c>
      <c r="J2653">
        <v>0</v>
      </c>
      <c r="K2653">
        <v>0</v>
      </c>
      <c r="N2653">
        <v>3</v>
      </c>
      <c r="O2653">
        <v>3</v>
      </c>
      <c r="P2653">
        <v>4</v>
      </c>
      <c r="Q2653">
        <v>0</v>
      </c>
      <c r="R2653">
        <v>25.35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6</v>
      </c>
      <c r="AC2653">
        <v>0</v>
      </c>
      <c r="AH2653">
        <v>31.35</v>
      </c>
    </row>
    <row r="2654" spans="1:34" x14ac:dyDescent="0.3">
      <c r="A2654" s="4">
        <v>2770</v>
      </c>
      <c r="B2654" s="5">
        <v>2647</v>
      </c>
      <c r="C2654">
        <v>6829</v>
      </c>
      <c r="D2654" t="s">
        <v>8556</v>
      </c>
      <c r="E2654" t="s">
        <v>54</v>
      </c>
      <c r="F2654" t="s">
        <v>68</v>
      </c>
      <c r="G2654" t="s">
        <v>22851</v>
      </c>
      <c r="H2654">
        <v>18.350000000000001</v>
      </c>
      <c r="I2654">
        <v>0</v>
      </c>
      <c r="J2654">
        <v>0</v>
      </c>
      <c r="K2654">
        <v>0</v>
      </c>
      <c r="N2654">
        <v>3</v>
      </c>
      <c r="O2654">
        <v>3</v>
      </c>
      <c r="P2654">
        <v>4</v>
      </c>
      <c r="Q2654">
        <v>0</v>
      </c>
      <c r="R2654">
        <v>25.35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6</v>
      </c>
      <c r="AC2654">
        <v>0</v>
      </c>
      <c r="AH2654">
        <v>31.35</v>
      </c>
    </row>
    <row r="2655" spans="1:34" x14ac:dyDescent="0.3">
      <c r="A2655" s="4">
        <v>2771</v>
      </c>
      <c r="B2655" s="5">
        <v>2648</v>
      </c>
      <c r="C2655">
        <v>12532</v>
      </c>
      <c r="D2655" t="s">
        <v>1299</v>
      </c>
      <c r="E2655" t="s">
        <v>161</v>
      </c>
      <c r="F2655" t="s">
        <v>259</v>
      </c>
      <c r="G2655" t="s">
        <v>22852</v>
      </c>
      <c r="H2655">
        <v>20.350000000000001</v>
      </c>
      <c r="I2655">
        <v>0</v>
      </c>
      <c r="J2655">
        <v>0</v>
      </c>
      <c r="K2655">
        <v>0</v>
      </c>
      <c r="L2655">
        <v>7</v>
      </c>
      <c r="O2655">
        <v>7</v>
      </c>
      <c r="P2655">
        <v>4</v>
      </c>
      <c r="Q2655">
        <v>0</v>
      </c>
      <c r="R2655">
        <v>31.35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H2655">
        <v>31.35</v>
      </c>
    </row>
    <row r="2656" spans="1:34" x14ac:dyDescent="0.3">
      <c r="A2656" s="4">
        <v>2772</v>
      </c>
      <c r="B2656" s="5">
        <v>2649</v>
      </c>
      <c r="C2656">
        <v>3201</v>
      </c>
      <c r="D2656" t="s">
        <v>264</v>
      </c>
      <c r="E2656" t="s">
        <v>88</v>
      </c>
      <c r="F2656" t="s">
        <v>343</v>
      </c>
      <c r="G2656" t="s">
        <v>22853</v>
      </c>
      <c r="H2656">
        <v>18.350000000000001</v>
      </c>
      <c r="I2656">
        <v>0</v>
      </c>
      <c r="J2656">
        <v>0</v>
      </c>
      <c r="K2656">
        <v>0</v>
      </c>
      <c r="L2656">
        <v>7</v>
      </c>
      <c r="O2656">
        <v>7</v>
      </c>
      <c r="P2656">
        <v>4</v>
      </c>
      <c r="Q2656">
        <v>2</v>
      </c>
      <c r="R2656">
        <v>31.35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H2656">
        <v>31.35</v>
      </c>
    </row>
    <row r="2657" spans="1:34" x14ac:dyDescent="0.3">
      <c r="A2657" s="4">
        <v>2773</v>
      </c>
      <c r="B2657" s="5">
        <v>2650</v>
      </c>
      <c r="C2657">
        <v>7794</v>
      </c>
      <c r="D2657" t="s">
        <v>22854</v>
      </c>
      <c r="E2657" t="s">
        <v>19</v>
      </c>
      <c r="F2657" t="s">
        <v>22855</v>
      </c>
      <c r="G2657" t="s">
        <v>22856</v>
      </c>
      <c r="H2657">
        <v>18.329999999999998</v>
      </c>
      <c r="I2657">
        <v>0</v>
      </c>
      <c r="J2657">
        <v>0</v>
      </c>
      <c r="K2657">
        <v>0</v>
      </c>
      <c r="N2657">
        <v>3</v>
      </c>
      <c r="O2657">
        <v>3</v>
      </c>
      <c r="P2657">
        <v>4</v>
      </c>
      <c r="Q2657">
        <v>0</v>
      </c>
      <c r="R2657">
        <v>25.33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6</v>
      </c>
      <c r="AC2657">
        <v>0</v>
      </c>
      <c r="AH2657">
        <v>31.33</v>
      </c>
    </row>
    <row r="2658" spans="1:34" x14ac:dyDescent="0.3">
      <c r="A2658" s="4">
        <v>2774</v>
      </c>
      <c r="B2658" s="5">
        <v>2651</v>
      </c>
      <c r="C2658">
        <v>12300</v>
      </c>
      <c r="D2658" t="s">
        <v>8708</v>
      </c>
      <c r="E2658" t="s">
        <v>54</v>
      </c>
      <c r="F2658" t="s">
        <v>6703</v>
      </c>
      <c r="G2658" t="s">
        <v>22857</v>
      </c>
      <c r="H2658">
        <v>20.3</v>
      </c>
      <c r="I2658">
        <v>0</v>
      </c>
      <c r="J2658">
        <v>0</v>
      </c>
      <c r="K2658">
        <v>0</v>
      </c>
      <c r="L2658">
        <v>7</v>
      </c>
      <c r="O2658">
        <v>7</v>
      </c>
      <c r="P2658">
        <v>4</v>
      </c>
      <c r="Q2658">
        <v>0</v>
      </c>
      <c r="R2658">
        <v>31.3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H2658">
        <v>31.3</v>
      </c>
    </row>
    <row r="2659" spans="1:34" x14ac:dyDescent="0.3">
      <c r="A2659" s="4">
        <v>2775</v>
      </c>
      <c r="B2659" s="5">
        <v>2652</v>
      </c>
      <c r="C2659">
        <v>10271</v>
      </c>
      <c r="D2659" t="s">
        <v>22858</v>
      </c>
      <c r="E2659" t="s">
        <v>166</v>
      </c>
      <c r="F2659" t="s">
        <v>158</v>
      </c>
      <c r="G2659" t="s">
        <v>22859</v>
      </c>
      <c r="H2659">
        <v>18.28</v>
      </c>
      <c r="I2659">
        <v>0</v>
      </c>
      <c r="J2659">
        <v>0</v>
      </c>
      <c r="K2659">
        <v>0</v>
      </c>
      <c r="O2659">
        <v>0</v>
      </c>
      <c r="P2659">
        <v>4</v>
      </c>
      <c r="Q2659">
        <v>0</v>
      </c>
      <c r="R2659">
        <v>22.28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9</v>
      </c>
      <c r="AC2659">
        <v>0</v>
      </c>
      <c r="AH2659">
        <v>31.28</v>
      </c>
    </row>
    <row r="2660" spans="1:34" x14ac:dyDescent="0.3">
      <c r="A2660" s="4">
        <v>2776</v>
      </c>
      <c r="B2660" s="5">
        <v>2653</v>
      </c>
      <c r="C2660">
        <v>5474</v>
      </c>
      <c r="D2660" t="s">
        <v>1296</v>
      </c>
      <c r="E2660" t="s">
        <v>54</v>
      </c>
      <c r="F2660" t="s">
        <v>30</v>
      </c>
      <c r="G2660" t="s">
        <v>22860</v>
      </c>
      <c r="H2660">
        <v>21.28</v>
      </c>
      <c r="I2660">
        <v>0</v>
      </c>
      <c r="J2660">
        <v>0</v>
      </c>
      <c r="K2660">
        <v>0</v>
      </c>
      <c r="N2660">
        <v>3</v>
      </c>
      <c r="O2660">
        <v>3</v>
      </c>
      <c r="P2660">
        <v>4</v>
      </c>
      <c r="Q2660">
        <v>0</v>
      </c>
      <c r="R2660">
        <v>28.28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3</v>
      </c>
      <c r="AC2660">
        <v>0</v>
      </c>
      <c r="AH2660">
        <v>31.28</v>
      </c>
    </row>
    <row r="2661" spans="1:34" x14ac:dyDescent="0.3">
      <c r="A2661" s="4">
        <v>2777</v>
      </c>
      <c r="B2661" s="5">
        <v>2654</v>
      </c>
      <c r="C2661">
        <v>1713</v>
      </c>
      <c r="D2661" t="s">
        <v>22861</v>
      </c>
      <c r="E2661" t="s">
        <v>2582</v>
      </c>
      <c r="F2661" t="s">
        <v>136</v>
      </c>
      <c r="G2661" t="s">
        <v>22862</v>
      </c>
      <c r="H2661">
        <v>21.28</v>
      </c>
      <c r="I2661">
        <v>0</v>
      </c>
      <c r="J2661">
        <v>0</v>
      </c>
      <c r="K2661">
        <v>0</v>
      </c>
      <c r="N2661">
        <v>6</v>
      </c>
      <c r="O2661">
        <v>6</v>
      </c>
      <c r="P2661">
        <v>4</v>
      </c>
      <c r="Q2661">
        <v>0</v>
      </c>
      <c r="R2661">
        <v>31.28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H2661">
        <v>31.28</v>
      </c>
    </row>
    <row r="2662" spans="1:34" x14ac:dyDescent="0.3">
      <c r="A2662" s="4">
        <v>2778</v>
      </c>
      <c r="B2662" s="5">
        <v>2655</v>
      </c>
      <c r="C2662">
        <v>2220</v>
      </c>
      <c r="D2662" t="s">
        <v>22863</v>
      </c>
      <c r="E2662" t="s">
        <v>29</v>
      </c>
      <c r="F2662" t="s">
        <v>38</v>
      </c>
      <c r="G2662" t="s">
        <v>22864</v>
      </c>
      <c r="H2662">
        <v>18.25</v>
      </c>
      <c r="I2662">
        <v>0</v>
      </c>
      <c r="J2662">
        <v>0</v>
      </c>
      <c r="K2662">
        <v>0</v>
      </c>
      <c r="N2662">
        <v>3</v>
      </c>
      <c r="O2662">
        <v>3</v>
      </c>
      <c r="P2662">
        <v>4</v>
      </c>
      <c r="Q2662">
        <v>0</v>
      </c>
      <c r="R2662">
        <v>25.25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6</v>
      </c>
      <c r="AC2662">
        <v>0</v>
      </c>
      <c r="AH2662">
        <v>31.25</v>
      </c>
    </row>
    <row r="2663" spans="1:34" x14ac:dyDescent="0.3">
      <c r="A2663" s="4">
        <v>2779</v>
      </c>
      <c r="B2663" s="5">
        <v>2656</v>
      </c>
      <c r="C2663">
        <v>10767</v>
      </c>
      <c r="D2663" t="s">
        <v>22865</v>
      </c>
      <c r="E2663" t="s">
        <v>147</v>
      </c>
      <c r="F2663" t="s">
        <v>68</v>
      </c>
      <c r="G2663" t="s">
        <v>22866</v>
      </c>
      <c r="H2663">
        <v>18.25</v>
      </c>
      <c r="I2663">
        <v>0</v>
      </c>
      <c r="J2663">
        <v>0</v>
      </c>
      <c r="K2663">
        <v>0</v>
      </c>
      <c r="N2663">
        <v>3</v>
      </c>
      <c r="O2663">
        <v>3</v>
      </c>
      <c r="P2663">
        <v>4</v>
      </c>
      <c r="Q2663">
        <v>0</v>
      </c>
      <c r="R2663">
        <v>25.25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6</v>
      </c>
      <c r="AC2663">
        <v>0</v>
      </c>
      <c r="AH2663">
        <v>31.25</v>
      </c>
    </row>
    <row r="2664" spans="1:34" x14ac:dyDescent="0.3">
      <c r="A2664" s="4">
        <v>2780</v>
      </c>
      <c r="B2664" s="5">
        <v>2657</v>
      </c>
      <c r="C2664">
        <v>9083</v>
      </c>
      <c r="D2664" t="s">
        <v>22867</v>
      </c>
      <c r="E2664" t="s">
        <v>22868</v>
      </c>
      <c r="F2664" t="s">
        <v>22869</v>
      </c>
      <c r="G2664" t="s">
        <v>22870</v>
      </c>
      <c r="H2664">
        <v>20.25</v>
      </c>
      <c r="I2664">
        <v>0</v>
      </c>
      <c r="J2664">
        <v>0</v>
      </c>
      <c r="K2664">
        <v>0</v>
      </c>
      <c r="L2664">
        <v>7</v>
      </c>
      <c r="O2664">
        <v>7</v>
      </c>
      <c r="P2664">
        <v>4</v>
      </c>
      <c r="Q2664">
        <v>0</v>
      </c>
      <c r="R2664">
        <v>31.25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H2664">
        <v>31.25</v>
      </c>
    </row>
    <row r="2665" spans="1:34" x14ac:dyDescent="0.3">
      <c r="A2665" s="4">
        <v>2781</v>
      </c>
      <c r="B2665" s="5">
        <v>2658</v>
      </c>
      <c r="C2665">
        <v>15481</v>
      </c>
      <c r="D2665" t="s">
        <v>22871</v>
      </c>
      <c r="E2665" t="s">
        <v>4935</v>
      </c>
      <c r="F2665" t="s">
        <v>17</v>
      </c>
      <c r="G2665" t="s">
        <v>22872</v>
      </c>
      <c r="H2665">
        <v>20.25</v>
      </c>
      <c r="I2665">
        <v>7</v>
      </c>
      <c r="J2665">
        <v>0</v>
      </c>
      <c r="K2665">
        <v>0</v>
      </c>
      <c r="O2665">
        <v>0</v>
      </c>
      <c r="P2665">
        <v>4</v>
      </c>
      <c r="Q2665">
        <v>0</v>
      </c>
      <c r="R2665">
        <v>31.25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H2665">
        <v>31.25</v>
      </c>
    </row>
    <row r="2666" spans="1:34" x14ac:dyDescent="0.3">
      <c r="A2666" s="4">
        <v>2782</v>
      </c>
      <c r="B2666" s="5">
        <v>2659</v>
      </c>
      <c r="C2666">
        <v>6985</v>
      </c>
      <c r="D2666" t="s">
        <v>3454</v>
      </c>
      <c r="E2666" t="s">
        <v>208</v>
      </c>
      <c r="F2666" t="s">
        <v>17</v>
      </c>
      <c r="G2666" t="s">
        <v>22873</v>
      </c>
      <c r="H2666">
        <v>18.25</v>
      </c>
      <c r="I2666">
        <v>0</v>
      </c>
      <c r="J2666">
        <v>0</v>
      </c>
      <c r="K2666">
        <v>0</v>
      </c>
      <c r="L2666">
        <v>7</v>
      </c>
      <c r="O2666">
        <v>7</v>
      </c>
      <c r="P2666">
        <v>4</v>
      </c>
      <c r="Q2666">
        <v>2</v>
      </c>
      <c r="R2666">
        <v>31.25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H2666">
        <v>31.25</v>
      </c>
    </row>
    <row r="2667" spans="1:34" x14ac:dyDescent="0.3">
      <c r="A2667" s="4">
        <v>2783</v>
      </c>
      <c r="B2667" s="5">
        <v>2660</v>
      </c>
      <c r="C2667">
        <v>9426</v>
      </c>
      <c r="D2667" t="s">
        <v>22874</v>
      </c>
      <c r="E2667" t="s">
        <v>48</v>
      </c>
      <c r="F2667" t="s">
        <v>1076</v>
      </c>
      <c r="G2667" t="s">
        <v>22875</v>
      </c>
      <c r="H2667">
        <v>18.23</v>
      </c>
      <c r="I2667">
        <v>0</v>
      </c>
      <c r="J2667">
        <v>0</v>
      </c>
      <c r="K2667">
        <v>0</v>
      </c>
      <c r="N2667">
        <v>3</v>
      </c>
      <c r="O2667">
        <v>3</v>
      </c>
      <c r="P2667">
        <v>4</v>
      </c>
      <c r="Q2667">
        <v>0</v>
      </c>
      <c r="R2667">
        <v>25.23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6</v>
      </c>
      <c r="AC2667">
        <v>0</v>
      </c>
      <c r="AH2667">
        <v>31.23</v>
      </c>
    </row>
    <row r="2668" spans="1:34" x14ac:dyDescent="0.3">
      <c r="A2668" s="4">
        <v>2784</v>
      </c>
      <c r="B2668" s="5">
        <v>2661</v>
      </c>
      <c r="C2668">
        <v>15276</v>
      </c>
      <c r="D2668" t="s">
        <v>21258</v>
      </c>
      <c r="E2668" t="s">
        <v>789</v>
      </c>
      <c r="F2668" t="s">
        <v>3750</v>
      </c>
      <c r="G2668" t="s">
        <v>22876</v>
      </c>
      <c r="H2668">
        <v>18.23</v>
      </c>
      <c r="I2668">
        <v>0</v>
      </c>
      <c r="J2668">
        <v>0</v>
      </c>
      <c r="K2668">
        <v>0</v>
      </c>
      <c r="N2668">
        <v>6</v>
      </c>
      <c r="O2668">
        <v>6</v>
      </c>
      <c r="P2668">
        <v>4</v>
      </c>
      <c r="Q2668">
        <v>0</v>
      </c>
      <c r="R2668">
        <v>28.23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3</v>
      </c>
      <c r="AC2668">
        <v>0</v>
      </c>
      <c r="AH2668">
        <v>31.23</v>
      </c>
    </row>
    <row r="2669" spans="1:34" x14ac:dyDescent="0.3">
      <c r="A2669" s="4">
        <v>2785</v>
      </c>
      <c r="B2669" s="5">
        <v>2662</v>
      </c>
      <c r="C2669">
        <v>15029</v>
      </c>
      <c r="D2669" t="s">
        <v>22877</v>
      </c>
      <c r="E2669" t="s">
        <v>22878</v>
      </c>
      <c r="F2669" t="s">
        <v>20</v>
      </c>
      <c r="G2669" t="s">
        <v>22879</v>
      </c>
      <c r="H2669">
        <v>20.23</v>
      </c>
      <c r="I2669">
        <v>0</v>
      </c>
      <c r="J2669">
        <v>0</v>
      </c>
      <c r="K2669">
        <v>0</v>
      </c>
      <c r="L2669">
        <v>7</v>
      </c>
      <c r="O2669">
        <v>7</v>
      </c>
      <c r="P2669">
        <v>4</v>
      </c>
      <c r="Q2669">
        <v>0</v>
      </c>
      <c r="R2669">
        <v>31.23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H2669">
        <v>31.23</v>
      </c>
    </row>
    <row r="2670" spans="1:34" x14ac:dyDescent="0.3">
      <c r="A2670" s="4">
        <v>2786</v>
      </c>
      <c r="B2670" s="5">
        <v>2663</v>
      </c>
      <c r="C2670">
        <v>13700</v>
      </c>
      <c r="D2670" t="s">
        <v>4641</v>
      </c>
      <c r="E2670" t="s">
        <v>22880</v>
      </c>
      <c r="F2670" t="s">
        <v>55</v>
      </c>
      <c r="G2670" t="s">
        <v>22881</v>
      </c>
      <c r="H2670">
        <v>18.2</v>
      </c>
      <c r="I2670">
        <v>0</v>
      </c>
      <c r="J2670">
        <v>0</v>
      </c>
      <c r="K2670">
        <v>0</v>
      </c>
      <c r="N2670">
        <v>3</v>
      </c>
      <c r="O2670">
        <v>3</v>
      </c>
      <c r="P2670">
        <v>4</v>
      </c>
      <c r="Q2670">
        <v>0</v>
      </c>
      <c r="R2670">
        <v>25.2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6</v>
      </c>
      <c r="AC2670">
        <v>0</v>
      </c>
      <c r="AH2670">
        <v>31.2</v>
      </c>
    </row>
    <row r="2671" spans="1:34" x14ac:dyDescent="0.3">
      <c r="A2671" s="4">
        <v>2787</v>
      </c>
      <c r="B2671" s="5">
        <v>2664</v>
      </c>
      <c r="C2671">
        <v>11628</v>
      </c>
      <c r="D2671" t="s">
        <v>15685</v>
      </c>
      <c r="E2671" t="s">
        <v>29</v>
      </c>
      <c r="F2671" t="s">
        <v>136</v>
      </c>
      <c r="G2671" t="s">
        <v>22882</v>
      </c>
      <c r="H2671">
        <v>22.2</v>
      </c>
      <c r="I2671">
        <v>0</v>
      </c>
      <c r="J2671">
        <v>0</v>
      </c>
      <c r="K2671">
        <v>0</v>
      </c>
      <c r="M2671">
        <v>5</v>
      </c>
      <c r="O2671">
        <v>5</v>
      </c>
      <c r="P2671">
        <v>4</v>
      </c>
      <c r="Q2671">
        <v>0</v>
      </c>
      <c r="R2671">
        <v>31.2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H2671">
        <v>31.2</v>
      </c>
    </row>
    <row r="2672" spans="1:34" x14ac:dyDescent="0.3">
      <c r="A2672" s="4">
        <v>2788</v>
      </c>
      <c r="B2672" s="5">
        <v>2665</v>
      </c>
      <c r="C2672">
        <v>5141</v>
      </c>
      <c r="D2672" t="s">
        <v>9064</v>
      </c>
      <c r="E2672" t="s">
        <v>213</v>
      </c>
      <c r="F2672" t="s">
        <v>81</v>
      </c>
      <c r="G2672" t="s">
        <v>22883</v>
      </c>
      <c r="H2672">
        <v>19.18</v>
      </c>
      <c r="I2672">
        <v>0</v>
      </c>
      <c r="J2672">
        <v>0</v>
      </c>
      <c r="K2672">
        <v>0</v>
      </c>
      <c r="O2672">
        <v>0</v>
      </c>
      <c r="P2672">
        <v>4</v>
      </c>
      <c r="Q2672">
        <v>2</v>
      </c>
      <c r="R2672">
        <v>25.18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6</v>
      </c>
      <c r="AC2672">
        <v>0</v>
      </c>
      <c r="AH2672">
        <v>31.18</v>
      </c>
    </row>
    <row r="2673" spans="1:34" x14ac:dyDescent="0.3">
      <c r="A2673" s="4">
        <v>2789</v>
      </c>
      <c r="B2673" s="5">
        <v>2666</v>
      </c>
      <c r="C2673">
        <v>12873</v>
      </c>
      <c r="D2673" t="s">
        <v>432</v>
      </c>
      <c r="E2673" t="s">
        <v>22</v>
      </c>
      <c r="F2673" t="s">
        <v>34</v>
      </c>
      <c r="G2673" t="s">
        <v>22884</v>
      </c>
      <c r="H2673">
        <v>18.18</v>
      </c>
      <c r="I2673">
        <v>0</v>
      </c>
      <c r="J2673">
        <v>0</v>
      </c>
      <c r="K2673">
        <v>0</v>
      </c>
      <c r="N2673">
        <v>3</v>
      </c>
      <c r="O2673">
        <v>3</v>
      </c>
      <c r="P2673">
        <v>4</v>
      </c>
      <c r="Q2673">
        <v>0</v>
      </c>
      <c r="R2673">
        <v>25.18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6</v>
      </c>
      <c r="AC2673">
        <v>0</v>
      </c>
      <c r="AH2673">
        <v>31.18</v>
      </c>
    </row>
    <row r="2674" spans="1:34" x14ac:dyDescent="0.3">
      <c r="A2674" s="4">
        <v>2790</v>
      </c>
      <c r="B2674" s="5">
        <v>2667</v>
      </c>
      <c r="C2674">
        <v>15072</v>
      </c>
      <c r="D2674" t="s">
        <v>1517</v>
      </c>
      <c r="E2674" t="s">
        <v>563</v>
      </c>
      <c r="F2674" t="s">
        <v>38</v>
      </c>
      <c r="G2674" t="s">
        <v>22885</v>
      </c>
      <c r="H2674">
        <v>18.149999999999999</v>
      </c>
      <c r="I2674">
        <v>0</v>
      </c>
      <c r="J2674">
        <v>0</v>
      </c>
      <c r="K2674">
        <v>0</v>
      </c>
      <c r="N2674">
        <v>3</v>
      </c>
      <c r="O2674">
        <v>3</v>
      </c>
      <c r="P2674">
        <v>4</v>
      </c>
      <c r="Q2674">
        <v>0</v>
      </c>
      <c r="R2674">
        <v>25.15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6</v>
      </c>
      <c r="AC2674">
        <v>0</v>
      </c>
      <c r="AH2674">
        <v>31.15</v>
      </c>
    </row>
    <row r="2675" spans="1:34" x14ac:dyDescent="0.3">
      <c r="A2675" s="4">
        <v>2791</v>
      </c>
      <c r="B2675" s="5">
        <v>2668</v>
      </c>
      <c r="C2675">
        <v>206</v>
      </c>
      <c r="D2675" t="s">
        <v>22886</v>
      </c>
      <c r="E2675" t="s">
        <v>22887</v>
      </c>
      <c r="F2675" t="s">
        <v>20</v>
      </c>
      <c r="G2675" t="s">
        <v>22888</v>
      </c>
      <c r="H2675">
        <v>20.149999999999999</v>
      </c>
      <c r="I2675">
        <v>0</v>
      </c>
      <c r="J2675">
        <v>0</v>
      </c>
      <c r="K2675">
        <v>0</v>
      </c>
      <c r="L2675">
        <v>7</v>
      </c>
      <c r="O2675">
        <v>7</v>
      </c>
      <c r="P2675">
        <v>4</v>
      </c>
      <c r="Q2675">
        <v>0</v>
      </c>
      <c r="R2675">
        <v>31.15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H2675">
        <v>31.15</v>
      </c>
    </row>
    <row r="2676" spans="1:34" x14ac:dyDescent="0.3">
      <c r="A2676" s="4">
        <v>2792</v>
      </c>
      <c r="B2676" s="5">
        <v>2669</v>
      </c>
      <c r="C2676">
        <v>10766</v>
      </c>
      <c r="D2676" t="s">
        <v>10774</v>
      </c>
      <c r="E2676" t="s">
        <v>789</v>
      </c>
      <c r="F2676" t="s">
        <v>30</v>
      </c>
      <c r="G2676" t="s">
        <v>22889</v>
      </c>
      <c r="H2676">
        <v>20.149999999999999</v>
      </c>
      <c r="I2676">
        <v>0</v>
      </c>
      <c r="J2676">
        <v>0</v>
      </c>
      <c r="K2676">
        <v>0</v>
      </c>
      <c r="M2676">
        <v>5</v>
      </c>
      <c r="O2676">
        <v>5</v>
      </c>
      <c r="P2676">
        <v>4</v>
      </c>
      <c r="Q2676">
        <v>2</v>
      </c>
      <c r="R2676">
        <v>31.15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H2676">
        <v>31.15</v>
      </c>
    </row>
    <row r="2677" spans="1:34" x14ac:dyDescent="0.3">
      <c r="A2677" s="4">
        <v>2793</v>
      </c>
      <c r="B2677" s="5">
        <v>2670</v>
      </c>
      <c r="C2677">
        <v>14622</v>
      </c>
      <c r="D2677" t="s">
        <v>22890</v>
      </c>
      <c r="E2677" t="s">
        <v>2758</v>
      </c>
      <c r="F2677" t="s">
        <v>17</v>
      </c>
      <c r="G2677" t="s">
        <v>22891</v>
      </c>
      <c r="H2677">
        <v>17.149999999999999</v>
      </c>
      <c r="I2677">
        <v>0</v>
      </c>
      <c r="J2677">
        <v>0</v>
      </c>
      <c r="K2677">
        <v>0</v>
      </c>
      <c r="L2677">
        <v>7</v>
      </c>
      <c r="N2677">
        <v>3</v>
      </c>
      <c r="O2677">
        <v>10</v>
      </c>
      <c r="P2677">
        <v>4</v>
      </c>
      <c r="Q2677">
        <v>0</v>
      </c>
      <c r="R2677">
        <v>31.15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H2677">
        <v>31.15</v>
      </c>
    </row>
    <row r="2678" spans="1:34" x14ac:dyDescent="0.3">
      <c r="A2678" s="4">
        <v>2794</v>
      </c>
      <c r="B2678" s="5">
        <v>2671</v>
      </c>
      <c r="C2678">
        <v>4253</v>
      </c>
      <c r="D2678" t="s">
        <v>1240</v>
      </c>
      <c r="E2678" t="s">
        <v>4011</v>
      </c>
      <c r="F2678" t="s">
        <v>34</v>
      </c>
      <c r="G2678" t="s">
        <v>22892</v>
      </c>
      <c r="H2678">
        <v>21.13</v>
      </c>
      <c r="I2678">
        <v>0</v>
      </c>
      <c r="J2678">
        <v>0</v>
      </c>
      <c r="K2678">
        <v>0</v>
      </c>
      <c r="O2678">
        <v>0</v>
      </c>
      <c r="P2678">
        <v>4</v>
      </c>
      <c r="Q2678">
        <v>0</v>
      </c>
      <c r="R2678">
        <v>25.13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6</v>
      </c>
      <c r="AC2678">
        <v>0</v>
      </c>
      <c r="AH2678">
        <v>31.13</v>
      </c>
    </row>
    <row r="2679" spans="1:34" x14ac:dyDescent="0.3">
      <c r="A2679" s="4">
        <v>2795</v>
      </c>
      <c r="B2679" s="5">
        <v>2672</v>
      </c>
      <c r="C2679">
        <v>8063</v>
      </c>
      <c r="D2679" t="s">
        <v>22893</v>
      </c>
      <c r="E2679" t="s">
        <v>380</v>
      </c>
      <c r="F2679" t="s">
        <v>328</v>
      </c>
      <c r="G2679" t="s">
        <v>22894</v>
      </c>
      <c r="H2679">
        <v>21.13</v>
      </c>
      <c r="I2679">
        <v>0</v>
      </c>
      <c r="J2679">
        <v>0</v>
      </c>
      <c r="K2679">
        <v>0</v>
      </c>
      <c r="O2679">
        <v>0</v>
      </c>
      <c r="P2679">
        <v>4</v>
      </c>
      <c r="Q2679">
        <v>0</v>
      </c>
      <c r="R2679">
        <v>25.13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6</v>
      </c>
      <c r="AC2679">
        <v>0</v>
      </c>
      <c r="AH2679">
        <v>31.13</v>
      </c>
    </row>
    <row r="2680" spans="1:34" x14ac:dyDescent="0.3">
      <c r="A2680" s="4">
        <v>2796</v>
      </c>
      <c r="B2680" s="5">
        <v>2673</v>
      </c>
      <c r="C2680">
        <v>5976</v>
      </c>
      <c r="D2680" t="s">
        <v>22895</v>
      </c>
      <c r="E2680" t="s">
        <v>255</v>
      </c>
      <c r="F2680" t="s">
        <v>38</v>
      </c>
      <c r="G2680" t="s">
        <v>22896</v>
      </c>
      <c r="H2680">
        <v>18.100000000000001</v>
      </c>
      <c r="I2680">
        <v>0</v>
      </c>
      <c r="J2680">
        <v>0</v>
      </c>
      <c r="K2680">
        <v>0</v>
      </c>
      <c r="N2680">
        <v>3</v>
      </c>
      <c r="O2680">
        <v>3</v>
      </c>
      <c r="P2680">
        <v>4</v>
      </c>
      <c r="Q2680">
        <v>0</v>
      </c>
      <c r="R2680">
        <v>25.1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6</v>
      </c>
      <c r="AC2680">
        <v>0</v>
      </c>
      <c r="AH2680">
        <v>31.1</v>
      </c>
    </row>
    <row r="2681" spans="1:34" x14ac:dyDescent="0.3">
      <c r="A2681" s="4">
        <v>2797</v>
      </c>
      <c r="B2681" s="5">
        <v>2674</v>
      </c>
      <c r="C2681">
        <v>15202</v>
      </c>
      <c r="D2681" t="s">
        <v>22897</v>
      </c>
      <c r="E2681" t="s">
        <v>29</v>
      </c>
      <c r="F2681" t="s">
        <v>136</v>
      </c>
      <c r="G2681" t="s">
        <v>22898</v>
      </c>
      <c r="H2681">
        <v>18.100000000000001</v>
      </c>
      <c r="I2681">
        <v>0</v>
      </c>
      <c r="J2681">
        <v>0</v>
      </c>
      <c r="K2681">
        <v>0</v>
      </c>
      <c r="N2681">
        <v>3</v>
      </c>
      <c r="O2681">
        <v>3</v>
      </c>
      <c r="P2681">
        <v>4</v>
      </c>
      <c r="Q2681">
        <v>0</v>
      </c>
      <c r="R2681">
        <v>25.1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6</v>
      </c>
      <c r="AC2681">
        <v>0</v>
      </c>
      <c r="AH2681">
        <v>31.1</v>
      </c>
    </row>
    <row r="2682" spans="1:34" x14ac:dyDescent="0.3">
      <c r="A2682" s="4">
        <v>2798</v>
      </c>
      <c r="B2682" s="5">
        <v>2675</v>
      </c>
      <c r="C2682">
        <v>13646</v>
      </c>
      <c r="D2682" t="s">
        <v>1611</v>
      </c>
      <c r="E2682" t="s">
        <v>6507</v>
      </c>
      <c r="F2682" t="s">
        <v>238</v>
      </c>
      <c r="G2682" t="s">
        <v>22899</v>
      </c>
      <c r="H2682">
        <v>20.100000000000001</v>
      </c>
      <c r="I2682">
        <v>0</v>
      </c>
      <c r="J2682">
        <v>0</v>
      </c>
      <c r="K2682">
        <v>0</v>
      </c>
      <c r="L2682">
        <v>7</v>
      </c>
      <c r="O2682">
        <v>7</v>
      </c>
      <c r="P2682">
        <v>4</v>
      </c>
      <c r="Q2682">
        <v>0</v>
      </c>
      <c r="R2682">
        <v>31.1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H2682">
        <v>31.1</v>
      </c>
    </row>
    <row r="2683" spans="1:34" x14ac:dyDescent="0.3">
      <c r="A2683" s="4">
        <v>2799</v>
      </c>
      <c r="B2683" s="5">
        <v>2676</v>
      </c>
      <c r="C2683">
        <v>1626</v>
      </c>
      <c r="D2683" t="s">
        <v>22900</v>
      </c>
      <c r="E2683" t="s">
        <v>33</v>
      </c>
      <c r="F2683" t="s">
        <v>38</v>
      </c>
      <c r="G2683" t="s">
        <v>22901</v>
      </c>
      <c r="H2683">
        <v>20.100000000000001</v>
      </c>
      <c r="I2683">
        <v>0</v>
      </c>
      <c r="J2683">
        <v>0</v>
      </c>
      <c r="K2683">
        <v>0</v>
      </c>
      <c r="L2683">
        <v>7</v>
      </c>
      <c r="O2683">
        <v>7</v>
      </c>
      <c r="P2683">
        <v>4</v>
      </c>
      <c r="Q2683">
        <v>0</v>
      </c>
      <c r="R2683">
        <v>31.1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H2683">
        <v>31.1</v>
      </c>
    </row>
    <row r="2684" spans="1:34" x14ac:dyDescent="0.3">
      <c r="A2684" s="4">
        <v>2800</v>
      </c>
      <c r="B2684" s="5">
        <v>2677</v>
      </c>
      <c r="C2684">
        <v>970</v>
      </c>
      <c r="D2684" t="s">
        <v>22902</v>
      </c>
      <c r="E2684" t="s">
        <v>22903</v>
      </c>
      <c r="F2684" t="s">
        <v>91</v>
      </c>
      <c r="G2684" t="s">
        <v>22904</v>
      </c>
      <c r="H2684">
        <v>20.100000000000001</v>
      </c>
      <c r="I2684">
        <v>0</v>
      </c>
      <c r="J2684">
        <v>0</v>
      </c>
      <c r="K2684">
        <v>0</v>
      </c>
      <c r="L2684">
        <v>7</v>
      </c>
      <c r="O2684">
        <v>7</v>
      </c>
      <c r="P2684">
        <v>4</v>
      </c>
      <c r="Q2684">
        <v>0</v>
      </c>
      <c r="R2684">
        <v>31.1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H2684">
        <v>31.1</v>
      </c>
    </row>
    <row r="2685" spans="1:34" x14ac:dyDescent="0.3">
      <c r="A2685" s="4">
        <v>2801</v>
      </c>
      <c r="B2685" s="5">
        <v>2678</v>
      </c>
      <c r="C2685">
        <v>15536</v>
      </c>
      <c r="D2685" t="s">
        <v>22905</v>
      </c>
      <c r="E2685" t="s">
        <v>158</v>
      </c>
      <c r="F2685" t="s">
        <v>243</v>
      </c>
      <c r="G2685" t="s">
        <v>22906</v>
      </c>
      <c r="H2685">
        <v>20.100000000000001</v>
      </c>
      <c r="I2685">
        <v>0</v>
      </c>
      <c r="J2685">
        <v>0</v>
      </c>
      <c r="K2685">
        <v>0</v>
      </c>
      <c r="L2685">
        <v>7</v>
      </c>
      <c r="O2685">
        <v>7</v>
      </c>
      <c r="P2685">
        <v>4</v>
      </c>
      <c r="Q2685">
        <v>0</v>
      </c>
      <c r="R2685">
        <v>31.1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H2685">
        <v>31.1</v>
      </c>
    </row>
    <row r="2686" spans="1:34" x14ac:dyDescent="0.3">
      <c r="A2686" s="4">
        <v>2802</v>
      </c>
      <c r="B2686" s="5">
        <v>2679</v>
      </c>
      <c r="C2686">
        <v>13536</v>
      </c>
      <c r="D2686" t="s">
        <v>22907</v>
      </c>
      <c r="E2686" t="s">
        <v>41</v>
      </c>
      <c r="F2686" t="s">
        <v>38</v>
      </c>
      <c r="G2686" t="s">
        <v>22908</v>
      </c>
      <c r="H2686">
        <v>18.100000000000001</v>
      </c>
      <c r="I2686">
        <v>0</v>
      </c>
      <c r="J2686">
        <v>0</v>
      </c>
      <c r="K2686">
        <v>0</v>
      </c>
      <c r="N2686">
        <v>3</v>
      </c>
      <c r="O2686">
        <v>3</v>
      </c>
      <c r="P2686">
        <v>4</v>
      </c>
      <c r="Q2686">
        <v>0</v>
      </c>
      <c r="R2686">
        <v>25.1</v>
      </c>
      <c r="S2686">
        <v>6</v>
      </c>
      <c r="T2686">
        <v>6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6</v>
      </c>
      <c r="AB2686">
        <v>0</v>
      </c>
      <c r="AC2686">
        <v>0</v>
      </c>
      <c r="AH2686">
        <v>31.1</v>
      </c>
    </row>
    <row r="2687" spans="1:34" x14ac:dyDescent="0.3">
      <c r="A2687" s="4">
        <v>2803</v>
      </c>
      <c r="B2687" s="5">
        <v>2680</v>
      </c>
      <c r="C2687">
        <v>5762</v>
      </c>
      <c r="D2687" t="s">
        <v>22909</v>
      </c>
      <c r="E2687" t="s">
        <v>132</v>
      </c>
      <c r="F2687" t="s">
        <v>81</v>
      </c>
      <c r="G2687" t="s">
        <v>22910</v>
      </c>
      <c r="H2687">
        <v>20.079999999999998</v>
      </c>
      <c r="I2687">
        <v>0</v>
      </c>
      <c r="J2687">
        <v>0</v>
      </c>
      <c r="K2687">
        <v>0</v>
      </c>
      <c r="L2687">
        <v>7</v>
      </c>
      <c r="O2687">
        <v>7</v>
      </c>
      <c r="P2687">
        <v>4</v>
      </c>
      <c r="Q2687">
        <v>0</v>
      </c>
      <c r="R2687">
        <v>31.08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H2687">
        <v>31.08</v>
      </c>
    </row>
    <row r="2688" spans="1:34" x14ac:dyDescent="0.3">
      <c r="A2688" s="4">
        <v>2804</v>
      </c>
      <c r="B2688" s="5">
        <v>2681</v>
      </c>
      <c r="C2688">
        <v>9354</v>
      </c>
      <c r="D2688" t="s">
        <v>1083</v>
      </c>
      <c r="E2688" t="s">
        <v>110</v>
      </c>
      <c r="F2688" t="s">
        <v>171</v>
      </c>
      <c r="G2688" t="s">
        <v>22911</v>
      </c>
      <c r="H2688">
        <v>20.079999999999998</v>
      </c>
      <c r="I2688">
        <v>0</v>
      </c>
      <c r="J2688">
        <v>0</v>
      </c>
      <c r="K2688">
        <v>0</v>
      </c>
      <c r="L2688">
        <v>7</v>
      </c>
      <c r="O2688">
        <v>7</v>
      </c>
      <c r="P2688">
        <v>4</v>
      </c>
      <c r="Q2688">
        <v>0</v>
      </c>
      <c r="R2688">
        <v>31.08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H2688">
        <v>31.08</v>
      </c>
    </row>
    <row r="2689" spans="1:34" x14ac:dyDescent="0.3">
      <c r="A2689" s="4">
        <v>2805</v>
      </c>
      <c r="B2689" s="5">
        <v>2682</v>
      </c>
      <c r="C2689">
        <v>7612</v>
      </c>
      <c r="D2689" t="s">
        <v>5761</v>
      </c>
      <c r="E2689" t="s">
        <v>283</v>
      </c>
      <c r="F2689" t="s">
        <v>30</v>
      </c>
      <c r="G2689" t="s">
        <v>22912</v>
      </c>
      <c r="H2689">
        <v>18.079999999999998</v>
      </c>
      <c r="I2689">
        <v>0</v>
      </c>
      <c r="J2689">
        <v>0</v>
      </c>
      <c r="K2689">
        <v>0</v>
      </c>
      <c r="L2689">
        <v>7</v>
      </c>
      <c r="O2689">
        <v>7</v>
      </c>
      <c r="P2689">
        <v>4</v>
      </c>
      <c r="Q2689">
        <v>2</v>
      </c>
      <c r="R2689">
        <v>31.08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H2689">
        <v>31.08</v>
      </c>
    </row>
    <row r="2690" spans="1:34" x14ac:dyDescent="0.3">
      <c r="A2690" s="4">
        <v>2806</v>
      </c>
      <c r="B2690" s="5">
        <v>2683</v>
      </c>
      <c r="C2690">
        <v>4470</v>
      </c>
      <c r="D2690" t="s">
        <v>743</v>
      </c>
      <c r="E2690" t="s">
        <v>406</v>
      </c>
      <c r="F2690" t="s">
        <v>124</v>
      </c>
      <c r="G2690" t="s">
        <v>22913</v>
      </c>
      <c r="H2690">
        <v>18.05</v>
      </c>
      <c r="I2690">
        <v>0</v>
      </c>
      <c r="J2690">
        <v>0</v>
      </c>
      <c r="K2690">
        <v>0</v>
      </c>
      <c r="N2690">
        <v>3</v>
      </c>
      <c r="O2690">
        <v>3</v>
      </c>
      <c r="P2690">
        <v>4</v>
      </c>
      <c r="Q2690">
        <v>0</v>
      </c>
      <c r="R2690">
        <v>25.05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6</v>
      </c>
      <c r="AC2690">
        <v>0</v>
      </c>
      <c r="AH2690">
        <v>31.05</v>
      </c>
    </row>
    <row r="2691" spans="1:34" x14ac:dyDescent="0.3">
      <c r="A2691" s="4">
        <v>2807</v>
      </c>
      <c r="B2691" s="5">
        <v>2684</v>
      </c>
      <c r="C2691">
        <v>10904</v>
      </c>
      <c r="D2691" t="s">
        <v>15602</v>
      </c>
      <c r="E2691" t="s">
        <v>692</v>
      </c>
      <c r="F2691" t="s">
        <v>972</v>
      </c>
      <c r="G2691" t="s">
        <v>22914</v>
      </c>
      <c r="H2691">
        <v>19.05</v>
      </c>
      <c r="I2691">
        <v>0</v>
      </c>
      <c r="J2691">
        <v>0</v>
      </c>
      <c r="K2691">
        <v>0</v>
      </c>
      <c r="N2691">
        <v>3</v>
      </c>
      <c r="O2691">
        <v>3</v>
      </c>
      <c r="P2691">
        <v>4</v>
      </c>
      <c r="Q2691">
        <v>2</v>
      </c>
      <c r="R2691">
        <v>28.05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3</v>
      </c>
      <c r="AC2691">
        <v>0</v>
      </c>
      <c r="AH2691">
        <v>31.05</v>
      </c>
    </row>
    <row r="2692" spans="1:34" x14ac:dyDescent="0.3">
      <c r="A2692" s="4">
        <v>2808</v>
      </c>
      <c r="B2692" s="5">
        <v>2685</v>
      </c>
      <c r="C2692">
        <v>8255</v>
      </c>
      <c r="D2692" t="s">
        <v>3161</v>
      </c>
      <c r="E2692" t="s">
        <v>2157</v>
      </c>
      <c r="F2692" t="s">
        <v>2408</v>
      </c>
      <c r="G2692" t="s">
        <v>22915</v>
      </c>
      <c r="H2692">
        <v>20.05</v>
      </c>
      <c r="I2692">
        <v>0</v>
      </c>
      <c r="J2692">
        <v>0</v>
      </c>
      <c r="K2692">
        <v>0</v>
      </c>
      <c r="L2692">
        <v>7</v>
      </c>
      <c r="O2692">
        <v>7</v>
      </c>
      <c r="P2692">
        <v>4</v>
      </c>
      <c r="Q2692">
        <v>0</v>
      </c>
      <c r="R2692">
        <v>31.05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H2692">
        <v>31.05</v>
      </c>
    </row>
    <row r="2693" spans="1:34" x14ac:dyDescent="0.3">
      <c r="A2693" s="4">
        <v>2809</v>
      </c>
      <c r="B2693" s="5">
        <v>2686</v>
      </c>
      <c r="C2693">
        <v>13855</v>
      </c>
      <c r="D2693" t="s">
        <v>22916</v>
      </c>
      <c r="E2693" t="s">
        <v>6605</v>
      </c>
      <c r="F2693" t="s">
        <v>7821</v>
      </c>
      <c r="G2693" t="s">
        <v>22917</v>
      </c>
      <c r="H2693">
        <v>20.05</v>
      </c>
      <c r="I2693">
        <v>0</v>
      </c>
      <c r="J2693">
        <v>0</v>
      </c>
      <c r="K2693">
        <v>0</v>
      </c>
      <c r="L2693">
        <v>7</v>
      </c>
      <c r="O2693">
        <v>7</v>
      </c>
      <c r="P2693">
        <v>4</v>
      </c>
      <c r="Q2693">
        <v>0</v>
      </c>
      <c r="R2693">
        <v>31.05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H2693">
        <v>31.05</v>
      </c>
    </row>
    <row r="2694" spans="1:34" x14ac:dyDescent="0.3">
      <c r="A2694" s="4">
        <v>2810</v>
      </c>
      <c r="B2694" s="5">
        <v>2687</v>
      </c>
      <c r="C2694">
        <v>7400</v>
      </c>
      <c r="D2694" t="s">
        <v>22918</v>
      </c>
      <c r="E2694" t="s">
        <v>37</v>
      </c>
      <c r="F2694" t="s">
        <v>158</v>
      </c>
      <c r="G2694" t="s">
        <v>22919</v>
      </c>
      <c r="H2694">
        <v>18.03</v>
      </c>
      <c r="I2694">
        <v>0</v>
      </c>
      <c r="J2694">
        <v>0</v>
      </c>
      <c r="K2694">
        <v>0</v>
      </c>
      <c r="N2694">
        <v>3</v>
      </c>
      <c r="O2694">
        <v>3</v>
      </c>
      <c r="P2694">
        <v>4</v>
      </c>
      <c r="Q2694">
        <v>0</v>
      </c>
      <c r="R2694">
        <v>25.03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6</v>
      </c>
      <c r="AC2694">
        <v>0</v>
      </c>
      <c r="AH2694">
        <v>31.03</v>
      </c>
    </row>
    <row r="2695" spans="1:34" x14ac:dyDescent="0.3">
      <c r="A2695" s="4">
        <v>2811</v>
      </c>
      <c r="B2695" s="5">
        <v>2688</v>
      </c>
      <c r="C2695">
        <v>6008</v>
      </c>
      <c r="D2695" t="s">
        <v>22920</v>
      </c>
      <c r="E2695" t="s">
        <v>516</v>
      </c>
      <c r="F2695" t="s">
        <v>136</v>
      </c>
      <c r="G2695" t="s">
        <v>22921</v>
      </c>
      <c r="H2695">
        <v>18.03</v>
      </c>
      <c r="I2695">
        <v>0</v>
      </c>
      <c r="J2695">
        <v>0</v>
      </c>
      <c r="K2695">
        <v>0</v>
      </c>
      <c r="N2695">
        <v>3</v>
      </c>
      <c r="O2695">
        <v>3</v>
      </c>
      <c r="P2695">
        <v>4</v>
      </c>
      <c r="Q2695">
        <v>0</v>
      </c>
      <c r="R2695">
        <v>25.03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6</v>
      </c>
      <c r="AC2695">
        <v>0</v>
      </c>
      <c r="AH2695">
        <v>31.03</v>
      </c>
    </row>
    <row r="2696" spans="1:34" x14ac:dyDescent="0.3">
      <c r="A2696" s="4">
        <v>2812</v>
      </c>
      <c r="B2696" s="5">
        <v>2689</v>
      </c>
      <c r="C2696">
        <v>11185</v>
      </c>
      <c r="D2696" t="s">
        <v>20767</v>
      </c>
      <c r="E2696" t="s">
        <v>136</v>
      </c>
      <c r="F2696" t="s">
        <v>17</v>
      </c>
      <c r="G2696" t="s">
        <v>22922</v>
      </c>
      <c r="H2696">
        <v>18.03</v>
      </c>
      <c r="I2696">
        <v>0</v>
      </c>
      <c r="J2696">
        <v>0</v>
      </c>
      <c r="K2696">
        <v>0</v>
      </c>
      <c r="N2696">
        <v>3</v>
      </c>
      <c r="O2696">
        <v>3</v>
      </c>
      <c r="P2696">
        <v>4</v>
      </c>
      <c r="Q2696">
        <v>0</v>
      </c>
      <c r="R2696">
        <v>25.03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6</v>
      </c>
      <c r="AC2696">
        <v>0</v>
      </c>
      <c r="AH2696">
        <v>31.03</v>
      </c>
    </row>
    <row r="2697" spans="1:34" x14ac:dyDescent="0.3">
      <c r="A2697" s="4">
        <v>2813</v>
      </c>
      <c r="B2697" s="5">
        <v>2690</v>
      </c>
      <c r="C2697">
        <v>10265</v>
      </c>
      <c r="D2697" t="s">
        <v>5509</v>
      </c>
      <c r="E2697" t="s">
        <v>2743</v>
      </c>
      <c r="F2697" t="s">
        <v>17</v>
      </c>
      <c r="G2697" t="s">
        <v>22923</v>
      </c>
      <c r="H2697">
        <v>18.03</v>
      </c>
      <c r="I2697">
        <v>0</v>
      </c>
      <c r="J2697">
        <v>0</v>
      </c>
      <c r="K2697">
        <v>0</v>
      </c>
      <c r="N2697">
        <v>3</v>
      </c>
      <c r="O2697">
        <v>3</v>
      </c>
      <c r="P2697">
        <v>4</v>
      </c>
      <c r="Q2697">
        <v>0</v>
      </c>
      <c r="R2697">
        <v>25.03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6</v>
      </c>
      <c r="AC2697">
        <v>0</v>
      </c>
      <c r="AH2697">
        <v>31.03</v>
      </c>
    </row>
    <row r="2698" spans="1:34" x14ac:dyDescent="0.3">
      <c r="A2698" s="4">
        <v>2814</v>
      </c>
      <c r="B2698" s="5">
        <v>2691</v>
      </c>
      <c r="C2698">
        <v>6518</v>
      </c>
      <c r="D2698" t="s">
        <v>4841</v>
      </c>
      <c r="E2698" t="s">
        <v>26</v>
      </c>
      <c r="F2698" t="s">
        <v>91</v>
      </c>
      <c r="G2698" t="s">
        <v>22924</v>
      </c>
      <c r="H2698">
        <v>19.03</v>
      </c>
      <c r="I2698">
        <v>0</v>
      </c>
      <c r="J2698">
        <v>0</v>
      </c>
      <c r="K2698">
        <v>0</v>
      </c>
      <c r="M2698">
        <v>5</v>
      </c>
      <c r="O2698">
        <v>5</v>
      </c>
      <c r="P2698">
        <v>4</v>
      </c>
      <c r="Q2698">
        <v>0</v>
      </c>
      <c r="R2698">
        <v>28.03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3</v>
      </c>
      <c r="AC2698">
        <v>0</v>
      </c>
      <c r="AH2698">
        <v>31.03</v>
      </c>
    </row>
    <row r="2699" spans="1:34" x14ac:dyDescent="0.3">
      <c r="A2699" s="4">
        <v>2815</v>
      </c>
      <c r="B2699" s="5">
        <v>2692</v>
      </c>
      <c r="C2699">
        <v>9067</v>
      </c>
      <c r="D2699" t="s">
        <v>1015</v>
      </c>
      <c r="E2699" t="s">
        <v>213</v>
      </c>
      <c r="F2699" t="s">
        <v>81</v>
      </c>
      <c r="G2699" t="s">
        <v>22925</v>
      </c>
      <c r="H2699">
        <v>17.03</v>
      </c>
      <c r="I2699">
        <v>0</v>
      </c>
      <c r="J2699">
        <v>0</v>
      </c>
      <c r="K2699">
        <v>0</v>
      </c>
      <c r="L2699">
        <v>7</v>
      </c>
      <c r="O2699">
        <v>7</v>
      </c>
      <c r="P2699">
        <v>4</v>
      </c>
      <c r="Q2699">
        <v>0</v>
      </c>
      <c r="R2699">
        <v>28.03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3</v>
      </c>
      <c r="AC2699">
        <v>0</v>
      </c>
      <c r="AH2699">
        <v>31.03</v>
      </c>
    </row>
    <row r="2700" spans="1:34" x14ac:dyDescent="0.3">
      <c r="A2700" s="4">
        <v>2816</v>
      </c>
      <c r="B2700" s="5">
        <v>2693</v>
      </c>
      <c r="C2700">
        <v>11962</v>
      </c>
      <c r="D2700" t="s">
        <v>10885</v>
      </c>
      <c r="E2700" t="s">
        <v>54</v>
      </c>
      <c r="F2700" t="s">
        <v>17</v>
      </c>
      <c r="G2700" t="s">
        <v>22926</v>
      </c>
      <c r="H2700">
        <v>20.03</v>
      </c>
      <c r="I2700">
        <v>0</v>
      </c>
      <c r="J2700">
        <v>0</v>
      </c>
      <c r="K2700">
        <v>0</v>
      </c>
      <c r="L2700">
        <v>7</v>
      </c>
      <c r="O2700">
        <v>7</v>
      </c>
      <c r="P2700">
        <v>4</v>
      </c>
      <c r="Q2700">
        <v>0</v>
      </c>
      <c r="R2700">
        <v>31.03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H2700">
        <v>31.03</v>
      </c>
    </row>
    <row r="2701" spans="1:34" x14ac:dyDescent="0.3">
      <c r="A2701" s="4">
        <v>2817</v>
      </c>
      <c r="B2701" s="5">
        <v>2694</v>
      </c>
      <c r="C2701">
        <v>12447</v>
      </c>
      <c r="D2701" t="s">
        <v>22927</v>
      </c>
      <c r="E2701" t="s">
        <v>957</v>
      </c>
      <c r="F2701" t="s">
        <v>570</v>
      </c>
      <c r="G2701" t="s">
        <v>22928</v>
      </c>
      <c r="H2701">
        <v>20.03</v>
      </c>
      <c r="I2701">
        <v>0</v>
      </c>
      <c r="J2701">
        <v>0</v>
      </c>
      <c r="K2701">
        <v>0</v>
      </c>
      <c r="L2701">
        <v>7</v>
      </c>
      <c r="O2701">
        <v>7</v>
      </c>
      <c r="P2701">
        <v>4</v>
      </c>
      <c r="Q2701">
        <v>0</v>
      </c>
      <c r="R2701">
        <v>31.03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H2701">
        <v>31.03</v>
      </c>
    </row>
    <row r="2702" spans="1:34" x14ac:dyDescent="0.3">
      <c r="A2702" s="4">
        <v>2818</v>
      </c>
      <c r="B2702" s="5">
        <v>2695</v>
      </c>
      <c r="C2702">
        <v>15143</v>
      </c>
      <c r="D2702" t="s">
        <v>13009</v>
      </c>
      <c r="E2702" t="s">
        <v>147</v>
      </c>
      <c r="F2702" t="s">
        <v>81</v>
      </c>
      <c r="G2702" t="s">
        <v>22929</v>
      </c>
      <c r="H2702">
        <v>19</v>
      </c>
      <c r="I2702">
        <v>0</v>
      </c>
      <c r="J2702">
        <v>0</v>
      </c>
      <c r="K2702">
        <v>0</v>
      </c>
      <c r="N2702">
        <v>3</v>
      </c>
      <c r="O2702">
        <v>3</v>
      </c>
      <c r="P2702">
        <v>0</v>
      </c>
      <c r="Q2702">
        <v>0</v>
      </c>
      <c r="R2702">
        <v>22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9</v>
      </c>
      <c r="AC2702">
        <v>0</v>
      </c>
      <c r="AH2702">
        <v>31</v>
      </c>
    </row>
    <row r="2703" spans="1:34" x14ac:dyDescent="0.3">
      <c r="A2703" s="4">
        <v>2819</v>
      </c>
      <c r="B2703" s="5">
        <v>2696</v>
      </c>
      <c r="C2703">
        <v>11215</v>
      </c>
      <c r="D2703" t="s">
        <v>6622</v>
      </c>
      <c r="E2703" t="s">
        <v>147</v>
      </c>
      <c r="F2703" t="s">
        <v>38</v>
      </c>
      <c r="G2703" t="s">
        <v>22930</v>
      </c>
      <c r="H2703">
        <v>18</v>
      </c>
      <c r="I2703">
        <v>0</v>
      </c>
      <c r="J2703">
        <v>0</v>
      </c>
      <c r="K2703">
        <v>0</v>
      </c>
      <c r="O2703">
        <v>0</v>
      </c>
      <c r="P2703">
        <v>4</v>
      </c>
      <c r="Q2703">
        <v>0</v>
      </c>
      <c r="R2703">
        <v>22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9</v>
      </c>
      <c r="AC2703">
        <v>0</v>
      </c>
      <c r="AH2703">
        <v>31</v>
      </c>
    </row>
    <row r="2704" spans="1:34" x14ac:dyDescent="0.3">
      <c r="A2704" s="4">
        <v>2820</v>
      </c>
      <c r="B2704" s="5">
        <v>2697</v>
      </c>
      <c r="C2704">
        <v>14917</v>
      </c>
      <c r="D2704" t="s">
        <v>22931</v>
      </c>
      <c r="E2704" t="s">
        <v>613</v>
      </c>
      <c r="F2704" t="s">
        <v>801</v>
      </c>
      <c r="G2704" t="s">
        <v>22932</v>
      </c>
      <c r="H2704">
        <v>21</v>
      </c>
      <c r="I2704">
        <v>0</v>
      </c>
      <c r="J2704">
        <v>0</v>
      </c>
      <c r="K2704">
        <v>0</v>
      </c>
      <c r="O2704">
        <v>0</v>
      </c>
      <c r="P2704">
        <v>4</v>
      </c>
      <c r="Q2704">
        <v>0</v>
      </c>
      <c r="R2704">
        <v>25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6</v>
      </c>
      <c r="AC2704">
        <v>0</v>
      </c>
      <c r="AH2704">
        <v>31</v>
      </c>
    </row>
    <row r="2705" spans="1:34" x14ac:dyDescent="0.3">
      <c r="A2705" s="4">
        <v>2821</v>
      </c>
      <c r="B2705" s="5">
        <v>2698</v>
      </c>
      <c r="C2705">
        <v>6359</v>
      </c>
      <c r="D2705" t="s">
        <v>22933</v>
      </c>
      <c r="E2705" t="s">
        <v>54</v>
      </c>
      <c r="F2705" t="s">
        <v>38</v>
      </c>
      <c r="G2705" t="s">
        <v>22934</v>
      </c>
      <c r="H2705">
        <v>21</v>
      </c>
      <c r="I2705">
        <v>0</v>
      </c>
      <c r="J2705">
        <v>0</v>
      </c>
      <c r="K2705">
        <v>0</v>
      </c>
      <c r="O2705">
        <v>0</v>
      </c>
      <c r="P2705">
        <v>4</v>
      </c>
      <c r="Q2705">
        <v>0</v>
      </c>
      <c r="R2705">
        <v>25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6</v>
      </c>
      <c r="AC2705">
        <v>0</v>
      </c>
      <c r="AH2705">
        <v>31</v>
      </c>
    </row>
    <row r="2706" spans="1:34" x14ac:dyDescent="0.3">
      <c r="A2706" s="4">
        <v>2822</v>
      </c>
      <c r="B2706" s="5">
        <v>2699</v>
      </c>
      <c r="C2706">
        <v>4958</v>
      </c>
      <c r="D2706" t="s">
        <v>22935</v>
      </c>
      <c r="E2706" t="s">
        <v>837</v>
      </c>
      <c r="F2706" t="s">
        <v>1806</v>
      </c>
      <c r="G2706" t="s">
        <v>22936</v>
      </c>
      <c r="H2706">
        <v>18</v>
      </c>
      <c r="I2706">
        <v>0</v>
      </c>
      <c r="J2706">
        <v>0</v>
      </c>
      <c r="K2706">
        <v>0</v>
      </c>
      <c r="N2706">
        <v>3</v>
      </c>
      <c r="O2706">
        <v>3</v>
      </c>
      <c r="P2706">
        <v>4</v>
      </c>
      <c r="Q2706">
        <v>0</v>
      </c>
      <c r="R2706">
        <v>25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6</v>
      </c>
      <c r="AC2706">
        <v>0</v>
      </c>
      <c r="AH2706">
        <v>31</v>
      </c>
    </row>
    <row r="2707" spans="1:34" x14ac:dyDescent="0.3">
      <c r="A2707" s="4">
        <v>2823</v>
      </c>
      <c r="B2707" s="5">
        <v>2700</v>
      </c>
      <c r="C2707">
        <v>5467</v>
      </c>
      <c r="D2707" t="s">
        <v>2772</v>
      </c>
      <c r="E2707" t="s">
        <v>132</v>
      </c>
      <c r="F2707" t="s">
        <v>20</v>
      </c>
      <c r="G2707" t="s">
        <v>22937</v>
      </c>
      <c r="H2707">
        <v>18</v>
      </c>
      <c r="I2707">
        <v>0</v>
      </c>
      <c r="J2707">
        <v>0</v>
      </c>
      <c r="K2707">
        <v>0</v>
      </c>
      <c r="N2707">
        <v>3</v>
      </c>
      <c r="O2707">
        <v>3</v>
      </c>
      <c r="P2707">
        <v>4</v>
      </c>
      <c r="Q2707">
        <v>0</v>
      </c>
      <c r="R2707">
        <v>25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6</v>
      </c>
      <c r="AC2707">
        <v>0</v>
      </c>
      <c r="AH2707">
        <v>31</v>
      </c>
    </row>
    <row r="2708" spans="1:34" x14ac:dyDescent="0.3">
      <c r="A2708" s="4">
        <v>2824</v>
      </c>
      <c r="B2708" s="5">
        <v>2701</v>
      </c>
      <c r="C2708">
        <v>4945</v>
      </c>
      <c r="D2708" t="s">
        <v>1039</v>
      </c>
      <c r="E2708" t="s">
        <v>1576</v>
      </c>
      <c r="F2708" t="s">
        <v>158</v>
      </c>
      <c r="G2708" t="s">
        <v>22938</v>
      </c>
      <c r="H2708">
        <v>17.98</v>
      </c>
      <c r="I2708">
        <v>0</v>
      </c>
      <c r="J2708">
        <v>0</v>
      </c>
      <c r="K2708">
        <v>0</v>
      </c>
      <c r="N2708">
        <v>3</v>
      </c>
      <c r="O2708">
        <v>3</v>
      </c>
      <c r="P2708">
        <v>4</v>
      </c>
      <c r="Q2708">
        <v>0</v>
      </c>
      <c r="R2708">
        <v>24.98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6</v>
      </c>
      <c r="AC2708">
        <v>0</v>
      </c>
      <c r="AD2708" t="s">
        <v>130</v>
      </c>
      <c r="AH2708">
        <v>30.98</v>
      </c>
    </row>
    <row r="2709" spans="1:34" x14ac:dyDescent="0.3">
      <c r="A2709" s="4">
        <v>2825</v>
      </c>
      <c r="B2709" s="5">
        <v>2702</v>
      </c>
      <c r="C2709">
        <v>756</v>
      </c>
      <c r="D2709" t="s">
        <v>868</v>
      </c>
      <c r="E2709" t="s">
        <v>54</v>
      </c>
      <c r="F2709" t="s">
        <v>81</v>
      </c>
      <c r="G2709" t="s">
        <v>22939</v>
      </c>
      <c r="H2709">
        <v>17.95</v>
      </c>
      <c r="I2709">
        <v>0</v>
      </c>
      <c r="J2709">
        <v>0</v>
      </c>
      <c r="K2709">
        <v>0</v>
      </c>
      <c r="N2709">
        <v>3</v>
      </c>
      <c r="O2709">
        <v>3</v>
      </c>
      <c r="P2709">
        <v>4</v>
      </c>
      <c r="Q2709">
        <v>0</v>
      </c>
      <c r="R2709">
        <v>24.95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6</v>
      </c>
      <c r="AC2709">
        <v>0</v>
      </c>
      <c r="AH2709">
        <v>30.95</v>
      </c>
    </row>
    <row r="2710" spans="1:34" x14ac:dyDescent="0.3">
      <c r="A2710" s="4">
        <v>2826</v>
      </c>
      <c r="B2710" s="5">
        <v>2703</v>
      </c>
      <c r="C2710">
        <v>12816</v>
      </c>
      <c r="D2710" t="s">
        <v>22940</v>
      </c>
      <c r="E2710" t="s">
        <v>29</v>
      </c>
      <c r="F2710" t="s">
        <v>22941</v>
      </c>
      <c r="G2710" t="s">
        <v>22942</v>
      </c>
      <c r="H2710">
        <v>23.95</v>
      </c>
      <c r="I2710">
        <v>0</v>
      </c>
      <c r="J2710">
        <v>0</v>
      </c>
      <c r="K2710">
        <v>0</v>
      </c>
      <c r="N2710">
        <v>3</v>
      </c>
      <c r="O2710">
        <v>3</v>
      </c>
      <c r="P2710">
        <v>4</v>
      </c>
      <c r="Q2710">
        <v>0</v>
      </c>
      <c r="R2710">
        <v>30.95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H2710">
        <v>30.95</v>
      </c>
    </row>
    <row r="2711" spans="1:34" x14ac:dyDescent="0.3">
      <c r="A2711" s="4">
        <v>2827</v>
      </c>
      <c r="B2711" s="5">
        <v>2704</v>
      </c>
      <c r="C2711">
        <v>12831</v>
      </c>
      <c r="D2711" t="s">
        <v>22943</v>
      </c>
      <c r="E2711" t="s">
        <v>1474</v>
      </c>
      <c r="F2711" t="s">
        <v>539</v>
      </c>
      <c r="G2711" t="s">
        <v>22944</v>
      </c>
      <c r="H2711">
        <v>19.95</v>
      </c>
      <c r="I2711">
        <v>0</v>
      </c>
      <c r="J2711">
        <v>0</v>
      </c>
      <c r="K2711">
        <v>0</v>
      </c>
      <c r="L2711">
        <v>7</v>
      </c>
      <c r="O2711">
        <v>7</v>
      </c>
      <c r="P2711">
        <v>4</v>
      </c>
      <c r="Q2711">
        <v>0</v>
      </c>
      <c r="R2711">
        <v>30.95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H2711">
        <v>30.95</v>
      </c>
    </row>
    <row r="2712" spans="1:34" x14ac:dyDescent="0.3">
      <c r="A2712" s="4">
        <v>2828</v>
      </c>
      <c r="B2712" s="5">
        <v>2705</v>
      </c>
      <c r="C2712">
        <v>12461</v>
      </c>
      <c r="D2712" t="s">
        <v>13687</v>
      </c>
      <c r="E2712" t="s">
        <v>22945</v>
      </c>
      <c r="F2712" t="s">
        <v>17</v>
      </c>
      <c r="G2712" t="s">
        <v>22946</v>
      </c>
      <c r="H2712">
        <v>16.95</v>
      </c>
      <c r="I2712">
        <v>0</v>
      </c>
      <c r="J2712">
        <v>0</v>
      </c>
      <c r="K2712">
        <v>0</v>
      </c>
      <c r="L2712">
        <v>7</v>
      </c>
      <c r="N2712">
        <v>3</v>
      </c>
      <c r="O2712">
        <v>10</v>
      </c>
      <c r="P2712">
        <v>4</v>
      </c>
      <c r="Q2712">
        <v>0</v>
      </c>
      <c r="R2712">
        <v>30.95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H2712">
        <v>30.95</v>
      </c>
    </row>
    <row r="2713" spans="1:34" x14ac:dyDescent="0.3">
      <c r="A2713" s="4">
        <v>2829</v>
      </c>
      <c r="B2713" s="5">
        <v>2706</v>
      </c>
      <c r="C2713">
        <v>3152</v>
      </c>
      <c r="D2713" t="s">
        <v>13099</v>
      </c>
      <c r="E2713" t="s">
        <v>110</v>
      </c>
      <c r="F2713" t="s">
        <v>136</v>
      </c>
      <c r="G2713" t="s">
        <v>22947</v>
      </c>
      <c r="H2713">
        <v>21.93</v>
      </c>
      <c r="I2713">
        <v>0</v>
      </c>
      <c r="J2713">
        <v>0</v>
      </c>
      <c r="K2713">
        <v>0</v>
      </c>
      <c r="N2713">
        <v>3</v>
      </c>
      <c r="O2713">
        <v>3</v>
      </c>
      <c r="P2713">
        <v>0</v>
      </c>
      <c r="Q2713">
        <v>0</v>
      </c>
      <c r="R2713">
        <v>24.93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6</v>
      </c>
      <c r="AC2713">
        <v>0</v>
      </c>
      <c r="AH2713">
        <v>30.93</v>
      </c>
    </row>
    <row r="2714" spans="1:34" x14ac:dyDescent="0.3">
      <c r="A2714" s="4">
        <v>2830</v>
      </c>
      <c r="B2714" s="5">
        <v>2707</v>
      </c>
      <c r="C2714">
        <v>5081</v>
      </c>
      <c r="D2714" t="s">
        <v>4366</v>
      </c>
      <c r="E2714" t="s">
        <v>143</v>
      </c>
      <c r="F2714" t="s">
        <v>416</v>
      </c>
      <c r="G2714" t="s">
        <v>22948</v>
      </c>
      <c r="H2714">
        <v>17.93</v>
      </c>
      <c r="I2714">
        <v>0</v>
      </c>
      <c r="J2714">
        <v>0</v>
      </c>
      <c r="K2714">
        <v>0</v>
      </c>
      <c r="N2714">
        <v>3</v>
      </c>
      <c r="O2714">
        <v>3</v>
      </c>
      <c r="P2714">
        <v>4</v>
      </c>
      <c r="Q2714">
        <v>0</v>
      </c>
      <c r="R2714">
        <v>24.93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6</v>
      </c>
      <c r="AC2714">
        <v>0</v>
      </c>
      <c r="AH2714">
        <v>30.93</v>
      </c>
    </row>
    <row r="2715" spans="1:34" x14ac:dyDescent="0.3">
      <c r="A2715" s="4">
        <v>2831</v>
      </c>
      <c r="B2715" s="5">
        <v>2708</v>
      </c>
      <c r="C2715">
        <v>12106</v>
      </c>
      <c r="D2715" t="s">
        <v>22949</v>
      </c>
      <c r="E2715" t="s">
        <v>88</v>
      </c>
      <c r="F2715" t="s">
        <v>79</v>
      </c>
      <c r="G2715" t="s">
        <v>22950</v>
      </c>
      <c r="H2715">
        <v>23.93</v>
      </c>
      <c r="I2715">
        <v>0</v>
      </c>
      <c r="J2715">
        <v>0</v>
      </c>
      <c r="K2715">
        <v>0</v>
      </c>
      <c r="O2715">
        <v>0</v>
      </c>
      <c r="P2715">
        <v>4</v>
      </c>
      <c r="Q2715">
        <v>0</v>
      </c>
      <c r="R2715">
        <v>27.93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3</v>
      </c>
      <c r="AC2715">
        <v>0</v>
      </c>
      <c r="AH2715">
        <v>30.93</v>
      </c>
    </row>
    <row r="2716" spans="1:34" x14ac:dyDescent="0.3">
      <c r="A2716" s="4">
        <v>2832</v>
      </c>
      <c r="B2716" s="5">
        <v>2709</v>
      </c>
      <c r="C2716">
        <v>13504</v>
      </c>
      <c r="D2716" t="s">
        <v>19446</v>
      </c>
      <c r="E2716" t="s">
        <v>54</v>
      </c>
      <c r="F2716" t="s">
        <v>20</v>
      </c>
      <c r="G2716" t="s">
        <v>22951</v>
      </c>
      <c r="H2716">
        <v>21.93</v>
      </c>
      <c r="I2716">
        <v>0</v>
      </c>
      <c r="J2716">
        <v>0</v>
      </c>
      <c r="K2716">
        <v>0</v>
      </c>
      <c r="N2716">
        <v>3</v>
      </c>
      <c r="O2716">
        <v>3</v>
      </c>
      <c r="P2716">
        <v>4</v>
      </c>
      <c r="Q2716">
        <v>2</v>
      </c>
      <c r="R2716">
        <v>30.93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H2716">
        <v>30.93</v>
      </c>
    </row>
    <row r="2717" spans="1:34" x14ac:dyDescent="0.3">
      <c r="A2717" s="4">
        <v>2833</v>
      </c>
      <c r="B2717" s="5">
        <v>2710</v>
      </c>
      <c r="C2717">
        <v>1256</v>
      </c>
      <c r="D2717" t="s">
        <v>22952</v>
      </c>
      <c r="E2717" t="s">
        <v>166</v>
      </c>
      <c r="F2717" t="s">
        <v>22608</v>
      </c>
      <c r="G2717" t="s">
        <v>22953</v>
      </c>
      <c r="H2717">
        <v>19.93</v>
      </c>
      <c r="I2717">
        <v>0</v>
      </c>
      <c r="J2717">
        <v>0</v>
      </c>
      <c r="K2717">
        <v>0</v>
      </c>
      <c r="L2717">
        <v>7</v>
      </c>
      <c r="O2717">
        <v>7</v>
      </c>
      <c r="P2717">
        <v>4</v>
      </c>
      <c r="Q2717">
        <v>0</v>
      </c>
      <c r="R2717">
        <v>30.93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H2717">
        <v>30.93</v>
      </c>
    </row>
    <row r="2718" spans="1:34" x14ac:dyDescent="0.3">
      <c r="A2718" s="4">
        <v>2834</v>
      </c>
      <c r="B2718" s="5">
        <v>2711</v>
      </c>
      <c r="C2718">
        <v>1381</v>
      </c>
      <c r="D2718" t="s">
        <v>8456</v>
      </c>
      <c r="E2718" t="s">
        <v>283</v>
      </c>
      <c r="F2718" t="s">
        <v>328</v>
      </c>
      <c r="G2718" t="s">
        <v>22954</v>
      </c>
      <c r="H2718">
        <v>19.93</v>
      </c>
      <c r="I2718">
        <v>0</v>
      </c>
      <c r="J2718">
        <v>0</v>
      </c>
      <c r="K2718">
        <v>0</v>
      </c>
      <c r="L2718">
        <v>7</v>
      </c>
      <c r="O2718">
        <v>7</v>
      </c>
      <c r="P2718">
        <v>4</v>
      </c>
      <c r="Q2718">
        <v>0</v>
      </c>
      <c r="R2718">
        <v>30.93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H2718">
        <v>30.93</v>
      </c>
    </row>
    <row r="2719" spans="1:34" x14ac:dyDescent="0.3">
      <c r="A2719" s="4">
        <v>2835</v>
      </c>
      <c r="B2719" s="5">
        <v>2712</v>
      </c>
      <c r="C2719">
        <v>15679</v>
      </c>
      <c r="D2719" t="s">
        <v>8546</v>
      </c>
      <c r="E2719" t="s">
        <v>149</v>
      </c>
      <c r="F2719" t="s">
        <v>20</v>
      </c>
      <c r="G2719" t="s">
        <v>22955</v>
      </c>
      <c r="H2719">
        <v>19.93</v>
      </c>
      <c r="I2719">
        <v>0</v>
      </c>
      <c r="J2719">
        <v>0</v>
      </c>
      <c r="K2719">
        <v>0</v>
      </c>
      <c r="L2719">
        <v>7</v>
      </c>
      <c r="O2719">
        <v>7</v>
      </c>
      <c r="P2719">
        <v>4</v>
      </c>
      <c r="Q2719">
        <v>0</v>
      </c>
      <c r="R2719">
        <v>30.93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H2719">
        <v>30.93</v>
      </c>
    </row>
    <row r="2720" spans="1:34" x14ac:dyDescent="0.3">
      <c r="A2720" s="4">
        <v>2836</v>
      </c>
      <c r="B2720" s="5">
        <v>2713</v>
      </c>
      <c r="C2720">
        <v>7231</v>
      </c>
      <c r="D2720" t="s">
        <v>1911</v>
      </c>
      <c r="E2720" t="s">
        <v>22956</v>
      </c>
      <c r="F2720" t="s">
        <v>892</v>
      </c>
      <c r="G2720" t="s">
        <v>22957</v>
      </c>
      <c r="H2720">
        <v>17.93</v>
      </c>
      <c r="I2720">
        <v>0</v>
      </c>
      <c r="J2720">
        <v>0</v>
      </c>
      <c r="K2720">
        <v>0</v>
      </c>
      <c r="L2720">
        <v>7</v>
      </c>
      <c r="O2720">
        <v>7</v>
      </c>
      <c r="P2720">
        <v>4</v>
      </c>
      <c r="Q2720">
        <v>2</v>
      </c>
      <c r="R2720">
        <v>30.93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H2720">
        <v>30.93</v>
      </c>
    </row>
    <row r="2721" spans="1:34" x14ac:dyDescent="0.3">
      <c r="A2721" s="4">
        <v>2837</v>
      </c>
      <c r="B2721" s="5">
        <v>2714</v>
      </c>
      <c r="C2721">
        <v>13108</v>
      </c>
      <c r="D2721" t="s">
        <v>2953</v>
      </c>
      <c r="E2721" t="s">
        <v>26</v>
      </c>
      <c r="F2721" t="s">
        <v>442</v>
      </c>
      <c r="G2721" t="s">
        <v>22958</v>
      </c>
      <c r="H2721">
        <v>19.899999999999999</v>
      </c>
      <c r="I2721">
        <v>0</v>
      </c>
      <c r="J2721">
        <v>0</v>
      </c>
      <c r="K2721">
        <v>0</v>
      </c>
      <c r="L2721">
        <v>7</v>
      </c>
      <c r="O2721">
        <v>7</v>
      </c>
      <c r="P2721">
        <v>4</v>
      </c>
      <c r="Q2721">
        <v>0</v>
      </c>
      <c r="R2721">
        <v>30.9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 t="s">
        <v>130</v>
      </c>
      <c r="AH2721">
        <v>30.9</v>
      </c>
    </row>
    <row r="2722" spans="1:34" x14ac:dyDescent="0.3">
      <c r="A2722" s="4">
        <v>2838</v>
      </c>
      <c r="B2722" s="5">
        <v>2715</v>
      </c>
      <c r="C2722">
        <v>15621</v>
      </c>
      <c r="D2722" t="s">
        <v>22893</v>
      </c>
      <c r="E2722" t="s">
        <v>132</v>
      </c>
      <c r="F2722" t="s">
        <v>193</v>
      </c>
      <c r="G2722" t="s">
        <v>22959</v>
      </c>
      <c r="H2722">
        <v>17.88</v>
      </c>
      <c r="I2722">
        <v>0</v>
      </c>
      <c r="J2722">
        <v>0</v>
      </c>
      <c r="K2722">
        <v>0</v>
      </c>
      <c r="N2722">
        <v>3</v>
      </c>
      <c r="O2722">
        <v>3</v>
      </c>
      <c r="P2722">
        <v>4</v>
      </c>
      <c r="Q2722">
        <v>0</v>
      </c>
      <c r="R2722">
        <v>24.88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6</v>
      </c>
      <c r="AC2722">
        <v>0</v>
      </c>
      <c r="AH2722">
        <v>30.88</v>
      </c>
    </row>
    <row r="2723" spans="1:34" x14ac:dyDescent="0.3">
      <c r="A2723" s="4">
        <v>2839</v>
      </c>
      <c r="B2723" s="5">
        <v>2716</v>
      </c>
      <c r="C2723">
        <v>6851</v>
      </c>
      <c r="D2723" t="s">
        <v>22960</v>
      </c>
      <c r="E2723" t="s">
        <v>22961</v>
      </c>
      <c r="F2723" t="s">
        <v>30</v>
      </c>
      <c r="G2723" t="s">
        <v>22962</v>
      </c>
      <c r="H2723">
        <v>17.88</v>
      </c>
      <c r="I2723">
        <v>0</v>
      </c>
      <c r="J2723">
        <v>0</v>
      </c>
      <c r="K2723">
        <v>0</v>
      </c>
      <c r="N2723">
        <v>3</v>
      </c>
      <c r="O2723">
        <v>3</v>
      </c>
      <c r="P2723">
        <v>4</v>
      </c>
      <c r="Q2723">
        <v>0</v>
      </c>
      <c r="R2723">
        <v>24.88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6</v>
      </c>
      <c r="AC2723">
        <v>0</v>
      </c>
      <c r="AH2723">
        <v>30.88</v>
      </c>
    </row>
    <row r="2724" spans="1:34" x14ac:dyDescent="0.3">
      <c r="A2724" s="4">
        <v>2840</v>
      </c>
      <c r="B2724" s="5">
        <v>2717</v>
      </c>
      <c r="C2724">
        <v>10684</v>
      </c>
      <c r="D2724" t="s">
        <v>22963</v>
      </c>
      <c r="E2724" t="s">
        <v>789</v>
      </c>
      <c r="F2724" t="s">
        <v>6321</v>
      </c>
      <c r="G2724" t="s">
        <v>22964</v>
      </c>
      <c r="H2724">
        <v>20.88</v>
      </c>
      <c r="I2724">
        <v>0</v>
      </c>
      <c r="J2724">
        <v>0</v>
      </c>
      <c r="K2724">
        <v>0</v>
      </c>
      <c r="N2724">
        <v>3</v>
      </c>
      <c r="O2724">
        <v>3</v>
      </c>
      <c r="P2724">
        <v>4</v>
      </c>
      <c r="Q2724">
        <v>0</v>
      </c>
      <c r="R2724">
        <v>27.88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3</v>
      </c>
      <c r="AC2724">
        <v>0</v>
      </c>
      <c r="AH2724">
        <v>30.88</v>
      </c>
    </row>
    <row r="2725" spans="1:34" x14ac:dyDescent="0.3">
      <c r="A2725" s="4">
        <v>2841</v>
      </c>
      <c r="B2725" s="5">
        <v>2718</v>
      </c>
      <c r="C2725">
        <v>5346</v>
      </c>
      <c r="D2725" t="s">
        <v>5799</v>
      </c>
      <c r="E2725" t="s">
        <v>1413</v>
      </c>
      <c r="F2725" t="s">
        <v>2855</v>
      </c>
      <c r="G2725" t="s">
        <v>22965</v>
      </c>
      <c r="H2725">
        <v>21.88</v>
      </c>
      <c r="I2725">
        <v>0</v>
      </c>
      <c r="J2725">
        <v>0</v>
      </c>
      <c r="K2725">
        <v>0</v>
      </c>
      <c r="N2725">
        <v>3</v>
      </c>
      <c r="O2725">
        <v>3</v>
      </c>
      <c r="P2725">
        <v>4</v>
      </c>
      <c r="Q2725">
        <v>2</v>
      </c>
      <c r="R2725">
        <v>30.88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H2725">
        <v>30.88</v>
      </c>
    </row>
    <row r="2726" spans="1:34" x14ac:dyDescent="0.3">
      <c r="A2726" s="4">
        <v>2842</v>
      </c>
      <c r="B2726" s="5">
        <v>2719</v>
      </c>
      <c r="C2726">
        <v>7331</v>
      </c>
      <c r="D2726" t="s">
        <v>22966</v>
      </c>
      <c r="E2726" t="s">
        <v>88</v>
      </c>
      <c r="F2726" t="s">
        <v>38</v>
      </c>
      <c r="G2726" t="s">
        <v>22967</v>
      </c>
      <c r="H2726">
        <v>19.88</v>
      </c>
      <c r="I2726">
        <v>0</v>
      </c>
      <c r="J2726">
        <v>0</v>
      </c>
      <c r="K2726">
        <v>0</v>
      </c>
      <c r="L2726">
        <v>7</v>
      </c>
      <c r="O2726">
        <v>7</v>
      </c>
      <c r="P2726">
        <v>4</v>
      </c>
      <c r="Q2726">
        <v>0</v>
      </c>
      <c r="R2726">
        <v>30.88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H2726">
        <v>30.88</v>
      </c>
    </row>
    <row r="2727" spans="1:34" x14ac:dyDescent="0.3">
      <c r="A2727" s="4">
        <v>2843</v>
      </c>
      <c r="B2727" s="5">
        <v>2720</v>
      </c>
      <c r="C2727">
        <v>12460</v>
      </c>
      <c r="D2727" t="s">
        <v>22968</v>
      </c>
      <c r="E2727" t="s">
        <v>22969</v>
      </c>
      <c r="F2727" t="s">
        <v>17</v>
      </c>
      <c r="G2727" t="s">
        <v>22970</v>
      </c>
      <c r="H2727">
        <v>16.88</v>
      </c>
      <c r="I2727">
        <v>0</v>
      </c>
      <c r="J2727">
        <v>0</v>
      </c>
      <c r="K2727">
        <v>0</v>
      </c>
      <c r="L2727">
        <v>7</v>
      </c>
      <c r="N2727">
        <v>3</v>
      </c>
      <c r="O2727">
        <v>10</v>
      </c>
      <c r="P2727">
        <v>4</v>
      </c>
      <c r="Q2727">
        <v>0</v>
      </c>
      <c r="R2727">
        <v>30.88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H2727">
        <v>30.88</v>
      </c>
    </row>
    <row r="2728" spans="1:34" x14ac:dyDescent="0.3">
      <c r="A2728" s="4">
        <v>2844</v>
      </c>
      <c r="B2728" s="5">
        <v>2721</v>
      </c>
      <c r="C2728">
        <v>10213</v>
      </c>
      <c r="D2728" t="s">
        <v>3738</v>
      </c>
      <c r="E2728" t="s">
        <v>166</v>
      </c>
      <c r="F2728" t="s">
        <v>136</v>
      </c>
      <c r="G2728" t="s">
        <v>22971</v>
      </c>
      <c r="H2728">
        <v>18.88</v>
      </c>
      <c r="I2728">
        <v>0</v>
      </c>
      <c r="J2728">
        <v>0</v>
      </c>
      <c r="K2728">
        <v>0</v>
      </c>
      <c r="N2728">
        <v>3</v>
      </c>
      <c r="O2728">
        <v>3</v>
      </c>
      <c r="P2728">
        <v>4</v>
      </c>
      <c r="Q2728">
        <v>0</v>
      </c>
      <c r="R2728">
        <v>25.88</v>
      </c>
      <c r="S2728">
        <v>5</v>
      </c>
      <c r="T2728">
        <v>5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5</v>
      </c>
      <c r="AB2728">
        <v>0</v>
      </c>
      <c r="AC2728">
        <v>0</v>
      </c>
      <c r="AH2728">
        <v>30.88</v>
      </c>
    </row>
    <row r="2729" spans="1:34" x14ac:dyDescent="0.3">
      <c r="A2729" s="4">
        <v>2845</v>
      </c>
      <c r="B2729" s="5">
        <v>2722</v>
      </c>
      <c r="C2729">
        <v>3066</v>
      </c>
      <c r="D2729" t="s">
        <v>22972</v>
      </c>
      <c r="E2729" t="s">
        <v>3719</v>
      </c>
      <c r="F2729" t="s">
        <v>17</v>
      </c>
      <c r="G2729" t="s">
        <v>22973</v>
      </c>
      <c r="H2729">
        <v>17.850000000000001</v>
      </c>
      <c r="I2729">
        <v>0</v>
      </c>
      <c r="J2729">
        <v>0</v>
      </c>
      <c r="K2729">
        <v>0</v>
      </c>
      <c r="N2729">
        <v>6</v>
      </c>
      <c r="O2729">
        <v>6</v>
      </c>
      <c r="P2729">
        <v>4</v>
      </c>
      <c r="Q2729">
        <v>0</v>
      </c>
      <c r="R2729">
        <v>27.85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3</v>
      </c>
      <c r="AC2729">
        <v>0</v>
      </c>
      <c r="AH2729">
        <v>30.85</v>
      </c>
    </row>
    <row r="2730" spans="1:34" x14ac:dyDescent="0.3">
      <c r="A2730" s="4">
        <v>2846</v>
      </c>
      <c r="B2730" s="5">
        <v>2723</v>
      </c>
      <c r="C2730">
        <v>9833</v>
      </c>
      <c r="D2730" t="s">
        <v>22974</v>
      </c>
      <c r="E2730" t="s">
        <v>9767</v>
      </c>
      <c r="F2730" t="s">
        <v>81</v>
      </c>
      <c r="G2730" t="s">
        <v>22975</v>
      </c>
      <c r="H2730">
        <v>19.850000000000001</v>
      </c>
      <c r="I2730">
        <v>0</v>
      </c>
      <c r="J2730">
        <v>0</v>
      </c>
      <c r="K2730">
        <v>0</v>
      </c>
      <c r="L2730">
        <v>7</v>
      </c>
      <c r="O2730">
        <v>7</v>
      </c>
      <c r="P2730">
        <v>4</v>
      </c>
      <c r="Q2730">
        <v>0</v>
      </c>
      <c r="R2730">
        <v>30.85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H2730">
        <v>30.85</v>
      </c>
    </row>
    <row r="2731" spans="1:34" x14ac:dyDescent="0.3">
      <c r="A2731" s="4">
        <v>2847</v>
      </c>
      <c r="B2731" s="5">
        <v>2724</v>
      </c>
      <c r="C2731">
        <v>2365</v>
      </c>
      <c r="D2731" t="s">
        <v>13386</v>
      </c>
      <c r="E2731" t="s">
        <v>789</v>
      </c>
      <c r="F2731" t="s">
        <v>6071</v>
      </c>
      <c r="G2731" t="s">
        <v>22976</v>
      </c>
      <c r="H2731">
        <v>19.829999999999998</v>
      </c>
      <c r="I2731">
        <v>0</v>
      </c>
      <c r="J2731">
        <v>0</v>
      </c>
      <c r="K2731">
        <v>0</v>
      </c>
      <c r="L2731">
        <v>7</v>
      </c>
      <c r="O2731">
        <v>7</v>
      </c>
      <c r="P2731">
        <v>4</v>
      </c>
      <c r="Q2731">
        <v>0</v>
      </c>
      <c r="R2731">
        <v>30.83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H2731">
        <v>30.83</v>
      </c>
    </row>
    <row r="2732" spans="1:34" x14ac:dyDescent="0.3">
      <c r="A2732" s="4">
        <v>2848</v>
      </c>
      <c r="B2732" s="5">
        <v>2725</v>
      </c>
      <c r="C2732">
        <v>8591</v>
      </c>
      <c r="D2732" t="s">
        <v>22977</v>
      </c>
      <c r="E2732" t="s">
        <v>34</v>
      </c>
      <c r="F2732" t="s">
        <v>442</v>
      </c>
      <c r="G2732" t="s">
        <v>22978</v>
      </c>
      <c r="H2732">
        <v>19.829999999999998</v>
      </c>
      <c r="I2732">
        <v>0</v>
      </c>
      <c r="J2732">
        <v>0</v>
      </c>
      <c r="K2732">
        <v>0</v>
      </c>
      <c r="L2732">
        <v>7</v>
      </c>
      <c r="O2732">
        <v>7</v>
      </c>
      <c r="P2732">
        <v>4</v>
      </c>
      <c r="Q2732">
        <v>0</v>
      </c>
      <c r="R2732">
        <v>30.83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H2732">
        <v>30.83</v>
      </c>
    </row>
    <row r="2733" spans="1:34" x14ac:dyDescent="0.3">
      <c r="A2733" s="4">
        <v>2849</v>
      </c>
      <c r="B2733" s="5">
        <v>2726</v>
      </c>
      <c r="C2733">
        <v>11770</v>
      </c>
      <c r="D2733" t="s">
        <v>22979</v>
      </c>
      <c r="E2733" t="s">
        <v>22980</v>
      </c>
      <c r="F2733" t="s">
        <v>22981</v>
      </c>
      <c r="G2733" t="s">
        <v>22982</v>
      </c>
      <c r="H2733">
        <v>17.829999999999998</v>
      </c>
      <c r="I2733">
        <v>0</v>
      </c>
      <c r="J2733">
        <v>0</v>
      </c>
      <c r="K2733">
        <v>0</v>
      </c>
      <c r="L2733">
        <v>7</v>
      </c>
      <c r="O2733">
        <v>7</v>
      </c>
      <c r="P2733">
        <v>4</v>
      </c>
      <c r="Q2733">
        <v>2</v>
      </c>
      <c r="R2733">
        <v>30.83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H2733">
        <v>30.83</v>
      </c>
    </row>
    <row r="2734" spans="1:34" x14ac:dyDescent="0.3">
      <c r="A2734" s="4">
        <v>2850</v>
      </c>
      <c r="B2734" s="5">
        <v>2727</v>
      </c>
      <c r="C2734">
        <v>5763</v>
      </c>
      <c r="D2734" t="s">
        <v>3390</v>
      </c>
      <c r="E2734" t="s">
        <v>1474</v>
      </c>
      <c r="F2734" t="s">
        <v>20</v>
      </c>
      <c r="G2734" t="s">
        <v>22983</v>
      </c>
      <c r="H2734">
        <v>17.8</v>
      </c>
      <c r="I2734">
        <v>0</v>
      </c>
      <c r="J2734">
        <v>0</v>
      </c>
      <c r="K2734">
        <v>0</v>
      </c>
      <c r="N2734">
        <v>3</v>
      </c>
      <c r="O2734">
        <v>3</v>
      </c>
      <c r="P2734">
        <v>4</v>
      </c>
      <c r="Q2734">
        <v>0</v>
      </c>
      <c r="R2734">
        <v>24.8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6</v>
      </c>
      <c r="AC2734">
        <v>0</v>
      </c>
      <c r="AH2734">
        <v>30.8</v>
      </c>
    </row>
    <row r="2735" spans="1:34" x14ac:dyDescent="0.3">
      <c r="A2735" s="4">
        <v>2851</v>
      </c>
      <c r="B2735" s="5">
        <v>2728</v>
      </c>
      <c r="C2735">
        <v>266</v>
      </c>
      <c r="D2735" t="s">
        <v>9110</v>
      </c>
      <c r="E2735" t="s">
        <v>100</v>
      </c>
      <c r="F2735" t="s">
        <v>20</v>
      </c>
      <c r="G2735" t="s">
        <v>22984</v>
      </c>
      <c r="H2735">
        <v>17.8</v>
      </c>
      <c r="I2735">
        <v>0</v>
      </c>
      <c r="J2735">
        <v>0</v>
      </c>
      <c r="K2735">
        <v>0</v>
      </c>
      <c r="N2735">
        <v>3</v>
      </c>
      <c r="O2735">
        <v>3</v>
      </c>
      <c r="P2735">
        <v>4</v>
      </c>
      <c r="Q2735">
        <v>0</v>
      </c>
      <c r="R2735">
        <v>24.8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6</v>
      </c>
      <c r="AC2735">
        <v>0</v>
      </c>
      <c r="AH2735">
        <v>30.8</v>
      </c>
    </row>
    <row r="2736" spans="1:34" x14ac:dyDescent="0.3">
      <c r="A2736" s="4">
        <v>2852</v>
      </c>
      <c r="B2736" s="5">
        <v>2729</v>
      </c>
      <c r="C2736">
        <v>14779</v>
      </c>
      <c r="D2736" t="s">
        <v>22985</v>
      </c>
      <c r="E2736" t="s">
        <v>17</v>
      </c>
      <c r="F2736" t="s">
        <v>20</v>
      </c>
      <c r="G2736" t="s">
        <v>22986</v>
      </c>
      <c r="H2736">
        <v>17.78</v>
      </c>
      <c r="I2736">
        <v>0</v>
      </c>
      <c r="J2736">
        <v>0</v>
      </c>
      <c r="K2736">
        <v>0</v>
      </c>
      <c r="N2736">
        <v>3</v>
      </c>
      <c r="O2736">
        <v>3</v>
      </c>
      <c r="P2736">
        <v>4</v>
      </c>
      <c r="Q2736">
        <v>0</v>
      </c>
      <c r="R2736">
        <v>24.78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6</v>
      </c>
      <c r="AC2736">
        <v>0</v>
      </c>
      <c r="AH2736">
        <v>30.78</v>
      </c>
    </row>
    <row r="2737" spans="1:34" x14ac:dyDescent="0.3">
      <c r="A2737" s="4">
        <v>2853</v>
      </c>
      <c r="B2737" s="5">
        <v>2730</v>
      </c>
      <c r="C2737">
        <v>11970</v>
      </c>
      <c r="D2737" t="s">
        <v>12725</v>
      </c>
      <c r="E2737" t="s">
        <v>29</v>
      </c>
      <c r="F2737" t="s">
        <v>238</v>
      </c>
      <c r="G2737" t="s">
        <v>22987</v>
      </c>
      <c r="H2737">
        <v>23.78</v>
      </c>
      <c r="I2737">
        <v>0</v>
      </c>
      <c r="J2737">
        <v>0</v>
      </c>
      <c r="K2737">
        <v>0</v>
      </c>
      <c r="L2737">
        <v>7</v>
      </c>
      <c r="O2737">
        <v>7</v>
      </c>
      <c r="P2737">
        <v>0</v>
      </c>
      <c r="Q2737">
        <v>0</v>
      </c>
      <c r="R2737">
        <v>30.78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H2737">
        <v>30.78</v>
      </c>
    </row>
    <row r="2738" spans="1:34" x14ac:dyDescent="0.3">
      <c r="A2738" s="4">
        <v>2854</v>
      </c>
      <c r="B2738" s="5">
        <v>2731</v>
      </c>
      <c r="C2738">
        <v>7472</v>
      </c>
      <c r="D2738" t="s">
        <v>2666</v>
      </c>
      <c r="E2738" t="s">
        <v>550</v>
      </c>
      <c r="F2738" t="s">
        <v>975</v>
      </c>
      <c r="G2738" t="s">
        <v>22988</v>
      </c>
      <c r="H2738">
        <v>19.78</v>
      </c>
      <c r="I2738">
        <v>0</v>
      </c>
      <c r="J2738">
        <v>0</v>
      </c>
      <c r="K2738">
        <v>0</v>
      </c>
      <c r="L2738">
        <v>7</v>
      </c>
      <c r="O2738">
        <v>7</v>
      </c>
      <c r="P2738">
        <v>4</v>
      </c>
      <c r="Q2738">
        <v>0</v>
      </c>
      <c r="R2738">
        <v>30.78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H2738">
        <v>30.78</v>
      </c>
    </row>
    <row r="2739" spans="1:34" x14ac:dyDescent="0.3">
      <c r="A2739" s="4">
        <v>2855</v>
      </c>
      <c r="B2739" s="5">
        <v>2732</v>
      </c>
      <c r="C2739">
        <v>12297</v>
      </c>
      <c r="D2739" t="s">
        <v>15083</v>
      </c>
      <c r="E2739" t="s">
        <v>29</v>
      </c>
      <c r="F2739" t="s">
        <v>385</v>
      </c>
      <c r="G2739" t="s">
        <v>22989</v>
      </c>
      <c r="H2739">
        <v>19.78</v>
      </c>
      <c r="I2739">
        <v>0</v>
      </c>
      <c r="J2739">
        <v>0</v>
      </c>
      <c r="K2739">
        <v>0</v>
      </c>
      <c r="L2739">
        <v>7</v>
      </c>
      <c r="O2739">
        <v>7</v>
      </c>
      <c r="P2739">
        <v>4</v>
      </c>
      <c r="Q2739">
        <v>0</v>
      </c>
      <c r="R2739">
        <v>30.78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H2739">
        <v>30.78</v>
      </c>
    </row>
    <row r="2740" spans="1:34" x14ac:dyDescent="0.3">
      <c r="A2740" s="4">
        <v>2856</v>
      </c>
      <c r="B2740" s="5">
        <v>2733</v>
      </c>
      <c r="C2740">
        <v>5001</v>
      </c>
      <c r="D2740" t="s">
        <v>7429</v>
      </c>
      <c r="E2740" t="s">
        <v>178</v>
      </c>
      <c r="F2740" t="s">
        <v>17</v>
      </c>
      <c r="G2740" t="s">
        <v>22990</v>
      </c>
      <c r="H2740">
        <v>17.78</v>
      </c>
      <c r="I2740">
        <v>0</v>
      </c>
      <c r="J2740">
        <v>0</v>
      </c>
      <c r="K2740">
        <v>0</v>
      </c>
      <c r="L2740">
        <v>7</v>
      </c>
      <c r="O2740">
        <v>7</v>
      </c>
      <c r="P2740">
        <v>4</v>
      </c>
      <c r="Q2740">
        <v>2</v>
      </c>
      <c r="R2740">
        <v>30.78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H2740">
        <v>30.78</v>
      </c>
    </row>
    <row r="2741" spans="1:34" x14ac:dyDescent="0.3">
      <c r="A2741" s="4">
        <v>2857</v>
      </c>
      <c r="B2741" s="5">
        <v>2734</v>
      </c>
      <c r="C2741">
        <v>2973</v>
      </c>
      <c r="D2741" t="s">
        <v>645</v>
      </c>
      <c r="E2741" t="s">
        <v>406</v>
      </c>
      <c r="F2741" t="s">
        <v>892</v>
      </c>
      <c r="G2741" t="s">
        <v>22991</v>
      </c>
      <c r="H2741">
        <v>17.73</v>
      </c>
      <c r="I2741">
        <v>0</v>
      </c>
      <c r="J2741">
        <v>0</v>
      </c>
      <c r="K2741">
        <v>0</v>
      </c>
      <c r="N2741">
        <v>3</v>
      </c>
      <c r="O2741">
        <v>3</v>
      </c>
      <c r="P2741">
        <v>4</v>
      </c>
      <c r="Q2741">
        <v>0</v>
      </c>
      <c r="R2741">
        <v>24.73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6</v>
      </c>
      <c r="AC2741">
        <v>0</v>
      </c>
      <c r="AH2741">
        <v>30.73</v>
      </c>
    </row>
    <row r="2742" spans="1:34" x14ac:dyDescent="0.3">
      <c r="A2742" s="4">
        <v>2858</v>
      </c>
      <c r="B2742" s="5">
        <v>2735</v>
      </c>
      <c r="C2742">
        <v>13334</v>
      </c>
      <c r="D2742" t="s">
        <v>22992</v>
      </c>
      <c r="E2742" t="s">
        <v>697</v>
      </c>
      <c r="F2742" t="s">
        <v>587</v>
      </c>
      <c r="G2742" t="s">
        <v>22993</v>
      </c>
      <c r="H2742">
        <v>17.73</v>
      </c>
      <c r="I2742">
        <v>0</v>
      </c>
      <c r="J2742">
        <v>0</v>
      </c>
      <c r="K2742">
        <v>0</v>
      </c>
      <c r="N2742">
        <v>3</v>
      </c>
      <c r="O2742">
        <v>3</v>
      </c>
      <c r="P2742">
        <v>4</v>
      </c>
      <c r="Q2742">
        <v>0</v>
      </c>
      <c r="R2742">
        <v>24.73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6</v>
      </c>
      <c r="AC2742">
        <v>0</v>
      </c>
      <c r="AH2742">
        <v>30.73</v>
      </c>
    </row>
    <row r="2743" spans="1:34" x14ac:dyDescent="0.3">
      <c r="A2743" s="4">
        <v>2859</v>
      </c>
      <c r="B2743" s="5">
        <v>2736</v>
      </c>
      <c r="C2743">
        <v>13575</v>
      </c>
      <c r="D2743" t="s">
        <v>22994</v>
      </c>
      <c r="E2743" t="s">
        <v>342</v>
      </c>
      <c r="F2743" t="s">
        <v>158</v>
      </c>
      <c r="G2743" t="s">
        <v>22995</v>
      </c>
      <c r="H2743">
        <v>17.73</v>
      </c>
      <c r="I2743">
        <v>0</v>
      </c>
      <c r="J2743">
        <v>0</v>
      </c>
      <c r="K2743">
        <v>0</v>
      </c>
      <c r="N2743">
        <v>3</v>
      </c>
      <c r="O2743">
        <v>3</v>
      </c>
      <c r="P2743">
        <v>4</v>
      </c>
      <c r="Q2743">
        <v>0</v>
      </c>
      <c r="R2743">
        <v>24.73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6</v>
      </c>
      <c r="AC2743">
        <v>0</v>
      </c>
      <c r="AH2743">
        <v>30.73</v>
      </c>
    </row>
    <row r="2744" spans="1:34" x14ac:dyDescent="0.3">
      <c r="A2744" s="4">
        <v>2860</v>
      </c>
      <c r="B2744" s="5">
        <v>2737</v>
      </c>
      <c r="C2744">
        <v>14725</v>
      </c>
      <c r="D2744" t="s">
        <v>22996</v>
      </c>
      <c r="E2744" t="s">
        <v>471</v>
      </c>
      <c r="F2744" t="s">
        <v>105</v>
      </c>
      <c r="G2744" t="s">
        <v>22997</v>
      </c>
      <c r="H2744">
        <v>20.73</v>
      </c>
      <c r="I2744">
        <v>0</v>
      </c>
      <c r="J2744">
        <v>0</v>
      </c>
      <c r="K2744">
        <v>0</v>
      </c>
      <c r="N2744">
        <v>3</v>
      </c>
      <c r="O2744">
        <v>3</v>
      </c>
      <c r="P2744">
        <v>4</v>
      </c>
      <c r="Q2744">
        <v>0</v>
      </c>
      <c r="R2744">
        <v>27.73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3</v>
      </c>
      <c r="AC2744">
        <v>0</v>
      </c>
      <c r="AH2744">
        <v>30.73</v>
      </c>
    </row>
    <row r="2745" spans="1:34" x14ac:dyDescent="0.3">
      <c r="A2745" s="4">
        <v>2861</v>
      </c>
      <c r="B2745" s="5">
        <v>2738</v>
      </c>
      <c r="C2745">
        <v>12135</v>
      </c>
      <c r="D2745" t="s">
        <v>22998</v>
      </c>
      <c r="E2745" t="s">
        <v>132</v>
      </c>
      <c r="F2745" t="s">
        <v>34</v>
      </c>
      <c r="G2745" t="s">
        <v>22999</v>
      </c>
      <c r="H2745">
        <v>19.73</v>
      </c>
      <c r="I2745">
        <v>0</v>
      </c>
      <c r="J2745">
        <v>0</v>
      </c>
      <c r="K2745">
        <v>0</v>
      </c>
      <c r="L2745">
        <v>7</v>
      </c>
      <c r="O2745">
        <v>7</v>
      </c>
      <c r="P2745">
        <v>4</v>
      </c>
      <c r="Q2745">
        <v>0</v>
      </c>
      <c r="R2745">
        <v>30.73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H2745">
        <v>30.73</v>
      </c>
    </row>
    <row r="2746" spans="1:34" x14ac:dyDescent="0.3">
      <c r="A2746" s="4">
        <v>2862</v>
      </c>
      <c r="B2746" s="5">
        <v>2739</v>
      </c>
      <c r="C2746">
        <v>9455</v>
      </c>
      <c r="D2746" t="s">
        <v>23000</v>
      </c>
      <c r="E2746" t="s">
        <v>182</v>
      </c>
      <c r="F2746" t="s">
        <v>343</v>
      </c>
      <c r="G2746" t="s">
        <v>23001</v>
      </c>
      <c r="H2746">
        <v>17.73</v>
      </c>
      <c r="I2746">
        <v>0</v>
      </c>
      <c r="J2746">
        <v>0</v>
      </c>
      <c r="K2746">
        <v>0</v>
      </c>
      <c r="L2746">
        <v>7</v>
      </c>
      <c r="O2746">
        <v>7</v>
      </c>
      <c r="P2746">
        <v>4</v>
      </c>
      <c r="Q2746">
        <v>2</v>
      </c>
      <c r="R2746">
        <v>30.73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H2746">
        <v>30.73</v>
      </c>
    </row>
    <row r="2747" spans="1:34" x14ac:dyDescent="0.3">
      <c r="A2747" s="4">
        <v>2863</v>
      </c>
      <c r="B2747" s="5">
        <v>2740</v>
      </c>
      <c r="C2747">
        <v>13496</v>
      </c>
      <c r="D2747" t="s">
        <v>23002</v>
      </c>
      <c r="E2747" t="s">
        <v>255</v>
      </c>
      <c r="F2747" t="s">
        <v>81</v>
      </c>
      <c r="G2747" t="s">
        <v>23003</v>
      </c>
      <c r="H2747">
        <v>19.73</v>
      </c>
      <c r="I2747">
        <v>0</v>
      </c>
      <c r="J2747">
        <v>0</v>
      </c>
      <c r="K2747">
        <v>0</v>
      </c>
      <c r="N2747">
        <v>3</v>
      </c>
      <c r="O2747">
        <v>3</v>
      </c>
      <c r="P2747">
        <v>4</v>
      </c>
      <c r="Q2747">
        <v>0</v>
      </c>
      <c r="R2747">
        <v>26.73</v>
      </c>
      <c r="S2747">
        <v>4</v>
      </c>
      <c r="T2747">
        <v>4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4</v>
      </c>
      <c r="AB2747">
        <v>0</v>
      </c>
      <c r="AC2747">
        <v>0</v>
      </c>
      <c r="AH2747">
        <v>30.73</v>
      </c>
    </row>
    <row r="2748" spans="1:34" x14ac:dyDescent="0.3">
      <c r="A2748" s="4">
        <v>2864</v>
      </c>
      <c r="B2748" s="5">
        <v>2741</v>
      </c>
      <c r="C2748">
        <v>3898</v>
      </c>
      <c r="D2748" t="s">
        <v>13546</v>
      </c>
      <c r="E2748" t="s">
        <v>139</v>
      </c>
      <c r="F2748" t="s">
        <v>6321</v>
      </c>
      <c r="G2748" t="s">
        <v>23004</v>
      </c>
      <c r="H2748">
        <v>17.7</v>
      </c>
      <c r="I2748">
        <v>0</v>
      </c>
      <c r="J2748">
        <v>0</v>
      </c>
      <c r="K2748">
        <v>0</v>
      </c>
      <c r="N2748">
        <v>3</v>
      </c>
      <c r="O2748">
        <v>3</v>
      </c>
      <c r="P2748">
        <v>4</v>
      </c>
      <c r="Q2748">
        <v>0</v>
      </c>
      <c r="R2748">
        <v>24.7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6</v>
      </c>
      <c r="AC2748">
        <v>0</v>
      </c>
      <c r="AH2748">
        <v>30.7</v>
      </c>
    </row>
    <row r="2749" spans="1:34" x14ac:dyDescent="0.3">
      <c r="A2749" s="4">
        <v>2865</v>
      </c>
      <c r="B2749" s="5">
        <v>2742</v>
      </c>
      <c r="C2749">
        <v>9970</v>
      </c>
      <c r="D2749" t="s">
        <v>1565</v>
      </c>
      <c r="E2749" t="s">
        <v>413</v>
      </c>
      <c r="F2749" t="s">
        <v>17</v>
      </c>
      <c r="G2749" t="s">
        <v>23005</v>
      </c>
      <c r="H2749">
        <v>19.7</v>
      </c>
      <c r="I2749">
        <v>0</v>
      </c>
      <c r="J2749">
        <v>0</v>
      </c>
      <c r="K2749">
        <v>0</v>
      </c>
      <c r="L2749">
        <v>7</v>
      </c>
      <c r="O2749">
        <v>7</v>
      </c>
      <c r="P2749">
        <v>4</v>
      </c>
      <c r="Q2749">
        <v>0</v>
      </c>
      <c r="R2749">
        <v>30.7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H2749">
        <v>30.7</v>
      </c>
    </row>
    <row r="2750" spans="1:34" x14ac:dyDescent="0.3">
      <c r="A2750" s="4">
        <v>2866</v>
      </c>
      <c r="B2750" s="5">
        <v>2743</v>
      </c>
      <c r="C2750">
        <v>8228</v>
      </c>
      <c r="D2750" t="s">
        <v>2481</v>
      </c>
      <c r="E2750" t="s">
        <v>29</v>
      </c>
      <c r="F2750" t="s">
        <v>38</v>
      </c>
      <c r="G2750" t="s">
        <v>23006</v>
      </c>
      <c r="H2750">
        <v>19.7</v>
      </c>
      <c r="I2750">
        <v>0</v>
      </c>
      <c r="J2750">
        <v>0</v>
      </c>
      <c r="K2750">
        <v>0</v>
      </c>
      <c r="L2750">
        <v>7</v>
      </c>
      <c r="O2750">
        <v>7</v>
      </c>
      <c r="P2750">
        <v>4</v>
      </c>
      <c r="Q2750">
        <v>0</v>
      </c>
      <c r="R2750">
        <v>30.7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 t="s">
        <v>130</v>
      </c>
      <c r="AH2750">
        <v>30.7</v>
      </c>
    </row>
    <row r="2751" spans="1:34" x14ac:dyDescent="0.3">
      <c r="A2751" s="4">
        <v>2867</v>
      </c>
      <c r="B2751" s="5">
        <v>2744</v>
      </c>
      <c r="C2751">
        <v>1770</v>
      </c>
      <c r="D2751" t="s">
        <v>23007</v>
      </c>
      <c r="E2751" t="s">
        <v>454</v>
      </c>
      <c r="F2751" t="s">
        <v>136</v>
      </c>
      <c r="G2751" t="s">
        <v>23008</v>
      </c>
      <c r="H2751">
        <v>17.68</v>
      </c>
      <c r="I2751">
        <v>0</v>
      </c>
      <c r="J2751">
        <v>0</v>
      </c>
      <c r="K2751">
        <v>0</v>
      </c>
      <c r="N2751">
        <v>3</v>
      </c>
      <c r="O2751">
        <v>3</v>
      </c>
      <c r="P2751">
        <v>4</v>
      </c>
      <c r="Q2751">
        <v>0</v>
      </c>
      <c r="R2751">
        <v>24.68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6</v>
      </c>
      <c r="AC2751">
        <v>0</v>
      </c>
      <c r="AH2751">
        <v>30.68</v>
      </c>
    </row>
    <row r="2752" spans="1:34" x14ac:dyDescent="0.3">
      <c r="A2752" s="4">
        <v>2868</v>
      </c>
      <c r="B2752" s="5">
        <v>2745</v>
      </c>
      <c r="C2752">
        <v>4096</v>
      </c>
      <c r="D2752" t="s">
        <v>23009</v>
      </c>
      <c r="E2752" t="s">
        <v>23010</v>
      </c>
      <c r="F2752" t="s">
        <v>328</v>
      </c>
      <c r="G2752" t="s">
        <v>23011</v>
      </c>
      <c r="H2752">
        <v>19.649999999999999</v>
      </c>
      <c r="I2752">
        <v>0</v>
      </c>
      <c r="J2752">
        <v>0</v>
      </c>
      <c r="K2752">
        <v>0</v>
      </c>
      <c r="L2752">
        <v>7</v>
      </c>
      <c r="O2752">
        <v>7</v>
      </c>
      <c r="P2752">
        <v>4</v>
      </c>
      <c r="Q2752">
        <v>0</v>
      </c>
      <c r="R2752">
        <v>30.65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H2752">
        <v>30.65</v>
      </c>
    </row>
    <row r="2753" spans="1:34" x14ac:dyDescent="0.3">
      <c r="A2753" s="4">
        <v>2869</v>
      </c>
      <c r="B2753" s="5">
        <v>2746</v>
      </c>
      <c r="C2753">
        <v>5212</v>
      </c>
      <c r="D2753" t="s">
        <v>294</v>
      </c>
      <c r="E2753" t="s">
        <v>178</v>
      </c>
      <c r="F2753" t="s">
        <v>62</v>
      </c>
      <c r="G2753" t="s">
        <v>23012</v>
      </c>
      <c r="H2753">
        <v>17.63</v>
      </c>
      <c r="I2753">
        <v>0</v>
      </c>
      <c r="J2753">
        <v>0</v>
      </c>
      <c r="K2753">
        <v>0</v>
      </c>
      <c r="N2753">
        <v>3</v>
      </c>
      <c r="O2753">
        <v>3</v>
      </c>
      <c r="P2753">
        <v>4</v>
      </c>
      <c r="Q2753">
        <v>0</v>
      </c>
      <c r="R2753">
        <v>24.63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6</v>
      </c>
      <c r="AC2753">
        <v>0</v>
      </c>
      <c r="AH2753">
        <v>30.63</v>
      </c>
    </row>
    <row r="2754" spans="1:34" x14ac:dyDescent="0.3">
      <c r="A2754" s="4">
        <v>2870</v>
      </c>
      <c r="B2754" s="5">
        <v>2747</v>
      </c>
      <c r="C2754">
        <v>4415</v>
      </c>
      <c r="D2754" t="s">
        <v>3406</v>
      </c>
      <c r="E2754" t="s">
        <v>110</v>
      </c>
      <c r="F2754" t="s">
        <v>58</v>
      </c>
      <c r="G2754" t="s">
        <v>23013</v>
      </c>
      <c r="H2754">
        <v>19.63</v>
      </c>
      <c r="I2754">
        <v>0</v>
      </c>
      <c r="J2754">
        <v>0</v>
      </c>
      <c r="K2754">
        <v>0</v>
      </c>
      <c r="L2754">
        <v>7</v>
      </c>
      <c r="O2754">
        <v>7</v>
      </c>
      <c r="P2754">
        <v>4</v>
      </c>
      <c r="Q2754">
        <v>0</v>
      </c>
      <c r="R2754">
        <v>30.63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H2754">
        <v>30.63</v>
      </c>
    </row>
    <row r="2755" spans="1:34" x14ac:dyDescent="0.3">
      <c r="A2755" s="4">
        <v>2871</v>
      </c>
      <c r="B2755" s="5">
        <v>2748</v>
      </c>
      <c r="C2755">
        <v>6667</v>
      </c>
      <c r="D2755" t="s">
        <v>1129</v>
      </c>
      <c r="E2755" t="s">
        <v>29</v>
      </c>
      <c r="F2755" t="s">
        <v>243</v>
      </c>
      <c r="G2755" t="s">
        <v>23014</v>
      </c>
      <c r="H2755">
        <v>19.63</v>
      </c>
      <c r="I2755">
        <v>0</v>
      </c>
      <c r="J2755">
        <v>0</v>
      </c>
      <c r="K2755">
        <v>0</v>
      </c>
      <c r="L2755">
        <v>7</v>
      </c>
      <c r="O2755">
        <v>7</v>
      </c>
      <c r="P2755">
        <v>4</v>
      </c>
      <c r="Q2755">
        <v>0</v>
      </c>
      <c r="R2755">
        <v>30.63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H2755">
        <v>30.63</v>
      </c>
    </row>
    <row r="2756" spans="1:34" x14ac:dyDescent="0.3">
      <c r="A2756" s="4">
        <v>2872</v>
      </c>
      <c r="B2756" s="5">
        <v>2749</v>
      </c>
      <c r="C2756">
        <v>2054</v>
      </c>
      <c r="D2756" t="s">
        <v>17675</v>
      </c>
      <c r="E2756" t="s">
        <v>97</v>
      </c>
      <c r="F2756" t="s">
        <v>68</v>
      </c>
      <c r="G2756" t="s">
        <v>23015</v>
      </c>
      <c r="H2756">
        <v>17.63</v>
      </c>
      <c r="I2756">
        <v>0</v>
      </c>
      <c r="J2756">
        <v>0</v>
      </c>
      <c r="K2756">
        <v>0</v>
      </c>
      <c r="L2756">
        <v>7</v>
      </c>
      <c r="O2756">
        <v>7</v>
      </c>
      <c r="P2756">
        <v>4</v>
      </c>
      <c r="Q2756">
        <v>2</v>
      </c>
      <c r="R2756">
        <v>30.63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H2756">
        <v>30.63</v>
      </c>
    </row>
    <row r="2757" spans="1:34" x14ac:dyDescent="0.3">
      <c r="A2757" s="4">
        <v>2873</v>
      </c>
      <c r="B2757" s="5">
        <v>2750</v>
      </c>
      <c r="C2757">
        <v>3738</v>
      </c>
      <c r="D2757" t="s">
        <v>21812</v>
      </c>
      <c r="E2757" t="s">
        <v>188</v>
      </c>
      <c r="F2757" t="s">
        <v>539</v>
      </c>
      <c r="G2757" t="s">
        <v>23016</v>
      </c>
      <c r="H2757">
        <v>20.6</v>
      </c>
      <c r="I2757">
        <v>0</v>
      </c>
      <c r="J2757">
        <v>0</v>
      </c>
      <c r="K2757">
        <v>0</v>
      </c>
      <c r="O2757">
        <v>0</v>
      </c>
      <c r="P2757">
        <v>4</v>
      </c>
      <c r="Q2757">
        <v>0</v>
      </c>
      <c r="R2757">
        <v>24.6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6</v>
      </c>
      <c r="AC2757">
        <v>0</v>
      </c>
      <c r="AH2757">
        <v>30.6</v>
      </c>
    </row>
    <row r="2758" spans="1:34" x14ac:dyDescent="0.3">
      <c r="A2758" s="4">
        <v>2874</v>
      </c>
      <c r="B2758" s="5">
        <v>2751</v>
      </c>
      <c r="C2758">
        <v>11438</v>
      </c>
      <c r="D2758" t="s">
        <v>11724</v>
      </c>
      <c r="E2758" t="s">
        <v>3775</v>
      </c>
      <c r="F2758" t="s">
        <v>124</v>
      </c>
      <c r="G2758" t="s">
        <v>23017</v>
      </c>
      <c r="H2758">
        <v>17.600000000000001</v>
      </c>
      <c r="I2758">
        <v>0</v>
      </c>
      <c r="J2758">
        <v>0</v>
      </c>
      <c r="K2758">
        <v>0</v>
      </c>
      <c r="N2758">
        <v>3</v>
      </c>
      <c r="O2758">
        <v>3</v>
      </c>
      <c r="P2758">
        <v>4</v>
      </c>
      <c r="Q2758">
        <v>0</v>
      </c>
      <c r="R2758">
        <v>24.6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6</v>
      </c>
      <c r="AC2758">
        <v>0</v>
      </c>
      <c r="AH2758">
        <v>30.6</v>
      </c>
    </row>
    <row r="2759" spans="1:34" x14ac:dyDescent="0.3">
      <c r="A2759" s="4">
        <v>2875</v>
      </c>
      <c r="B2759" s="5">
        <v>2752</v>
      </c>
      <c r="C2759">
        <v>12158</v>
      </c>
      <c r="D2759" t="s">
        <v>23018</v>
      </c>
      <c r="E2759" t="s">
        <v>550</v>
      </c>
      <c r="F2759" t="s">
        <v>17</v>
      </c>
      <c r="G2759" t="s">
        <v>23019</v>
      </c>
      <c r="H2759">
        <v>20.6</v>
      </c>
      <c r="I2759">
        <v>0</v>
      </c>
      <c r="J2759">
        <v>0</v>
      </c>
      <c r="K2759">
        <v>0</v>
      </c>
      <c r="N2759">
        <v>3</v>
      </c>
      <c r="O2759">
        <v>3</v>
      </c>
      <c r="P2759">
        <v>4</v>
      </c>
      <c r="Q2759">
        <v>0</v>
      </c>
      <c r="R2759">
        <v>27.6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3</v>
      </c>
      <c r="AC2759">
        <v>0</v>
      </c>
      <c r="AH2759">
        <v>30.6</v>
      </c>
    </row>
    <row r="2760" spans="1:34" x14ac:dyDescent="0.3">
      <c r="A2760" s="4">
        <v>2876</v>
      </c>
      <c r="B2760" s="5">
        <v>2753</v>
      </c>
      <c r="C2760">
        <v>3910</v>
      </c>
      <c r="D2760" t="s">
        <v>23020</v>
      </c>
      <c r="E2760" t="s">
        <v>88</v>
      </c>
      <c r="F2760" t="s">
        <v>972</v>
      </c>
      <c r="G2760" t="s">
        <v>23021</v>
      </c>
      <c r="H2760">
        <v>18.600000000000001</v>
      </c>
      <c r="I2760">
        <v>0</v>
      </c>
      <c r="J2760">
        <v>0</v>
      </c>
      <c r="K2760">
        <v>0</v>
      </c>
      <c r="N2760">
        <v>3</v>
      </c>
      <c r="O2760">
        <v>3</v>
      </c>
      <c r="P2760">
        <v>4</v>
      </c>
      <c r="Q2760">
        <v>2</v>
      </c>
      <c r="R2760">
        <v>27.6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3</v>
      </c>
      <c r="AC2760">
        <v>0</v>
      </c>
      <c r="AH2760">
        <v>30.6</v>
      </c>
    </row>
    <row r="2761" spans="1:34" x14ac:dyDescent="0.3">
      <c r="A2761" s="4">
        <v>2877</v>
      </c>
      <c r="B2761" s="5">
        <v>2754</v>
      </c>
      <c r="C2761">
        <v>6360</v>
      </c>
      <c r="D2761" t="s">
        <v>23022</v>
      </c>
      <c r="E2761" t="s">
        <v>479</v>
      </c>
      <c r="F2761" t="s">
        <v>81</v>
      </c>
      <c r="G2761" t="s">
        <v>23023</v>
      </c>
      <c r="H2761">
        <v>19.600000000000001</v>
      </c>
      <c r="I2761">
        <v>0</v>
      </c>
      <c r="J2761">
        <v>0</v>
      </c>
      <c r="K2761">
        <v>0</v>
      </c>
      <c r="L2761">
        <v>7</v>
      </c>
      <c r="O2761">
        <v>7</v>
      </c>
      <c r="P2761">
        <v>4</v>
      </c>
      <c r="Q2761">
        <v>0</v>
      </c>
      <c r="R2761">
        <v>30.6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H2761">
        <v>30.6</v>
      </c>
    </row>
    <row r="2762" spans="1:34" x14ac:dyDescent="0.3">
      <c r="A2762" s="4">
        <v>2878</v>
      </c>
      <c r="B2762" s="5">
        <v>2755</v>
      </c>
      <c r="C2762">
        <v>9406</v>
      </c>
      <c r="D2762" t="s">
        <v>1170</v>
      </c>
      <c r="E2762" t="s">
        <v>97</v>
      </c>
      <c r="F2762" t="s">
        <v>17</v>
      </c>
      <c r="G2762" t="s">
        <v>23024</v>
      </c>
      <c r="H2762">
        <v>17.579999999999998</v>
      </c>
      <c r="I2762">
        <v>0</v>
      </c>
      <c r="J2762">
        <v>0</v>
      </c>
      <c r="K2762">
        <v>0</v>
      </c>
      <c r="N2762">
        <v>3</v>
      </c>
      <c r="O2762">
        <v>3</v>
      </c>
      <c r="P2762">
        <v>4</v>
      </c>
      <c r="Q2762">
        <v>0</v>
      </c>
      <c r="R2762">
        <v>24.58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6</v>
      </c>
      <c r="AC2762">
        <v>0</v>
      </c>
      <c r="AH2762">
        <v>30.58</v>
      </c>
    </row>
    <row r="2763" spans="1:34" x14ac:dyDescent="0.3">
      <c r="A2763" s="4">
        <v>2879</v>
      </c>
      <c r="B2763" s="5">
        <v>2756</v>
      </c>
      <c r="C2763">
        <v>9870</v>
      </c>
      <c r="D2763" t="s">
        <v>23025</v>
      </c>
      <c r="E2763" t="s">
        <v>23026</v>
      </c>
      <c r="F2763" t="s">
        <v>343</v>
      </c>
      <c r="G2763" t="s">
        <v>23027</v>
      </c>
      <c r="H2763">
        <v>20.58</v>
      </c>
      <c r="I2763">
        <v>0</v>
      </c>
      <c r="J2763">
        <v>0</v>
      </c>
      <c r="K2763">
        <v>0</v>
      </c>
      <c r="N2763">
        <v>3</v>
      </c>
      <c r="O2763">
        <v>3</v>
      </c>
      <c r="P2763">
        <v>4</v>
      </c>
      <c r="Q2763">
        <v>0</v>
      </c>
      <c r="R2763">
        <v>27.58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3</v>
      </c>
      <c r="AC2763">
        <v>0</v>
      </c>
      <c r="AH2763">
        <v>30.58</v>
      </c>
    </row>
    <row r="2764" spans="1:34" x14ac:dyDescent="0.3">
      <c r="A2764" s="4">
        <v>2880</v>
      </c>
      <c r="B2764" s="5">
        <v>2757</v>
      </c>
      <c r="C2764">
        <v>3834</v>
      </c>
      <c r="D2764" t="s">
        <v>23028</v>
      </c>
      <c r="E2764" t="s">
        <v>136</v>
      </c>
      <c r="F2764" t="s">
        <v>81</v>
      </c>
      <c r="G2764" t="s">
        <v>23029</v>
      </c>
      <c r="H2764">
        <v>20.58</v>
      </c>
      <c r="I2764">
        <v>0</v>
      </c>
      <c r="J2764">
        <v>0</v>
      </c>
      <c r="K2764">
        <v>0</v>
      </c>
      <c r="N2764">
        <v>3</v>
      </c>
      <c r="O2764">
        <v>3</v>
      </c>
      <c r="P2764">
        <v>4</v>
      </c>
      <c r="Q2764">
        <v>0</v>
      </c>
      <c r="R2764">
        <v>27.58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3</v>
      </c>
      <c r="AC2764">
        <v>0</v>
      </c>
      <c r="AH2764">
        <v>30.58</v>
      </c>
    </row>
    <row r="2765" spans="1:34" x14ac:dyDescent="0.3">
      <c r="A2765" s="4">
        <v>2881</v>
      </c>
      <c r="B2765" s="5">
        <v>2758</v>
      </c>
      <c r="C2765">
        <v>6558</v>
      </c>
      <c r="D2765" t="s">
        <v>23030</v>
      </c>
      <c r="E2765" t="s">
        <v>54</v>
      </c>
      <c r="F2765" t="s">
        <v>30</v>
      </c>
      <c r="G2765" t="s">
        <v>23031</v>
      </c>
      <c r="H2765">
        <v>17.55</v>
      </c>
      <c r="I2765">
        <v>0</v>
      </c>
      <c r="J2765">
        <v>0</v>
      </c>
      <c r="K2765">
        <v>0</v>
      </c>
      <c r="O2765">
        <v>0</v>
      </c>
      <c r="P2765">
        <v>4</v>
      </c>
      <c r="Q2765">
        <v>0</v>
      </c>
      <c r="R2765">
        <v>21.55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9</v>
      </c>
      <c r="AC2765">
        <v>0</v>
      </c>
      <c r="AH2765">
        <v>30.55</v>
      </c>
    </row>
    <row r="2766" spans="1:34" x14ac:dyDescent="0.3">
      <c r="A2766" s="4">
        <v>2882</v>
      </c>
      <c r="B2766" s="5">
        <v>2759</v>
      </c>
      <c r="C2766">
        <v>9691</v>
      </c>
      <c r="D2766" t="s">
        <v>23032</v>
      </c>
      <c r="E2766" t="s">
        <v>33</v>
      </c>
      <c r="F2766" t="s">
        <v>190</v>
      </c>
      <c r="G2766" t="s">
        <v>23033</v>
      </c>
      <c r="H2766">
        <v>17.55</v>
      </c>
      <c r="I2766">
        <v>0</v>
      </c>
      <c r="J2766">
        <v>0</v>
      </c>
      <c r="K2766">
        <v>0</v>
      </c>
      <c r="N2766">
        <v>3</v>
      </c>
      <c r="O2766">
        <v>3</v>
      </c>
      <c r="P2766">
        <v>4</v>
      </c>
      <c r="Q2766">
        <v>0</v>
      </c>
      <c r="R2766">
        <v>24.55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6</v>
      </c>
      <c r="AC2766">
        <v>0</v>
      </c>
      <c r="AH2766">
        <v>30.55</v>
      </c>
    </row>
    <row r="2767" spans="1:34" x14ac:dyDescent="0.3">
      <c r="A2767" s="4">
        <v>2883</v>
      </c>
      <c r="B2767" s="5">
        <v>2760</v>
      </c>
      <c r="C2767">
        <v>15007</v>
      </c>
      <c r="D2767" t="s">
        <v>23034</v>
      </c>
      <c r="E2767" t="s">
        <v>23035</v>
      </c>
      <c r="F2767" t="s">
        <v>136</v>
      </c>
      <c r="G2767" t="s">
        <v>23036</v>
      </c>
      <c r="H2767">
        <v>19.55</v>
      </c>
      <c r="I2767">
        <v>0</v>
      </c>
      <c r="J2767">
        <v>0</v>
      </c>
      <c r="K2767">
        <v>0</v>
      </c>
      <c r="L2767">
        <v>7</v>
      </c>
      <c r="O2767">
        <v>7</v>
      </c>
      <c r="P2767">
        <v>4</v>
      </c>
      <c r="Q2767">
        <v>0</v>
      </c>
      <c r="R2767">
        <v>30.55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H2767">
        <v>30.55</v>
      </c>
    </row>
    <row r="2768" spans="1:34" x14ac:dyDescent="0.3">
      <c r="A2768" s="4">
        <v>2884</v>
      </c>
      <c r="B2768" s="5">
        <v>2761</v>
      </c>
      <c r="C2768">
        <v>14485</v>
      </c>
      <c r="D2768" t="s">
        <v>23037</v>
      </c>
      <c r="E2768" t="s">
        <v>54</v>
      </c>
      <c r="F2768" t="s">
        <v>81</v>
      </c>
      <c r="G2768" t="s">
        <v>23038</v>
      </c>
      <c r="H2768">
        <v>17.5</v>
      </c>
      <c r="I2768">
        <v>0</v>
      </c>
      <c r="J2768">
        <v>0</v>
      </c>
      <c r="K2768">
        <v>0</v>
      </c>
      <c r="N2768">
        <v>3</v>
      </c>
      <c r="O2768">
        <v>3</v>
      </c>
      <c r="P2768">
        <v>4</v>
      </c>
      <c r="Q2768">
        <v>0</v>
      </c>
      <c r="R2768">
        <v>24.5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6</v>
      </c>
      <c r="AC2768">
        <v>0</v>
      </c>
      <c r="AH2768">
        <v>30.5</v>
      </c>
    </row>
    <row r="2769" spans="1:34" x14ac:dyDescent="0.3">
      <c r="A2769" s="4">
        <v>2885</v>
      </c>
      <c r="B2769" s="5">
        <v>2762</v>
      </c>
      <c r="C2769">
        <v>10727</v>
      </c>
      <c r="D2769" t="s">
        <v>23039</v>
      </c>
      <c r="E2769" t="s">
        <v>97</v>
      </c>
      <c r="F2769" t="s">
        <v>55</v>
      </c>
      <c r="G2769" t="s">
        <v>23040</v>
      </c>
      <c r="H2769">
        <v>17.5</v>
      </c>
      <c r="I2769">
        <v>0</v>
      </c>
      <c r="J2769">
        <v>0</v>
      </c>
      <c r="K2769">
        <v>0</v>
      </c>
      <c r="N2769">
        <v>3</v>
      </c>
      <c r="O2769">
        <v>3</v>
      </c>
      <c r="P2769">
        <v>0</v>
      </c>
      <c r="Q2769">
        <v>0</v>
      </c>
      <c r="R2769">
        <v>20.5</v>
      </c>
      <c r="S2769">
        <v>4</v>
      </c>
      <c r="T2769">
        <v>4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4</v>
      </c>
      <c r="AB2769">
        <v>6</v>
      </c>
      <c r="AC2769">
        <v>0</v>
      </c>
      <c r="AH2769">
        <v>30.5</v>
      </c>
    </row>
    <row r="2770" spans="1:34" x14ac:dyDescent="0.3">
      <c r="A2770" s="4">
        <v>2886</v>
      </c>
      <c r="B2770" s="5">
        <v>2763</v>
      </c>
      <c r="C2770">
        <v>2641</v>
      </c>
      <c r="D2770" t="s">
        <v>23041</v>
      </c>
      <c r="E2770" t="s">
        <v>54</v>
      </c>
      <c r="F2770" t="s">
        <v>4808</v>
      </c>
      <c r="G2770" t="s">
        <v>23042</v>
      </c>
      <c r="H2770">
        <v>18.5</v>
      </c>
      <c r="I2770">
        <v>0</v>
      </c>
      <c r="J2770">
        <v>0</v>
      </c>
      <c r="K2770">
        <v>0</v>
      </c>
      <c r="N2770">
        <v>3</v>
      </c>
      <c r="O2770">
        <v>3</v>
      </c>
      <c r="P2770">
        <v>4</v>
      </c>
      <c r="Q2770">
        <v>2</v>
      </c>
      <c r="R2770">
        <v>27.5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3</v>
      </c>
      <c r="AC2770">
        <v>0</v>
      </c>
      <c r="AH2770">
        <v>30.5</v>
      </c>
    </row>
    <row r="2771" spans="1:34" x14ac:dyDescent="0.3">
      <c r="A2771" s="4">
        <v>2887</v>
      </c>
      <c r="B2771" s="5">
        <v>2764</v>
      </c>
      <c r="C2771">
        <v>127</v>
      </c>
      <c r="D2771" t="s">
        <v>23043</v>
      </c>
      <c r="E2771" t="s">
        <v>149</v>
      </c>
      <c r="F2771" t="s">
        <v>20</v>
      </c>
      <c r="G2771" t="s">
        <v>23044</v>
      </c>
      <c r="H2771">
        <v>19.5</v>
      </c>
      <c r="I2771">
        <v>0</v>
      </c>
      <c r="J2771">
        <v>0</v>
      </c>
      <c r="K2771">
        <v>0</v>
      </c>
      <c r="L2771">
        <v>7</v>
      </c>
      <c r="O2771">
        <v>7</v>
      </c>
      <c r="P2771">
        <v>4</v>
      </c>
      <c r="Q2771">
        <v>0</v>
      </c>
      <c r="R2771">
        <v>30.5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H2771">
        <v>30.5</v>
      </c>
    </row>
    <row r="2772" spans="1:34" x14ac:dyDescent="0.3">
      <c r="A2772" s="4">
        <v>2888</v>
      </c>
      <c r="B2772" s="5">
        <v>2765</v>
      </c>
      <c r="C2772">
        <v>12236</v>
      </c>
      <c r="D2772" t="s">
        <v>15424</v>
      </c>
      <c r="E2772" t="s">
        <v>789</v>
      </c>
      <c r="F2772" t="s">
        <v>30</v>
      </c>
      <c r="G2772" t="s">
        <v>23045</v>
      </c>
      <c r="H2772">
        <v>20.48</v>
      </c>
      <c r="I2772">
        <v>0</v>
      </c>
      <c r="J2772">
        <v>0</v>
      </c>
      <c r="K2772">
        <v>0</v>
      </c>
      <c r="O2772">
        <v>0</v>
      </c>
      <c r="P2772">
        <v>4</v>
      </c>
      <c r="Q2772">
        <v>0</v>
      </c>
      <c r="R2772">
        <v>24.48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6</v>
      </c>
      <c r="AC2772">
        <v>0</v>
      </c>
      <c r="AH2772">
        <v>30.48</v>
      </c>
    </row>
    <row r="2773" spans="1:34" x14ac:dyDescent="0.3">
      <c r="A2773" s="4">
        <v>2889</v>
      </c>
      <c r="B2773" s="5">
        <v>2766</v>
      </c>
      <c r="C2773">
        <v>2965</v>
      </c>
      <c r="D2773" t="s">
        <v>23046</v>
      </c>
      <c r="E2773" t="s">
        <v>166</v>
      </c>
      <c r="F2773" t="s">
        <v>17</v>
      </c>
      <c r="G2773" t="s">
        <v>23047</v>
      </c>
      <c r="H2773">
        <v>16.48</v>
      </c>
      <c r="I2773">
        <v>0</v>
      </c>
      <c r="J2773">
        <v>0</v>
      </c>
      <c r="K2773">
        <v>0</v>
      </c>
      <c r="O2773">
        <v>0</v>
      </c>
      <c r="P2773">
        <v>4</v>
      </c>
      <c r="Q2773">
        <v>0</v>
      </c>
      <c r="R2773">
        <v>20.48</v>
      </c>
      <c r="S2773">
        <v>7</v>
      </c>
      <c r="T2773">
        <v>7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7</v>
      </c>
      <c r="AB2773">
        <v>3</v>
      </c>
      <c r="AC2773">
        <v>0</v>
      </c>
      <c r="AH2773">
        <v>30.48</v>
      </c>
    </row>
    <row r="2774" spans="1:34" x14ac:dyDescent="0.3">
      <c r="A2774" s="4">
        <v>2890</v>
      </c>
      <c r="B2774" s="5">
        <v>2767</v>
      </c>
      <c r="C2774">
        <v>3318</v>
      </c>
      <c r="D2774" t="s">
        <v>18210</v>
      </c>
      <c r="E2774" t="s">
        <v>38</v>
      </c>
      <c r="F2774" t="s">
        <v>68</v>
      </c>
      <c r="G2774" t="s">
        <v>23048</v>
      </c>
      <c r="H2774">
        <v>19.48</v>
      </c>
      <c r="I2774">
        <v>0</v>
      </c>
      <c r="J2774">
        <v>0</v>
      </c>
      <c r="K2774">
        <v>0</v>
      </c>
      <c r="L2774">
        <v>7</v>
      </c>
      <c r="O2774">
        <v>7</v>
      </c>
      <c r="P2774">
        <v>4</v>
      </c>
      <c r="Q2774">
        <v>0</v>
      </c>
      <c r="R2774">
        <v>30.48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H2774">
        <v>30.48</v>
      </c>
    </row>
    <row r="2775" spans="1:34" x14ac:dyDescent="0.3">
      <c r="A2775" s="4">
        <v>2891</v>
      </c>
      <c r="B2775" s="5">
        <v>2768</v>
      </c>
      <c r="C2775">
        <v>4920</v>
      </c>
      <c r="D2775" t="s">
        <v>22414</v>
      </c>
      <c r="E2775" t="s">
        <v>4801</v>
      </c>
      <c r="F2775" t="s">
        <v>167</v>
      </c>
      <c r="G2775" t="s">
        <v>23049</v>
      </c>
      <c r="H2775">
        <v>17.45</v>
      </c>
      <c r="I2775">
        <v>0</v>
      </c>
      <c r="J2775">
        <v>0</v>
      </c>
      <c r="K2775">
        <v>0</v>
      </c>
      <c r="N2775">
        <v>3</v>
      </c>
      <c r="O2775">
        <v>3</v>
      </c>
      <c r="P2775">
        <v>4</v>
      </c>
      <c r="Q2775">
        <v>0</v>
      </c>
      <c r="R2775">
        <v>24.45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6</v>
      </c>
      <c r="AC2775">
        <v>0</v>
      </c>
      <c r="AH2775">
        <v>30.45</v>
      </c>
    </row>
    <row r="2776" spans="1:34" x14ac:dyDescent="0.3">
      <c r="A2776" s="4">
        <v>2892</v>
      </c>
      <c r="B2776" s="5">
        <v>2769</v>
      </c>
      <c r="C2776">
        <v>7524</v>
      </c>
      <c r="D2776" t="s">
        <v>23050</v>
      </c>
      <c r="E2776" t="s">
        <v>188</v>
      </c>
      <c r="F2776" t="s">
        <v>259</v>
      </c>
      <c r="G2776" t="s">
        <v>23051</v>
      </c>
      <c r="H2776">
        <v>21.45</v>
      </c>
      <c r="I2776">
        <v>0</v>
      </c>
      <c r="J2776">
        <v>0</v>
      </c>
      <c r="K2776">
        <v>0</v>
      </c>
      <c r="M2776">
        <v>5</v>
      </c>
      <c r="O2776">
        <v>5</v>
      </c>
      <c r="P2776">
        <v>4</v>
      </c>
      <c r="Q2776">
        <v>0</v>
      </c>
      <c r="R2776">
        <v>30.45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H2776">
        <v>30.45</v>
      </c>
    </row>
    <row r="2777" spans="1:34" x14ac:dyDescent="0.3">
      <c r="A2777" s="4">
        <v>2893</v>
      </c>
      <c r="B2777" s="5">
        <v>2770</v>
      </c>
      <c r="C2777">
        <v>14782</v>
      </c>
      <c r="D2777" t="s">
        <v>912</v>
      </c>
      <c r="E2777" t="s">
        <v>471</v>
      </c>
      <c r="F2777" t="s">
        <v>488</v>
      </c>
      <c r="G2777" t="s">
        <v>23052</v>
      </c>
      <c r="H2777">
        <v>19.45</v>
      </c>
      <c r="I2777">
        <v>0</v>
      </c>
      <c r="J2777">
        <v>0</v>
      </c>
      <c r="K2777">
        <v>0</v>
      </c>
      <c r="L2777">
        <v>7</v>
      </c>
      <c r="O2777">
        <v>7</v>
      </c>
      <c r="P2777">
        <v>4</v>
      </c>
      <c r="Q2777">
        <v>0</v>
      </c>
      <c r="R2777">
        <v>30.45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H2777">
        <v>30.45</v>
      </c>
    </row>
    <row r="2778" spans="1:34" x14ac:dyDescent="0.3">
      <c r="A2778" s="4">
        <v>2894</v>
      </c>
      <c r="B2778" s="5">
        <v>2771</v>
      </c>
      <c r="C2778">
        <v>11887</v>
      </c>
      <c r="D2778" t="s">
        <v>2772</v>
      </c>
      <c r="E2778" t="s">
        <v>2852</v>
      </c>
      <c r="F2778" t="s">
        <v>17</v>
      </c>
      <c r="G2778" t="s">
        <v>23053</v>
      </c>
      <c r="H2778">
        <v>19.45</v>
      </c>
      <c r="I2778">
        <v>0</v>
      </c>
      <c r="J2778">
        <v>0</v>
      </c>
      <c r="K2778">
        <v>0</v>
      </c>
      <c r="L2778">
        <v>7</v>
      </c>
      <c r="O2778">
        <v>7</v>
      </c>
      <c r="P2778">
        <v>4</v>
      </c>
      <c r="Q2778">
        <v>0</v>
      </c>
      <c r="R2778">
        <v>30.45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H2778">
        <v>30.45</v>
      </c>
    </row>
    <row r="2779" spans="1:34" x14ac:dyDescent="0.3">
      <c r="A2779" s="4">
        <v>2895</v>
      </c>
      <c r="B2779" s="5">
        <v>2772</v>
      </c>
      <c r="C2779">
        <v>4491</v>
      </c>
      <c r="D2779" t="s">
        <v>20591</v>
      </c>
      <c r="E2779" t="s">
        <v>54</v>
      </c>
      <c r="F2779" t="s">
        <v>328</v>
      </c>
      <c r="G2779" t="s">
        <v>23054</v>
      </c>
      <c r="H2779">
        <v>19.45</v>
      </c>
      <c r="I2779">
        <v>0</v>
      </c>
      <c r="J2779">
        <v>0</v>
      </c>
      <c r="K2779">
        <v>0</v>
      </c>
      <c r="L2779">
        <v>7</v>
      </c>
      <c r="O2779">
        <v>7</v>
      </c>
      <c r="P2779">
        <v>4</v>
      </c>
      <c r="Q2779">
        <v>0</v>
      </c>
      <c r="R2779">
        <v>30.45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H2779">
        <v>30.45</v>
      </c>
    </row>
    <row r="2780" spans="1:34" x14ac:dyDescent="0.3">
      <c r="A2780" s="4">
        <v>2896</v>
      </c>
      <c r="B2780" s="5">
        <v>2773</v>
      </c>
      <c r="C2780">
        <v>12518</v>
      </c>
      <c r="D2780" t="s">
        <v>441</v>
      </c>
      <c r="E2780" t="s">
        <v>23055</v>
      </c>
      <c r="F2780" t="s">
        <v>782</v>
      </c>
      <c r="G2780" t="s">
        <v>23056</v>
      </c>
      <c r="H2780">
        <v>20.43</v>
      </c>
      <c r="I2780">
        <v>0</v>
      </c>
      <c r="J2780">
        <v>0</v>
      </c>
      <c r="K2780">
        <v>0</v>
      </c>
      <c r="O2780">
        <v>0</v>
      </c>
      <c r="P2780">
        <v>4</v>
      </c>
      <c r="Q2780">
        <v>0</v>
      </c>
      <c r="R2780">
        <v>24.43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6</v>
      </c>
      <c r="AC2780">
        <v>0</v>
      </c>
      <c r="AH2780">
        <v>30.43</v>
      </c>
    </row>
    <row r="2781" spans="1:34" x14ac:dyDescent="0.3">
      <c r="A2781" s="4">
        <v>2897</v>
      </c>
      <c r="B2781" s="5">
        <v>2774</v>
      </c>
      <c r="C2781">
        <v>8154</v>
      </c>
      <c r="D2781" t="s">
        <v>645</v>
      </c>
      <c r="E2781" t="s">
        <v>161</v>
      </c>
      <c r="F2781" t="s">
        <v>20</v>
      </c>
      <c r="G2781" t="s">
        <v>23057</v>
      </c>
      <c r="H2781">
        <v>20.43</v>
      </c>
      <c r="I2781">
        <v>0</v>
      </c>
      <c r="J2781">
        <v>0</v>
      </c>
      <c r="K2781">
        <v>0</v>
      </c>
      <c r="N2781">
        <v>3</v>
      </c>
      <c r="O2781">
        <v>3</v>
      </c>
      <c r="P2781">
        <v>4</v>
      </c>
      <c r="Q2781">
        <v>0</v>
      </c>
      <c r="R2781">
        <v>27.43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3</v>
      </c>
      <c r="AC2781">
        <v>0</v>
      </c>
      <c r="AH2781">
        <v>30.43</v>
      </c>
    </row>
    <row r="2782" spans="1:34" x14ac:dyDescent="0.3">
      <c r="A2782" s="4">
        <v>2898</v>
      </c>
      <c r="B2782" s="5">
        <v>2775</v>
      </c>
      <c r="C2782">
        <v>12850</v>
      </c>
      <c r="D2782" t="s">
        <v>10995</v>
      </c>
      <c r="E2782" t="s">
        <v>23058</v>
      </c>
      <c r="F2782" t="s">
        <v>587</v>
      </c>
      <c r="G2782" t="s">
        <v>23059</v>
      </c>
      <c r="H2782">
        <v>18.43</v>
      </c>
      <c r="I2782">
        <v>0</v>
      </c>
      <c r="J2782">
        <v>0</v>
      </c>
      <c r="K2782">
        <v>0</v>
      </c>
      <c r="N2782">
        <v>3</v>
      </c>
      <c r="O2782">
        <v>3</v>
      </c>
      <c r="P2782">
        <v>0</v>
      </c>
      <c r="Q2782">
        <v>0</v>
      </c>
      <c r="R2782">
        <v>21.43</v>
      </c>
      <c r="S2782">
        <v>6</v>
      </c>
      <c r="T2782">
        <v>6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6</v>
      </c>
      <c r="AB2782">
        <v>3</v>
      </c>
      <c r="AC2782">
        <v>0</v>
      </c>
      <c r="AH2782">
        <v>30.43</v>
      </c>
    </row>
    <row r="2783" spans="1:34" x14ac:dyDescent="0.3">
      <c r="A2783" s="4">
        <v>2899</v>
      </c>
      <c r="B2783" s="5">
        <v>2776</v>
      </c>
      <c r="C2783">
        <v>12018</v>
      </c>
      <c r="D2783" t="s">
        <v>23060</v>
      </c>
      <c r="E2783" t="s">
        <v>132</v>
      </c>
      <c r="F2783" t="s">
        <v>81</v>
      </c>
      <c r="G2783" t="s">
        <v>23061</v>
      </c>
      <c r="H2783">
        <v>18.399999999999999</v>
      </c>
      <c r="I2783">
        <v>0</v>
      </c>
      <c r="J2783">
        <v>0</v>
      </c>
      <c r="K2783">
        <v>0</v>
      </c>
      <c r="N2783">
        <v>3</v>
      </c>
      <c r="O2783">
        <v>3</v>
      </c>
      <c r="P2783">
        <v>0</v>
      </c>
      <c r="Q2783">
        <v>0</v>
      </c>
      <c r="R2783">
        <v>21.4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9</v>
      </c>
      <c r="AC2783">
        <v>0</v>
      </c>
      <c r="AH2783">
        <v>30.4</v>
      </c>
    </row>
    <row r="2784" spans="1:34" x14ac:dyDescent="0.3">
      <c r="A2784" s="4">
        <v>2900</v>
      </c>
      <c r="B2784" s="5">
        <v>2777</v>
      </c>
      <c r="C2784">
        <v>11226</v>
      </c>
      <c r="D2784" t="s">
        <v>11389</v>
      </c>
      <c r="E2784" t="s">
        <v>255</v>
      </c>
      <c r="F2784" t="s">
        <v>38</v>
      </c>
      <c r="G2784" t="s">
        <v>23062</v>
      </c>
      <c r="H2784">
        <v>18.399999999999999</v>
      </c>
      <c r="I2784">
        <v>0</v>
      </c>
      <c r="J2784">
        <v>0</v>
      </c>
      <c r="K2784">
        <v>0</v>
      </c>
      <c r="M2784">
        <v>5</v>
      </c>
      <c r="O2784">
        <v>5</v>
      </c>
      <c r="P2784">
        <v>4</v>
      </c>
      <c r="Q2784">
        <v>0</v>
      </c>
      <c r="R2784">
        <v>27.4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3</v>
      </c>
      <c r="AC2784">
        <v>0</v>
      </c>
      <c r="AH2784">
        <v>30.4</v>
      </c>
    </row>
    <row r="2785" spans="1:34" x14ac:dyDescent="0.3">
      <c r="A2785" s="4">
        <v>2901</v>
      </c>
      <c r="B2785" s="5">
        <v>2778</v>
      </c>
      <c r="C2785">
        <v>3842</v>
      </c>
      <c r="D2785" t="s">
        <v>23063</v>
      </c>
      <c r="E2785" t="s">
        <v>166</v>
      </c>
      <c r="F2785" t="s">
        <v>136</v>
      </c>
      <c r="G2785" t="s">
        <v>23064</v>
      </c>
      <c r="H2785">
        <v>17.399999999999999</v>
      </c>
      <c r="I2785">
        <v>0</v>
      </c>
      <c r="J2785">
        <v>0</v>
      </c>
      <c r="K2785">
        <v>0</v>
      </c>
      <c r="L2785">
        <v>7</v>
      </c>
      <c r="O2785">
        <v>7</v>
      </c>
      <c r="P2785">
        <v>4</v>
      </c>
      <c r="Q2785">
        <v>2</v>
      </c>
      <c r="R2785">
        <v>30.4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H2785">
        <v>30.4</v>
      </c>
    </row>
    <row r="2786" spans="1:34" x14ac:dyDescent="0.3">
      <c r="A2786" s="4">
        <v>2902</v>
      </c>
      <c r="B2786" s="5">
        <v>2779</v>
      </c>
      <c r="C2786">
        <v>8766</v>
      </c>
      <c r="D2786" t="s">
        <v>41</v>
      </c>
      <c r="E2786" t="s">
        <v>3230</v>
      </c>
      <c r="F2786" t="s">
        <v>38</v>
      </c>
      <c r="G2786" t="s">
        <v>23065</v>
      </c>
      <c r="H2786">
        <v>17.38</v>
      </c>
      <c r="I2786">
        <v>0</v>
      </c>
      <c r="J2786">
        <v>0</v>
      </c>
      <c r="K2786">
        <v>0</v>
      </c>
      <c r="N2786">
        <v>3</v>
      </c>
      <c r="O2786">
        <v>3</v>
      </c>
      <c r="P2786">
        <v>4</v>
      </c>
      <c r="Q2786">
        <v>0</v>
      </c>
      <c r="R2786">
        <v>24.38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6</v>
      </c>
      <c r="AC2786">
        <v>0</v>
      </c>
      <c r="AH2786">
        <v>30.38</v>
      </c>
    </row>
    <row r="2787" spans="1:34" x14ac:dyDescent="0.3">
      <c r="A2787" s="4">
        <v>2903</v>
      </c>
      <c r="B2787" s="5">
        <v>2780</v>
      </c>
      <c r="C2787">
        <v>6083</v>
      </c>
      <c r="D2787" t="s">
        <v>261</v>
      </c>
      <c r="E2787" t="s">
        <v>161</v>
      </c>
      <c r="F2787" t="s">
        <v>81</v>
      </c>
      <c r="G2787" t="s">
        <v>23066</v>
      </c>
      <c r="H2787">
        <v>17.38</v>
      </c>
      <c r="I2787">
        <v>0</v>
      </c>
      <c r="J2787">
        <v>0</v>
      </c>
      <c r="K2787">
        <v>0</v>
      </c>
      <c r="N2787">
        <v>3</v>
      </c>
      <c r="O2787">
        <v>3</v>
      </c>
      <c r="P2787">
        <v>4</v>
      </c>
      <c r="Q2787">
        <v>0</v>
      </c>
      <c r="R2787">
        <v>24.38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6</v>
      </c>
      <c r="AC2787">
        <v>0</v>
      </c>
      <c r="AH2787">
        <v>30.38</v>
      </c>
    </row>
    <row r="2788" spans="1:34" x14ac:dyDescent="0.3">
      <c r="A2788" s="4">
        <v>2904</v>
      </c>
      <c r="B2788" s="5">
        <v>2781</v>
      </c>
      <c r="C2788">
        <v>951</v>
      </c>
      <c r="D2788" t="s">
        <v>23067</v>
      </c>
      <c r="E2788" t="s">
        <v>286</v>
      </c>
      <c r="F2788" t="s">
        <v>158</v>
      </c>
      <c r="G2788" t="s">
        <v>23068</v>
      </c>
      <c r="H2788">
        <v>19.38</v>
      </c>
      <c r="I2788">
        <v>0</v>
      </c>
      <c r="J2788">
        <v>0</v>
      </c>
      <c r="K2788">
        <v>0</v>
      </c>
      <c r="L2788">
        <v>7</v>
      </c>
      <c r="O2788">
        <v>7</v>
      </c>
      <c r="P2788">
        <v>4</v>
      </c>
      <c r="Q2788">
        <v>0</v>
      </c>
      <c r="R2788">
        <v>30.38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H2788">
        <v>30.38</v>
      </c>
    </row>
    <row r="2789" spans="1:34" x14ac:dyDescent="0.3">
      <c r="A2789" s="4">
        <v>2905</v>
      </c>
      <c r="B2789" s="5">
        <v>2782</v>
      </c>
      <c r="C2789">
        <v>5928</v>
      </c>
      <c r="D2789" t="s">
        <v>5254</v>
      </c>
      <c r="E2789" t="s">
        <v>957</v>
      </c>
      <c r="F2789" t="s">
        <v>3511</v>
      </c>
      <c r="G2789" t="s">
        <v>23069</v>
      </c>
      <c r="H2789">
        <v>18.38</v>
      </c>
      <c r="I2789">
        <v>0</v>
      </c>
      <c r="J2789">
        <v>0</v>
      </c>
      <c r="K2789">
        <v>0</v>
      </c>
      <c r="O2789">
        <v>0</v>
      </c>
      <c r="P2789">
        <v>4</v>
      </c>
      <c r="Q2789">
        <v>2</v>
      </c>
      <c r="R2789">
        <v>24.38</v>
      </c>
      <c r="S2789">
        <v>6</v>
      </c>
      <c r="T2789">
        <v>6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6</v>
      </c>
      <c r="AB2789">
        <v>0</v>
      </c>
      <c r="AC2789">
        <v>0</v>
      </c>
      <c r="AD2789" t="s">
        <v>130</v>
      </c>
      <c r="AH2789">
        <v>30.38</v>
      </c>
    </row>
    <row r="2790" spans="1:34" x14ac:dyDescent="0.3">
      <c r="A2790" s="4">
        <v>2906</v>
      </c>
      <c r="B2790" s="5">
        <v>2783</v>
      </c>
      <c r="C2790">
        <v>5339</v>
      </c>
      <c r="D2790" t="s">
        <v>17262</v>
      </c>
      <c r="E2790" t="s">
        <v>88</v>
      </c>
      <c r="F2790" t="s">
        <v>4680</v>
      </c>
      <c r="G2790" t="s">
        <v>23070</v>
      </c>
      <c r="H2790">
        <v>18.350000000000001</v>
      </c>
      <c r="I2790">
        <v>0</v>
      </c>
      <c r="J2790">
        <v>0</v>
      </c>
      <c r="K2790">
        <v>0</v>
      </c>
      <c r="N2790">
        <v>3</v>
      </c>
      <c r="O2790">
        <v>3</v>
      </c>
      <c r="P2790">
        <v>4</v>
      </c>
      <c r="Q2790">
        <v>2</v>
      </c>
      <c r="R2790">
        <v>27.35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3</v>
      </c>
      <c r="AC2790">
        <v>0</v>
      </c>
      <c r="AH2790">
        <v>30.35</v>
      </c>
    </row>
    <row r="2791" spans="1:34" x14ac:dyDescent="0.3">
      <c r="A2791" s="4">
        <v>2907</v>
      </c>
      <c r="B2791" s="5">
        <v>2784</v>
      </c>
      <c r="C2791">
        <v>6234</v>
      </c>
      <c r="D2791" t="s">
        <v>23071</v>
      </c>
      <c r="E2791" t="s">
        <v>33</v>
      </c>
      <c r="F2791" t="s">
        <v>55</v>
      </c>
      <c r="G2791" t="s">
        <v>23072</v>
      </c>
      <c r="H2791">
        <v>19.350000000000001</v>
      </c>
      <c r="I2791">
        <v>0</v>
      </c>
      <c r="J2791">
        <v>0</v>
      </c>
      <c r="K2791">
        <v>0</v>
      </c>
      <c r="L2791">
        <v>7</v>
      </c>
      <c r="O2791">
        <v>7</v>
      </c>
      <c r="P2791">
        <v>4</v>
      </c>
      <c r="Q2791">
        <v>0</v>
      </c>
      <c r="R2791">
        <v>30.35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H2791">
        <v>30.35</v>
      </c>
    </row>
    <row r="2792" spans="1:34" x14ac:dyDescent="0.3">
      <c r="A2792" s="4">
        <v>2908</v>
      </c>
      <c r="B2792" s="5">
        <v>2785</v>
      </c>
      <c r="C2792">
        <v>3506</v>
      </c>
      <c r="D2792" t="s">
        <v>1200</v>
      </c>
      <c r="E2792" t="s">
        <v>213</v>
      </c>
      <c r="F2792" t="s">
        <v>12419</v>
      </c>
      <c r="G2792" t="s">
        <v>23073</v>
      </c>
      <c r="H2792">
        <v>19.350000000000001</v>
      </c>
      <c r="I2792">
        <v>0</v>
      </c>
      <c r="J2792">
        <v>0</v>
      </c>
      <c r="K2792">
        <v>0</v>
      </c>
      <c r="L2792">
        <v>7</v>
      </c>
      <c r="O2792">
        <v>7</v>
      </c>
      <c r="P2792">
        <v>4</v>
      </c>
      <c r="Q2792">
        <v>0</v>
      </c>
      <c r="R2792">
        <v>30.35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H2792">
        <v>30.35</v>
      </c>
    </row>
    <row r="2793" spans="1:34" x14ac:dyDescent="0.3">
      <c r="A2793" s="4">
        <v>2909</v>
      </c>
      <c r="B2793" s="5">
        <v>2786</v>
      </c>
      <c r="C2793">
        <v>14261</v>
      </c>
      <c r="D2793" t="s">
        <v>23074</v>
      </c>
      <c r="E2793" t="s">
        <v>41</v>
      </c>
      <c r="F2793" t="s">
        <v>17</v>
      </c>
      <c r="G2793" t="s">
        <v>23075</v>
      </c>
      <c r="H2793">
        <v>18.350000000000001</v>
      </c>
      <c r="I2793">
        <v>0</v>
      </c>
      <c r="J2793">
        <v>0</v>
      </c>
      <c r="K2793">
        <v>0</v>
      </c>
      <c r="N2793">
        <v>3</v>
      </c>
      <c r="O2793">
        <v>3</v>
      </c>
      <c r="P2793">
        <v>4</v>
      </c>
      <c r="Q2793">
        <v>0</v>
      </c>
      <c r="R2793">
        <v>25.35</v>
      </c>
      <c r="S2793">
        <v>5</v>
      </c>
      <c r="T2793">
        <v>5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5</v>
      </c>
      <c r="AB2793">
        <v>0</v>
      </c>
      <c r="AC2793">
        <v>0</v>
      </c>
      <c r="AH2793">
        <v>30.35</v>
      </c>
    </row>
    <row r="2794" spans="1:34" x14ac:dyDescent="0.3">
      <c r="A2794" s="4">
        <v>2910</v>
      </c>
      <c r="B2794" s="5">
        <v>2787</v>
      </c>
      <c r="C2794">
        <v>11035</v>
      </c>
      <c r="D2794" t="s">
        <v>11615</v>
      </c>
      <c r="E2794" t="s">
        <v>170</v>
      </c>
      <c r="F2794" t="s">
        <v>17</v>
      </c>
      <c r="G2794" t="s">
        <v>23076</v>
      </c>
      <c r="H2794">
        <v>20.329999999999998</v>
      </c>
      <c r="I2794">
        <v>0</v>
      </c>
      <c r="J2794">
        <v>0</v>
      </c>
      <c r="K2794">
        <v>0</v>
      </c>
      <c r="O2794">
        <v>0</v>
      </c>
      <c r="P2794">
        <v>4</v>
      </c>
      <c r="Q2794">
        <v>0</v>
      </c>
      <c r="R2794">
        <v>24.33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6</v>
      </c>
      <c r="AC2794">
        <v>0</v>
      </c>
      <c r="AH2794">
        <v>30.33</v>
      </c>
    </row>
    <row r="2795" spans="1:34" x14ac:dyDescent="0.3">
      <c r="A2795" s="4">
        <v>2911</v>
      </c>
      <c r="B2795" s="5">
        <v>2788</v>
      </c>
      <c r="C2795">
        <v>12603</v>
      </c>
      <c r="D2795" t="s">
        <v>2742</v>
      </c>
      <c r="E2795" t="s">
        <v>957</v>
      </c>
      <c r="F2795" t="s">
        <v>136</v>
      </c>
      <c r="G2795" t="s">
        <v>23077</v>
      </c>
      <c r="H2795">
        <v>20.329999999999998</v>
      </c>
      <c r="I2795">
        <v>0</v>
      </c>
      <c r="J2795">
        <v>0</v>
      </c>
      <c r="K2795">
        <v>0</v>
      </c>
      <c r="O2795">
        <v>0</v>
      </c>
      <c r="P2795">
        <v>4</v>
      </c>
      <c r="Q2795">
        <v>0</v>
      </c>
      <c r="R2795">
        <v>24.33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6</v>
      </c>
      <c r="AC2795">
        <v>0</v>
      </c>
      <c r="AH2795">
        <v>30.33</v>
      </c>
    </row>
    <row r="2796" spans="1:34" x14ac:dyDescent="0.3">
      <c r="A2796" s="4">
        <v>2912</v>
      </c>
      <c r="B2796" s="5">
        <v>2789</v>
      </c>
      <c r="C2796">
        <v>11357</v>
      </c>
      <c r="D2796" t="s">
        <v>23078</v>
      </c>
      <c r="E2796" t="s">
        <v>471</v>
      </c>
      <c r="F2796" t="s">
        <v>20</v>
      </c>
      <c r="G2796" t="s">
        <v>23079</v>
      </c>
      <c r="H2796">
        <v>17.329999999999998</v>
      </c>
      <c r="I2796">
        <v>0</v>
      </c>
      <c r="J2796">
        <v>0</v>
      </c>
      <c r="K2796">
        <v>0</v>
      </c>
      <c r="N2796">
        <v>3</v>
      </c>
      <c r="O2796">
        <v>3</v>
      </c>
      <c r="P2796">
        <v>4</v>
      </c>
      <c r="Q2796">
        <v>0</v>
      </c>
      <c r="R2796">
        <v>24.33</v>
      </c>
      <c r="S2796">
        <v>6</v>
      </c>
      <c r="T2796">
        <v>6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6</v>
      </c>
      <c r="AB2796">
        <v>0</v>
      </c>
      <c r="AC2796">
        <v>0</v>
      </c>
      <c r="AH2796">
        <v>30.33</v>
      </c>
    </row>
    <row r="2797" spans="1:34" x14ac:dyDescent="0.3">
      <c r="A2797" s="4">
        <v>2913</v>
      </c>
      <c r="B2797" s="5">
        <v>2790</v>
      </c>
      <c r="C2797">
        <v>6054</v>
      </c>
      <c r="D2797" t="s">
        <v>23080</v>
      </c>
      <c r="E2797" t="s">
        <v>1694</v>
      </c>
      <c r="F2797" t="s">
        <v>230</v>
      </c>
      <c r="G2797" t="s">
        <v>23081</v>
      </c>
      <c r="H2797">
        <v>18.3</v>
      </c>
      <c r="I2797">
        <v>0</v>
      </c>
      <c r="J2797">
        <v>0</v>
      </c>
      <c r="K2797">
        <v>0</v>
      </c>
      <c r="O2797">
        <v>0</v>
      </c>
      <c r="P2797">
        <v>4</v>
      </c>
      <c r="Q2797">
        <v>2</v>
      </c>
      <c r="R2797">
        <v>24.3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6</v>
      </c>
      <c r="AC2797">
        <v>0</v>
      </c>
      <c r="AH2797">
        <v>30.3</v>
      </c>
    </row>
    <row r="2798" spans="1:34" x14ac:dyDescent="0.3">
      <c r="A2798" s="4">
        <v>2914</v>
      </c>
      <c r="B2798" s="5">
        <v>2791</v>
      </c>
      <c r="C2798">
        <v>2522</v>
      </c>
      <c r="D2798" t="s">
        <v>23082</v>
      </c>
      <c r="E2798" t="s">
        <v>54</v>
      </c>
      <c r="F2798" t="s">
        <v>38</v>
      </c>
      <c r="G2798" t="s">
        <v>23083</v>
      </c>
      <c r="H2798">
        <v>20.3</v>
      </c>
      <c r="I2798">
        <v>0</v>
      </c>
      <c r="J2798">
        <v>0</v>
      </c>
      <c r="K2798">
        <v>0</v>
      </c>
      <c r="N2798">
        <v>3</v>
      </c>
      <c r="O2798">
        <v>3</v>
      </c>
      <c r="P2798">
        <v>4</v>
      </c>
      <c r="Q2798">
        <v>0</v>
      </c>
      <c r="R2798">
        <v>27.3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3</v>
      </c>
      <c r="AC2798">
        <v>0</v>
      </c>
      <c r="AH2798">
        <v>30.3</v>
      </c>
    </row>
    <row r="2799" spans="1:34" x14ac:dyDescent="0.3">
      <c r="A2799" s="4">
        <v>2915</v>
      </c>
      <c r="B2799" s="5">
        <v>2792</v>
      </c>
      <c r="C2799">
        <v>7225</v>
      </c>
      <c r="D2799" t="s">
        <v>23084</v>
      </c>
      <c r="E2799" t="s">
        <v>258</v>
      </c>
      <c r="F2799" t="s">
        <v>171</v>
      </c>
      <c r="G2799" t="s">
        <v>23085</v>
      </c>
      <c r="H2799">
        <v>18.3</v>
      </c>
      <c r="I2799">
        <v>0</v>
      </c>
      <c r="J2799">
        <v>0</v>
      </c>
      <c r="K2799">
        <v>0</v>
      </c>
      <c r="N2799">
        <v>3</v>
      </c>
      <c r="O2799">
        <v>3</v>
      </c>
      <c r="P2799">
        <v>4</v>
      </c>
      <c r="Q2799">
        <v>2</v>
      </c>
      <c r="R2799">
        <v>27.3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3</v>
      </c>
      <c r="AC2799">
        <v>0</v>
      </c>
      <c r="AH2799">
        <v>30.3</v>
      </c>
    </row>
    <row r="2800" spans="1:34" x14ac:dyDescent="0.3">
      <c r="A2800" s="4">
        <v>2916</v>
      </c>
      <c r="B2800" s="5">
        <v>2793</v>
      </c>
      <c r="C2800">
        <v>3883</v>
      </c>
      <c r="D2800" t="s">
        <v>5234</v>
      </c>
      <c r="E2800" t="s">
        <v>29</v>
      </c>
      <c r="F2800" t="s">
        <v>243</v>
      </c>
      <c r="G2800" t="s">
        <v>23086</v>
      </c>
      <c r="H2800">
        <v>23.3</v>
      </c>
      <c r="I2800">
        <v>0</v>
      </c>
      <c r="J2800">
        <v>0</v>
      </c>
      <c r="K2800">
        <v>0</v>
      </c>
      <c r="N2800">
        <v>3</v>
      </c>
      <c r="O2800">
        <v>3</v>
      </c>
      <c r="P2800">
        <v>4</v>
      </c>
      <c r="Q2800">
        <v>0</v>
      </c>
      <c r="R2800">
        <v>30.3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H2800">
        <v>30.3</v>
      </c>
    </row>
    <row r="2801" spans="1:34" x14ac:dyDescent="0.3">
      <c r="A2801" s="4">
        <v>2917</v>
      </c>
      <c r="B2801" s="5">
        <v>2794</v>
      </c>
      <c r="C2801">
        <v>15518</v>
      </c>
      <c r="D2801" t="s">
        <v>23087</v>
      </c>
      <c r="E2801" t="s">
        <v>26</v>
      </c>
      <c r="F2801" t="s">
        <v>17</v>
      </c>
      <c r="G2801" t="s">
        <v>23088</v>
      </c>
      <c r="H2801">
        <v>19.3</v>
      </c>
      <c r="I2801">
        <v>0</v>
      </c>
      <c r="J2801">
        <v>0</v>
      </c>
      <c r="K2801">
        <v>0</v>
      </c>
      <c r="L2801">
        <v>7</v>
      </c>
      <c r="O2801">
        <v>7</v>
      </c>
      <c r="P2801">
        <v>4</v>
      </c>
      <c r="Q2801">
        <v>0</v>
      </c>
      <c r="R2801">
        <v>30.3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H2801">
        <v>30.3</v>
      </c>
    </row>
    <row r="2802" spans="1:34" x14ac:dyDescent="0.3">
      <c r="A2802" s="4">
        <v>2918</v>
      </c>
      <c r="B2802" s="5">
        <v>2795</v>
      </c>
      <c r="C2802">
        <v>9162</v>
      </c>
      <c r="D2802" t="s">
        <v>23089</v>
      </c>
      <c r="E2802" t="s">
        <v>10100</v>
      </c>
      <c r="F2802" t="s">
        <v>11282</v>
      </c>
      <c r="G2802" t="s">
        <v>23090</v>
      </c>
      <c r="H2802">
        <v>19.3</v>
      </c>
      <c r="I2802">
        <v>0</v>
      </c>
      <c r="J2802">
        <v>0</v>
      </c>
      <c r="K2802">
        <v>0</v>
      </c>
      <c r="L2802">
        <v>7</v>
      </c>
      <c r="O2802">
        <v>7</v>
      </c>
      <c r="P2802">
        <v>4</v>
      </c>
      <c r="Q2802">
        <v>0</v>
      </c>
      <c r="R2802">
        <v>30.3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H2802">
        <v>30.3</v>
      </c>
    </row>
    <row r="2803" spans="1:34" x14ac:dyDescent="0.3">
      <c r="A2803" s="4">
        <v>2919</v>
      </c>
      <c r="B2803" s="5">
        <v>2796</v>
      </c>
      <c r="C2803">
        <v>14539</v>
      </c>
      <c r="D2803" t="s">
        <v>5306</v>
      </c>
      <c r="E2803" t="s">
        <v>161</v>
      </c>
      <c r="F2803" t="s">
        <v>23</v>
      </c>
      <c r="G2803" t="s">
        <v>5929</v>
      </c>
      <c r="H2803">
        <v>21.3</v>
      </c>
      <c r="I2803">
        <v>0</v>
      </c>
      <c r="J2803">
        <v>0</v>
      </c>
      <c r="K2803">
        <v>0</v>
      </c>
      <c r="O2803">
        <v>0</v>
      </c>
      <c r="P2803">
        <v>4</v>
      </c>
      <c r="Q2803">
        <v>0</v>
      </c>
      <c r="R2803">
        <v>25.3</v>
      </c>
      <c r="S2803">
        <v>5</v>
      </c>
      <c r="T2803">
        <v>5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5</v>
      </c>
      <c r="AB2803">
        <v>0</v>
      </c>
      <c r="AC2803">
        <v>0</v>
      </c>
      <c r="AH2803">
        <v>30.3</v>
      </c>
    </row>
    <row r="2804" spans="1:34" x14ac:dyDescent="0.3">
      <c r="A2804" s="4">
        <v>2920</v>
      </c>
      <c r="B2804" s="5">
        <v>2797</v>
      </c>
      <c r="C2804">
        <v>11166</v>
      </c>
      <c r="D2804" t="s">
        <v>23091</v>
      </c>
      <c r="E2804" t="s">
        <v>54</v>
      </c>
      <c r="F2804" t="s">
        <v>1121</v>
      </c>
      <c r="G2804" t="s">
        <v>23092</v>
      </c>
      <c r="H2804">
        <v>20.28</v>
      </c>
      <c r="I2804">
        <v>0</v>
      </c>
      <c r="J2804">
        <v>0</v>
      </c>
      <c r="K2804">
        <v>0</v>
      </c>
      <c r="N2804">
        <v>3</v>
      </c>
      <c r="O2804">
        <v>3</v>
      </c>
      <c r="P2804">
        <v>4</v>
      </c>
      <c r="Q2804">
        <v>0</v>
      </c>
      <c r="R2804">
        <v>27.28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3</v>
      </c>
      <c r="AC2804">
        <v>0</v>
      </c>
      <c r="AH2804">
        <v>30.28</v>
      </c>
    </row>
    <row r="2805" spans="1:34" x14ac:dyDescent="0.3">
      <c r="A2805" s="4">
        <v>2921</v>
      </c>
      <c r="B2805" s="5">
        <v>2798</v>
      </c>
      <c r="C2805">
        <v>6154</v>
      </c>
      <c r="D2805" t="s">
        <v>23093</v>
      </c>
      <c r="E2805" t="s">
        <v>1280</v>
      </c>
      <c r="F2805" t="s">
        <v>227</v>
      </c>
      <c r="G2805" t="s">
        <v>23094</v>
      </c>
      <c r="H2805">
        <v>21.28</v>
      </c>
      <c r="I2805">
        <v>0</v>
      </c>
      <c r="J2805">
        <v>0</v>
      </c>
      <c r="K2805">
        <v>0</v>
      </c>
      <c r="N2805">
        <v>3</v>
      </c>
      <c r="O2805">
        <v>3</v>
      </c>
      <c r="P2805">
        <v>4</v>
      </c>
      <c r="Q2805">
        <v>2</v>
      </c>
      <c r="R2805">
        <v>30.28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H2805">
        <v>30.28</v>
      </c>
    </row>
    <row r="2806" spans="1:34" x14ac:dyDescent="0.3">
      <c r="A2806" s="4">
        <v>2922</v>
      </c>
      <c r="B2806" s="5">
        <v>2799</v>
      </c>
      <c r="C2806">
        <v>2617</v>
      </c>
      <c r="D2806" t="s">
        <v>10688</v>
      </c>
      <c r="E2806" t="s">
        <v>136</v>
      </c>
      <c r="F2806" t="s">
        <v>68</v>
      </c>
      <c r="G2806" t="s">
        <v>23095</v>
      </c>
      <c r="H2806">
        <v>19.28</v>
      </c>
      <c r="I2806">
        <v>0</v>
      </c>
      <c r="J2806">
        <v>0</v>
      </c>
      <c r="K2806">
        <v>0</v>
      </c>
      <c r="L2806">
        <v>7</v>
      </c>
      <c r="O2806">
        <v>7</v>
      </c>
      <c r="P2806">
        <v>4</v>
      </c>
      <c r="Q2806">
        <v>0</v>
      </c>
      <c r="R2806">
        <v>30.28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H2806">
        <v>30.28</v>
      </c>
    </row>
    <row r="2807" spans="1:34" x14ac:dyDescent="0.3">
      <c r="A2807" s="4">
        <v>2923</v>
      </c>
      <c r="B2807" s="5">
        <v>2800</v>
      </c>
      <c r="C2807">
        <v>8814</v>
      </c>
      <c r="D2807" t="s">
        <v>3662</v>
      </c>
      <c r="E2807" t="s">
        <v>4935</v>
      </c>
      <c r="F2807" t="s">
        <v>20</v>
      </c>
      <c r="G2807" t="s">
        <v>23096</v>
      </c>
      <c r="H2807">
        <v>18.25</v>
      </c>
      <c r="I2807">
        <v>0</v>
      </c>
      <c r="J2807">
        <v>0</v>
      </c>
      <c r="K2807">
        <v>0</v>
      </c>
      <c r="O2807">
        <v>0</v>
      </c>
      <c r="P2807">
        <v>4</v>
      </c>
      <c r="Q2807">
        <v>2</v>
      </c>
      <c r="R2807">
        <v>24.25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6</v>
      </c>
      <c r="AC2807">
        <v>0</v>
      </c>
      <c r="AH2807">
        <v>30.25</v>
      </c>
    </row>
    <row r="2808" spans="1:34" x14ac:dyDescent="0.3">
      <c r="A2808" s="4">
        <v>2924</v>
      </c>
      <c r="B2808" s="5">
        <v>2801</v>
      </c>
      <c r="C2808">
        <v>14474</v>
      </c>
      <c r="D2808" t="s">
        <v>10457</v>
      </c>
      <c r="E2808" t="s">
        <v>100</v>
      </c>
      <c r="F2808" t="s">
        <v>117</v>
      </c>
      <c r="G2808" t="s">
        <v>23097</v>
      </c>
      <c r="H2808">
        <v>17.25</v>
      </c>
      <c r="I2808">
        <v>0</v>
      </c>
      <c r="J2808">
        <v>0</v>
      </c>
      <c r="K2808">
        <v>0</v>
      </c>
      <c r="N2808">
        <v>3</v>
      </c>
      <c r="O2808">
        <v>3</v>
      </c>
      <c r="P2808">
        <v>4</v>
      </c>
      <c r="Q2808">
        <v>0</v>
      </c>
      <c r="R2808">
        <v>24.25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6</v>
      </c>
      <c r="AC2808">
        <v>0</v>
      </c>
      <c r="AH2808">
        <v>30.25</v>
      </c>
    </row>
    <row r="2809" spans="1:34" x14ac:dyDescent="0.3">
      <c r="A2809" s="4">
        <v>2925</v>
      </c>
      <c r="B2809" s="5">
        <v>2802</v>
      </c>
      <c r="C2809">
        <v>11464</v>
      </c>
      <c r="D2809" t="s">
        <v>23098</v>
      </c>
      <c r="E2809" t="s">
        <v>6346</v>
      </c>
      <c r="F2809" t="s">
        <v>23099</v>
      </c>
      <c r="G2809" t="s">
        <v>23100</v>
      </c>
      <c r="H2809">
        <v>20.25</v>
      </c>
      <c r="I2809">
        <v>0</v>
      </c>
      <c r="J2809">
        <v>0</v>
      </c>
      <c r="K2809">
        <v>0</v>
      </c>
      <c r="N2809">
        <v>3</v>
      </c>
      <c r="O2809">
        <v>3</v>
      </c>
      <c r="P2809">
        <v>4</v>
      </c>
      <c r="Q2809">
        <v>0</v>
      </c>
      <c r="R2809">
        <v>27.25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3</v>
      </c>
      <c r="AC2809">
        <v>0</v>
      </c>
      <c r="AH2809">
        <v>30.25</v>
      </c>
    </row>
    <row r="2810" spans="1:34" x14ac:dyDescent="0.3">
      <c r="A2810" s="4">
        <v>2926</v>
      </c>
      <c r="B2810" s="5">
        <v>2803</v>
      </c>
      <c r="C2810">
        <v>12715</v>
      </c>
      <c r="D2810" t="s">
        <v>5697</v>
      </c>
      <c r="E2810" t="s">
        <v>213</v>
      </c>
      <c r="F2810" t="s">
        <v>81</v>
      </c>
      <c r="G2810" t="s">
        <v>23101</v>
      </c>
      <c r="H2810">
        <v>19.25</v>
      </c>
      <c r="I2810">
        <v>0</v>
      </c>
      <c r="J2810">
        <v>0</v>
      </c>
      <c r="K2810">
        <v>0</v>
      </c>
      <c r="L2810">
        <v>7</v>
      </c>
      <c r="O2810">
        <v>7</v>
      </c>
      <c r="P2810">
        <v>4</v>
      </c>
      <c r="Q2810">
        <v>0</v>
      </c>
      <c r="R2810">
        <v>30.25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H2810">
        <v>30.25</v>
      </c>
    </row>
    <row r="2811" spans="1:34" x14ac:dyDescent="0.3">
      <c r="A2811" s="4">
        <v>2927</v>
      </c>
      <c r="B2811" s="5">
        <v>2804</v>
      </c>
      <c r="C2811">
        <v>4365</v>
      </c>
      <c r="D2811" t="s">
        <v>6082</v>
      </c>
      <c r="E2811" t="s">
        <v>208</v>
      </c>
      <c r="F2811" t="s">
        <v>91</v>
      </c>
      <c r="G2811" t="s">
        <v>23102</v>
      </c>
      <c r="H2811">
        <v>19.25</v>
      </c>
      <c r="I2811">
        <v>0</v>
      </c>
      <c r="J2811">
        <v>0</v>
      </c>
      <c r="K2811">
        <v>0</v>
      </c>
      <c r="L2811">
        <v>7</v>
      </c>
      <c r="O2811">
        <v>7</v>
      </c>
      <c r="P2811">
        <v>4</v>
      </c>
      <c r="Q2811">
        <v>0</v>
      </c>
      <c r="R2811">
        <v>30.25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H2811">
        <v>30.25</v>
      </c>
    </row>
    <row r="2812" spans="1:34" x14ac:dyDescent="0.3">
      <c r="A2812" s="4">
        <v>2928</v>
      </c>
      <c r="B2812" s="5">
        <v>2805</v>
      </c>
      <c r="C2812">
        <v>9148</v>
      </c>
      <c r="D2812" t="s">
        <v>23103</v>
      </c>
      <c r="E2812" t="s">
        <v>61</v>
      </c>
      <c r="F2812" t="s">
        <v>38</v>
      </c>
      <c r="G2812" t="s">
        <v>23104</v>
      </c>
      <c r="H2812">
        <v>19.25</v>
      </c>
      <c r="I2812">
        <v>0</v>
      </c>
      <c r="J2812">
        <v>0</v>
      </c>
      <c r="K2812">
        <v>0</v>
      </c>
      <c r="L2812">
        <v>7</v>
      </c>
      <c r="O2812">
        <v>7</v>
      </c>
      <c r="P2812">
        <v>4</v>
      </c>
      <c r="Q2812">
        <v>0</v>
      </c>
      <c r="R2812">
        <v>30.25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 t="s">
        <v>130</v>
      </c>
      <c r="AH2812">
        <v>30.25</v>
      </c>
    </row>
    <row r="2813" spans="1:34" x14ac:dyDescent="0.3">
      <c r="A2813" s="4">
        <v>2929</v>
      </c>
      <c r="B2813" s="5">
        <v>2806</v>
      </c>
      <c r="C2813">
        <v>6797</v>
      </c>
      <c r="D2813" t="s">
        <v>15254</v>
      </c>
      <c r="E2813" t="s">
        <v>2964</v>
      </c>
      <c r="F2813" t="s">
        <v>38</v>
      </c>
      <c r="G2813" t="s">
        <v>23105</v>
      </c>
      <c r="H2813">
        <v>17.25</v>
      </c>
      <c r="I2813">
        <v>0</v>
      </c>
      <c r="J2813">
        <v>0</v>
      </c>
      <c r="K2813">
        <v>0</v>
      </c>
      <c r="L2813">
        <v>7</v>
      </c>
      <c r="O2813">
        <v>7</v>
      </c>
      <c r="P2813">
        <v>4</v>
      </c>
      <c r="Q2813">
        <v>2</v>
      </c>
      <c r="R2813">
        <v>30.25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H2813">
        <v>30.25</v>
      </c>
    </row>
    <row r="2814" spans="1:34" x14ac:dyDescent="0.3">
      <c r="A2814" s="4">
        <v>2930</v>
      </c>
      <c r="B2814" s="5">
        <v>2807</v>
      </c>
      <c r="C2814">
        <v>3429</v>
      </c>
      <c r="D2814" t="s">
        <v>23106</v>
      </c>
      <c r="E2814" t="s">
        <v>789</v>
      </c>
      <c r="F2814" t="s">
        <v>158</v>
      </c>
      <c r="G2814" t="s">
        <v>23107</v>
      </c>
      <c r="H2814">
        <v>16.25</v>
      </c>
      <c r="I2814">
        <v>0</v>
      </c>
      <c r="J2814">
        <v>0</v>
      </c>
      <c r="K2814">
        <v>0</v>
      </c>
      <c r="L2814">
        <v>7</v>
      </c>
      <c r="N2814">
        <v>3</v>
      </c>
      <c r="O2814">
        <v>10</v>
      </c>
      <c r="P2814">
        <v>4</v>
      </c>
      <c r="Q2814">
        <v>0</v>
      </c>
      <c r="R2814">
        <v>30.25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H2814">
        <v>30.25</v>
      </c>
    </row>
    <row r="2815" spans="1:34" x14ac:dyDescent="0.3">
      <c r="A2815" s="4">
        <v>2931</v>
      </c>
      <c r="B2815" s="5">
        <v>2808</v>
      </c>
      <c r="C2815">
        <v>4426</v>
      </c>
      <c r="D2815" t="s">
        <v>23108</v>
      </c>
      <c r="E2815" t="s">
        <v>61</v>
      </c>
      <c r="F2815" t="s">
        <v>298</v>
      </c>
      <c r="G2815" t="s">
        <v>23109</v>
      </c>
      <c r="H2815">
        <v>19.2</v>
      </c>
      <c r="I2815">
        <v>0</v>
      </c>
      <c r="J2815">
        <v>0</v>
      </c>
      <c r="K2815">
        <v>0</v>
      </c>
      <c r="L2815">
        <v>7</v>
      </c>
      <c r="O2815">
        <v>7</v>
      </c>
      <c r="P2815">
        <v>4</v>
      </c>
      <c r="Q2815">
        <v>0</v>
      </c>
      <c r="R2815">
        <v>30.2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H2815">
        <v>30.2</v>
      </c>
    </row>
    <row r="2816" spans="1:34" x14ac:dyDescent="0.3">
      <c r="A2816" s="4">
        <v>2932</v>
      </c>
      <c r="B2816" s="5">
        <v>2809</v>
      </c>
      <c r="C2816">
        <v>4261</v>
      </c>
      <c r="D2816" t="s">
        <v>23110</v>
      </c>
      <c r="E2816" t="s">
        <v>54</v>
      </c>
      <c r="F2816" t="s">
        <v>117</v>
      </c>
      <c r="G2816" t="s">
        <v>23111</v>
      </c>
      <c r="H2816">
        <v>19.2</v>
      </c>
      <c r="I2816">
        <v>0</v>
      </c>
      <c r="J2816">
        <v>0</v>
      </c>
      <c r="K2816">
        <v>0</v>
      </c>
      <c r="L2816">
        <v>7</v>
      </c>
      <c r="O2816">
        <v>7</v>
      </c>
      <c r="P2816">
        <v>4</v>
      </c>
      <c r="Q2816">
        <v>0</v>
      </c>
      <c r="R2816">
        <v>30.2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H2816">
        <v>30.2</v>
      </c>
    </row>
    <row r="2817" spans="1:34" x14ac:dyDescent="0.3">
      <c r="A2817" s="4">
        <v>2933</v>
      </c>
      <c r="B2817" s="5">
        <v>2810</v>
      </c>
      <c r="C2817">
        <v>12817</v>
      </c>
      <c r="D2817" t="s">
        <v>22278</v>
      </c>
      <c r="E2817" t="s">
        <v>143</v>
      </c>
      <c r="F2817" t="s">
        <v>81</v>
      </c>
      <c r="G2817" t="s">
        <v>23112</v>
      </c>
      <c r="H2817">
        <v>19.2</v>
      </c>
      <c r="I2817">
        <v>0</v>
      </c>
      <c r="J2817">
        <v>0</v>
      </c>
      <c r="K2817">
        <v>0</v>
      </c>
      <c r="L2817">
        <v>7</v>
      </c>
      <c r="O2817">
        <v>7</v>
      </c>
      <c r="P2817">
        <v>4</v>
      </c>
      <c r="Q2817">
        <v>0</v>
      </c>
      <c r="R2817">
        <v>30.2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H2817">
        <v>30.2</v>
      </c>
    </row>
    <row r="2818" spans="1:34" x14ac:dyDescent="0.3">
      <c r="A2818" s="4">
        <v>2934</v>
      </c>
      <c r="B2818" s="5">
        <v>2811</v>
      </c>
      <c r="C2818">
        <v>838</v>
      </c>
      <c r="D2818" t="s">
        <v>23113</v>
      </c>
      <c r="E2818" t="s">
        <v>97</v>
      </c>
      <c r="F2818" t="s">
        <v>34</v>
      </c>
      <c r="G2818" t="s">
        <v>23114</v>
      </c>
      <c r="H2818">
        <v>20.18</v>
      </c>
      <c r="I2818">
        <v>0</v>
      </c>
      <c r="J2818">
        <v>0</v>
      </c>
      <c r="K2818">
        <v>0</v>
      </c>
      <c r="O2818">
        <v>0</v>
      </c>
      <c r="P2818">
        <v>4</v>
      </c>
      <c r="Q2818">
        <v>0</v>
      </c>
      <c r="R2818">
        <v>24.18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6</v>
      </c>
      <c r="AC2818">
        <v>0</v>
      </c>
      <c r="AH2818">
        <v>30.18</v>
      </c>
    </row>
    <row r="2819" spans="1:34" x14ac:dyDescent="0.3">
      <c r="A2819" s="4">
        <v>2935</v>
      </c>
      <c r="B2819" s="5">
        <v>2812</v>
      </c>
      <c r="C2819">
        <v>5556</v>
      </c>
      <c r="D2819" t="s">
        <v>1791</v>
      </c>
      <c r="E2819" t="s">
        <v>2964</v>
      </c>
      <c r="F2819" t="s">
        <v>171</v>
      </c>
      <c r="G2819" t="s">
        <v>23115</v>
      </c>
      <c r="H2819">
        <v>16.18</v>
      </c>
      <c r="I2819">
        <v>0</v>
      </c>
      <c r="J2819">
        <v>0</v>
      </c>
      <c r="K2819">
        <v>0</v>
      </c>
      <c r="M2819">
        <v>5</v>
      </c>
      <c r="N2819">
        <v>3</v>
      </c>
      <c r="O2819">
        <v>8</v>
      </c>
      <c r="P2819">
        <v>0</v>
      </c>
      <c r="Q2819">
        <v>0</v>
      </c>
      <c r="R2819">
        <v>24.18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6</v>
      </c>
      <c r="AC2819">
        <v>0</v>
      </c>
      <c r="AH2819">
        <v>30.18</v>
      </c>
    </row>
    <row r="2820" spans="1:34" x14ac:dyDescent="0.3">
      <c r="A2820" s="4">
        <v>2936</v>
      </c>
      <c r="B2820" s="5">
        <v>2813</v>
      </c>
      <c r="C2820">
        <v>7550</v>
      </c>
      <c r="D2820" t="s">
        <v>6275</v>
      </c>
      <c r="E2820" t="s">
        <v>100</v>
      </c>
      <c r="F2820" t="s">
        <v>17</v>
      </c>
      <c r="G2820" t="s">
        <v>23116</v>
      </c>
      <c r="H2820">
        <v>20.18</v>
      </c>
      <c r="I2820">
        <v>0</v>
      </c>
      <c r="J2820">
        <v>0</v>
      </c>
      <c r="K2820">
        <v>0</v>
      </c>
      <c r="N2820">
        <v>3</v>
      </c>
      <c r="O2820">
        <v>3</v>
      </c>
      <c r="P2820">
        <v>4</v>
      </c>
      <c r="Q2820">
        <v>0</v>
      </c>
      <c r="R2820">
        <v>27.18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3</v>
      </c>
      <c r="AC2820">
        <v>0</v>
      </c>
      <c r="AH2820">
        <v>30.18</v>
      </c>
    </row>
    <row r="2821" spans="1:34" x14ac:dyDescent="0.3">
      <c r="A2821" s="4">
        <v>2937</v>
      </c>
      <c r="B2821" s="5">
        <v>2814</v>
      </c>
      <c r="C2821">
        <v>10748</v>
      </c>
      <c r="D2821" t="s">
        <v>4265</v>
      </c>
      <c r="E2821" t="s">
        <v>406</v>
      </c>
      <c r="F2821" t="s">
        <v>310</v>
      </c>
      <c r="G2821" t="s">
        <v>23117</v>
      </c>
      <c r="H2821">
        <v>23.18</v>
      </c>
      <c r="I2821">
        <v>0</v>
      </c>
      <c r="J2821">
        <v>0</v>
      </c>
      <c r="K2821">
        <v>0</v>
      </c>
      <c r="N2821">
        <v>3</v>
      </c>
      <c r="O2821">
        <v>3</v>
      </c>
      <c r="P2821">
        <v>4</v>
      </c>
      <c r="Q2821">
        <v>0</v>
      </c>
      <c r="R2821">
        <v>30.18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H2821">
        <v>30.18</v>
      </c>
    </row>
    <row r="2822" spans="1:34" x14ac:dyDescent="0.3">
      <c r="A2822" s="4">
        <v>2938</v>
      </c>
      <c r="B2822" s="5">
        <v>2815</v>
      </c>
      <c r="C2822">
        <v>1166</v>
      </c>
      <c r="D2822" t="s">
        <v>23118</v>
      </c>
      <c r="E2822" t="s">
        <v>29</v>
      </c>
      <c r="F2822" t="s">
        <v>3642</v>
      </c>
      <c r="G2822" t="s">
        <v>23119</v>
      </c>
      <c r="H2822">
        <v>20.18</v>
      </c>
      <c r="I2822">
        <v>0</v>
      </c>
      <c r="J2822">
        <v>0</v>
      </c>
      <c r="K2822">
        <v>0</v>
      </c>
      <c r="N2822">
        <v>6</v>
      </c>
      <c r="O2822">
        <v>6</v>
      </c>
      <c r="P2822">
        <v>4</v>
      </c>
      <c r="Q2822">
        <v>0</v>
      </c>
      <c r="R2822">
        <v>30.18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H2822">
        <v>30.18</v>
      </c>
    </row>
    <row r="2823" spans="1:34" x14ac:dyDescent="0.3">
      <c r="A2823" s="4">
        <v>2939</v>
      </c>
      <c r="B2823" s="5">
        <v>2816</v>
      </c>
      <c r="C2823">
        <v>10184</v>
      </c>
      <c r="D2823" t="s">
        <v>23120</v>
      </c>
      <c r="E2823" t="s">
        <v>54</v>
      </c>
      <c r="F2823" t="s">
        <v>30</v>
      </c>
      <c r="G2823" t="s">
        <v>23121</v>
      </c>
      <c r="H2823">
        <v>19.18</v>
      </c>
      <c r="I2823">
        <v>0</v>
      </c>
      <c r="J2823">
        <v>0</v>
      </c>
      <c r="K2823">
        <v>0</v>
      </c>
      <c r="L2823">
        <v>7</v>
      </c>
      <c r="O2823">
        <v>7</v>
      </c>
      <c r="P2823">
        <v>4</v>
      </c>
      <c r="Q2823">
        <v>0</v>
      </c>
      <c r="R2823">
        <v>30.18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H2823">
        <v>30.18</v>
      </c>
    </row>
    <row r="2824" spans="1:34" x14ac:dyDescent="0.3">
      <c r="A2824" s="4">
        <v>2940</v>
      </c>
      <c r="B2824" s="5">
        <v>2817</v>
      </c>
      <c r="C2824">
        <v>11169</v>
      </c>
      <c r="D2824" t="s">
        <v>14299</v>
      </c>
      <c r="E2824" t="s">
        <v>79</v>
      </c>
      <c r="F2824" t="s">
        <v>81</v>
      </c>
      <c r="G2824" t="s">
        <v>23122</v>
      </c>
      <c r="H2824">
        <v>19.18</v>
      </c>
      <c r="I2824">
        <v>0</v>
      </c>
      <c r="J2824">
        <v>0</v>
      </c>
      <c r="K2824">
        <v>0</v>
      </c>
      <c r="L2824">
        <v>7</v>
      </c>
      <c r="O2824">
        <v>7</v>
      </c>
      <c r="P2824">
        <v>4</v>
      </c>
      <c r="Q2824">
        <v>0</v>
      </c>
      <c r="R2824">
        <v>30.18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H2824">
        <v>30.18</v>
      </c>
    </row>
    <row r="2825" spans="1:34" x14ac:dyDescent="0.3">
      <c r="A2825" s="4">
        <v>2941</v>
      </c>
      <c r="B2825" s="5">
        <v>2818</v>
      </c>
      <c r="C2825">
        <v>7116</v>
      </c>
      <c r="D2825" t="s">
        <v>23123</v>
      </c>
      <c r="E2825" t="s">
        <v>54</v>
      </c>
      <c r="F2825" t="s">
        <v>2582</v>
      </c>
      <c r="G2825" t="s">
        <v>23124</v>
      </c>
      <c r="H2825">
        <v>19.18</v>
      </c>
      <c r="I2825">
        <v>0</v>
      </c>
      <c r="J2825">
        <v>0</v>
      </c>
      <c r="K2825">
        <v>0</v>
      </c>
      <c r="L2825">
        <v>7</v>
      </c>
      <c r="O2825">
        <v>7</v>
      </c>
      <c r="P2825">
        <v>4</v>
      </c>
      <c r="Q2825">
        <v>0</v>
      </c>
      <c r="R2825">
        <v>30.18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H2825">
        <v>30.18</v>
      </c>
    </row>
    <row r="2826" spans="1:34" x14ac:dyDescent="0.3">
      <c r="A2826" s="4">
        <v>2942</v>
      </c>
      <c r="B2826" s="5">
        <v>2819</v>
      </c>
      <c r="C2826">
        <v>5892</v>
      </c>
      <c r="D2826" t="s">
        <v>10649</v>
      </c>
      <c r="E2826" t="s">
        <v>9010</v>
      </c>
      <c r="F2826" t="s">
        <v>158</v>
      </c>
      <c r="G2826" t="s">
        <v>23125</v>
      </c>
      <c r="H2826">
        <v>19.18</v>
      </c>
      <c r="I2826">
        <v>0</v>
      </c>
      <c r="J2826">
        <v>0</v>
      </c>
      <c r="K2826">
        <v>0</v>
      </c>
      <c r="L2826">
        <v>7</v>
      </c>
      <c r="O2826">
        <v>7</v>
      </c>
      <c r="P2826">
        <v>4</v>
      </c>
      <c r="Q2826">
        <v>0</v>
      </c>
      <c r="R2826">
        <v>30.18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H2826">
        <v>30.18</v>
      </c>
    </row>
    <row r="2827" spans="1:34" x14ac:dyDescent="0.3">
      <c r="A2827" s="4">
        <v>2943</v>
      </c>
      <c r="B2827" s="5">
        <v>2820</v>
      </c>
      <c r="C2827">
        <v>12002</v>
      </c>
      <c r="D2827" t="s">
        <v>14266</v>
      </c>
      <c r="E2827" t="s">
        <v>789</v>
      </c>
      <c r="F2827" t="s">
        <v>5807</v>
      </c>
      <c r="G2827" t="s">
        <v>23126</v>
      </c>
      <c r="H2827">
        <v>20.149999999999999</v>
      </c>
      <c r="I2827">
        <v>0</v>
      </c>
      <c r="J2827">
        <v>0</v>
      </c>
      <c r="K2827">
        <v>0</v>
      </c>
      <c r="O2827">
        <v>0</v>
      </c>
      <c r="P2827">
        <v>4</v>
      </c>
      <c r="Q2827">
        <v>0</v>
      </c>
      <c r="R2827">
        <v>24.15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6</v>
      </c>
      <c r="AC2827">
        <v>0</v>
      </c>
      <c r="AH2827">
        <v>30.15</v>
      </c>
    </row>
    <row r="2828" spans="1:34" x14ac:dyDescent="0.3">
      <c r="A2828" s="4">
        <v>2944</v>
      </c>
      <c r="B2828" s="5">
        <v>2821</v>
      </c>
      <c r="C2828">
        <v>9995</v>
      </c>
      <c r="D2828" t="s">
        <v>23127</v>
      </c>
      <c r="E2828" t="s">
        <v>117</v>
      </c>
      <c r="F2828" t="s">
        <v>17</v>
      </c>
      <c r="G2828" t="s">
        <v>23128</v>
      </c>
      <c r="H2828">
        <v>18.149999999999999</v>
      </c>
      <c r="I2828">
        <v>0</v>
      </c>
      <c r="J2828">
        <v>0</v>
      </c>
      <c r="K2828">
        <v>0</v>
      </c>
      <c r="O2828">
        <v>0</v>
      </c>
      <c r="P2828">
        <v>4</v>
      </c>
      <c r="Q2828">
        <v>2</v>
      </c>
      <c r="R2828">
        <v>24.15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6</v>
      </c>
      <c r="AC2828">
        <v>0</v>
      </c>
      <c r="AH2828">
        <v>30.15</v>
      </c>
    </row>
    <row r="2829" spans="1:34" x14ac:dyDescent="0.3">
      <c r="A2829" s="4">
        <v>2945</v>
      </c>
      <c r="B2829" s="5">
        <v>2822</v>
      </c>
      <c r="C2829">
        <v>8680</v>
      </c>
      <c r="D2829" t="s">
        <v>23129</v>
      </c>
      <c r="E2829" t="s">
        <v>110</v>
      </c>
      <c r="F2829" t="s">
        <v>652</v>
      </c>
      <c r="G2829" t="s">
        <v>23130</v>
      </c>
      <c r="H2829">
        <v>17.149999999999999</v>
      </c>
      <c r="I2829">
        <v>0</v>
      </c>
      <c r="J2829">
        <v>0</v>
      </c>
      <c r="K2829">
        <v>0</v>
      </c>
      <c r="N2829">
        <v>3</v>
      </c>
      <c r="O2829">
        <v>3</v>
      </c>
      <c r="P2829">
        <v>4</v>
      </c>
      <c r="Q2829">
        <v>0</v>
      </c>
      <c r="R2829">
        <v>24.15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6</v>
      </c>
      <c r="AC2829">
        <v>0</v>
      </c>
      <c r="AH2829">
        <v>30.15</v>
      </c>
    </row>
    <row r="2830" spans="1:34" x14ac:dyDescent="0.3">
      <c r="A2830" s="4">
        <v>2946</v>
      </c>
      <c r="B2830" s="5">
        <v>2823</v>
      </c>
      <c r="C2830">
        <v>4924</v>
      </c>
      <c r="D2830" t="s">
        <v>11912</v>
      </c>
      <c r="E2830" t="s">
        <v>23131</v>
      </c>
      <c r="F2830" t="s">
        <v>343</v>
      </c>
      <c r="G2830" t="s">
        <v>23132</v>
      </c>
      <c r="H2830">
        <v>23.15</v>
      </c>
      <c r="I2830">
        <v>0</v>
      </c>
      <c r="J2830">
        <v>0</v>
      </c>
      <c r="K2830">
        <v>0</v>
      </c>
      <c r="N2830">
        <v>3</v>
      </c>
      <c r="O2830">
        <v>3</v>
      </c>
      <c r="P2830">
        <v>4</v>
      </c>
      <c r="Q2830">
        <v>0</v>
      </c>
      <c r="R2830">
        <v>30.15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H2830">
        <v>30.15</v>
      </c>
    </row>
    <row r="2831" spans="1:34" x14ac:dyDescent="0.3">
      <c r="A2831" s="4">
        <v>2947</v>
      </c>
      <c r="B2831" s="5">
        <v>2824</v>
      </c>
      <c r="C2831">
        <v>7833</v>
      </c>
      <c r="D2831" t="s">
        <v>23133</v>
      </c>
      <c r="E2831" t="s">
        <v>789</v>
      </c>
      <c r="F2831" t="s">
        <v>136</v>
      </c>
      <c r="G2831" t="s">
        <v>23134</v>
      </c>
      <c r="H2831">
        <v>21.15</v>
      </c>
      <c r="I2831">
        <v>0</v>
      </c>
      <c r="J2831">
        <v>0</v>
      </c>
      <c r="K2831">
        <v>0</v>
      </c>
      <c r="M2831">
        <v>5</v>
      </c>
      <c r="O2831">
        <v>5</v>
      </c>
      <c r="P2831">
        <v>4</v>
      </c>
      <c r="Q2831">
        <v>0</v>
      </c>
      <c r="R2831">
        <v>30.15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H2831">
        <v>30.15</v>
      </c>
    </row>
    <row r="2832" spans="1:34" x14ac:dyDescent="0.3">
      <c r="A2832" s="4">
        <v>2948</v>
      </c>
      <c r="B2832" s="5">
        <v>2825</v>
      </c>
      <c r="C2832">
        <v>4231</v>
      </c>
      <c r="D2832" t="s">
        <v>23135</v>
      </c>
      <c r="E2832" t="s">
        <v>23136</v>
      </c>
      <c r="F2832" t="s">
        <v>230</v>
      </c>
      <c r="G2832" t="s">
        <v>23137</v>
      </c>
      <c r="H2832">
        <v>19.149999999999999</v>
      </c>
      <c r="I2832">
        <v>0</v>
      </c>
      <c r="J2832">
        <v>0</v>
      </c>
      <c r="K2832">
        <v>0</v>
      </c>
      <c r="L2832">
        <v>7</v>
      </c>
      <c r="O2832">
        <v>7</v>
      </c>
      <c r="P2832">
        <v>4</v>
      </c>
      <c r="Q2832">
        <v>0</v>
      </c>
      <c r="R2832">
        <v>30.15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H2832">
        <v>30.15</v>
      </c>
    </row>
    <row r="2833" spans="1:34" x14ac:dyDescent="0.3">
      <c r="A2833" s="4">
        <v>2949</v>
      </c>
      <c r="B2833" s="5">
        <v>2826</v>
      </c>
      <c r="C2833">
        <v>6070</v>
      </c>
      <c r="D2833" t="s">
        <v>23138</v>
      </c>
      <c r="E2833" t="s">
        <v>1998</v>
      </c>
      <c r="F2833" t="s">
        <v>1450</v>
      </c>
      <c r="G2833" t="s">
        <v>23139</v>
      </c>
      <c r="H2833">
        <v>17.149999999999999</v>
      </c>
      <c r="I2833">
        <v>0</v>
      </c>
      <c r="J2833">
        <v>0</v>
      </c>
      <c r="K2833">
        <v>0</v>
      </c>
      <c r="L2833">
        <v>7</v>
      </c>
      <c r="O2833">
        <v>7</v>
      </c>
      <c r="P2833">
        <v>4</v>
      </c>
      <c r="Q2833">
        <v>2</v>
      </c>
      <c r="R2833">
        <v>30.15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H2833">
        <v>30.15</v>
      </c>
    </row>
    <row r="2834" spans="1:34" x14ac:dyDescent="0.3">
      <c r="A2834" s="4">
        <v>2950</v>
      </c>
      <c r="B2834" s="5">
        <v>2827</v>
      </c>
      <c r="C2834">
        <v>10311</v>
      </c>
      <c r="D2834" t="s">
        <v>23140</v>
      </c>
      <c r="E2834" t="s">
        <v>471</v>
      </c>
      <c r="F2834" t="s">
        <v>136</v>
      </c>
      <c r="G2834" t="s">
        <v>23141</v>
      </c>
      <c r="H2834">
        <v>20.13</v>
      </c>
      <c r="I2834">
        <v>0</v>
      </c>
      <c r="J2834">
        <v>0</v>
      </c>
      <c r="K2834">
        <v>0</v>
      </c>
      <c r="N2834">
        <v>3</v>
      </c>
      <c r="O2834">
        <v>3</v>
      </c>
      <c r="P2834">
        <v>4</v>
      </c>
      <c r="Q2834">
        <v>0</v>
      </c>
      <c r="R2834">
        <v>27.13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3</v>
      </c>
      <c r="AC2834">
        <v>0</v>
      </c>
      <c r="AH2834">
        <v>30.13</v>
      </c>
    </row>
    <row r="2835" spans="1:34" x14ac:dyDescent="0.3">
      <c r="A2835" s="4">
        <v>2951</v>
      </c>
      <c r="B2835" s="5">
        <v>2828</v>
      </c>
      <c r="C2835">
        <v>125</v>
      </c>
      <c r="D2835" t="s">
        <v>23142</v>
      </c>
      <c r="E2835" t="s">
        <v>161</v>
      </c>
      <c r="F2835" t="s">
        <v>136</v>
      </c>
      <c r="G2835" t="s">
        <v>23143</v>
      </c>
      <c r="H2835">
        <v>20.100000000000001</v>
      </c>
      <c r="I2835">
        <v>0</v>
      </c>
      <c r="J2835">
        <v>0</v>
      </c>
      <c r="K2835">
        <v>0</v>
      </c>
      <c r="N2835">
        <v>3</v>
      </c>
      <c r="O2835">
        <v>3</v>
      </c>
      <c r="P2835">
        <v>4</v>
      </c>
      <c r="Q2835">
        <v>0</v>
      </c>
      <c r="R2835">
        <v>27.1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3</v>
      </c>
      <c r="AC2835">
        <v>0</v>
      </c>
      <c r="AH2835">
        <v>30.1</v>
      </c>
    </row>
    <row r="2836" spans="1:34" x14ac:dyDescent="0.3">
      <c r="A2836" s="4">
        <v>2952</v>
      </c>
      <c r="B2836" s="5">
        <v>2829</v>
      </c>
      <c r="C2836">
        <v>11279</v>
      </c>
      <c r="D2836" t="s">
        <v>93</v>
      </c>
      <c r="E2836" t="s">
        <v>97</v>
      </c>
      <c r="F2836" t="s">
        <v>649</v>
      </c>
      <c r="G2836" t="s">
        <v>23144</v>
      </c>
      <c r="H2836">
        <v>20.100000000000001</v>
      </c>
      <c r="I2836">
        <v>0</v>
      </c>
      <c r="J2836">
        <v>0</v>
      </c>
      <c r="K2836">
        <v>0</v>
      </c>
      <c r="N2836">
        <v>3</v>
      </c>
      <c r="O2836">
        <v>3</v>
      </c>
      <c r="P2836">
        <v>4</v>
      </c>
      <c r="Q2836">
        <v>0</v>
      </c>
      <c r="R2836">
        <v>27.1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3</v>
      </c>
      <c r="AC2836">
        <v>0</v>
      </c>
      <c r="AH2836">
        <v>30.1</v>
      </c>
    </row>
    <row r="2837" spans="1:34" x14ac:dyDescent="0.3">
      <c r="A2837" s="4">
        <v>2953</v>
      </c>
      <c r="B2837" s="5">
        <v>2830</v>
      </c>
      <c r="C2837">
        <v>12193</v>
      </c>
      <c r="D2837" t="s">
        <v>23145</v>
      </c>
      <c r="E2837" t="s">
        <v>575</v>
      </c>
      <c r="F2837" t="s">
        <v>38</v>
      </c>
      <c r="G2837" t="s">
        <v>23146</v>
      </c>
      <c r="H2837">
        <v>20.100000000000001</v>
      </c>
      <c r="I2837">
        <v>0</v>
      </c>
      <c r="J2837">
        <v>0</v>
      </c>
      <c r="K2837">
        <v>0</v>
      </c>
      <c r="N2837">
        <v>3</v>
      </c>
      <c r="O2837">
        <v>3</v>
      </c>
      <c r="P2837">
        <v>4</v>
      </c>
      <c r="Q2837">
        <v>0</v>
      </c>
      <c r="R2837">
        <v>27.1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3</v>
      </c>
      <c r="AC2837">
        <v>0</v>
      </c>
      <c r="AH2837">
        <v>30.1</v>
      </c>
    </row>
    <row r="2838" spans="1:34" x14ac:dyDescent="0.3">
      <c r="A2838" s="4">
        <v>2954</v>
      </c>
      <c r="B2838" s="5">
        <v>2831</v>
      </c>
      <c r="C2838">
        <v>14446</v>
      </c>
      <c r="D2838" t="s">
        <v>23147</v>
      </c>
      <c r="E2838" t="s">
        <v>1659</v>
      </c>
      <c r="F2838" t="s">
        <v>136</v>
      </c>
      <c r="G2838" t="s">
        <v>23148</v>
      </c>
      <c r="H2838">
        <v>17.100000000000001</v>
      </c>
      <c r="I2838">
        <v>0</v>
      </c>
      <c r="J2838">
        <v>0</v>
      </c>
      <c r="K2838">
        <v>0</v>
      </c>
      <c r="L2838">
        <v>7</v>
      </c>
      <c r="O2838">
        <v>7</v>
      </c>
      <c r="P2838">
        <v>4</v>
      </c>
      <c r="Q2838">
        <v>2</v>
      </c>
      <c r="R2838">
        <v>30.1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H2838">
        <v>30.1</v>
      </c>
    </row>
    <row r="2839" spans="1:34" x14ac:dyDescent="0.3">
      <c r="A2839" s="4">
        <v>2955</v>
      </c>
      <c r="B2839" s="5">
        <v>2832</v>
      </c>
      <c r="C2839">
        <v>15257</v>
      </c>
      <c r="D2839" t="s">
        <v>23149</v>
      </c>
      <c r="E2839" t="s">
        <v>23150</v>
      </c>
      <c r="F2839" t="s">
        <v>243</v>
      </c>
      <c r="G2839" t="s">
        <v>23151</v>
      </c>
      <c r="H2839">
        <v>20.079999999999998</v>
      </c>
      <c r="I2839">
        <v>0</v>
      </c>
      <c r="J2839">
        <v>0</v>
      </c>
      <c r="K2839">
        <v>0</v>
      </c>
      <c r="O2839">
        <v>0</v>
      </c>
      <c r="P2839">
        <v>4</v>
      </c>
      <c r="Q2839">
        <v>0</v>
      </c>
      <c r="R2839">
        <v>24.08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6</v>
      </c>
      <c r="AC2839">
        <v>0</v>
      </c>
      <c r="AH2839">
        <v>30.08</v>
      </c>
    </row>
    <row r="2840" spans="1:34" x14ac:dyDescent="0.3">
      <c r="A2840" s="4">
        <v>2956</v>
      </c>
      <c r="B2840" s="5">
        <v>2833</v>
      </c>
      <c r="C2840">
        <v>4636</v>
      </c>
      <c r="D2840" t="s">
        <v>23152</v>
      </c>
      <c r="E2840" t="s">
        <v>692</v>
      </c>
      <c r="F2840" t="s">
        <v>117</v>
      </c>
      <c r="G2840" t="s">
        <v>23153</v>
      </c>
      <c r="H2840">
        <v>17.079999999999998</v>
      </c>
      <c r="I2840">
        <v>0</v>
      </c>
      <c r="J2840">
        <v>0</v>
      </c>
      <c r="K2840">
        <v>0</v>
      </c>
      <c r="N2840">
        <v>3</v>
      </c>
      <c r="O2840">
        <v>3</v>
      </c>
      <c r="P2840">
        <v>4</v>
      </c>
      <c r="Q2840">
        <v>0</v>
      </c>
      <c r="R2840">
        <v>24.08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6</v>
      </c>
      <c r="AC2840">
        <v>0</v>
      </c>
      <c r="AH2840">
        <v>30.08</v>
      </c>
    </row>
    <row r="2841" spans="1:34" x14ac:dyDescent="0.3">
      <c r="A2841" s="4">
        <v>2957</v>
      </c>
      <c r="B2841" s="5">
        <v>2834</v>
      </c>
      <c r="C2841">
        <v>193</v>
      </c>
      <c r="D2841" t="s">
        <v>23154</v>
      </c>
      <c r="E2841" t="s">
        <v>283</v>
      </c>
      <c r="F2841" t="s">
        <v>30</v>
      </c>
      <c r="G2841" t="s">
        <v>23155</v>
      </c>
      <c r="H2841">
        <v>17.079999999999998</v>
      </c>
      <c r="I2841">
        <v>0</v>
      </c>
      <c r="J2841">
        <v>0</v>
      </c>
      <c r="K2841">
        <v>0</v>
      </c>
      <c r="N2841">
        <v>3</v>
      </c>
      <c r="O2841">
        <v>3</v>
      </c>
      <c r="P2841">
        <v>4</v>
      </c>
      <c r="Q2841">
        <v>0</v>
      </c>
      <c r="R2841">
        <v>24.08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6</v>
      </c>
      <c r="AC2841">
        <v>0</v>
      </c>
      <c r="AH2841">
        <v>30.08</v>
      </c>
    </row>
    <row r="2842" spans="1:34" x14ac:dyDescent="0.3">
      <c r="A2842" s="4">
        <v>2958</v>
      </c>
      <c r="B2842" s="5">
        <v>2835</v>
      </c>
      <c r="C2842">
        <v>8019</v>
      </c>
      <c r="D2842" t="s">
        <v>6428</v>
      </c>
      <c r="E2842" t="s">
        <v>132</v>
      </c>
      <c r="F2842" t="s">
        <v>81</v>
      </c>
      <c r="G2842" t="s">
        <v>23156</v>
      </c>
      <c r="H2842">
        <v>20.079999999999998</v>
      </c>
      <c r="I2842">
        <v>0</v>
      </c>
      <c r="J2842">
        <v>0</v>
      </c>
      <c r="K2842">
        <v>0</v>
      </c>
      <c r="N2842">
        <v>3</v>
      </c>
      <c r="O2842">
        <v>3</v>
      </c>
      <c r="P2842">
        <v>4</v>
      </c>
      <c r="Q2842">
        <v>0</v>
      </c>
      <c r="R2842">
        <v>27.08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3</v>
      </c>
      <c r="AC2842">
        <v>0</v>
      </c>
      <c r="AH2842">
        <v>30.08</v>
      </c>
    </row>
    <row r="2843" spans="1:34" x14ac:dyDescent="0.3">
      <c r="A2843" s="4">
        <v>2959</v>
      </c>
      <c r="B2843" s="5">
        <v>2836</v>
      </c>
      <c r="C2843">
        <v>3322</v>
      </c>
      <c r="D2843" t="s">
        <v>23157</v>
      </c>
      <c r="E2843" t="s">
        <v>23158</v>
      </c>
      <c r="F2843" t="s">
        <v>23159</v>
      </c>
      <c r="G2843" t="s">
        <v>32016</v>
      </c>
      <c r="H2843">
        <v>23.08</v>
      </c>
      <c r="I2843">
        <v>0</v>
      </c>
      <c r="J2843">
        <v>0</v>
      </c>
      <c r="K2843">
        <v>0</v>
      </c>
      <c r="L2843">
        <v>7</v>
      </c>
      <c r="O2843">
        <v>7</v>
      </c>
      <c r="P2843">
        <v>0</v>
      </c>
      <c r="Q2843">
        <v>0</v>
      </c>
      <c r="R2843">
        <v>30.08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H2843">
        <v>30.08</v>
      </c>
    </row>
    <row r="2844" spans="1:34" x14ac:dyDescent="0.3">
      <c r="A2844" s="4">
        <v>2960</v>
      </c>
      <c r="B2844" s="5">
        <v>2837</v>
      </c>
      <c r="C2844">
        <v>13253</v>
      </c>
      <c r="D2844" t="s">
        <v>8456</v>
      </c>
      <c r="E2844" t="s">
        <v>54</v>
      </c>
      <c r="F2844" t="s">
        <v>136</v>
      </c>
      <c r="G2844" t="s">
        <v>23160</v>
      </c>
      <c r="H2844">
        <v>21.08</v>
      </c>
      <c r="I2844">
        <v>0</v>
      </c>
      <c r="J2844">
        <v>0</v>
      </c>
      <c r="K2844">
        <v>0</v>
      </c>
      <c r="N2844">
        <v>3</v>
      </c>
      <c r="O2844">
        <v>3</v>
      </c>
      <c r="P2844">
        <v>4</v>
      </c>
      <c r="Q2844">
        <v>2</v>
      </c>
      <c r="R2844">
        <v>30.08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H2844">
        <v>30.08</v>
      </c>
    </row>
    <row r="2845" spans="1:34" x14ac:dyDescent="0.3">
      <c r="A2845" s="4">
        <v>2961</v>
      </c>
      <c r="B2845" s="5">
        <v>2838</v>
      </c>
      <c r="C2845">
        <v>667</v>
      </c>
      <c r="D2845" t="s">
        <v>737</v>
      </c>
      <c r="E2845" t="s">
        <v>161</v>
      </c>
      <c r="F2845" t="s">
        <v>17</v>
      </c>
      <c r="G2845" t="s">
        <v>23161</v>
      </c>
      <c r="H2845">
        <v>19.079999999999998</v>
      </c>
      <c r="I2845">
        <v>0</v>
      </c>
      <c r="J2845">
        <v>0</v>
      </c>
      <c r="K2845">
        <v>0</v>
      </c>
      <c r="L2845">
        <v>7</v>
      </c>
      <c r="O2845">
        <v>7</v>
      </c>
      <c r="P2845">
        <v>4</v>
      </c>
      <c r="Q2845">
        <v>0</v>
      </c>
      <c r="R2845">
        <v>30.08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H2845">
        <v>30.08</v>
      </c>
    </row>
    <row r="2846" spans="1:34" x14ac:dyDescent="0.3">
      <c r="A2846" s="4">
        <v>2962</v>
      </c>
      <c r="B2846" s="5">
        <v>2839</v>
      </c>
      <c r="C2846">
        <v>46</v>
      </c>
      <c r="D2846" t="s">
        <v>19861</v>
      </c>
      <c r="E2846" t="s">
        <v>23162</v>
      </c>
      <c r="F2846" t="s">
        <v>117</v>
      </c>
      <c r="G2846" t="s">
        <v>23163</v>
      </c>
      <c r="H2846">
        <v>17.05</v>
      </c>
      <c r="I2846">
        <v>0</v>
      </c>
      <c r="J2846">
        <v>0</v>
      </c>
      <c r="K2846">
        <v>0</v>
      </c>
      <c r="N2846">
        <v>3</v>
      </c>
      <c r="O2846">
        <v>3</v>
      </c>
      <c r="P2846">
        <v>4</v>
      </c>
      <c r="Q2846">
        <v>0</v>
      </c>
      <c r="R2846">
        <v>24.05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6</v>
      </c>
      <c r="AC2846">
        <v>0</v>
      </c>
      <c r="AH2846">
        <v>30.05</v>
      </c>
    </row>
    <row r="2847" spans="1:34" x14ac:dyDescent="0.3">
      <c r="A2847" s="4">
        <v>2963</v>
      </c>
      <c r="B2847" s="5">
        <v>2840</v>
      </c>
      <c r="C2847">
        <v>7058</v>
      </c>
      <c r="D2847" t="s">
        <v>5036</v>
      </c>
      <c r="E2847" t="s">
        <v>1997</v>
      </c>
      <c r="F2847" t="s">
        <v>117</v>
      </c>
      <c r="G2847" t="s">
        <v>23164</v>
      </c>
      <c r="H2847">
        <v>17.05</v>
      </c>
      <c r="I2847">
        <v>0</v>
      </c>
      <c r="J2847">
        <v>0</v>
      </c>
      <c r="K2847">
        <v>0</v>
      </c>
      <c r="N2847">
        <v>3</v>
      </c>
      <c r="O2847">
        <v>3</v>
      </c>
      <c r="P2847">
        <v>4</v>
      </c>
      <c r="Q2847">
        <v>0</v>
      </c>
      <c r="R2847">
        <v>24.05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6</v>
      </c>
      <c r="AC2847">
        <v>0</v>
      </c>
      <c r="AH2847">
        <v>30.05</v>
      </c>
    </row>
    <row r="2848" spans="1:34" x14ac:dyDescent="0.3">
      <c r="A2848" s="4">
        <v>2964</v>
      </c>
      <c r="B2848" s="5">
        <v>2841</v>
      </c>
      <c r="C2848">
        <v>12654</v>
      </c>
      <c r="D2848" t="s">
        <v>23165</v>
      </c>
      <c r="E2848" t="s">
        <v>26</v>
      </c>
      <c r="F2848" t="s">
        <v>34</v>
      </c>
      <c r="G2848" t="s">
        <v>23166</v>
      </c>
      <c r="H2848">
        <v>19.05</v>
      </c>
      <c r="I2848">
        <v>0</v>
      </c>
      <c r="J2848">
        <v>0</v>
      </c>
      <c r="K2848">
        <v>0</v>
      </c>
      <c r="L2848">
        <v>7</v>
      </c>
      <c r="O2848">
        <v>7</v>
      </c>
      <c r="P2848">
        <v>4</v>
      </c>
      <c r="Q2848">
        <v>0</v>
      </c>
      <c r="R2848">
        <v>30.05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H2848">
        <v>30.05</v>
      </c>
    </row>
    <row r="2849" spans="1:34" x14ac:dyDescent="0.3">
      <c r="A2849" s="4">
        <v>2965</v>
      </c>
      <c r="B2849" s="5">
        <v>2842</v>
      </c>
      <c r="C2849">
        <v>6703</v>
      </c>
      <c r="D2849" t="s">
        <v>17681</v>
      </c>
      <c r="E2849" t="s">
        <v>26</v>
      </c>
      <c r="F2849" t="s">
        <v>20</v>
      </c>
      <c r="G2849" t="s">
        <v>23167</v>
      </c>
      <c r="H2849">
        <v>20.03</v>
      </c>
      <c r="I2849">
        <v>0</v>
      </c>
      <c r="J2849">
        <v>0</v>
      </c>
      <c r="K2849">
        <v>0</v>
      </c>
      <c r="O2849">
        <v>0</v>
      </c>
      <c r="P2849">
        <v>4</v>
      </c>
      <c r="Q2849">
        <v>0</v>
      </c>
      <c r="R2849">
        <v>24.03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6</v>
      </c>
      <c r="AC2849">
        <v>0</v>
      </c>
      <c r="AH2849">
        <v>30.03</v>
      </c>
    </row>
    <row r="2850" spans="1:34" x14ac:dyDescent="0.3">
      <c r="A2850" s="4">
        <v>2966</v>
      </c>
      <c r="B2850" s="5">
        <v>2843</v>
      </c>
      <c r="C2850">
        <v>13135</v>
      </c>
      <c r="D2850" t="s">
        <v>23168</v>
      </c>
      <c r="E2850" t="s">
        <v>54</v>
      </c>
      <c r="F2850" t="s">
        <v>230</v>
      </c>
      <c r="G2850" t="s">
        <v>23169</v>
      </c>
      <c r="H2850">
        <v>20.03</v>
      </c>
      <c r="I2850">
        <v>0</v>
      </c>
      <c r="J2850">
        <v>0</v>
      </c>
      <c r="K2850">
        <v>0</v>
      </c>
      <c r="N2850">
        <v>3</v>
      </c>
      <c r="O2850">
        <v>3</v>
      </c>
      <c r="P2850">
        <v>4</v>
      </c>
      <c r="Q2850">
        <v>0</v>
      </c>
      <c r="R2850">
        <v>27.03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3</v>
      </c>
      <c r="AC2850">
        <v>0</v>
      </c>
      <c r="AH2850">
        <v>30.03</v>
      </c>
    </row>
    <row r="2851" spans="1:34" x14ac:dyDescent="0.3">
      <c r="A2851" s="4">
        <v>2967</v>
      </c>
      <c r="B2851" s="5">
        <v>2844</v>
      </c>
      <c r="C2851">
        <v>2437</v>
      </c>
      <c r="D2851" t="s">
        <v>1827</v>
      </c>
      <c r="E2851" t="s">
        <v>188</v>
      </c>
      <c r="F2851" t="s">
        <v>158</v>
      </c>
      <c r="G2851" t="s">
        <v>23170</v>
      </c>
      <c r="H2851">
        <v>19.03</v>
      </c>
      <c r="I2851">
        <v>0</v>
      </c>
      <c r="J2851">
        <v>0</v>
      </c>
      <c r="K2851">
        <v>0</v>
      </c>
      <c r="L2851">
        <v>7</v>
      </c>
      <c r="O2851">
        <v>7</v>
      </c>
      <c r="P2851">
        <v>4</v>
      </c>
      <c r="Q2851">
        <v>0</v>
      </c>
      <c r="R2851">
        <v>30.03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H2851">
        <v>30.03</v>
      </c>
    </row>
    <row r="2852" spans="1:34" x14ac:dyDescent="0.3">
      <c r="A2852" s="4">
        <v>2968</v>
      </c>
      <c r="B2852" s="5">
        <v>2845</v>
      </c>
      <c r="C2852">
        <v>11858</v>
      </c>
      <c r="D2852" t="s">
        <v>23171</v>
      </c>
      <c r="E2852" t="s">
        <v>97</v>
      </c>
      <c r="F2852" t="s">
        <v>2237</v>
      </c>
      <c r="G2852" t="s">
        <v>23172</v>
      </c>
      <c r="H2852">
        <v>17.03</v>
      </c>
      <c r="I2852">
        <v>0</v>
      </c>
      <c r="J2852">
        <v>0</v>
      </c>
      <c r="K2852">
        <v>0</v>
      </c>
      <c r="L2852">
        <v>7</v>
      </c>
      <c r="O2852">
        <v>7</v>
      </c>
      <c r="P2852">
        <v>4</v>
      </c>
      <c r="Q2852">
        <v>2</v>
      </c>
      <c r="R2852">
        <v>30.03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H2852">
        <v>30.03</v>
      </c>
    </row>
    <row r="2853" spans="1:34" x14ac:dyDescent="0.3">
      <c r="A2853" s="4">
        <v>2969</v>
      </c>
      <c r="B2853" s="5">
        <v>2846</v>
      </c>
      <c r="C2853">
        <v>1331</v>
      </c>
      <c r="D2853" t="s">
        <v>3159</v>
      </c>
      <c r="E2853" t="s">
        <v>1474</v>
      </c>
      <c r="F2853" t="s">
        <v>34</v>
      </c>
      <c r="G2853" t="s">
        <v>23173</v>
      </c>
      <c r="H2853">
        <v>17</v>
      </c>
      <c r="I2853">
        <v>0</v>
      </c>
      <c r="J2853">
        <v>0</v>
      </c>
      <c r="K2853">
        <v>0</v>
      </c>
      <c r="N2853">
        <v>3</v>
      </c>
      <c r="O2853">
        <v>3</v>
      </c>
      <c r="P2853">
        <v>4</v>
      </c>
      <c r="Q2853">
        <v>0</v>
      </c>
      <c r="R2853">
        <v>24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6</v>
      </c>
      <c r="AC2853">
        <v>0</v>
      </c>
      <c r="AH2853">
        <v>30</v>
      </c>
    </row>
    <row r="2854" spans="1:34" x14ac:dyDescent="0.3">
      <c r="A2854" s="4">
        <v>2970</v>
      </c>
      <c r="B2854" s="5">
        <v>2847</v>
      </c>
      <c r="C2854">
        <v>7395</v>
      </c>
      <c r="D2854" t="s">
        <v>23174</v>
      </c>
      <c r="E2854" t="s">
        <v>166</v>
      </c>
      <c r="F2854" t="s">
        <v>81</v>
      </c>
      <c r="G2854" t="s">
        <v>23175</v>
      </c>
      <c r="H2854">
        <v>21</v>
      </c>
      <c r="I2854">
        <v>0</v>
      </c>
      <c r="J2854">
        <v>0</v>
      </c>
      <c r="K2854">
        <v>0</v>
      </c>
      <c r="M2854">
        <v>5</v>
      </c>
      <c r="O2854">
        <v>5</v>
      </c>
      <c r="P2854">
        <v>4</v>
      </c>
      <c r="Q2854">
        <v>0</v>
      </c>
      <c r="R2854">
        <v>30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H2854">
        <v>30</v>
      </c>
    </row>
    <row r="2855" spans="1:34" x14ac:dyDescent="0.3">
      <c r="A2855" s="4">
        <v>2971</v>
      </c>
      <c r="B2855" s="5">
        <v>2848</v>
      </c>
      <c r="C2855">
        <v>3151</v>
      </c>
      <c r="D2855" t="s">
        <v>23176</v>
      </c>
      <c r="E2855" t="s">
        <v>11063</v>
      </c>
      <c r="F2855" t="s">
        <v>20</v>
      </c>
      <c r="G2855" t="s">
        <v>23177</v>
      </c>
      <c r="H2855">
        <v>15.98</v>
      </c>
      <c r="I2855">
        <v>0</v>
      </c>
      <c r="J2855">
        <v>0</v>
      </c>
      <c r="K2855">
        <v>0</v>
      </c>
      <c r="N2855">
        <v>3</v>
      </c>
      <c r="O2855">
        <v>3</v>
      </c>
      <c r="P2855">
        <v>4</v>
      </c>
      <c r="Q2855">
        <v>0</v>
      </c>
      <c r="R2855">
        <v>22.98</v>
      </c>
      <c r="S2855">
        <v>7</v>
      </c>
      <c r="T2855">
        <v>7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7</v>
      </c>
      <c r="AB2855">
        <v>0</v>
      </c>
      <c r="AC2855">
        <v>0</v>
      </c>
      <c r="AH2855">
        <v>29.98</v>
      </c>
    </row>
    <row r="2856" spans="1:34" x14ac:dyDescent="0.3">
      <c r="A2856" s="4">
        <v>2972</v>
      </c>
      <c r="B2856" s="5">
        <v>2849</v>
      </c>
      <c r="C2856">
        <v>8667</v>
      </c>
      <c r="D2856" t="s">
        <v>6918</v>
      </c>
      <c r="E2856" t="s">
        <v>166</v>
      </c>
      <c r="F2856" t="s">
        <v>117</v>
      </c>
      <c r="G2856" t="s">
        <v>23178</v>
      </c>
      <c r="H2856">
        <v>19.95</v>
      </c>
      <c r="I2856">
        <v>0</v>
      </c>
      <c r="J2856">
        <v>0</v>
      </c>
      <c r="K2856">
        <v>0</v>
      </c>
      <c r="N2856">
        <v>3</v>
      </c>
      <c r="O2856">
        <v>3</v>
      </c>
      <c r="P2856">
        <v>4</v>
      </c>
      <c r="Q2856">
        <v>0</v>
      </c>
      <c r="R2856">
        <v>26.95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3</v>
      </c>
      <c r="AC2856">
        <v>0</v>
      </c>
      <c r="AH2856">
        <v>29.95</v>
      </c>
    </row>
    <row r="2857" spans="1:34" x14ac:dyDescent="0.3">
      <c r="A2857" s="4">
        <v>2973</v>
      </c>
      <c r="B2857" s="5">
        <v>2850</v>
      </c>
      <c r="C2857">
        <v>2330</v>
      </c>
      <c r="D2857" t="s">
        <v>23179</v>
      </c>
      <c r="E2857" t="s">
        <v>219</v>
      </c>
      <c r="F2857" t="s">
        <v>14208</v>
      </c>
      <c r="G2857" t="s">
        <v>23180</v>
      </c>
      <c r="H2857">
        <v>18.95</v>
      </c>
      <c r="I2857">
        <v>0</v>
      </c>
      <c r="J2857">
        <v>0</v>
      </c>
      <c r="K2857">
        <v>0</v>
      </c>
      <c r="L2857">
        <v>7</v>
      </c>
      <c r="O2857">
        <v>7</v>
      </c>
      <c r="P2857">
        <v>4</v>
      </c>
      <c r="Q2857">
        <v>0</v>
      </c>
      <c r="R2857">
        <v>29.95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H2857">
        <v>29.95</v>
      </c>
    </row>
    <row r="2858" spans="1:34" x14ac:dyDescent="0.3">
      <c r="A2858" s="4">
        <v>2974</v>
      </c>
      <c r="B2858" s="5">
        <v>2851</v>
      </c>
      <c r="C2858">
        <v>10813</v>
      </c>
      <c r="D2858" t="s">
        <v>23181</v>
      </c>
      <c r="E2858" t="s">
        <v>23182</v>
      </c>
      <c r="F2858" t="s">
        <v>23183</v>
      </c>
      <c r="G2858" t="s">
        <v>23184</v>
      </c>
      <c r="H2858">
        <v>18.95</v>
      </c>
      <c r="I2858">
        <v>0</v>
      </c>
      <c r="J2858">
        <v>0</v>
      </c>
      <c r="K2858">
        <v>0</v>
      </c>
      <c r="L2858">
        <v>7</v>
      </c>
      <c r="O2858">
        <v>7</v>
      </c>
      <c r="P2858">
        <v>4</v>
      </c>
      <c r="Q2858">
        <v>0</v>
      </c>
      <c r="R2858">
        <v>29.95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H2858">
        <v>29.95</v>
      </c>
    </row>
    <row r="2859" spans="1:34" x14ac:dyDescent="0.3">
      <c r="A2859" s="4">
        <v>2975</v>
      </c>
      <c r="B2859" s="5">
        <v>2852</v>
      </c>
      <c r="C2859">
        <v>12137</v>
      </c>
      <c r="D2859" t="s">
        <v>23185</v>
      </c>
      <c r="E2859" t="s">
        <v>424</v>
      </c>
      <c r="F2859" t="s">
        <v>375</v>
      </c>
      <c r="G2859" t="s">
        <v>23186</v>
      </c>
      <c r="H2859">
        <v>19.93</v>
      </c>
      <c r="I2859">
        <v>0</v>
      </c>
      <c r="J2859">
        <v>0</v>
      </c>
      <c r="K2859">
        <v>0</v>
      </c>
      <c r="N2859">
        <v>3</v>
      </c>
      <c r="O2859">
        <v>3</v>
      </c>
      <c r="P2859">
        <v>4</v>
      </c>
      <c r="Q2859">
        <v>0</v>
      </c>
      <c r="R2859">
        <v>26.93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3</v>
      </c>
      <c r="AC2859">
        <v>0</v>
      </c>
      <c r="AH2859">
        <v>29.93</v>
      </c>
    </row>
    <row r="2860" spans="1:34" x14ac:dyDescent="0.3">
      <c r="A2860" s="4">
        <v>2976</v>
      </c>
      <c r="B2860" s="5">
        <v>2853</v>
      </c>
      <c r="C2860">
        <v>6307</v>
      </c>
      <c r="D2860" t="s">
        <v>2609</v>
      </c>
      <c r="E2860" t="s">
        <v>41</v>
      </c>
      <c r="F2860" t="s">
        <v>416</v>
      </c>
      <c r="G2860" t="s">
        <v>23187</v>
      </c>
      <c r="H2860">
        <v>18.93</v>
      </c>
      <c r="I2860">
        <v>0</v>
      </c>
      <c r="J2860">
        <v>0</v>
      </c>
      <c r="K2860">
        <v>0</v>
      </c>
      <c r="L2860">
        <v>7</v>
      </c>
      <c r="O2860">
        <v>7</v>
      </c>
      <c r="P2860">
        <v>4</v>
      </c>
      <c r="Q2860">
        <v>0</v>
      </c>
      <c r="R2860">
        <v>29.93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H2860">
        <v>29.93</v>
      </c>
    </row>
    <row r="2861" spans="1:34" x14ac:dyDescent="0.3">
      <c r="A2861" s="4">
        <v>2977</v>
      </c>
      <c r="B2861" s="5">
        <v>2854</v>
      </c>
      <c r="C2861">
        <v>6237</v>
      </c>
      <c r="D2861" t="s">
        <v>7371</v>
      </c>
      <c r="E2861" t="s">
        <v>219</v>
      </c>
      <c r="F2861" t="s">
        <v>259</v>
      </c>
      <c r="G2861" t="s">
        <v>23188</v>
      </c>
      <c r="H2861">
        <v>19.899999999999999</v>
      </c>
      <c r="I2861">
        <v>0</v>
      </c>
      <c r="J2861">
        <v>0</v>
      </c>
      <c r="K2861">
        <v>0</v>
      </c>
      <c r="O2861">
        <v>0</v>
      </c>
      <c r="P2861">
        <v>4</v>
      </c>
      <c r="Q2861">
        <v>0</v>
      </c>
      <c r="R2861">
        <v>23.9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6</v>
      </c>
      <c r="AC2861">
        <v>0</v>
      </c>
      <c r="AH2861">
        <v>29.9</v>
      </c>
    </row>
    <row r="2862" spans="1:34" x14ac:dyDescent="0.3">
      <c r="A2862" s="4">
        <v>2978</v>
      </c>
      <c r="B2862" s="5">
        <v>2855</v>
      </c>
      <c r="C2862">
        <v>9625</v>
      </c>
      <c r="D2862" t="s">
        <v>7596</v>
      </c>
      <c r="E2862" t="s">
        <v>29</v>
      </c>
      <c r="F2862" t="s">
        <v>17</v>
      </c>
      <c r="G2862" t="s">
        <v>23189</v>
      </c>
      <c r="H2862">
        <v>17.899999999999999</v>
      </c>
      <c r="I2862">
        <v>0</v>
      </c>
      <c r="J2862">
        <v>0</v>
      </c>
      <c r="K2862">
        <v>0</v>
      </c>
      <c r="N2862">
        <v>3</v>
      </c>
      <c r="O2862">
        <v>3</v>
      </c>
      <c r="P2862">
        <v>4</v>
      </c>
      <c r="Q2862">
        <v>2</v>
      </c>
      <c r="R2862">
        <v>26.9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3</v>
      </c>
      <c r="AC2862">
        <v>0</v>
      </c>
      <c r="AH2862">
        <v>29.9</v>
      </c>
    </row>
    <row r="2863" spans="1:34" x14ac:dyDescent="0.3">
      <c r="A2863" s="4">
        <v>2979</v>
      </c>
      <c r="B2863" s="5">
        <v>2856</v>
      </c>
      <c r="C2863">
        <v>4052</v>
      </c>
      <c r="D2863" t="s">
        <v>23190</v>
      </c>
      <c r="E2863" t="s">
        <v>54</v>
      </c>
      <c r="F2863" t="s">
        <v>243</v>
      </c>
      <c r="G2863" t="s">
        <v>23191</v>
      </c>
      <c r="H2863">
        <v>18.899999999999999</v>
      </c>
      <c r="I2863">
        <v>0</v>
      </c>
      <c r="J2863">
        <v>0</v>
      </c>
      <c r="K2863">
        <v>0</v>
      </c>
      <c r="L2863">
        <v>7</v>
      </c>
      <c r="O2863">
        <v>7</v>
      </c>
      <c r="P2863">
        <v>4</v>
      </c>
      <c r="Q2863">
        <v>0</v>
      </c>
      <c r="R2863">
        <v>29.9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H2863">
        <v>29.9</v>
      </c>
    </row>
    <row r="2864" spans="1:34" x14ac:dyDescent="0.3">
      <c r="A2864" s="4">
        <v>2980</v>
      </c>
      <c r="B2864" s="5">
        <v>2857</v>
      </c>
      <c r="C2864">
        <v>4224</v>
      </c>
      <c r="D2864" t="s">
        <v>23192</v>
      </c>
      <c r="E2864" t="s">
        <v>166</v>
      </c>
      <c r="F2864" t="s">
        <v>136</v>
      </c>
      <c r="G2864" t="s">
        <v>23193</v>
      </c>
      <c r="H2864">
        <v>18.899999999999999</v>
      </c>
      <c r="I2864">
        <v>0</v>
      </c>
      <c r="J2864">
        <v>0</v>
      </c>
      <c r="K2864">
        <v>0</v>
      </c>
      <c r="L2864">
        <v>7</v>
      </c>
      <c r="O2864">
        <v>7</v>
      </c>
      <c r="P2864">
        <v>4</v>
      </c>
      <c r="Q2864">
        <v>0</v>
      </c>
      <c r="R2864">
        <v>29.9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H2864">
        <v>29.9</v>
      </c>
    </row>
    <row r="2865" spans="1:34" x14ac:dyDescent="0.3">
      <c r="A2865" s="4">
        <v>2981</v>
      </c>
      <c r="B2865" s="5">
        <v>2858</v>
      </c>
      <c r="C2865">
        <v>6274</v>
      </c>
      <c r="D2865" t="s">
        <v>16360</v>
      </c>
      <c r="E2865" t="s">
        <v>2758</v>
      </c>
      <c r="F2865" t="s">
        <v>158</v>
      </c>
      <c r="G2865" t="s">
        <v>32075</v>
      </c>
      <c r="H2865">
        <v>16.899999999999999</v>
      </c>
      <c r="I2865">
        <v>0</v>
      </c>
      <c r="J2865">
        <v>0</v>
      </c>
      <c r="K2865">
        <v>0</v>
      </c>
      <c r="L2865">
        <v>7</v>
      </c>
      <c r="O2865">
        <v>7</v>
      </c>
      <c r="P2865">
        <v>4</v>
      </c>
      <c r="Q2865">
        <v>2</v>
      </c>
      <c r="R2865">
        <v>29.9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H2865">
        <v>29.9</v>
      </c>
    </row>
    <row r="2866" spans="1:34" x14ac:dyDescent="0.3">
      <c r="A2866" s="4">
        <v>2982</v>
      </c>
      <c r="B2866" s="5">
        <v>2859</v>
      </c>
      <c r="C2866">
        <v>5063</v>
      </c>
      <c r="D2866" t="s">
        <v>15886</v>
      </c>
      <c r="E2866" t="s">
        <v>188</v>
      </c>
      <c r="F2866" t="s">
        <v>68</v>
      </c>
      <c r="G2866" t="s">
        <v>23194</v>
      </c>
      <c r="H2866">
        <v>17.88</v>
      </c>
      <c r="I2866">
        <v>0</v>
      </c>
      <c r="J2866">
        <v>0</v>
      </c>
      <c r="K2866">
        <v>0</v>
      </c>
      <c r="N2866">
        <v>3</v>
      </c>
      <c r="O2866">
        <v>3</v>
      </c>
      <c r="P2866">
        <v>4</v>
      </c>
      <c r="Q2866">
        <v>2</v>
      </c>
      <c r="R2866">
        <v>26.88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3</v>
      </c>
      <c r="AC2866">
        <v>0</v>
      </c>
      <c r="AH2866">
        <v>29.88</v>
      </c>
    </row>
    <row r="2867" spans="1:34" x14ac:dyDescent="0.3">
      <c r="A2867" s="4">
        <v>2983</v>
      </c>
      <c r="B2867" s="5">
        <v>2860</v>
      </c>
      <c r="C2867">
        <v>13077</v>
      </c>
      <c r="D2867" t="s">
        <v>9030</v>
      </c>
      <c r="E2867" t="s">
        <v>182</v>
      </c>
      <c r="F2867" t="s">
        <v>62</v>
      </c>
      <c r="G2867" t="s">
        <v>23195</v>
      </c>
      <c r="H2867">
        <v>16.88</v>
      </c>
      <c r="I2867">
        <v>0</v>
      </c>
      <c r="J2867">
        <v>0</v>
      </c>
      <c r="K2867">
        <v>0</v>
      </c>
      <c r="N2867">
        <v>6</v>
      </c>
      <c r="O2867">
        <v>6</v>
      </c>
      <c r="P2867">
        <v>4</v>
      </c>
      <c r="Q2867">
        <v>0</v>
      </c>
      <c r="R2867">
        <v>26.88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3</v>
      </c>
      <c r="AC2867">
        <v>0</v>
      </c>
      <c r="AH2867">
        <v>29.88</v>
      </c>
    </row>
    <row r="2868" spans="1:34" x14ac:dyDescent="0.3">
      <c r="A2868" s="4">
        <v>2984</v>
      </c>
      <c r="B2868" s="5">
        <v>2861</v>
      </c>
      <c r="C2868">
        <v>14057</v>
      </c>
      <c r="D2868" t="s">
        <v>23196</v>
      </c>
      <c r="E2868" t="s">
        <v>110</v>
      </c>
      <c r="F2868" t="s">
        <v>30</v>
      </c>
      <c r="G2868" t="s">
        <v>23197</v>
      </c>
      <c r="H2868">
        <v>22.88</v>
      </c>
      <c r="I2868">
        <v>0</v>
      </c>
      <c r="J2868">
        <v>0</v>
      </c>
      <c r="K2868">
        <v>0</v>
      </c>
      <c r="N2868">
        <v>3</v>
      </c>
      <c r="O2868">
        <v>3</v>
      </c>
      <c r="P2868">
        <v>4</v>
      </c>
      <c r="Q2868">
        <v>0</v>
      </c>
      <c r="R2868">
        <v>29.88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H2868">
        <v>29.88</v>
      </c>
    </row>
    <row r="2869" spans="1:34" x14ac:dyDescent="0.3">
      <c r="A2869" s="4">
        <v>2985</v>
      </c>
      <c r="B2869" s="5">
        <v>2862</v>
      </c>
      <c r="C2869">
        <v>4993</v>
      </c>
      <c r="D2869" t="s">
        <v>23198</v>
      </c>
      <c r="E2869" t="s">
        <v>26</v>
      </c>
      <c r="F2869" t="s">
        <v>5741</v>
      </c>
      <c r="G2869" t="s">
        <v>23199</v>
      </c>
      <c r="H2869">
        <v>18.88</v>
      </c>
      <c r="I2869">
        <v>0</v>
      </c>
      <c r="J2869">
        <v>0</v>
      </c>
      <c r="K2869">
        <v>0</v>
      </c>
      <c r="L2869">
        <v>7</v>
      </c>
      <c r="O2869">
        <v>7</v>
      </c>
      <c r="P2869">
        <v>4</v>
      </c>
      <c r="Q2869">
        <v>0</v>
      </c>
      <c r="R2869">
        <v>29.88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H2869">
        <v>29.88</v>
      </c>
    </row>
    <row r="2870" spans="1:34" x14ac:dyDescent="0.3">
      <c r="A2870" s="4">
        <v>2986</v>
      </c>
      <c r="B2870" s="5">
        <v>2863</v>
      </c>
      <c r="C2870">
        <v>6175</v>
      </c>
      <c r="D2870" t="s">
        <v>23200</v>
      </c>
      <c r="E2870" t="s">
        <v>161</v>
      </c>
      <c r="F2870" t="s">
        <v>4826</v>
      </c>
      <c r="G2870" t="s">
        <v>23201</v>
      </c>
      <c r="H2870">
        <v>18.88</v>
      </c>
      <c r="I2870">
        <v>0</v>
      </c>
      <c r="J2870">
        <v>0</v>
      </c>
      <c r="K2870">
        <v>0</v>
      </c>
      <c r="L2870">
        <v>7</v>
      </c>
      <c r="O2870">
        <v>7</v>
      </c>
      <c r="P2870">
        <v>4</v>
      </c>
      <c r="Q2870">
        <v>0</v>
      </c>
      <c r="R2870">
        <v>29.88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H2870">
        <v>29.88</v>
      </c>
    </row>
    <row r="2871" spans="1:34" x14ac:dyDescent="0.3">
      <c r="A2871" s="4">
        <v>2987</v>
      </c>
      <c r="B2871" s="5">
        <v>2864</v>
      </c>
      <c r="C2871">
        <v>6292</v>
      </c>
      <c r="D2871" t="s">
        <v>23202</v>
      </c>
      <c r="E2871" t="s">
        <v>147</v>
      </c>
      <c r="F2871" t="s">
        <v>117</v>
      </c>
      <c r="G2871" t="s">
        <v>23203</v>
      </c>
      <c r="H2871">
        <v>18.88</v>
      </c>
      <c r="I2871">
        <v>0</v>
      </c>
      <c r="J2871">
        <v>0</v>
      </c>
      <c r="K2871">
        <v>0</v>
      </c>
      <c r="L2871">
        <v>7</v>
      </c>
      <c r="O2871">
        <v>7</v>
      </c>
      <c r="P2871">
        <v>4</v>
      </c>
      <c r="Q2871">
        <v>0</v>
      </c>
      <c r="R2871">
        <v>29.88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H2871">
        <v>29.88</v>
      </c>
    </row>
    <row r="2872" spans="1:34" x14ac:dyDescent="0.3">
      <c r="A2872" s="4">
        <v>2988</v>
      </c>
      <c r="B2872" s="5">
        <v>2865</v>
      </c>
      <c r="C2872">
        <v>3472</v>
      </c>
      <c r="D2872" t="s">
        <v>10428</v>
      </c>
      <c r="E2872" t="s">
        <v>166</v>
      </c>
      <c r="F2872" t="s">
        <v>62</v>
      </c>
      <c r="G2872" t="s">
        <v>23204</v>
      </c>
      <c r="H2872">
        <v>18.850000000000001</v>
      </c>
      <c r="I2872">
        <v>0</v>
      </c>
      <c r="J2872">
        <v>0</v>
      </c>
      <c r="K2872">
        <v>0</v>
      </c>
      <c r="O2872">
        <v>0</v>
      </c>
      <c r="P2872">
        <v>0</v>
      </c>
      <c r="Q2872">
        <v>2</v>
      </c>
      <c r="R2872">
        <v>20.85</v>
      </c>
      <c r="S2872">
        <v>6</v>
      </c>
      <c r="T2872">
        <v>6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6</v>
      </c>
      <c r="AB2872">
        <v>3</v>
      </c>
      <c r="AC2872">
        <v>0</v>
      </c>
      <c r="AH2872">
        <v>29.85</v>
      </c>
    </row>
    <row r="2873" spans="1:34" x14ac:dyDescent="0.3">
      <c r="A2873" s="4">
        <v>2989</v>
      </c>
      <c r="B2873" s="5">
        <v>2866</v>
      </c>
      <c r="C2873">
        <v>14121</v>
      </c>
      <c r="D2873" t="s">
        <v>23205</v>
      </c>
      <c r="E2873" t="s">
        <v>23206</v>
      </c>
      <c r="F2873" t="s">
        <v>30</v>
      </c>
      <c r="G2873" t="s">
        <v>23207</v>
      </c>
      <c r="H2873">
        <v>19.829999999999998</v>
      </c>
      <c r="I2873">
        <v>0</v>
      </c>
      <c r="J2873">
        <v>0</v>
      </c>
      <c r="K2873">
        <v>0</v>
      </c>
      <c r="O2873">
        <v>0</v>
      </c>
      <c r="P2873">
        <v>4</v>
      </c>
      <c r="Q2873">
        <v>0</v>
      </c>
      <c r="R2873">
        <v>23.83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6</v>
      </c>
      <c r="AC2873">
        <v>0</v>
      </c>
      <c r="AH2873">
        <v>29.83</v>
      </c>
    </row>
    <row r="2874" spans="1:34" x14ac:dyDescent="0.3">
      <c r="A2874" s="4">
        <v>2990</v>
      </c>
      <c r="B2874" s="5">
        <v>2867</v>
      </c>
      <c r="C2874">
        <v>9310</v>
      </c>
      <c r="D2874" t="s">
        <v>2103</v>
      </c>
      <c r="E2874" t="s">
        <v>104</v>
      </c>
      <c r="F2874" t="s">
        <v>81</v>
      </c>
      <c r="G2874" t="s">
        <v>23208</v>
      </c>
      <c r="H2874">
        <v>22.83</v>
      </c>
      <c r="I2874">
        <v>0</v>
      </c>
      <c r="J2874">
        <v>0</v>
      </c>
      <c r="K2874">
        <v>0</v>
      </c>
      <c r="N2874">
        <v>3</v>
      </c>
      <c r="O2874">
        <v>3</v>
      </c>
      <c r="P2874">
        <v>4</v>
      </c>
      <c r="Q2874">
        <v>0</v>
      </c>
      <c r="R2874">
        <v>29.83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H2874">
        <v>29.83</v>
      </c>
    </row>
    <row r="2875" spans="1:34" x14ac:dyDescent="0.3">
      <c r="A2875" s="4">
        <v>2991</v>
      </c>
      <c r="B2875" s="5">
        <v>2868</v>
      </c>
      <c r="C2875">
        <v>1811</v>
      </c>
      <c r="D2875" t="s">
        <v>7746</v>
      </c>
      <c r="E2875" t="s">
        <v>342</v>
      </c>
      <c r="F2875" t="s">
        <v>81</v>
      </c>
      <c r="G2875" t="s">
        <v>23209</v>
      </c>
      <c r="H2875">
        <v>19.829999999999998</v>
      </c>
      <c r="I2875">
        <v>0</v>
      </c>
      <c r="J2875">
        <v>0</v>
      </c>
      <c r="K2875">
        <v>0</v>
      </c>
      <c r="N2875">
        <v>6</v>
      </c>
      <c r="O2875">
        <v>6</v>
      </c>
      <c r="P2875">
        <v>4</v>
      </c>
      <c r="Q2875">
        <v>0</v>
      </c>
      <c r="R2875">
        <v>29.83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H2875">
        <v>29.83</v>
      </c>
    </row>
    <row r="2876" spans="1:34" x14ac:dyDescent="0.3">
      <c r="A2876" s="4">
        <v>2992</v>
      </c>
      <c r="B2876" s="5">
        <v>2869</v>
      </c>
      <c r="C2876">
        <v>13010</v>
      </c>
      <c r="D2876" t="s">
        <v>23210</v>
      </c>
      <c r="E2876" t="s">
        <v>19</v>
      </c>
      <c r="F2876" t="s">
        <v>9197</v>
      </c>
      <c r="G2876" t="s">
        <v>23211</v>
      </c>
      <c r="H2876">
        <v>15.83</v>
      </c>
      <c r="I2876">
        <v>0</v>
      </c>
      <c r="J2876">
        <v>0</v>
      </c>
      <c r="K2876">
        <v>0</v>
      </c>
      <c r="O2876">
        <v>0</v>
      </c>
      <c r="P2876">
        <v>4</v>
      </c>
      <c r="Q2876">
        <v>0</v>
      </c>
      <c r="R2876">
        <v>19.829999999999998</v>
      </c>
      <c r="S2876">
        <v>10</v>
      </c>
      <c r="T2876">
        <v>10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10</v>
      </c>
      <c r="AB2876">
        <v>0</v>
      </c>
      <c r="AC2876">
        <v>0</v>
      </c>
      <c r="AH2876">
        <v>29.83</v>
      </c>
    </row>
    <row r="2877" spans="1:34" x14ac:dyDescent="0.3">
      <c r="A2877" s="4">
        <v>2993</v>
      </c>
      <c r="B2877" s="5">
        <v>2870</v>
      </c>
      <c r="C2877">
        <v>10532</v>
      </c>
      <c r="D2877" t="s">
        <v>23212</v>
      </c>
      <c r="E2877" t="s">
        <v>479</v>
      </c>
      <c r="F2877" t="s">
        <v>55</v>
      </c>
      <c r="G2877" t="s">
        <v>23213</v>
      </c>
      <c r="H2877">
        <v>16.8</v>
      </c>
      <c r="I2877">
        <v>0</v>
      </c>
      <c r="J2877">
        <v>0</v>
      </c>
      <c r="K2877">
        <v>0</v>
      </c>
      <c r="N2877">
        <v>3</v>
      </c>
      <c r="O2877">
        <v>3</v>
      </c>
      <c r="P2877">
        <v>4</v>
      </c>
      <c r="Q2877">
        <v>0</v>
      </c>
      <c r="R2877">
        <v>23.8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6</v>
      </c>
      <c r="AC2877">
        <v>0</v>
      </c>
      <c r="AH2877">
        <v>29.8</v>
      </c>
    </row>
    <row r="2878" spans="1:34" x14ac:dyDescent="0.3">
      <c r="A2878" s="4">
        <v>2994</v>
      </c>
      <c r="B2878" s="5">
        <v>2871</v>
      </c>
      <c r="C2878">
        <v>461</v>
      </c>
      <c r="D2878" t="s">
        <v>12682</v>
      </c>
      <c r="E2878" t="s">
        <v>88</v>
      </c>
      <c r="F2878" t="s">
        <v>136</v>
      </c>
      <c r="G2878" t="s">
        <v>23214</v>
      </c>
      <c r="H2878">
        <v>19.8</v>
      </c>
      <c r="I2878">
        <v>0</v>
      </c>
      <c r="J2878">
        <v>0</v>
      </c>
      <c r="K2878">
        <v>0</v>
      </c>
      <c r="N2878">
        <v>3</v>
      </c>
      <c r="O2878">
        <v>3</v>
      </c>
      <c r="P2878">
        <v>4</v>
      </c>
      <c r="Q2878">
        <v>0</v>
      </c>
      <c r="R2878">
        <v>26.8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3</v>
      </c>
      <c r="AC2878">
        <v>0</v>
      </c>
      <c r="AH2878">
        <v>29.8</v>
      </c>
    </row>
    <row r="2879" spans="1:34" x14ac:dyDescent="0.3">
      <c r="A2879" s="4">
        <v>2995</v>
      </c>
      <c r="B2879" s="5">
        <v>2872</v>
      </c>
      <c r="C2879">
        <v>1209</v>
      </c>
      <c r="D2879" t="s">
        <v>23215</v>
      </c>
      <c r="E2879" t="s">
        <v>219</v>
      </c>
      <c r="F2879" t="s">
        <v>17</v>
      </c>
      <c r="G2879" t="s">
        <v>23216</v>
      </c>
      <c r="H2879">
        <v>19.8</v>
      </c>
      <c r="I2879">
        <v>0</v>
      </c>
      <c r="J2879">
        <v>0</v>
      </c>
      <c r="K2879">
        <v>0</v>
      </c>
      <c r="N2879">
        <v>3</v>
      </c>
      <c r="O2879">
        <v>3</v>
      </c>
      <c r="P2879">
        <v>4</v>
      </c>
      <c r="Q2879">
        <v>0</v>
      </c>
      <c r="R2879">
        <v>26.8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3</v>
      </c>
      <c r="AC2879">
        <v>0</v>
      </c>
      <c r="AH2879">
        <v>29.8</v>
      </c>
    </row>
    <row r="2880" spans="1:34" x14ac:dyDescent="0.3">
      <c r="A2880" s="4">
        <v>2996</v>
      </c>
      <c r="B2880" s="5">
        <v>2873</v>
      </c>
      <c r="C2880">
        <v>4493</v>
      </c>
      <c r="D2880" t="s">
        <v>181</v>
      </c>
      <c r="E2880" t="s">
        <v>29</v>
      </c>
      <c r="F2880" t="s">
        <v>2333</v>
      </c>
      <c r="G2880" t="s">
        <v>23217</v>
      </c>
      <c r="H2880">
        <v>18.8</v>
      </c>
      <c r="I2880">
        <v>0</v>
      </c>
      <c r="J2880">
        <v>0</v>
      </c>
      <c r="K2880">
        <v>0</v>
      </c>
      <c r="L2880">
        <v>7</v>
      </c>
      <c r="O2880">
        <v>7</v>
      </c>
      <c r="P2880">
        <v>4</v>
      </c>
      <c r="Q2880">
        <v>0</v>
      </c>
      <c r="R2880">
        <v>29.8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H2880">
        <v>29.8</v>
      </c>
    </row>
    <row r="2881" spans="1:34" x14ac:dyDescent="0.3">
      <c r="A2881" s="4">
        <v>2997</v>
      </c>
      <c r="B2881" s="5">
        <v>2874</v>
      </c>
      <c r="C2881">
        <v>1183</v>
      </c>
      <c r="D2881" t="s">
        <v>3931</v>
      </c>
      <c r="E2881" t="s">
        <v>1474</v>
      </c>
      <c r="F2881" t="s">
        <v>68</v>
      </c>
      <c r="G2881" t="s">
        <v>23218</v>
      </c>
      <c r="H2881">
        <v>20.78</v>
      </c>
      <c r="I2881">
        <v>0</v>
      </c>
      <c r="J2881">
        <v>0</v>
      </c>
      <c r="K2881">
        <v>0</v>
      </c>
      <c r="M2881">
        <v>5</v>
      </c>
      <c r="O2881">
        <v>5</v>
      </c>
      <c r="P2881">
        <v>4</v>
      </c>
      <c r="Q2881">
        <v>0</v>
      </c>
      <c r="R2881">
        <v>29.78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H2881">
        <v>29.78</v>
      </c>
    </row>
    <row r="2882" spans="1:34" x14ac:dyDescent="0.3">
      <c r="A2882" s="4">
        <v>2998</v>
      </c>
      <c r="B2882" s="5">
        <v>2875</v>
      </c>
      <c r="C2882">
        <v>8326</v>
      </c>
      <c r="D2882" t="s">
        <v>8800</v>
      </c>
      <c r="E2882" t="s">
        <v>692</v>
      </c>
      <c r="F2882" t="s">
        <v>167</v>
      </c>
      <c r="G2882" t="s">
        <v>23219</v>
      </c>
      <c r="H2882">
        <v>18.78</v>
      </c>
      <c r="I2882">
        <v>0</v>
      </c>
      <c r="J2882">
        <v>0</v>
      </c>
      <c r="K2882">
        <v>0</v>
      </c>
      <c r="L2882">
        <v>7</v>
      </c>
      <c r="O2882">
        <v>7</v>
      </c>
      <c r="P2882">
        <v>4</v>
      </c>
      <c r="Q2882">
        <v>0</v>
      </c>
      <c r="R2882">
        <v>29.78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H2882">
        <v>29.78</v>
      </c>
    </row>
    <row r="2883" spans="1:34" x14ac:dyDescent="0.3">
      <c r="A2883" s="4">
        <v>2999</v>
      </c>
      <c r="B2883" s="5">
        <v>2876</v>
      </c>
      <c r="C2883">
        <v>8410</v>
      </c>
      <c r="D2883" t="s">
        <v>2837</v>
      </c>
      <c r="E2883" t="s">
        <v>170</v>
      </c>
      <c r="F2883" t="s">
        <v>81</v>
      </c>
      <c r="G2883" t="s">
        <v>23220</v>
      </c>
      <c r="H2883">
        <v>18.73</v>
      </c>
      <c r="I2883">
        <v>0</v>
      </c>
      <c r="J2883">
        <v>0</v>
      </c>
      <c r="K2883">
        <v>0</v>
      </c>
      <c r="L2883">
        <v>7</v>
      </c>
      <c r="O2883">
        <v>7</v>
      </c>
      <c r="P2883">
        <v>4</v>
      </c>
      <c r="Q2883">
        <v>0</v>
      </c>
      <c r="R2883">
        <v>29.73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H2883">
        <v>29.73</v>
      </c>
    </row>
    <row r="2884" spans="1:34" x14ac:dyDescent="0.3">
      <c r="A2884" s="4">
        <v>3000</v>
      </c>
      <c r="B2884" s="5">
        <v>2877</v>
      </c>
      <c r="C2884">
        <v>628</v>
      </c>
      <c r="D2884" t="s">
        <v>23221</v>
      </c>
      <c r="E2884" t="s">
        <v>23222</v>
      </c>
      <c r="F2884" t="s">
        <v>23223</v>
      </c>
      <c r="G2884" t="s">
        <v>23224</v>
      </c>
      <c r="H2884">
        <v>19.7</v>
      </c>
      <c r="I2884">
        <v>0</v>
      </c>
      <c r="J2884">
        <v>0</v>
      </c>
      <c r="K2884">
        <v>0</v>
      </c>
      <c r="O2884">
        <v>0</v>
      </c>
      <c r="P2884">
        <v>4</v>
      </c>
      <c r="Q2884">
        <v>0</v>
      </c>
      <c r="R2884">
        <v>23.7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6</v>
      </c>
      <c r="AC2884">
        <v>0</v>
      </c>
      <c r="AH2884">
        <v>29.7</v>
      </c>
    </row>
    <row r="2885" spans="1:34" x14ac:dyDescent="0.3">
      <c r="A2885" s="4">
        <v>3001</v>
      </c>
      <c r="B2885" s="5">
        <v>2878</v>
      </c>
      <c r="C2885">
        <v>3573</v>
      </c>
      <c r="D2885" t="s">
        <v>23225</v>
      </c>
      <c r="E2885" t="s">
        <v>161</v>
      </c>
      <c r="F2885" t="s">
        <v>20</v>
      </c>
      <c r="G2885" t="s">
        <v>23226</v>
      </c>
      <c r="H2885">
        <v>19.7</v>
      </c>
      <c r="I2885">
        <v>0</v>
      </c>
      <c r="J2885">
        <v>0</v>
      </c>
      <c r="K2885">
        <v>0</v>
      </c>
      <c r="N2885">
        <v>3</v>
      </c>
      <c r="O2885">
        <v>3</v>
      </c>
      <c r="P2885">
        <v>4</v>
      </c>
      <c r="Q2885">
        <v>0</v>
      </c>
      <c r="R2885">
        <v>26.7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3</v>
      </c>
      <c r="AC2885">
        <v>0</v>
      </c>
      <c r="AH2885">
        <v>29.7</v>
      </c>
    </row>
    <row r="2886" spans="1:34" x14ac:dyDescent="0.3">
      <c r="A2886" s="4">
        <v>3002</v>
      </c>
      <c r="B2886" s="5">
        <v>2879</v>
      </c>
      <c r="C2886">
        <v>1103</v>
      </c>
      <c r="D2886" t="s">
        <v>21618</v>
      </c>
      <c r="E2886" t="s">
        <v>23227</v>
      </c>
      <c r="F2886" t="s">
        <v>20</v>
      </c>
      <c r="G2886" t="s">
        <v>23228</v>
      </c>
      <c r="H2886">
        <v>17.7</v>
      </c>
      <c r="I2886">
        <v>0</v>
      </c>
      <c r="J2886">
        <v>0</v>
      </c>
      <c r="K2886">
        <v>0</v>
      </c>
      <c r="O2886">
        <v>0</v>
      </c>
      <c r="P2886">
        <v>4</v>
      </c>
      <c r="Q2886">
        <v>0</v>
      </c>
      <c r="R2886">
        <v>21.7</v>
      </c>
      <c r="S2886">
        <v>8</v>
      </c>
      <c r="T2886">
        <v>8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8</v>
      </c>
      <c r="AB2886">
        <v>0</v>
      </c>
      <c r="AC2886">
        <v>0</v>
      </c>
      <c r="AH2886">
        <v>29.7</v>
      </c>
    </row>
    <row r="2887" spans="1:34" x14ac:dyDescent="0.3">
      <c r="A2887" s="4">
        <v>3003</v>
      </c>
      <c r="B2887" s="5">
        <v>2880</v>
      </c>
      <c r="C2887">
        <v>3232</v>
      </c>
      <c r="D2887" t="s">
        <v>23229</v>
      </c>
      <c r="E2887" t="s">
        <v>23230</v>
      </c>
      <c r="F2887" t="s">
        <v>442</v>
      </c>
      <c r="G2887" t="s">
        <v>23231</v>
      </c>
      <c r="H2887">
        <v>19.68</v>
      </c>
      <c r="I2887">
        <v>0</v>
      </c>
      <c r="J2887">
        <v>0</v>
      </c>
      <c r="K2887">
        <v>0</v>
      </c>
      <c r="N2887">
        <v>3</v>
      </c>
      <c r="O2887">
        <v>3</v>
      </c>
      <c r="P2887">
        <v>4</v>
      </c>
      <c r="Q2887">
        <v>0</v>
      </c>
      <c r="R2887">
        <v>26.68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3</v>
      </c>
      <c r="AC2887">
        <v>0</v>
      </c>
      <c r="AH2887">
        <v>29.68</v>
      </c>
    </row>
    <row r="2888" spans="1:34" x14ac:dyDescent="0.3">
      <c r="A2888" s="4">
        <v>3004</v>
      </c>
      <c r="B2888" s="5">
        <v>2881</v>
      </c>
      <c r="C2888">
        <v>14174</v>
      </c>
      <c r="D2888" t="s">
        <v>7325</v>
      </c>
      <c r="E2888" t="s">
        <v>29</v>
      </c>
      <c r="F2888" t="s">
        <v>972</v>
      </c>
      <c r="G2888" t="s">
        <v>23232</v>
      </c>
      <c r="H2888">
        <v>19.68</v>
      </c>
      <c r="I2888">
        <v>0</v>
      </c>
      <c r="J2888">
        <v>0</v>
      </c>
      <c r="K2888">
        <v>0</v>
      </c>
      <c r="N2888">
        <v>3</v>
      </c>
      <c r="O2888">
        <v>3</v>
      </c>
      <c r="P2888">
        <v>4</v>
      </c>
      <c r="Q2888">
        <v>0</v>
      </c>
      <c r="R2888">
        <v>26.68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3</v>
      </c>
      <c r="AC2888">
        <v>0</v>
      </c>
      <c r="AH2888">
        <v>29.68</v>
      </c>
    </row>
    <row r="2889" spans="1:34" x14ac:dyDescent="0.3">
      <c r="A2889" s="4">
        <v>3005</v>
      </c>
      <c r="B2889" s="5">
        <v>2882</v>
      </c>
      <c r="C2889">
        <v>1413</v>
      </c>
      <c r="D2889" t="s">
        <v>23233</v>
      </c>
      <c r="E2889" t="s">
        <v>268</v>
      </c>
      <c r="F2889" t="s">
        <v>17</v>
      </c>
      <c r="G2889" t="s">
        <v>23234</v>
      </c>
      <c r="H2889">
        <v>17.68</v>
      </c>
      <c r="I2889">
        <v>0</v>
      </c>
      <c r="J2889">
        <v>0</v>
      </c>
      <c r="K2889">
        <v>0</v>
      </c>
      <c r="M2889">
        <v>5</v>
      </c>
      <c r="O2889">
        <v>5</v>
      </c>
      <c r="P2889">
        <v>4</v>
      </c>
      <c r="Q2889">
        <v>0</v>
      </c>
      <c r="R2889">
        <v>26.68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3</v>
      </c>
      <c r="AC2889">
        <v>0</v>
      </c>
      <c r="AH2889">
        <v>29.68</v>
      </c>
    </row>
    <row r="2890" spans="1:34" x14ac:dyDescent="0.3">
      <c r="A2890" s="4">
        <v>3006</v>
      </c>
      <c r="B2890" s="5">
        <v>2883</v>
      </c>
      <c r="C2890">
        <v>7765</v>
      </c>
      <c r="D2890" t="s">
        <v>15394</v>
      </c>
      <c r="E2890" t="s">
        <v>100</v>
      </c>
      <c r="F2890" t="s">
        <v>68</v>
      </c>
      <c r="G2890" t="s">
        <v>23235</v>
      </c>
      <c r="H2890">
        <v>20.68</v>
      </c>
      <c r="I2890">
        <v>0</v>
      </c>
      <c r="J2890">
        <v>0</v>
      </c>
      <c r="K2890">
        <v>0</v>
      </c>
      <c r="M2890">
        <v>5</v>
      </c>
      <c r="O2890">
        <v>5</v>
      </c>
      <c r="P2890">
        <v>4</v>
      </c>
      <c r="Q2890">
        <v>0</v>
      </c>
      <c r="R2890">
        <v>29.68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H2890">
        <v>29.68</v>
      </c>
    </row>
    <row r="2891" spans="1:34" x14ac:dyDescent="0.3">
      <c r="A2891" s="4">
        <v>3007</v>
      </c>
      <c r="B2891" s="5">
        <v>2884</v>
      </c>
      <c r="C2891">
        <v>14461</v>
      </c>
      <c r="D2891" t="s">
        <v>23236</v>
      </c>
      <c r="E2891" t="s">
        <v>81</v>
      </c>
      <c r="F2891" t="s">
        <v>17</v>
      </c>
      <c r="G2891" t="s">
        <v>23237</v>
      </c>
      <c r="H2891">
        <v>20.65</v>
      </c>
      <c r="I2891">
        <v>0</v>
      </c>
      <c r="J2891">
        <v>0</v>
      </c>
      <c r="K2891">
        <v>0</v>
      </c>
      <c r="M2891">
        <v>5</v>
      </c>
      <c r="O2891">
        <v>5</v>
      </c>
      <c r="P2891">
        <v>4</v>
      </c>
      <c r="Q2891">
        <v>0</v>
      </c>
      <c r="R2891">
        <v>29.65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H2891">
        <v>29.65</v>
      </c>
    </row>
    <row r="2892" spans="1:34" x14ac:dyDescent="0.3">
      <c r="A2892" s="4">
        <v>3008</v>
      </c>
      <c r="B2892" s="5">
        <v>2885</v>
      </c>
      <c r="C2892">
        <v>5447</v>
      </c>
      <c r="D2892" t="s">
        <v>1973</v>
      </c>
      <c r="E2892" t="s">
        <v>23238</v>
      </c>
      <c r="F2892" t="s">
        <v>30</v>
      </c>
      <c r="G2892" t="s">
        <v>23239</v>
      </c>
      <c r="H2892">
        <v>20.65</v>
      </c>
      <c r="I2892">
        <v>0</v>
      </c>
      <c r="J2892">
        <v>0</v>
      </c>
      <c r="K2892">
        <v>0</v>
      </c>
      <c r="N2892">
        <v>3</v>
      </c>
      <c r="O2892">
        <v>3</v>
      </c>
      <c r="P2892">
        <v>4</v>
      </c>
      <c r="Q2892">
        <v>2</v>
      </c>
      <c r="R2892">
        <v>29.65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H2892">
        <v>29.65</v>
      </c>
    </row>
    <row r="2893" spans="1:34" x14ac:dyDescent="0.3">
      <c r="A2893" s="4">
        <v>3009</v>
      </c>
      <c r="B2893" s="5">
        <v>2886</v>
      </c>
      <c r="C2893">
        <v>541</v>
      </c>
      <c r="D2893" t="s">
        <v>23240</v>
      </c>
      <c r="E2893" t="s">
        <v>22</v>
      </c>
      <c r="F2893" t="s">
        <v>68</v>
      </c>
      <c r="G2893" t="s">
        <v>23241</v>
      </c>
      <c r="H2893">
        <v>19.63</v>
      </c>
      <c r="I2893">
        <v>0</v>
      </c>
      <c r="J2893">
        <v>0</v>
      </c>
      <c r="K2893">
        <v>0</v>
      </c>
      <c r="N2893">
        <v>3</v>
      </c>
      <c r="O2893">
        <v>3</v>
      </c>
      <c r="P2893">
        <v>4</v>
      </c>
      <c r="Q2893">
        <v>0</v>
      </c>
      <c r="R2893">
        <v>26.63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3</v>
      </c>
      <c r="AC2893">
        <v>0</v>
      </c>
      <c r="AH2893">
        <v>29.63</v>
      </c>
    </row>
    <row r="2894" spans="1:34" x14ac:dyDescent="0.3">
      <c r="A2894" s="4">
        <v>3010</v>
      </c>
      <c r="B2894" s="5">
        <v>2887</v>
      </c>
      <c r="C2894">
        <v>11566</v>
      </c>
      <c r="D2894" t="s">
        <v>2605</v>
      </c>
      <c r="E2894" t="s">
        <v>170</v>
      </c>
      <c r="F2894" t="s">
        <v>136</v>
      </c>
      <c r="G2894" t="s">
        <v>23242</v>
      </c>
      <c r="H2894">
        <v>18.63</v>
      </c>
      <c r="I2894">
        <v>0</v>
      </c>
      <c r="J2894">
        <v>0</v>
      </c>
      <c r="K2894">
        <v>0</v>
      </c>
      <c r="L2894">
        <v>7</v>
      </c>
      <c r="O2894">
        <v>7</v>
      </c>
      <c r="P2894">
        <v>4</v>
      </c>
      <c r="Q2894">
        <v>0</v>
      </c>
      <c r="R2894">
        <v>29.63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H2894">
        <v>29.63</v>
      </c>
    </row>
    <row r="2895" spans="1:34" x14ac:dyDescent="0.3">
      <c r="A2895" s="4">
        <v>3011</v>
      </c>
      <c r="B2895" s="5">
        <v>2888</v>
      </c>
      <c r="C2895">
        <v>6275</v>
      </c>
      <c r="D2895" t="s">
        <v>23243</v>
      </c>
      <c r="E2895" t="s">
        <v>26</v>
      </c>
      <c r="F2895" t="s">
        <v>23244</v>
      </c>
      <c r="G2895" t="s">
        <v>23245</v>
      </c>
      <c r="H2895">
        <v>18.63</v>
      </c>
      <c r="I2895">
        <v>0</v>
      </c>
      <c r="J2895">
        <v>0</v>
      </c>
      <c r="K2895">
        <v>0</v>
      </c>
      <c r="L2895">
        <v>7</v>
      </c>
      <c r="O2895">
        <v>7</v>
      </c>
      <c r="P2895">
        <v>4</v>
      </c>
      <c r="Q2895">
        <v>0</v>
      </c>
      <c r="R2895">
        <v>29.63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H2895">
        <v>29.63</v>
      </c>
    </row>
    <row r="2896" spans="1:34" x14ac:dyDescent="0.3">
      <c r="A2896" s="4">
        <v>3012</v>
      </c>
      <c r="B2896" s="5">
        <v>2889</v>
      </c>
      <c r="C2896">
        <v>8301</v>
      </c>
      <c r="D2896" t="s">
        <v>23246</v>
      </c>
      <c r="E2896" t="s">
        <v>166</v>
      </c>
      <c r="F2896" t="s">
        <v>20</v>
      </c>
      <c r="G2896" t="s">
        <v>23247</v>
      </c>
      <c r="H2896">
        <v>19.600000000000001</v>
      </c>
      <c r="I2896">
        <v>0</v>
      </c>
      <c r="J2896">
        <v>0</v>
      </c>
      <c r="K2896">
        <v>0</v>
      </c>
      <c r="O2896">
        <v>0</v>
      </c>
      <c r="P2896">
        <v>4</v>
      </c>
      <c r="Q2896">
        <v>0</v>
      </c>
      <c r="R2896">
        <v>23.6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6</v>
      </c>
      <c r="AC2896">
        <v>0</v>
      </c>
      <c r="AH2896">
        <v>29.6</v>
      </c>
    </row>
    <row r="2897" spans="1:34" x14ac:dyDescent="0.3">
      <c r="A2897" s="4">
        <v>3013</v>
      </c>
      <c r="B2897" s="5">
        <v>2890</v>
      </c>
      <c r="C2897">
        <v>8534</v>
      </c>
      <c r="D2897" t="s">
        <v>5587</v>
      </c>
      <c r="E2897" t="s">
        <v>744</v>
      </c>
      <c r="F2897" t="s">
        <v>30</v>
      </c>
      <c r="G2897" t="s">
        <v>23248</v>
      </c>
      <c r="H2897">
        <v>19.600000000000001</v>
      </c>
      <c r="I2897">
        <v>0</v>
      </c>
      <c r="J2897">
        <v>0</v>
      </c>
      <c r="K2897">
        <v>0</v>
      </c>
      <c r="N2897">
        <v>3</v>
      </c>
      <c r="O2897">
        <v>3</v>
      </c>
      <c r="P2897">
        <v>4</v>
      </c>
      <c r="Q2897">
        <v>0</v>
      </c>
      <c r="R2897">
        <v>26.6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3</v>
      </c>
      <c r="AC2897">
        <v>0</v>
      </c>
      <c r="AH2897">
        <v>29.6</v>
      </c>
    </row>
    <row r="2898" spans="1:34" x14ac:dyDescent="0.3">
      <c r="A2898" s="4">
        <v>3014</v>
      </c>
      <c r="B2898" s="5">
        <v>2891</v>
      </c>
      <c r="C2898">
        <v>7458</v>
      </c>
      <c r="D2898" t="s">
        <v>23249</v>
      </c>
      <c r="E2898" t="s">
        <v>38</v>
      </c>
      <c r="F2898" t="s">
        <v>124</v>
      </c>
      <c r="G2898" t="s">
        <v>23250</v>
      </c>
      <c r="H2898">
        <v>19.600000000000001</v>
      </c>
      <c r="I2898">
        <v>0</v>
      </c>
      <c r="J2898">
        <v>0</v>
      </c>
      <c r="K2898">
        <v>0</v>
      </c>
      <c r="N2898">
        <v>3</v>
      </c>
      <c r="O2898">
        <v>3</v>
      </c>
      <c r="P2898">
        <v>4</v>
      </c>
      <c r="Q2898">
        <v>0</v>
      </c>
      <c r="R2898">
        <v>26.6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3</v>
      </c>
      <c r="AC2898">
        <v>0</v>
      </c>
      <c r="AH2898">
        <v>29.6</v>
      </c>
    </row>
    <row r="2899" spans="1:34" x14ac:dyDescent="0.3">
      <c r="A2899" s="4">
        <v>3015</v>
      </c>
      <c r="B2899" s="5">
        <v>2892</v>
      </c>
      <c r="C2899">
        <v>1240</v>
      </c>
      <c r="D2899" t="s">
        <v>23251</v>
      </c>
      <c r="E2899" t="s">
        <v>22</v>
      </c>
      <c r="F2899" t="s">
        <v>1526</v>
      </c>
      <c r="G2899" t="s">
        <v>23252</v>
      </c>
      <c r="H2899">
        <v>19.600000000000001</v>
      </c>
      <c r="I2899">
        <v>0</v>
      </c>
      <c r="J2899">
        <v>0</v>
      </c>
      <c r="K2899">
        <v>0</v>
      </c>
      <c r="N2899">
        <v>3</v>
      </c>
      <c r="O2899">
        <v>3</v>
      </c>
      <c r="P2899">
        <v>4</v>
      </c>
      <c r="Q2899">
        <v>0</v>
      </c>
      <c r="R2899">
        <v>26.6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3</v>
      </c>
      <c r="AC2899">
        <v>0</v>
      </c>
      <c r="AH2899">
        <v>29.6</v>
      </c>
    </row>
    <row r="2900" spans="1:34" x14ac:dyDescent="0.3">
      <c r="A2900" s="4">
        <v>3016</v>
      </c>
      <c r="B2900" s="5">
        <v>2893</v>
      </c>
      <c r="C2900">
        <v>15685</v>
      </c>
      <c r="D2900" t="s">
        <v>10495</v>
      </c>
      <c r="E2900" t="s">
        <v>697</v>
      </c>
      <c r="F2900" t="s">
        <v>488</v>
      </c>
      <c r="G2900" t="s">
        <v>23253</v>
      </c>
      <c r="H2900">
        <v>18.600000000000001</v>
      </c>
      <c r="I2900">
        <v>0</v>
      </c>
      <c r="J2900">
        <v>0</v>
      </c>
      <c r="K2900">
        <v>0</v>
      </c>
      <c r="L2900">
        <v>7</v>
      </c>
      <c r="O2900">
        <v>7</v>
      </c>
      <c r="P2900">
        <v>4</v>
      </c>
      <c r="Q2900">
        <v>0</v>
      </c>
      <c r="R2900">
        <v>29.6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H2900">
        <v>29.6</v>
      </c>
    </row>
    <row r="2901" spans="1:34" x14ac:dyDescent="0.3">
      <c r="A2901" s="4">
        <v>3017</v>
      </c>
      <c r="B2901" s="5">
        <v>2894</v>
      </c>
      <c r="C2901">
        <v>8823</v>
      </c>
      <c r="D2901" t="s">
        <v>8456</v>
      </c>
      <c r="E2901" t="s">
        <v>54</v>
      </c>
      <c r="F2901" t="s">
        <v>243</v>
      </c>
      <c r="G2901" t="s">
        <v>23254</v>
      </c>
      <c r="H2901">
        <v>18.600000000000001</v>
      </c>
      <c r="I2901">
        <v>0</v>
      </c>
      <c r="J2901">
        <v>0</v>
      </c>
      <c r="K2901">
        <v>0</v>
      </c>
      <c r="L2901">
        <v>7</v>
      </c>
      <c r="O2901">
        <v>7</v>
      </c>
      <c r="P2901">
        <v>4</v>
      </c>
      <c r="Q2901">
        <v>0</v>
      </c>
      <c r="R2901">
        <v>29.6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H2901">
        <v>29.6</v>
      </c>
    </row>
    <row r="2902" spans="1:34" x14ac:dyDescent="0.3">
      <c r="A2902" s="4">
        <v>3018</v>
      </c>
      <c r="B2902" s="5">
        <v>2895</v>
      </c>
      <c r="C2902">
        <v>7102</v>
      </c>
      <c r="D2902" t="s">
        <v>23255</v>
      </c>
      <c r="E2902" t="s">
        <v>161</v>
      </c>
      <c r="F2902" t="s">
        <v>381</v>
      </c>
      <c r="G2902" t="s">
        <v>23256</v>
      </c>
      <c r="H2902">
        <v>20.58</v>
      </c>
      <c r="I2902">
        <v>0</v>
      </c>
      <c r="J2902">
        <v>0</v>
      </c>
      <c r="K2902">
        <v>0</v>
      </c>
      <c r="N2902">
        <v>3</v>
      </c>
      <c r="O2902">
        <v>3</v>
      </c>
      <c r="P2902">
        <v>4</v>
      </c>
      <c r="Q2902">
        <v>2</v>
      </c>
      <c r="R2902">
        <v>29.58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H2902">
        <v>29.58</v>
      </c>
    </row>
    <row r="2903" spans="1:34" x14ac:dyDescent="0.3">
      <c r="A2903" s="4">
        <v>3019</v>
      </c>
      <c r="B2903" s="5">
        <v>2896</v>
      </c>
      <c r="C2903">
        <v>14005</v>
      </c>
      <c r="D2903" t="s">
        <v>9773</v>
      </c>
      <c r="E2903" t="s">
        <v>789</v>
      </c>
      <c r="F2903" t="s">
        <v>9774</v>
      </c>
      <c r="G2903" t="s">
        <v>23257</v>
      </c>
      <c r="H2903">
        <v>18.579999999999998</v>
      </c>
      <c r="I2903">
        <v>0</v>
      </c>
      <c r="J2903">
        <v>0</v>
      </c>
      <c r="K2903">
        <v>0</v>
      </c>
      <c r="L2903">
        <v>7</v>
      </c>
      <c r="O2903">
        <v>7</v>
      </c>
      <c r="P2903">
        <v>4</v>
      </c>
      <c r="Q2903">
        <v>0</v>
      </c>
      <c r="R2903">
        <v>29.58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H2903">
        <v>29.58</v>
      </c>
    </row>
    <row r="2904" spans="1:34" x14ac:dyDescent="0.3">
      <c r="A2904" s="4">
        <v>3020</v>
      </c>
      <c r="B2904" s="5">
        <v>2897</v>
      </c>
      <c r="C2904">
        <v>15168</v>
      </c>
      <c r="D2904" t="s">
        <v>3752</v>
      </c>
      <c r="E2904" t="s">
        <v>178</v>
      </c>
      <c r="F2904" t="s">
        <v>62</v>
      </c>
      <c r="G2904" t="s">
        <v>23258</v>
      </c>
      <c r="H2904">
        <v>17.55</v>
      </c>
      <c r="I2904">
        <v>0</v>
      </c>
      <c r="J2904">
        <v>0</v>
      </c>
      <c r="K2904">
        <v>0</v>
      </c>
      <c r="N2904">
        <v>6</v>
      </c>
      <c r="O2904">
        <v>6</v>
      </c>
      <c r="P2904">
        <v>0</v>
      </c>
      <c r="Q2904">
        <v>0</v>
      </c>
      <c r="R2904">
        <v>23.55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6</v>
      </c>
      <c r="AC2904">
        <v>0</v>
      </c>
      <c r="AH2904">
        <v>29.55</v>
      </c>
    </row>
    <row r="2905" spans="1:34" x14ac:dyDescent="0.3">
      <c r="A2905" s="4">
        <v>3021</v>
      </c>
      <c r="B2905" s="5">
        <v>2898</v>
      </c>
      <c r="C2905">
        <v>14787</v>
      </c>
      <c r="D2905" t="s">
        <v>9098</v>
      </c>
      <c r="E2905" t="s">
        <v>41</v>
      </c>
      <c r="F2905" t="s">
        <v>136</v>
      </c>
      <c r="G2905" t="s">
        <v>23259</v>
      </c>
      <c r="H2905">
        <v>17.55</v>
      </c>
      <c r="I2905">
        <v>0</v>
      </c>
      <c r="J2905">
        <v>0</v>
      </c>
      <c r="K2905">
        <v>0</v>
      </c>
      <c r="M2905">
        <v>5</v>
      </c>
      <c r="O2905">
        <v>5</v>
      </c>
      <c r="P2905">
        <v>4</v>
      </c>
      <c r="Q2905">
        <v>0</v>
      </c>
      <c r="R2905">
        <v>26.55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3</v>
      </c>
      <c r="AC2905">
        <v>0</v>
      </c>
      <c r="AH2905">
        <v>29.55</v>
      </c>
    </row>
    <row r="2906" spans="1:34" x14ac:dyDescent="0.3">
      <c r="A2906" s="4">
        <v>3022</v>
      </c>
      <c r="B2906" s="5">
        <v>2899</v>
      </c>
      <c r="C2906">
        <v>11467</v>
      </c>
      <c r="D2906" t="s">
        <v>23260</v>
      </c>
      <c r="E2906" t="s">
        <v>23261</v>
      </c>
      <c r="F2906" t="s">
        <v>2225</v>
      </c>
      <c r="G2906" t="s">
        <v>23262</v>
      </c>
      <c r="H2906">
        <v>22.55</v>
      </c>
      <c r="I2906">
        <v>0</v>
      </c>
      <c r="J2906">
        <v>0</v>
      </c>
      <c r="K2906">
        <v>0</v>
      </c>
      <c r="L2906">
        <v>7</v>
      </c>
      <c r="O2906">
        <v>7</v>
      </c>
      <c r="P2906">
        <v>0</v>
      </c>
      <c r="Q2906">
        <v>0</v>
      </c>
      <c r="R2906">
        <v>29.55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H2906">
        <v>29.55</v>
      </c>
    </row>
    <row r="2907" spans="1:34" x14ac:dyDescent="0.3">
      <c r="A2907" s="4">
        <v>3023</v>
      </c>
      <c r="B2907" s="5">
        <v>2900</v>
      </c>
      <c r="C2907">
        <v>15505</v>
      </c>
      <c r="D2907" t="s">
        <v>23263</v>
      </c>
      <c r="E2907" t="s">
        <v>22956</v>
      </c>
      <c r="F2907" t="s">
        <v>20</v>
      </c>
      <c r="G2907" t="s">
        <v>23264</v>
      </c>
      <c r="H2907">
        <v>18.55</v>
      </c>
      <c r="I2907">
        <v>0</v>
      </c>
      <c r="J2907">
        <v>0</v>
      </c>
      <c r="K2907">
        <v>0</v>
      </c>
      <c r="L2907">
        <v>7</v>
      </c>
      <c r="O2907">
        <v>7</v>
      </c>
      <c r="P2907">
        <v>4</v>
      </c>
      <c r="Q2907">
        <v>0</v>
      </c>
      <c r="R2907">
        <v>29.55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H2907">
        <v>29.55</v>
      </c>
    </row>
    <row r="2908" spans="1:34" x14ac:dyDescent="0.3">
      <c r="A2908" s="4">
        <v>3024</v>
      </c>
      <c r="B2908" s="5">
        <v>2901</v>
      </c>
      <c r="C2908">
        <v>4109</v>
      </c>
      <c r="D2908" t="s">
        <v>6264</v>
      </c>
      <c r="E2908" t="s">
        <v>1484</v>
      </c>
      <c r="F2908" t="s">
        <v>117</v>
      </c>
      <c r="G2908" t="s">
        <v>23265</v>
      </c>
      <c r="H2908">
        <v>18.55</v>
      </c>
      <c r="I2908">
        <v>0</v>
      </c>
      <c r="J2908">
        <v>0</v>
      </c>
      <c r="K2908">
        <v>0</v>
      </c>
      <c r="L2908">
        <v>7</v>
      </c>
      <c r="O2908">
        <v>7</v>
      </c>
      <c r="P2908">
        <v>4</v>
      </c>
      <c r="Q2908">
        <v>0</v>
      </c>
      <c r="R2908">
        <v>29.55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H2908">
        <v>29.55</v>
      </c>
    </row>
    <row r="2909" spans="1:34" x14ac:dyDescent="0.3">
      <c r="A2909" s="4">
        <v>3025</v>
      </c>
      <c r="B2909" s="5">
        <v>2902</v>
      </c>
      <c r="C2909">
        <v>10710</v>
      </c>
      <c r="D2909" t="s">
        <v>9346</v>
      </c>
      <c r="E2909" t="s">
        <v>88</v>
      </c>
      <c r="F2909" t="s">
        <v>136</v>
      </c>
      <c r="G2909" t="s">
        <v>23266</v>
      </c>
      <c r="H2909">
        <v>18.53</v>
      </c>
      <c r="I2909">
        <v>0</v>
      </c>
      <c r="J2909">
        <v>0</v>
      </c>
      <c r="K2909">
        <v>0</v>
      </c>
      <c r="O2909">
        <v>0</v>
      </c>
      <c r="P2909">
        <v>0</v>
      </c>
      <c r="Q2909">
        <v>2</v>
      </c>
      <c r="R2909">
        <v>20.53</v>
      </c>
      <c r="S2909">
        <v>3</v>
      </c>
      <c r="T2909">
        <v>3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3</v>
      </c>
      <c r="AB2909">
        <v>6</v>
      </c>
      <c r="AC2909">
        <v>0</v>
      </c>
      <c r="AH2909">
        <v>29.53</v>
      </c>
    </row>
    <row r="2910" spans="1:34" x14ac:dyDescent="0.3">
      <c r="A2910" s="4">
        <v>3026</v>
      </c>
      <c r="B2910" s="5">
        <v>2903</v>
      </c>
      <c r="C2910">
        <v>14768</v>
      </c>
      <c r="D2910" t="s">
        <v>4820</v>
      </c>
      <c r="E2910" t="s">
        <v>1231</v>
      </c>
      <c r="F2910" t="s">
        <v>30</v>
      </c>
      <c r="G2910" t="s">
        <v>23267</v>
      </c>
      <c r="H2910">
        <v>22.53</v>
      </c>
      <c r="I2910">
        <v>0</v>
      </c>
      <c r="J2910">
        <v>0</v>
      </c>
      <c r="K2910">
        <v>0</v>
      </c>
      <c r="N2910">
        <v>3</v>
      </c>
      <c r="O2910">
        <v>3</v>
      </c>
      <c r="P2910">
        <v>4</v>
      </c>
      <c r="Q2910">
        <v>0</v>
      </c>
      <c r="R2910">
        <v>29.53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H2910">
        <v>29.53</v>
      </c>
    </row>
    <row r="2911" spans="1:34" x14ac:dyDescent="0.3">
      <c r="A2911" s="4">
        <v>3027</v>
      </c>
      <c r="B2911" s="5">
        <v>2904</v>
      </c>
      <c r="C2911">
        <v>1484</v>
      </c>
      <c r="D2911" t="s">
        <v>23268</v>
      </c>
      <c r="E2911" t="s">
        <v>816</v>
      </c>
      <c r="F2911" t="s">
        <v>652</v>
      </c>
      <c r="G2911" t="s">
        <v>23269</v>
      </c>
      <c r="H2911">
        <v>18.53</v>
      </c>
      <c r="I2911">
        <v>0</v>
      </c>
      <c r="J2911">
        <v>0</v>
      </c>
      <c r="K2911">
        <v>0</v>
      </c>
      <c r="L2911">
        <v>7</v>
      </c>
      <c r="O2911">
        <v>7</v>
      </c>
      <c r="P2911">
        <v>4</v>
      </c>
      <c r="Q2911">
        <v>0</v>
      </c>
      <c r="R2911">
        <v>29.53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H2911">
        <v>29.53</v>
      </c>
    </row>
    <row r="2912" spans="1:34" x14ac:dyDescent="0.3">
      <c r="A2912" s="4">
        <v>3028</v>
      </c>
      <c r="B2912" s="5">
        <v>2905</v>
      </c>
      <c r="C2912">
        <v>6514</v>
      </c>
      <c r="D2912" t="s">
        <v>3718</v>
      </c>
      <c r="E2912" t="s">
        <v>289</v>
      </c>
      <c r="F2912" t="s">
        <v>3705</v>
      </c>
      <c r="G2912" t="s">
        <v>23270</v>
      </c>
      <c r="H2912">
        <v>19.5</v>
      </c>
      <c r="I2912">
        <v>0</v>
      </c>
      <c r="J2912">
        <v>0</v>
      </c>
      <c r="K2912">
        <v>0</v>
      </c>
      <c r="N2912">
        <v>3</v>
      </c>
      <c r="O2912">
        <v>3</v>
      </c>
      <c r="P2912">
        <v>4</v>
      </c>
      <c r="Q2912">
        <v>0</v>
      </c>
      <c r="R2912">
        <v>26.5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3</v>
      </c>
      <c r="AC2912">
        <v>0</v>
      </c>
      <c r="AH2912">
        <v>29.5</v>
      </c>
    </row>
    <row r="2913" spans="1:34" x14ac:dyDescent="0.3">
      <c r="A2913" s="4">
        <v>3029</v>
      </c>
      <c r="B2913" s="5">
        <v>2906</v>
      </c>
      <c r="C2913">
        <v>15660</v>
      </c>
      <c r="D2913" t="s">
        <v>799</v>
      </c>
      <c r="E2913" t="s">
        <v>2372</v>
      </c>
      <c r="F2913" t="s">
        <v>385</v>
      </c>
      <c r="G2913">
        <v>205581</v>
      </c>
      <c r="H2913">
        <v>18.5</v>
      </c>
      <c r="I2913">
        <v>0</v>
      </c>
      <c r="J2913">
        <v>0</v>
      </c>
      <c r="K2913">
        <v>0</v>
      </c>
      <c r="L2913">
        <v>7</v>
      </c>
      <c r="O2913">
        <v>7</v>
      </c>
      <c r="P2913">
        <v>4</v>
      </c>
      <c r="Q2913">
        <v>0</v>
      </c>
      <c r="R2913">
        <v>29.5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H2913">
        <v>29.5</v>
      </c>
    </row>
    <row r="2914" spans="1:34" x14ac:dyDescent="0.3">
      <c r="A2914" s="4">
        <v>3030</v>
      </c>
      <c r="B2914" s="5">
        <v>2907</v>
      </c>
      <c r="C2914">
        <v>12224</v>
      </c>
      <c r="D2914" t="s">
        <v>23271</v>
      </c>
      <c r="E2914" t="s">
        <v>26</v>
      </c>
      <c r="F2914" t="s">
        <v>20</v>
      </c>
      <c r="G2914" t="s">
        <v>23272</v>
      </c>
      <c r="H2914">
        <v>18.5</v>
      </c>
      <c r="I2914">
        <v>0</v>
      </c>
      <c r="J2914">
        <v>0</v>
      </c>
      <c r="K2914">
        <v>0</v>
      </c>
      <c r="L2914">
        <v>7</v>
      </c>
      <c r="O2914">
        <v>7</v>
      </c>
      <c r="P2914">
        <v>4</v>
      </c>
      <c r="Q2914">
        <v>0</v>
      </c>
      <c r="R2914">
        <v>29.5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H2914">
        <v>29.5</v>
      </c>
    </row>
    <row r="2915" spans="1:34" x14ac:dyDescent="0.3">
      <c r="A2915" s="4">
        <v>3031</v>
      </c>
      <c r="B2915" s="5">
        <v>2908</v>
      </c>
      <c r="C2915">
        <v>12730</v>
      </c>
      <c r="D2915" t="s">
        <v>23273</v>
      </c>
      <c r="E2915" t="s">
        <v>149</v>
      </c>
      <c r="F2915" t="s">
        <v>972</v>
      </c>
      <c r="G2915" t="s">
        <v>23274</v>
      </c>
      <c r="H2915">
        <v>19.48</v>
      </c>
      <c r="I2915">
        <v>0</v>
      </c>
      <c r="J2915">
        <v>0</v>
      </c>
      <c r="K2915">
        <v>0</v>
      </c>
      <c r="O2915">
        <v>0</v>
      </c>
      <c r="P2915">
        <v>4</v>
      </c>
      <c r="Q2915">
        <v>0</v>
      </c>
      <c r="R2915">
        <v>23.48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6</v>
      </c>
      <c r="AC2915">
        <v>0</v>
      </c>
      <c r="AH2915">
        <v>29.48</v>
      </c>
    </row>
    <row r="2916" spans="1:34" x14ac:dyDescent="0.3">
      <c r="A2916" s="4">
        <v>3032</v>
      </c>
      <c r="B2916" s="5">
        <v>2909</v>
      </c>
      <c r="C2916">
        <v>15192</v>
      </c>
      <c r="D2916" t="s">
        <v>310</v>
      </c>
      <c r="E2916" t="s">
        <v>23275</v>
      </c>
      <c r="F2916" t="s">
        <v>5304</v>
      </c>
      <c r="G2916" t="s">
        <v>23276</v>
      </c>
      <c r="H2916">
        <v>16.48</v>
      </c>
      <c r="I2916">
        <v>0</v>
      </c>
      <c r="J2916">
        <v>0</v>
      </c>
      <c r="K2916">
        <v>0</v>
      </c>
      <c r="N2916">
        <v>3</v>
      </c>
      <c r="O2916">
        <v>3</v>
      </c>
      <c r="P2916">
        <v>4</v>
      </c>
      <c r="Q2916">
        <v>0</v>
      </c>
      <c r="R2916">
        <v>23.48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6</v>
      </c>
      <c r="AC2916">
        <v>0</v>
      </c>
      <c r="AH2916">
        <v>29.48</v>
      </c>
    </row>
    <row r="2917" spans="1:34" x14ac:dyDescent="0.3">
      <c r="A2917" s="4">
        <v>3033</v>
      </c>
      <c r="B2917" s="5">
        <v>2910</v>
      </c>
      <c r="C2917">
        <v>10779</v>
      </c>
      <c r="D2917" t="s">
        <v>16865</v>
      </c>
      <c r="E2917" t="s">
        <v>1053</v>
      </c>
      <c r="F2917" t="s">
        <v>136</v>
      </c>
      <c r="G2917" t="s">
        <v>23277</v>
      </c>
      <c r="H2917">
        <v>19.48</v>
      </c>
      <c r="I2917">
        <v>0</v>
      </c>
      <c r="J2917">
        <v>0</v>
      </c>
      <c r="K2917">
        <v>0</v>
      </c>
      <c r="N2917">
        <v>3</v>
      </c>
      <c r="O2917">
        <v>3</v>
      </c>
      <c r="P2917">
        <v>4</v>
      </c>
      <c r="Q2917">
        <v>0</v>
      </c>
      <c r="R2917">
        <v>26.48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3</v>
      </c>
      <c r="AC2917">
        <v>0</v>
      </c>
      <c r="AH2917">
        <v>29.48</v>
      </c>
    </row>
    <row r="2918" spans="1:34" x14ac:dyDescent="0.3">
      <c r="A2918" s="4">
        <v>3034</v>
      </c>
      <c r="B2918" s="5">
        <v>2911</v>
      </c>
      <c r="C2918">
        <v>14966</v>
      </c>
      <c r="D2918" t="s">
        <v>23278</v>
      </c>
      <c r="E2918" t="s">
        <v>54</v>
      </c>
      <c r="F2918" t="s">
        <v>442</v>
      </c>
      <c r="G2918" t="s">
        <v>23279</v>
      </c>
      <c r="H2918">
        <v>19.48</v>
      </c>
      <c r="I2918">
        <v>0</v>
      </c>
      <c r="J2918">
        <v>0</v>
      </c>
      <c r="K2918">
        <v>0</v>
      </c>
      <c r="N2918">
        <v>3</v>
      </c>
      <c r="O2918">
        <v>3</v>
      </c>
      <c r="P2918">
        <v>4</v>
      </c>
      <c r="Q2918">
        <v>0</v>
      </c>
      <c r="R2918">
        <v>26.48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3</v>
      </c>
      <c r="AC2918">
        <v>0</v>
      </c>
      <c r="AH2918">
        <v>29.48</v>
      </c>
    </row>
    <row r="2919" spans="1:34" x14ac:dyDescent="0.3">
      <c r="A2919" s="4">
        <v>3035</v>
      </c>
      <c r="B2919" s="5">
        <v>2912</v>
      </c>
      <c r="C2919">
        <v>14738</v>
      </c>
      <c r="D2919" t="s">
        <v>181</v>
      </c>
      <c r="E2919" t="s">
        <v>1576</v>
      </c>
      <c r="F2919" t="s">
        <v>975</v>
      </c>
      <c r="G2919" t="s">
        <v>23280</v>
      </c>
      <c r="H2919">
        <v>17.48</v>
      </c>
      <c r="I2919">
        <v>0</v>
      </c>
      <c r="J2919">
        <v>0</v>
      </c>
      <c r="K2919">
        <v>0</v>
      </c>
      <c r="N2919">
        <v>3</v>
      </c>
      <c r="O2919">
        <v>3</v>
      </c>
      <c r="P2919">
        <v>4</v>
      </c>
      <c r="Q2919">
        <v>2</v>
      </c>
      <c r="R2919">
        <v>26.48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3</v>
      </c>
      <c r="AC2919">
        <v>0</v>
      </c>
      <c r="AH2919">
        <v>29.48</v>
      </c>
    </row>
    <row r="2920" spans="1:34" x14ac:dyDescent="0.3">
      <c r="A2920" s="4">
        <v>3036</v>
      </c>
      <c r="B2920" s="5">
        <v>2913</v>
      </c>
      <c r="C2920">
        <v>962</v>
      </c>
      <c r="D2920" t="s">
        <v>23281</v>
      </c>
      <c r="E2920" t="s">
        <v>178</v>
      </c>
      <c r="F2920" t="s">
        <v>38</v>
      </c>
      <c r="G2920" t="s">
        <v>23282</v>
      </c>
      <c r="H2920">
        <v>20.48</v>
      </c>
      <c r="I2920">
        <v>0</v>
      </c>
      <c r="J2920">
        <v>0</v>
      </c>
      <c r="K2920">
        <v>0</v>
      </c>
      <c r="M2920">
        <v>5</v>
      </c>
      <c r="O2920">
        <v>5</v>
      </c>
      <c r="P2920">
        <v>4</v>
      </c>
      <c r="Q2920">
        <v>0</v>
      </c>
      <c r="R2920">
        <v>29.48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 t="s">
        <v>130</v>
      </c>
      <c r="AH2920">
        <v>29.48</v>
      </c>
    </row>
    <row r="2921" spans="1:34" x14ac:dyDescent="0.3">
      <c r="A2921" s="4">
        <v>3037</v>
      </c>
      <c r="B2921" s="5">
        <v>2914</v>
      </c>
      <c r="C2921">
        <v>5718</v>
      </c>
      <c r="D2921" t="s">
        <v>1624</v>
      </c>
      <c r="E2921" t="s">
        <v>23283</v>
      </c>
      <c r="F2921" t="s">
        <v>30</v>
      </c>
      <c r="G2921" t="s">
        <v>23284</v>
      </c>
      <c r="H2921">
        <v>18.48</v>
      </c>
      <c r="I2921">
        <v>0</v>
      </c>
      <c r="J2921">
        <v>0</v>
      </c>
      <c r="K2921">
        <v>0</v>
      </c>
      <c r="L2921">
        <v>7</v>
      </c>
      <c r="O2921">
        <v>7</v>
      </c>
      <c r="P2921">
        <v>4</v>
      </c>
      <c r="Q2921">
        <v>0</v>
      </c>
      <c r="R2921">
        <v>29.48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H2921">
        <v>29.48</v>
      </c>
    </row>
    <row r="2922" spans="1:34" x14ac:dyDescent="0.3">
      <c r="A2922" s="4">
        <v>3038</v>
      </c>
      <c r="B2922" s="5">
        <v>2915</v>
      </c>
      <c r="C2922">
        <v>13929</v>
      </c>
      <c r="D2922" t="s">
        <v>23285</v>
      </c>
      <c r="E2922" t="s">
        <v>283</v>
      </c>
      <c r="F2922" t="s">
        <v>81</v>
      </c>
      <c r="G2922" t="s">
        <v>23286</v>
      </c>
      <c r="H2922">
        <v>18.45</v>
      </c>
      <c r="I2922">
        <v>0</v>
      </c>
      <c r="J2922">
        <v>0</v>
      </c>
      <c r="K2922">
        <v>0</v>
      </c>
      <c r="M2922">
        <v>5</v>
      </c>
      <c r="N2922">
        <v>3</v>
      </c>
      <c r="O2922">
        <v>8</v>
      </c>
      <c r="P2922">
        <v>0</v>
      </c>
      <c r="Q2922">
        <v>0</v>
      </c>
      <c r="R2922">
        <v>26.45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3</v>
      </c>
      <c r="AC2922">
        <v>0</v>
      </c>
      <c r="AH2922">
        <v>29.45</v>
      </c>
    </row>
    <row r="2923" spans="1:34" x14ac:dyDescent="0.3">
      <c r="A2923" s="4">
        <v>3039</v>
      </c>
      <c r="B2923" s="5">
        <v>2916</v>
      </c>
      <c r="C2923">
        <v>15442</v>
      </c>
      <c r="D2923" t="s">
        <v>9676</v>
      </c>
      <c r="E2923" t="s">
        <v>208</v>
      </c>
      <c r="F2923" t="s">
        <v>20</v>
      </c>
      <c r="G2923" t="s">
        <v>23287</v>
      </c>
      <c r="H2923">
        <v>18.45</v>
      </c>
      <c r="I2923">
        <v>0</v>
      </c>
      <c r="J2923">
        <v>0</v>
      </c>
      <c r="K2923">
        <v>0</v>
      </c>
      <c r="L2923">
        <v>7</v>
      </c>
      <c r="O2923">
        <v>7</v>
      </c>
      <c r="P2923">
        <v>4</v>
      </c>
      <c r="Q2923">
        <v>0</v>
      </c>
      <c r="R2923">
        <v>29.45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H2923">
        <v>29.45</v>
      </c>
    </row>
    <row r="2924" spans="1:34" x14ac:dyDescent="0.3">
      <c r="A2924" s="4">
        <v>3040</v>
      </c>
      <c r="B2924" s="5">
        <v>2917</v>
      </c>
      <c r="C2924">
        <v>13408</v>
      </c>
      <c r="D2924" t="s">
        <v>1528</v>
      </c>
      <c r="E2924" t="s">
        <v>166</v>
      </c>
      <c r="F2924" t="s">
        <v>909</v>
      </c>
      <c r="G2924" t="s">
        <v>23288</v>
      </c>
      <c r="H2924">
        <v>19.43</v>
      </c>
      <c r="I2924">
        <v>0</v>
      </c>
      <c r="J2924">
        <v>0</v>
      </c>
      <c r="K2924">
        <v>0</v>
      </c>
      <c r="O2924">
        <v>0</v>
      </c>
      <c r="P2924">
        <v>4</v>
      </c>
      <c r="Q2924">
        <v>0</v>
      </c>
      <c r="R2924">
        <v>23.43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6</v>
      </c>
      <c r="AC2924">
        <v>0</v>
      </c>
      <c r="AH2924">
        <v>29.43</v>
      </c>
    </row>
    <row r="2925" spans="1:34" x14ac:dyDescent="0.3">
      <c r="A2925" s="4">
        <v>3041</v>
      </c>
      <c r="B2925" s="5">
        <v>2918</v>
      </c>
      <c r="C2925">
        <v>1028</v>
      </c>
      <c r="D2925" t="s">
        <v>23289</v>
      </c>
      <c r="E2925" t="s">
        <v>1474</v>
      </c>
      <c r="F2925" t="s">
        <v>91</v>
      </c>
      <c r="G2925" t="s">
        <v>23290</v>
      </c>
      <c r="H2925">
        <v>19.43</v>
      </c>
      <c r="I2925">
        <v>0</v>
      </c>
      <c r="J2925">
        <v>0</v>
      </c>
      <c r="K2925">
        <v>0</v>
      </c>
      <c r="N2925">
        <v>3</v>
      </c>
      <c r="O2925">
        <v>3</v>
      </c>
      <c r="P2925">
        <v>4</v>
      </c>
      <c r="Q2925">
        <v>0</v>
      </c>
      <c r="R2925">
        <v>26.43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3</v>
      </c>
      <c r="AC2925">
        <v>0</v>
      </c>
      <c r="AH2925">
        <v>29.43</v>
      </c>
    </row>
    <row r="2926" spans="1:34" x14ac:dyDescent="0.3">
      <c r="A2926" s="4">
        <v>3042</v>
      </c>
      <c r="B2926" s="5">
        <v>2919</v>
      </c>
      <c r="C2926">
        <v>474</v>
      </c>
      <c r="D2926" t="s">
        <v>15552</v>
      </c>
      <c r="E2926" t="s">
        <v>5537</v>
      </c>
      <c r="F2926" t="s">
        <v>136</v>
      </c>
      <c r="G2926" t="s">
        <v>23291</v>
      </c>
      <c r="H2926">
        <v>17.43</v>
      </c>
      <c r="I2926">
        <v>0</v>
      </c>
      <c r="J2926">
        <v>0</v>
      </c>
      <c r="K2926">
        <v>0</v>
      </c>
      <c r="N2926">
        <v>3</v>
      </c>
      <c r="O2926">
        <v>3</v>
      </c>
      <c r="P2926">
        <v>4</v>
      </c>
      <c r="Q2926">
        <v>2</v>
      </c>
      <c r="R2926">
        <v>26.43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3</v>
      </c>
      <c r="AC2926">
        <v>0</v>
      </c>
      <c r="AH2926">
        <v>29.43</v>
      </c>
    </row>
    <row r="2927" spans="1:34" x14ac:dyDescent="0.3">
      <c r="A2927" s="4">
        <v>3043</v>
      </c>
      <c r="B2927" s="5">
        <v>2920</v>
      </c>
      <c r="C2927">
        <v>10889</v>
      </c>
      <c r="D2927" t="s">
        <v>165</v>
      </c>
      <c r="E2927" t="s">
        <v>110</v>
      </c>
      <c r="F2927" t="s">
        <v>17457</v>
      </c>
      <c r="G2927" t="s">
        <v>23292</v>
      </c>
      <c r="H2927">
        <v>17.43</v>
      </c>
      <c r="I2927">
        <v>0</v>
      </c>
      <c r="J2927">
        <v>0</v>
      </c>
      <c r="K2927">
        <v>0</v>
      </c>
      <c r="M2927">
        <v>5</v>
      </c>
      <c r="N2927">
        <v>3</v>
      </c>
      <c r="O2927">
        <v>8</v>
      </c>
      <c r="P2927">
        <v>4</v>
      </c>
      <c r="Q2927">
        <v>0</v>
      </c>
      <c r="R2927">
        <v>29.43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H2927">
        <v>29.43</v>
      </c>
    </row>
    <row r="2928" spans="1:34" x14ac:dyDescent="0.3">
      <c r="A2928" s="4">
        <v>3044</v>
      </c>
      <c r="B2928" s="5">
        <v>2921</v>
      </c>
      <c r="C2928">
        <v>10785</v>
      </c>
      <c r="D2928" t="s">
        <v>23293</v>
      </c>
      <c r="E2928" t="s">
        <v>188</v>
      </c>
      <c r="F2928" t="s">
        <v>243</v>
      </c>
      <c r="G2928" t="s">
        <v>23294</v>
      </c>
      <c r="H2928">
        <v>19.399999999999999</v>
      </c>
      <c r="I2928">
        <v>0</v>
      </c>
      <c r="J2928">
        <v>0</v>
      </c>
      <c r="K2928">
        <v>0</v>
      </c>
      <c r="O2928">
        <v>0</v>
      </c>
      <c r="P2928">
        <v>4</v>
      </c>
      <c r="Q2928">
        <v>0</v>
      </c>
      <c r="R2928">
        <v>23.4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6</v>
      </c>
      <c r="AC2928">
        <v>0</v>
      </c>
      <c r="AH2928">
        <v>29.4</v>
      </c>
    </row>
    <row r="2929" spans="1:34" x14ac:dyDescent="0.3">
      <c r="A2929" s="4">
        <v>3045</v>
      </c>
      <c r="B2929" s="5">
        <v>2922</v>
      </c>
      <c r="C2929">
        <v>2601</v>
      </c>
      <c r="D2929" t="s">
        <v>23295</v>
      </c>
      <c r="E2929" t="s">
        <v>81</v>
      </c>
      <c r="F2929" t="s">
        <v>38</v>
      </c>
      <c r="G2929" t="s">
        <v>23296</v>
      </c>
      <c r="H2929">
        <v>22.4</v>
      </c>
      <c r="I2929">
        <v>0</v>
      </c>
      <c r="J2929">
        <v>0</v>
      </c>
      <c r="K2929">
        <v>0</v>
      </c>
      <c r="N2929">
        <v>3</v>
      </c>
      <c r="O2929">
        <v>3</v>
      </c>
      <c r="P2929">
        <v>4</v>
      </c>
      <c r="Q2929">
        <v>0</v>
      </c>
      <c r="R2929">
        <v>29.4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H2929">
        <v>29.4</v>
      </c>
    </row>
    <row r="2930" spans="1:34" x14ac:dyDescent="0.3">
      <c r="A2930" s="4">
        <v>3046</v>
      </c>
      <c r="B2930" s="5">
        <v>2923</v>
      </c>
      <c r="C2930">
        <v>7464</v>
      </c>
      <c r="D2930" t="s">
        <v>23297</v>
      </c>
      <c r="E2930" t="s">
        <v>54</v>
      </c>
      <c r="F2930" t="s">
        <v>17</v>
      </c>
      <c r="G2930" t="s">
        <v>23298</v>
      </c>
      <c r="H2930">
        <v>18.399999999999999</v>
      </c>
      <c r="I2930">
        <v>0</v>
      </c>
      <c r="J2930">
        <v>0</v>
      </c>
      <c r="K2930">
        <v>0</v>
      </c>
      <c r="L2930">
        <v>7</v>
      </c>
      <c r="O2930">
        <v>7</v>
      </c>
      <c r="P2930">
        <v>4</v>
      </c>
      <c r="Q2930">
        <v>0</v>
      </c>
      <c r="R2930">
        <v>29.4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H2930">
        <v>29.4</v>
      </c>
    </row>
    <row r="2931" spans="1:34" x14ac:dyDescent="0.3">
      <c r="A2931" s="4">
        <v>3047</v>
      </c>
      <c r="B2931" s="5">
        <v>2924</v>
      </c>
      <c r="C2931">
        <v>8799</v>
      </c>
      <c r="D2931" t="s">
        <v>1894</v>
      </c>
      <c r="E2931" t="s">
        <v>213</v>
      </c>
      <c r="F2931" t="s">
        <v>375</v>
      </c>
      <c r="G2931" t="s">
        <v>23299</v>
      </c>
      <c r="H2931">
        <v>18.399999999999999</v>
      </c>
      <c r="I2931">
        <v>0</v>
      </c>
      <c r="J2931">
        <v>0</v>
      </c>
      <c r="K2931">
        <v>0</v>
      </c>
      <c r="L2931">
        <v>7</v>
      </c>
      <c r="O2931">
        <v>7</v>
      </c>
      <c r="P2931">
        <v>4</v>
      </c>
      <c r="Q2931">
        <v>0</v>
      </c>
      <c r="R2931">
        <v>29.4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H2931">
        <v>29.4</v>
      </c>
    </row>
    <row r="2932" spans="1:34" x14ac:dyDescent="0.3">
      <c r="A2932" s="4">
        <v>3048</v>
      </c>
      <c r="B2932" s="5">
        <v>2925</v>
      </c>
      <c r="C2932">
        <v>4408</v>
      </c>
      <c r="D2932" t="s">
        <v>23300</v>
      </c>
      <c r="E2932" t="s">
        <v>29</v>
      </c>
      <c r="F2932" t="s">
        <v>23301</v>
      </c>
      <c r="G2932" t="s">
        <v>23302</v>
      </c>
      <c r="H2932">
        <v>18.399999999999999</v>
      </c>
      <c r="I2932">
        <v>0</v>
      </c>
      <c r="J2932">
        <v>0</v>
      </c>
      <c r="K2932">
        <v>0</v>
      </c>
      <c r="L2932">
        <v>7</v>
      </c>
      <c r="O2932">
        <v>7</v>
      </c>
      <c r="P2932">
        <v>4</v>
      </c>
      <c r="Q2932">
        <v>0</v>
      </c>
      <c r="R2932">
        <v>29.4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H2932">
        <v>29.4</v>
      </c>
    </row>
    <row r="2933" spans="1:34" x14ac:dyDescent="0.3">
      <c r="A2933" s="4">
        <v>3049</v>
      </c>
      <c r="B2933" s="5">
        <v>2926</v>
      </c>
      <c r="C2933">
        <v>2812</v>
      </c>
      <c r="D2933" t="s">
        <v>23303</v>
      </c>
      <c r="E2933" t="s">
        <v>550</v>
      </c>
      <c r="F2933" t="s">
        <v>136</v>
      </c>
      <c r="G2933" t="s">
        <v>23304</v>
      </c>
      <c r="H2933">
        <v>19.38</v>
      </c>
      <c r="I2933">
        <v>0</v>
      </c>
      <c r="J2933">
        <v>0</v>
      </c>
      <c r="K2933">
        <v>0</v>
      </c>
      <c r="N2933">
        <v>3</v>
      </c>
      <c r="O2933">
        <v>3</v>
      </c>
      <c r="P2933">
        <v>4</v>
      </c>
      <c r="Q2933">
        <v>0</v>
      </c>
      <c r="R2933">
        <v>26.38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3</v>
      </c>
      <c r="AC2933">
        <v>0</v>
      </c>
      <c r="AH2933">
        <v>29.38</v>
      </c>
    </row>
    <row r="2934" spans="1:34" x14ac:dyDescent="0.3">
      <c r="A2934" s="4">
        <v>3050</v>
      </c>
      <c r="B2934" s="5">
        <v>2927</v>
      </c>
      <c r="C2934">
        <v>641</v>
      </c>
      <c r="D2934" t="s">
        <v>23305</v>
      </c>
      <c r="E2934" t="s">
        <v>255</v>
      </c>
      <c r="F2934" t="s">
        <v>38</v>
      </c>
      <c r="G2934" t="s">
        <v>23306</v>
      </c>
      <c r="H2934">
        <v>22.38</v>
      </c>
      <c r="I2934">
        <v>0</v>
      </c>
      <c r="J2934">
        <v>0</v>
      </c>
      <c r="K2934">
        <v>0</v>
      </c>
      <c r="N2934">
        <v>3</v>
      </c>
      <c r="O2934">
        <v>3</v>
      </c>
      <c r="P2934">
        <v>4</v>
      </c>
      <c r="Q2934">
        <v>0</v>
      </c>
      <c r="R2934">
        <v>29.38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H2934">
        <v>29.38</v>
      </c>
    </row>
    <row r="2935" spans="1:34" x14ac:dyDescent="0.3">
      <c r="A2935" s="4">
        <v>3051</v>
      </c>
      <c r="B2935" s="5">
        <v>2928</v>
      </c>
      <c r="C2935">
        <v>13927</v>
      </c>
      <c r="D2935" t="s">
        <v>9942</v>
      </c>
      <c r="E2935" t="s">
        <v>166</v>
      </c>
      <c r="F2935" t="s">
        <v>30</v>
      </c>
      <c r="G2935" t="s">
        <v>23307</v>
      </c>
      <c r="H2935">
        <v>18.38</v>
      </c>
      <c r="I2935">
        <v>0</v>
      </c>
      <c r="J2935">
        <v>0</v>
      </c>
      <c r="K2935">
        <v>0</v>
      </c>
      <c r="L2935">
        <v>7</v>
      </c>
      <c r="O2935">
        <v>7</v>
      </c>
      <c r="P2935">
        <v>4</v>
      </c>
      <c r="Q2935">
        <v>0</v>
      </c>
      <c r="R2935">
        <v>29.38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H2935">
        <v>29.38</v>
      </c>
    </row>
    <row r="2936" spans="1:34" x14ac:dyDescent="0.3">
      <c r="A2936" s="4">
        <v>3052</v>
      </c>
      <c r="B2936" s="5">
        <v>2929</v>
      </c>
      <c r="C2936">
        <v>13981</v>
      </c>
      <c r="D2936" t="s">
        <v>23308</v>
      </c>
      <c r="E2936" t="s">
        <v>166</v>
      </c>
      <c r="F2936" t="s">
        <v>167</v>
      </c>
      <c r="G2936" t="s">
        <v>23309</v>
      </c>
      <c r="H2936">
        <v>17.38</v>
      </c>
      <c r="I2936">
        <v>0</v>
      </c>
      <c r="J2936">
        <v>0</v>
      </c>
      <c r="K2936">
        <v>0</v>
      </c>
      <c r="N2936">
        <v>6</v>
      </c>
      <c r="O2936">
        <v>6</v>
      </c>
      <c r="P2936">
        <v>4</v>
      </c>
      <c r="Q2936">
        <v>2</v>
      </c>
      <c r="R2936">
        <v>29.38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H2936">
        <v>29.38</v>
      </c>
    </row>
    <row r="2937" spans="1:34" x14ac:dyDescent="0.3">
      <c r="A2937" s="4">
        <v>3053</v>
      </c>
      <c r="B2937" s="5">
        <v>2930</v>
      </c>
      <c r="C2937">
        <v>13699</v>
      </c>
      <c r="D2937" t="s">
        <v>23310</v>
      </c>
      <c r="E2937" t="s">
        <v>1053</v>
      </c>
      <c r="F2937" t="s">
        <v>649</v>
      </c>
      <c r="G2937" t="s">
        <v>23311</v>
      </c>
      <c r="H2937">
        <v>19.350000000000001</v>
      </c>
      <c r="I2937">
        <v>0</v>
      </c>
      <c r="J2937">
        <v>0</v>
      </c>
      <c r="K2937">
        <v>0</v>
      </c>
      <c r="O2937">
        <v>0</v>
      </c>
      <c r="P2937">
        <v>4</v>
      </c>
      <c r="Q2937">
        <v>0</v>
      </c>
      <c r="R2937">
        <v>23.35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6</v>
      </c>
      <c r="AC2937">
        <v>0</v>
      </c>
      <c r="AH2937">
        <v>29.35</v>
      </c>
    </row>
    <row r="2938" spans="1:34" x14ac:dyDescent="0.3">
      <c r="A2938" s="4">
        <v>3054</v>
      </c>
      <c r="B2938" s="5">
        <v>2931</v>
      </c>
      <c r="C2938">
        <v>13834</v>
      </c>
      <c r="D2938" t="s">
        <v>23312</v>
      </c>
      <c r="E2938" t="s">
        <v>41</v>
      </c>
      <c r="F2938" t="s">
        <v>38</v>
      </c>
      <c r="G2938" t="s">
        <v>23313</v>
      </c>
      <c r="H2938">
        <v>19.350000000000001</v>
      </c>
      <c r="I2938">
        <v>0</v>
      </c>
      <c r="J2938">
        <v>0</v>
      </c>
      <c r="K2938">
        <v>0</v>
      </c>
      <c r="N2938">
        <v>3</v>
      </c>
      <c r="O2938">
        <v>3</v>
      </c>
      <c r="P2938">
        <v>4</v>
      </c>
      <c r="Q2938">
        <v>0</v>
      </c>
      <c r="R2938">
        <v>26.35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3</v>
      </c>
      <c r="AC2938">
        <v>0</v>
      </c>
      <c r="AH2938">
        <v>29.35</v>
      </c>
    </row>
    <row r="2939" spans="1:34" x14ac:dyDescent="0.3">
      <c r="A2939" s="4">
        <v>3055</v>
      </c>
      <c r="B2939" s="5">
        <v>2932</v>
      </c>
      <c r="C2939">
        <v>13786</v>
      </c>
      <c r="D2939" t="s">
        <v>4332</v>
      </c>
      <c r="E2939" t="s">
        <v>837</v>
      </c>
      <c r="F2939" t="s">
        <v>30</v>
      </c>
      <c r="G2939" t="s">
        <v>23314</v>
      </c>
      <c r="H2939">
        <v>19.350000000000001</v>
      </c>
      <c r="I2939">
        <v>0</v>
      </c>
      <c r="J2939">
        <v>0</v>
      </c>
      <c r="K2939">
        <v>0</v>
      </c>
      <c r="N2939">
        <v>3</v>
      </c>
      <c r="O2939">
        <v>3</v>
      </c>
      <c r="P2939">
        <v>4</v>
      </c>
      <c r="Q2939">
        <v>0</v>
      </c>
      <c r="R2939">
        <v>26.35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3</v>
      </c>
      <c r="AC2939">
        <v>0</v>
      </c>
      <c r="AH2939">
        <v>29.35</v>
      </c>
    </row>
    <row r="2940" spans="1:34" x14ac:dyDescent="0.3">
      <c r="A2940" s="4">
        <v>3056</v>
      </c>
      <c r="B2940" s="5">
        <v>2933</v>
      </c>
      <c r="C2940">
        <v>6348</v>
      </c>
      <c r="D2940" t="s">
        <v>847</v>
      </c>
      <c r="E2940" t="s">
        <v>213</v>
      </c>
      <c r="F2940" t="s">
        <v>343</v>
      </c>
      <c r="G2940" t="s">
        <v>23315</v>
      </c>
      <c r="H2940">
        <v>19.350000000000001</v>
      </c>
      <c r="I2940">
        <v>0</v>
      </c>
      <c r="J2940">
        <v>0</v>
      </c>
      <c r="K2940">
        <v>0</v>
      </c>
      <c r="N2940">
        <v>3</v>
      </c>
      <c r="O2940">
        <v>3</v>
      </c>
      <c r="P2940">
        <v>4</v>
      </c>
      <c r="Q2940">
        <v>0</v>
      </c>
      <c r="R2940">
        <v>26.35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3</v>
      </c>
      <c r="AC2940">
        <v>0</v>
      </c>
      <c r="AH2940">
        <v>29.35</v>
      </c>
    </row>
    <row r="2941" spans="1:34" x14ac:dyDescent="0.3">
      <c r="A2941" s="4">
        <v>3057</v>
      </c>
      <c r="B2941" s="5">
        <v>2934</v>
      </c>
      <c r="C2941">
        <v>14020</v>
      </c>
      <c r="D2941" t="s">
        <v>1299</v>
      </c>
      <c r="E2941" t="s">
        <v>51</v>
      </c>
      <c r="F2941" t="s">
        <v>38</v>
      </c>
      <c r="G2941" t="s">
        <v>23316</v>
      </c>
      <c r="H2941">
        <v>20.350000000000001</v>
      </c>
      <c r="I2941">
        <v>0</v>
      </c>
      <c r="J2941">
        <v>0</v>
      </c>
      <c r="K2941">
        <v>0</v>
      </c>
      <c r="N2941">
        <v>3</v>
      </c>
      <c r="O2941">
        <v>3</v>
      </c>
      <c r="P2941">
        <v>4</v>
      </c>
      <c r="Q2941">
        <v>2</v>
      </c>
      <c r="R2941">
        <v>29.35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H2941">
        <v>29.35</v>
      </c>
    </row>
    <row r="2942" spans="1:34" x14ac:dyDescent="0.3">
      <c r="A2942" s="4">
        <v>3058</v>
      </c>
      <c r="B2942" s="5">
        <v>2935</v>
      </c>
      <c r="C2942">
        <v>7912</v>
      </c>
      <c r="D2942" t="s">
        <v>195</v>
      </c>
      <c r="E2942" t="s">
        <v>208</v>
      </c>
      <c r="F2942" t="s">
        <v>22397</v>
      </c>
      <c r="G2942" t="s">
        <v>23317</v>
      </c>
      <c r="H2942">
        <v>19.350000000000001</v>
      </c>
      <c r="I2942">
        <v>0</v>
      </c>
      <c r="J2942">
        <v>0</v>
      </c>
      <c r="K2942">
        <v>0</v>
      </c>
      <c r="N2942">
        <v>6</v>
      </c>
      <c r="O2942">
        <v>6</v>
      </c>
      <c r="P2942">
        <v>4</v>
      </c>
      <c r="Q2942">
        <v>0</v>
      </c>
      <c r="R2942">
        <v>29.35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H2942">
        <v>29.35</v>
      </c>
    </row>
    <row r="2943" spans="1:34" x14ac:dyDescent="0.3">
      <c r="A2943" s="4">
        <v>3059</v>
      </c>
      <c r="B2943" s="5">
        <v>2936</v>
      </c>
      <c r="C2943">
        <v>7669</v>
      </c>
      <c r="D2943" t="s">
        <v>23318</v>
      </c>
      <c r="E2943" t="s">
        <v>132</v>
      </c>
      <c r="F2943" t="s">
        <v>68</v>
      </c>
      <c r="G2943" t="s">
        <v>23319</v>
      </c>
      <c r="H2943">
        <v>18.350000000000001</v>
      </c>
      <c r="I2943">
        <v>0</v>
      </c>
      <c r="J2943">
        <v>0</v>
      </c>
      <c r="K2943">
        <v>0</v>
      </c>
      <c r="L2943">
        <v>7</v>
      </c>
      <c r="O2943">
        <v>7</v>
      </c>
      <c r="P2943">
        <v>4</v>
      </c>
      <c r="Q2943">
        <v>0</v>
      </c>
      <c r="R2943">
        <v>29.35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H2943">
        <v>29.35</v>
      </c>
    </row>
    <row r="2944" spans="1:34" x14ac:dyDescent="0.3">
      <c r="A2944" s="4">
        <v>3060</v>
      </c>
      <c r="B2944" s="5">
        <v>2937</v>
      </c>
      <c r="C2944">
        <v>4336</v>
      </c>
      <c r="D2944" t="s">
        <v>23320</v>
      </c>
      <c r="E2944" t="s">
        <v>4796</v>
      </c>
      <c r="F2944" t="s">
        <v>136</v>
      </c>
      <c r="G2944" t="s">
        <v>23321</v>
      </c>
      <c r="H2944">
        <v>17.350000000000001</v>
      </c>
      <c r="I2944">
        <v>0</v>
      </c>
      <c r="J2944">
        <v>0</v>
      </c>
      <c r="K2944">
        <v>0</v>
      </c>
      <c r="M2944">
        <v>5</v>
      </c>
      <c r="N2944">
        <v>3</v>
      </c>
      <c r="O2944">
        <v>8</v>
      </c>
      <c r="P2944">
        <v>4</v>
      </c>
      <c r="Q2944">
        <v>0</v>
      </c>
      <c r="R2944">
        <v>29.35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H2944">
        <v>29.35</v>
      </c>
    </row>
    <row r="2945" spans="1:34" x14ac:dyDescent="0.3">
      <c r="A2945" s="4">
        <v>3061</v>
      </c>
      <c r="B2945" s="5">
        <v>2938</v>
      </c>
      <c r="C2945">
        <v>1934</v>
      </c>
      <c r="D2945" t="s">
        <v>6516</v>
      </c>
      <c r="E2945" t="s">
        <v>100</v>
      </c>
      <c r="F2945" t="s">
        <v>81</v>
      </c>
      <c r="G2945" t="s">
        <v>23322</v>
      </c>
      <c r="H2945">
        <v>22.33</v>
      </c>
      <c r="I2945">
        <v>0</v>
      </c>
      <c r="J2945">
        <v>0</v>
      </c>
      <c r="K2945">
        <v>0</v>
      </c>
      <c r="N2945">
        <v>3</v>
      </c>
      <c r="O2945">
        <v>3</v>
      </c>
      <c r="P2945">
        <v>4</v>
      </c>
      <c r="Q2945">
        <v>0</v>
      </c>
      <c r="R2945">
        <v>29.33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H2945">
        <v>29.33</v>
      </c>
    </row>
    <row r="2946" spans="1:34" x14ac:dyDescent="0.3">
      <c r="A2946" s="4">
        <v>3062</v>
      </c>
      <c r="B2946" s="5">
        <v>2939</v>
      </c>
      <c r="C2946">
        <v>11746</v>
      </c>
      <c r="D2946" t="s">
        <v>23323</v>
      </c>
      <c r="E2946" t="s">
        <v>161</v>
      </c>
      <c r="F2946" t="s">
        <v>9731</v>
      </c>
      <c r="G2946" t="s">
        <v>23324</v>
      </c>
      <c r="H2946">
        <v>18.329999999999998</v>
      </c>
      <c r="I2946">
        <v>0</v>
      </c>
      <c r="J2946">
        <v>0</v>
      </c>
      <c r="K2946">
        <v>0</v>
      </c>
      <c r="L2946">
        <v>7</v>
      </c>
      <c r="O2946">
        <v>7</v>
      </c>
      <c r="P2946">
        <v>4</v>
      </c>
      <c r="Q2946">
        <v>0</v>
      </c>
      <c r="R2946">
        <v>29.33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H2946">
        <v>29.33</v>
      </c>
    </row>
    <row r="2947" spans="1:34" x14ac:dyDescent="0.3">
      <c r="A2947" s="4">
        <v>3063</v>
      </c>
      <c r="B2947" s="5">
        <v>2940</v>
      </c>
      <c r="C2947">
        <v>11047</v>
      </c>
      <c r="D2947" t="s">
        <v>23325</v>
      </c>
      <c r="E2947" t="s">
        <v>29</v>
      </c>
      <c r="F2947" t="s">
        <v>1023</v>
      </c>
      <c r="G2947" t="s">
        <v>23326</v>
      </c>
      <c r="H2947">
        <v>19.3</v>
      </c>
      <c r="I2947">
        <v>0</v>
      </c>
      <c r="J2947">
        <v>0</v>
      </c>
      <c r="K2947">
        <v>0</v>
      </c>
      <c r="O2947">
        <v>0</v>
      </c>
      <c r="P2947">
        <v>4</v>
      </c>
      <c r="Q2947">
        <v>0</v>
      </c>
      <c r="R2947">
        <v>23.3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6</v>
      </c>
      <c r="AC2947">
        <v>0</v>
      </c>
      <c r="AH2947">
        <v>29.3</v>
      </c>
    </row>
    <row r="2948" spans="1:34" x14ac:dyDescent="0.3">
      <c r="A2948" s="4">
        <v>3064</v>
      </c>
      <c r="B2948" s="5">
        <v>2941</v>
      </c>
      <c r="C2948">
        <v>15345</v>
      </c>
      <c r="D2948" t="s">
        <v>5281</v>
      </c>
      <c r="E2948" t="s">
        <v>22</v>
      </c>
      <c r="F2948" t="s">
        <v>375</v>
      </c>
      <c r="G2948" t="s">
        <v>23327</v>
      </c>
      <c r="H2948">
        <v>18.3</v>
      </c>
      <c r="I2948">
        <v>0</v>
      </c>
      <c r="J2948">
        <v>0</v>
      </c>
      <c r="K2948">
        <v>0</v>
      </c>
      <c r="L2948">
        <v>7</v>
      </c>
      <c r="O2948">
        <v>7</v>
      </c>
      <c r="P2948">
        <v>4</v>
      </c>
      <c r="Q2948">
        <v>0</v>
      </c>
      <c r="R2948">
        <v>29.3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H2948">
        <v>29.3</v>
      </c>
    </row>
    <row r="2949" spans="1:34" x14ac:dyDescent="0.3">
      <c r="A2949" s="4">
        <v>3065</v>
      </c>
      <c r="B2949" s="5">
        <v>2942</v>
      </c>
      <c r="C2949">
        <v>15371</v>
      </c>
      <c r="D2949" t="s">
        <v>8883</v>
      </c>
      <c r="E2949" t="s">
        <v>26</v>
      </c>
      <c r="F2949" t="s">
        <v>23328</v>
      </c>
      <c r="G2949" t="s">
        <v>23329</v>
      </c>
      <c r="H2949">
        <v>18.3</v>
      </c>
      <c r="I2949">
        <v>0</v>
      </c>
      <c r="J2949">
        <v>0</v>
      </c>
      <c r="K2949">
        <v>0</v>
      </c>
      <c r="L2949">
        <v>7</v>
      </c>
      <c r="O2949">
        <v>7</v>
      </c>
      <c r="P2949">
        <v>4</v>
      </c>
      <c r="Q2949">
        <v>0</v>
      </c>
      <c r="R2949">
        <v>29.3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H2949">
        <v>29.3</v>
      </c>
    </row>
    <row r="2950" spans="1:34" x14ac:dyDescent="0.3">
      <c r="A2950" s="4">
        <v>3066</v>
      </c>
      <c r="B2950" s="5">
        <v>2943</v>
      </c>
      <c r="C2950">
        <v>10150</v>
      </c>
      <c r="D2950" t="s">
        <v>23330</v>
      </c>
      <c r="E2950" t="s">
        <v>23331</v>
      </c>
      <c r="F2950" t="s">
        <v>23332</v>
      </c>
      <c r="G2950" t="s">
        <v>23333</v>
      </c>
      <c r="H2950">
        <v>18.3</v>
      </c>
      <c r="I2950">
        <v>0</v>
      </c>
      <c r="J2950">
        <v>0</v>
      </c>
      <c r="K2950">
        <v>0</v>
      </c>
      <c r="L2950">
        <v>7</v>
      </c>
      <c r="O2950">
        <v>7</v>
      </c>
      <c r="P2950">
        <v>4</v>
      </c>
      <c r="Q2950">
        <v>0</v>
      </c>
      <c r="R2950">
        <v>29.3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H2950">
        <v>29.3</v>
      </c>
    </row>
    <row r="2951" spans="1:34" x14ac:dyDescent="0.3">
      <c r="A2951" s="4">
        <v>3067</v>
      </c>
      <c r="B2951" s="5">
        <v>2944</v>
      </c>
      <c r="C2951">
        <v>12902</v>
      </c>
      <c r="D2951" t="s">
        <v>23334</v>
      </c>
      <c r="E2951" t="s">
        <v>41</v>
      </c>
      <c r="F2951" t="s">
        <v>626</v>
      </c>
      <c r="G2951" t="s">
        <v>23335</v>
      </c>
      <c r="H2951">
        <v>16.28</v>
      </c>
      <c r="I2951">
        <v>0</v>
      </c>
      <c r="J2951">
        <v>0</v>
      </c>
      <c r="K2951">
        <v>0</v>
      </c>
      <c r="N2951">
        <v>3</v>
      </c>
      <c r="O2951">
        <v>3</v>
      </c>
      <c r="P2951">
        <v>4</v>
      </c>
      <c r="Q2951">
        <v>0</v>
      </c>
      <c r="R2951">
        <v>23.28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6</v>
      </c>
      <c r="AC2951">
        <v>0</v>
      </c>
      <c r="AH2951">
        <v>29.28</v>
      </c>
    </row>
    <row r="2952" spans="1:34" x14ac:dyDescent="0.3">
      <c r="A2952" s="4">
        <v>3068</v>
      </c>
      <c r="B2952" s="5">
        <v>2945</v>
      </c>
      <c r="C2952">
        <v>13815</v>
      </c>
      <c r="D2952" t="s">
        <v>23336</v>
      </c>
      <c r="E2952" t="s">
        <v>29</v>
      </c>
      <c r="F2952" t="s">
        <v>30</v>
      </c>
      <c r="G2952" t="s">
        <v>23337</v>
      </c>
      <c r="H2952">
        <v>16.28</v>
      </c>
      <c r="I2952">
        <v>0</v>
      </c>
      <c r="J2952">
        <v>0</v>
      </c>
      <c r="K2952">
        <v>0</v>
      </c>
      <c r="O2952">
        <v>0</v>
      </c>
      <c r="P2952">
        <v>4</v>
      </c>
      <c r="Q2952">
        <v>0</v>
      </c>
      <c r="R2952">
        <v>20.28</v>
      </c>
      <c r="S2952">
        <v>6</v>
      </c>
      <c r="T2952">
        <v>6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6</v>
      </c>
      <c r="AB2952">
        <v>3</v>
      </c>
      <c r="AC2952">
        <v>0</v>
      </c>
      <c r="AH2952">
        <v>29.28</v>
      </c>
    </row>
    <row r="2953" spans="1:34" x14ac:dyDescent="0.3">
      <c r="A2953" s="4">
        <v>3069</v>
      </c>
      <c r="B2953" s="5">
        <v>2946</v>
      </c>
      <c r="C2953">
        <v>5185</v>
      </c>
      <c r="D2953" t="s">
        <v>2365</v>
      </c>
      <c r="E2953" t="s">
        <v>173</v>
      </c>
      <c r="F2953" t="s">
        <v>30</v>
      </c>
      <c r="G2953" t="s">
        <v>23338</v>
      </c>
      <c r="H2953">
        <v>18.28</v>
      </c>
      <c r="I2953">
        <v>0</v>
      </c>
      <c r="J2953">
        <v>0</v>
      </c>
      <c r="K2953">
        <v>0</v>
      </c>
      <c r="L2953">
        <v>7</v>
      </c>
      <c r="O2953">
        <v>7</v>
      </c>
      <c r="P2953">
        <v>4</v>
      </c>
      <c r="Q2953">
        <v>0</v>
      </c>
      <c r="R2953">
        <v>29.28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H2953">
        <v>29.28</v>
      </c>
    </row>
    <row r="2954" spans="1:34" x14ac:dyDescent="0.3">
      <c r="A2954" s="4">
        <v>3070</v>
      </c>
      <c r="B2954" s="5">
        <v>2947</v>
      </c>
      <c r="C2954">
        <v>11191</v>
      </c>
      <c r="D2954" t="s">
        <v>1287</v>
      </c>
      <c r="E2954" t="s">
        <v>188</v>
      </c>
      <c r="F2954" t="s">
        <v>158</v>
      </c>
      <c r="G2954" t="s">
        <v>23339</v>
      </c>
      <c r="H2954">
        <v>19.25</v>
      </c>
      <c r="I2954">
        <v>0</v>
      </c>
      <c r="J2954">
        <v>0</v>
      </c>
      <c r="K2954">
        <v>0</v>
      </c>
      <c r="O2954">
        <v>0</v>
      </c>
      <c r="P2954">
        <v>4</v>
      </c>
      <c r="Q2954">
        <v>0</v>
      </c>
      <c r="R2954">
        <v>23.25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6</v>
      </c>
      <c r="AC2954">
        <v>0</v>
      </c>
      <c r="AH2954">
        <v>29.25</v>
      </c>
    </row>
    <row r="2955" spans="1:34" x14ac:dyDescent="0.3">
      <c r="A2955" s="4">
        <v>3071</v>
      </c>
      <c r="B2955" s="5">
        <v>2948</v>
      </c>
      <c r="C2955">
        <v>9672</v>
      </c>
      <c r="D2955" t="s">
        <v>60</v>
      </c>
      <c r="E2955" t="s">
        <v>54</v>
      </c>
      <c r="F2955" t="s">
        <v>20</v>
      </c>
      <c r="G2955" t="s">
        <v>23340</v>
      </c>
      <c r="H2955">
        <v>16.25</v>
      </c>
      <c r="I2955">
        <v>0</v>
      </c>
      <c r="J2955">
        <v>0</v>
      </c>
      <c r="K2955">
        <v>0</v>
      </c>
      <c r="N2955">
        <v>3</v>
      </c>
      <c r="O2955">
        <v>3</v>
      </c>
      <c r="P2955">
        <v>4</v>
      </c>
      <c r="Q2955">
        <v>0</v>
      </c>
      <c r="R2955">
        <v>23.25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6</v>
      </c>
      <c r="AC2955">
        <v>0</v>
      </c>
      <c r="AH2955">
        <v>29.25</v>
      </c>
    </row>
    <row r="2956" spans="1:34" x14ac:dyDescent="0.3">
      <c r="A2956" s="4">
        <v>3072</v>
      </c>
      <c r="B2956" s="5">
        <v>2949</v>
      </c>
      <c r="C2956">
        <v>14963</v>
      </c>
      <c r="D2956" t="s">
        <v>2208</v>
      </c>
      <c r="E2956" t="s">
        <v>139</v>
      </c>
      <c r="F2956" t="s">
        <v>136</v>
      </c>
      <c r="G2956" t="s">
        <v>23341</v>
      </c>
      <c r="H2956">
        <v>19.25</v>
      </c>
      <c r="I2956">
        <v>0</v>
      </c>
      <c r="J2956">
        <v>0</v>
      </c>
      <c r="K2956">
        <v>0</v>
      </c>
      <c r="N2956">
        <v>3</v>
      </c>
      <c r="O2956">
        <v>3</v>
      </c>
      <c r="P2956">
        <v>4</v>
      </c>
      <c r="Q2956">
        <v>0</v>
      </c>
      <c r="R2956">
        <v>26.25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3</v>
      </c>
      <c r="AC2956">
        <v>0</v>
      </c>
      <c r="AH2956">
        <v>29.25</v>
      </c>
    </row>
    <row r="2957" spans="1:34" x14ac:dyDescent="0.3">
      <c r="A2957" s="4">
        <v>3073</v>
      </c>
      <c r="B2957" s="5">
        <v>2950</v>
      </c>
      <c r="C2957">
        <v>5935</v>
      </c>
      <c r="D2957" t="s">
        <v>23342</v>
      </c>
      <c r="E2957" t="s">
        <v>147</v>
      </c>
      <c r="F2957" t="s">
        <v>81</v>
      </c>
      <c r="G2957" t="s">
        <v>23343</v>
      </c>
      <c r="H2957">
        <v>19.25</v>
      </c>
      <c r="I2957">
        <v>0</v>
      </c>
      <c r="J2957">
        <v>0</v>
      </c>
      <c r="K2957">
        <v>0</v>
      </c>
      <c r="N2957">
        <v>3</v>
      </c>
      <c r="O2957">
        <v>3</v>
      </c>
      <c r="P2957">
        <v>4</v>
      </c>
      <c r="Q2957">
        <v>0</v>
      </c>
      <c r="R2957">
        <v>26.25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3</v>
      </c>
      <c r="AC2957">
        <v>0</v>
      </c>
      <c r="AH2957">
        <v>29.25</v>
      </c>
    </row>
    <row r="2958" spans="1:34" x14ac:dyDescent="0.3">
      <c r="A2958" s="4">
        <v>3074</v>
      </c>
      <c r="B2958" s="5">
        <v>2951</v>
      </c>
      <c r="C2958">
        <v>7402</v>
      </c>
      <c r="D2958" t="s">
        <v>23344</v>
      </c>
      <c r="E2958" t="s">
        <v>100</v>
      </c>
      <c r="F2958" t="s">
        <v>81</v>
      </c>
      <c r="G2958" t="s">
        <v>23345</v>
      </c>
      <c r="H2958">
        <v>18.25</v>
      </c>
      <c r="I2958">
        <v>0</v>
      </c>
      <c r="J2958">
        <v>0</v>
      </c>
      <c r="K2958">
        <v>0</v>
      </c>
      <c r="L2958">
        <v>7</v>
      </c>
      <c r="O2958">
        <v>7</v>
      </c>
      <c r="P2958">
        <v>4</v>
      </c>
      <c r="Q2958">
        <v>0</v>
      </c>
      <c r="R2958">
        <v>29.25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H2958">
        <v>29.25</v>
      </c>
    </row>
    <row r="2959" spans="1:34" x14ac:dyDescent="0.3">
      <c r="A2959" s="4">
        <v>3075</v>
      </c>
      <c r="B2959" s="5">
        <v>2952</v>
      </c>
      <c r="C2959">
        <v>3623</v>
      </c>
      <c r="D2959" t="s">
        <v>19786</v>
      </c>
      <c r="E2959" t="s">
        <v>613</v>
      </c>
      <c r="F2959" t="s">
        <v>136</v>
      </c>
      <c r="G2959" t="s">
        <v>23346</v>
      </c>
      <c r="H2959">
        <v>18.25</v>
      </c>
      <c r="I2959">
        <v>0</v>
      </c>
      <c r="J2959">
        <v>0</v>
      </c>
      <c r="K2959">
        <v>0</v>
      </c>
      <c r="L2959">
        <v>7</v>
      </c>
      <c r="O2959">
        <v>7</v>
      </c>
      <c r="P2959">
        <v>4</v>
      </c>
      <c r="Q2959">
        <v>0</v>
      </c>
      <c r="R2959">
        <v>29.25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H2959">
        <v>29.25</v>
      </c>
    </row>
    <row r="2960" spans="1:34" x14ac:dyDescent="0.3">
      <c r="A2960" s="4">
        <v>3076</v>
      </c>
      <c r="B2960" s="5">
        <v>2953</v>
      </c>
      <c r="C2960">
        <v>4531</v>
      </c>
      <c r="D2960" t="s">
        <v>23347</v>
      </c>
      <c r="E2960" t="s">
        <v>158</v>
      </c>
      <c r="F2960" t="s">
        <v>68</v>
      </c>
      <c r="G2960" t="s">
        <v>23348</v>
      </c>
      <c r="H2960">
        <v>16.23</v>
      </c>
      <c r="I2960">
        <v>0</v>
      </c>
      <c r="J2960">
        <v>0</v>
      </c>
      <c r="K2960">
        <v>0</v>
      </c>
      <c r="N2960">
        <v>3</v>
      </c>
      <c r="O2960">
        <v>3</v>
      </c>
      <c r="P2960">
        <v>4</v>
      </c>
      <c r="Q2960">
        <v>0</v>
      </c>
      <c r="R2960">
        <v>23.23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6</v>
      </c>
      <c r="AC2960">
        <v>0</v>
      </c>
      <c r="AH2960">
        <v>29.23</v>
      </c>
    </row>
    <row r="2961" spans="1:34" x14ac:dyDescent="0.3">
      <c r="A2961" s="4">
        <v>3077</v>
      </c>
      <c r="B2961" s="5">
        <v>2954</v>
      </c>
      <c r="C2961">
        <v>847</v>
      </c>
      <c r="D2961" t="s">
        <v>9257</v>
      </c>
      <c r="E2961" t="s">
        <v>268</v>
      </c>
      <c r="F2961" t="s">
        <v>17</v>
      </c>
      <c r="G2961" t="s">
        <v>23349</v>
      </c>
      <c r="H2961">
        <v>19.23</v>
      </c>
      <c r="I2961">
        <v>0</v>
      </c>
      <c r="J2961">
        <v>0</v>
      </c>
      <c r="K2961">
        <v>0</v>
      </c>
      <c r="N2961">
        <v>3</v>
      </c>
      <c r="O2961">
        <v>3</v>
      </c>
      <c r="P2961">
        <v>4</v>
      </c>
      <c r="Q2961">
        <v>0</v>
      </c>
      <c r="R2961">
        <v>26.23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3</v>
      </c>
      <c r="AC2961">
        <v>0</v>
      </c>
      <c r="AH2961">
        <v>29.23</v>
      </c>
    </row>
    <row r="2962" spans="1:34" x14ac:dyDescent="0.3">
      <c r="A2962" s="4">
        <v>3078</v>
      </c>
      <c r="B2962" s="5">
        <v>2955</v>
      </c>
      <c r="C2962">
        <v>5413</v>
      </c>
      <c r="D2962" t="s">
        <v>13810</v>
      </c>
      <c r="E2962" t="s">
        <v>1280</v>
      </c>
      <c r="F2962" t="s">
        <v>193</v>
      </c>
      <c r="G2962" t="s">
        <v>23350</v>
      </c>
      <c r="H2962">
        <v>19.23</v>
      </c>
      <c r="I2962">
        <v>0</v>
      </c>
      <c r="J2962">
        <v>0</v>
      </c>
      <c r="K2962">
        <v>0</v>
      </c>
      <c r="N2962">
        <v>3</v>
      </c>
      <c r="O2962">
        <v>3</v>
      </c>
      <c r="P2962">
        <v>4</v>
      </c>
      <c r="Q2962">
        <v>0</v>
      </c>
      <c r="R2962">
        <v>26.23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3</v>
      </c>
      <c r="AC2962">
        <v>0</v>
      </c>
      <c r="AH2962">
        <v>29.23</v>
      </c>
    </row>
    <row r="2963" spans="1:34" x14ac:dyDescent="0.3">
      <c r="A2963" s="4">
        <v>3079</v>
      </c>
      <c r="B2963" s="5">
        <v>2956</v>
      </c>
      <c r="C2963">
        <v>5951</v>
      </c>
      <c r="D2963" t="s">
        <v>23351</v>
      </c>
      <c r="E2963" t="s">
        <v>29</v>
      </c>
      <c r="F2963" t="s">
        <v>17</v>
      </c>
      <c r="G2963" t="s">
        <v>23352</v>
      </c>
      <c r="H2963">
        <v>19.2</v>
      </c>
      <c r="I2963">
        <v>0</v>
      </c>
      <c r="J2963">
        <v>0</v>
      </c>
      <c r="K2963">
        <v>0</v>
      </c>
      <c r="O2963">
        <v>0</v>
      </c>
      <c r="P2963">
        <v>4</v>
      </c>
      <c r="Q2963">
        <v>0</v>
      </c>
      <c r="R2963">
        <v>23.2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6</v>
      </c>
      <c r="AC2963">
        <v>0</v>
      </c>
      <c r="AH2963">
        <v>29.2</v>
      </c>
    </row>
    <row r="2964" spans="1:34" x14ac:dyDescent="0.3">
      <c r="A2964" s="4">
        <v>3080</v>
      </c>
      <c r="B2964" s="5">
        <v>2957</v>
      </c>
      <c r="C2964">
        <v>15096</v>
      </c>
      <c r="D2964" t="s">
        <v>1430</v>
      </c>
      <c r="E2964" t="s">
        <v>18237</v>
      </c>
      <c r="F2964" t="s">
        <v>1806</v>
      </c>
      <c r="G2964" t="s">
        <v>23353</v>
      </c>
      <c r="H2964">
        <v>19.2</v>
      </c>
      <c r="I2964">
        <v>0</v>
      </c>
      <c r="J2964">
        <v>0</v>
      </c>
      <c r="K2964">
        <v>0</v>
      </c>
      <c r="O2964">
        <v>0</v>
      </c>
      <c r="P2964">
        <v>4</v>
      </c>
      <c r="Q2964">
        <v>0</v>
      </c>
      <c r="R2964">
        <v>23.2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6</v>
      </c>
      <c r="AC2964">
        <v>0</v>
      </c>
      <c r="AH2964">
        <v>29.2</v>
      </c>
    </row>
    <row r="2965" spans="1:34" x14ac:dyDescent="0.3">
      <c r="A2965" s="4">
        <v>3081</v>
      </c>
      <c r="B2965" s="5">
        <v>2958</v>
      </c>
      <c r="C2965">
        <v>10477</v>
      </c>
      <c r="D2965" t="s">
        <v>23354</v>
      </c>
      <c r="E2965" t="s">
        <v>7769</v>
      </c>
      <c r="F2965" t="s">
        <v>38</v>
      </c>
      <c r="G2965" t="s">
        <v>23355</v>
      </c>
      <c r="H2965">
        <v>22.2</v>
      </c>
      <c r="I2965">
        <v>0</v>
      </c>
      <c r="J2965">
        <v>0</v>
      </c>
      <c r="K2965">
        <v>0</v>
      </c>
      <c r="N2965">
        <v>3</v>
      </c>
      <c r="O2965">
        <v>3</v>
      </c>
      <c r="P2965">
        <v>4</v>
      </c>
      <c r="Q2965">
        <v>0</v>
      </c>
      <c r="R2965">
        <v>29.2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H2965">
        <v>29.2</v>
      </c>
    </row>
    <row r="2966" spans="1:34" x14ac:dyDescent="0.3">
      <c r="A2966" s="4">
        <v>3082</v>
      </c>
      <c r="B2966" s="5">
        <v>2959</v>
      </c>
      <c r="C2966">
        <v>8436</v>
      </c>
      <c r="D2966" t="s">
        <v>23356</v>
      </c>
      <c r="E2966" t="s">
        <v>208</v>
      </c>
      <c r="F2966" t="s">
        <v>136</v>
      </c>
      <c r="G2966" t="s">
        <v>23357</v>
      </c>
      <c r="H2966">
        <v>22.2</v>
      </c>
      <c r="I2966">
        <v>0</v>
      </c>
      <c r="J2966">
        <v>0</v>
      </c>
      <c r="K2966">
        <v>0</v>
      </c>
      <c r="N2966">
        <v>3</v>
      </c>
      <c r="O2966">
        <v>3</v>
      </c>
      <c r="P2966">
        <v>4</v>
      </c>
      <c r="Q2966">
        <v>0</v>
      </c>
      <c r="R2966">
        <v>29.2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H2966">
        <v>29.2</v>
      </c>
    </row>
    <row r="2967" spans="1:34" x14ac:dyDescent="0.3">
      <c r="A2967" s="4">
        <v>3083</v>
      </c>
      <c r="B2967" s="5">
        <v>2960</v>
      </c>
      <c r="C2967">
        <v>7493</v>
      </c>
      <c r="D2967" t="s">
        <v>5130</v>
      </c>
      <c r="E2967" t="s">
        <v>178</v>
      </c>
      <c r="F2967" t="s">
        <v>17</v>
      </c>
      <c r="G2967" t="s">
        <v>23358</v>
      </c>
      <c r="H2967">
        <v>18.2</v>
      </c>
      <c r="I2967">
        <v>0</v>
      </c>
      <c r="J2967">
        <v>0</v>
      </c>
      <c r="K2967">
        <v>0</v>
      </c>
      <c r="L2967">
        <v>7</v>
      </c>
      <c r="O2967">
        <v>7</v>
      </c>
      <c r="P2967">
        <v>4</v>
      </c>
      <c r="Q2967">
        <v>0</v>
      </c>
      <c r="R2967">
        <v>29.2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 t="s">
        <v>130</v>
      </c>
      <c r="AH2967">
        <v>29.2</v>
      </c>
    </row>
    <row r="2968" spans="1:34" x14ac:dyDescent="0.3">
      <c r="A2968" s="4">
        <v>3084</v>
      </c>
      <c r="B2968" s="5">
        <v>2961</v>
      </c>
      <c r="C2968">
        <v>11853</v>
      </c>
      <c r="D2968" t="s">
        <v>9666</v>
      </c>
      <c r="E2968" t="s">
        <v>22</v>
      </c>
      <c r="F2968" t="s">
        <v>136</v>
      </c>
      <c r="G2968" t="s">
        <v>23359</v>
      </c>
      <c r="H2968">
        <v>19.18</v>
      </c>
      <c r="I2968">
        <v>0</v>
      </c>
      <c r="J2968">
        <v>0</v>
      </c>
      <c r="K2968">
        <v>0</v>
      </c>
      <c r="O2968">
        <v>0</v>
      </c>
      <c r="P2968">
        <v>4</v>
      </c>
      <c r="Q2968">
        <v>0</v>
      </c>
      <c r="R2968">
        <v>23.18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6</v>
      </c>
      <c r="AC2968">
        <v>0</v>
      </c>
      <c r="AH2968">
        <v>29.18</v>
      </c>
    </row>
    <row r="2969" spans="1:34" x14ac:dyDescent="0.3">
      <c r="A2969" s="4">
        <v>3085</v>
      </c>
      <c r="B2969" s="5">
        <v>2962</v>
      </c>
      <c r="C2969">
        <v>12208</v>
      </c>
      <c r="D2969" t="s">
        <v>23360</v>
      </c>
      <c r="E2969" t="s">
        <v>23361</v>
      </c>
      <c r="F2969" t="s">
        <v>16475</v>
      </c>
      <c r="G2969" t="s">
        <v>23362</v>
      </c>
      <c r="H2969">
        <v>20.18</v>
      </c>
      <c r="I2969">
        <v>0</v>
      </c>
      <c r="J2969">
        <v>0</v>
      </c>
      <c r="K2969">
        <v>0</v>
      </c>
      <c r="O2969">
        <v>0</v>
      </c>
      <c r="P2969">
        <v>4</v>
      </c>
      <c r="Q2969">
        <v>2</v>
      </c>
      <c r="R2969">
        <v>26.18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3</v>
      </c>
      <c r="AC2969">
        <v>0</v>
      </c>
      <c r="AH2969">
        <v>29.18</v>
      </c>
    </row>
    <row r="2970" spans="1:34" x14ac:dyDescent="0.3">
      <c r="A2970" s="4">
        <v>3086</v>
      </c>
      <c r="B2970" s="5">
        <v>2963</v>
      </c>
      <c r="C2970">
        <v>13790</v>
      </c>
      <c r="D2970" t="s">
        <v>23363</v>
      </c>
      <c r="E2970" t="s">
        <v>41</v>
      </c>
      <c r="F2970" t="s">
        <v>570</v>
      </c>
      <c r="G2970" t="s">
        <v>23364</v>
      </c>
      <c r="H2970">
        <v>19.18</v>
      </c>
      <c r="I2970">
        <v>0</v>
      </c>
      <c r="J2970">
        <v>0</v>
      </c>
      <c r="K2970">
        <v>0</v>
      </c>
      <c r="N2970">
        <v>3</v>
      </c>
      <c r="O2970">
        <v>3</v>
      </c>
      <c r="P2970">
        <v>4</v>
      </c>
      <c r="Q2970">
        <v>0</v>
      </c>
      <c r="R2970">
        <v>26.18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3</v>
      </c>
      <c r="AC2970">
        <v>0</v>
      </c>
      <c r="AH2970">
        <v>29.18</v>
      </c>
    </row>
    <row r="2971" spans="1:34" x14ac:dyDescent="0.3">
      <c r="A2971" s="4">
        <v>3087</v>
      </c>
      <c r="B2971" s="5">
        <v>2964</v>
      </c>
      <c r="C2971">
        <v>7418</v>
      </c>
      <c r="D2971" t="s">
        <v>23365</v>
      </c>
      <c r="E2971" t="s">
        <v>97</v>
      </c>
      <c r="F2971" t="s">
        <v>30</v>
      </c>
      <c r="G2971" t="s">
        <v>23366</v>
      </c>
      <c r="H2971">
        <v>16.149999999999999</v>
      </c>
      <c r="I2971">
        <v>0</v>
      </c>
      <c r="J2971">
        <v>0</v>
      </c>
      <c r="K2971">
        <v>0</v>
      </c>
      <c r="N2971">
        <v>3</v>
      </c>
      <c r="O2971">
        <v>3</v>
      </c>
      <c r="P2971">
        <v>4</v>
      </c>
      <c r="Q2971">
        <v>0</v>
      </c>
      <c r="R2971">
        <v>23.15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6</v>
      </c>
      <c r="AC2971">
        <v>0</v>
      </c>
      <c r="AH2971">
        <v>29.15</v>
      </c>
    </row>
    <row r="2972" spans="1:34" x14ac:dyDescent="0.3">
      <c r="A2972" s="4">
        <v>3088</v>
      </c>
      <c r="B2972" s="5">
        <v>2965</v>
      </c>
      <c r="C2972">
        <v>3804</v>
      </c>
      <c r="D2972" t="s">
        <v>12688</v>
      </c>
      <c r="E2972" t="s">
        <v>1426</v>
      </c>
      <c r="F2972" t="s">
        <v>124</v>
      </c>
      <c r="G2972" t="s">
        <v>23367</v>
      </c>
      <c r="H2972">
        <v>22.15</v>
      </c>
      <c r="I2972">
        <v>0</v>
      </c>
      <c r="J2972">
        <v>0</v>
      </c>
      <c r="K2972">
        <v>0</v>
      </c>
      <c r="N2972">
        <v>3</v>
      </c>
      <c r="O2972">
        <v>3</v>
      </c>
      <c r="P2972">
        <v>4</v>
      </c>
      <c r="Q2972">
        <v>0</v>
      </c>
      <c r="R2972">
        <v>29.15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H2972">
        <v>29.15</v>
      </c>
    </row>
    <row r="2973" spans="1:34" x14ac:dyDescent="0.3">
      <c r="A2973" s="4">
        <v>3089</v>
      </c>
      <c r="B2973" s="5">
        <v>2966</v>
      </c>
      <c r="C2973">
        <v>10591</v>
      </c>
      <c r="D2973" t="s">
        <v>23368</v>
      </c>
      <c r="E2973" t="s">
        <v>147</v>
      </c>
      <c r="F2973" t="s">
        <v>117</v>
      </c>
      <c r="G2973" t="s">
        <v>23369</v>
      </c>
      <c r="H2973">
        <v>18.149999999999999</v>
      </c>
      <c r="I2973">
        <v>0</v>
      </c>
      <c r="J2973">
        <v>0</v>
      </c>
      <c r="K2973">
        <v>0</v>
      </c>
      <c r="L2973">
        <v>7</v>
      </c>
      <c r="O2973">
        <v>7</v>
      </c>
      <c r="P2973">
        <v>4</v>
      </c>
      <c r="Q2973">
        <v>0</v>
      </c>
      <c r="R2973">
        <v>29.15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H2973">
        <v>29.15</v>
      </c>
    </row>
    <row r="2974" spans="1:34" x14ac:dyDescent="0.3">
      <c r="A2974" s="4">
        <v>3090</v>
      </c>
      <c r="B2974" s="5">
        <v>2967</v>
      </c>
      <c r="C2974">
        <v>7045</v>
      </c>
      <c r="D2974" t="s">
        <v>23370</v>
      </c>
      <c r="E2974" t="s">
        <v>23371</v>
      </c>
      <c r="F2974" t="s">
        <v>2180</v>
      </c>
      <c r="G2974" t="s">
        <v>23372</v>
      </c>
      <c r="H2974">
        <v>19.100000000000001</v>
      </c>
      <c r="I2974">
        <v>0</v>
      </c>
      <c r="J2974">
        <v>0</v>
      </c>
      <c r="K2974">
        <v>0</v>
      </c>
      <c r="O2974">
        <v>0</v>
      </c>
      <c r="P2974">
        <v>4</v>
      </c>
      <c r="Q2974">
        <v>0</v>
      </c>
      <c r="R2974">
        <v>23.1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6</v>
      </c>
      <c r="AC2974">
        <v>0</v>
      </c>
      <c r="AH2974">
        <v>29.1</v>
      </c>
    </row>
    <row r="2975" spans="1:34" x14ac:dyDescent="0.3">
      <c r="A2975" s="4">
        <v>3091</v>
      </c>
      <c r="B2975" s="5">
        <v>2968</v>
      </c>
      <c r="C2975">
        <v>9765</v>
      </c>
      <c r="D2975" t="s">
        <v>23373</v>
      </c>
      <c r="E2975" t="s">
        <v>258</v>
      </c>
      <c r="F2975" t="s">
        <v>30</v>
      </c>
      <c r="G2975" t="s">
        <v>23374</v>
      </c>
      <c r="H2975">
        <v>19.079999999999998</v>
      </c>
      <c r="I2975">
        <v>0</v>
      </c>
      <c r="J2975">
        <v>0</v>
      </c>
      <c r="K2975">
        <v>0</v>
      </c>
      <c r="N2975">
        <v>3</v>
      </c>
      <c r="O2975">
        <v>3</v>
      </c>
      <c r="P2975">
        <v>4</v>
      </c>
      <c r="Q2975">
        <v>0</v>
      </c>
      <c r="R2975">
        <v>26.08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3</v>
      </c>
      <c r="AC2975">
        <v>0</v>
      </c>
      <c r="AH2975">
        <v>29.08</v>
      </c>
    </row>
    <row r="2976" spans="1:34" x14ac:dyDescent="0.3">
      <c r="A2976" s="4">
        <v>3092</v>
      </c>
      <c r="B2976" s="5">
        <v>2969</v>
      </c>
      <c r="C2976">
        <v>9957</v>
      </c>
      <c r="D2976" t="s">
        <v>23375</v>
      </c>
      <c r="E2976" t="s">
        <v>166</v>
      </c>
      <c r="F2976" t="s">
        <v>488</v>
      </c>
      <c r="G2976" t="s">
        <v>23376</v>
      </c>
      <c r="H2976">
        <v>19.05</v>
      </c>
      <c r="I2976">
        <v>0</v>
      </c>
      <c r="J2976">
        <v>0</v>
      </c>
      <c r="K2976">
        <v>0</v>
      </c>
      <c r="O2976">
        <v>0</v>
      </c>
      <c r="P2976">
        <v>4</v>
      </c>
      <c r="Q2976">
        <v>0</v>
      </c>
      <c r="R2976">
        <v>23.05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6</v>
      </c>
      <c r="AC2976">
        <v>0</v>
      </c>
      <c r="AH2976">
        <v>29.05</v>
      </c>
    </row>
    <row r="2977" spans="1:34" x14ac:dyDescent="0.3">
      <c r="A2977" s="4">
        <v>3093</v>
      </c>
      <c r="B2977" s="5">
        <v>2970</v>
      </c>
      <c r="C2977">
        <v>11532</v>
      </c>
      <c r="D2977" t="s">
        <v>1483</v>
      </c>
      <c r="E2977" t="s">
        <v>88</v>
      </c>
      <c r="F2977" t="s">
        <v>34</v>
      </c>
      <c r="G2977" t="s">
        <v>23377</v>
      </c>
      <c r="H2977">
        <v>19.05</v>
      </c>
      <c r="I2977">
        <v>0</v>
      </c>
      <c r="J2977">
        <v>0</v>
      </c>
      <c r="K2977">
        <v>0</v>
      </c>
      <c r="N2977">
        <v>3</v>
      </c>
      <c r="O2977">
        <v>3</v>
      </c>
      <c r="P2977">
        <v>4</v>
      </c>
      <c r="Q2977">
        <v>0</v>
      </c>
      <c r="R2977">
        <v>26.05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3</v>
      </c>
      <c r="AC2977">
        <v>0</v>
      </c>
      <c r="AH2977">
        <v>29.05</v>
      </c>
    </row>
    <row r="2978" spans="1:34" x14ac:dyDescent="0.3">
      <c r="A2978" s="4">
        <v>3094</v>
      </c>
      <c r="B2978" s="5">
        <v>2971</v>
      </c>
      <c r="C2978">
        <v>15646</v>
      </c>
      <c r="D2978" t="s">
        <v>17589</v>
      </c>
      <c r="E2978" t="s">
        <v>41</v>
      </c>
      <c r="F2978" t="s">
        <v>649</v>
      </c>
      <c r="G2978" t="s">
        <v>23378</v>
      </c>
      <c r="H2978">
        <v>16.05</v>
      </c>
      <c r="I2978">
        <v>0</v>
      </c>
      <c r="J2978">
        <v>0</v>
      </c>
      <c r="K2978">
        <v>0</v>
      </c>
      <c r="N2978">
        <v>6</v>
      </c>
      <c r="O2978">
        <v>6</v>
      </c>
      <c r="P2978">
        <v>4</v>
      </c>
      <c r="Q2978">
        <v>0</v>
      </c>
      <c r="R2978">
        <v>26.05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3</v>
      </c>
      <c r="AC2978">
        <v>0</v>
      </c>
      <c r="AH2978">
        <v>29.05</v>
      </c>
    </row>
    <row r="2979" spans="1:34" x14ac:dyDescent="0.3">
      <c r="A2979" s="4">
        <v>3095</v>
      </c>
      <c r="B2979" s="5">
        <v>2972</v>
      </c>
      <c r="C2979">
        <v>5395</v>
      </c>
      <c r="D2979" t="s">
        <v>23379</v>
      </c>
      <c r="E2979" t="s">
        <v>23380</v>
      </c>
      <c r="F2979" t="s">
        <v>81</v>
      </c>
      <c r="G2979" t="s">
        <v>23381</v>
      </c>
      <c r="H2979">
        <v>22.05</v>
      </c>
      <c r="I2979">
        <v>0</v>
      </c>
      <c r="J2979">
        <v>0</v>
      </c>
      <c r="K2979">
        <v>0</v>
      </c>
      <c r="N2979">
        <v>3</v>
      </c>
      <c r="O2979">
        <v>3</v>
      </c>
      <c r="P2979">
        <v>4</v>
      </c>
      <c r="Q2979">
        <v>0</v>
      </c>
      <c r="R2979">
        <v>29.05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H2979">
        <v>29.05</v>
      </c>
    </row>
    <row r="2980" spans="1:34" x14ac:dyDescent="0.3">
      <c r="A2980" s="4">
        <v>3096</v>
      </c>
      <c r="B2980" s="5">
        <v>2973</v>
      </c>
      <c r="C2980">
        <v>7154</v>
      </c>
      <c r="D2980" t="s">
        <v>23382</v>
      </c>
      <c r="E2980" t="s">
        <v>208</v>
      </c>
      <c r="F2980" t="s">
        <v>38</v>
      </c>
      <c r="G2980" t="s">
        <v>23383</v>
      </c>
      <c r="H2980">
        <v>18.05</v>
      </c>
      <c r="I2980">
        <v>0</v>
      </c>
      <c r="J2980">
        <v>0</v>
      </c>
      <c r="K2980">
        <v>0</v>
      </c>
      <c r="L2980">
        <v>7</v>
      </c>
      <c r="O2980">
        <v>7</v>
      </c>
      <c r="P2980">
        <v>4</v>
      </c>
      <c r="Q2980">
        <v>0</v>
      </c>
      <c r="R2980">
        <v>29.05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H2980">
        <v>29.05</v>
      </c>
    </row>
    <row r="2981" spans="1:34" x14ac:dyDescent="0.3">
      <c r="A2981" s="4">
        <v>3097</v>
      </c>
      <c r="B2981" s="5">
        <v>2974</v>
      </c>
      <c r="C2981">
        <v>13794</v>
      </c>
      <c r="D2981" t="s">
        <v>18140</v>
      </c>
      <c r="E2981" t="s">
        <v>214</v>
      </c>
      <c r="F2981" t="s">
        <v>158</v>
      </c>
      <c r="G2981" t="s">
        <v>23384</v>
      </c>
      <c r="H2981">
        <v>18.05</v>
      </c>
      <c r="I2981">
        <v>0</v>
      </c>
      <c r="J2981">
        <v>0</v>
      </c>
      <c r="K2981">
        <v>0</v>
      </c>
      <c r="N2981">
        <v>3</v>
      </c>
      <c r="O2981">
        <v>3</v>
      </c>
      <c r="P2981">
        <v>0</v>
      </c>
      <c r="Q2981">
        <v>0</v>
      </c>
      <c r="R2981">
        <v>21.05</v>
      </c>
      <c r="S2981">
        <v>8</v>
      </c>
      <c r="T2981">
        <v>8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8</v>
      </c>
      <c r="AB2981">
        <v>0</v>
      </c>
      <c r="AC2981">
        <v>0</v>
      </c>
      <c r="AH2981">
        <v>29.05</v>
      </c>
    </row>
    <row r="2982" spans="1:34" x14ac:dyDescent="0.3">
      <c r="A2982" s="4">
        <v>3098</v>
      </c>
      <c r="B2982" s="5">
        <v>2975</v>
      </c>
      <c r="C2982">
        <v>8289</v>
      </c>
      <c r="D2982" t="s">
        <v>23385</v>
      </c>
      <c r="E2982" t="s">
        <v>8185</v>
      </c>
      <c r="F2982" t="s">
        <v>179</v>
      </c>
      <c r="G2982" t="s">
        <v>23386</v>
      </c>
      <c r="H2982">
        <v>19.03</v>
      </c>
      <c r="I2982">
        <v>0</v>
      </c>
      <c r="J2982">
        <v>0</v>
      </c>
      <c r="K2982">
        <v>0</v>
      </c>
      <c r="O2982">
        <v>0</v>
      </c>
      <c r="P2982">
        <v>4</v>
      </c>
      <c r="Q2982">
        <v>0</v>
      </c>
      <c r="R2982">
        <v>23.03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6</v>
      </c>
      <c r="AC2982">
        <v>0</v>
      </c>
      <c r="AH2982">
        <v>29.03</v>
      </c>
    </row>
    <row r="2983" spans="1:34" x14ac:dyDescent="0.3">
      <c r="A2983" s="4">
        <v>3099</v>
      </c>
      <c r="B2983" s="5">
        <v>2976</v>
      </c>
      <c r="C2983">
        <v>15336</v>
      </c>
      <c r="D2983" t="s">
        <v>23387</v>
      </c>
      <c r="E2983" t="s">
        <v>6346</v>
      </c>
      <c r="F2983" t="s">
        <v>23388</v>
      </c>
      <c r="G2983" t="s">
        <v>23389</v>
      </c>
      <c r="H2983">
        <v>18.03</v>
      </c>
      <c r="I2983">
        <v>0</v>
      </c>
      <c r="J2983">
        <v>0</v>
      </c>
      <c r="K2983">
        <v>0</v>
      </c>
      <c r="L2983">
        <v>7</v>
      </c>
      <c r="O2983">
        <v>7</v>
      </c>
      <c r="P2983">
        <v>4</v>
      </c>
      <c r="Q2983">
        <v>0</v>
      </c>
      <c r="R2983">
        <v>29.03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H2983">
        <v>29.03</v>
      </c>
    </row>
    <row r="2984" spans="1:34" x14ac:dyDescent="0.3">
      <c r="A2984" s="4">
        <v>3100</v>
      </c>
      <c r="B2984" s="5">
        <v>2977</v>
      </c>
      <c r="C2984">
        <v>15545</v>
      </c>
      <c r="D2984" t="s">
        <v>23390</v>
      </c>
      <c r="E2984" t="s">
        <v>23391</v>
      </c>
      <c r="F2984" t="s">
        <v>55</v>
      </c>
      <c r="G2984" t="s">
        <v>23392</v>
      </c>
      <c r="H2984">
        <v>19</v>
      </c>
      <c r="I2984">
        <v>0</v>
      </c>
      <c r="J2984">
        <v>0</v>
      </c>
      <c r="K2984">
        <v>0</v>
      </c>
      <c r="O2984">
        <v>0</v>
      </c>
      <c r="P2984">
        <v>4</v>
      </c>
      <c r="Q2984">
        <v>0</v>
      </c>
      <c r="R2984">
        <v>23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6</v>
      </c>
      <c r="AC2984">
        <v>0</v>
      </c>
      <c r="AH2984">
        <v>29</v>
      </c>
    </row>
    <row r="2985" spans="1:34" x14ac:dyDescent="0.3">
      <c r="A2985" s="4">
        <v>3101</v>
      </c>
      <c r="B2985" s="5">
        <v>2978</v>
      </c>
      <c r="C2985">
        <v>7602</v>
      </c>
      <c r="D2985" t="s">
        <v>12493</v>
      </c>
      <c r="E2985" t="s">
        <v>166</v>
      </c>
      <c r="F2985" t="s">
        <v>55</v>
      </c>
      <c r="G2985" t="s">
        <v>23393</v>
      </c>
      <c r="H2985">
        <v>19</v>
      </c>
      <c r="I2985">
        <v>0</v>
      </c>
      <c r="J2985">
        <v>0</v>
      </c>
      <c r="K2985">
        <v>0</v>
      </c>
      <c r="O2985">
        <v>0</v>
      </c>
      <c r="P2985">
        <v>4</v>
      </c>
      <c r="Q2985">
        <v>0</v>
      </c>
      <c r="R2985">
        <v>23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6</v>
      </c>
      <c r="AC2985">
        <v>0</v>
      </c>
      <c r="AH2985">
        <v>29</v>
      </c>
    </row>
    <row r="2986" spans="1:34" x14ac:dyDescent="0.3">
      <c r="A2986" s="4">
        <v>3102</v>
      </c>
      <c r="B2986" s="5">
        <v>2979</v>
      </c>
      <c r="C2986">
        <v>6855</v>
      </c>
      <c r="D2986" t="s">
        <v>831</v>
      </c>
      <c r="E2986" t="s">
        <v>88</v>
      </c>
      <c r="F2986" t="s">
        <v>5741</v>
      </c>
      <c r="G2986" t="s">
        <v>23394</v>
      </c>
      <c r="H2986">
        <v>19</v>
      </c>
      <c r="I2986">
        <v>0</v>
      </c>
      <c r="J2986">
        <v>0</v>
      </c>
      <c r="K2986">
        <v>0</v>
      </c>
      <c r="O2986">
        <v>0</v>
      </c>
      <c r="P2986">
        <v>4</v>
      </c>
      <c r="Q2986">
        <v>0</v>
      </c>
      <c r="R2986">
        <v>23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6</v>
      </c>
      <c r="AC2986">
        <v>0</v>
      </c>
      <c r="AH2986">
        <v>29</v>
      </c>
    </row>
    <row r="2987" spans="1:34" x14ac:dyDescent="0.3">
      <c r="A2987" s="4">
        <v>3103</v>
      </c>
      <c r="B2987" s="5">
        <v>2980</v>
      </c>
      <c r="C2987">
        <v>11758</v>
      </c>
      <c r="D2987" t="s">
        <v>3091</v>
      </c>
      <c r="E2987" t="s">
        <v>54</v>
      </c>
      <c r="F2987" t="s">
        <v>81</v>
      </c>
      <c r="G2987" t="s">
        <v>23395</v>
      </c>
      <c r="H2987">
        <v>19</v>
      </c>
      <c r="I2987">
        <v>0</v>
      </c>
      <c r="J2987">
        <v>0</v>
      </c>
      <c r="K2987">
        <v>0</v>
      </c>
      <c r="N2987">
        <v>3</v>
      </c>
      <c r="O2987">
        <v>3</v>
      </c>
      <c r="P2987">
        <v>4</v>
      </c>
      <c r="Q2987">
        <v>0</v>
      </c>
      <c r="R2987">
        <v>26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3</v>
      </c>
      <c r="AC2987">
        <v>0</v>
      </c>
      <c r="AH2987">
        <v>29</v>
      </c>
    </row>
    <row r="2988" spans="1:34" x14ac:dyDescent="0.3">
      <c r="A2988" s="4">
        <v>3104</v>
      </c>
      <c r="B2988" s="5">
        <v>2981</v>
      </c>
      <c r="C2988">
        <v>6047</v>
      </c>
      <c r="D2988" t="s">
        <v>1907</v>
      </c>
      <c r="E2988" t="s">
        <v>54</v>
      </c>
      <c r="F2988" t="s">
        <v>68</v>
      </c>
      <c r="G2988" t="s">
        <v>23396</v>
      </c>
      <c r="H2988">
        <v>18</v>
      </c>
      <c r="I2988">
        <v>0</v>
      </c>
      <c r="J2988">
        <v>0</v>
      </c>
      <c r="K2988">
        <v>0</v>
      </c>
      <c r="L2988">
        <v>7</v>
      </c>
      <c r="O2988">
        <v>7</v>
      </c>
      <c r="P2988">
        <v>4</v>
      </c>
      <c r="Q2988">
        <v>0</v>
      </c>
      <c r="R2988">
        <v>29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H2988">
        <v>29</v>
      </c>
    </row>
    <row r="2989" spans="1:34" x14ac:dyDescent="0.3">
      <c r="A2989" s="4">
        <v>3105</v>
      </c>
      <c r="B2989" s="5">
        <v>2982</v>
      </c>
      <c r="C2989">
        <v>6996</v>
      </c>
      <c r="D2989" t="s">
        <v>23397</v>
      </c>
      <c r="E2989" t="s">
        <v>23398</v>
      </c>
      <c r="F2989" t="s">
        <v>23399</v>
      </c>
      <c r="G2989" t="s">
        <v>23400</v>
      </c>
      <c r="H2989">
        <v>18</v>
      </c>
      <c r="I2989">
        <v>0</v>
      </c>
      <c r="J2989">
        <v>0</v>
      </c>
      <c r="K2989">
        <v>0</v>
      </c>
      <c r="L2989">
        <v>7</v>
      </c>
      <c r="O2989">
        <v>7</v>
      </c>
      <c r="P2989">
        <v>4</v>
      </c>
      <c r="Q2989">
        <v>0</v>
      </c>
      <c r="R2989">
        <v>29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H2989">
        <v>29</v>
      </c>
    </row>
    <row r="2990" spans="1:34" x14ac:dyDescent="0.3">
      <c r="A2990" s="4">
        <v>3106</v>
      </c>
      <c r="B2990" s="5">
        <v>2983</v>
      </c>
      <c r="C2990">
        <v>5104</v>
      </c>
      <c r="D2990" t="s">
        <v>23401</v>
      </c>
      <c r="E2990" t="s">
        <v>575</v>
      </c>
      <c r="F2990" t="s">
        <v>136</v>
      </c>
      <c r="G2990" t="s">
        <v>23402</v>
      </c>
      <c r="H2990">
        <v>19.98</v>
      </c>
      <c r="I2990">
        <v>0</v>
      </c>
      <c r="J2990">
        <v>0</v>
      </c>
      <c r="K2990">
        <v>0</v>
      </c>
      <c r="N2990">
        <v>3</v>
      </c>
      <c r="O2990">
        <v>3</v>
      </c>
      <c r="P2990">
        <v>4</v>
      </c>
      <c r="Q2990">
        <v>2</v>
      </c>
      <c r="R2990">
        <v>28.98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H2990">
        <v>28.98</v>
      </c>
    </row>
    <row r="2991" spans="1:34" x14ac:dyDescent="0.3">
      <c r="A2991" s="4">
        <v>3107</v>
      </c>
      <c r="B2991" s="5">
        <v>2984</v>
      </c>
      <c r="C2991">
        <v>4076</v>
      </c>
      <c r="D2991" t="s">
        <v>1449</v>
      </c>
      <c r="E2991" t="s">
        <v>147</v>
      </c>
      <c r="F2991" t="s">
        <v>81</v>
      </c>
      <c r="G2991" t="s">
        <v>23403</v>
      </c>
      <c r="H2991">
        <v>19.98</v>
      </c>
      <c r="I2991">
        <v>0</v>
      </c>
      <c r="J2991">
        <v>0</v>
      </c>
      <c r="K2991">
        <v>0</v>
      </c>
      <c r="N2991">
        <v>3</v>
      </c>
      <c r="O2991">
        <v>3</v>
      </c>
      <c r="P2991">
        <v>4</v>
      </c>
      <c r="Q2991">
        <v>2</v>
      </c>
      <c r="R2991">
        <v>28.98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H2991">
        <v>28.98</v>
      </c>
    </row>
    <row r="2992" spans="1:34" x14ac:dyDescent="0.3">
      <c r="A2992" s="4">
        <v>3108</v>
      </c>
      <c r="B2992" s="5">
        <v>2985</v>
      </c>
      <c r="C2992">
        <v>12284</v>
      </c>
      <c r="D2992" t="s">
        <v>23404</v>
      </c>
      <c r="E2992" t="s">
        <v>22</v>
      </c>
      <c r="F2992" t="s">
        <v>30</v>
      </c>
      <c r="G2992" t="s">
        <v>23405</v>
      </c>
      <c r="H2992">
        <v>18.95</v>
      </c>
      <c r="I2992">
        <v>0</v>
      </c>
      <c r="J2992">
        <v>0</v>
      </c>
      <c r="K2992">
        <v>0</v>
      </c>
      <c r="N2992">
        <v>3</v>
      </c>
      <c r="O2992">
        <v>3</v>
      </c>
      <c r="P2992">
        <v>4</v>
      </c>
      <c r="Q2992">
        <v>0</v>
      </c>
      <c r="R2992">
        <v>25.95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3</v>
      </c>
      <c r="AC2992">
        <v>0</v>
      </c>
      <c r="AH2992">
        <v>28.95</v>
      </c>
    </row>
    <row r="2993" spans="1:34" x14ac:dyDescent="0.3">
      <c r="A2993" s="4">
        <v>3109</v>
      </c>
      <c r="B2993" s="5">
        <v>2986</v>
      </c>
      <c r="C2993">
        <v>2047</v>
      </c>
      <c r="D2993" t="s">
        <v>5601</v>
      </c>
      <c r="E2993" t="s">
        <v>2011</v>
      </c>
      <c r="F2993" t="s">
        <v>782</v>
      </c>
      <c r="G2993" t="s">
        <v>23406</v>
      </c>
      <c r="H2993">
        <v>21.95</v>
      </c>
      <c r="I2993">
        <v>0</v>
      </c>
      <c r="J2993">
        <v>0</v>
      </c>
      <c r="K2993">
        <v>0</v>
      </c>
      <c r="N2993">
        <v>3</v>
      </c>
      <c r="O2993">
        <v>3</v>
      </c>
      <c r="P2993">
        <v>4</v>
      </c>
      <c r="Q2993">
        <v>0</v>
      </c>
      <c r="R2993">
        <v>28.95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H2993">
        <v>28.95</v>
      </c>
    </row>
    <row r="2994" spans="1:34" x14ac:dyDescent="0.3">
      <c r="A2994" s="4">
        <v>3110</v>
      </c>
      <c r="B2994" s="5">
        <v>2987</v>
      </c>
      <c r="C2994">
        <v>2818</v>
      </c>
      <c r="D2994" t="s">
        <v>23407</v>
      </c>
      <c r="E2994" t="s">
        <v>17</v>
      </c>
      <c r="F2994" t="s">
        <v>243</v>
      </c>
      <c r="G2994" t="s">
        <v>23408</v>
      </c>
      <c r="H2994">
        <v>19.95</v>
      </c>
      <c r="I2994">
        <v>0</v>
      </c>
      <c r="J2994">
        <v>0</v>
      </c>
      <c r="K2994">
        <v>0</v>
      </c>
      <c r="N2994">
        <v>3</v>
      </c>
      <c r="O2994">
        <v>3</v>
      </c>
      <c r="P2994">
        <v>4</v>
      </c>
      <c r="Q2994">
        <v>2</v>
      </c>
      <c r="R2994">
        <v>28.95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H2994">
        <v>28.95</v>
      </c>
    </row>
    <row r="2995" spans="1:34" x14ac:dyDescent="0.3">
      <c r="A2995" s="4">
        <v>3111</v>
      </c>
      <c r="B2995" s="5">
        <v>2988</v>
      </c>
      <c r="C2995">
        <v>9961</v>
      </c>
      <c r="D2995" t="s">
        <v>23409</v>
      </c>
      <c r="E2995" t="s">
        <v>23410</v>
      </c>
      <c r="F2995" t="s">
        <v>20</v>
      </c>
      <c r="G2995" t="s">
        <v>23411</v>
      </c>
      <c r="H2995">
        <v>19.95</v>
      </c>
      <c r="I2995">
        <v>0</v>
      </c>
      <c r="J2995">
        <v>0</v>
      </c>
      <c r="K2995">
        <v>0</v>
      </c>
      <c r="M2995">
        <v>5</v>
      </c>
      <c r="O2995">
        <v>5</v>
      </c>
      <c r="P2995">
        <v>4</v>
      </c>
      <c r="Q2995">
        <v>0</v>
      </c>
      <c r="R2995">
        <v>28.95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H2995">
        <v>28.95</v>
      </c>
    </row>
    <row r="2996" spans="1:34" x14ac:dyDescent="0.3">
      <c r="A2996" s="4">
        <v>3112</v>
      </c>
      <c r="B2996" s="5">
        <v>2989</v>
      </c>
      <c r="C2996">
        <v>6599</v>
      </c>
      <c r="D2996" t="s">
        <v>717</v>
      </c>
      <c r="E2996" t="s">
        <v>1997</v>
      </c>
      <c r="F2996" t="s">
        <v>17</v>
      </c>
      <c r="G2996" t="s">
        <v>23412</v>
      </c>
      <c r="H2996">
        <v>19.95</v>
      </c>
      <c r="I2996">
        <v>0</v>
      </c>
      <c r="J2996">
        <v>0</v>
      </c>
      <c r="K2996">
        <v>0</v>
      </c>
      <c r="N2996">
        <v>3</v>
      </c>
      <c r="O2996">
        <v>3</v>
      </c>
      <c r="P2996">
        <v>4</v>
      </c>
      <c r="Q2996">
        <v>2</v>
      </c>
      <c r="R2996">
        <v>28.95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 t="s">
        <v>130</v>
      </c>
      <c r="AH2996">
        <v>28.95</v>
      </c>
    </row>
    <row r="2997" spans="1:34" x14ac:dyDescent="0.3">
      <c r="A2997" s="4">
        <v>3113</v>
      </c>
      <c r="B2997" s="5">
        <v>2990</v>
      </c>
      <c r="C2997">
        <v>14591</v>
      </c>
      <c r="D2997" t="s">
        <v>23413</v>
      </c>
      <c r="E2997" t="s">
        <v>23414</v>
      </c>
      <c r="F2997" t="s">
        <v>81</v>
      </c>
      <c r="G2997" t="s">
        <v>23415</v>
      </c>
      <c r="H2997">
        <v>17.95</v>
      </c>
      <c r="I2997">
        <v>0</v>
      </c>
      <c r="J2997">
        <v>0</v>
      </c>
      <c r="K2997">
        <v>0</v>
      </c>
      <c r="L2997">
        <v>7</v>
      </c>
      <c r="O2997">
        <v>7</v>
      </c>
      <c r="P2997">
        <v>4</v>
      </c>
      <c r="Q2997">
        <v>0</v>
      </c>
      <c r="R2997">
        <v>28.95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H2997">
        <v>28.95</v>
      </c>
    </row>
    <row r="2998" spans="1:34" x14ac:dyDescent="0.3">
      <c r="A2998" s="4">
        <v>3114</v>
      </c>
      <c r="B2998" s="5">
        <v>2991</v>
      </c>
      <c r="C2998">
        <v>4720</v>
      </c>
      <c r="D2998" t="s">
        <v>23416</v>
      </c>
      <c r="E2998" t="s">
        <v>29</v>
      </c>
      <c r="F2998" t="s">
        <v>310</v>
      </c>
      <c r="G2998">
        <v>237571</v>
      </c>
      <c r="H2998">
        <v>18.93</v>
      </c>
      <c r="I2998">
        <v>0</v>
      </c>
      <c r="J2998">
        <v>0</v>
      </c>
      <c r="K2998">
        <v>0</v>
      </c>
      <c r="O2998">
        <v>0</v>
      </c>
      <c r="P2998">
        <v>4</v>
      </c>
      <c r="Q2998">
        <v>0</v>
      </c>
      <c r="R2998">
        <v>22.93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6</v>
      </c>
      <c r="AC2998">
        <v>0</v>
      </c>
      <c r="AH2998">
        <v>28.93</v>
      </c>
    </row>
    <row r="2999" spans="1:34" x14ac:dyDescent="0.3">
      <c r="A2999" s="4">
        <v>3115</v>
      </c>
      <c r="B2999" s="5">
        <v>2992</v>
      </c>
      <c r="C2999">
        <v>3070</v>
      </c>
      <c r="D2999" t="s">
        <v>9096</v>
      </c>
      <c r="E2999" t="s">
        <v>1168</v>
      </c>
      <c r="F2999" t="s">
        <v>81</v>
      </c>
      <c r="G2999" t="s">
        <v>23417</v>
      </c>
      <c r="H2999">
        <v>18.93</v>
      </c>
      <c r="I2999">
        <v>0</v>
      </c>
      <c r="J2999">
        <v>0</v>
      </c>
      <c r="K2999">
        <v>0</v>
      </c>
      <c r="O2999">
        <v>0</v>
      </c>
      <c r="P2999">
        <v>4</v>
      </c>
      <c r="Q2999">
        <v>0</v>
      </c>
      <c r="R2999">
        <v>22.93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6</v>
      </c>
      <c r="AC2999">
        <v>0</v>
      </c>
      <c r="AH2999">
        <v>28.93</v>
      </c>
    </row>
    <row r="3000" spans="1:34" x14ac:dyDescent="0.3">
      <c r="A3000" s="4">
        <v>3116</v>
      </c>
      <c r="B3000" s="5">
        <v>2993</v>
      </c>
      <c r="C3000">
        <v>80</v>
      </c>
      <c r="D3000" t="s">
        <v>3570</v>
      </c>
      <c r="E3000" t="s">
        <v>23418</v>
      </c>
      <c r="F3000" t="s">
        <v>30</v>
      </c>
      <c r="G3000" t="s">
        <v>23419</v>
      </c>
      <c r="H3000">
        <v>19.93</v>
      </c>
      <c r="I3000">
        <v>0</v>
      </c>
      <c r="J3000">
        <v>0</v>
      </c>
      <c r="K3000">
        <v>0</v>
      </c>
      <c r="N3000">
        <v>3</v>
      </c>
      <c r="O3000">
        <v>3</v>
      </c>
      <c r="P3000">
        <v>4</v>
      </c>
      <c r="Q3000">
        <v>2</v>
      </c>
      <c r="R3000">
        <v>28.93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H3000">
        <v>28.93</v>
      </c>
    </row>
    <row r="3001" spans="1:34" x14ac:dyDescent="0.3">
      <c r="A3001" s="4">
        <v>3117</v>
      </c>
      <c r="B3001" s="5">
        <v>2994</v>
      </c>
      <c r="C3001">
        <v>4142</v>
      </c>
      <c r="D3001" t="s">
        <v>549</v>
      </c>
      <c r="E3001" t="s">
        <v>744</v>
      </c>
      <c r="F3001" t="s">
        <v>13246</v>
      </c>
      <c r="G3001" t="s">
        <v>23420</v>
      </c>
      <c r="H3001">
        <v>17.93</v>
      </c>
      <c r="I3001">
        <v>0</v>
      </c>
      <c r="J3001">
        <v>0</v>
      </c>
      <c r="K3001">
        <v>0</v>
      </c>
      <c r="L3001">
        <v>7</v>
      </c>
      <c r="O3001">
        <v>7</v>
      </c>
      <c r="P3001">
        <v>4</v>
      </c>
      <c r="Q3001">
        <v>0</v>
      </c>
      <c r="R3001">
        <v>28.93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H3001">
        <v>28.93</v>
      </c>
    </row>
    <row r="3002" spans="1:34" x14ac:dyDescent="0.3">
      <c r="A3002" s="4">
        <v>3118</v>
      </c>
      <c r="B3002" s="5">
        <v>2995</v>
      </c>
      <c r="C3002">
        <v>15315</v>
      </c>
      <c r="D3002" t="s">
        <v>23421</v>
      </c>
      <c r="E3002" t="s">
        <v>23422</v>
      </c>
      <c r="F3002" t="s">
        <v>539</v>
      </c>
      <c r="G3002" t="s">
        <v>23423</v>
      </c>
      <c r="H3002">
        <v>21.9</v>
      </c>
      <c r="I3002">
        <v>0</v>
      </c>
      <c r="J3002">
        <v>0</v>
      </c>
      <c r="K3002">
        <v>0</v>
      </c>
      <c r="L3002">
        <v>7</v>
      </c>
      <c r="O3002">
        <v>7</v>
      </c>
      <c r="P3002">
        <v>0</v>
      </c>
      <c r="Q3002">
        <v>0</v>
      </c>
      <c r="R3002">
        <v>28.9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H3002">
        <v>28.9</v>
      </c>
    </row>
    <row r="3003" spans="1:34" x14ac:dyDescent="0.3">
      <c r="A3003" s="4">
        <v>3119</v>
      </c>
      <c r="B3003" s="5">
        <v>2996</v>
      </c>
      <c r="C3003">
        <v>8855</v>
      </c>
      <c r="D3003" t="s">
        <v>23424</v>
      </c>
      <c r="E3003" t="s">
        <v>208</v>
      </c>
      <c r="F3003" t="s">
        <v>259</v>
      </c>
      <c r="G3003" t="s">
        <v>23425</v>
      </c>
      <c r="H3003">
        <v>17.899999999999999</v>
      </c>
      <c r="I3003">
        <v>0</v>
      </c>
      <c r="J3003">
        <v>0</v>
      </c>
      <c r="K3003">
        <v>0</v>
      </c>
      <c r="L3003">
        <v>7</v>
      </c>
      <c r="O3003">
        <v>7</v>
      </c>
      <c r="P3003">
        <v>4</v>
      </c>
      <c r="Q3003">
        <v>0</v>
      </c>
      <c r="R3003">
        <v>28.9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H3003">
        <v>28.9</v>
      </c>
    </row>
    <row r="3004" spans="1:34" x14ac:dyDescent="0.3">
      <c r="A3004" s="4">
        <v>3120</v>
      </c>
      <c r="B3004" s="5">
        <v>2997</v>
      </c>
      <c r="C3004">
        <v>9837</v>
      </c>
      <c r="D3004" t="s">
        <v>3819</v>
      </c>
      <c r="E3004" t="s">
        <v>173</v>
      </c>
      <c r="F3004" t="s">
        <v>158</v>
      </c>
      <c r="G3004" t="s">
        <v>23426</v>
      </c>
      <c r="H3004">
        <v>18.88</v>
      </c>
      <c r="I3004">
        <v>0</v>
      </c>
      <c r="J3004">
        <v>0</v>
      </c>
      <c r="K3004">
        <v>0</v>
      </c>
      <c r="O3004">
        <v>0</v>
      </c>
      <c r="P3004">
        <v>4</v>
      </c>
      <c r="Q3004">
        <v>0</v>
      </c>
      <c r="R3004">
        <v>22.88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6</v>
      </c>
      <c r="AC3004">
        <v>0</v>
      </c>
      <c r="AH3004">
        <v>28.88</v>
      </c>
    </row>
    <row r="3005" spans="1:34" x14ac:dyDescent="0.3">
      <c r="A3005" s="4">
        <v>3121</v>
      </c>
      <c r="B3005" s="5">
        <v>2998</v>
      </c>
      <c r="C3005">
        <v>3518</v>
      </c>
      <c r="D3005" t="s">
        <v>1530</v>
      </c>
      <c r="E3005" t="s">
        <v>23230</v>
      </c>
      <c r="F3005" t="s">
        <v>425</v>
      </c>
      <c r="G3005" t="s">
        <v>23427</v>
      </c>
      <c r="H3005">
        <v>18.88</v>
      </c>
      <c r="I3005">
        <v>0</v>
      </c>
      <c r="J3005">
        <v>0</v>
      </c>
      <c r="K3005">
        <v>0</v>
      </c>
      <c r="N3005">
        <v>3</v>
      </c>
      <c r="O3005">
        <v>3</v>
      </c>
      <c r="P3005">
        <v>4</v>
      </c>
      <c r="Q3005">
        <v>0</v>
      </c>
      <c r="R3005">
        <v>25.88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3</v>
      </c>
      <c r="AC3005">
        <v>0</v>
      </c>
      <c r="AH3005">
        <v>28.88</v>
      </c>
    </row>
    <row r="3006" spans="1:34" x14ac:dyDescent="0.3">
      <c r="A3006" s="4">
        <v>3122</v>
      </c>
      <c r="B3006" s="5">
        <v>2999</v>
      </c>
      <c r="C3006">
        <v>12370</v>
      </c>
      <c r="D3006" t="s">
        <v>23428</v>
      </c>
      <c r="E3006" t="s">
        <v>33</v>
      </c>
      <c r="F3006" t="s">
        <v>124</v>
      </c>
      <c r="G3006" t="s">
        <v>23429</v>
      </c>
      <c r="H3006">
        <v>18.88</v>
      </c>
      <c r="I3006">
        <v>0</v>
      </c>
      <c r="J3006">
        <v>0</v>
      </c>
      <c r="K3006">
        <v>0</v>
      </c>
      <c r="N3006">
        <v>3</v>
      </c>
      <c r="O3006">
        <v>3</v>
      </c>
      <c r="P3006">
        <v>4</v>
      </c>
      <c r="Q3006">
        <v>0</v>
      </c>
      <c r="R3006">
        <v>25.88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3</v>
      </c>
      <c r="AC3006">
        <v>0</v>
      </c>
      <c r="AH3006">
        <v>28.88</v>
      </c>
    </row>
    <row r="3007" spans="1:34" x14ac:dyDescent="0.3">
      <c r="A3007" s="4">
        <v>3123</v>
      </c>
      <c r="B3007" s="5">
        <v>3000</v>
      </c>
      <c r="C3007">
        <v>10143</v>
      </c>
      <c r="D3007" t="s">
        <v>23430</v>
      </c>
      <c r="E3007" t="s">
        <v>23431</v>
      </c>
      <c r="F3007" t="s">
        <v>23432</v>
      </c>
      <c r="G3007" t="s">
        <v>23433</v>
      </c>
      <c r="H3007">
        <v>21.88</v>
      </c>
      <c r="I3007">
        <v>0</v>
      </c>
      <c r="J3007">
        <v>0</v>
      </c>
      <c r="K3007">
        <v>0</v>
      </c>
      <c r="L3007">
        <v>7</v>
      </c>
      <c r="O3007">
        <v>7</v>
      </c>
      <c r="P3007">
        <v>0</v>
      </c>
      <c r="Q3007">
        <v>0</v>
      </c>
      <c r="R3007">
        <v>28.88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H3007">
        <v>28.88</v>
      </c>
    </row>
    <row r="3008" spans="1:34" x14ac:dyDescent="0.3">
      <c r="A3008" s="4">
        <v>3124</v>
      </c>
      <c r="B3008" s="5">
        <v>3001</v>
      </c>
      <c r="C3008">
        <v>9624</v>
      </c>
      <c r="D3008" t="s">
        <v>5155</v>
      </c>
      <c r="E3008" t="s">
        <v>41</v>
      </c>
      <c r="F3008" t="s">
        <v>68</v>
      </c>
      <c r="G3008" t="s">
        <v>23434</v>
      </c>
      <c r="H3008">
        <v>21.85</v>
      </c>
      <c r="I3008">
        <v>0</v>
      </c>
      <c r="J3008">
        <v>0</v>
      </c>
      <c r="K3008">
        <v>0</v>
      </c>
      <c r="N3008">
        <v>3</v>
      </c>
      <c r="O3008">
        <v>3</v>
      </c>
      <c r="P3008">
        <v>4</v>
      </c>
      <c r="Q3008">
        <v>0</v>
      </c>
      <c r="R3008">
        <v>28.85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H3008">
        <v>28.85</v>
      </c>
    </row>
    <row r="3009" spans="1:34" x14ac:dyDescent="0.3">
      <c r="A3009" s="4">
        <v>3125</v>
      </c>
      <c r="B3009" s="5">
        <v>3002</v>
      </c>
      <c r="C3009">
        <v>848</v>
      </c>
      <c r="D3009" t="s">
        <v>18764</v>
      </c>
      <c r="E3009" t="s">
        <v>26</v>
      </c>
      <c r="F3009" t="s">
        <v>7769</v>
      </c>
      <c r="G3009" t="s">
        <v>23435</v>
      </c>
      <c r="H3009">
        <v>18.829999999999998</v>
      </c>
      <c r="I3009">
        <v>0</v>
      </c>
      <c r="J3009">
        <v>0</v>
      </c>
      <c r="K3009">
        <v>0</v>
      </c>
      <c r="N3009">
        <v>3</v>
      </c>
      <c r="O3009">
        <v>3</v>
      </c>
      <c r="P3009">
        <v>4</v>
      </c>
      <c r="Q3009">
        <v>0</v>
      </c>
      <c r="R3009">
        <v>25.83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3</v>
      </c>
      <c r="AC3009">
        <v>0</v>
      </c>
      <c r="AH3009">
        <v>28.83</v>
      </c>
    </row>
    <row r="3010" spans="1:34" x14ac:dyDescent="0.3">
      <c r="A3010" s="4">
        <v>3126</v>
      </c>
      <c r="B3010" s="5">
        <v>3003</v>
      </c>
      <c r="C3010">
        <v>959</v>
      </c>
      <c r="D3010" t="s">
        <v>23436</v>
      </c>
      <c r="E3010" t="s">
        <v>20</v>
      </c>
      <c r="F3010" t="s">
        <v>17</v>
      </c>
      <c r="G3010" t="s">
        <v>23437</v>
      </c>
      <c r="H3010">
        <v>19.829999999999998</v>
      </c>
      <c r="I3010">
        <v>0</v>
      </c>
      <c r="J3010">
        <v>0</v>
      </c>
      <c r="K3010">
        <v>0</v>
      </c>
      <c r="N3010">
        <v>3</v>
      </c>
      <c r="O3010">
        <v>3</v>
      </c>
      <c r="P3010">
        <v>4</v>
      </c>
      <c r="Q3010">
        <v>2</v>
      </c>
      <c r="R3010">
        <v>28.83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H3010">
        <v>28.83</v>
      </c>
    </row>
    <row r="3011" spans="1:34" x14ac:dyDescent="0.3">
      <c r="A3011" s="4">
        <v>3127</v>
      </c>
      <c r="B3011" s="5">
        <v>3004</v>
      </c>
      <c r="C3011">
        <v>9075</v>
      </c>
      <c r="D3011" t="s">
        <v>23438</v>
      </c>
      <c r="E3011" t="s">
        <v>575</v>
      </c>
      <c r="F3011" t="s">
        <v>17</v>
      </c>
      <c r="G3011" t="s">
        <v>23439</v>
      </c>
      <c r="H3011">
        <v>17.829999999999998</v>
      </c>
      <c r="I3011">
        <v>0</v>
      </c>
      <c r="J3011">
        <v>0</v>
      </c>
      <c r="K3011">
        <v>0</v>
      </c>
      <c r="L3011">
        <v>7</v>
      </c>
      <c r="O3011">
        <v>7</v>
      </c>
      <c r="P3011">
        <v>4</v>
      </c>
      <c r="Q3011">
        <v>0</v>
      </c>
      <c r="R3011">
        <v>28.83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H3011">
        <v>28.83</v>
      </c>
    </row>
    <row r="3012" spans="1:34" x14ac:dyDescent="0.3">
      <c r="A3012" s="4">
        <v>3128</v>
      </c>
      <c r="B3012" s="5">
        <v>3005</v>
      </c>
      <c r="C3012">
        <v>5431</v>
      </c>
      <c r="D3012" t="s">
        <v>1742</v>
      </c>
      <c r="E3012" t="s">
        <v>22</v>
      </c>
      <c r="F3012" t="s">
        <v>892</v>
      </c>
      <c r="G3012" t="s">
        <v>23440</v>
      </c>
      <c r="H3012">
        <v>17.829999999999998</v>
      </c>
      <c r="I3012">
        <v>0</v>
      </c>
      <c r="J3012">
        <v>0</v>
      </c>
      <c r="K3012">
        <v>0</v>
      </c>
      <c r="L3012">
        <v>7</v>
      </c>
      <c r="O3012">
        <v>7</v>
      </c>
      <c r="P3012">
        <v>4</v>
      </c>
      <c r="Q3012">
        <v>0</v>
      </c>
      <c r="R3012">
        <v>28.83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H3012">
        <v>28.83</v>
      </c>
    </row>
    <row r="3013" spans="1:34" x14ac:dyDescent="0.3">
      <c r="A3013" s="4">
        <v>3129</v>
      </c>
      <c r="B3013" s="5">
        <v>3006</v>
      </c>
      <c r="C3013">
        <v>3676</v>
      </c>
      <c r="D3013" t="s">
        <v>23441</v>
      </c>
      <c r="E3013" t="s">
        <v>740</v>
      </c>
      <c r="F3013" t="s">
        <v>214</v>
      </c>
      <c r="G3013" t="s">
        <v>23442</v>
      </c>
      <c r="H3013">
        <v>18.8</v>
      </c>
      <c r="I3013">
        <v>0</v>
      </c>
      <c r="J3013">
        <v>0</v>
      </c>
      <c r="K3013">
        <v>0</v>
      </c>
      <c r="O3013">
        <v>0</v>
      </c>
      <c r="P3013">
        <v>4</v>
      </c>
      <c r="Q3013">
        <v>0</v>
      </c>
      <c r="R3013">
        <v>22.8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6</v>
      </c>
      <c r="AC3013">
        <v>0</v>
      </c>
      <c r="AH3013">
        <v>28.8</v>
      </c>
    </row>
    <row r="3014" spans="1:34" x14ac:dyDescent="0.3">
      <c r="A3014" s="4">
        <v>3130</v>
      </c>
      <c r="B3014" s="5">
        <v>3007</v>
      </c>
      <c r="C3014">
        <v>10040</v>
      </c>
      <c r="D3014" t="s">
        <v>261</v>
      </c>
      <c r="E3014" t="s">
        <v>33</v>
      </c>
      <c r="F3014" t="s">
        <v>62</v>
      </c>
      <c r="G3014" t="s">
        <v>23443</v>
      </c>
      <c r="H3014">
        <v>21.8</v>
      </c>
      <c r="I3014">
        <v>0</v>
      </c>
      <c r="J3014">
        <v>0</v>
      </c>
      <c r="K3014">
        <v>0</v>
      </c>
      <c r="N3014">
        <v>3</v>
      </c>
      <c r="O3014">
        <v>3</v>
      </c>
      <c r="P3014">
        <v>4</v>
      </c>
      <c r="Q3014">
        <v>0</v>
      </c>
      <c r="R3014">
        <v>28.8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H3014">
        <v>28.8</v>
      </c>
    </row>
    <row r="3015" spans="1:34" x14ac:dyDescent="0.3">
      <c r="A3015" s="4">
        <v>3131</v>
      </c>
      <c r="B3015" s="5">
        <v>3008</v>
      </c>
      <c r="C3015">
        <v>123</v>
      </c>
      <c r="D3015" t="s">
        <v>2786</v>
      </c>
      <c r="E3015" t="s">
        <v>54</v>
      </c>
      <c r="F3015" t="s">
        <v>136</v>
      </c>
      <c r="G3015" t="s">
        <v>23444</v>
      </c>
      <c r="H3015">
        <v>17.8</v>
      </c>
      <c r="I3015">
        <v>0</v>
      </c>
      <c r="J3015">
        <v>0</v>
      </c>
      <c r="K3015">
        <v>0</v>
      </c>
      <c r="L3015">
        <v>7</v>
      </c>
      <c r="O3015">
        <v>7</v>
      </c>
      <c r="P3015">
        <v>4</v>
      </c>
      <c r="Q3015">
        <v>0</v>
      </c>
      <c r="R3015">
        <v>28.8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H3015">
        <v>28.8</v>
      </c>
    </row>
    <row r="3016" spans="1:34" x14ac:dyDescent="0.3">
      <c r="A3016" s="4">
        <v>3132</v>
      </c>
      <c r="B3016" s="5">
        <v>3009</v>
      </c>
      <c r="C3016">
        <v>12024</v>
      </c>
      <c r="D3016" t="s">
        <v>23445</v>
      </c>
      <c r="E3016" t="s">
        <v>91</v>
      </c>
      <c r="F3016" t="s">
        <v>17</v>
      </c>
      <c r="G3016" t="s">
        <v>23446</v>
      </c>
      <c r="H3016">
        <v>18.78</v>
      </c>
      <c r="I3016">
        <v>0</v>
      </c>
      <c r="J3016">
        <v>0</v>
      </c>
      <c r="K3016">
        <v>0</v>
      </c>
      <c r="O3016">
        <v>0</v>
      </c>
      <c r="P3016">
        <v>4</v>
      </c>
      <c r="Q3016">
        <v>0</v>
      </c>
      <c r="R3016">
        <v>22.78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6</v>
      </c>
      <c r="AC3016">
        <v>0</v>
      </c>
      <c r="AH3016">
        <v>28.78</v>
      </c>
    </row>
    <row r="3017" spans="1:34" x14ac:dyDescent="0.3">
      <c r="A3017" s="4">
        <v>3133</v>
      </c>
      <c r="B3017" s="5">
        <v>3010</v>
      </c>
      <c r="C3017">
        <v>5291</v>
      </c>
      <c r="D3017" t="s">
        <v>23447</v>
      </c>
      <c r="E3017" t="s">
        <v>23448</v>
      </c>
      <c r="F3017" t="s">
        <v>3642</v>
      </c>
      <c r="G3017" t="s">
        <v>23449</v>
      </c>
      <c r="H3017">
        <v>18.78</v>
      </c>
      <c r="I3017">
        <v>0</v>
      </c>
      <c r="J3017">
        <v>0</v>
      </c>
      <c r="K3017">
        <v>0</v>
      </c>
      <c r="N3017">
        <v>3</v>
      </c>
      <c r="O3017">
        <v>3</v>
      </c>
      <c r="P3017">
        <v>4</v>
      </c>
      <c r="Q3017">
        <v>0</v>
      </c>
      <c r="R3017">
        <v>25.78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3</v>
      </c>
      <c r="AC3017">
        <v>0</v>
      </c>
      <c r="AH3017">
        <v>28.78</v>
      </c>
    </row>
    <row r="3018" spans="1:34" x14ac:dyDescent="0.3">
      <c r="A3018" s="4">
        <v>3134</v>
      </c>
      <c r="B3018" s="5">
        <v>3011</v>
      </c>
      <c r="C3018">
        <v>3740</v>
      </c>
      <c r="D3018" t="s">
        <v>1630</v>
      </c>
      <c r="E3018" t="s">
        <v>54</v>
      </c>
      <c r="F3018" t="s">
        <v>972</v>
      </c>
      <c r="G3018" t="s">
        <v>23450</v>
      </c>
      <c r="H3018">
        <v>17.78</v>
      </c>
      <c r="I3018">
        <v>0</v>
      </c>
      <c r="J3018">
        <v>0</v>
      </c>
      <c r="K3018">
        <v>0</v>
      </c>
      <c r="M3018">
        <v>5</v>
      </c>
      <c r="O3018">
        <v>5</v>
      </c>
      <c r="P3018">
        <v>4</v>
      </c>
      <c r="Q3018">
        <v>2</v>
      </c>
      <c r="R3018">
        <v>28.78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H3018">
        <v>28.78</v>
      </c>
    </row>
    <row r="3019" spans="1:34" x14ac:dyDescent="0.3">
      <c r="A3019" s="4">
        <v>3135</v>
      </c>
      <c r="B3019" s="5">
        <v>3012</v>
      </c>
      <c r="C3019">
        <v>13552</v>
      </c>
      <c r="D3019" t="s">
        <v>23451</v>
      </c>
      <c r="E3019" t="s">
        <v>23452</v>
      </c>
      <c r="F3019" t="s">
        <v>23453</v>
      </c>
      <c r="G3019" t="s">
        <v>23454</v>
      </c>
      <c r="H3019">
        <v>17.78</v>
      </c>
      <c r="I3019">
        <v>0</v>
      </c>
      <c r="J3019">
        <v>0</v>
      </c>
      <c r="K3019">
        <v>0</v>
      </c>
      <c r="L3019">
        <v>7</v>
      </c>
      <c r="O3019">
        <v>7</v>
      </c>
      <c r="P3019">
        <v>4</v>
      </c>
      <c r="Q3019">
        <v>0</v>
      </c>
      <c r="R3019">
        <v>28.78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H3019">
        <v>28.78</v>
      </c>
    </row>
    <row r="3020" spans="1:34" x14ac:dyDescent="0.3">
      <c r="A3020" s="4">
        <v>3136</v>
      </c>
      <c r="B3020" s="5">
        <v>3013</v>
      </c>
      <c r="C3020">
        <v>171</v>
      </c>
      <c r="D3020" t="s">
        <v>3056</v>
      </c>
      <c r="E3020" t="s">
        <v>54</v>
      </c>
      <c r="F3020" t="s">
        <v>81</v>
      </c>
      <c r="G3020" t="s">
        <v>23455</v>
      </c>
      <c r="H3020">
        <v>18.75</v>
      </c>
      <c r="I3020">
        <v>0</v>
      </c>
      <c r="J3020">
        <v>0</v>
      </c>
      <c r="K3020">
        <v>0</v>
      </c>
      <c r="O3020">
        <v>0</v>
      </c>
      <c r="P3020">
        <v>4</v>
      </c>
      <c r="Q3020">
        <v>0</v>
      </c>
      <c r="R3020">
        <v>22.75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6</v>
      </c>
      <c r="AC3020">
        <v>0</v>
      </c>
      <c r="AH3020">
        <v>28.75</v>
      </c>
    </row>
    <row r="3021" spans="1:34" x14ac:dyDescent="0.3">
      <c r="A3021" s="4">
        <v>3137</v>
      </c>
      <c r="B3021" s="5">
        <v>3014</v>
      </c>
      <c r="C3021">
        <v>132</v>
      </c>
      <c r="D3021" t="s">
        <v>1287</v>
      </c>
      <c r="E3021" t="s">
        <v>54</v>
      </c>
      <c r="F3021" t="s">
        <v>81</v>
      </c>
      <c r="G3021" t="s">
        <v>23456</v>
      </c>
      <c r="H3021">
        <v>18.75</v>
      </c>
      <c r="I3021">
        <v>0</v>
      </c>
      <c r="J3021">
        <v>0</v>
      </c>
      <c r="K3021">
        <v>0</v>
      </c>
      <c r="O3021">
        <v>0</v>
      </c>
      <c r="P3021">
        <v>4</v>
      </c>
      <c r="Q3021">
        <v>0</v>
      </c>
      <c r="R3021">
        <v>22.75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6</v>
      </c>
      <c r="AC3021">
        <v>0</v>
      </c>
      <c r="AH3021">
        <v>28.75</v>
      </c>
    </row>
    <row r="3022" spans="1:34" x14ac:dyDescent="0.3">
      <c r="A3022" s="4">
        <v>3138</v>
      </c>
      <c r="B3022" s="5">
        <v>3015</v>
      </c>
      <c r="C3022">
        <v>9911</v>
      </c>
      <c r="D3022" t="s">
        <v>14355</v>
      </c>
      <c r="E3022" t="s">
        <v>29</v>
      </c>
      <c r="F3022" t="s">
        <v>17</v>
      </c>
      <c r="G3022" t="s">
        <v>23457</v>
      </c>
      <c r="H3022">
        <v>15.75</v>
      </c>
      <c r="I3022">
        <v>0</v>
      </c>
      <c r="J3022">
        <v>0</v>
      </c>
      <c r="K3022">
        <v>0</v>
      </c>
      <c r="N3022">
        <v>3</v>
      </c>
      <c r="O3022">
        <v>3</v>
      </c>
      <c r="P3022">
        <v>4</v>
      </c>
      <c r="Q3022">
        <v>0</v>
      </c>
      <c r="R3022">
        <v>22.75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6</v>
      </c>
      <c r="AC3022">
        <v>0</v>
      </c>
      <c r="AH3022">
        <v>28.75</v>
      </c>
    </row>
    <row r="3023" spans="1:34" x14ac:dyDescent="0.3">
      <c r="A3023" s="4">
        <v>3139</v>
      </c>
      <c r="B3023" s="5">
        <v>3016</v>
      </c>
      <c r="C3023">
        <v>2344</v>
      </c>
      <c r="D3023" t="s">
        <v>12432</v>
      </c>
      <c r="E3023" t="s">
        <v>132</v>
      </c>
      <c r="F3023" t="s">
        <v>34</v>
      </c>
      <c r="G3023" t="s">
        <v>23458</v>
      </c>
      <c r="H3023">
        <v>18.75</v>
      </c>
      <c r="I3023">
        <v>0</v>
      </c>
      <c r="J3023">
        <v>0</v>
      </c>
      <c r="K3023">
        <v>0</v>
      </c>
      <c r="N3023">
        <v>3</v>
      </c>
      <c r="O3023">
        <v>3</v>
      </c>
      <c r="P3023">
        <v>4</v>
      </c>
      <c r="Q3023">
        <v>0</v>
      </c>
      <c r="R3023">
        <v>25.75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3</v>
      </c>
      <c r="AC3023">
        <v>0</v>
      </c>
      <c r="AH3023">
        <v>28.75</v>
      </c>
    </row>
    <row r="3024" spans="1:34" x14ac:dyDescent="0.3">
      <c r="A3024" s="4">
        <v>3140</v>
      </c>
      <c r="B3024" s="5">
        <v>3017</v>
      </c>
      <c r="C3024">
        <v>6634</v>
      </c>
      <c r="D3024" t="s">
        <v>10017</v>
      </c>
      <c r="E3024" t="s">
        <v>54</v>
      </c>
      <c r="F3024" t="s">
        <v>81</v>
      </c>
      <c r="G3024" t="s">
        <v>23459</v>
      </c>
      <c r="H3024">
        <v>21.75</v>
      </c>
      <c r="I3024">
        <v>0</v>
      </c>
      <c r="J3024">
        <v>0</v>
      </c>
      <c r="K3024">
        <v>0</v>
      </c>
      <c r="N3024">
        <v>3</v>
      </c>
      <c r="O3024">
        <v>3</v>
      </c>
      <c r="P3024">
        <v>4</v>
      </c>
      <c r="Q3024">
        <v>0</v>
      </c>
      <c r="R3024">
        <v>28.75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H3024">
        <v>28.75</v>
      </c>
    </row>
    <row r="3025" spans="1:34" x14ac:dyDescent="0.3">
      <c r="A3025" s="4">
        <v>3141</v>
      </c>
      <c r="B3025" s="5">
        <v>3018</v>
      </c>
      <c r="C3025">
        <v>14154</v>
      </c>
      <c r="D3025" t="s">
        <v>23460</v>
      </c>
      <c r="E3025" t="s">
        <v>115</v>
      </c>
      <c r="F3025" t="s">
        <v>38</v>
      </c>
      <c r="G3025" t="s">
        <v>23461</v>
      </c>
      <c r="H3025">
        <v>21.75</v>
      </c>
      <c r="I3025">
        <v>0</v>
      </c>
      <c r="J3025">
        <v>0</v>
      </c>
      <c r="K3025">
        <v>0</v>
      </c>
      <c r="N3025">
        <v>3</v>
      </c>
      <c r="O3025">
        <v>3</v>
      </c>
      <c r="P3025">
        <v>4</v>
      </c>
      <c r="Q3025">
        <v>0</v>
      </c>
      <c r="R3025">
        <v>28.75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H3025">
        <v>28.75</v>
      </c>
    </row>
    <row r="3026" spans="1:34" x14ac:dyDescent="0.3">
      <c r="A3026" s="4">
        <v>3142</v>
      </c>
      <c r="B3026" s="5">
        <v>3019</v>
      </c>
      <c r="C3026">
        <v>3200</v>
      </c>
      <c r="D3026" t="s">
        <v>3179</v>
      </c>
      <c r="E3026" t="s">
        <v>26</v>
      </c>
      <c r="F3026" t="s">
        <v>190</v>
      </c>
      <c r="G3026" t="s">
        <v>23462</v>
      </c>
      <c r="H3026">
        <v>19.75</v>
      </c>
      <c r="I3026">
        <v>0</v>
      </c>
      <c r="J3026">
        <v>0</v>
      </c>
      <c r="K3026">
        <v>0</v>
      </c>
      <c r="N3026">
        <v>3</v>
      </c>
      <c r="O3026">
        <v>3</v>
      </c>
      <c r="P3026">
        <v>4</v>
      </c>
      <c r="Q3026">
        <v>2</v>
      </c>
      <c r="R3026">
        <v>28.75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H3026">
        <v>28.75</v>
      </c>
    </row>
    <row r="3027" spans="1:34" x14ac:dyDescent="0.3">
      <c r="A3027" s="4">
        <v>3143</v>
      </c>
      <c r="B3027" s="5">
        <v>3020</v>
      </c>
      <c r="C3027">
        <v>5384</v>
      </c>
      <c r="D3027" t="s">
        <v>23463</v>
      </c>
      <c r="E3027" t="s">
        <v>286</v>
      </c>
      <c r="F3027" t="s">
        <v>14885</v>
      </c>
      <c r="G3027" t="s">
        <v>23464</v>
      </c>
      <c r="H3027">
        <v>17.75</v>
      </c>
      <c r="I3027">
        <v>0</v>
      </c>
      <c r="J3027">
        <v>0</v>
      </c>
      <c r="K3027">
        <v>0</v>
      </c>
      <c r="L3027">
        <v>7</v>
      </c>
      <c r="O3027">
        <v>7</v>
      </c>
      <c r="P3027">
        <v>4</v>
      </c>
      <c r="Q3027">
        <v>0</v>
      </c>
      <c r="R3027">
        <v>28.75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H3027">
        <v>28.75</v>
      </c>
    </row>
    <row r="3028" spans="1:34" x14ac:dyDescent="0.3">
      <c r="A3028" s="4">
        <v>3144</v>
      </c>
      <c r="B3028" s="5">
        <v>3021</v>
      </c>
      <c r="C3028">
        <v>13002</v>
      </c>
      <c r="D3028" t="s">
        <v>23465</v>
      </c>
      <c r="E3028" t="s">
        <v>132</v>
      </c>
      <c r="F3028" t="s">
        <v>167</v>
      </c>
      <c r="G3028" t="s">
        <v>23466</v>
      </c>
      <c r="H3028">
        <v>18.73</v>
      </c>
      <c r="I3028">
        <v>0</v>
      </c>
      <c r="J3028">
        <v>0</v>
      </c>
      <c r="K3028">
        <v>0</v>
      </c>
      <c r="O3028">
        <v>0</v>
      </c>
      <c r="P3028">
        <v>4</v>
      </c>
      <c r="Q3028">
        <v>0</v>
      </c>
      <c r="R3028">
        <v>22.73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6</v>
      </c>
      <c r="AC3028">
        <v>0</v>
      </c>
      <c r="AH3028">
        <v>28.73</v>
      </c>
    </row>
    <row r="3029" spans="1:34" x14ac:dyDescent="0.3">
      <c r="A3029" s="4">
        <v>3145</v>
      </c>
      <c r="B3029" s="5">
        <v>3022</v>
      </c>
      <c r="C3029">
        <v>6656</v>
      </c>
      <c r="D3029" t="s">
        <v>23467</v>
      </c>
      <c r="E3029" t="s">
        <v>909</v>
      </c>
      <c r="F3029" t="s">
        <v>30</v>
      </c>
      <c r="G3029" t="s">
        <v>23468</v>
      </c>
      <c r="H3029">
        <v>19.73</v>
      </c>
      <c r="I3029">
        <v>0</v>
      </c>
      <c r="J3029">
        <v>0</v>
      </c>
      <c r="K3029">
        <v>0</v>
      </c>
      <c r="N3029">
        <v>3</v>
      </c>
      <c r="O3029">
        <v>3</v>
      </c>
      <c r="P3029">
        <v>4</v>
      </c>
      <c r="Q3029">
        <v>2</v>
      </c>
      <c r="R3029">
        <v>28.73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H3029">
        <v>28.73</v>
      </c>
    </row>
    <row r="3030" spans="1:34" x14ac:dyDescent="0.3">
      <c r="A3030" s="4">
        <v>3146</v>
      </c>
      <c r="B3030" s="5">
        <v>3023</v>
      </c>
      <c r="C3030">
        <v>4961</v>
      </c>
      <c r="D3030" t="s">
        <v>5872</v>
      </c>
      <c r="E3030" t="s">
        <v>338</v>
      </c>
      <c r="F3030" t="s">
        <v>649</v>
      </c>
      <c r="G3030" t="s">
        <v>5873</v>
      </c>
      <c r="H3030">
        <v>19.73</v>
      </c>
      <c r="I3030">
        <v>0</v>
      </c>
      <c r="J3030">
        <v>0</v>
      </c>
      <c r="K3030">
        <v>0</v>
      </c>
      <c r="N3030">
        <v>3</v>
      </c>
      <c r="O3030">
        <v>3</v>
      </c>
      <c r="P3030">
        <v>4</v>
      </c>
      <c r="Q3030">
        <v>2</v>
      </c>
      <c r="R3030">
        <v>28.73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 t="s">
        <v>130</v>
      </c>
      <c r="AH3030">
        <v>28.73</v>
      </c>
    </row>
    <row r="3031" spans="1:34" x14ac:dyDescent="0.3">
      <c r="A3031" s="4">
        <v>3147</v>
      </c>
      <c r="B3031" s="5">
        <v>3024</v>
      </c>
      <c r="C3031">
        <v>11228</v>
      </c>
      <c r="D3031" t="s">
        <v>10614</v>
      </c>
      <c r="E3031" t="s">
        <v>439</v>
      </c>
      <c r="F3031" t="s">
        <v>20</v>
      </c>
      <c r="G3031" t="s">
        <v>23469</v>
      </c>
      <c r="H3031">
        <v>21.7</v>
      </c>
      <c r="I3031">
        <v>0</v>
      </c>
      <c r="J3031">
        <v>0</v>
      </c>
      <c r="K3031">
        <v>0</v>
      </c>
      <c r="N3031">
        <v>3</v>
      </c>
      <c r="O3031">
        <v>3</v>
      </c>
      <c r="P3031">
        <v>4</v>
      </c>
      <c r="Q3031">
        <v>0</v>
      </c>
      <c r="R3031">
        <v>28.7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H3031">
        <v>28.7</v>
      </c>
    </row>
    <row r="3032" spans="1:34" x14ac:dyDescent="0.3">
      <c r="A3032" s="4">
        <v>3148</v>
      </c>
      <c r="B3032" s="5">
        <v>3025</v>
      </c>
      <c r="C3032">
        <v>13991</v>
      </c>
      <c r="D3032" t="s">
        <v>23470</v>
      </c>
      <c r="E3032" t="s">
        <v>23471</v>
      </c>
      <c r="F3032" t="s">
        <v>81</v>
      </c>
      <c r="G3032" t="s">
        <v>23472</v>
      </c>
      <c r="H3032">
        <v>21.7</v>
      </c>
      <c r="I3032">
        <v>0</v>
      </c>
      <c r="J3032">
        <v>0</v>
      </c>
      <c r="K3032">
        <v>0</v>
      </c>
      <c r="N3032">
        <v>3</v>
      </c>
      <c r="O3032">
        <v>3</v>
      </c>
      <c r="P3032">
        <v>4</v>
      </c>
      <c r="Q3032">
        <v>0</v>
      </c>
      <c r="R3032">
        <v>28.7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H3032">
        <v>28.7</v>
      </c>
    </row>
    <row r="3033" spans="1:34" x14ac:dyDescent="0.3">
      <c r="A3033" s="4">
        <v>3149</v>
      </c>
      <c r="B3033" s="5">
        <v>3026</v>
      </c>
      <c r="C3033">
        <v>2066</v>
      </c>
      <c r="D3033" t="s">
        <v>23473</v>
      </c>
      <c r="E3033" t="s">
        <v>18362</v>
      </c>
      <c r="F3033" t="s">
        <v>1511</v>
      </c>
      <c r="G3033" t="s">
        <v>23474</v>
      </c>
      <c r="H3033">
        <v>15.68</v>
      </c>
      <c r="I3033">
        <v>0</v>
      </c>
      <c r="J3033">
        <v>0</v>
      </c>
      <c r="K3033">
        <v>0</v>
      </c>
      <c r="L3033">
        <v>7</v>
      </c>
      <c r="O3033">
        <v>7</v>
      </c>
      <c r="P3033">
        <v>4</v>
      </c>
      <c r="Q3033">
        <v>2</v>
      </c>
      <c r="R3033">
        <v>28.68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H3033">
        <v>28.68</v>
      </c>
    </row>
    <row r="3034" spans="1:34" x14ac:dyDescent="0.3">
      <c r="A3034" s="4">
        <v>3150</v>
      </c>
      <c r="B3034" s="5">
        <v>3027</v>
      </c>
      <c r="C3034">
        <v>9602</v>
      </c>
      <c r="D3034" t="s">
        <v>23475</v>
      </c>
      <c r="E3034" t="s">
        <v>29</v>
      </c>
      <c r="F3034" t="s">
        <v>30</v>
      </c>
      <c r="G3034" t="s">
        <v>23476</v>
      </c>
      <c r="H3034">
        <v>18.649999999999999</v>
      </c>
      <c r="I3034">
        <v>0</v>
      </c>
      <c r="J3034">
        <v>0</v>
      </c>
      <c r="K3034">
        <v>0</v>
      </c>
      <c r="O3034">
        <v>0</v>
      </c>
      <c r="P3034">
        <v>4</v>
      </c>
      <c r="Q3034">
        <v>0</v>
      </c>
      <c r="R3034">
        <v>22.65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6</v>
      </c>
      <c r="AC3034">
        <v>0</v>
      </c>
      <c r="AH3034">
        <v>28.65</v>
      </c>
    </row>
    <row r="3035" spans="1:34" x14ac:dyDescent="0.3">
      <c r="A3035" s="4">
        <v>3151</v>
      </c>
      <c r="B3035" s="5">
        <v>3028</v>
      </c>
      <c r="C3035">
        <v>15162</v>
      </c>
      <c r="D3035" t="s">
        <v>2236</v>
      </c>
      <c r="E3035" t="s">
        <v>33</v>
      </c>
      <c r="F3035" t="s">
        <v>17</v>
      </c>
      <c r="G3035" t="s">
        <v>23477</v>
      </c>
      <c r="H3035">
        <v>21.65</v>
      </c>
      <c r="I3035">
        <v>0</v>
      </c>
      <c r="J3035">
        <v>0</v>
      </c>
      <c r="K3035">
        <v>0</v>
      </c>
      <c r="N3035">
        <v>3</v>
      </c>
      <c r="O3035">
        <v>3</v>
      </c>
      <c r="P3035">
        <v>4</v>
      </c>
      <c r="Q3035">
        <v>0</v>
      </c>
      <c r="R3035">
        <v>28.65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H3035">
        <v>28.65</v>
      </c>
    </row>
    <row r="3036" spans="1:34" x14ac:dyDescent="0.3">
      <c r="A3036" s="4">
        <v>3152</v>
      </c>
      <c r="B3036" s="5">
        <v>3029</v>
      </c>
      <c r="C3036">
        <v>5684</v>
      </c>
      <c r="D3036" t="s">
        <v>23478</v>
      </c>
      <c r="E3036" t="s">
        <v>1748</v>
      </c>
      <c r="F3036" t="s">
        <v>20</v>
      </c>
      <c r="G3036" t="s">
        <v>23479</v>
      </c>
      <c r="H3036">
        <v>21.65</v>
      </c>
      <c r="I3036">
        <v>0</v>
      </c>
      <c r="J3036">
        <v>0</v>
      </c>
      <c r="K3036">
        <v>0</v>
      </c>
      <c r="N3036">
        <v>3</v>
      </c>
      <c r="O3036">
        <v>3</v>
      </c>
      <c r="P3036">
        <v>4</v>
      </c>
      <c r="Q3036">
        <v>0</v>
      </c>
      <c r="R3036">
        <v>28.65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H3036">
        <v>28.65</v>
      </c>
    </row>
    <row r="3037" spans="1:34" x14ac:dyDescent="0.3">
      <c r="A3037" s="4">
        <v>3153</v>
      </c>
      <c r="B3037" s="5">
        <v>3030</v>
      </c>
      <c r="C3037">
        <v>2306</v>
      </c>
      <c r="D3037" t="s">
        <v>2857</v>
      </c>
      <c r="E3037" t="s">
        <v>479</v>
      </c>
      <c r="F3037" t="s">
        <v>68</v>
      </c>
      <c r="G3037" t="s">
        <v>23480</v>
      </c>
      <c r="H3037">
        <v>19.649999999999999</v>
      </c>
      <c r="I3037">
        <v>0</v>
      </c>
      <c r="J3037">
        <v>0</v>
      </c>
      <c r="K3037">
        <v>0</v>
      </c>
      <c r="M3037">
        <v>5</v>
      </c>
      <c r="O3037">
        <v>5</v>
      </c>
      <c r="P3037">
        <v>4</v>
      </c>
      <c r="Q3037">
        <v>0</v>
      </c>
      <c r="R3037">
        <v>28.65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H3037">
        <v>28.65</v>
      </c>
    </row>
    <row r="3038" spans="1:34" x14ac:dyDescent="0.3">
      <c r="A3038" s="4">
        <v>3154</v>
      </c>
      <c r="B3038" s="5">
        <v>3031</v>
      </c>
      <c r="C3038">
        <v>7080</v>
      </c>
      <c r="D3038" t="s">
        <v>1299</v>
      </c>
      <c r="E3038" t="s">
        <v>1331</v>
      </c>
      <c r="F3038" t="s">
        <v>17</v>
      </c>
      <c r="G3038" t="s">
        <v>23481</v>
      </c>
      <c r="H3038">
        <v>19.63</v>
      </c>
      <c r="I3038">
        <v>0</v>
      </c>
      <c r="J3038">
        <v>0</v>
      </c>
      <c r="K3038">
        <v>0</v>
      </c>
      <c r="O3038">
        <v>0</v>
      </c>
      <c r="P3038">
        <v>4</v>
      </c>
      <c r="Q3038">
        <v>2</v>
      </c>
      <c r="R3038">
        <v>25.63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3</v>
      </c>
      <c r="AC3038">
        <v>0</v>
      </c>
      <c r="AH3038">
        <v>28.63</v>
      </c>
    </row>
    <row r="3039" spans="1:34" x14ac:dyDescent="0.3">
      <c r="A3039" s="4">
        <v>3155</v>
      </c>
      <c r="B3039" s="5">
        <v>3032</v>
      </c>
      <c r="C3039">
        <v>1983</v>
      </c>
      <c r="D3039" t="s">
        <v>23482</v>
      </c>
      <c r="E3039" t="s">
        <v>1694</v>
      </c>
      <c r="F3039" t="s">
        <v>343</v>
      </c>
      <c r="G3039" t="s">
        <v>23483</v>
      </c>
      <c r="H3039">
        <v>20.63</v>
      </c>
      <c r="I3039">
        <v>0</v>
      </c>
      <c r="J3039">
        <v>0</v>
      </c>
      <c r="K3039">
        <v>0</v>
      </c>
      <c r="N3039">
        <v>6</v>
      </c>
      <c r="O3039">
        <v>6</v>
      </c>
      <c r="P3039">
        <v>0</v>
      </c>
      <c r="Q3039">
        <v>2</v>
      </c>
      <c r="R3039">
        <v>28.63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H3039">
        <v>28.63</v>
      </c>
    </row>
    <row r="3040" spans="1:34" x14ac:dyDescent="0.3">
      <c r="A3040" s="4">
        <v>3156</v>
      </c>
      <c r="B3040" s="5">
        <v>3033</v>
      </c>
      <c r="C3040">
        <v>10866</v>
      </c>
      <c r="D3040" t="s">
        <v>14611</v>
      </c>
      <c r="E3040" t="s">
        <v>213</v>
      </c>
      <c r="F3040" t="s">
        <v>11935</v>
      </c>
      <c r="G3040" t="s">
        <v>23484</v>
      </c>
      <c r="H3040">
        <v>18.600000000000001</v>
      </c>
      <c r="I3040">
        <v>0</v>
      </c>
      <c r="J3040">
        <v>0</v>
      </c>
      <c r="K3040">
        <v>0</v>
      </c>
      <c r="O3040">
        <v>0</v>
      </c>
      <c r="P3040">
        <v>4</v>
      </c>
      <c r="Q3040">
        <v>0</v>
      </c>
      <c r="R3040">
        <v>22.6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6</v>
      </c>
      <c r="AC3040">
        <v>0</v>
      </c>
      <c r="AH3040">
        <v>28.6</v>
      </c>
    </row>
    <row r="3041" spans="1:34" x14ac:dyDescent="0.3">
      <c r="A3041" s="4">
        <v>3157</v>
      </c>
      <c r="B3041" s="5">
        <v>3034</v>
      </c>
      <c r="C3041">
        <v>12594</v>
      </c>
      <c r="D3041" t="s">
        <v>23485</v>
      </c>
      <c r="E3041" t="s">
        <v>29</v>
      </c>
      <c r="F3041" t="s">
        <v>20</v>
      </c>
      <c r="G3041" t="s">
        <v>23486</v>
      </c>
      <c r="H3041">
        <v>19.600000000000001</v>
      </c>
      <c r="I3041">
        <v>0</v>
      </c>
      <c r="J3041">
        <v>0</v>
      </c>
      <c r="K3041">
        <v>0</v>
      </c>
      <c r="O3041">
        <v>0</v>
      </c>
      <c r="P3041">
        <v>4</v>
      </c>
      <c r="Q3041">
        <v>2</v>
      </c>
      <c r="R3041">
        <v>25.6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3</v>
      </c>
      <c r="AC3041">
        <v>0</v>
      </c>
      <c r="AH3041">
        <v>28.6</v>
      </c>
    </row>
    <row r="3042" spans="1:34" x14ac:dyDescent="0.3">
      <c r="A3042" s="4">
        <v>3158</v>
      </c>
      <c r="B3042" s="5">
        <v>3035</v>
      </c>
      <c r="C3042">
        <v>1926</v>
      </c>
      <c r="D3042" t="s">
        <v>17299</v>
      </c>
      <c r="E3042" t="s">
        <v>166</v>
      </c>
      <c r="F3042" t="s">
        <v>539</v>
      </c>
      <c r="G3042" t="s">
        <v>23487</v>
      </c>
      <c r="H3042">
        <v>18.600000000000001</v>
      </c>
      <c r="I3042">
        <v>0</v>
      </c>
      <c r="J3042">
        <v>0</v>
      </c>
      <c r="K3042">
        <v>0</v>
      </c>
      <c r="N3042">
        <v>3</v>
      </c>
      <c r="O3042">
        <v>3</v>
      </c>
      <c r="P3042">
        <v>4</v>
      </c>
      <c r="Q3042">
        <v>0</v>
      </c>
      <c r="R3042">
        <v>25.6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3</v>
      </c>
      <c r="AC3042">
        <v>0</v>
      </c>
      <c r="AH3042">
        <v>28.6</v>
      </c>
    </row>
    <row r="3043" spans="1:34" x14ac:dyDescent="0.3">
      <c r="A3043" s="4">
        <v>3159</v>
      </c>
      <c r="B3043" s="5">
        <v>3036</v>
      </c>
      <c r="C3043">
        <v>4099</v>
      </c>
      <c r="D3043" t="s">
        <v>2772</v>
      </c>
      <c r="E3043" t="s">
        <v>479</v>
      </c>
      <c r="F3043" t="s">
        <v>20</v>
      </c>
      <c r="G3043" t="s">
        <v>23488</v>
      </c>
      <c r="H3043">
        <v>18.600000000000001</v>
      </c>
      <c r="I3043">
        <v>0</v>
      </c>
      <c r="J3043">
        <v>0</v>
      </c>
      <c r="K3043">
        <v>0</v>
      </c>
      <c r="N3043">
        <v>3</v>
      </c>
      <c r="O3043">
        <v>3</v>
      </c>
      <c r="P3043">
        <v>4</v>
      </c>
      <c r="Q3043">
        <v>0</v>
      </c>
      <c r="R3043">
        <v>25.6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3</v>
      </c>
      <c r="AC3043">
        <v>0</v>
      </c>
      <c r="AH3043">
        <v>28.6</v>
      </c>
    </row>
    <row r="3044" spans="1:34" x14ac:dyDescent="0.3">
      <c r="A3044" s="4">
        <v>3160</v>
      </c>
      <c r="B3044" s="5">
        <v>3037</v>
      </c>
      <c r="C3044">
        <v>15620</v>
      </c>
      <c r="D3044" t="s">
        <v>23489</v>
      </c>
      <c r="E3044" t="s">
        <v>88</v>
      </c>
      <c r="F3044" t="s">
        <v>38</v>
      </c>
      <c r="G3044" t="s">
        <v>23490</v>
      </c>
      <c r="H3044">
        <v>18.600000000000001</v>
      </c>
      <c r="I3044">
        <v>0</v>
      </c>
      <c r="J3044">
        <v>0</v>
      </c>
      <c r="K3044">
        <v>0</v>
      </c>
      <c r="N3044">
        <v>3</v>
      </c>
      <c r="O3044">
        <v>3</v>
      </c>
      <c r="P3044">
        <v>4</v>
      </c>
      <c r="Q3044">
        <v>0</v>
      </c>
      <c r="R3044">
        <v>25.6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3</v>
      </c>
      <c r="AC3044">
        <v>0</v>
      </c>
      <c r="AH3044">
        <v>28.6</v>
      </c>
    </row>
    <row r="3045" spans="1:34" x14ac:dyDescent="0.3">
      <c r="A3045" s="4">
        <v>3161</v>
      </c>
      <c r="B3045" s="5">
        <v>3038</v>
      </c>
      <c r="C3045">
        <v>2237</v>
      </c>
      <c r="D3045" t="s">
        <v>23491</v>
      </c>
      <c r="E3045" t="s">
        <v>68</v>
      </c>
      <c r="F3045" t="s">
        <v>892</v>
      </c>
      <c r="G3045" t="s">
        <v>23492</v>
      </c>
      <c r="H3045">
        <v>17.600000000000001</v>
      </c>
      <c r="I3045">
        <v>0</v>
      </c>
      <c r="J3045">
        <v>0</v>
      </c>
      <c r="K3045">
        <v>0</v>
      </c>
      <c r="L3045">
        <v>7</v>
      </c>
      <c r="O3045">
        <v>7</v>
      </c>
      <c r="P3045">
        <v>4</v>
      </c>
      <c r="Q3045">
        <v>0</v>
      </c>
      <c r="R3045">
        <v>28.6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H3045">
        <v>28.6</v>
      </c>
    </row>
    <row r="3046" spans="1:34" x14ac:dyDescent="0.3">
      <c r="A3046" s="4">
        <v>3162</v>
      </c>
      <c r="B3046" s="5">
        <v>3039</v>
      </c>
      <c r="C3046">
        <v>8726</v>
      </c>
      <c r="D3046" t="s">
        <v>23493</v>
      </c>
      <c r="E3046" t="s">
        <v>34</v>
      </c>
      <c r="F3046" t="s">
        <v>136</v>
      </c>
      <c r="G3046" t="s">
        <v>23494</v>
      </c>
      <c r="H3046">
        <v>17.600000000000001</v>
      </c>
      <c r="I3046">
        <v>0</v>
      </c>
      <c r="J3046">
        <v>0</v>
      </c>
      <c r="K3046">
        <v>0</v>
      </c>
      <c r="L3046">
        <v>7</v>
      </c>
      <c r="O3046">
        <v>7</v>
      </c>
      <c r="P3046">
        <v>4</v>
      </c>
      <c r="Q3046">
        <v>0</v>
      </c>
      <c r="R3046">
        <v>28.6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H3046">
        <v>28.6</v>
      </c>
    </row>
    <row r="3047" spans="1:34" x14ac:dyDescent="0.3">
      <c r="A3047" s="4">
        <v>3163</v>
      </c>
      <c r="B3047" s="5">
        <v>3040</v>
      </c>
      <c r="C3047">
        <v>14421</v>
      </c>
      <c r="D3047" t="s">
        <v>23495</v>
      </c>
      <c r="E3047" t="s">
        <v>1331</v>
      </c>
      <c r="F3047" t="s">
        <v>136</v>
      </c>
      <c r="G3047" t="s">
        <v>23496</v>
      </c>
      <c r="H3047">
        <v>21.58</v>
      </c>
      <c r="I3047">
        <v>0</v>
      </c>
      <c r="J3047">
        <v>0</v>
      </c>
      <c r="K3047">
        <v>0</v>
      </c>
      <c r="N3047">
        <v>3</v>
      </c>
      <c r="O3047">
        <v>3</v>
      </c>
      <c r="P3047">
        <v>4</v>
      </c>
      <c r="Q3047">
        <v>0</v>
      </c>
      <c r="R3047">
        <v>28.58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H3047">
        <v>28.58</v>
      </c>
    </row>
    <row r="3048" spans="1:34" x14ac:dyDescent="0.3">
      <c r="A3048" s="4">
        <v>3164</v>
      </c>
      <c r="B3048" s="5">
        <v>3041</v>
      </c>
      <c r="C3048">
        <v>9012</v>
      </c>
      <c r="D3048" t="s">
        <v>14386</v>
      </c>
      <c r="E3048" t="s">
        <v>400</v>
      </c>
      <c r="F3048" t="s">
        <v>23497</v>
      </c>
      <c r="G3048" t="s">
        <v>23498</v>
      </c>
      <c r="H3048">
        <v>17.579999999999998</v>
      </c>
      <c r="I3048">
        <v>0</v>
      </c>
      <c r="J3048">
        <v>0</v>
      </c>
      <c r="K3048">
        <v>0</v>
      </c>
      <c r="L3048">
        <v>7</v>
      </c>
      <c r="O3048">
        <v>7</v>
      </c>
      <c r="P3048">
        <v>4</v>
      </c>
      <c r="Q3048">
        <v>0</v>
      </c>
      <c r="R3048">
        <v>28.58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H3048">
        <v>28.58</v>
      </c>
    </row>
    <row r="3049" spans="1:34" x14ac:dyDescent="0.3">
      <c r="A3049" s="4">
        <v>3165</v>
      </c>
      <c r="B3049" s="5">
        <v>3042</v>
      </c>
      <c r="C3049">
        <v>13350</v>
      </c>
      <c r="D3049" t="s">
        <v>23499</v>
      </c>
      <c r="E3049" t="s">
        <v>29</v>
      </c>
      <c r="F3049" t="s">
        <v>23500</v>
      </c>
      <c r="G3049" t="s">
        <v>23501</v>
      </c>
      <c r="H3049">
        <v>21.55</v>
      </c>
      <c r="I3049">
        <v>0</v>
      </c>
      <c r="J3049">
        <v>0</v>
      </c>
      <c r="K3049">
        <v>0</v>
      </c>
      <c r="N3049">
        <v>3</v>
      </c>
      <c r="O3049">
        <v>3</v>
      </c>
      <c r="P3049">
        <v>4</v>
      </c>
      <c r="Q3049">
        <v>0</v>
      </c>
      <c r="R3049">
        <v>28.55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H3049">
        <v>28.55</v>
      </c>
    </row>
    <row r="3050" spans="1:34" x14ac:dyDescent="0.3">
      <c r="A3050" s="4">
        <v>3166</v>
      </c>
      <c r="B3050" s="5">
        <v>3043</v>
      </c>
      <c r="C3050">
        <v>9233</v>
      </c>
      <c r="D3050" t="s">
        <v>2254</v>
      </c>
      <c r="E3050" t="s">
        <v>33</v>
      </c>
      <c r="F3050" t="s">
        <v>136</v>
      </c>
      <c r="G3050" t="s">
        <v>23502</v>
      </c>
      <c r="H3050">
        <v>19.55</v>
      </c>
      <c r="I3050">
        <v>0</v>
      </c>
      <c r="J3050">
        <v>0</v>
      </c>
      <c r="K3050">
        <v>0</v>
      </c>
      <c r="N3050">
        <v>3</v>
      </c>
      <c r="O3050">
        <v>3</v>
      </c>
      <c r="P3050">
        <v>4</v>
      </c>
      <c r="Q3050">
        <v>2</v>
      </c>
      <c r="R3050">
        <v>28.55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H3050">
        <v>28.55</v>
      </c>
    </row>
    <row r="3051" spans="1:34" x14ac:dyDescent="0.3">
      <c r="A3051" s="4">
        <v>3167</v>
      </c>
      <c r="B3051" s="5">
        <v>3044</v>
      </c>
      <c r="C3051">
        <v>12407</v>
      </c>
      <c r="D3051" t="s">
        <v>23503</v>
      </c>
      <c r="E3051" t="s">
        <v>23504</v>
      </c>
      <c r="F3051" t="s">
        <v>20</v>
      </c>
      <c r="G3051" t="s">
        <v>23505</v>
      </c>
      <c r="H3051">
        <v>18.55</v>
      </c>
      <c r="I3051">
        <v>0</v>
      </c>
      <c r="J3051">
        <v>0</v>
      </c>
      <c r="K3051">
        <v>0</v>
      </c>
      <c r="L3051">
        <v>7</v>
      </c>
      <c r="N3051">
        <v>3</v>
      </c>
      <c r="O3051">
        <v>10</v>
      </c>
      <c r="P3051">
        <v>0</v>
      </c>
      <c r="Q3051">
        <v>0</v>
      </c>
      <c r="R3051">
        <v>28.55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H3051">
        <v>28.55</v>
      </c>
    </row>
    <row r="3052" spans="1:34" x14ac:dyDescent="0.3">
      <c r="A3052" s="4">
        <v>3168</v>
      </c>
      <c r="B3052" s="5">
        <v>3045</v>
      </c>
      <c r="C3052">
        <v>7159</v>
      </c>
      <c r="D3052" t="s">
        <v>9129</v>
      </c>
      <c r="E3052" t="s">
        <v>110</v>
      </c>
      <c r="F3052" t="s">
        <v>91</v>
      </c>
      <c r="G3052" t="s">
        <v>23506</v>
      </c>
      <c r="H3052">
        <v>17.55</v>
      </c>
      <c r="I3052">
        <v>0</v>
      </c>
      <c r="J3052">
        <v>0</v>
      </c>
      <c r="K3052">
        <v>0</v>
      </c>
      <c r="L3052">
        <v>7</v>
      </c>
      <c r="O3052">
        <v>7</v>
      </c>
      <c r="P3052">
        <v>4</v>
      </c>
      <c r="Q3052">
        <v>0</v>
      </c>
      <c r="R3052">
        <v>28.55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H3052">
        <v>28.55</v>
      </c>
    </row>
    <row r="3053" spans="1:34" x14ac:dyDescent="0.3">
      <c r="A3053" s="4">
        <v>3169</v>
      </c>
      <c r="B3053" s="5">
        <v>3046</v>
      </c>
      <c r="C3053">
        <v>9562</v>
      </c>
      <c r="D3053" t="s">
        <v>23507</v>
      </c>
      <c r="E3053" t="s">
        <v>19</v>
      </c>
      <c r="F3053" t="s">
        <v>17</v>
      </c>
      <c r="G3053" t="s">
        <v>23508</v>
      </c>
      <c r="H3053">
        <v>18.53</v>
      </c>
      <c r="I3053">
        <v>0</v>
      </c>
      <c r="J3053">
        <v>0</v>
      </c>
      <c r="K3053">
        <v>0</v>
      </c>
      <c r="O3053">
        <v>0</v>
      </c>
      <c r="P3053">
        <v>4</v>
      </c>
      <c r="Q3053">
        <v>0</v>
      </c>
      <c r="R3053">
        <v>22.53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6</v>
      </c>
      <c r="AC3053">
        <v>0</v>
      </c>
      <c r="AH3053">
        <v>28.53</v>
      </c>
    </row>
    <row r="3054" spans="1:34" x14ac:dyDescent="0.3">
      <c r="A3054" s="4">
        <v>3170</v>
      </c>
      <c r="B3054" s="5">
        <v>3047</v>
      </c>
      <c r="C3054">
        <v>13171</v>
      </c>
      <c r="D3054" t="s">
        <v>23509</v>
      </c>
      <c r="E3054" t="s">
        <v>1117</v>
      </c>
      <c r="F3054" t="s">
        <v>30</v>
      </c>
      <c r="G3054" t="s">
        <v>23510</v>
      </c>
      <c r="H3054">
        <v>15.53</v>
      </c>
      <c r="I3054">
        <v>0</v>
      </c>
      <c r="J3054">
        <v>0</v>
      </c>
      <c r="K3054">
        <v>0</v>
      </c>
      <c r="N3054">
        <v>3</v>
      </c>
      <c r="O3054">
        <v>3</v>
      </c>
      <c r="P3054">
        <v>4</v>
      </c>
      <c r="Q3054">
        <v>0</v>
      </c>
      <c r="R3054">
        <v>22.53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6</v>
      </c>
      <c r="AC3054">
        <v>0</v>
      </c>
      <c r="AH3054">
        <v>28.53</v>
      </c>
    </row>
    <row r="3055" spans="1:34" x14ac:dyDescent="0.3">
      <c r="A3055" s="4">
        <v>3171</v>
      </c>
      <c r="B3055" s="5">
        <v>3048</v>
      </c>
      <c r="C3055">
        <v>3654</v>
      </c>
      <c r="D3055" t="s">
        <v>23511</v>
      </c>
      <c r="E3055" t="s">
        <v>17</v>
      </c>
      <c r="F3055" t="s">
        <v>136</v>
      </c>
      <c r="G3055" t="s">
        <v>23512</v>
      </c>
      <c r="H3055">
        <v>18.53</v>
      </c>
      <c r="I3055">
        <v>0</v>
      </c>
      <c r="J3055">
        <v>0</v>
      </c>
      <c r="K3055">
        <v>0</v>
      </c>
      <c r="N3055">
        <v>3</v>
      </c>
      <c r="O3055">
        <v>3</v>
      </c>
      <c r="P3055">
        <v>4</v>
      </c>
      <c r="Q3055">
        <v>0</v>
      </c>
      <c r="R3055">
        <v>25.53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3</v>
      </c>
      <c r="AC3055">
        <v>0</v>
      </c>
      <c r="AH3055">
        <v>28.53</v>
      </c>
    </row>
    <row r="3056" spans="1:34" x14ac:dyDescent="0.3">
      <c r="A3056" s="4">
        <v>3172</v>
      </c>
      <c r="B3056" s="5">
        <v>3049</v>
      </c>
      <c r="C3056">
        <v>8886</v>
      </c>
      <c r="D3056" t="s">
        <v>23513</v>
      </c>
      <c r="E3056" t="s">
        <v>406</v>
      </c>
      <c r="F3056" t="s">
        <v>81</v>
      </c>
      <c r="G3056" t="s">
        <v>23514</v>
      </c>
      <c r="H3056">
        <v>18.53</v>
      </c>
      <c r="I3056">
        <v>0</v>
      </c>
      <c r="J3056">
        <v>0</v>
      </c>
      <c r="K3056">
        <v>0</v>
      </c>
      <c r="N3056">
        <v>3</v>
      </c>
      <c r="O3056">
        <v>3</v>
      </c>
      <c r="P3056">
        <v>4</v>
      </c>
      <c r="Q3056">
        <v>0</v>
      </c>
      <c r="R3056">
        <v>25.53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3</v>
      </c>
      <c r="AC3056">
        <v>0</v>
      </c>
      <c r="AH3056">
        <v>28.53</v>
      </c>
    </row>
    <row r="3057" spans="1:34" x14ac:dyDescent="0.3">
      <c r="A3057" s="4">
        <v>3173</v>
      </c>
      <c r="B3057" s="5">
        <v>3050</v>
      </c>
      <c r="C3057">
        <v>3284</v>
      </c>
      <c r="D3057" t="s">
        <v>11476</v>
      </c>
      <c r="E3057" t="s">
        <v>550</v>
      </c>
      <c r="F3057" t="s">
        <v>62</v>
      </c>
      <c r="G3057" t="s">
        <v>23515</v>
      </c>
      <c r="H3057">
        <v>21.53</v>
      </c>
      <c r="I3057">
        <v>0</v>
      </c>
      <c r="J3057">
        <v>0</v>
      </c>
      <c r="K3057">
        <v>0</v>
      </c>
      <c r="N3057">
        <v>3</v>
      </c>
      <c r="O3057">
        <v>3</v>
      </c>
      <c r="P3057">
        <v>4</v>
      </c>
      <c r="Q3057">
        <v>0</v>
      </c>
      <c r="R3057">
        <v>28.53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H3057">
        <v>28.53</v>
      </c>
    </row>
    <row r="3058" spans="1:34" x14ac:dyDescent="0.3">
      <c r="A3058" s="4">
        <v>3174</v>
      </c>
      <c r="B3058" s="5">
        <v>3051</v>
      </c>
      <c r="C3058">
        <v>14556</v>
      </c>
      <c r="D3058" t="s">
        <v>23516</v>
      </c>
      <c r="E3058" t="s">
        <v>17514</v>
      </c>
      <c r="F3058" t="s">
        <v>230</v>
      </c>
      <c r="G3058" t="s">
        <v>23517</v>
      </c>
      <c r="H3058">
        <v>17.53</v>
      </c>
      <c r="I3058">
        <v>0</v>
      </c>
      <c r="J3058">
        <v>0</v>
      </c>
      <c r="K3058">
        <v>0</v>
      </c>
      <c r="L3058">
        <v>7</v>
      </c>
      <c r="O3058">
        <v>7</v>
      </c>
      <c r="P3058">
        <v>4</v>
      </c>
      <c r="Q3058">
        <v>0</v>
      </c>
      <c r="R3058">
        <v>28.53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H3058">
        <v>28.53</v>
      </c>
    </row>
    <row r="3059" spans="1:34" x14ac:dyDescent="0.3">
      <c r="A3059" s="4">
        <v>3175</v>
      </c>
      <c r="B3059" s="5">
        <v>3052</v>
      </c>
      <c r="C3059">
        <v>12537</v>
      </c>
      <c r="D3059" t="s">
        <v>23518</v>
      </c>
      <c r="E3059" t="s">
        <v>23519</v>
      </c>
      <c r="F3059" t="s">
        <v>81</v>
      </c>
      <c r="G3059" t="s">
        <v>23520</v>
      </c>
      <c r="H3059">
        <v>16.53</v>
      </c>
      <c r="I3059">
        <v>0</v>
      </c>
      <c r="J3059">
        <v>0</v>
      </c>
      <c r="K3059">
        <v>0</v>
      </c>
      <c r="N3059">
        <v>3</v>
      </c>
      <c r="O3059">
        <v>3</v>
      </c>
      <c r="P3059">
        <v>4</v>
      </c>
      <c r="Q3059">
        <v>0</v>
      </c>
      <c r="R3059">
        <v>23.53</v>
      </c>
      <c r="S3059">
        <v>5</v>
      </c>
      <c r="T3059">
        <v>5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5</v>
      </c>
      <c r="AB3059">
        <v>0</v>
      </c>
      <c r="AC3059">
        <v>0</v>
      </c>
      <c r="AH3059">
        <v>28.53</v>
      </c>
    </row>
    <row r="3060" spans="1:34" x14ac:dyDescent="0.3">
      <c r="A3060" s="4">
        <v>3176</v>
      </c>
      <c r="B3060" s="5">
        <v>3053</v>
      </c>
      <c r="C3060">
        <v>6562</v>
      </c>
      <c r="D3060" t="s">
        <v>23521</v>
      </c>
      <c r="E3060" t="s">
        <v>173</v>
      </c>
      <c r="F3060" t="s">
        <v>230</v>
      </c>
      <c r="G3060" t="s">
        <v>23522</v>
      </c>
      <c r="H3060">
        <v>18.5</v>
      </c>
      <c r="I3060">
        <v>0</v>
      </c>
      <c r="J3060">
        <v>0</v>
      </c>
      <c r="K3060">
        <v>0</v>
      </c>
      <c r="N3060">
        <v>3</v>
      </c>
      <c r="O3060">
        <v>3</v>
      </c>
      <c r="P3060">
        <v>4</v>
      </c>
      <c r="Q3060">
        <v>0</v>
      </c>
      <c r="R3060">
        <v>25.5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3</v>
      </c>
      <c r="AC3060">
        <v>0</v>
      </c>
      <c r="AH3060">
        <v>28.5</v>
      </c>
    </row>
    <row r="3061" spans="1:34" x14ac:dyDescent="0.3">
      <c r="A3061" s="4">
        <v>3177</v>
      </c>
      <c r="B3061" s="5">
        <v>3054</v>
      </c>
      <c r="C3061">
        <v>7739</v>
      </c>
      <c r="D3061" t="s">
        <v>5342</v>
      </c>
      <c r="E3061" t="s">
        <v>132</v>
      </c>
      <c r="F3061" t="s">
        <v>20</v>
      </c>
      <c r="G3061" t="s">
        <v>23523</v>
      </c>
      <c r="H3061">
        <v>18.5</v>
      </c>
      <c r="I3061">
        <v>0</v>
      </c>
      <c r="J3061">
        <v>0</v>
      </c>
      <c r="K3061">
        <v>0</v>
      </c>
      <c r="N3061">
        <v>3</v>
      </c>
      <c r="O3061">
        <v>3</v>
      </c>
      <c r="P3061">
        <v>4</v>
      </c>
      <c r="Q3061">
        <v>0</v>
      </c>
      <c r="R3061">
        <v>25.5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3</v>
      </c>
      <c r="AC3061">
        <v>0</v>
      </c>
      <c r="AH3061">
        <v>28.5</v>
      </c>
    </row>
    <row r="3062" spans="1:34" x14ac:dyDescent="0.3">
      <c r="A3062" s="4">
        <v>3178</v>
      </c>
      <c r="B3062" s="5">
        <v>3055</v>
      </c>
      <c r="C3062">
        <v>2702</v>
      </c>
      <c r="D3062" t="s">
        <v>14494</v>
      </c>
      <c r="E3062" t="s">
        <v>54</v>
      </c>
      <c r="F3062" t="s">
        <v>328</v>
      </c>
      <c r="G3062" t="s">
        <v>23524</v>
      </c>
      <c r="H3062">
        <v>21.5</v>
      </c>
      <c r="I3062">
        <v>0</v>
      </c>
      <c r="J3062">
        <v>0</v>
      </c>
      <c r="K3062">
        <v>0</v>
      </c>
      <c r="N3062">
        <v>3</v>
      </c>
      <c r="O3062">
        <v>3</v>
      </c>
      <c r="P3062">
        <v>4</v>
      </c>
      <c r="Q3062">
        <v>0</v>
      </c>
      <c r="R3062">
        <v>28.5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H3062">
        <v>28.5</v>
      </c>
    </row>
    <row r="3063" spans="1:34" x14ac:dyDescent="0.3">
      <c r="A3063" s="4">
        <v>3179</v>
      </c>
      <c r="B3063" s="5">
        <v>3056</v>
      </c>
      <c r="C3063">
        <v>316</v>
      </c>
      <c r="D3063" t="s">
        <v>23525</v>
      </c>
      <c r="E3063" t="s">
        <v>124</v>
      </c>
      <c r="F3063" t="s">
        <v>17</v>
      </c>
      <c r="G3063" t="s">
        <v>23526</v>
      </c>
      <c r="H3063">
        <v>21.48</v>
      </c>
      <c r="I3063">
        <v>0</v>
      </c>
      <c r="J3063">
        <v>0</v>
      </c>
      <c r="K3063">
        <v>0</v>
      </c>
      <c r="N3063">
        <v>3</v>
      </c>
      <c r="O3063">
        <v>3</v>
      </c>
      <c r="P3063">
        <v>4</v>
      </c>
      <c r="Q3063">
        <v>0</v>
      </c>
      <c r="R3063">
        <v>28.48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H3063">
        <v>28.48</v>
      </c>
    </row>
    <row r="3064" spans="1:34" x14ac:dyDescent="0.3">
      <c r="A3064" s="4">
        <v>3180</v>
      </c>
      <c r="B3064" s="5">
        <v>3057</v>
      </c>
      <c r="C3064">
        <v>15002</v>
      </c>
      <c r="D3064" t="s">
        <v>6876</v>
      </c>
      <c r="E3064" t="s">
        <v>132</v>
      </c>
      <c r="F3064" t="s">
        <v>30</v>
      </c>
      <c r="G3064" t="s">
        <v>23527</v>
      </c>
      <c r="H3064">
        <v>19.48</v>
      </c>
      <c r="I3064">
        <v>0</v>
      </c>
      <c r="J3064">
        <v>0</v>
      </c>
      <c r="K3064">
        <v>0</v>
      </c>
      <c r="L3064">
        <v>7</v>
      </c>
      <c r="O3064">
        <v>7</v>
      </c>
      <c r="P3064">
        <v>0</v>
      </c>
      <c r="Q3064">
        <v>2</v>
      </c>
      <c r="R3064">
        <v>28.48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H3064">
        <v>28.48</v>
      </c>
    </row>
    <row r="3065" spans="1:34" x14ac:dyDescent="0.3">
      <c r="A3065" s="4">
        <v>3181</v>
      </c>
      <c r="B3065" s="5">
        <v>3058</v>
      </c>
      <c r="C3065">
        <v>2451</v>
      </c>
      <c r="D3065" t="s">
        <v>23528</v>
      </c>
      <c r="E3065" t="s">
        <v>41</v>
      </c>
      <c r="F3065" t="s">
        <v>2557</v>
      </c>
      <c r="G3065" t="s">
        <v>23529</v>
      </c>
      <c r="H3065">
        <v>22.45</v>
      </c>
      <c r="I3065">
        <v>0</v>
      </c>
      <c r="J3065">
        <v>0</v>
      </c>
      <c r="K3065">
        <v>0</v>
      </c>
      <c r="O3065">
        <v>0</v>
      </c>
      <c r="P3065">
        <v>4</v>
      </c>
      <c r="Q3065">
        <v>2</v>
      </c>
      <c r="R3065">
        <v>28.45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H3065">
        <v>28.45</v>
      </c>
    </row>
    <row r="3066" spans="1:34" x14ac:dyDescent="0.3">
      <c r="A3066" s="4">
        <v>3182</v>
      </c>
      <c r="B3066" s="5">
        <v>3059</v>
      </c>
      <c r="C3066">
        <v>2694</v>
      </c>
      <c r="D3066" t="s">
        <v>23530</v>
      </c>
      <c r="E3066" t="s">
        <v>283</v>
      </c>
      <c r="F3066" t="s">
        <v>30</v>
      </c>
      <c r="G3066" t="s">
        <v>23531</v>
      </c>
      <c r="H3066">
        <v>17.45</v>
      </c>
      <c r="I3066">
        <v>0</v>
      </c>
      <c r="J3066">
        <v>0</v>
      </c>
      <c r="K3066">
        <v>0</v>
      </c>
      <c r="M3066">
        <v>5</v>
      </c>
      <c r="O3066">
        <v>5</v>
      </c>
      <c r="P3066">
        <v>4</v>
      </c>
      <c r="Q3066">
        <v>2</v>
      </c>
      <c r="R3066">
        <v>28.45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H3066">
        <v>28.45</v>
      </c>
    </row>
    <row r="3067" spans="1:34" x14ac:dyDescent="0.3">
      <c r="A3067" s="4">
        <v>3183</v>
      </c>
      <c r="B3067" s="5">
        <v>3060</v>
      </c>
      <c r="C3067">
        <v>9592</v>
      </c>
      <c r="D3067" t="s">
        <v>2563</v>
      </c>
      <c r="E3067" t="s">
        <v>23532</v>
      </c>
      <c r="F3067" t="s">
        <v>14</v>
      </c>
      <c r="G3067" t="s">
        <v>23533</v>
      </c>
      <c r="H3067">
        <v>17.45</v>
      </c>
      <c r="I3067">
        <v>0</v>
      </c>
      <c r="J3067">
        <v>0</v>
      </c>
      <c r="K3067">
        <v>0</v>
      </c>
      <c r="L3067">
        <v>7</v>
      </c>
      <c r="O3067">
        <v>7</v>
      </c>
      <c r="P3067">
        <v>4</v>
      </c>
      <c r="Q3067">
        <v>0</v>
      </c>
      <c r="R3067">
        <v>28.45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H3067">
        <v>28.45</v>
      </c>
    </row>
    <row r="3068" spans="1:34" x14ac:dyDescent="0.3">
      <c r="A3068" s="4">
        <v>3184</v>
      </c>
      <c r="B3068" s="5">
        <v>3061</v>
      </c>
      <c r="C3068">
        <v>4921</v>
      </c>
      <c r="D3068" t="s">
        <v>23534</v>
      </c>
      <c r="E3068" t="s">
        <v>143</v>
      </c>
      <c r="F3068" t="s">
        <v>1450</v>
      </c>
      <c r="G3068" t="s">
        <v>23535</v>
      </c>
      <c r="H3068">
        <v>17.45</v>
      </c>
      <c r="I3068">
        <v>0</v>
      </c>
      <c r="J3068">
        <v>0</v>
      </c>
      <c r="K3068">
        <v>0</v>
      </c>
      <c r="L3068">
        <v>7</v>
      </c>
      <c r="O3068">
        <v>7</v>
      </c>
      <c r="P3068">
        <v>4</v>
      </c>
      <c r="Q3068">
        <v>0</v>
      </c>
      <c r="R3068">
        <v>28.45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H3068">
        <v>28.45</v>
      </c>
    </row>
    <row r="3069" spans="1:34" x14ac:dyDescent="0.3">
      <c r="A3069" s="4">
        <v>3185</v>
      </c>
      <c r="B3069" s="5">
        <v>3062</v>
      </c>
      <c r="C3069">
        <v>6028</v>
      </c>
      <c r="D3069" t="s">
        <v>1630</v>
      </c>
      <c r="E3069" t="s">
        <v>1280</v>
      </c>
      <c r="F3069" t="s">
        <v>136</v>
      </c>
      <c r="G3069" t="s">
        <v>23536</v>
      </c>
      <c r="H3069">
        <v>18.43</v>
      </c>
      <c r="I3069">
        <v>0</v>
      </c>
      <c r="J3069">
        <v>0</v>
      </c>
      <c r="K3069">
        <v>0</v>
      </c>
      <c r="N3069">
        <v>3</v>
      </c>
      <c r="O3069">
        <v>3</v>
      </c>
      <c r="P3069">
        <v>4</v>
      </c>
      <c r="Q3069">
        <v>0</v>
      </c>
      <c r="R3069">
        <v>25.43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3</v>
      </c>
      <c r="AC3069">
        <v>0</v>
      </c>
      <c r="AH3069">
        <v>28.43</v>
      </c>
    </row>
    <row r="3070" spans="1:34" x14ac:dyDescent="0.3">
      <c r="A3070" s="4">
        <v>3186</v>
      </c>
      <c r="B3070" s="5">
        <v>3063</v>
      </c>
      <c r="C3070">
        <v>7226</v>
      </c>
      <c r="D3070" t="s">
        <v>13181</v>
      </c>
      <c r="E3070" t="s">
        <v>132</v>
      </c>
      <c r="F3070" t="s">
        <v>20</v>
      </c>
      <c r="G3070" t="s">
        <v>23537</v>
      </c>
      <c r="H3070">
        <v>19.43</v>
      </c>
      <c r="I3070">
        <v>0</v>
      </c>
      <c r="J3070">
        <v>0</v>
      </c>
      <c r="K3070">
        <v>0</v>
      </c>
      <c r="N3070">
        <v>3</v>
      </c>
      <c r="O3070">
        <v>3</v>
      </c>
      <c r="P3070">
        <v>4</v>
      </c>
      <c r="Q3070">
        <v>2</v>
      </c>
      <c r="R3070">
        <v>28.43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H3070">
        <v>28.43</v>
      </c>
    </row>
    <row r="3071" spans="1:34" x14ac:dyDescent="0.3">
      <c r="A3071" s="4">
        <v>3187</v>
      </c>
      <c r="B3071" s="5">
        <v>3064</v>
      </c>
      <c r="C3071">
        <v>1639</v>
      </c>
      <c r="D3071" t="s">
        <v>23538</v>
      </c>
      <c r="E3071" t="s">
        <v>136</v>
      </c>
      <c r="F3071" t="s">
        <v>20</v>
      </c>
      <c r="G3071" t="s">
        <v>23539</v>
      </c>
      <c r="H3071">
        <v>18.43</v>
      </c>
      <c r="I3071">
        <v>0</v>
      </c>
      <c r="J3071">
        <v>0</v>
      </c>
      <c r="K3071">
        <v>0</v>
      </c>
      <c r="O3071">
        <v>0</v>
      </c>
      <c r="P3071">
        <v>4</v>
      </c>
      <c r="Q3071">
        <v>0</v>
      </c>
      <c r="R3071">
        <v>22.43</v>
      </c>
      <c r="S3071">
        <v>6</v>
      </c>
      <c r="T3071">
        <v>6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6</v>
      </c>
      <c r="AB3071">
        <v>0</v>
      </c>
      <c r="AC3071">
        <v>0</v>
      </c>
      <c r="AH3071">
        <v>28.43</v>
      </c>
    </row>
    <row r="3072" spans="1:34" x14ac:dyDescent="0.3">
      <c r="A3072" s="4">
        <v>3188</v>
      </c>
      <c r="B3072" s="5">
        <v>3065</v>
      </c>
      <c r="C3072">
        <v>11536</v>
      </c>
      <c r="D3072" t="s">
        <v>1742</v>
      </c>
      <c r="E3072" t="s">
        <v>23540</v>
      </c>
      <c r="F3072" t="s">
        <v>23541</v>
      </c>
      <c r="G3072" t="s">
        <v>23542</v>
      </c>
      <c r="H3072">
        <v>21.4</v>
      </c>
      <c r="I3072">
        <v>0</v>
      </c>
      <c r="J3072">
        <v>0</v>
      </c>
      <c r="K3072">
        <v>0</v>
      </c>
      <c r="N3072">
        <v>3</v>
      </c>
      <c r="O3072">
        <v>3</v>
      </c>
      <c r="P3072">
        <v>4</v>
      </c>
      <c r="Q3072">
        <v>0</v>
      </c>
      <c r="R3072">
        <v>28.4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H3072">
        <v>28.4</v>
      </c>
    </row>
    <row r="3073" spans="1:34" x14ac:dyDescent="0.3">
      <c r="A3073" s="4">
        <v>3189</v>
      </c>
      <c r="B3073" s="5">
        <v>3066</v>
      </c>
      <c r="C3073">
        <v>14760</v>
      </c>
      <c r="D3073" t="s">
        <v>498</v>
      </c>
      <c r="E3073" t="s">
        <v>71</v>
      </c>
      <c r="F3073" t="s">
        <v>68</v>
      </c>
      <c r="G3073" t="s">
        <v>23543</v>
      </c>
      <c r="H3073">
        <v>21.4</v>
      </c>
      <c r="I3073">
        <v>0</v>
      </c>
      <c r="J3073">
        <v>0</v>
      </c>
      <c r="K3073">
        <v>0</v>
      </c>
      <c r="N3073">
        <v>3</v>
      </c>
      <c r="O3073">
        <v>3</v>
      </c>
      <c r="P3073">
        <v>4</v>
      </c>
      <c r="Q3073">
        <v>0</v>
      </c>
      <c r="R3073">
        <v>28.4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H3073">
        <v>28.4</v>
      </c>
    </row>
    <row r="3074" spans="1:34" x14ac:dyDescent="0.3">
      <c r="A3074" s="4">
        <v>3190</v>
      </c>
      <c r="B3074" s="5">
        <v>3067</v>
      </c>
      <c r="C3074">
        <v>14433</v>
      </c>
      <c r="D3074" t="s">
        <v>23544</v>
      </c>
      <c r="E3074" t="s">
        <v>100</v>
      </c>
      <c r="F3074" t="s">
        <v>570</v>
      </c>
      <c r="G3074" t="s">
        <v>23545</v>
      </c>
      <c r="H3074">
        <v>21.4</v>
      </c>
      <c r="I3074">
        <v>0</v>
      </c>
      <c r="J3074">
        <v>0</v>
      </c>
      <c r="K3074">
        <v>0</v>
      </c>
      <c r="N3074">
        <v>3</v>
      </c>
      <c r="O3074">
        <v>3</v>
      </c>
      <c r="P3074">
        <v>4</v>
      </c>
      <c r="Q3074">
        <v>0</v>
      </c>
      <c r="R3074">
        <v>28.4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H3074">
        <v>28.4</v>
      </c>
    </row>
    <row r="3075" spans="1:34" x14ac:dyDescent="0.3">
      <c r="A3075" s="4">
        <v>3191</v>
      </c>
      <c r="B3075" s="5">
        <v>3068</v>
      </c>
      <c r="C3075">
        <v>979</v>
      </c>
      <c r="D3075" t="s">
        <v>3091</v>
      </c>
      <c r="E3075" t="s">
        <v>166</v>
      </c>
      <c r="F3075" t="s">
        <v>30</v>
      </c>
      <c r="G3075" t="s">
        <v>23546</v>
      </c>
      <c r="H3075">
        <v>19.38</v>
      </c>
      <c r="I3075">
        <v>0</v>
      </c>
      <c r="J3075">
        <v>0</v>
      </c>
      <c r="K3075">
        <v>0</v>
      </c>
      <c r="O3075">
        <v>0</v>
      </c>
      <c r="P3075">
        <v>0</v>
      </c>
      <c r="Q3075">
        <v>0</v>
      </c>
      <c r="R3075">
        <v>19.38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9</v>
      </c>
      <c r="AC3075">
        <v>0</v>
      </c>
      <c r="AH3075">
        <v>28.38</v>
      </c>
    </row>
    <row r="3076" spans="1:34" x14ac:dyDescent="0.3">
      <c r="A3076" s="4">
        <v>3192</v>
      </c>
      <c r="B3076" s="5">
        <v>3069</v>
      </c>
      <c r="C3076">
        <v>14504</v>
      </c>
      <c r="D3076" t="s">
        <v>3547</v>
      </c>
      <c r="E3076" t="s">
        <v>182</v>
      </c>
      <c r="F3076" t="s">
        <v>14</v>
      </c>
      <c r="G3076" t="s">
        <v>23547</v>
      </c>
      <c r="H3076">
        <v>19.38</v>
      </c>
      <c r="I3076">
        <v>0</v>
      </c>
      <c r="J3076">
        <v>0</v>
      </c>
      <c r="K3076">
        <v>0</v>
      </c>
      <c r="N3076">
        <v>3</v>
      </c>
      <c r="O3076">
        <v>3</v>
      </c>
      <c r="P3076">
        <v>0</v>
      </c>
      <c r="Q3076">
        <v>0</v>
      </c>
      <c r="R3076">
        <v>22.38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6</v>
      </c>
      <c r="AC3076">
        <v>0</v>
      </c>
      <c r="AH3076">
        <v>28.38</v>
      </c>
    </row>
    <row r="3077" spans="1:34" x14ac:dyDescent="0.3">
      <c r="A3077" s="4">
        <v>3193</v>
      </c>
      <c r="B3077" s="5">
        <v>3070</v>
      </c>
      <c r="C3077">
        <v>13629</v>
      </c>
      <c r="D3077" t="s">
        <v>23548</v>
      </c>
      <c r="E3077" t="s">
        <v>166</v>
      </c>
      <c r="F3077" t="s">
        <v>750</v>
      </c>
      <c r="G3077" t="s">
        <v>23549</v>
      </c>
      <c r="H3077">
        <v>18.38</v>
      </c>
      <c r="I3077">
        <v>0</v>
      </c>
      <c r="J3077">
        <v>0</v>
      </c>
      <c r="K3077">
        <v>0</v>
      </c>
      <c r="O3077">
        <v>0</v>
      </c>
      <c r="P3077">
        <v>4</v>
      </c>
      <c r="Q3077">
        <v>0</v>
      </c>
      <c r="R3077">
        <v>22.38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6</v>
      </c>
      <c r="AC3077">
        <v>0</v>
      </c>
      <c r="AH3077">
        <v>28.38</v>
      </c>
    </row>
    <row r="3078" spans="1:34" x14ac:dyDescent="0.3">
      <c r="A3078" s="4">
        <v>3194</v>
      </c>
      <c r="B3078" s="5">
        <v>3071</v>
      </c>
      <c r="C3078">
        <v>4498</v>
      </c>
      <c r="D3078" t="s">
        <v>8769</v>
      </c>
      <c r="E3078" t="s">
        <v>22</v>
      </c>
      <c r="F3078" t="s">
        <v>81</v>
      </c>
      <c r="G3078" t="s">
        <v>23550</v>
      </c>
      <c r="H3078">
        <v>18.38</v>
      </c>
      <c r="I3078">
        <v>0</v>
      </c>
      <c r="J3078">
        <v>0</v>
      </c>
      <c r="K3078">
        <v>0</v>
      </c>
      <c r="N3078">
        <v>3</v>
      </c>
      <c r="O3078">
        <v>3</v>
      </c>
      <c r="P3078">
        <v>4</v>
      </c>
      <c r="Q3078">
        <v>0</v>
      </c>
      <c r="R3078">
        <v>25.38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3</v>
      </c>
      <c r="AC3078">
        <v>0</v>
      </c>
      <c r="AH3078">
        <v>28.38</v>
      </c>
    </row>
    <row r="3079" spans="1:34" x14ac:dyDescent="0.3">
      <c r="A3079" s="4">
        <v>3195</v>
      </c>
      <c r="B3079" s="5">
        <v>3072</v>
      </c>
      <c r="C3079">
        <v>2445</v>
      </c>
      <c r="D3079" t="s">
        <v>23551</v>
      </c>
      <c r="E3079" t="s">
        <v>789</v>
      </c>
      <c r="F3079" t="s">
        <v>416</v>
      </c>
      <c r="G3079" t="s">
        <v>23552</v>
      </c>
      <c r="H3079">
        <v>19.38</v>
      </c>
      <c r="I3079">
        <v>0</v>
      </c>
      <c r="J3079">
        <v>0</v>
      </c>
      <c r="K3079">
        <v>0</v>
      </c>
      <c r="M3079">
        <v>5</v>
      </c>
      <c r="O3079">
        <v>5</v>
      </c>
      <c r="P3079">
        <v>4</v>
      </c>
      <c r="Q3079">
        <v>0</v>
      </c>
      <c r="R3079">
        <v>28.38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H3079">
        <v>28.38</v>
      </c>
    </row>
    <row r="3080" spans="1:34" x14ac:dyDescent="0.3">
      <c r="A3080" s="4">
        <v>3196</v>
      </c>
      <c r="B3080" s="5">
        <v>3073</v>
      </c>
      <c r="C3080">
        <v>6788</v>
      </c>
      <c r="D3080" t="s">
        <v>15675</v>
      </c>
      <c r="E3080" t="s">
        <v>147</v>
      </c>
      <c r="F3080" t="s">
        <v>17</v>
      </c>
      <c r="G3080" t="s">
        <v>23553</v>
      </c>
      <c r="H3080">
        <v>17.38</v>
      </c>
      <c r="I3080">
        <v>0</v>
      </c>
      <c r="J3080">
        <v>0</v>
      </c>
      <c r="K3080">
        <v>0</v>
      </c>
      <c r="L3080">
        <v>7</v>
      </c>
      <c r="O3080">
        <v>7</v>
      </c>
      <c r="P3080">
        <v>4</v>
      </c>
      <c r="Q3080">
        <v>0</v>
      </c>
      <c r="R3080">
        <v>28.38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H3080">
        <v>28.38</v>
      </c>
    </row>
    <row r="3081" spans="1:34" x14ac:dyDescent="0.3">
      <c r="A3081" s="4">
        <v>3197</v>
      </c>
      <c r="B3081" s="5">
        <v>3074</v>
      </c>
      <c r="C3081">
        <v>2955</v>
      </c>
      <c r="D3081" t="s">
        <v>3200</v>
      </c>
      <c r="E3081" t="s">
        <v>967</v>
      </c>
      <c r="F3081" t="s">
        <v>1748</v>
      </c>
      <c r="G3081" t="s">
        <v>23554</v>
      </c>
      <c r="H3081">
        <v>18.350000000000001</v>
      </c>
      <c r="I3081">
        <v>0</v>
      </c>
      <c r="J3081">
        <v>0</v>
      </c>
      <c r="K3081">
        <v>0</v>
      </c>
      <c r="O3081">
        <v>0</v>
      </c>
      <c r="P3081">
        <v>4</v>
      </c>
      <c r="Q3081">
        <v>0</v>
      </c>
      <c r="R3081">
        <v>22.35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6</v>
      </c>
      <c r="AC3081">
        <v>0</v>
      </c>
      <c r="AH3081">
        <v>28.35</v>
      </c>
    </row>
    <row r="3082" spans="1:34" x14ac:dyDescent="0.3">
      <c r="A3082" s="4">
        <v>3198</v>
      </c>
      <c r="B3082" s="5">
        <v>3075</v>
      </c>
      <c r="C3082">
        <v>12690</v>
      </c>
      <c r="D3082" t="s">
        <v>5162</v>
      </c>
      <c r="E3082" t="s">
        <v>29</v>
      </c>
      <c r="F3082" t="s">
        <v>840</v>
      </c>
      <c r="G3082" t="s">
        <v>23555</v>
      </c>
      <c r="H3082">
        <v>21.35</v>
      </c>
      <c r="I3082">
        <v>0</v>
      </c>
      <c r="J3082">
        <v>0</v>
      </c>
      <c r="K3082">
        <v>0</v>
      </c>
      <c r="N3082">
        <v>3</v>
      </c>
      <c r="O3082">
        <v>3</v>
      </c>
      <c r="P3082">
        <v>4</v>
      </c>
      <c r="Q3082">
        <v>0</v>
      </c>
      <c r="R3082">
        <v>28.35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H3082">
        <v>28.35</v>
      </c>
    </row>
    <row r="3083" spans="1:34" x14ac:dyDescent="0.3">
      <c r="A3083" s="4">
        <v>3199</v>
      </c>
      <c r="B3083" s="5">
        <v>3076</v>
      </c>
      <c r="C3083">
        <v>14234</v>
      </c>
      <c r="D3083" t="s">
        <v>23556</v>
      </c>
      <c r="E3083" t="s">
        <v>23557</v>
      </c>
      <c r="F3083" t="s">
        <v>230</v>
      </c>
      <c r="G3083" t="s">
        <v>23558</v>
      </c>
      <c r="H3083">
        <v>17.350000000000001</v>
      </c>
      <c r="I3083">
        <v>0</v>
      </c>
      <c r="J3083">
        <v>0</v>
      </c>
      <c r="K3083">
        <v>0</v>
      </c>
      <c r="L3083">
        <v>7</v>
      </c>
      <c r="O3083">
        <v>7</v>
      </c>
      <c r="P3083">
        <v>4</v>
      </c>
      <c r="Q3083">
        <v>0</v>
      </c>
      <c r="R3083">
        <v>28.35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H3083">
        <v>28.35</v>
      </c>
    </row>
    <row r="3084" spans="1:34" x14ac:dyDescent="0.3">
      <c r="A3084" s="4">
        <v>3200</v>
      </c>
      <c r="B3084" s="5">
        <v>3077</v>
      </c>
      <c r="C3084">
        <v>6519</v>
      </c>
      <c r="D3084" t="s">
        <v>1742</v>
      </c>
      <c r="E3084" t="s">
        <v>208</v>
      </c>
      <c r="F3084" t="s">
        <v>892</v>
      </c>
      <c r="G3084" t="s">
        <v>23559</v>
      </c>
      <c r="H3084">
        <v>17.350000000000001</v>
      </c>
      <c r="I3084">
        <v>0</v>
      </c>
      <c r="J3084">
        <v>0</v>
      </c>
      <c r="K3084">
        <v>0</v>
      </c>
      <c r="L3084">
        <v>7</v>
      </c>
      <c r="O3084">
        <v>7</v>
      </c>
      <c r="P3084">
        <v>4</v>
      </c>
      <c r="Q3084">
        <v>0</v>
      </c>
      <c r="R3084">
        <v>28.35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H3084">
        <v>28.35</v>
      </c>
    </row>
    <row r="3085" spans="1:34" x14ac:dyDescent="0.3">
      <c r="A3085" s="4">
        <v>3201</v>
      </c>
      <c r="B3085" s="5">
        <v>3078</v>
      </c>
      <c r="C3085">
        <v>15362</v>
      </c>
      <c r="D3085" t="s">
        <v>23560</v>
      </c>
      <c r="E3085" t="s">
        <v>23561</v>
      </c>
      <c r="F3085" t="s">
        <v>343</v>
      </c>
      <c r="G3085" t="s">
        <v>23562</v>
      </c>
      <c r="H3085">
        <v>18.329999999999998</v>
      </c>
      <c r="I3085">
        <v>0</v>
      </c>
      <c r="J3085">
        <v>0</v>
      </c>
      <c r="K3085">
        <v>0</v>
      </c>
      <c r="N3085">
        <v>3</v>
      </c>
      <c r="O3085">
        <v>3</v>
      </c>
      <c r="P3085">
        <v>4</v>
      </c>
      <c r="Q3085">
        <v>0</v>
      </c>
      <c r="R3085">
        <v>25.33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3</v>
      </c>
      <c r="AC3085">
        <v>0</v>
      </c>
      <c r="AH3085">
        <v>28.33</v>
      </c>
    </row>
    <row r="3086" spans="1:34" x14ac:dyDescent="0.3">
      <c r="A3086" s="4">
        <v>3202</v>
      </c>
      <c r="B3086" s="5">
        <v>3079</v>
      </c>
      <c r="C3086">
        <v>8844</v>
      </c>
      <c r="D3086" t="s">
        <v>5697</v>
      </c>
      <c r="E3086" t="s">
        <v>342</v>
      </c>
      <c r="F3086" t="s">
        <v>23563</v>
      </c>
      <c r="G3086" t="s">
        <v>23564</v>
      </c>
      <c r="H3086">
        <v>21.33</v>
      </c>
      <c r="I3086">
        <v>0</v>
      </c>
      <c r="J3086">
        <v>0</v>
      </c>
      <c r="K3086">
        <v>0</v>
      </c>
      <c r="N3086">
        <v>3</v>
      </c>
      <c r="O3086">
        <v>3</v>
      </c>
      <c r="P3086">
        <v>4</v>
      </c>
      <c r="Q3086">
        <v>0</v>
      </c>
      <c r="R3086">
        <v>28.33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H3086">
        <v>28.33</v>
      </c>
    </row>
    <row r="3087" spans="1:34" x14ac:dyDescent="0.3">
      <c r="A3087" s="4">
        <v>3203</v>
      </c>
      <c r="B3087" s="5">
        <v>3080</v>
      </c>
      <c r="C3087">
        <v>12920</v>
      </c>
      <c r="D3087" t="s">
        <v>23565</v>
      </c>
      <c r="E3087" t="s">
        <v>283</v>
      </c>
      <c r="F3087" t="s">
        <v>20</v>
      </c>
      <c r="G3087" t="s">
        <v>23566</v>
      </c>
      <c r="H3087">
        <v>17.329999999999998</v>
      </c>
      <c r="I3087">
        <v>0</v>
      </c>
      <c r="J3087">
        <v>0</v>
      </c>
      <c r="K3087">
        <v>0</v>
      </c>
      <c r="L3087">
        <v>7</v>
      </c>
      <c r="O3087">
        <v>7</v>
      </c>
      <c r="P3087">
        <v>4</v>
      </c>
      <c r="Q3087">
        <v>0</v>
      </c>
      <c r="R3087">
        <v>28.33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H3087">
        <v>28.33</v>
      </c>
    </row>
    <row r="3088" spans="1:34" x14ac:dyDescent="0.3">
      <c r="A3088" s="4">
        <v>3204</v>
      </c>
      <c r="B3088" s="5">
        <v>3081</v>
      </c>
      <c r="C3088">
        <v>7303</v>
      </c>
      <c r="D3088" t="s">
        <v>2073</v>
      </c>
      <c r="E3088" t="s">
        <v>132</v>
      </c>
      <c r="F3088" t="s">
        <v>3968</v>
      </c>
      <c r="G3088" t="s">
        <v>23567</v>
      </c>
      <c r="H3088">
        <v>18.3</v>
      </c>
      <c r="I3088">
        <v>0</v>
      </c>
      <c r="J3088">
        <v>0</v>
      </c>
      <c r="K3088">
        <v>0</v>
      </c>
      <c r="O3088">
        <v>0</v>
      </c>
      <c r="P3088">
        <v>4</v>
      </c>
      <c r="Q3088">
        <v>0</v>
      </c>
      <c r="R3088">
        <v>22.3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6</v>
      </c>
      <c r="AC3088">
        <v>0</v>
      </c>
      <c r="AH3088">
        <v>28.3</v>
      </c>
    </row>
    <row r="3089" spans="1:34" x14ac:dyDescent="0.3">
      <c r="A3089" s="4">
        <v>3205</v>
      </c>
      <c r="B3089" s="5">
        <v>3082</v>
      </c>
      <c r="C3089">
        <v>3371</v>
      </c>
      <c r="D3089" t="s">
        <v>21301</v>
      </c>
      <c r="E3089" t="s">
        <v>23568</v>
      </c>
      <c r="F3089" t="s">
        <v>822</v>
      </c>
      <c r="G3089" t="s">
        <v>23569</v>
      </c>
      <c r="H3089">
        <v>18.3</v>
      </c>
      <c r="I3089">
        <v>0</v>
      </c>
      <c r="J3089">
        <v>0</v>
      </c>
      <c r="K3089">
        <v>0</v>
      </c>
      <c r="O3089">
        <v>0</v>
      </c>
      <c r="P3089">
        <v>4</v>
      </c>
      <c r="Q3089">
        <v>0</v>
      </c>
      <c r="R3089">
        <v>22.3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6</v>
      </c>
      <c r="AC3089">
        <v>0</v>
      </c>
      <c r="AH3089">
        <v>28.3</v>
      </c>
    </row>
    <row r="3090" spans="1:34" x14ac:dyDescent="0.3">
      <c r="A3090" s="4">
        <v>3206</v>
      </c>
      <c r="B3090" s="5">
        <v>3083</v>
      </c>
      <c r="C3090">
        <v>14831</v>
      </c>
      <c r="D3090" t="s">
        <v>23570</v>
      </c>
      <c r="E3090" t="s">
        <v>29</v>
      </c>
      <c r="F3090" t="s">
        <v>62</v>
      </c>
      <c r="G3090" t="s">
        <v>23571</v>
      </c>
      <c r="H3090">
        <v>18.3</v>
      </c>
      <c r="I3090">
        <v>0</v>
      </c>
      <c r="J3090">
        <v>0</v>
      </c>
      <c r="K3090">
        <v>0</v>
      </c>
      <c r="N3090">
        <v>3</v>
      </c>
      <c r="O3090">
        <v>3</v>
      </c>
      <c r="P3090">
        <v>4</v>
      </c>
      <c r="Q3090">
        <v>0</v>
      </c>
      <c r="R3090">
        <v>25.3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3</v>
      </c>
      <c r="AC3090">
        <v>0</v>
      </c>
      <c r="AH3090">
        <v>28.3</v>
      </c>
    </row>
    <row r="3091" spans="1:34" x14ac:dyDescent="0.3">
      <c r="A3091" s="4">
        <v>3207</v>
      </c>
      <c r="B3091" s="5">
        <v>3084</v>
      </c>
      <c r="C3091">
        <v>8903</v>
      </c>
      <c r="D3091" t="s">
        <v>10623</v>
      </c>
      <c r="E3091" t="s">
        <v>41</v>
      </c>
      <c r="F3091" t="s">
        <v>20</v>
      </c>
      <c r="G3091" t="s">
        <v>23572</v>
      </c>
      <c r="H3091">
        <v>21.3</v>
      </c>
      <c r="I3091">
        <v>0</v>
      </c>
      <c r="J3091">
        <v>0</v>
      </c>
      <c r="K3091">
        <v>0</v>
      </c>
      <c r="N3091">
        <v>3</v>
      </c>
      <c r="O3091">
        <v>3</v>
      </c>
      <c r="P3091">
        <v>4</v>
      </c>
      <c r="Q3091">
        <v>0</v>
      </c>
      <c r="R3091">
        <v>28.3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H3091">
        <v>28.3</v>
      </c>
    </row>
    <row r="3092" spans="1:34" x14ac:dyDescent="0.3">
      <c r="A3092" s="4">
        <v>3208</v>
      </c>
      <c r="B3092" s="5">
        <v>3085</v>
      </c>
      <c r="C3092">
        <v>14243</v>
      </c>
      <c r="D3092" t="s">
        <v>23573</v>
      </c>
      <c r="E3092" t="s">
        <v>29</v>
      </c>
      <c r="F3092" t="s">
        <v>2595</v>
      </c>
      <c r="G3092" t="s">
        <v>23574</v>
      </c>
      <c r="H3092">
        <v>21.3</v>
      </c>
      <c r="I3092">
        <v>0</v>
      </c>
      <c r="J3092">
        <v>0</v>
      </c>
      <c r="K3092">
        <v>0</v>
      </c>
      <c r="N3092">
        <v>3</v>
      </c>
      <c r="O3092">
        <v>3</v>
      </c>
      <c r="P3092">
        <v>4</v>
      </c>
      <c r="Q3092">
        <v>0</v>
      </c>
      <c r="R3092">
        <v>28.3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H3092">
        <v>28.3</v>
      </c>
    </row>
    <row r="3093" spans="1:34" x14ac:dyDescent="0.3">
      <c r="A3093" s="4">
        <v>3209</v>
      </c>
      <c r="B3093" s="5">
        <v>3086</v>
      </c>
      <c r="C3093">
        <v>6826</v>
      </c>
      <c r="D3093" t="s">
        <v>2951</v>
      </c>
      <c r="E3093" t="s">
        <v>208</v>
      </c>
      <c r="F3093" t="s">
        <v>626</v>
      </c>
      <c r="G3093" t="s">
        <v>23575</v>
      </c>
      <c r="H3093">
        <v>19.3</v>
      </c>
      <c r="I3093">
        <v>0</v>
      </c>
      <c r="J3093">
        <v>0</v>
      </c>
      <c r="K3093">
        <v>0</v>
      </c>
      <c r="N3093">
        <v>3</v>
      </c>
      <c r="O3093">
        <v>3</v>
      </c>
      <c r="P3093">
        <v>4</v>
      </c>
      <c r="Q3093">
        <v>2</v>
      </c>
      <c r="R3093">
        <v>28.3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H3093">
        <v>28.3</v>
      </c>
    </row>
    <row r="3094" spans="1:34" x14ac:dyDescent="0.3">
      <c r="A3094" s="4">
        <v>3210</v>
      </c>
      <c r="B3094" s="5">
        <v>3087</v>
      </c>
      <c r="C3094">
        <v>10537</v>
      </c>
      <c r="D3094" t="s">
        <v>23576</v>
      </c>
      <c r="E3094" t="s">
        <v>23577</v>
      </c>
      <c r="F3094" t="s">
        <v>81</v>
      </c>
      <c r="G3094" t="s">
        <v>23578</v>
      </c>
      <c r="H3094">
        <v>21.28</v>
      </c>
      <c r="I3094">
        <v>0</v>
      </c>
      <c r="J3094">
        <v>0</v>
      </c>
      <c r="K3094">
        <v>0</v>
      </c>
      <c r="N3094">
        <v>3</v>
      </c>
      <c r="O3094">
        <v>3</v>
      </c>
      <c r="P3094">
        <v>4</v>
      </c>
      <c r="Q3094">
        <v>0</v>
      </c>
      <c r="R3094">
        <v>28.28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H3094">
        <v>28.28</v>
      </c>
    </row>
    <row r="3095" spans="1:34" x14ac:dyDescent="0.3">
      <c r="A3095" s="4">
        <v>3211</v>
      </c>
      <c r="B3095" s="5">
        <v>3088</v>
      </c>
      <c r="C3095">
        <v>5630</v>
      </c>
      <c r="D3095" t="s">
        <v>23579</v>
      </c>
      <c r="E3095" t="s">
        <v>1474</v>
      </c>
      <c r="F3095" t="s">
        <v>17</v>
      </c>
      <c r="G3095" t="s">
        <v>23580</v>
      </c>
      <c r="H3095">
        <v>19.28</v>
      </c>
      <c r="I3095">
        <v>0</v>
      </c>
      <c r="J3095">
        <v>0</v>
      </c>
      <c r="K3095">
        <v>0</v>
      </c>
      <c r="M3095">
        <v>5</v>
      </c>
      <c r="O3095">
        <v>5</v>
      </c>
      <c r="P3095">
        <v>4</v>
      </c>
      <c r="Q3095">
        <v>0</v>
      </c>
      <c r="R3095">
        <v>28.28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H3095">
        <v>28.28</v>
      </c>
    </row>
    <row r="3096" spans="1:34" x14ac:dyDescent="0.3">
      <c r="A3096" s="4">
        <v>3212</v>
      </c>
      <c r="B3096" s="5">
        <v>3089</v>
      </c>
      <c r="C3096">
        <v>12070</v>
      </c>
      <c r="D3096" t="s">
        <v>23581</v>
      </c>
      <c r="E3096" t="s">
        <v>22</v>
      </c>
      <c r="F3096" t="s">
        <v>38</v>
      </c>
      <c r="G3096" t="s">
        <v>23582</v>
      </c>
      <c r="H3096">
        <v>19.25</v>
      </c>
      <c r="I3096">
        <v>0</v>
      </c>
      <c r="J3096">
        <v>0</v>
      </c>
      <c r="K3096">
        <v>0</v>
      </c>
      <c r="N3096">
        <v>3</v>
      </c>
      <c r="O3096">
        <v>3</v>
      </c>
      <c r="P3096">
        <v>0</v>
      </c>
      <c r="Q3096">
        <v>0</v>
      </c>
      <c r="R3096">
        <v>22.25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6</v>
      </c>
      <c r="AC3096">
        <v>0</v>
      </c>
      <c r="AH3096">
        <v>28.25</v>
      </c>
    </row>
    <row r="3097" spans="1:34" x14ac:dyDescent="0.3">
      <c r="A3097" s="4">
        <v>3213</v>
      </c>
      <c r="B3097" s="5">
        <v>3090</v>
      </c>
      <c r="C3097">
        <v>6281</v>
      </c>
      <c r="D3097" t="s">
        <v>23583</v>
      </c>
      <c r="E3097" t="s">
        <v>54</v>
      </c>
      <c r="F3097" t="s">
        <v>17</v>
      </c>
      <c r="G3097" t="s">
        <v>23584</v>
      </c>
      <c r="H3097">
        <v>19.25</v>
      </c>
      <c r="I3097">
        <v>0</v>
      </c>
      <c r="J3097">
        <v>0</v>
      </c>
      <c r="K3097">
        <v>0</v>
      </c>
      <c r="N3097">
        <v>3</v>
      </c>
      <c r="O3097">
        <v>3</v>
      </c>
      <c r="P3097">
        <v>0</v>
      </c>
      <c r="Q3097">
        <v>0</v>
      </c>
      <c r="R3097">
        <v>22.25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6</v>
      </c>
      <c r="AC3097">
        <v>0</v>
      </c>
      <c r="AH3097">
        <v>28.25</v>
      </c>
    </row>
    <row r="3098" spans="1:34" x14ac:dyDescent="0.3">
      <c r="A3098" s="4">
        <v>3214</v>
      </c>
      <c r="B3098" s="5">
        <v>3091</v>
      </c>
      <c r="C3098">
        <v>3287</v>
      </c>
      <c r="D3098" t="s">
        <v>173</v>
      </c>
      <c r="E3098" t="s">
        <v>23585</v>
      </c>
      <c r="F3098" t="s">
        <v>81</v>
      </c>
      <c r="G3098" t="s">
        <v>23586</v>
      </c>
      <c r="H3098">
        <v>18.25</v>
      </c>
      <c r="I3098">
        <v>0</v>
      </c>
      <c r="J3098">
        <v>0</v>
      </c>
      <c r="K3098">
        <v>0</v>
      </c>
      <c r="O3098">
        <v>0</v>
      </c>
      <c r="P3098">
        <v>4</v>
      </c>
      <c r="Q3098">
        <v>0</v>
      </c>
      <c r="R3098">
        <v>22.25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6</v>
      </c>
      <c r="AC3098">
        <v>0</v>
      </c>
      <c r="AH3098">
        <v>28.25</v>
      </c>
    </row>
    <row r="3099" spans="1:34" x14ac:dyDescent="0.3">
      <c r="A3099" s="4">
        <v>3215</v>
      </c>
      <c r="B3099" s="5">
        <v>3092</v>
      </c>
      <c r="C3099">
        <v>4463</v>
      </c>
      <c r="D3099" t="s">
        <v>23587</v>
      </c>
      <c r="E3099" t="s">
        <v>343</v>
      </c>
      <c r="F3099" t="s">
        <v>30</v>
      </c>
      <c r="G3099" t="s">
        <v>23588</v>
      </c>
      <c r="H3099">
        <v>18.25</v>
      </c>
      <c r="I3099">
        <v>0</v>
      </c>
      <c r="J3099">
        <v>0</v>
      </c>
      <c r="K3099">
        <v>0</v>
      </c>
      <c r="O3099">
        <v>0</v>
      </c>
      <c r="P3099">
        <v>4</v>
      </c>
      <c r="Q3099">
        <v>0</v>
      </c>
      <c r="R3099">
        <v>22.25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6</v>
      </c>
      <c r="AC3099">
        <v>0</v>
      </c>
      <c r="AH3099">
        <v>28.25</v>
      </c>
    </row>
    <row r="3100" spans="1:34" x14ac:dyDescent="0.3">
      <c r="A3100" s="4">
        <v>3216</v>
      </c>
      <c r="B3100" s="5">
        <v>3093</v>
      </c>
      <c r="C3100">
        <v>13024</v>
      </c>
      <c r="D3100" t="s">
        <v>23589</v>
      </c>
      <c r="E3100" t="s">
        <v>110</v>
      </c>
      <c r="F3100" t="s">
        <v>81</v>
      </c>
      <c r="G3100" t="s">
        <v>23590</v>
      </c>
      <c r="H3100">
        <v>18.25</v>
      </c>
      <c r="I3100">
        <v>0</v>
      </c>
      <c r="J3100">
        <v>0</v>
      </c>
      <c r="K3100">
        <v>0</v>
      </c>
      <c r="N3100">
        <v>3</v>
      </c>
      <c r="O3100">
        <v>3</v>
      </c>
      <c r="P3100">
        <v>4</v>
      </c>
      <c r="Q3100">
        <v>0</v>
      </c>
      <c r="R3100">
        <v>25.25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3</v>
      </c>
      <c r="AC3100">
        <v>0</v>
      </c>
      <c r="AH3100">
        <v>28.25</v>
      </c>
    </row>
    <row r="3101" spans="1:34" x14ac:dyDescent="0.3">
      <c r="A3101" s="4">
        <v>3217</v>
      </c>
      <c r="B3101" s="5">
        <v>3094</v>
      </c>
      <c r="C3101">
        <v>14478</v>
      </c>
      <c r="D3101" t="s">
        <v>3155</v>
      </c>
      <c r="E3101" t="s">
        <v>1413</v>
      </c>
      <c r="F3101" t="s">
        <v>23591</v>
      </c>
      <c r="G3101" t="s">
        <v>23592</v>
      </c>
      <c r="H3101">
        <v>18.25</v>
      </c>
      <c r="I3101">
        <v>0</v>
      </c>
      <c r="J3101">
        <v>0</v>
      </c>
      <c r="K3101">
        <v>0</v>
      </c>
      <c r="N3101">
        <v>3</v>
      </c>
      <c r="O3101">
        <v>3</v>
      </c>
      <c r="P3101">
        <v>4</v>
      </c>
      <c r="Q3101">
        <v>0</v>
      </c>
      <c r="R3101">
        <v>25.25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3</v>
      </c>
      <c r="AC3101">
        <v>0</v>
      </c>
      <c r="AH3101">
        <v>28.25</v>
      </c>
    </row>
    <row r="3102" spans="1:34" x14ac:dyDescent="0.3">
      <c r="A3102" s="4">
        <v>3218</v>
      </c>
      <c r="B3102" s="5">
        <v>3095</v>
      </c>
      <c r="C3102">
        <v>14046</v>
      </c>
      <c r="D3102" t="s">
        <v>4679</v>
      </c>
      <c r="E3102" t="s">
        <v>8185</v>
      </c>
      <c r="F3102" t="s">
        <v>68</v>
      </c>
      <c r="G3102" t="s">
        <v>23593</v>
      </c>
      <c r="H3102">
        <v>21.25</v>
      </c>
      <c r="I3102">
        <v>0</v>
      </c>
      <c r="J3102">
        <v>0</v>
      </c>
      <c r="K3102">
        <v>0</v>
      </c>
      <c r="N3102">
        <v>3</v>
      </c>
      <c r="O3102">
        <v>3</v>
      </c>
      <c r="P3102">
        <v>4</v>
      </c>
      <c r="Q3102">
        <v>0</v>
      </c>
      <c r="R3102">
        <v>28.25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H3102">
        <v>28.25</v>
      </c>
    </row>
    <row r="3103" spans="1:34" x14ac:dyDescent="0.3">
      <c r="A3103" s="4">
        <v>3219</v>
      </c>
      <c r="B3103" s="5">
        <v>3096</v>
      </c>
      <c r="C3103">
        <v>7323</v>
      </c>
      <c r="D3103" t="s">
        <v>23594</v>
      </c>
      <c r="E3103" t="s">
        <v>23595</v>
      </c>
      <c r="F3103" t="s">
        <v>23596</v>
      </c>
      <c r="G3103" t="s">
        <v>23597</v>
      </c>
      <c r="H3103">
        <v>21.25</v>
      </c>
      <c r="I3103">
        <v>0</v>
      </c>
      <c r="J3103">
        <v>0</v>
      </c>
      <c r="K3103">
        <v>0</v>
      </c>
      <c r="N3103">
        <v>3</v>
      </c>
      <c r="O3103">
        <v>3</v>
      </c>
      <c r="P3103">
        <v>4</v>
      </c>
      <c r="Q3103">
        <v>0</v>
      </c>
      <c r="R3103">
        <v>28.25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H3103">
        <v>28.25</v>
      </c>
    </row>
    <row r="3104" spans="1:34" x14ac:dyDescent="0.3">
      <c r="A3104" s="4">
        <v>3220</v>
      </c>
      <c r="B3104" s="5">
        <v>3097</v>
      </c>
      <c r="C3104">
        <v>12098</v>
      </c>
      <c r="D3104" t="s">
        <v>20586</v>
      </c>
      <c r="E3104" t="s">
        <v>22</v>
      </c>
      <c r="F3104" t="s">
        <v>38</v>
      </c>
      <c r="G3104" t="s">
        <v>23598</v>
      </c>
      <c r="H3104">
        <v>21.25</v>
      </c>
      <c r="I3104">
        <v>0</v>
      </c>
      <c r="J3104">
        <v>0</v>
      </c>
      <c r="K3104">
        <v>0</v>
      </c>
      <c r="N3104">
        <v>3</v>
      </c>
      <c r="O3104">
        <v>3</v>
      </c>
      <c r="P3104">
        <v>4</v>
      </c>
      <c r="Q3104">
        <v>0</v>
      </c>
      <c r="R3104">
        <v>28.25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H3104">
        <v>28.25</v>
      </c>
    </row>
    <row r="3105" spans="1:34" x14ac:dyDescent="0.3">
      <c r="A3105" s="4">
        <v>3221</v>
      </c>
      <c r="B3105" s="5">
        <v>3098</v>
      </c>
      <c r="C3105">
        <v>2076</v>
      </c>
      <c r="D3105" t="s">
        <v>2460</v>
      </c>
      <c r="E3105" t="s">
        <v>29</v>
      </c>
      <c r="F3105" t="s">
        <v>972</v>
      </c>
      <c r="G3105" t="s">
        <v>23599</v>
      </c>
      <c r="H3105">
        <v>18.23</v>
      </c>
      <c r="I3105">
        <v>0</v>
      </c>
      <c r="J3105">
        <v>0</v>
      </c>
      <c r="K3105">
        <v>0</v>
      </c>
      <c r="O3105">
        <v>0</v>
      </c>
      <c r="P3105">
        <v>4</v>
      </c>
      <c r="Q3105">
        <v>0</v>
      </c>
      <c r="R3105">
        <v>22.23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6</v>
      </c>
      <c r="AC3105">
        <v>0</v>
      </c>
      <c r="AD3105" t="s">
        <v>130</v>
      </c>
      <c r="AH3105">
        <v>28.23</v>
      </c>
    </row>
    <row r="3106" spans="1:34" x14ac:dyDescent="0.3">
      <c r="A3106" s="4">
        <v>3222</v>
      </c>
      <c r="B3106" s="5">
        <v>3099</v>
      </c>
      <c r="C3106">
        <v>1181</v>
      </c>
      <c r="D3106" t="s">
        <v>23600</v>
      </c>
      <c r="E3106" t="s">
        <v>792</v>
      </c>
      <c r="F3106" t="s">
        <v>23601</v>
      </c>
      <c r="G3106" t="s">
        <v>23602</v>
      </c>
      <c r="H3106">
        <v>18.23</v>
      </c>
      <c r="I3106">
        <v>0</v>
      </c>
      <c r="J3106">
        <v>0</v>
      </c>
      <c r="K3106">
        <v>0</v>
      </c>
      <c r="N3106">
        <v>3</v>
      </c>
      <c r="O3106">
        <v>3</v>
      </c>
      <c r="P3106">
        <v>4</v>
      </c>
      <c r="Q3106">
        <v>0</v>
      </c>
      <c r="R3106">
        <v>25.23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3</v>
      </c>
      <c r="AC3106">
        <v>0</v>
      </c>
      <c r="AH3106">
        <v>28.23</v>
      </c>
    </row>
    <row r="3107" spans="1:34" x14ac:dyDescent="0.3">
      <c r="A3107" s="4">
        <v>3223</v>
      </c>
      <c r="B3107" s="5">
        <v>3100</v>
      </c>
      <c r="C3107">
        <v>14816</v>
      </c>
      <c r="D3107" t="s">
        <v>23603</v>
      </c>
      <c r="E3107" t="s">
        <v>6806</v>
      </c>
      <c r="F3107" t="s">
        <v>30</v>
      </c>
      <c r="G3107" t="s">
        <v>23604</v>
      </c>
      <c r="H3107">
        <v>18.23</v>
      </c>
      <c r="I3107">
        <v>0</v>
      </c>
      <c r="J3107">
        <v>0</v>
      </c>
      <c r="K3107">
        <v>0</v>
      </c>
      <c r="N3107">
        <v>3</v>
      </c>
      <c r="O3107">
        <v>3</v>
      </c>
      <c r="P3107">
        <v>4</v>
      </c>
      <c r="Q3107">
        <v>0</v>
      </c>
      <c r="R3107">
        <v>25.23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3</v>
      </c>
      <c r="AC3107">
        <v>0</v>
      </c>
      <c r="AH3107">
        <v>28.23</v>
      </c>
    </row>
    <row r="3108" spans="1:34" x14ac:dyDescent="0.3">
      <c r="A3108" s="4">
        <v>3224</v>
      </c>
      <c r="B3108" s="5">
        <v>3101</v>
      </c>
      <c r="C3108">
        <v>9250</v>
      </c>
      <c r="D3108" t="s">
        <v>14652</v>
      </c>
      <c r="E3108" t="s">
        <v>861</v>
      </c>
      <c r="F3108" t="s">
        <v>68</v>
      </c>
      <c r="G3108" t="s">
        <v>23605</v>
      </c>
      <c r="H3108">
        <v>21.23</v>
      </c>
      <c r="I3108">
        <v>0</v>
      </c>
      <c r="J3108">
        <v>0</v>
      </c>
      <c r="K3108">
        <v>0</v>
      </c>
      <c r="N3108">
        <v>3</v>
      </c>
      <c r="O3108">
        <v>3</v>
      </c>
      <c r="P3108">
        <v>4</v>
      </c>
      <c r="Q3108">
        <v>0</v>
      </c>
      <c r="R3108">
        <v>28.23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H3108">
        <v>28.23</v>
      </c>
    </row>
    <row r="3109" spans="1:34" x14ac:dyDescent="0.3">
      <c r="A3109" s="4">
        <v>3225</v>
      </c>
      <c r="B3109" s="5">
        <v>3102</v>
      </c>
      <c r="C3109">
        <v>8143</v>
      </c>
      <c r="D3109" t="s">
        <v>23606</v>
      </c>
      <c r="E3109" t="s">
        <v>4236</v>
      </c>
      <c r="F3109" t="s">
        <v>243</v>
      </c>
      <c r="G3109" t="s">
        <v>23607</v>
      </c>
      <c r="H3109">
        <v>19.23</v>
      </c>
      <c r="I3109">
        <v>0</v>
      </c>
      <c r="J3109">
        <v>0</v>
      </c>
      <c r="K3109">
        <v>0</v>
      </c>
      <c r="N3109">
        <v>3</v>
      </c>
      <c r="O3109">
        <v>3</v>
      </c>
      <c r="P3109">
        <v>4</v>
      </c>
      <c r="Q3109">
        <v>2</v>
      </c>
      <c r="R3109">
        <v>28.23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H3109">
        <v>28.23</v>
      </c>
    </row>
    <row r="3110" spans="1:34" x14ac:dyDescent="0.3">
      <c r="A3110" s="4">
        <v>3226</v>
      </c>
      <c r="B3110" s="5">
        <v>3103</v>
      </c>
      <c r="C3110">
        <v>8144</v>
      </c>
      <c r="D3110" t="s">
        <v>5114</v>
      </c>
      <c r="E3110" t="s">
        <v>41</v>
      </c>
      <c r="F3110" t="s">
        <v>1460</v>
      </c>
      <c r="G3110" t="s">
        <v>23608</v>
      </c>
      <c r="H3110">
        <v>17.23</v>
      </c>
      <c r="I3110">
        <v>0</v>
      </c>
      <c r="J3110">
        <v>0</v>
      </c>
      <c r="K3110">
        <v>0</v>
      </c>
      <c r="L3110">
        <v>7</v>
      </c>
      <c r="O3110">
        <v>7</v>
      </c>
      <c r="P3110">
        <v>4</v>
      </c>
      <c r="Q3110">
        <v>0</v>
      </c>
      <c r="R3110">
        <v>28.23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H3110">
        <v>28.23</v>
      </c>
    </row>
    <row r="3111" spans="1:34" x14ac:dyDescent="0.3">
      <c r="A3111" s="4">
        <v>3227</v>
      </c>
      <c r="B3111" s="5">
        <v>3104</v>
      </c>
      <c r="C3111">
        <v>11165</v>
      </c>
      <c r="D3111" t="s">
        <v>23609</v>
      </c>
      <c r="E3111" t="s">
        <v>81</v>
      </c>
      <c r="F3111" t="s">
        <v>30</v>
      </c>
      <c r="G3111" t="s">
        <v>23610</v>
      </c>
      <c r="H3111">
        <v>17.2</v>
      </c>
      <c r="I3111">
        <v>0</v>
      </c>
      <c r="J3111">
        <v>0</v>
      </c>
      <c r="K3111">
        <v>0</v>
      </c>
      <c r="M3111">
        <v>5</v>
      </c>
      <c r="O3111">
        <v>5</v>
      </c>
      <c r="P3111">
        <v>4</v>
      </c>
      <c r="Q3111">
        <v>2</v>
      </c>
      <c r="R3111">
        <v>28.2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H3111">
        <v>28.2</v>
      </c>
    </row>
    <row r="3112" spans="1:34" x14ac:dyDescent="0.3">
      <c r="A3112" s="4">
        <v>3228</v>
      </c>
      <c r="B3112" s="5">
        <v>3105</v>
      </c>
      <c r="C3112">
        <v>3646</v>
      </c>
      <c r="D3112" t="s">
        <v>773</v>
      </c>
      <c r="E3112" t="s">
        <v>795</v>
      </c>
      <c r="F3112" t="s">
        <v>62</v>
      </c>
      <c r="G3112" t="s">
        <v>23611</v>
      </c>
      <c r="H3112">
        <v>18.2</v>
      </c>
      <c r="I3112">
        <v>0</v>
      </c>
      <c r="J3112">
        <v>0</v>
      </c>
      <c r="K3112">
        <v>0</v>
      </c>
      <c r="O3112">
        <v>0</v>
      </c>
      <c r="P3112">
        <v>4</v>
      </c>
      <c r="Q3112">
        <v>0</v>
      </c>
      <c r="R3112">
        <v>22.2</v>
      </c>
      <c r="S3112">
        <v>6</v>
      </c>
      <c r="T3112">
        <v>6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6</v>
      </c>
      <c r="AB3112">
        <v>0</v>
      </c>
      <c r="AC3112">
        <v>0</v>
      </c>
      <c r="AH3112">
        <v>28.2</v>
      </c>
    </row>
    <row r="3113" spans="1:34" x14ac:dyDescent="0.3">
      <c r="A3113" s="4">
        <v>3229</v>
      </c>
      <c r="B3113" s="5">
        <v>3106</v>
      </c>
      <c r="C3113">
        <v>5626</v>
      </c>
      <c r="D3113" t="s">
        <v>23612</v>
      </c>
      <c r="E3113" t="s">
        <v>927</v>
      </c>
      <c r="F3113" t="s">
        <v>17</v>
      </c>
      <c r="G3113" t="s">
        <v>23613</v>
      </c>
      <c r="H3113">
        <v>21.18</v>
      </c>
      <c r="I3113">
        <v>0</v>
      </c>
      <c r="J3113">
        <v>0</v>
      </c>
      <c r="K3113">
        <v>0</v>
      </c>
      <c r="N3113">
        <v>3</v>
      </c>
      <c r="O3113">
        <v>3</v>
      </c>
      <c r="P3113">
        <v>4</v>
      </c>
      <c r="Q3113">
        <v>0</v>
      </c>
      <c r="R3113">
        <v>28.18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H3113">
        <v>28.18</v>
      </c>
    </row>
    <row r="3114" spans="1:34" x14ac:dyDescent="0.3">
      <c r="A3114" s="4">
        <v>3230</v>
      </c>
      <c r="B3114" s="5">
        <v>3107</v>
      </c>
      <c r="C3114">
        <v>15137</v>
      </c>
      <c r="D3114" t="s">
        <v>23614</v>
      </c>
      <c r="E3114" t="s">
        <v>149</v>
      </c>
      <c r="F3114" t="s">
        <v>68</v>
      </c>
      <c r="G3114" t="s">
        <v>23615</v>
      </c>
      <c r="H3114">
        <v>21.18</v>
      </c>
      <c r="I3114">
        <v>0</v>
      </c>
      <c r="J3114">
        <v>0</v>
      </c>
      <c r="K3114">
        <v>0</v>
      </c>
      <c r="N3114">
        <v>3</v>
      </c>
      <c r="O3114">
        <v>3</v>
      </c>
      <c r="P3114">
        <v>4</v>
      </c>
      <c r="Q3114">
        <v>0</v>
      </c>
      <c r="R3114">
        <v>28.18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H3114">
        <v>28.18</v>
      </c>
    </row>
    <row r="3115" spans="1:34" x14ac:dyDescent="0.3">
      <c r="A3115" s="4">
        <v>3231</v>
      </c>
      <c r="B3115" s="5">
        <v>3108</v>
      </c>
      <c r="C3115">
        <v>14569</v>
      </c>
      <c r="D3115" t="s">
        <v>23616</v>
      </c>
      <c r="E3115" t="s">
        <v>479</v>
      </c>
      <c r="F3115" t="s">
        <v>68</v>
      </c>
      <c r="G3115" t="s">
        <v>23617</v>
      </c>
      <c r="H3115">
        <v>18.18</v>
      </c>
      <c r="I3115">
        <v>0</v>
      </c>
      <c r="J3115">
        <v>0</v>
      </c>
      <c r="K3115">
        <v>0</v>
      </c>
      <c r="N3115">
        <v>6</v>
      </c>
      <c r="O3115">
        <v>6</v>
      </c>
      <c r="P3115">
        <v>4</v>
      </c>
      <c r="Q3115">
        <v>0</v>
      </c>
      <c r="R3115">
        <v>28.18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H3115">
        <v>28.18</v>
      </c>
    </row>
    <row r="3116" spans="1:34" x14ac:dyDescent="0.3">
      <c r="A3116" s="4">
        <v>3232</v>
      </c>
      <c r="B3116" s="5">
        <v>3109</v>
      </c>
      <c r="C3116">
        <v>2083</v>
      </c>
      <c r="D3116" t="s">
        <v>23618</v>
      </c>
      <c r="E3116" t="s">
        <v>54</v>
      </c>
      <c r="F3116" t="s">
        <v>117</v>
      </c>
      <c r="G3116" t="s">
        <v>23619</v>
      </c>
      <c r="H3116">
        <v>18.149999999999999</v>
      </c>
      <c r="I3116">
        <v>0</v>
      </c>
      <c r="J3116">
        <v>0</v>
      </c>
      <c r="K3116">
        <v>0</v>
      </c>
      <c r="O3116">
        <v>0</v>
      </c>
      <c r="P3116">
        <v>4</v>
      </c>
      <c r="Q3116">
        <v>0</v>
      </c>
      <c r="R3116">
        <v>22.15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6</v>
      </c>
      <c r="AC3116">
        <v>0</v>
      </c>
      <c r="AH3116">
        <v>28.15</v>
      </c>
    </row>
    <row r="3117" spans="1:34" x14ac:dyDescent="0.3">
      <c r="A3117" s="4">
        <v>3233</v>
      </c>
      <c r="B3117" s="5">
        <v>3110</v>
      </c>
      <c r="C3117">
        <v>15471</v>
      </c>
      <c r="D3117" t="s">
        <v>14041</v>
      </c>
      <c r="E3117" t="s">
        <v>161</v>
      </c>
      <c r="F3117" t="s">
        <v>68</v>
      </c>
      <c r="G3117" t="s">
        <v>23620</v>
      </c>
      <c r="H3117">
        <v>19.149999999999999</v>
      </c>
      <c r="I3117">
        <v>0</v>
      </c>
      <c r="J3117">
        <v>0</v>
      </c>
      <c r="K3117">
        <v>0</v>
      </c>
      <c r="N3117">
        <v>3</v>
      </c>
      <c r="O3117">
        <v>3</v>
      </c>
      <c r="P3117">
        <v>4</v>
      </c>
      <c r="Q3117">
        <v>2</v>
      </c>
      <c r="R3117">
        <v>28.15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H3117">
        <v>28.15</v>
      </c>
    </row>
    <row r="3118" spans="1:34" x14ac:dyDescent="0.3">
      <c r="A3118" s="4">
        <v>3234</v>
      </c>
      <c r="B3118" s="5">
        <v>3111</v>
      </c>
      <c r="C3118">
        <v>15704</v>
      </c>
      <c r="D3118" t="s">
        <v>3432</v>
      </c>
      <c r="E3118" t="s">
        <v>23621</v>
      </c>
      <c r="F3118" t="s">
        <v>17</v>
      </c>
      <c r="G3118" t="s">
        <v>23622</v>
      </c>
      <c r="H3118">
        <v>17.149999999999999</v>
      </c>
      <c r="I3118">
        <v>0</v>
      </c>
      <c r="J3118">
        <v>0</v>
      </c>
      <c r="K3118">
        <v>0</v>
      </c>
      <c r="L3118">
        <v>7</v>
      </c>
      <c r="O3118">
        <v>7</v>
      </c>
      <c r="P3118">
        <v>4</v>
      </c>
      <c r="Q3118">
        <v>0</v>
      </c>
      <c r="R3118">
        <v>28.15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H3118">
        <v>28.15</v>
      </c>
    </row>
    <row r="3119" spans="1:34" x14ac:dyDescent="0.3">
      <c r="A3119" s="4">
        <v>3235</v>
      </c>
      <c r="B3119" s="5">
        <v>3112</v>
      </c>
      <c r="C3119">
        <v>2768</v>
      </c>
      <c r="D3119" t="s">
        <v>5326</v>
      </c>
      <c r="E3119" t="s">
        <v>23623</v>
      </c>
      <c r="F3119" t="s">
        <v>570</v>
      </c>
      <c r="G3119" t="s">
        <v>23624</v>
      </c>
      <c r="H3119">
        <v>19.13</v>
      </c>
      <c r="I3119">
        <v>0</v>
      </c>
      <c r="J3119">
        <v>0</v>
      </c>
      <c r="K3119">
        <v>0</v>
      </c>
      <c r="N3119">
        <v>3</v>
      </c>
      <c r="O3119">
        <v>3</v>
      </c>
      <c r="P3119">
        <v>0</v>
      </c>
      <c r="Q3119">
        <v>0</v>
      </c>
      <c r="R3119">
        <v>22.13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6</v>
      </c>
      <c r="AC3119">
        <v>0</v>
      </c>
      <c r="AH3119">
        <v>28.13</v>
      </c>
    </row>
    <row r="3120" spans="1:34" x14ac:dyDescent="0.3">
      <c r="A3120" s="4">
        <v>3236</v>
      </c>
      <c r="B3120" s="5">
        <v>3113</v>
      </c>
      <c r="C3120">
        <v>7024</v>
      </c>
      <c r="D3120" t="s">
        <v>181</v>
      </c>
      <c r="E3120" t="s">
        <v>17517</v>
      </c>
      <c r="F3120" t="s">
        <v>3130</v>
      </c>
      <c r="G3120" t="s">
        <v>23625</v>
      </c>
      <c r="H3120">
        <v>18.13</v>
      </c>
      <c r="I3120">
        <v>0</v>
      </c>
      <c r="J3120">
        <v>0</v>
      </c>
      <c r="K3120">
        <v>0</v>
      </c>
      <c r="O3120">
        <v>0</v>
      </c>
      <c r="P3120">
        <v>4</v>
      </c>
      <c r="Q3120">
        <v>0</v>
      </c>
      <c r="R3120">
        <v>22.13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6</v>
      </c>
      <c r="AC3120">
        <v>0</v>
      </c>
      <c r="AH3120">
        <v>28.13</v>
      </c>
    </row>
    <row r="3121" spans="1:34" x14ac:dyDescent="0.3">
      <c r="A3121" s="4">
        <v>3237</v>
      </c>
      <c r="B3121" s="5">
        <v>3114</v>
      </c>
      <c r="C3121">
        <v>8532</v>
      </c>
      <c r="D3121" t="s">
        <v>23626</v>
      </c>
      <c r="E3121" t="s">
        <v>400</v>
      </c>
      <c r="F3121" t="s">
        <v>346</v>
      </c>
      <c r="G3121" t="s">
        <v>23627</v>
      </c>
      <c r="H3121">
        <v>21.13</v>
      </c>
      <c r="I3121">
        <v>0</v>
      </c>
      <c r="J3121">
        <v>0</v>
      </c>
      <c r="K3121">
        <v>0</v>
      </c>
      <c r="L3121">
        <v>7</v>
      </c>
      <c r="O3121">
        <v>7</v>
      </c>
      <c r="P3121">
        <v>0</v>
      </c>
      <c r="Q3121">
        <v>0</v>
      </c>
      <c r="R3121">
        <v>28.13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H3121">
        <v>28.13</v>
      </c>
    </row>
    <row r="3122" spans="1:34" x14ac:dyDescent="0.3">
      <c r="A3122" s="4">
        <v>3238</v>
      </c>
      <c r="B3122" s="5">
        <v>3115</v>
      </c>
      <c r="C3122">
        <v>2430</v>
      </c>
      <c r="D3122" t="s">
        <v>23628</v>
      </c>
      <c r="E3122" t="s">
        <v>166</v>
      </c>
      <c r="F3122" t="s">
        <v>38</v>
      </c>
      <c r="G3122" t="s">
        <v>23629</v>
      </c>
      <c r="H3122">
        <v>19.13</v>
      </c>
      <c r="I3122">
        <v>0</v>
      </c>
      <c r="J3122">
        <v>0</v>
      </c>
      <c r="K3122">
        <v>0</v>
      </c>
      <c r="M3122">
        <v>5</v>
      </c>
      <c r="O3122">
        <v>5</v>
      </c>
      <c r="P3122">
        <v>4</v>
      </c>
      <c r="Q3122">
        <v>0</v>
      </c>
      <c r="R3122">
        <v>28.13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H3122">
        <v>28.13</v>
      </c>
    </row>
    <row r="3123" spans="1:34" x14ac:dyDescent="0.3">
      <c r="A3123" s="4">
        <v>3239</v>
      </c>
      <c r="B3123" s="5">
        <v>3116</v>
      </c>
      <c r="C3123">
        <v>9137</v>
      </c>
      <c r="D3123" t="s">
        <v>10887</v>
      </c>
      <c r="E3123" t="s">
        <v>1181</v>
      </c>
      <c r="F3123" t="s">
        <v>375</v>
      </c>
      <c r="G3123" t="s">
        <v>23630</v>
      </c>
      <c r="H3123">
        <v>17.13</v>
      </c>
      <c r="I3123">
        <v>0</v>
      </c>
      <c r="J3123">
        <v>0</v>
      </c>
      <c r="K3123">
        <v>0</v>
      </c>
      <c r="L3123">
        <v>7</v>
      </c>
      <c r="O3123">
        <v>7</v>
      </c>
      <c r="P3123">
        <v>4</v>
      </c>
      <c r="Q3123">
        <v>0</v>
      </c>
      <c r="R3123">
        <v>28.13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H3123">
        <v>28.13</v>
      </c>
    </row>
    <row r="3124" spans="1:34" x14ac:dyDescent="0.3">
      <c r="A3124" s="4">
        <v>3240</v>
      </c>
      <c r="B3124" s="5">
        <v>3117</v>
      </c>
      <c r="C3124">
        <v>5374</v>
      </c>
      <c r="D3124" t="s">
        <v>23631</v>
      </c>
      <c r="E3124" t="s">
        <v>54</v>
      </c>
      <c r="F3124" t="s">
        <v>68</v>
      </c>
      <c r="G3124" t="s">
        <v>23632</v>
      </c>
      <c r="H3124">
        <v>18.100000000000001</v>
      </c>
      <c r="I3124">
        <v>0</v>
      </c>
      <c r="J3124">
        <v>0</v>
      </c>
      <c r="K3124">
        <v>0</v>
      </c>
      <c r="O3124">
        <v>0</v>
      </c>
      <c r="P3124">
        <v>4</v>
      </c>
      <c r="Q3124">
        <v>0</v>
      </c>
      <c r="R3124">
        <v>22.1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6</v>
      </c>
      <c r="AC3124">
        <v>0</v>
      </c>
      <c r="AH3124">
        <v>28.1</v>
      </c>
    </row>
    <row r="3125" spans="1:34" x14ac:dyDescent="0.3">
      <c r="A3125" s="4">
        <v>3241</v>
      </c>
      <c r="B3125" s="5">
        <v>3118</v>
      </c>
      <c r="C3125">
        <v>11025</v>
      </c>
      <c r="D3125" t="s">
        <v>23633</v>
      </c>
      <c r="E3125" t="s">
        <v>41</v>
      </c>
      <c r="F3125" t="s">
        <v>17</v>
      </c>
      <c r="G3125" t="s">
        <v>23634</v>
      </c>
      <c r="H3125">
        <v>18.100000000000001</v>
      </c>
      <c r="I3125">
        <v>0</v>
      </c>
      <c r="J3125">
        <v>0</v>
      </c>
      <c r="K3125">
        <v>0</v>
      </c>
      <c r="O3125">
        <v>0</v>
      </c>
      <c r="P3125">
        <v>4</v>
      </c>
      <c r="Q3125">
        <v>0</v>
      </c>
      <c r="R3125">
        <v>22.1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6</v>
      </c>
      <c r="AC3125">
        <v>0</v>
      </c>
      <c r="AH3125">
        <v>28.1</v>
      </c>
    </row>
    <row r="3126" spans="1:34" x14ac:dyDescent="0.3">
      <c r="A3126" s="4">
        <v>3242</v>
      </c>
      <c r="B3126" s="5">
        <v>3119</v>
      </c>
      <c r="C3126">
        <v>1242</v>
      </c>
      <c r="D3126" t="s">
        <v>8280</v>
      </c>
      <c r="E3126" t="s">
        <v>255</v>
      </c>
      <c r="F3126" t="s">
        <v>117</v>
      </c>
      <c r="G3126" t="s">
        <v>23635</v>
      </c>
      <c r="H3126">
        <v>18.100000000000001</v>
      </c>
      <c r="I3126">
        <v>0</v>
      </c>
      <c r="J3126">
        <v>0</v>
      </c>
      <c r="K3126">
        <v>0</v>
      </c>
      <c r="O3126">
        <v>0</v>
      </c>
      <c r="P3126">
        <v>4</v>
      </c>
      <c r="Q3126">
        <v>0</v>
      </c>
      <c r="R3126">
        <v>22.1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6</v>
      </c>
      <c r="AC3126">
        <v>0</v>
      </c>
      <c r="AH3126">
        <v>28.1</v>
      </c>
    </row>
    <row r="3127" spans="1:34" x14ac:dyDescent="0.3">
      <c r="A3127" s="4">
        <v>3243</v>
      </c>
      <c r="B3127" s="5">
        <v>3120</v>
      </c>
      <c r="C3127">
        <v>11481</v>
      </c>
      <c r="D3127" t="s">
        <v>23636</v>
      </c>
      <c r="E3127" t="s">
        <v>3948</v>
      </c>
      <c r="F3127" t="s">
        <v>136</v>
      </c>
      <c r="G3127" t="s">
        <v>23637</v>
      </c>
      <c r="H3127">
        <v>18.100000000000001</v>
      </c>
      <c r="I3127">
        <v>0</v>
      </c>
      <c r="J3127">
        <v>0</v>
      </c>
      <c r="K3127">
        <v>0</v>
      </c>
      <c r="N3127">
        <v>3</v>
      </c>
      <c r="O3127">
        <v>3</v>
      </c>
      <c r="P3127">
        <v>4</v>
      </c>
      <c r="Q3127">
        <v>0</v>
      </c>
      <c r="R3127">
        <v>25.1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3</v>
      </c>
      <c r="AC3127">
        <v>0</v>
      </c>
      <c r="AH3127">
        <v>28.1</v>
      </c>
    </row>
    <row r="3128" spans="1:34" x14ac:dyDescent="0.3">
      <c r="A3128" s="4">
        <v>3244</v>
      </c>
      <c r="B3128" s="5">
        <v>3121</v>
      </c>
      <c r="C3128">
        <v>10308</v>
      </c>
      <c r="D3128" t="s">
        <v>23638</v>
      </c>
      <c r="E3128" t="s">
        <v>208</v>
      </c>
      <c r="F3128" t="s">
        <v>68</v>
      </c>
      <c r="G3128" t="s">
        <v>23639</v>
      </c>
      <c r="H3128">
        <v>18.100000000000001</v>
      </c>
      <c r="I3128">
        <v>0</v>
      </c>
      <c r="J3128">
        <v>0</v>
      </c>
      <c r="K3128">
        <v>0</v>
      </c>
      <c r="N3128">
        <v>3</v>
      </c>
      <c r="O3128">
        <v>3</v>
      </c>
      <c r="P3128">
        <v>4</v>
      </c>
      <c r="Q3128">
        <v>0</v>
      </c>
      <c r="R3128">
        <v>25.1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3</v>
      </c>
      <c r="AC3128">
        <v>0</v>
      </c>
      <c r="AH3128">
        <v>28.1</v>
      </c>
    </row>
    <row r="3129" spans="1:34" x14ac:dyDescent="0.3">
      <c r="A3129" s="4">
        <v>3245</v>
      </c>
      <c r="B3129" s="5">
        <v>3122</v>
      </c>
      <c r="C3129">
        <v>3011</v>
      </c>
      <c r="D3129" t="s">
        <v>23640</v>
      </c>
      <c r="E3129" t="s">
        <v>227</v>
      </c>
      <c r="F3129" t="s">
        <v>58</v>
      </c>
      <c r="G3129" t="s">
        <v>23641</v>
      </c>
      <c r="H3129">
        <v>21.1</v>
      </c>
      <c r="I3129">
        <v>0</v>
      </c>
      <c r="J3129">
        <v>0</v>
      </c>
      <c r="K3129">
        <v>0</v>
      </c>
      <c r="N3129">
        <v>3</v>
      </c>
      <c r="O3129">
        <v>3</v>
      </c>
      <c r="P3129">
        <v>4</v>
      </c>
      <c r="Q3129">
        <v>0</v>
      </c>
      <c r="R3129">
        <v>28.1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H3129">
        <v>28.1</v>
      </c>
    </row>
    <row r="3130" spans="1:34" x14ac:dyDescent="0.3">
      <c r="A3130" s="4">
        <v>3246</v>
      </c>
      <c r="B3130" s="5">
        <v>3123</v>
      </c>
      <c r="C3130">
        <v>9174</v>
      </c>
      <c r="D3130" t="s">
        <v>1455</v>
      </c>
      <c r="E3130" t="s">
        <v>161</v>
      </c>
      <c r="F3130" t="s">
        <v>17</v>
      </c>
      <c r="H3130">
        <v>21.1</v>
      </c>
      <c r="I3130">
        <v>0</v>
      </c>
      <c r="J3130">
        <v>0</v>
      </c>
      <c r="K3130">
        <v>0</v>
      </c>
      <c r="L3130">
        <v>7</v>
      </c>
      <c r="O3130">
        <v>7</v>
      </c>
      <c r="P3130">
        <v>0</v>
      </c>
      <c r="Q3130">
        <v>0</v>
      </c>
      <c r="R3130">
        <v>28.1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H3130">
        <v>28.1</v>
      </c>
    </row>
    <row r="3131" spans="1:34" x14ac:dyDescent="0.3">
      <c r="A3131" s="4">
        <v>3247</v>
      </c>
      <c r="B3131" s="5">
        <v>3124</v>
      </c>
      <c r="C3131">
        <v>2183</v>
      </c>
      <c r="D3131" t="s">
        <v>23642</v>
      </c>
      <c r="E3131" t="s">
        <v>219</v>
      </c>
      <c r="F3131" t="s">
        <v>81</v>
      </c>
      <c r="G3131" t="s">
        <v>23643</v>
      </c>
      <c r="H3131">
        <v>19.100000000000001</v>
      </c>
      <c r="I3131">
        <v>0</v>
      </c>
      <c r="J3131">
        <v>0</v>
      </c>
      <c r="K3131">
        <v>0</v>
      </c>
      <c r="N3131">
        <v>3</v>
      </c>
      <c r="O3131">
        <v>3</v>
      </c>
      <c r="P3131">
        <v>4</v>
      </c>
      <c r="Q3131">
        <v>2</v>
      </c>
      <c r="R3131">
        <v>28.1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H3131">
        <v>28.1</v>
      </c>
    </row>
    <row r="3132" spans="1:34" x14ac:dyDescent="0.3">
      <c r="A3132" s="4">
        <v>3248</v>
      </c>
      <c r="B3132" s="5">
        <v>3125</v>
      </c>
      <c r="C3132">
        <v>11703</v>
      </c>
      <c r="D3132" t="s">
        <v>23644</v>
      </c>
      <c r="E3132" t="s">
        <v>29</v>
      </c>
      <c r="F3132" t="s">
        <v>136</v>
      </c>
      <c r="G3132" t="s">
        <v>23645</v>
      </c>
      <c r="H3132">
        <v>18.100000000000001</v>
      </c>
      <c r="I3132">
        <v>0</v>
      </c>
      <c r="J3132">
        <v>0</v>
      </c>
      <c r="K3132">
        <v>0</v>
      </c>
      <c r="L3132">
        <v>7</v>
      </c>
      <c r="N3132">
        <v>3</v>
      </c>
      <c r="O3132">
        <v>10</v>
      </c>
      <c r="P3132">
        <v>0</v>
      </c>
      <c r="Q3132">
        <v>0</v>
      </c>
      <c r="R3132">
        <v>28.1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H3132">
        <v>28.1</v>
      </c>
    </row>
    <row r="3133" spans="1:34" x14ac:dyDescent="0.3">
      <c r="A3133" s="4">
        <v>3249</v>
      </c>
      <c r="B3133" s="5">
        <v>3126</v>
      </c>
      <c r="C3133">
        <v>8152</v>
      </c>
      <c r="D3133" t="s">
        <v>23646</v>
      </c>
      <c r="E3133" t="s">
        <v>439</v>
      </c>
      <c r="F3133" t="s">
        <v>17</v>
      </c>
      <c r="G3133" t="s">
        <v>23647</v>
      </c>
      <c r="H3133">
        <v>21.08</v>
      </c>
      <c r="I3133">
        <v>0</v>
      </c>
      <c r="J3133">
        <v>0</v>
      </c>
      <c r="K3133">
        <v>0</v>
      </c>
      <c r="N3133">
        <v>3</v>
      </c>
      <c r="O3133">
        <v>3</v>
      </c>
      <c r="P3133">
        <v>4</v>
      </c>
      <c r="Q3133">
        <v>0</v>
      </c>
      <c r="R3133">
        <v>28.08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H3133">
        <v>28.08</v>
      </c>
    </row>
    <row r="3134" spans="1:34" x14ac:dyDescent="0.3">
      <c r="A3134" s="4">
        <v>3250</v>
      </c>
      <c r="B3134" s="5">
        <v>3127</v>
      </c>
      <c r="C3134">
        <v>7156</v>
      </c>
      <c r="D3134" t="s">
        <v>23648</v>
      </c>
      <c r="E3134" t="s">
        <v>789</v>
      </c>
      <c r="F3134" t="s">
        <v>30</v>
      </c>
      <c r="G3134" t="s">
        <v>23649</v>
      </c>
      <c r="H3134">
        <v>18.05</v>
      </c>
      <c r="I3134">
        <v>0</v>
      </c>
      <c r="J3134">
        <v>0</v>
      </c>
      <c r="K3134">
        <v>0</v>
      </c>
      <c r="O3134">
        <v>0</v>
      </c>
      <c r="P3134">
        <v>4</v>
      </c>
      <c r="Q3134">
        <v>0</v>
      </c>
      <c r="R3134">
        <v>22.05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6</v>
      </c>
      <c r="AC3134">
        <v>0</v>
      </c>
      <c r="AH3134">
        <v>28.05</v>
      </c>
    </row>
    <row r="3135" spans="1:34" x14ac:dyDescent="0.3">
      <c r="A3135" s="4">
        <v>3251</v>
      </c>
      <c r="B3135" s="5">
        <v>3128</v>
      </c>
      <c r="C3135">
        <v>14920</v>
      </c>
      <c r="D3135" t="s">
        <v>147</v>
      </c>
      <c r="E3135" t="s">
        <v>12857</v>
      </c>
      <c r="F3135" t="s">
        <v>1854</v>
      </c>
      <c r="G3135" t="s">
        <v>23650</v>
      </c>
      <c r="H3135">
        <v>18.05</v>
      </c>
      <c r="I3135">
        <v>0</v>
      </c>
      <c r="J3135">
        <v>0</v>
      </c>
      <c r="K3135">
        <v>0</v>
      </c>
      <c r="O3135">
        <v>0</v>
      </c>
      <c r="P3135">
        <v>4</v>
      </c>
      <c r="Q3135">
        <v>0</v>
      </c>
      <c r="R3135">
        <v>22.05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6</v>
      </c>
      <c r="AC3135">
        <v>0</v>
      </c>
      <c r="AH3135">
        <v>28.05</v>
      </c>
    </row>
    <row r="3136" spans="1:34" x14ac:dyDescent="0.3">
      <c r="A3136" s="4">
        <v>3252</v>
      </c>
      <c r="B3136" s="5">
        <v>3129</v>
      </c>
      <c r="C3136">
        <v>736</v>
      </c>
      <c r="D3136" t="s">
        <v>2884</v>
      </c>
      <c r="E3136" t="s">
        <v>789</v>
      </c>
      <c r="F3136" t="s">
        <v>81</v>
      </c>
      <c r="G3136" t="s">
        <v>23651</v>
      </c>
      <c r="H3136">
        <v>18.05</v>
      </c>
      <c r="I3136">
        <v>0</v>
      </c>
      <c r="J3136">
        <v>0</v>
      </c>
      <c r="K3136">
        <v>0</v>
      </c>
      <c r="N3136">
        <v>3</v>
      </c>
      <c r="O3136">
        <v>3</v>
      </c>
      <c r="P3136">
        <v>4</v>
      </c>
      <c r="Q3136">
        <v>0</v>
      </c>
      <c r="R3136">
        <v>25.05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3</v>
      </c>
      <c r="AC3136">
        <v>0</v>
      </c>
      <c r="AH3136">
        <v>28.05</v>
      </c>
    </row>
    <row r="3137" spans="1:34" x14ac:dyDescent="0.3">
      <c r="A3137" s="4">
        <v>3253</v>
      </c>
      <c r="B3137" s="5">
        <v>3130</v>
      </c>
      <c r="C3137">
        <v>8310</v>
      </c>
      <c r="D3137" t="s">
        <v>15792</v>
      </c>
      <c r="E3137" t="s">
        <v>132</v>
      </c>
      <c r="F3137" t="s">
        <v>68</v>
      </c>
      <c r="G3137" t="s">
        <v>23652</v>
      </c>
      <c r="H3137">
        <v>18.05</v>
      </c>
      <c r="I3137">
        <v>0</v>
      </c>
      <c r="J3137">
        <v>0</v>
      </c>
      <c r="K3137">
        <v>0</v>
      </c>
      <c r="N3137">
        <v>3</v>
      </c>
      <c r="O3137">
        <v>3</v>
      </c>
      <c r="P3137">
        <v>4</v>
      </c>
      <c r="Q3137">
        <v>0</v>
      </c>
      <c r="R3137">
        <v>25.05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3</v>
      </c>
      <c r="AC3137">
        <v>0</v>
      </c>
      <c r="AH3137">
        <v>28.05</v>
      </c>
    </row>
    <row r="3138" spans="1:34" x14ac:dyDescent="0.3">
      <c r="A3138" s="4">
        <v>3254</v>
      </c>
      <c r="B3138" s="5">
        <v>3131</v>
      </c>
      <c r="C3138">
        <v>9032</v>
      </c>
      <c r="D3138" t="s">
        <v>2416</v>
      </c>
      <c r="E3138" t="s">
        <v>54</v>
      </c>
      <c r="F3138" t="s">
        <v>20</v>
      </c>
      <c r="G3138" t="s">
        <v>23653</v>
      </c>
      <c r="H3138">
        <v>21.05</v>
      </c>
      <c r="I3138">
        <v>0</v>
      </c>
      <c r="J3138">
        <v>0</v>
      </c>
      <c r="K3138">
        <v>0</v>
      </c>
      <c r="N3138">
        <v>3</v>
      </c>
      <c r="O3138">
        <v>3</v>
      </c>
      <c r="P3138">
        <v>4</v>
      </c>
      <c r="Q3138">
        <v>0</v>
      </c>
      <c r="R3138">
        <v>28.05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H3138">
        <v>28.05</v>
      </c>
    </row>
    <row r="3139" spans="1:34" x14ac:dyDescent="0.3">
      <c r="A3139" s="4">
        <v>3255</v>
      </c>
      <c r="B3139" s="5">
        <v>3132</v>
      </c>
      <c r="C3139">
        <v>8913</v>
      </c>
      <c r="D3139" t="s">
        <v>6035</v>
      </c>
      <c r="E3139" t="s">
        <v>170</v>
      </c>
      <c r="F3139" t="s">
        <v>5996</v>
      </c>
      <c r="G3139" t="s">
        <v>23654</v>
      </c>
      <c r="H3139">
        <v>19.05</v>
      </c>
      <c r="I3139">
        <v>0</v>
      </c>
      <c r="J3139">
        <v>0</v>
      </c>
      <c r="K3139">
        <v>0</v>
      </c>
      <c r="N3139">
        <v>3</v>
      </c>
      <c r="O3139">
        <v>3</v>
      </c>
      <c r="P3139">
        <v>4</v>
      </c>
      <c r="Q3139">
        <v>2</v>
      </c>
      <c r="R3139">
        <v>28.05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H3139">
        <v>28.05</v>
      </c>
    </row>
    <row r="3140" spans="1:34" x14ac:dyDescent="0.3">
      <c r="A3140" s="4">
        <v>3256</v>
      </c>
      <c r="B3140" s="5">
        <v>3133</v>
      </c>
      <c r="C3140">
        <v>8030</v>
      </c>
      <c r="D3140" t="s">
        <v>23655</v>
      </c>
      <c r="E3140" t="s">
        <v>110</v>
      </c>
      <c r="F3140" t="s">
        <v>38</v>
      </c>
      <c r="G3140" t="s">
        <v>23656</v>
      </c>
      <c r="H3140">
        <v>17.05</v>
      </c>
      <c r="I3140">
        <v>0</v>
      </c>
      <c r="J3140">
        <v>0</v>
      </c>
      <c r="K3140">
        <v>0</v>
      </c>
      <c r="L3140">
        <v>7</v>
      </c>
      <c r="O3140">
        <v>7</v>
      </c>
      <c r="P3140">
        <v>4</v>
      </c>
      <c r="Q3140">
        <v>0</v>
      </c>
      <c r="R3140">
        <v>28.05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H3140">
        <v>28.05</v>
      </c>
    </row>
    <row r="3141" spans="1:34" x14ac:dyDescent="0.3">
      <c r="A3141" s="4">
        <v>3257</v>
      </c>
      <c r="B3141" s="5">
        <v>3134</v>
      </c>
      <c r="C3141">
        <v>12604</v>
      </c>
      <c r="D3141" t="s">
        <v>165</v>
      </c>
      <c r="E3141" t="s">
        <v>2758</v>
      </c>
      <c r="F3141" t="s">
        <v>17</v>
      </c>
      <c r="G3141" t="s">
        <v>23657</v>
      </c>
      <c r="H3141">
        <v>22.03</v>
      </c>
      <c r="I3141">
        <v>0</v>
      </c>
      <c r="J3141">
        <v>0</v>
      </c>
      <c r="K3141">
        <v>0</v>
      </c>
      <c r="O3141">
        <v>0</v>
      </c>
      <c r="P3141">
        <v>4</v>
      </c>
      <c r="Q3141">
        <v>2</v>
      </c>
      <c r="R3141">
        <v>28.03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H3141">
        <v>28.03</v>
      </c>
    </row>
    <row r="3142" spans="1:34" x14ac:dyDescent="0.3">
      <c r="A3142" s="4">
        <v>3258</v>
      </c>
      <c r="B3142" s="5">
        <v>3135</v>
      </c>
      <c r="C3142">
        <v>4659</v>
      </c>
      <c r="D3142" t="s">
        <v>23658</v>
      </c>
      <c r="E3142" t="s">
        <v>29</v>
      </c>
      <c r="F3142" t="s">
        <v>81</v>
      </c>
      <c r="G3142" t="s">
        <v>23659</v>
      </c>
      <c r="H3142">
        <v>21.03</v>
      </c>
      <c r="I3142">
        <v>0</v>
      </c>
      <c r="J3142">
        <v>0</v>
      </c>
      <c r="K3142">
        <v>0</v>
      </c>
      <c r="N3142">
        <v>3</v>
      </c>
      <c r="O3142">
        <v>3</v>
      </c>
      <c r="P3142">
        <v>4</v>
      </c>
      <c r="Q3142">
        <v>0</v>
      </c>
      <c r="R3142">
        <v>28.03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H3142">
        <v>28.03</v>
      </c>
    </row>
    <row r="3143" spans="1:34" x14ac:dyDescent="0.3">
      <c r="A3143" s="4">
        <v>3259</v>
      </c>
      <c r="B3143" s="5">
        <v>3136</v>
      </c>
      <c r="C3143">
        <v>9897</v>
      </c>
      <c r="D3143" t="s">
        <v>13108</v>
      </c>
      <c r="E3143" t="s">
        <v>29</v>
      </c>
      <c r="F3143" t="s">
        <v>158</v>
      </c>
      <c r="G3143" t="s">
        <v>23660</v>
      </c>
      <c r="H3143">
        <v>21.03</v>
      </c>
      <c r="I3143">
        <v>0</v>
      </c>
      <c r="J3143">
        <v>0</v>
      </c>
      <c r="K3143">
        <v>0</v>
      </c>
      <c r="N3143">
        <v>3</v>
      </c>
      <c r="O3143">
        <v>3</v>
      </c>
      <c r="P3143">
        <v>4</v>
      </c>
      <c r="Q3143">
        <v>0</v>
      </c>
      <c r="R3143">
        <v>28.03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H3143">
        <v>28.03</v>
      </c>
    </row>
    <row r="3144" spans="1:34" x14ac:dyDescent="0.3">
      <c r="A3144" s="4">
        <v>3260</v>
      </c>
      <c r="B3144" s="5">
        <v>3137</v>
      </c>
      <c r="C3144">
        <v>906</v>
      </c>
      <c r="D3144" t="s">
        <v>23661</v>
      </c>
      <c r="E3144" t="s">
        <v>894</v>
      </c>
      <c r="F3144" t="s">
        <v>30</v>
      </c>
      <c r="G3144" t="s">
        <v>23662</v>
      </c>
      <c r="H3144">
        <v>21.03</v>
      </c>
      <c r="I3144">
        <v>0</v>
      </c>
      <c r="J3144">
        <v>0</v>
      </c>
      <c r="K3144">
        <v>0</v>
      </c>
      <c r="N3144">
        <v>3</v>
      </c>
      <c r="O3144">
        <v>3</v>
      </c>
      <c r="P3144">
        <v>4</v>
      </c>
      <c r="Q3144">
        <v>0</v>
      </c>
      <c r="R3144">
        <v>28.03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H3144">
        <v>28.03</v>
      </c>
    </row>
    <row r="3145" spans="1:34" x14ac:dyDescent="0.3">
      <c r="A3145" s="4">
        <v>3261</v>
      </c>
      <c r="B3145" s="5">
        <v>3138</v>
      </c>
      <c r="C3145">
        <v>314</v>
      </c>
      <c r="D3145" t="s">
        <v>12970</v>
      </c>
      <c r="E3145" t="s">
        <v>471</v>
      </c>
      <c r="F3145" t="s">
        <v>539</v>
      </c>
      <c r="G3145" t="s">
        <v>23663</v>
      </c>
      <c r="H3145">
        <v>18</v>
      </c>
      <c r="I3145">
        <v>0</v>
      </c>
      <c r="J3145">
        <v>0</v>
      </c>
      <c r="K3145">
        <v>0</v>
      </c>
      <c r="O3145">
        <v>0</v>
      </c>
      <c r="P3145">
        <v>4</v>
      </c>
      <c r="Q3145">
        <v>0</v>
      </c>
      <c r="R3145">
        <v>22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6</v>
      </c>
      <c r="AC3145">
        <v>0</v>
      </c>
      <c r="AH3145">
        <v>28</v>
      </c>
    </row>
    <row r="3146" spans="1:34" x14ac:dyDescent="0.3">
      <c r="A3146" s="4">
        <v>3262</v>
      </c>
      <c r="B3146" s="5">
        <v>3139</v>
      </c>
      <c r="C3146">
        <v>9693</v>
      </c>
      <c r="D3146" t="s">
        <v>459</v>
      </c>
      <c r="E3146" t="s">
        <v>22</v>
      </c>
      <c r="F3146" t="s">
        <v>91</v>
      </c>
      <c r="G3146" t="s">
        <v>23664</v>
      </c>
      <c r="H3146">
        <v>21</v>
      </c>
      <c r="I3146">
        <v>0</v>
      </c>
      <c r="J3146">
        <v>0</v>
      </c>
      <c r="K3146">
        <v>0</v>
      </c>
      <c r="L3146">
        <v>7</v>
      </c>
      <c r="O3146">
        <v>7</v>
      </c>
      <c r="P3146">
        <v>0</v>
      </c>
      <c r="Q3146">
        <v>0</v>
      </c>
      <c r="R3146">
        <v>28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H3146">
        <v>28</v>
      </c>
    </row>
    <row r="3147" spans="1:34" x14ac:dyDescent="0.3">
      <c r="A3147" s="4">
        <v>3263</v>
      </c>
      <c r="B3147" s="5">
        <v>3140</v>
      </c>
      <c r="C3147">
        <v>6205</v>
      </c>
      <c r="D3147" t="s">
        <v>23665</v>
      </c>
      <c r="E3147" t="s">
        <v>19</v>
      </c>
      <c r="F3147" t="s">
        <v>385</v>
      </c>
      <c r="G3147" t="s">
        <v>23666</v>
      </c>
      <c r="H3147">
        <v>20.98</v>
      </c>
      <c r="I3147">
        <v>0</v>
      </c>
      <c r="J3147">
        <v>0</v>
      </c>
      <c r="K3147">
        <v>0</v>
      </c>
      <c r="N3147">
        <v>3</v>
      </c>
      <c r="O3147">
        <v>3</v>
      </c>
      <c r="P3147">
        <v>4</v>
      </c>
      <c r="Q3147">
        <v>0</v>
      </c>
      <c r="R3147">
        <v>27.98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H3147">
        <v>27.98</v>
      </c>
    </row>
    <row r="3148" spans="1:34" x14ac:dyDescent="0.3">
      <c r="A3148" s="4">
        <v>3264</v>
      </c>
      <c r="B3148" s="5">
        <v>3141</v>
      </c>
      <c r="C3148">
        <v>15191</v>
      </c>
      <c r="D3148" t="s">
        <v>4860</v>
      </c>
      <c r="E3148" t="s">
        <v>54</v>
      </c>
      <c r="F3148" t="s">
        <v>117</v>
      </c>
      <c r="G3148" t="s">
        <v>23667</v>
      </c>
      <c r="H3148">
        <v>18.98</v>
      </c>
      <c r="I3148">
        <v>0</v>
      </c>
      <c r="J3148">
        <v>0</v>
      </c>
      <c r="K3148">
        <v>0</v>
      </c>
      <c r="M3148">
        <v>5</v>
      </c>
      <c r="O3148">
        <v>5</v>
      </c>
      <c r="P3148">
        <v>4</v>
      </c>
      <c r="Q3148">
        <v>0</v>
      </c>
      <c r="R3148">
        <v>27.98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H3148">
        <v>27.98</v>
      </c>
    </row>
    <row r="3149" spans="1:34" x14ac:dyDescent="0.3">
      <c r="A3149" s="4">
        <v>3265</v>
      </c>
      <c r="B3149" s="5">
        <v>3142</v>
      </c>
      <c r="C3149">
        <v>4975</v>
      </c>
      <c r="D3149" t="s">
        <v>23668</v>
      </c>
      <c r="E3149" t="s">
        <v>182</v>
      </c>
      <c r="F3149" t="s">
        <v>81</v>
      </c>
      <c r="G3149" t="s">
        <v>23669</v>
      </c>
      <c r="H3149">
        <v>17.95</v>
      </c>
      <c r="I3149">
        <v>0</v>
      </c>
      <c r="J3149">
        <v>0</v>
      </c>
      <c r="K3149">
        <v>0</v>
      </c>
      <c r="O3149">
        <v>0</v>
      </c>
      <c r="P3149">
        <v>4</v>
      </c>
      <c r="Q3149">
        <v>0</v>
      </c>
      <c r="R3149">
        <v>21.95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6</v>
      </c>
      <c r="AC3149">
        <v>0</v>
      </c>
      <c r="AH3149">
        <v>27.95</v>
      </c>
    </row>
    <row r="3150" spans="1:34" x14ac:dyDescent="0.3">
      <c r="A3150" s="4">
        <v>3266</v>
      </c>
      <c r="B3150" s="5">
        <v>3143</v>
      </c>
      <c r="C3150">
        <v>5861</v>
      </c>
      <c r="D3150" t="s">
        <v>6407</v>
      </c>
      <c r="E3150" t="s">
        <v>29</v>
      </c>
      <c r="F3150" t="s">
        <v>190</v>
      </c>
      <c r="G3150" t="s">
        <v>23670</v>
      </c>
      <c r="H3150">
        <v>17.95</v>
      </c>
      <c r="I3150">
        <v>0</v>
      </c>
      <c r="J3150">
        <v>0</v>
      </c>
      <c r="K3150">
        <v>0</v>
      </c>
      <c r="N3150">
        <v>3</v>
      </c>
      <c r="O3150">
        <v>3</v>
      </c>
      <c r="P3150">
        <v>4</v>
      </c>
      <c r="Q3150">
        <v>0</v>
      </c>
      <c r="R3150">
        <v>24.95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3</v>
      </c>
      <c r="AC3150">
        <v>0</v>
      </c>
      <c r="AH3150">
        <v>27.95</v>
      </c>
    </row>
    <row r="3151" spans="1:34" x14ac:dyDescent="0.3">
      <c r="A3151" s="4">
        <v>3267</v>
      </c>
      <c r="B3151" s="5">
        <v>3144</v>
      </c>
      <c r="C3151">
        <v>13379</v>
      </c>
      <c r="D3151" t="s">
        <v>23671</v>
      </c>
      <c r="E3151" t="s">
        <v>29</v>
      </c>
      <c r="F3151" t="s">
        <v>20</v>
      </c>
      <c r="G3151" t="s">
        <v>23672</v>
      </c>
      <c r="H3151">
        <v>17.95</v>
      </c>
      <c r="I3151">
        <v>0</v>
      </c>
      <c r="J3151">
        <v>0</v>
      </c>
      <c r="K3151">
        <v>0</v>
      </c>
      <c r="N3151">
        <v>3</v>
      </c>
      <c r="O3151">
        <v>3</v>
      </c>
      <c r="P3151">
        <v>4</v>
      </c>
      <c r="Q3151">
        <v>0</v>
      </c>
      <c r="R3151">
        <v>24.95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3</v>
      </c>
      <c r="AC3151">
        <v>0</v>
      </c>
      <c r="AH3151">
        <v>27.95</v>
      </c>
    </row>
    <row r="3152" spans="1:34" x14ac:dyDescent="0.3">
      <c r="A3152" s="4">
        <v>3268</v>
      </c>
      <c r="B3152" s="5">
        <v>3145</v>
      </c>
      <c r="C3152">
        <v>11295</v>
      </c>
      <c r="D3152" t="s">
        <v>5457</v>
      </c>
      <c r="E3152" t="s">
        <v>136</v>
      </c>
      <c r="F3152" t="s">
        <v>20</v>
      </c>
      <c r="G3152" t="s">
        <v>23673</v>
      </c>
      <c r="H3152">
        <v>20.95</v>
      </c>
      <c r="I3152">
        <v>0</v>
      </c>
      <c r="J3152">
        <v>0</v>
      </c>
      <c r="K3152">
        <v>0</v>
      </c>
      <c r="N3152">
        <v>3</v>
      </c>
      <c r="O3152">
        <v>3</v>
      </c>
      <c r="P3152">
        <v>4</v>
      </c>
      <c r="Q3152">
        <v>0</v>
      </c>
      <c r="R3152">
        <v>27.95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H3152">
        <v>27.95</v>
      </c>
    </row>
    <row r="3153" spans="1:34" x14ac:dyDescent="0.3">
      <c r="A3153" s="4">
        <v>3269</v>
      </c>
      <c r="B3153" s="5">
        <v>3146</v>
      </c>
      <c r="C3153">
        <v>11281</v>
      </c>
      <c r="D3153" t="s">
        <v>23674</v>
      </c>
      <c r="E3153" t="s">
        <v>17</v>
      </c>
      <c r="F3153" t="s">
        <v>652</v>
      </c>
      <c r="G3153" t="s">
        <v>23675</v>
      </c>
      <c r="H3153">
        <v>16.95</v>
      </c>
      <c r="I3153">
        <v>0</v>
      </c>
      <c r="J3153">
        <v>0</v>
      </c>
      <c r="K3153">
        <v>0</v>
      </c>
      <c r="L3153">
        <v>7</v>
      </c>
      <c r="O3153">
        <v>7</v>
      </c>
      <c r="P3153">
        <v>4</v>
      </c>
      <c r="Q3153">
        <v>0</v>
      </c>
      <c r="R3153">
        <v>27.95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H3153">
        <v>27.95</v>
      </c>
    </row>
    <row r="3154" spans="1:34" x14ac:dyDescent="0.3">
      <c r="A3154" s="4">
        <v>3270</v>
      </c>
      <c r="B3154" s="5">
        <v>3147</v>
      </c>
      <c r="C3154">
        <v>14338</v>
      </c>
      <c r="D3154" t="s">
        <v>23676</v>
      </c>
      <c r="E3154" t="s">
        <v>173</v>
      </c>
      <c r="F3154" t="s">
        <v>3130</v>
      </c>
      <c r="G3154" t="s">
        <v>23677</v>
      </c>
      <c r="H3154">
        <v>17.93</v>
      </c>
      <c r="I3154">
        <v>0</v>
      </c>
      <c r="J3154">
        <v>0</v>
      </c>
      <c r="K3154">
        <v>0</v>
      </c>
      <c r="N3154">
        <v>3</v>
      </c>
      <c r="O3154">
        <v>3</v>
      </c>
      <c r="P3154">
        <v>4</v>
      </c>
      <c r="Q3154">
        <v>0</v>
      </c>
      <c r="R3154">
        <v>24.93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3</v>
      </c>
      <c r="AC3154">
        <v>0</v>
      </c>
      <c r="AH3154">
        <v>27.93</v>
      </c>
    </row>
    <row r="3155" spans="1:34" x14ac:dyDescent="0.3">
      <c r="A3155" s="4">
        <v>3271</v>
      </c>
      <c r="B3155" s="5">
        <v>3148</v>
      </c>
      <c r="C3155">
        <v>2676</v>
      </c>
      <c r="D3155" t="s">
        <v>6628</v>
      </c>
      <c r="E3155" t="s">
        <v>26</v>
      </c>
      <c r="F3155" t="s">
        <v>38</v>
      </c>
      <c r="G3155" t="s">
        <v>23678</v>
      </c>
      <c r="H3155">
        <v>17.93</v>
      </c>
      <c r="I3155">
        <v>0</v>
      </c>
      <c r="J3155">
        <v>0</v>
      </c>
      <c r="K3155">
        <v>0</v>
      </c>
      <c r="N3155">
        <v>3</v>
      </c>
      <c r="O3155">
        <v>3</v>
      </c>
      <c r="P3155">
        <v>4</v>
      </c>
      <c r="Q3155">
        <v>0</v>
      </c>
      <c r="R3155">
        <v>24.93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3</v>
      </c>
      <c r="AC3155">
        <v>0</v>
      </c>
      <c r="AH3155">
        <v>27.93</v>
      </c>
    </row>
    <row r="3156" spans="1:34" x14ac:dyDescent="0.3">
      <c r="A3156" s="4">
        <v>3272</v>
      </c>
      <c r="B3156" s="5">
        <v>3149</v>
      </c>
      <c r="C3156">
        <v>10722</v>
      </c>
      <c r="D3156" t="s">
        <v>23679</v>
      </c>
      <c r="E3156" t="s">
        <v>1280</v>
      </c>
      <c r="F3156" t="s">
        <v>81</v>
      </c>
      <c r="G3156" t="s">
        <v>23680</v>
      </c>
      <c r="H3156">
        <v>17.899999999999999</v>
      </c>
      <c r="I3156">
        <v>0</v>
      </c>
      <c r="J3156">
        <v>0</v>
      </c>
      <c r="K3156">
        <v>0</v>
      </c>
      <c r="O3156">
        <v>0</v>
      </c>
      <c r="P3156">
        <v>4</v>
      </c>
      <c r="Q3156">
        <v>0</v>
      </c>
      <c r="R3156">
        <v>21.9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6</v>
      </c>
      <c r="AC3156">
        <v>0</v>
      </c>
      <c r="AH3156">
        <v>27.9</v>
      </c>
    </row>
    <row r="3157" spans="1:34" x14ac:dyDescent="0.3">
      <c r="A3157" s="4">
        <v>3273</v>
      </c>
      <c r="B3157" s="5">
        <v>3150</v>
      </c>
      <c r="C3157">
        <v>4200</v>
      </c>
      <c r="D3157" t="s">
        <v>23681</v>
      </c>
      <c r="E3157" t="s">
        <v>100</v>
      </c>
      <c r="F3157" t="s">
        <v>117</v>
      </c>
      <c r="G3157" t="s">
        <v>23682</v>
      </c>
      <c r="H3157">
        <v>20.9</v>
      </c>
      <c r="I3157">
        <v>0</v>
      </c>
      <c r="J3157">
        <v>0</v>
      </c>
      <c r="K3157">
        <v>0</v>
      </c>
      <c r="N3157">
        <v>3</v>
      </c>
      <c r="O3157">
        <v>3</v>
      </c>
      <c r="P3157">
        <v>4</v>
      </c>
      <c r="Q3157">
        <v>0</v>
      </c>
      <c r="R3157">
        <v>27.9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H3157">
        <v>27.9</v>
      </c>
    </row>
    <row r="3158" spans="1:34" x14ac:dyDescent="0.3">
      <c r="A3158" s="4">
        <v>3274</v>
      </c>
      <c r="B3158" s="5">
        <v>3151</v>
      </c>
      <c r="C3158">
        <v>12326</v>
      </c>
      <c r="D3158" t="s">
        <v>23683</v>
      </c>
      <c r="E3158" t="s">
        <v>110</v>
      </c>
      <c r="F3158" t="s">
        <v>1806</v>
      </c>
      <c r="G3158" t="s">
        <v>23684</v>
      </c>
      <c r="H3158">
        <v>18.899999999999999</v>
      </c>
      <c r="I3158">
        <v>0</v>
      </c>
      <c r="J3158">
        <v>0</v>
      </c>
      <c r="K3158">
        <v>0</v>
      </c>
      <c r="N3158">
        <v>3</v>
      </c>
      <c r="O3158">
        <v>3</v>
      </c>
      <c r="P3158">
        <v>4</v>
      </c>
      <c r="Q3158">
        <v>2</v>
      </c>
      <c r="R3158">
        <v>27.9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H3158">
        <v>27.9</v>
      </c>
    </row>
    <row r="3159" spans="1:34" x14ac:dyDescent="0.3">
      <c r="A3159" s="4">
        <v>3275</v>
      </c>
      <c r="B3159" s="5">
        <v>3152</v>
      </c>
      <c r="C3159">
        <v>11752</v>
      </c>
      <c r="D3159" t="s">
        <v>23685</v>
      </c>
      <c r="E3159" t="s">
        <v>400</v>
      </c>
      <c r="F3159" t="s">
        <v>570</v>
      </c>
      <c r="G3159" t="s">
        <v>23686</v>
      </c>
      <c r="H3159">
        <v>18.88</v>
      </c>
      <c r="I3159">
        <v>0</v>
      </c>
      <c r="J3159">
        <v>0</v>
      </c>
      <c r="K3159">
        <v>0</v>
      </c>
      <c r="O3159">
        <v>0</v>
      </c>
      <c r="P3159">
        <v>4</v>
      </c>
      <c r="Q3159">
        <v>2</v>
      </c>
      <c r="R3159">
        <v>24.88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3</v>
      </c>
      <c r="AC3159">
        <v>0</v>
      </c>
      <c r="AH3159">
        <v>27.88</v>
      </c>
    </row>
    <row r="3160" spans="1:34" x14ac:dyDescent="0.3">
      <c r="A3160" s="4">
        <v>3276</v>
      </c>
      <c r="B3160" s="5">
        <v>3153</v>
      </c>
      <c r="C3160">
        <v>14397</v>
      </c>
      <c r="D3160" t="s">
        <v>4321</v>
      </c>
      <c r="E3160" t="s">
        <v>88</v>
      </c>
      <c r="F3160" t="s">
        <v>81</v>
      </c>
      <c r="G3160" t="s">
        <v>23687</v>
      </c>
      <c r="H3160">
        <v>20.88</v>
      </c>
      <c r="I3160">
        <v>0</v>
      </c>
      <c r="J3160">
        <v>0</v>
      </c>
      <c r="K3160">
        <v>0</v>
      </c>
      <c r="N3160">
        <v>3</v>
      </c>
      <c r="O3160">
        <v>3</v>
      </c>
      <c r="P3160">
        <v>4</v>
      </c>
      <c r="Q3160">
        <v>0</v>
      </c>
      <c r="R3160">
        <v>27.88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H3160">
        <v>27.88</v>
      </c>
    </row>
    <row r="3161" spans="1:34" x14ac:dyDescent="0.3">
      <c r="A3161" s="4">
        <v>3277</v>
      </c>
      <c r="B3161" s="5">
        <v>3154</v>
      </c>
      <c r="C3161">
        <v>7134</v>
      </c>
      <c r="D3161" t="s">
        <v>4607</v>
      </c>
      <c r="E3161" t="s">
        <v>2758</v>
      </c>
      <c r="F3161" t="s">
        <v>68</v>
      </c>
      <c r="G3161" t="s">
        <v>23688</v>
      </c>
      <c r="H3161">
        <v>20.88</v>
      </c>
      <c r="I3161">
        <v>0</v>
      </c>
      <c r="J3161">
        <v>0</v>
      </c>
      <c r="K3161">
        <v>0</v>
      </c>
      <c r="L3161">
        <v>7</v>
      </c>
      <c r="O3161">
        <v>7</v>
      </c>
      <c r="P3161">
        <v>0</v>
      </c>
      <c r="Q3161">
        <v>0</v>
      </c>
      <c r="R3161">
        <v>27.88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H3161">
        <v>27.88</v>
      </c>
    </row>
    <row r="3162" spans="1:34" x14ac:dyDescent="0.3">
      <c r="A3162" s="4">
        <v>3278</v>
      </c>
      <c r="B3162" s="5">
        <v>3155</v>
      </c>
      <c r="C3162">
        <v>4775</v>
      </c>
      <c r="D3162" t="s">
        <v>23689</v>
      </c>
      <c r="E3162" t="s">
        <v>208</v>
      </c>
      <c r="F3162" t="s">
        <v>117</v>
      </c>
      <c r="G3162" t="s">
        <v>23690</v>
      </c>
      <c r="H3162">
        <v>17.850000000000001</v>
      </c>
      <c r="I3162">
        <v>0</v>
      </c>
      <c r="J3162">
        <v>0</v>
      </c>
      <c r="K3162">
        <v>0</v>
      </c>
      <c r="O3162">
        <v>0</v>
      </c>
      <c r="P3162">
        <v>4</v>
      </c>
      <c r="Q3162">
        <v>0</v>
      </c>
      <c r="R3162">
        <v>21.85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6</v>
      </c>
      <c r="AC3162">
        <v>0</v>
      </c>
      <c r="AH3162">
        <v>27.85</v>
      </c>
    </row>
    <row r="3163" spans="1:34" x14ac:dyDescent="0.3">
      <c r="A3163" s="4">
        <v>3279</v>
      </c>
      <c r="B3163" s="5">
        <v>3156</v>
      </c>
      <c r="C3163">
        <v>13387</v>
      </c>
      <c r="D3163" t="s">
        <v>549</v>
      </c>
      <c r="E3163" t="s">
        <v>147</v>
      </c>
      <c r="F3163" t="s">
        <v>328</v>
      </c>
      <c r="G3163" t="s">
        <v>23691</v>
      </c>
      <c r="H3163">
        <v>20.85</v>
      </c>
      <c r="I3163">
        <v>0</v>
      </c>
      <c r="J3163">
        <v>0</v>
      </c>
      <c r="K3163">
        <v>0</v>
      </c>
      <c r="O3163">
        <v>0</v>
      </c>
      <c r="P3163">
        <v>4</v>
      </c>
      <c r="Q3163">
        <v>0</v>
      </c>
      <c r="R3163">
        <v>24.85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3</v>
      </c>
      <c r="AC3163">
        <v>0</v>
      </c>
      <c r="AH3163">
        <v>27.85</v>
      </c>
    </row>
    <row r="3164" spans="1:34" x14ac:dyDescent="0.3">
      <c r="A3164" s="4">
        <v>3280</v>
      </c>
      <c r="B3164" s="5">
        <v>3157</v>
      </c>
      <c r="C3164">
        <v>15457</v>
      </c>
      <c r="D3164" t="s">
        <v>23692</v>
      </c>
      <c r="E3164" t="s">
        <v>54</v>
      </c>
      <c r="F3164" t="s">
        <v>55</v>
      </c>
      <c r="G3164" t="s">
        <v>23693</v>
      </c>
      <c r="H3164">
        <v>20.85</v>
      </c>
      <c r="I3164">
        <v>0</v>
      </c>
      <c r="J3164">
        <v>0</v>
      </c>
      <c r="K3164">
        <v>0</v>
      </c>
      <c r="O3164">
        <v>0</v>
      </c>
      <c r="P3164">
        <v>4</v>
      </c>
      <c r="Q3164">
        <v>0</v>
      </c>
      <c r="R3164">
        <v>24.85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3</v>
      </c>
      <c r="AC3164">
        <v>0</v>
      </c>
      <c r="AH3164">
        <v>27.85</v>
      </c>
    </row>
    <row r="3165" spans="1:34" x14ac:dyDescent="0.3">
      <c r="A3165" s="4">
        <v>3281</v>
      </c>
      <c r="B3165" s="5">
        <v>3158</v>
      </c>
      <c r="C3165">
        <v>2195</v>
      </c>
      <c r="D3165" t="s">
        <v>3922</v>
      </c>
      <c r="E3165" t="s">
        <v>161</v>
      </c>
      <c r="F3165" t="s">
        <v>158</v>
      </c>
      <c r="G3165" t="s">
        <v>23694</v>
      </c>
      <c r="H3165">
        <v>17.850000000000001</v>
      </c>
      <c r="I3165">
        <v>0</v>
      </c>
      <c r="J3165">
        <v>0</v>
      </c>
      <c r="K3165">
        <v>0</v>
      </c>
      <c r="N3165">
        <v>3</v>
      </c>
      <c r="O3165">
        <v>3</v>
      </c>
      <c r="P3165">
        <v>4</v>
      </c>
      <c r="Q3165">
        <v>0</v>
      </c>
      <c r="R3165">
        <v>24.85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3</v>
      </c>
      <c r="AC3165">
        <v>0</v>
      </c>
      <c r="AH3165">
        <v>27.85</v>
      </c>
    </row>
    <row r="3166" spans="1:34" x14ac:dyDescent="0.3">
      <c r="A3166" s="4">
        <v>3282</v>
      </c>
      <c r="B3166" s="5">
        <v>3159</v>
      </c>
      <c r="C3166">
        <v>11993</v>
      </c>
      <c r="D3166" t="s">
        <v>929</v>
      </c>
      <c r="E3166" t="s">
        <v>178</v>
      </c>
      <c r="F3166" t="s">
        <v>91</v>
      </c>
      <c r="G3166" t="s">
        <v>23695</v>
      </c>
      <c r="H3166">
        <v>20.85</v>
      </c>
      <c r="I3166">
        <v>0</v>
      </c>
      <c r="J3166">
        <v>0</v>
      </c>
      <c r="K3166">
        <v>0</v>
      </c>
      <c r="N3166">
        <v>3</v>
      </c>
      <c r="O3166">
        <v>3</v>
      </c>
      <c r="P3166">
        <v>4</v>
      </c>
      <c r="Q3166">
        <v>0</v>
      </c>
      <c r="R3166">
        <v>27.85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H3166">
        <v>27.85</v>
      </c>
    </row>
    <row r="3167" spans="1:34" x14ac:dyDescent="0.3">
      <c r="A3167" s="4">
        <v>3283</v>
      </c>
      <c r="B3167" s="5">
        <v>3160</v>
      </c>
      <c r="C3167">
        <v>3103</v>
      </c>
      <c r="D3167" t="s">
        <v>23696</v>
      </c>
      <c r="E3167" t="s">
        <v>2122</v>
      </c>
      <c r="F3167" t="s">
        <v>81</v>
      </c>
      <c r="G3167" t="s">
        <v>23697</v>
      </c>
      <c r="H3167">
        <v>16.850000000000001</v>
      </c>
      <c r="I3167">
        <v>0</v>
      </c>
      <c r="J3167">
        <v>0</v>
      </c>
      <c r="K3167">
        <v>0</v>
      </c>
      <c r="L3167">
        <v>7</v>
      </c>
      <c r="O3167">
        <v>7</v>
      </c>
      <c r="P3167">
        <v>4</v>
      </c>
      <c r="Q3167">
        <v>0</v>
      </c>
      <c r="R3167">
        <v>27.85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H3167">
        <v>27.85</v>
      </c>
    </row>
    <row r="3168" spans="1:34" x14ac:dyDescent="0.3">
      <c r="A3168" s="4">
        <v>3284</v>
      </c>
      <c r="B3168" s="5">
        <v>3161</v>
      </c>
      <c r="C3168">
        <v>11428</v>
      </c>
      <c r="D3168" t="s">
        <v>6133</v>
      </c>
      <c r="E3168" t="s">
        <v>8185</v>
      </c>
      <c r="F3168" t="s">
        <v>117</v>
      </c>
      <c r="G3168" t="s">
        <v>23698</v>
      </c>
      <c r="H3168">
        <v>17.829999999999998</v>
      </c>
      <c r="I3168">
        <v>0</v>
      </c>
      <c r="J3168">
        <v>0</v>
      </c>
      <c r="K3168">
        <v>0</v>
      </c>
      <c r="O3168">
        <v>0</v>
      </c>
      <c r="P3168">
        <v>4</v>
      </c>
      <c r="Q3168">
        <v>0</v>
      </c>
      <c r="R3168">
        <v>21.83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6</v>
      </c>
      <c r="AC3168">
        <v>0</v>
      </c>
      <c r="AH3168">
        <v>27.83</v>
      </c>
    </row>
    <row r="3169" spans="1:34" x14ac:dyDescent="0.3">
      <c r="A3169" s="4">
        <v>3285</v>
      </c>
      <c r="B3169" s="5">
        <v>3162</v>
      </c>
      <c r="C3169">
        <v>9281</v>
      </c>
      <c r="D3169" t="s">
        <v>16184</v>
      </c>
      <c r="E3169" t="s">
        <v>23699</v>
      </c>
      <c r="F3169" t="s">
        <v>117</v>
      </c>
      <c r="G3169" t="s">
        <v>23700</v>
      </c>
      <c r="H3169">
        <v>18.829999999999998</v>
      </c>
      <c r="I3169">
        <v>0</v>
      </c>
      <c r="J3169">
        <v>0</v>
      </c>
      <c r="K3169">
        <v>0</v>
      </c>
      <c r="O3169">
        <v>0</v>
      </c>
      <c r="P3169">
        <v>4</v>
      </c>
      <c r="Q3169">
        <v>2</v>
      </c>
      <c r="R3169">
        <v>24.83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3</v>
      </c>
      <c r="AC3169">
        <v>0</v>
      </c>
      <c r="AH3169">
        <v>27.83</v>
      </c>
    </row>
    <row r="3170" spans="1:34" x14ac:dyDescent="0.3">
      <c r="A3170" s="4">
        <v>3286</v>
      </c>
      <c r="B3170" s="5">
        <v>3163</v>
      </c>
      <c r="C3170">
        <v>10392</v>
      </c>
      <c r="D3170" t="s">
        <v>23701</v>
      </c>
      <c r="E3170" t="s">
        <v>4633</v>
      </c>
      <c r="F3170" t="s">
        <v>20</v>
      </c>
      <c r="G3170" t="s">
        <v>23702</v>
      </c>
      <c r="H3170">
        <v>20.83</v>
      </c>
      <c r="I3170">
        <v>0</v>
      </c>
      <c r="J3170">
        <v>0</v>
      </c>
      <c r="K3170">
        <v>0</v>
      </c>
      <c r="N3170">
        <v>3</v>
      </c>
      <c r="O3170">
        <v>3</v>
      </c>
      <c r="P3170">
        <v>4</v>
      </c>
      <c r="Q3170">
        <v>0</v>
      </c>
      <c r="R3170">
        <v>27.83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H3170">
        <v>27.83</v>
      </c>
    </row>
    <row r="3171" spans="1:34" x14ac:dyDescent="0.3">
      <c r="A3171" s="4">
        <v>3287</v>
      </c>
      <c r="B3171" s="5">
        <v>3164</v>
      </c>
      <c r="C3171">
        <v>12855</v>
      </c>
      <c r="D3171" t="s">
        <v>23703</v>
      </c>
      <c r="E3171" t="s">
        <v>22</v>
      </c>
      <c r="F3171" t="s">
        <v>34</v>
      </c>
      <c r="G3171" t="s">
        <v>23704</v>
      </c>
      <c r="H3171">
        <v>20.83</v>
      </c>
      <c r="I3171">
        <v>0</v>
      </c>
      <c r="J3171">
        <v>0</v>
      </c>
      <c r="K3171">
        <v>0</v>
      </c>
      <c r="N3171">
        <v>3</v>
      </c>
      <c r="O3171">
        <v>3</v>
      </c>
      <c r="P3171">
        <v>4</v>
      </c>
      <c r="Q3171">
        <v>0</v>
      </c>
      <c r="R3171">
        <v>27.83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H3171">
        <v>27.83</v>
      </c>
    </row>
    <row r="3172" spans="1:34" x14ac:dyDescent="0.3">
      <c r="A3172" s="4">
        <v>3288</v>
      </c>
      <c r="B3172" s="5">
        <v>3165</v>
      </c>
      <c r="C3172">
        <v>228</v>
      </c>
      <c r="D3172" t="s">
        <v>23705</v>
      </c>
      <c r="E3172" t="s">
        <v>48</v>
      </c>
      <c r="F3172" t="s">
        <v>20</v>
      </c>
      <c r="G3172" t="s">
        <v>23706</v>
      </c>
      <c r="H3172">
        <v>18.829999999999998</v>
      </c>
      <c r="I3172">
        <v>0</v>
      </c>
      <c r="J3172">
        <v>0</v>
      </c>
      <c r="K3172">
        <v>0</v>
      </c>
      <c r="M3172">
        <v>5</v>
      </c>
      <c r="O3172">
        <v>5</v>
      </c>
      <c r="P3172">
        <v>4</v>
      </c>
      <c r="Q3172">
        <v>0</v>
      </c>
      <c r="R3172">
        <v>27.83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H3172">
        <v>27.83</v>
      </c>
    </row>
    <row r="3173" spans="1:34" x14ac:dyDescent="0.3">
      <c r="A3173" s="4">
        <v>3289</v>
      </c>
      <c r="B3173" s="5">
        <v>3166</v>
      </c>
      <c r="C3173">
        <v>3730</v>
      </c>
      <c r="D3173" t="s">
        <v>1907</v>
      </c>
      <c r="E3173" t="s">
        <v>110</v>
      </c>
      <c r="F3173" t="s">
        <v>30</v>
      </c>
      <c r="G3173" t="s">
        <v>23707</v>
      </c>
      <c r="H3173">
        <v>16.829999999999998</v>
      </c>
      <c r="I3173">
        <v>0</v>
      </c>
      <c r="J3173">
        <v>0</v>
      </c>
      <c r="K3173">
        <v>0</v>
      </c>
      <c r="L3173">
        <v>7</v>
      </c>
      <c r="O3173">
        <v>7</v>
      </c>
      <c r="P3173">
        <v>4</v>
      </c>
      <c r="Q3173">
        <v>0</v>
      </c>
      <c r="R3173">
        <v>27.83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H3173">
        <v>27.83</v>
      </c>
    </row>
    <row r="3174" spans="1:34" x14ac:dyDescent="0.3">
      <c r="A3174" s="4">
        <v>3290</v>
      </c>
      <c r="B3174" s="5">
        <v>3167</v>
      </c>
      <c r="C3174">
        <v>5608</v>
      </c>
      <c r="D3174" t="s">
        <v>3647</v>
      </c>
      <c r="E3174" t="s">
        <v>110</v>
      </c>
      <c r="F3174" t="s">
        <v>167</v>
      </c>
      <c r="G3174" t="s">
        <v>23708</v>
      </c>
      <c r="H3174">
        <v>18.8</v>
      </c>
      <c r="I3174">
        <v>0</v>
      </c>
      <c r="J3174">
        <v>0</v>
      </c>
      <c r="K3174">
        <v>0</v>
      </c>
      <c r="O3174">
        <v>0</v>
      </c>
      <c r="P3174">
        <v>0</v>
      </c>
      <c r="Q3174">
        <v>0</v>
      </c>
      <c r="R3174">
        <v>18.8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9</v>
      </c>
      <c r="AC3174">
        <v>0</v>
      </c>
      <c r="AH3174">
        <v>27.8</v>
      </c>
    </row>
    <row r="3175" spans="1:34" x14ac:dyDescent="0.3">
      <c r="A3175" s="4">
        <v>3291</v>
      </c>
      <c r="B3175" s="5">
        <v>3168</v>
      </c>
      <c r="C3175">
        <v>1727</v>
      </c>
      <c r="D3175" t="s">
        <v>1784</v>
      </c>
      <c r="E3175" t="s">
        <v>26</v>
      </c>
      <c r="F3175" t="s">
        <v>20</v>
      </c>
      <c r="G3175" t="s">
        <v>23709</v>
      </c>
      <c r="H3175">
        <v>18.8</v>
      </c>
      <c r="I3175">
        <v>0</v>
      </c>
      <c r="J3175">
        <v>0</v>
      </c>
      <c r="K3175">
        <v>0</v>
      </c>
      <c r="O3175">
        <v>0</v>
      </c>
      <c r="P3175">
        <v>0</v>
      </c>
      <c r="Q3175">
        <v>0</v>
      </c>
      <c r="R3175">
        <v>18.8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9</v>
      </c>
      <c r="AC3175">
        <v>0</v>
      </c>
      <c r="AH3175">
        <v>27.8</v>
      </c>
    </row>
    <row r="3176" spans="1:34" x14ac:dyDescent="0.3">
      <c r="A3176" s="4">
        <v>3292</v>
      </c>
      <c r="B3176" s="5">
        <v>3169</v>
      </c>
      <c r="C3176">
        <v>9055</v>
      </c>
      <c r="D3176" t="s">
        <v>23710</v>
      </c>
      <c r="E3176" t="s">
        <v>29</v>
      </c>
      <c r="F3176" t="s">
        <v>167</v>
      </c>
      <c r="G3176" t="s">
        <v>23711</v>
      </c>
      <c r="H3176">
        <v>18.8</v>
      </c>
      <c r="I3176">
        <v>0</v>
      </c>
      <c r="J3176">
        <v>0</v>
      </c>
      <c r="K3176">
        <v>0</v>
      </c>
      <c r="N3176">
        <v>3</v>
      </c>
      <c r="O3176">
        <v>3</v>
      </c>
      <c r="P3176">
        <v>0</v>
      </c>
      <c r="Q3176">
        <v>0</v>
      </c>
      <c r="R3176">
        <v>21.8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6</v>
      </c>
      <c r="AC3176">
        <v>0</v>
      </c>
      <c r="AH3176">
        <v>27.8</v>
      </c>
    </row>
    <row r="3177" spans="1:34" x14ac:dyDescent="0.3">
      <c r="A3177" s="4">
        <v>3293</v>
      </c>
      <c r="B3177" s="5">
        <v>3170</v>
      </c>
      <c r="C3177">
        <v>13763</v>
      </c>
      <c r="D3177" t="s">
        <v>6792</v>
      </c>
      <c r="E3177" t="s">
        <v>136</v>
      </c>
      <c r="F3177" t="s">
        <v>20</v>
      </c>
      <c r="G3177" t="s">
        <v>23712</v>
      </c>
      <c r="H3177">
        <v>17.8</v>
      </c>
      <c r="I3177">
        <v>0</v>
      </c>
      <c r="J3177">
        <v>0</v>
      </c>
      <c r="K3177">
        <v>0</v>
      </c>
      <c r="N3177">
        <v>3</v>
      </c>
      <c r="O3177">
        <v>3</v>
      </c>
      <c r="P3177">
        <v>4</v>
      </c>
      <c r="Q3177">
        <v>0</v>
      </c>
      <c r="R3177">
        <v>24.8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3</v>
      </c>
      <c r="AC3177">
        <v>0</v>
      </c>
      <c r="AH3177">
        <v>27.8</v>
      </c>
    </row>
    <row r="3178" spans="1:34" x14ac:dyDescent="0.3">
      <c r="A3178" s="4">
        <v>3294</v>
      </c>
      <c r="B3178" s="5">
        <v>3171</v>
      </c>
      <c r="C3178">
        <v>3691</v>
      </c>
      <c r="D3178" t="s">
        <v>7653</v>
      </c>
      <c r="E3178" t="s">
        <v>147</v>
      </c>
      <c r="F3178" t="s">
        <v>227</v>
      </c>
      <c r="G3178" t="s">
        <v>23713</v>
      </c>
      <c r="H3178">
        <v>17.8</v>
      </c>
      <c r="I3178">
        <v>0</v>
      </c>
      <c r="J3178">
        <v>0</v>
      </c>
      <c r="K3178">
        <v>0</v>
      </c>
      <c r="N3178">
        <v>3</v>
      </c>
      <c r="O3178">
        <v>3</v>
      </c>
      <c r="P3178">
        <v>4</v>
      </c>
      <c r="Q3178">
        <v>0</v>
      </c>
      <c r="R3178">
        <v>24.8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3</v>
      </c>
      <c r="AC3178">
        <v>0</v>
      </c>
      <c r="AH3178">
        <v>27.8</v>
      </c>
    </row>
    <row r="3179" spans="1:34" x14ac:dyDescent="0.3">
      <c r="A3179" s="4">
        <v>3295</v>
      </c>
      <c r="B3179" s="5">
        <v>3172</v>
      </c>
      <c r="C3179">
        <v>4119</v>
      </c>
      <c r="D3179" t="s">
        <v>23714</v>
      </c>
      <c r="E3179" t="s">
        <v>2758</v>
      </c>
      <c r="F3179" t="s">
        <v>124</v>
      </c>
      <c r="G3179" t="s">
        <v>23715</v>
      </c>
      <c r="H3179">
        <v>17.8</v>
      </c>
      <c r="I3179">
        <v>0</v>
      </c>
      <c r="J3179">
        <v>0</v>
      </c>
      <c r="K3179">
        <v>0</v>
      </c>
      <c r="N3179">
        <v>3</v>
      </c>
      <c r="O3179">
        <v>3</v>
      </c>
      <c r="P3179">
        <v>4</v>
      </c>
      <c r="Q3179">
        <v>0</v>
      </c>
      <c r="R3179">
        <v>24.8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3</v>
      </c>
      <c r="AC3179">
        <v>0</v>
      </c>
      <c r="AH3179">
        <v>27.8</v>
      </c>
    </row>
    <row r="3180" spans="1:34" x14ac:dyDescent="0.3">
      <c r="A3180" s="4">
        <v>3296</v>
      </c>
      <c r="B3180" s="5">
        <v>3173</v>
      </c>
      <c r="C3180">
        <v>14458</v>
      </c>
      <c r="D3180" t="s">
        <v>23716</v>
      </c>
      <c r="E3180" t="s">
        <v>8570</v>
      </c>
      <c r="F3180" t="s">
        <v>20</v>
      </c>
      <c r="G3180" t="s">
        <v>23717</v>
      </c>
      <c r="H3180">
        <v>20.8</v>
      </c>
      <c r="I3180">
        <v>0</v>
      </c>
      <c r="J3180">
        <v>0</v>
      </c>
      <c r="K3180">
        <v>0</v>
      </c>
      <c r="N3180">
        <v>3</v>
      </c>
      <c r="O3180">
        <v>3</v>
      </c>
      <c r="P3180">
        <v>4</v>
      </c>
      <c r="Q3180">
        <v>0</v>
      </c>
      <c r="R3180">
        <v>27.8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H3180">
        <v>27.8</v>
      </c>
    </row>
    <row r="3181" spans="1:34" x14ac:dyDescent="0.3">
      <c r="A3181" s="4">
        <v>3297</v>
      </c>
      <c r="B3181" s="5">
        <v>3174</v>
      </c>
      <c r="C3181">
        <v>300</v>
      </c>
      <c r="D3181" t="s">
        <v>23718</v>
      </c>
      <c r="E3181" t="s">
        <v>1189</v>
      </c>
      <c r="F3181" t="s">
        <v>34</v>
      </c>
      <c r="G3181" t="s">
        <v>23719</v>
      </c>
      <c r="H3181">
        <v>20.8</v>
      </c>
      <c r="I3181">
        <v>0</v>
      </c>
      <c r="J3181">
        <v>0</v>
      </c>
      <c r="K3181">
        <v>0</v>
      </c>
      <c r="N3181">
        <v>3</v>
      </c>
      <c r="O3181">
        <v>3</v>
      </c>
      <c r="P3181">
        <v>4</v>
      </c>
      <c r="Q3181">
        <v>0</v>
      </c>
      <c r="R3181">
        <v>27.8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H3181">
        <v>27.8</v>
      </c>
    </row>
    <row r="3182" spans="1:34" x14ac:dyDescent="0.3">
      <c r="A3182" s="4">
        <v>3298</v>
      </c>
      <c r="B3182" s="5">
        <v>3175</v>
      </c>
      <c r="C3182">
        <v>1094</v>
      </c>
      <c r="D3182" t="s">
        <v>23720</v>
      </c>
      <c r="E3182" t="s">
        <v>255</v>
      </c>
      <c r="F3182" t="s">
        <v>17</v>
      </c>
      <c r="G3182" t="s">
        <v>23721</v>
      </c>
      <c r="H3182">
        <v>20.8</v>
      </c>
      <c r="I3182">
        <v>0</v>
      </c>
      <c r="J3182">
        <v>0</v>
      </c>
      <c r="K3182">
        <v>0</v>
      </c>
      <c r="N3182">
        <v>3</v>
      </c>
      <c r="O3182">
        <v>3</v>
      </c>
      <c r="P3182">
        <v>4</v>
      </c>
      <c r="Q3182">
        <v>0</v>
      </c>
      <c r="R3182">
        <v>27.8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H3182">
        <v>27.8</v>
      </c>
    </row>
    <row r="3183" spans="1:34" x14ac:dyDescent="0.3">
      <c r="A3183" s="4">
        <v>3299</v>
      </c>
      <c r="B3183" s="5">
        <v>3176</v>
      </c>
      <c r="C3183">
        <v>4967</v>
      </c>
      <c r="D3183" t="s">
        <v>23722</v>
      </c>
      <c r="E3183" t="s">
        <v>88</v>
      </c>
      <c r="F3183" t="s">
        <v>136</v>
      </c>
      <c r="G3183" t="s">
        <v>23723</v>
      </c>
      <c r="H3183">
        <v>18.8</v>
      </c>
      <c r="I3183">
        <v>0</v>
      </c>
      <c r="J3183">
        <v>0</v>
      </c>
      <c r="K3183">
        <v>0</v>
      </c>
      <c r="N3183">
        <v>3</v>
      </c>
      <c r="O3183">
        <v>3</v>
      </c>
      <c r="P3183">
        <v>4</v>
      </c>
      <c r="Q3183">
        <v>2</v>
      </c>
      <c r="R3183">
        <v>27.8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H3183">
        <v>27.8</v>
      </c>
    </row>
    <row r="3184" spans="1:34" x14ac:dyDescent="0.3">
      <c r="A3184" s="4">
        <v>3300</v>
      </c>
      <c r="B3184" s="5">
        <v>3177</v>
      </c>
      <c r="C3184">
        <v>13467</v>
      </c>
      <c r="D3184" t="s">
        <v>23724</v>
      </c>
      <c r="E3184" t="s">
        <v>2743</v>
      </c>
      <c r="F3184" t="s">
        <v>158</v>
      </c>
      <c r="G3184" t="s">
        <v>23725</v>
      </c>
      <c r="H3184">
        <v>17.8</v>
      </c>
      <c r="I3184">
        <v>0</v>
      </c>
      <c r="J3184">
        <v>0</v>
      </c>
      <c r="K3184">
        <v>0</v>
      </c>
      <c r="N3184">
        <v>6</v>
      </c>
      <c r="O3184">
        <v>6</v>
      </c>
      <c r="P3184">
        <v>4</v>
      </c>
      <c r="Q3184">
        <v>0</v>
      </c>
      <c r="R3184">
        <v>27.8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H3184">
        <v>27.8</v>
      </c>
    </row>
    <row r="3185" spans="1:34" x14ac:dyDescent="0.3">
      <c r="A3185" s="4">
        <v>3301</v>
      </c>
      <c r="B3185" s="5">
        <v>3178</v>
      </c>
      <c r="C3185">
        <v>10614</v>
      </c>
      <c r="D3185" t="s">
        <v>23726</v>
      </c>
      <c r="E3185" t="s">
        <v>20</v>
      </c>
      <c r="F3185" t="s">
        <v>243</v>
      </c>
      <c r="G3185" t="s">
        <v>23727</v>
      </c>
      <c r="H3185">
        <v>16.8</v>
      </c>
      <c r="I3185">
        <v>0</v>
      </c>
      <c r="J3185">
        <v>0</v>
      </c>
      <c r="K3185">
        <v>0</v>
      </c>
      <c r="L3185">
        <v>7</v>
      </c>
      <c r="O3185">
        <v>7</v>
      </c>
      <c r="P3185">
        <v>4</v>
      </c>
      <c r="Q3185">
        <v>0</v>
      </c>
      <c r="R3185">
        <v>27.8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H3185">
        <v>27.8</v>
      </c>
    </row>
    <row r="3186" spans="1:34" x14ac:dyDescent="0.3">
      <c r="A3186" s="4">
        <v>3302</v>
      </c>
      <c r="B3186" s="5">
        <v>3179</v>
      </c>
      <c r="C3186">
        <v>1173</v>
      </c>
      <c r="D3186" t="s">
        <v>23728</v>
      </c>
      <c r="E3186" t="s">
        <v>17011</v>
      </c>
      <c r="F3186" t="s">
        <v>23729</v>
      </c>
      <c r="G3186" t="s">
        <v>23730</v>
      </c>
      <c r="H3186">
        <v>18.78</v>
      </c>
      <c r="I3186">
        <v>0</v>
      </c>
      <c r="J3186">
        <v>0</v>
      </c>
      <c r="K3186">
        <v>0</v>
      </c>
      <c r="N3186">
        <v>3</v>
      </c>
      <c r="O3186">
        <v>3</v>
      </c>
      <c r="P3186">
        <v>4</v>
      </c>
      <c r="Q3186">
        <v>2</v>
      </c>
      <c r="R3186">
        <v>27.78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H3186">
        <v>27.78</v>
      </c>
    </row>
    <row r="3187" spans="1:34" x14ac:dyDescent="0.3">
      <c r="A3187" s="4">
        <v>3303</v>
      </c>
      <c r="B3187" s="5">
        <v>3180</v>
      </c>
      <c r="C3187">
        <v>3246</v>
      </c>
      <c r="D3187" t="s">
        <v>23731</v>
      </c>
      <c r="E3187" t="s">
        <v>23732</v>
      </c>
      <c r="F3187" t="s">
        <v>81</v>
      </c>
      <c r="G3187" t="s">
        <v>23733</v>
      </c>
      <c r="H3187">
        <v>16.78</v>
      </c>
      <c r="I3187">
        <v>0</v>
      </c>
      <c r="J3187">
        <v>0</v>
      </c>
      <c r="K3187">
        <v>0</v>
      </c>
      <c r="L3187">
        <v>7</v>
      </c>
      <c r="O3187">
        <v>7</v>
      </c>
      <c r="P3187">
        <v>4</v>
      </c>
      <c r="Q3187">
        <v>0</v>
      </c>
      <c r="R3187">
        <v>27.78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H3187">
        <v>27.78</v>
      </c>
    </row>
    <row r="3188" spans="1:34" x14ac:dyDescent="0.3">
      <c r="A3188" s="4">
        <v>3304</v>
      </c>
      <c r="B3188" s="5">
        <v>3181</v>
      </c>
      <c r="C3188">
        <v>12449</v>
      </c>
      <c r="D3188" t="s">
        <v>23734</v>
      </c>
      <c r="E3188" t="s">
        <v>23735</v>
      </c>
      <c r="F3188" t="s">
        <v>328</v>
      </c>
      <c r="G3188" t="s">
        <v>23736</v>
      </c>
      <c r="H3188">
        <v>16.78</v>
      </c>
      <c r="I3188">
        <v>0</v>
      </c>
      <c r="J3188">
        <v>0</v>
      </c>
      <c r="K3188">
        <v>0</v>
      </c>
      <c r="L3188">
        <v>7</v>
      </c>
      <c r="O3188">
        <v>7</v>
      </c>
      <c r="P3188">
        <v>4</v>
      </c>
      <c r="Q3188">
        <v>0</v>
      </c>
      <c r="R3188">
        <v>27.78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H3188">
        <v>27.78</v>
      </c>
    </row>
    <row r="3189" spans="1:34" x14ac:dyDescent="0.3">
      <c r="A3189" s="4">
        <v>3305</v>
      </c>
      <c r="B3189" s="5">
        <v>3182</v>
      </c>
      <c r="C3189">
        <v>5465</v>
      </c>
      <c r="D3189" t="s">
        <v>6000</v>
      </c>
      <c r="E3189" t="s">
        <v>563</v>
      </c>
      <c r="F3189" t="s">
        <v>81</v>
      </c>
      <c r="G3189" t="s">
        <v>23737</v>
      </c>
      <c r="H3189">
        <v>16.78</v>
      </c>
      <c r="I3189">
        <v>0</v>
      </c>
      <c r="J3189">
        <v>0</v>
      </c>
      <c r="K3189">
        <v>0</v>
      </c>
      <c r="O3189">
        <v>0</v>
      </c>
      <c r="P3189">
        <v>4</v>
      </c>
      <c r="Q3189">
        <v>0</v>
      </c>
      <c r="R3189">
        <v>20.78</v>
      </c>
      <c r="S3189">
        <v>7</v>
      </c>
      <c r="T3189">
        <v>7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7</v>
      </c>
      <c r="AB3189">
        <v>0</v>
      </c>
      <c r="AC3189">
        <v>0</v>
      </c>
      <c r="AH3189">
        <v>27.78</v>
      </c>
    </row>
    <row r="3190" spans="1:34" x14ac:dyDescent="0.3">
      <c r="A3190" s="4">
        <v>3306</v>
      </c>
      <c r="B3190" s="5">
        <v>3183</v>
      </c>
      <c r="C3190">
        <v>12312</v>
      </c>
      <c r="D3190" t="s">
        <v>5331</v>
      </c>
      <c r="E3190" t="s">
        <v>744</v>
      </c>
      <c r="F3190" t="s">
        <v>4546</v>
      </c>
      <c r="G3190" t="s">
        <v>23738</v>
      </c>
      <c r="H3190">
        <v>18.75</v>
      </c>
      <c r="I3190">
        <v>0</v>
      </c>
      <c r="J3190">
        <v>0</v>
      </c>
      <c r="K3190">
        <v>0</v>
      </c>
      <c r="N3190">
        <v>3</v>
      </c>
      <c r="O3190">
        <v>3</v>
      </c>
      <c r="P3190">
        <v>0</v>
      </c>
      <c r="Q3190">
        <v>0</v>
      </c>
      <c r="R3190">
        <v>21.75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6</v>
      </c>
      <c r="AC3190">
        <v>0</v>
      </c>
      <c r="AH3190">
        <v>27.75</v>
      </c>
    </row>
    <row r="3191" spans="1:34" x14ac:dyDescent="0.3">
      <c r="A3191" s="4">
        <v>3307</v>
      </c>
      <c r="B3191" s="5">
        <v>3184</v>
      </c>
      <c r="C3191">
        <v>6827</v>
      </c>
      <c r="D3191" t="s">
        <v>4355</v>
      </c>
      <c r="E3191" t="s">
        <v>439</v>
      </c>
      <c r="F3191" t="s">
        <v>343</v>
      </c>
      <c r="G3191" t="s">
        <v>23739</v>
      </c>
      <c r="H3191">
        <v>18.75</v>
      </c>
      <c r="I3191">
        <v>0</v>
      </c>
      <c r="J3191">
        <v>0</v>
      </c>
      <c r="K3191">
        <v>0</v>
      </c>
      <c r="N3191">
        <v>3</v>
      </c>
      <c r="O3191">
        <v>3</v>
      </c>
      <c r="P3191">
        <v>0</v>
      </c>
      <c r="Q3191">
        <v>0</v>
      </c>
      <c r="R3191">
        <v>21.75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6</v>
      </c>
      <c r="AC3191">
        <v>0</v>
      </c>
      <c r="AH3191">
        <v>27.75</v>
      </c>
    </row>
    <row r="3192" spans="1:34" x14ac:dyDescent="0.3">
      <c r="A3192" s="4">
        <v>3308</v>
      </c>
      <c r="B3192" s="5">
        <v>3185</v>
      </c>
      <c r="C3192">
        <v>2413</v>
      </c>
      <c r="D3192" t="s">
        <v>23740</v>
      </c>
      <c r="E3192" t="s">
        <v>51</v>
      </c>
      <c r="F3192" t="s">
        <v>1450</v>
      </c>
      <c r="G3192" t="s">
        <v>23741</v>
      </c>
      <c r="H3192">
        <v>17.75</v>
      </c>
      <c r="I3192">
        <v>0</v>
      </c>
      <c r="J3192">
        <v>0</v>
      </c>
      <c r="K3192">
        <v>0</v>
      </c>
      <c r="O3192">
        <v>0</v>
      </c>
      <c r="P3192">
        <v>4</v>
      </c>
      <c r="Q3192">
        <v>0</v>
      </c>
      <c r="R3192">
        <v>21.75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6</v>
      </c>
      <c r="AC3192">
        <v>0</v>
      </c>
      <c r="AH3192">
        <v>27.75</v>
      </c>
    </row>
    <row r="3193" spans="1:34" x14ac:dyDescent="0.3">
      <c r="A3193" s="4">
        <v>3309</v>
      </c>
      <c r="B3193" s="5">
        <v>3186</v>
      </c>
      <c r="C3193">
        <v>7000</v>
      </c>
      <c r="D3193" t="s">
        <v>19925</v>
      </c>
      <c r="E3193" t="s">
        <v>454</v>
      </c>
      <c r="F3193" t="s">
        <v>190</v>
      </c>
      <c r="G3193" t="s">
        <v>23742</v>
      </c>
      <c r="H3193">
        <v>17.75</v>
      </c>
      <c r="I3193">
        <v>0</v>
      </c>
      <c r="J3193">
        <v>0</v>
      </c>
      <c r="K3193">
        <v>0</v>
      </c>
      <c r="O3193">
        <v>0</v>
      </c>
      <c r="P3193">
        <v>4</v>
      </c>
      <c r="Q3193">
        <v>0</v>
      </c>
      <c r="R3193">
        <v>21.75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6</v>
      </c>
      <c r="AC3193">
        <v>0</v>
      </c>
      <c r="AH3193">
        <v>27.75</v>
      </c>
    </row>
    <row r="3194" spans="1:34" x14ac:dyDescent="0.3">
      <c r="A3194" s="4">
        <v>3310</v>
      </c>
      <c r="B3194" s="5">
        <v>3187</v>
      </c>
      <c r="C3194">
        <v>5510</v>
      </c>
      <c r="D3194" t="s">
        <v>23743</v>
      </c>
      <c r="E3194" t="s">
        <v>744</v>
      </c>
      <c r="F3194" t="s">
        <v>23744</v>
      </c>
      <c r="G3194" t="s">
        <v>23745</v>
      </c>
      <c r="H3194">
        <v>17.75</v>
      </c>
      <c r="I3194">
        <v>0</v>
      </c>
      <c r="J3194">
        <v>0</v>
      </c>
      <c r="K3194">
        <v>0</v>
      </c>
      <c r="O3194">
        <v>0</v>
      </c>
      <c r="P3194">
        <v>4</v>
      </c>
      <c r="Q3194">
        <v>0</v>
      </c>
      <c r="R3194">
        <v>21.75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6</v>
      </c>
      <c r="AC3194">
        <v>0</v>
      </c>
      <c r="AH3194">
        <v>27.75</v>
      </c>
    </row>
    <row r="3195" spans="1:34" x14ac:dyDescent="0.3">
      <c r="A3195" s="4">
        <v>3311</v>
      </c>
      <c r="B3195" s="5">
        <v>3188</v>
      </c>
      <c r="C3195">
        <v>7576</v>
      </c>
      <c r="D3195" t="s">
        <v>1015</v>
      </c>
      <c r="E3195" t="s">
        <v>1597</v>
      </c>
      <c r="F3195" t="s">
        <v>81</v>
      </c>
      <c r="G3195" t="s">
        <v>23746</v>
      </c>
      <c r="H3195">
        <v>17.75</v>
      </c>
      <c r="I3195">
        <v>0</v>
      </c>
      <c r="J3195">
        <v>0</v>
      </c>
      <c r="K3195">
        <v>0</v>
      </c>
      <c r="O3195">
        <v>0</v>
      </c>
      <c r="P3195">
        <v>4</v>
      </c>
      <c r="Q3195">
        <v>0</v>
      </c>
      <c r="R3195">
        <v>21.75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6</v>
      </c>
      <c r="AC3195">
        <v>0</v>
      </c>
      <c r="AH3195">
        <v>27.75</v>
      </c>
    </row>
    <row r="3196" spans="1:34" x14ac:dyDescent="0.3">
      <c r="A3196" s="4">
        <v>3312</v>
      </c>
      <c r="B3196" s="5">
        <v>3189</v>
      </c>
      <c r="C3196">
        <v>8915</v>
      </c>
      <c r="D3196" t="s">
        <v>19331</v>
      </c>
      <c r="E3196" t="s">
        <v>23747</v>
      </c>
      <c r="F3196" t="s">
        <v>243</v>
      </c>
      <c r="H3196">
        <v>21.75</v>
      </c>
      <c r="I3196">
        <v>0</v>
      </c>
      <c r="J3196">
        <v>0</v>
      </c>
      <c r="K3196">
        <v>0</v>
      </c>
      <c r="N3196">
        <v>6</v>
      </c>
      <c r="O3196">
        <v>6</v>
      </c>
      <c r="P3196">
        <v>0</v>
      </c>
      <c r="Q3196">
        <v>0</v>
      </c>
      <c r="R3196">
        <v>27.75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H3196">
        <v>27.75</v>
      </c>
    </row>
    <row r="3197" spans="1:34" x14ac:dyDescent="0.3">
      <c r="A3197" s="4">
        <v>3313</v>
      </c>
      <c r="B3197" s="5">
        <v>3190</v>
      </c>
      <c r="C3197">
        <v>8188</v>
      </c>
      <c r="D3197" t="s">
        <v>3340</v>
      </c>
      <c r="E3197" t="s">
        <v>37</v>
      </c>
      <c r="F3197" t="s">
        <v>38</v>
      </c>
      <c r="G3197" t="s">
        <v>23748</v>
      </c>
      <c r="H3197">
        <v>20.75</v>
      </c>
      <c r="I3197">
        <v>0</v>
      </c>
      <c r="J3197">
        <v>0</v>
      </c>
      <c r="K3197">
        <v>0</v>
      </c>
      <c r="N3197">
        <v>3</v>
      </c>
      <c r="O3197">
        <v>3</v>
      </c>
      <c r="P3197">
        <v>4</v>
      </c>
      <c r="Q3197">
        <v>0</v>
      </c>
      <c r="R3197">
        <v>27.75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 t="s">
        <v>130</v>
      </c>
      <c r="AH3197">
        <v>27.75</v>
      </c>
    </row>
    <row r="3198" spans="1:34" x14ac:dyDescent="0.3">
      <c r="A3198" s="4">
        <v>3314</v>
      </c>
      <c r="B3198" s="5">
        <v>3191</v>
      </c>
      <c r="C3198">
        <v>2916</v>
      </c>
      <c r="D3198" t="s">
        <v>23749</v>
      </c>
      <c r="E3198" t="s">
        <v>744</v>
      </c>
      <c r="F3198" t="s">
        <v>214</v>
      </c>
      <c r="G3198" t="s">
        <v>23750</v>
      </c>
      <c r="H3198">
        <v>20.73</v>
      </c>
      <c r="I3198">
        <v>0</v>
      </c>
      <c r="J3198">
        <v>0</v>
      </c>
      <c r="K3198">
        <v>0</v>
      </c>
      <c r="L3198">
        <v>7</v>
      </c>
      <c r="O3198">
        <v>7</v>
      </c>
      <c r="P3198">
        <v>0</v>
      </c>
      <c r="Q3198">
        <v>0</v>
      </c>
      <c r="R3198">
        <v>27.73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H3198">
        <v>27.73</v>
      </c>
    </row>
    <row r="3199" spans="1:34" x14ac:dyDescent="0.3">
      <c r="A3199" s="4">
        <v>3315</v>
      </c>
      <c r="B3199" s="5">
        <v>3192</v>
      </c>
      <c r="C3199">
        <v>10071</v>
      </c>
      <c r="D3199" t="s">
        <v>1538</v>
      </c>
      <c r="E3199" t="s">
        <v>5767</v>
      </c>
      <c r="F3199" t="s">
        <v>136</v>
      </c>
      <c r="G3199" t="s">
        <v>23751</v>
      </c>
      <c r="H3199">
        <v>18.73</v>
      </c>
      <c r="I3199">
        <v>0</v>
      </c>
      <c r="J3199">
        <v>0</v>
      </c>
      <c r="K3199">
        <v>0</v>
      </c>
      <c r="N3199">
        <v>3</v>
      </c>
      <c r="O3199">
        <v>3</v>
      </c>
      <c r="P3199">
        <v>4</v>
      </c>
      <c r="Q3199">
        <v>2</v>
      </c>
      <c r="R3199">
        <v>27.73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H3199">
        <v>27.73</v>
      </c>
    </row>
    <row r="3200" spans="1:34" x14ac:dyDescent="0.3">
      <c r="A3200" s="4">
        <v>3316</v>
      </c>
      <c r="B3200" s="5">
        <v>3193</v>
      </c>
      <c r="C3200">
        <v>7397</v>
      </c>
      <c r="D3200" t="s">
        <v>1048</v>
      </c>
      <c r="E3200" t="s">
        <v>782</v>
      </c>
      <c r="F3200" t="s">
        <v>52</v>
      </c>
      <c r="G3200" t="s">
        <v>23752</v>
      </c>
      <c r="H3200">
        <v>16.73</v>
      </c>
      <c r="I3200">
        <v>0</v>
      </c>
      <c r="J3200">
        <v>0</v>
      </c>
      <c r="K3200">
        <v>0</v>
      </c>
      <c r="L3200">
        <v>7</v>
      </c>
      <c r="O3200">
        <v>7</v>
      </c>
      <c r="P3200">
        <v>4</v>
      </c>
      <c r="Q3200">
        <v>0</v>
      </c>
      <c r="R3200">
        <v>27.73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H3200">
        <v>27.73</v>
      </c>
    </row>
    <row r="3201" spans="1:34" x14ac:dyDescent="0.3">
      <c r="A3201" s="4">
        <v>3317</v>
      </c>
      <c r="B3201" s="5">
        <v>3194</v>
      </c>
      <c r="C3201">
        <v>9924</v>
      </c>
      <c r="D3201" t="s">
        <v>110</v>
      </c>
      <c r="E3201" t="s">
        <v>23753</v>
      </c>
      <c r="F3201" t="s">
        <v>14</v>
      </c>
      <c r="G3201" t="s">
        <v>23754</v>
      </c>
      <c r="H3201">
        <v>16.73</v>
      </c>
      <c r="I3201">
        <v>0</v>
      </c>
      <c r="J3201">
        <v>0</v>
      </c>
      <c r="K3201">
        <v>0</v>
      </c>
      <c r="M3201">
        <v>5</v>
      </c>
      <c r="O3201">
        <v>5</v>
      </c>
      <c r="P3201">
        <v>0</v>
      </c>
      <c r="Q3201">
        <v>0</v>
      </c>
      <c r="R3201">
        <v>21.73</v>
      </c>
      <c r="S3201">
        <v>6</v>
      </c>
      <c r="T3201">
        <v>6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6</v>
      </c>
      <c r="AB3201">
        <v>0</v>
      </c>
      <c r="AC3201">
        <v>0</v>
      </c>
      <c r="AH3201">
        <v>27.73</v>
      </c>
    </row>
    <row r="3202" spans="1:34" x14ac:dyDescent="0.3">
      <c r="A3202" s="4">
        <v>3318</v>
      </c>
      <c r="B3202" s="5">
        <v>3195</v>
      </c>
      <c r="C3202">
        <v>8693</v>
      </c>
      <c r="D3202" t="s">
        <v>1129</v>
      </c>
      <c r="E3202" t="s">
        <v>38</v>
      </c>
      <c r="F3202" t="s">
        <v>91</v>
      </c>
      <c r="G3202" t="s">
        <v>23755</v>
      </c>
      <c r="H3202">
        <v>18.7</v>
      </c>
      <c r="I3202">
        <v>0</v>
      </c>
      <c r="J3202">
        <v>0</v>
      </c>
      <c r="K3202">
        <v>0</v>
      </c>
      <c r="N3202">
        <v>3</v>
      </c>
      <c r="O3202">
        <v>3</v>
      </c>
      <c r="P3202">
        <v>4</v>
      </c>
      <c r="Q3202">
        <v>2</v>
      </c>
      <c r="R3202">
        <v>27.7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H3202">
        <v>27.7</v>
      </c>
    </row>
    <row r="3203" spans="1:34" x14ac:dyDescent="0.3">
      <c r="A3203" s="4">
        <v>3319</v>
      </c>
      <c r="B3203" s="5">
        <v>3196</v>
      </c>
      <c r="C3203">
        <v>1053</v>
      </c>
      <c r="D3203" t="s">
        <v>23756</v>
      </c>
      <c r="E3203" t="s">
        <v>23757</v>
      </c>
      <c r="F3203" t="s">
        <v>23758</v>
      </c>
      <c r="G3203" t="s">
        <v>23759</v>
      </c>
      <c r="H3203">
        <v>17.68</v>
      </c>
      <c r="I3203">
        <v>0</v>
      </c>
      <c r="J3203">
        <v>0</v>
      </c>
      <c r="K3203">
        <v>0</v>
      </c>
      <c r="N3203">
        <v>3</v>
      </c>
      <c r="O3203">
        <v>3</v>
      </c>
      <c r="P3203">
        <v>4</v>
      </c>
      <c r="Q3203">
        <v>0</v>
      </c>
      <c r="R3203">
        <v>24.68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3</v>
      </c>
      <c r="AC3203">
        <v>0</v>
      </c>
      <c r="AH3203">
        <v>27.68</v>
      </c>
    </row>
    <row r="3204" spans="1:34" x14ac:dyDescent="0.3">
      <c r="A3204" s="4">
        <v>3320</v>
      </c>
      <c r="B3204" s="5">
        <v>3197</v>
      </c>
      <c r="C3204">
        <v>2152</v>
      </c>
      <c r="D3204" t="s">
        <v>23760</v>
      </c>
      <c r="E3204" t="s">
        <v>29</v>
      </c>
      <c r="F3204" t="s">
        <v>68</v>
      </c>
      <c r="G3204" t="s">
        <v>23761</v>
      </c>
      <c r="H3204">
        <v>17.68</v>
      </c>
      <c r="I3204">
        <v>0</v>
      </c>
      <c r="J3204">
        <v>0</v>
      </c>
      <c r="K3204">
        <v>0</v>
      </c>
      <c r="N3204">
        <v>3</v>
      </c>
      <c r="O3204">
        <v>3</v>
      </c>
      <c r="P3204">
        <v>4</v>
      </c>
      <c r="Q3204">
        <v>0</v>
      </c>
      <c r="R3204">
        <v>24.68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3</v>
      </c>
      <c r="AC3204">
        <v>0</v>
      </c>
      <c r="AH3204">
        <v>27.68</v>
      </c>
    </row>
    <row r="3205" spans="1:34" x14ac:dyDescent="0.3">
      <c r="A3205" s="4">
        <v>3321</v>
      </c>
      <c r="B3205" s="5">
        <v>3198</v>
      </c>
      <c r="C3205">
        <v>8196</v>
      </c>
      <c r="D3205" t="s">
        <v>9316</v>
      </c>
      <c r="E3205" t="s">
        <v>178</v>
      </c>
      <c r="F3205" t="s">
        <v>972</v>
      </c>
      <c r="G3205" t="s">
        <v>23762</v>
      </c>
      <c r="H3205">
        <v>17.68</v>
      </c>
      <c r="I3205">
        <v>0</v>
      </c>
      <c r="J3205">
        <v>0</v>
      </c>
      <c r="K3205">
        <v>0</v>
      </c>
      <c r="N3205">
        <v>6</v>
      </c>
      <c r="O3205">
        <v>6</v>
      </c>
      <c r="P3205">
        <v>4</v>
      </c>
      <c r="Q3205">
        <v>0</v>
      </c>
      <c r="R3205">
        <v>27.68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H3205">
        <v>27.68</v>
      </c>
    </row>
    <row r="3206" spans="1:34" x14ac:dyDescent="0.3">
      <c r="A3206" s="4">
        <v>3322</v>
      </c>
      <c r="B3206" s="5">
        <v>3199</v>
      </c>
      <c r="C3206">
        <v>1137</v>
      </c>
      <c r="D3206" t="s">
        <v>423</v>
      </c>
      <c r="E3206" t="s">
        <v>1465</v>
      </c>
      <c r="F3206" t="s">
        <v>20</v>
      </c>
      <c r="G3206" t="s">
        <v>23763</v>
      </c>
      <c r="H3206">
        <v>20.65</v>
      </c>
      <c r="I3206">
        <v>0</v>
      </c>
      <c r="J3206">
        <v>0</v>
      </c>
      <c r="K3206">
        <v>0</v>
      </c>
      <c r="N3206">
        <v>3</v>
      </c>
      <c r="O3206">
        <v>3</v>
      </c>
      <c r="P3206">
        <v>4</v>
      </c>
      <c r="Q3206">
        <v>0</v>
      </c>
      <c r="R3206">
        <v>27.65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H3206">
        <v>27.65</v>
      </c>
    </row>
    <row r="3207" spans="1:34" x14ac:dyDescent="0.3">
      <c r="A3207" s="4">
        <v>3323</v>
      </c>
      <c r="B3207" s="5">
        <v>3200</v>
      </c>
      <c r="C3207">
        <v>6952</v>
      </c>
      <c r="D3207" t="s">
        <v>23764</v>
      </c>
      <c r="E3207" t="s">
        <v>37</v>
      </c>
      <c r="F3207" t="s">
        <v>298</v>
      </c>
      <c r="G3207" t="s">
        <v>23765</v>
      </c>
      <c r="H3207">
        <v>18.649999999999999</v>
      </c>
      <c r="I3207">
        <v>0</v>
      </c>
      <c r="J3207">
        <v>0</v>
      </c>
      <c r="K3207">
        <v>0</v>
      </c>
      <c r="M3207">
        <v>5</v>
      </c>
      <c r="O3207">
        <v>5</v>
      </c>
      <c r="P3207">
        <v>4</v>
      </c>
      <c r="Q3207">
        <v>0</v>
      </c>
      <c r="R3207">
        <v>27.65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H3207">
        <v>27.65</v>
      </c>
    </row>
    <row r="3208" spans="1:34" x14ac:dyDescent="0.3">
      <c r="A3208" s="4">
        <v>3324</v>
      </c>
      <c r="B3208" s="5">
        <v>3201</v>
      </c>
      <c r="C3208">
        <v>6458</v>
      </c>
      <c r="D3208" t="s">
        <v>23766</v>
      </c>
      <c r="E3208" t="s">
        <v>41</v>
      </c>
      <c r="F3208" t="s">
        <v>23767</v>
      </c>
      <c r="G3208" t="s">
        <v>23768</v>
      </c>
      <c r="H3208">
        <v>18.649999999999999</v>
      </c>
      <c r="I3208">
        <v>0</v>
      </c>
      <c r="J3208">
        <v>0</v>
      </c>
      <c r="K3208">
        <v>0</v>
      </c>
      <c r="M3208">
        <v>5</v>
      </c>
      <c r="O3208">
        <v>5</v>
      </c>
      <c r="P3208">
        <v>4</v>
      </c>
      <c r="Q3208">
        <v>0</v>
      </c>
      <c r="R3208">
        <v>27.65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H3208">
        <v>27.65</v>
      </c>
    </row>
    <row r="3209" spans="1:34" x14ac:dyDescent="0.3">
      <c r="A3209" s="4">
        <v>3325</v>
      </c>
      <c r="B3209" s="5">
        <v>3202</v>
      </c>
      <c r="C3209">
        <v>5559</v>
      </c>
      <c r="D3209" t="s">
        <v>23769</v>
      </c>
      <c r="E3209" t="s">
        <v>22</v>
      </c>
      <c r="F3209" t="s">
        <v>68</v>
      </c>
      <c r="G3209" t="s">
        <v>23770</v>
      </c>
      <c r="H3209">
        <v>18.649999999999999</v>
      </c>
      <c r="I3209">
        <v>0</v>
      </c>
      <c r="J3209">
        <v>0</v>
      </c>
      <c r="K3209">
        <v>0</v>
      </c>
      <c r="M3209">
        <v>5</v>
      </c>
      <c r="O3209">
        <v>5</v>
      </c>
      <c r="P3209">
        <v>4</v>
      </c>
      <c r="Q3209">
        <v>0</v>
      </c>
      <c r="R3209">
        <v>27.65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H3209">
        <v>27.65</v>
      </c>
    </row>
    <row r="3210" spans="1:34" x14ac:dyDescent="0.3">
      <c r="A3210" s="4">
        <v>3326</v>
      </c>
      <c r="B3210" s="5">
        <v>3203</v>
      </c>
      <c r="C3210">
        <v>8872</v>
      </c>
      <c r="D3210" t="s">
        <v>1284</v>
      </c>
      <c r="E3210" t="s">
        <v>182</v>
      </c>
      <c r="F3210" t="s">
        <v>17</v>
      </c>
      <c r="G3210" t="s">
        <v>23771</v>
      </c>
      <c r="H3210">
        <v>20.63</v>
      </c>
      <c r="I3210">
        <v>0</v>
      </c>
      <c r="J3210">
        <v>0</v>
      </c>
      <c r="K3210">
        <v>0</v>
      </c>
      <c r="O3210">
        <v>0</v>
      </c>
      <c r="P3210">
        <v>4</v>
      </c>
      <c r="Q3210">
        <v>0</v>
      </c>
      <c r="R3210">
        <v>24.63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3</v>
      </c>
      <c r="AC3210">
        <v>0</v>
      </c>
      <c r="AH3210">
        <v>27.63</v>
      </c>
    </row>
    <row r="3211" spans="1:34" x14ac:dyDescent="0.3">
      <c r="A3211" s="4">
        <v>3327</v>
      </c>
      <c r="B3211" s="5">
        <v>3204</v>
      </c>
      <c r="C3211">
        <v>1952</v>
      </c>
      <c r="D3211" t="s">
        <v>23772</v>
      </c>
      <c r="E3211" t="s">
        <v>81</v>
      </c>
      <c r="F3211" t="s">
        <v>167</v>
      </c>
      <c r="G3211" t="s">
        <v>23773</v>
      </c>
      <c r="H3211">
        <v>17.63</v>
      </c>
      <c r="I3211">
        <v>0</v>
      </c>
      <c r="J3211">
        <v>0</v>
      </c>
      <c r="K3211">
        <v>0</v>
      </c>
      <c r="N3211">
        <v>3</v>
      </c>
      <c r="O3211">
        <v>3</v>
      </c>
      <c r="P3211">
        <v>4</v>
      </c>
      <c r="Q3211">
        <v>0</v>
      </c>
      <c r="R3211">
        <v>24.63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3</v>
      </c>
      <c r="AC3211">
        <v>0</v>
      </c>
      <c r="AH3211">
        <v>27.63</v>
      </c>
    </row>
    <row r="3212" spans="1:34" x14ac:dyDescent="0.3">
      <c r="A3212" s="4">
        <v>3328</v>
      </c>
      <c r="B3212" s="5">
        <v>3205</v>
      </c>
      <c r="C3212">
        <v>14494</v>
      </c>
      <c r="D3212" t="s">
        <v>23774</v>
      </c>
      <c r="E3212" t="s">
        <v>54</v>
      </c>
      <c r="F3212" t="s">
        <v>20</v>
      </c>
      <c r="G3212" t="s">
        <v>23775</v>
      </c>
      <c r="H3212">
        <v>17.63</v>
      </c>
      <c r="I3212">
        <v>0</v>
      </c>
      <c r="J3212">
        <v>0</v>
      </c>
      <c r="K3212">
        <v>0</v>
      </c>
      <c r="N3212">
        <v>3</v>
      </c>
      <c r="O3212">
        <v>3</v>
      </c>
      <c r="P3212">
        <v>4</v>
      </c>
      <c r="Q3212">
        <v>0</v>
      </c>
      <c r="R3212">
        <v>24.63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3</v>
      </c>
      <c r="AC3212">
        <v>0</v>
      </c>
      <c r="AH3212">
        <v>27.63</v>
      </c>
    </row>
    <row r="3213" spans="1:34" x14ac:dyDescent="0.3">
      <c r="A3213" s="4">
        <v>3329</v>
      </c>
      <c r="B3213" s="5">
        <v>3206</v>
      </c>
      <c r="C3213">
        <v>12539</v>
      </c>
      <c r="D3213" t="s">
        <v>18363</v>
      </c>
      <c r="E3213" t="s">
        <v>132</v>
      </c>
      <c r="F3213" t="s">
        <v>17</v>
      </c>
      <c r="G3213" t="s">
        <v>23776</v>
      </c>
      <c r="H3213">
        <v>20.63</v>
      </c>
      <c r="I3213">
        <v>0</v>
      </c>
      <c r="J3213">
        <v>0</v>
      </c>
      <c r="K3213">
        <v>0</v>
      </c>
      <c r="N3213">
        <v>3</v>
      </c>
      <c r="O3213">
        <v>3</v>
      </c>
      <c r="P3213">
        <v>4</v>
      </c>
      <c r="Q3213">
        <v>0</v>
      </c>
      <c r="R3213">
        <v>27.63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H3213">
        <v>27.63</v>
      </c>
    </row>
    <row r="3214" spans="1:34" x14ac:dyDescent="0.3">
      <c r="A3214" s="4">
        <v>3330</v>
      </c>
      <c r="B3214" s="5">
        <v>3207</v>
      </c>
      <c r="C3214">
        <v>4193</v>
      </c>
      <c r="D3214" t="s">
        <v>23777</v>
      </c>
      <c r="E3214" t="s">
        <v>23778</v>
      </c>
      <c r="F3214" t="s">
        <v>30</v>
      </c>
      <c r="G3214" t="s">
        <v>23779</v>
      </c>
      <c r="H3214">
        <v>18.63</v>
      </c>
      <c r="I3214">
        <v>0</v>
      </c>
      <c r="J3214">
        <v>0</v>
      </c>
      <c r="K3214">
        <v>0</v>
      </c>
      <c r="L3214">
        <v>7</v>
      </c>
      <c r="O3214">
        <v>7</v>
      </c>
      <c r="P3214">
        <v>0</v>
      </c>
      <c r="Q3214">
        <v>2</v>
      </c>
      <c r="R3214">
        <v>27.63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H3214">
        <v>27.63</v>
      </c>
    </row>
    <row r="3215" spans="1:34" x14ac:dyDescent="0.3">
      <c r="A3215" s="4">
        <v>3331</v>
      </c>
      <c r="B3215" s="5">
        <v>3208</v>
      </c>
      <c r="C3215">
        <v>11708</v>
      </c>
      <c r="D3215" t="s">
        <v>1422</v>
      </c>
      <c r="E3215" t="s">
        <v>54</v>
      </c>
      <c r="F3215" t="s">
        <v>23780</v>
      </c>
      <c r="G3215" t="s">
        <v>23781</v>
      </c>
      <c r="H3215">
        <v>18.63</v>
      </c>
      <c r="I3215">
        <v>0</v>
      </c>
      <c r="J3215">
        <v>0</v>
      </c>
      <c r="K3215">
        <v>0</v>
      </c>
      <c r="M3215">
        <v>5</v>
      </c>
      <c r="O3215">
        <v>5</v>
      </c>
      <c r="P3215">
        <v>4</v>
      </c>
      <c r="Q3215">
        <v>0</v>
      </c>
      <c r="R3215">
        <v>27.63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H3215">
        <v>27.63</v>
      </c>
    </row>
    <row r="3216" spans="1:34" x14ac:dyDescent="0.3">
      <c r="A3216" s="4">
        <v>3332</v>
      </c>
      <c r="B3216" s="5">
        <v>3209</v>
      </c>
      <c r="C3216">
        <v>12849</v>
      </c>
      <c r="D3216" t="s">
        <v>4835</v>
      </c>
      <c r="E3216" t="s">
        <v>23782</v>
      </c>
      <c r="F3216" t="s">
        <v>17</v>
      </c>
      <c r="G3216" t="s">
        <v>23783</v>
      </c>
      <c r="H3216">
        <v>18.600000000000001</v>
      </c>
      <c r="I3216">
        <v>0</v>
      </c>
      <c r="J3216">
        <v>0</v>
      </c>
      <c r="K3216">
        <v>0</v>
      </c>
      <c r="N3216">
        <v>3</v>
      </c>
      <c r="O3216">
        <v>3</v>
      </c>
      <c r="P3216">
        <v>0</v>
      </c>
      <c r="Q3216">
        <v>0</v>
      </c>
      <c r="R3216">
        <v>21.6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6</v>
      </c>
      <c r="AC3216">
        <v>0</v>
      </c>
      <c r="AH3216">
        <v>27.6</v>
      </c>
    </row>
    <row r="3217" spans="1:34" x14ac:dyDescent="0.3">
      <c r="A3217" s="4">
        <v>3333</v>
      </c>
      <c r="B3217" s="5">
        <v>3210</v>
      </c>
      <c r="C3217">
        <v>6278</v>
      </c>
      <c r="D3217" t="s">
        <v>1907</v>
      </c>
      <c r="E3217" t="s">
        <v>6946</v>
      </c>
      <c r="F3217" t="s">
        <v>38</v>
      </c>
      <c r="G3217" t="s">
        <v>23784</v>
      </c>
      <c r="H3217">
        <v>17.600000000000001</v>
      </c>
      <c r="I3217">
        <v>0</v>
      </c>
      <c r="J3217">
        <v>0</v>
      </c>
      <c r="K3217">
        <v>0</v>
      </c>
      <c r="O3217">
        <v>0</v>
      </c>
      <c r="P3217">
        <v>4</v>
      </c>
      <c r="Q3217">
        <v>0</v>
      </c>
      <c r="R3217">
        <v>21.6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6</v>
      </c>
      <c r="AC3217">
        <v>0</v>
      </c>
      <c r="AH3217">
        <v>27.6</v>
      </c>
    </row>
    <row r="3218" spans="1:34" x14ac:dyDescent="0.3">
      <c r="A3218" s="4">
        <v>3334</v>
      </c>
      <c r="B3218" s="5">
        <v>3211</v>
      </c>
      <c r="C3218">
        <v>7768</v>
      </c>
      <c r="D3218" t="s">
        <v>5353</v>
      </c>
      <c r="E3218" t="s">
        <v>26</v>
      </c>
      <c r="F3218" t="s">
        <v>17</v>
      </c>
      <c r="G3218" t="s">
        <v>23785</v>
      </c>
      <c r="H3218">
        <v>20.6</v>
      </c>
      <c r="I3218">
        <v>0</v>
      </c>
      <c r="J3218">
        <v>0</v>
      </c>
      <c r="K3218">
        <v>0</v>
      </c>
      <c r="N3218">
        <v>3</v>
      </c>
      <c r="O3218">
        <v>3</v>
      </c>
      <c r="P3218">
        <v>4</v>
      </c>
      <c r="Q3218">
        <v>0</v>
      </c>
      <c r="R3218">
        <v>27.6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H3218">
        <v>27.6</v>
      </c>
    </row>
    <row r="3219" spans="1:34" x14ac:dyDescent="0.3">
      <c r="A3219" s="4">
        <v>3335</v>
      </c>
      <c r="B3219" s="5">
        <v>3212</v>
      </c>
      <c r="C3219">
        <v>15591</v>
      </c>
      <c r="D3219" t="s">
        <v>23786</v>
      </c>
      <c r="E3219" t="s">
        <v>29</v>
      </c>
      <c r="F3219" t="s">
        <v>259</v>
      </c>
      <c r="G3219" t="s">
        <v>23787</v>
      </c>
      <c r="H3219">
        <v>20.6</v>
      </c>
      <c r="I3219">
        <v>0</v>
      </c>
      <c r="J3219">
        <v>0</v>
      </c>
      <c r="K3219">
        <v>0</v>
      </c>
      <c r="N3219">
        <v>3</v>
      </c>
      <c r="O3219">
        <v>3</v>
      </c>
      <c r="P3219">
        <v>4</v>
      </c>
      <c r="Q3219">
        <v>0</v>
      </c>
      <c r="R3219">
        <v>27.6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H3219">
        <v>27.6</v>
      </c>
    </row>
    <row r="3220" spans="1:34" x14ac:dyDescent="0.3">
      <c r="A3220" s="4">
        <v>3336</v>
      </c>
      <c r="B3220" s="5">
        <v>3213</v>
      </c>
      <c r="C3220">
        <v>13059</v>
      </c>
      <c r="D3220" t="s">
        <v>1296</v>
      </c>
      <c r="E3220" t="s">
        <v>132</v>
      </c>
      <c r="F3220" t="s">
        <v>117</v>
      </c>
      <c r="G3220" t="s">
        <v>23788</v>
      </c>
      <c r="H3220">
        <v>20.6</v>
      </c>
      <c r="I3220">
        <v>0</v>
      </c>
      <c r="J3220">
        <v>0</v>
      </c>
      <c r="K3220">
        <v>0</v>
      </c>
      <c r="N3220">
        <v>3</v>
      </c>
      <c r="O3220">
        <v>3</v>
      </c>
      <c r="P3220">
        <v>4</v>
      </c>
      <c r="Q3220">
        <v>0</v>
      </c>
      <c r="R3220">
        <v>27.6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H3220">
        <v>27.6</v>
      </c>
    </row>
    <row r="3221" spans="1:34" x14ac:dyDescent="0.3">
      <c r="A3221" s="4">
        <v>3337</v>
      </c>
      <c r="B3221" s="5">
        <v>3214</v>
      </c>
      <c r="C3221">
        <v>4021</v>
      </c>
      <c r="D3221" t="s">
        <v>23789</v>
      </c>
      <c r="E3221" t="s">
        <v>23789</v>
      </c>
      <c r="F3221" t="s">
        <v>20</v>
      </c>
      <c r="G3221" t="s">
        <v>32017</v>
      </c>
      <c r="H3221">
        <v>16.600000000000001</v>
      </c>
      <c r="I3221">
        <v>0</v>
      </c>
      <c r="J3221">
        <v>0</v>
      </c>
      <c r="K3221">
        <v>0</v>
      </c>
      <c r="L3221">
        <v>7</v>
      </c>
      <c r="O3221">
        <v>7</v>
      </c>
      <c r="P3221">
        <v>4</v>
      </c>
      <c r="Q3221">
        <v>0</v>
      </c>
      <c r="R3221">
        <v>27.6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H3221">
        <v>27.6</v>
      </c>
    </row>
    <row r="3222" spans="1:34" x14ac:dyDescent="0.3">
      <c r="A3222" s="4">
        <v>3338</v>
      </c>
      <c r="B3222" s="5">
        <v>3215</v>
      </c>
      <c r="C3222">
        <v>9489</v>
      </c>
      <c r="D3222" t="s">
        <v>23790</v>
      </c>
      <c r="E3222" t="s">
        <v>161</v>
      </c>
      <c r="F3222" t="s">
        <v>81</v>
      </c>
      <c r="G3222" t="s">
        <v>23791</v>
      </c>
      <c r="H3222">
        <v>20.58</v>
      </c>
      <c r="I3222">
        <v>0</v>
      </c>
      <c r="J3222">
        <v>0</v>
      </c>
      <c r="K3222">
        <v>0</v>
      </c>
      <c r="L3222">
        <v>7</v>
      </c>
      <c r="O3222">
        <v>7</v>
      </c>
      <c r="P3222">
        <v>0</v>
      </c>
      <c r="Q3222">
        <v>0</v>
      </c>
      <c r="R3222">
        <v>27.58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H3222">
        <v>27.58</v>
      </c>
    </row>
    <row r="3223" spans="1:34" x14ac:dyDescent="0.3">
      <c r="A3223" s="4">
        <v>3339</v>
      </c>
      <c r="B3223" s="5">
        <v>3216</v>
      </c>
      <c r="C3223">
        <v>3561</v>
      </c>
      <c r="D3223" t="s">
        <v>23792</v>
      </c>
      <c r="E3223" t="s">
        <v>491</v>
      </c>
      <c r="F3223" t="s">
        <v>20</v>
      </c>
      <c r="G3223" t="s">
        <v>23793</v>
      </c>
      <c r="H3223">
        <v>20.58</v>
      </c>
      <c r="I3223">
        <v>0</v>
      </c>
      <c r="J3223">
        <v>0</v>
      </c>
      <c r="K3223">
        <v>0</v>
      </c>
      <c r="N3223">
        <v>3</v>
      </c>
      <c r="O3223">
        <v>3</v>
      </c>
      <c r="P3223">
        <v>4</v>
      </c>
      <c r="Q3223">
        <v>0</v>
      </c>
      <c r="R3223">
        <v>27.58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H3223">
        <v>27.58</v>
      </c>
    </row>
    <row r="3224" spans="1:34" x14ac:dyDescent="0.3">
      <c r="A3224" s="4">
        <v>3340</v>
      </c>
      <c r="B3224" s="5">
        <v>3217</v>
      </c>
      <c r="C3224">
        <v>2264</v>
      </c>
      <c r="D3224" t="s">
        <v>11708</v>
      </c>
      <c r="E3224" t="s">
        <v>54</v>
      </c>
      <c r="F3224" t="s">
        <v>259</v>
      </c>
      <c r="G3224" t="s">
        <v>23794</v>
      </c>
      <c r="H3224">
        <v>20.58</v>
      </c>
      <c r="I3224">
        <v>0</v>
      </c>
      <c r="J3224">
        <v>0</v>
      </c>
      <c r="K3224">
        <v>0</v>
      </c>
      <c r="L3224">
        <v>7</v>
      </c>
      <c r="O3224">
        <v>7</v>
      </c>
      <c r="P3224">
        <v>0</v>
      </c>
      <c r="Q3224">
        <v>0</v>
      </c>
      <c r="R3224">
        <v>27.58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H3224">
        <v>27.58</v>
      </c>
    </row>
    <row r="3225" spans="1:34" x14ac:dyDescent="0.3">
      <c r="A3225" s="4">
        <v>3341</v>
      </c>
      <c r="B3225" s="5">
        <v>3218</v>
      </c>
      <c r="C3225">
        <v>4068</v>
      </c>
      <c r="D3225" t="s">
        <v>2377</v>
      </c>
      <c r="E3225" t="s">
        <v>23795</v>
      </c>
      <c r="F3225" t="s">
        <v>117</v>
      </c>
      <c r="G3225" t="s">
        <v>23796</v>
      </c>
      <c r="H3225">
        <v>20.58</v>
      </c>
      <c r="I3225">
        <v>0</v>
      </c>
      <c r="J3225">
        <v>0</v>
      </c>
      <c r="K3225">
        <v>0</v>
      </c>
      <c r="L3225">
        <v>7</v>
      </c>
      <c r="O3225">
        <v>7</v>
      </c>
      <c r="P3225">
        <v>0</v>
      </c>
      <c r="Q3225">
        <v>0</v>
      </c>
      <c r="R3225">
        <v>27.58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H3225">
        <v>27.58</v>
      </c>
    </row>
    <row r="3226" spans="1:34" x14ac:dyDescent="0.3">
      <c r="A3226" s="4">
        <v>3342</v>
      </c>
      <c r="B3226" s="5">
        <v>3219</v>
      </c>
      <c r="C3226">
        <v>7030</v>
      </c>
      <c r="D3226" t="s">
        <v>12696</v>
      </c>
      <c r="E3226" t="s">
        <v>8570</v>
      </c>
      <c r="F3226" t="s">
        <v>38</v>
      </c>
      <c r="G3226" t="s">
        <v>23797</v>
      </c>
      <c r="H3226">
        <v>20.55</v>
      </c>
      <c r="I3226">
        <v>0</v>
      </c>
      <c r="J3226">
        <v>0</v>
      </c>
      <c r="K3226">
        <v>0</v>
      </c>
      <c r="N3226">
        <v>3</v>
      </c>
      <c r="O3226">
        <v>3</v>
      </c>
      <c r="P3226">
        <v>4</v>
      </c>
      <c r="Q3226">
        <v>0</v>
      </c>
      <c r="R3226">
        <v>27.55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H3226">
        <v>27.55</v>
      </c>
    </row>
    <row r="3227" spans="1:34" x14ac:dyDescent="0.3">
      <c r="A3227" s="4">
        <v>3343</v>
      </c>
      <c r="B3227" s="5">
        <v>3220</v>
      </c>
      <c r="C3227">
        <v>11978</v>
      </c>
      <c r="D3227" t="s">
        <v>23798</v>
      </c>
      <c r="E3227" t="s">
        <v>20576</v>
      </c>
      <c r="F3227" t="s">
        <v>20</v>
      </c>
      <c r="G3227" t="s">
        <v>23799</v>
      </c>
      <c r="H3227">
        <v>20.55</v>
      </c>
      <c r="I3227">
        <v>0</v>
      </c>
      <c r="J3227">
        <v>0</v>
      </c>
      <c r="K3227">
        <v>0</v>
      </c>
      <c r="N3227">
        <v>3</v>
      </c>
      <c r="O3227">
        <v>3</v>
      </c>
      <c r="P3227">
        <v>4</v>
      </c>
      <c r="Q3227">
        <v>0</v>
      </c>
      <c r="R3227">
        <v>27.55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H3227">
        <v>27.55</v>
      </c>
    </row>
    <row r="3228" spans="1:34" x14ac:dyDescent="0.3">
      <c r="A3228" s="4">
        <v>3344</v>
      </c>
      <c r="B3228" s="5">
        <v>3221</v>
      </c>
      <c r="C3228">
        <v>15133</v>
      </c>
      <c r="D3228" t="s">
        <v>7335</v>
      </c>
      <c r="E3228" t="s">
        <v>54</v>
      </c>
      <c r="F3228" t="s">
        <v>20</v>
      </c>
      <c r="G3228" t="s">
        <v>23800</v>
      </c>
      <c r="H3228">
        <v>17.53</v>
      </c>
      <c r="I3228">
        <v>0</v>
      </c>
      <c r="J3228">
        <v>0</v>
      </c>
      <c r="K3228">
        <v>0</v>
      </c>
      <c r="O3228">
        <v>0</v>
      </c>
      <c r="P3228">
        <v>4</v>
      </c>
      <c r="Q3228">
        <v>0</v>
      </c>
      <c r="R3228">
        <v>21.53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6</v>
      </c>
      <c r="AC3228">
        <v>0</v>
      </c>
      <c r="AH3228">
        <v>27.53</v>
      </c>
    </row>
    <row r="3229" spans="1:34" x14ac:dyDescent="0.3">
      <c r="A3229" s="4">
        <v>3345</v>
      </c>
      <c r="B3229" s="5">
        <v>3222</v>
      </c>
      <c r="C3229">
        <v>9839</v>
      </c>
      <c r="D3229" t="s">
        <v>2036</v>
      </c>
      <c r="E3229" t="s">
        <v>29</v>
      </c>
      <c r="F3229" t="s">
        <v>230</v>
      </c>
      <c r="G3229" t="s">
        <v>23801</v>
      </c>
      <c r="H3229">
        <v>20.53</v>
      </c>
      <c r="I3229">
        <v>0</v>
      </c>
      <c r="J3229">
        <v>0</v>
      </c>
      <c r="K3229">
        <v>0</v>
      </c>
      <c r="N3229">
        <v>3</v>
      </c>
      <c r="O3229">
        <v>3</v>
      </c>
      <c r="P3229">
        <v>4</v>
      </c>
      <c r="Q3229">
        <v>0</v>
      </c>
      <c r="R3229">
        <v>27.53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H3229">
        <v>27.53</v>
      </c>
    </row>
    <row r="3230" spans="1:34" x14ac:dyDescent="0.3">
      <c r="A3230" s="4">
        <v>3346</v>
      </c>
      <c r="B3230" s="5">
        <v>3223</v>
      </c>
      <c r="C3230">
        <v>14700</v>
      </c>
      <c r="D3230" t="s">
        <v>23802</v>
      </c>
      <c r="E3230" t="s">
        <v>219</v>
      </c>
      <c r="F3230" t="s">
        <v>230</v>
      </c>
      <c r="G3230" t="s">
        <v>23803</v>
      </c>
      <c r="H3230">
        <v>17.53</v>
      </c>
      <c r="I3230">
        <v>0</v>
      </c>
      <c r="J3230">
        <v>0</v>
      </c>
      <c r="K3230">
        <v>0</v>
      </c>
      <c r="N3230">
        <v>6</v>
      </c>
      <c r="O3230">
        <v>6</v>
      </c>
      <c r="P3230">
        <v>4</v>
      </c>
      <c r="Q3230">
        <v>0</v>
      </c>
      <c r="R3230">
        <v>27.53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H3230">
        <v>27.53</v>
      </c>
    </row>
    <row r="3231" spans="1:34" x14ac:dyDescent="0.3">
      <c r="A3231" s="4">
        <v>3347</v>
      </c>
      <c r="B3231" s="5">
        <v>3224</v>
      </c>
      <c r="C3231">
        <v>6422</v>
      </c>
      <c r="D3231" t="s">
        <v>23804</v>
      </c>
      <c r="E3231" t="s">
        <v>4033</v>
      </c>
      <c r="F3231" t="s">
        <v>17</v>
      </c>
      <c r="G3231" t="s">
        <v>23805</v>
      </c>
      <c r="H3231">
        <v>16.53</v>
      </c>
      <c r="I3231">
        <v>0</v>
      </c>
      <c r="J3231">
        <v>0</v>
      </c>
      <c r="K3231">
        <v>0</v>
      </c>
      <c r="L3231">
        <v>7</v>
      </c>
      <c r="O3231">
        <v>7</v>
      </c>
      <c r="P3231">
        <v>4</v>
      </c>
      <c r="Q3231">
        <v>0</v>
      </c>
      <c r="R3231">
        <v>27.53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H3231">
        <v>27.53</v>
      </c>
    </row>
    <row r="3232" spans="1:34" x14ac:dyDescent="0.3">
      <c r="A3232" s="4">
        <v>3348</v>
      </c>
      <c r="B3232" s="5">
        <v>3225</v>
      </c>
      <c r="C3232">
        <v>12751</v>
      </c>
      <c r="D3232" t="s">
        <v>23806</v>
      </c>
      <c r="E3232" t="s">
        <v>1426</v>
      </c>
      <c r="F3232" t="s">
        <v>52</v>
      </c>
      <c r="G3232" t="s">
        <v>23807</v>
      </c>
      <c r="H3232">
        <v>17.53</v>
      </c>
      <c r="I3232">
        <v>0</v>
      </c>
      <c r="J3232">
        <v>0</v>
      </c>
      <c r="K3232">
        <v>0</v>
      </c>
      <c r="O3232">
        <v>0</v>
      </c>
      <c r="P3232">
        <v>4</v>
      </c>
      <c r="Q3232">
        <v>0</v>
      </c>
      <c r="R3232">
        <v>21.53</v>
      </c>
      <c r="S3232">
        <v>6</v>
      </c>
      <c r="T3232">
        <v>6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6</v>
      </c>
      <c r="AB3232">
        <v>0</v>
      </c>
      <c r="AC3232">
        <v>0</v>
      </c>
      <c r="AH3232">
        <v>27.53</v>
      </c>
    </row>
    <row r="3233" spans="1:34" x14ac:dyDescent="0.3">
      <c r="A3233" s="4">
        <v>3349</v>
      </c>
      <c r="B3233" s="5">
        <v>3226</v>
      </c>
      <c r="C3233">
        <v>2252</v>
      </c>
      <c r="D3233" t="s">
        <v>23808</v>
      </c>
      <c r="E3233" t="s">
        <v>161</v>
      </c>
      <c r="F3233" t="s">
        <v>30</v>
      </c>
      <c r="G3233" t="s">
        <v>23809</v>
      </c>
      <c r="H3233">
        <v>17.5</v>
      </c>
      <c r="I3233">
        <v>0</v>
      </c>
      <c r="J3233">
        <v>0</v>
      </c>
      <c r="K3233">
        <v>0</v>
      </c>
      <c r="O3233">
        <v>0</v>
      </c>
      <c r="P3233">
        <v>4</v>
      </c>
      <c r="Q3233">
        <v>0</v>
      </c>
      <c r="R3233">
        <v>21.5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6</v>
      </c>
      <c r="AC3233">
        <v>0</v>
      </c>
      <c r="AH3233">
        <v>27.5</v>
      </c>
    </row>
    <row r="3234" spans="1:34" x14ac:dyDescent="0.3">
      <c r="A3234" s="4">
        <v>3350</v>
      </c>
      <c r="B3234" s="5">
        <v>3227</v>
      </c>
      <c r="C3234">
        <v>10680</v>
      </c>
      <c r="D3234" t="s">
        <v>10148</v>
      </c>
      <c r="E3234" t="s">
        <v>110</v>
      </c>
      <c r="F3234" t="s">
        <v>136</v>
      </c>
      <c r="G3234" t="s">
        <v>23810</v>
      </c>
      <c r="H3234">
        <v>20.5</v>
      </c>
      <c r="I3234">
        <v>0</v>
      </c>
      <c r="J3234">
        <v>0</v>
      </c>
      <c r="K3234">
        <v>0</v>
      </c>
      <c r="N3234">
        <v>3</v>
      </c>
      <c r="O3234">
        <v>3</v>
      </c>
      <c r="P3234">
        <v>4</v>
      </c>
      <c r="Q3234">
        <v>0</v>
      </c>
      <c r="R3234">
        <v>27.5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H3234">
        <v>27.5</v>
      </c>
    </row>
    <row r="3235" spans="1:34" x14ac:dyDescent="0.3">
      <c r="A3235" s="4">
        <v>3351</v>
      </c>
      <c r="B3235" s="5">
        <v>3228</v>
      </c>
      <c r="C3235">
        <v>3479</v>
      </c>
      <c r="D3235" t="s">
        <v>23811</v>
      </c>
      <c r="E3235" t="s">
        <v>832</v>
      </c>
      <c r="F3235" t="s">
        <v>343</v>
      </c>
      <c r="G3235" t="s">
        <v>23812</v>
      </c>
      <c r="H3235">
        <v>20.5</v>
      </c>
      <c r="I3235">
        <v>0</v>
      </c>
      <c r="J3235">
        <v>0</v>
      </c>
      <c r="K3235">
        <v>0</v>
      </c>
      <c r="N3235">
        <v>3</v>
      </c>
      <c r="O3235">
        <v>3</v>
      </c>
      <c r="P3235">
        <v>4</v>
      </c>
      <c r="Q3235">
        <v>0</v>
      </c>
      <c r="R3235">
        <v>27.5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H3235">
        <v>27.5</v>
      </c>
    </row>
    <row r="3236" spans="1:34" x14ac:dyDescent="0.3">
      <c r="A3236" s="4">
        <v>3352</v>
      </c>
      <c r="B3236" s="5">
        <v>3229</v>
      </c>
      <c r="C3236">
        <v>7325</v>
      </c>
      <c r="D3236" t="s">
        <v>23813</v>
      </c>
      <c r="E3236" t="s">
        <v>88</v>
      </c>
      <c r="F3236" t="s">
        <v>23814</v>
      </c>
      <c r="G3236" t="s">
        <v>23815</v>
      </c>
      <c r="H3236">
        <v>20.48</v>
      </c>
      <c r="I3236">
        <v>0</v>
      </c>
      <c r="J3236">
        <v>0</v>
      </c>
      <c r="K3236">
        <v>0</v>
      </c>
      <c r="O3236">
        <v>0</v>
      </c>
      <c r="P3236">
        <v>4</v>
      </c>
      <c r="Q3236">
        <v>0</v>
      </c>
      <c r="R3236">
        <v>24.48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3</v>
      </c>
      <c r="AC3236">
        <v>0</v>
      </c>
      <c r="AH3236">
        <v>27.48</v>
      </c>
    </row>
    <row r="3237" spans="1:34" x14ac:dyDescent="0.3">
      <c r="A3237" s="4">
        <v>3353</v>
      </c>
      <c r="B3237" s="5">
        <v>3230</v>
      </c>
      <c r="C3237">
        <v>13109</v>
      </c>
      <c r="D3237" t="s">
        <v>9310</v>
      </c>
      <c r="E3237" t="s">
        <v>23816</v>
      </c>
      <c r="F3237" t="s">
        <v>243</v>
      </c>
      <c r="G3237" t="s">
        <v>23817</v>
      </c>
      <c r="H3237">
        <v>17.48</v>
      </c>
      <c r="I3237">
        <v>0</v>
      </c>
      <c r="J3237">
        <v>0</v>
      </c>
      <c r="K3237">
        <v>0</v>
      </c>
      <c r="N3237">
        <v>6</v>
      </c>
      <c r="O3237">
        <v>6</v>
      </c>
      <c r="P3237">
        <v>4</v>
      </c>
      <c r="Q3237">
        <v>0</v>
      </c>
      <c r="R3237">
        <v>27.48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H3237">
        <v>27.48</v>
      </c>
    </row>
    <row r="3238" spans="1:34" x14ac:dyDescent="0.3">
      <c r="A3238" s="4">
        <v>3354</v>
      </c>
      <c r="B3238" s="5">
        <v>3231</v>
      </c>
      <c r="C3238">
        <v>3727</v>
      </c>
      <c r="D3238" t="s">
        <v>423</v>
      </c>
      <c r="E3238" t="s">
        <v>100</v>
      </c>
      <c r="F3238" t="s">
        <v>124</v>
      </c>
      <c r="G3238" t="s">
        <v>23818</v>
      </c>
      <c r="H3238">
        <v>16.48</v>
      </c>
      <c r="I3238">
        <v>0</v>
      </c>
      <c r="J3238">
        <v>0</v>
      </c>
      <c r="K3238">
        <v>0</v>
      </c>
      <c r="L3238">
        <v>7</v>
      </c>
      <c r="O3238">
        <v>7</v>
      </c>
      <c r="P3238">
        <v>4</v>
      </c>
      <c r="Q3238">
        <v>0</v>
      </c>
      <c r="R3238">
        <v>27.48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H3238">
        <v>27.48</v>
      </c>
    </row>
    <row r="3239" spans="1:34" x14ac:dyDescent="0.3">
      <c r="A3239" s="4">
        <v>3355</v>
      </c>
      <c r="B3239" s="5">
        <v>3232</v>
      </c>
      <c r="C3239">
        <v>14534</v>
      </c>
      <c r="D3239" t="s">
        <v>1184</v>
      </c>
      <c r="E3239" t="s">
        <v>54</v>
      </c>
      <c r="F3239" t="s">
        <v>328</v>
      </c>
      <c r="G3239" t="s">
        <v>23819</v>
      </c>
      <c r="H3239">
        <v>21.45</v>
      </c>
      <c r="I3239">
        <v>0</v>
      </c>
      <c r="J3239">
        <v>0</v>
      </c>
      <c r="K3239">
        <v>0</v>
      </c>
      <c r="O3239">
        <v>0</v>
      </c>
      <c r="P3239">
        <v>4</v>
      </c>
      <c r="Q3239">
        <v>2</v>
      </c>
      <c r="R3239">
        <v>27.45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H3239">
        <v>27.45</v>
      </c>
    </row>
    <row r="3240" spans="1:34" x14ac:dyDescent="0.3">
      <c r="A3240" s="4">
        <v>3356</v>
      </c>
      <c r="B3240" s="5">
        <v>3233</v>
      </c>
      <c r="C3240">
        <v>8001</v>
      </c>
      <c r="D3240" t="s">
        <v>23820</v>
      </c>
      <c r="E3240" t="s">
        <v>935</v>
      </c>
      <c r="F3240" t="s">
        <v>587</v>
      </c>
      <c r="G3240" t="s">
        <v>23821</v>
      </c>
      <c r="H3240">
        <v>20.45</v>
      </c>
      <c r="I3240">
        <v>0</v>
      </c>
      <c r="J3240">
        <v>0</v>
      </c>
      <c r="K3240">
        <v>0</v>
      </c>
      <c r="N3240">
        <v>3</v>
      </c>
      <c r="O3240">
        <v>3</v>
      </c>
      <c r="P3240">
        <v>4</v>
      </c>
      <c r="Q3240">
        <v>0</v>
      </c>
      <c r="R3240">
        <v>27.45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H3240">
        <v>27.45</v>
      </c>
    </row>
    <row r="3241" spans="1:34" x14ac:dyDescent="0.3">
      <c r="A3241" s="4">
        <v>3357</v>
      </c>
      <c r="B3241" s="5">
        <v>3234</v>
      </c>
      <c r="C3241">
        <v>7591</v>
      </c>
      <c r="D3241" t="s">
        <v>7618</v>
      </c>
      <c r="E3241" t="s">
        <v>166</v>
      </c>
      <c r="F3241" t="s">
        <v>117</v>
      </c>
      <c r="G3241" t="s">
        <v>23822</v>
      </c>
      <c r="H3241">
        <v>20.45</v>
      </c>
      <c r="I3241">
        <v>0</v>
      </c>
      <c r="J3241">
        <v>0</v>
      </c>
      <c r="K3241">
        <v>0</v>
      </c>
      <c r="N3241">
        <v>3</v>
      </c>
      <c r="O3241">
        <v>3</v>
      </c>
      <c r="P3241">
        <v>4</v>
      </c>
      <c r="Q3241">
        <v>0</v>
      </c>
      <c r="R3241">
        <v>27.45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H3241">
        <v>27.45</v>
      </c>
    </row>
    <row r="3242" spans="1:34" x14ac:dyDescent="0.3">
      <c r="A3242" s="4">
        <v>3358</v>
      </c>
      <c r="B3242" s="5">
        <v>3235</v>
      </c>
      <c r="C3242">
        <v>14268</v>
      </c>
      <c r="D3242" t="s">
        <v>20210</v>
      </c>
      <c r="E3242" t="s">
        <v>19</v>
      </c>
      <c r="F3242" t="s">
        <v>68</v>
      </c>
      <c r="G3242" t="s">
        <v>23823</v>
      </c>
      <c r="H3242">
        <v>18.45</v>
      </c>
      <c r="I3242">
        <v>0</v>
      </c>
      <c r="J3242">
        <v>0</v>
      </c>
      <c r="K3242">
        <v>0</v>
      </c>
      <c r="N3242">
        <v>3</v>
      </c>
      <c r="O3242">
        <v>3</v>
      </c>
      <c r="P3242">
        <v>4</v>
      </c>
      <c r="Q3242">
        <v>2</v>
      </c>
      <c r="R3242">
        <v>27.45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H3242">
        <v>27.45</v>
      </c>
    </row>
    <row r="3243" spans="1:34" x14ac:dyDescent="0.3">
      <c r="A3243" s="4">
        <v>3359</v>
      </c>
      <c r="B3243" s="5">
        <v>3236</v>
      </c>
      <c r="C3243">
        <v>4587</v>
      </c>
      <c r="D3243" t="s">
        <v>13225</v>
      </c>
      <c r="E3243" t="s">
        <v>29</v>
      </c>
      <c r="F3243" t="s">
        <v>38</v>
      </c>
      <c r="G3243" t="s">
        <v>23824</v>
      </c>
      <c r="H3243">
        <v>17.43</v>
      </c>
      <c r="I3243">
        <v>0</v>
      </c>
      <c r="J3243">
        <v>0</v>
      </c>
      <c r="K3243">
        <v>0</v>
      </c>
      <c r="N3243">
        <v>3</v>
      </c>
      <c r="O3243">
        <v>3</v>
      </c>
      <c r="P3243">
        <v>4</v>
      </c>
      <c r="Q3243">
        <v>0</v>
      </c>
      <c r="R3243">
        <v>24.43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3</v>
      </c>
      <c r="AC3243">
        <v>0</v>
      </c>
      <c r="AH3243">
        <v>27.43</v>
      </c>
    </row>
    <row r="3244" spans="1:34" x14ac:dyDescent="0.3">
      <c r="A3244" s="4">
        <v>3360</v>
      </c>
      <c r="B3244" s="5">
        <v>3237</v>
      </c>
      <c r="C3244">
        <v>7771</v>
      </c>
      <c r="D3244" t="s">
        <v>7848</v>
      </c>
      <c r="E3244" t="s">
        <v>5190</v>
      </c>
      <c r="F3244" t="s">
        <v>117</v>
      </c>
      <c r="G3244" t="s">
        <v>23825</v>
      </c>
      <c r="H3244">
        <v>22.43</v>
      </c>
      <c r="I3244">
        <v>0</v>
      </c>
      <c r="J3244">
        <v>0</v>
      </c>
      <c r="K3244">
        <v>0</v>
      </c>
      <c r="M3244">
        <v>5</v>
      </c>
      <c r="O3244">
        <v>5</v>
      </c>
      <c r="P3244">
        <v>0</v>
      </c>
      <c r="Q3244">
        <v>0</v>
      </c>
      <c r="R3244">
        <v>27.43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H3244">
        <v>27.43</v>
      </c>
    </row>
    <row r="3245" spans="1:34" x14ac:dyDescent="0.3">
      <c r="A3245" s="4">
        <v>3361</v>
      </c>
      <c r="B3245" s="5">
        <v>3238</v>
      </c>
      <c r="C3245">
        <v>14231</v>
      </c>
      <c r="D3245" t="s">
        <v>23826</v>
      </c>
      <c r="E3245" t="s">
        <v>178</v>
      </c>
      <c r="F3245" t="s">
        <v>68</v>
      </c>
      <c r="G3245" t="s">
        <v>23827</v>
      </c>
      <c r="H3245">
        <v>20.43</v>
      </c>
      <c r="I3245">
        <v>0</v>
      </c>
      <c r="J3245">
        <v>0</v>
      </c>
      <c r="K3245">
        <v>0</v>
      </c>
      <c r="N3245">
        <v>3</v>
      </c>
      <c r="O3245">
        <v>3</v>
      </c>
      <c r="P3245">
        <v>4</v>
      </c>
      <c r="Q3245">
        <v>0</v>
      </c>
      <c r="R3245">
        <v>27.43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H3245">
        <v>27.43</v>
      </c>
    </row>
    <row r="3246" spans="1:34" x14ac:dyDescent="0.3">
      <c r="A3246" s="4">
        <v>3362</v>
      </c>
      <c r="B3246" s="5">
        <v>3239</v>
      </c>
      <c r="C3246">
        <v>9120</v>
      </c>
      <c r="D3246" t="s">
        <v>7248</v>
      </c>
      <c r="E3246" t="s">
        <v>789</v>
      </c>
      <c r="F3246" t="s">
        <v>1748</v>
      </c>
      <c r="G3246" t="s">
        <v>23828</v>
      </c>
      <c r="H3246">
        <v>20.43</v>
      </c>
      <c r="I3246">
        <v>0</v>
      </c>
      <c r="J3246">
        <v>0</v>
      </c>
      <c r="K3246">
        <v>0</v>
      </c>
      <c r="N3246">
        <v>3</v>
      </c>
      <c r="O3246">
        <v>3</v>
      </c>
      <c r="P3246">
        <v>4</v>
      </c>
      <c r="Q3246">
        <v>0</v>
      </c>
      <c r="R3246">
        <v>27.43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H3246">
        <v>27.43</v>
      </c>
    </row>
    <row r="3247" spans="1:34" x14ac:dyDescent="0.3">
      <c r="A3247" s="4">
        <v>3363</v>
      </c>
      <c r="B3247" s="5">
        <v>3240</v>
      </c>
      <c r="C3247">
        <v>9458</v>
      </c>
      <c r="D3247" t="s">
        <v>23829</v>
      </c>
      <c r="E3247" t="s">
        <v>54</v>
      </c>
      <c r="F3247" t="s">
        <v>124</v>
      </c>
      <c r="G3247" t="s">
        <v>23830</v>
      </c>
      <c r="H3247">
        <v>20.43</v>
      </c>
      <c r="I3247">
        <v>0</v>
      </c>
      <c r="J3247">
        <v>0</v>
      </c>
      <c r="K3247">
        <v>0</v>
      </c>
      <c r="N3247">
        <v>3</v>
      </c>
      <c r="O3247">
        <v>3</v>
      </c>
      <c r="P3247">
        <v>4</v>
      </c>
      <c r="Q3247">
        <v>0</v>
      </c>
      <c r="R3247">
        <v>27.43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H3247">
        <v>27.43</v>
      </c>
    </row>
    <row r="3248" spans="1:34" x14ac:dyDescent="0.3">
      <c r="A3248" s="4">
        <v>3364</v>
      </c>
      <c r="B3248" s="5">
        <v>3241</v>
      </c>
      <c r="C3248">
        <v>10538</v>
      </c>
      <c r="D3248" t="s">
        <v>23831</v>
      </c>
      <c r="E3248" t="s">
        <v>258</v>
      </c>
      <c r="F3248" t="s">
        <v>243</v>
      </c>
      <c r="G3248" t="s">
        <v>23832</v>
      </c>
      <c r="H3248">
        <v>20.43</v>
      </c>
      <c r="I3248">
        <v>0</v>
      </c>
      <c r="J3248">
        <v>0</v>
      </c>
      <c r="K3248">
        <v>0</v>
      </c>
      <c r="N3248">
        <v>3</v>
      </c>
      <c r="O3248">
        <v>3</v>
      </c>
      <c r="P3248">
        <v>4</v>
      </c>
      <c r="Q3248">
        <v>0</v>
      </c>
      <c r="R3248">
        <v>27.43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H3248">
        <v>27.43</v>
      </c>
    </row>
    <row r="3249" spans="1:34" x14ac:dyDescent="0.3">
      <c r="A3249" s="4">
        <v>3365</v>
      </c>
      <c r="B3249" s="5">
        <v>3242</v>
      </c>
      <c r="C3249">
        <v>3751</v>
      </c>
      <c r="D3249" t="s">
        <v>18004</v>
      </c>
      <c r="E3249" t="s">
        <v>22</v>
      </c>
      <c r="F3249" t="s">
        <v>570</v>
      </c>
      <c r="G3249" t="s">
        <v>23833</v>
      </c>
      <c r="H3249">
        <v>17.43</v>
      </c>
      <c r="I3249">
        <v>0</v>
      </c>
      <c r="J3249">
        <v>0</v>
      </c>
      <c r="K3249">
        <v>0</v>
      </c>
      <c r="N3249">
        <v>6</v>
      </c>
      <c r="O3249">
        <v>6</v>
      </c>
      <c r="P3249">
        <v>4</v>
      </c>
      <c r="Q3249">
        <v>0</v>
      </c>
      <c r="R3249">
        <v>27.43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H3249">
        <v>27.43</v>
      </c>
    </row>
    <row r="3250" spans="1:34" x14ac:dyDescent="0.3">
      <c r="A3250" s="4">
        <v>3366</v>
      </c>
      <c r="B3250" s="5">
        <v>3243</v>
      </c>
      <c r="C3250">
        <v>13023</v>
      </c>
      <c r="D3250" t="s">
        <v>1276</v>
      </c>
      <c r="E3250" t="s">
        <v>29</v>
      </c>
      <c r="F3250" t="s">
        <v>81</v>
      </c>
      <c r="G3250" t="s">
        <v>23834</v>
      </c>
      <c r="H3250">
        <v>17.399999999999999</v>
      </c>
      <c r="I3250">
        <v>0</v>
      </c>
      <c r="J3250">
        <v>0</v>
      </c>
      <c r="K3250">
        <v>0</v>
      </c>
      <c r="O3250">
        <v>0</v>
      </c>
      <c r="P3250">
        <v>4</v>
      </c>
      <c r="Q3250">
        <v>0</v>
      </c>
      <c r="R3250">
        <v>21.4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6</v>
      </c>
      <c r="AC3250">
        <v>0</v>
      </c>
      <c r="AH3250">
        <v>27.4</v>
      </c>
    </row>
    <row r="3251" spans="1:34" x14ac:dyDescent="0.3">
      <c r="A3251" s="4">
        <v>3367</v>
      </c>
      <c r="B3251" s="5">
        <v>3244</v>
      </c>
      <c r="C3251">
        <v>9183</v>
      </c>
      <c r="D3251" t="s">
        <v>20563</v>
      </c>
      <c r="E3251" t="s">
        <v>2150</v>
      </c>
      <c r="F3251" t="s">
        <v>136</v>
      </c>
      <c r="G3251" t="s">
        <v>23835</v>
      </c>
      <c r="H3251">
        <v>17.399999999999999</v>
      </c>
      <c r="I3251">
        <v>0</v>
      </c>
      <c r="J3251">
        <v>0</v>
      </c>
      <c r="K3251">
        <v>0</v>
      </c>
      <c r="N3251">
        <v>3</v>
      </c>
      <c r="O3251">
        <v>3</v>
      </c>
      <c r="P3251">
        <v>4</v>
      </c>
      <c r="Q3251">
        <v>0</v>
      </c>
      <c r="R3251">
        <v>24.4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3</v>
      </c>
      <c r="AC3251">
        <v>0</v>
      </c>
      <c r="AH3251">
        <v>27.4</v>
      </c>
    </row>
    <row r="3252" spans="1:34" x14ac:dyDescent="0.3">
      <c r="A3252" s="4">
        <v>3368</v>
      </c>
      <c r="B3252" s="5">
        <v>3245</v>
      </c>
      <c r="C3252">
        <v>6284</v>
      </c>
      <c r="D3252" t="s">
        <v>23836</v>
      </c>
      <c r="E3252" t="s">
        <v>342</v>
      </c>
      <c r="F3252" t="s">
        <v>16734</v>
      </c>
      <c r="G3252" t="s">
        <v>23837</v>
      </c>
      <c r="H3252">
        <v>17.399999999999999</v>
      </c>
      <c r="I3252">
        <v>0</v>
      </c>
      <c r="J3252">
        <v>0</v>
      </c>
      <c r="K3252">
        <v>0</v>
      </c>
      <c r="L3252">
        <v>7</v>
      </c>
      <c r="O3252">
        <v>7</v>
      </c>
      <c r="P3252">
        <v>0</v>
      </c>
      <c r="Q3252">
        <v>0</v>
      </c>
      <c r="R3252">
        <v>24.4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3</v>
      </c>
      <c r="AC3252">
        <v>0</v>
      </c>
      <c r="AH3252">
        <v>27.4</v>
      </c>
    </row>
    <row r="3253" spans="1:34" x14ac:dyDescent="0.3">
      <c r="A3253" s="4">
        <v>3369</v>
      </c>
      <c r="B3253" s="5">
        <v>3246</v>
      </c>
      <c r="C3253">
        <v>1297</v>
      </c>
      <c r="D3253" t="s">
        <v>23838</v>
      </c>
      <c r="E3253" t="s">
        <v>166</v>
      </c>
      <c r="F3253" t="s">
        <v>20</v>
      </c>
      <c r="G3253" t="s">
        <v>23839</v>
      </c>
      <c r="H3253">
        <v>20.399999999999999</v>
      </c>
      <c r="I3253">
        <v>0</v>
      </c>
      <c r="J3253">
        <v>0</v>
      </c>
      <c r="K3253">
        <v>0</v>
      </c>
      <c r="N3253">
        <v>3</v>
      </c>
      <c r="O3253">
        <v>3</v>
      </c>
      <c r="P3253">
        <v>4</v>
      </c>
      <c r="Q3253">
        <v>0</v>
      </c>
      <c r="R3253">
        <v>27.4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H3253">
        <v>27.4</v>
      </c>
    </row>
    <row r="3254" spans="1:34" x14ac:dyDescent="0.3">
      <c r="A3254" s="4">
        <v>3370</v>
      </c>
      <c r="B3254" s="5">
        <v>3247</v>
      </c>
      <c r="C3254">
        <v>6269</v>
      </c>
      <c r="D3254" t="s">
        <v>23840</v>
      </c>
      <c r="E3254" t="s">
        <v>1140</v>
      </c>
      <c r="F3254" t="s">
        <v>17</v>
      </c>
      <c r="G3254" t="s">
        <v>23841</v>
      </c>
      <c r="H3254">
        <v>17.38</v>
      </c>
      <c r="I3254">
        <v>0</v>
      </c>
      <c r="J3254">
        <v>0</v>
      </c>
      <c r="K3254">
        <v>0</v>
      </c>
      <c r="O3254">
        <v>0</v>
      </c>
      <c r="P3254">
        <v>4</v>
      </c>
      <c r="Q3254">
        <v>0</v>
      </c>
      <c r="R3254">
        <v>21.38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6</v>
      </c>
      <c r="AC3254">
        <v>0</v>
      </c>
      <c r="AH3254">
        <v>27.38</v>
      </c>
    </row>
    <row r="3255" spans="1:34" x14ac:dyDescent="0.3">
      <c r="A3255" s="4">
        <v>3371</v>
      </c>
      <c r="B3255" s="5">
        <v>3248</v>
      </c>
      <c r="C3255">
        <v>2735</v>
      </c>
      <c r="D3255" t="s">
        <v>23842</v>
      </c>
      <c r="E3255" t="s">
        <v>30</v>
      </c>
      <c r="F3255" t="s">
        <v>17</v>
      </c>
      <c r="G3255" t="s">
        <v>23843</v>
      </c>
      <c r="H3255">
        <v>20.38</v>
      </c>
      <c r="I3255">
        <v>0</v>
      </c>
      <c r="J3255">
        <v>0</v>
      </c>
      <c r="K3255">
        <v>0</v>
      </c>
      <c r="N3255">
        <v>3</v>
      </c>
      <c r="O3255">
        <v>3</v>
      </c>
      <c r="P3255">
        <v>4</v>
      </c>
      <c r="Q3255">
        <v>0</v>
      </c>
      <c r="R3255">
        <v>27.38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H3255">
        <v>27.38</v>
      </c>
    </row>
    <row r="3256" spans="1:34" x14ac:dyDescent="0.3">
      <c r="A3256" s="4">
        <v>3372</v>
      </c>
      <c r="B3256" s="5">
        <v>3249</v>
      </c>
      <c r="C3256">
        <v>12955</v>
      </c>
      <c r="D3256" t="s">
        <v>20956</v>
      </c>
      <c r="E3256" t="s">
        <v>26</v>
      </c>
      <c r="F3256" t="s">
        <v>17</v>
      </c>
      <c r="G3256" t="s">
        <v>23844</v>
      </c>
      <c r="H3256">
        <v>18.38</v>
      </c>
      <c r="I3256">
        <v>0</v>
      </c>
      <c r="J3256">
        <v>0</v>
      </c>
      <c r="K3256">
        <v>0</v>
      </c>
      <c r="N3256">
        <v>3</v>
      </c>
      <c r="O3256">
        <v>3</v>
      </c>
      <c r="P3256">
        <v>4</v>
      </c>
      <c r="Q3256">
        <v>2</v>
      </c>
      <c r="R3256">
        <v>27.38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H3256">
        <v>27.38</v>
      </c>
    </row>
    <row r="3257" spans="1:34" x14ac:dyDescent="0.3">
      <c r="A3257" s="4">
        <v>3373</v>
      </c>
      <c r="B3257" s="5">
        <v>3250</v>
      </c>
      <c r="C3257">
        <v>9265</v>
      </c>
      <c r="D3257" t="s">
        <v>93</v>
      </c>
      <c r="E3257" t="s">
        <v>208</v>
      </c>
      <c r="F3257" t="s">
        <v>68</v>
      </c>
      <c r="G3257" t="s">
        <v>23845</v>
      </c>
      <c r="H3257">
        <v>18.38</v>
      </c>
      <c r="I3257">
        <v>0</v>
      </c>
      <c r="J3257">
        <v>0</v>
      </c>
      <c r="K3257">
        <v>0</v>
      </c>
      <c r="M3257">
        <v>5</v>
      </c>
      <c r="O3257">
        <v>5</v>
      </c>
      <c r="P3257">
        <v>4</v>
      </c>
      <c r="Q3257">
        <v>0</v>
      </c>
      <c r="R3257">
        <v>27.38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H3257">
        <v>27.38</v>
      </c>
    </row>
    <row r="3258" spans="1:34" x14ac:dyDescent="0.3">
      <c r="A3258" s="4">
        <v>3374</v>
      </c>
      <c r="B3258" s="5">
        <v>3251</v>
      </c>
      <c r="C3258">
        <v>6161</v>
      </c>
      <c r="D3258" t="s">
        <v>23846</v>
      </c>
      <c r="E3258" t="s">
        <v>20</v>
      </c>
      <c r="F3258" t="s">
        <v>79</v>
      </c>
      <c r="G3258" t="s">
        <v>23847</v>
      </c>
      <c r="H3258">
        <v>17.350000000000001</v>
      </c>
      <c r="I3258">
        <v>0</v>
      </c>
      <c r="J3258">
        <v>0</v>
      </c>
      <c r="K3258">
        <v>0</v>
      </c>
      <c r="N3258">
        <v>3</v>
      </c>
      <c r="O3258">
        <v>3</v>
      </c>
      <c r="P3258">
        <v>4</v>
      </c>
      <c r="Q3258">
        <v>0</v>
      </c>
      <c r="R3258">
        <v>24.35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3</v>
      </c>
      <c r="AC3258">
        <v>0</v>
      </c>
      <c r="AH3258">
        <v>27.35</v>
      </c>
    </row>
    <row r="3259" spans="1:34" x14ac:dyDescent="0.3">
      <c r="A3259" s="4">
        <v>3375</v>
      </c>
      <c r="B3259" s="5">
        <v>3252</v>
      </c>
      <c r="C3259">
        <v>7642</v>
      </c>
      <c r="D3259" t="s">
        <v>4297</v>
      </c>
      <c r="E3259" t="s">
        <v>41</v>
      </c>
      <c r="F3259" t="s">
        <v>62</v>
      </c>
      <c r="G3259" t="s">
        <v>23848</v>
      </c>
      <c r="H3259">
        <v>20.350000000000001</v>
      </c>
      <c r="I3259">
        <v>0</v>
      </c>
      <c r="J3259">
        <v>0</v>
      </c>
      <c r="K3259">
        <v>0</v>
      </c>
      <c r="L3259">
        <v>7</v>
      </c>
      <c r="O3259">
        <v>7</v>
      </c>
      <c r="P3259">
        <v>0</v>
      </c>
      <c r="Q3259">
        <v>0</v>
      </c>
      <c r="R3259">
        <v>27.35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H3259">
        <v>27.35</v>
      </c>
    </row>
    <row r="3260" spans="1:34" x14ac:dyDescent="0.3">
      <c r="A3260" s="4">
        <v>3376</v>
      </c>
      <c r="B3260" s="5">
        <v>3253</v>
      </c>
      <c r="C3260">
        <v>3893</v>
      </c>
      <c r="D3260" t="s">
        <v>23849</v>
      </c>
      <c r="E3260" t="s">
        <v>208</v>
      </c>
      <c r="F3260" t="s">
        <v>117</v>
      </c>
      <c r="G3260" t="s">
        <v>23850</v>
      </c>
      <c r="H3260">
        <v>17.329999999999998</v>
      </c>
      <c r="I3260">
        <v>0</v>
      </c>
      <c r="J3260">
        <v>0</v>
      </c>
      <c r="K3260">
        <v>0</v>
      </c>
      <c r="O3260">
        <v>0</v>
      </c>
      <c r="P3260">
        <v>4</v>
      </c>
      <c r="Q3260">
        <v>0</v>
      </c>
      <c r="R3260">
        <v>21.33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6</v>
      </c>
      <c r="AC3260">
        <v>0</v>
      </c>
      <c r="AH3260">
        <v>27.33</v>
      </c>
    </row>
    <row r="3261" spans="1:34" x14ac:dyDescent="0.3">
      <c r="A3261" s="4">
        <v>3377</v>
      </c>
      <c r="B3261" s="5">
        <v>3254</v>
      </c>
      <c r="C3261">
        <v>964</v>
      </c>
      <c r="D3261" t="s">
        <v>929</v>
      </c>
      <c r="E3261" t="s">
        <v>29</v>
      </c>
      <c r="F3261" t="s">
        <v>972</v>
      </c>
      <c r="G3261" t="s">
        <v>23851</v>
      </c>
      <c r="H3261">
        <v>17.329999999999998</v>
      </c>
      <c r="I3261">
        <v>0</v>
      </c>
      <c r="J3261">
        <v>0</v>
      </c>
      <c r="K3261">
        <v>0</v>
      </c>
      <c r="N3261">
        <v>3</v>
      </c>
      <c r="O3261">
        <v>3</v>
      </c>
      <c r="P3261">
        <v>4</v>
      </c>
      <c r="Q3261">
        <v>0</v>
      </c>
      <c r="R3261">
        <v>24.33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3</v>
      </c>
      <c r="AC3261">
        <v>0</v>
      </c>
      <c r="AH3261">
        <v>27.33</v>
      </c>
    </row>
    <row r="3262" spans="1:34" x14ac:dyDescent="0.3">
      <c r="A3262" s="4">
        <v>3378</v>
      </c>
      <c r="B3262" s="5">
        <v>3255</v>
      </c>
      <c r="C3262">
        <v>844</v>
      </c>
      <c r="D3262" t="s">
        <v>8736</v>
      </c>
      <c r="E3262" t="s">
        <v>283</v>
      </c>
      <c r="F3262" t="s">
        <v>55</v>
      </c>
      <c r="G3262" t="s">
        <v>23852</v>
      </c>
      <c r="H3262">
        <v>20.329999999999998</v>
      </c>
      <c r="I3262">
        <v>0</v>
      </c>
      <c r="J3262">
        <v>0</v>
      </c>
      <c r="K3262">
        <v>0</v>
      </c>
      <c r="N3262">
        <v>3</v>
      </c>
      <c r="O3262">
        <v>3</v>
      </c>
      <c r="P3262">
        <v>4</v>
      </c>
      <c r="Q3262">
        <v>0</v>
      </c>
      <c r="R3262">
        <v>27.33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H3262">
        <v>27.33</v>
      </c>
    </row>
    <row r="3263" spans="1:34" x14ac:dyDescent="0.3">
      <c r="A3263" s="4">
        <v>3379</v>
      </c>
      <c r="B3263" s="5">
        <v>3256</v>
      </c>
      <c r="C3263">
        <v>8312</v>
      </c>
      <c r="D3263" t="s">
        <v>23853</v>
      </c>
      <c r="E3263" t="s">
        <v>132</v>
      </c>
      <c r="F3263" t="s">
        <v>38</v>
      </c>
      <c r="G3263" t="s">
        <v>23854</v>
      </c>
      <c r="H3263">
        <v>20.329999999999998</v>
      </c>
      <c r="I3263">
        <v>0</v>
      </c>
      <c r="J3263">
        <v>0</v>
      </c>
      <c r="K3263">
        <v>0</v>
      </c>
      <c r="N3263">
        <v>3</v>
      </c>
      <c r="O3263">
        <v>3</v>
      </c>
      <c r="P3263">
        <v>4</v>
      </c>
      <c r="Q3263">
        <v>0</v>
      </c>
      <c r="R3263">
        <v>27.33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H3263">
        <v>27.33</v>
      </c>
    </row>
    <row r="3264" spans="1:34" x14ac:dyDescent="0.3">
      <c r="A3264" s="4">
        <v>3380</v>
      </c>
      <c r="B3264" s="5">
        <v>3257</v>
      </c>
      <c r="C3264">
        <v>10876</v>
      </c>
      <c r="D3264" t="s">
        <v>9096</v>
      </c>
      <c r="E3264" t="s">
        <v>789</v>
      </c>
      <c r="F3264" t="s">
        <v>17</v>
      </c>
      <c r="G3264" t="s">
        <v>23855</v>
      </c>
      <c r="H3264">
        <v>17.329999999999998</v>
      </c>
      <c r="I3264">
        <v>0</v>
      </c>
      <c r="J3264">
        <v>0</v>
      </c>
      <c r="K3264">
        <v>0</v>
      </c>
      <c r="N3264">
        <v>6</v>
      </c>
      <c r="O3264">
        <v>6</v>
      </c>
      <c r="P3264">
        <v>4</v>
      </c>
      <c r="Q3264">
        <v>0</v>
      </c>
      <c r="R3264">
        <v>27.33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H3264">
        <v>27.33</v>
      </c>
    </row>
    <row r="3265" spans="1:34" x14ac:dyDescent="0.3">
      <c r="A3265" s="4">
        <v>3381</v>
      </c>
      <c r="B3265" s="5">
        <v>3258</v>
      </c>
      <c r="C3265">
        <v>754</v>
      </c>
      <c r="D3265" t="s">
        <v>11592</v>
      </c>
      <c r="E3265" t="s">
        <v>2101</v>
      </c>
      <c r="F3265" t="s">
        <v>158</v>
      </c>
      <c r="G3265" t="s">
        <v>23856</v>
      </c>
      <c r="H3265">
        <v>16.329999999999998</v>
      </c>
      <c r="I3265">
        <v>0</v>
      </c>
      <c r="J3265">
        <v>0</v>
      </c>
      <c r="K3265">
        <v>0</v>
      </c>
      <c r="L3265">
        <v>7</v>
      </c>
      <c r="O3265">
        <v>7</v>
      </c>
      <c r="P3265">
        <v>4</v>
      </c>
      <c r="Q3265">
        <v>0</v>
      </c>
      <c r="R3265">
        <v>27.33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H3265">
        <v>27.33</v>
      </c>
    </row>
    <row r="3266" spans="1:34" x14ac:dyDescent="0.3">
      <c r="A3266" s="4">
        <v>3382</v>
      </c>
      <c r="B3266" s="5">
        <v>3259</v>
      </c>
      <c r="C3266">
        <v>2360</v>
      </c>
      <c r="D3266" t="s">
        <v>23857</v>
      </c>
      <c r="E3266" t="s">
        <v>29</v>
      </c>
      <c r="F3266" t="s">
        <v>190</v>
      </c>
      <c r="G3266" t="s">
        <v>23858</v>
      </c>
      <c r="H3266">
        <v>17.3</v>
      </c>
      <c r="I3266">
        <v>0</v>
      </c>
      <c r="J3266">
        <v>0</v>
      </c>
      <c r="K3266">
        <v>0</v>
      </c>
      <c r="O3266">
        <v>0</v>
      </c>
      <c r="P3266">
        <v>4</v>
      </c>
      <c r="Q3266">
        <v>0</v>
      </c>
      <c r="R3266">
        <v>21.3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6</v>
      </c>
      <c r="AC3266">
        <v>0</v>
      </c>
      <c r="AH3266">
        <v>27.3</v>
      </c>
    </row>
    <row r="3267" spans="1:34" x14ac:dyDescent="0.3">
      <c r="A3267" s="4">
        <v>3383</v>
      </c>
      <c r="B3267" s="5">
        <v>3260</v>
      </c>
      <c r="C3267">
        <v>7549</v>
      </c>
      <c r="D3267" t="s">
        <v>14779</v>
      </c>
      <c r="E3267" t="s">
        <v>157</v>
      </c>
      <c r="F3267" t="s">
        <v>20</v>
      </c>
      <c r="G3267" t="s">
        <v>23859</v>
      </c>
      <c r="H3267">
        <v>21.3</v>
      </c>
      <c r="I3267">
        <v>0</v>
      </c>
      <c r="J3267">
        <v>0</v>
      </c>
      <c r="K3267">
        <v>0</v>
      </c>
      <c r="N3267">
        <v>3</v>
      </c>
      <c r="O3267">
        <v>3</v>
      </c>
      <c r="P3267">
        <v>0</v>
      </c>
      <c r="Q3267">
        <v>0</v>
      </c>
      <c r="R3267">
        <v>24.3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3</v>
      </c>
      <c r="AC3267">
        <v>0</v>
      </c>
      <c r="AH3267">
        <v>27.3</v>
      </c>
    </row>
    <row r="3268" spans="1:34" x14ac:dyDescent="0.3">
      <c r="A3268" s="4">
        <v>3384</v>
      </c>
      <c r="B3268" s="5">
        <v>3261</v>
      </c>
      <c r="C3268">
        <v>13567</v>
      </c>
      <c r="D3268" t="s">
        <v>23860</v>
      </c>
      <c r="E3268" t="s">
        <v>41</v>
      </c>
      <c r="F3268" t="s">
        <v>20</v>
      </c>
      <c r="G3268" t="s">
        <v>23861</v>
      </c>
      <c r="H3268">
        <v>20.3</v>
      </c>
      <c r="I3268">
        <v>0</v>
      </c>
      <c r="J3268">
        <v>0</v>
      </c>
      <c r="K3268">
        <v>0</v>
      </c>
      <c r="N3268">
        <v>3</v>
      </c>
      <c r="O3268">
        <v>3</v>
      </c>
      <c r="P3268">
        <v>4</v>
      </c>
      <c r="Q3268">
        <v>0</v>
      </c>
      <c r="R3268">
        <v>27.3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H3268">
        <v>27.3</v>
      </c>
    </row>
    <row r="3269" spans="1:34" x14ac:dyDescent="0.3">
      <c r="A3269" s="4">
        <v>3385</v>
      </c>
      <c r="B3269" s="5">
        <v>3262</v>
      </c>
      <c r="C3269">
        <v>9121</v>
      </c>
      <c r="D3269" t="s">
        <v>7832</v>
      </c>
      <c r="E3269" t="s">
        <v>8037</v>
      </c>
      <c r="F3269" t="s">
        <v>38</v>
      </c>
      <c r="G3269" t="s">
        <v>23862</v>
      </c>
      <c r="H3269">
        <v>18.28</v>
      </c>
      <c r="I3269">
        <v>0</v>
      </c>
      <c r="J3269">
        <v>0</v>
      </c>
      <c r="K3269">
        <v>0</v>
      </c>
      <c r="N3269">
        <v>3</v>
      </c>
      <c r="O3269">
        <v>3</v>
      </c>
      <c r="P3269">
        <v>0</v>
      </c>
      <c r="Q3269">
        <v>0</v>
      </c>
      <c r="R3269">
        <v>21.28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6</v>
      </c>
      <c r="AC3269">
        <v>0</v>
      </c>
      <c r="AH3269">
        <v>27.28</v>
      </c>
    </row>
    <row r="3270" spans="1:34" x14ac:dyDescent="0.3">
      <c r="A3270" s="4">
        <v>3386</v>
      </c>
      <c r="B3270" s="5">
        <v>3263</v>
      </c>
      <c r="C3270">
        <v>15593</v>
      </c>
      <c r="D3270" t="s">
        <v>23863</v>
      </c>
      <c r="E3270" t="s">
        <v>1376</v>
      </c>
      <c r="F3270" t="s">
        <v>442</v>
      </c>
      <c r="G3270" t="s">
        <v>23864</v>
      </c>
      <c r="H3270">
        <v>20.28</v>
      </c>
      <c r="I3270">
        <v>0</v>
      </c>
      <c r="J3270">
        <v>0</v>
      </c>
      <c r="K3270">
        <v>0</v>
      </c>
      <c r="L3270">
        <v>7</v>
      </c>
      <c r="O3270">
        <v>7</v>
      </c>
      <c r="P3270">
        <v>0</v>
      </c>
      <c r="Q3270">
        <v>0</v>
      </c>
      <c r="R3270">
        <v>27.28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H3270">
        <v>27.28</v>
      </c>
    </row>
    <row r="3271" spans="1:34" x14ac:dyDescent="0.3">
      <c r="A3271" s="4">
        <v>3387</v>
      </c>
      <c r="B3271" s="5">
        <v>3264</v>
      </c>
      <c r="C3271">
        <v>9216</v>
      </c>
      <c r="D3271" t="s">
        <v>23865</v>
      </c>
      <c r="E3271" t="s">
        <v>161</v>
      </c>
      <c r="F3271" t="s">
        <v>343</v>
      </c>
      <c r="G3271" t="s">
        <v>23866</v>
      </c>
      <c r="H3271">
        <v>18.28</v>
      </c>
      <c r="I3271">
        <v>0</v>
      </c>
      <c r="J3271">
        <v>0</v>
      </c>
      <c r="K3271">
        <v>0</v>
      </c>
      <c r="O3271">
        <v>0</v>
      </c>
      <c r="P3271">
        <v>4</v>
      </c>
      <c r="Q3271">
        <v>0</v>
      </c>
      <c r="R3271">
        <v>22.28</v>
      </c>
      <c r="S3271">
        <v>5</v>
      </c>
      <c r="T3271">
        <v>5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5</v>
      </c>
      <c r="AB3271">
        <v>0</v>
      </c>
      <c r="AC3271">
        <v>0</v>
      </c>
      <c r="AD3271" t="s">
        <v>130</v>
      </c>
      <c r="AH3271">
        <v>27.28</v>
      </c>
    </row>
    <row r="3272" spans="1:34" x14ac:dyDescent="0.3">
      <c r="A3272" s="4">
        <v>3388</v>
      </c>
      <c r="B3272" s="5">
        <v>3265</v>
      </c>
      <c r="C3272">
        <v>11082</v>
      </c>
      <c r="D3272" t="s">
        <v>23867</v>
      </c>
      <c r="E3272" t="s">
        <v>29</v>
      </c>
      <c r="F3272" t="s">
        <v>17</v>
      </c>
      <c r="G3272" t="s">
        <v>23868</v>
      </c>
      <c r="H3272">
        <v>18.25</v>
      </c>
      <c r="I3272">
        <v>0</v>
      </c>
      <c r="J3272">
        <v>0</v>
      </c>
      <c r="K3272">
        <v>0</v>
      </c>
      <c r="N3272">
        <v>3</v>
      </c>
      <c r="O3272">
        <v>3</v>
      </c>
      <c r="P3272">
        <v>0</v>
      </c>
      <c r="Q3272">
        <v>0</v>
      </c>
      <c r="R3272">
        <v>21.25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6</v>
      </c>
      <c r="AC3272">
        <v>0</v>
      </c>
      <c r="AH3272">
        <v>27.25</v>
      </c>
    </row>
    <row r="3273" spans="1:34" x14ac:dyDescent="0.3">
      <c r="A3273" s="4">
        <v>3389</v>
      </c>
      <c r="B3273" s="5">
        <v>3266</v>
      </c>
      <c r="C3273">
        <v>1691</v>
      </c>
      <c r="D3273" t="s">
        <v>10112</v>
      </c>
      <c r="E3273" t="s">
        <v>219</v>
      </c>
      <c r="F3273" t="s">
        <v>158</v>
      </c>
      <c r="G3273" t="s">
        <v>23869</v>
      </c>
      <c r="H3273">
        <v>17.25</v>
      </c>
      <c r="I3273">
        <v>0</v>
      </c>
      <c r="J3273">
        <v>0</v>
      </c>
      <c r="K3273">
        <v>0</v>
      </c>
      <c r="O3273">
        <v>0</v>
      </c>
      <c r="P3273">
        <v>4</v>
      </c>
      <c r="Q3273">
        <v>0</v>
      </c>
      <c r="R3273">
        <v>21.25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6</v>
      </c>
      <c r="AC3273">
        <v>0</v>
      </c>
      <c r="AH3273">
        <v>27.25</v>
      </c>
    </row>
    <row r="3274" spans="1:34" x14ac:dyDescent="0.3">
      <c r="A3274" s="4">
        <v>3390</v>
      </c>
      <c r="B3274" s="5">
        <v>3267</v>
      </c>
      <c r="C3274">
        <v>10988</v>
      </c>
      <c r="D3274" t="s">
        <v>2416</v>
      </c>
      <c r="E3274" t="s">
        <v>283</v>
      </c>
      <c r="F3274" t="s">
        <v>158</v>
      </c>
      <c r="G3274" t="s">
        <v>23870</v>
      </c>
      <c r="H3274">
        <v>17.25</v>
      </c>
      <c r="I3274">
        <v>0</v>
      </c>
      <c r="J3274">
        <v>0</v>
      </c>
      <c r="K3274">
        <v>0</v>
      </c>
      <c r="O3274">
        <v>0</v>
      </c>
      <c r="P3274">
        <v>4</v>
      </c>
      <c r="Q3274">
        <v>0</v>
      </c>
      <c r="R3274">
        <v>21.25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6</v>
      </c>
      <c r="AC3274">
        <v>0</v>
      </c>
      <c r="AH3274">
        <v>27.25</v>
      </c>
    </row>
    <row r="3275" spans="1:34" x14ac:dyDescent="0.3">
      <c r="A3275" s="4">
        <v>3391</v>
      </c>
      <c r="B3275" s="5">
        <v>3268</v>
      </c>
      <c r="C3275">
        <v>10958</v>
      </c>
      <c r="D3275" t="s">
        <v>18490</v>
      </c>
      <c r="E3275" t="s">
        <v>54</v>
      </c>
      <c r="F3275" t="s">
        <v>20</v>
      </c>
      <c r="G3275" t="s">
        <v>23871</v>
      </c>
      <c r="H3275">
        <v>17.25</v>
      </c>
      <c r="I3275">
        <v>0</v>
      </c>
      <c r="J3275">
        <v>0</v>
      </c>
      <c r="K3275">
        <v>0</v>
      </c>
      <c r="N3275">
        <v>3</v>
      </c>
      <c r="O3275">
        <v>3</v>
      </c>
      <c r="P3275">
        <v>4</v>
      </c>
      <c r="Q3275">
        <v>0</v>
      </c>
      <c r="R3275">
        <v>24.25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3</v>
      </c>
      <c r="AC3275">
        <v>0</v>
      </c>
      <c r="AH3275">
        <v>27.25</v>
      </c>
    </row>
    <row r="3276" spans="1:34" x14ac:dyDescent="0.3">
      <c r="A3276" s="4">
        <v>3392</v>
      </c>
      <c r="B3276" s="5">
        <v>3269</v>
      </c>
      <c r="C3276">
        <v>10497</v>
      </c>
      <c r="D3276" t="s">
        <v>23872</v>
      </c>
      <c r="E3276" t="s">
        <v>17</v>
      </c>
      <c r="F3276" t="s">
        <v>17</v>
      </c>
      <c r="G3276" t="s">
        <v>23873</v>
      </c>
      <c r="H3276">
        <v>17.25</v>
      </c>
      <c r="I3276">
        <v>0</v>
      </c>
      <c r="J3276">
        <v>0</v>
      </c>
      <c r="K3276">
        <v>0</v>
      </c>
      <c r="N3276">
        <v>3</v>
      </c>
      <c r="O3276">
        <v>3</v>
      </c>
      <c r="P3276">
        <v>4</v>
      </c>
      <c r="Q3276">
        <v>0</v>
      </c>
      <c r="R3276">
        <v>24.25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3</v>
      </c>
      <c r="AC3276">
        <v>0</v>
      </c>
      <c r="AH3276">
        <v>27.25</v>
      </c>
    </row>
    <row r="3277" spans="1:34" x14ac:dyDescent="0.3">
      <c r="A3277" s="4">
        <v>3393</v>
      </c>
      <c r="B3277" s="5">
        <v>3270</v>
      </c>
      <c r="C3277">
        <v>8412</v>
      </c>
      <c r="D3277" t="s">
        <v>23071</v>
      </c>
      <c r="E3277" t="s">
        <v>789</v>
      </c>
      <c r="F3277" t="s">
        <v>55</v>
      </c>
      <c r="G3277" t="s">
        <v>23874</v>
      </c>
      <c r="H3277">
        <v>20.25</v>
      </c>
      <c r="I3277">
        <v>0</v>
      </c>
      <c r="J3277">
        <v>0</v>
      </c>
      <c r="K3277">
        <v>0</v>
      </c>
      <c r="N3277">
        <v>3</v>
      </c>
      <c r="O3277">
        <v>3</v>
      </c>
      <c r="P3277">
        <v>4</v>
      </c>
      <c r="Q3277">
        <v>0</v>
      </c>
      <c r="R3277">
        <v>27.25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H3277">
        <v>27.25</v>
      </c>
    </row>
    <row r="3278" spans="1:34" x14ac:dyDescent="0.3">
      <c r="A3278" s="4">
        <v>3394</v>
      </c>
      <c r="B3278" s="5">
        <v>3271</v>
      </c>
      <c r="C3278">
        <v>3752</v>
      </c>
      <c r="D3278" t="s">
        <v>3423</v>
      </c>
      <c r="E3278" t="s">
        <v>3803</v>
      </c>
      <c r="F3278" t="s">
        <v>17</v>
      </c>
      <c r="G3278" t="s">
        <v>23875</v>
      </c>
      <c r="H3278">
        <v>20.25</v>
      </c>
      <c r="I3278">
        <v>0</v>
      </c>
      <c r="J3278">
        <v>0</v>
      </c>
      <c r="K3278">
        <v>0</v>
      </c>
      <c r="N3278">
        <v>3</v>
      </c>
      <c r="O3278">
        <v>3</v>
      </c>
      <c r="P3278">
        <v>4</v>
      </c>
      <c r="Q3278">
        <v>0</v>
      </c>
      <c r="R3278">
        <v>27.25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H3278">
        <v>27.25</v>
      </c>
    </row>
    <row r="3279" spans="1:34" x14ac:dyDescent="0.3">
      <c r="A3279" s="4">
        <v>3395</v>
      </c>
      <c r="B3279" s="5">
        <v>3272</v>
      </c>
      <c r="C3279">
        <v>14208</v>
      </c>
      <c r="D3279" t="s">
        <v>23876</v>
      </c>
      <c r="E3279" t="s">
        <v>208</v>
      </c>
      <c r="F3279" t="s">
        <v>136</v>
      </c>
      <c r="G3279" t="s">
        <v>23877</v>
      </c>
      <c r="H3279">
        <v>16.25</v>
      </c>
      <c r="I3279">
        <v>0</v>
      </c>
      <c r="J3279">
        <v>0</v>
      </c>
      <c r="K3279">
        <v>0</v>
      </c>
      <c r="L3279">
        <v>7</v>
      </c>
      <c r="O3279">
        <v>7</v>
      </c>
      <c r="P3279">
        <v>4</v>
      </c>
      <c r="Q3279">
        <v>0</v>
      </c>
      <c r="R3279">
        <v>27.25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H3279">
        <v>27.25</v>
      </c>
    </row>
    <row r="3280" spans="1:34" x14ac:dyDescent="0.3">
      <c r="A3280" s="4">
        <v>3396</v>
      </c>
      <c r="B3280" s="5">
        <v>3273</v>
      </c>
      <c r="C3280">
        <v>42</v>
      </c>
      <c r="D3280" t="s">
        <v>23878</v>
      </c>
      <c r="E3280" t="s">
        <v>33</v>
      </c>
      <c r="F3280" t="s">
        <v>328</v>
      </c>
      <c r="G3280" t="s">
        <v>23879</v>
      </c>
      <c r="H3280">
        <v>16.25</v>
      </c>
      <c r="I3280">
        <v>0</v>
      </c>
      <c r="J3280">
        <v>0</v>
      </c>
      <c r="K3280">
        <v>0</v>
      </c>
      <c r="L3280">
        <v>7</v>
      </c>
      <c r="O3280">
        <v>7</v>
      </c>
      <c r="P3280">
        <v>4</v>
      </c>
      <c r="Q3280">
        <v>0</v>
      </c>
      <c r="R3280">
        <v>27.25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H3280">
        <v>27.25</v>
      </c>
    </row>
    <row r="3281" spans="1:34" x14ac:dyDescent="0.3">
      <c r="A3281" s="4">
        <v>3397</v>
      </c>
      <c r="B3281" s="5">
        <v>3274</v>
      </c>
      <c r="C3281">
        <v>15235</v>
      </c>
      <c r="D3281" t="s">
        <v>1649</v>
      </c>
      <c r="E3281" t="s">
        <v>268</v>
      </c>
      <c r="F3281" t="s">
        <v>17</v>
      </c>
      <c r="G3281" t="s">
        <v>23880</v>
      </c>
      <c r="H3281">
        <v>17.23</v>
      </c>
      <c r="I3281">
        <v>0</v>
      </c>
      <c r="J3281">
        <v>0</v>
      </c>
      <c r="K3281">
        <v>0</v>
      </c>
      <c r="O3281">
        <v>0</v>
      </c>
      <c r="P3281">
        <v>4</v>
      </c>
      <c r="Q3281">
        <v>0</v>
      </c>
      <c r="R3281">
        <v>21.23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6</v>
      </c>
      <c r="AC3281">
        <v>0</v>
      </c>
      <c r="AH3281">
        <v>27.23</v>
      </c>
    </row>
    <row r="3282" spans="1:34" x14ac:dyDescent="0.3">
      <c r="A3282" s="4">
        <v>3398</v>
      </c>
      <c r="B3282" s="5">
        <v>3275</v>
      </c>
      <c r="C3282">
        <v>13390</v>
      </c>
      <c r="D3282" t="s">
        <v>6509</v>
      </c>
      <c r="E3282" t="s">
        <v>29</v>
      </c>
      <c r="F3282" t="s">
        <v>243</v>
      </c>
      <c r="G3282" t="s">
        <v>23881</v>
      </c>
      <c r="H3282">
        <v>20.23</v>
      </c>
      <c r="I3282">
        <v>0</v>
      </c>
      <c r="J3282">
        <v>0</v>
      </c>
      <c r="K3282">
        <v>0</v>
      </c>
      <c r="O3282">
        <v>0</v>
      </c>
      <c r="P3282">
        <v>4</v>
      </c>
      <c r="Q3282">
        <v>0</v>
      </c>
      <c r="R3282">
        <v>24.23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3</v>
      </c>
      <c r="AC3282">
        <v>0</v>
      </c>
      <c r="AH3282">
        <v>27.23</v>
      </c>
    </row>
    <row r="3283" spans="1:34" x14ac:dyDescent="0.3">
      <c r="A3283" s="4">
        <v>3399</v>
      </c>
      <c r="B3283" s="5">
        <v>3276</v>
      </c>
      <c r="C3283">
        <v>7251</v>
      </c>
      <c r="D3283" t="s">
        <v>784</v>
      </c>
      <c r="E3283" t="s">
        <v>471</v>
      </c>
      <c r="F3283" t="s">
        <v>442</v>
      </c>
      <c r="G3283" t="s">
        <v>23882</v>
      </c>
      <c r="H3283">
        <v>17.2</v>
      </c>
      <c r="I3283">
        <v>0</v>
      </c>
      <c r="J3283">
        <v>0</v>
      </c>
      <c r="K3283">
        <v>0</v>
      </c>
      <c r="O3283">
        <v>0</v>
      </c>
      <c r="P3283">
        <v>4</v>
      </c>
      <c r="Q3283">
        <v>0</v>
      </c>
      <c r="R3283">
        <v>21.2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6</v>
      </c>
      <c r="AC3283">
        <v>0</v>
      </c>
      <c r="AH3283">
        <v>27.2</v>
      </c>
    </row>
    <row r="3284" spans="1:34" x14ac:dyDescent="0.3">
      <c r="A3284" s="4">
        <v>3400</v>
      </c>
      <c r="B3284" s="5">
        <v>3277</v>
      </c>
      <c r="C3284">
        <v>7121</v>
      </c>
      <c r="D3284" t="s">
        <v>1284</v>
      </c>
      <c r="E3284" t="s">
        <v>23883</v>
      </c>
      <c r="F3284" t="s">
        <v>52</v>
      </c>
      <c r="G3284" t="s">
        <v>23884</v>
      </c>
      <c r="H3284">
        <v>20.2</v>
      </c>
      <c r="I3284">
        <v>0</v>
      </c>
      <c r="J3284">
        <v>0</v>
      </c>
      <c r="K3284">
        <v>0</v>
      </c>
      <c r="N3284">
        <v>3</v>
      </c>
      <c r="O3284">
        <v>3</v>
      </c>
      <c r="P3284">
        <v>4</v>
      </c>
      <c r="Q3284">
        <v>0</v>
      </c>
      <c r="R3284">
        <v>27.2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H3284">
        <v>27.2</v>
      </c>
    </row>
    <row r="3285" spans="1:34" x14ac:dyDescent="0.3">
      <c r="A3285" s="4">
        <v>3401</v>
      </c>
      <c r="B3285" s="5">
        <v>3278</v>
      </c>
      <c r="C3285">
        <v>1725</v>
      </c>
      <c r="D3285" t="s">
        <v>769</v>
      </c>
      <c r="E3285" t="s">
        <v>789</v>
      </c>
      <c r="F3285" t="s">
        <v>346</v>
      </c>
      <c r="G3285" t="s">
        <v>23885</v>
      </c>
      <c r="H3285">
        <v>20.2</v>
      </c>
      <c r="I3285">
        <v>0</v>
      </c>
      <c r="J3285">
        <v>0</v>
      </c>
      <c r="K3285">
        <v>0</v>
      </c>
      <c r="N3285">
        <v>3</v>
      </c>
      <c r="O3285">
        <v>3</v>
      </c>
      <c r="P3285">
        <v>4</v>
      </c>
      <c r="Q3285">
        <v>0</v>
      </c>
      <c r="R3285">
        <v>27.2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H3285">
        <v>27.2</v>
      </c>
    </row>
    <row r="3286" spans="1:34" x14ac:dyDescent="0.3">
      <c r="A3286" s="4">
        <v>3402</v>
      </c>
      <c r="B3286" s="5">
        <v>3279</v>
      </c>
      <c r="C3286">
        <v>1163</v>
      </c>
      <c r="D3286" t="s">
        <v>5304</v>
      </c>
      <c r="E3286" t="s">
        <v>328</v>
      </c>
      <c r="F3286" t="s">
        <v>230</v>
      </c>
      <c r="G3286" t="s">
        <v>23886</v>
      </c>
      <c r="H3286">
        <v>20.2</v>
      </c>
      <c r="I3286">
        <v>0</v>
      </c>
      <c r="J3286">
        <v>0</v>
      </c>
      <c r="K3286">
        <v>0</v>
      </c>
      <c r="N3286">
        <v>3</v>
      </c>
      <c r="O3286">
        <v>3</v>
      </c>
      <c r="P3286">
        <v>4</v>
      </c>
      <c r="Q3286">
        <v>0</v>
      </c>
      <c r="R3286">
        <v>27.2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H3286">
        <v>27.2</v>
      </c>
    </row>
    <row r="3287" spans="1:34" x14ac:dyDescent="0.3">
      <c r="A3287" s="4">
        <v>3403</v>
      </c>
      <c r="B3287" s="5">
        <v>3280</v>
      </c>
      <c r="C3287">
        <v>7879</v>
      </c>
      <c r="D3287" t="s">
        <v>23887</v>
      </c>
      <c r="E3287" t="s">
        <v>7689</v>
      </c>
      <c r="F3287" t="s">
        <v>158</v>
      </c>
      <c r="G3287" t="s">
        <v>23888</v>
      </c>
      <c r="H3287">
        <v>16.2</v>
      </c>
      <c r="I3287">
        <v>0</v>
      </c>
      <c r="J3287">
        <v>0</v>
      </c>
      <c r="K3287">
        <v>0</v>
      </c>
      <c r="L3287">
        <v>7</v>
      </c>
      <c r="O3287">
        <v>7</v>
      </c>
      <c r="P3287">
        <v>4</v>
      </c>
      <c r="Q3287">
        <v>0</v>
      </c>
      <c r="R3287">
        <v>27.2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H3287">
        <v>27.2</v>
      </c>
    </row>
    <row r="3288" spans="1:34" x14ac:dyDescent="0.3">
      <c r="A3288" s="4">
        <v>3404</v>
      </c>
      <c r="B3288" s="5">
        <v>3281</v>
      </c>
      <c r="C3288">
        <v>4173</v>
      </c>
      <c r="D3288" t="s">
        <v>13286</v>
      </c>
      <c r="E3288" t="s">
        <v>1576</v>
      </c>
      <c r="F3288" t="s">
        <v>1265</v>
      </c>
      <c r="G3288" t="s">
        <v>23889</v>
      </c>
      <c r="H3288">
        <v>17.18</v>
      </c>
      <c r="I3288">
        <v>0</v>
      </c>
      <c r="J3288">
        <v>0</v>
      </c>
      <c r="K3288">
        <v>0</v>
      </c>
      <c r="N3288">
        <v>3</v>
      </c>
      <c r="O3288">
        <v>3</v>
      </c>
      <c r="P3288">
        <v>4</v>
      </c>
      <c r="Q3288">
        <v>0</v>
      </c>
      <c r="R3288">
        <v>24.18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3</v>
      </c>
      <c r="AC3288">
        <v>0</v>
      </c>
      <c r="AH3288">
        <v>27.18</v>
      </c>
    </row>
    <row r="3289" spans="1:34" x14ac:dyDescent="0.3">
      <c r="A3289" s="4">
        <v>3405</v>
      </c>
      <c r="B3289" s="5">
        <v>3282</v>
      </c>
      <c r="C3289">
        <v>8197</v>
      </c>
      <c r="D3289" t="s">
        <v>2236</v>
      </c>
      <c r="E3289" t="s">
        <v>41</v>
      </c>
      <c r="F3289" t="s">
        <v>442</v>
      </c>
      <c r="G3289" t="s">
        <v>23890</v>
      </c>
      <c r="H3289">
        <v>20.18</v>
      </c>
      <c r="I3289">
        <v>0</v>
      </c>
      <c r="J3289">
        <v>0</v>
      </c>
      <c r="K3289">
        <v>0</v>
      </c>
      <c r="N3289">
        <v>3</v>
      </c>
      <c r="O3289">
        <v>3</v>
      </c>
      <c r="P3289">
        <v>4</v>
      </c>
      <c r="Q3289">
        <v>0</v>
      </c>
      <c r="R3289">
        <v>27.18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H3289">
        <v>27.18</v>
      </c>
    </row>
    <row r="3290" spans="1:34" x14ac:dyDescent="0.3">
      <c r="A3290" s="4">
        <v>3406</v>
      </c>
      <c r="B3290" s="5">
        <v>3283</v>
      </c>
      <c r="C3290">
        <v>8015</v>
      </c>
      <c r="D3290" t="s">
        <v>23891</v>
      </c>
      <c r="E3290" t="s">
        <v>539</v>
      </c>
      <c r="F3290" t="s">
        <v>972</v>
      </c>
      <c r="G3290" t="s">
        <v>23892</v>
      </c>
      <c r="H3290">
        <v>20.18</v>
      </c>
      <c r="I3290">
        <v>0</v>
      </c>
      <c r="J3290">
        <v>0</v>
      </c>
      <c r="K3290">
        <v>0</v>
      </c>
      <c r="N3290">
        <v>3</v>
      </c>
      <c r="O3290">
        <v>3</v>
      </c>
      <c r="P3290">
        <v>4</v>
      </c>
      <c r="Q3290">
        <v>0</v>
      </c>
      <c r="R3290">
        <v>27.18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H3290">
        <v>27.18</v>
      </c>
    </row>
    <row r="3291" spans="1:34" x14ac:dyDescent="0.3">
      <c r="A3291" s="4">
        <v>3407</v>
      </c>
      <c r="B3291" s="5">
        <v>3284</v>
      </c>
      <c r="C3291">
        <v>7267</v>
      </c>
      <c r="D3291" t="s">
        <v>4603</v>
      </c>
      <c r="E3291" t="s">
        <v>2271</v>
      </c>
      <c r="F3291" t="s">
        <v>521</v>
      </c>
      <c r="G3291" t="s">
        <v>23893</v>
      </c>
      <c r="H3291">
        <v>21.15</v>
      </c>
      <c r="I3291">
        <v>0</v>
      </c>
      <c r="J3291">
        <v>0</v>
      </c>
      <c r="K3291">
        <v>0</v>
      </c>
      <c r="N3291">
        <v>3</v>
      </c>
      <c r="O3291">
        <v>3</v>
      </c>
      <c r="P3291">
        <v>0</v>
      </c>
      <c r="Q3291">
        <v>0</v>
      </c>
      <c r="R3291">
        <v>24.15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3</v>
      </c>
      <c r="AC3291">
        <v>0</v>
      </c>
      <c r="AH3291">
        <v>27.15</v>
      </c>
    </row>
    <row r="3292" spans="1:34" x14ac:dyDescent="0.3">
      <c r="A3292" s="4">
        <v>3408</v>
      </c>
      <c r="B3292" s="5">
        <v>3285</v>
      </c>
      <c r="C3292">
        <v>3505</v>
      </c>
      <c r="D3292" t="s">
        <v>5587</v>
      </c>
      <c r="E3292" t="s">
        <v>22</v>
      </c>
      <c r="F3292" t="s">
        <v>38</v>
      </c>
      <c r="G3292" t="s">
        <v>23894</v>
      </c>
      <c r="H3292">
        <v>17.13</v>
      </c>
      <c r="I3292">
        <v>0</v>
      </c>
      <c r="J3292">
        <v>0</v>
      </c>
      <c r="K3292">
        <v>0</v>
      </c>
      <c r="O3292">
        <v>0</v>
      </c>
      <c r="P3292">
        <v>4</v>
      </c>
      <c r="Q3292">
        <v>0</v>
      </c>
      <c r="R3292">
        <v>21.13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6</v>
      </c>
      <c r="AC3292">
        <v>0</v>
      </c>
      <c r="AH3292">
        <v>27.13</v>
      </c>
    </row>
    <row r="3293" spans="1:34" x14ac:dyDescent="0.3">
      <c r="A3293" s="4">
        <v>3409</v>
      </c>
      <c r="B3293" s="5">
        <v>3286</v>
      </c>
      <c r="C3293">
        <v>4123</v>
      </c>
      <c r="D3293" t="s">
        <v>28</v>
      </c>
      <c r="E3293" t="s">
        <v>23895</v>
      </c>
      <c r="F3293" t="s">
        <v>81</v>
      </c>
      <c r="G3293" t="s">
        <v>23896</v>
      </c>
      <c r="H3293">
        <v>20.13</v>
      </c>
      <c r="I3293">
        <v>0</v>
      </c>
      <c r="J3293">
        <v>0</v>
      </c>
      <c r="K3293">
        <v>0</v>
      </c>
      <c r="N3293">
        <v>3</v>
      </c>
      <c r="O3293">
        <v>3</v>
      </c>
      <c r="P3293">
        <v>4</v>
      </c>
      <c r="Q3293">
        <v>0</v>
      </c>
      <c r="R3293">
        <v>27.13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H3293">
        <v>27.13</v>
      </c>
    </row>
    <row r="3294" spans="1:34" x14ac:dyDescent="0.3">
      <c r="A3294" s="4">
        <v>3410</v>
      </c>
      <c r="B3294" s="5">
        <v>3287</v>
      </c>
      <c r="C3294">
        <v>13791</v>
      </c>
      <c r="D3294" t="s">
        <v>23897</v>
      </c>
      <c r="E3294" t="s">
        <v>471</v>
      </c>
      <c r="F3294" t="s">
        <v>136</v>
      </c>
      <c r="G3294" t="s">
        <v>23898</v>
      </c>
      <c r="H3294">
        <v>20.13</v>
      </c>
      <c r="I3294">
        <v>0</v>
      </c>
      <c r="J3294">
        <v>0</v>
      </c>
      <c r="K3294">
        <v>0</v>
      </c>
      <c r="N3294">
        <v>3</v>
      </c>
      <c r="O3294">
        <v>3</v>
      </c>
      <c r="P3294">
        <v>4</v>
      </c>
      <c r="Q3294">
        <v>0</v>
      </c>
      <c r="R3294">
        <v>27.13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H3294">
        <v>27.13</v>
      </c>
    </row>
    <row r="3295" spans="1:34" x14ac:dyDescent="0.3">
      <c r="A3295" s="4">
        <v>3411</v>
      </c>
      <c r="B3295" s="5">
        <v>3288</v>
      </c>
      <c r="C3295">
        <v>1133</v>
      </c>
      <c r="D3295" t="s">
        <v>9326</v>
      </c>
      <c r="E3295" t="s">
        <v>744</v>
      </c>
      <c r="F3295" t="s">
        <v>23899</v>
      </c>
      <c r="G3295" t="s">
        <v>23900</v>
      </c>
      <c r="H3295">
        <v>18.13</v>
      </c>
      <c r="I3295">
        <v>0</v>
      </c>
      <c r="J3295">
        <v>0</v>
      </c>
      <c r="K3295">
        <v>0</v>
      </c>
      <c r="N3295">
        <v>3</v>
      </c>
      <c r="O3295">
        <v>3</v>
      </c>
      <c r="P3295">
        <v>4</v>
      </c>
      <c r="Q3295">
        <v>2</v>
      </c>
      <c r="R3295">
        <v>27.13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H3295">
        <v>27.13</v>
      </c>
    </row>
    <row r="3296" spans="1:34" x14ac:dyDescent="0.3">
      <c r="A3296" s="4">
        <v>3412</v>
      </c>
      <c r="B3296" s="5">
        <v>3289</v>
      </c>
      <c r="C3296">
        <v>648</v>
      </c>
      <c r="D3296" t="s">
        <v>23901</v>
      </c>
      <c r="E3296" t="s">
        <v>400</v>
      </c>
      <c r="F3296" t="s">
        <v>570</v>
      </c>
      <c r="G3296" t="s">
        <v>23902</v>
      </c>
      <c r="H3296">
        <v>18.13</v>
      </c>
      <c r="I3296">
        <v>0</v>
      </c>
      <c r="J3296">
        <v>0</v>
      </c>
      <c r="K3296">
        <v>0</v>
      </c>
      <c r="M3296">
        <v>5</v>
      </c>
      <c r="O3296">
        <v>5</v>
      </c>
      <c r="P3296">
        <v>4</v>
      </c>
      <c r="Q3296">
        <v>0</v>
      </c>
      <c r="R3296">
        <v>27.13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H3296">
        <v>27.13</v>
      </c>
    </row>
    <row r="3297" spans="1:34" x14ac:dyDescent="0.3">
      <c r="A3297" s="4">
        <v>3413</v>
      </c>
      <c r="B3297" s="5">
        <v>3290</v>
      </c>
      <c r="C3297">
        <v>9764</v>
      </c>
      <c r="D3297" t="s">
        <v>23903</v>
      </c>
      <c r="E3297" t="s">
        <v>2852</v>
      </c>
      <c r="F3297" t="s">
        <v>385</v>
      </c>
      <c r="G3297" t="s">
        <v>23904</v>
      </c>
      <c r="H3297">
        <v>16.13</v>
      </c>
      <c r="I3297">
        <v>0</v>
      </c>
      <c r="J3297">
        <v>0</v>
      </c>
      <c r="K3297">
        <v>0</v>
      </c>
      <c r="L3297">
        <v>7</v>
      </c>
      <c r="O3297">
        <v>7</v>
      </c>
      <c r="P3297">
        <v>4</v>
      </c>
      <c r="Q3297">
        <v>0</v>
      </c>
      <c r="R3297">
        <v>27.13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H3297">
        <v>27.13</v>
      </c>
    </row>
    <row r="3298" spans="1:34" x14ac:dyDescent="0.3">
      <c r="A3298" s="4">
        <v>3414</v>
      </c>
      <c r="B3298" s="5">
        <v>3291</v>
      </c>
      <c r="C3298">
        <v>10146</v>
      </c>
      <c r="D3298" t="s">
        <v>2405</v>
      </c>
      <c r="E3298" t="s">
        <v>132</v>
      </c>
      <c r="F3298" t="s">
        <v>20</v>
      </c>
      <c r="G3298" t="s">
        <v>23905</v>
      </c>
      <c r="H3298">
        <v>17.100000000000001</v>
      </c>
      <c r="I3298">
        <v>0</v>
      </c>
      <c r="J3298">
        <v>0</v>
      </c>
      <c r="K3298">
        <v>0</v>
      </c>
      <c r="O3298">
        <v>0</v>
      </c>
      <c r="P3298">
        <v>4</v>
      </c>
      <c r="Q3298">
        <v>0</v>
      </c>
      <c r="R3298">
        <v>21.1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6</v>
      </c>
      <c r="AC3298">
        <v>0</v>
      </c>
      <c r="AH3298">
        <v>27.1</v>
      </c>
    </row>
    <row r="3299" spans="1:34" x14ac:dyDescent="0.3">
      <c r="A3299" s="4">
        <v>3415</v>
      </c>
      <c r="B3299" s="5">
        <v>3292</v>
      </c>
      <c r="C3299">
        <v>14156</v>
      </c>
      <c r="D3299" t="s">
        <v>23906</v>
      </c>
      <c r="E3299" t="s">
        <v>1140</v>
      </c>
      <c r="F3299" t="s">
        <v>457</v>
      </c>
      <c r="G3299" t="s">
        <v>23907</v>
      </c>
      <c r="H3299">
        <v>20.100000000000001</v>
      </c>
      <c r="I3299">
        <v>0</v>
      </c>
      <c r="J3299">
        <v>0</v>
      </c>
      <c r="K3299">
        <v>0</v>
      </c>
      <c r="O3299">
        <v>0</v>
      </c>
      <c r="P3299">
        <v>4</v>
      </c>
      <c r="Q3299">
        <v>0</v>
      </c>
      <c r="R3299">
        <v>24.1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3</v>
      </c>
      <c r="AC3299">
        <v>0</v>
      </c>
      <c r="AH3299">
        <v>27.1</v>
      </c>
    </row>
    <row r="3300" spans="1:34" x14ac:dyDescent="0.3">
      <c r="A3300" s="4">
        <v>3416</v>
      </c>
      <c r="B3300" s="5">
        <v>3293</v>
      </c>
      <c r="C3300">
        <v>5355</v>
      </c>
      <c r="D3300" t="s">
        <v>8440</v>
      </c>
      <c r="E3300" t="s">
        <v>33</v>
      </c>
      <c r="F3300" t="s">
        <v>375</v>
      </c>
      <c r="G3300" t="s">
        <v>23908</v>
      </c>
      <c r="H3300">
        <v>20.100000000000001</v>
      </c>
      <c r="I3300">
        <v>0</v>
      </c>
      <c r="J3300">
        <v>0</v>
      </c>
      <c r="K3300">
        <v>0</v>
      </c>
      <c r="O3300">
        <v>0</v>
      </c>
      <c r="P3300">
        <v>4</v>
      </c>
      <c r="Q3300">
        <v>0</v>
      </c>
      <c r="R3300">
        <v>24.1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3</v>
      </c>
      <c r="AC3300">
        <v>0</v>
      </c>
      <c r="AH3300">
        <v>27.1</v>
      </c>
    </row>
    <row r="3301" spans="1:34" x14ac:dyDescent="0.3">
      <c r="A3301" s="4">
        <v>3417</v>
      </c>
      <c r="B3301" s="5">
        <v>3294</v>
      </c>
      <c r="C3301">
        <v>3199</v>
      </c>
      <c r="D3301" t="s">
        <v>23909</v>
      </c>
      <c r="E3301" t="s">
        <v>1016</v>
      </c>
      <c r="F3301" t="s">
        <v>79</v>
      </c>
      <c r="G3301" t="s">
        <v>23910</v>
      </c>
      <c r="H3301">
        <v>20.100000000000001</v>
      </c>
      <c r="I3301">
        <v>0</v>
      </c>
      <c r="J3301">
        <v>0</v>
      </c>
      <c r="K3301">
        <v>0</v>
      </c>
      <c r="O3301">
        <v>0</v>
      </c>
      <c r="P3301">
        <v>4</v>
      </c>
      <c r="Q3301">
        <v>0</v>
      </c>
      <c r="R3301">
        <v>24.1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3</v>
      </c>
      <c r="AC3301">
        <v>0</v>
      </c>
      <c r="AH3301">
        <v>27.1</v>
      </c>
    </row>
    <row r="3302" spans="1:34" x14ac:dyDescent="0.3">
      <c r="A3302" s="4">
        <v>3418</v>
      </c>
      <c r="B3302" s="5">
        <v>3295</v>
      </c>
      <c r="C3302">
        <v>9946</v>
      </c>
      <c r="D3302" t="s">
        <v>5284</v>
      </c>
      <c r="E3302" t="s">
        <v>88</v>
      </c>
      <c r="F3302" t="s">
        <v>909</v>
      </c>
      <c r="G3302" t="s">
        <v>23911</v>
      </c>
      <c r="H3302">
        <v>17.079999999999998</v>
      </c>
      <c r="I3302">
        <v>0</v>
      </c>
      <c r="J3302">
        <v>0</v>
      </c>
      <c r="K3302">
        <v>0</v>
      </c>
      <c r="O3302">
        <v>0</v>
      </c>
      <c r="P3302">
        <v>4</v>
      </c>
      <c r="Q3302">
        <v>0</v>
      </c>
      <c r="R3302">
        <v>21.08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6</v>
      </c>
      <c r="AC3302">
        <v>0</v>
      </c>
      <c r="AH3302">
        <v>27.08</v>
      </c>
    </row>
    <row r="3303" spans="1:34" x14ac:dyDescent="0.3">
      <c r="A3303" s="4">
        <v>3419</v>
      </c>
      <c r="B3303" s="5">
        <v>3296</v>
      </c>
      <c r="C3303">
        <v>814</v>
      </c>
      <c r="D3303" t="s">
        <v>23912</v>
      </c>
      <c r="E3303" t="s">
        <v>255</v>
      </c>
      <c r="F3303" t="s">
        <v>158</v>
      </c>
      <c r="G3303" t="s">
        <v>23913</v>
      </c>
      <c r="H3303">
        <v>18.05</v>
      </c>
      <c r="I3303">
        <v>0</v>
      </c>
      <c r="J3303">
        <v>0</v>
      </c>
      <c r="K3303">
        <v>0</v>
      </c>
      <c r="O3303">
        <v>0</v>
      </c>
      <c r="P3303">
        <v>4</v>
      </c>
      <c r="Q3303">
        <v>2</v>
      </c>
      <c r="R3303">
        <v>24.05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3</v>
      </c>
      <c r="AC3303">
        <v>0</v>
      </c>
      <c r="AH3303">
        <v>27.05</v>
      </c>
    </row>
    <row r="3304" spans="1:34" x14ac:dyDescent="0.3">
      <c r="A3304" s="4">
        <v>3420</v>
      </c>
      <c r="B3304" s="5">
        <v>3297</v>
      </c>
      <c r="C3304">
        <v>4880</v>
      </c>
      <c r="D3304" t="s">
        <v>23914</v>
      </c>
      <c r="E3304" t="s">
        <v>166</v>
      </c>
      <c r="F3304" t="s">
        <v>38</v>
      </c>
      <c r="G3304" t="s">
        <v>23915</v>
      </c>
      <c r="H3304">
        <v>17.05</v>
      </c>
      <c r="I3304">
        <v>0</v>
      </c>
      <c r="J3304">
        <v>0</v>
      </c>
      <c r="K3304">
        <v>0</v>
      </c>
      <c r="N3304">
        <v>3</v>
      </c>
      <c r="O3304">
        <v>3</v>
      </c>
      <c r="P3304">
        <v>4</v>
      </c>
      <c r="Q3304">
        <v>0</v>
      </c>
      <c r="R3304">
        <v>24.05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3</v>
      </c>
      <c r="AC3304">
        <v>0</v>
      </c>
      <c r="AH3304">
        <v>27.05</v>
      </c>
    </row>
    <row r="3305" spans="1:34" x14ac:dyDescent="0.3">
      <c r="A3305" s="4">
        <v>3421</v>
      </c>
      <c r="B3305" s="5">
        <v>3298</v>
      </c>
      <c r="C3305">
        <v>1861</v>
      </c>
      <c r="D3305" t="s">
        <v>3983</v>
      </c>
      <c r="E3305" t="s">
        <v>161</v>
      </c>
      <c r="F3305" t="s">
        <v>68</v>
      </c>
      <c r="G3305" t="s">
        <v>23916</v>
      </c>
      <c r="H3305">
        <v>20.05</v>
      </c>
      <c r="I3305">
        <v>0</v>
      </c>
      <c r="J3305">
        <v>0</v>
      </c>
      <c r="K3305">
        <v>0</v>
      </c>
      <c r="N3305">
        <v>3</v>
      </c>
      <c r="O3305">
        <v>3</v>
      </c>
      <c r="P3305">
        <v>4</v>
      </c>
      <c r="Q3305">
        <v>0</v>
      </c>
      <c r="R3305">
        <v>27.05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H3305">
        <v>27.05</v>
      </c>
    </row>
    <row r="3306" spans="1:34" x14ac:dyDescent="0.3">
      <c r="A3306" s="4">
        <v>3422</v>
      </c>
      <c r="B3306" s="5">
        <v>3299</v>
      </c>
      <c r="C3306">
        <v>6176</v>
      </c>
      <c r="D3306" t="s">
        <v>10502</v>
      </c>
      <c r="E3306" t="s">
        <v>149</v>
      </c>
      <c r="F3306" t="s">
        <v>17</v>
      </c>
      <c r="G3306" t="s">
        <v>23917</v>
      </c>
      <c r="H3306">
        <v>20.03</v>
      </c>
      <c r="I3306">
        <v>0</v>
      </c>
      <c r="J3306">
        <v>0</v>
      </c>
      <c r="K3306">
        <v>0</v>
      </c>
      <c r="N3306">
        <v>3</v>
      </c>
      <c r="O3306">
        <v>3</v>
      </c>
      <c r="P3306">
        <v>4</v>
      </c>
      <c r="Q3306">
        <v>0</v>
      </c>
      <c r="R3306">
        <v>27.03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H3306">
        <v>27.03</v>
      </c>
    </row>
    <row r="3307" spans="1:34" x14ac:dyDescent="0.3">
      <c r="A3307" s="4">
        <v>3423</v>
      </c>
      <c r="B3307" s="5">
        <v>3300</v>
      </c>
      <c r="C3307">
        <v>5597</v>
      </c>
      <c r="D3307" t="s">
        <v>23918</v>
      </c>
      <c r="E3307" t="s">
        <v>744</v>
      </c>
      <c r="F3307" t="s">
        <v>167</v>
      </c>
      <c r="G3307" t="s">
        <v>23919</v>
      </c>
      <c r="H3307">
        <v>20.03</v>
      </c>
      <c r="I3307">
        <v>0</v>
      </c>
      <c r="J3307">
        <v>0</v>
      </c>
      <c r="K3307">
        <v>0</v>
      </c>
      <c r="N3307">
        <v>3</v>
      </c>
      <c r="O3307">
        <v>3</v>
      </c>
      <c r="P3307">
        <v>4</v>
      </c>
      <c r="Q3307">
        <v>0</v>
      </c>
      <c r="R3307">
        <v>27.03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H3307">
        <v>27.03</v>
      </c>
    </row>
    <row r="3308" spans="1:34" x14ac:dyDescent="0.3">
      <c r="A3308" s="4">
        <v>3424</v>
      </c>
      <c r="B3308" s="5">
        <v>3301</v>
      </c>
      <c r="C3308">
        <v>8653</v>
      </c>
      <c r="D3308" t="s">
        <v>23920</v>
      </c>
      <c r="E3308" t="s">
        <v>29</v>
      </c>
      <c r="F3308" t="s">
        <v>81</v>
      </c>
      <c r="G3308" t="s">
        <v>23921</v>
      </c>
      <c r="H3308">
        <v>18.03</v>
      </c>
      <c r="I3308">
        <v>0</v>
      </c>
      <c r="J3308">
        <v>0</v>
      </c>
      <c r="K3308">
        <v>0</v>
      </c>
      <c r="N3308">
        <v>3</v>
      </c>
      <c r="O3308">
        <v>3</v>
      </c>
      <c r="P3308">
        <v>4</v>
      </c>
      <c r="Q3308">
        <v>2</v>
      </c>
      <c r="R3308">
        <v>27.03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H3308">
        <v>27.03</v>
      </c>
    </row>
    <row r="3309" spans="1:34" x14ac:dyDescent="0.3">
      <c r="A3309" s="4">
        <v>3425</v>
      </c>
      <c r="B3309" s="5">
        <v>3302</v>
      </c>
      <c r="C3309">
        <v>4019</v>
      </c>
      <c r="D3309" t="s">
        <v>23922</v>
      </c>
      <c r="E3309" t="s">
        <v>2795</v>
      </c>
      <c r="F3309" t="s">
        <v>750</v>
      </c>
      <c r="G3309" t="s">
        <v>23923</v>
      </c>
      <c r="H3309">
        <v>20</v>
      </c>
      <c r="I3309">
        <v>0</v>
      </c>
      <c r="J3309">
        <v>0</v>
      </c>
      <c r="K3309">
        <v>0</v>
      </c>
      <c r="O3309">
        <v>0</v>
      </c>
      <c r="P3309">
        <v>4</v>
      </c>
      <c r="Q3309">
        <v>0</v>
      </c>
      <c r="R3309">
        <v>24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3</v>
      </c>
      <c r="AC3309">
        <v>0</v>
      </c>
      <c r="AH3309">
        <v>27</v>
      </c>
    </row>
    <row r="3310" spans="1:34" x14ac:dyDescent="0.3">
      <c r="A3310" s="4">
        <v>3426</v>
      </c>
      <c r="B3310" s="5">
        <v>3303</v>
      </c>
      <c r="C3310">
        <v>7441</v>
      </c>
      <c r="D3310" t="s">
        <v>17743</v>
      </c>
      <c r="E3310" t="s">
        <v>41</v>
      </c>
      <c r="F3310" t="s">
        <v>91</v>
      </c>
      <c r="G3310" t="s">
        <v>23924</v>
      </c>
      <c r="H3310">
        <v>17</v>
      </c>
      <c r="I3310">
        <v>0</v>
      </c>
      <c r="J3310">
        <v>0</v>
      </c>
      <c r="K3310">
        <v>0</v>
      </c>
      <c r="N3310">
        <v>3</v>
      </c>
      <c r="O3310">
        <v>3</v>
      </c>
      <c r="P3310">
        <v>4</v>
      </c>
      <c r="Q3310">
        <v>0</v>
      </c>
      <c r="R3310">
        <v>24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3</v>
      </c>
      <c r="AC3310">
        <v>0</v>
      </c>
      <c r="AH3310">
        <v>27</v>
      </c>
    </row>
    <row r="3311" spans="1:34" x14ac:dyDescent="0.3">
      <c r="A3311" s="4">
        <v>3427</v>
      </c>
      <c r="B3311" s="5">
        <v>3304</v>
      </c>
      <c r="C3311">
        <v>10029</v>
      </c>
      <c r="D3311" t="s">
        <v>1565</v>
      </c>
      <c r="E3311" t="s">
        <v>23925</v>
      </c>
      <c r="F3311" t="s">
        <v>79</v>
      </c>
      <c r="G3311" t="s">
        <v>23926</v>
      </c>
      <c r="H3311">
        <v>20</v>
      </c>
      <c r="I3311">
        <v>0</v>
      </c>
      <c r="J3311">
        <v>0</v>
      </c>
      <c r="K3311">
        <v>0</v>
      </c>
      <c r="N3311">
        <v>3</v>
      </c>
      <c r="O3311">
        <v>3</v>
      </c>
      <c r="P3311">
        <v>4</v>
      </c>
      <c r="Q3311">
        <v>0</v>
      </c>
      <c r="R3311">
        <v>27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H3311">
        <v>27</v>
      </c>
    </row>
    <row r="3312" spans="1:34" x14ac:dyDescent="0.3">
      <c r="A3312" s="4">
        <v>3428</v>
      </c>
      <c r="B3312" s="5">
        <v>3305</v>
      </c>
      <c r="C3312">
        <v>7108</v>
      </c>
      <c r="D3312" t="s">
        <v>5587</v>
      </c>
      <c r="E3312" t="s">
        <v>161</v>
      </c>
      <c r="F3312" t="s">
        <v>7204</v>
      </c>
      <c r="G3312" t="s">
        <v>23927</v>
      </c>
      <c r="H3312">
        <v>20</v>
      </c>
      <c r="I3312">
        <v>0</v>
      </c>
      <c r="J3312">
        <v>0</v>
      </c>
      <c r="K3312">
        <v>0</v>
      </c>
      <c r="N3312">
        <v>3</v>
      </c>
      <c r="O3312">
        <v>3</v>
      </c>
      <c r="P3312">
        <v>4</v>
      </c>
      <c r="Q3312">
        <v>0</v>
      </c>
      <c r="R3312">
        <v>27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H3312">
        <v>27</v>
      </c>
    </row>
    <row r="3313" spans="1:34" x14ac:dyDescent="0.3">
      <c r="A3313" s="4">
        <v>3429</v>
      </c>
      <c r="B3313" s="5">
        <v>3306</v>
      </c>
      <c r="C3313">
        <v>254</v>
      </c>
      <c r="D3313" t="s">
        <v>23928</v>
      </c>
      <c r="E3313" t="s">
        <v>3775</v>
      </c>
      <c r="F3313" t="s">
        <v>38</v>
      </c>
      <c r="G3313" t="s">
        <v>23929</v>
      </c>
      <c r="H3313">
        <v>20</v>
      </c>
      <c r="I3313">
        <v>0</v>
      </c>
      <c r="J3313">
        <v>0</v>
      </c>
      <c r="K3313">
        <v>0</v>
      </c>
      <c r="N3313">
        <v>3</v>
      </c>
      <c r="O3313">
        <v>3</v>
      </c>
      <c r="P3313">
        <v>4</v>
      </c>
      <c r="Q3313">
        <v>0</v>
      </c>
      <c r="R3313">
        <v>27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H3313">
        <v>27</v>
      </c>
    </row>
    <row r="3314" spans="1:34" x14ac:dyDescent="0.3">
      <c r="A3314" s="4">
        <v>3430</v>
      </c>
      <c r="B3314" s="5">
        <v>3307</v>
      </c>
      <c r="C3314">
        <v>6972</v>
      </c>
      <c r="D3314" t="s">
        <v>23930</v>
      </c>
      <c r="E3314" t="s">
        <v>38</v>
      </c>
      <c r="F3314" t="s">
        <v>30</v>
      </c>
      <c r="G3314" t="s">
        <v>23931</v>
      </c>
      <c r="H3314">
        <v>20</v>
      </c>
      <c r="I3314">
        <v>0</v>
      </c>
      <c r="J3314">
        <v>0</v>
      </c>
      <c r="K3314">
        <v>0</v>
      </c>
      <c r="L3314">
        <v>7</v>
      </c>
      <c r="O3314">
        <v>7</v>
      </c>
      <c r="P3314">
        <v>0</v>
      </c>
      <c r="Q3314">
        <v>0</v>
      </c>
      <c r="R3314">
        <v>27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H3314">
        <v>27</v>
      </c>
    </row>
    <row r="3315" spans="1:34" x14ac:dyDescent="0.3">
      <c r="A3315" s="4">
        <v>3431</v>
      </c>
      <c r="B3315" s="5">
        <v>3308</v>
      </c>
      <c r="C3315">
        <v>4063</v>
      </c>
      <c r="D3315" t="s">
        <v>23932</v>
      </c>
      <c r="E3315" t="s">
        <v>442</v>
      </c>
      <c r="F3315" t="s">
        <v>1450</v>
      </c>
      <c r="G3315" t="s">
        <v>23933</v>
      </c>
      <c r="H3315">
        <v>18</v>
      </c>
      <c r="I3315">
        <v>0</v>
      </c>
      <c r="J3315">
        <v>0</v>
      </c>
      <c r="K3315">
        <v>0</v>
      </c>
      <c r="M3315">
        <v>5</v>
      </c>
      <c r="O3315">
        <v>5</v>
      </c>
      <c r="P3315">
        <v>4</v>
      </c>
      <c r="Q3315">
        <v>0</v>
      </c>
      <c r="R3315">
        <v>27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H3315">
        <v>27</v>
      </c>
    </row>
    <row r="3316" spans="1:34" x14ac:dyDescent="0.3">
      <c r="A3316" s="4">
        <v>3432</v>
      </c>
      <c r="B3316" s="5">
        <v>3309</v>
      </c>
      <c r="C3316">
        <v>3598</v>
      </c>
      <c r="D3316" t="s">
        <v>23934</v>
      </c>
      <c r="E3316" t="s">
        <v>6507</v>
      </c>
      <c r="F3316" t="s">
        <v>158</v>
      </c>
      <c r="G3316" t="s">
        <v>23935</v>
      </c>
      <c r="H3316">
        <v>16.98</v>
      </c>
      <c r="I3316">
        <v>0</v>
      </c>
      <c r="J3316">
        <v>0</v>
      </c>
      <c r="K3316">
        <v>0</v>
      </c>
      <c r="O3316">
        <v>0</v>
      </c>
      <c r="P3316">
        <v>4</v>
      </c>
      <c r="Q3316">
        <v>0</v>
      </c>
      <c r="R3316">
        <v>20.98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6</v>
      </c>
      <c r="AC3316">
        <v>0</v>
      </c>
      <c r="AH3316">
        <v>26.98</v>
      </c>
    </row>
    <row r="3317" spans="1:34" x14ac:dyDescent="0.3">
      <c r="A3317" s="4">
        <v>3433</v>
      </c>
      <c r="B3317" s="5">
        <v>3310</v>
      </c>
      <c r="C3317">
        <v>8681</v>
      </c>
      <c r="D3317" t="s">
        <v>19848</v>
      </c>
      <c r="E3317" t="s">
        <v>81</v>
      </c>
      <c r="F3317" t="s">
        <v>20</v>
      </c>
      <c r="G3317" t="s">
        <v>23936</v>
      </c>
      <c r="H3317">
        <v>20.98</v>
      </c>
      <c r="I3317">
        <v>0</v>
      </c>
      <c r="J3317">
        <v>0</v>
      </c>
      <c r="K3317">
        <v>0</v>
      </c>
      <c r="O3317">
        <v>0</v>
      </c>
      <c r="P3317">
        <v>4</v>
      </c>
      <c r="Q3317">
        <v>2</v>
      </c>
      <c r="R3317">
        <v>26.98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H3317">
        <v>26.98</v>
      </c>
    </row>
    <row r="3318" spans="1:34" x14ac:dyDescent="0.3">
      <c r="A3318" s="4">
        <v>3434</v>
      </c>
      <c r="B3318" s="5">
        <v>3311</v>
      </c>
      <c r="C3318">
        <v>5402</v>
      </c>
      <c r="D3318" t="s">
        <v>12970</v>
      </c>
      <c r="E3318" t="s">
        <v>161</v>
      </c>
      <c r="F3318" t="s">
        <v>81</v>
      </c>
      <c r="G3318" t="s">
        <v>23937</v>
      </c>
      <c r="H3318">
        <v>20.95</v>
      </c>
      <c r="I3318">
        <v>0</v>
      </c>
      <c r="J3318">
        <v>0</v>
      </c>
      <c r="K3318">
        <v>0</v>
      </c>
      <c r="O3318">
        <v>0</v>
      </c>
      <c r="P3318">
        <v>4</v>
      </c>
      <c r="Q3318">
        <v>2</v>
      </c>
      <c r="R3318">
        <v>26.95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H3318">
        <v>26.95</v>
      </c>
    </row>
    <row r="3319" spans="1:34" x14ac:dyDescent="0.3">
      <c r="A3319" s="4">
        <v>3435</v>
      </c>
      <c r="B3319" s="5">
        <v>3312</v>
      </c>
      <c r="C3319">
        <v>1379</v>
      </c>
      <c r="D3319" t="s">
        <v>23938</v>
      </c>
      <c r="E3319" t="s">
        <v>219</v>
      </c>
      <c r="F3319" t="s">
        <v>34</v>
      </c>
      <c r="G3319" t="s">
        <v>23939</v>
      </c>
      <c r="H3319">
        <v>19.95</v>
      </c>
      <c r="I3319">
        <v>0</v>
      </c>
      <c r="J3319">
        <v>0</v>
      </c>
      <c r="K3319">
        <v>0</v>
      </c>
      <c r="N3319">
        <v>3</v>
      </c>
      <c r="O3319">
        <v>3</v>
      </c>
      <c r="P3319">
        <v>4</v>
      </c>
      <c r="Q3319">
        <v>0</v>
      </c>
      <c r="R3319">
        <v>26.95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H3319">
        <v>26.95</v>
      </c>
    </row>
    <row r="3320" spans="1:34" x14ac:dyDescent="0.3">
      <c r="A3320" s="4">
        <v>3436</v>
      </c>
      <c r="B3320" s="5">
        <v>3313</v>
      </c>
      <c r="C3320">
        <v>10677</v>
      </c>
      <c r="D3320" t="s">
        <v>13091</v>
      </c>
      <c r="E3320" t="s">
        <v>29</v>
      </c>
      <c r="F3320" t="s">
        <v>117</v>
      </c>
      <c r="G3320" t="s">
        <v>23940</v>
      </c>
      <c r="H3320">
        <v>19.95</v>
      </c>
      <c r="I3320">
        <v>0</v>
      </c>
      <c r="J3320">
        <v>0</v>
      </c>
      <c r="K3320">
        <v>0</v>
      </c>
      <c r="N3320">
        <v>3</v>
      </c>
      <c r="O3320">
        <v>3</v>
      </c>
      <c r="P3320">
        <v>4</v>
      </c>
      <c r="Q3320">
        <v>0</v>
      </c>
      <c r="R3320">
        <v>26.95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H3320">
        <v>26.95</v>
      </c>
    </row>
    <row r="3321" spans="1:34" x14ac:dyDescent="0.3">
      <c r="A3321" s="4">
        <v>3437</v>
      </c>
      <c r="B3321" s="5">
        <v>3314</v>
      </c>
      <c r="C3321">
        <v>2957</v>
      </c>
      <c r="D3321" t="s">
        <v>23941</v>
      </c>
      <c r="E3321" t="s">
        <v>54</v>
      </c>
      <c r="F3321" t="s">
        <v>81</v>
      </c>
      <c r="G3321" t="s">
        <v>23942</v>
      </c>
      <c r="H3321">
        <v>16.95</v>
      </c>
      <c r="I3321">
        <v>0</v>
      </c>
      <c r="J3321">
        <v>0</v>
      </c>
      <c r="K3321">
        <v>0</v>
      </c>
      <c r="N3321">
        <v>6</v>
      </c>
      <c r="O3321">
        <v>6</v>
      </c>
      <c r="P3321">
        <v>4</v>
      </c>
      <c r="Q3321">
        <v>0</v>
      </c>
      <c r="R3321">
        <v>26.95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H3321">
        <v>26.95</v>
      </c>
    </row>
    <row r="3322" spans="1:34" x14ac:dyDescent="0.3">
      <c r="A3322" s="4">
        <v>3438</v>
      </c>
      <c r="B3322" s="5">
        <v>3315</v>
      </c>
      <c r="C3322">
        <v>7446</v>
      </c>
      <c r="D3322" t="s">
        <v>23943</v>
      </c>
      <c r="E3322" t="s">
        <v>343</v>
      </c>
      <c r="F3322" t="s">
        <v>34</v>
      </c>
      <c r="G3322" t="s">
        <v>23944</v>
      </c>
      <c r="H3322">
        <v>16.93</v>
      </c>
      <c r="I3322">
        <v>0</v>
      </c>
      <c r="J3322">
        <v>0</v>
      </c>
      <c r="K3322">
        <v>0</v>
      </c>
      <c r="O3322">
        <v>0</v>
      </c>
      <c r="P3322">
        <v>4</v>
      </c>
      <c r="Q3322">
        <v>0</v>
      </c>
      <c r="R3322">
        <v>20.93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6</v>
      </c>
      <c r="AC3322">
        <v>0</v>
      </c>
      <c r="AH3322">
        <v>26.93</v>
      </c>
    </row>
    <row r="3323" spans="1:34" x14ac:dyDescent="0.3">
      <c r="A3323" s="4">
        <v>3439</v>
      </c>
      <c r="B3323" s="5">
        <v>3316</v>
      </c>
      <c r="C3323">
        <v>1057</v>
      </c>
      <c r="D3323" t="s">
        <v>3760</v>
      </c>
      <c r="E3323" t="s">
        <v>1265</v>
      </c>
      <c r="F3323" t="s">
        <v>91</v>
      </c>
      <c r="G3323" t="s">
        <v>23945</v>
      </c>
      <c r="H3323">
        <v>16.93</v>
      </c>
      <c r="I3323">
        <v>0</v>
      </c>
      <c r="J3323">
        <v>0</v>
      </c>
      <c r="K3323">
        <v>0</v>
      </c>
      <c r="O3323">
        <v>0</v>
      </c>
      <c r="P3323">
        <v>4</v>
      </c>
      <c r="Q3323">
        <v>0</v>
      </c>
      <c r="R3323">
        <v>20.93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6</v>
      </c>
      <c r="AC3323">
        <v>0</v>
      </c>
      <c r="AH3323">
        <v>26.93</v>
      </c>
    </row>
    <row r="3324" spans="1:34" x14ac:dyDescent="0.3">
      <c r="A3324" s="4">
        <v>3440</v>
      </c>
      <c r="B3324" s="5">
        <v>3317</v>
      </c>
      <c r="C3324">
        <v>15546</v>
      </c>
      <c r="D3324" t="s">
        <v>23946</v>
      </c>
      <c r="E3324" t="s">
        <v>26</v>
      </c>
      <c r="F3324" t="s">
        <v>17</v>
      </c>
      <c r="G3324" t="s">
        <v>23947</v>
      </c>
      <c r="H3324">
        <v>16.93</v>
      </c>
      <c r="I3324">
        <v>0</v>
      </c>
      <c r="J3324">
        <v>0</v>
      </c>
      <c r="K3324">
        <v>0</v>
      </c>
      <c r="N3324">
        <v>3</v>
      </c>
      <c r="O3324">
        <v>3</v>
      </c>
      <c r="P3324">
        <v>4</v>
      </c>
      <c r="Q3324">
        <v>0</v>
      </c>
      <c r="R3324">
        <v>23.93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3</v>
      </c>
      <c r="AC3324">
        <v>0</v>
      </c>
      <c r="AH3324">
        <v>26.93</v>
      </c>
    </row>
    <row r="3325" spans="1:34" x14ac:dyDescent="0.3">
      <c r="A3325" s="4">
        <v>3441</v>
      </c>
      <c r="B3325" s="5">
        <v>3318</v>
      </c>
      <c r="C3325">
        <v>13196</v>
      </c>
      <c r="D3325" t="s">
        <v>5275</v>
      </c>
      <c r="E3325" t="s">
        <v>6225</v>
      </c>
      <c r="F3325" t="s">
        <v>117</v>
      </c>
      <c r="G3325" t="s">
        <v>23948</v>
      </c>
      <c r="H3325">
        <v>16.93</v>
      </c>
      <c r="I3325">
        <v>0</v>
      </c>
      <c r="J3325">
        <v>0</v>
      </c>
      <c r="K3325">
        <v>0</v>
      </c>
      <c r="N3325">
        <v>3</v>
      </c>
      <c r="O3325">
        <v>3</v>
      </c>
      <c r="P3325">
        <v>4</v>
      </c>
      <c r="Q3325">
        <v>0</v>
      </c>
      <c r="R3325">
        <v>23.93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3</v>
      </c>
      <c r="AC3325">
        <v>0</v>
      </c>
      <c r="AH3325">
        <v>26.93</v>
      </c>
    </row>
    <row r="3326" spans="1:34" x14ac:dyDescent="0.3">
      <c r="A3326" s="4">
        <v>3442</v>
      </c>
      <c r="B3326" s="5">
        <v>3319</v>
      </c>
      <c r="C3326">
        <v>994</v>
      </c>
      <c r="D3326" t="s">
        <v>10860</v>
      </c>
      <c r="E3326" t="s">
        <v>188</v>
      </c>
      <c r="F3326" t="s">
        <v>68</v>
      </c>
      <c r="G3326" t="s">
        <v>23949</v>
      </c>
      <c r="H3326">
        <v>16.93</v>
      </c>
      <c r="I3326">
        <v>0</v>
      </c>
      <c r="J3326">
        <v>0</v>
      </c>
      <c r="K3326">
        <v>0</v>
      </c>
      <c r="N3326">
        <v>3</v>
      </c>
      <c r="O3326">
        <v>3</v>
      </c>
      <c r="P3326">
        <v>4</v>
      </c>
      <c r="Q3326">
        <v>0</v>
      </c>
      <c r="R3326">
        <v>23.93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3</v>
      </c>
      <c r="AC3326">
        <v>0</v>
      </c>
      <c r="AH3326">
        <v>26.93</v>
      </c>
    </row>
    <row r="3327" spans="1:34" x14ac:dyDescent="0.3">
      <c r="A3327" s="4">
        <v>3443</v>
      </c>
      <c r="B3327" s="5">
        <v>3320</v>
      </c>
      <c r="C3327">
        <v>10855</v>
      </c>
      <c r="D3327" t="s">
        <v>23950</v>
      </c>
      <c r="E3327" t="s">
        <v>23951</v>
      </c>
      <c r="F3327" t="s">
        <v>649</v>
      </c>
      <c r="G3327" t="s">
        <v>23952</v>
      </c>
      <c r="H3327">
        <v>19.93</v>
      </c>
      <c r="I3327">
        <v>0</v>
      </c>
      <c r="J3327">
        <v>0</v>
      </c>
      <c r="K3327">
        <v>0</v>
      </c>
      <c r="N3327">
        <v>3</v>
      </c>
      <c r="O3327">
        <v>3</v>
      </c>
      <c r="P3327">
        <v>4</v>
      </c>
      <c r="Q3327">
        <v>0</v>
      </c>
      <c r="R3327">
        <v>26.93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H3327">
        <v>26.93</v>
      </c>
    </row>
    <row r="3328" spans="1:34" x14ac:dyDescent="0.3">
      <c r="A3328" s="4">
        <v>3444</v>
      </c>
      <c r="B3328" s="5">
        <v>3321</v>
      </c>
      <c r="C3328">
        <v>733</v>
      </c>
      <c r="D3328" t="s">
        <v>23953</v>
      </c>
      <c r="E3328" t="s">
        <v>1327</v>
      </c>
      <c r="F3328" t="s">
        <v>158</v>
      </c>
      <c r="G3328" t="s">
        <v>23954</v>
      </c>
      <c r="H3328">
        <v>19.93</v>
      </c>
      <c r="I3328">
        <v>0</v>
      </c>
      <c r="J3328">
        <v>0</v>
      </c>
      <c r="K3328">
        <v>0</v>
      </c>
      <c r="N3328">
        <v>3</v>
      </c>
      <c r="O3328">
        <v>3</v>
      </c>
      <c r="P3328">
        <v>4</v>
      </c>
      <c r="Q3328">
        <v>0</v>
      </c>
      <c r="R3328">
        <v>26.93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H3328">
        <v>26.93</v>
      </c>
    </row>
    <row r="3329" spans="1:34" x14ac:dyDescent="0.3">
      <c r="A3329" s="4">
        <v>3445</v>
      </c>
      <c r="B3329" s="5">
        <v>3322</v>
      </c>
      <c r="C3329">
        <v>7654</v>
      </c>
      <c r="D3329" t="s">
        <v>11138</v>
      </c>
      <c r="E3329" t="s">
        <v>255</v>
      </c>
      <c r="F3329" t="s">
        <v>117</v>
      </c>
      <c r="G3329" t="s">
        <v>23955</v>
      </c>
      <c r="H3329">
        <v>19.93</v>
      </c>
      <c r="I3329">
        <v>0</v>
      </c>
      <c r="J3329">
        <v>0</v>
      </c>
      <c r="K3329">
        <v>0</v>
      </c>
      <c r="L3329">
        <v>7</v>
      </c>
      <c r="O3329">
        <v>7</v>
      </c>
      <c r="P3329">
        <v>0</v>
      </c>
      <c r="Q3329">
        <v>0</v>
      </c>
      <c r="R3329">
        <v>26.93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H3329">
        <v>26.93</v>
      </c>
    </row>
    <row r="3330" spans="1:34" x14ac:dyDescent="0.3">
      <c r="A3330" s="4">
        <v>3446</v>
      </c>
      <c r="B3330" s="5">
        <v>3323</v>
      </c>
      <c r="C3330">
        <v>617</v>
      </c>
      <c r="D3330" t="s">
        <v>23956</v>
      </c>
      <c r="E3330" t="s">
        <v>29</v>
      </c>
      <c r="F3330" t="s">
        <v>20</v>
      </c>
      <c r="G3330" t="s">
        <v>23957</v>
      </c>
      <c r="H3330">
        <v>19.93</v>
      </c>
      <c r="I3330">
        <v>0</v>
      </c>
      <c r="J3330">
        <v>0</v>
      </c>
      <c r="K3330">
        <v>0</v>
      </c>
      <c r="N3330">
        <v>3</v>
      </c>
      <c r="O3330">
        <v>3</v>
      </c>
      <c r="P3330">
        <v>4</v>
      </c>
      <c r="Q3330">
        <v>0</v>
      </c>
      <c r="R3330">
        <v>26.93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H3330">
        <v>26.93</v>
      </c>
    </row>
    <row r="3331" spans="1:34" x14ac:dyDescent="0.3">
      <c r="A3331" s="4">
        <v>3447</v>
      </c>
      <c r="B3331" s="5">
        <v>3324</v>
      </c>
      <c r="C3331">
        <v>14670</v>
      </c>
      <c r="D3331" t="s">
        <v>23958</v>
      </c>
      <c r="E3331" t="s">
        <v>1426</v>
      </c>
      <c r="F3331" t="s">
        <v>55</v>
      </c>
      <c r="G3331" t="s">
        <v>23959</v>
      </c>
      <c r="H3331">
        <v>17.93</v>
      </c>
      <c r="I3331">
        <v>0</v>
      </c>
      <c r="J3331">
        <v>0</v>
      </c>
      <c r="K3331">
        <v>0</v>
      </c>
      <c r="M3331">
        <v>5</v>
      </c>
      <c r="O3331">
        <v>5</v>
      </c>
      <c r="P3331">
        <v>4</v>
      </c>
      <c r="Q3331">
        <v>0</v>
      </c>
      <c r="R3331">
        <v>26.93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H3331">
        <v>26.93</v>
      </c>
    </row>
    <row r="3332" spans="1:34" x14ac:dyDescent="0.3">
      <c r="A3332" s="4">
        <v>3448</v>
      </c>
      <c r="B3332" s="5">
        <v>3325</v>
      </c>
      <c r="C3332">
        <v>14241</v>
      </c>
      <c r="D3332" t="s">
        <v>2528</v>
      </c>
      <c r="E3332" t="s">
        <v>188</v>
      </c>
      <c r="F3332" t="s">
        <v>117</v>
      </c>
      <c r="G3332" t="s">
        <v>23960</v>
      </c>
      <c r="H3332">
        <v>17.93</v>
      </c>
      <c r="I3332">
        <v>0</v>
      </c>
      <c r="J3332">
        <v>0</v>
      </c>
      <c r="K3332">
        <v>0</v>
      </c>
      <c r="N3332">
        <v>3</v>
      </c>
      <c r="O3332">
        <v>3</v>
      </c>
      <c r="P3332">
        <v>4</v>
      </c>
      <c r="Q3332">
        <v>2</v>
      </c>
      <c r="R3332">
        <v>26.93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H3332">
        <v>26.93</v>
      </c>
    </row>
    <row r="3333" spans="1:34" x14ac:dyDescent="0.3">
      <c r="A3333" s="4">
        <v>3449</v>
      </c>
      <c r="B3333" s="5">
        <v>3326</v>
      </c>
      <c r="C3333">
        <v>9885</v>
      </c>
      <c r="D3333" t="s">
        <v>23961</v>
      </c>
      <c r="E3333" t="s">
        <v>100</v>
      </c>
      <c r="F3333" t="s">
        <v>91</v>
      </c>
      <c r="G3333" t="s">
        <v>23962</v>
      </c>
      <c r="H3333">
        <v>17.899999999999999</v>
      </c>
      <c r="I3333">
        <v>0</v>
      </c>
      <c r="J3333">
        <v>0</v>
      </c>
      <c r="K3333">
        <v>0</v>
      </c>
      <c r="N3333">
        <v>3</v>
      </c>
      <c r="O3333">
        <v>3</v>
      </c>
      <c r="P3333">
        <v>0</v>
      </c>
      <c r="Q3333">
        <v>0</v>
      </c>
      <c r="R3333">
        <v>20.9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6</v>
      </c>
      <c r="AC3333">
        <v>0</v>
      </c>
      <c r="AH3333">
        <v>26.9</v>
      </c>
    </row>
    <row r="3334" spans="1:34" x14ac:dyDescent="0.3">
      <c r="A3334" s="4">
        <v>3450</v>
      </c>
      <c r="B3334" s="5">
        <v>3327</v>
      </c>
      <c r="C3334">
        <v>15077</v>
      </c>
      <c r="D3334" t="s">
        <v>1447</v>
      </c>
      <c r="E3334" t="s">
        <v>29</v>
      </c>
      <c r="F3334" t="s">
        <v>38</v>
      </c>
      <c r="G3334" t="s">
        <v>23963</v>
      </c>
      <c r="H3334">
        <v>19.899999999999999</v>
      </c>
      <c r="I3334">
        <v>0</v>
      </c>
      <c r="J3334">
        <v>0</v>
      </c>
      <c r="K3334">
        <v>0</v>
      </c>
      <c r="N3334">
        <v>3</v>
      </c>
      <c r="O3334">
        <v>3</v>
      </c>
      <c r="P3334">
        <v>4</v>
      </c>
      <c r="Q3334">
        <v>0</v>
      </c>
      <c r="R3334">
        <v>26.9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H3334">
        <v>26.9</v>
      </c>
    </row>
    <row r="3335" spans="1:34" x14ac:dyDescent="0.3">
      <c r="A3335" s="4">
        <v>3451</v>
      </c>
      <c r="B3335" s="5">
        <v>3328</v>
      </c>
      <c r="C3335">
        <v>390</v>
      </c>
      <c r="D3335" t="s">
        <v>21326</v>
      </c>
      <c r="E3335" t="s">
        <v>471</v>
      </c>
      <c r="F3335" t="s">
        <v>91</v>
      </c>
      <c r="G3335" t="s">
        <v>23964</v>
      </c>
      <c r="H3335">
        <v>19.899999999999999</v>
      </c>
      <c r="I3335">
        <v>0</v>
      </c>
      <c r="J3335">
        <v>0</v>
      </c>
      <c r="K3335">
        <v>0</v>
      </c>
      <c r="N3335">
        <v>3</v>
      </c>
      <c r="O3335">
        <v>3</v>
      </c>
      <c r="P3335">
        <v>4</v>
      </c>
      <c r="Q3335">
        <v>0</v>
      </c>
      <c r="R3335">
        <v>26.9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H3335">
        <v>26.9</v>
      </c>
    </row>
    <row r="3336" spans="1:34" x14ac:dyDescent="0.3">
      <c r="A3336" s="4">
        <v>3452</v>
      </c>
      <c r="B3336" s="5">
        <v>3329</v>
      </c>
      <c r="C3336">
        <v>4928</v>
      </c>
      <c r="D3336" t="s">
        <v>23965</v>
      </c>
      <c r="E3336" t="s">
        <v>38</v>
      </c>
      <c r="F3336" t="s">
        <v>158</v>
      </c>
      <c r="G3336" t="s">
        <v>23966</v>
      </c>
      <c r="H3336">
        <v>17.899999999999999</v>
      </c>
      <c r="I3336">
        <v>0</v>
      </c>
      <c r="J3336">
        <v>0</v>
      </c>
      <c r="K3336">
        <v>0</v>
      </c>
      <c r="N3336">
        <v>3</v>
      </c>
      <c r="O3336">
        <v>3</v>
      </c>
      <c r="P3336">
        <v>4</v>
      </c>
      <c r="Q3336">
        <v>2</v>
      </c>
      <c r="R3336">
        <v>26.9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H3336">
        <v>26.9</v>
      </c>
    </row>
    <row r="3337" spans="1:34" x14ac:dyDescent="0.3">
      <c r="A3337" s="4">
        <v>3453</v>
      </c>
      <c r="B3337" s="5">
        <v>3330</v>
      </c>
      <c r="C3337">
        <v>5864</v>
      </c>
      <c r="D3337" t="s">
        <v>23967</v>
      </c>
      <c r="E3337" t="s">
        <v>81</v>
      </c>
      <c r="F3337" t="s">
        <v>539</v>
      </c>
      <c r="G3337" t="s">
        <v>23968</v>
      </c>
      <c r="H3337">
        <v>15.9</v>
      </c>
      <c r="I3337">
        <v>0</v>
      </c>
      <c r="J3337">
        <v>0</v>
      </c>
      <c r="K3337">
        <v>0</v>
      </c>
      <c r="L3337">
        <v>7</v>
      </c>
      <c r="O3337">
        <v>7</v>
      </c>
      <c r="P3337">
        <v>4</v>
      </c>
      <c r="Q3337">
        <v>0</v>
      </c>
      <c r="R3337">
        <v>26.9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H3337">
        <v>26.9</v>
      </c>
    </row>
    <row r="3338" spans="1:34" x14ac:dyDescent="0.3">
      <c r="A3338" s="4">
        <v>3454</v>
      </c>
      <c r="B3338" s="5">
        <v>3331</v>
      </c>
      <c r="C3338">
        <v>7283</v>
      </c>
      <c r="D3338" t="s">
        <v>2316</v>
      </c>
      <c r="E3338" t="s">
        <v>115</v>
      </c>
      <c r="F3338" t="s">
        <v>2561</v>
      </c>
      <c r="G3338" t="s">
        <v>23969</v>
      </c>
      <c r="H3338">
        <v>16.88</v>
      </c>
      <c r="I3338">
        <v>0</v>
      </c>
      <c r="J3338">
        <v>0</v>
      </c>
      <c r="K3338">
        <v>0</v>
      </c>
      <c r="O3338">
        <v>0</v>
      </c>
      <c r="P3338">
        <v>4</v>
      </c>
      <c r="Q3338">
        <v>0</v>
      </c>
      <c r="R3338">
        <v>20.88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6</v>
      </c>
      <c r="AC3338">
        <v>0</v>
      </c>
      <c r="AH3338">
        <v>26.88</v>
      </c>
    </row>
    <row r="3339" spans="1:34" x14ac:dyDescent="0.3">
      <c r="A3339" s="4">
        <v>3455</v>
      </c>
      <c r="B3339" s="5">
        <v>3332</v>
      </c>
      <c r="C3339">
        <v>12785</v>
      </c>
      <c r="D3339" t="s">
        <v>4013</v>
      </c>
      <c r="E3339" t="s">
        <v>29</v>
      </c>
      <c r="F3339" t="s">
        <v>539</v>
      </c>
      <c r="G3339" t="s">
        <v>23970</v>
      </c>
      <c r="H3339">
        <v>22.88</v>
      </c>
      <c r="I3339">
        <v>0</v>
      </c>
      <c r="J3339">
        <v>0</v>
      </c>
      <c r="K3339">
        <v>0</v>
      </c>
      <c r="O3339">
        <v>0</v>
      </c>
      <c r="P3339">
        <v>4</v>
      </c>
      <c r="Q3339">
        <v>0</v>
      </c>
      <c r="R3339">
        <v>26.88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H3339">
        <v>26.88</v>
      </c>
    </row>
    <row r="3340" spans="1:34" x14ac:dyDescent="0.3">
      <c r="A3340" s="4">
        <v>3456</v>
      </c>
      <c r="B3340" s="5">
        <v>3333</v>
      </c>
      <c r="C3340">
        <v>3367</v>
      </c>
      <c r="D3340" t="s">
        <v>23971</v>
      </c>
      <c r="E3340" t="s">
        <v>41</v>
      </c>
      <c r="F3340" t="s">
        <v>117</v>
      </c>
      <c r="G3340" t="s">
        <v>23972</v>
      </c>
      <c r="H3340">
        <v>20.88</v>
      </c>
      <c r="I3340">
        <v>0</v>
      </c>
      <c r="J3340">
        <v>0</v>
      </c>
      <c r="K3340">
        <v>0</v>
      </c>
      <c r="O3340">
        <v>0</v>
      </c>
      <c r="P3340">
        <v>4</v>
      </c>
      <c r="Q3340">
        <v>2</v>
      </c>
      <c r="R3340">
        <v>26.88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H3340">
        <v>26.88</v>
      </c>
    </row>
    <row r="3341" spans="1:34" x14ac:dyDescent="0.3">
      <c r="A3341" s="4">
        <v>3457</v>
      </c>
      <c r="B3341" s="5">
        <v>3334</v>
      </c>
      <c r="C3341">
        <v>8901</v>
      </c>
      <c r="D3341" t="s">
        <v>23973</v>
      </c>
      <c r="E3341" t="s">
        <v>34</v>
      </c>
      <c r="F3341" t="s">
        <v>117</v>
      </c>
      <c r="G3341" t="s">
        <v>23974</v>
      </c>
      <c r="H3341">
        <v>19.88</v>
      </c>
      <c r="I3341">
        <v>0</v>
      </c>
      <c r="J3341">
        <v>0</v>
      </c>
      <c r="K3341">
        <v>0</v>
      </c>
      <c r="N3341">
        <v>3</v>
      </c>
      <c r="O3341">
        <v>3</v>
      </c>
      <c r="P3341">
        <v>4</v>
      </c>
      <c r="Q3341">
        <v>0</v>
      </c>
      <c r="R3341">
        <v>26.88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H3341">
        <v>26.88</v>
      </c>
    </row>
    <row r="3342" spans="1:34" x14ac:dyDescent="0.3">
      <c r="A3342" s="4">
        <v>3458</v>
      </c>
      <c r="B3342" s="5">
        <v>3335</v>
      </c>
      <c r="C3342">
        <v>3756</v>
      </c>
      <c r="D3342" t="s">
        <v>181</v>
      </c>
      <c r="E3342" t="s">
        <v>110</v>
      </c>
      <c r="F3342" t="s">
        <v>79</v>
      </c>
      <c r="G3342" t="s">
        <v>23975</v>
      </c>
      <c r="H3342">
        <v>19.88</v>
      </c>
      <c r="I3342">
        <v>0</v>
      </c>
      <c r="J3342">
        <v>0</v>
      </c>
      <c r="K3342">
        <v>0</v>
      </c>
      <c r="N3342">
        <v>3</v>
      </c>
      <c r="O3342">
        <v>3</v>
      </c>
      <c r="P3342">
        <v>4</v>
      </c>
      <c r="Q3342">
        <v>0</v>
      </c>
      <c r="R3342">
        <v>26.88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H3342">
        <v>26.88</v>
      </c>
    </row>
    <row r="3343" spans="1:34" x14ac:dyDescent="0.3">
      <c r="A3343" s="4">
        <v>3459</v>
      </c>
      <c r="B3343" s="5">
        <v>3336</v>
      </c>
      <c r="C3343">
        <v>14993</v>
      </c>
      <c r="D3343" t="s">
        <v>16242</v>
      </c>
      <c r="E3343" t="s">
        <v>858</v>
      </c>
      <c r="F3343" t="s">
        <v>1023</v>
      </c>
      <c r="G3343" t="s">
        <v>23976</v>
      </c>
      <c r="H3343">
        <v>19.88</v>
      </c>
      <c r="I3343">
        <v>0</v>
      </c>
      <c r="J3343">
        <v>0</v>
      </c>
      <c r="K3343">
        <v>0</v>
      </c>
      <c r="N3343">
        <v>3</v>
      </c>
      <c r="O3343">
        <v>3</v>
      </c>
      <c r="P3343">
        <v>4</v>
      </c>
      <c r="Q3343">
        <v>0</v>
      </c>
      <c r="R3343">
        <v>26.88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H3343">
        <v>26.88</v>
      </c>
    </row>
    <row r="3344" spans="1:34" x14ac:dyDescent="0.3">
      <c r="A3344" s="4">
        <v>3460</v>
      </c>
      <c r="B3344" s="5">
        <v>3337</v>
      </c>
      <c r="C3344">
        <v>13284</v>
      </c>
      <c r="D3344" t="s">
        <v>23977</v>
      </c>
      <c r="E3344" t="s">
        <v>23978</v>
      </c>
      <c r="F3344" t="s">
        <v>81</v>
      </c>
      <c r="G3344" t="s">
        <v>23979</v>
      </c>
      <c r="H3344">
        <v>19.850000000000001</v>
      </c>
      <c r="I3344">
        <v>0</v>
      </c>
      <c r="J3344">
        <v>0</v>
      </c>
      <c r="K3344">
        <v>0</v>
      </c>
      <c r="O3344">
        <v>0</v>
      </c>
      <c r="P3344">
        <v>4</v>
      </c>
      <c r="Q3344">
        <v>0</v>
      </c>
      <c r="R3344">
        <v>23.85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3</v>
      </c>
      <c r="AC3344">
        <v>0</v>
      </c>
      <c r="AH3344">
        <v>26.85</v>
      </c>
    </row>
    <row r="3345" spans="1:34" x14ac:dyDescent="0.3">
      <c r="A3345" s="4">
        <v>3461</v>
      </c>
      <c r="B3345" s="5">
        <v>3338</v>
      </c>
      <c r="C3345">
        <v>15</v>
      </c>
      <c r="D3345" t="s">
        <v>13383</v>
      </c>
      <c r="E3345" t="s">
        <v>208</v>
      </c>
      <c r="F3345" t="s">
        <v>17</v>
      </c>
      <c r="G3345" t="s">
        <v>23980</v>
      </c>
      <c r="H3345">
        <v>19.829999999999998</v>
      </c>
      <c r="I3345">
        <v>0</v>
      </c>
      <c r="J3345">
        <v>0</v>
      </c>
      <c r="K3345">
        <v>0</v>
      </c>
      <c r="N3345">
        <v>3</v>
      </c>
      <c r="O3345">
        <v>3</v>
      </c>
      <c r="P3345">
        <v>4</v>
      </c>
      <c r="Q3345">
        <v>0</v>
      </c>
      <c r="R3345">
        <v>26.83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H3345">
        <v>26.83</v>
      </c>
    </row>
    <row r="3346" spans="1:34" x14ac:dyDescent="0.3">
      <c r="A3346" s="4">
        <v>3462</v>
      </c>
      <c r="B3346" s="5">
        <v>3339</v>
      </c>
      <c r="C3346">
        <v>6279</v>
      </c>
      <c r="D3346" t="s">
        <v>7872</v>
      </c>
      <c r="E3346" t="s">
        <v>219</v>
      </c>
      <c r="F3346" t="s">
        <v>972</v>
      </c>
      <c r="G3346" t="s">
        <v>23981</v>
      </c>
      <c r="H3346">
        <v>16.8</v>
      </c>
      <c r="I3346">
        <v>0</v>
      </c>
      <c r="J3346">
        <v>0</v>
      </c>
      <c r="K3346">
        <v>0</v>
      </c>
      <c r="O3346">
        <v>0</v>
      </c>
      <c r="P3346">
        <v>4</v>
      </c>
      <c r="Q3346">
        <v>0</v>
      </c>
      <c r="R3346">
        <v>20.8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6</v>
      </c>
      <c r="AC3346">
        <v>0</v>
      </c>
      <c r="AH3346">
        <v>26.8</v>
      </c>
    </row>
    <row r="3347" spans="1:34" x14ac:dyDescent="0.3">
      <c r="A3347" s="4">
        <v>3463</v>
      </c>
      <c r="B3347" s="5">
        <v>3340</v>
      </c>
      <c r="C3347">
        <v>387</v>
      </c>
      <c r="D3347" t="s">
        <v>23982</v>
      </c>
      <c r="E3347" t="s">
        <v>208</v>
      </c>
      <c r="F3347" t="s">
        <v>5300</v>
      </c>
      <c r="G3347" t="s">
        <v>23983</v>
      </c>
      <c r="H3347">
        <v>19.8</v>
      </c>
      <c r="I3347">
        <v>0</v>
      </c>
      <c r="J3347">
        <v>0</v>
      </c>
      <c r="K3347">
        <v>0</v>
      </c>
      <c r="N3347">
        <v>3</v>
      </c>
      <c r="O3347">
        <v>3</v>
      </c>
      <c r="P3347">
        <v>4</v>
      </c>
      <c r="Q3347">
        <v>0</v>
      </c>
      <c r="R3347">
        <v>26.8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H3347">
        <v>26.8</v>
      </c>
    </row>
    <row r="3348" spans="1:34" x14ac:dyDescent="0.3">
      <c r="A3348" s="4">
        <v>3464</v>
      </c>
      <c r="B3348" s="5">
        <v>3341</v>
      </c>
      <c r="C3348">
        <v>12685</v>
      </c>
      <c r="D3348" t="s">
        <v>22207</v>
      </c>
      <c r="E3348" t="s">
        <v>166</v>
      </c>
      <c r="F3348" t="s">
        <v>38</v>
      </c>
      <c r="G3348" t="s">
        <v>23984</v>
      </c>
      <c r="H3348">
        <v>16.78</v>
      </c>
      <c r="I3348">
        <v>0</v>
      </c>
      <c r="J3348">
        <v>0</v>
      </c>
      <c r="K3348">
        <v>0</v>
      </c>
      <c r="N3348">
        <v>3</v>
      </c>
      <c r="O3348">
        <v>3</v>
      </c>
      <c r="P3348">
        <v>4</v>
      </c>
      <c r="Q3348">
        <v>0</v>
      </c>
      <c r="R3348">
        <v>23.78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3</v>
      </c>
      <c r="AC3348">
        <v>0</v>
      </c>
      <c r="AH3348">
        <v>26.78</v>
      </c>
    </row>
    <row r="3349" spans="1:34" x14ac:dyDescent="0.3">
      <c r="A3349" s="4">
        <v>3465</v>
      </c>
      <c r="B3349" s="5">
        <v>3342</v>
      </c>
      <c r="C3349">
        <v>2528</v>
      </c>
      <c r="D3349" t="s">
        <v>577</v>
      </c>
      <c r="E3349" t="s">
        <v>1189</v>
      </c>
      <c r="F3349" t="s">
        <v>91</v>
      </c>
      <c r="G3349" t="s">
        <v>23985</v>
      </c>
      <c r="H3349">
        <v>19.78</v>
      </c>
      <c r="I3349">
        <v>0</v>
      </c>
      <c r="J3349">
        <v>0</v>
      </c>
      <c r="K3349">
        <v>0</v>
      </c>
      <c r="N3349">
        <v>3</v>
      </c>
      <c r="O3349">
        <v>3</v>
      </c>
      <c r="P3349">
        <v>4</v>
      </c>
      <c r="Q3349">
        <v>0</v>
      </c>
      <c r="R3349">
        <v>26.78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 t="s">
        <v>130</v>
      </c>
      <c r="AH3349">
        <v>26.78</v>
      </c>
    </row>
    <row r="3350" spans="1:34" x14ac:dyDescent="0.3">
      <c r="A3350" s="4">
        <v>3466</v>
      </c>
      <c r="B3350" s="5">
        <v>3343</v>
      </c>
      <c r="C3350">
        <v>12749</v>
      </c>
      <c r="D3350" t="s">
        <v>23986</v>
      </c>
      <c r="E3350" t="s">
        <v>65</v>
      </c>
      <c r="F3350" t="s">
        <v>136</v>
      </c>
      <c r="G3350" t="s">
        <v>23987</v>
      </c>
      <c r="H3350">
        <v>16.75</v>
      </c>
      <c r="I3350">
        <v>0</v>
      </c>
      <c r="J3350">
        <v>0</v>
      </c>
      <c r="K3350">
        <v>0</v>
      </c>
      <c r="O3350">
        <v>0</v>
      </c>
      <c r="P3350">
        <v>4</v>
      </c>
      <c r="Q3350">
        <v>0</v>
      </c>
      <c r="R3350">
        <v>20.75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6</v>
      </c>
      <c r="AC3350">
        <v>0</v>
      </c>
      <c r="AH3350">
        <v>26.75</v>
      </c>
    </row>
    <row r="3351" spans="1:34" x14ac:dyDescent="0.3">
      <c r="A3351" s="4">
        <v>3467</v>
      </c>
      <c r="B3351" s="5">
        <v>3344</v>
      </c>
      <c r="C3351">
        <v>8104</v>
      </c>
      <c r="D3351" t="s">
        <v>23225</v>
      </c>
      <c r="E3351" t="s">
        <v>170</v>
      </c>
      <c r="F3351" t="s">
        <v>38</v>
      </c>
      <c r="G3351" t="s">
        <v>23988</v>
      </c>
      <c r="H3351">
        <v>19.75</v>
      </c>
      <c r="I3351">
        <v>0</v>
      </c>
      <c r="J3351">
        <v>0</v>
      </c>
      <c r="K3351">
        <v>0</v>
      </c>
      <c r="O3351">
        <v>0</v>
      </c>
      <c r="P3351">
        <v>4</v>
      </c>
      <c r="Q3351">
        <v>0</v>
      </c>
      <c r="R3351">
        <v>23.75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3</v>
      </c>
      <c r="AC3351">
        <v>0</v>
      </c>
      <c r="AH3351">
        <v>26.75</v>
      </c>
    </row>
    <row r="3352" spans="1:34" x14ac:dyDescent="0.3">
      <c r="A3352" s="4">
        <v>3468</v>
      </c>
      <c r="B3352" s="5">
        <v>3345</v>
      </c>
      <c r="C3352">
        <v>1371</v>
      </c>
      <c r="D3352" t="s">
        <v>4714</v>
      </c>
      <c r="E3352" t="s">
        <v>188</v>
      </c>
      <c r="F3352" t="s">
        <v>539</v>
      </c>
      <c r="G3352" t="s">
        <v>23989</v>
      </c>
      <c r="H3352">
        <v>19.75</v>
      </c>
      <c r="I3352">
        <v>0</v>
      </c>
      <c r="J3352">
        <v>0</v>
      </c>
      <c r="K3352">
        <v>0</v>
      </c>
      <c r="N3352">
        <v>3</v>
      </c>
      <c r="O3352">
        <v>3</v>
      </c>
      <c r="P3352">
        <v>4</v>
      </c>
      <c r="Q3352">
        <v>0</v>
      </c>
      <c r="R3352">
        <v>26.75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H3352">
        <v>26.75</v>
      </c>
    </row>
    <row r="3353" spans="1:34" x14ac:dyDescent="0.3">
      <c r="A3353" s="4">
        <v>3469</v>
      </c>
      <c r="B3353" s="5">
        <v>3346</v>
      </c>
      <c r="C3353">
        <v>14771</v>
      </c>
      <c r="D3353" t="s">
        <v>23990</v>
      </c>
      <c r="E3353" t="s">
        <v>2005</v>
      </c>
      <c r="F3353" t="s">
        <v>23991</v>
      </c>
      <c r="G3353" t="s">
        <v>23992</v>
      </c>
      <c r="H3353">
        <v>19.75</v>
      </c>
      <c r="I3353">
        <v>0</v>
      </c>
      <c r="J3353">
        <v>0</v>
      </c>
      <c r="K3353">
        <v>0</v>
      </c>
      <c r="N3353">
        <v>3</v>
      </c>
      <c r="O3353">
        <v>3</v>
      </c>
      <c r="P3353">
        <v>4</v>
      </c>
      <c r="Q3353">
        <v>0</v>
      </c>
      <c r="R3353">
        <v>26.75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H3353">
        <v>26.75</v>
      </c>
    </row>
    <row r="3354" spans="1:34" x14ac:dyDescent="0.3">
      <c r="A3354" s="4">
        <v>3470</v>
      </c>
      <c r="B3354" s="5">
        <v>3347</v>
      </c>
      <c r="C3354">
        <v>13891</v>
      </c>
      <c r="D3354" t="s">
        <v>4186</v>
      </c>
      <c r="E3354" t="s">
        <v>1694</v>
      </c>
      <c r="F3354" t="s">
        <v>190</v>
      </c>
      <c r="G3354" t="s">
        <v>23993</v>
      </c>
      <c r="H3354">
        <v>18.75</v>
      </c>
      <c r="I3354">
        <v>0</v>
      </c>
      <c r="J3354">
        <v>0</v>
      </c>
      <c r="K3354">
        <v>0</v>
      </c>
      <c r="N3354">
        <v>3</v>
      </c>
      <c r="O3354">
        <v>3</v>
      </c>
      <c r="P3354">
        <v>0</v>
      </c>
      <c r="Q3354">
        <v>0</v>
      </c>
      <c r="R3354">
        <v>21.75</v>
      </c>
      <c r="S3354">
        <v>5</v>
      </c>
      <c r="T3354">
        <v>5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5</v>
      </c>
      <c r="AB3354">
        <v>0</v>
      </c>
      <c r="AC3354">
        <v>0</v>
      </c>
      <c r="AH3354">
        <v>26.75</v>
      </c>
    </row>
    <row r="3355" spans="1:34" x14ac:dyDescent="0.3">
      <c r="A3355" s="4">
        <v>3471</v>
      </c>
      <c r="B3355" s="5">
        <v>3348</v>
      </c>
      <c r="C3355">
        <v>7834</v>
      </c>
      <c r="D3355" t="s">
        <v>743</v>
      </c>
      <c r="E3355" t="s">
        <v>182</v>
      </c>
      <c r="F3355" t="s">
        <v>10324</v>
      </c>
      <c r="G3355" t="s">
        <v>23994</v>
      </c>
      <c r="H3355">
        <v>16.73</v>
      </c>
      <c r="I3355">
        <v>0</v>
      </c>
      <c r="J3355">
        <v>0</v>
      </c>
      <c r="K3355">
        <v>0</v>
      </c>
      <c r="N3355">
        <v>3</v>
      </c>
      <c r="O3355">
        <v>3</v>
      </c>
      <c r="P3355">
        <v>4</v>
      </c>
      <c r="Q3355">
        <v>0</v>
      </c>
      <c r="R3355">
        <v>23.73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3</v>
      </c>
      <c r="AC3355">
        <v>0</v>
      </c>
      <c r="AH3355">
        <v>26.73</v>
      </c>
    </row>
    <row r="3356" spans="1:34" x14ac:dyDescent="0.3">
      <c r="A3356" s="4">
        <v>3472</v>
      </c>
      <c r="B3356" s="5">
        <v>3349</v>
      </c>
      <c r="C3356">
        <v>13150</v>
      </c>
      <c r="D3356" t="s">
        <v>23995</v>
      </c>
      <c r="E3356" t="s">
        <v>29</v>
      </c>
      <c r="F3356" t="s">
        <v>17</v>
      </c>
      <c r="G3356" t="s">
        <v>23996</v>
      </c>
      <c r="H3356">
        <v>19.73</v>
      </c>
      <c r="I3356">
        <v>0</v>
      </c>
      <c r="J3356">
        <v>0</v>
      </c>
      <c r="K3356">
        <v>0</v>
      </c>
      <c r="N3356">
        <v>3</v>
      </c>
      <c r="O3356">
        <v>3</v>
      </c>
      <c r="P3356">
        <v>4</v>
      </c>
      <c r="Q3356">
        <v>0</v>
      </c>
      <c r="R3356">
        <v>26.73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H3356">
        <v>26.73</v>
      </c>
    </row>
    <row r="3357" spans="1:34" x14ac:dyDescent="0.3">
      <c r="A3357" s="4">
        <v>3473</v>
      </c>
      <c r="B3357" s="5">
        <v>3350</v>
      </c>
      <c r="C3357">
        <v>8832</v>
      </c>
      <c r="D3357" t="s">
        <v>11958</v>
      </c>
      <c r="E3357" t="s">
        <v>23997</v>
      </c>
      <c r="F3357" t="s">
        <v>20</v>
      </c>
      <c r="G3357" t="s">
        <v>23998</v>
      </c>
      <c r="H3357">
        <v>16.7</v>
      </c>
      <c r="I3357">
        <v>0</v>
      </c>
      <c r="J3357">
        <v>0</v>
      </c>
      <c r="K3357">
        <v>0</v>
      </c>
      <c r="O3357">
        <v>0</v>
      </c>
      <c r="P3357">
        <v>4</v>
      </c>
      <c r="Q3357">
        <v>0</v>
      </c>
      <c r="R3357">
        <v>20.7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6</v>
      </c>
      <c r="AC3357">
        <v>0</v>
      </c>
      <c r="AH3357">
        <v>26.7</v>
      </c>
    </row>
    <row r="3358" spans="1:34" x14ac:dyDescent="0.3">
      <c r="A3358" s="4">
        <v>3474</v>
      </c>
      <c r="B3358" s="5">
        <v>3351</v>
      </c>
      <c r="C3358">
        <v>4349</v>
      </c>
      <c r="D3358" t="s">
        <v>23999</v>
      </c>
      <c r="E3358" t="s">
        <v>1023</v>
      </c>
      <c r="F3358" t="s">
        <v>190</v>
      </c>
      <c r="G3358" t="s">
        <v>24000</v>
      </c>
      <c r="H3358">
        <v>19.7</v>
      </c>
      <c r="I3358">
        <v>0</v>
      </c>
      <c r="J3358">
        <v>0</v>
      </c>
      <c r="K3358">
        <v>0</v>
      </c>
      <c r="N3358">
        <v>3</v>
      </c>
      <c r="O3358">
        <v>3</v>
      </c>
      <c r="P3358">
        <v>4</v>
      </c>
      <c r="Q3358">
        <v>0</v>
      </c>
      <c r="R3358">
        <v>26.7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 t="s">
        <v>130</v>
      </c>
      <c r="AH3358">
        <v>26.7</v>
      </c>
    </row>
    <row r="3359" spans="1:34" x14ac:dyDescent="0.3">
      <c r="A3359" s="4">
        <v>3475</v>
      </c>
      <c r="B3359" s="5">
        <v>3352</v>
      </c>
      <c r="C3359">
        <v>15328</v>
      </c>
      <c r="D3359" t="s">
        <v>24001</v>
      </c>
      <c r="E3359" t="s">
        <v>81</v>
      </c>
      <c r="F3359" t="s">
        <v>20</v>
      </c>
      <c r="G3359" t="s">
        <v>24002</v>
      </c>
      <c r="H3359">
        <v>17.7</v>
      </c>
      <c r="I3359">
        <v>0</v>
      </c>
      <c r="J3359">
        <v>0</v>
      </c>
      <c r="K3359">
        <v>0</v>
      </c>
      <c r="O3359">
        <v>0</v>
      </c>
      <c r="P3359">
        <v>4</v>
      </c>
      <c r="Q3359">
        <v>2</v>
      </c>
      <c r="R3359">
        <v>23.7</v>
      </c>
      <c r="S3359">
        <v>3</v>
      </c>
      <c r="T3359">
        <v>3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3</v>
      </c>
      <c r="AB3359">
        <v>0</v>
      </c>
      <c r="AC3359">
        <v>0</v>
      </c>
      <c r="AH3359">
        <v>26.7</v>
      </c>
    </row>
    <row r="3360" spans="1:34" x14ac:dyDescent="0.3">
      <c r="A3360" s="4">
        <v>3476</v>
      </c>
      <c r="B3360" s="5">
        <v>3353</v>
      </c>
      <c r="C3360">
        <v>5545</v>
      </c>
      <c r="D3360" t="s">
        <v>24003</v>
      </c>
      <c r="E3360" t="s">
        <v>390</v>
      </c>
      <c r="F3360" t="s">
        <v>20</v>
      </c>
      <c r="G3360" t="s">
        <v>24004</v>
      </c>
      <c r="H3360">
        <v>16.68</v>
      </c>
      <c r="I3360">
        <v>0</v>
      </c>
      <c r="J3360">
        <v>0</v>
      </c>
      <c r="K3360">
        <v>0</v>
      </c>
      <c r="N3360">
        <v>3</v>
      </c>
      <c r="O3360">
        <v>3</v>
      </c>
      <c r="P3360">
        <v>4</v>
      </c>
      <c r="Q3360">
        <v>0</v>
      </c>
      <c r="R3360">
        <v>23.68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3</v>
      </c>
      <c r="AC3360">
        <v>0</v>
      </c>
      <c r="AH3360">
        <v>26.68</v>
      </c>
    </row>
    <row r="3361" spans="1:34" x14ac:dyDescent="0.3">
      <c r="A3361" s="4">
        <v>3477</v>
      </c>
      <c r="B3361" s="5">
        <v>3354</v>
      </c>
      <c r="C3361">
        <v>8764</v>
      </c>
      <c r="D3361" t="s">
        <v>24005</v>
      </c>
      <c r="E3361" t="s">
        <v>147</v>
      </c>
      <c r="F3361" t="s">
        <v>136</v>
      </c>
      <c r="G3361" t="s">
        <v>24006</v>
      </c>
      <c r="H3361">
        <v>19.68</v>
      </c>
      <c r="I3361">
        <v>0</v>
      </c>
      <c r="J3361">
        <v>0</v>
      </c>
      <c r="K3361">
        <v>0</v>
      </c>
      <c r="N3361">
        <v>3</v>
      </c>
      <c r="O3361">
        <v>3</v>
      </c>
      <c r="P3361">
        <v>4</v>
      </c>
      <c r="Q3361">
        <v>0</v>
      </c>
      <c r="R3361">
        <v>26.68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H3361">
        <v>26.68</v>
      </c>
    </row>
    <row r="3362" spans="1:34" x14ac:dyDescent="0.3">
      <c r="A3362" s="4">
        <v>3478</v>
      </c>
      <c r="B3362" s="5">
        <v>3355</v>
      </c>
      <c r="C3362">
        <v>3336</v>
      </c>
      <c r="D3362" t="s">
        <v>12242</v>
      </c>
      <c r="E3362" t="s">
        <v>26</v>
      </c>
      <c r="F3362" t="s">
        <v>68</v>
      </c>
      <c r="G3362" t="s">
        <v>24007</v>
      </c>
      <c r="H3362">
        <v>19.68</v>
      </c>
      <c r="I3362">
        <v>0</v>
      </c>
      <c r="J3362">
        <v>0</v>
      </c>
      <c r="K3362">
        <v>0</v>
      </c>
      <c r="N3362">
        <v>3</v>
      </c>
      <c r="O3362">
        <v>3</v>
      </c>
      <c r="P3362">
        <v>4</v>
      </c>
      <c r="Q3362">
        <v>0</v>
      </c>
      <c r="R3362">
        <v>26.68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H3362">
        <v>26.68</v>
      </c>
    </row>
    <row r="3363" spans="1:34" x14ac:dyDescent="0.3">
      <c r="A3363" s="4">
        <v>3479</v>
      </c>
      <c r="B3363" s="5">
        <v>3356</v>
      </c>
      <c r="C3363">
        <v>12860</v>
      </c>
      <c r="D3363" t="s">
        <v>20216</v>
      </c>
      <c r="E3363" t="s">
        <v>30</v>
      </c>
      <c r="F3363" t="s">
        <v>38</v>
      </c>
      <c r="G3363" t="s">
        <v>24008</v>
      </c>
      <c r="H3363">
        <v>19.68</v>
      </c>
      <c r="I3363">
        <v>0</v>
      </c>
      <c r="J3363">
        <v>0</v>
      </c>
      <c r="K3363">
        <v>0</v>
      </c>
      <c r="N3363">
        <v>3</v>
      </c>
      <c r="O3363">
        <v>3</v>
      </c>
      <c r="P3363">
        <v>4</v>
      </c>
      <c r="Q3363">
        <v>0</v>
      </c>
      <c r="R3363">
        <v>26.68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H3363">
        <v>26.68</v>
      </c>
    </row>
    <row r="3364" spans="1:34" x14ac:dyDescent="0.3">
      <c r="A3364" s="4">
        <v>3480</v>
      </c>
      <c r="B3364" s="5">
        <v>3357</v>
      </c>
      <c r="C3364">
        <v>14837</v>
      </c>
      <c r="D3364" t="s">
        <v>974</v>
      </c>
      <c r="E3364" t="s">
        <v>54</v>
      </c>
      <c r="F3364" t="s">
        <v>20</v>
      </c>
      <c r="G3364" t="s">
        <v>24009</v>
      </c>
      <c r="H3364">
        <v>17.649999999999999</v>
      </c>
      <c r="I3364">
        <v>0</v>
      </c>
      <c r="J3364">
        <v>0</v>
      </c>
      <c r="K3364">
        <v>0</v>
      </c>
      <c r="N3364">
        <v>3</v>
      </c>
      <c r="O3364">
        <v>3</v>
      </c>
      <c r="P3364">
        <v>0</v>
      </c>
      <c r="Q3364">
        <v>0</v>
      </c>
      <c r="R3364">
        <v>20.65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6</v>
      </c>
      <c r="AC3364">
        <v>0</v>
      </c>
      <c r="AH3364">
        <v>26.65</v>
      </c>
    </row>
    <row r="3365" spans="1:34" x14ac:dyDescent="0.3">
      <c r="A3365" s="4">
        <v>3481</v>
      </c>
      <c r="B3365" s="5">
        <v>3358</v>
      </c>
      <c r="C3365">
        <v>12479</v>
      </c>
      <c r="D3365" t="s">
        <v>60</v>
      </c>
      <c r="E3365" t="s">
        <v>24010</v>
      </c>
      <c r="F3365" t="s">
        <v>158</v>
      </c>
      <c r="G3365" t="s">
        <v>24011</v>
      </c>
      <c r="H3365">
        <v>19.649999999999999</v>
      </c>
      <c r="I3365">
        <v>0</v>
      </c>
      <c r="J3365">
        <v>0</v>
      </c>
      <c r="K3365">
        <v>0</v>
      </c>
      <c r="N3365">
        <v>3</v>
      </c>
      <c r="O3365">
        <v>3</v>
      </c>
      <c r="P3365">
        <v>4</v>
      </c>
      <c r="Q3365">
        <v>0</v>
      </c>
      <c r="R3365">
        <v>26.65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H3365">
        <v>26.65</v>
      </c>
    </row>
    <row r="3366" spans="1:34" x14ac:dyDescent="0.3">
      <c r="A3366" s="4">
        <v>3482</v>
      </c>
      <c r="B3366" s="5">
        <v>3359</v>
      </c>
      <c r="C3366">
        <v>6515</v>
      </c>
      <c r="D3366" t="s">
        <v>24012</v>
      </c>
      <c r="E3366" t="s">
        <v>24013</v>
      </c>
      <c r="F3366" t="s">
        <v>17</v>
      </c>
      <c r="G3366" t="s">
        <v>24014</v>
      </c>
      <c r="H3366">
        <v>19.649999999999999</v>
      </c>
      <c r="I3366">
        <v>0</v>
      </c>
      <c r="J3366">
        <v>0</v>
      </c>
      <c r="K3366">
        <v>0</v>
      </c>
      <c r="N3366">
        <v>3</v>
      </c>
      <c r="O3366">
        <v>3</v>
      </c>
      <c r="P3366">
        <v>4</v>
      </c>
      <c r="Q3366">
        <v>0</v>
      </c>
      <c r="R3366">
        <v>26.65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H3366">
        <v>26.65</v>
      </c>
    </row>
    <row r="3367" spans="1:34" x14ac:dyDescent="0.3">
      <c r="A3367" s="4">
        <v>3483</v>
      </c>
      <c r="B3367" s="5">
        <v>3360</v>
      </c>
      <c r="C3367">
        <v>13140</v>
      </c>
      <c r="D3367" t="s">
        <v>24015</v>
      </c>
      <c r="E3367" t="s">
        <v>22</v>
      </c>
      <c r="F3367" t="s">
        <v>62</v>
      </c>
      <c r="G3367" t="s">
        <v>24016</v>
      </c>
      <c r="H3367">
        <v>19.649999999999999</v>
      </c>
      <c r="I3367">
        <v>0</v>
      </c>
      <c r="J3367">
        <v>0</v>
      </c>
      <c r="K3367">
        <v>0</v>
      </c>
      <c r="L3367">
        <v>7</v>
      </c>
      <c r="O3367">
        <v>7</v>
      </c>
      <c r="P3367">
        <v>0</v>
      </c>
      <c r="Q3367">
        <v>0</v>
      </c>
      <c r="R3367">
        <v>26.65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H3367">
        <v>26.65</v>
      </c>
    </row>
    <row r="3368" spans="1:34" x14ac:dyDescent="0.3">
      <c r="A3368" s="4">
        <v>3484</v>
      </c>
      <c r="B3368" s="5">
        <v>3361</v>
      </c>
      <c r="C3368">
        <v>11112</v>
      </c>
      <c r="D3368" t="s">
        <v>7421</v>
      </c>
      <c r="E3368" t="s">
        <v>255</v>
      </c>
      <c r="F3368" t="s">
        <v>190</v>
      </c>
      <c r="G3368" t="s">
        <v>24017</v>
      </c>
      <c r="H3368">
        <v>19.649999999999999</v>
      </c>
      <c r="I3368">
        <v>0</v>
      </c>
      <c r="J3368">
        <v>0</v>
      </c>
      <c r="K3368">
        <v>0</v>
      </c>
      <c r="L3368">
        <v>7</v>
      </c>
      <c r="O3368">
        <v>7</v>
      </c>
      <c r="P3368">
        <v>0</v>
      </c>
      <c r="Q3368">
        <v>0</v>
      </c>
      <c r="R3368">
        <v>26.65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H3368">
        <v>26.65</v>
      </c>
    </row>
    <row r="3369" spans="1:34" x14ac:dyDescent="0.3">
      <c r="A3369" s="4">
        <v>3485</v>
      </c>
      <c r="B3369" s="5">
        <v>3362</v>
      </c>
      <c r="C3369">
        <v>13890</v>
      </c>
      <c r="D3369" t="s">
        <v>24018</v>
      </c>
      <c r="E3369" t="s">
        <v>54</v>
      </c>
      <c r="F3369" t="s">
        <v>259</v>
      </c>
      <c r="G3369" t="s">
        <v>24019</v>
      </c>
      <c r="H3369">
        <v>19.63</v>
      </c>
      <c r="I3369">
        <v>0</v>
      </c>
      <c r="J3369">
        <v>0</v>
      </c>
      <c r="K3369">
        <v>0</v>
      </c>
      <c r="N3369">
        <v>3</v>
      </c>
      <c r="O3369">
        <v>3</v>
      </c>
      <c r="P3369">
        <v>4</v>
      </c>
      <c r="Q3369">
        <v>0</v>
      </c>
      <c r="R3369">
        <v>26.63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 t="s">
        <v>130</v>
      </c>
      <c r="AH3369">
        <v>26.63</v>
      </c>
    </row>
    <row r="3370" spans="1:34" x14ac:dyDescent="0.3">
      <c r="A3370" s="4">
        <v>3486</v>
      </c>
      <c r="B3370" s="5">
        <v>3363</v>
      </c>
      <c r="C3370">
        <v>6126</v>
      </c>
      <c r="D3370" t="s">
        <v>23210</v>
      </c>
      <c r="E3370" t="s">
        <v>789</v>
      </c>
      <c r="F3370" t="s">
        <v>38</v>
      </c>
      <c r="G3370" t="s">
        <v>24020</v>
      </c>
      <c r="H3370">
        <v>19.63</v>
      </c>
      <c r="I3370">
        <v>0</v>
      </c>
      <c r="J3370">
        <v>0</v>
      </c>
      <c r="K3370">
        <v>0</v>
      </c>
      <c r="N3370">
        <v>3</v>
      </c>
      <c r="O3370">
        <v>3</v>
      </c>
      <c r="P3370">
        <v>4</v>
      </c>
      <c r="Q3370">
        <v>0</v>
      </c>
      <c r="R3370">
        <v>26.63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H3370">
        <v>26.63</v>
      </c>
    </row>
    <row r="3371" spans="1:34" x14ac:dyDescent="0.3">
      <c r="A3371" s="4">
        <v>3487</v>
      </c>
      <c r="B3371" s="5">
        <v>3364</v>
      </c>
      <c r="C3371">
        <v>1936</v>
      </c>
      <c r="D3371" t="s">
        <v>24021</v>
      </c>
      <c r="E3371" t="s">
        <v>4855</v>
      </c>
      <c r="F3371" t="s">
        <v>117</v>
      </c>
      <c r="G3371" t="s">
        <v>24022</v>
      </c>
      <c r="H3371">
        <v>15.63</v>
      </c>
      <c r="I3371">
        <v>0</v>
      </c>
      <c r="J3371">
        <v>0</v>
      </c>
      <c r="K3371">
        <v>0</v>
      </c>
      <c r="L3371">
        <v>7</v>
      </c>
      <c r="O3371">
        <v>7</v>
      </c>
      <c r="P3371">
        <v>4</v>
      </c>
      <c r="Q3371">
        <v>0</v>
      </c>
      <c r="R3371">
        <v>26.63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H3371">
        <v>26.63</v>
      </c>
    </row>
    <row r="3372" spans="1:34" x14ac:dyDescent="0.3">
      <c r="A3372" s="4">
        <v>3488</v>
      </c>
      <c r="B3372" s="5">
        <v>3365</v>
      </c>
      <c r="C3372">
        <v>1633</v>
      </c>
      <c r="D3372" t="s">
        <v>7802</v>
      </c>
      <c r="E3372" t="s">
        <v>29</v>
      </c>
      <c r="F3372" t="s">
        <v>243</v>
      </c>
      <c r="G3372" t="s">
        <v>24023</v>
      </c>
      <c r="H3372">
        <v>16.600000000000001</v>
      </c>
      <c r="I3372">
        <v>0</v>
      </c>
      <c r="J3372">
        <v>0</v>
      </c>
      <c r="K3372">
        <v>0</v>
      </c>
      <c r="N3372">
        <v>3</v>
      </c>
      <c r="O3372">
        <v>3</v>
      </c>
      <c r="P3372">
        <v>4</v>
      </c>
      <c r="Q3372">
        <v>0</v>
      </c>
      <c r="R3372">
        <v>23.6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3</v>
      </c>
      <c r="AC3372">
        <v>0</v>
      </c>
      <c r="AH3372">
        <v>26.6</v>
      </c>
    </row>
    <row r="3373" spans="1:34" x14ac:dyDescent="0.3">
      <c r="A3373" s="4">
        <v>3489</v>
      </c>
      <c r="B3373" s="5">
        <v>3366</v>
      </c>
      <c r="C3373">
        <v>4869</v>
      </c>
      <c r="D3373" t="s">
        <v>14760</v>
      </c>
      <c r="E3373" t="s">
        <v>243</v>
      </c>
      <c r="F3373" t="s">
        <v>17</v>
      </c>
      <c r="G3373" t="s">
        <v>24024</v>
      </c>
      <c r="H3373">
        <v>16.600000000000001</v>
      </c>
      <c r="I3373">
        <v>0</v>
      </c>
      <c r="J3373">
        <v>0</v>
      </c>
      <c r="K3373">
        <v>0</v>
      </c>
      <c r="N3373">
        <v>3</v>
      </c>
      <c r="O3373">
        <v>3</v>
      </c>
      <c r="P3373">
        <v>4</v>
      </c>
      <c r="Q3373">
        <v>0</v>
      </c>
      <c r="R3373">
        <v>23.6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3</v>
      </c>
      <c r="AC3373">
        <v>0</v>
      </c>
      <c r="AH3373">
        <v>26.6</v>
      </c>
    </row>
    <row r="3374" spans="1:34" x14ac:dyDescent="0.3">
      <c r="A3374" s="4">
        <v>3490</v>
      </c>
      <c r="B3374" s="5">
        <v>3367</v>
      </c>
      <c r="C3374">
        <v>15208</v>
      </c>
      <c r="D3374" t="s">
        <v>24025</v>
      </c>
      <c r="E3374" t="s">
        <v>20</v>
      </c>
      <c r="F3374" t="s">
        <v>5304</v>
      </c>
      <c r="G3374" t="s">
        <v>24026</v>
      </c>
      <c r="H3374">
        <v>16.600000000000001</v>
      </c>
      <c r="I3374">
        <v>0</v>
      </c>
      <c r="J3374">
        <v>0</v>
      </c>
      <c r="K3374">
        <v>0</v>
      </c>
      <c r="N3374">
        <v>3</v>
      </c>
      <c r="O3374">
        <v>3</v>
      </c>
      <c r="P3374">
        <v>4</v>
      </c>
      <c r="Q3374">
        <v>0</v>
      </c>
      <c r="R3374">
        <v>23.6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3</v>
      </c>
      <c r="AC3374">
        <v>0</v>
      </c>
      <c r="AH3374">
        <v>26.6</v>
      </c>
    </row>
    <row r="3375" spans="1:34" x14ac:dyDescent="0.3">
      <c r="A3375" s="4">
        <v>3491</v>
      </c>
      <c r="B3375" s="5">
        <v>3368</v>
      </c>
      <c r="C3375">
        <v>4935</v>
      </c>
      <c r="D3375" t="s">
        <v>24027</v>
      </c>
      <c r="E3375" t="s">
        <v>88</v>
      </c>
      <c r="F3375" t="s">
        <v>81</v>
      </c>
      <c r="G3375" t="s">
        <v>24028</v>
      </c>
      <c r="H3375">
        <v>19.600000000000001</v>
      </c>
      <c r="I3375">
        <v>0</v>
      </c>
      <c r="J3375">
        <v>0</v>
      </c>
      <c r="K3375">
        <v>0</v>
      </c>
      <c r="N3375">
        <v>3</v>
      </c>
      <c r="O3375">
        <v>3</v>
      </c>
      <c r="P3375">
        <v>4</v>
      </c>
      <c r="Q3375">
        <v>0</v>
      </c>
      <c r="R3375">
        <v>26.6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H3375">
        <v>26.6</v>
      </c>
    </row>
    <row r="3376" spans="1:34" x14ac:dyDescent="0.3">
      <c r="A3376" s="4">
        <v>3492</v>
      </c>
      <c r="B3376" s="5">
        <v>3369</v>
      </c>
      <c r="C3376">
        <v>4933</v>
      </c>
      <c r="D3376" t="s">
        <v>2043</v>
      </c>
      <c r="E3376" t="s">
        <v>2481</v>
      </c>
      <c r="F3376" t="s">
        <v>124</v>
      </c>
      <c r="G3376" t="s">
        <v>24029</v>
      </c>
      <c r="H3376">
        <v>19.600000000000001</v>
      </c>
      <c r="I3376">
        <v>0</v>
      </c>
      <c r="J3376">
        <v>0</v>
      </c>
      <c r="K3376">
        <v>0</v>
      </c>
      <c r="N3376">
        <v>3</v>
      </c>
      <c r="O3376">
        <v>3</v>
      </c>
      <c r="P3376">
        <v>4</v>
      </c>
      <c r="Q3376">
        <v>0</v>
      </c>
      <c r="R3376">
        <v>26.6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H3376">
        <v>26.6</v>
      </c>
    </row>
    <row r="3377" spans="1:34" x14ac:dyDescent="0.3">
      <c r="A3377" s="4">
        <v>3493</v>
      </c>
      <c r="B3377" s="5">
        <v>3370</v>
      </c>
      <c r="C3377">
        <v>5440</v>
      </c>
      <c r="D3377" t="s">
        <v>1822</v>
      </c>
      <c r="E3377" t="s">
        <v>1576</v>
      </c>
      <c r="F3377" t="s">
        <v>20</v>
      </c>
      <c r="G3377" t="s">
        <v>24030</v>
      </c>
      <c r="H3377">
        <v>19.600000000000001</v>
      </c>
      <c r="I3377">
        <v>0</v>
      </c>
      <c r="J3377">
        <v>0</v>
      </c>
      <c r="K3377">
        <v>0</v>
      </c>
      <c r="N3377">
        <v>3</v>
      </c>
      <c r="O3377">
        <v>3</v>
      </c>
      <c r="P3377">
        <v>4</v>
      </c>
      <c r="Q3377">
        <v>0</v>
      </c>
      <c r="R3377">
        <v>26.6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H3377">
        <v>26.6</v>
      </c>
    </row>
    <row r="3378" spans="1:34" x14ac:dyDescent="0.3">
      <c r="A3378" s="4">
        <v>3494</v>
      </c>
      <c r="B3378" s="5">
        <v>3371</v>
      </c>
      <c r="C3378">
        <v>1503</v>
      </c>
      <c r="D3378" t="s">
        <v>23912</v>
      </c>
      <c r="E3378" t="s">
        <v>342</v>
      </c>
      <c r="F3378" t="s">
        <v>158</v>
      </c>
      <c r="G3378" t="s">
        <v>24031</v>
      </c>
      <c r="H3378">
        <v>17.600000000000001</v>
      </c>
      <c r="I3378">
        <v>0</v>
      </c>
      <c r="J3378">
        <v>0</v>
      </c>
      <c r="K3378">
        <v>0</v>
      </c>
      <c r="N3378">
        <v>3</v>
      </c>
      <c r="O3378">
        <v>3</v>
      </c>
      <c r="P3378">
        <v>4</v>
      </c>
      <c r="Q3378">
        <v>2</v>
      </c>
      <c r="R3378">
        <v>26.6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H3378">
        <v>26.6</v>
      </c>
    </row>
    <row r="3379" spans="1:34" x14ac:dyDescent="0.3">
      <c r="A3379" s="4">
        <v>3495</v>
      </c>
      <c r="B3379" s="5">
        <v>3372</v>
      </c>
      <c r="C3379">
        <v>14812</v>
      </c>
      <c r="D3379" t="s">
        <v>24032</v>
      </c>
      <c r="E3379" t="s">
        <v>858</v>
      </c>
      <c r="F3379" t="s">
        <v>4098</v>
      </c>
      <c r="G3379" t="s">
        <v>24033</v>
      </c>
      <c r="H3379">
        <v>19.579999999999998</v>
      </c>
      <c r="I3379">
        <v>0</v>
      </c>
      <c r="J3379">
        <v>0</v>
      </c>
      <c r="K3379">
        <v>0</v>
      </c>
      <c r="N3379">
        <v>3</v>
      </c>
      <c r="O3379">
        <v>3</v>
      </c>
      <c r="P3379">
        <v>4</v>
      </c>
      <c r="Q3379">
        <v>0</v>
      </c>
      <c r="R3379">
        <v>26.58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H3379">
        <v>26.58</v>
      </c>
    </row>
    <row r="3380" spans="1:34" x14ac:dyDescent="0.3">
      <c r="A3380" s="4">
        <v>3496</v>
      </c>
      <c r="B3380" s="5">
        <v>3373</v>
      </c>
      <c r="C3380">
        <v>5628</v>
      </c>
      <c r="D3380" t="s">
        <v>18764</v>
      </c>
      <c r="E3380" t="s">
        <v>29</v>
      </c>
      <c r="F3380" t="s">
        <v>20</v>
      </c>
      <c r="G3380" t="s">
        <v>24034</v>
      </c>
      <c r="H3380">
        <v>19.579999999999998</v>
      </c>
      <c r="I3380">
        <v>0</v>
      </c>
      <c r="J3380">
        <v>0</v>
      </c>
      <c r="K3380">
        <v>0</v>
      </c>
      <c r="N3380">
        <v>3</v>
      </c>
      <c r="O3380">
        <v>3</v>
      </c>
      <c r="P3380">
        <v>4</v>
      </c>
      <c r="Q3380">
        <v>0</v>
      </c>
      <c r="R3380">
        <v>26.58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H3380">
        <v>26.58</v>
      </c>
    </row>
    <row r="3381" spans="1:34" x14ac:dyDescent="0.3">
      <c r="A3381" s="4">
        <v>3497</v>
      </c>
      <c r="B3381" s="5">
        <v>3374</v>
      </c>
      <c r="C3381">
        <v>8443</v>
      </c>
      <c r="D3381" t="s">
        <v>13537</v>
      </c>
      <c r="E3381" t="s">
        <v>173</v>
      </c>
      <c r="F3381" t="s">
        <v>91</v>
      </c>
      <c r="G3381" t="s">
        <v>24035</v>
      </c>
      <c r="H3381">
        <v>15.58</v>
      </c>
      <c r="I3381">
        <v>0</v>
      </c>
      <c r="J3381">
        <v>0</v>
      </c>
      <c r="K3381">
        <v>0</v>
      </c>
      <c r="L3381">
        <v>7</v>
      </c>
      <c r="O3381">
        <v>7</v>
      </c>
      <c r="P3381">
        <v>4</v>
      </c>
      <c r="Q3381">
        <v>0</v>
      </c>
      <c r="R3381">
        <v>26.58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H3381">
        <v>26.58</v>
      </c>
    </row>
    <row r="3382" spans="1:34" x14ac:dyDescent="0.3">
      <c r="A3382" s="4">
        <v>3498</v>
      </c>
      <c r="B3382" s="5">
        <v>3375</v>
      </c>
      <c r="C3382">
        <v>4706</v>
      </c>
      <c r="D3382" t="s">
        <v>24036</v>
      </c>
      <c r="E3382" t="s">
        <v>3449</v>
      </c>
      <c r="F3382" t="s">
        <v>259</v>
      </c>
      <c r="G3382" t="s">
        <v>24037</v>
      </c>
      <c r="H3382">
        <v>15.58</v>
      </c>
      <c r="I3382">
        <v>0</v>
      </c>
      <c r="J3382">
        <v>0</v>
      </c>
      <c r="K3382">
        <v>0</v>
      </c>
      <c r="L3382">
        <v>7</v>
      </c>
      <c r="O3382">
        <v>7</v>
      </c>
      <c r="P3382">
        <v>4</v>
      </c>
      <c r="Q3382">
        <v>0</v>
      </c>
      <c r="R3382">
        <v>26.58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 t="s">
        <v>130</v>
      </c>
      <c r="AH3382">
        <v>26.58</v>
      </c>
    </row>
    <row r="3383" spans="1:34" x14ac:dyDescent="0.3">
      <c r="A3383" s="4">
        <v>3499</v>
      </c>
      <c r="B3383" s="5">
        <v>3376</v>
      </c>
      <c r="C3383">
        <v>3321</v>
      </c>
      <c r="D3383" t="s">
        <v>24038</v>
      </c>
      <c r="E3383" t="s">
        <v>178</v>
      </c>
      <c r="F3383" t="s">
        <v>68</v>
      </c>
      <c r="G3383" t="s">
        <v>24039</v>
      </c>
      <c r="H3383">
        <v>19.55</v>
      </c>
      <c r="I3383">
        <v>0</v>
      </c>
      <c r="J3383">
        <v>0</v>
      </c>
      <c r="K3383">
        <v>0</v>
      </c>
      <c r="L3383">
        <v>7</v>
      </c>
      <c r="O3383">
        <v>7</v>
      </c>
      <c r="P3383">
        <v>0</v>
      </c>
      <c r="Q3383">
        <v>0</v>
      </c>
      <c r="R3383">
        <v>26.55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H3383">
        <v>26.55</v>
      </c>
    </row>
    <row r="3384" spans="1:34" x14ac:dyDescent="0.3">
      <c r="A3384" s="4">
        <v>3500</v>
      </c>
      <c r="B3384" s="5">
        <v>3377</v>
      </c>
      <c r="C3384">
        <v>728</v>
      </c>
      <c r="D3384" t="s">
        <v>5483</v>
      </c>
      <c r="E3384" t="s">
        <v>188</v>
      </c>
      <c r="F3384" t="s">
        <v>158</v>
      </c>
      <c r="G3384" t="s">
        <v>24040</v>
      </c>
      <c r="H3384">
        <v>17.55</v>
      </c>
      <c r="I3384">
        <v>0</v>
      </c>
      <c r="J3384">
        <v>0</v>
      </c>
      <c r="K3384">
        <v>0</v>
      </c>
      <c r="N3384">
        <v>3</v>
      </c>
      <c r="O3384">
        <v>3</v>
      </c>
      <c r="P3384">
        <v>4</v>
      </c>
      <c r="Q3384">
        <v>2</v>
      </c>
      <c r="R3384">
        <v>26.55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H3384">
        <v>26.55</v>
      </c>
    </row>
    <row r="3385" spans="1:34" x14ac:dyDescent="0.3">
      <c r="A3385" s="4">
        <v>3501</v>
      </c>
      <c r="B3385" s="5">
        <v>3378</v>
      </c>
      <c r="C3385">
        <v>13386</v>
      </c>
      <c r="D3385" t="s">
        <v>7041</v>
      </c>
      <c r="E3385" t="s">
        <v>255</v>
      </c>
      <c r="F3385" t="s">
        <v>81</v>
      </c>
      <c r="G3385" t="s">
        <v>24041</v>
      </c>
      <c r="H3385">
        <v>17.5</v>
      </c>
      <c r="I3385">
        <v>0</v>
      </c>
      <c r="J3385">
        <v>0</v>
      </c>
      <c r="K3385">
        <v>0</v>
      </c>
      <c r="O3385">
        <v>0</v>
      </c>
      <c r="P3385">
        <v>0</v>
      </c>
      <c r="Q3385">
        <v>0</v>
      </c>
      <c r="R3385">
        <v>17.5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9</v>
      </c>
      <c r="AC3385">
        <v>0</v>
      </c>
      <c r="AH3385">
        <v>26.5</v>
      </c>
    </row>
    <row r="3386" spans="1:34" x14ac:dyDescent="0.3">
      <c r="A3386" s="4">
        <v>3502</v>
      </c>
      <c r="B3386" s="5">
        <v>3379</v>
      </c>
      <c r="C3386">
        <v>9567</v>
      </c>
      <c r="D3386" t="s">
        <v>24042</v>
      </c>
      <c r="E3386" t="s">
        <v>692</v>
      </c>
      <c r="F3386" t="s">
        <v>124</v>
      </c>
      <c r="G3386" t="s">
        <v>24043</v>
      </c>
      <c r="H3386">
        <v>17.5</v>
      </c>
      <c r="I3386">
        <v>0</v>
      </c>
      <c r="J3386">
        <v>0</v>
      </c>
      <c r="K3386">
        <v>0</v>
      </c>
      <c r="O3386">
        <v>0</v>
      </c>
      <c r="P3386">
        <v>0</v>
      </c>
      <c r="Q3386">
        <v>0</v>
      </c>
      <c r="R3386">
        <v>17.5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9</v>
      </c>
      <c r="AC3386">
        <v>0</v>
      </c>
      <c r="AH3386">
        <v>26.5</v>
      </c>
    </row>
    <row r="3387" spans="1:34" x14ac:dyDescent="0.3">
      <c r="A3387" s="4">
        <v>3503</v>
      </c>
      <c r="B3387" s="5">
        <v>3380</v>
      </c>
      <c r="C3387">
        <v>6288</v>
      </c>
      <c r="D3387" t="s">
        <v>3647</v>
      </c>
      <c r="E3387" t="s">
        <v>147</v>
      </c>
      <c r="F3387" t="s">
        <v>158</v>
      </c>
      <c r="G3387" t="s">
        <v>24044</v>
      </c>
      <c r="H3387">
        <v>16.5</v>
      </c>
      <c r="I3387">
        <v>0</v>
      </c>
      <c r="J3387">
        <v>0</v>
      </c>
      <c r="K3387">
        <v>0</v>
      </c>
      <c r="O3387">
        <v>0</v>
      </c>
      <c r="P3387">
        <v>4</v>
      </c>
      <c r="Q3387">
        <v>0</v>
      </c>
      <c r="R3387">
        <v>20.5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6</v>
      </c>
      <c r="AC3387">
        <v>0</v>
      </c>
      <c r="AH3387">
        <v>26.5</v>
      </c>
    </row>
    <row r="3388" spans="1:34" x14ac:dyDescent="0.3">
      <c r="A3388" s="4">
        <v>3504</v>
      </c>
      <c r="B3388" s="5">
        <v>3381</v>
      </c>
      <c r="C3388">
        <v>8404</v>
      </c>
      <c r="D3388" t="s">
        <v>24045</v>
      </c>
      <c r="E3388" t="s">
        <v>255</v>
      </c>
      <c r="F3388" t="s">
        <v>442</v>
      </c>
      <c r="G3388" t="s">
        <v>24046</v>
      </c>
      <c r="H3388">
        <v>19.5</v>
      </c>
      <c r="I3388">
        <v>0</v>
      </c>
      <c r="J3388">
        <v>0</v>
      </c>
      <c r="K3388">
        <v>0</v>
      </c>
      <c r="N3388">
        <v>3</v>
      </c>
      <c r="O3388">
        <v>3</v>
      </c>
      <c r="P3388">
        <v>4</v>
      </c>
      <c r="Q3388">
        <v>0</v>
      </c>
      <c r="R3388">
        <v>26.5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H3388">
        <v>26.5</v>
      </c>
    </row>
    <row r="3389" spans="1:34" x14ac:dyDescent="0.3">
      <c r="A3389" s="4">
        <v>3505</v>
      </c>
      <c r="B3389" s="5">
        <v>3382</v>
      </c>
      <c r="C3389">
        <v>11460</v>
      </c>
      <c r="D3389" t="s">
        <v>5342</v>
      </c>
      <c r="E3389" t="s">
        <v>29</v>
      </c>
      <c r="F3389" t="s">
        <v>38</v>
      </c>
      <c r="G3389" t="s">
        <v>24047</v>
      </c>
      <c r="H3389">
        <v>19.5</v>
      </c>
      <c r="I3389">
        <v>0</v>
      </c>
      <c r="J3389">
        <v>0</v>
      </c>
      <c r="K3389">
        <v>0</v>
      </c>
      <c r="N3389">
        <v>3</v>
      </c>
      <c r="O3389">
        <v>3</v>
      </c>
      <c r="P3389">
        <v>4</v>
      </c>
      <c r="Q3389">
        <v>0</v>
      </c>
      <c r="R3389">
        <v>26.5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H3389">
        <v>26.5</v>
      </c>
    </row>
    <row r="3390" spans="1:34" x14ac:dyDescent="0.3">
      <c r="A3390" s="4">
        <v>3506</v>
      </c>
      <c r="B3390" s="5">
        <v>3383</v>
      </c>
      <c r="C3390">
        <v>12842</v>
      </c>
      <c r="D3390" t="s">
        <v>1337</v>
      </c>
      <c r="E3390" t="s">
        <v>9158</v>
      </c>
      <c r="F3390" t="s">
        <v>117</v>
      </c>
      <c r="G3390" t="s">
        <v>24048</v>
      </c>
      <c r="H3390">
        <v>19.5</v>
      </c>
      <c r="I3390">
        <v>0</v>
      </c>
      <c r="J3390">
        <v>0</v>
      </c>
      <c r="K3390">
        <v>0</v>
      </c>
      <c r="N3390">
        <v>3</v>
      </c>
      <c r="O3390">
        <v>3</v>
      </c>
      <c r="P3390">
        <v>4</v>
      </c>
      <c r="Q3390">
        <v>0</v>
      </c>
      <c r="R3390">
        <v>26.5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H3390">
        <v>26.5</v>
      </c>
    </row>
    <row r="3391" spans="1:34" x14ac:dyDescent="0.3">
      <c r="A3391" s="4">
        <v>3507</v>
      </c>
      <c r="B3391" s="5">
        <v>3384</v>
      </c>
      <c r="C3391">
        <v>13951</v>
      </c>
      <c r="D3391" t="s">
        <v>24049</v>
      </c>
      <c r="E3391" t="s">
        <v>283</v>
      </c>
      <c r="F3391" t="s">
        <v>20</v>
      </c>
      <c r="G3391" t="s">
        <v>24050</v>
      </c>
      <c r="H3391">
        <v>19.5</v>
      </c>
      <c r="I3391">
        <v>0</v>
      </c>
      <c r="J3391">
        <v>0</v>
      </c>
      <c r="K3391">
        <v>0</v>
      </c>
      <c r="L3391">
        <v>7</v>
      </c>
      <c r="O3391">
        <v>7</v>
      </c>
      <c r="P3391">
        <v>0</v>
      </c>
      <c r="Q3391">
        <v>0</v>
      </c>
      <c r="R3391">
        <v>26.5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H3391">
        <v>26.5</v>
      </c>
    </row>
    <row r="3392" spans="1:34" x14ac:dyDescent="0.3">
      <c r="A3392" s="4">
        <v>3508</v>
      </c>
      <c r="B3392" s="5">
        <v>3385</v>
      </c>
      <c r="C3392">
        <v>14190</v>
      </c>
      <c r="D3392" t="s">
        <v>24051</v>
      </c>
      <c r="E3392" t="s">
        <v>41</v>
      </c>
      <c r="F3392" t="s">
        <v>81</v>
      </c>
      <c r="G3392" t="s">
        <v>24052</v>
      </c>
      <c r="H3392">
        <v>22.48</v>
      </c>
      <c r="I3392">
        <v>0</v>
      </c>
      <c r="J3392">
        <v>0</v>
      </c>
      <c r="K3392">
        <v>0</v>
      </c>
      <c r="O3392">
        <v>0</v>
      </c>
      <c r="P3392">
        <v>4</v>
      </c>
      <c r="Q3392">
        <v>0</v>
      </c>
      <c r="R3392">
        <v>26.48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H3392">
        <v>26.48</v>
      </c>
    </row>
    <row r="3393" spans="1:34" x14ac:dyDescent="0.3">
      <c r="A3393" s="4">
        <v>3509</v>
      </c>
      <c r="B3393" s="5">
        <v>3386</v>
      </c>
      <c r="C3393">
        <v>5040</v>
      </c>
      <c r="D3393" t="s">
        <v>24053</v>
      </c>
      <c r="E3393" t="s">
        <v>68</v>
      </c>
      <c r="F3393" t="s">
        <v>55</v>
      </c>
      <c r="G3393" t="s">
        <v>24054</v>
      </c>
      <c r="H3393">
        <v>19.48</v>
      </c>
      <c r="I3393">
        <v>0</v>
      </c>
      <c r="J3393">
        <v>0</v>
      </c>
      <c r="K3393">
        <v>0</v>
      </c>
      <c r="N3393">
        <v>3</v>
      </c>
      <c r="O3393">
        <v>3</v>
      </c>
      <c r="P3393">
        <v>4</v>
      </c>
      <c r="Q3393">
        <v>0</v>
      </c>
      <c r="R3393">
        <v>26.48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H3393">
        <v>26.48</v>
      </c>
    </row>
    <row r="3394" spans="1:34" x14ac:dyDescent="0.3">
      <c r="A3394" s="4">
        <v>3510</v>
      </c>
      <c r="B3394" s="5">
        <v>3387</v>
      </c>
      <c r="C3394">
        <v>2589</v>
      </c>
      <c r="D3394" t="s">
        <v>24055</v>
      </c>
      <c r="E3394" t="s">
        <v>29</v>
      </c>
      <c r="F3394" t="s">
        <v>20</v>
      </c>
      <c r="G3394" t="s">
        <v>24056</v>
      </c>
      <c r="H3394">
        <v>19.48</v>
      </c>
      <c r="I3394">
        <v>0</v>
      </c>
      <c r="J3394">
        <v>0</v>
      </c>
      <c r="K3394">
        <v>0</v>
      </c>
      <c r="N3394">
        <v>3</v>
      </c>
      <c r="O3394">
        <v>3</v>
      </c>
      <c r="P3394">
        <v>4</v>
      </c>
      <c r="Q3394">
        <v>0</v>
      </c>
      <c r="R3394">
        <v>26.48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H3394">
        <v>26.48</v>
      </c>
    </row>
    <row r="3395" spans="1:34" x14ac:dyDescent="0.3">
      <c r="A3395" s="4">
        <v>3511</v>
      </c>
      <c r="B3395" s="5">
        <v>3388</v>
      </c>
      <c r="C3395">
        <v>1586</v>
      </c>
      <c r="D3395" t="s">
        <v>3091</v>
      </c>
      <c r="E3395" t="s">
        <v>1140</v>
      </c>
      <c r="F3395" t="s">
        <v>38</v>
      </c>
      <c r="G3395" t="s">
        <v>24057</v>
      </c>
      <c r="H3395">
        <v>19.48</v>
      </c>
      <c r="I3395">
        <v>0</v>
      </c>
      <c r="J3395">
        <v>0</v>
      </c>
      <c r="K3395">
        <v>0</v>
      </c>
      <c r="N3395">
        <v>3</v>
      </c>
      <c r="O3395">
        <v>3</v>
      </c>
      <c r="P3395">
        <v>4</v>
      </c>
      <c r="Q3395">
        <v>0</v>
      </c>
      <c r="R3395">
        <v>26.48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H3395">
        <v>26.48</v>
      </c>
    </row>
    <row r="3396" spans="1:34" x14ac:dyDescent="0.3">
      <c r="A3396" s="4">
        <v>3512</v>
      </c>
      <c r="B3396" s="5">
        <v>3389</v>
      </c>
      <c r="C3396">
        <v>4618</v>
      </c>
      <c r="D3396" t="s">
        <v>24058</v>
      </c>
      <c r="E3396" t="s">
        <v>3235</v>
      </c>
      <c r="F3396" t="s">
        <v>81</v>
      </c>
      <c r="G3396" t="s">
        <v>24059</v>
      </c>
      <c r="H3396">
        <v>19.48</v>
      </c>
      <c r="I3396">
        <v>0</v>
      </c>
      <c r="J3396">
        <v>0</v>
      </c>
      <c r="K3396">
        <v>0</v>
      </c>
      <c r="N3396">
        <v>3</v>
      </c>
      <c r="O3396">
        <v>3</v>
      </c>
      <c r="P3396">
        <v>4</v>
      </c>
      <c r="Q3396">
        <v>0</v>
      </c>
      <c r="R3396">
        <v>26.48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H3396">
        <v>26.48</v>
      </c>
    </row>
    <row r="3397" spans="1:34" x14ac:dyDescent="0.3">
      <c r="A3397" s="4">
        <v>3513</v>
      </c>
      <c r="B3397" s="5">
        <v>3390</v>
      </c>
      <c r="C3397">
        <v>14061</v>
      </c>
      <c r="D3397" t="s">
        <v>10911</v>
      </c>
      <c r="E3397" t="s">
        <v>24060</v>
      </c>
      <c r="F3397" t="s">
        <v>385</v>
      </c>
      <c r="G3397" t="s">
        <v>24061</v>
      </c>
      <c r="H3397">
        <v>19.45</v>
      </c>
      <c r="I3397">
        <v>0</v>
      </c>
      <c r="J3397">
        <v>0</v>
      </c>
      <c r="K3397">
        <v>0</v>
      </c>
      <c r="N3397">
        <v>3</v>
      </c>
      <c r="O3397">
        <v>3</v>
      </c>
      <c r="P3397">
        <v>4</v>
      </c>
      <c r="Q3397">
        <v>0</v>
      </c>
      <c r="R3397">
        <v>26.45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H3397">
        <v>26.45</v>
      </c>
    </row>
    <row r="3398" spans="1:34" x14ac:dyDescent="0.3">
      <c r="A3398" s="4">
        <v>3514</v>
      </c>
      <c r="B3398" s="5">
        <v>3391</v>
      </c>
      <c r="C3398">
        <v>8847</v>
      </c>
      <c r="D3398" t="s">
        <v>24062</v>
      </c>
      <c r="E3398" t="s">
        <v>29</v>
      </c>
      <c r="F3398" t="s">
        <v>20</v>
      </c>
      <c r="G3398" t="s">
        <v>24063</v>
      </c>
      <c r="H3398">
        <v>19.45</v>
      </c>
      <c r="I3398">
        <v>0</v>
      </c>
      <c r="J3398">
        <v>0</v>
      </c>
      <c r="K3398">
        <v>0</v>
      </c>
      <c r="N3398">
        <v>3</v>
      </c>
      <c r="O3398">
        <v>3</v>
      </c>
      <c r="P3398">
        <v>4</v>
      </c>
      <c r="Q3398">
        <v>0</v>
      </c>
      <c r="R3398">
        <v>26.45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H3398">
        <v>26.45</v>
      </c>
    </row>
    <row r="3399" spans="1:34" x14ac:dyDescent="0.3">
      <c r="A3399" s="4">
        <v>3515</v>
      </c>
      <c r="B3399" s="5">
        <v>3392</v>
      </c>
      <c r="C3399">
        <v>14047</v>
      </c>
      <c r="D3399" t="s">
        <v>24064</v>
      </c>
      <c r="E3399" t="s">
        <v>2481</v>
      </c>
      <c r="F3399" t="s">
        <v>626</v>
      </c>
      <c r="G3399" t="s">
        <v>24065</v>
      </c>
      <c r="H3399">
        <v>19.45</v>
      </c>
      <c r="I3399">
        <v>0</v>
      </c>
      <c r="J3399">
        <v>0</v>
      </c>
      <c r="K3399">
        <v>0</v>
      </c>
      <c r="N3399">
        <v>3</v>
      </c>
      <c r="O3399">
        <v>3</v>
      </c>
      <c r="P3399">
        <v>4</v>
      </c>
      <c r="Q3399">
        <v>0</v>
      </c>
      <c r="R3399">
        <v>26.45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H3399">
        <v>26.45</v>
      </c>
    </row>
    <row r="3400" spans="1:34" x14ac:dyDescent="0.3">
      <c r="A3400" s="4">
        <v>3516</v>
      </c>
      <c r="B3400" s="5">
        <v>3393</v>
      </c>
      <c r="C3400">
        <v>10395</v>
      </c>
      <c r="D3400" t="s">
        <v>24066</v>
      </c>
      <c r="E3400" t="s">
        <v>26</v>
      </c>
      <c r="F3400" t="s">
        <v>14</v>
      </c>
      <c r="G3400" t="s">
        <v>24067</v>
      </c>
      <c r="H3400">
        <v>19.43</v>
      </c>
      <c r="I3400">
        <v>0</v>
      </c>
      <c r="J3400">
        <v>0</v>
      </c>
      <c r="K3400">
        <v>0</v>
      </c>
      <c r="N3400">
        <v>3</v>
      </c>
      <c r="O3400">
        <v>3</v>
      </c>
      <c r="P3400">
        <v>4</v>
      </c>
      <c r="Q3400">
        <v>0</v>
      </c>
      <c r="R3400">
        <v>26.43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H3400">
        <v>26.43</v>
      </c>
    </row>
    <row r="3401" spans="1:34" x14ac:dyDescent="0.3">
      <c r="A3401" s="4">
        <v>3517</v>
      </c>
      <c r="B3401" s="5">
        <v>3394</v>
      </c>
      <c r="C3401">
        <v>2035</v>
      </c>
      <c r="D3401" t="s">
        <v>12588</v>
      </c>
      <c r="E3401" t="s">
        <v>41</v>
      </c>
      <c r="F3401" t="s">
        <v>17</v>
      </c>
      <c r="G3401" t="s">
        <v>24068</v>
      </c>
      <c r="H3401">
        <v>19.399999999999999</v>
      </c>
      <c r="I3401">
        <v>0</v>
      </c>
      <c r="J3401">
        <v>0</v>
      </c>
      <c r="K3401">
        <v>0</v>
      </c>
      <c r="N3401">
        <v>3</v>
      </c>
      <c r="O3401">
        <v>3</v>
      </c>
      <c r="P3401">
        <v>4</v>
      </c>
      <c r="Q3401">
        <v>0</v>
      </c>
      <c r="R3401">
        <v>26.4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H3401">
        <v>26.4</v>
      </c>
    </row>
    <row r="3402" spans="1:34" x14ac:dyDescent="0.3">
      <c r="A3402" s="4">
        <v>3518</v>
      </c>
      <c r="B3402" s="5">
        <v>3395</v>
      </c>
      <c r="C3402">
        <v>409</v>
      </c>
      <c r="D3402" t="s">
        <v>860</v>
      </c>
      <c r="E3402" t="s">
        <v>24069</v>
      </c>
      <c r="F3402" t="s">
        <v>117</v>
      </c>
      <c r="G3402" t="s">
        <v>24070</v>
      </c>
      <c r="H3402">
        <v>19.399999999999999</v>
      </c>
      <c r="I3402">
        <v>0</v>
      </c>
      <c r="J3402">
        <v>0</v>
      </c>
      <c r="K3402">
        <v>0</v>
      </c>
      <c r="N3402">
        <v>3</v>
      </c>
      <c r="O3402">
        <v>3</v>
      </c>
      <c r="P3402">
        <v>4</v>
      </c>
      <c r="Q3402">
        <v>0</v>
      </c>
      <c r="R3402">
        <v>26.4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H3402">
        <v>26.4</v>
      </c>
    </row>
    <row r="3403" spans="1:34" x14ac:dyDescent="0.3">
      <c r="A3403" s="4">
        <v>3519</v>
      </c>
      <c r="B3403" s="5">
        <v>3396</v>
      </c>
      <c r="C3403">
        <v>735</v>
      </c>
      <c r="D3403" t="s">
        <v>4607</v>
      </c>
      <c r="E3403" t="s">
        <v>33</v>
      </c>
      <c r="F3403" t="s">
        <v>81</v>
      </c>
      <c r="G3403" t="s">
        <v>24071</v>
      </c>
      <c r="H3403">
        <v>17.399999999999999</v>
      </c>
      <c r="I3403">
        <v>0</v>
      </c>
      <c r="J3403">
        <v>0</v>
      </c>
      <c r="K3403">
        <v>0</v>
      </c>
      <c r="N3403">
        <v>3</v>
      </c>
      <c r="O3403">
        <v>3</v>
      </c>
      <c r="P3403">
        <v>4</v>
      </c>
      <c r="Q3403">
        <v>2</v>
      </c>
      <c r="R3403">
        <v>26.4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H3403">
        <v>26.4</v>
      </c>
    </row>
    <row r="3404" spans="1:34" x14ac:dyDescent="0.3">
      <c r="A3404" s="4">
        <v>3520</v>
      </c>
      <c r="B3404" s="5">
        <v>3397</v>
      </c>
      <c r="C3404">
        <v>13557</v>
      </c>
      <c r="D3404" t="s">
        <v>24072</v>
      </c>
      <c r="E3404" t="s">
        <v>782</v>
      </c>
      <c r="F3404" t="s">
        <v>24073</v>
      </c>
      <c r="G3404" t="s">
        <v>24074</v>
      </c>
      <c r="H3404">
        <v>19.38</v>
      </c>
      <c r="I3404">
        <v>0</v>
      </c>
      <c r="J3404">
        <v>0</v>
      </c>
      <c r="K3404">
        <v>0</v>
      </c>
      <c r="N3404">
        <v>3</v>
      </c>
      <c r="O3404">
        <v>3</v>
      </c>
      <c r="P3404">
        <v>4</v>
      </c>
      <c r="Q3404">
        <v>0</v>
      </c>
      <c r="R3404">
        <v>26.38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H3404">
        <v>26.38</v>
      </c>
    </row>
    <row r="3405" spans="1:34" x14ac:dyDescent="0.3">
      <c r="A3405" s="4">
        <v>3521</v>
      </c>
      <c r="B3405" s="5">
        <v>3398</v>
      </c>
      <c r="C3405">
        <v>7755</v>
      </c>
      <c r="D3405" t="s">
        <v>577</v>
      </c>
      <c r="E3405" t="s">
        <v>188</v>
      </c>
      <c r="F3405" t="s">
        <v>136</v>
      </c>
      <c r="G3405" t="s">
        <v>24075</v>
      </c>
      <c r="H3405">
        <v>19.38</v>
      </c>
      <c r="I3405">
        <v>0</v>
      </c>
      <c r="J3405">
        <v>0</v>
      </c>
      <c r="K3405">
        <v>0</v>
      </c>
      <c r="N3405">
        <v>3</v>
      </c>
      <c r="O3405">
        <v>3</v>
      </c>
      <c r="P3405">
        <v>4</v>
      </c>
      <c r="Q3405">
        <v>0</v>
      </c>
      <c r="R3405">
        <v>26.38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H3405">
        <v>26.38</v>
      </c>
    </row>
    <row r="3406" spans="1:34" x14ac:dyDescent="0.3">
      <c r="A3406" s="4">
        <v>3522</v>
      </c>
      <c r="B3406" s="5">
        <v>3399</v>
      </c>
      <c r="C3406">
        <v>476</v>
      </c>
      <c r="D3406" t="s">
        <v>24076</v>
      </c>
      <c r="E3406" t="s">
        <v>38</v>
      </c>
      <c r="F3406" t="s">
        <v>81</v>
      </c>
      <c r="G3406" t="s">
        <v>24077</v>
      </c>
      <c r="H3406">
        <v>19.38</v>
      </c>
      <c r="I3406">
        <v>0</v>
      </c>
      <c r="J3406">
        <v>0</v>
      </c>
      <c r="K3406">
        <v>0</v>
      </c>
      <c r="N3406">
        <v>3</v>
      </c>
      <c r="O3406">
        <v>3</v>
      </c>
      <c r="P3406">
        <v>4</v>
      </c>
      <c r="Q3406">
        <v>0</v>
      </c>
      <c r="R3406">
        <v>26.38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H3406">
        <v>26.38</v>
      </c>
    </row>
    <row r="3407" spans="1:34" x14ac:dyDescent="0.3">
      <c r="A3407" s="4">
        <v>3523</v>
      </c>
      <c r="B3407" s="5">
        <v>3400</v>
      </c>
      <c r="C3407">
        <v>8544</v>
      </c>
      <c r="D3407" t="s">
        <v>3033</v>
      </c>
      <c r="E3407" t="s">
        <v>29</v>
      </c>
      <c r="F3407" t="s">
        <v>14</v>
      </c>
      <c r="G3407" t="s">
        <v>24078</v>
      </c>
      <c r="H3407">
        <v>19.38</v>
      </c>
      <c r="I3407">
        <v>0</v>
      </c>
      <c r="J3407">
        <v>0</v>
      </c>
      <c r="K3407">
        <v>0</v>
      </c>
      <c r="N3407">
        <v>3</v>
      </c>
      <c r="O3407">
        <v>3</v>
      </c>
      <c r="P3407">
        <v>4</v>
      </c>
      <c r="Q3407">
        <v>0</v>
      </c>
      <c r="R3407">
        <v>26.38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H3407">
        <v>26.38</v>
      </c>
    </row>
    <row r="3408" spans="1:34" x14ac:dyDescent="0.3">
      <c r="A3408" s="4">
        <v>3524</v>
      </c>
      <c r="B3408" s="5">
        <v>3401</v>
      </c>
      <c r="C3408">
        <v>11482</v>
      </c>
      <c r="D3408" t="s">
        <v>24079</v>
      </c>
      <c r="E3408" t="s">
        <v>41</v>
      </c>
      <c r="F3408" t="s">
        <v>91</v>
      </c>
      <c r="G3408" t="s">
        <v>24080</v>
      </c>
      <c r="H3408">
        <v>19.38</v>
      </c>
      <c r="I3408">
        <v>0</v>
      </c>
      <c r="J3408">
        <v>0</v>
      </c>
      <c r="K3408">
        <v>0</v>
      </c>
      <c r="N3408">
        <v>3</v>
      </c>
      <c r="O3408">
        <v>3</v>
      </c>
      <c r="P3408">
        <v>4</v>
      </c>
      <c r="Q3408">
        <v>0</v>
      </c>
      <c r="R3408">
        <v>26.38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H3408">
        <v>26.38</v>
      </c>
    </row>
    <row r="3409" spans="1:34" x14ac:dyDescent="0.3">
      <c r="A3409" s="4">
        <v>3525</v>
      </c>
      <c r="B3409" s="5">
        <v>3402</v>
      </c>
      <c r="C3409">
        <v>14358</v>
      </c>
      <c r="D3409" t="s">
        <v>19715</v>
      </c>
      <c r="E3409" t="s">
        <v>1189</v>
      </c>
      <c r="F3409" t="s">
        <v>81</v>
      </c>
      <c r="G3409" t="s">
        <v>24081</v>
      </c>
      <c r="H3409">
        <v>17.38</v>
      </c>
      <c r="I3409">
        <v>0</v>
      </c>
      <c r="J3409">
        <v>0</v>
      </c>
      <c r="K3409">
        <v>0</v>
      </c>
      <c r="N3409">
        <v>3</v>
      </c>
      <c r="O3409">
        <v>3</v>
      </c>
      <c r="P3409">
        <v>4</v>
      </c>
      <c r="Q3409">
        <v>2</v>
      </c>
      <c r="R3409">
        <v>26.38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H3409">
        <v>26.38</v>
      </c>
    </row>
    <row r="3410" spans="1:34" x14ac:dyDescent="0.3">
      <c r="A3410" s="4">
        <v>3526</v>
      </c>
      <c r="B3410" s="5">
        <v>3403</v>
      </c>
      <c r="C3410">
        <v>15106</v>
      </c>
      <c r="D3410" t="s">
        <v>8800</v>
      </c>
      <c r="E3410" t="s">
        <v>22</v>
      </c>
      <c r="F3410" t="s">
        <v>136</v>
      </c>
      <c r="G3410" t="s">
        <v>24082</v>
      </c>
      <c r="H3410">
        <v>19.350000000000001</v>
      </c>
      <c r="I3410">
        <v>0</v>
      </c>
      <c r="J3410">
        <v>0</v>
      </c>
      <c r="K3410">
        <v>0</v>
      </c>
      <c r="N3410">
        <v>3</v>
      </c>
      <c r="O3410">
        <v>3</v>
      </c>
      <c r="P3410">
        <v>4</v>
      </c>
      <c r="Q3410">
        <v>0</v>
      </c>
      <c r="R3410">
        <v>26.35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H3410">
        <v>26.35</v>
      </c>
    </row>
    <row r="3411" spans="1:34" x14ac:dyDescent="0.3">
      <c r="A3411" s="4">
        <v>3527</v>
      </c>
      <c r="B3411" s="5">
        <v>3404</v>
      </c>
      <c r="C3411">
        <v>14456</v>
      </c>
      <c r="D3411" t="s">
        <v>24083</v>
      </c>
      <c r="E3411" t="s">
        <v>97</v>
      </c>
      <c r="F3411" t="s">
        <v>230</v>
      </c>
      <c r="G3411" t="s">
        <v>24084</v>
      </c>
      <c r="H3411">
        <v>19.329999999999998</v>
      </c>
      <c r="I3411">
        <v>0</v>
      </c>
      <c r="J3411">
        <v>0</v>
      </c>
      <c r="K3411">
        <v>0</v>
      </c>
      <c r="N3411">
        <v>3</v>
      </c>
      <c r="O3411">
        <v>3</v>
      </c>
      <c r="P3411">
        <v>4</v>
      </c>
      <c r="Q3411">
        <v>0</v>
      </c>
      <c r="R3411">
        <v>26.33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H3411">
        <v>26.33</v>
      </c>
    </row>
    <row r="3412" spans="1:34" x14ac:dyDescent="0.3">
      <c r="A3412" s="4">
        <v>3528</v>
      </c>
      <c r="B3412" s="5">
        <v>3405</v>
      </c>
      <c r="C3412">
        <v>11560</v>
      </c>
      <c r="D3412" t="s">
        <v>23009</v>
      </c>
      <c r="E3412" t="s">
        <v>41</v>
      </c>
      <c r="F3412" t="s">
        <v>343</v>
      </c>
      <c r="G3412" t="s">
        <v>24085</v>
      </c>
      <c r="H3412">
        <v>19.329999999999998</v>
      </c>
      <c r="I3412">
        <v>0</v>
      </c>
      <c r="J3412">
        <v>0</v>
      </c>
      <c r="K3412">
        <v>0</v>
      </c>
      <c r="N3412">
        <v>3</v>
      </c>
      <c r="O3412">
        <v>3</v>
      </c>
      <c r="P3412">
        <v>4</v>
      </c>
      <c r="Q3412">
        <v>0</v>
      </c>
      <c r="R3412">
        <v>26.33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H3412">
        <v>26.33</v>
      </c>
    </row>
    <row r="3413" spans="1:34" x14ac:dyDescent="0.3">
      <c r="A3413" s="4">
        <v>3529</v>
      </c>
      <c r="B3413" s="5">
        <v>3406</v>
      </c>
      <c r="C3413">
        <v>2128</v>
      </c>
      <c r="D3413" t="s">
        <v>10275</v>
      </c>
      <c r="E3413" t="s">
        <v>439</v>
      </c>
      <c r="F3413" t="s">
        <v>17</v>
      </c>
      <c r="G3413" t="s">
        <v>24086</v>
      </c>
      <c r="H3413">
        <v>19.329999999999998</v>
      </c>
      <c r="I3413">
        <v>0</v>
      </c>
      <c r="J3413">
        <v>0</v>
      </c>
      <c r="K3413">
        <v>0</v>
      </c>
      <c r="N3413">
        <v>3</v>
      </c>
      <c r="O3413">
        <v>3</v>
      </c>
      <c r="P3413">
        <v>4</v>
      </c>
      <c r="Q3413">
        <v>0</v>
      </c>
      <c r="R3413">
        <v>26.33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H3413">
        <v>26.33</v>
      </c>
    </row>
    <row r="3414" spans="1:34" x14ac:dyDescent="0.3">
      <c r="A3414" s="4">
        <v>3530</v>
      </c>
      <c r="B3414" s="5">
        <v>3407</v>
      </c>
      <c r="C3414">
        <v>2177</v>
      </c>
      <c r="D3414" t="s">
        <v>4607</v>
      </c>
      <c r="E3414" t="s">
        <v>190</v>
      </c>
      <c r="F3414" t="s">
        <v>117</v>
      </c>
      <c r="G3414" t="s">
        <v>24087</v>
      </c>
      <c r="H3414">
        <v>17.329999999999998</v>
      </c>
      <c r="I3414">
        <v>0</v>
      </c>
      <c r="J3414">
        <v>0</v>
      </c>
      <c r="K3414">
        <v>0</v>
      </c>
      <c r="M3414">
        <v>5</v>
      </c>
      <c r="O3414">
        <v>5</v>
      </c>
      <c r="P3414">
        <v>4</v>
      </c>
      <c r="Q3414">
        <v>0</v>
      </c>
      <c r="R3414">
        <v>26.33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H3414">
        <v>26.33</v>
      </c>
    </row>
    <row r="3415" spans="1:34" x14ac:dyDescent="0.3">
      <c r="A3415" s="4">
        <v>3531</v>
      </c>
      <c r="B3415" s="5">
        <v>3408</v>
      </c>
      <c r="C3415">
        <v>8322</v>
      </c>
      <c r="D3415" t="s">
        <v>24088</v>
      </c>
      <c r="E3415" t="s">
        <v>29</v>
      </c>
      <c r="F3415" t="s">
        <v>649</v>
      </c>
      <c r="G3415" t="s">
        <v>24089</v>
      </c>
      <c r="H3415">
        <v>19.3</v>
      </c>
      <c r="I3415">
        <v>0</v>
      </c>
      <c r="J3415">
        <v>0</v>
      </c>
      <c r="K3415">
        <v>0</v>
      </c>
      <c r="N3415">
        <v>3</v>
      </c>
      <c r="O3415">
        <v>3</v>
      </c>
      <c r="P3415">
        <v>4</v>
      </c>
      <c r="Q3415">
        <v>0</v>
      </c>
      <c r="R3415">
        <v>26.3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H3415">
        <v>26.3</v>
      </c>
    </row>
    <row r="3416" spans="1:34" x14ac:dyDescent="0.3">
      <c r="A3416" s="4">
        <v>3532</v>
      </c>
      <c r="B3416" s="5">
        <v>3409</v>
      </c>
      <c r="C3416">
        <v>9031</v>
      </c>
      <c r="D3416" t="s">
        <v>24090</v>
      </c>
      <c r="E3416" t="s">
        <v>97</v>
      </c>
      <c r="F3416" t="s">
        <v>8531</v>
      </c>
      <c r="G3416" t="s">
        <v>24091</v>
      </c>
      <c r="H3416">
        <v>17.28</v>
      </c>
      <c r="I3416">
        <v>0</v>
      </c>
      <c r="J3416">
        <v>0</v>
      </c>
      <c r="K3416">
        <v>0</v>
      </c>
      <c r="N3416">
        <v>3</v>
      </c>
      <c r="O3416">
        <v>3</v>
      </c>
      <c r="P3416">
        <v>0</v>
      </c>
      <c r="Q3416">
        <v>0</v>
      </c>
      <c r="R3416">
        <v>20.28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6</v>
      </c>
      <c r="AC3416">
        <v>0</v>
      </c>
      <c r="AH3416">
        <v>26.28</v>
      </c>
    </row>
    <row r="3417" spans="1:34" x14ac:dyDescent="0.3">
      <c r="A3417" s="4">
        <v>3533</v>
      </c>
      <c r="B3417" s="5">
        <v>3410</v>
      </c>
      <c r="C3417">
        <v>12462</v>
      </c>
      <c r="D3417" t="s">
        <v>3110</v>
      </c>
      <c r="E3417" t="s">
        <v>22</v>
      </c>
      <c r="F3417" t="s">
        <v>20</v>
      </c>
      <c r="G3417" t="s">
        <v>24092</v>
      </c>
      <c r="H3417">
        <v>19.28</v>
      </c>
      <c r="I3417">
        <v>0</v>
      </c>
      <c r="J3417">
        <v>0</v>
      </c>
      <c r="K3417">
        <v>0</v>
      </c>
      <c r="N3417">
        <v>3</v>
      </c>
      <c r="O3417">
        <v>3</v>
      </c>
      <c r="P3417">
        <v>4</v>
      </c>
      <c r="Q3417">
        <v>0</v>
      </c>
      <c r="R3417">
        <v>26.28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H3417">
        <v>26.28</v>
      </c>
    </row>
    <row r="3418" spans="1:34" x14ac:dyDescent="0.3">
      <c r="A3418" s="4">
        <v>3534</v>
      </c>
      <c r="B3418" s="5">
        <v>3411</v>
      </c>
      <c r="C3418">
        <v>448</v>
      </c>
      <c r="D3418" t="s">
        <v>609</v>
      </c>
      <c r="E3418" t="s">
        <v>22</v>
      </c>
      <c r="F3418" t="s">
        <v>79</v>
      </c>
      <c r="G3418" t="s">
        <v>24093</v>
      </c>
      <c r="H3418">
        <v>19.28</v>
      </c>
      <c r="I3418">
        <v>0</v>
      </c>
      <c r="J3418">
        <v>0</v>
      </c>
      <c r="K3418">
        <v>0</v>
      </c>
      <c r="N3418">
        <v>3</v>
      </c>
      <c r="O3418">
        <v>3</v>
      </c>
      <c r="P3418">
        <v>4</v>
      </c>
      <c r="Q3418">
        <v>0</v>
      </c>
      <c r="R3418">
        <v>26.28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 t="s">
        <v>130</v>
      </c>
      <c r="AH3418">
        <v>26.28</v>
      </c>
    </row>
    <row r="3419" spans="1:34" x14ac:dyDescent="0.3">
      <c r="A3419" s="4">
        <v>3535</v>
      </c>
      <c r="B3419" s="5">
        <v>3412</v>
      </c>
      <c r="C3419">
        <v>11008</v>
      </c>
      <c r="D3419" t="s">
        <v>47</v>
      </c>
      <c r="E3419" t="s">
        <v>41</v>
      </c>
      <c r="F3419" t="s">
        <v>91</v>
      </c>
      <c r="G3419" t="s">
        <v>24094</v>
      </c>
      <c r="H3419">
        <v>19.28</v>
      </c>
      <c r="I3419">
        <v>0</v>
      </c>
      <c r="J3419">
        <v>0</v>
      </c>
      <c r="K3419">
        <v>0</v>
      </c>
      <c r="N3419">
        <v>3</v>
      </c>
      <c r="O3419">
        <v>3</v>
      </c>
      <c r="P3419">
        <v>4</v>
      </c>
      <c r="Q3419">
        <v>0</v>
      </c>
      <c r="R3419">
        <v>26.28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H3419">
        <v>26.28</v>
      </c>
    </row>
    <row r="3420" spans="1:34" x14ac:dyDescent="0.3">
      <c r="A3420" s="4">
        <v>3536</v>
      </c>
      <c r="B3420" s="5">
        <v>3413</v>
      </c>
      <c r="C3420">
        <v>1664</v>
      </c>
      <c r="D3420" t="s">
        <v>24095</v>
      </c>
      <c r="E3420" t="s">
        <v>1152</v>
      </c>
      <c r="F3420" t="s">
        <v>62</v>
      </c>
      <c r="G3420" t="s">
        <v>24096</v>
      </c>
      <c r="H3420">
        <v>17.25</v>
      </c>
      <c r="I3420">
        <v>0</v>
      </c>
      <c r="J3420">
        <v>0</v>
      </c>
      <c r="K3420">
        <v>0</v>
      </c>
      <c r="N3420">
        <v>3</v>
      </c>
      <c r="O3420">
        <v>3</v>
      </c>
      <c r="P3420">
        <v>0</v>
      </c>
      <c r="Q3420">
        <v>0</v>
      </c>
      <c r="R3420">
        <v>20.25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6</v>
      </c>
      <c r="AC3420">
        <v>0</v>
      </c>
      <c r="AH3420">
        <v>26.25</v>
      </c>
    </row>
    <row r="3421" spans="1:34" x14ac:dyDescent="0.3">
      <c r="A3421" s="4">
        <v>3537</v>
      </c>
      <c r="B3421" s="5">
        <v>3414</v>
      </c>
      <c r="C3421">
        <v>7198</v>
      </c>
      <c r="D3421" t="s">
        <v>1071</v>
      </c>
      <c r="E3421" t="s">
        <v>738</v>
      </c>
      <c r="F3421" t="s">
        <v>626</v>
      </c>
      <c r="G3421" t="s">
        <v>24097</v>
      </c>
      <c r="H3421">
        <v>19.25</v>
      </c>
      <c r="I3421">
        <v>0</v>
      </c>
      <c r="J3421">
        <v>0</v>
      </c>
      <c r="K3421">
        <v>0</v>
      </c>
      <c r="O3421">
        <v>0</v>
      </c>
      <c r="P3421">
        <v>4</v>
      </c>
      <c r="Q3421">
        <v>0</v>
      </c>
      <c r="R3421">
        <v>23.25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3</v>
      </c>
      <c r="AC3421">
        <v>0</v>
      </c>
      <c r="AH3421">
        <v>26.25</v>
      </c>
    </row>
    <row r="3422" spans="1:34" x14ac:dyDescent="0.3">
      <c r="A3422" s="4">
        <v>3538</v>
      </c>
      <c r="B3422" s="5">
        <v>3415</v>
      </c>
      <c r="C3422">
        <v>6243</v>
      </c>
      <c r="D3422" t="s">
        <v>24098</v>
      </c>
      <c r="E3422" t="s">
        <v>283</v>
      </c>
      <c r="F3422" t="s">
        <v>158</v>
      </c>
      <c r="G3422" t="s">
        <v>24099</v>
      </c>
      <c r="H3422">
        <v>17.25</v>
      </c>
      <c r="I3422">
        <v>0</v>
      </c>
      <c r="J3422">
        <v>0</v>
      </c>
      <c r="K3422">
        <v>0</v>
      </c>
      <c r="O3422">
        <v>0</v>
      </c>
      <c r="P3422">
        <v>4</v>
      </c>
      <c r="Q3422">
        <v>2</v>
      </c>
      <c r="R3422">
        <v>23.25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3</v>
      </c>
      <c r="AC3422">
        <v>0</v>
      </c>
      <c r="AH3422">
        <v>26.25</v>
      </c>
    </row>
    <row r="3423" spans="1:34" x14ac:dyDescent="0.3">
      <c r="A3423" s="4">
        <v>3539</v>
      </c>
      <c r="B3423" s="5">
        <v>3416</v>
      </c>
      <c r="C3423">
        <v>12868</v>
      </c>
      <c r="D3423" t="s">
        <v>4677</v>
      </c>
      <c r="E3423" t="s">
        <v>178</v>
      </c>
      <c r="F3423" t="s">
        <v>328</v>
      </c>
      <c r="G3423">
        <v>88595</v>
      </c>
      <c r="H3423">
        <v>16.25</v>
      </c>
      <c r="I3423">
        <v>0</v>
      </c>
      <c r="J3423">
        <v>0</v>
      </c>
      <c r="K3423">
        <v>0</v>
      </c>
      <c r="N3423">
        <v>3</v>
      </c>
      <c r="O3423">
        <v>3</v>
      </c>
      <c r="P3423">
        <v>4</v>
      </c>
      <c r="Q3423">
        <v>0</v>
      </c>
      <c r="R3423">
        <v>23.25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3</v>
      </c>
      <c r="AC3423">
        <v>0</v>
      </c>
      <c r="AH3423">
        <v>26.25</v>
      </c>
    </row>
    <row r="3424" spans="1:34" x14ac:dyDescent="0.3">
      <c r="A3424" s="4">
        <v>3540</v>
      </c>
      <c r="B3424" s="5">
        <v>3417</v>
      </c>
      <c r="C3424">
        <v>5044</v>
      </c>
      <c r="D3424" t="s">
        <v>24100</v>
      </c>
      <c r="E3424" t="s">
        <v>81</v>
      </c>
      <c r="F3424" t="s">
        <v>17</v>
      </c>
      <c r="G3424" t="s">
        <v>24101</v>
      </c>
      <c r="H3424">
        <v>19.25</v>
      </c>
      <c r="I3424">
        <v>0</v>
      </c>
      <c r="J3424">
        <v>0</v>
      </c>
      <c r="K3424">
        <v>0</v>
      </c>
      <c r="N3424">
        <v>3</v>
      </c>
      <c r="O3424">
        <v>3</v>
      </c>
      <c r="P3424">
        <v>4</v>
      </c>
      <c r="Q3424">
        <v>0</v>
      </c>
      <c r="R3424">
        <v>26.25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H3424">
        <v>26.25</v>
      </c>
    </row>
    <row r="3425" spans="1:34" x14ac:dyDescent="0.3">
      <c r="A3425" s="4">
        <v>3541</v>
      </c>
      <c r="B3425" s="5">
        <v>3418</v>
      </c>
      <c r="C3425">
        <v>908</v>
      </c>
      <c r="D3425" t="s">
        <v>14756</v>
      </c>
      <c r="E3425" t="s">
        <v>550</v>
      </c>
      <c r="F3425" t="s">
        <v>124</v>
      </c>
      <c r="G3425" t="s">
        <v>24102</v>
      </c>
      <c r="H3425">
        <v>19.25</v>
      </c>
      <c r="I3425">
        <v>0</v>
      </c>
      <c r="J3425">
        <v>0</v>
      </c>
      <c r="K3425">
        <v>0</v>
      </c>
      <c r="N3425">
        <v>3</v>
      </c>
      <c r="O3425">
        <v>3</v>
      </c>
      <c r="P3425">
        <v>4</v>
      </c>
      <c r="Q3425">
        <v>0</v>
      </c>
      <c r="R3425">
        <v>26.25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H3425">
        <v>26.25</v>
      </c>
    </row>
    <row r="3426" spans="1:34" x14ac:dyDescent="0.3">
      <c r="A3426" s="4">
        <v>3542</v>
      </c>
      <c r="B3426" s="5">
        <v>3419</v>
      </c>
      <c r="C3426">
        <v>3035</v>
      </c>
      <c r="D3426" t="s">
        <v>9764</v>
      </c>
      <c r="E3426" t="s">
        <v>2150</v>
      </c>
      <c r="F3426" t="s">
        <v>457</v>
      </c>
      <c r="G3426" t="s">
        <v>24103</v>
      </c>
      <c r="H3426">
        <v>19.25</v>
      </c>
      <c r="I3426">
        <v>0</v>
      </c>
      <c r="J3426">
        <v>0</v>
      </c>
      <c r="K3426">
        <v>0</v>
      </c>
      <c r="N3426">
        <v>3</v>
      </c>
      <c r="O3426">
        <v>3</v>
      </c>
      <c r="P3426">
        <v>4</v>
      </c>
      <c r="Q3426">
        <v>0</v>
      </c>
      <c r="R3426">
        <v>26.25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H3426">
        <v>26.25</v>
      </c>
    </row>
    <row r="3427" spans="1:34" x14ac:dyDescent="0.3">
      <c r="A3427" s="4">
        <v>3543</v>
      </c>
      <c r="B3427" s="5">
        <v>3420</v>
      </c>
      <c r="C3427">
        <v>15159</v>
      </c>
      <c r="D3427" t="s">
        <v>24104</v>
      </c>
      <c r="E3427" t="s">
        <v>24105</v>
      </c>
      <c r="F3427" t="s">
        <v>24106</v>
      </c>
      <c r="G3427" t="s">
        <v>24107</v>
      </c>
      <c r="H3427">
        <v>19.25</v>
      </c>
      <c r="I3427">
        <v>0</v>
      </c>
      <c r="J3427">
        <v>0</v>
      </c>
      <c r="K3427">
        <v>0</v>
      </c>
      <c r="N3427">
        <v>3</v>
      </c>
      <c r="O3427">
        <v>3</v>
      </c>
      <c r="P3427">
        <v>4</v>
      </c>
      <c r="Q3427">
        <v>0</v>
      </c>
      <c r="R3427">
        <v>26.25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H3427">
        <v>26.25</v>
      </c>
    </row>
    <row r="3428" spans="1:34" x14ac:dyDescent="0.3">
      <c r="A3428" s="4">
        <v>3544</v>
      </c>
      <c r="B3428" s="5">
        <v>3421</v>
      </c>
      <c r="C3428">
        <v>4053</v>
      </c>
      <c r="D3428" t="s">
        <v>24108</v>
      </c>
      <c r="E3428" t="s">
        <v>273</v>
      </c>
      <c r="F3428" t="s">
        <v>20</v>
      </c>
      <c r="G3428" t="s">
        <v>24109</v>
      </c>
      <c r="H3428">
        <v>19.25</v>
      </c>
      <c r="I3428">
        <v>0</v>
      </c>
      <c r="J3428">
        <v>0</v>
      </c>
      <c r="K3428">
        <v>0</v>
      </c>
      <c r="N3428">
        <v>3</v>
      </c>
      <c r="O3428">
        <v>3</v>
      </c>
      <c r="P3428">
        <v>4</v>
      </c>
      <c r="Q3428">
        <v>0</v>
      </c>
      <c r="R3428">
        <v>26.25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H3428">
        <v>26.25</v>
      </c>
    </row>
    <row r="3429" spans="1:34" x14ac:dyDescent="0.3">
      <c r="A3429" s="4">
        <v>3545</v>
      </c>
      <c r="B3429" s="5">
        <v>3422</v>
      </c>
      <c r="C3429">
        <v>4030</v>
      </c>
      <c r="D3429" t="s">
        <v>24110</v>
      </c>
      <c r="E3429" t="s">
        <v>24111</v>
      </c>
      <c r="F3429" t="s">
        <v>24112</v>
      </c>
      <c r="G3429" t="s">
        <v>24113</v>
      </c>
      <c r="H3429">
        <v>19.25</v>
      </c>
      <c r="I3429">
        <v>0</v>
      </c>
      <c r="J3429">
        <v>0</v>
      </c>
      <c r="K3429">
        <v>0</v>
      </c>
      <c r="N3429">
        <v>3</v>
      </c>
      <c r="O3429">
        <v>3</v>
      </c>
      <c r="P3429">
        <v>4</v>
      </c>
      <c r="Q3429">
        <v>0</v>
      </c>
      <c r="R3429">
        <v>26.25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H3429">
        <v>26.25</v>
      </c>
    </row>
    <row r="3430" spans="1:34" x14ac:dyDescent="0.3">
      <c r="A3430" s="4">
        <v>3546</v>
      </c>
      <c r="B3430" s="5">
        <v>3423</v>
      </c>
      <c r="C3430">
        <v>15516</v>
      </c>
      <c r="D3430" t="s">
        <v>944</v>
      </c>
      <c r="E3430" t="s">
        <v>166</v>
      </c>
      <c r="F3430" t="s">
        <v>3439</v>
      </c>
      <c r="G3430" t="s">
        <v>24114</v>
      </c>
      <c r="H3430">
        <v>19.25</v>
      </c>
      <c r="I3430">
        <v>0</v>
      </c>
      <c r="J3430">
        <v>0</v>
      </c>
      <c r="K3430">
        <v>0</v>
      </c>
      <c r="N3430">
        <v>3</v>
      </c>
      <c r="O3430">
        <v>3</v>
      </c>
      <c r="P3430">
        <v>4</v>
      </c>
      <c r="Q3430">
        <v>0</v>
      </c>
      <c r="R3430">
        <v>26.25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H3430">
        <v>26.25</v>
      </c>
    </row>
    <row r="3431" spans="1:34" x14ac:dyDescent="0.3">
      <c r="A3431" s="4">
        <v>3547</v>
      </c>
      <c r="B3431" s="5">
        <v>3424</v>
      </c>
      <c r="C3431">
        <v>1498</v>
      </c>
      <c r="D3431" t="s">
        <v>207</v>
      </c>
      <c r="E3431" t="s">
        <v>24115</v>
      </c>
      <c r="F3431" t="s">
        <v>17</v>
      </c>
      <c r="G3431" t="s">
        <v>24116</v>
      </c>
      <c r="H3431">
        <v>19.25</v>
      </c>
      <c r="I3431">
        <v>0</v>
      </c>
      <c r="J3431">
        <v>0</v>
      </c>
      <c r="K3431">
        <v>0</v>
      </c>
      <c r="N3431">
        <v>3</v>
      </c>
      <c r="O3431">
        <v>3</v>
      </c>
      <c r="P3431">
        <v>4</v>
      </c>
      <c r="Q3431">
        <v>0</v>
      </c>
      <c r="R3431">
        <v>26.25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H3431">
        <v>26.25</v>
      </c>
    </row>
    <row r="3432" spans="1:34" x14ac:dyDescent="0.3">
      <c r="A3432" s="4">
        <v>3548</v>
      </c>
      <c r="B3432" s="5">
        <v>3425</v>
      </c>
      <c r="C3432">
        <v>12598</v>
      </c>
      <c r="D3432" t="s">
        <v>24117</v>
      </c>
      <c r="E3432" t="s">
        <v>147</v>
      </c>
      <c r="F3432" t="s">
        <v>62</v>
      </c>
      <c r="G3432" t="s">
        <v>24118</v>
      </c>
      <c r="H3432">
        <v>17.23</v>
      </c>
      <c r="I3432">
        <v>0</v>
      </c>
      <c r="J3432">
        <v>0</v>
      </c>
      <c r="K3432">
        <v>0</v>
      </c>
      <c r="N3432">
        <v>3</v>
      </c>
      <c r="O3432">
        <v>3</v>
      </c>
      <c r="P3432">
        <v>0</v>
      </c>
      <c r="Q3432">
        <v>0</v>
      </c>
      <c r="R3432">
        <v>20.23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6</v>
      </c>
      <c r="AC3432">
        <v>0</v>
      </c>
      <c r="AH3432">
        <v>26.23</v>
      </c>
    </row>
    <row r="3433" spans="1:34" x14ac:dyDescent="0.3">
      <c r="A3433" s="4">
        <v>3549</v>
      </c>
      <c r="B3433" s="5">
        <v>3426</v>
      </c>
      <c r="C3433">
        <v>15047</v>
      </c>
      <c r="D3433" t="s">
        <v>24119</v>
      </c>
      <c r="E3433" t="s">
        <v>33</v>
      </c>
      <c r="F3433" t="s">
        <v>19054</v>
      </c>
      <c r="G3433" t="s">
        <v>24120</v>
      </c>
      <c r="H3433">
        <v>19.23</v>
      </c>
      <c r="I3433">
        <v>0</v>
      </c>
      <c r="J3433">
        <v>0</v>
      </c>
      <c r="K3433">
        <v>0</v>
      </c>
      <c r="N3433">
        <v>3</v>
      </c>
      <c r="O3433">
        <v>3</v>
      </c>
      <c r="P3433">
        <v>4</v>
      </c>
      <c r="Q3433">
        <v>0</v>
      </c>
      <c r="R3433">
        <v>26.23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H3433">
        <v>26.23</v>
      </c>
    </row>
    <row r="3434" spans="1:34" x14ac:dyDescent="0.3">
      <c r="A3434" s="4">
        <v>3550</v>
      </c>
      <c r="B3434" s="5">
        <v>3427</v>
      </c>
      <c r="C3434">
        <v>13911</v>
      </c>
      <c r="D3434" t="s">
        <v>24121</v>
      </c>
      <c r="E3434" t="s">
        <v>22</v>
      </c>
      <c r="F3434" t="s">
        <v>570</v>
      </c>
      <c r="G3434" t="s">
        <v>24122</v>
      </c>
      <c r="H3434">
        <v>19.23</v>
      </c>
      <c r="I3434">
        <v>0</v>
      </c>
      <c r="J3434">
        <v>0</v>
      </c>
      <c r="K3434">
        <v>0</v>
      </c>
      <c r="N3434">
        <v>3</v>
      </c>
      <c r="O3434">
        <v>3</v>
      </c>
      <c r="P3434">
        <v>4</v>
      </c>
      <c r="Q3434">
        <v>0</v>
      </c>
      <c r="R3434">
        <v>26.23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H3434">
        <v>26.23</v>
      </c>
    </row>
    <row r="3435" spans="1:34" x14ac:dyDescent="0.3">
      <c r="A3435" s="4">
        <v>3551</v>
      </c>
      <c r="B3435" s="5">
        <v>3428</v>
      </c>
      <c r="C3435">
        <v>6757</v>
      </c>
      <c r="D3435" t="s">
        <v>2026</v>
      </c>
      <c r="E3435" t="s">
        <v>1659</v>
      </c>
      <c r="F3435" t="s">
        <v>117</v>
      </c>
      <c r="G3435" t="s">
        <v>24123</v>
      </c>
      <c r="H3435">
        <v>19.2</v>
      </c>
      <c r="I3435">
        <v>0</v>
      </c>
      <c r="J3435">
        <v>0</v>
      </c>
      <c r="K3435">
        <v>0</v>
      </c>
      <c r="N3435">
        <v>3</v>
      </c>
      <c r="O3435">
        <v>3</v>
      </c>
      <c r="P3435">
        <v>4</v>
      </c>
      <c r="Q3435">
        <v>0</v>
      </c>
      <c r="R3435">
        <v>26.2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H3435">
        <v>26.2</v>
      </c>
    </row>
    <row r="3436" spans="1:34" x14ac:dyDescent="0.3">
      <c r="A3436" s="4">
        <v>3552</v>
      </c>
      <c r="B3436" s="5">
        <v>3429</v>
      </c>
      <c r="C3436">
        <v>9982</v>
      </c>
      <c r="D3436" t="s">
        <v>944</v>
      </c>
      <c r="E3436" t="s">
        <v>1465</v>
      </c>
      <c r="F3436" t="s">
        <v>58</v>
      </c>
      <c r="G3436" t="s">
        <v>24124</v>
      </c>
      <c r="H3436">
        <v>19.2</v>
      </c>
      <c r="I3436">
        <v>0</v>
      </c>
      <c r="J3436">
        <v>0</v>
      </c>
      <c r="K3436">
        <v>0</v>
      </c>
      <c r="N3436">
        <v>3</v>
      </c>
      <c r="O3436">
        <v>3</v>
      </c>
      <c r="P3436">
        <v>4</v>
      </c>
      <c r="Q3436">
        <v>0</v>
      </c>
      <c r="R3436">
        <v>26.2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H3436">
        <v>26.2</v>
      </c>
    </row>
    <row r="3437" spans="1:34" x14ac:dyDescent="0.3">
      <c r="A3437" s="4">
        <v>3553</v>
      </c>
      <c r="B3437" s="5">
        <v>3430</v>
      </c>
      <c r="C3437">
        <v>10593</v>
      </c>
      <c r="D3437" t="s">
        <v>2772</v>
      </c>
      <c r="E3437" t="s">
        <v>6070</v>
      </c>
      <c r="F3437" t="s">
        <v>91</v>
      </c>
      <c r="G3437" t="s">
        <v>24125</v>
      </c>
      <c r="H3437">
        <v>19.2</v>
      </c>
      <c r="I3437">
        <v>0</v>
      </c>
      <c r="J3437">
        <v>0</v>
      </c>
      <c r="K3437">
        <v>0</v>
      </c>
      <c r="N3437">
        <v>3</v>
      </c>
      <c r="O3437">
        <v>3</v>
      </c>
      <c r="P3437">
        <v>4</v>
      </c>
      <c r="Q3437">
        <v>0</v>
      </c>
      <c r="R3437">
        <v>26.2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H3437">
        <v>26.2</v>
      </c>
    </row>
    <row r="3438" spans="1:34" x14ac:dyDescent="0.3">
      <c r="A3438" s="4">
        <v>3554</v>
      </c>
      <c r="B3438" s="5">
        <v>3431</v>
      </c>
      <c r="C3438">
        <v>4293</v>
      </c>
      <c r="D3438" t="s">
        <v>24126</v>
      </c>
      <c r="E3438" t="s">
        <v>41</v>
      </c>
      <c r="F3438" t="s">
        <v>20</v>
      </c>
      <c r="G3438" t="s">
        <v>24127</v>
      </c>
      <c r="H3438">
        <v>19.2</v>
      </c>
      <c r="I3438">
        <v>0</v>
      </c>
      <c r="J3438">
        <v>0</v>
      </c>
      <c r="K3438">
        <v>0</v>
      </c>
      <c r="N3438">
        <v>3</v>
      </c>
      <c r="O3438">
        <v>3</v>
      </c>
      <c r="P3438">
        <v>4</v>
      </c>
      <c r="Q3438">
        <v>0</v>
      </c>
      <c r="R3438">
        <v>26.2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H3438">
        <v>26.2</v>
      </c>
    </row>
    <row r="3439" spans="1:34" x14ac:dyDescent="0.3">
      <c r="A3439" s="4">
        <v>3555</v>
      </c>
      <c r="B3439" s="5">
        <v>3432</v>
      </c>
      <c r="C3439">
        <v>6112</v>
      </c>
      <c r="D3439" t="s">
        <v>15490</v>
      </c>
      <c r="E3439" t="s">
        <v>8113</v>
      </c>
      <c r="F3439" t="s">
        <v>81</v>
      </c>
      <c r="G3439" t="s">
        <v>24128</v>
      </c>
      <c r="H3439">
        <v>19.2</v>
      </c>
      <c r="I3439">
        <v>0</v>
      </c>
      <c r="J3439">
        <v>0</v>
      </c>
      <c r="K3439">
        <v>0</v>
      </c>
      <c r="N3439">
        <v>3</v>
      </c>
      <c r="O3439">
        <v>3</v>
      </c>
      <c r="P3439">
        <v>4</v>
      </c>
      <c r="Q3439">
        <v>0</v>
      </c>
      <c r="R3439">
        <v>26.2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H3439">
        <v>26.2</v>
      </c>
    </row>
    <row r="3440" spans="1:34" x14ac:dyDescent="0.3">
      <c r="A3440" s="4">
        <v>3556</v>
      </c>
      <c r="B3440" s="5">
        <v>3433</v>
      </c>
      <c r="C3440">
        <v>13620</v>
      </c>
      <c r="D3440" t="s">
        <v>1299</v>
      </c>
      <c r="E3440" t="s">
        <v>104</v>
      </c>
      <c r="F3440" t="s">
        <v>15654</v>
      </c>
      <c r="G3440" t="s">
        <v>24129</v>
      </c>
      <c r="H3440">
        <v>19.2</v>
      </c>
      <c r="I3440">
        <v>0</v>
      </c>
      <c r="J3440">
        <v>0</v>
      </c>
      <c r="K3440">
        <v>0</v>
      </c>
      <c r="N3440">
        <v>3</v>
      </c>
      <c r="O3440">
        <v>3</v>
      </c>
      <c r="P3440">
        <v>4</v>
      </c>
      <c r="Q3440">
        <v>0</v>
      </c>
      <c r="R3440">
        <v>26.2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H3440">
        <v>26.2</v>
      </c>
    </row>
    <row r="3441" spans="1:34" x14ac:dyDescent="0.3">
      <c r="A3441" s="4">
        <v>3557</v>
      </c>
      <c r="B3441" s="5">
        <v>3434</v>
      </c>
      <c r="C3441">
        <v>231</v>
      </c>
      <c r="D3441" t="s">
        <v>24130</v>
      </c>
      <c r="E3441" t="s">
        <v>892</v>
      </c>
      <c r="F3441" t="s">
        <v>24131</v>
      </c>
      <c r="G3441" t="s">
        <v>24132</v>
      </c>
      <c r="H3441">
        <v>19.2</v>
      </c>
      <c r="I3441">
        <v>0</v>
      </c>
      <c r="J3441">
        <v>0</v>
      </c>
      <c r="K3441">
        <v>0</v>
      </c>
      <c r="N3441">
        <v>3</v>
      </c>
      <c r="O3441">
        <v>3</v>
      </c>
      <c r="P3441">
        <v>4</v>
      </c>
      <c r="Q3441">
        <v>0</v>
      </c>
      <c r="R3441">
        <v>26.2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H3441">
        <v>26.2</v>
      </c>
    </row>
    <row r="3442" spans="1:34" x14ac:dyDescent="0.3">
      <c r="A3442" s="4">
        <v>3558</v>
      </c>
      <c r="B3442" s="5">
        <v>3435</v>
      </c>
      <c r="C3442">
        <v>1953</v>
      </c>
      <c r="D3442" t="s">
        <v>24133</v>
      </c>
      <c r="E3442" t="s">
        <v>17</v>
      </c>
      <c r="F3442" t="s">
        <v>136</v>
      </c>
      <c r="G3442" t="s">
        <v>24134</v>
      </c>
      <c r="H3442">
        <v>16.2</v>
      </c>
      <c r="I3442">
        <v>0</v>
      </c>
      <c r="J3442">
        <v>0</v>
      </c>
      <c r="K3442">
        <v>0</v>
      </c>
      <c r="N3442">
        <v>3</v>
      </c>
      <c r="O3442">
        <v>3</v>
      </c>
      <c r="P3442">
        <v>4</v>
      </c>
      <c r="Q3442">
        <v>0</v>
      </c>
      <c r="R3442">
        <v>23.2</v>
      </c>
      <c r="S3442">
        <v>3</v>
      </c>
      <c r="T3442">
        <v>3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3</v>
      </c>
      <c r="AB3442">
        <v>0</v>
      </c>
      <c r="AC3442">
        <v>0</v>
      </c>
      <c r="AH3442">
        <v>26.2</v>
      </c>
    </row>
    <row r="3443" spans="1:34" x14ac:dyDescent="0.3">
      <c r="A3443" s="4">
        <v>3559</v>
      </c>
      <c r="B3443" s="5">
        <v>3436</v>
      </c>
      <c r="C3443">
        <v>9694</v>
      </c>
      <c r="D3443" t="s">
        <v>24135</v>
      </c>
      <c r="E3443" t="s">
        <v>26</v>
      </c>
      <c r="F3443" t="s">
        <v>1225</v>
      </c>
      <c r="G3443" t="s">
        <v>24136</v>
      </c>
      <c r="H3443">
        <v>17.18</v>
      </c>
      <c r="I3443">
        <v>0</v>
      </c>
      <c r="J3443">
        <v>0</v>
      </c>
      <c r="K3443">
        <v>0</v>
      </c>
      <c r="N3443">
        <v>3</v>
      </c>
      <c r="O3443">
        <v>3</v>
      </c>
      <c r="P3443">
        <v>0</v>
      </c>
      <c r="Q3443">
        <v>0</v>
      </c>
      <c r="R3443">
        <v>20.18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6</v>
      </c>
      <c r="AC3443">
        <v>0</v>
      </c>
      <c r="AH3443">
        <v>26.18</v>
      </c>
    </row>
    <row r="3444" spans="1:34" x14ac:dyDescent="0.3">
      <c r="A3444" s="4">
        <v>3560</v>
      </c>
      <c r="B3444" s="5">
        <v>3437</v>
      </c>
      <c r="C3444">
        <v>14796</v>
      </c>
      <c r="D3444" t="s">
        <v>24137</v>
      </c>
      <c r="E3444" t="s">
        <v>19</v>
      </c>
      <c r="F3444" t="s">
        <v>488</v>
      </c>
      <c r="G3444" t="s">
        <v>24138</v>
      </c>
      <c r="H3444">
        <v>19.18</v>
      </c>
      <c r="I3444">
        <v>0</v>
      </c>
      <c r="J3444">
        <v>0</v>
      </c>
      <c r="K3444">
        <v>0</v>
      </c>
      <c r="O3444">
        <v>0</v>
      </c>
      <c r="P3444">
        <v>4</v>
      </c>
      <c r="Q3444">
        <v>0</v>
      </c>
      <c r="R3444">
        <v>23.18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3</v>
      </c>
      <c r="AC3444">
        <v>0</v>
      </c>
      <c r="AH3444">
        <v>26.18</v>
      </c>
    </row>
    <row r="3445" spans="1:34" x14ac:dyDescent="0.3">
      <c r="A3445" s="4">
        <v>3561</v>
      </c>
      <c r="B3445" s="5">
        <v>3438</v>
      </c>
      <c r="C3445">
        <v>8347</v>
      </c>
      <c r="D3445" t="s">
        <v>24139</v>
      </c>
      <c r="E3445" t="s">
        <v>33</v>
      </c>
      <c r="F3445" t="s">
        <v>81</v>
      </c>
      <c r="G3445" t="s">
        <v>24140</v>
      </c>
      <c r="H3445">
        <v>19.18</v>
      </c>
      <c r="I3445">
        <v>0</v>
      </c>
      <c r="J3445">
        <v>0</v>
      </c>
      <c r="K3445">
        <v>0</v>
      </c>
      <c r="O3445">
        <v>0</v>
      </c>
      <c r="P3445">
        <v>4</v>
      </c>
      <c r="Q3445">
        <v>0</v>
      </c>
      <c r="R3445">
        <v>23.18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3</v>
      </c>
      <c r="AC3445">
        <v>0</v>
      </c>
      <c r="AH3445">
        <v>26.18</v>
      </c>
    </row>
    <row r="3446" spans="1:34" x14ac:dyDescent="0.3">
      <c r="A3446" s="4">
        <v>3562</v>
      </c>
      <c r="B3446" s="5">
        <v>3439</v>
      </c>
      <c r="C3446">
        <v>9254</v>
      </c>
      <c r="D3446" t="s">
        <v>2405</v>
      </c>
      <c r="E3446" t="s">
        <v>147</v>
      </c>
      <c r="F3446" t="s">
        <v>626</v>
      </c>
      <c r="G3446" t="s">
        <v>24141</v>
      </c>
      <c r="H3446">
        <v>19.18</v>
      </c>
      <c r="I3446">
        <v>0</v>
      </c>
      <c r="J3446">
        <v>0</v>
      </c>
      <c r="K3446">
        <v>0</v>
      </c>
      <c r="N3446">
        <v>3</v>
      </c>
      <c r="O3446">
        <v>3</v>
      </c>
      <c r="P3446">
        <v>4</v>
      </c>
      <c r="Q3446">
        <v>0</v>
      </c>
      <c r="R3446">
        <v>26.18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H3446">
        <v>26.18</v>
      </c>
    </row>
    <row r="3447" spans="1:34" x14ac:dyDescent="0.3">
      <c r="A3447" s="4">
        <v>3563</v>
      </c>
      <c r="B3447" s="5">
        <v>3440</v>
      </c>
      <c r="C3447">
        <v>14888</v>
      </c>
      <c r="D3447" t="s">
        <v>4714</v>
      </c>
      <c r="E3447" t="s">
        <v>2424</v>
      </c>
      <c r="F3447" t="s">
        <v>52</v>
      </c>
      <c r="G3447" t="s">
        <v>24142</v>
      </c>
      <c r="H3447">
        <v>19.18</v>
      </c>
      <c r="I3447">
        <v>0</v>
      </c>
      <c r="J3447">
        <v>0</v>
      </c>
      <c r="K3447">
        <v>0</v>
      </c>
      <c r="N3447">
        <v>3</v>
      </c>
      <c r="O3447">
        <v>3</v>
      </c>
      <c r="P3447">
        <v>4</v>
      </c>
      <c r="Q3447">
        <v>0</v>
      </c>
      <c r="R3447">
        <v>26.18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H3447">
        <v>26.18</v>
      </c>
    </row>
    <row r="3448" spans="1:34" x14ac:dyDescent="0.3">
      <c r="A3448" s="4">
        <v>3564</v>
      </c>
      <c r="B3448" s="5">
        <v>3441</v>
      </c>
      <c r="C3448">
        <v>7052</v>
      </c>
      <c r="D3448" t="s">
        <v>466</v>
      </c>
      <c r="E3448" t="s">
        <v>570</v>
      </c>
      <c r="F3448" t="s">
        <v>375</v>
      </c>
      <c r="G3448" t="s">
        <v>24143</v>
      </c>
      <c r="H3448">
        <v>17.18</v>
      </c>
      <c r="I3448">
        <v>0</v>
      </c>
      <c r="J3448">
        <v>0</v>
      </c>
      <c r="K3448">
        <v>0</v>
      </c>
      <c r="M3448">
        <v>5</v>
      </c>
      <c r="O3448">
        <v>5</v>
      </c>
      <c r="P3448">
        <v>4</v>
      </c>
      <c r="Q3448">
        <v>0</v>
      </c>
      <c r="R3448">
        <v>26.18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H3448">
        <v>26.18</v>
      </c>
    </row>
    <row r="3449" spans="1:34" x14ac:dyDescent="0.3">
      <c r="A3449" s="4">
        <v>3565</v>
      </c>
      <c r="B3449" s="5">
        <v>3442</v>
      </c>
      <c r="C3449">
        <v>3665</v>
      </c>
      <c r="D3449" t="s">
        <v>24144</v>
      </c>
      <c r="E3449" t="s">
        <v>24145</v>
      </c>
      <c r="F3449" t="s">
        <v>34</v>
      </c>
      <c r="G3449" t="s">
        <v>24146</v>
      </c>
      <c r="H3449">
        <v>19.149999999999999</v>
      </c>
      <c r="I3449">
        <v>0</v>
      </c>
      <c r="J3449">
        <v>0</v>
      </c>
      <c r="K3449">
        <v>0</v>
      </c>
      <c r="N3449">
        <v>3</v>
      </c>
      <c r="O3449">
        <v>3</v>
      </c>
      <c r="P3449">
        <v>4</v>
      </c>
      <c r="Q3449">
        <v>0</v>
      </c>
      <c r="R3449">
        <v>26.15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H3449">
        <v>26.15</v>
      </c>
    </row>
    <row r="3450" spans="1:34" x14ac:dyDescent="0.3">
      <c r="A3450" s="4">
        <v>3566</v>
      </c>
      <c r="B3450" s="5">
        <v>3443</v>
      </c>
      <c r="C3450">
        <v>12444</v>
      </c>
      <c r="D3450" t="s">
        <v>24147</v>
      </c>
      <c r="E3450" t="s">
        <v>54</v>
      </c>
      <c r="F3450" t="s">
        <v>68</v>
      </c>
      <c r="G3450" t="s">
        <v>24148</v>
      </c>
      <c r="H3450">
        <v>16.13</v>
      </c>
      <c r="I3450">
        <v>0</v>
      </c>
      <c r="J3450">
        <v>0</v>
      </c>
      <c r="K3450">
        <v>0</v>
      </c>
      <c r="N3450">
        <v>3</v>
      </c>
      <c r="O3450">
        <v>3</v>
      </c>
      <c r="P3450">
        <v>4</v>
      </c>
      <c r="Q3450">
        <v>0</v>
      </c>
      <c r="R3450">
        <v>23.13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3</v>
      </c>
      <c r="AC3450">
        <v>0</v>
      </c>
      <c r="AH3450">
        <v>26.13</v>
      </c>
    </row>
    <row r="3451" spans="1:34" x14ac:dyDescent="0.3">
      <c r="A3451" s="4">
        <v>3567</v>
      </c>
      <c r="B3451" s="5">
        <v>3444</v>
      </c>
      <c r="C3451">
        <v>13583</v>
      </c>
      <c r="D3451" t="s">
        <v>13390</v>
      </c>
      <c r="E3451" t="s">
        <v>20</v>
      </c>
      <c r="F3451" t="s">
        <v>38</v>
      </c>
      <c r="G3451" t="s">
        <v>24149</v>
      </c>
      <c r="H3451">
        <v>19.13</v>
      </c>
      <c r="I3451">
        <v>0</v>
      </c>
      <c r="J3451">
        <v>0</v>
      </c>
      <c r="K3451">
        <v>0</v>
      </c>
      <c r="N3451">
        <v>3</v>
      </c>
      <c r="O3451">
        <v>3</v>
      </c>
      <c r="P3451">
        <v>4</v>
      </c>
      <c r="Q3451">
        <v>0</v>
      </c>
      <c r="R3451">
        <v>26.13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H3451">
        <v>26.13</v>
      </c>
    </row>
    <row r="3452" spans="1:34" x14ac:dyDescent="0.3">
      <c r="A3452" s="4">
        <v>3568</v>
      </c>
      <c r="B3452" s="5">
        <v>3445</v>
      </c>
      <c r="C3452">
        <v>9497</v>
      </c>
      <c r="D3452" t="s">
        <v>24150</v>
      </c>
      <c r="E3452" t="s">
        <v>29</v>
      </c>
      <c r="F3452" t="s">
        <v>38</v>
      </c>
      <c r="G3452" t="s">
        <v>24151</v>
      </c>
      <c r="H3452">
        <v>19.13</v>
      </c>
      <c r="I3452">
        <v>0</v>
      </c>
      <c r="J3452">
        <v>0</v>
      </c>
      <c r="K3452">
        <v>0</v>
      </c>
      <c r="N3452">
        <v>3</v>
      </c>
      <c r="O3452">
        <v>3</v>
      </c>
      <c r="P3452">
        <v>4</v>
      </c>
      <c r="Q3452">
        <v>0</v>
      </c>
      <c r="R3452">
        <v>26.13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H3452">
        <v>26.13</v>
      </c>
    </row>
    <row r="3453" spans="1:34" x14ac:dyDescent="0.3">
      <c r="A3453" s="4">
        <v>3569</v>
      </c>
      <c r="B3453" s="5">
        <v>3446</v>
      </c>
      <c r="C3453">
        <v>14491</v>
      </c>
      <c r="D3453" t="s">
        <v>15370</v>
      </c>
      <c r="E3453" t="s">
        <v>744</v>
      </c>
      <c r="F3453" t="s">
        <v>17</v>
      </c>
      <c r="G3453" t="s">
        <v>24152</v>
      </c>
      <c r="H3453">
        <v>18.13</v>
      </c>
      <c r="I3453">
        <v>0</v>
      </c>
      <c r="J3453">
        <v>0</v>
      </c>
      <c r="K3453">
        <v>0</v>
      </c>
      <c r="O3453">
        <v>0</v>
      </c>
      <c r="P3453">
        <v>4</v>
      </c>
      <c r="Q3453">
        <v>0</v>
      </c>
      <c r="R3453">
        <v>22.13</v>
      </c>
      <c r="S3453">
        <v>4</v>
      </c>
      <c r="T3453">
        <v>4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4</v>
      </c>
      <c r="AB3453">
        <v>0</v>
      </c>
      <c r="AC3453">
        <v>0</v>
      </c>
      <c r="AH3453">
        <v>26.13</v>
      </c>
    </row>
    <row r="3454" spans="1:34" x14ac:dyDescent="0.3">
      <c r="A3454" s="4">
        <v>3570</v>
      </c>
      <c r="B3454" s="5">
        <v>3447</v>
      </c>
      <c r="C3454">
        <v>12547</v>
      </c>
      <c r="D3454" t="s">
        <v>1276</v>
      </c>
      <c r="E3454" t="s">
        <v>188</v>
      </c>
      <c r="F3454" t="s">
        <v>136</v>
      </c>
      <c r="G3454" t="s">
        <v>24153</v>
      </c>
      <c r="H3454">
        <v>19.100000000000001</v>
      </c>
      <c r="I3454">
        <v>0</v>
      </c>
      <c r="J3454">
        <v>0</v>
      </c>
      <c r="K3454">
        <v>0</v>
      </c>
      <c r="N3454">
        <v>3</v>
      </c>
      <c r="O3454">
        <v>3</v>
      </c>
      <c r="P3454">
        <v>4</v>
      </c>
      <c r="Q3454">
        <v>0</v>
      </c>
      <c r="R3454">
        <v>26.1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H3454">
        <v>26.1</v>
      </c>
    </row>
    <row r="3455" spans="1:34" x14ac:dyDescent="0.3">
      <c r="A3455" s="4">
        <v>3571</v>
      </c>
      <c r="B3455" s="5">
        <v>3448</v>
      </c>
      <c r="C3455">
        <v>1801</v>
      </c>
      <c r="D3455" t="s">
        <v>434</v>
      </c>
      <c r="E3455" t="s">
        <v>26</v>
      </c>
      <c r="F3455" t="s">
        <v>55</v>
      </c>
      <c r="G3455" t="s">
        <v>24154</v>
      </c>
      <c r="H3455">
        <v>19.100000000000001</v>
      </c>
      <c r="I3455">
        <v>0</v>
      </c>
      <c r="J3455">
        <v>0</v>
      </c>
      <c r="K3455">
        <v>0</v>
      </c>
      <c r="N3455">
        <v>3</v>
      </c>
      <c r="O3455">
        <v>3</v>
      </c>
      <c r="P3455">
        <v>4</v>
      </c>
      <c r="Q3455">
        <v>0</v>
      </c>
      <c r="R3455">
        <v>26.1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H3455">
        <v>26.1</v>
      </c>
    </row>
    <row r="3456" spans="1:34" x14ac:dyDescent="0.3">
      <c r="A3456" s="4">
        <v>3572</v>
      </c>
      <c r="B3456" s="5">
        <v>3449</v>
      </c>
      <c r="C3456">
        <v>3805</v>
      </c>
      <c r="D3456" t="s">
        <v>24155</v>
      </c>
      <c r="E3456" t="s">
        <v>471</v>
      </c>
      <c r="F3456" t="s">
        <v>68</v>
      </c>
      <c r="G3456" t="s">
        <v>24156</v>
      </c>
      <c r="H3456">
        <v>19.100000000000001</v>
      </c>
      <c r="I3456">
        <v>0</v>
      </c>
      <c r="J3456">
        <v>0</v>
      </c>
      <c r="K3456">
        <v>0</v>
      </c>
      <c r="N3456">
        <v>3</v>
      </c>
      <c r="O3456">
        <v>3</v>
      </c>
      <c r="P3456">
        <v>4</v>
      </c>
      <c r="Q3456">
        <v>0</v>
      </c>
      <c r="R3456">
        <v>26.1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H3456">
        <v>26.1</v>
      </c>
    </row>
    <row r="3457" spans="1:34" x14ac:dyDescent="0.3">
      <c r="A3457" s="4">
        <v>3573</v>
      </c>
      <c r="B3457" s="5">
        <v>3450</v>
      </c>
      <c r="C3457">
        <v>11878</v>
      </c>
      <c r="D3457" t="s">
        <v>24157</v>
      </c>
      <c r="E3457" t="s">
        <v>24158</v>
      </c>
      <c r="F3457" t="s">
        <v>24159</v>
      </c>
      <c r="G3457" t="s">
        <v>24160</v>
      </c>
      <c r="H3457">
        <v>17.100000000000001</v>
      </c>
      <c r="I3457">
        <v>0</v>
      </c>
      <c r="J3457">
        <v>0</v>
      </c>
      <c r="K3457">
        <v>0</v>
      </c>
      <c r="M3457">
        <v>5</v>
      </c>
      <c r="O3457">
        <v>5</v>
      </c>
      <c r="P3457">
        <v>4</v>
      </c>
      <c r="Q3457">
        <v>0</v>
      </c>
      <c r="R3457">
        <v>26.1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H3457">
        <v>26.1</v>
      </c>
    </row>
    <row r="3458" spans="1:34" x14ac:dyDescent="0.3">
      <c r="A3458" s="4">
        <v>3574</v>
      </c>
      <c r="B3458" s="5">
        <v>3451</v>
      </c>
      <c r="C3458">
        <v>2345</v>
      </c>
      <c r="D3458" t="s">
        <v>24161</v>
      </c>
      <c r="E3458" t="s">
        <v>255</v>
      </c>
      <c r="F3458" t="s">
        <v>214</v>
      </c>
      <c r="G3458" t="s">
        <v>24162</v>
      </c>
      <c r="H3458">
        <v>19.079999999999998</v>
      </c>
      <c r="I3458">
        <v>0</v>
      </c>
      <c r="J3458">
        <v>0</v>
      </c>
      <c r="K3458">
        <v>0</v>
      </c>
      <c r="O3458">
        <v>0</v>
      </c>
      <c r="P3458">
        <v>4</v>
      </c>
      <c r="Q3458">
        <v>0</v>
      </c>
      <c r="R3458">
        <v>23.08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3</v>
      </c>
      <c r="AC3458">
        <v>0</v>
      </c>
      <c r="AH3458">
        <v>26.08</v>
      </c>
    </row>
    <row r="3459" spans="1:34" x14ac:dyDescent="0.3">
      <c r="A3459" s="4">
        <v>3575</v>
      </c>
      <c r="B3459" s="5">
        <v>3452</v>
      </c>
      <c r="C3459">
        <v>10782</v>
      </c>
      <c r="D3459" t="s">
        <v>24163</v>
      </c>
      <c r="E3459" t="s">
        <v>219</v>
      </c>
      <c r="F3459" t="s">
        <v>24164</v>
      </c>
      <c r="G3459" t="s">
        <v>24165</v>
      </c>
      <c r="H3459">
        <v>19.079999999999998</v>
      </c>
      <c r="I3459">
        <v>0</v>
      </c>
      <c r="J3459">
        <v>0</v>
      </c>
      <c r="K3459">
        <v>0</v>
      </c>
      <c r="L3459">
        <v>7</v>
      </c>
      <c r="O3459">
        <v>7</v>
      </c>
      <c r="P3459">
        <v>0</v>
      </c>
      <c r="Q3459">
        <v>0</v>
      </c>
      <c r="R3459">
        <v>26.08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H3459">
        <v>26.08</v>
      </c>
    </row>
    <row r="3460" spans="1:34" x14ac:dyDescent="0.3">
      <c r="A3460" s="4">
        <v>3576</v>
      </c>
      <c r="B3460" s="5">
        <v>3453</v>
      </c>
      <c r="C3460">
        <v>15385</v>
      </c>
      <c r="D3460" t="s">
        <v>24166</v>
      </c>
      <c r="E3460" t="s">
        <v>81</v>
      </c>
      <c r="F3460" t="s">
        <v>243</v>
      </c>
      <c r="G3460" t="s">
        <v>24167</v>
      </c>
      <c r="H3460">
        <v>19.079999999999998</v>
      </c>
      <c r="I3460">
        <v>0</v>
      </c>
      <c r="J3460">
        <v>0</v>
      </c>
      <c r="K3460">
        <v>0</v>
      </c>
      <c r="N3460">
        <v>3</v>
      </c>
      <c r="O3460">
        <v>3</v>
      </c>
      <c r="P3460">
        <v>4</v>
      </c>
      <c r="Q3460">
        <v>0</v>
      </c>
      <c r="R3460">
        <v>26.08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H3460">
        <v>26.08</v>
      </c>
    </row>
    <row r="3461" spans="1:34" x14ac:dyDescent="0.3">
      <c r="A3461" s="4">
        <v>3577</v>
      </c>
      <c r="B3461" s="5">
        <v>3454</v>
      </c>
      <c r="C3461">
        <v>15629</v>
      </c>
      <c r="D3461" t="s">
        <v>24168</v>
      </c>
      <c r="E3461" t="s">
        <v>88</v>
      </c>
      <c r="F3461" t="s">
        <v>55</v>
      </c>
      <c r="G3461" t="s">
        <v>24169</v>
      </c>
      <c r="H3461">
        <v>19.079999999999998</v>
      </c>
      <c r="I3461">
        <v>0</v>
      </c>
      <c r="J3461">
        <v>0</v>
      </c>
      <c r="K3461">
        <v>0</v>
      </c>
      <c r="N3461">
        <v>3</v>
      </c>
      <c r="O3461">
        <v>3</v>
      </c>
      <c r="P3461">
        <v>4</v>
      </c>
      <c r="Q3461">
        <v>0</v>
      </c>
      <c r="R3461">
        <v>26.08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H3461">
        <v>26.08</v>
      </c>
    </row>
    <row r="3462" spans="1:34" x14ac:dyDescent="0.3">
      <c r="A3462" s="4">
        <v>3578</v>
      </c>
      <c r="B3462" s="5">
        <v>3455</v>
      </c>
      <c r="C3462">
        <v>6578</v>
      </c>
      <c r="D3462" t="s">
        <v>7473</v>
      </c>
      <c r="E3462" t="s">
        <v>789</v>
      </c>
      <c r="F3462" t="s">
        <v>17</v>
      </c>
      <c r="G3462" t="s">
        <v>24170</v>
      </c>
      <c r="H3462">
        <v>19.079999999999998</v>
      </c>
      <c r="I3462">
        <v>0</v>
      </c>
      <c r="J3462">
        <v>0</v>
      </c>
      <c r="K3462">
        <v>0</v>
      </c>
      <c r="N3462">
        <v>3</v>
      </c>
      <c r="O3462">
        <v>3</v>
      </c>
      <c r="P3462">
        <v>4</v>
      </c>
      <c r="Q3462">
        <v>0</v>
      </c>
      <c r="R3462">
        <v>26.08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H3462">
        <v>26.08</v>
      </c>
    </row>
    <row r="3463" spans="1:34" x14ac:dyDescent="0.3">
      <c r="A3463" s="4">
        <v>3579</v>
      </c>
      <c r="B3463" s="5">
        <v>3456</v>
      </c>
      <c r="C3463">
        <v>1117</v>
      </c>
      <c r="D3463" t="s">
        <v>24171</v>
      </c>
      <c r="E3463" t="s">
        <v>268</v>
      </c>
      <c r="F3463" t="s">
        <v>24172</v>
      </c>
      <c r="G3463" t="s">
        <v>24173</v>
      </c>
      <c r="H3463">
        <v>19.079999999999998</v>
      </c>
      <c r="I3463">
        <v>0</v>
      </c>
      <c r="J3463">
        <v>0</v>
      </c>
      <c r="K3463">
        <v>0</v>
      </c>
      <c r="N3463">
        <v>3</v>
      </c>
      <c r="O3463">
        <v>3</v>
      </c>
      <c r="P3463">
        <v>4</v>
      </c>
      <c r="Q3463">
        <v>0</v>
      </c>
      <c r="R3463">
        <v>26.08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H3463">
        <v>26.08</v>
      </c>
    </row>
    <row r="3464" spans="1:34" x14ac:dyDescent="0.3">
      <c r="A3464" s="4">
        <v>3580</v>
      </c>
      <c r="B3464" s="5">
        <v>3457</v>
      </c>
      <c r="C3464">
        <v>8203</v>
      </c>
      <c r="D3464" t="s">
        <v>24174</v>
      </c>
      <c r="E3464" t="s">
        <v>283</v>
      </c>
      <c r="F3464" t="s">
        <v>117</v>
      </c>
      <c r="G3464" t="s">
        <v>24175</v>
      </c>
      <c r="H3464">
        <v>19.05</v>
      </c>
      <c r="I3464">
        <v>0</v>
      </c>
      <c r="J3464">
        <v>0</v>
      </c>
      <c r="K3464">
        <v>0</v>
      </c>
      <c r="N3464">
        <v>3</v>
      </c>
      <c r="O3464">
        <v>3</v>
      </c>
      <c r="P3464">
        <v>4</v>
      </c>
      <c r="Q3464">
        <v>0</v>
      </c>
      <c r="R3464">
        <v>26.05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H3464">
        <v>26.05</v>
      </c>
    </row>
    <row r="3465" spans="1:34" x14ac:dyDescent="0.3">
      <c r="A3465" s="4">
        <v>3581</v>
      </c>
      <c r="B3465" s="5">
        <v>3458</v>
      </c>
      <c r="C3465">
        <v>13127</v>
      </c>
      <c r="D3465" t="s">
        <v>24176</v>
      </c>
      <c r="E3465" t="s">
        <v>17093</v>
      </c>
      <c r="F3465" t="s">
        <v>136</v>
      </c>
      <c r="G3465" t="s">
        <v>24177</v>
      </c>
      <c r="H3465">
        <v>19.05</v>
      </c>
      <c r="I3465">
        <v>0</v>
      </c>
      <c r="J3465">
        <v>0</v>
      </c>
      <c r="K3465">
        <v>0</v>
      </c>
      <c r="N3465">
        <v>3</v>
      </c>
      <c r="O3465">
        <v>3</v>
      </c>
      <c r="P3465">
        <v>4</v>
      </c>
      <c r="Q3465">
        <v>0</v>
      </c>
      <c r="R3465">
        <v>26.05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H3465">
        <v>26.05</v>
      </c>
    </row>
    <row r="3466" spans="1:34" x14ac:dyDescent="0.3">
      <c r="A3466" s="4">
        <v>3582</v>
      </c>
      <c r="B3466" s="5">
        <v>3459</v>
      </c>
      <c r="C3466">
        <v>8440</v>
      </c>
      <c r="D3466" t="s">
        <v>10845</v>
      </c>
      <c r="E3466" t="s">
        <v>166</v>
      </c>
      <c r="F3466" t="s">
        <v>68</v>
      </c>
      <c r="G3466" t="s">
        <v>24178</v>
      </c>
      <c r="H3466">
        <v>19.05</v>
      </c>
      <c r="I3466">
        <v>0</v>
      </c>
      <c r="J3466">
        <v>0</v>
      </c>
      <c r="K3466">
        <v>0</v>
      </c>
      <c r="N3466">
        <v>3</v>
      </c>
      <c r="O3466">
        <v>3</v>
      </c>
      <c r="P3466">
        <v>4</v>
      </c>
      <c r="Q3466">
        <v>0</v>
      </c>
      <c r="R3466">
        <v>26.05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H3466">
        <v>26.05</v>
      </c>
    </row>
    <row r="3467" spans="1:34" x14ac:dyDescent="0.3">
      <c r="A3467" s="4">
        <v>3583</v>
      </c>
      <c r="B3467" s="5">
        <v>3460</v>
      </c>
      <c r="C3467">
        <v>6433</v>
      </c>
      <c r="D3467" t="s">
        <v>4310</v>
      </c>
      <c r="E3467" t="s">
        <v>4081</v>
      </c>
      <c r="F3467" t="s">
        <v>343</v>
      </c>
      <c r="G3467" t="s">
        <v>24179</v>
      </c>
      <c r="H3467">
        <v>19.03</v>
      </c>
      <c r="I3467">
        <v>0</v>
      </c>
      <c r="J3467">
        <v>0</v>
      </c>
      <c r="K3467">
        <v>0</v>
      </c>
      <c r="O3467">
        <v>0</v>
      </c>
      <c r="P3467">
        <v>4</v>
      </c>
      <c r="Q3467">
        <v>0</v>
      </c>
      <c r="R3467">
        <v>23.03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3</v>
      </c>
      <c r="AC3467">
        <v>0</v>
      </c>
      <c r="AH3467">
        <v>26.03</v>
      </c>
    </row>
    <row r="3468" spans="1:34" x14ac:dyDescent="0.3">
      <c r="A3468" s="4">
        <v>3584</v>
      </c>
      <c r="B3468" s="5">
        <v>3461</v>
      </c>
      <c r="C3468">
        <v>14986</v>
      </c>
      <c r="D3468" t="s">
        <v>24180</v>
      </c>
      <c r="E3468" t="s">
        <v>406</v>
      </c>
      <c r="F3468" t="s">
        <v>158</v>
      </c>
      <c r="G3468" t="s">
        <v>24181</v>
      </c>
      <c r="H3468">
        <v>20</v>
      </c>
      <c r="I3468">
        <v>0</v>
      </c>
      <c r="J3468">
        <v>0</v>
      </c>
      <c r="K3468">
        <v>0</v>
      </c>
      <c r="O3468">
        <v>0</v>
      </c>
      <c r="P3468">
        <v>4</v>
      </c>
      <c r="Q3468">
        <v>2</v>
      </c>
      <c r="R3468">
        <v>26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H3468">
        <v>26</v>
      </c>
    </row>
    <row r="3469" spans="1:34" x14ac:dyDescent="0.3">
      <c r="A3469" s="4">
        <v>3585</v>
      </c>
      <c r="B3469" s="5">
        <v>3462</v>
      </c>
      <c r="C3469">
        <v>5805</v>
      </c>
      <c r="D3469" t="s">
        <v>24182</v>
      </c>
      <c r="E3469" t="s">
        <v>26</v>
      </c>
      <c r="F3469" t="s">
        <v>117</v>
      </c>
      <c r="G3469" t="s">
        <v>24183</v>
      </c>
      <c r="H3469">
        <v>19</v>
      </c>
      <c r="I3469">
        <v>0</v>
      </c>
      <c r="J3469">
        <v>0</v>
      </c>
      <c r="K3469">
        <v>0</v>
      </c>
      <c r="N3469">
        <v>3</v>
      </c>
      <c r="O3469">
        <v>3</v>
      </c>
      <c r="P3469">
        <v>4</v>
      </c>
      <c r="Q3469">
        <v>0</v>
      </c>
      <c r="R3469">
        <v>26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H3469">
        <v>26</v>
      </c>
    </row>
    <row r="3470" spans="1:34" x14ac:dyDescent="0.3">
      <c r="A3470" s="4">
        <v>3586</v>
      </c>
      <c r="B3470" s="5">
        <v>3463</v>
      </c>
      <c r="C3470">
        <v>7307</v>
      </c>
      <c r="D3470" t="s">
        <v>5144</v>
      </c>
      <c r="E3470" t="s">
        <v>7466</v>
      </c>
      <c r="F3470" t="s">
        <v>81</v>
      </c>
      <c r="G3470" t="s">
        <v>24184</v>
      </c>
      <c r="H3470">
        <v>19</v>
      </c>
      <c r="I3470">
        <v>0</v>
      </c>
      <c r="J3470">
        <v>0</v>
      </c>
      <c r="K3470">
        <v>0</v>
      </c>
      <c r="N3470">
        <v>3</v>
      </c>
      <c r="O3470">
        <v>3</v>
      </c>
      <c r="P3470">
        <v>4</v>
      </c>
      <c r="Q3470">
        <v>0</v>
      </c>
      <c r="R3470">
        <v>26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H3470">
        <v>26</v>
      </c>
    </row>
    <row r="3471" spans="1:34" x14ac:dyDescent="0.3">
      <c r="A3471" s="4">
        <v>3587</v>
      </c>
      <c r="B3471" s="5">
        <v>3464</v>
      </c>
      <c r="C3471">
        <v>10383</v>
      </c>
      <c r="D3471" t="s">
        <v>2978</v>
      </c>
      <c r="E3471" t="s">
        <v>51</v>
      </c>
      <c r="F3471" t="s">
        <v>68</v>
      </c>
      <c r="G3471" t="s">
        <v>24185</v>
      </c>
      <c r="H3471">
        <v>19</v>
      </c>
      <c r="I3471">
        <v>0</v>
      </c>
      <c r="J3471">
        <v>0</v>
      </c>
      <c r="K3471">
        <v>0</v>
      </c>
      <c r="N3471">
        <v>3</v>
      </c>
      <c r="O3471">
        <v>3</v>
      </c>
      <c r="P3471">
        <v>4</v>
      </c>
      <c r="Q3471">
        <v>0</v>
      </c>
      <c r="R3471">
        <v>26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H3471">
        <v>26</v>
      </c>
    </row>
    <row r="3472" spans="1:34" x14ac:dyDescent="0.3">
      <c r="A3472" s="4">
        <v>3588</v>
      </c>
      <c r="B3472" s="5">
        <v>3465</v>
      </c>
      <c r="C3472">
        <v>11318</v>
      </c>
      <c r="D3472" t="s">
        <v>3356</v>
      </c>
      <c r="E3472" t="s">
        <v>24186</v>
      </c>
      <c r="F3472" t="s">
        <v>79</v>
      </c>
      <c r="G3472" t="s">
        <v>24187</v>
      </c>
      <c r="H3472">
        <v>18.98</v>
      </c>
      <c r="I3472">
        <v>0</v>
      </c>
      <c r="J3472">
        <v>0</v>
      </c>
      <c r="K3472">
        <v>0</v>
      </c>
      <c r="O3472">
        <v>0</v>
      </c>
      <c r="P3472">
        <v>4</v>
      </c>
      <c r="Q3472">
        <v>0</v>
      </c>
      <c r="R3472">
        <v>22.98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3</v>
      </c>
      <c r="AC3472">
        <v>0</v>
      </c>
      <c r="AD3472" t="s">
        <v>130</v>
      </c>
      <c r="AH3472">
        <v>25.98</v>
      </c>
    </row>
    <row r="3473" spans="1:34" x14ac:dyDescent="0.3">
      <c r="A3473" s="4">
        <v>3589</v>
      </c>
      <c r="B3473" s="5">
        <v>3466</v>
      </c>
      <c r="C3473">
        <v>3713</v>
      </c>
      <c r="D3473" t="s">
        <v>24188</v>
      </c>
      <c r="E3473" t="s">
        <v>117</v>
      </c>
      <c r="F3473" t="s">
        <v>52</v>
      </c>
      <c r="G3473" t="s">
        <v>24189</v>
      </c>
      <c r="H3473">
        <v>18.98</v>
      </c>
      <c r="I3473">
        <v>0</v>
      </c>
      <c r="J3473">
        <v>0</v>
      </c>
      <c r="K3473">
        <v>0</v>
      </c>
      <c r="N3473">
        <v>3</v>
      </c>
      <c r="O3473">
        <v>3</v>
      </c>
      <c r="P3473">
        <v>4</v>
      </c>
      <c r="Q3473">
        <v>0</v>
      </c>
      <c r="R3473">
        <v>25.98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H3473">
        <v>25.98</v>
      </c>
    </row>
    <row r="3474" spans="1:34" x14ac:dyDescent="0.3">
      <c r="A3474" s="4">
        <v>3590</v>
      </c>
      <c r="B3474" s="5">
        <v>3467</v>
      </c>
      <c r="C3474">
        <v>1597</v>
      </c>
      <c r="D3474" t="s">
        <v>8095</v>
      </c>
      <c r="E3474" t="s">
        <v>100</v>
      </c>
      <c r="F3474" t="s">
        <v>20</v>
      </c>
      <c r="G3474" t="s">
        <v>8096</v>
      </c>
      <c r="H3474">
        <v>16.98</v>
      </c>
      <c r="I3474">
        <v>0</v>
      </c>
      <c r="J3474">
        <v>0</v>
      </c>
      <c r="K3474">
        <v>0</v>
      </c>
      <c r="N3474">
        <v>3</v>
      </c>
      <c r="O3474">
        <v>3</v>
      </c>
      <c r="P3474">
        <v>4</v>
      </c>
      <c r="Q3474">
        <v>2</v>
      </c>
      <c r="R3474">
        <v>25.98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H3474">
        <v>25.98</v>
      </c>
    </row>
    <row r="3475" spans="1:34" x14ac:dyDescent="0.3">
      <c r="A3475" s="4">
        <v>3591</v>
      </c>
      <c r="B3475" s="5">
        <v>3468</v>
      </c>
      <c r="C3475">
        <v>365</v>
      </c>
      <c r="D3475" t="s">
        <v>3179</v>
      </c>
      <c r="E3475" t="s">
        <v>24190</v>
      </c>
      <c r="F3475" t="s">
        <v>238</v>
      </c>
      <c r="G3475" t="s">
        <v>24191</v>
      </c>
      <c r="H3475">
        <v>18.95</v>
      </c>
      <c r="I3475">
        <v>0</v>
      </c>
      <c r="J3475">
        <v>0</v>
      </c>
      <c r="K3475">
        <v>0</v>
      </c>
      <c r="O3475">
        <v>0</v>
      </c>
      <c r="P3475">
        <v>4</v>
      </c>
      <c r="Q3475">
        <v>0</v>
      </c>
      <c r="R3475">
        <v>22.95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3</v>
      </c>
      <c r="AC3475">
        <v>0</v>
      </c>
      <c r="AH3475">
        <v>25.95</v>
      </c>
    </row>
    <row r="3476" spans="1:34" x14ac:dyDescent="0.3">
      <c r="A3476" s="4">
        <v>3592</v>
      </c>
      <c r="B3476" s="5">
        <v>3469</v>
      </c>
      <c r="C3476">
        <v>11154</v>
      </c>
      <c r="D3476" t="s">
        <v>24192</v>
      </c>
      <c r="E3476" t="s">
        <v>33</v>
      </c>
      <c r="F3476" t="s">
        <v>457</v>
      </c>
      <c r="G3476" t="s">
        <v>24193</v>
      </c>
      <c r="H3476">
        <v>18.95</v>
      </c>
      <c r="I3476">
        <v>0</v>
      </c>
      <c r="J3476">
        <v>0</v>
      </c>
      <c r="K3476">
        <v>0</v>
      </c>
      <c r="N3476">
        <v>3</v>
      </c>
      <c r="O3476">
        <v>3</v>
      </c>
      <c r="P3476">
        <v>4</v>
      </c>
      <c r="Q3476">
        <v>0</v>
      </c>
      <c r="R3476">
        <v>25.95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H3476">
        <v>25.95</v>
      </c>
    </row>
    <row r="3477" spans="1:34" x14ac:dyDescent="0.3">
      <c r="A3477" s="4">
        <v>3593</v>
      </c>
      <c r="B3477" s="5">
        <v>3470</v>
      </c>
      <c r="C3477">
        <v>6399</v>
      </c>
      <c r="D3477" t="s">
        <v>24194</v>
      </c>
      <c r="E3477" t="s">
        <v>26</v>
      </c>
      <c r="F3477" t="s">
        <v>892</v>
      </c>
      <c r="G3477" t="s">
        <v>24195</v>
      </c>
      <c r="H3477">
        <v>18.93</v>
      </c>
      <c r="I3477">
        <v>0</v>
      </c>
      <c r="J3477">
        <v>0</v>
      </c>
      <c r="K3477">
        <v>0</v>
      </c>
      <c r="N3477">
        <v>3</v>
      </c>
      <c r="O3477">
        <v>3</v>
      </c>
      <c r="P3477">
        <v>4</v>
      </c>
      <c r="Q3477">
        <v>0</v>
      </c>
      <c r="R3477">
        <v>25.93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H3477">
        <v>25.93</v>
      </c>
    </row>
    <row r="3478" spans="1:34" x14ac:dyDescent="0.3">
      <c r="A3478" s="4">
        <v>3594</v>
      </c>
      <c r="B3478" s="5">
        <v>3471</v>
      </c>
      <c r="C3478">
        <v>9550</v>
      </c>
      <c r="D3478" t="s">
        <v>19621</v>
      </c>
      <c r="E3478" t="s">
        <v>208</v>
      </c>
      <c r="F3478" t="s">
        <v>68</v>
      </c>
      <c r="G3478" t="s">
        <v>24196</v>
      </c>
      <c r="H3478">
        <v>18.93</v>
      </c>
      <c r="I3478">
        <v>0</v>
      </c>
      <c r="J3478">
        <v>0</v>
      </c>
      <c r="K3478">
        <v>0</v>
      </c>
      <c r="N3478">
        <v>3</v>
      </c>
      <c r="O3478">
        <v>3</v>
      </c>
      <c r="P3478">
        <v>4</v>
      </c>
      <c r="Q3478">
        <v>0</v>
      </c>
      <c r="R3478">
        <v>25.93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H3478">
        <v>25.93</v>
      </c>
    </row>
    <row r="3479" spans="1:34" x14ac:dyDescent="0.3">
      <c r="A3479" s="4">
        <v>3595</v>
      </c>
      <c r="B3479" s="5">
        <v>3472</v>
      </c>
      <c r="C3479">
        <v>14818</v>
      </c>
      <c r="D3479" t="s">
        <v>1709</v>
      </c>
      <c r="E3479" t="s">
        <v>208</v>
      </c>
      <c r="F3479" t="s">
        <v>38</v>
      </c>
      <c r="G3479" t="s">
        <v>24197</v>
      </c>
      <c r="H3479">
        <v>21.9</v>
      </c>
      <c r="I3479">
        <v>0</v>
      </c>
      <c r="J3479">
        <v>0</v>
      </c>
      <c r="K3479">
        <v>0</v>
      </c>
      <c r="O3479">
        <v>0</v>
      </c>
      <c r="P3479">
        <v>4</v>
      </c>
      <c r="Q3479">
        <v>0</v>
      </c>
      <c r="R3479">
        <v>25.9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H3479">
        <v>25.9</v>
      </c>
    </row>
    <row r="3480" spans="1:34" x14ac:dyDescent="0.3">
      <c r="A3480" s="4">
        <v>3596</v>
      </c>
      <c r="B3480" s="5">
        <v>3473</v>
      </c>
      <c r="C3480">
        <v>5334</v>
      </c>
      <c r="D3480" t="s">
        <v>24198</v>
      </c>
      <c r="E3480" t="s">
        <v>37</v>
      </c>
      <c r="F3480" t="s">
        <v>238</v>
      </c>
      <c r="G3480" t="s">
        <v>24199</v>
      </c>
      <c r="H3480">
        <v>18.899999999999999</v>
      </c>
      <c r="I3480">
        <v>0</v>
      </c>
      <c r="J3480">
        <v>0</v>
      </c>
      <c r="K3480">
        <v>0</v>
      </c>
      <c r="N3480">
        <v>3</v>
      </c>
      <c r="O3480">
        <v>3</v>
      </c>
      <c r="P3480">
        <v>4</v>
      </c>
      <c r="Q3480">
        <v>0</v>
      </c>
      <c r="R3480">
        <v>25.9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H3480">
        <v>25.9</v>
      </c>
    </row>
    <row r="3481" spans="1:34" x14ac:dyDescent="0.3">
      <c r="A3481" s="4">
        <v>3597</v>
      </c>
      <c r="B3481" s="5">
        <v>3474</v>
      </c>
      <c r="C3481">
        <v>8599</v>
      </c>
      <c r="D3481" t="s">
        <v>24200</v>
      </c>
      <c r="E3481" t="s">
        <v>26</v>
      </c>
      <c r="F3481" t="s">
        <v>17</v>
      </c>
      <c r="G3481" t="s">
        <v>24201</v>
      </c>
      <c r="H3481">
        <v>18.899999999999999</v>
      </c>
      <c r="I3481">
        <v>0</v>
      </c>
      <c r="J3481">
        <v>0</v>
      </c>
      <c r="K3481">
        <v>0</v>
      </c>
      <c r="N3481">
        <v>3</v>
      </c>
      <c r="O3481">
        <v>3</v>
      </c>
      <c r="P3481">
        <v>4</v>
      </c>
      <c r="Q3481">
        <v>0</v>
      </c>
      <c r="R3481">
        <v>25.9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H3481">
        <v>25.9</v>
      </c>
    </row>
    <row r="3482" spans="1:34" x14ac:dyDescent="0.3">
      <c r="A3482" s="4">
        <v>3598</v>
      </c>
      <c r="B3482" s="5">
        <v>3475</v>
      </c>
      <c r="C3482">
        <v>13489</v>
      </c>
      <c r="D3482" t="s">
        <v>24202</v>
      </c>
      <c r="E3482" t="s">
        <v>33</v>
      </c>
      <c r="F3482" t="s">
        <v>158</v>
      </c>
      <c r="G3482" t="s">
        <v>24203</v>
      </c>
      <c r="H3482">
        <v>18.899999999999999</v>
      </c>
      <c r="I3482">
        <v>0</v>
      </c>
      <c r="J3482">
        <v>0</v>
      </c>
      <c r="K3482">
        <v>0</v>
      </c>
      <c r="N3482">
        <v>3</v>
      </c>
      <c r="O3482">
        <v>3</v>
      </c>
      <c r="P3482">
        <v>4</v>
      </c>
      <c r="Q3482">
        <v>0</v>
      </c>
      <c r="R3482">
        <v>25.9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H3482">
        <v>25.9</v>
      </c>
    </row>
    <row r="3483" spans="1:34" x14ac:dyDescent="0.3">
      <c r="A3483" s="4">
        <v>3599</v>
      </c>
      <c r="B3483" s="5">
        <v>3476</v>
      </c>
      <c r="C3483">
        <v>4832</v>
      </c>
      <c r="D3483" t="s">
        <v>2416</v>
      </c>
      <c r="E3483" t="s">
        <v>14891</v>
      </c>
      <c r="F3483" t="s">
        <v>81</v>
      </c>
      <c r="G3483" t="s">
        <v>24204</v>
      </c>
      <c r="H3483">
        <v>16.899999999999999</v>
      </c>
      <c r="I3483">
        <v>0</v>
      </c>
      <c r="J3483">
        <v>0</v>
      </c>
      <c r="K3483">
        <v>0</v>
      </c>
      <c r="N3483">
        <v>3</v>
      </c>
      <c r="O3483">
        <v>3</v>
      </c>
      <c r="P3483">
        <v>4</v>
      </c>
      <c r="Q3483">
        <v>2</v>
      </c>
      <c r="R3483">
        <v>25.9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H3483">
        <v>25.9</v>
      </c>
    </row>
    <row r="3484" spans="1:34" x14ac:dyDescent="0.3">
      <c r="A3484" s="4">
        <v>3600</v>
      </c>
      <c r="B3484" s="5">
        <v>3477</v>
      </c>
      <c r="C3484">
        <v>5752</v>
      </c>
      <c r="D3484" t="s">
        <v>2772</v>
      </c>
      <c r="E3484" t="s">
        <v>88</v>
      </c>
      <c r="F3484" t="s">
        <v>81</v>
      </c>
      <c r="G3484" t="s">
        <v>24205</v>
      </c>
      <c r="H3484">
        <v>18.88</v>
      </c>
      <c r="I3484">
        <v>0</v>
      </c>
      <c r="J3484">
        <v>0</v>
      </c>
      <c r="K3484">
        <v>0</v>
      </c>
      <c r="O3484">
        <v>0</v>
      </c>
      <c r="P3484">
        <v>4</v>
      </c>
      <c r="Q3484">
        <v>0</v>
      </c>
      <c r="R3484">
        <v>22.88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3</v>
      </c>
      <c r="AC3484">
        <v>0</v>
      </c>
      <c r="AH3484">
        <v>25.88</v>
      </c>
    </row>
    <row r="3485" spans="1:34" x14ac:dyDescent="0.3">
      <c r="A3485" s="4">
        <v>3601</v>
      </c>
      <c r="B3485" s="5">
        <v>3478</v>
      </c>
      <c r="C3485">
        <v>4807</v>
      </c>
      <c r="D3485" t="s">
        <v>24206</v>
      </c>
      <c r="E3485" t="s">
        <v>24207</v>
      </c>
      <c r="F3485" t="s">
        <v>17</v>
      </c>
      <c r="G3485" t="s">
        <v>24208</v>
      </c>
      <c r="H3485">
        <v>18.88</v>
      </c>
      <c r="I3485">
        <v>0</v>
      </c>
      <c r="J3485">
        <v>0</v>
      </c>
      <c r="K3485">
        <v>0</v>
      </c>
      <c r="L3485">
        <v>7</v>
      </c>
      <c r="O3485">
        <v>7</v>
      </c>
      <c r="P3485">
        <v>0</v>
      </c>
      <c r="Q3485">
        <v>0</v>
      </c>
      <c r="R3485">
        <v>25.88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H3485">
        <v>25.88</v>
      </c>
    </row>
    <row r="3486" spans="1:34" x14ac:dyDescent="0.3">
      <c r="A3486" s="4">
        <v>3602</v>
      </c>
      <c r="B3486" s="5">
        <v>3479</v>
      </c>
      <c r="C3486">
        <v>11240</v>
      </c>
      <c r="D3486" t="s">
        <v>24209</v>
      </c>
      <c r="E3486" t="s">
        <v>29</v>
      </c>
      <c r="F3486" t="s">
        <v>38</v>
      </c>
      <c r="G3486" t="s">
        <v>24210</v>
      </c>
      <c r="H3486">
        <v>18.88</v>
      </c>
      <c r="I3486">
        <v>0</v>
      </c>
      <c r="J3486">
        <v>0</v>
      </c>
      <c r="K3486">
        <v>0</v>
      </c>
      <c r="N3486">
        <v>3</v>
      </c>
      <c r="O3486">
        <v>3</v>
      </c>
      <c r="P3486">
        <v>4</v>
      </c>
      <c r="Q3486">
        <v>0</v>
      </c>
      <c r="R3486">
        <v>25.88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H3486">
        <v>25.88</v>
      </c>
    </row>
    <row r="3487" spans="1:34" x14ac:dyDescent="0.3">
      <c r="A3487" s="4">
        <v>3603</v>
      </c>
      <c r="B3487" s="5">
        <v>3480</v>
      </c>
      <c r="C3487">
        <v>14804</v>
      </c>
      <c r="D3487" t="s">
        <v>3159</v>
      </c>
      <c r="E3487" t="s">
        <v>740</v>
      </c>
      <c r="F3487" t="s">
        <v>227</v>
      </c>
      <c r="G3487" t="s">
        <v>24211</v>
      </c>
      <c r="H3487">
        <v>18.88</v>
      </c>
      <c r="I3487">
        <v>0</v>
      </c>
      <c r="J3487">
        <v>0</v>
      </c>
      <c r="K3487">
        <v>0</v>
      </c>
      <c r="N3487">
        <v>3</v>
      </c>
      <c r="O3487">
        <v>3</v>
      </c>
      <c r="P3487">
        <v>4</v>
      </c>
      <c r="Q3487">
        <v>0</v>
      </c>
      <c r="R3487">
        <v>25.88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H3487">
        <v>25.88</v>
      </c>
    </row>
    <row r="3488" spans="1:34" x14ac:dyDescent="0.3">
      <c r="A3488" s="4">
        <v>3604</v>
      </c>
      <c r="B3488" s="5">
        <v>3481</v>
      </c>
      <c r="C3488">
        <v>5779</v>
      </c>
      <c r="D3488" t="s">
        <v>19339</v>
      </c>
      <c r="E3488" t="s">
        <v>892</v>
      </c>
      <c r="F3488" t="s">
        <v>38</v>
      </c>
      <c r="G3488" t="s">
        <v>24212</v>
      </c>
      <c r="H3488">
        <v>16.850000000000001</v>
      </c>
      <c r="I3488">
        <v>0</v>
      </c>
      <c r="J3488">
        <v>0</v>
      </c>
      <c r="K3488">
        <v>0</v>
      </c>
      <c r="O3488">
        <v>0</v>
      </c>
      <c r="P3488">
        <v>4</v>
      </c>
      <c r="Q3488">
        <v>2</v>
      </c>
      <c r="R3488">
        <v>22.85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3</v>
      </c>
      <c r="AC3488">
        <v>0</v>
      </c>
      <c r="AH3488">
        <v>25.85</v>
      </c>
    </row>
    <row r="3489" spans="1:34" x14ac:dyDescent="0.3">
      <c r="A3489" s="4">
        <v>3605</v>
      </c>
      <c r="B3489" s="5">
        <v>3482</v>
      </c>
      <c r="C3489">
        <v>13942</v>
      </c>
      <c r="D3489" t="s">
        <v>24213</v>
      </c>
      <c r="E3489" t="s">
        <v>37</v>
      </c>
      <c r="F3489" t="s">
        <v>17</v>
      </c>
      <c r="G3489" t="s">
        <v>24214</v>
      </c>
      <c r="H3489">
        <v>18.850000000000001</v>
      </c>
      <c r="I3489">
        <v>0</v>
      </c>
      <c r="J3489">
        <v>0</v>
      </c>
      <c r="K3489">
        <v>0</v>
      </c>
      <c r="N3489">
        <v>3</v>
      </c>
      <c r="O3489">
        <v>3</v>
      </c>
      <c r="P3489">
        <v>4</v>
      </c>
      <c r="Q3489">
        <v>0</v>
      </c>
      <c r="R3489">
        <v>25.85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H3489">
        <v>25.85</v>
      </c>
    </row>
    <row r="3490" spans="1:34" x14ac:dyDescent="0.3">
      <c r="A3490" s="4">
        <v>3606</v>
      </c>
      <c r="B3490" s="5">
        <v>3483</v>
      </c>
      <c r="C3490">
        <v>170</v>
      </c>
      <c r="D3490" t="s">
        <v>24215</v>
      </c>
      <c r="E3490" t="s">
        <v>54</v>
      </c>
      <c r="F3490" t="s">
        <v>238</v>
      </c>
      <c r="G3490" t="s">
        <v>24216</v>
      </c>
      <c r="H3490">
        <v>16.829999999999998</v>
      </c>
      <c r="I3490">
        <v>0</v>
      </c>
      <c r="J3490">
        <v>0</v>
      </c>
      <c r="K3490">
        <v>0</v>
      </c>
      <c r="N3490">
        <v>3</v>
      </c>
      <c r="O3490">
        <v>3</v>
      </c>
      <c r="P3490">
        <v>4</v>
      </c>
      <c r="Q3490">
        <v>2</v>
      </c>
      <c r="R3490">
        <v>25.83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H3490">
        <v>25.83</v>
      </c>
    </row>
    <row r="3491" spans="1:34" x14ac:dyDescent="0.3">
      <c r="A3491" s="4">
        <v>3607</v>
      </c>
      <c r="B3491" s="5">
        <v>3484</v>
      </c>
      <c r="C3491">
        <v>9095</v>
      </c>
      <c r="D3491" t="s">
        <v>24217</v>
      </c>
      <c r="E3491" t="s">
        <v>161</v>
      </c>
      <c r="F3491" t="s">
        <v>626</v>
      </c>
      <c r="G3491" t="s">
        <v>24218</v>
      </c>
      <c r="H3491">
        <v>19.8</v>
      </c>
      <c r="I3491">
        <v>0</v>
      </c>
      <c r="J3491">
        <v>0</v>
      </c>
      <c r="K3491">
        <v>0</v>
      </c>
      <c r="O3491">
        <v>0</v>
      </c>
      <c r="P3491">
        <v>4</v>
      </c>
      <c r="Q3491">
        <v>2</v>
      </c>
      <c r="R3491">
        <v>25.8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H3491">
        <v>25.8</v>
      </c>
    </row>
    <row r="3492" spans="1:34" x14ac:dyDescent="0.3">
      <c r="A3492" s="4">
        <v>3608</v>
      </c>
      <c r="B3492" s="5">
        <v>3485</v>
      </c>
      <c r="C3492">
        <v>14119</v>
      </c>
      <c r="D3492" t="s">
        <v>13728</v>
      </c>
      <c r="E3492" t="s">
        <v>789</v>
      </c>
      <c r="F3492" t="s">
        <v>124</v>
      </c>
      <c r="G3492" t="s">
        <v>24219</v>
      </c>
      <c r="H3492">
        <v>18.8</v>
      </c>
      <c r="I3492">
        <v>0</v>
      </c>
      <c r="J3492">
        <v>0</v>
      </c>
      <c r="K3492">
        <v>0</v>
      </c>
      <c r="N3492">
        <v>3</v>
      </c>
      <c r="O3492">
        <v>3</v>
      </c>
      <c r="P3492">
        <v>4</v>
      </c>
      <c r="Q3492">
        <v>0</v>
      </c>
      <c r="R3492">
        <v>25.8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H3492">
        <v>25.8</v>
      </c>
    </row>
    <row r="3493" spans="1:34" x14ac:dyDescent="0.3">
      <c r="A3493" s="4">
        <v>3609</v>
      </c>
      <c r="B3493" s="5">
        <v>3486</v>
      </c>
      <c r="C3493">
        <v>13908</v>
      </c>
      <c r="D3493" t="s">
        <v>3454</v>
      </c>
      <c r="E3493" t="s">
        <v>29</v>
      </c>
      <c r="F3493" t="s">
        <v>975</v>
      </c>
      <c r="G3493" t="s">
        <v>24220</v>
      </c>
      <c r="H3493">
        <v>18.8</v>
      </c>
      <c r="I3493">
        <v>0</v>
      </c>
      <c r="J3493">
        <v>0</v>
      </c>
      <c r="K3493">
        <v>0</v>
      </c>
      <c r="N3493">
        <v>3</v>
      </c>
      <c r="O3493">
        <v>3</v>
      </c>
      <c r="P3493">
        <v>4</v>
      </c>
      <c r="Q3493">
        <v>0</v>
      </c>
      <c r="R3493">
        <v>25.8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H3493">
        <v>25.8</v>
      </c>
    </row>
    <row r="3494" spans="1:34" x14ac:dyDescent="0.3">
      <c r="A3494" s="4">
        <v>3610</v>
      </c>
      <c r="B3494" s="5">
        <v>3487</v>
      </c>
      <c r="C3494">
        <v>168</v>
      </c>
      <c r="D3494" t="s">
        <v>4781</v>
      </c>
      <c r="E3494" t="s">
        <v>342</v>
      </c>
      <c r="F3494" t="s">
        <v>136</v>
      </c>
      <c r="G3494" t="s">
        <v>24221</v>
      </c>
      <c r="H3494">
        <v>18.78</v>
      </c>
      <c r="I3494">
        <v>0</v>
      </c>
      <c r="J3494">
        <v>0</v>
      </c>
      <c r="K3494">
        <v>0</v>
      </c>
      <c r="O3494">
        <v>0</v>
      </c>
      <c r="P3494">
        <v>4</v>
      </c>
      <c r="Q3494">
        <v>0</v>
      </c>
      <c r="R3494">
        <v>22.78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3</v>
      </c>
      <c r="AC3494">
        <v>0</v>
      </c>
      <c r="AH3494">
        <v>25.78</v>
      </c>
    </row>
    <row r="3495" spans="1:34" x14ac:dyDescent="0.3">
      <c r="A3495" s="4">
        <v>3611</v>
      </c>
      <c r="B3495" s="5">
        <v>3488</v>
      </c>
      <c r="C3495">
        <v>874</v>
      </c>
      <c r="D3495" t="s">
        <v>24222</v>
      </c>
      <c r="E3495" t="s">
        <v>170</v>
      </c>
      <c r="F3495" t="s">
        <v>328</v>
      </c>
      <c r="G3495" t="s">
        <v>24223</v>
      </c>
      <c r="H3495">
        <v>19.78</v>
      </c>
      <c r="I3495">
        <v>0</v>
      </c>
      <c r="J3495">
        <v>0</v>
      </c>
      <c r="K3495">
        <v>0</v>
      </c>
      <c r="N3495">
        <v>6</v>
      </c>
      <c r="O3495">
        <v>6</v>
      </c>
      <c r="P3495">
        <v>0</v>
      </c>
      <c r="Q3495">
        <v>0</v>
      </c>
      <c r="R3495">
        <v>25.78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H3495">
        <v>25.78</v>
      </c>
    </row>
    <row r="3496" spans="1:34" x14ac:dyDescent="0.3">
      <c r="A3496" s="4">
        <v>3612</v>
      </c>
      <c r="B3496" s="5">
        <v>3489</v>
      </c>
      <c r="C3496">
        <v>11913</v>
      </c>
      <c r="D3496" t="s">
        <v>18851</v>
      </c>
      <c r="E3496" t="s">
        <v>41</v>
      </c>
      <c r="F3496" t="s">
        <v>68</v>
      </c>
      <c r="G3496" t="s">
        <v>24224</v>
      </c>
      <c r="H3496">
        <v>18.78</v>
      </c>
      <c r="I3496">
        <v>0</v>
      </c>
      <c r="J3496">
        <v>0</v>
      </c>
      <c r="K3496">
        <v>0</v>
      </c>
      <c r="N3496">
        <v>3</v>
      </c>
      <c r="O3496">
        <v>3</v>
      </c>
      <c r="P3496">
        <v>4</v>
      </c>
      <c r="Q3496">
        <v>0</v>
      </c>
      <c r="R3496">
        <v>25.78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H3496">
        <v>25.78</v>
      </c>
    </row>
    <row r="3497" spans="1:34" x14ac:dyDescent="0.3">
      <c r="A3497" s="4">
        <v>3613</v>
      </c>
      <c r="B3497" s="5">
        <v>3490</v>
      </c>
      <c r="C3497">
        <v>8131</v>
      </c>
      <c r="D3497" t="s">
        <v>24225</v>
      </c>
      <c r="E3497" t="s">
        <v>24226</v>
      </c>
      <c r="F3497" t="s">
        <v>171</v>
      </c>
      <c r="G3497" t="s">
        <v>24227</v>
      </c>
      <c r="H3497">
        <v>18.78</v>
      </c>
      <c r="I3497">
        <v>0</v>
      </c>
      <c r="J3497">
        <v>0</v>
      </c>
      <c r="K3497">
        <v>0</v>
      </c>
      <c r="N3497">
        <v>3</v>
      </c>
      <c r="O3497">
        <v>3</v>
      </c>
      <c r="P3497">
        <v>4</v>
      </c>
      <c r="Q3497">
        <v>0</v>
      </c>
      <c r="R3497">
        <v>25.78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H3497">
        <v>25.78</v>
      </c>
    </row>
    <row r="3498" spans="1:34" x14ac:dyDescent="0.3">
      <c r="A3498" s="4">
        <v>3614</v>
      </c>
      <c r="B3498" s="5">
        <v>3491</v>
      </c>
      <c r="C3498">
        <v>5932</v>
      </c>
      <c r="D3498" t="s">
        <v>19194</v>
      </c>
      <c r="E3498" t="s">
        <v>161</v>
      </c>
      <c r="F3498" t="s">
        <v>30</v>
      </c>
      <c r="G3498" t="s">
        <v>24228</v>
      </c>
      <c r="H3498">
        <v>18.78</v>
      </c>
      <c r="I3498">
        <v>0</v>
      </c>
      <c r="J3498">
        <v>0</v>
      </c>
      <c r="K3498">
        <v>0</v>
      </c>
      <c r="N3498">
        <v>3</v>
      </c>
      <c r="O3498">
        <v>3</v>
      </c>
      <c r="P3498">
        <v>4</v>
      </c>
      <c r="Q3498">
        <v>0</v>
      </c>
      <c r="R3498">
        <v>25.78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H3498">
        <v>25.78</v>
      </c>
    </row>
    <row r="3499" spans="1:34" x14ac:dyDescent="0.3">
      <c r="A3499" s="4">
        <v>3615</v>
      </c>
      <c r="B3499" s="5">
        <v>3492</v>
      </c>
      <c r="C3499">
        <v>11039</v>
      </c>
      <c r="D3499" t="s">
        <v>24229</v>
      </c>
      <c r="E3499" t="s">
        <v>24230</v>
      </c>
      <c r="F3499" t="s">
        <v>158</v>
      </c>
      <c r="G3499" t="s">
        <v>24231</v>
      </c>
      <c r="H3499">
        <v>16.75</v>
      </c>
      <c r="I3499">
        <v>0</v>
      </c>
      <c r="J3499">
        <v>0</v>
      </c>
      <c r="K3499">
        <v>0</v>
      </c>
      <c r="N3499">
        <v>3</v>
      </c>
      <c r="O3499">
        <v>3</v>
      </c>
      <c r="P3499">
        <v>0</v>
      </c>
      <c r="Q3499">
        <v>0</v>
      </c>
      <c r="R3499">
        <v>19.75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6</v>
      </c>
      <c r="AC3499">
        <v>0</v>
      </c>
      <c r="AH3499">
        <v>25.75</v>
      </c>
    </row>
    <row r="3500" spans="1:34" x14ac:dyDescent="0.3">
      <c r="A3500" s="4">
        <v>3616</v>
      </c>
      <c r="B3500" s="5">
        <v>3493</v>
      </c>
      <c r="C3500">
        <v>8234</v>
      </c>
      <c r="D3500" t="s">
        <v>14898</v>
      </c>
      <c r="E3500" t="s">
        <v>3243</v>
      </c>
      <c r="F3500" t="s">
        <v>24232</v>
      </c>
      <c r="G3500" t="s">
        <v>24233</v>
      </c>
      <c r="H3500">
        <v>19.75</v>
      </c>
      <c r="I3500">
        <v>0</v>
      </c>
      <c r="J3500">
        <v>0</v>
      </c>
      <c r="K3500">
        <v>0</v>
      </c>
      <c r="O3500">
        <v>0</v>
      </c>
      <c r="P3500">
        <v>4</v>
      </c>
      <c r="Q3500">
        <v>2</v>
      </c>
      <c r="R3500">
        <v>25.75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H3500">
        <v>25.75</v>
      </c>
    </row>
    <row r="3501" spans="1:34" x14ac:dyDescent="0.3">
      <c r="A3501" s="4">
        <v>3617</v>
      </c>
      <c r="B3501" s="5">
        <v>3494</v>
      </c>
      <c r="C3501">
        <v>3948</v>
      </c>
      <c r="D3501" t="s">
        <v>24234</v>
      </c>
      <c r="E3501" t="s">
        <v>170</v>
      </c>
      <c r="F3501" t="s">
        <v>136</v>
      </c>
      <c r="G3501" t="s">
        <v>24235</v>
      </c>
      <c r="H3501">
        <v>18.75</v>
      </c>
      <c r="I3501">
        <v>0</v>
      </c>
      <c r="J3501">
        <v>0</v>
      </c>
      <c r="K3501">
        <v>0</v>
      </c>
      <c r="L3501">
        <v>7</v>
      </c>
      <c r="O3501">
        <v>7</v>
      </c>
      <c r="P3501">
        <v>0</v>
      </c>
      <c r="Q3501">
        <v>0</v>
      </c>
      <c r="R3501">
        <v>25.75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H3501">
        <v>25.75</v>
      </c>
    </row>
    <row r="3502" spans="1:34" x14ac:dyDescent="0.3">
      <c r="A3502" s="4">
        <v>3618</v>
      </c>
      <c r="B3502" s="5">
        <v>3495</v>
      </c>
      <c r="C3502">
        <v>1390</v>
      </c>
      <c r="D3502" t="s">
        <v>24236</v>
      </c>
      <c r="E3502" t="s">
        <v>1152</v>
      </c>
      <c r="F3502" t="s">
        <v>136</v>
      </c>
      <c r="G3502" t="s">
        <v>24237</v>
      </c>
      <c r="H3502">
        <v>18.75</v>
      </c>
      <c r="I3502">
        <v>0</v>
      </c>
      <c r="J3502">
        <v>0</v>
      </c>
      <c r="K3502">
        <v>0</v>
      </c>
      <c r="N3502">
        <v>3</v>
      </c>
      <c r="O3502">
        <v>3</v>
      </c>
      <c r="P3502">
        <v>4</v>
      </c>
      <c r="Q3502">
        <v>0</v>
      </c>
      <c r="R3502">
        <v>25.75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H3502">
        <v>25.75</v>
      </c>
    </row>
    <row r="3503" spans="1:34" x14ac:dyDescent="0.3">
      <c r="A3503" s="4">
        <v>3619</v>
      </c>
      <c r="B3503" s="5">
        <v>3496</v>
      </c>
      <c r="C3503">
        <v>9792</v>
      </c>
      <c r="D3503" t="s">
        <v>16537</v>
      </c>
      <c r="E3503" t="s">
        <v>24238</v>
      </c>
      <c r="F3503" t="s">
        <v>238</v>
      </c>
      <c r="G3503" t="s">
        <v>24239</v>
      </c>
      <c r="H3503">
        <v>16.75</v>
      </c>
      <c r="I3503">
        <v>0</v>
      </c>
      <c r="J3503">
        <v>0</v>
      </c>
      <c r="K3503">
        <v>0</v>
      </c>
      <c r="N3503">
        <v>3</v>
      </c>
      <c r="O3503">
        <v>3</v>
      </c>
      <c r="P3503">
        <v>4</v>
      </c>
      <c r="Q3503">
        <v>2</v>
      </c>
      <c r="R3503">
        <v>25.75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H3503">
        <v>25.75</v>
      </c>
    </row>
    <row r="3504" spans="1:34" x14ac:dyDescent="0.3">
      <c r="A3504" s="4">
        <v>3620</v>
      </c>
      <c r="B3504" s="5">
        <v>3497</v>
      </c>
      <c r="C3504">
        <v>5053</v>
      </c>
      <c r="D3504" t="s">
        <v>8138</v>
      </c>
      <c r="E3504" t="s">
        <v>143</v>
      </c>
      <c r="F3504" t="s">
        <v>11935</v>
      </c>
      <c r="G3504" t="s">
        <v>24240</v>
      </c>
      <c r="H3504">
        <v>18.73</v>
      </c>
      <c r="I3504">
        <v>0</v>
      </c>
      <c r="J3504">
        <v>0</v>
      </c>
      <c r="K3504">
        <v>0</v>
      </c>
      <c r="N3504">
        <v>3</v>
      </c>
      <c r="O3504">
        <v>3</v>
      </c>
      <c r="P3504">
        <v>4</v>
      </c>
      <c r="Q3504">
        <v>0</v>
      </c>
      <c r="R3504">
        <v>25.73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H3504">
        <v>25.73</v>
      </c>
    </row>
    <row r="3505" spans="1:34" x14ac:dyDescent="0.3">
      <c r="A3505" s="4">
        <v>3621</v>
      </c>
      <c r="B3505" s="5">
        <v>3498</v>
      </c>
      <c r="C3505">
        <v>6356</v>
      </c>
      <c r="D3505" t="s">
        <v>15516</v>
      </c>
      <c r="E3505" t="s">
        <v>132</v>
      </c>
      <c r="F3505" t="s">
        <v>488</v>
      </c>
      <c r="G3505" t="s">
        <v>24241</v>
      </c>
      <c r="H3505">
        <v>18.73</v>
      </c>
      <c r="I3505">
        <v>0</v>
      </c>
      <c r="J3505">
        <v>0</v>
      </c>
      <c r="K3505">
        <v>0</v>
      </c>
      <c r="N3505">
        <v>3</v>
      </c>
      <c r="O3505">
        <v>3</v>
      </c>
      <c r="P3505">
        <v>4</v>
      </c>
      <c r="Q3505">
        <v>0</v>
      </c>
      <c r="R3505">
        <v>25.73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H3505">
        <v>25.73</v>
      </c>
    </row>
    <row r="3506" spans="1:34" x14ac:dyDescent="0.3">
      <c r="A3506" s="4">
        <v>3622</v>
      </c>
      <c r="B3506" s="5">
        <v>3499</v>
      </c>
      <c r="C3506">
        <v>13006</v>
      </c>
      <c r="D3506" t="s">
        <v>9064</v>
      </c>
      <c r="E3506" t="s">
        <v>24242</v>
      </c>
      <c r="F3506" t="s">
        <v>81</v>
      </c>
      <c r="G3506" t="s">
        <v>24243</v>
      </c>
      <c r="H3506">
        <v>18.73</v>
      </c>
      <c r="I3506">
        <v>0</v>
      </c>
      <c r="J3506">
        <v>0</v>
      </c>
      <c r="K3506">
        <v>0</v>
      </c>
      <c r="N3506">
        <v>3</v>
      </c>
      <c r="O3506">
        <v>3</v>
      </c>
      <c r="P3506">
        <v>4</v>
      </c>
      <c r="Q3506">
        <v>0</v>
      </c>
      <c r="R3506">
        <v>25.73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H3506">
        <v>25.73</v>
      </c>
    </row>
    <row r="3507" spans="1:34" x14ac:dyDescent="0.3">
      <c r="A3507" s="4">
        <v>3623</v>
      </c>
      <c r="B3507" s="5">
        <v>3500</v>
      </c>
      <c r="C3507">
        <v>7342</v>
      </c>
      <c r="D3507" t="s">
        <v>24244</v>
      </c>
      <c r="E3507" t="s">
        <v>255</v>
      </c>
      <c r="F3507" t="s">
        <v>117</v>
      </c>
      <c r="G3507" t="s">
        <v>24245</v>
      </c>
      <c r="H3507">
        <v>18.73</v>
      </c>
      <c r="I3507">
        <v>0</v>
      </c>
      <c r="J3507">
        <v>0</v>
      </c>
      <c r="K3507">
        <v>0</v>
      </c>
      <c r="N3507">
        <v>3</v>
      </c>
      <c r="O3507">
        <v>3</v>
      </c>
      <c r="P3507">
        <v>4</v>
      </c>
      <c r="Q3507">
        <v>0</v>
      </c>
      <c r="R3507">
        <v>25.73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H3507">
        <v>25.73</v>
      </c>
    </row>
    <row r="3508" spans="1:34" x14ac:dyDescent="0.3">
      <c r="A3508" s="4">
        <v>3624</v>
      </c>
      <c r="B3508" s="5">
        <v>3501</v>
      </c>
      <c r="C3508">
        <v>14882</v>
      </c>
      <c r="D3508" t="s">
        <v>24246</v>
      </c>
      <c r="E3508" t="s">
        <v>38</v>
      </c>
      <c r="F3508" t="s">
        <v>136</v>
      </c>
      <c r="G3508" t="s">
        <v>24247</v>
      </c>
      <c r="H3508">
        <v>18.73</v>
      </c>
      <c r="I3508">
        <v>0</v>
      </c>
      <c r="J3508">
        <v>0</v>
      </c>
      <c r="K3508">
        <v>0</v>
      </c>
      <c r="N3508">
        <v>3</v>
      </c>
      <c r="O3508">
        <v>3</v>
      </c>
      <c r="P3508">
        <v>4</v>
      </c>
      <c r="Q3508">
        <v>0</v>
      </c>
      <c r="R3508">
        <v>25.73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H3508">
        <v>25.73</v>
      </c>
    </row>
    <row r="3509" spans="1:34" x14ac:dyDescent="0.3">
      <c r="A3509" s="4">
        <v>3625</v>
      </c>
      <c r="B3509" s="5">
        <v>3502</v>
      </c>
      <c r="C3509">
        <v>1999</v>
      </c>
      <c r="D3509" t="s">
        <v>24248</v>
      </c>
      <c r="E3509" t="s">
        <v>24249</v>
      </c>
      <c r="F3509" t="s">
        <v>2855</v>
      </c>
      <c r="G3509" t="s">
        <v>24250</v>
      </c>
      <c r="H3509">
        <v>18.73</v>
      </c>
      <c r="I3509">
        <v>0</v>
      </c>
      <c r="J3509">
        <v>0</v>
      </c>
      <c r="K3509">
        <v>0</v>
      </c>
      <c r="N3509">
        <v>3</v>
      </c>
      <c r="O3509">
        <v>3</v>
      </c>
      <c r="P3509">
        <v>4</v>
      </c>
      <c r="Q3509">
        <v>0</v>
      </c>
      <c r="R3509">
        <v>25.73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H3509">
        <v>25.73</v>
      </c>
    </row>
    <row r="3510" spans="1:34" x14ac:dyDescent="0.3">
      <c r="A3510" s="4">
        <v>3626</v>
      </c>
      <c r="B3510" s="5">
        <v>3503</v>
      </c>
      <c r="C3510">
        <v>4946</v>
      </c>
      <c r="D3510" t="s">
        <v>1438</v>
      </c>
      <c r="E3510" t="s">
        <v>41</v>
      </c>
      <c r="F3510" t="s">
        <v>2595</v>
      </c>
      <c r="G3510" t="s">
        <v>32076</v>
      </c>
      <c r="H3510">
        <v>18.73</v>
      </c>
      <c r="I3510">
        <v>0</v>
      </c>
      <c r="J3510">
        <v>0</v>
      </c>
      <c r="K3510">
        <v>0</v>
      </c>
      <c r="N3510">
        <v>3</v>
      </c>
      <c r="O3510">
        <v>3</v>
      </c>
      <c r="P3510">
        <v>4</v>
      </c>
      <c r="Q3510">
        <v>0</v>
      </c>
      <c r="R3510">
        <v>25.73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H3510">
        <v>25.73</v>
      </c>
    </row>
    <row r="3511" spans="1:34" x14ac:dyDescent="0.3">
      <c r="A3511" s="4">
        <v>3627</v>
      </c>
      <c r="B3511" s="5">
        <v>3504</v>
      </c>
      <c r="C3511">
        <v>15021</v>
      </c>
      <c r="D3511" t="s">
        <v>24251</v>
      </c>
      <c r="E3511" t="s">
        <v>110</v>
      </c>
      <c r="F3511" t="s">
        <v>1450</v>
      </c>
      <c r="G3511" t="s">
        <v>24252</v>
      </c>
      <c r="H3511">
        <v>16.73</v>
      </c>
      <c r="I3511">
        <v>0</v>
      </c>
      <c r="J3511">
        <v>0</v>
      </c>
      <c r="K3511">
        <v>0</v>
      </c>
      <c r="M3511">
        <v>5</v>
      </c>
      <c r="O3511">
        <v>5</v>
      </c>
      <c r="P3511">
        <v>4</v>
      </c>
      <c r="Q3511">
        <v>0</v>
      </c>
      <c r="R3511">
        <v>25.73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H3511">
        <v>25.73</v>
      </c>
    </row>
    <row r="3512" spans="1:34" x14ac:dyDescent="0.3">
      <c r="A3512" s="4">
        <v>3628</v>
      </c>
      <c r="B3512" s="5">
        <v>3505</v>
      </c>
      <c r="C3512">
        <v>7684</v>
      </c>
      <c r="D3512" t="s">
        <v>2405</v>
      </c>
      <c r="E3512" t="s">
        <v>23732</v>
      </c>
      <c r="F3512" t="s">
        <v>136</v>
      </c>
      <c r="G3512" t="s">
        <v>24253</v>
      </c>
      <c r="H3512">
        <v>18.7</v>
      </c>
      <c r="I3512">
        <v>0</v>
      </c>
      <c r="J3512">
        <v>0</v>
      </c>
      <c r="K3512">
        <v>0</v>
      </c>
      <c r="N3512">
        <v>3</v>
      </c>
      <c r="O3512">
        <v>3</v>
      </c>
      <c r="P3512">
        <v>4</v>
      </c>
      <c r="Q3512">
        <v>0</v>
      </c>
      <c r="R3512">
        <v>25.7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H3512">
        <v>25.7</v>
      </c>
    </row>
    <row r="3513" spans="1:34" x14ac:dyDescent="0.3">
      <c r="A3513" s="4">
        <v>3629</v>
      </c>
      <c r="B3513" s="5">
        <v>3506</v>
      </c>
      <c r="C3513">
        <v>7130</v>
      </c>
      <c r="D3513" t="s">
        <v>93</v>
      </c>
      <c r="E3513" t="s">
        <v>51</v>
      </c>
      <c r="F3513" t="s">
        <v>892</v>
      </c>
      <c r="G3513" t="s">
        <v>24254</v>
      </c>
      <c r="H3513">
        <v>18.7</v>
      </c>
      <c r="I3513">
        <v>0</v>
      </c>
      <c r="J3513">
        <v>0</v>
      </c>
      <c r="K3513">
        <v>0</v>
      </c>
      <c r="N3513">
        <v>3</v>
      </c>
      <c r="O3513">
        <v>3</v>
      </c>
      <c r="P3513">
        <v>4</v>
      </c>
      <c r="Q3513">
        <v>0</v>
      </c>
      <c r="R3513">
        <v>25.7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H3513">
        <v>25.7</v>
      </c>
    </row>
    <row r="3514" spans="1:34" x14ac:dyDescent="0.3">
      <c r="A3514" s="4">
        <v>3630</v>
      </c>
      <c r="B3514" s="5">
        <v>3507</v>
      </c>
      <c r="C3514">
        <v>301</v>
      </c>
      <c r="D3514" t="s">
        <v>24255</v>
      </c>
      <c r="E3514" t="s">
        <v>97</v>
      </c>
      <c r="F3514" t="s">
        <v>38</v>
      </c>
      <c r="G3514" t="s">
        <v>24256</v>
      </c>
      <c r="H3514">
        <v>18.7</v>
      </c>
      <c r="I3514">
        <v>0</v>
      </c>
      <c r="J3514">
        <v>0</v>
      </c>
      <c r="K3514">
        <v>0</v>
      </c>
      <c r="N3514">
        <v>3</v>
      </c>
      <c r="O3514">
        <v>3</v>
      </c>
      <c r="P3514">
        <v>4</v>
      </c>
      <c r="Q3514">
        <v>0</v>
      </c>
      <c r="R3514">
        <v>25.7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H3514">
        <v>25.7</v>
      </c>
    </row>
    <row r="3515" spans="1:34" x14ac:dyDescent="0.3">
      <c r="A3515" s="4">
        <v>3631</v>
      </c>
      <c r="B3515" s="5">
        <v>3508</v>
      </c>
      <c r="C3515">
        <v>13736</v>
      </c>
      <c r="D3515" t="s">
        <v>4597</v>
      </c>
      <c r="E3515" t="s">
        <v>6578</v>
      </c>
      <c r="F3515" t="s">
        <v>570</v>
      </c>
      <c r="G3515" t="s">
        <v>24257</v>
      </c>
      <c r="H3515">
        <v>22.68</v>
      </c>
      <c r="I3515">
        <v>0</v>
      </c>
      <c r="J3515">
        <v>0</v>
      </c>
      <c r="K3515">
        <v>0</v>
      </c>
      <c r="N3515">
        <v>3</v>
      </c>
      <c r="O3515">
        <v>3</v>
      </c>
      <c r="P3515">
        <v>0</v>
      </c>
      <c r="Q3515">
        <v>0</v>
      </c>
      <c r="R3515">
        <v>25.68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H3515">
        <v>25.68</v>
      </c>
    </row>
    <row r="3516" spans="1:34" x14ac:dyDescent="0.3">
      <c r="A3516" s="4">
        <v>3632</v>
      </c>
      <c r="B3516" s="5">
        <v>3509</v>
      </c>
      <c r="C3516">
        <v>1467</v>
      </c>
      <c r="D3516" t="s">
        <v>3340</v>
      </c>
      <c r="E3516" t="s">
        <v>29</v>
      </c>
      <c r="F3516" t="s">
        <v>17</v>
      </c>
      <c r="G3516" t="s">
        <v>24258</v>
      </c>
      <c r="H3516">
        <v>18.649999999999999</v>
      </c>
      <c r="I3516">
        <v>0</v>
      </c>
      <c r="J3516">
        <v>0</v>
      </c>
      <c r="K3516">
        <v>0</v>
      </c>
      <c r="O3516">
        <v>0</v>
      </c>
      <c r="P3516">
        <v>4</v>
      </c>
      <c r="Q3516">
        <v>0</v>
      </c>
      <c r="R3516">
        <v>22.65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3</v>
      </c>
      <c r="AC3516">
        <v>0</v>
      </c>
      <c r="AH3516">
        <v>25.65</v>
      </c>
    </row>
    <row r="3517" spans="1:34" x14ac:dyDescent="0.3">
      <c r="A3517" s="4">
        <v>3633</v>
      </c>
      <c r="B3517" s="5">
        <v>3510</v>
      </c>
      <c r="C3517">
        <v>7041</v>
      </c>
      <c r="D3517" t="s">
        <v>24259</v>
      </c>
      <c r="E3517" t="s">
        <v>26</v>
      </c>
      <c r="F3517" t="s">
        <v>17</v>
      </c>
      <c r="G3517" t="s">
        <v>24260</v>
      </c>
      <c r="H3517">
        <v>21.65</v>
      </c>
      <c r="I3517">
        <v>0</v>
      </c>
      <c r="J3517">
        <v>0</v>
      </c>
      <c r="K3517">
        <v>0</v>
      </c>
      <c r="O3517">
        <v>0</v>
      </c>
      <c r="P3517">
        <v>4</v>
      </c>
      <c r="Q3517">
        <v>0</v>
      </c>
      <c r="R3517">
        <v>25.65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H3517">
        <v>25.65</v>
      </c>
    </row>
    <row r="3518" spans="1:34" x14ac:dyDescent="0.3">
      <c r="A3518" s="4">
        <v>3634</v>
      </c>
      <c r="B3518" s="5">
        <v>3511</v>
      </c>
      <c r="C3518">
        <v>13587</v>
      </c>
      <c r="D3518" t="s">
        <v>24261</v>
      </c>
      <c r="E3518" t="s">
        <v>41</v>
      </c>
      <c r="F3518" t="s">
        <v>20</v>
      </c>
      <c r="G3518" t="s">
        <v>24262</v>
      </c>
      <c r="H3518">
        <v>19.649999999999999</v>
      </c>
      <c r="I3518">
        <v>0</v>
      </c>
      <c r="J3518">
        <v>0</v>
      </c>
      <c r="K3518">
        <v>0</v>
      </c>
      <c r="O3518">
        <v>0</v>
      </c>
      <c r="P3518">
        <v>4</v>
      </c>
      <c r="Q3518">
        <v>2</v>
      </c>
      <c r="R3518">
        <v>25.65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H3518">
        <v>25.65</v>
      </c>
    </row>
    <row r="3519" spans="1:34" x14ac:dyDescent="0.3">
      <c r="A3519" s="4">
        <v>3635</v>
      </c>
      <c r="B3519" s="5">
        <v>3512</v>
      </c>
      <c r="C3519">
        <v>11414</v>
      </c>
      <c r="D3519" t="s">
        <v>181</v>
      </c>
      <c r="E3519" t="s">
        <v>213</v>
      </c>
      <c r="F3519" t="s">
        <v>375</v>
      </c>
      <c r="G3519" t="s">
        <v>24263</v>
      </c>
      <c r="H3519">
        <v>18.649999999999999</v>
      </c>
      <c r="I3519">
        <v>0</v>
      </c>
      <c r="J3519">
        <v>0</v>
      </c>
      <c r="K3519">
        <v>0</v>
      </c>
      <c r="N3519">
        <v>3</v>
      </c>
      <c r="O3519">
        <v>3</v>
      </c>
      <c r="P3519">
        <v>4</v>
      </c>
      <c r="Q3519">
        <v>0</v>
      </c>
      <c r="R3519">
        <v>25.65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H3519">
        <v>25.65</v>
      </c>
    </row>
    <row r="3520" spans="1:34" x14ac:dyDescent="0.3">
      <c r="A3520" s="4">
        <v>3636</v>
      </c>
      <c r="B3520" s="5">
        <v>3513</v>
      </c>
      <c r="C3520">
        <v>3114</v>
      </c>
      <c r="D3520" t="s">
        <v>4439</v>
      </c>
      <c r="E3520" t="s">
        <v>88</v>
      </c>
      <c r="F3520" t="s">
        <v>55</v>
      </c>
      <c r="G3520" t="s">
        <v>24264</v>
      </c>
      <c r="H3520">
        <v>18.649999999999999</v>
      </c>
      <c r="I3520">
        <v>0</v>
      </c>
      <c r="J3520">
        <v>0</v>
      </c>
      <c r="K3520">
        <v>0</v>
      </c>
      <c r="N3520">
        <v>3</v>
      </c>
      <c r="O3520">
        <v>3</v>
      </c>
      <c r="P3520">
        <v>4</v>
      </c>
      <c r="Q3520">
        <v>0</v>
      </c>
      <c r="R3520">
        <v>25.65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H3520">
        <v>25.65</v>
      </c>
    </row>
    <row r="3521" spans="1:34" x14ac:dyDescent="0.3">
      <c r="A3521" s="4">
        <v>3637</v>
      </c>
      <c r="B3521" s="5">
        <v>3514</v>
      </c>
      <c r="C3521">
        <v>4041</v>
      </c>
      <c r="D3521" t="s">
        <v>3764</v>
      </c>
      <c r="E3521" t="s">
        <v>29</v>
      </c>
      <c r="F3521" t="s">
        <v>587</v>
      </c>
      <c r="G3521" t="s">
        <v>24265</v>
      </c>
      <c r="H3521">
        <v>18.649999999999999</v>
      </c>
      <c r="I3521">
        <v>0</v>
      </c>
      <c r="J3521">
        <v>0</v>
      </c>
      <c r="K3521">
        <v>0</v>
      </c>
      <c r="N3521">
        <v>3</v>
      </c>
      <c r="O3521">
        <v>3</v>
      </c>
      <c r="P3521">
        <v>4</v>
      </c>
      <c r="Q3521">
        <v>0</v>
      </c>
      <c r="R3521">
        <v>25.65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H3521">
        <v>25.65</v>
      </c>
    </row>
    <row r="3522" spans="1:34" x14ac:dyDescent="0.3">
      <c r="A3522" s="4">
        <v>3638</v>
      </c>
      <c r="B3522" s="5">
        <v>3515</v>
      </c>
      <c r="C3522">
        <v>12215</v>
      </c>
      <c r="D3522" t="s">
        <v>2043</v>
      </c>
      <c r="E3522" t="s">
        <v>258</v>
      </c>
      <c r="F3522" t="s">
        <v>20</v>
      </c>
      <c r="G3522" t="s">
        <v>24266</v>
      </c>
      <c r="H3522">
        <v>21.63</v>
      </c>
      <c r="I3522">
        <v>0</v>
      </c>
      <c r="J3522">
        <v>0</v>
      </c>
      <c r="K3522">
        <v>0</v>
      </c>
      <c r="O3522">
        <v>0</v>
      </c>
      <c r="P3522">
        <v>4</v>
      </c>
      <c r="Q3522">
        <v>0</v>
      </c>
      <c r="R3522">
        <v>25.63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H3522">
        <v>25.63</v>
      </c>
    </row>
    <row r="3523" spans="1:34" x14ac:dyDescent="0.3">
      <c r="A3523" s="4">
        <v>3639</v>
      </c>
      <c r="B3523" s="5">
        <v>3516</v>
      </c>
      <c r="C3523">
        <v>14080</v>
      </c>
      <c r="D3523" t="s">
        <v>24267</v>
      </c>
      <c r="E3523" t="s">
        <v>149</v>
      </c>
      <c r="F3523" t="s">
        <v>17</v>
      </c>
      <c r="G3523" t="s">
        <v>24268</v>
      </c>
      <c r="H3523">
        <v>20.63</v>
      </c>
      <c r="I3523">
        <v>0</v>
      </c>
      <c r="J3523">
        <v>0</v>
      </c>
      <c r="K3523">
        <v>0</v>
      </c>
      <c r="N3523">
        <v>3</v>
      </c>
      <c r="O3523">
        <v>3</v>
      </c>
      <c r="P3523">
        <v>0</v>
      </c>
      <c r="Q3523">
        <v>2</v>
      </c>
      <c r="R3523">
        <v>25.63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H3523">
        <v>25.63</v>
      </c>
    </row>
    <row r="3524" spans="1:34" x14ac:dyDescent="0.3">
      <c r="A3524" s="4">
        <v>3640</v>
      </c>
      <c r="B3524" s="5">
        <v>3517</v>
      </c>
      <c r="C3524">
        <v>9888</v>
      </c>
      <c r="D3524" t="s">
        <v>24269</v>
      </c>
      <c r="E3524" t="s">
        <v>6996</v>
      </c>
      <c r="F3524" t="s">
        <v>91</v>
      </c>
      <c r="G3524" t="s">
        <v>24270</v>
      </c>
      <c r="H3524">
        <v>18.63</v>
      </c>
      <c r="I3524">
        <v>0</v>
      </c>
      <c r="J3524">
        <v>0</v>
      </c>
      <c r="K3524">
        <v>0</v>
      </c>
      <c r="N3524">
        <v>3</v>
      </c>
      <c r="O3524">
        <v>3</v>
      </c>
      <c r="P3524">
        <v>4</v>
      </c>
      <c r="Q3524">
        <v>0</v>
      </c>
      <c r="R3524">
        <v>25.63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H3524">
        <v>25.63</v>
      </c>
    </row>
    <row r="3525" spans="1:34" x14ac:dyDescent="0.3">
      <c r="A3525" s="4">
        <v>3641</v>
      </c>
      <c r="B3525" s="5">
        <v>3518</v>
      </c>
      <c r="C3525">
        <v>7961</v>
      </c>
      <c r="D3525" t="s">
        <v>645</v>
      </c>
      <c r="E3525" t="s">
        <v>29</v>
      </c>
      <c r="F3525" t="s">
        <v>17</v>
      </c>
      <c r="G3525" t="s">
        <v>24271</v>
      </c>
      <c r="H3525">
        <v>18.63</v>
      </c>
      <c r="I3525">
        <v>0</v>
      </c>
      <c r="J3525">
        <v>0</v>
      </c>
      <c r="K3525">
        <v>0</v>
      </c>
      <c r="L3525">
        <v>7</v>
      </c>
      <c r="O3525">
        <v>7</v>
      </c>
      <c r="P3525">
        <v>0</v>
      </c>
      <c r="Q3525">
        <v>0</v>
      </c>
      <c r="R3525">
        <v>25.63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H3525">
        <v>25.63</v>
      </c>
    </row>
    <row r="3526" spans="1:34" x14ac:dyDescent="0.3">
      <c r="A3526" s="4">
        <v>3642</v>
      </c>
      <c r="B3526" s="5">
        <v>3519</v>
      </c>
      <c r="C3526">
        <v>9968</v>
      </c>
      <c r="D3526" t="s">
        <v>212</v>
      </c>
      <c r="E3526" t="s">
        <v>178</v>
      </c>
      <c r="F3526" t="s">
        <v>136</v>
      </c>
      <c r="G3526" t="s">
        <v>24272</v>
      </c>
      <c r="H3526">
        <v>18.63</v>
      </c>
      <c r="I3526">
        <v>0</v>
      </c>
      <c r="J3526">
        <v>0</v>
      </c>
      <c r="K3526">
        <v>0</v>
      </c>
      <c r="N3526">
        <v>3</v>
      </c>
      <c r="O3526">
        <v>3</v>
      </c>
      <c r="P3526">
        <v>4</v>
      </c>
      <c r="Q3526">
        <v>0</v>
      </c>
      <c r="R3526">
        <v>25.63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H3526">
        <v>25.63</v>
      </c>
    </row>
    <row r="3527" spans="1:34" x14ac:dyDescent="0.3">
      <c r="A3527" s="4">
        <v>3643</v>
      </c>
      <c r="B3527" s="5">
        <v>3520</v>
      </c>
      <c r="C3527">
        <v>8733</v>
      </c>
      <c r="D3527" t="s">
        <v>24273</v>
      </c>
      <c r="E3527" t="s">
        <v>110</v>
      </c>
      <c r="F3527" t="s">
        <v>4176</v>
      </c>
      <c r="G3527" t="s">
        <v>24274</v>
      </c>
      <c r="H3527">
        <v>18.600000000000001</v>
      </c>
      <c r="I3527">
        <v>0</v>
      </c>
      <c r="J3527">
        <v>0</v>
      </c>
      <c r="K3527">
        <v>0</v>
      </c>
      <c r="O3527">
        <v>0</v>
      </c>
      <c r="P3527">
        <v>4</v>
      </c>
      <c r="Q3527">
        <v>0</v>
      </c>
      <c r="R3527">
        <v>22.6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3</v>
      </c>
      <c r="AC3527">
        <v>0</v>
      </c>
      <c r="AH3527">
        <v>25.6</v>
      </c>
    </row>
    <row r="3528" spans="1:34" x14ac:dyDescent="0.3">
      <c r="A3528" s="4">
        <v>3644</v>
      </c>
      <c r="B3528" s="5">
        <v>3521</v>
      </c>
      <c r="C3528">
        <v>3507</v>
      </c>
      <c r="D3528" t="s">
        <v>24275</v>
      </c>
      <c r="E3528" t="s">
        <v>147</v>
      </c>
      <c r="F3528" t="s">
        <v>1526</v>
      </c>
      <c r="G3528" t="s">
        <v>24276</v>
      </c>
      <c r="H3528">
        <v>18.600000000000001</v>
      </c>
      <c r="I3528">
        <v>0</v>
      </c>
      <c r="J3528">
        <v>0</v>
      </c>
      <c r="K3528">
        <v>0</v>
      </c>
      <c r="N3528">
        <v>3</v>
      </c>
      <c r="O3528">
        <v>3</v>
      </c>
      <c r="P3528">
        <v>4</v>
      </c>
      <c r="Q3528">
        <v>0</v>
      </c>
      <c r="R3528">
        <v>25.6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H3528">
        <v>25.6</v>
      </c>
    </row>
    <row r="3529" spans="1:34" x14ac:dyDescent="0.3">
      <c r="A3529" s="4">
        <v>3645</v>
      </c>
      <c r="B3529" s="5">
        <v>3522</v>
      </c>
      <c r="C3529">
        <v>5369</v>
      </c>
      <c r="D3529" t="s">
        <v>24277</v>
      </c>
      <c r="E3529" t="s">
        <v>255</v>
      </c>
      <c r="F3529" t="s">
        <v>136</v>
      </c>
      <c r="G3529" t="s">
        <v>24278</v>
      </c>
      <c r="H3529">
        <v>18.600000000000001</v>
      </c>
      <c r="I3529">
        <v>0</v>
      </c>
      <c r="J3529">
        <v>0</v>
      </c>
      <c r="K3529">
        <v>0</v>
      </c>
      <c r="N3529">
        <v>3</v>
      </c>
      <c r="O3529">
        <v>3</v>
      </c>
      <c r="P3529">
        <v>4</v>
      </c>
      <c r="Q3529">
        <v>0</v>
      </c>
      <c r="R3529">
        <v>25.6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H3529">
        <v>25.6</v>
      </c>
    </row>
    <row r="3530" spans="1:34" x14ac:dyDescent="0.3">
      <c r="A3530" s="4">
        <v>3646</v>
      </c>
      <c r="B3530" s="5">
        <v>3523</v>
      </c>
      <c r="C3530">
        <v>5146</v>
      </c>
      <c r="D3530" t="s">
        <v>24279</v>
      </c>
      <c r="E3530" t="s">
        <v>24280</v>
      </c>
      <c r="F3530" t="s">
        <v>17</v>
      </c>
      <c r="G3530" t="s">
        <v>24281</v>
      </c>
      <c r="H3530">
        <v>18.600000000000001</v>
      </c>
      <c r="I3530">
        <v>0</v>
      </c>
      <c r="J3530">
        <v>0</v>
      </c>
      <c r="K3530">
        <v>0</v>
      </c>
      <c r="N3530">
        <v>3</v>
      </c>
      <c r="O3530">
        <v>3</v>
      </c>
      <c r="P3530">
        <v>4</v>
      </c>
      <c r="Q3530">
        <v>0</v>
      </c>
      <c r="R3530">
        <v>25.6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H3530">
        <v>25.6</v>
      </c>
    </row>
    <row r="3531" spans="1:34" x14ac:dyDescent="0.3">
      <c r="A3531" s="4">
        <v>3647</v>
      </c>
      <c r="B3531" s="5">
        <v>3524</v>
      </c>
      <c r="C3531">
        <v>15602</v>
      </c>
      <c r="D3531" t="s">
        <v>24282</v>
      </c>
      <c r="E3531" t="s">
        <v>97</v>
      </c>
      <c r="F3531" t="s">
        <v>136</v>
      </c>
      <c r="G3531" t="s">
        <v>24283</v>
      </c>
      <c r="H3531">
        <v>18.600000000000001</v>
      </c>
      <c r="I3531">
        <v>0</v>
      </c>
      <c r="J3531">
        <v>0</v>
      </c>
      <c r="K3531">
        <v>0</v>
      </c>
      <c r="N3531">
        <v>3</v>
      </c>
      <c r="O3531">
        <v>3</v>
      </c>
      <c r="P3531">
        <v>4</v>
      </c>
      <c r="Q3531">
        <v>0</v>
      </c>
      <c r="R3531">
        <v>25.6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H3531">
        <v>25.6</v>
      </c>
    </row>
    <row r="3532" spans="1:34" x14ac:dyDescent="0.3">
      <c r="A3532" s="4">
        <v>3648</v>
      </c>
      <c r="B3532" s="5">
        <v>3525</v>
      </c>
      <c r="C3532">
        <v>4132</v>
      </c>
      <c r="D3532" t="s">
        <v>11228</v>
      </c>
      <c r="E3532" t="s">
        <v>258</v>
      </c>
      <c r="F3532" t="s">
        <v>30</v>
      </c>
      <c r="G3532" t="s">
        <v>24284</v>
      </c>
      <c r="H3532">
        <v>18.600000000000001</v>
      </c>
      <c r="I3532">
        <v>0</v>
      </c>
      <c r="J3532">
        <v>0</v>
      </c>
      <c r="K3532">
        <v>0</v>
      </c>
      <c r="N3532">
        <v>3</v>
      </c>
      <c r="O3532">
        <v>3</v>
      </c>
      <c r="P3532">
        <v>4</v>
      </c>
      <c r="Q3532">
        <v>0</v>
      </c>
      <c r="R3532">
        <v>25.6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H3532">
        <v>25.6</v>
      </c>
    </row>
    <row r="3533" spans="1:34" x14ac:dyDescent="0.3">
      <c r="A3533" s="4">
        <v>3649</v>
      </c>
      <c r="B3533" s="5">
        <v>3526</v>
      </c>
      <c r="C3533">
        <v>9928</v>
      </c>
      <c r="D3533" t="s">
        <v>24285</v>
      </c>
      <c r="E3533" t="s">
        <v>5321</v>
      </c>
      <c r="F3533" t="s">
        <v>20</v>
      </c>
      <c r="G3533" t="s">
        <v>24286</v>
      </c>
      <c r="H3533">
        <v>18.600000000000001</v>
      </c>
      <c r="I3533">
        <v>0</v>
      </c>
      <c r="J3533">
        <v>0</v>
      </c>
      <c r="K3533">
        <v>0</v>
      </c>
      <c r="N3533">
        <v>3</v>
      </c>
      <c r="O3533">
        <v>3</v>
      </c>
      <c r="P3533">
        <v>4</v>
      </c>
      <c r="Q3533">
        <v>0</v>
      </c>
      <c r="R3533">
        <v>25.6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H3533">
        <v>25.6</v>
      </c>
    </row>
    <row r="3534" spans="1:34" x14ac:dyDescent="0.3">
      <c r="A3534" s="4">
        <v>3650</v>
      </c>
      <c r="B3534" s="5">
        <v>3527</v>
      </c>
      <c r="C3534">
        <v>13456</v>
      </c>
      <c r="D3534" t="s">
        <v>24287</v>
      </c>
      <c r="E3534" t="s">
        <v>97</v>
      </c>
      <c r="F3534" t="s">
        <v>20</v>
      </c>
      <c r="G3534" t="s">
        <v>24288</v>
      </c>
      <c r="H3534">
        <v>16.600000000000001</v>
      </c>
      <c r="I3534">
        <v>0</v>
      </c>
      <c r="J3534">
        <v>0</v>
      </c>
      <c r="K3534">
        <v>0</v>
      </c>
      <c r="N3534">
        <v>3</v>
      </c>
      <c r="O3534">
        <v>3</v>
      </c>
      <c r="P3534">
        <v>4</v>
      </c>
      <c r="Q3534">
        <v>2</v>
      </c>
      <c r="R3534">
        <v>25.6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H3534">
        <v>25.6</v>
      </c>
    </row>
    <row r="3535" spans="1:34" x14ac:dyDescent="0.3">
      <c r="A3535" s="4">
        <v>3651</v>
      </c>
      <c r="B3535" s="5">
        <v>3528</v>
      </c>
      <c r="C3535">
        <v>9601</v>
      </c>
      <c r="D3535" t="s">
        <v>24289</v>
      </c>
      <c r="E3535" t="s">
        <v>54</v>
      </c>
      <c r="F3535" t="s">
        <v>20</v>
      </c>
      <c r="G3535" t="s">
        <v>24290</v>
      </c>
      <c r="H3535">
        <v>18.579999999999998</v>
      </c>
      <c r="I3535">
        <v>0</v>
      </c>
      <c r="J3535">
        <v>0</v>
      </c>
      <c r="K3535">
        <v>0</v>
      </c>
      <c r="N3535">
        <v>3</v>
      </c>
      <c r="O3535">
        <v>3</v>
      </c>
      <c r="P3535">
        <v>4</v>
      </c>
      <c r="Q3535">
        <v>0</v>
      </c>
      <c r="R3535">
        <v>25.58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H3535">
        <v>25.58</v>
      </c>
    </row>
    <row r="3536" spans="1:34" x14ac:dyDescent="0.3">
      <c r="A3536" s="4">
        <v>3652</v>
      </c>
      <c r="B3536" s="5">
        <v>3529</v>
      </c>
      <c r="C3536">
        <v>142</v>
      </c>
      <c r="D3536" t="s">
        <v>24291</v>
      </c>
      <c r="E3536" t="s">
        <v>283</v>
      </c>
      <c r="F3536" t="s">
        <v>521</v>
      </c>
      <c r="G3536" t="s">
        <v>24292</v>
      </c>
      <c r="H3536">
        <v>18.55</v>
      </c>
      <c r="I3536">
        <v>0</v>
      </c>
      <c r="J3536">
        <v>0</v>
      </c>
      <c r="K3536">
        <v>0</v>
      </c>
      <c r="O3536">
        <v>0</v>
      </c>
      <c r="P3536">
        <v>4</v>
      </c>
      <c r="Q3536">
        <v>0</v>
      </c>
      <c r="R3536">
        <v>22.55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3</v>
      </c>
      <c r="AC3536">
        <v>0</v>
      </c>
      <c r="AH3536">
        <v>25.55</v>
      </c>
    </row>
    <row r="3537" spans="1:34" x14ac:dyDescent="0.3">
      <c r="A3537" s="4">
        <v>3653</v>
      </c>
      <c r="B3537" s="5">
        <v>3530</v>
      </c>
      <c r="C3537">
        <v>4948</v>
      </c>
      <c r="D3537" t="s">
        <v>24293</v>
      </c>
      <c r="E3537" t="s">
        <v>24294</v>
      </c>
      <c r="F3537" t="s">
        <v>4923</v>
      </c>
      <c r="G3537" t="s">
        <v>24295</v>
      </c>
      <c r="H3537">
        <v>21.55</v>
      </c>
      <c r="I3537">
        <v>0</v>
      </c>
      <c r="J3537">
        <v>0</v>
      </c>
      <c r="K3537">
        <v>0</v>
      </c>
      <c r="O3537">
        <v>0</v>
      </c>
      <c r="P3537">
        <v>4</v>
      </c>
      <c r="Q3537">
        <v>0</v>
      </c>
      <c r="R3537">
        <v>25.55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H3537">
        <v>25.55</v>
      </c>
    </row>
    <row r="3538" spans="1:34" x14ac:dyDescent="0.3">
      <c r="A3538" s="4">
        <v>3654</v>
      </c>
      <c r="B3538" s="5">
        <v>3531</v>
      </c>
      <c r="C3538">
        <v>4714</v>
      </c>
      <c r="D3538" t="s">
        <v>24296</v>
      </c>
      <c r="E3538" t="s">
        <v>24297</v>
      </c>
      <c r="F3538" t="s">
        <v>91</v>
      </c>
      <c r="G3538" t="s">
        <v>24298</v>
      </c>
      <c r="H3538">
        <v>18.55</v>
      </c>
      <c r="I3538">
        <v>0</v>
      </c>
      <c r="J3538">
        <v>0</v>
      </c>
      <c r="K3538">
        <v>0</v>
      </c>
      <c r="N3538">
        <v>3</v>
      </c>
      <c r="O3538">
        <v>3</v>
      </c>
      <c r="P3538">
        <v>4</v>
      </c>
      <c r="Q3538">
        <v>0</v>
      </c>
      <c r="R3538">
        <v>25.55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H3538">
        <v>25.55</v>
      </c>
    </row>
    <row r="3539" spans="1:34" x14ac:dyDescent="0.3">
      <c r="A3539" s="4">
        <v>3655</v>
      </c>
      <c r="B3539" s="5">
        <v>3532</v>
      </c>
      <c r="C3539">
        <v>10594</v>
      </c>
      <c r="D3539" t="s">
        <v>24299</v>
      </c>
      <c r="E3539" t="s">
        <v>12921</v>
      </c>
      <c r="F3539" t="s">
        <v>136</v>
      </c>
      <c r="G3539" t="s">
        <v>24300</v>
      </c>
      <c r="H3539">
        <v>18.55</v>
      </c>
      <c r="I3539">
        <v>0</v>
      </c>
      <c r="J3539">
        <v>0</v>
      </c>
      <c r="K3539">
        <v>0</v>
      </c>
      <c r="N3539">
        <v>3</v>
      </c>
      <c r="O3539">
        <v>3</v>
      </c>
      <c r="P3539">
        <v>4</v>
      </c>
      <c r="Q3539">
        <v>0</v>
      </c>
      <c r="R3539">
        <v>25.55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H3539">
        <v>25.55</v>
      </c>
    </row>
    <row r="3540" spans="1:34" x14ac:dyDescent="0.3">
      <c r="A3540" s="4">
        <v>3656</v>
      </c>
      <c r="B3540" s="5">
        <v>3533</v>
      </c>
      <c r="C3540">
        <v>8634</v>
      </c>
      <c r="D3540" t="s">
        <v>24301</v>
      </c>
      <c r="E3540" t="s">
        <v>208</v>
      </c>
      <c r="F3540" t="s">
        <v>909</v>
      </c>
      <c r="G3540" t="s">
        <v>24302</v>
      </c>
      <c r="H3540">
        <v>18.55</v>
      </c>
      <c r="I3540">
        <v>0</v>
      </c>
      <c r="J3540">
        <v>0</v>
      </c>
      <c r="K3540">
        <v>0</v>
      </c>
      <c r="N3540">
        <v>3</v>
      </c>
      <c r="O3540">
        <v>3</v>
      </c>
      <c r="P3540">
        <v>4</v>
      </c>
      <c r="Q3540">
        <v>0</v>
      </c>
      <c r="R3540">
        <v>25.55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H3540">
        <v>25.55</v>
      </c>
    </row>
    <row r="3541" spans="1:34" x14ac:dyDescent="0.3">
      <c r="A3541" s="4">
        <v>3657</v>
      </c>
      <c r="B3541" s="5">
        <v>3534</v>
      </c>
      <c r="C3541">
        <v>1478</v>
      </c>
      <c r="D3541" t="s">
        <v>24303</v>
      </c>
      <c r="E3541" t="s">
        <v>442</v>
      </c>
      <c r="F3541" t="s">
        <v>68</v>
      </c>
      <c r="G3541" t="s">
        <v>24304</v>
      </c>
      <c r="H3541">
        <v>18.55</v>
      </c>
      <c r="I3541">
        <v>0</v>
      </c>
      <c r="J3541">
        <v>0</v>
      </c>
      <c r="K3541">
        <v>0</v>
      </c>
      <c r="N3541">
        <v>3</v>
      </c>
      <c r="O3541">
        <v>3</v>
      </c>
      <c r="P3541">
        <v>4</v>
      </c>
      <c r="Q3541">
        <v>0</v>
      </c>
      <c r="R3541">
        <v>25.55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H3541">
        <v>25.55</v>
      </c>
    </row>
    <row r="3542" spans="1:34" x14ac:dyDescent="0.3">
      <c r="A3542" s="4">
        <v>3658</v>
      </c>
      <c r="B3542" s="5">
        <v>3535</v>
      </c>
      <c r="C3542">
        <v>11749</v>
      </c>
      <c r="D3542" t="s">
        <v>24305</v>
      </c>
      <c r="E3542" t="s">
        <v>24306</v>
      </c>
      <c r="F3542" t="s">
        <v>310</v>
      </c>
      <c r="G3542" t="s">
        <v>24307</v>
      </c>
      <c r="H3542">
        <v>18.55</v>
      </c>
      <c r="I3542">
        <v>0</v>
      </c>
      <c r="J3542">
        <v>0</v>
      </c>
      <c r="K3542">
        <v>0</v>
      </c>
      <c r="N3542">
        <v>3</v>
      </c>
      <c r="O3542">
        <v>3</v>
      </c>
      <c r="P3542">
        <v>4</v>
      </c>
      <c r="Q3542">
        <v>0</v>
      </c>
      <c r="R3542">
        <v>25.55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H3542">
        <v>25.55</v>
      </c>
    </row>
    <row r="3543" spans="1:34" x14ac:dyDescent="0.3">
      <c r="A3543" s="4">
        <v>3659</v>
      </c>
      <c r="B3543" s="5">
        <v>3536</v>
      </c>
      <c r="C3543">
        <v>2040</v>
      </c>
      <c r="D3543" t="s">
        <v>3508</v>
      </c>
      <c r="E3543" t="s">
        <v>24308</v>
      </c>
      <c r="F3543" t="s">
        <v>17</v>
      </c>
      <c r="G3543" t="s">
        <v>24309</v>
      </c>
      <c r="H3543">
        <v>18.55</v>
      </c>
      <c r="I3543">
        <v>0</v>
      </c>
      <c r="J3543">
        <v>0</v>
      </c>
      <c r="K3543">
        <v>0</v>
      </c>
      <c r="N3543">
        <v>3</v>
      </c>
      <c r="O3543">
        <v>3</v>
      </c>
      <c r="P3543">
        <v>4</v>
      </c>
      <c r="Q3543">
        <v>0</v>
      </c>
      <c r="R3543">
        <v>25.55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H3543">
        <v>25.55</v>
      </c>
    </row>
    <row r="3544" spans="1:34" x14ac:dyDescent="0.3">
      <c r="A3544" s="4">
        <v>3660</v>
      </c>
      <c r="B3544" s="5">
        <v>3537</v>
      </c>
      <c r="C3544">
        <v>2991</v>
      </c>
      <c r="D3544" t="s">
        <v>24310</v>
      </c>
      <c r="E3544" t="s">
        <v>4941</v>
      </c>
      <c r="F3544" t="s">
        <v>62</v>
      </c>
      <c r="G3544" t="s">
        <v>24311</v>
      </c>
      <c r="H3544">
        <v>16.53</v>
      </c>
      <c r="I3544">
        <v>0</v>
      </c>
      <c r="J3544">
        <v>0</v>
      </c>
      <c r="K3544">
        <v>0</v>
      </c>
      <c r="O3544">
        <v>0</v>
      </c>
      <c r="P3544">
        <v>0</v>
      </c>
      <c r="Q3544">
        <v>0</v>
      </c>
      <c r="R3544">
        <v>16.53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9</v>
      </c>
      <c r="AC3544">
        <v>0</v>
      </c>
      <c r="AH3544">
        <v>25.53</v>
      </c>
    </row>
    <row r="3545" spans="1:34" x14ac:dyDescent="0.3">
      <c r="A3545" s="4">
        <v>3661</v>
      </c>
      <c r="B3545" s="5">
        <v>3538</v>
      </c>
      <c r="C3545">
        <v>14902</v>
      </c>
      <c r="D3545" t="s">
        <v>24312</v>
      </c>
      <c r="E3545" t="s">
        <v>349</v>
      </c>
      <c r="F3545" t="s">
        <v>442</v>
      </c>
      <c r="G3545" t="s">
        <v>24313</v>
      </c>
      <c r="H3545">
        <v>18.53</v>
      </c>
      <c r="I3545">
        <v>0</v>
      </c>
      <c r="J3545">
        <v>0</v>
      </c>
      <c r="K3545">
        <v>0</v>
      </c>
      <c r="N3545">
        <v>3</v>
      </c>
      <c r="O3545">
        <v>3</v>
      </c>
      <c r="P3545">
        <v>4</v>
      </c>
      <c r="Q3545">
        <v>0</v>
      </c>
      <c r="R3545">
        <v>25.53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H3545">
        <v>25.53</v>
      </c>
    </row>
    <row r="3546" spans="1:34" x14ac:dyDescent="0.3">
      <c r="A3546" s="4">
        <v>3662</v>
      </c>
      <c r="B3546" s="5">
        <v>3539</v>
      </c>
      <c r="C3546">
        <v>11798</v>
      </c>
      <c r="D3546" t="s">
        <v>24314</v>
      </c>
      <c r="E3546" t="s">
        <v>30</v>
      </c>
      <c r="F3546" t="s">
        <v>343</v>
      </c>
      <c r="G3546" t="s">
        <v>24315</v>
      </c>
      <c r="H3546">
        <v>18.53</v>
      </c>
      <c r="I3546">
        <v>0</v>
      </c>
      <c r="J3546">
        <v>0</v>
      </c>
      <c r="K3546">
        <v>0</v>
      </c>
      <c r="N3546">
        <v>3</v>
      </c>
      <c r="O3546">
        <v>3</v>
      </c>
      <c r="P3546">
        <v>4</v>
      </c>
      <c r="Q3546">
        <v>0</v>
      </c>
      <c r="R3546">
        <v>25.53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H3546">
        <v>25.53</v>
      </c>
    </row>
    <row r="3547" spans="1:34" x14ac:dyDescent="0.3">
      <c r="A3547" s="4">
        <v>3663</v>
      </c>
      <c r="B3547" s="5">
        <v>3540</v>
      </c>
      <c r="C3547">
        <v>6144</v>
      </c>
      <c r="D3547" t="s">
        <v>3276</v>
      </c>
      <c r="E3547" t="s">
        <v>29</v>
      </c>
      <c r="F3547" t="s">
        <v>17</v>
      </c>
      <c r="G3547" t="s">
        <v>24316</v>
      </c>
      <c r="H3547">
        <v>18.5</v>
      </c>
      <c r="I3547">
        <v>0</v>
      </c>
      <c r="J3547">
        <v>0</v>
      </c>
      <c r="K3547">
        <v>0</v>
      </c>
      <c r="O3547">
        <v>0</v>
      </c>
      <c r="P3547">
        <v>4</v>
      </c>
      <c r="Q3547">
        <v>0</v>
      </c>
      <c r="R3547">
        <v>22.5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3</v>
      </c>
      <c r="AC3547">
        <v>0</v>
      </c>
      <c r="AH3547">
        <v>25.5</v>
      </c>
    </row>
    <row r="3548" spans="1:34" x14ac:dyDescent="0.3">
      <c r="A3548" s="4">
        <v>3664</v>
      </c>
      <c r="B3548" s="5">
        <v>3541</v>
      </c>
      <c r="C3548">
        <v>606</v>
      </c>
      <c r="D3548" t="s">
        <v>1907</v>
      </c>
      <c r="E3548" t="s">
        <v>88</v>
      </c>
      <c r="F3548" t="s">
        <v>68</v>
      </c>
      <c r="G3548" t="s">
        <v>24317</v>
      </c>
      <c r="H3548">
        <v>18.5</v>
      </c>
      <c r="I3548">
        <v>0</v>
      </c>
      <c r="J3548">
        <v>0</v>
      </c>
      <c r="K3548">
        <v>0</v>
      </c>
      <c r="N3548">
        <v>3</v>
      </c>
      <c r="O3548">
        <v>3</v>
      </c>
      <c r="P3548">
        <v>4</v>
      </c>
      <c r="Q3548">
        <v>0</v>
      </c>
      <c r="R3548">
        <v>25.5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H3548">
        <v>25.5</v>
      </c>
    </row>
    <row r="3549" spans="1:34" x14ac:dyDescent="0.3">
      <c r="A3549" s="4">
        <v>3665</v>
      </c>
      <c r="B3549" s="5">
        <v>3542</v>
      </c>
      <c r="C3549">
        <v>1067</v>
      </c>
      <c r="D3549" t="s">
        <v>24318</v>
      </c>
      <c r="E3549" t="s">
        <v>16746</v>
      </c>
      <c r="F3549" t="s">
        <v>62</v>
      </c>
      <c r="G3549">
        <v>8101530</v>
      </c>
      <c r="H3549">
        <v>18.5</v>
      </c>
      <c r="I3549">
        <v>0</v>
      </c>
      <c r="J3549">
        <v>0</v>
      </c>
      <c r="K3549">
        <v>0</v>
      </c>
      <c r="N3549">
        <v>3</v>
      </c>
      <c r="O3549">
        <v>3</v>
      </c>
      <c r="P3549">
        <v>4</v>
      </c>
      <c r="Q3549">
        <v>0</v>
      </c>
      <c r="R3549">
        <v>25.5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H3549">
        <v>25.5</v>
      </c>
    </row>
    <row r="3550" spans="1:34" x14ac:dyDescent="0.3">
      <c r="A3550" s="4">
        <v>3666</v>
      </c>
      <c r="B3550" s="5">
        <v>3543</v>
      </c>
      <c r="C3550">
        <v>4796</v>
      </c>
      <c r="D3550" t="s">
        <v>13977</v>
      </c>
      <c r="E3550" t="s">
        <v>23</v>
      </c>
      <c r="F3550" t="s">
        <v>38</v>
      </c>
      <c r="G3550" t="s">
        <v>24319</v>
      </c>
      <c r="H3550">
        <v>18.48</v>
      </c>
      <c r="I3550">
        <v>0</v>
      </c>
      <c r="J3550">
        <v>0</v>
      </c>
      <c r="K3550">
        <v>0</v>
      </c>
      <c r="N3550">
        <v>3</v>
      </c>
      <c r="O3550">
        <v>3</v>
      </c>
      <c r="P3550">
        <v>4</v>
      </c>
      <c r="Q3550">
        <v>0</v>
      </c>
      <c r="R3550">
        <v>25.48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H3550">
        <v>25.48</v>
      </c>
    </row>
    <row r="3551" spans="1:34" x14ac:dyDescent="0.3">
      <c r="A3551" s="4">
        <v>3667</v>
      </c>
      <c r="B3551" s="5">
        <v>3544</v>
      </c>
      <c r="C3551">
        <v>1845</v>
      </c>
      <c r="D3551" t="s">
        <v>7565</v>
      </c>
      <c r="E3551" t="s">
        <v>1659</v>
      </c>
      <c r="F3551" t="s">
        <v>23497</v>
      </c>
      <c r="G3551" t="s">
        <v>24320</v>
      </c>
      <c r="H3551">
        <v>18.48</v>
      </c>
      <c r="I3551">
        <v>0</v>
      </c>
      <c r="J3551">
        <v>0</v>
      </c>
      <c r="K3551">
        <v>0</v>
      </c>
      <c r="N3551">
        <v>3</v>
      </c>
      <c r="O3551">
        <v>3</v>
      </c>
      <c r="P3551">
        <v>4</v>
      </c>
      <c r="Q3551">
        <v>0</v>
      </c>
      <c r="R3551">
        <v>25.48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H3551">
        <v>25.48</v>
      </c>
    </row>
    <row r="3552" spans="1:34" x14ac:dyDescent="0.3">
      <c r="A3552" s="4">
        <v>3668</v>
      </c>
      <c r="B3552" s="5">
        <v>3545</v>
      </c>
      <c r="C3552">
        <v>10968</v>
      </c>
      <c r="D3552" t="s">
        <v>24321</v>
      </c>
      <c r="E3552" t="s">
        <v>442</v>
      </c>
      <c r="F3552" t="s">
        <v>136</v>
      </c>
      <c r="G3552" t="s">
        <v>24322</v>
      </c>
      <c r="H3552">
        <v>18.48</v>
      </c>
      <c r="I3552">
        <v>0</v>
      </c>
      <c r="J3552">
        <v>0</v>
      </c>
      <c r="K3552">
        <v>0</v>
      </c>
      <c r="N3552">
        <v>3</v>
      </c>
      <c r="O3552">
        <v>3</v>
      </c>
      <c r="P3552">
        <v>4</v>
      </c>
      <c r="Q3552">
        <v>0</v>
      </c>
      <c r="R3552">
        <v>25.48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H3552">
        <v>25.48</v>
      </c>
    </row>
    <row r="3553" spans="1:34" x14ac:dyDescent="0.3">
      <c r="A3553" s="4">
        <v>3669</v>
      </c>
      <c r="B3553" s="5">
        <v>3546</v>
      </c>
      <c r="C3553">
        <v>7151</v>
      </c>
      <c r="D3553" t="s">
        <v>4098</v>
      </c>
      <c r="E3553" t="s">
        <v>136</v>
      </c>
      <c r="F3553" t="s">
        <v>20</v>
      </c>
      <c r="G3553" t="s">
        <v>24323</v>
      </c>
      <c r="H3553">
        <v>18.48</v>
      </c>
      <c r="I3553">
        <v>0</v>
      </c>
      <c r="J3553">
        <v>0</v>
      </c>
      <c r="K3553">
        <v>0</v>
      </c>
      <c r="N3553">
        <v>3</v>
      </c>
      <c r="O3553">
        <v>3</v>
      </c>
      <c r="P3553">
        <v>4</v>
      </c>
      <c r="Q3553">
        <v>0</v>
      </c>
      <c r="R3553">
        <v>25.48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H3553">
        <v>25.48</v>
      </c>
    </row>
    <row r="3554" spans="1:34" x14ac:dyDescent="0.3">
      <c r="A3554" s="4">
        <v>3670</v>
      </c>
      <c r="B3554" s="5">
        <v>3547</v>
      </c>
      <c r="C3554">
        <v>12294</v>
      </c>
      <c r="D3554" t="s">
        <v>684</v>
      </c>
      <c r="E3554" t="s">
        <v>1327</v>
      </c>
      <c r="F3554" t="s">
        <v>17</v>
      </c>
      <c r="G3554" t="s">
        <v>24324</v>
      </c>
      <c r="H3554">
        <v>16.48</v>
      </c>
      <c r="I3554">
        <v>0</v>
      </c>
      <c r="J3554">
        <v>0</v>
      </c>
      <c r="K3554">
        <v>0</v>
      </c>
      <c r="N3554">
        <v>3</v>
      </c>
      <c r="O3554">
        <v>3</v>
      </c>
      <c r="P3554">
        <v>4</v>
      </c>
      <c r="Q3554">
        <v>2</v>
      </c>
      <c r="R3554">
        <v>25.48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 t="s">
        <v>130</v>
      </c>
      <c r="AH3554">
        <v>25.48</v>
      </c>
    </row>
    <row r="3555" spans="1:34" x14ac:dyDescent="0.3">
      <c r="A3555" s="4">
        <v>3671</v>
      </c>
      <c r="B3555" s="5">
        <v>3548</v>
      </c>
      <c r="C3555">
        <v>1846</v>
      </c>
      <c r="D3555" t="s">
        <v>24325</v>
      </c>
      <c r="E3555" t="s">
        <v>1016</v>
      </c>
      <c r="F3555" t="s">
        <v>20</v>
      </c>
      <c r="G3555" t="s">
        <v>24326</v>
      </c>
      <c r="H3555">
        <v>18.43</v>
      </c>
      <c r="I3555">
        <v>0</v>
      </c>
      <c r="J3555">
        <v>0</v>
      </c>
      <c r="K3555">
        <v>0</v>
      </c>
      <c r="L3555">
        <v>7</v>
      </c>
      <c r="O3555">
        <v>7</v>
      </c>
      <c r="P3555">
        <v>0</v>
      </c>
      <c r="Q3555">
        <v>0</v>
      </c>
      <c r="R3555">
        <v>25.43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H3555">
        <v>25.43</v>
      </c>
    </row>
    <row r="3556" spans="1:34" x14ac:dyDescent="0.3">
      <c r="A3556" s="4">
        <v>3672</v>
      </c>
      <c r="B3556" s="5">
        <v>3549</v>
      </c>
      <c r="C3556">
        <v>6105</v>
      </c>
      <c r="D3556" t="s">
        <v>24327</v>
      </c>
      <c r="E3556" t="s">
        <v>255</v>
      </c>
      <c r="F3556" t="s">
        <v>124</v>
      </c>
      <c r="G3556" t="s">
        <v>24328</v>
      </c>
      <c r="H3556">
        <v>18.399999999999999</v>
      </c>
      <c r="I3556">
        <v>0</v>
      </c>
      <c r="J3556">
        <v>0</v>
      </c>
      <c r="K3556">
        <v>0</v>
      </c>
      <c r="N3556">
        <v>3</v>
      </c>
      <c r="O3556">
        <v>3</v>
      </c>
      <c r="P3556">
        <v>4</v>
      </c>
      <c r="Q3556">
        <v>0</v>
      </c>
      <c r="R3556">
        <v>25.4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H3556">
        <v>25.4</v>
      </c>
    </row>
    <row r="3557" spans="1:34" x14ac:dyDescent="0.3">
      <c r="A3557" s="4">
        <v>3673</v>
      </c>
      <c r="B3557" s="5">
        <v>3550</v>
      </c>
      <c r="C3557">
        <v>6886</v>
      </c>
      <c r="D3557" t="s">
        <v>8424</v>
      </c>
      <c r="E3557" t="s">
        <v>24329</v>
      </c>
      <c r="F3557" t="s">
        <v>68</v>
      </c>
      <c r="G3557" t="s">
        <v>24330</v>
      </c>
      <c r="H3557">
        <v>19.38</v>
      </c>
      <c r="I3557">
        <v>0</v>
      </c>
      <c r="J3557">
        <v>0</v>
      </c>
      <c r="K3557">
        <v>0</v>
      </c>
      <c r="N3557">
        <v>3</v>
      </c>
      <c r="O3557">
        <v>3</v>
      </c>
      <c r="P3557">
        <v>0</v>
      </c>
      <c r="Q3557">
        <v>0</v>
      </c>
      <c r="R3557">
        <v>22.38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3</v>
      </c>
      <c r="AC3557">
        <v>0</v>
      </c>
      <c r="AH3557">
        <v>25.38</v>
      </c>
    </row>
    <row r="3558" spans="1:34" x14ac:dyDescent="0.3">
      <c r="A3558" s="4">
        <v>3674</v>
      </c>
      <c r="B3558" s="5">
        <v>3551</v>
      </c>
      <c r="C3558">
        <v>10973</v>
      </c>
      <c r="D3558" t="s">
        <v>1742</v>
      </c>
      <c r="E3558" t="s">
        <v>283</v>
      </c>
      <c r="F3558" t="s">
        <v>124</v>
      </c>
      <c r="G3558" t="s">
        <v>24331</v>
      </c>
      <c r="H3558">
        <v>18.38</v>
      </c>
      <c r="I3558">
        <v>0</v>
      </c>
      <c r="J3558">
        <v>0</v>
      </c>
      <c r="K3558">
        <v>0</v>
      </c>
      <c r="N3558">
        <v>3</v>
      </c>
      <c r="O3558">
        <v>3</v>
      </c>
      <c r="P3558">
        <v>4</v>
      </c>
      <c r="Q3558">
        <v>0</v>
      </c>
      <c r="R3558">
        <v>25.38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H3558">
        <v>25.38</v>
      </c>
    </row>
    <row r="3559" spans="1:34" x14ac:dyDescent="0.3">
      <c r="A3559" s="4">
        <v>3675</v>
      </c>
      <c r="B3559" s="5">
        <v>3552</v>
      </c>
      <c r="C3559">
        <v>9932</v>
      </c>
      <c r="D3559" t="s">
        <v>1907</v>
      </c>
      <c r="E3559" t="s">
        <v>139</v>
      </c>
      <c r="F3559" t="s">
        <v>136</v>
      </c>
      <c r="G3559" t="s">
        <v>24332</v>
      </c>
      <c r="H3559">
        <v>18.38</v>
      </c>
      <c r="I3559">
        <v>0</v>
      </c>
      <c r="J3559">
        <v>0</v>
      </c>
      <c r="K3559">
        <v>0</v>
      </c>
      <c r="N3559">
        <v>3</v>
      </c>
      <c r="O3559">
        <v>3</v>
      </c>
      <c r="P3559">
        <v>4</v>
      </c>
      <c r="Q3559">
        <v>0</v>
      </c>
      <c r="R3559">
        <v>25.38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H3559">
        <v>25.38</v>
      </c>
    </row>
    <row r="3560" spans="1:34" x14ac:dyDescent="0.3">
      <c r="A3560" s="4">
        <v>3676</v>
      </c>
      <c r="B3560" s="5">
        <v>3553</v>
      </c>
      <c r="C3560">
        <v>9610</v>
      </c>
      <c r="D3560" t="s">
        <v>24333</v>
      </c>
      <c r="E3560" t="s">
        <v>97</v>
      </c>
      <c r="F3560" t="s">
        <v>190</v>
      </c>
      <c r="G3560" t="s">
        <v>24334</v>
      </c>
      <c r="H3560">
        <v>18.38</v>
      </c>
      <c r="I3560">
        <v>0</v>
      </c>
      <c r="J3560">
        <v>0</v>
      </c>
      <c r="K3560">
        <v>0</v>
      </c>
      <c r="N3560">
        <v>3</v>
      </c>
      <c r="O3560">
        <v>3</v>
      </c>
      <c r="P3560">
        <v>4</v>
      </c>
      <c r="Q3560">
        <v>0</v>
      </c>
      <c r="R3560">
        <v>25.38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H3560">
        <v>25.38</v>
      </c>
    </row>
    <row r="3561" spans="1:34" x14ac:dyDescent="0.3">
      <c r="A3561" s="4">
        <v>3677</v>
      </c>
      <c r="B3561" s="5">
        <v>3554</v>
      </c>
      <c r="C3561">
        <v>12504</v>
      </c>
      <c r="D3561" t="s">
        <v>24335</v>
      </c>
      <c r="E3561" t="s">
        <v>29</v>
      </c>
      <c r="F3561" t="s">
        <v>17</v>
      </c>
      <c r="G3561" t="s">
        <v>24336</v>
      </c>
      <c r="H3561">
        <v>18.350000000000001</v>
      </c>
      <c r="I3561">
        <v>0</v>
      </c>
      <c r="J3561">
        <v>0</v>
      </c>
      <c r="K3561">
        <v>0</v>
      </c>
      <c r="O3561">
        <v>0</v>
      </c>
      <c r="P3561">
        <v>4</v>
      </c>
      <c r="Q3561">
        <v>0</v>
      </c>
      <c r="R3561">
        <v>22.35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3</v>
      </c>
      <c r="AC3561">
        <v>0</v>
      </c>
      <c r="AH3561">
        <v>25.35</v>
      </c>
    </row>
    <row r="3562" spans="1:34" x14ac:dyDescent="0.3">
      <c r="A3562" s="4">
        <v>3678</v>
      </c>
      <c r="B3562" s="5">
        <v>3555</v>
      </c>
      <c r="C3562">
        <v>6109</v>
      </c>
      <c r="D3562" t="s">
        <v>752</v>
      </c>
      <c r="E3562" t="s">
        <v>100</v>
      </c>
      <c r="F3562" t="s">
        <v>20</v>
      </c>
      <c r="G3562" t="s">
        <v>24337</v>
      </c>
      <c r="H3562">
        <v>18.350000000000001</v>
      </c>
      <c r="I3562">
        <v>0</v>
      </c>
      <c r="J3562">
        <v>0</v>
      </c>
      <c r="K3562">
        <v>0</v>
      </c>
      <c r="O3562">
        <v>0</v>
      </c>
      <c r="P3562">
        <v>4</v>
      </c>
      <c r="Q3562">
        <v>0</v>
      </c>
      <c r="R3562">
        <v>22.35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3</v>
      </c>
      <c r="AC3562">
        <v>0</v>
      </c>
      <c r="AH3562">
        <v>25.35</v>
      </c>
    </row>
    <row r="3563" spans="1:34" x14ac:dyDescent="0.3">
      <c r="A3563" s="4">
        <v>3679</v>
      </c>
      <c r="B3563" s="5">
        <v>3556</v>
      </c>
      <c r="C3563">
        <v>15265</v>
      </c>
      <c r="D3563" t="s">
        <v>3657</v>
      </c>
      <c r="E3563" t="s">
        <v>100</v>
      </c>
      <c r="F3563" t="s">
        <v>68</v>
      </c>
      <c r="G3563" t="s">
        <v>24338</v>
      </c>
      <c r="H3563">
        <v>18.350000000000001</v>
      </c>
      <c r="I3563">
        <v>0</v>
      </c>
      <c r="J3563">
        <v>0</v>
      </c>
      <c r="K3563">
        <v>0</v>
      </c>
      <c r="N3563">
        <v>3</v>
      </c>
      <c r="O3563">
        <v>3</v>
      </c>
      <c r="P3563">
        <v>4</v>
      </c>
      <c r="Q3563">
        <v>0</v>
      </c>
      <c r="R3563">
        <v>25.35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H3563">
        <v>25.35</v>
      </c>
    </row>
    <row r="3564" spans="1:34" x14ac:dyDescent="0.3">
      <c r="A3564" s="4">
        <v>3680</v>
      </c>
      <c r="B3564" s="5">
        <v>3557</v>
      </c>
      <c r="C3564">
        <v>14292</v>
      </c>
      <c r="D3564" t="s">
        <v>24339</v>
      </c>
      <c r="E3564" t="s">
        <v>61</v>
      </c>
      <c r="F3564" t="s">
        <v>1000</v>
      </c>
      <c r="G3564" t="s">
        <v>24340</v>
      </c>
      <c r="H3564">
        <v>21.33</v>
      </c>
      <c r="I3564">
        <v>0</v>
      </c>
      <c r="J3564">
        <v>0</v>
      </c>
      <c r="K3564">
        <v>0</v>
      </c>
      <c r="O3564">
        <v>0</v>
      </c>
      <c r="P3564">
        <v>4</v>
      </c>
      <c r="Q3564">
        <v>0</v>
      </c>
      <c r="R3564">
        <v>25.33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H3564">
        <v>25.33</v>
      </c>
    </row>
    <row r="3565" spans="1:34" x14ac:dyDescent="0.3">
      <c r="A3565" s="4">
        <v>3681</v>
      </c>
      <c r="B3565" s="5">
        <v>3558</v>
      </c>
      <c r="C3565">
        <v>10918</v>
      </c>
      <c r="D3565" t="s">
        <v>24341</v>
      </c>
      <c r="E3565" t="s">
        <v>110</v>
      </c>
      <c r="F3565" t="s">
        <v>117</v>
      </c>
      <c r="G3565" t="s">
        <v>24342</v>
      </c>
      <c r="H3565">
        <v>18.329999999999998</v>
      </c>
      <c r="I3565">
        <v>0</v>
      </c>
      <c r="J3565">
        <v>0</v>
      </c>
      <c r="K3565">
        <v>0</v>
      </c>
      <c r="N3565">
        <v>3</v>
      </c>
      <c r="O3565">
        <v>3</v>
      </c>
      <c r="P3565">
        <v>4</v>
      </c>
      <c r="Q3565">
        <v>0</v>
      </c>
      <c r="R3565">
        <v>25.33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H3565">
        <v>25.33</v>
      </c>
    </row>
    <row r="3566" spans="1:34" x14ac:dyDescent="0.3">
      <c r="A3566" s="4">
        <v>3682</v>
      </c>
      <c r="B3566" s="5">
        <v>3559</v>
      </c>
      <c r="C3566">
        <v>3871</v>
      </c>
      <c r="D3566" t="s">
        <v>24343</v>
      </c>
      <c r="E3566" t="s">
        <v>972</v>
      </c>
      <c r="F3566" t="s">
        <v>81</v>
      </c>
      <c r="G3566" t="s">
        <v>24344</v>
      </c>
      <c r="H3566">
        <v>18.329999999999998</v>
      </c>
      <c r="I3566">
        <v>0</v>
      </c>
      <c r="J3566">
        <v>0</v>
      </c>
      <c r="K3566">
        <v>0</v>
      </c>
      <c r="N3566">
        <v>3</v>
      </c>
      <c r="O3566">
        <v>3</v>
      </c>
      <c r="P3566">
        <v>4</v>
      </c>
      <c r="Q3566">
        <v>0</v>
      </c>
      <c r="R3566">
        <v>25.33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H3566">
        <v>25.33</v>
      </c>
    </row>
    <row r="3567" spans="1:34" x14ac:dyDescent="0.3">
      <c r="A3567" s="4">
        <v>3683</v>
      </c>
      <c r="B3567" s="5">
        <v>3560</v>
      </c>
      <c r="C3567">
        <v>15463</v>
      </c>
      <c r="D3567" t="s">
        <v>8837</v>
      </c>
      <c r="E3567" t="s">
        <v>230</v>
      </c>
      <c r="F3567" t="s">
        <v>17</v>
      </c>
      <c r="G3567" t="s">
        <v>24345</v>
      </c>
      <c r="H3567">
        <v>18.329999999999998</v>
      </c>
      <c r="I3567">
        <v>0</v>
      </c>
      <c r="J3567">
        <v>0</v>
      </c>
      <c r="K3567">
        <v>0</v>
      </c>
      <c r="N3567">
        <v>3</v>
      </c>
      <c r="O3567">
        <v>3</v>
      </c>
      <c r="P3567">
        <v>4</v>
      </c>
      <c r="Q3567">
        <v>0</v>
      </c>
      <c r="R3567">
        <v>25.33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H3567">
        <v>25.33</v>
      </c>
    </row>
    <row r="3568" spans="1:34" x14ac:dyDescent="0.3">
      <c r="A3568" s="4">
        <v>3684</v>
      </c>
      <c r="B3568" s="5">
        <v>3561</v>
      </c>
      <c r="C3568">
        <v>5692</v>
      </c>
      <c r="D3568" t="s">
        <v>24346</v>
      </c>
      <c r="E3568" t="s">
        <v>33</v>
      </c>
      <c r="F3568" t="s">
        <v>17</v>
      </c>
      <c r="G3568" t="s">
        <v>24347</v>
      </c>
      <c r="H3568">
        <v>18.329999999999998</v>
      </c>
      <c r="I3568">
        <v>0</v>
      </c>
      <c r="J3568">
        <v>0</v>
      </c>
      <c r="K3568">
        <v>0</v>
      </c>
      <c r="N3568">
        <v>3</v>
      </c>
      <c r="O3568">
        <v>3</v>
      </c>
      <c r="P3568">
        <v>4</v>
      </c>
      <c r="Q3568">
        <v>0</v>
      </c>
      <c r="R3568">
        <v>25.33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H3568">
        <v>25.33</v>
      </c>
    </row>
    <row r="3569" spans="1:34" x14ac:dyDescent="0.3">
      <c r="A3569" s="4">
        <v>3685</v>
      </c>
      <c r="B3569" s="5">
        <v>3562</v>
      </c>
      <c r="C3569">
        <v>12432</v>
      </c>
      <c r="D3569" t="s">
        <v>5239</v>
      </c>
      <c r="E3569" t="s">
        <v>550</v>
      </c>
      <c r="F3569" t="s">
        <v>17</v>
      </c>
      <c r="G3569" t="s">
        <v>24348</v>
      </c>
      <c r="H3569">
        <v>18.3</v>
      </c>
      <c r="I3569">
        <v>0</v>
      </c>
      <c r="J3569">
        <v>0</v>
      </c>
      <c r="K3569">
        <v>0</v>
      </c>
      <c r="N3569">
        <v>3</v>
      </c>
      <c r="O3569">
        <v>3</v>
      </c>
      <c r="P3569">
        <v>4</v>
      </c>
      <c r="Q3569">
        <v>0</v>
      </c>
      <c r="R3569">
        <v>25.3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H3569">
        <v>25.3</v>
      </c>
    </row>
    <row r="3570" spans="1:34" x14ac:dyDescent="0.3">
      <c r="A3570" s="4">
        <v>3686</v>
      </c>
      <c r="B3570" s="5">
        <v>3563</v>
      </c>
      <c r="C3570">
        <v>7140</v>
      </c>
      <c r="D3570" t="s">
        <v>24349</v>
      </c>
      <c r="E3570" t="s">
        <v>68</v>
      </c>
      <c r="F3570" t="s">
        <v>38</v>
      </c>
      <c r="G3570" t="s">
        <v>24350</v>
      </c>
      <c r="H3570">
        <v>18.3</v>
      </c>
      <c r="I3570">
        <v>0</v>
      </c>
      <c r="J3570">
        <v>0</v>
      </c>
      <c r="K3570">
        <v>0</v>
      </c>
      <c r="L3570">
        <v>7</v>
      </c>
      <c r="O3570">
        <v>7</v>
      </c>
      <c r="P3570">
        <v>0</v>
      </c>
      <c r="Q3570">
        <v>0</v>
      </c>
      <c r="R3570">
        <v>25.3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H3570">
        <v>25.3</v>
      </c>
    </row>
    <row r="3571" spans="1:34" x14ac:dyDescent="0.3">
      <c r="A3571" s="4">
        <v>3687</v>
      </c>
      <c r="B3571" s="5">
        <v>3564</v>
      </c>
      <c r="C3571">
        <v>8721</v>
      </c>
      <c r="D3571" t="s">
        <v>2916</v>
      </c>
      <c r="E3571" t="s">
        <v>147</v>
      </c>
      <c r="F3571" t="s">
        <v>243</v>
      </c>
      <c r="G3571" t="s">
        <v>24351</v>
      </c>
      <c r="H3571">
        <v>18.3</v>
      </c>
      <c r="I3571">
        <v>0</v>
      </c>
      <c r="J3571">
        <v>0</v>
      </c>
      <c r="K3571">
        <v>0</v>
      </c>
      <c r="N3571">
        <v>3</v>
      </c>
      <c r="O3571">
        <v>3</v>
      </c>
      <c r="P3571">
        <v>4</v>
      </c>
      <c r="Q3571">
        <v>0</v>
      </c>
      <c r="R3571">
        <v>25.3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H3571">
        <v>25.3</v>
      </c>
    </row>
    <row r="3572" spans="1:34" x14ac:dyDescent="0.3">
      <c r="A3572" s="4">
        <v>3688</v>
      </c>
      <c r="B3572" s="5">
        <v>3565</v>
      </c>
      <c r="C3572">
        <v>10329</v>
      </c>
      <c r="D3572" t="s">
        <v>6423</v>
      </c>
      <c r="E3572" t="s">
        <v>37</v>
      </c>
      <c r="F3572" t="s">
        <v>38</v>
      </c>
      <c r="G3572" t="s">
        <v>24352</v>
      </c>
      <c r="H3572">
        <v>18.28</v>
      </c>
      <c r="I3572">
        <v>0</v>
      </c>
      <c r="J3572">
        <v>0</v>
      </c>
      <c r="K3572">
        <v>0</v>
      </c>
      <c r="N3572">
        <v>3</v>
      </c>
      <c r="O3572">
        <v>3</v>
      </c>
      <c r="P3572">
        <v>4</v>
      </c>
      <c r="Q3572">
        <v>0</v>
      </c>
      <c r="R3572">
        <v>25.28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H3572">
        <v>25.28</v>
      </c>
    </row>
    <row r="3573" spans="1:34" x14ac:dyDescent="0.3">
      <c r="A3573" s="4">
        <v>3689</v>
      </c>
      <c r="B3573" s="5">
        <v>3566</v>
      </c>
      <c r="C3573">
        <v>9360</v>
      </c>
      <c r="D3573" t="s">
        <v>784</v>
      </c>
      <c r="E3573" t="s">
        <v>825</v>
      </c>
      <c r="F3573" t="s">
        <v>343</v>
      </c>
      <c r="G3573" t="s">
        <v>24353</v>
      </c>
      <c r="H3573">
        <v>18.28</v>
      </c>
      <c r="I3573">
        <v>0</v>
      </c>
      <c r="J3573">
        <v>0</v>
      </c>
      <c r="K3573">
        <v>0</v>
      </c>
      <c r="N3573">
        <v>3</v>
      </c>
      <c r="O3573">
        <v>3</v>
      </c>
      <c r="P3573">
        <v>4</v>
      </c>
      <c r="Q3573">
        <v>0</v>
      </c>
      <c r="R3573">
        <v>25.28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H3573">
        <v>25.28</v>
      </c>
    </row>
    <row r="3574" spans="1:34" x14ac:dyDescent="0.3">
      <c r="A3574" s="4">
        <v>3690</v>
      </c>
      <c r="B3574" s="5">
        <v>3567</v>
      </c>
      <c r="C3574">
        <v>4811</v>
      </c>
      <c r="D3574" t="s">
        <v>24354</v>
      </c>
      <c r="E3574" t="s">
        <v>208</v>
      </c>
      <c r="F3574" t="s">
        <v>136</v>
      </c>
      <c r="G3574" t="s">
        <v>24355</v>
      </c>
      <c r="H3574">
        <v>18.28</v>
      </c>
      <c r="I3574">
        <v>0</v>
      </c>
      <c r="J3574">
        <v>0</v>
      </c>
      <c r="K3574">
        <v>0</v>
      </c>
      <c r="N3574">
        <v>3</v>
      </c>
      <c r="O3574">
        <v>3</v>
      </c>
      <c r="P3574">
        <v>4</v>
      </c>
      <c r="Q3574">
        <v>0</v>
      </c>
      <c r="R3574">
        <v>25.28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H3574">
        <v>25.28</v>
      </c>
    </row>
    <row r="3575" spans="1:34" x14ac:dyDescent="0.3">
      <c r="A3575" s="4">
        <v>3691</v>
      </c>
      <c r="B3575" s="5">
        <v>3568</v>
      </c>
      <c r="C3575">
        <v>15076</v>
      </c>
      <c r="D3575" t="s">
        <v>24356</v>
      </c>
      <c r="E3575" t="s">
        <v>8697</v>
      </c>
      <c r="F3575" t="s">
        <v>24357</v>
      </c>
      <c r="G3575" t="s">
        <v>24358</v>
      </c>
      <c r="H3575">
        <v>18.28</v>
      </c>
      <c r="I3575">
        <v>0</v>
      </c>
      <c r="J3575">
        <v>0</v>
      </c>
      <c r="K3575">
        <v>0</v>
      </c>
      <c r="N3575">
        <v>3</v>
      </c>
      <c r="O3575">
        <v>3</v>
      </c>
      <c r="P3575">
        <v>4</v>
      </c>
      <c r="Q3575">
        <v>0</v>
      </c>
      <c r="R3575">
        <v>25.28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H3575">
        <v>25.28</v>
      </c>
    </row>
    <row r="3576" spans="1:34" x14ac:dyDescent="0.3">
      <c r="A3576" s="4">
        <v>3692</v>
      </c>
      <c r="B3576" s="5">
        <v>3569</v>
      </c>
      <c r="C3576">
        <v>3329</v>
      </c>
      <c r="D3576" t="s">
        <v>24359</v>
      </c>
      <c r="E3576" t="s">
        <v>17</v>
      </c>
      <c r="F3576" t="s">
        <v>68</v>
      </c>
      <c r="G3576" t="s">
        <v>24360</v>
      </c>
      <c r="H3576">
        <v>18.28</v>
      </c>
      <c r="I3576">
        <v>0</v>
      </c>
      <c r="J3576">
        <v>0</v>
      </c>
      <c r="K3576">
        <v>0</v>
      </c>
      <c r="N3576">
        <v>3</v>
      </c>
      <c r="O3576">
        <v>3</v>
      </c>
      <c r="P3576">
        <v>4</v>
      </c>
      <c r="Q3576">
        <v>0</v>
      </c>
      <c r="R3576">
        <v>25.28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H3576">
        <v>25.28</v>
      </c>
    </row>
    <row r="3577" spans="1:34" x14ac:dyDescent="0.3">
      <c r="A3577" s="4">
        <v>3693</v>
      </c>
      <c r="B3577" s="5">
        <v>3570</v>
      </c>
      <c r="C3577">
        <v>14936</v>
      </c>
      <c r="D3577" t="s">
        <v>24361</v>
      </c>
      <c r="E3577" t="s">
        <v>81</v>
      </c>
      <c r="F3577" t="s">
        <v>30</v>
      </c>
      <c r="G3577" t="s">
        <v>24362</v>
      </c>
      <c r="H3577">
        <v>18.28</v>
      </c>
      <c r="I3577">
        <v>0</v>
      </c>
      <c r="J3577">
        <v>0</v>
      </c>
      <c r="K3577">
        <v>0</v>
      </c>
      <c r="N3577">
        <v>3</v>
      </c>
      <c r="O3577">
        <v>3</v>
      </c>
      <c r="P3577">
        <v>4</v>
      </c>
      <c r="Q3577">
        <v>0</v>
      </c>
      <c r="R3577">
        <v>25.28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H3577">
        <v>25.28</v>
      </c>
    </row>
    <row r="3578" spans="1:34" x14ac:dyDescent="0.3">
      <c r="A3578" s="4">
        <v>3694</v>
      </c>
      <c r="B3578" s="5">
        <v>3571</v>
      </c>
      <c r="C3578">
        <v>4466</v>
      </c>
      <c r="D3578" t="s">
        <v>24363</v>
      </c>
      <c r="E3578" t="s">
        <v>132</v>
      </c>
      <c r="F3578" t="s">
        <v>55</v>
      </c>
      <c r="G3578" t="s">
        <v>24364</v>
      </c>
      <c r="H3578">
        <v>18.28</v>
      </c>
      <c r="I3578">
        <v>0</v>
      </c>
      <c r="J3578">
        <v>0</v>
      </c>
      <c r="K3578">
        <v>0</v>
      </c>
      <c r="N3578">
        <v>3</v>
      </c>
      <c r="O3578">
        <v>3</v>
      </c>
      <c r="P3578">
        <v>4</v>
      </c>
      <c r="Q3578">
        <v>0</v>
      </c>
      <c r="R3578">
        <v>25.28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H3578">
        <v>25.28</v>
      </c>
    </row>
    <row r="3579" spans="1:34" x14ac:dyDescent="0.3">
      <c r="A3579" s="4">
        <v>3695</v>
      </c>
      <c r="B3579" s="5">
        <v>3572</v>
      </c>
      <c r="C3579">
        <v>7476</v>
      </c>
      <c r="D3579" t="s">
        <v>18786</v>
      </c>
      <c r="E3579" t="s">
        <v>161</v>
      </c>
      <c r="F3579" t="s">
        <v>136</v>
      </c>
      <c r="G3579" t="s">
        <v>24365</v>
      </c>
      <c r="H3579">
        <v>18.25</v>
      </c>
      <c r="I3579">
        <v>0</v>
      </c>
      <c r="J3579">
        <v>0</v>
      </c>
      <c r="K3579">
        <v>0</v>
      </c>
      <c r="O3579">
        <v>0</v>
      </c>
      <c r="P3579">
        <v>4</v>
      </c>
      <c r="Q3579">
        <v>0</v>
      </c>
      <c r="R3579">
        <v>22.25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3</v>
      </c>
      <c r="AC3579">
        <v>0</v>
      </c>
      <c r="AH3579">
        <v>25.25</v>
      </c>
    </row>
    <row r="3580" spans="1:34" x14ac:dyDescent="0.3">
      <c r="A3580" s="4">
        <v>3696</v>
      </c>
      <c r="B3580" s="5">
        <v>3573</v>
      </c>
      <c r="C3580">
        <v>15150</v>
      </c>
      <c r="D3580" t="s">
        <v>3119</v>
      </c>
      <c r="E3580" t="s">
        <v>255</v>
      </c>
      <c r="F3580" t="s">
        <v>158</v>
      </c>
      <c r="G3580" t="s">
        <v>24366</v>
      </c>
      <c r="H3580">
        <v>18.25</v>
      </c>
      <c r="I3580">
        <v>0</v>
      </c>
      <c r="J3580">
        <v>0</v>
      </c>
      <c r="K3580">
        <v>0</v>
      </c>
      <c r="O3580">
        <v>0</v>
      </c>
      <c r="P3580">
        <v>4</v>
      </c>
      <c r="Q3580">
        <v>0</v>
      </c>
      <c r="R3580">
        <v>22.25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3</v>
      </c>
      <c r="AC3580">
        <v>0</v>
      </c>
      <c r="AH3580">
        <v>25.25</v>
      </c>
    </row>
    <row r="3581" spans="1:34" x14ac:dyDescent="0.3">
      <c r="A3581" s="4">
        <v>3697</v>
      </c>
      <c r="B3581" s="5">
        <v>3574</v>
      </c>
      <c r="C3581">
        <v>11876</v>
      </c>
      <c r="D3581" t="s">
        <v>4937</v>
      </c>
      <c r="E3581" t="s">
        <v>41</v>
      </c>
      <c r="F3581" t="s">
        <v>17</v>
      </c>
      <c r="G3581" t="s">
        <v>24367</v>
      </c>
      <c r="H3581">
        <v>18.25</v>
      </c>
      <c r="I3581">
        <v>0</v>
      </c>
      <c r="J3581">
        <v>0</v>
      </c>
      <c r="K3581">
        <v>0</v>
      </c>
      <c r="N3581">
        <v>3</v>
      </c>
      <c r="O3581">
        <v>3</v>
      </c>
      <c r="P3581">
        <v>4</v>
      </c>
      <c r="Q3581">
        <v>0</v>
      </c>
      <c r="R3581">
        <v>25.25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H3581">
        <v>25.25</v>
      </c>
    </row>
    <row r="3582" spans="1:34" x14ac:dyDescent="0.3">
      <c r="A3582" s="4">
        <v>3698</v>
      </c>
      <c r="B3582" s="5">
        <v>3575</v>
      </c>
      <c r="C3582">
        <v>2188</v>
      </c>
      <c r="D3582" t="s">
        <v>11633</v>
      </c>
      <c r="E3582" t="s">
        <v>1508</v>
      </c>
      <c r="F3582" t="s">
        <v>243</v>
      </c>
      <c r="G3582" t="s">
        <v>24368</v>
      </c>
      <c r="H3582">
        <v>18.25</v>
      </c>
      <c r="I3582">
        <v>0</v>
      </c>
      <c r="J3582">
        <v>0</v>
      </c>
      <c r="K3582">
        <v>0</v>
      </c>
      <c r="N3582">
        <v>3</v>
      </c>
      <c r="O3582">
        <v>3</v>
      </c>
      <c r="P3582">
        <v>4</v>
      </c>
      <c r="Q3582">
        <v>0</v>
      </c>
      <c r="R3582">
        <v>25.25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H3582">
        <v>25.25</v>
      </c>
    </row>
    <row r="3583" spans="1:34" x14ac:dyDescent="0.3">
      <c r="A3583" s="4">
        <v>3699</v>
      </c>
      <c r="B3583" s="5">
        <v>3576</v>
      </c>
      <c r="C3583">
        <v>2003</v>
      </c>
      <c r="D3583" t="s">
        <v>3181</v>
      </c>
      <c r="E3583" t="s">
        <v>307</v>
      </c>
      <c r="F3583" t="s">
        <v>425</v>
      </c>
      <c r="G3583" t="s">
        <v>24369</v>
      </c>
      <c r="H3583">
        <v>18.25</v>
      </c>
      <c r="I3583">
        <v>0</v>
      </c>
      <c r="J3583">
        <v>0</v>
      </c>
      <c r="K3583">
        <v>0</v>
      </c>
      <c r="N3583">
        <v>3</v>
      </c>
      <c r="O3583">
        <v>3</v>
      </c>
      <c r="P3583">
        <v>4</v>
      </c>
      <c r="Q3583">
        <v>0</v>
      </c>
      <c r="R3583">
        <v>25.25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H3583">
        <v>25.25</v>
      </c>
    </row>
    <row r="3584" spans="1:34" x14ac:dyDescent="0.3">
      <c r="A3584" s="4">
        <v>3700</v>
      </c>
      <c r="B3584" s="5">
        <v>3577</v>
      </c>
      <c r="C3584">
        <v>9697</v>
      </c>
      <c r="D3584" t="s">
        <v>20594</v>
      </c>
      <c r="E3584" t="s">
        <v>24370</v>
      </c>
      <c r="F3584" t="s">
        <v>136</v>
      </c>
      <c r="G3584" t="s">
        <v>24371</v>
      </c>
      <c r="H3584">
        <v>18.25</v>
      </c>
      <c r="I3584">
        <v>0</v>
      </c>
      <c r="J3584">
        <v>0</v>
      </c>
      <c r="K3584">
        <v>0</v>
      </c>
      <c r="N3584">
        <v>3</v>
      </c>
      <c r="O3584">
        <v>3</v>
      </c>
      <c r="P3584">
        <v>4</v>
      </c>
      <c r="Q3584">
        <v>0</v>
      </c>
      <c r="R3584">
        <v>25.25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H3584">
        <v>25.25</v>
      </c>
    </row>
    <row r="3585" spans="1:34" x14ac:dyDescent="0.3">
      <c r="A3585" s="4">
        <v>3701</v>
      </c>
      <c r="B3585" s="5">
        <v>3578</v>
      </c>
      <c r="C3585">
        <v>8754</v>
      </c>
      <c r="D3585" t="s">
        <v>24372</v>
      </c>
      <c r="E3585" t="s">
        <v>29</v>
      </c>
      <c r="F3585" t="s">
        <v>81</v>
      </c>
      <c r="G3585" t="s">
        <v>24373</v>
      </c>
      <c r="H3585">
        <v>18.25</v>
      </c>
      <c r="I3585">
        <v>0</v>
      </c>
      <c r="J3585">
        <v>0</v>
      </c>
      <c r="K3585">
        <v>0</v>
      </c>
      <c r="M3585">
        <v>5</v>
      </c>
      <c r="O3585">
        <v>5</v>
      </c>
      <c r="P3585">
        <v>0</v>
      </c>
      <c r="Q3585">
        <v>2</v>
      </c>
      <c r="R3585">
        <v>25.25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H3585">
        <v>25.25</v>
      </c>
    </row>
    <row r="3586" spans="1:34" x14ac:dyDescent="0.3">
      <c r="A3586" s="4">
        <v>3702</v>
      </c>
      <c r="B3586" s="5">
        <v>3579</v>
      </c>
      <c r="C3586">
        <v>3443</v>
      </c>
      <c r="D3586" t="s">
        <v>11520</v>
      </c>
      <c r="E3586" t="s">
        <v>41</v>
      </c>
      <c r="F3586" t="s">
        <v>20</v>
      </c>
      <c r="G3586" t="s">
        <v>24374</v>
      </c>
      <c r="H3586">
        <v>18.25</v>
      </c>
      <c r="I3586">
        <v>0</v>
      </c>
      <c r="J3586">
        <v>0</v>
      </c>
      <c r="K3586">
        <v>0</v>
      </c>
      <c r="L3586">
        <v>7</v>
      </c>
      <c r="O3586">
        <v>7</v>
      </c>
      <c r="P3586">
        <v>0</v>
      </c>
      <c r="Q3586">
        <v>0</v>
      </c>
      <c r="R3586">
        <v>25.25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H3586">
        <v>25.25</v>
      </c>
    </row>
    <row r="3587" spans="1:34" x14ac:dyDescent="0.3">
      <c r="A3587" s="4">
        <v>3703</v>
      </c>
      <c r="B3587" s="5">
        <v>3580</v>
      </c>
      <c r="C3587">
        <v>4329</v>
      </c>
      <c r="D3587" t="s">
        <v>3642</v>
      </c>
      <c r="E3587" t="s">
        <v>208</v>
      </c>
      <c r="F3587" t="s">
        <v>20</v>
      </c>
      <c r="G3587" t="s">
        <v>24375</v>
      </c>
      <c r="H3587">
        <v>16.25</v>
      </c>
      <c r="I3587">
        <v>0</v>
      </c>
      <c r="J3587">
        <v>0</v>
      </c>
      <c r="K3587">
        <v>0</v>
      </c>
      <c r="N3587">
        <v>3</v>
      </c>
      <c r="O3587">
        <v>3</v>
      </c>
      <c r="P3587">
        <v>4</v>
      </c>
      <c r="Q3587">
        <v>2</v>
      </c>
      <c r="R3587">
        <v>25.25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H3587">
        <v>25.25</v>
      </c>
    </row>
    <row r="3588" spans="1:34" x14ac:dyDescent="0.3">
      <c r="A3588" s="4">
        <v>3704</v>
      </c>
      <c r="B3588" s="5">
        <v>3581</v>
      </c>
      <c r="C3588">
        <v>9208</v>
      </c>
      <c r="D3588" t="s">
        <v>2600</v>
      </c>
      <c r="E3588" t="s">
        <v>38</v>
      </c>
      <c r="F3588" t="s">
        <v>68</v>
      </c>
      <c r="G3588" t="s">
        <v>24376</v>
      </c>
      <c r="H3588">
        <v>19.23</v>
      </c>
      <c r="I3588">
        <v>0</v>
      </c>
      <c r="J3588">
        <v>0</v>
      </c>
      <c r="K3588">
        <v>0</v>
      </c>
      <c r="N3588">
        <v>3</v>
      </c>
      <c r="O3588">
        <v>3</v>
      </c>
      <c r="P3588">
        <v>0</v>
      </c>
      <c r="Q3588">
        <v>0</v>
      </c>
      <c r="R3588">
        <v>22.23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3</v>
      </c>
      <c r="AC3588">
        <v>0</v>
      </c>
      <c r="AH3588">
        <v>25.23</v>
      </c>
    </row>
    <row r="3589" spans="1:34" x14ac:dyDescent="0.3">
      <c r="A3589" s="4">
        <v>3705</v>
      </c>
      <c r="B3589" s="5">
        <v>3582</v>
      </c>
      <c r="C3589">
        <v>9977</v>
      </c>
      <c r="D3589" t="s">
        <v>24377</v>
      </c>
      <c r="E3589" t="s">
        <v>29</v>
      </c>
      <c r="F3589" t="s">
        <v>136</v>
      </c>
      <c r="G3589" t="s">
        <v>24378</v>
      </c>
      <c r="H3589">
        <v>18.23</v>
      </c>
      <c r="I3589">
        <v>0</v>
      </c>
      <c r="J3589">
        <v>0</v>
      </c>
      <c r="K3589">
        <v>0</v>
      </c>
      <c r="L3589">
        <v>7</v>
      </c>
      <c r="O3589">
        <v>7</v>
      </c>
      <c r="P3589">
        <v>0</v>
      </c>
      <c r="Q3589">
        <v>0</v>
      </c>
      <c r="R3589">
        <v>25.23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H3589">
        <v>25.23</v>
      </c>
    </row>
    <row r="3590" spans="1:34" x14ac:dyDescent="0.3">
      <c r="A3590" s="4">
        <v>3706</v>
      </c>
      <c r="B3590" s="5">
        <v>3583</v>
      </c>
      <c r="C3590">
        <v>10978</v>
      </c>
      <c r="D3590" t="s">
        <v>13091</v>
      </c>
      <c r="E3590" t="s">
        <v>29</v>
      </c>
      <c r="F3590" t="s">
        <v>38</v>
      </c>
      <c r="G3590" t="s">
        <v>24379</v>
      </c>
      <c r="H3590">
        <v>18.23</v>
      </c>
      <c r="I3590">
        <v>0</v>
      </c>
      <c r="J3590">
        <v>0</v>
      </c>
      <c r="K3590">
        <v>0</v>
      </c>
      <c r="N3590">
        <v>3</v>
      </c>
      <c r="O3590">
        <v>3</v>
      </c>
      <c r="P3590">
        <v>4</v>
      </c>
      <c r="Q3590">
        <v>0</v>
      </c>
      <c r="R3590">
        <v>25.23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H3590">
        <v>25.23</v>
      </c>
    </row>
    <row r="3591" spans="1:34" x14ac:dyDescent="0.3">
      <c r="A3591" s="4">
        <v>3707</v>
      </c>
      <c r="B3591" s="5">
        <v>3584</v>
      </c>
      <c r="C3591">
        <v>13542</v>
      </c>
      <c r="D3591" t="s">
        <v>24380</v>
      </c>
      <c r="E3591" t="s">
        <v>147</v>
      </c>
      <c r="F3591" t="s">
        <v>328</v>
      </c>
      <c r="G3591" t="s">
        <v>24381</v>
      </c>
      <c r="H3591">
        <v>18.23</v>
      </c>
      <c r="I3591">
        <v>0</v>
      </c>
      <c r="J3591">
        <v>0</v>
      </c>
      <c r="K3591">
        <v>0</v>
      </c>
      <c r="N3591">
        <v>3</v>
      </c>
      <c r="O3591">
        <v>3</v>
      </c>
      <c r="P3591">
        <v>4</v>
      </c>
      <c r="Q3591">
        <v>0</v>
      </c>
      <c r="R3591">
        <v>25.23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H3591">
        <v>25.23</v>
      </c>
    </row>
    <row r="3592" spans="1:34" x14ac:dyDescent="0.3">
      <c r="A3592" s="4">
        <v>3708</v>
      </c>
      <c r="B3592" s="5">
        <v>3585</v>
      </c>
      <c r="C3592">
        <v>15395</v>
      </c>
      <c r="D3592" t="s">
        <v>28</v>
      </c>
      <c r="E3592" t="s">
        <v>24382</v>
      </c>
      <c r="F3592" t="s">
        <v>117</v>
      </c>
      <c r="G3592">
        <v>495982</v>
      </c>
      <c r="H3592">
        <v>18.23</v>
      </c>
      <c r="I3592">
        <v>0</v>
      </c>
      <c r="J3592">
        <v>0</v>
      </c>
      <c r="K3592">
        <v>0</v>
      </c>
      <c r="N3592">
        <v>3</v>
      </c>
      <c r="O3592">
        <v>3</v>
      </c>
      <c r="P3592">
        <v>4</v>
      </c>
      <c r="Q3592">
        <v>0</v>
      </c>
      <c r="R3592">
        <v>25.23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H3592">
        <v>25.23</v>
      </c>
    </row>
    <row r="3593" spans="1:34" x14ac:dyDescent="0.3">
      <c r="A3593" s="4">
        <v>3709</v>
      </c>
      <c r="B3593" s="5">
        <v>3586</v>
      </c>
      <c r="C3593">
        <v>14809</v>
      </c>
      <c r="D3593" t="s">
        <v>24383</v>
      </c>
      <c r="E3593" t="s">
        <v>208</v>
      </c>
      <c r="F3593" t="s">
        <v>17</v>
      </c>
      <c r="G3593" t="s">
        <v>24384</v>
      </c>
      <c r="H3593">
        <v>18.23</v>
      </c>
      <c r="I3593">
        <v>0</v>
      </c>
      <c r="J3593">
        <v>0</v>
      </c>
      <c r="K3593">
        <v>0</v>
      </c>
      <c r="N3593">
        <v>3</v>
      </c>
      <c r="O3593">
        <v>3</v>
      </c>
      <c r="P3593">
        <v>4</v>
      </c>
      <c r="Q3593">
        <v>0</v>
      </c>
      <c r="R3593">
        <v>25.23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H3593">
        <v>25.23</v>
      </c>
    </row>
    <row r="3594" spans="1:34" x14ac:dyDescent="0.3">
      <c r="A3594" s="4">
        <v>3710</v>
      </c>
      <c r="B3594" s="5">
        <v>3587</v>
      </c>
      <c r="C3594">
        <v>8820</v>
      </c>
      <c r="D3594" t="s">
        <v>23716</v>
      </c>
      <c r="E3594" t="s">
        <v>29</v>
      </c>
      <c r="F3594" t="s">
        <v>20</v>
      </c>
      <c r="G3594" t="s">
        <v>24385</v>
      </c>
      <c r="H3594">
        <v>18.23</v>
      </c>
      <c r="I3594">
        <v>0</v>
      </c>
      <c r="J3594">
        <v>0</v>
      </c>
      <c r="K3594">
        <v>0</v>
      </c>
      <c r="N3594">
        <v>3</v>
      </c>
      <c r="O3594">
        <v>3</v>
      </c>
      <c r="P3594">
        <v>4</v>
      </c>
      <c r="Q3594">
        <v>0</v>
      </c>
      <c r="R3594">
        <v>25.23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H3594">
        <v>25.23</v>
      </c>
    </row>
    <row r="3595" spans="1:34" x14ac:dyDescent="0.3">
      <c r="A3595" s="4">
        <v>3711</v>
      </c>
      <c r="B3595" s="5">
        <v>3588</v>
      </c>
      <c r="C3595">
        <v>4188</v>
      </c>
      <c r="D3595" t="s">
        <v>18835</v>
      </c>
      <c r="E3595" t="s">
        <v>100</v>
      </c>
      <c r="F3595" t="s">
        <v>81</v>
      </c>
      <c r="G3595" t="s">
        <v>24386</v>
      </c>
      <c r="H3595">
        <v>18.2</v>
      </c>
      <c r="I3595">
        <v>0</v>
      </c>
      <c r="J3595">
        <v>0</v>
      </c>
      <c r="K3595">
        <v>0</v>
      </c>
      <c r="N3595">
        <v>3</v>
      </c>
      <c r="O3595">
        <v>3</v>
      </c>
      <c r="P3595">
        <v>4</v>
      </c>
      <c r="Q3595">
        <v>0</v>
      </c>
      <c r="R3595">
        <v>25.2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H3595">
        <v>25.2</v>
      </c>
    </row>
    <row r="3596" spans="1:34" x14ac:dyDescent="0.3">
      <c r="A3596" s="4">
        <v>3712</v>
      </c>
      <c r="B3596" s="5">
        <v>3589</v>
      </c>
      <c r="C3596">
        <v>14763</v>
      </c>
      <c r="D3596" t="s">
        <v>24387</v>
      </c>
      <c r="E3596" t="s">
        <v>143</v>
      </c>
      <c r="F3596" t="s">
        <v>3121</v>
      </c>
      <c r="G3596" t="s">
        <v>24388</v>
      </c>
      <c r="H3596">
        <v>18.2</v>
      </c>
      <c r="I3596">
        <v>0</v>
      </c>
      <c r="J3596">
        <v>0</v>
      </c>
      <c r="K3596">
        <v>0</v>
      </c>
      <c r="N3596">
        <v>3</v>
      </c>
      <c r="O3596">
        <v>3</v>
      </c>
      <c r="P3596">
        <v>4</v>
      </c>
      <c r="Q3596">
        <v>0</v>
      </c>
      <c r="R3596">
        <v>25.2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H3596">
        <v>25.2</v>
      </c>
    </row>
    <row r="3597" spans="1:34" x14ac:dyDescent="0.3">
      <c r="A3597" s="4">
        <v>3713</v>
      </c>
      <c r="B3597" s="5">
        <v>3590</v>
      </c>
      <c r="C3597">
        <v>10552</v>
      </c>
      <c r="D3597" t="s">
        <v>2043</v>
      </c>
      <c r="E3597" t="s">
        <v>692</v>
      </c>
      <c r="F3597" t="s">
        <v>17</v>
      </c>
      <c r="G3597" t="s">
        <v>24389</v>
      </c>
      <c r="H3597">
        <v>18.2</v>
      </c>
      <c r="I3597">
        <v>0</v>
      </c>
      <c r="J3597">
        <v>0</v>
      </c>
      <c r="K3597">
        <v>0</v>
      </c>
      <c r="N3597">
        <v>3</v>
      </c>
      <c r="O3597">
        <v>3</v>
      </c>
      <c r="P3597">
        <v>4</v>
      </c>
      <c r="Q3597">
        <v>0</v>
      </c>
      <c r="R3597">
        <v>25.2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H3597">
        <v>25.2</v>
      </c>
    </row>
    <row r="3598" spans="1:34" x14ac:dyDescent="0.3">
      <c r="A3598" s="4">
        <v>3714</v>
      </c>
      <c r="B3598" s="5">
        <v>3591</v>
      </c>
      <c r="C3598">
        <v>10774</v>
      </c>
      <c r="D3598" t="s">
        <v>20286</v>
      </c>
      <c r="E3598" t="s">
        <v>208</v>
      </c>
      <c r="F3598" t="s">
        <v>81</v>
      </c>
      <c r="G3598" t="s">
        <v>24390</v>
      </c>
      <c r="H3598">
        <v>18.18</v>
      </c>
      <c r="I3598">
        <v>0</v>
      </c>
      <c r="J3598">
        <v>0</v>
      </c>
      <c r="K3598">
        <v>0</v>
      </c>
      <c r="O3598">
        <v>0</v>
      </c>
      <c r="P3598">
        <v>4</v>
      </c>
      <c r="Q3598">
        <v>0</v>
      </c>
      <c r="R3598">
        <v>22.18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3</v>
      </c>
      <c r="AC3598">
        <v>0</v>
      </c>
      <c r="AH3598">
        <v>25.18</v>
      </c>
    </row>
    <row r="3599" spans="1:34" x14ac:dyDescent="0.3">
      <c r="A3599" s="4">
        <v>3715</v>
      </c>
      <c r="B3599" s="5">
        <v>3592</v>
      </c>
      <c r="C3599">
        <v>14084</v>
      </c>
      <c r="D3599" t="s">
        <v>24391</v>
      </c>
      <c r="E3599" t="s">
        <v>147</v>
      </c>
      <c r="F3599" t="s">
        <v>17</v>
      </c>
      <c r="G3599" t="s">
        <v>24392</v>
      </c>
      <c r="H3599">
        <v>18.18</v>
      </c>
      <c r="I3599">
        <v>0</v>
      </c>
      <c r="J3599">
        <v>0</v>
      </c>
      <c r="K3599">
        <v>0</v>
      </c>
      <c r="N3599">
        <v>3</v>
      </c>
      <c r="O3599">
        <v>3</v>
      </c>
      <c r="P3599">
        <v>4</v>
      </c>
      <c r="Q3599">
        <v>0</v>
      </c>
      <c r="R3599">
        <v>25.18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H3599">
        <v>25.18</v>
      </c>
    </row>
    <row r="3600" spans="1:34" x14ac:dyDescent="0.3">
      <c r="A3600" s="4">
        <v>3716</v>
      </c>
      <c r="B3600" s="5">
        <v>3593</v>
      </c>
      <c r="C3600">
        <v>9719</v>
      </c>
      <c r="D3600" t="s">
        <v>24393</v>
      </c>
      <c r="E3600" t="s">
        <v>104</v>
      </c>
      <c r="F3600" t="s">
        <v>1265</v>
      </c>
      <c r="G3600" t="s">
        <v>24394</v>
      </c>
      <c r="H3600">
        <v>18.18</v>
      </c>
      <c r="I3600">
        <v>0</v>
      </c>
      <c r="J3600">
        <v>0</v>
      </c>
      <c r="K3600">
        <v>0</v>
      </c>
      <c r="N3600">
        <v>3</v>
      </c>
      <c r="O3600">
        <v>3</v>
      </c>
      <c r="P3600">
        <v>4</v>
      </c>
      <c r="Q3600">
        <v>0</v>
      </c>
      <c r="R3600">
        <v>25.18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H3600">
        <v>25.18</v>
      </c>
    </row>
    <row r="3601" spans="1:34" x14ac:dyDescent="0.3">
      <c r="A3601" s="4">
        <v>3717</v>
      </c>
      <c r="B3601" s="5">
        <v>3594</v>
      </c>
      <c r="C3601">
        <v>15631</v>
      </c>
      <c r="D3601" t="s">
        <v>24395</v>
      </c>
      <c r="E3601" t="s">
        <v>3705</v>
      </c>
      <c r="F3601" t="s">
        <v>190</v>
      </c>
      <c r="G3601" t="s">
        <v>24396</v>
      </c>
      <c r="H3601">
        <v>18.18</v>
      </c>
      <c r="I3601">
        <v>0</v>
      </c>
      <c r="J3601">
        <v>0</v>
      </c>
      <c r="K3601">
        <v>0</v>
      </c>
      <c r="N3601">
        <v>3</v>
      </c>
      <c r="O3601">
        <v>3</v>
      </c>
      <c r="P3601">
        <v>4</v>
      </c>
      <c r="Q3601">
        <v>0</v>
      </c>
      <c r="R3601">
        <v>25.18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H3601">
        <v>25.18</v>
      </c>
    </row>
    <row r="3602" spans="1:34" x14ac:dyDescent="0.3">
      <c r="A3602" s="4">
        <v>3718</v>
      </c>
      <c r="B3602" s="5">
        <v>3595</v>
      </c>
      <c r="C3602">
        <v>1629</v>
      </c>
      <c r="D3602" t="s">
        <v>24397</v>
      </c>
      <c r="E3602" t="s">
        <v>24398</v>
      </c>
      <c r="F3602" t="s">
        <v>117</v>
      </c>
      <c r="G3602" t="s">
        <v>24399</v>
      </c>
      <c r="H3602">
        <v>18.18</v>
      </c>
      <c r="I3602">
        <v>0</v>
      </c>
      <c r="J3602">
        <v>0</v>
      </c>
      <c r="K3602">
        <v>0</v>
      </c>
      <c r="N3602">
        <v>3</v>
      </c>
      <c r="O3602">
        <v>3</v>
      </c>
      <c r="P3602">
        <v>4</v>
      </c>
      <c r="Q3602">
        <v>0</v>
      </c>
      <c r="R3602">
        <v>25.18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H3602">
        <v>25.18</v>
      </c>
    </row>
    <row r="3603" spans="1:34" x14ac:dyDescent="0.3">
      <c r="A3603" s="4">
        <v>3719</v>
      </c>
      <c r="B3603" s="5">
        <v>3596</v>
      </c>
      <c r="C3603">
        <v>13944</v>
      </c>
      <c r="D3603" t="s">
        <v>4231</v>
      </c>
      <c r="E3603" t="s">
        <v>1652</v>
      </c>
      <c r="F3603" t="s">
        <v>190</v>
      </c>
      <c r="H3603">
        <v>18.18</v>
      </c>
      <c r="I3603">
        <v>0</v>
      </c>
      <c r="J3603">
        <v>0</v>
      </c>
      <c r="K3603">
        <v>0</v>
      </c>
      <c r="N3603">
        <v>3</v>
      </c>
      <c r="O3603">
        <v>3</v>
      </c>
      <c r="P3603">
        <v>4</v>
      </c>
      <c r="Q3603">
        <v>0</v>
      </c>
      <c r="R3603">
        <v>25.18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H3603">
        <v>25.18</v>
      </c>
    </row>
    <row r="3604" spans="1:34" x14ac:dyDescent="0.3">
      <c r="A3604" s="4">
        <v>3720</v>
      </c>
      <c r="B3604" s="5">
        <v>3597</v>
      </c>
      <c r="C3604">
        <v>9198</v>
      </c>
      <c r="D3604" t="s">
        <v>24400</v>
      </c>
      <c r="E3604" t="s">
        <v>37</v>
      </c>
      <c r="F3604" t="s">
        <v>124</v>
      </c>
      <c r="G3604" t="s">
        <v>24401</v>
      </c>
      <c r="H3604">
        <v>18.18</v>
      </c>
      <c r="I3604">
        <v>0</v>
      </c>
      <c r="J3604">
        <v>0</v>
      </c>
      <c r="K3604">
        <v>0</v>
      </c>
      <c r="N3604">
        <v>3</v>
      </c>
      <c r="O3604">
        <v>3</v>
      </c>
      <c r="P3604">
        <v>4</v>
      </c>
      <c r="Q3604">
        <v>0</v>
      </c>
      <c r="R3604">
        <v>25.18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H3604">
        <v>25.18</v>
      </c>
    </row>
    <row r="3605" spans="1:34" x14ac:dyDescent="0.3">
      <c r="A3605" s="4">
        <v>3721</v>
      </c>
      <c r="B3605" s="5">
        <v>3598</v>
      </c>
      <c r="C3605">
        <v>15479</v>
      </c>
      <c r="D3605" t="s">
        <v>24402</v>
      </c>
      <c r="E3605" t="s">
        <v>816</v>
      </c>
      <c r="F3605" t="s">
        <v>136</v>
      </c>
      <c r="G3605" t="s">
        <v>24403</v>
      </c>
      <c r="H3605">
        <v>22.15</v>
      </c>
      <c r="I3605">
        <v>0</v>
      </c>
      <c r="J3605">
        <v>0</v>
      </c>
      <c r="K3605">
        <v>0</v>
      </c>
      <c r="N3605">
        <v>3</v>
      </c>
      <c r="O3605">
        <v>3</v>
      </c>
      <c r="P3605">
        <v>0</v>
      </c>
      <c r="Q3605">
        <v>0</v>
      </c>
      <c r="R3605">
        <v>25.15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H3605">
        <v>25.15</v>
      </c>
    </row>
    <row r="3606" spans="1:34" x14ac:dyDescent="0.3">
      <c r="A3606" s="4">
        <v>3722</v>
      </c>
      <c r="B3606" s="5">
        <v>3599</v>
      </c>
      <c r="C3606">
        <v>10566</v>
      </c>
      <c r="D3606" t="s">
        <v>23792</v>
      </c>
      <c r="E3606" t="s">
        <v>2643</v>
      </c>
      <c r="F3606" t="s">
        <v>20</v>
      </c>
      <c r="G3606" t="s">
        <v>24404</v>
      </c>
      <c r="H3606">
        <v>18.149999999999999</v>
      </c>
      <c r="I3606">
        <v>0</v>
      </c>
      <c r="J3606">
        <v>0</v>
      </c>
      <c r="K3606">
        <v>0</v>
      </c>
      <c r="N3606">
        <v>3</v>
      </c>
      <c r="O3606">
        <v>3</v>
      </c>
      <c r="P3606">
        <v>4</v>
      </c>
      <c r="Q3606">
        <v>0</v>
      </c>
      <c r="R3606">
        <v>25.15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H3606">
        <v>25.15</v>
      </c>
    </row>
    <row r="3607" spans="1:34" x14ac:dyDescent="0.3">
      <c r="A3607" s="4">
        <v>3723</v>
      </c>
      <c r="B3607" s="5">
        <v>3600</v>
      </c>
      <c r="C3607">
        <v>2487</v>
      </c>
      <c r="D3607" t="s">
        <v>24405</v>
      </c>
      <c r="E3607" t="s">
        <v>782</v>
      </c>
      <c r="F3607" t="s">
        <v>81</v>
      </c>
      <c r="G3607" t="s">
        <v>24406</v>
      </c>
      <c r="H3607">
        <v>18.149999999999999</v>
      </c>
      <c r="I3607">
        <v>0</v>
      </c>
      <c r="J3607">
        <v>0</v>
      </c>
      <c r="K3607">
        <v>0</v>
      </c>
      <c r="N3607">
        <v>3</v>
      </c>
      <c r="O3607">
        <v>3</v>
      </c>
      <c r="P3607">
        <v>4</v>
      </c>
      <c r="Q3607">
        <v>0</v>
      </c>
      <c r="R3607">
        <v>25.15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H3607">
        <v>25.15</v>
      </c>
    </row>
    <row r="3608" spans="1:34" x14ac:dyDescent="0.3">
      <c r="A3608" s="4">
        <v>3724</v>
      </c>
      <c r="B3608" s="5">
        <v>3601</v>
      </c>
      <c r="C3608">
        <v>4764</v>
      </c>
      <c r="D3608" t="s">
        <v>24407</v>
      </c>
      <c r="E3608" t="s">
        <v>132</v>
      </c>
      <c r="F3608" t="s">
        <v>375</v>
      </c>
      <c r="G3608" t="s">
        <v>24408</v>
      </c>
      <c r="H3608">
        <v>19.13</v>
      </c>
      <c r="I3608">
        <v>0</v>
      </c>
      <c r="J3608">
        <v>0</v>
      </c>
      <c r="K3608">
        <v>0</v>
      </c>
      <c r="O3608">
        <v>0</v>
      </c>
      <c r="P3608">
        <v>0</v>
      </c>
      <c r="Q3608">
        <v>0</v>
      </c>
      <c r="R3608">
        <v>19.13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6</v>
      </c>
      <c r="AC3608">
        <v>0</v>
      </c>
      <c r="AH3608">
        <v>25.13</v>
      </c>
    </row>
    <row r="3609" spans="1:34" x14ac:dyDescent="0.3">
      <c r="A3609" s="4">
        <v>3725</v>
      </c>
      <c r="B3609" s="5">
        <v>3602</v>
      </c>
      <c r="C3609">
        <v>1885</v>
      </c>
      <c r="D3609" t="s">
        <v>1296</v>
      </c>
      <c r="E3609" t="s">
        <v>88</v>
      </c>
      <c r="F3609" t="s">
        <v>38</v>
      </c>
      <c r="G3609" t="s">
        <v>24409</v>
      </c>
      <c r="H3609">
        <v>18.13</v>
      </c>
      <c r="I3609">
        <v>0</v>
      </c>
      <c r="J3609">
        <v>0</v>
      </c>
      <c r="K3609">
        <v>0</v>
      </c>
      <c r="N3609">
        <v>3</v>
      </c>
      <c r="O3609">
        <v>3</v>
      </c>
      <c r="P3609">
        <v>4</v>
      </c>
      <c r="Q3609">
        <v>0</v>
      </c>
      <c r="R3609">
        <v>25.13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H3609">
        <v>25.13</v>
      </c>
    </row>
    <row r="3610" spans="1:34" x14ac:dyDescent="0.3">
      <c r="A3610" s="4">
        <v>3726</v>
      </c>
      <c r="B3610" s="5">
        <v>3603</v>
      </c>
      <c r="C3610">
        <v>5895</v>
      </c>
      <c r="D3610" t="s">
        <v>173</v>
      </c>
      <c r="E3610" t="s">
        <v>147</v>
      </c>
      <c r="F3610" t="s">
        <v>238</v>
      </c>
      <c r="G3610" t="s">
        <v>24410</v>
      </c>
      <c r="H3610">
        <v>18.13</v>
      </c>
      <c r="I3610">
        <v>0</v>
      </c>
      <c r="J3610">
        <v>0</v>
      </c>
      <c r="K3610">
        <v>0</v>
      </c>
      <c r="N3610">
        <v>3</v>
      </c>
      <c r="O3610">
        <v>3</v>
      </c>
      <c r="P3610">
        <v>4</v>
      </c>
      <c r="Q3610">
        <v>0</v>
      </c>
      <c r="R3610">
        <v>25.13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H3610">
        <v>25.13</v>
      </c>
    </row>
    <row r="3611" spans="1:34" x14ac:dyDescent="0.3">
      <c r="A3611" s="4">
        <v>3727</v>
      </c>
      <c r="B3611" s="5">
        <v>3604</v>
      </c>
      <c r="C3611">
        <v>12952</v>
      </c>
      <c r="D3611" t="s">
        <v>24411</v>
      </c>
      <c r="E3611" t="s">
        <v>19922</v>
      </c>
      <c r="F3611" t="s">
        <v>20</v>
      </c>
      <c r="G3611" t="s">
        <v>24412</v>
      </c>
      <c r="H3611">
        <v>18.13</v>
      </c>
      <c r="I3611">
        <v>0</v>
      </c>
      <c r="J3611">
        <v>0</v>
      </c>
      <c r="K3611">
        <v>0</v>
      </c>
      <c r="N3611">
        <v>3</v>
      </c>
      <c r="O3611">
        <v>3</v>
      </c>
      <c r="P3611">
        <v>4</v>
      </c>
      <c r="Q3611">
        <v>0</v>
      </c>
      <c r="R3611">
        <v>25.13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H3611">
        <v>25.13</v>
      </c>
    </row>
    <row r="3612" spans="1:34" x14ac:dyDescent="0.3">
      <c r="A3612" s="4">
        <v>3728</v>
      </c>
      <c r="B3612" s="5">
        <v>3605</v>
      </c>
      <c r="C3612">
        <v>486</v>
      </c>
      <c r="D3612" t="s">
        <v>2103</v>
      </c>
      <c r="E3612" t="s">
        <v>454</v>
      </c>
      <c r="F3612" t="s">
        <v>81</v>
      </c>
      <c r="G3612" t="s">
        <v>24413</v>
      </c>
      <c r="H3612">
        <v>18.13</v>
      </c>
      <c r="I3612">
        <v>0</v>
      </c>
      <c r="J3612">
        <v>0</v>
      </c>
      <c r="K3612">
        <v>0</v>
      </c>
      <c r="N3612">
        <v>3</v>
      </c>
      <c r="O3612">
        <v>3</v>
      </c>
      <c r="P3612">
        <v>4</v>
      </c>
      <c r="Q3612">
        <v>0</v>
      </c>
      <c r="R3612">
        <v>25.13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H3612">
        <v>25.13</v>
      </c>
    </row>
    <row r="3613" spans="1:34" x14ac:dyDescent="0.3">
      <c r="A3613" s="4">
        <v>3729</v>
      </c>
      <c r="B3613" s="5">
        <v>3606</v>
      </c>
      <c r="C3613">
        <v>9631</v>
      </c>
      <c r="D3613" t="s">
        <v>24414</v>
      </c>
      <c r="E3613" t="s">
        <v>5767</v>
      </c>
      <c r="F3613" t="s">
        <v>17</v>
      </c>
      <c r="G3613" t="s">
        <v>24415</v>
      </c>
      <c r="H3613">
        <v>16.13</v>
      </c>
      <c r="I3613">
        <v>0</v>
      </c>
      <c r="J3613">
        <v>0</v>
      </c>
      <c r="K3613">
        <v>0</v>
      </c>
      <c r="N3613">
        <v>3</v>
      </c>
      <c r="O3613">
        <v>3</v>
      </c>
      <c r="P3613">
        <v>4</v>
      </c>
      <c r="Q3613">
        <v>2</v>
      </c>
      <c r="R3613">
        <v>25.13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H3613">
        <v>25.13</v>
      </c>
    </row>
    <row r="3614" spans="1:34" x14ac:dyDescent="0.3">
      <c r="A3614" s="4">
        <v>3730</v>
      </c>
      <c r="B3614" s="5">
        <v>3607</v>
      </c>
      <c r="C3614">
        <v>6255</v>
      </c>
      <c r="D3614" t="s">
        <v>24416</v>
      </c>
      <c r="E3614" t="s">
        <v>10100</v>
      </c>
      <c r="F3614" t="s">
        <v>11282</v>
      </c>
      <c r="G3614" t="s">
        <v>24417</v>
      </c>
      <c r="H3614">
        <v>21.1</v>
      </c>
      <c r="I3614">
        <v>0</v>
      </c>
      <c r="J3614">
        <v>0</v>
      </c>
      <c r="K3614">
        <v>0</v>
      </c>
      <c r="O3614">
        <v>0</v>
      </c>
      <c r="P3614">
        <v>4</v>
      </c>
      <c r="Q3614">
        <v>0</v>
      </c>
      <c r="R3614">
        <v>25.1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H3614">
        <v>25.1</v>
      </c>
    </row>
    <row r="3615" spans="1:34" x14ac:dyDescent="0.3">
      <c r="A3615" s="4">
        <v>3731</v>
      </c>
      <c r="B3615" s="5">
        <v>3608</v>
      </c>
      <c r="C3615">
        <v>10970</v>
      </c>
      <c r="D3615" t="s">
        <v>24418</v>
      </c>
      <c r="E3615" t="s">
        <v>188</v>
      </c>
      <c r="F3615" t="s">
        <v>20</v>
      </c>
      <c r="G3615" t="s">
        <v>24419</v>
      </c>
      <c r="H3615">
        <v>18.100000000000001</v>
      </c>
      <c r="I3615">
        <v>0</v>
      </c>
      <c r="J3615">
        <v>0</v>
      </c>
      <c r="K3615">
        <v>0</v>
      </c>
      <c r="N3615">
        <v>3</v>
      </c>
      <c r="O3615">
        <v>3</v>
      </c>
      <c r="P3615">
        <v>4</v>
      </c>
      <c r="Q3615">
        <v>0</v>
      </c>
      <c r="R3615">
        <v>25.1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H3615">
        <v>25.1</v>
      </c>
    </row>
    <row r="3616" spans="1:34" x14ac:dyDescent="0.3">
      <c r="A3616" s="4">
        <v>3732</v>
      </c>
      <c r="B3616" s="5">
        <v>3609</v>
      </c>
      <c r="C3616">
        <v>7157</v>
      </c>
      <c r="D3616" t="s">
        <v>19643</v>
      </c>
      <c r="E3616" t="s">
        <v>219</v>
      </c>
      <c r="F3616" t="s">
        <v>1581</v>
      </c>
      <c r="G3616" t="s">
        <v>24420</v>
      </c>
      <c r="H3616">
        <v>18.079999999999998</v>
      </c>
      <c r="I3616">
        <v>0</v>
      </c>
      <c r="J3616">
        <v>0</v>
      </c>
      <c r="K3616">
        <v>0</v>
      </c>
      <c r="O3616">
        <v>0</v>
      </c>
      <c r="P3616">
        <v>4</v>
      </c>
      <c r="Q3616">
        <v>0</v>
      </c>
      <c r="R3616">
        <v>22.08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3</v>
      </c>
      <c r="AC3616">
        <v>0</v>
      </c>
      <c r="AH3616">
        <v>25.08</v>
      </c>
    </row>
    <row r="3617" spans="1:34" x14ac:dyDescent="0.3">
      <c r="A3617" s="4">
        <v>3733</v>
      </c>
      <c r="B3617" s="5">
        <v>3610</v>
      </c>
      <c r="C3617">
        <v>9470</v>
      </c>
      <c r="D3617" t="s">
        <v>994</v>
      </c>
      <c r="E3617" t="s">
        <v>170</v>
      </c>
      <c r="F3617" t="s">
        <v>230</v>
      </c>
      <c r="G3617" t="s">
        <v>24421</v>
      </c>
      <c r="H3617">
        <v>21.08</v>
      </c>
      <c r="I3617">
        <v>0</v>
      </c>
      <c r="J3617">
        <v>0</v>
      </c>
      <c r="K3617">
        <v>0</v>
      </c>
      <c r="O3617">
        <v>0</v>
      </c>
      <c r="P3617">
        <v>4</v>
      </c>
      <c r="Q3617">
        <v>0</v>
      </c>
      <c r="R3617">
        <v>25.08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H3617">
        <v>25.08</v>
      </c>
    </row>
    <row r="3618" spans="1:34" x14ac:dyDescent="0.3">
      <c r="A3618" s="4">
        <v>3734</v>
      </c>
      <c r="B3618" s="5">
        <v>3611</v>
      </c>
      <c r="C3618">
        <v>7570</v>
      </c>
      <c r="D3618" t="s">
        <v>24422</v>
      </c>
      <c r="E3618" t="s">
        <v>29</v>
      </c>
      <c r="F3618" t="s">
        <v>20</v>
      </c>
      <c r="G3618" t="s">
        <v>24423</v>
      </c>
      <c r="H3618">
        <v>18.079999999999998</v>
      </c>
      <c r="I3618">
        <v>0</v>
      </c>
      <c r="J3618">
        <v>0</v>
      </c>
      <c r="K3618">
        <v>0</v>
      </c>
      <c r="N3618">
        <v>3</v>
      </c>
      <c r="O3618">
        <v>3</v>
      </c>
      <c r="P3618">
        <v>4</v>
      </c>
      <c r="Q3618">
        <v>0</v>
      </c>
      <c r="R3618">
        <v>25.08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H3618">
        <v>25.08</v>
      </c>
    </row>
    <row r="3619" spans="1:34" x14ac:dyDescent="0.3">
      <c r="A3619" s="4">
        <v>3735</v>
      </c>
      <c r="B3619" s="5">
        <v>3612</v>
      </c>
      <c r="C3619">
        <v>3669</v>
      </c>
      <c r="D3619" t="s">
        <v>181</v>
      </c>
      <c r="E3619" t="s">
        <v>88</v>
      </c>
      <c r="F3619" t="s">
        <v>1526</v>
      </c>
      <c r="G3619" t="s">
        <v>24424</v>
      </c>
      <c r="H3619">
        <v>18.079999999999998</v>
      </c>
      <c r="I3619">
        <v>0</v>
      </c>
      <c r="J3619">
        <v>0</v>
      </c>
      <c r="K3619">
        <v>0</v>
      </c>
      <c r="N3619">
        <v>3</v>
      </c>
      <c r="O3619">
        <v>3</v>
      </c>
      <c r="P3619">
        <v>4</v>
      </c>
      <c r="Q3619">
        <v>0</v>
      </c>
      <c r="R3619">
        <v>25.08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H3619">
        <v>25.08</v>
      </c>
    </row>
    <row r="3620" spans="1:34" x14ac:dyDescent="0.3">
      <c r="A3620" s="4">
        <v>3736</v>
      </c>
      <c r="B3620" s="5">
        <v>3613</v>
      </c>
      <c r="C3620">
        <v>6036</v>
      </c>
      <c r="D3620" t="s">
        <v>1317</v>
      </c>
      <c r="E3620" t="s">
        <v>182</v>
      </c>
      <c r="F3620" t="s">
        <v>457</v>
      </c>
      <c r="G3620" t="s">
        <v>24425</v>
      </c>
      <c r="H3620">
        <v>18.079999999999998</v>
      </c>
      <c r="I3620">
        <v>0</v>
      </c>
      <c r="J3620">
        <v>0</v>
      </c>
      <c r="K3620">
        <v>0</v>
      </c>
      <c r="N3620">
        <v>3</v>
      </c>
      <c r="O3620">
        <v>3</v>
      </c>
      <c r="P3620">
        <v>4</v>
      </c>
      <c r="Q3620">
        <v>0</v>
      </c>
      <c r="R3620">
        <v>25.08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H3620">
        <v>25.08</v>
      </c>
    </row>
    <row r="3621" spans="1:34" x14ac:dyDescent="0.3">
      <c r="A3621" s="4">
        <v>3737</v>
      </c>
      <c r="B3621" s="5">
        <v>3614</v>
      </c>
      <c r="C3621">
        <v>10673</v>
      </c>
      <c r="D3621" t="s">
        <v>24426</v>
      </c>
      <c r="E3621" t="s">
        <v>24427</v>
      </c>
      <c r="F3621" t="s">
        <v>24428</v>
      </c>
      <c r="G3621" t="s">
        <v>24429</v>
      </c>
      <c r="H3621">
        <v>18.079999999999998</v>
      </c>
      <c r="I3621">
        <v>0</v>
      </c>
      <c r="J3621">
        <v>0</v>
      </c>
      <c r="K3621">
        <v>0</v>
      </c>
      <c r="N3621">
        <v>3</v>
      </c>
      <c r="O3621">
        <v>3</v>
      </c>
      <c r="P3621">
        <v>4</v>
      </c>
      <c r="Q3621">
        <v>0</v>
      </c>
      <c r="R3621">
        <v>25.08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H3621">
        <v>25.08</v>
      </c>
    </row>
    <row r="3622" spans="1:34" x14ac:dyDescent="0.3">
      <c r="A3622" s="4">
        <v>3738</v>
      </c>
      <c r="B3622" s="5">
        <v>3615</v>
      </c>
      <c r="C3622">
        <v>126</v>
      </c>
      <c r="D3622" t="s">
        <v>22810</v>
      </c>
      <c r="E3622" t="s">
        <v>166</v>
      </c>
      <c r="F3622" t="s">
        <v>782</v>
      </c>
      <c r="G3622" t="s">
        <v>24430</v>
      </c>
      <c r="H3622">
        <v>18.05</v>
      </c>
      <c r="I3622">
        <v>0</v>
      </c>
      <c r="J3622">
        <v>0</v>
      </c>
      <c r="K3622">
        <v>0</v>
      </c>
      <c r="O3622">
        <v>0</v>
      </c>
      <c r="P3622">
        <v>4</v>
      </c>
      <c r="Q3622">
        <v>0</v>
      </c>
      <c r="R3622">
        <v>22.05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3</v>
      </c>
      <c r="AC3622">
        <v>0</v>
      </c>
      <c r="AH3622">
        <v>25.05</v>
      </c>
    </row>
    <row r="3623" spans="1:34" x14ac:dyDescent="0.3">
      <c r="A3623" s="4">
        <v>3739</v>
      </c>
      <c r="B3623" s="5">
        <v>3616</v>
      </c>
      <c r="C3623">
        <v>10763</v>
      </c>
      <c r="D3623" t="s">
        <v>24431</v>
      </c>
      <c r="E3623" t="s">
        <v>149</v>
      </c>
      <c r="F3623" t="s">
        <v>626</v>
      </c>
      <c r="G3623" t="s">
        <v>24432</v>
      </c>
      <c r="H3623">
        <v>21.05</v>
      </c>
      <c r="I3623">
        <v>0</v>
      </c>
      <c r="J3623">
        <v>0</v>
      </c>
      <c r="K3623">
        <v>0</v>
      </c>
      <c r="O3623">
        <v>0</v>
      </c>
      <c r="P3623">
        <v>4</v>
      </c>
      <c r="Q3623">
        <v>0</v>
      </c>
      <c r="R3623">
        <v>25.05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H3623">
        <v>25.05</v>
      </c>
    </row>
    <row r="3624" spans="1:34" x14ac:dyDescent="0.3">
      <c r="A3624" s="4">
        <v>3740</v>
      </c>
      <c r="B3624" s="5">
        <v>3617</v>
      </c>
      <c r="C3624">
        <v>8597</v>
      </c>
      <c r="D3624" t="s">
        <v>18244</v>
      </c>
      <c r="E3624" t="s">
        <v>81</v>
      </c>
      <c r="F3624" t="s">
        <v>328</v>
      </c>
      <c r="G3624" t="s">
        <v>24433</v>
      </c>
      <c r="H3624">
        <v>18.05</v>
      </c>
      <c r="I3624">
        <v>0</v>
      </c>
      <c r="J3624">
        <v>0</v>
      </c>
      <c r="K3624">
        <v>0</v>
      </c>
      <c r="N3624">
        <v>3</v>
      </c>
      <c r="O3624">
        <v>3</v>
      </c>
      <c r="P3624">
        <v>4</v>
      </c>
      <c r="Q3624">
        <v>0</v>
      </c>
      <c r="R3624">
        <v>25.05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H3624">
        <v>25.05</v>
      </c>
    </row>
    <row r="3625" spans="1:34" x14ac:dyDescent="0.3">
      <c r="A3625" s="4">
        <v>3741</v>
      </c>
      <c r="B3625" s="5">
        <v>3618</v>
      </c>
      <c r="C3625">
        <v>9827</v>
      </c>
      <c r="D3625" t="s">
        <v>24434</v>
      </c>
      <c r="E3625" t="s">
        <v>132</v>
      </c>
      <c r="F3625" t="s">
        <v>117</v>
      </c>
      <c r="G3625" t="s">
        <v>24435</v>
      </c>
      <c r="H3625">
        <v>18.05</v>
      </c>
      <c r="I3625">
        <v>0</v>
      </c>
      <c r="J3625">
        <v>0</v>
      </c>
      <c r="K3625">
        <v>0</v>
      </c>
      <c r="N3625">
        <v>3</v>
      </c>
      <c r="O3625">
        <v>3</v>
      </c>
      <c r="P3625">
        <v>4</v>
      </c>
      <c r="Q3625">
        <v>0</v>
      </c>
      <c r="R3625">
        <v>25.05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H3625">
        <v>25.05</v>
      </c>
    </row>
    <row r="3626" spans="1:34" x14ac:dyDescent="0.3">
      <c r="A3626" s="4">
        <v>3742</v>
      </c>
      <c r="B3626" s="5">
        <v>3619</v>
      </c>
      <c r="C3626">
        <v>15507</v>
      </c>
      <c r="D3626" t="s">
        <v>24436</v>
      </c>
      <c r="E3626" t="s">
        <v>54</v>
      </c>
      <c r="F3626" t="s">
        <v>442</v>
      </c>
      <c r="G3626" t="s">
        <v>24437</v>
      </c>
      <c r="H3626">
        <v>18.03</v>
      </c>
      <c r="I3626">
        <v>0</v>
      </c>
      <c r="J3626">
        <v>0</v>
      </c>
      <c r="K3626">
        <v>0</v>
      </c>
      <c r="N3626">
        <v>3</v>
      </c>
      <c r="O3626">
        <v>3</v>
      </c>
      <c r="P3626">
        <v>4</v>
      </c>
      <c r="Q3626">
        <v>0</v>
      </c>
      <c r="R3626">
        <v>25.03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H3626">
        <v>25.03</v>
      </c>
    </row>
    <row r="3627" spans="1:34" x14ac:dyDescent="0.3">
      <c r="A3627" s="4">
        <v>3743</v>
      </c>
      <c r="B3627" s="5">
        <v>3620</v>
      </c>
      <c r="C3627">
        <v>4931</v>
      </c>
      <c r="D3627" t="s">
        <v>860</v>
      </c>
      <c r="E3627" t="s">
        <v>29</v>
      </c>
      <c r="F3627" t="s">
        <v>17</v>
      </c>
      <c r="G3627" t="s">
        <v>24438</v>
      </c>
      <c r="H3627">
        <v>18.03</v>
      </c>
      <c r="I3627">
        <v>0</v>
      </c>
      <c r="J3627">
        <v>0</v>
      </c>
      <c r="K3627">
        <v>0</v>
      </c>
      <c r="N3627">
        <v>3</v>
      </c>
      <c r="O3627">
        <v>3</v>
      </c>
      <c r="P3627">
        <v>4</v>
      </c>
      <c r="Q3627">
        <v>0</v>
      </c>
      <c r="R3627">
        <v>25.03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H3627">
        <v>25.03</v>
      </c>
    </row>
    <row r="3628" spans="1:34" x14ac:dyDescent="0.3">
      <c r="A3628" s="4">
        <v>3744</v>
      </c>
      <c r="B3628" s="5">
        <v>3621</v>
      </c>
      <c r="C3628">
        <v>10130</v>
      </c>
      <c r="D3628" t="s">
        <v>24439</v>
      </c>
      <c r="E3628" t="s">
        <v>24440</v>
      </c>
      <c r="F3628" t="s">
        <v>38</v>
      </c>
      <c r="G3628" t="s">
        <v>24441</v>
      </c>
      <c r="H3628">
        <v>18</v>
      </c>
      <c r="I3628">
        <v>0</v>
      </c>
      <c r="J3628">
        <v>0</v>
      </c>
      <c r="K3628">
        <v>0</v>
      </c>
      <c r="L3628">
        <v>7</v>
      </c>
      <c r="O3628">
        <v>7</v>
      </c>
      <c r="P3628">
        <v>0</v>
      </c>
      <c r="Q3628">
        <v>0</v>
      </c>
      <c r="R3628">
        <v>25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H3628">
        <v>25</v>
      </c>
    </row>
    <row r="3629" spans="1:34" x14ac:dyDescent="0.3">
      <c r="A3629" s="4">
        <v>3745</v>
      </c>
      <c r="B3629" s="5">
        <v>3622</v>
      </c>
      <c r="C3629">
        <v>1854</v>
      </c>
      <c r="D3629" t="s">
        <v>3430</v>
      </c>
      <c r="E3629" t="s">
        <v>24442</v>
      </c>
      <c r="F3629" t="s">
        <v>539</v>
      </c>
      <c r="G3629" t="s">
        <v>24443</v>
      </c>
      <c r="H3629">
        <v>18</v>
      </c>
      <c r="I3629">
        <v>0</v>
      </c>
      <c r="J3629">
        <v>0</v>
      </c>
      <c r="K3629">
        <v>0</v>
      </c>
      <c r="N3629">
        <v>3</v>
      </c>
      <c r="O3629">
        <v>3</v>
      </c>
      <c r="P3629">
        <v>4</v>
      </c>
      <c r="Q3629">
        <v>0</v>
      </c>
      <c r="R3629">
        <v>25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H3629">
        <v>25</v>
      </c>
    </row>
    <row r="3630" spans="1:34" x14ac:dyDescent="0.3">
      <c r="A3630" s="4">
        <v>3746</v>
      </c>
      <c r="B3630" s="5">
        <v>3623</v>
      </c>
      <c r="C3630">
        <v>8353</v>
      </c>
      <c r="D3630" t="s">
        <v>24444</v>
      </c>
      <c r="E3630" t="s">
        <v>4176</v>
      </c>
      <c r="F3630" t="s">
        <v>17</v>
      </c>
      <c r="G3630" t="s">
        <v>24445</v>
      </c>
      <c r="H3630">
        <v>18</v>
      </c>
      <c r="I3630">
        <v>0</v>
      </c>
      <c r="J3630">
        <v>0</v>
      </c>
      <c r="K3630">
        <v>0</v>
      </c>
      <c r="N3630">
        <v>3</v>
      </c>
      <c r="O3630">
        <v>3</v>
      </c>
      <c r="P3630">
        <v>4</v>
      </c>
      <c r="Q3630">
        <v>0</v>
      </c>
      <c r="R3630">
        <v>25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H3630">
        <v>25</v>
      </c>
    </row>
    <row r="3631" spans="1:34" x14ac:dyDescent="0.3">
      <c r="A3631" s="4">
        <v>3747</v>
      </c>
      <c r="B3631" s="5">
        <v>3624</v>
      </c>
      <c r="C3631">
        <v>11885</v>
      </c>
      <c r="D3631" t="s">
        <v>24446</v>
      </c>
      <c r="E3631" t="s">
        <v>8622</v>
      </c>
      <c r="F3631" t="s">
        <v>30</v>
      </c>
      <c r="G3631" t="s">
        <v>24447</v>
      </c>
      <c r="H3631">
        <v>16</v>
      </c>
      <c r="I3631">
        <v>0</v>
      </c>
      <c r="J3631">
        <v>0</v>
      </c>
      <c r="K3631">
        <v>0</v>
      </c>
      <c r="M3631">
        <v>5</v>
      </c>
      <c r="O3631">
        <v>5</v>
      </c>
      <c r="P3631">
        <v>4</v>
      </c>
      <c r="Q3631">
        <v>0</v>
      </c>
      <c r="R3631">
        <v>25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H3631">
        <v>25</v>
      </c>
    </row>
    <row r="3632" spans="1:34" x14ac:dyDescent="0.3">
      <c r="A3632" s="4">
        <v>3748</v>
      </c>
      <c r="B3632" s="5">
        <v>3625</v>
      </c>
      <c r="C3632">
        <v>7364</v>
      </c>
      <c r="D3632" t="s">
        <v>5472</v>
      </c>
      <c r="E3632" t="s">
        <v>29</v>
      </c>
      <c r="F3632" t="s">
        <v>38</v>
      </c>
      <c r="G3632" t="s">
        <v>24448</v>
      </c>
      <c r="H3632">
        <v>17.98</v>
      </c>
      <c r="I3632">
        <v>0</v>
      </c>
      <c r="J3632">
        <v>0</v>
      </c>
      <c r="K3632">
        <v>0</v>
      </c>
      <c r="O3632">
        <v>0</v>
      </c>
      <c r="P3632">
        <v>4</v>
      </c>
      <c r="Q3632">
        <v>0</v>
      </c>
      <c r="R3632">
        <v>21.98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3</v>
      </c>
      <c r="AC3632">
        <v>0</v>
      </c>
      <c r="AH3632">
        <v>24.98</v>
      </c>
    </row>
    <row r="3633" spans="1:34" x14ac:dyDescent="0.3">
      <c r="A3633" s="4">
        <v>3749</v>
      </c>
      <c r="B3633" s="5">
        <v>3626</v>
      </c>
      <c r="C3633">
        <v>3679</v>
      </c>
      <c r="D3633" t="s">
        <v>3454</v>
      </c>
      <c r="E3633" t="s">
        <v>110</v>
      </c>
      <c r="F3633" t="s">
        <v>328</v>
      </c>
      <c r="G3633" t="s">
        <v>24449</v>
      </c>
      <c r="H3633">
        <v>21.98</v>
      </c>
      <c r="I3633">
        <v>0</v>
      </c>
      <c r="J3633">
        <v>0</v>
      </c>
      <c r="K3633">
        <v>0</v>
      </c>
      <c r="N3633">
        <v>3</v>
      </c>
      <c r="O3633">
        <v>3</v>
      </c>
      <c r="P3633">
        <v>0</v>
      </c>
      <c r="Q3633">
        <v>0</v>
      </c>
      <c r="R3633">
        <v>24.98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H3633">
        <v>24.98</v>
      </c>
    </row>
    <row r="3634" spans="1:34" x14ac:dyDescent="0.3">
      <c r="A3634" s="4">
        <v>3750</v>
      </c>
      <c r="B3634" s="5">
        <v>3627</v>
      </c>
      <c r="C3634">
        <v>10314</v>
      </c>
      <c r="D3634" t="s">
        <v>4918</v>
      </c>
      <c r="E3634" t="s">
        <v>166</v>
      </c>
      <c r="F3634" t="s">
        <v>124</v>
      </c>
      <c r="G3634" t="s">
        <v>24450</v>
      </c>
      <c r="H3634">
        <v>20.98</v>
      </c>
      <c r="I3634">
        <v>0</v>
      </c>
      <c r="J3634">
        <v>0</v>
      </c>
      <c r="K3634">
        <v>0</v>
      </c>
      <c r="O3634">
        <v>0</v>
      </c>
      <c r="P3634">
        <v>4</v>
      </c>
      <c r="Q3634">
        <v>0</v>
      </c>
      <c r="R3634">
        <v>24.98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H3634">
        <v>24.98</v>
      </c>
    </row>
    <row r="3635" spans="1:34" x14ac:dyDescent="0.3">
      <c r="A3635" s="4">
        <v>3751</v>
      </c>
      <c r="B3635" s="5">
        <v>3628</v>
      </c>
      <c r="C3635">
        <v>12435</v>
      </c>
      <c r="D3635" t="s">
        <v>24451</v>
      </c>
      <c r="E3635" t="s">
        <v>97</v>
      </c>
      <c r="F3635" t="s">
        <v>20</v>
      </c>
      <c r="G3635" t="s">
        <v>24452</v>
      </c>
      <c r="H3635">
        <v>17.98</v>
      </c>
      <c r="I3635">
        <v>0</v>
      </c>
      <c r="J3635">
        <v>0</v>
      </c>
      <c r="K3635">
        <v>0</v>
      </c>
      <c r="L3635">
        <v>7</v>
      </c>
      <c r="O3635">
        <v>7</v>
      </c>
      <c r="P3635">
        <v>0</v>
      </c>
      <c r="Q3635">
        <v>0</v>
      </c>
      <c r="R3635">
        <v>24.98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H3635">
        <v>24.98</v>
      </c>
    </row>
    <row r="3636" spans="1:34" x14ac:dyDescent="0.3">
      <c r="A3636" s="4">
        <v>3752</v>
      </c>
      <c r="B3636" s="5">
        <v>3629</v>
      </c>
      <c r="C3636">
        <v>7087</v>
      </c>
      <c r="D3636" t="s">
        <v>24453</v>
      </c>
      <c r="E3636" t="s">
        <v>26</v>
      </c>
      <c r="F3636" t="s">
        <v>68</v>
      </c>
      <c r="G3636" t="s">
        <v>24454</v>
      </c>
      <c r="H3636">
        <v>17.98</v>
      </c>
      <c r="I3636">
        <v>0</v>
      </c>
      <c r="J3636">
        <v>0</v>
      </c>
      <c r="K3636">
        <v>0</v>
      </c>
      <c r="N3636">
        <v>3</v>
      </c>
      <c r="O3636">
        <v>3</v>
      </c>
      <c r="P3636">
        <v>4</v>
      </c>
      <c r="Q3636">
        <v>0</v>
      </c>
      <c r="R3636">
        <v>24.98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H3636">
        <v>24.98</v>
      </c>
    </row>
    <row r="3637" spans="1:34" x14ac:dyDescent="0.3">
      <c r="A3637" s="4">
        <v>3753</v>
      </c>
      <c r="B3637" s="5">
        <v>3630</v>
      </c>
      <c r="C3637">
        <v>10550</v>
      </c>
      <c r="D3637" t="s">
        <v>18498</v>
      </c>
      <c r="E3637" t="s">
        <v>238</v>
      </c>
      <c r="F3637" t="s">
        <v>3439</v>
      </c>
      <c r="G3637" t="s">
        <v>24455</v>
      </c>
      <c r="H3637">
        <v>17.95</v>
      </c>
      <c r="I3637">
        <v>0</v>
      </c>
      <c r="J3637">
        <v>0</v>
      </c>
      <c r="K3637">
        <v>0</v>
      </c>
      <c r="L3637">
        <v>7</v>
      </c>
      <c r="O3637">
        <v>7</v>
      </c>
      <c r="P3637">
        <v>0</v>
      </c>
      <c r="Q3637">
        <v>0</v>
      </c>
      <c r="R3637">
        <v>24.95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H3637">
        <v>24.95</v>
      </c>
    </row>
    <row r="3638" spans="1:34" x14ac:dyDescent="0.3">
      <c r="A3638" s="4">
        <v>3754</v>
      </c>
      <c r="B3638" s="5">
        <v>3631</v>
      </c>
      <c r="C3638">
        <v>13645</v>
      </c>
      <c r="D3638" t="s">
        <v>18441</v>
      </c>
      <c r="E3638" t="s">
        <v>54</v>
      </c>
      <c r="F3638" t="s">
        <v>17</v>
      </c>
      <c r="G3638" t="s">
        <v>24456</v>
      </c>
      <c r="H3638">
        <v>17.95</v>
      </c>
      <c r="I3638">
        <v>0</v>
      </c>
      <c r="J3638">
        <v>0</v>
      </c>
      <c r="K3638">
        <v>0</v>
      </c>
      <c r="N3638">
        <v>3</v>
      </c>
      <c r="O3638">
        <v>3</v>
      </c>
      <c r="P3638">
        <v>4</v>
      </c>
      <c r="Q3638">
        <v>0</v>
      </c>
      <c r="R3638">
        <v>24.95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H3638">
        <v>24.95</v>
      </c>
    </row>
    <row r="3639" spans="1:34" x14ac:dyDescent="0.3">
      <c r="A3639" s="4">
        <v>3755</v>
      </c>
      <c r="B3639" s="5">
        <v>3632</v>
      </c>
      <c r="C3639">
        <v>15454</v>
      </c>
      <c r="D3639" t="s">
        <v>13876</v>
      </c>
      <c r="E3639" t="s">
        <v>439</v>
      </c>
      <c r="F3639" t="s">
        <v>238</v>
      </c>
      <c r="G3639" t="s">
        <v>24457</v>
      </c>
      <c r="H3639">
        <v>17.95</v>
      </c>
      <c r="I3639">
        <v>0</v>
      </c>
      <c r="J3639">
        <v>0</v>
      </c>
      <c r="K3639">
        <v>0</v>
      </c>
      <c r="N3639">
        <v>3</v>
      </c>
      <c r="O3639">
        <v>3</v>
      </c>
      <c r="P3639">
        <v>4</v>
      </c>
      <c r="Q3639">
        <v>0</v>
      </c>
      <c r="R3639">
        <v>24.95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H3639">
        <v>24.95</v>
      </c>
    </row>
    <row r="3640" spans="1:34" x14ac:dyDescent="0.3">
      <c r="A3640" s="4">
        <v>3756</v>
      </c>
      <c r="B3640" s="5">
        <v>3633</v>
      </c>
      <c r="C3640">
        <v>6193</v>
      </c>
      <c r="D3640" t="s">
        <v>2857</v>
      </c>
      <c r="E3640" t="s">
        <v>789</v>
      </c>
      <c r="F3640" t="s">
        <v>649</v>
      </c>
      <c r="G3640" t="s">
        <v>24458</v>
      </c>
      <c r="H3640">
        <v>17.95</v>
      </c>
      <c r="I3640">
        <v>0</v>
      </c>
      <c r="J3640">
        <v>0</v>
      </c>
      <c r="K3640">
        <v>0</v>
      </c>
      <c r="N3640">
        <v>3</v>
      </c>
      <c r="O3640">
        <v>3</v>
      </c>
      <c r="P3640">
        <v>4</v>
      </c>
      <c r="Q3640">
        <v>0</v>
      </c>
      <c r="R3640">
        <v>24.95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H3640">
        <v>24.95</v>
      </c>
    </row>
    <row r="3641" spans="1:34" x14ac:dyDescent="0.3">
      <c r="A3641" s="4">
        <v>3757</v>
      </c>
      <c r="B3641" s="5">
        <v>3634</v>
      </c>
      <c r="C3641">
        <v>10217</v>
      </c>
      <c r="D3641" t="s">
        <v>24459</v>
      </c>
      <c r="E3641" t="s">
        <v>136</v>
      </c>
      <c r="F3641" t="s">
        <v>649</v>
      </c>
      <c r="G3641" t="s">
        <v>24460</v>
      </c>
      <c r="H3641">
        <v>21.93</v>
      </c>
      <c r="I3641">
        <v>0</v>
      </c>
      <c r="J3641">
        <v>0</v>
      </c>
      <c r="K3641">
        <v>0</v>
      </c>
      <c r="N3641">
        <v>3</v>
      </c>
      <c r="O3641">
        <v>3</v>
      </c>
      <c r="P3641">
        <v>0</v>
      </c>
      <c r="Q3641">
        <v>0</v>
      </c>
      <c r="R3641">
        <v>24.93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H3641">
        <v>24.93</v>
      </c>
    </row>
    <row r="3642" spans="1:34" x14ac:dyDescent="0.3">
      <c r="A3642" s="4">
        <v>3758</v>
      </c>
      <c r="B3642" s="5">
        <v>3635</v>
      </c>
      <c r="C3642">
        <v>6589</v>
      </c>
      <c r="D3642" t="s">
        <v>5613</v>
      </c>
      <c r="E3642" t="s">
        <v>29</v>
      </c>
      <c r="F3642" t="s">
        <v>190</v>
      </c>
      <c r="G3642" t="s">
        <v>24461</v>
      </c>
      <c r="H3642">
        <v>20.93</v>
      </c>
      <c r="I3642">
        <v>0</v>
      </c>
      <c r="J3642">
        <v>0</v>
      </c>
      <c r="K3642">
        <v>0</v>
      </c>
      <c r="O3642">
        <v>0</v>
      </c>
      <c r="P3642">
        <v>4</v>
      </c>
      <c r="Q3642">
        <v>0</v>
      </c>
      <c r="R3642">
        <v>24.93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H3642">
        <v>24.93</v>
      </c>
    </row>
    <row r="3643" spans="1:34" x14ac:dyDescent="0.3">
      <c r="A3643" s="4">
        <v>3759</v>
      </c>
      <c r="B3643" s="5">
        <v>3636</v>
      </c>
      <c r="C3643">
        <v>8195</v>
      </c>
      <c r="D3643" t="s">
        <v>2049</v>
      </c>
      <c r="E3643" t="s">
        <v>471</v>
      </c>
      <c r="F3643" t="s">
        <v>20</v>
      </c>
      <c r="G3643" t="s">
        <v>24462</v>
      </c>
      <c r="H3643">
        <v>17.93</v>
      </c>
      <c r="I3643">
        <v>0</v>
      </c>
      <c r="J3643">
        <v>0</v>
      </c>
      <c r="K3643">
        <v>0</v>
      </c>
      <c r="N3643">
        <v>3</v>
      </c>
      <c r="O3643">
        <v>3</v>
      </c>
      <c r="P3643">
        <v>4</v>
      </c>
      <c r="Q3643">
        <v>0</v>
      </c>
      <c r="R3643">
        <v>24.93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H3643">
        <v>24.93</v>
      </c>
    </row>
    <row r="3644" spans="1:34" x14ac:dyDescent="0.3">
      <c r="A3644" s="4">
        <v>3760</v>
      </c>
      <c r="B3644" s="5">
        <v>3637</v>
      </c>
      <c r="C3644">
        <v>7290</v>
      </c>
      <c r="D3644" t="s">
        <v>4603</v>
      </c>
      <c r="E3644" t="s">
        <v>29</v>
      </c>
      <c r="F3644" t="s">
        <v>442</v>
      </c>
      <c r="G3644" t="s">
        <v>24463</v>
      </c>
      <c r="H3644">
        <v>17.93</v>
      </c>
      <c r="I3644">
        <v>0</v>
      </c>
      <c r="J3644">
        <v>0</v>
      </c>
      <c r="K3644">
        <v>0</v>
      </c>
      <c r="N3644">
        <v>3</v>
      </c>
      <c r="O3644">
        <v>3</v>
      </c>
      <c r="P3644">
        <v>4</v>
      </c>
      <c r="Q3644">
        <v>0</v>
      </c>
      <c r="R3644">
        <v>24.93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H3644">
        <v>24.93</v>
      </c>
    </row>
    <row r="3645" spans="1:34" x14ac:dyDescent="0.3">
      <c r="A3645" s="4">
        <v>3761</v>
      </c>
      <c r="B3645" s="5">
        <v>3638</v>
      </c>
      <c r="C3645">
        <v>12525</v>
      </c>
      <c r="D3645" t="s">
        <v>24464</v>
      </c>
      <c r="E3645" t="s">
        <v>97</v>
      </c>
      <c r="F3645" t="s">
        <v>81</v>
      </c>
      <c r="G3645" t="s">
        <v>24465</v>
      </c>
      <c r="H3645">
        <v>17.93</v>
      </c>
      <c r="I3645">
        <v>0</v>
      </c>
      <c r="J3645">
        <v>0</v>
      </c>
      <c r="K3645">
        <v>0</v>
      </c>
      <c r="N3645">
        <v>3</v>
      </c>
      <c r="O3645">
        <v>3</v>
      </c>
      <c r="P3645">
        <v>4</v>
      </c>
      <c r="Q3645">
        <v>0</v>
      </c>
      <c r="R3645">
        <v>24.93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H3645">
        <v>24.93</v>
      </c>
    </row>
    <row r="3646" spans="1:34" x14ac:dyDescent="0.3">
      <c r="A3646" s="4">
        <v>3762</v>
      </c>
      <c r="B3646" s="5">
        <v>3639</v>
      </c>
      <c r="C3646">
        <v>1774</v>
      </c>
      <c r="D3646" t="s">
        <v>24466</v>
      </c>
      <c r="E3646" t="s">
        <v>789</v>
      </c>
      <c r="F3646" t="s">
        <v>136</v>
      </c>
      <c r="G3646" t="s">
        <v>24467</v>
      </c>
      <c r="H3646">
        <v>17.899999999999999</v>
      </c>
      <c r="I3646">
        <v>0</v>
      </c>
      <c r="J3646">
        <v>0</v>
      </c>
      <c r="K3646">
        <v>0</v>
      </c>
      <c r="O3646">
        <v>0</v>
      </c>
      <c r="P3646">
        <v>4</v>
      </c>
      <c r="Q3646">
        <v>0</v>
      </c>
      <c r="R3646">
        <v>21.9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3</v>
      </c>
      <c r="AC3646">
        <v>0</v>
      </c>
      <c r="AH3646">
        <v>24.9</v>
      </c>
    </row>
    <row r="3647" spans="1:34" x14ac:dyDescent="0.3">
      <c r="A3647" s="4">
        <v>3763</v>
      </c>
      <c r="B3647" s="5">
        <v>3640</v>
      </c>
      <c r="C3647">
        <v>10458</v>
      </c>
      <c r="D3647" t="s">
        <v>3309</v>
      </c>
      <c r="E3647" t="s">
        <v>789</v>
      </c>
      <c r="F3647" t="s">
        <v>20</v>
      </c>
      <c r="G3647" t="s">
        <v>24468</v>
      </c>
      <c r="H3647">
        <v>20.9</v>
      </c>
      <c r="I3647">
        <v>0</v>
      </c>
      <c r="J3647">
        <v>0</v>
      </c>
      <c r="K3647">
        <v>0</v>
      </c>
      <c r="O3647">
        <v>0</v>
      </c>
      <c r="P3647">
        <v>4</v>
      </c>
      <c r="Q3647">
        <v>0</v>
      </c>
      <c r="R3647">
        <v>24.9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H3647">
        <v>24.9</v>
      </c>
    </row>
    <row r="3648" spans="1:34" x14ac:dyDescent="0.3">
      <c r="A3648" s="4">
        <v>3764</v>
      </c>
      <c r="B3648" s="5">
        <v>3641</v>
      </c>
      <c r="C3648">
        <v>8456</v>
      </c>
      <c r="D3648" t="s">
        <v>11605</v>
      </c>
      <c r="E3648" t="s">
        <v>24469</v>
      </c>
      <c r="F3648" t="s">
        <v>20</v>
      </c>
      <c r="G3648" t="s">
        <v>24470</v>
      </c>
      <c r="H3648">
        <v>17.899999999999999</v>
      </c>
      <c r="I3648">
        <v>0</v>
      </c>
      <c r="J3648">
        <v>0</v>
      </c>
      <c r="K3648">
        <v>0</v>
      </c>
      <c r="N3648">
        <v>3</v>
      </c>
      <c r="O3648">
        <v>3</v>
      </c>
      <c r="P3648">
        <v>4</v>
      </c>
      <c r="Q3648">
        <v>0</v>
      </c>
      <c r="R3648">
        <v>24.9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H3648">
        <v>24.9</v>
      </c>
    </row>
    <row r="3649" spans="1:34" x14ac:dyDescent="0.3">
      <c r="A3649" s="4">
        <v>3765</v>
      </c>
      <c r="B3649" s="5">
        <v>3642</v>
      </c>
      <c r="C3649">
        <v>2781</v>
      </c>
      <c r="D3649" t="s">
        <v>2758</v>
      </c>
      <c r="E3649" t="s">
        <v>24471</v>
      </c>
      <c r="F3649" t="s">
        <v>24472</v>
      </c>
      <c r="G3649" t="s">
        <v>24473</v>
      </c>
      <c r="H3649">
        <v>17.899999999999999</v>
      </c>
      <c r="I3649">
        <v>0</v>
      </c>
      <c r="J3649">
        <v>0</v>
      </c>
      <c r="K3649">
        <v>0</v>
      </c>
      <c r="N3649">
        <v>3</v>
      </c>
      <c r="O3649">
        <v>3</v>
      </c>
      <c r="P3649">
        <v>4</v>
      </c>
      <c r="Q3649">
        <v>0</v>
      </c>
      <c r="R3649">
        <v>24.9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H3649">
        <v>24.9</v>
      </c>
    </row>
    <row r="3650" spans="1:34" x14ac:dyDescent="0.3">
      <c r="A3650" s="4">
        <v>3766</v>
      </c>
      <c r="B3650" s="5">
        <v>3643</v>
      </c>
      <c r="C3650">
        <v>10041</v>
      </c>
      <c r="D3650" t="s">
        <v>24474</v>
      </c>
      <c r="E3650" t="s">
        <v>8570</v>
      </c>
      <c r="F3650" t="s">
        <v>81</v>
      </c>
      <c r="G3650" t="s">
        <v>24475</v>
      </c>
      <c r="H3650">
        <v>17.899999999999999</v>
      </c>
      <c r="I3650">
        <v>0</v>
      </c>
      <c r="J3650">
        <v>0</v>
      </c>
      <c r="K3650">
        <v>0</v>
      </c>
      <c r="L3650">
        <v>7</v>
      </c>
      <c r="O3650">
        <v>7</v>
      </c>
      <c r="P3650">
        <v>0</v>
      </c>
      <c r="Q3650">
        <v>0</v>
      </c>
      <c r="R3650">
        <v>24.9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H3650">
        <v>24.9</v>
      </c>
    </row>
    <row r="3651" spans="1:34" x14ac:dyDescent="0.3">
      <c r="A3651" s="4">
        <v>3767</v>
      </c>
      <c r="B3651" s="5">
        <v>3644</v>
      </c>
      <c r="C3651">
        <v>14657</v>
      </c>
      <c r="D3651" t="s">
        <v>24476</v>
      </c>
      <c r="E3651" t="s">
        <v>479</v>
      </c>
      <c r="F3651" t="s">
        <v>328</v>
      </c>
      <c r="G3651" t="s">
        <v>24477</v>
      </c>
      <c r="H3651">
        <v>17.899999999999999</v>
      </c>
      <c r="I3651">
        <v>0</v>
      </c>
      <c r="J3651">
        <v>0</v>
      </c>
      <c r="K3651">
        <v>0</v>
      </c>
      <c r="N3651">
        <v>3</v>
      </c>
      <c r="O3651">
        <v>3</v>
      </c>
      <c r="P3651">
        <v>4</v>
      </c>
      <c r="Q3651">
        <v>0</v>
      </c>
      <c r="R3651">
        <v>24.9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H3651">
        <v>24.9</v>
      </c>
    </row>
    <row r="3652" spans="1:34" x14ac:dyDescent="0.3">
      <c r="A3652" s="4">
        <v>3768</v>
      </c>
      <c r="B3652" s="5">
        <v>3645</v>
      </c>
      <c r="C3652">
        <v>2989</v>
      </c>
      <c r="D3652" t="s">
        <v>24478</v>
      </c>
      <c r="E3652" t="s">
        <v>97</v>
      </c>
      <c r="F3652" t="s">
        <v>230</v>
      </c>
      <c r="G3652" t="s">
        <v>24479</v>
      </c>
      <c r="H3652">
        <v>17.899999999999999</v>
      </c>
      <c r="I3652">
        <v>0</v>
      </c>
      <c r="J3652">
        <v>0</v>
      </c>
      <c r="K3652">
        <v>0</v>
      </c>
      <c r="N3652">
        <v>3</v>
      </c>
      <c r="O3652">
        <v>3</v>
      </c>
      <c r="P3652">
        <v>4</v>
      </c>
      <c r="Q3652">
        <v>0</v>
      </c>
      <c r="R3652">
        <v>24.9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H3652">
        <v>24.9</v>
      </c>
    </row>
    <row r="3653" spans="1:34" x14ac:dyDescent="0.3">
      <c r="A3653" s="4">
        <v>3769</v>
      </c>
      <c r="B3653" s="5">
        <v>3646</v>
      </c>
      <c r="C3653">
        <v>5687</v>
      </c>
      <c r="D3653" t="s">
        <v>24480</v>
      </c>
      <c r="E3653" t="s">
        <v>2122</v>
      </c>
      <c r="F3653" t="s">
        <v>117</v>
      </c>
      <c r="G3653" t="s">
        <v>24481</v>
      </c>
      <c r="H3653">
        <v>17.899999999999999</v>
      </c>
      <c r="I3653">
        <v>0</v>
      </c>
      <c r="J3653">
        <v>0</v>
      </c>
      <c r="K3653">
        <v>0</v>
      </c>
      <c r="N3653">
        <v>3</v>
      </c>
      <c r="O3653">
        <v>3</v>
      </c>
      <c r="P3653">
        <v>4</v>
      </c>
      <c r="Q3653">
        <v>0</v>
      </c>
      <c r="R3653">
        <v>24.9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H3653">
        <v>24.9</v>
      </c>
    </row>
    <row r="3654" spans="1:34" x14ac:dyDescent="0.3">
      <c r="A3654" s="4">
        <v>3770</v>
      </c>
      <c r="B3654" s="5">
        <v>3647</v>
      </c>
      <c r="C3654">
        <v>3163</v>
      </c>
      <c r="D3654" t="s">
        <v>24482</v>
      </c>
      <c r="E3654" t="s">
        <v>17</v>
      </c>
      <c r="F3654" t="s">
        <v>68</v>
      </c>
      <c r="G3654" t="s">
        <v>24483</v>
      </c>
      <c r="H3654">
        <v>17.88</v>
      </c>
      <c r="I3654">
        <v>0</v>
      </c>
      <c r="J3654">
        <v>0</v>
      </c>
      <c r="K3654">
        <v>0</v>
      </c>
      <c r="N3654">
        <v>3</v>
      </c>
      <c r="O3654">
        <v>3</v>
      </c>
      <c r="P3654">
        <v>4</v>
      </c>
      <c r="Q3654">
        <v>0</v>
      </c>
      <c r="R3654">
        <v>24.88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H3654">
        <v>24.88</v>
      </c>
    </row>
    <row r="3655" spans="1:34" x14ac:dyDescent="0.3">
      <c r="A3655" s="4">
        <v>3771</v>
      </c>
      <c r="B3655" s="5">
        <v>3648</v>
      </c>
      <c r="C3655">
        <v>11210</v>
      </c>
      <c r="D3655" t="s">
        <v>2490</v>
      </c>
      <c r="E3655" t="s">
        <v>166</v>
      </c>
      <c r="F3655" t="s">
        <v>2595</v>
      </c>
      <c r="G3655" t="s">
        <v>24484</v>
      </c>
      <c r="H3655">
        <v>17.850000000000001</v>
      </c>
      <c r="I3655">
        <v>0</v>
      </c>
      <c r="J3655">
        <v>0</v>
      </c>
      <c r="K3655">
        <v>0</v>
      </c>
      <c r="O3655">
        <v>0</v>
      </c>
      <c r="P3655">
        <v>4</v>
      </c>
      <c r="Q3655">
        <v>0</v>
      </c>
      <c r="R3655">
        <v>21.85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3</v>
      </c>
      <c r="AC3655">
        <v>0</v>
      </c>
      <c r="AH3655">
        <v>24.85</v>
      </c>
    </row>
    <row r="3656" spans="1:34" x14ac:dyDescent="0.3">
      <c r="A3656" s="4">
        <v>3772</v>
      </c>
      <c r="B3656" s="5">
        <v>3649</v>
      </c>
      <c r="C3656">
        <v>12905</v>
      </c>
      <c r="D3656" t="s">
        <v>24485</v>
      </c>
      <c r="E3656" t="s">
        <v>161</v>
      </c>
      <c r="F3656" t="s">
        <v>38</v>
      </c>
      <c r="G3656" t="s">
        <v>24486</v>
      </c>
      <c r="H3656">
        <v>17.850000000000001</v>
      </c>
      <c r="I3656">
        <v>0</v>
      </c>
      <c r="J3656">
        <v>0</v>
      </c>
      <c r="K3656">
        <v>0</v>
      </c>
      <c r="N3656">
        <v>3</v>
      </c>
      <c r="O3656">
        <v>3</v>
      </c>
      <c r="P3656">
        <v>4</v>
      </c>
      <c r="Q3656">
        <v>0</v>
      </c>
      <c r="R3656">
        <v>24.85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H3656">
        <v>24.85</v>
      </c>
    </row>
    <row r="3657" spans="1:34" x14ac:dyDescent="0.3">
      <c r="A3657" s="4">
        <v>3773</v>
      </c>
      <c r="B3657" s="5">
        <v>3650</v>
      </c>
      <c r="C3657">
        <v>4356</v>
      </c>
      <c r="D3657" t="s">
        <v>24487</v>
      </c>
      <c r="E3657" t="s">
        <v>972</v>
      </c>
      <c r="F3657" t="s">
        <v>68</v>
      </c>
      <c r="G3657" t="s">
        <v>24488</v>
      </c>
      <c r="H3657">
        <v>17.850000000000001</v>
      </c>
      <c r="I3657">
        <v>0</v>
      </c>
      <c r="J3657">
        <v>0</v>
      </c>
      <c r="K3657">
        <v>0</v>
      </c>
      <c r="N3657">
        <v>3</v>
      </c>
      <c r="O3657">
        <v>3</v>
      </c>
      <c r="P3657">
        <v>4</v>
      </c>
      <c r="Q3657">
        <v>0</v>
      </c>
      <c r="R3657">
        <v>24.85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H3657">
        <v>24.85</v>
      </c>
    </row>
    <row r="3658" spans="1:34" x14ac:dyDescent="0.3">
      <c r="A3658" s="4">
        <v>3774</v>
      </c>
      <c r="B3658" s="5">
        <v>3651</v>
      </c>
      <c r="C3658">
        <v>4987</v>
      </c>
      <c r="D3658" t="s">
        <v>24489</v>
      </c>
      <c r="E3658" t="s">
        <v>255</v>
      </c>
      <c r="F3658" t="s">
        <v>30</v>
      </c>
      <c r="G3658" t="s">
        <v>24490</v>
      </c>
      <c r="H3658">
        <v>17.829999999999998</v>
      </c>
      <c r="I3658">
        <v>0</v>
      </c>
      <c r="J3658">
        <v>0</v>
      </c>
      <c r="K3658">
        <v>0</v>
      </c>
      <c r="O3658">
        <v>0</v>
      </c>
      <c r="P3658">
        <v>4</v>
      </c>
      <c r="Q3658">
        <v>0</v>
      </c>
      <c r="R3658">
        <v>21.83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3</v>
      </c>
      <c r="AC3658">
        <v>0</v>
      </c>
      <c r="AH3658">
        <v>24.83</v>
      </c>
    </row>
    <row r="3659" spans="1:34" x14ac:dyDescent="0.3">
      <c r="A3659" s="4">
        <v>3775</v>
      </c>
      <c r="B3659" s="5">
        <v>3652</v>
      </c>
      <c r="C3659">
        <v>2388</v>
      </c>
      <c r="D3659" t="s">
        <v>24491</v>
      </c>
      <c r="E3659" t="s">
        <v>24492</v>
      </c>
      <c r="F3659" t="s">
        <v>136</v>
      </c>
      <c r="G3659" t="s">
        <v>24493</v>
      </c>
      <c r="H3659">
        <v>18.829999999999998</v>
      </c>
      <c r="I3659">
        <v>0</v>
      </c>
      <c r="J3659">
        <v>0</v>
      </c>
      <c r="K3659">
        <v>0</v>
      </c>
      <c r="O3659">
        <v>0</v>
      </c>
      <c r="P3659">
        <v>4</v>
      </c>
      <c r="Q3659">
        <v>2</v>
      </c>
      <c r="R3659">
        <v>24.83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H3659">
        <v>24.83</v>
      </c>
    </row>
    <row r="3660" spans="1:34" x14ac:dyDescent="0.3">
      <c r="A3660" s="4">
        <v>3776</v>
      </c>
      <c r="B3660" s="5">
        <v>3653</v>
      </c>
      <c r="C3660">
        <v>9448</v>
      </c>
      <c r="D3660" t="s">
        <v>5697</v>
      </c>
      <c r="E3660" t="s">
        <v>88</v>
      </c>
      <c r="F3660" t="s">
        <v>124</v>
      </c>
      <c r="G3660" t="s">
        <v>24494</v>
      </c>
      <c r="H3660">
        <v>17.829999999999998</v>
      </c>
      <c r="I3660">
        <v>0</v>
      </c>
      <c r="J3660">
        <v>0</v>
      </c>
      <c r="K3660">
        <v>0</v>
      </c>
      <c r="N3660">
        <v>3</v>
      </c>
      <c r="O3660">
        <v>3</v>
      </c>
      <c r="P3660">
        <v>4</v>
      </c>
      <c r="Q3660">
        <v>0</v>
      </c>
      <c r="R3660">
        <v>24.83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H3660">
        <v>24.83</v>
      </c>
    </row>
    <row r="3661" spans="1:34" x14ac:dyDescent="0.3">
      <c r="A3661" s="4">
        <v>3777</v>
      </c>
      <c r="B3661" s="5">
        <v>3654</v>
      </c>
      <c r="C3661">
        <v>681</v>
      </c>
      <c r="D3661" t="s">
        <v>24495</v>
      </c>
      <c r="E3661" t="s">
        <v>22</v>
      </c>
      <c r="F3661" t="s">
        <v>24496</v>
      </c>
      <c r="G3661" t="s">
        <v>24497</v>
      </c>
      <c r="H3661">
        <v>17.8</v>
      </c>
      <c r="I3661">
        <v>0</v>
      </c>
      <c r="J3661">
        <v>0</v>
      </c>
      <c r="K3661">
        <v>0</v>
      </c>
      <c r="O3661">
        <v>0</v>
      </c>
      <c r="P3661">
        <v>4</v>
      </c>
      <c r="Q3661">
        <v>0</v>
      </c>
      <c r="R3661">
        <v>21.8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3</v>
      </c>
      <c r="AC3661">
        <v>0</v>
      </c>
      <c r="AH3661">
        <v>24.8</v>
      </c>
    </row>
    <row r="3662" spans="1:34" x14ac:dyDescent="0.3">
      <c r="A3662" s="4">
        <v>3778</v>
      </c>
      <c r="B3662" s="5">
        <v>3655</v>
      </c>
      <c r="C3662">
        <v>15132</v>
      </c>
      <c r="D3662" t="s">
        <v>20576</v>
      </c>
      <c r="E3662" t="s">
        <v>17</v>
      </c>
      <c r="F3662" t="s">
        <v>38</v>
      </c>
      <c r="G3662" t="s">
        <v>24498</v>
      </c>
      <c r="H3662">
        <v>17.8</v>
      </c>
      <c r="I3662">
        <v>0</v>
      </c>
      <c r="J3662">
        <v>0</v>
      </c>
      <c r="K3662">
        <v>0</v>
      </c>
      <c r="N3662">
        <v>3</v>
      </c>
      <c r="O3662">
        <v>3</v>
      </c>
      <c r="P3662">
        <v>4</v>
      </c>
      <c r="Q3662">
        <v>0</v>
      </c>
      <c r="R3662">
        <v>24.8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H3662">
        <v>24.8</v>
      </c>
    </row>
    <row r="3663" spans="1:34" x14ac:dyDescent="0.3">
      <c r="A3663" s="4">
        <v>3779</v>
      </c>
      <c r="B3663" s="5">
        <v>3656</v>
      </c>
      <c r="C3663">
        <v>13810</v>
      </c>
      <c r="D3663" t="s">
        <v>4978</v>
      </c>
      <c r="E3663" t="s">
        <v>24499</v>
      </c>
      <c r="F3663" t="s">
        <v>124</v>
      </c>
      <c r="G3663" t="s">
        <v>24500</v>
      </c>
      <c r="H3663">
        <v>17.8</v>
      </c>
      <c r="I3663">
        <v>0</v>
      </c>
      <c r="J3663">
        <v>0</v>
      </c>
      <c r="K3663">
        <v>0</v>
      </c>
      <c r="N3663">
        <v>3</v>
      </c>
      <c r="O3663">
        <v>3</v>
      </c>
      <c r="P3663">
        <v>4</v>
      </c>
      <c r="Q3663">
        <v>0</v>
      </c>
      <c r="R3663">
        <v>24.8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H3663">
        <v>24.8</v>
      </c>
    </row>
    <row r="3664" spans="1:34" x14ac:dyDescent="0.3">
      <c r="A3664" s="4">
        <v>3780</v>
      </c>
      <c r="B3664" s="5">
        <v>3657</v>
      </c>
      <c r="C3664">
        <v>10053</v>
      </c>
      <c r="D3664" t="s">
        <v>11381</v>
      </c>
      <c r="E3664" t="s">
        <v>24501</v>
      </c>
      <c r="F3664" t="s">
        <v>2427</v>
      </c>
      <c r="G3664" t="s">
        <v>24502</v>
      </c>
      <c r="H3664">
        <v>17.8</v>
      </c>
      <c r="I3664">
        <v>0</v>
      </c>
      <c r="J3664">
        <v>0</v>
      </c>
      <c r="K3664">
        <v>0</v>
      </c>
      <c r="N3664">
        <v>3</v>
      </c>
      <c r="O3664">
        <v>3</v>
      </c>
      <c r="P3664">
        <v>4</v>
      </c>
      <c r="Q3664">
        <v>0</v>
      </c>
      <c r="R3664">
        <v>24.8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H3664">
        <v>24.8</v>
      </c>
    </row>
    <row r="3665" spans="1:34" x14ac:dyDescent="0.3">
      <c r="A3665" s="4">
        <v>3781</v>
      </c>
      <c r="B3665" s="5">
        <v>3658</v>
      </c>
      <c r="C3665">
        <v>14942</v>
      </c>
      <c r="D3665" t="s">
        <v>5378</v>
      </c>
      <c r="E3665" t="s">
        <v>24503</v>
      </c>
      <c r="F3665" t="s">
        <v>81</v>
      </c>
      <c r="G3665" t="s">
        <v>24504</v>
      </c>
      <c r="H3665">
        <v>17.8</v>
      </c>
      <c r="I3665">
        <v>0</v>
      </c>
      <c r="J3665">
        <v>0</v>
      </c>
      <c r="K3665">
        <v>0</v>
      </c>
      <c r="N3665">
        <v>3</v>
      </c>
      <c r="O3665">
        <v>3</v>
      </c>
      <c r="P3665">
        <v>4</v>
      </c>
      <c r="Q3665">
        <v>0</v>
      </c>
      <c r="R3665">
        <v>24.8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H3665">
        <v>24.8</v>
      </c>
    </row>
    <row r="3666" spans="1:34" x14ac:dyDescent="0.3">
      <c r="A3666" s="4">
        <v>3782</v>
      </c>
      <c r="B3666" s="5">
        <v>3659</v>
      </c>
      <c r="C3666">
        <v>3629</v>
      </c>
      <c r="D3666" t="s">
        <v>6290</v>
      </c>
      <c r="E3666" t="s">
        <v>48</v>
      </c>
      <c r="F3666" t="s">
        <v>575</v>
      </c>
      <c r="G3666" t="s">
        <v>24505</v>
      </c>
      <c r="H3666">
        <v>17.78</v>
      </c>
      <c r="I3666">
        <v>0</v>
      </c>
      <c r="J3666">
        <v>0</v>
      </c>
      <c r="K3666">
        <v>0</v>
      </c>
      <c r="N3666">
        <v>3</v>
      </c>
      <c r="O3666">
        <v>3</v>
      </c>
      <c r="P3666">
        <v>4</v>
      </c>
      <c r="Q3666">
        <v>0</v>
      </c>
      <c r="R3666">
        <v>24.78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H3666">
        <v>24.78</v>
      </c>
    </row>
    <row r="3667" spans="1:34" x14ac:dyDescent="0.3">
      <c r="A3667" s="4">
        <v>3783</v>
      </c>
      <c r="B3667" s="5">
        <v>3660</v>
      </c>
      <c r="C3667">
        <v>6484</v>
      </c>
      <c r="D3667" t="s">
        <v>19494</v>
      </c>
      <c r="E3667" t="s">
        <v>208</v>
      </c>
      <c r="F3667" t="s">
        <v>19495</v>
      </c>
      <c r="G3667" t="s">
        <v>24506</v>
      </c>
      <c r="H3667">
        <v>18.75</v>
      </c>
      <c r="I3667">
        <v>0</v>
      </c>
      <c r="J3667">
        <v>0</v>
      </c>
      <c r="K3667">
        <v>0</v>
      </c>
      <c r="O3667">
        <v>0</v>
      </c>
      <c r="P3667">
        <v>4</v>
      </c>
      <c r="Q3667">
        <v>2</v>
      </c>
      <c r="R3667">
        <v>24.75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H3667">
        <v>24.75</v>
      </c>
    </row>
    <row r="3668" spans="1:34" x14ac:dyDescent="0.3">
      <c r="A3668" s="4">
        <v>3784</v>
      </c>
      <c r="B3668" s="5">
        <v>3661</v>
      </c>
      <c r="C3668">
        <v>13089</v>
      </c>
      <c r="D3668" t="s">
        <v>4603</v>
      </c>
      <c r="E3668" t="s">
        <v>26</v>
      </c>
      <c r="F3668" t="s">
        <v>243</v>
      </c>
      <c r="G3668" t="s">
        <v>24507</v>
      </c>
      <c r="H3668">
        <v>18.75</v>
      </c>
      <c r="I3668">
        <v>0</v>
      </c>
      <c r="J3668">
        <v>0</v>
      </c>
      <c r="K3668">
        <v>0</v>
      </c>
      <c r="N3668">
        <v>6</v>
      </c>
      <c r="O3668">
        <v>6</v>
      </c>
      <c r="P3668">
        <v>0</v>
      </c>
      <c r="Q3668">
        <v>0</v>
      </c>
      <c r="R3668">
        <v>24.75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H3668">
        <v>24.75</v>
      </c>
    </row>
    <row r="3669" spans="1:34" x14ac:dyDescent="0.3">
      <c r="A3669" s="4">
        <v>3785</v>
      </c>
      <c r="B3669" s="5">
        <v>3662</v>
      </c>
      <c r="C3669">
        <v>6166</v>
      </c>
      <c r="D3669" t="s">
        <v>24508</v>
      </c>
      <c r="E3669" t="s">
        <v>355</v>
      </c>
      <c r="F3669" t="s">
        <v>11145</v>
      </c>
      <c r="G3669" t="s">
        <v>24509</v>
      </c>
      <c r="H3669">
        <v>17.75</v>
      </c>
      <c r="I3669">
        <v>0</v>
      </c>
      <c r="J3669">
        <v>0</v>
      </c>
      <c r="K3669">
        <v>0</v>
      </c>
      <c r="N3669">
        <v>3</v>
      </c>
      <c r="O3669">
        <v>3</v>
      </c>
      <c r="P3669">
        <v>4</v>
      </c>
      <c r="Q3669">
        <v>0</v>
      </c>
      <c r="R3669">
        <v>24.75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H3669">
        <v>24.75</v>
      </c>
    </row>
    <row r="3670" spans="1:34" x14ac:dyDescent="0.3">
      <c r="A3670" s="4">
        <v>3786</v>
      </c>
      <c r="B3670" s="5">
        <v>3663</v>
      </c>
      <c r="C3670">
        <v>9488</v>
      </c>
      <c r="D3670" t="s">
        <v>24510</v>
      </c>
      <c r="E3670" t="s">
        <v>115</v>
      </c>
      <c r="F3670" t="s">
        <v>81</v>
      </c>
      <c r="G3670" t="s">
        <v>24511</v>
      </c>
      <c r="H3670">
        <v>17.75</v>
      </c>
      <c r="I3670">
        <v>0</v>
      </c>
      <c r="J3670">
        <v>0</v>
      </c>
      <c r="K3670">
        <v>0</v>
      </c>
      <c r="N3670">
        <v>3</v>
      </c>
      <c r="O3670">
        <v>3</v>
      </c>
      <c r="P3670">
        <v>4</v>
      </c>
      <c r="Q3670">
        <v>0</v>
      </c>
      <c r="R3670">
        <v>24.75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H3670">
        <v>24.75</v>
      </c>
    </row>
    <row r="3671" spans="1:34" x14ac:dyDescent="0.3">
      <c r="A3671" s="4">
        <v>3787</v>
      </c>
      <c r="B3671" s="5">
        <v>3664</v>
      </c>
      <c r="C3671">
        <v>5734</v>
      </c>
      <c r="D3671" t="s">
        <v>24512</v>
      </c>
      <c r="E3671" t="s">
        <v>1300</v>
      </c>
      <c r="F3671" t="s">
        <v>243</v>
      </c>
      <c r="G3671" t="s">
        <v>24513</v>
      </c>
      <c r="H3671">
        <v>17.75</v>
      </c>
      <c r="I3671">
        <v>0</v>
      </c>
      <c r="J3671">
        <v>0</v>
      </c>
      <c r="K3671">
        <v>0</v>
      </c>
      <c r="N3671">
        <v>3</v>
      </c>
      <c r="O3671">
        <v>3</v>
      </c>
      <c r="P3671">
        <v>4</v>
      </c>
      <c r="Q3671">
        <v>0</v>
      </c>
      <c r="R3671">
        <v>24.75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H3671">
        <v>24.75</v>
      </c>
    </row>
    <row r="3672" spans="1:34" x14ac:dyDescent="0.3">
      <c r="A3672" s="4">
        <v>3788</v>
      </c>
      <c r="B3672" s="5">
        <v>3665</v>
      </c>
      <c r="C3672">
        <v>5737</v>
      </c>
      <c r="D3672" t="s">
        <v>5331</v>
      </c>
      <c r="E3672" t="s">
        <v>24514</v>
      </c>
      <c r="F3672" t="s">
        <v>136</v>
      </c>
      <c r="G3672" t="s">
        <v>24515</v>
      </c>
      <c r="H3672">
        <v>17.73</v>
      </c>
      <c r="I3672">
        <v>0</v>
      </c>
      <c r="J3672">
        <v>0</v>
      </c>
      <c r="K3672">
        <v>0</v>
      </c>
      <c r="N3672">
        <v>3</v>
      </c>
      <c r="O3672">
        <v>3</v>
      </c>
      <c r="P3672">
        <v>4</v>
      </c>
      <c r="Q3672">
        <v>0</v>
      </c>
      <c r="R3672">
        <v>24.73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H3672">
        <v>24.73</v>
      </c>
    </row>
    <row r="3673" spans="1:34" x14ac:dyDescent="0.3">
      <c r="A3673" s="4">
        <v>3789</v>
      </c>
      <c r="B3673" s="5">
        <v>3666</v>
      </c>
      <c r="C3673">
        <v>6128</v>
      </c>
      <c r="D3673" t="s">
        <v>4650</v>
      </c>
      <c r="E3673" t="s">
        <v>875</v>
      </c>
      <c r="F3673" t="s">
        <v>68</v>
      </c>
      <c r="G3673" t="s">
        <v>24516</v>
      </c>
      <c r="H3673">
        <v>17.73</v>
      </c>
      <c r="I3673">
        <v>0</v>
      </c>
      <c r="J3673">
        <v>0</v>
      </c>
      <c r="K3673">
        <v>0</v>
      </c>
      <c r="N3673">
        <v>3</v>
      </c>
      <c r="O3673">
        <v>3</v>
      </c>
      <c r="P3673">
        <v>4</v>
      </c>
      <c r="Q3673">
        <v>0</v>
      </c>
      <c r="R3673">
        <v>24.73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H3673">
        <v>24.73</v>
      </c>
    </row>
    <row r="3674" spans="1:34" x14ac:dyDescent="0.3">
      <c r="A3674" s="4">
        <v>3790</v>
      </c>
      <c r="B3674" s="5">
        <v>3667</v>
      </c>
      <c r="C3674">
        <v>11602</v>
      </c>
      <c r="D3674" t="s">
        <v>24517</v>
      </c>
      <c r="E3674" t="s">
        <v>390</v>
      </c>
      <c r="F3674" t="s">
        <v>346</v>
      </c>
      <c r="G3674" t="s">
        <v>24518</v>
      </c>
      <c r="H3674">
        <v>19.7</v>
      </c>
      <c r="I3674">
        <v>0</v>
      </c>
      <c r="J3674">
        <v>0</v>
      </c>
      <c r="K3674">
        <v>0</v>
      </c>
      <c r="N3674">
        <v>3</v>
      </c>
      <c r="O3674">
        <v>3</v>
      </c>
      <c r="P3674">
        <v>0</v>
      </c>
      <c r="Q3674">
        <v>2</v>
      </c>
      <c r="R3674">
        <v>24.7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H3674">
        <v>24.7</v>
      </c>
    </row>
    <row r="3675" spans="1:34" x14ac:dyDescent="0.3">
      <c r="A3675" s="4">
        <v>3791</v>
      </c>
      <c r="B3675" s="5">
        <v>3668</v>
      </c>
      <c r="C3675">
        <v>14036</v>
      </c>
      <c r="D3675" t="s">
        <v>24519</v>
      </c>
      <c r="E3675" t="s">
        <v>1319</v>
      </c>
      <c r="F3675" t="s">
        <v>136</v>
      </c>
      <c r="G3675" t="s">
        <v>24520</v>
      </c>
      <c r="H3675">
        <v>17.7</v>
      </c>
      <c r="I3675">
        <v>0</v>
      </c>
      <c r="J3675">
        <v>0</v>
      </c>
      <c r="K3675">
        <v>0</v>
      </c>
      <c r="N3675">
        <v>3</v>
      </c>
      <c r="O3675">
        <v>3</v>
      </c>
      <c r="P3675">
        <v>4</v>
      </c>
      <c r="Q3675">
        <v>0</v>
      </c>
      <c r="R3675">
        <v>24.7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 t="s">
        <v>130</v>
      </c>
      <c r="AH3675">
        <v>24.7</v>
      </c>
    </row>
    <row r="3676" spans="1:34" x14ac:dyDescent="0.3">
      <c r="A3676" s="4">
        <v>3792</v>
      </c>
      <c r="B3676" s="5">
        <v>3669</v>
      </c>
      <c r="C3676">
        <v>8446</v>
      </c>
      <c r="D3676" t="s">
        <v>1530</v>
      </c>
      <c r="E3676" t="s">
        <v>22</v>
      </c>
      <c r="F3676" t="s">
        <v>442</v>
      </c>
      <c r="G3676" t="s">
        <v>24521</v>
      </c>
      <c r="H3676">
        <v>17.7</v>
      </c>
      <c r="I3676">
        <v>0</v>
      </c>
      <c r="J3676">
        <v>0</v>
      </c>
      <c r="K3676">
        <v>0</v>
      </c>
      <c r="N3676">
        <v>3</v>
      </c>
      <c r="O3676">
        <v>3</v>
      </c>
      <c r="P3676">
        <v>4</v>
      </c>
      <c r="Q3676">
        <v>0</v>
      </c>
      <c r="R3676">
        <v>24.7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H3676">
        <v>24.7</v>
      </c>
    </row>
    <row r="3677" spans="1:34" x14ac:dyDescent="0.3">
      <c r="A3677" s="4">
        <v>3793</v>
      </c>
      <c r="B3677" s="5">
        <v>3670</v>
      </c>
      <c r="C3677">
        <v>14298</v>
      </c>
      <c r="D3677" t="s">
        <v>24522</v>
      </c>
      <c r="E3677" t="s">
        <v>413</v>
      </c>
      <c r="F3677" t="s">
        <v>24523</v>
      </c>
      <c r="G3677" t="s">
        <v>24524</v>
      </c>
      <c r="H3677">
        <v>17.68</v>
      </c>
      <c r="I3677">
        <v>0</v>
      </c>
      <c r="J3677">
        <v>0</v>
      </c>
      <c r="K3677">
        <v>0</v>
      </c>
      <c r="O3677">
        <v>0</v>
      </c>
      <c r="P3677">
        <v>4</v>
      </c>
      <c r="Q3677">
        <v>0</v>
      </c>
      <c r="R3677">
        <v>21.68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3</v>
      </c>
      <c r="AC3677">
        <v>0</v>
      </c>
      <c r="AH3677">
        <v>24.68</v>
      </c>
    </row>
    <row r="3678" spans="1:34" x14ac:dyDescent="0.3">
      <c r="A3678" s="4">
        <v>3794</v>
      </c>
      <c r="B3678" s="5">
        <v>3671</v>
      </c>
      <c r="C3678">
        <v>10128</v>
      </c>
      <c r="D3678" t="s">
        <v>24525</v>
      </c>
      <c r="E3678" t="s">
        <v>20</v>
      </c>
      <c r="F3678" t="s">
        <v>190</v>
      </c>
      <c r="G3678" t="s">
        <v>24526</v>
      </c>
      <c r="H3678">
        <v>17.68</v>
      </c>
      <c r="I3678">
        <v>0</v>
      </c>
      <c r="J3678">
        <v>0</v>
      </c>
      <c r="K3678">
        <v>0</v>
      </c>
      <c r="N3678">
        <v>3</v>
      </c>
      <c r="O3678">
        <v>3</v>
      </c>
      <c r="P3678">
        <v>4</v>
      </c>
      <c r="Q3678">
        <v>0</v>
      </c>
      <c r="R3678">
        <v>24.68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H3678">
        <v>24.68</v>
      </c>
    </row>
    <row r="3679" spans="1:34" x14ac:dyDescent="0.3">
      <c r="A3679" s="4">
        <v>3795</v>
      </c>
      <c r="B3679" s="5">
        <v>3672</v>
      </c>
      <c r="C3679">
        <v>8600</v>
      </c>
      <c r="D3679" t="s">
        <v>28</v>
      </c>
      <c r="E3679" t="s">
        <v>24527</v>
      </c>
      <c r="F3679" t="s">
        <v>10436</v>
      </c>
      <c r="G3679" t="s">
        <v>24528</v>
      </c>
      <c r="H3679">
        <v>17.68</v>
      </c>
      <c r="I3679">
        <v>0</v>
      </c>
      <c r="J3679">
        <v>0</v>
      </c>
      <c r="K3679">
        <v>0</v>
      </c>
      <c r="L3679">
        <v>7</v>
      </c>
      <c r="O3679">
        <v>7</v>
      </c>
      <c r="P3679">
        <v>0</v>
      </c>
      <c r="Q3679">
        <v>0</v>
      </c>
      <c r="R3679">
        <v>24.68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H3679">
        <v>24.68</v>
      </c>
    </row>
    <row r="3680" spans="1:34" x14ac:dyDescent="0.3">
      <c r="A3680" s="4">
        <v>3796</v>
      </c>
      <c r="B3680" s="5">
        <v>3673</v>
      </c>
      <c r="C3680">
        <v>12948</v>
      </c>
      <c r="D3680" t="s">
        <v>36</v>
      </c>
      <c r="E3680" t="s">
        <v>41</v>
      </c>
      <c r="F3680" t="s">
        <v>17</v>
      </c>
      <c r="G3680" t="s">
        <v>24529</v>
      </c>
      <c r="H3680">
        <v>17.68</v>
      </c>
      <c r="I3680">
        <v>0</v>
      </c>
      <c r="J3680">
        <v>0</v>
      </c>
      <c r="K3680">
        <v>0</v>
      </c>
      <c r="N3680">
        <v>3</v>
      </c>
      <c r="O3680">
        <v>3</v>
      </c>
      <c r="P3680">
        <v>4</v>
      </c>
      <c r="Q3680">
        <v>0</v>
      </c>
      <c r="R3680">
        <v>24.68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H3680">
        <v>24.68</v>
      </c>
    </row>
    <row r="3681" spans="1:34" x14ac:dyDescent="0.3">
      <c r="A3681" s="4">
        <v>3797</v>
      </c>
      <c r="B3681" s="5">
        <v>3674</v>
      </c>
      <c r="C3681">
        <v>7353</v>
      </c>
      <c r="D3681" t="s">
        <v>24530</v>
      </c>
      <c r="E3681" t="s">
        <v>3964</v>
      </c>
      <c r="F3681" t="s">
        <v>136</v>
      </c>
      <c r="G3681" t="s">
        <v>24531</v>
      </c>
      <c r="H3681">
        <v>17.68</v>
      </c>
      <c r="I3681">
        <v>0</v>
      </c>
      <c r="J3681">
        <v>0</v>
      </c>
      <c r="K3681">
        <v>0</v>
      </c>
      <c r="N3681">
        <v>3</v>
      </c>
      <c r="O3681">
        <v>3</v>
      </c>
      <c r="P3681">
        <v>4</v>
      </c>
      <c r="Q3681">
        <v>0</v>
      </c>
      <c r="R3681">
        <v>24.68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H3681">
        <v>24.68</v>
      </c>
    </row>
    <row r="3682" spans="1:34" x14ac:dyDescent="0.3">
      <c r="A3682" s="4">
        <v>3798</v>
      </c>
      <c r="B3682" s="5">
        <v>3675</v>
      </c>
      <c r="C3682">
        <v>6782</v>
      </c>
      <c r="D3682" t="s">
        <v>24532</v>
      </c>
      <c r="E3682" t="s">
        <v>471</v>
      </c>
      <c r="F3682" t="s">
        <v>55</v>
      </c>
      <c r="G3682" t="s">
        <v>24533</v>
      </c>
      <c r="H3682">
        <v>17.68</v>
      </c>
      <c r="I3682">
        <v>0</v>
      </c>
      <c r="J3682">
        <v>0</v>
      </c>
      <c r="K3682">
        <v>0</v>
      </c>
      <c r="N3682">
        <v>3</v>
      </c>
      <c r="O3682">
        <v>3</v>
      </c>
      <c r="P3682">
        <v>4</v>
      </c>
      <c r="Q3682">
        <v>0</v>
      </c>
      <c r="R3682">
        <v>24.68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H3682">
        <v>24.68</v>
      </c>
    </row>
    <row r="3683" spans="1:34" x14ac:dyDescent="0.3">
      <c r="A3683" s="4">
        <v>3799</v>
      </c>
      <c r="B3683" s="5">
        <v>3676</v>
      </c>
      <c r="C3683">
        <v>13986</v>
      </c>
      <c r="D3683" t="s">
        <v>24534</v>
      </c>
      <c r="E3683" t="s">
        <v>22732</v>
      </c>
      <c r="F3683" t="s">
        <v>24535</v>
      </c>
      <c r="G3683" t="s">
        <v>24536</v>
      </c>
      <c r="H3683">
        <v>21.65</v>
      </c>
      <c r="I3683">
        <v>0</v>
      </c>
      <c r="J3683">
        <v>0</v>
      </c>
      <c r="K3683">
        <v>0</v>
      </c>
      <c r="N3683">
        <v>3</v>
      </c>
      <c r="O3683">
        <v>3</v>
      </c>
      <c r="P3683">
        <v>0</v>
      </c>
      <c r="Q3683">
        <v>0</v>
      </c>
      <c r="R3683">
        <v>24.65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H3683">
        <v>24.65</v>
      </c>
    </row>
    <row r="3684" spans="1:34" x14ac:dyDescent="0.3">
      <c r="A3684" s="4">
        <v>3800</v>
      </c>
      <c r="B3684" s="5">
        <v>3677</v>
      </c>
      <c r="C3684">
        <v>12280</v>
      </c>
      <c r="D3684" t="s">
        <v>14582</v>
      </c>
      <c r="E3684" t="s">
        <v>147</v>
      </c>
      <c r="F3684" t="s">
        <v>38</v>
      </c>
      <c r="G3684" t="s">
        <v>24537</v>
      </c>
      <c r="H3684">
        <v>17.649999999999999</v>
      </c>
      <c r="I3684">
        <v>0</v>
      </c>
      <c r="J3684">
        <v>0</v>
      </c>
      <c r="K3684">
        <v>0</v>
      </c>
      <c r="N3684">
        <v>3</v>
      </c>
      <c r="O3684">
        <v>3</v>
      </c>
      <c r="P3684">
        <v>4</v>
      </c>
      <c r="Q3684">
        <v>0</v>
      </c>
      <c r="R3684">
        <v>24.65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H3684">
        <v>24.65</v>
      </c>
    </row>
    <row r="3685" spans="1:34" x14ac:dyDescent="0.3">
      <c r="A3685" s="4">
        <v>3801</v>
      </c>
      <c r="B3685" s="5">
        <v>3678</v>
      </c>
      <c r="C3685">
        <v>1555</v>
      </c>
      <c r="D3685" t="s">
        <v>21997</v>
      </c>
      <c r="E3685" t="s">
        <v>117</v>
      </c>
      <c r="F3685" t="s">
        <v>9547</v>
      </c>
      <c r="G3685" t="s">
        <v>24538</v>
      </c>
      <c r="H3685">
        <v>17.63</v>
      </c>
      <c r="I3685">
        <v>0</v>
      </c>
      <c r="J3685">
        <v>0</v>
      </c>
      <c r="K3685">
        <v>0</v>
      </c>
      <c r="N3685">
        <v>3</v>
      </c>
      <c r="O3685">
        <v>3</v>
      </c>
      <c r="P3685">
        <v>4</v>
      </c>
      <c r="Q3685">
        <v>0</v>
      </c>
      <c r="R3685">
        <v>24.63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H3685">
        <v>24.63</v>
      </c>
    </row>
    <row r="3686" spans="1:34" x14ac:dyDescent="0.3">
      <c r="A3686" s="4">
        <v>3802</v>
      </c>
      <c r="B3686" s="5">
        <v>3679</v>
      </c>
      <c r="C3686">
        <v>6268</v>
      </c>
      <c r="D3686" t="s">
        <v>24539</v>
      </c>
      <c r="E3686" t="s">
        <v>38</v>
      </c>
      <c r="F3686" t="s">
        <v>81</v>
      </c>
      <c r="G3686" t="s">
        <v>24540</v>
      </c>
      <c r="H3686">
        <v>17.63</v>
      </c>
      <c r="I3686">
        <v>0</v>
      </c>
      <c r="J3686">
        <v>0</v>
      </c>
      <c r="K3686">
        <v>0</v>
      </c>
      <c r="N3686">
        <v>3</v>
      </c>
      <c r="O3686">
        <v>3</v>
      </c>
      <c r="P3686">
        <v>4</v>
      </c>
      <c r="Q3686">
        <v>0</v>
      </c>
      <c r="R3686">
        <v>24.63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H3686">
        <v>24.63</v>
      </c>
    </row>
    <row r="3687" spans="1:34" x14ac:dyDescent="0.3">
      <c r="A3687" s="4">
        <v>3803</v>
      </c>
      <c r="B3687" s="5">
        <v>3680</v>
      </c>
      <c r="C3687">
        <v>12163</v>
      </c>
      <c r="D3687" t="s">
        <v>2449</v>
      </c>
      <c r="E3687" t="s">
        <v>16927</v>
      </c>
      <c r="F3687" t="s">
        <v>17</v>
      </c>
      <c r="G3687" t="s">
        <v>24541</v>
      </c>
      <c r="H3687">
        <v>17.63</v>
      </c>
      <c r="I3687">
        <v>0</v>
      </c>
      <c r="J3687">
        <v>0</v>
      </c>
      <c r="K3687">
        <v>0</v>
      </c>
      <c r="N3687">
        <v>3</v>
      </c>
      <c r="O3687">
        <v>3</v>
      </c>
      <c r="P3687">
        <v>4</v>
      </c>
      <c r="Q3687">
        <v>0</v>
      </c>
      <c r="R3687">
        <v>24.63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H3687">
        <v>24.63</v>
      </c>
    </row>
    <row r="3688" spans="1:34" x14ac:dyDescent="0.3">
      <c r="A3688" s="4">
        <v>3804</v>
      </c>
      <c r="B3688" s="5">
        <v>3681</v>
      </c>
      <c r="C3688">
        <v>3612</v>
      </c>
      <c r="D3688" t="s">
        <v>24542</v>
      </c>
      <c r="E3688" t="s">
        <v>29</v>
      </c>
      <c r="F3688" t="s">
        <v>179</v>
      </c>
      <c r="G3688" t="s">
        <v>24543</v>
      </c>
      <c r="H3688">
        <v>17.63</v>
      </c>
      <c r="I3688">
        <v>0</v>
      </c>
      <c r="J3688">
        <v>0</v>
      </c>
      <c r="K3688">
        <v>0</v>
      </c>
      <c r="N3688">
        <v>3</v>
      </c>
      <c r="O3688">
        <v>3</v>
      </c>
      <c r="P3688">
        <v>4</v>
      </c>
      <c r="Q3688">
        <v>0</v>
      </c>
      <c r="R3688">
        <v>24.63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H3688">
        <v>24.63</v>
      </c>
    </row>
    <row r="3689" spans="1:34" x14ac:dyDescent="0.3">
      <c r="A3689" s="4">
        <v>3805</v>
      </c>
      <c r="B3689" s="5">
        <v>3682</v>
      </c>
      <c r="C3689">
        <v>2243</v>
      </c>
      <c r="D3689" t="s">
        <v>24544</v>
      </c>
      <c r="E3689" t="s">
        <v>117</v>
      </c>
      <c r="F3689" t="s">
        <v>17</v>
      </c>
      <c r="G3689" t="s">
        <v>24545</v>
      </c>
      <c r="H3689">
        <v>20.6</v>
      </c>
      <c r="I3689">
        <v>0</v>
      </c>
      <c r="J3689">
        <v>0</v>
      </c>
      <c r="K3689">
        <v>0</v>
      </c>
      <c r="O3689">
        <v>0</v>
      </c>
      <c r="P3689">
        <v>4</v>
      </c>
      <c r="Q3689">
        <v>0</v>
      </c>
      <c r="R3689">
        <v>24.6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H3689">
        <v>24.6</v>
      </c>
    </row>
    <row r="3690" spans="1:34" x14ac:dyDescent="0.3">
      <c r="A3690" s="4">
        <v>3806</v>
      </c>
      <c r="B3690" s="5">
        <v>3683</v>
      </c>
      <c r="C3690">
        <v>1201</v>
      </c>
      <c r="D3690" t="s">
        <v>24546</v>
      </c>
      <c r="E3690" t="s">
        <v>5300</v>
      </c>
      <c r="F3690" t="s">
        <v>167</v>
      </c>
      <c r="G3690" t="s">
        <v>24547</v>
      </c>
      <c r="H3690">
        <v>17.600000000000001</v>
      </c>
      <c r="I3690">
        <v>0</v>
      </c>
      <c r="J3690">
        <v>0</v>
      </c>
      <c r="K3690">
        <v>0</v>
      </c>
      <c r="N3690">
        <v>3</v>
      </c>
      <c r="O3690">
        <v>3</v>
      </c>
      <c r="P3690">
        <v>4</v>
      </c>
      <c r="Q3690">
        <v>0</v>
      </c>
      <c r="R3690">
        <v>24.6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H3690">
        <v>24.6</v>
      </c>
    </row>
    <row r="3691" spans="1:34" x14ac:dyDescent="0.3">
      <c r="A3691" s="4">
        <v>3807</v>
      </c>
      <c r="B3691" s="5">
        <v>3684</v>
      </c>
      <c r="C3691">
        <v>4154</v>
      </c>
      <c r="D3691" t="s">
        <v>5497</v>
      </c>
      <c r="E3691" t="s">
        <v>14970</v>
      </c>
      <c r="F3691" t="s">
        <v>81</v>
      </c>
      <c r="G3691" t="s">
        <v>24548</v>
      </c>
      <c r="H3691">
        <v>17.600000000000001</v>
      </c>
      <c r="I3691">
        <v>0</v>
      </c>
      <c r="J3691">
        <v>0</v>
      </c>
      <c r="K3691">
        <v>0</v>
      </c>
      <c r="N3691">
        <v>3</v>
      </c>
      <c r="O3691">
        <v>3</v>
      </c>
      <c r="P3691">
        <v>4</v>
      </c>
      <c r="Q3691">
        <v>0</v>
      </c>
      <c r="R3691">
        <v>24.6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H3691">
        <v>24.6</v>
      </c>
    </row>
    <row r="3692" spans="1:34" x14ac:dyDescent="0.3">
      <c r="A3692" s="4">
        <v>3808</v>
      </c>
      <c r="B3692" s="5">
        <v>3685</v>
      </c>
      <c r="C3692">
        <v>2677</v>
      </c>
      <c r="D3692" t="s">
        <v>24549</v>
      </c>
      <c r="E3692" t="s">
        <v>789</v>
      </c>
      <c r="F3692" t="s">
        <v>38</v>
      </c>
      <c r="G3692" t="s">
        <v>24550</v>
      </c>
      <c r="H3692">
        <v>17.600000000000001</v>
      </c>
      <c r="I3692">
        <v>0</v>
      </c>
      <c r="J3692">
        <v>0</v>
      </c>
      <c r="K3692">
        <v>0</v>
      </c>
      <c r="N3692">
        <v>3</v>
      </c>
      <c r="O3692">
        <v>3</v>
      </c>
      <c r="P3692">
        <v>4</v>
      </c>
      <c r="Q3692">
        <v>0</v>
      </c>
      <c r="R3692">
        <v>24.6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H3692">
        <v>24.6</v>
      </c>
    </row>
    <row r="3693" spans="1:34" x14ac:dyDescent="0.3">
      <c r="A3693" s="4">
        <v>3809</v>
      </c>
      <c r="B3693" s="5">
        <v>3686</v>
      </c>
      <c r="C3693">
        <v>276</v>
      </c>
      <c r="D3693" t="s">
        <v>24551</v>
      </c>
      <c r="E3693" t="s">
        <v>24552</v>
      </c>
      <c r="F3693" t="s">
        <v>124</v>
      </c>
      <c r="G3693" t="s">
        <v>24553</v>
      </c>
      <c r="H3693">
        <v>17.600000000000001</v>
      </c>
      <c r="I3693">
        <v>0</v>
      </c>
      <c r="J3693">
        <v>0</v>
      </c>
      <c r="K3693">
        <v>0</v>
      </c>
      <c r="N3693">
        <v>3</v>
      </c>
      <c r="O3693">
        <v>3</v>
      </c>
      <c r="P3693">
        <v>4</v>
      </c>
      <c r="Q3693">
        <v>0</v>
      </c>
      <c r="R3693">
        <v>24.6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H3693">
        <v>24.6</v>
      </c>
    </row>
    <row r="3694" spans="1:34" x14ac:dyDescent="0.3">
      <c r="A3694" s="4">
        <v>3810</v>
      </c>
      <c r="B3694" s="5">
        <v>3687</v>
      </c>
      <c r="C3694">
        <v>5100</v>
      </c>
      <c r="D3694" t="s">
        <v>7532</v>
      </c>
      <c r="E3694" t="s">
        <v>208</v>
      </c>
      <c r="F3694" t="s">
        <v>136</v>
      </c>
      <c r="G3694" t="s">
        <v>24554</v>
      </c>
      <c r="H3694">
        <v>17.579999999999998</v>
      </c>
      <c r="I3694">
        <v>0</v>
      </c>
      <c r="J3694">
        <v>0</v>
      </c>
      <c r="K3694">
        <v>0</v>
      </c>
      <c r="N3694">
        <v>3</v>
      </c>
      <c r="O3694">
        <v>3</v>
      </c>
      <c r="P3694">
        <v>4</v>
      </c>
      <c r="Q3694">
        <v>0</v>
      </c>
      <c r="R3694">
        <v>24.58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H3694">
        <v>24.58</v>
      </c>
    </row>
    <row r="3695" spans="1:34" x14ac:dyDescent="0.3">
      <c r="A3695" s="4">
        <v>3811</v>
      </c>
      <c r="B3695" s="5">
        <v>3688</v>
      </c>
      <c r="C3695">
        <v>11121</v>
      </c>
      <c r="D3695" t="s">
        <v>24555</v>
      </c>
      <c r="E3695" t="s">
        <v>188</v>
      </c>
      <c r="F3695" t="s">
        <v>6216</v>
      </c>
      <c r="G3695" t="s">
        <v>24556</v>
      </c>
      <c r="H3695">
        <v>17.579999999999998</v>
      </c>
      <c r="I3695">
        <v>0</v>
      </c>
      <c r="J3695">
        <v>0</v>
      </c>
      <c r="K3695">
        <v>0</v>
      </c>
      <c r="N3695">
        <v>3</v>
      </c>
      <c r="O3695">
        <v>3</v>
      </c>
      <c r="P3695">
        <v>4</v>
      </c>
      <c r="Q3695">
        <v>0</v>
      </c>
      <c r="R3695">
        <v>24.58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H3695">
        <v>24.58</v>
      </c>
    </row>
    <row r="3696" spans="1:34" x14ac:dyDescent="0.3">
      <c r="A3696" s="4">
        <v>3812</v>
      </c>
      <c r="B3696" s="5">
        <v>3689</v>
      </c>
      <c r="C3696">
        <v>6492</v>
      </c>
      <c r="D3696" t="s">
        <v>24557</v>
      </c>
      <c r="E3696" t="s">
        <v>479</v>
      </c>
      <c r="F3696" t="s">
        <v>17</v>
      </c>
      <c r="G3696" t="s">
        <v>24558</v>
      </c>
      <c r="H3696">
        <v>17.579999999999998</v>
      </c>
      <c r="I3696">
        <v>0</v>
      </c>
      <c r="J3696">
        <v>0</v>
      </c>
      <c r="K3696">
        <v>0</v>
      </c>
      <c r="N3696">
        <v>3</v>
      </c>
      <c r="O3696">
        <v>3</v>
      </c>
      <c r="P3696">
        <v>4</v>
      </c>
      <c r="Q3696">
        <v>0</v>
      </c>
      <c r="R3696">
        <v>24.58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H3696">
        <v>24.58</v>
      </c>
    </row>
    <row r="3697" spans="1:34" x14ac:dyDescent="0.3">
      <c r="A3697" s="4">
        <v>3813</v>
      </c>
      <c r="B3697" s="5">
        <v>3690</v>
      </c>
      <c r="C3697">
        <v>9688</v>
      </c>
      <c r="D3697" t="s">
        <v>24559</v>
      </c>
      <c r="E3697" t="s">
        <v>136</v>
      </c>
      <c r="F3697" t="s">
        <v>230</v>
      </c>
      <c r="G3697" t="s">
        <v>24560</v>
      </c>
      <c r="H3697">
        <v>17.579999999999998</v>
      </c>
      <c r="I3697">
        <v>0</v>
      </c>
      <c r="J3697">
        <v>0</v>
      </c>
      <c r="K3697">
        <v>0</v>
      </c>
      <c r="N3697">
        <v>3</v>
      </c>
      <c r="O3697">
        <v>3</v>
      </c>
      <c r="P3697">
        <v>4</v>
      </c>
      <c r="Q3697">
        <v>0</v>
      </c>
      <c r="R3697">
        <v>24.58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H3697">
        <v>24.58</v>
      </c>
    </row>
    <row r="3698" spans="1:34" x14ac:dyDescent="0.3">
      <c r="A3698" s="4">
        <v>3814</v>
      </c>
      <c r="B3698" s="5">
        <v>3691</v>
      </c>
      <c r="C3698">
        <v>11095</v>
      </c>
      <c r="D3698" t="s">
        <v>481</v>
      </c>
      <c r="E3698" t="s">
        <v>289</v>
      </c>
      <c r="F3698" t="s">
        <v>34</v>
      </c>
      <c r="G3698" t="s">
        <v>24561</v>
      </c>
      <c r="H3698">
        <v>17.55</v>
      </c>
      <c r="I3698">
        <v>0</v>
      </c>
      <c r="J3698">
        <v>0</v>
      </c>
      <c r="K3698">
        <v>0</v>
      </c>
      <c r="N3698">
        <v>3</v>
      </c>
      <c r="O3698">
        <v>3</v>
      </c>
      <c r="P3698">
        <v>4</v>
      </c>
      <c r="Q3698">
        <v>0</v>
      </c>
      <c r="R3698">
        <v>24.55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H3698">
        <v>24.55</v>
      </c>
    </row>
    <row r="3699" spans="1:34" x14ac:dyDescent="0.3">
      <c r="A3699" s="4">
        <v>3815</v>
      </c>
      <c r="B3699" s="5">
        <v>3692</v>
      </c>
      <c r="C3699">
        <v>4135</v>
      </c>
      <c r="D3699" t="s">
        <v>93</v>
      </c>
      <c r="E3699" t="s">
        <v>68</v>
      </c>
      <c r="F3699" t="s">
        <v>20</v>
      </c>
      <c r="G3699" t="s">
        <v>24562</v>
      </c>
      <c r="H3699">
        <v>17.55</v>
      </c>
      <c r="I3699">
        <v>0</v>
      </c>
      <c r="J3699">
        <v>0</v>
      </c>
      <c r="K3699">
        <v>0</v>
      </c>
      <c r="N3699">
        <v>3</v>
      </c>
      <c r="O3699">
        <v>3</v>
      </c>
      <c r="P3699">
        <v>4</v>
      </c>
      <c r="Q3699">
        <v>0</v>
      </c>
      <c r="R3699">
        <v>24.55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H3699">
        <v>24.55</v>
      </c>
    </row>
    <row r="3700" spans="1:34" x14ac:dyDescent="0.3">
      <c r="A3700" s="4">
        <v>3816</v>
      </c>
      <c r="B3700" s="5">
        <v>3693</v>
      </c>
      <c r="C3700">
        <v>7699</v>
      </c>
      <c r="D3700" t="s">
        <v>1907</v>
      </c>
      <c r="E3700" t="s">
        <v>110</v>
      </c>
      <c r="F3700" t="s">
        <v>38</v>
      </c>
      <c r="G3700" t="s">
        <v>24563</v>
      </c>
      <c r="H3700">
        <v>17.55</v>
      </c>
      <c r="I3700">
        <v>0</v>
      </c>
      <c r="J3700">
        <v>0</v>
      </c>
      <c r="K3700">
        <v>0</v>
      </c>
      <c r="N3700">
        <v>3</v>
      </c>
      <c r="O3700">
        <v>3</v>
      </c>
      <c r="P3700">
        <v>4</v>
      </c>
      <c r="Q3700">
        <v>0</v>
      </c>
      <c r="R3700">
        <v>24.55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H3700">
        <v>24.55</v>
      </c>
    </row>
    <row r="3701" spans="1:34" x14ac:dyDescent="0.3">
      <c r="A3701" s="4">
        <v>3817</v>
      </c>
      <c r="B3701" s="5">
        <v>3694</v>
      </c>
      <c r="C3701">
        <v>15551</v>
      </c>
      <c r="D3701" t="s">
        <v>1287</v>
      </c>
      <c r="E3701" t="s">
        <v>41</v>
      </c>
      <c r="F3701" t="s">
        <v>30</v>
      </c>
      <c r="G3701" t="s">
        <v>24564</v>
      </c>
      <c r="H3701">
        <v>17.55</v>
      </c>
      <c r="I3701">
        <v>0</v>
      </c>
      <c r="J3701">
        <v>0</v>
      </c>
      <c r="K3701">
        <v>0</v>
      </c>
      <c r="L3701">
        <v>7</v>
      </c>
      <c r="O3701">
        <v>7</v>
      </c>
      <c r="P3701">
        <v>0</v>
      </c>
      <c r="Q3701">
        <v>0</v>
      </c>
      <c r="R3701">
        <v>24.55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H3701">
        <v>24.55</v>
      </c>
    </row>
    <row r="3702" spans="1:34" x14ac:dyDescent="0.3">
      <c r="A3702" s="4">
        <v>3818</v>
      </c>
      <c r="B3702" s="5">
        <v>3695</v>
      </c>
      <c r="C3702">
        <v>6254</v>
      </c>
      <c r="D3702" t="s">
        <v>24565</v>
      </c>
      <c r="E3702" t="s">
        <v>188</v>
      </c>
      <c r="F3702" t="s">
        <v>17</v>
      </c>
      <c r="G3702" t="s">
        <v>24566</v>
      </c>
      <c r="H3702">
        <v>17.55</v>
      </c>
      <c r="I3702">
        <v>0</v>
      </c>
      <c r="J3702">
        <v>0</v>
      </c>
      <c r="K3702">
        <v>0</v>
      </c>
      <c r="N3702">
        <v>3</v>
      </c>
      <c r="O3702">
        <v>3</v>
      </c>
      <c r="P3702">
        <v>4</v>
      </c>
      <c r="Q3702">
        <v>0</v>
      </c>
      <c r="R3702">
        <v>24.55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H3702">
        <v>24.55</v>
      </c>
    </row>
    <row r="3703" spans="1:34" x14ac:dyDescent="0.3">
      <c r="A3703" s="4">
        <v>3819</v>
      </c>
      <c r="B3703" s="5">
        <v>3696</v>
      </c>
      <c r="C3703">
        <v>5698</v>
      </c>
      <c r="D3703" t="s">
        <v>24567</v>
      </c>
      <c r="E3703" t="s">
        <v>143</v>
      </c>
      <c r="F3703" t="s">
        <v>38</v>
      </c>
      <c r="G3703" t="s">
        <v>24568</v>
      </c>
      <c r="H3703">
        <v>17.55</v>
      </c>
      <c r="I3703">
        <v>0</v>
      </c>
      <c r="J3703">
        <v>0</v>
      </c>
      <c r="K3703">
        <v>0</v>
      </c>
      <c r="N3703">
        <v>3</v>
      </c>
      <c r="O3703">
        <v>3</v>
      </c>
      <c r="P3703">
        <v>4</v>
      </c>
      <c r="Q3703">
        <v>0</v>
      </c>
      <c r="R3703">
        <v>24.55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H3703">
        <v>24.55</v>
      </c>
    </row>
    <row r="3704" spans="1:34" x14ac:dyDescent="0.3">
      <c r="A3704" s="4">
        <v>3820</v>
      </c>
      <c r="B3704" s="5">
        <v>3697</v>
      </c>
      <c r="C3704">
        <v>521</v>
      </c>
      <c r="D3704" t="s">
        <v>24569</v>
      </c>
      <c r="E3704" t="s">
        <v>41</v>
      </c>
      <c r="F3704" t="s">
        <v>328</v>
      </c>
      <c r="G3704" t="s">
        <v>24570</v>
      </c>
      <c r="H3704">
        <v>19.53</v>
      </c>
      <c r="I3704">
        <v>0</v>
      </c>
      <c r="J3704">
        <v>0</v>
      </c>
      <c r="K3704">
        <v>0</v>
      </c>
      <c r="N3704">
        <v>3</v>
      </c>
      <c r="O3704">
        <v>3</v>
      </c>
      <c r="P3704">
        <v>0</v>
      </c>
      <c r="Q3704">
        <v>2</v>
      </c>
      <c r="R3704">
        <v>24.53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H3704">
        <v>24.53</v>
      </c>
    </row>
    <row r="3705" spans="1:34" x14ac:dyDescent="0.3">
      <c r="A3705" s="4">
        <v>3821</v>
      </c>
      <c r="B3705" s="5">
        <v>3698</v>
      </c>
      <c r="C3705">
        <v>8595</v>
      </c>
      <c r="D3705" t="s">
        <v>24571</v>
      </c>
      <c r="E3705" t="s">
        <v>355</v>
      </c>
      <c r="F3705" t="s">
        <v>124</v>
      </c>
      <c r="G3705" t="s">
        <v>24572</v>
      </c>
      <c r="H3705">
        <v>17.53</v>
      </c>
      <c r="I3705">
        <v>0</v>
      </c>
      <c r="J3705">
        <v>0</v>
      </c>
      <c r="K3705">
        <v>0</v>
      </c>
      <c r="N3705">
        <v>3</v>
      </c>
      <c r="O3705">
        <v>3</v>
      </c>
      <c r="P3705">
        <v>4</v>
      </c>
      <c r="Q3705">
        <v>0</v>
      </c>
      <c r="R3705">
        <v>24.53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H3705">
        <v>24.53</v>
      </c>
    </row>
    <row r="3706" spans="1:34" x14ac:dyDescent="0.3">
      <c r="A3706" s="4">
        <v>3822</v>
      </c>
      <c r="B3706" s="5">
        <v>3699</v>
      </c>
      <c r="C3706">
        <v>5716</v>
      </c>
      <c r="D3706" t="s">
        <v>24573</v>
      </c>
      <c r="E3706" t="s">
        <v>188</v>
      </c>
      <c r="F3706" t="s">
        <v>892</v>
      </c>
      <c r="G3706" t="s">
        <v>24574</v>
      </c>
      <c r="H3706">
        <v>17.5</v>
      </c>
      <c r="I3706">
        <v>0</v>
      </c>
      <c r="J3706">
        <v>0</v>
      </c>
      <c r="K3706">
        <v>0</v>
      </c>
      <c r="O3706">
        <v>0</v>
      </c>
      <c r="P3706">
        <v>4</v>
      </c>
      <c r="Q3706">
        <v>0</v>
      </c>
      <c r="R3706">
        <v>21.5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3</v>
      </c>
      <c r="AC3706">
        <v>0</v>
      </c>
      <c r="AH3706">
        <v>24.5</v>
      </c>
    </row>
    <row r="3707" spans="1:34" x14ac:dyDescent="0.3">
      <c r="A3707" s="4">
        <v>3823</v>
      </c>
      <c r="B3707" s="5">
        <v>3700</v>
      </c>
      <c r="C3707">
        <v>14258</v>
      </c>
      <c r="D3707" t="s">
        <v>24575</v>
      </c>
      <c r="E3707" t="s">
        <v>161</v>
      </c>
      <c r="F3707" t="s">
        <v>38</v>
      </c>
      <c r="G3707" t="s">
        <v>24576</v>
      </c>
      <c r="H3707">
        <v>17.5</v>
      </c>
      <c r="I3707">
        <v>0</v>
      </c>
      <c r="J3707">
        <v>0</v>
      </c>
      <c r="K3707">
        <v>0</v>
      </c>
      <c r="N3707">
        <v>3</v>
      </c>
      <c r="O3707">
        <v>3</v>
      </c>
      <c r="P3707">
        <v>4</v>
      </c>
      <c r="Q3707">
        <v>0</v>
      </c>
      <c r="R3707">
        <v>24.5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H3707">
        <v>24.5</v>
      </c>
    </row>
    <row r="3708" spans="1:34" x14ac:dyDescent="0.3">
      <c r="A3708" s="4">
        <v>3824</v>
      </c>
      <c r="B3708" s="5">
        <v>3701</v>
      </c>
      <c r="C3708">
        <v>10712</v>
      </c>
      <c r="D3708" t="s">
        <v>23930</v>
      </c>
      <c r="E3708" t="s">
        <v>892</v>
      </c>
      <c r="F3708" t="s">
        <v>38</v>
      </c>
      <c r="G3708" t="s">
        <v>24577</v>
      </c>
      <c r="H3708">
        <v>17.5</v>
      </c>
      <c r="I3708">
        <v>0</v>
      </c>
      <c r="J3708">
        <v>0</v>
      </c>
      <c r="K3708">
        <v>0</v>
      </c>
      <c r="N3708">
        <v>3</v>
      </c>
      <c r="O3708">
        <v>3</v>
      </c>
      <c r="P3708">
        <v>4</v>
      </c>
      <c r="Q3708">
        <v>0</v>
      </c>
      <c r="R3708">
        <v>24.5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H3708">
        <v>24.5</v>
      </c>
    </row>
    <row r="3709" spans="1:34" x14ac:dyDescent="0.3">
      <c r="A3709" s="4">
        <v>3825</v>
      </c>
      <c r="B3709" s="5">
        <v>3702</v>
      </c>
      <c r="C3709">
        <v>10746</v>
      </c>
      <c r="D3709" t="s">
        <v>24578</v>
      </c>
      <c r="E3709" t="s">
        <v>29</v>
      </c>
      <c r="F3709" t="s">
        <v>30</v>
      </c>
      <c r="G3709" t="s">
        <v>24579</v>
      </c>
      <c r="H3709">
        <v>17.5</v>
      </c>
      <c r="I3709">
        <v>0</v>
      </c>
      <c r="J3709">
        <v>0</v>
      </c>
      <c r="K3709">
        <v>0</v>
      </c>
      <c r="N3709">
        <v>3</v>
      </c>
      <c r="O3709">
        <v>3</v>
      </c>
      <c r="P3709">
        <v>4</v>
      </c>
      <c r="Q3709">
        <v>0</v>
      </c>
      <c r="R3709">
        <v>24.5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H3709">
        <v>24.5</v>
      </c>
    </row>
    <row r="3710" spans="1:34" x14ac:dyDescent="0.3">
      <c r="A3710" s="4">
        <v>3826</v>
      </c>
      <c r="B3710" s="5">
        <v>3703</v>
      </c>
      <c r="C3710">
        <v>15153</v>
      </c>
      <c r="D3710" t="s">
        <v>5408</v>
      </c>
      <c r="E3710" t="s">
        <v>100</v>
      </c>
      <c r="F3710" t="s">
        <v>20</v>
      </c>
      <c r="G3710" t="s">
        <v>24580</v>
      </c>
      <c r="H3710">
        <v>17.5</v>
      </c>
      <c r="I3710">
        <v>0</v>
      </c>
      <c r="J3710">
        <v>0</v>
      </c>
      <c r="K3710">
        <v>0</v>
      </c>
      <c r="N3710">
        <v>3</v>
      </c>
      <c r="O3710">
        <v>3</v>
      </c>
      <c r="P3710">
        <v>4</v>
      </c>
      <c r="Q3710">
        <v>0</v>
      </c>
      <c r="R3710">
        <v>24.5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H3710">
        <v>24.5</v>
      </c>
    </row>
    <row r="3711" spans="1:34" x14ac:dyDescent="0.3">
      <c r="A3711" s="4">
        <v>3827</v>
      </c>
      <c r="B3711" s="5">
        <v>3704</v>
      </c>
      <c r="C3711">
        <v>8116</v>
      </c>
      <c r="D3711" t="s">
        <v>3923</v>
      </c>
      <c r="E3711" t="s">
        <v>570</v>
      </c>
      <c r="F3711" t="s">
        <v>91</v>
      </c>
      <c r="G3711" t="s">
        <v>24581</v>
      </c>
      <c r="H3711">
        <v>17.48</v>
      </c>
      <c r="I3711">
        <v>0</v>
      </c>
      <c r="J3711">
        <v>0</v>
      </c>
      <c r="K3711">
        <v>0</v>
      </c>
      <c r="N3711">
        <v>3</v>
      </c>
      <c r="O3711">
        <v>3</v>
      </c>
      <c r="P3711">
        <v>4</v>
      </c>
      <c r="Q3711">
        <v>0</v>
      </c>
      <c r="R3711">
        <v>24.48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H3711">
        <v>24.48</v>
      </c>
    </row>
    <row r="3712" spans="1:34" x14ac:dyDescent="0.3">
      <c r="A3712" s="4">
        <v>3828</v>
      </c>
      <c r="B3712" s="5">
        <v>3705</v>
      </c>
      <c r="C3712">
        <v>3430</v>
      </c>
      <c r="D3712" t="s">
        <v>24582</v>
      </c>
      <c r="E3712" t="s">
        <v>17</v>
      </c>
      <c r="F3712" t="s">
        <v>81</v>
      </c>
      <c r="G3712" t="s">
        <v>24583</v>
      </c>
      <c r="H3712">
        <v>17.48</v>
      </c>
      <c r="I3712">
        <v>0</v>
      </c>
      <c r="J3712">
        <v>0</v>
      </c>
      <c r="K3712">
        <v>0</v>
      </c>
      <c r="N3712">
        <v>3</v>
      </c>
      <c r="O3712">
        <v>3</v>
      </c>
      <c r="P3712">
        <v>4</v>
      </c>
      <c r="Q3712">
        <v>0</v>
      </c>
      <c r="R3712">
        <v>24.48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H3712">
        <v>24.48</v>
      </c>
    </row>
    <row r="3713" spans="1:34" x14ac:dyDescent="0.3">
      <c r="A3713" s="4">
        <v>3829</v>
      </c>
      <c r="B3713" s="5">
        <v>3706</v>
      </c>
      <c r="C3713">
        <v>11402</v>
      </c>
      <c r="D3713" t="s">
        <v>28</v>
      </c>
      <c r="E3713" t="s">
        <v>625</v>
      </c>
      <c r="F3713" t="s">
        <v>55</v>
      </c>
      <c r="G3713" t="s">
        <v>24584</v>
      </c>
      <c r="H3713">
        <v>17.48</v>
      </c>
      <c r="I3713">
        <v>0</v>
      </c>
      <c r="J3713">
        <v>0</v>
      </c>
      <c r="K3713">
        <v>0</v>
      </c>
      <c r="N3713">
        <v>3</v>
      </c>
      <c r="O3713">
        <v>3</v>
      </c>
      <c r="P3713">
        <v>4</v>
      </c>
      <c r="Q3713">
        <v>0</v>
      </c>
      <c r="R3713">
        <v>24.48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H3713">
        <v>24.48</v>
      </c>
    </row>
    <row r="3714" spans="1:34" x14ac:dyDescent="0.3">
      <c r="A3714" s="4">
        <v>3830</v>
      </c>
      <c r="B3714" s="5">
        <v>3707</v>
      </c>
      <c r="C3714">
        <v>7714</v>
      </c>
      <c r="D3714" t="s">
        <v>10433</v>
      </c>
      <c r="E3714" t="s">
        <v>439</v>
      </c>
      <c r="F3714" t="s">
        <v>1526</v>
      </c>
      <c r="G3714" t="s">
        <v>24585</v>
      </c>
      <c r="H3714">
        <v>17.48</v>
      </c>
      <c r="I3714">
        <v>0</v>
      </c>
      <c r="J3714">
        <v>0</v>
      </c>
      <c r="K3714">
        <v>0</v>
      </c>
      <c r="N3714">
        <v>3</v>
      </c>
      <c r="O3714">
        <v>3</v>
      </c>
      <c r="P3714">
        <v>4</v>
      </c>
      <c r="Q3714">
        <v>0</v>
      </c>
      <c r="R3714">
        <v>24.48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H3714">
        <v>24.48</v>
      </c>
    </row>
    <row r="3715" spans="1:34" x14ac:dyDescent="0.3">
      <c r="A3715" s="4">
        <v>3831</v>
      </c>
      <c r="B3715" s="5">
        <v>3708</v>
      </c>
      <c r="C3715">
        <v>12945</v>
      </c>
      <c r="D3715" t="s">
        <v>24586</v>
      </c>
      <c r="E3715" t="s">
        <v>24587</v>
      </c>
      <c r="F3715" t="s">
        <v>17</v>
      </c>
      <c r="G3715" t="s">
        <v>24588</v>
      </c>
      <c r="H3715">
        <v>17.45</v>
      </c>
      <c r="I3715">
        <v>0</v>
      </c>
      <c r="J3715">
        <v>0</v>
      </c>
      <c r="K3715">
        <v>0</v>
      </c>
      <c r="N3715">
        <v>3</v>
      </c>
      <c r="O3715">
        <v>3</v>
      </c>
      <c r="P3715">
        <v>4</v>
      </c>
      <c r="Q3715">
        <v>0</v>
      </c>
      <c r="R3715">
        <v>24.45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H3715">
        <v>24.45</v>
      </c>
    </row>
    <row r="3716" spans="1:34" x14ac:dyDescent="0.3">
      <c r="A3716" s="4">
        <v>3832</v>
      </c>
      <c r="B3716" s="5">
        <v>3709</v>
      </c>
      <c r="C3716">
        <v>15639</v>
      </c>
      <c r="D3716" t="s">
        <v>7593</v>
      </c>
      <c r="E3716" t="s">
        <v>967</v>
      </c>
      <c r="F3716" t="s">
        <v>124</v>
      </c>
      <c r="G3716" t="s">
        <v>24589</v>
      </c>
      <c r="H3716">
        <v>17.45</v>
      </c>
      <c r="I3716">
        <v>0</v>
      </c>
      <c r="J3716">
        <v>0</v>
      </c>
      <c r="K3716">
        <v>0</v>
      </c>
      <c r="N3716">
        <v>3</v>
      </c>
      <c r="O3716">
        <v>3</v>
      </c>
      <c r="P3716">
        <v>4</v>
      </c>
      <c r="Q3716">
        <v>0</v>
      </c>
      <c r="R3716">
        <v>24.45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H3716">
        <v>24.45</v>
      </c>
    </row>
    <row r="3717" spans="1:34" x14ac:dyDescent="0.3">
      <c r="A3717" s="4">
        <v>3833</v>
      </c>
      <c r="B3717" s="5">
        <v>3710</v>
      </c>
      <c r="C3717">
        <v>13154</v>
      </c>
      <c r="D3717" t="s">
        <v>24590</v>
      </c>
      <c r="E3717" t="s">
        <v>161</v>
      </c>
      <c r="F3717" t="s">
        <v>68</v>
      </c>
      <c r="G3717" t="s">
        <v>24591</v>
      </c>
      <c r="H3717">
        <v>18.43</v>
      </c>
      <c r="I3717">
        <v>0</v>
      </c>
      <c r="J3717">
        <v>0</v>
      </c>
      <c r="K3717">
        <v>0</v>
      </c>
      <c r="O3717">
        <v>0</v>
      </c>
      <c r="P3717">
        <v>0</v>
      </c>
      <c r="Q3717">
        <v>0</v>
      </c>
      <c r="R3717">
        <v>18.43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6</v>
      </c>
      <c r="AC3717">
        <v>0</v>
      </c>
      <c r="AH3717">
        <v>24.43</v>
      </c>
    </row>
    <row r="3718" spans="1:34" x14ac:dyDescent="0.3">
      <c r="A3718" s="4">
        <v>3834</v>
      </c>
      <c r="B3718" s="5">
        <v>3711</v>
      </c>
      <c r="C3718">
        <v>10067</v>
      </c>
      <c r="D3718" t="s">
        <v>13017</v>
      </c>
      <c r="E3718" t="s">
        <v>188</v>
      </c>
      <c r="F3718" t="s">
        <v>626</v>
      </c>
      <c r="G3718" t="s">
        <v>24592</v>
      </c>
      <c r="H3718">
        <v>17.43</v>
      </c>
      <c r="I3718">
        <v>0</v>
      </c>
      <c r="J3718">
        <v>0</v>
      </c>
      <c r="K3718">
        <v>0</v>
      </c>
      <c r="L3718">
        <v>7</v>
      </c>
      <c r="O3718">
        <v>7</v>
      </c>
      <c r="P3718">
        <v>0</v>
      </c>
      <c r="Q3718">
        <v>0</v>
      </c>
      <c r="R3718">
        <v>24.43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H3718">
        <v>24.43</v>
      </c>
    </row>
    <row r="3719" spans="1:34" x14ac:dyDescent="0.3">
      <c r="A3719" s="4">
        <v>3835</v>
      </c>
      <c r="B3719" s="5">
        <v>3712</v>
      </c>
      <c r="C3719">
        <v>2127</v>
      </c>
      <c r="D3719" t="s">
        <v>24593</v>
      </c>
      <c r="E3719" t="s">
        <v>38</v>
      </c>
      <c r="F3719" t="s">
        <v>91</v>
      </c>
      <c r="G3719" t="s">
        <v>24594</v>
      </c>
      <c r="H3719">
        <v>17.43</v>
      </c>
      <c r="I3719">
        <v>0</v>
      </c>
      <c r="J3719">
        <v>0</v>
      </c>
      <c r="K3719">
        <v>0</v>
      </c>
      <c r="N3719">
        <v>3</v>
      </c>
      <c r="O3719">
        <v>3</v>
      </c>
      <c r="P3719">
        <v>4</v>
      </c>
      <c r="Q3719">
        <v>0</v>
      </c>
      <c r="R3719">
        <v>24.43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H3719">
        <v>24.43</v>
      </c>
    </row>
    <row r="3720" spans="1:34" x14ac:dyDescent="0.3">
      <c r="A3720" s="4">
        <v>3836</v>
      </c>
      <c r="B3720" s="5">
        <v>3713</v>
      </c>
      <c r="C3720">
        <v>7367</v>
      </c>
      <c r="D3720" t="s">
        <v>434</v>
      </c>
      <c r="E3720" t="s">
        <v>6265</v>
      </c>
      <c r="F3720" t="s">
        <v>190</v>
      </c>
      <c r="G3720" t="s">
        <v>24595</v>
      </c>
      <c r="H3720">
        <v>17.43</v>
      </c>
      <c r="I3720">
        <v>0</v>
      </c>
      <c r="J3720">
        <v>0</v>
      </c>
      <c r="K3720">
        <v>0</v>
      </c>
      <c r="N3720">
        <v>3</v>
      </c>
      <c r="O3720">
        <v>3</v>
      </c>
      <c r="P3720">
        <v>4</v>
      </c>
      <c r="Q3720">
        <v>0</v>
      </c>
      <c r="R3720">
        <v>24.43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H3720">
        <v>24.43</v>
      </c>
    </row>
    <row r="3721" spans="1:34" x14ac:dyDescent="0.3">
      <c r="A3721" s="4">
        <v>3837</v>
      </c>
      <c r="B3721" s="5">
        <v>3714</v>
      </c>
      <c r="C3721">
        <v>9199</v>
      </c>
      <c r="D3721" t="s">
        <v>22476</v>
      </c>
      <c r="E3721" t="s">
        <v>24596</v>
      </c>
      <c r="F3721" t="s">
        <v>9999</v>
      </c>
      <c r="G3721" t="s">
        <v>24597</v>
      </c>
      <c r="H3721">
        <v>17.399999999999999</v>
      </c>
      <c r="I3721">
        <v>0</v>
      </c>
      <c r="J3721">
        <v>0</v>
      </c>
      <c r="K3721">
        <v>0</v>
      </c>
      <c r="N3721">
        <v>3</v>
      </c>
      <c r="O3721">
        <v>3</v>
      </c>
      <c r="P3721">
        <v>4</v>
      </c>
      <c r="Q3721">
        <v>0</v>
      </c>
      <c r="R3721">
        <v>24.4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H3721">
        <v>24.4</v>
      </c>
    </row>
    <row r="3722" spans="1:34" x14ac:dyDescent="0.3">
      <c r="A3722" s="4">
        <v>3838</v>
      </c>
      <c r="B3722" s="5">
        <v>3715</v>
      </c>
      <c r="C3722">
        <v>850</v>
      </c>
      <c r="D3722" t="s">
        <v>24598</v>
      </c>
      <c r="E3722" t="s">
        <v>132</v>
      </c>
      <c r="F3722" t="s">
        <v>243</v>
      </c>
      <c r="H3722">
        <v>17.399999999999999</v>
      </c>
      <c r="I3722">
        <v>0</v>
      </c>
      <c r="J3722">
        <v>0</v>
      </c>
      <c r="K3722">
        <v>0</v>
      </c>
      <c r="N3722">
        <v>3</v>
      </c>
      <c r="O3722">
        <v>3</v>
      </c>
      <c r="P3722">
        <v>4</v>
      </c>
      <c r="Q3722">
        <v>0</v>
      </c>
      <c r="R3722">
        <v>24.4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H3722">
        <v>24.4</v>
      </c>
    </row>
    <row r="3723" spans="1:34" x14ac:dyDescent="0.3">
      <c r="A3723" s="4">
        <v>3839</v>
      </c>
      <c r="B3723" s="5">
        <v>3716</v>
      </c>
      <c r="C3723">
        <v>8115</v>
      </c>
      <c r="D3723" t="s">
        <v>775</v>
      </c>
      <c r="E3723" t="s">
        <v>54</v>
      </c>
      <c r="F3723" t="s">
        <v>81</v>
      </c>
      <c r="G3723" t="s">
        <v>24599</v>
      </c>
      <c r="H3723">
        <v>18.38</v>
      </c>
      <c r="I3723">
        <v>0</v>
      </c>
      <c r="J3723">
        <v>0</v>
      </c>
      <c r="K3723">
        <v>0</v>
      </c>
      <c r="N3723">
        <v>3</v>
      </c>
      <c r="O3723">
        <v>3</v>
      </c>
      <c r="P3723">
        <v>0</v>
      </c>
      <c r="Q3723">
        <v>0</v>
      </c>
      <c r="R3723">
        <v>21.38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3</v>
      </c>
      <c r="AC3723">
        <v>0</v>
      </c>
      <c r="AH3723">
        <v>24.38</v>
      </c>
    </row>
    <row r="3724" spans="1:34" x14ac:dyDescent="0.3">
      <c r="A3724" s="4">
        <v>3840</v>
      </c>
      <c r="B3724" s="5">
        <v>3717</v>
      </c>
      <c r="C3724">
        <v>4559</v>
      </c>
      <c r="D3724" t="s">
        <v>28</v>
      </c>
      <c r="E3724" t="s">
        <v>3243</v>
      </c>
      <c r="F3724" t="s">
        <v>23</v>
      </c>
      <c r="G3724" t="s">
        <v>24600</v>
      </c>
      <c r="H3724">
        <v>17.38</v>
      </c>
      <c r="I3724">
        <v>0</v>
      </c>
      <c r="J3724">
        <v>0</v>
      </c>
      <c r="K3724">
        <v>0</v>
      </c>
      <c r="N3724">
        <v>3</v>
      </c>
      <c r="O3724">
        <v>3</v>
      </c>
      <c r="P3724">
        <v>4</v>
      </c>
      <c r="Q3724">
        <v>0</v>
      </c>
      <c r="R3724">
        <v>24.38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H3724">
        <v>24.38</v>
      </c>
    </row>
    <row r="3725" spans="1:34" x14ac:dyDescent="0.3">
      <c r="A3725" s="4">
        <v>3841</v>
      </c>
      <c r="B3725" s="5">
        <v>3718</v>
      </c>
      <c r="C3725">
        <v>6305</v>
      </c>
      <c r="D3725" t="s">
        <v>24601</v>
      </c>
      <c r="E3725" t="s">
        <v>792</v>
      </c>
      <c r="F3725" t="s">
        <v>972</v>
      </c>
      <c r="G3725" t="s">
        <v>24602</v>
      </c>
      <c r="H3725">
        <v>17.350000000000001</v>
      </c>
      <c r="I3725">
        <v>0</v>
      </c>
      <c r="J3725">
        <v>0</v>
      </c>
      <c r="K3725">
        <v>0</v>
      </c>
      <c r="N3725">
        <v>3</v>
      </c>
      <c r="O3725">
        <v>3</v>
      </c>
      <c r="P3725">
        <v>4</v>
      </c>
      <c r="Q3725">
        <v>0</v>
      </c>
      <c r="R3725">
        <v>24.35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H3725">
        <v>24.35</v>
      </c>
    </row>
    <row r="3726" spans="1:34" x14ac:dyDescent="0.3">
      <c r="A3726" s="4">
        <v>3842</v>
      </c>
      <c r="B3726" s="5">
        <v>3719</v>
      </c>
      <c r="C3726">
        <v>8285</v>
      </c>
      <c r="D3726" t="s">
        <v>24603</v>
      </c>
      <c r="E3726" t="s">
        <v>10868</v>
      </c>
      <c r="F3726" t="s">
        <v>24604</v>
      </c>
      <c r="G3726" t="s">
        <v>24605</v>
      </c>
      <c r="H3726">
        <v>17.350000000000001</v>
      </c>
      <c r="I3726">
        <v>0</v>
      </c>
      <c r="J3726">
        <v>0</v>
      </c>
      <c r="K3726">
        <v>0</v>
      </c>
      <c r="N3726">
        <v>3</v>
      </c>
      <c r="O3726">
        <v>3</v>
      </c>
      <c r="P3726">
        <v>4</v>
      </c>
      <c r="Q3726">
        <v>0</v>
      </c>
      <c r="R3726">
        <v>24.35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H3726">
        <v>24.35</v>
      </c>
    </row>
    <row r="3727" spans="1:34" x14ac:dyDescent="0.3">
      <c r="A3727" s="4">
        <v>3843</v>
      </c>
      <c r="B3727" s="5">
        <v>3720</v>
      </c>
      <c r="C3727">
        <v>2802</v>
      </c>
      <c r="D3727" t="s">
        <v>24606</v>
      </c>
      <c r="E3727" t="s">
        <v>738</v>
      </c>
      <c r="F3727" t="s">
        <v>117</v>
      </c>
      <c r="G3727" t="s">
        <v>24607</v>
      </c>
      <c r="H3727">
        <v>17.350000000000001</v>
      </c>
      <c r="I3727">
        <v>0</v>
      </c>
      <c r="J3727">
        <v>0</v>
      </c>
      <c r="K3727">
        <v>0</v>
      </c>
      <c r="N3727">
        <v>3</v>
      </c>
      <c r="O3727">
        <v>3</v>
      </c>
      <c r="P3727">
        <v>4</v>
      </c>
      <c r="Q3727">
        <v>0</v>
      </c>
      <c r="R3727">
        <v>24.35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H3727">
        <v>24.35</v>
      </c>
    </row>
    <row r="3728" spans="1:34" x14ac:dyDescent="0.3">
      <c r="A3728" s="4">
        <v>3844</v>
      </c>
      <c r="B3728" s="5">
        <v>3721</v>
      </c>
      <c r="C3728">
        <v>2242</v>
      </c>
      <c r="D3728" t="s">
        <v>24608</v>
      </c>
      <c r="E3728" t="s">
        <v>29</v>
      </c>
      <c r="F3728" t="s">
        <v>782</v>
      </c>
      <c r="G3728" t="s">
        <v>24609</v>
      </c>
      <c r="H3728">
        <v>17.350000000000001</v>
      </c>
      <c r="I3728">
        <v>0</v>
      </c>
      <c r="J3728">
        <v>0</v>
      </c>
      <c r="K3728">
        <v>0</v>
      </c>
      <c r="N3728">
        <v>3</v>
      </c>
      <c r="O3728">
        <v>3</v>
      </c>
      <c r="P3728">
        <v>4</v>
      </c>
      <c r="Q3728">
        <v>0</v>
      </c>
      <c r="R3728">
        <v>24.35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H3728">
        <v>24.35</v>
      </c>
    </row>
    <row r="3729" spans="1:34" x14ac:dyDescent="0.3">
      <c r="A3729" s="4">
        <v>3845</v>
      </c>
      <c r="B3729" s="5">
        <v>3722</v>
      </c>
      <c r="C3729">
        <v>13862</v>
      </c>
      <c r="D3729" t="s">
        <v>18744</v>
      </c>
      <c r="E3729" t="s">
        <v>219</v>
      </c>
      <c r="F3729" t="s">
        <v>782</v>
      </c>
      <c r="G3729" t="s">
        <v>24610</v>
      </c>
      <c r="H3729">
        <v>17.350000000000001</v>
      </c>
      <c r="I3729">
        <v>0</v>
      </c>
      <c r="J3729">
        <v>0</v>
      </c>
      <c r="K3729">
        <v>0</v>
      </c>
      <c r="N3729">
        <v>3</v>
      </c>
      <c r="O3729">
        <v>3</v>
      </c>
      <c r="P3729">
        <v>4</v>
      </c>
      <c r="Q3729">
        <v>0</v>
      </c>
      <c r="R3729">
        <v>24.35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H3729">
        <v>24.35</v>
      </c>
    </row>
    <row r="3730" spans="1:34" x14ac:dyDescent="0.3">
      <c r="A3730" s="4">
        <v>3846</v>
      </c>
      <c r="B3730" s="5">
        <v>3723</v>
      </c>
      <c r="C3730">
        <v>9607</v>
      </c>
      <c r="D3730" t="s">
        <v>24611</v>
      </c>
      <c r="E3730" t="s">
        <v>2843</v>
      </c>
      <c r="F3730" t="s">
        <v>38</v>
      </c>
      <c r="G3730" t="s">
        <v>24612</v>
      </c>
      <c r="H3730">
        <v>17.350000000000001</v>
      </c>
      <c r="I3730">
        <v>0</v>
      </c>
      <c r="J3730">
        <v>0</v>
      </c>
      <c r="K3730">
        <v>0</v>
      </c>
      <c r="N3730">
        <v>3</v>
      </c>
      <c r="O3730">
        <v>3</v>
      </c>
      <c r="P3730">
        <v>4</v>
      </c>
      <c r="Q3730">
        <v>0</v>
      </c>
      <c r="R3730">
        <v>24.35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H3730">
        <v>24.35</v>
      </c>
    </row>
    <row r="3731" spans="1:34" x14ac:dyDescent="0.3">
      <c r="A3731" s="4">
        <v>3847</v>
      </c>
      <c r="B3731" s="5">
        <v>3724</v>
      </c>
      <c r="C3731">
        <v>1575</v>
      </c>
      <c r="D3731" t="s">
        <v>24613</v>
      </c>
      <c r="E3731" t="s">
        <v>406</v>
      </c>
      <c r="F3731" t="s">
        <v>158</v>
      </c>
      <c r="G3731" t="s">
        <v>24614</v>
      </c>
      <c r="H3731">
        <v>17.329999999999998</v>
      </c>
      <c r="I3731">
        <v>0</v>
      </c>
      <c r="J3731">
        <v>0</v>
      </c>
      <c r="K3731">
        <v>0</v>
      </c>
      <c r="N3731">
        <v>3</v>
      </c>
      <c r="O3731">
        <v>3</v>
      </c>
      <c r="P3731">
        <v>4</v>
      </c>
      <c r="Q3731">
        <v>0</v>
      </c>
      <c r="R3731">
        <v>24.33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H3731">
        <v>24.33</v>
      </c>
    </row>
    <row r="3732" spans="1:34" x14ac:dyDescent="0.3">
      <c r="A3732" s="4">
        <v>3848</v>
      </c>
      <c r="B3732" s="5">
        <v>3725</v>
      </c>
      <c r="C3732">
        <v>11984</v>
      </c>
      <c r="D3732" t="s">
        <v>13181</v>
      </c>
      <c r="E3732" t="s">
        <v>100</v>
      </c>
      <c r="F3732" t="s">
        <v>62</v>
      </c>
      <c r="G3732" t="s">
        <v>24615</v>
      </c>
      <c r="H3732">
        <v>17.3</v>
      </c>
      <c r="I3732">
        <v>0</v>
      </c>
      <c r="J3732">
        <v>0</v>
      </c>
      <c r="K3732">
        <v>0</v>
      </c>
      <c r="O3732">
        <v>0</v>
      </c>
      <c r="P3732">
        <v>4</v>
      </c>
      <c r="Q3732">
        <v>0</v>
      </c>
      <c r="R3732">
        <v>21.3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3</v>
      </c>
      <c r="AC3732">
        <v>0</v>
      </c>
      <c r="AH3732">
        <v>24.3</v>
      </c>
    </row>
    <row r="3733" spans="1:34" x14ac:dyDescent="0.3">
      <c r="A3733" s="4">
        <v>3849</v>
      </c>
      <c r="B3733" s="5">
        <v>3726</v>
      </c>
      <c r="C3733">
        <v>13889</v>
      </c>
      <c r="D3733" t="s">
        <v>5512</v>
      </c>
      <c r="E3733" t="s">
        <v>188</v>
      </c>
      <c r="F3733" t="s">
        <v>38</v>
      </c>
      <c r="G3733" t="s">
        <v>24616</v>
      </c>
      <c r="H3733">
        <v>17.3</v>
      </c>
      <c r="I3733">
        <v>0</v>
      </c>
      <c r="J3733">
        <v>0</v>
      </c>
      <c r="K3733">
        <v>0</v>
      </c>
      <c r="N3733">
        <v>3</v>
      </c>
      <c r="O3733">
        <v>3</v>
      </c>
      <c r="P3733">
        <v>4</v>
      </c>
      <c r="Q3733">
        <v>0</v>
      </c>
      <c r="R3733">
        <v>24.3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H3733">
        <v>24.3</v>
      </c>
    </row>
    <row r="3734" spans="1:34" x14ac:dyDescent="0.3">
      <c r="A3734" s="4">
        <v>3850</v>
      </c>
      <c r="B3734" s="5">
        <v>3727</v>
      </c>
      <c r="C3734">
        <v>7598</v>
      </c>
      <c r="D3734" t="s">
        <v>24617</v>
      </c>
      <c r="E3734" t="s">
        <v>37</v>
      </c>
      <c r="F3734" t="s">
        <v>1526</v>
      </c>
      <c r="G3734" t="s">
        <v>24618</v>
      </c>
      <c r="H3734">
        <v>17.3</v>
      </c>
      <c r="I3734">
        <v>0</v>
      </c>
      <c r="J3734">
        <v>0</v>
      </c>
      <c r="K3734">
        <v>0</v>
      </c>
      <c r="N3734">
        <v>3</v>
      </c>
      <c r="O3734">
        <v>3</v>
      </c>
      <c r="P3734">
        <v>4</v>
      </c>
      <c r="Q3734">
        <v>0</v>
      </c>
      <c r="R3734">
        <v>24.3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H3734">
        <v>24.3</v>
      </c>
    </row>
    <row r="3735" spans="1:34" x14ac:dyDescent="0.3">
      <c r="A3735" s="4">
        <v>3851</v>
      </c>
      <c r="B3735" s="5">
        <v>3728</v>
      </c>
      <c r="C3735">
        <v>1613</v>
      </c>
      <c r="D3735" t="s">
        <v>20158</v>
      </c>
      <c r="E3735" t="s">
        <v>24619</v>
      </c>
      <c r="F3735" t="s">
        <v>38</v>
      </c>
      <c r="G3735" t="s">
        <v>24620</v>
      </c>
      <c r="H3735">
        <v>17.3</v>
      </c>
      <c r="I3735">
        <v>0</v>
      </c>
      <c r="J3735">
        <v>0</v>
      </c>
      <c r="K3735">
        <v>0</v>
      </c>
      <c r="N3735">
        <v>3</v>
      </c>
      <c r="O3735">
        <v>3</v>
      </c>
      <c r="P3735">
        <v>4</v>
      </c>
      <c r="Q3735">
        <v>0</v>
      </c>
      <c r="R3735">
        <v>24.3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H3735">
        <v>24.3</v>
      </c>
    </row>
    <row r="3736" spans="1:34" x14ac:dyDescent="0.3">
      <c r="A3736" s="4">
        <v>3852</v>
      </c>
      <c r="B3736" s="5">
        <v>3729</v>
      </c>
      <c r="C3736">
        <v>7675</v>
      </c>
      <c r="D3736" t="s">
        <v>24621</v>
      </c>
      <c r="E3736" t="s">
        <v>967</v>
      </c>
      <c r="F3736" t="s">
        <v>1023</v>
      </c>
      <c r="G3736" t="s">
        <v>24622</v>
      </c>
      <c r="H3736">
        <v>18.28</v>
      </c>
      <c r="I3736">
        <v>0</v>
      </c>
      <c r="J3736">
        <v>0</v>
      </c>
      <c r="K3736">
        <v>0</v>
      </c>
      <c r="O3736">
        <v>0</v>
      </c>
      <c r="P3736">
        <v>4</v>
      </c>
      <c r="Q3736">
        <v>2</v>
      </c>
      <c r="R3736">
        <v>24.28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H3736">
        <v>24.28</v>
      </c>
    </row>
    <row r="3737" spans="1:34" x14ac:dyDescent="0.3">
      <c r="A3737" s="4">
        <v>3853</v>
      </c>
      <c r="B3737" s="5">
        <v>3730</v>
      </c>
      <c r="C3737">
        <v>4748</v>
      </c>
      <c r="D3737" t="s">
        <v>19517</v>
      </c>
      <c r="E3737" t="s">
        <v>24623</v>
      </c>
      <c r="F3737" t="s">
        <v>19519</v>
      </c>
      <c r="G3737" t="s">
        <v>24624</v>
      </c>
      <c r="H3737">
        <v>18.28</v>
      </c>
      <c r="I3737">
        <v>0</v>
      </c>
      <c r="J3737">
        <v>0</v>
      </c>
      <c r="K3737">
        <v>0</v>
      </c>
      <c r="O3737">
        <v>0</v>
      </c>
      <c r="P3737">
        <v>4</v>
      </c>
      <c r="Q3737">
        <v>2</v>
      </c>
      <c r="R3737">
        <v>24.28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H3737">
        <v>24.28</v>
      </c>
    </row>
    <row r="3738" spans="1:34" x14ac:dyDescent="0.3">
      <c r="A3738" s="4">
        <v>3854</v>
      </c>
      <c r="B3738" s="5">
        <v>3731</v>
      </c>
      <c r="C3738">
        <v>10770</v>
      </c>
      <c r="D3738" t="s">
        <v>24625</v>
      </c>
      <c r="E3738" t="s">
        <v>54</v>
      </c>
      <c r="F3738" t="s">
        <v>782</v>
      </c>
      <c r="G3738" t="s">
        <v>24626</v>
      </c>
      <c r="H3738">
        <v>17.28</v>
      </c>
      <c r="I3738">
        <v>0</v>
      </c>
      <c r="J3738">
        <v>0</v>
      </c>
      <c r="K3738">
        <v>0</v>
      </c>
      <c r="N3738">
        <v>3</v>
      </c>
      <c r="O3738">
        <v>3</v>
      </c>
      <c r="P3738">
        <v>4</v>
      </c>
      <c r="Q3738">
        <v>0</v>
      </c>
      <c r="R3738">
        <v>24.28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H3738">
        <v>24.28</v>
      </c>
    </row>
    <row r="3739" spans="1:34" x14ac:dyDescent="0.3">
      <c r="A3739" s="4">
        <v>3855</v>
      </c>
      <c r="B3739" s="5">
        <v>3732</v>
      </c>
      <c r="C3739">
        <v>5997</v>
      </c>
      <c r="D3739" t="s">
        <v>2699</v>
      </c>
      <c r="E3739" t="s">
        <v>413</v>
      </c>
      <c r="F3739" t="s">
        <v>136</v>
      </c>
      <c r="G3739" t="s">
        <v>24627</v>
      </c>
      <c r="H3739">
        <v>17.28</v>
      </c>
      <c r="I3739">
        <v>0</v>
      </c>
      <c r="J3739">
        <v>0</v>
      </c>
      <c r="K3739">
        <v>0</v>
      </c>
      <c r="N3739">
        <v>3</v>
      </c>
      <c r="O3739">
        <v>3</v>
      </c>
      <c r="P3739">
        <v>4</v>
      </c>
      <c r="Q3739">
        <v>0</v>
      </c>
      <c r="R3739">
        <v>24.28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H3739">
        <v>24.28</v>
      </c>
    </row>
    <row r="3740" spans="1:34" x14ac:dyDescent="0.3">
      <c r="A3740" s="4">
        <v>3856</v>
      </c>
      <c r="B3740" s="5">
        <v>3733</v>
      </c>
      <c r="C3740">
        <v>537</v>
      </c>
      <c r="D3740" t="s">
        <v>441</v>
      </c>
      <c r="E3740" t="s">
        <v>29</v>
      </c>
      <c r="F3740" t="s">
        <v>55</v>
      </c>
      <c r="G3740" t="s">
        <v>24628</v>
      </c>
      <c r="H3740">
        <v>17.28</v>
      </c>
      <c r="I3740">
        <v>0</v>
      </c>
      <c r="J3740">
        <v>0</v>
      </c>
      <c r="K3740">
        <v>0</v>
      </c>
      <c r="L3740">
        <v>7</v>
      </c>
      <c r="O3740">
        <v>7</v>
      </c>
      <c r="P3740">
        <v>0</v>
      </c>
      <c r="Q3740">
        <v>0</v>
      </c>
      <c r="R3740">
        <v>24.28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H3740">
        <v>24.28</v>
      </c>
    </row>
    <row r="3741" spans="1:34" x14ac:dyDescent="0.3">
      <c r="A3741" s="4">
        <v>3857</v>
      </c>
      <c r="B3741" s="5">
        <v>3734</v>
      </c>
      <c r="C3741">
        <v>1253</v>
      </c>
      <c r="D3741" t="s">
        <v>22330</v>
      </c>
      <c r="E3741" t="s">
        <v>71</v>
      </c>
      <c r="F3741" t="s">
        <v>38</v>
      </c>
      <c r="G3741" t="s">
        <v>24629</v>
      </c>
      <c r="H3741">
        <v>17.25</v>
      </c>
      <c r="I3741">
        <v>0</v>
      </c>
      <c r="J3741">
        <v>0</v>
      </c>
      <c r="K3741">
        <v>0</v>
      </c>
      <c r="O3741">
        <v>0</v>
      </c>
      <c r="P3741">
        <v>4</v>
      </c>
      <c r="Q3741">
        <v>0</v>
      </c>
      <c r="R3741">
        <v>21.25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3</v>
      </c>
      <c r="AC3741">
        <v>0</v>
      </c>
      <c r="AH3741">
        <v>24.25</v>
      </c>
    </row>
    <row r="3742" spans="1:34" x14ac:dyDescent="0.3">
      <c r="A3742" s="4">
        <v>3858</v>
      </c>
      <c r="B3742" s="5">
        <v>3735</v>
      </c>
      <c r="C3742">
        <v>3840</v>
      </c>
      <c r="D3742" t="s">
        <v>24630</v>
      </c>
      <c r="E3742" t="s">
        <v>789</v>
      </c>
      <c r="F3742" t="s">
        <v>81</v>
      </c>
      <c r="G3742" t="s">
        <v>24631</v>
      </c>
      <c r="H3742">
        <v>20.25</v>
      </c>
      <c r="I3742">
        <v>0</v>
      </c>
      <c r="J3742">
        <v>0</v>
      </c>
      <c r="K3742">
        <v>0</v>
      </c>
      <c r="O3742">
        <v>0</v>
      </c>
      <c r="P3742">
        <v>4</v>
      </c>
      <c r="Q3742">
        <v>0</v>
      </c>
      <c r="R3742">
        <v>24.25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H3742">
        <v>24.25</v>
      </c>
    </row>
    <row r="3743" spans="1:34" x14ac:dyDescent="0.3">
      <c r="A3743" s="4">
        <v>3859</v>
      </c>
      <c r="B3743" s="5">
        <v>3736</v>
      </c>
      <c r="C3743">
        <v>6034</v>
      </c>
      <c r="D3743" t="s">
        <v>20486</v>
      </c>
      <c r="E3743" t="s">
        <v>744</v>
      </c>
      <c r="F3743" t="s">
        <v>652</v>
      </c>
      <c r="G3743" t="s">
        <v>24632</v>
      </c>
      <c r="H3743">
        <v>17.25</v>
      </c>
      <c r="I3743">
        <v>0</v>
      </c>
      <c r="J3743">
        <v>0</v>
      </c>
      <c r="K3743">
        <v>0</v>
      </c>
      <c r="N3743">
        <v>3</v>
      </c>
      <c r="O3743">
        <v>3</v>
      </c>
      <c r="P3743">
        <v>4</v>
      </c>
      <c r="Q3743">
        <v>0</v>
      </c>
      <c r="R3743">
        <v>24.25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H3743">
        <v>24.25</v>
      </c>
    </row>
    <row r="3744" spans="1:34" x14ac:dyDescent="0.3">
      <c r="A3744" s="4">
        <v>3860</v>
      </c>
      <c r="B3744" s="5">
        <v>3737</v>
      </c>
      <c r="C3744">
        <v>5750</v>
      </c>
      <c r="D3744" t="s">
        <v>24633</v>
      </c>
      <c r="E3744" t="s">
        <v>789</v>
      </c>
      <c r="F3744" t="s">
        <v>81</v>
      </c>
      <c r="G3744" t="s">
        <v>24634</v>
      </c>
      <c r="H3744">
        <v>17.25</v>
      </c>
      <c r="I3744">
        <v>0</v>
      </c>
      <c r="J3744">
        <v>0</v>
      </c>
      <c r="K3744">
        <v>0</v>
      </c>
      <c r="N3744">
        <v>3</v>
      </c>
      <c r="O3744">
        <v>3</v>
      </c>
      <c r="P3744">
        <v>4</v>
      </c>
      <c r="Q3744">
        <v>0</v>
      </c>
      <c r="R3744">
        <v>24.25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H3744">
        <v>24.25</v>
      </c>
    </row>
    <row r="3745" spans="1:34" x14ac:dyDescent="0.3">
      <c r="A3745" s="4">
        <v>3861</v>
      </c>
      <c r="B3745" s="5">
        <v>3738</v>
      </c>
      <c r="C3745">
        <v>7727</v>
      </c>
      <c r="D3745" t="s">
        <v>1045</v>
      </c>
      <c r="E3745" t="s">
        <v>132</v>
      </c>
      <c r="F3745" t="s">
        <v>328</v>
      </c>
      <c r="G3745" t="s">
        <v>24635</v>
      </c>
      <c r="H3745">
        <v>17.25</v>
      </c>
      <c r="I3745">
        <v>0</v>
      </c>
      <c r="J3745">
        <v>0</v>
      </c>
      <c r="K3745">
        <v>0</v>
      </c>
      <c r="N3745">
        <v>3</v>
      </c>
      <c r="O3745">
        <v>3</v>
      </c>
      <c r="P3745">
        <v>4</v>
      </c>
      <c r="Q3745">
        <v>0</v>
      </c>
      <c r="R3745">
        <v>24.25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H3745">
        <v>24.25</v>
      </c>
    </row>
    <row r="3746" spans="1:34" x14ac:dyDescent="0.3">
      <c r="A3746" s="4">
        <v>3862</v>
      </c>
      <c r="B3746" s="5">
        <v>3739</v>
      </c>
      <c r="C3746">
        <v>14712</v>
      </c>
      <c r="D3746" t="s">
        <v>24636</v>
      </c>
      <c r="E3746" t="s">
        <v>1242</v>
      </c>
      <c r="F3746" t="s">
        <v>17</v>
      </c>
      <c r="G3746" t="s">
        <v>24637</v>
      </c>
      <c r="H3746">
        <v>18.2</v>
      </c>
      <c r="I3746">
        <v>0</v>
      </c>
      <c r="J3746">
        <v>0</v>
      </c>
      <c r="K3746">
        <v>0</v>
      </c>
      <c r="O3746">
        <v>0</v>
      </c>
      <c r="P3746">
        <v>0</v>
      </c>
      <c r="Q3746">
        <v>0</v>
      </c>
      <c r="R3746">
        <v>18.2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6</v>
      </c>
      <c r="AC3746">
        <v>0</v>
      </c>
      <c r="AH3746">
        <v>24.2</v>
      </c>
    </row>
    <row r="3747" spans="1:34" x14ac:dyDescent="0.3">
      <c r="A3747" s="4">
        <v>3863</v>
      </c>
      <c r="B3747" s="5">
        <v>3740</v>
      </c>
      <c r="C3747">
        <v>15390</v>
      </c>
      <c r="D3747" t="s">
        <v>24638</v>
      </c>
      <c r="E3747" t="s">
        <v>166</v>
      </c>
      <c r="F3747" t="s">
        <v>117</v>
      </c>
      <c r="G3747" t="s">
        <v>24639</v>
      </c>
      <c r="H3747">
        <v>17.2</v>
      </c>
      <c r="I3747">
        <v>0</v>
      </c>
      <c r="J3747">
        <v>0</v>
      </c>
      <c r="K3747">
        <v>0</v>
      </c>
      <c r="O3747">
        <v>0</v>
      </c>
      <c r="P3747">
        <v>4</v>
      </c>
      <c r="Q3747">
        <v>0</v>
      </c>
      <c r="R3747">
        <v>21.2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3</v>
      </c>
      <c r="AC3747">
        <v>0</v>
      </c>
      <c r="AH3747">
        <v>24.2</v>
      </c>
    </row>
    <row r="3748" spans="1:34" x14ac:dyDescent="0.3">
      <c r="A3748" s="4">
        <v>3864</v>
      </c>
      <c r="B3748" s="5">
        <v>3741</v>
      </c>
      <c r="C3748">
        <v>12015</v>
      </c>
      <c r="D3748" t="s">
        <v>3200</v>
      </c>
      <c r="E3748" t="s">
        <v>37</v>
      </c>
      <c r="F3748" t="s">
        <v>117</v>
      </c>
      <c r="G3748" t="s">
        <v>24640</v>
      </c>
      <c r="H3748">
        <v>17.2</v>
      </c>
      <c r="I3748">
        <v>0</v>
      </c>
      <c r="J3748">
        <v>0</v>
      </c>
      <c r="K3748">
        <v>0</v>
      </c>
      <c r="N3748">
        <v>3</v>
      </c>
      <c r="O3748">
        <v>3</v>
      </c>
      <c r="P3748">
        <v>4</v>
      </c>
      <c r="Q3748">
        <v>0</v>
      </c>
      <c r="R3748">
        <v>24.2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H3748">
        <v>24.2</v>
      </c>
    </row>
    <row r="3749" spans="1:34" x14ac:dyDescent="0.3">
      <c r="A3749" s="4">
        <v>3865</v>
      </c>
      <c r="B3749" s="5">
        <v>3742</v>
      </c>
      <c r="C3749">
        <v>1894</v>
      </c>
      <c r="D3749" t="s">
        <v>24641</v>
      </c>
      <c r="E3749" t="s">
        <v>24642</v>
      </c>
      <c r="F3749" t="s">
        <v>24643</v>
      </c>
      <c r="G3749" t="s">
        <v>24644</v>
      </c>
      <c r="H3749">
        <v>17.2</v>
      </c>
      <c r="I3749">
        <v>0</v>
      </c>
      <c r="J3749">
        <v>0</v>
      </c>
      <c r="K3749">
        <v>0</v>
      </c>
      <c r="N3749">
        <v>3</v>
      </c>
      <c r="O3749">
        <v>3</v>
      </c>
      <c r="P3749">
        <v>4</v>
      </c>
      <c r="Q3749">
        <v>0</v>
      </c>
      <c r="R3749">
        <v>24.2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H3749">
        <v>24.2</v>
      </c>
    </row>
    <row r="3750" spans="1:34" x14ac:dyDescent="0.3">
      <c r="A3750" s="4">
        <v>3866</v>
      </c>
      <c r="B3750" s="5">
        <v>3743</v>
      </c>
      <c r="C3750">
        <v>9048</v>
      </c>
      <c r="D3750" t="s">
        <v>24645</v>
      </c>
      <c r="E3750" t="s">
        <v>789</v>
      </c>
      <c r="F3750" t="s">
        <v>1023</v>
      </c>
      <c r="G3750" t="s">
        <v>24646</v>
      </c>
      <c r="H3750">
        <v>17.2</v>
      </c>
      <c r="I3750">
        <v>0</v>
      </c>
      <c r="J3750">
        <v>0</v>
      </c>
      <c r="K3750">
        <v>0</v>
      </c>
      <c r="N3750">
        <v>3</v>
      </c>
      <c r="O3750">
        <v>3</v>
      </c>
      <c r="P3750">
        <v>4</v>
      </c>
      <c r="Q3750">
        <v>0</v>
      </c>
      <c r="R3750">
        <v>24.2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H3750">
        <v>24.2</v>
      </c>
    </row>
    <row r="3751" spans="1:34" x14ac:dyDescent="0.3">
      <c r="A3751" s="4">
        <v>3867</v>
      </c>
      <c r="B3751" s="5">
        <v>3744</v>
      </c>
      <c r="C3751">
        <v>408</v>
      </c>
      <c r="D3751" t="s">
        <v>24647</v>
      </c>
      <c r="E3751" t="s">
        <v>1023</v>
      </c>
      <c r="F3751" t="s">
        <v>24648</v>
      </c>
      <c r="G3751" t="s">
        <v>24649</v>
      </c>
      <c r="H3751">
        <v>17.2</v>
      </c>
      <c r="I3751">
        <v>0</v>
      </c>
      <c r="J3751">
        <v>0</v>
      </c>
      <c r="K3751">
        <v>0</v>
      </c>
      <c r="N3751">
        <v>3</v>
      </c>
      <c r="O3751">
        <v>3</v>
      </c>
      <c r="P3751">
        <v>4</v>
      </c>
      <c r="Q3751">
        <v>0</v>
      </c>
      <c r="R3751">
        <v>24.2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H3751">
        <v>24.2</v>
      </c>
    </row>
    <row r="3752" spans="1:34" x14ac:dyDescent="0.3">
      <c r="A3752" s="4">
        <v>3868</v>
      </c>
      <c r="B3752" s="5">
        <v>3745</v>
      </c>
      <c r="C3752">
        <v>11818</v>
      </c>
      <c r="D3752" t="s">
        <v>23811</v>
      </c>
      <c r="E3752" t="s">
        <v>328</v>
      </c>
      <c r="F3752" t="s">
        <v>79</v>
      </c>
      <c r="G3752" t="s">
        <v>24650</v>
      </c>
      <c r="H3752">
        <v>20.18</v>
      </c>
      <c r="I3752">
        <v>0</v>
      </c>
      <c r="J3752">
        <v>0</v>
      </c>
      <c r="K3752">
        <v>0</v>
      </c>
      <c r="O3752">
        <v>0</v>
      </c>
      <c r="P3752">
        <v>4</v>
      </c>
      <c r="Q3752">
        <v>0</v>
      </c>
      <c r="R3752">
        <v>24.18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H3752">
        <v>24.18</v>
      </c>
    </row>
    <row r="3753" spans="1:34" x14ac:dyDescent="0.3">
      <c r="A3753" s="4">
        <v>3869</v>
      </c>
      <c r="B3753" s="5">
        <v>3746</v>
      </c>
      <c r="C3753">
        <v>9795</v>
      </c>
      <c r="D3753" t="s">
        <v>3585</v>
      </c>
      <c r="E3753" t="s">
        <v>24651</v>
      </c>
      <c r="F3753" t="s">
        <v>81</v>
      </c>
      <c r="G3753" t="s">
        <v>24652</v>
      </c>
      <c r="H3753">
        <v>17.18</v>
      </c>
      <c r="I3753">
        <v>0</v>
      </c>
      <c r="J3753">
        <v>0</v>
      </c>
      <c r="K3753">
        <v>0</v>
      </c>
      <c r="N3753">
        <v>3</v>
      </c>
      <c r="O3753">
        <v>3</v>
      </c>
      <c r="P3753">
        <v>4</v>
      </c>
      <c r="Q3753">
        <v>0</v>
      </c>
      <c r="R3753">
        <v>24.18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H3753">
        <v>24.18</v>
      </c>
    </row>
    <row r="3754" spans="1:34" x14ac:dyDescent="0.3">
      <c r="A3754" s="4">
        <v>3870</v>
      </c>
      <c r="B3754" s="5">
        <v>3747</v>
      </c>
      <c r="C3754">
        <v>7465</v>
      </c>
      <c r="D3754" t="s">
        <v>24653</v>
      </c>
      <c r="E3754" t="s">
        <v>24654</v>
      </c>
      <c r="F3754" t="s">
        <v>24655</v>
      </c>
      <c r="G3754" t="s">
        <v>24656</v>
      </c>
      <c r="H3754">
        <v>20.149999999999999</v>
      </c>
      <c r="I3754">
        <v>0</v>
      </c>
      <c r="J3754">
        <v>0</v>
      </c>
      <c r="K3754">
        <v>0</v>
      </c>
      <c r="O3754">
        <v>0</v>
      </c>
      <c r="P3754">
        <v>4</v>
      </c>
      <c r="Q3754">
        <v>0</v>
      </c>
      <c r="R3754">
        <v>24.15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H3754">
        <v>24.15</v>
      </c>
    </row>
    <row r="3755" spans="1:34" x14ac:dyDescent="0.3">
      <c r="A3755" s="4">
        <v>3871</v>
      </c>
      <c r="B3755" s="5">
        <v>3748</v>
      </c>
      <c r="C3755">
        <v>771</v>
      </c>
      <c r="D3755" t="s">
        <v>24657</v>
      </c>
      <c r="E3755" t="s">
        <v>1089</v>
      </c>
      <c r="F3755" t="s">
        <v>1090</v>
      </c>
      <c r="G3755" t="s">
        <v>24658</v>
      </c>
      <c r="H3755">
        <v>17.149999999999999</v>
      </c>
      <c r="I3755">
        <v>0</v>
      </c>
      <c r="J3755">
        <v>0</v>
      </c>
      <c r="K3755">
        <v>0</v>
      </c>
      <c r="N3755">
        <v>3</v>
      </c>
      <c r="O3755">
        <v>3</v>
      </c>
      <c r="P3755">
        <v>4</v>
      </c>
      <c r="Q3755">
        <v>0</v>
      </c>
      <c r="R3755">
        <v>24.15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H3755">
        <v>24.15</v>
      </c>
    </row>
    <row r="3756" spans="1:34" x14ac:dyDescent="0.3">
      <c r="A3756" s="4">
        <v>3872</v>
      </c>
      <c r="B3756" s="5">
        <v>3749</v>
      </c>
      <c r="C3756">
        <v>9381</v>
      </c>
      <c r="D3756" t="s">
        <v>5006</v>
      </c>
      <c r="E3756" t="s">
        <v>104</v>
      </c>
      <c r="F3756" t="s">
        <v>81</v>
      </c>
      <c r="G3756" t="s">
        <v>24659</v>
      </c>
      <c r="H3756">
        <v>17.13</v>
      </c>
      <c r="I3756">
        <v>0</v>
      </c>
      <c r="J3756">
        <v>0</v>
      </c>
      <c r="K3756">
        <v>0</v>
      </c>
      <c r="O3756">
        <v>0</v>
      </c>
      <c r="P3756">
        <v>4</v>
      </c>
      <c r="Q3756">
        <v>0</v>
      </c>
      <c r="R3756">
        <v>21.13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3</v>
      </c>
      <c r="AC3756">
        <v>0</v>
      </c>
      <c r="AH3756">
        <v>24.13</v>
      </c>
    </row>
    <row r="3757" spans="1:34" x14ac:dyDescent="0.3">
      <c r="A3757" s="4">
        <v>3873</v>
      </c>
      <c r="B3757" s="5">
        <v>3750</v>
      </c>
      <c r="C3757">
        <v>10806</v>
      </c>
      <c r="D3757" t="s">
        <v>8998</v>
      </c>
      <c r="E3757" t="s">
        <v>29</v>
      </c>
      <c r="F3757" t="s">
        <v>158</v>
      </c>
      <c r="G3757" t="s">
        <v>24660</v>
      </c>
      <c r="H3757">
        <v>17.13</v>
      </c>
      <c r="I3757">
        <v>0</v>
      </c>
      <c r="J3757">
        <v>0</v>
      </c>
      <c r="K3757">
        <v>0</v>
      </c>
      <c r="N3757">
        <v>3</v>
      </c>
      <c r="O3757">
        <v>3</v>
      </c>
      <c r="P3757">
        <v>4</v>
      </c>
      <c r="Q3757">
        <v>0</v>
      </c>
      <c r="R3757">
        <v>24.13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H3757">
        <v>24.13</v>
      </c>
    </row>
    <row r="3758" spans="1:34" x14ac:dyDescent="0.3">
      <c r="A3758" s="4">
        <v>3874</v>
      </c>
      <c r="B3758" s="5">
        <v>3751</v>
      </c>
      <c r="C3758">
        <v>11997</v>
      </c>
      <c r="D3758" t="s">
        <v>24661</v>
      </c>
      <c r="E3758" t="s">
        <v>178</v>
      </c>
      <c r="F3758" t="s">
        <v>652</v>
      </c>
      <c r="G3758" t="s">
        <v>24662</v>
      </c>
      <c r="H3758">
        <v>17.079999999999998</v>
      </c>
      <c r="I3758">
        <v>0</v>
      </c>
      <c r="J3758">
        <v>0</v>
      </c>
      <c r="K3758">
        <v>0</v>
      </c>
      <c r="N3758">
        <v>3</v>
      </c>
      <c r="O3758">
        <v>3</v>
      </c>
      <c r="P3758">
        <v>4</v>
      </c>
      <c r="Q3758">
        <v>0</v>
      </c>
      <c r="R3758">
        <v>24.08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H3758">
        <v>24.08</v>
      </c>
    </row>
    <row r="3759" spans="1:34" x14ac:dyDescent="0.3">
      <c r="A3759" s="4">
        <v>3875</v>
      </c>
      <c r="B3759" s="5">
        <v>3752</v>
      </c>
      <c r="C3759">
        <v>6744</v>
      </c>
      <c r="D3759" t="s">
        <v>10270</v>
      </c>
      <c r="E3759" t="s">
        <v>2758</v>
      </c>
      <c r="F3759" t="s">
        <v>2582</v>
      </c>
      <c r="G3759" t="s">
        <v>24663</v>
      </c>
      <c r="H3759">
        <v>19.05</v>
      </c>
      <c r="I3759">
        <v>0</v>
      </c>
      <c r="J3759">
        <v>0</v>
      </c>
      <c r="K3759">
        <v>0</v>
      </c>
      <c r="N3759">
        <v>3</v>
      </c>
      <c r="O3759">
        <v>3</v>
      </c>
      <c r="P3759">
        <v>0</v>
      </c>
      <c r="Q3759">
        <v>2</v>
      </c>
      <c r="R3759">
        <v>24.05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H3759">
        <v>24.05</v>
      </c>
    </row>
    <row r="3760" spans="1:34" x14ac:dyDescent="0.3">
      <c r="A3760" s="4">
        <v>3876</v>
      </c>
      <c r="B3760" s="5">
        <v>3753</v>
      </c>
      <c r="C3760">
        <v>9062</v>
      </c>
      <c r="D3760" t="s">
        <v>19360</v>
      </c>
      <c r="E3760" t="s">
        <v>268</v>
      </c>
      <c r="F3760" t="s">
        <v>17</v>
      </c>
      <c r="G3760" t="s">
        <v>24664</v>
      </c>
      <c r="H3760">
        <v>18.05</v>
      </c>
      <c r="I3760">
        <v>0</v>
      </c>
      <c r="J3760">
        <v>0</v>
      </c>
      <c r="K3760">
        <v>0</v>
      </c>
      <c r="O3760">
        <v>0</v>
      </c>
      <c r="P3760">
        <v>4</v>
      </c>
      <c r="Q3760">
        <v>2</v>
      </c>
      <c r="R3760">
        <v>24.05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H3760">
        <v>24.05</v>
      </c>
    </row>
    <row r="3761" spans="1:34" x14ac:dyDescent="0.3">
      <c r="A3761" s="4">
        <v>3877</v>
      </c>
      <c r="B3761" s="5">
        <v>3754</v>
      </c>
      <c r="C3761">
        <v>10243</v>
      </c>
      <c r="D3761" t="s">
        <v>24665</v>
      </c>
      <c r="E3761" t="s">
        <v>110</v>
      </c>
      <c r="F3761" t="s">
        <v>68</v>
      </c>
      <c r="G3761" t="s">
        <v>24666</v>
      </c>
      <c r="H3761">
        <v>17.05</v>
      </c>
      <c r="I3761">
        <v>0</v>
      </c>
      <c r="J3761">
        <v>0</v>
      </c>
      <c r="K3761">
        <v>0</v>
      </c>
      <c r="L3761">
        <v>7</v>
      </c>
      <c r="O3761">
        <v>7</v>
      </c>
      <c r="P3761">
        <v>0</v>
      </c>
      <c r="Q3761">
        <v>0</v>
      </c>
      <c r="R3761">
        <v>24.05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H3761">
        <v>24.05</v>
      </c>
    </row>
    <row r="3762" spans="1:34" x14ac:dyDescent="0.3">
      <c r="A3762" s="4">
        <v>3878</v>
      </c>
      <c r="B3762" s="5">
        <v>3755</v>
      </c>
      <c r="C3762">
        <v>895</v>
      </c>
      <c r="D3762" t="s">
        <v>24667</v>
      </c>
      <c r="E3762" t="s">
        <v>62</v>
      </c>
      <c r="F3762" t="s">
        <v>488</v>
      </c>
      <c r="G3762" t="s">
        <v>24668</v>
      </c>
      <c r="H3762">
        <v>17.05</v>
      </c>
      <c r="I3762">
        <v>0</v>
      </c>
      <c r="J3762">
        <v>0</v>
      </c>
      <c r="K3762">
        <v>0</v>
      </c>
      <c r="N3762">
        <v>3</v>
      </c>
      <c r="O3762">
        <v>3</v>
      </c>
      <c r="P3762">
        <v>4</v>
      </c>
      <c r="Q3762">
        <v>0</v>
      </c>
      <c r="R3762">
        <v>24.05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H3762">
        <v>24.05</v>
      </c>
    </row>
    <row r="3763" spans="1:34" x14ac:dyDescent="0.3">
      <c r="A3763" s="4">
        <v>3879</v>
      </c>
      <c r="B3763" s="5">
        <v>3756</v>
      </c>
      <c r="C3763">
        <v>5490</v>
      </c>
      <c r="D3763" t="s">
        <v>24669</v>
      </c>
      <c r="E3763" t="s">
        <v>24670</v>
      </c>
      <c r="F3763" t="s">
        <v>1161</v>
      </c>
      <c r="G3763" t="s">
        <v>24671</v>
      </c>
      <c r="H3763">
        <v>17.05</v>
      </c>
      <c r="I3763">
        <v>0</v>
      </c>
      <c r="J3763">
        <v>0</v>
      </c>
      <c r="K3763">
        <v>0</v>
      </c>
      <c r="N3763">
        <v>3</v>
      </c>
      <c r="O3763">
        <v>3</v>
      </c>
      <c r="P3763">
        <v>4</v>
      </c>
      <c r="Q3763">
        <v>0</v>
      </c>
      <c r="R3763">
        <v>24.05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H3763">
        <v>24.05</v>
      </c>
    </row>
    <row r="3764" spans="1:34" x14ac:dyDescent="0.3">
      <c r="A3764" s="4">
        <v>3880</v>
      </c>
      <c r="B3764" s="5">
        <v>3757</v>
      </c>
      <c r="C3764">
        <v>7810</v>
      </c>
      <c r="D3764" t="s">
        <v>24672</v>
      </c>
      <c r="E3764" t="s">
        <v>29</v>
      </c>
      <c r="F3764" t="s">
        <v>20</v>
      </c>
      <c r="G3764" t="s">
        <v>24673</v>
      </c>
      <c r="H3764">
        <v>17.05</v>
      </c>
      <c r="I3764">
        <v>0</v>
      </c>
      <c r="J3764">
        <v>0</v>
      </c>
      <c r="K3764">
        <v>0</v>
      </c>
      <c r="N3764">
        <v>3</v>
      </c>
      <c r="O3764">
        <v>3</v>
      </c>
      <c r="P3764">
        <v>4</v>
      </c>
      <c r="Q3764">
        <v>0</v>
      </c>
      <c r="R3764">
        <v>24.05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H3764">
        <v>24.05</v>
      </c>
    </row>
    <row r="3765" spans="1:34" x14ac:dyDescent="0.3">
      <c r="A3765" s="4">
        <v>3881</v>
      </c>
      <c r="B3765" s="5">
        <v>3758</v>
      </c>
      <c r="C3765">
        <v>6857</v>
      </c>
      <c r="D3765" t="s">
        <v>10870</v>
      </c>
      <c r="E3765" t="s">
        <v>54</v>
      </c>
      <c r="F3765" t="s">
        <v>136</v>
      </c>
      <c r="G3765" t="s">
        <v>24674</v>
      </c>
      <c r="H3765">
        <v>21.03</v>
      </c>
      <c r="I3765">
        <v>0</v>
      </c>
      <c r="J3765">
        <v>0</v>
      </c>
      <c r="K3765">
        <v>0</v>
      </c>
      <c r="O3765">
        <v>0</v>
      </c>
      <c r="P3765">
        <v>0</v>
      </c>
      <c r="Q3765">
        <v>0</v>
      </c>
      <c r="R3765">
        <v>21.03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3</v>
      </c>
      <c r="AC3765">
        <v>0</v>
      </c>
      <c r="AH3765">
        <v>24.03</v>
      </c>
    </row>
    <row r="3766" spans="1:34" x14ac:dyDescent="0.3">
      <c r="A3766" s="4">
        <v>3882</v>
      </c>
      <c r="B3766" s="5">
        <v>3759</v>
      </c>
      <c r="C3766">
        <v>13530</v>
      </c>
      <c r="D3766" t="s">
        <v>24675</v>
      </c>
      <c r="E3766" t="s">
        <v>29</v>
      </c>
      <c r="F3766" t="s">
        <v>230</v>
      </c>
      <c r="G3766" t="s">
        <v>24676</v>
      </c>
      <c r="H3766">
        <v>17.03</v>
      </c>
      <c r="I3766">
        <v>0</v>
      </c>
      <c r="J3766">
        <v>0</v>
      </c>
      <c r="K3766">
        <v>0</v>
      </c>
      <c r="N3766">
        <v>3</v>
      </c>
      <c r="O3766">
        <v>3</v>
      </c>
      <c r="P3766">
        <v>4</v>
      </c>
      <c r="Q3766">
        <v>0</v>
      </c>
      <c r="R3766">
        <v>24.03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H3766">
        <v>24.03</v>
      </c>
    </row>
    <row r="3767" spans="1:34" x14ac:dyDescent="0.3">
      <c r="A3767" s="4">
        <v>3883</v>
      </c>
      <c r="B3767" s="5">
        <v>3760</v>
      </c>
      <c r="C3767">
        <v>13204</v>
      </c>
      <c r="D3767" t="s">
        <v>24677</v>
      </c>
      <c r="E3767" t="s">
        <v>81</v>
      </c>
      <c r="F3767" t="s">
        <v>136</v>
      </c>
      <c r="G3767" t="s">
        <v>24678</v>
      </c>
      <c r="H3767">
        <v>17.03</v>
      </c>
      <c r="I3767">
        <v>0</v>
      </c>
      <c r="J3767">
        <v>0</v>
      </c>
      <c r="K3767">
        <v>0</v>
      </c>
      <c r="L3767">
        <v>7</v>
      </c>
      <c r="O3767">
        <v>7</v>
      </c>
      <c r="P3767">
        <v>0</v>
      </c>
      <c r="Q3767">
        <v>0</v>
      </c>
      <c r="R3767">
        <v>24.03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H3767">
        <v>24.03</v>
      </c>
    </row>
    <row r="3768" spans="1:34" x14ac:dyDescent="0.3">
      <c r="A3768" s="4">
        <v>3884</v>
      </c>
      <c r="B3768" s="5">
        <v>3761</v>
      </c>
      <c r="C3768">
        <v>13698</v>
      </c>
      <c r="D3768" t="s">
        <v>24679</v>
      </c>
      <c r="E3768" t="s">
        <v>29</v>
      </c>
      <c r="F3768" t="s">
        <v>81</v>
      </c>
      <c r="G3768" t="s">
        <v>24680</v>
      </c>
      <c r="H3768">
        <v>17.03</v>
      </c>
      <c r="I3768">
        <v>0</v>
      </c>
      <c r="J3768">
        <v>0</v>
      </c>
      <c r="K3768">
        <v>0</v>
      </c>
      <c r="N3768">
        <v>3</v>
      </c>
      <c r="O3768">
        <v>3</v>
      </c>
      <c r="P3768">
        <v>4</v>
      </c>
      <c r="Q3768">
        <v>0</v>
      </c>
      <c r="R3768">
        <v>24.03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H3768">
        <v>24.03</v>
      </c>
    </row>
    <row r="3769" spans="1:34" x14ac:dyDescent="0.3">
      <c r="A3769" s="4">
        <v>3885</v>
      </c>
      <c r="B3769" s="5">
        <v>3762</v>
      </c>
      <c r="C3769">
        <v>6570</v>
      </c>
      <c r="D3769" t="s">
        <v>3428</v>
      </c>
      <c r="E3769" t="s">
        <v>2234</v>
      </c>
      <c r="F3769" t="s">
        <v>68</v>
      </c>
      <c r="G3769" t="s">
        <v>24681</v>
      </c>
      <c r="H3769">
        <v>20</v>
      </c>
      <c r="I3769">
        <v>0</v>
      </c>
      <c r="J3769">
        <v>0</v>
      </c>
      <c r="K3769">
        <v>0</v>
      </c>
      <c r="O3769">
        <v>0</v>
      </c>
      <c r="P3769">
        <v>4</v>
      </c>
      <c r="Q3769">
        <v>0</v>
      </c>
      <c r="R3769">
        <v>24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H3769">
        <v>24</v>
      </c>
    </row>
    <row r="3770" spans="1:34" x14ac:dyDescent="0.3">
      <c r="A3770" s="4">
        <v>3886</v>
      </c>
      <c r="B3770" s="5">
        <v>3763</v>
      </c>
      <c r="C3770">
        <v>14817</v>
      </c>
      <c r="D3770" t="s">
        <v>24682</v>
      </c>
      <c r="E3770" t="s">
        <v>283</v>
      </c>
      <c r="F3770" t="s">
        <v>5741</v>
      </c>
      <c r="G3770" t="s">
        <v>24683</v>
      </c>
      <c r="H3770">
        <v>18</v>
      </c>
      <c r="I3770">
        <v>0</v>
      </c>
      <c r="J3770">
        <v>0</v>
      </c>
      <c r="K3770">
        <v>0</v>
      </c>
      <c r="O3770">
        <v>0</v>
      </c>
      <c r="P3770">
        <v>4</v>
      </c>
      <c r="Q3770">
        <v>2</v>
      </c>
      <c r="R3770">
        <v>24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H3770">
        <v>24</v>
      </c>
    </row>
    <row r="3771" spans="1:34" x14ac:dyDescent="0.3">
      <c r="A3771" s="4">
        <v>3887</v>
      </c>
      <c r="B3771" s="5">
        <v>3764</v>
      </c>
      <c r="C3771">
        <v>15000</v>
      </c>
      <c r="D3771" t="s">
        <v>17197</v>
      </c>
      <c r="E3771" t="s">
        <v>188</v>
      </c>
      <c r="F3771" t="s">
        <v>20</v>
      </c>
      <c r="G3771" t="s">
        <v>24684</v>
      </c>
      <c r="H3771">
        <v>18</v>
      </c>
      <c r="I3771">
        <v>0</v>
      </c>
      <c r="J3771">
        <v>0</v>
      </c>
      <c r="K3771">
        <v>0</v>
      </c>
      <c r="O3771">
        <v>0</v>
      </c>
      <c r="P3771">
        <v>4</v>
      </c>
      <c r="Q3771">
        <v>2</v>
      </c>
      <c r="R3771">
        <v>24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H3771">
        <v>24</v>
      </c>
    </row>
    <row r="3772" spans="1:34" x14ac:dyDescent="0.3">
      <c r="A3772" s="4">
        <v>3888</v>
      </c>
      <c r="B3772" s="5">
        <v>3765</v>
      </c>
      <c r="C3772">
        <v>5156</v>
      </c>
      <c r="D3772" t="s">
        <v>1317</v>
      </c>
      <c r="E3772" t="s">
        <v>166</v>
      </c>
      <c r="F3772" t="s">
        <v>81</v>
      </c>
      <c r="G3772" t="s">
        <v>24685</v>
      </c>
      <c r="H3772">
        <v>19.98</v>
      </c>
      <c r="I3772">
        <v>0</v>
      </c>
      <c r="J3772">
        <v>0</v>
      </c>
      <c r="K3772">
        <v>0</v>
      </c>
      <c r="O3772">
        <v>0</v>
      </c>
      <c r="P3772">
        <v>4</v>
      </c>
      <c r="Q3772">
        <v>0</v>
      </c>
      <c r="R3772">
        <v>23.98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H3772">
        <v>23.98</v>
      </c>
    </row>
    <row r="3773" spans="1:34" x14ac:dyDescent="0.3">
      <c r="A3773" s="4">
        <v>3889</v>
      </c>
      <c r="B3773" s="5">
        <v>3766</v>
      </c>
      <c r="C3773">
        <v>5190</v>
      </c>
      <c r="D3773" t="s">
        <v>24686</v>
      </c>
      <c r="E3773" t="s">
        <v>1716</v>
      </c>
      <c r="F3773" t="s">
        <v>136</v>
      </c>
      <c r="G3773" t="s">
        <v>24687</v>
      </c>
      <c r="H3773">
        <v>19.98</v>
      </c>
      <c r="I3773">
        <v>0</v>
      </c>
      <c r="J3773">
        <v>0</v>
      </c>
      <c r="K3773">
        <v>0</v>
      </c>
      <c r="O3773">
        <v>0</v>
      </c>
      <c r="P3773">
        <v>4</v>
      </c>
      <c r="Q3773">
        <v>0</v>
      </c>
      <c r="R3773">
        <v>23.98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H3773">
        <v>23.98</v>
      </c>
    </row>
    <row r="3774" spans="1:34" x14ac:dyDescent="0.3">
      <c r="A3774" s="4">
        <v>3890</v>
      </c>
      <c r="B3774" s="5">
        <v>3767</v>
      </c>
      <c r="C3774">
        <v>9716</v>
      </c>
      <c r="D3774" t="s">
        <v>6432</v>
      </c>
      <c r="E3774" t="s">
        <v>24688</v>
      </c>
      <c r="F3774" t="s">
        <v>52</v>
      </c>
      <c r="G3774" t="s">
        <v>24689</v>
      </c>
      <c r="H3774">
        <v>16.98</v>
      </c>
      <c r="I3774">
        <v>0</v>
      </c>
      <c r="J3774">
        <v>0</v>
      </c>
      <c r="K3774">
        <v>0</v>
      </c>
      <c r="N3774">
        <v>3</v>
      </c>
      <c r="O3774">
        <v>3</v>
      </c>
      <c r="P3774">
        <v>4</v>
      </c>
      <c r="Q3774">
        <v>0</v>
      </c>
      <c r="R3774">
        <v>23.98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H3774">
        <v>23.98</v>
      </c>
    </row>
    <row r="3775" spans="1:34" x14ac:dyDescent="0.3">
      <c r="A3775" s="4">
        <v>3891</v>
      </c>
      <c r="B3775" s="5">
        <v>3768</v>
      </c>
      <c r="C3775">
        <v>6596</v>
      </c>
      <c r="D3775" t="s">
        <v>2458</v>
      </c>
      <c r="E3775" t="s">
        <v>24690</v>
      </c>
      <c r="F3775" t="s">
        <v>117</v>
      </c>
      <c r="G3775" t="s">
        <v>24691</v>
      </c>
      <c r="H3775">
        <v>16.98</v>
      </c>
      <c r="I3775">
        <v>0</v>
      </c>
      <c r="J3775">
        <v>0</v>
      </c>
      <c r="K3775">
        <v>0</v>
      </c>
      <c r="N3775">
        <v>3</v>
      </c>
      <c r="O3775">
        <v>3</v>
      </c>
      <c r="P3775">
        <v>4</v>
      </c>
      <c r="Q3775">
        <v>0</v>
      </c>
      <c r="R3775">
        <v>23.98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H3775">
        <v>23.98</v>
      </c>
    </row>
    <row r="3776" spans="1:34" x14ac:dyDescent="0.3">
      <c r="A3776" s="4">
        <v>3892</v>
      </c>
      <c r="B3776" s="5">
        <v>3769</v>
      </c>
      <c r="C3776">
        <v>10543</v>
      </c>
      <c r="D3776" t="s">
        <v>3266</v>
      </c>
      <c r="E3776" t="s">
        <v>100</v>
      </c>
      <c r="F3776" t="s">
        <v>2582</v>
      </c>
      <c r="G3776" t="s">
        <v>24692</v>
      </c>
      <c r="H3776">
        <v>20.95</v>
      </c>
      <c r="I3776">
        <v>0</v>
      </c>
      <c r="J3776">
        <v>0</v>
      </c>
      <c r="K3776">
        <v>0</v>
      </c>
      <c r="N3776">
        <v>3</v>
      </c>
      <c r="O3776">
        <v>3</v>
      </c>
      <c r="P3776">
        <v>0</v>
      </c>
      <c r="Q3776">
        <v>0</v>
      </c>
      <c r="R3776">
        <v>23.95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H3776">
        <v>23.95</v>
      </c>
    </row>
    <row r="3777" spans="1:34" x14ac:dyDescent="0.3">
      <c r="A3777" s="4">
        <v>3893</v>
      </c>
      <c r="B3777" s="5">
        <v>3770</v>
      </c>
      <c r="C3777">
        <v>11480</v>
      </c>
      <c r="D3777" t="s">
        <v>2609</v>
      </c>
      <c r="E3777" t="s">
        <v>4236</v>
      </c>
      <c r="F3777" t="s">
        <v>38</v>
      </c>
      <c r="G3777" t="s">
        <v>24693</v>
      </c>
      <c r="H3777">
        <v>16.95</v>
      </c>
      <c r="I3777">
        <v>0</v>
      </c>
      <c r="J3777">
        <v>0</v>
      </c>
      <c r="K3777">
        <v>0</v>
      </c>
      <c r="N3777">
        <v>3</v>
      </c>
      <c r="O3777">
        <v>3</v>
      </c>
      <c r="P3777">
        <v>4</v>
      </c>
      <c r="Q3777">
        <v>0</v>
      </c>
      <c r="R3777">
        <v>23.95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H3777">
        <v>23.95</v>
      </c>
    </row>
    <row r="3778" spans="1:34" x14ac:dyDescent="0.3">
      <c r="A3778" s="4">
        <v>3894</v>
      </c>
      <c r="B3778" s="5">
        <v>3771</v>
      </c>
      <c r="C3778">
        <v>7049</v>
      </c>
      <c r="D3778" t="s">
        <v>24694</v>
      </c>
      <c r="E3778" t="s">
        <v>68</v>
      </c>
      <c r="F3778" t="s">
        <v>626</v>
      </c>
      <c r="G3778" t="s">
        <v>24695</v>
      </c>
      <c r="H3778">
        <v>16.95</v>
      </c>
      <c r="I3778">
        <v>0</v>
      </c>
      <c r="J3778">
        <v>0</v>
      </c>
      <c r="K3778">
        <v>0</v>
      </c>
      <c r="N3778">
        <v>3</v>
      </c>
      <c r="O3778">
        <v>3</v>
      </c>
      <c r="P3778">
        <v>4</v>
      </c>
      <c r="Q3778">
        <v>0</v>
      </c>
      <c r="R3778">
        <v>23.95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H3778">
        <v>23.95</v>
      </c>
    </row>
    <row r="3779" spans="1:34" x14ac:dyDescent="0.3">
      <c r="A3779" s="4">
        <v>3895</v>
      </c>
      <c r="B3779" s="5">
        <v>3772</v>
      </c>
      <c r="C3779">
        <v>9472</v>
      </c>
      <c r="D3779" t="s">
        <v>24696</v>
      </c>
      <c r="E3779" t="s">
        <v>24697</v>
      </c>
      <c r="F3779" t="s">
        <v>385</v>
      </c>
      <c r="G3779" t="s">
        <v>24698</v>
      </c>
      <c r="H3779">
        <v>16.95</v>
      </c>
      <c r="I3779">
        <v>0</v>
      </c>
      <c r="J3779">
        <v>0</v>
      </c>
      <c r="K3779">
        <v>0</v>
      </c>
      <c r="N3779">
        <v>3</v>
      </c>
      <c r="O3779">
        <v>3</v>
      </c>
      <c r="P3779">
        <v>4</v>
      </c>
      <c r="Q3779">
        <v>0</v>
      </c>
      <c r="R3779">
        <v>23.95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H3779">
        <v>23.95</v>
      </c>
    </row>
    <row r="3780" spans="1:34" x14ac:dyDescent="0.3">
      <c r="A3780" s="4">
        <v>3896</v>
      </c>
      <c r="B3780" s="5">
        <v>3773</v>
      </c>
      <c r="C3780">
        <v>8551</v>
      </c>
      <c r="D3780" t="s">
        <v>24699</v>
      </c>
      <c r="E3780" t="s">
        <v>24700</v>
      </c>
      <c r="F3780" t="s">
        <v>24701</v>
      </c>
      <c r="G3780" t="s">
        <v>24702</v>
      </c>
      <c r="H3780">
        <v>17.93</v>
      </c>
      <c r="I3780">
        <v>0</v>
      </c>
      <c r="J3780">
        <v>0</v>
      </c>
      <c r="K3780">
        <v>0</v>
      </c>
      <c r="O3780">
        <v>0</v>
      </c>
      <c r="P3780">
        <v>0</v>
      </c>
      <c r="Q3780">
        <v>0</v>
      </c>
      <c r="R3780">
        <v>17.93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6</v>
      </c>
      <c r="AC3780">
        <v>0</v>
      </c>
      <c r="AH3780">
        <v>23.93</v>
      </c>
    </row>
    <row r="3781" spans="1:34" x14ac:dyDescent="0.3">
      <c r="A3781" s="4">
        <v>3897</v>
      </c>
      <c r="B3781" s="5">
        <v>3774</v>
      </c>
      <c r="C3781">
        <v>3394</v>
      </c>
      <c r="D3781" t="s">
        <v>444</v>
      </c>
      <c r="E3781" t="s">
        <v>33</v>
      </c>
      <c r="F3781" t="s">
        <v>381</v>
      </c>
      <c r="G3781" t="s">
        <v>24703</v>
      </c>
      <c r="H3781">
        <v>16.93</v>
      </c>
      <c r="I3781">
        <v>0</v>
      </c>
      <c r="J3781">
        <v>0</v>
      </c>
      <c r="K3781">
        <v>0</v>
      </c>
      <c r="O3781">
        <v>0</v>
      </c>
      <c r="P3781">
        <v>4</v>
      </c>
      <c r="Q3781">
        <v>0</v>
      </c>
      <c r="R3781">
        <v>20.93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3</v>
      </c>
      <c r="AC3781">
        <v>0</v>
      </c>
      <c r="AH3781">
        <v>23.93</v>
      </c>
    </row>
    <row r="3782" spans="1:34" x14ac:dyDescent="0.3">
      <c r="A3782" s="4">
        <v>3898</v>
      </c>
      <c r="B3782" s="5">
        <v>3775</v>
      </c>
      <c r="C3782">
        <v>14269</v>
      </c>
      <c r="D3782" t="s">
        <v>387</v>
      </c>
      <c r="E3782" t="s">
        <v>41</v>
      </c>
      <c r="F3782" t="s">
        <v>68</v>
      </c>
      <c r="G3782" t="s">
        <v>24704</v>
      </c>
      <c r="H3782">
        <v>16.93</v>
      </c>
      <c r="I3782">
        <v>0</v>
      </c>
      <c r="J3782">
        <v>0</v>
      </c>
      <c r="K3782">
        <v>0</v>
      </c>
      <c r="O3782">
        <v>0</v>
      </c>
      <c r="P3782">
        <v>4</v>
      </c>
      <c r="Q3782">
        <v>0</v>
      </c>
      <c r="R3782">
        <v>20.93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3</v>
      </c>
      <c r="AC3782">
        <v>0</v>
      </c>
      <c r="AH3782">
        <v>23.93</v>
      </c>
    </row>
    <row r="3783" spans="1:34" x14ac:dyDescent="0.3">
      <c r="A3783" s="4">
        <v>3899</v>
      </c>
      <c r="B3783" s="5">
        <v>3776</v>
      </c>
      <c r="C3783">
        <v>10019</v>
      </c>
      <c r="D3783" t="s">
        <v>877</v>
      </c>
      <c r="E3783" t="s">
        <v>749</v>
      </c>
      <c r="F3783" t="s">
        <v>17</v>
      </c>
      <c r="G3783" t="s">
        <v>24705</v>
      </c>
      <c r="H3783">
        <v>19.93</v>
      </c>
      <c r="I3783">
        <v>0</v>
      </c>
      <c r="J3783">
        <v>0</v>
      </c>
      <c r="K3783">
        <v>0</v>
      </c>
      <c r="O3783">
        <v>0</v>
      </c>
      <c r="P3783">
        <v>4</v>
      </c>
      <c r="Q3783">
        <v>0</v>
      </c>
      <c r="R3783">
        <v>23.93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H3783">
        <v>23.93</v>
      </c>
    </row>
    <row r="3784" spans="1:34" x14ac:dyDescent="0.3">
      <c r="A3784" s="4">
        <v>3900</v>
      </c>
      <c r="B3784" s="5">
        <v>3777</v>
      </c>
      <c r="C3784">
        <v>15206</v>
      </c>
      <c r="D3784" t="s">
        <v>6854</v>
      </c>
      <c r="E3784" t="s">
        <v>335</v>
      </c>
      <c r="F3784" t="s">
        <v>416</v>
      </c>
      <c r="G3784" t="s">
        <v>24706</v>
      </c>
      <c r="H3784">
        <v>18.93</v>
      </c>
      <c r="I3784">
        <v>0</v>
      </c>
      <c r="J3784">
        <v>0</v>
      </c>
      <c r="K3784">
        <v>0</v>
      </c>
      <c r="N3784">
        <v>3</v>
      </c>
      <c r="O3784">
        <v>3</v>
      </c>
      <c r="P3784">
        <v>0</v>
      </c>
      <c r="Q3784">
        <v>2</v>
      </c>
      <c r="R3784">
        <v>23.93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H3784">
        <v>23.93</v>
      </c>
    </row>
    <row r="3785" spans="1:34" x14ac:dyDescent="0.3">
      <c r="A3785" s="4">
        <v>3901</v>
      </c>
      <c r="B3785" s="5">
        <v>3778</v>
      </c>
      <c r="C3785">
        <v>8435</v>
      </c>
      <c r="D3785" t="s">
        <v>24707</v>
      </c>
      <c r="E3785" t="s">
        <v>22</v>
      </c>
      <c r="F3785" t="s">
        <v>38</v>
      </c>
      <c r="G3785" t="s">
        <v>24708</v>
      </c>
      <c r="H3785">
        <v>20.9</v>
      </c>
      <c r="I3785">
        <v>0</v>
      </c>
      <c r="J3785">
        <v>0</v>
      </c>
      <c r="K3785">
        <v>0</v>
      </c>
      <c r="N3785">
        <v>3</v>
      </c>
      <c r="O3785">
        <v>3</v>
      </c>
      <c r="P3785">
        <v>0</v>
      </c>
      <c r="Q3785">
        <v>0</v>
      </c>
      <c r="R3785">
        <v>23.9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H3785">
        <v>23.9</v>
      </c>
    </row>
    <row r="3786" spans="1:34" x14ac:dyDescent="0.3">
      <c r="A3786" s="4">
        <v>3902</v>
      </c>
      <c r="B3786" s="5">
        <v>3779</v>
      </c>
      <c r="C3786">
        <v>1891</v>
      </c>
      <c r="D3786" t="s">
        <v>24709</v>
      </c>
      <c r="E3786" t="s">
        <v>230</v>
      </c>
      <c r="F3786" t="s">
        <v>539</v>
      </c>
      <c r="G3786" t="s">
        <v>24710</v>
      </c>
      <c r="H3786">
        <v>19.899999999999999</v>
      </c>
      <c r="I3786">
        <v>0</v>
      </c>
      <c r="J3786">
        <v>0</v>
      </c>
      <c r="K3786">
        <v>0</v>
      </c>
      <c r="O3786">
        <v>0</v>
      </c>
      <c r="P3786">
        <v>4</v>
      </c>
      <c r="Q3786">
        <v>0</v>
      </c>
      <c r="R3786">
        <v>23.9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H3786">
        <v>23.9</v>
      </c>
    </row>
    <row r="3787" spans="1:34" x14ac:dyDescent="0.3">
      <c r="A3787" s="4">
        <v>3903</v>
      </c>
      <c r="B3787" s="5">
        <v>3780</v>
      </c>
      <c r="C3787">
        <v>13021</v>
      </c>
      <c r="D3787" t="s">
        <v>14762</v>
      </c>
      <c r="E3787" t="s">
        <v>81</v>
      </c>
      <c r="F3787" t="s">
        <v>158</v>
      </c>
      <c r="G3787" t="s">
        <v>24711</v>
      </c>
      <c r="H3787">
        <v>17.899999999999999</v>
      </c>
      <c r="I3787">
        <v>0</v>
      </c>
      <c r="J3787">
        <v>0</v>
      </c>
      <c r="K3787">
        <v>0</v>
      </c>
      <c r="O3787">
        <v>0</v>
      </c>
      <c r="P3787">
        <v>4</v>
      </c>
      <c r="Q3787">
        <v>2</v>
      </c>
      <c r="R3787">
        <v>23.9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H3787">
        <v>23.9</v>
      </c>
    </row>
    <row r="3788" spans="1:34" x14ac:dyDescent="0.3">
      <c r="A3788" s="4">
        <v>3904</v>
      </c>
      <c r="B3788" s="5">
        <v>3781</v>
      </c>
      <c r="C3788">
        <v>141</v>
      </c>
      <c r="D3788" t="s">
        <v>7073</v>
      </c>
      <c r="E3788" t="s">
        <v>24712</v>
      </c>
      <c r="F3788" t="s">
        <v>4370</v>
      </c>
      <c r="G3788" t="s">
        <v>24713</v>
      </c>
      <c r="H3788">
        <v>16.899999999999999</v>
      </c>
      <c r="I3788">
        <v>0</v>
      </c>
      <c r="J3788">
        <v>0</v>
      </c>
      <c r="K3788">
        <v>0</v>
      </c>
      <c r="N3788">
        <v>3</v>
      </c>
      <c r="O3788">
        <v>3</v>
      </c>
      <c r="P3788">
        <v>4</v>
      </c>
      <c r="Q3788">
        <v>0</v>
      </c>
      <c r="R3788">
        <v>23.9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H3788">
        <v>23.9</v>
      </c>
    </row>
    <row r="3789" spans="1:34" x14ac:dyDescent="0.3">
      <c r="A3789" s="4">
        <v>3905</v>
      </c>
      <c r="B3789" s="5">
        <v>3782</v>
      </c>
      <c r="C3789">
        <v>7707</v>
      </c>
      <c r="D3789" t="s">
        <v>3029</v>
      </c>
      <c r="E3789" t="s">
        <v>11806</v>
      </c>
      <c r="F3789" t="s">
        <v>158</v>
      </c>
      <c r="G3789" t="s">
        <v>24714</v>
      </c>
      <c r="H3789">
        <v>16.899999999999999</v>
      </c>
      <c r="I3789">
        <v>0</v>
      </c>
      <c r="J3789">
        <v>0</v>
      </c>
      <c r="K3789">
        <v>0</v>
      </c>
      <c r="N3789">
        <v>3</v>
      </c>
      <c r="O3789">
        <v>3</v>
      </c>
      <c r="P3789">
        <v>4</v>
      </c>
      <c r="Q3789">
        <v>0</v>
      </c>
      <c r="R3789">
        <v>23.9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H3789">
        <v>23.9</v>
      </c>
    </row>
    <row r="3790" spans="1:34" x14ac:dyDescent="0.3">
      <c r="A3790" s="4">
        <v>3906</v>
      </c>
      <c r="B3790" s="5">
        <v>3783</v>
      </c>
      <c r="C3790">
        <v>770</v>
      </c>
      <c r="D3790" t="s">
        <v>24715</v>
      </c>
      <c r="E3790" t="s">
        <v>789</v>
      </c>
      <c r="F3790" t="s">
        <v>136</v>
      </c>
      <c r="G3790" t="s">
        <v>24716</v>
      </c>
      <c r="H3790">
        <v>16.850000000000001</v>
      </c>
      <c r="I3790">
        <v>0</v>
      </c>
      <c r="J3790">
        <v>0</v>
      </c>
      <c r="K3790">
        <v>0</v>
      </c>
      <c r="N3790">
        <v>3</v>
      </c>
      <c r="O3790">
        <v>3</v>
      </c>
      <c r="P3790">
        <v>4</v>
      </c>
      <c r="Q3790">
        <v>0</v>
      </c>
      <c r="R3790">
        <v>23.85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H3790">
        <v>23.85</v>
      </c>
    </row>
    <row r="3791" spans="1:34" x14ac:dyDescent="0.3">
      <c r="A3791" s="4">
        <v>3907</v>
      </c>
      <c r="B3791" s="5">
        <v>3784</v>
      </c>
      <c r="C3791">
        <v>3045</v>
      </c>
      <c r="D3791" t="s">
        <v>3000</v>
      </c>
      <c r="E3791" t="s">
        <v>8982</v>
      </c>
      <c r="F3791" t="s">
        <v>38</v>
      </c>
      <c r="G3791" t="s">
        <v>24717</v>
      </c>
      <c r="H3791">
        <v>16.850000000000001</v>
      </c>
      <c r="I3791">
        <v>0</v>
      </c>
      <c r="J3791">
        <v>0</v>
      </c>
      <c r="K3791">
        <v>0</v>
      </c>
      <c r="N3791">
        <v>3</v>
      </c>
      <c r="O3791">
        <v>3</v>
      </c>
      <c r="P3791">
        <v>4</v>
      </c>
      <c r="Q3791">
        <v>0</v>
      </c>
      <c r="R3791">
        <v>23.85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H3791">
        <v>23.85</v>
      </c>
    </row>
    <row r="3792" spans="1:34" x14ac:dyDescent="0.3">
      <c r="A3792" s="4">
        <v>3908</v>
      </c>
      <c r="B3792" s="5">
        <v>3785</v>
      </c>
      <c r="C3792">
        <v>8836</v>
      </c>
      <c r="D3792" t="s">
        <v>18704</v>
      </c>
      <c r="E3792" t="s">
        <v>29</v>
      </c>
      <c r="F3792" t="s">
        <v>626</v>
      </c>
      <c r="G3792" t="s">
        <v>24718</v>
      </c>
      <c r="H3792">
        <v>16.850000000000001</v>
      </c>
      <c r="I3792">
        <v>0</v>
      </c>
      <c r="J3792">
        <v>0</v>
      </c>
      <c r="K3792">
        <v>0</v>
      </c>
      <c r="N3792">
        <v>3</v>
      </c>
      <c r="O3792">
        <v>3</v>
      </c>
      <c r="P3792">
        <v>4</v>
      </c>
      <c r="Q3792">
        <v>0</v>
      </c>
      <c r="R3792">
        <v>23.85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H3792">
        <v>23.85</v>
      </c>
    </row>
    <row r="3793" spans="1:34" x14ac:dyDescent="0.3">
      <c r="A3793" s="4">
        <v>3909</v>
      </c>
      <c r="B3793" s="5">
        <v>3786</v>
      </c>
      <c r="C3793">
        <v>13564</v>
      </c>
      <c r="D3793" t="s">
        <v>24719</v>
      </c>
      <c r="E3793" t="s">
        <v>1659</v>
      </c>
      <c r="F3793" t="s">
        <v>6357</v>
      </c>
      <c r="G3793" t="s">
        <v>24720</v>
      </c>
      <c r="H3793">
        <v>20.83</v>
      </c>
      <c r="I3793">
        <v>0</v>
      </c>
      <c r="J3793">
        <v>0</v>
      </c>
      <c r="K3793">
        <v>0</v>
      </c>
      <c r="N3793">
        <v>3</v>
      </c>
      <c r="O3793">
        <v>3</v>
      </c>
      <c r="P3793">
        <v>0</v>
      </c>
      <c r="Q3793">
        <v>0</v>
      </c>
      <c r="R3793">
        <v>23.83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H3793">
        <v>23.83</v>
      </c>
    </row>
    <row r="3794" spans="1:34" x14ac:dyDescent="0.3">
      <c r="A3794" s="4">
        <v>3910</v>
      </c>
      <c r="B3794" s="5">
        <v>3787</v>
      </c>
      <c r="C3794">
        <v>11501</v>
      </c>
      <c r="D3794" t="s">
        <v>24721</v>
      </c>
      <c r="E3794" t="s">
        <v>166</v>
      </c>
      <c r="F3794" t="s">
        <v>17</v>
      </c>
      <c r="G3794" t="s">
        <v>24722</v>
      </c>
      <c r="H3794">
        <v>19.829999999999998</v>
      </c>
      <c r="I3794">
        <v>0</v>
      </c>
      <c r="J3794">
        <v>0</v>
      </c>
      <c r="K3794">
        <v>0</v>
      </c>
      <c r="O3794">
        <v>0</v>
      </c>
      <c r="P3794">
        <v>4</v>
      </c>
      <c r="Q3794">
        <v>0</v>
      </c>
      <c r="R3794">
        <v>23.83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H3794">
        <v>23.83</v>
      </c>
    </row>
    <row r="3795" spans="1:34" x14ac:dyDescent="0.3">
      <c r="A3795" s="4">
        <v>3911</v>
      </c>
      <c r="B3795" s="5">
        <v>3788</v>
      </c>
      <c r="C3795">
        <v>4471</v>
      </c>
      <c r="D3795" t="s">
        <v>24723</v>
      </c>
      <c r="E3795" t="s">
        <v>4935</v>
      </c>
      <c r="F3795" t="s">
        <v>158</v>
      </c>
      <c r="G3795" t="s">
        <v>24724</v>
      </c>
      <c r="H3795">
        <v>16.829999999999998</v>
      </c>
      <c r="I3795">
        <v>0</v>
      </c>
      <c r="J3795">
        <v>0</v>
      </c>
      <c r="K3795">
        <v>0</v>
      </c>
      <c r="N3795">
        <v>3</v>
      </c>
      <c r="O3795">
        <v>3</v>
      </c>
      <c r="P3795">
        <v>4</v>
      </c>
      <c r="Q3795">
        <v>0</v>
      </c>
      <c r="R3795">
        <v>23.83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H3795">
        <v>23.83</v>
      </c>
    </row>
    <row r="3796" spans="1:34" x14ac:dyDescent="0.3">
      <c r="A3796" s="4">
        <v>3912</v>
      </c>
      <c r="B3796" s="5">
        <v>3789</v>
      </c>
      <c r="C3796">
        <v>3480</v>
      </c>
      <c r="D3796" t="s">
        <v>24725</v>
      </c>
      <c r="E3796" t="s">
        <v>178</v>
      </c>
      <c r="F3796" t="s">
        <v>230</v>
      </c>
      <c r="G3796" t="s">
        <v>24726</v>
      </c>
      <c r="H3796">
        <v>19.8</v>
      </c>
      <c r="I3796">
        <v>0</v>
      </c>
      <c r="J3796">
        <v>0</v>
      </c>
      <c r="K3796">
        <v>0</v>
      </c>
      <c r="O3796">
        <v>0</v>
      </c>
      <c r="P3796">
        <v>4</v>
      </c>
      <c r="Q3796">
        <v>0</v>
      </c>
      <c r="R3796">
        <v>23.8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H3796">
        <v>23.8</v>
      </c>
    </row>
    <row r="3797" spans="1:34" x14ac:dyDescent="0.3">
      <c r="A3797" s="4">
        <v>3913</v>
      </c>
      <c r="B3797" s="5">
        <v>3790</v>
      </c>
      <c r="C3797">
        <v>4508</v>
      </c>
      <c r="D3797" t="s">
        <v>24727</v>
      </c>
      <c r="E3797" t="s">
        <v>539</v>
      </c>
      <c r="F3797" t="s">
        <v>17</v>
      </c>
      <c r="G3797" t="s">
        <v>24728</v>
      </c>
      <c r="H3797">
        <v>16.8</v>
      </c>
      <c r="I3797">
        <v>0</v>
      </c>
      <c r="J3797">
        <v>0</v>
      </c>
      <c r="K3797">
        <v>0</v>
      </c>
      <c r="N3797">
        <v>3</v>
      </c>
      <c r="O3797">
        <v>3</v>
      </c>
      <c r="P3797">
        <v>4</v>
      </c>
      <c r="Q3797">
        <v>0</v>
      </c>
      <c r="R3797">
        <v>23.8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H3797">
        <v>23.8</v>
      </c>
    </row>
    <row r="3798" spans="1:34" x14ac:dyDescent="0.3">
      <c r="A3798" s="4">
        <v>3914</v>
      </c>
      <c r="B3798" s="5">
        <v>3791</v>
      </c>
      <c r="C3798">
        <v>13403</v>
      </c>
      <c r="D3798" t="s">
        <v>24729</v>
      </c>
      <c r="E3798" t="s">
        <v>283</v>
      </c>
      <c r="F3798" t="s">
        <v>136</v>
      </c>
      <c r="G3798" t="s">
        <v>24730</v>
      </c>
      <c r="H3798">
        <v>16.8</v>
      </c>
      <c r="I3798">
        <v>0</v>
      </c>
      <c r="J3798">
        <v>0</v>
      </c>
      <c r="K3798">
        <v>0</v>
      </c>
      <c r="N3798">
        <v>3</v>
      </c>
      <c r="O3798">
        <v>3</v>
      </c>
      <c r="P3798">
        <v>4</v>
      </c>
      <c r="Q3798">
        <v>0</v>
      </c>
      <c r="R3798">
        <v>23.8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H3798">
        <v>23.8</v>
      </c>
    </row>
    <row r="3799" spans="1:34" x14ac:dyDescent="0.3">
      <c r="A3799" s="4">
        <v>3915</v>
      </c>
      <c r="B3799" s="5">
        <v>3792</v>
      </c>
      <c r="C3799">
        <v>4311</v>
      </c>
      <c r="D3799" t="s">
        <v>3760</v>
      </c>
      <c r="E3799" t="s">
        <v>97</v>
      </c>
      <c r="F3799" t="s">
        <v>2595</v>
      </c>
      <c r="G3799" t="s">
        <v>24731</v>
      </c>
      <c r="H3799">
        <v>17.75</v>
      </c>
      <c r="I3799">
        <v>0</v>
      </c>
      <c r="J3799">
        <v>0</v>
      </c>
      <c r="K3799">
        <v>0</v>
      </c>
      <c r="O3799">
        <v>0</v>
      </c>
      <c r="P3799">
        <v>0</v>
      </c>
      <c r="Q3799">
        <v>0</v>
      </c>
      <c r="R3799">
        <v>17.75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6</v>
      </c>
      <c r="AC3799">
        <v>0</v>
      </c>
      <c r="AH3799">
        <v>23.75</v>
      </c>
    </row>
    <row r="3800" spans="1:34" x14ac:dyDescent="0.3">
      <c r="A3800" s="4">
        <v>3916</v>
      </c>
      <c r="B3800" s="5">
        <v>3793</v>
      </c>
      <c r="C3800">
        <v>15081</v>
      </c>
      <c r="D3800" t="s">
        <v>24732</v>
      </c>
      <c r="E3800" t="s">
        <v>97</v>
      </c>
      <c r="F3800" t="s">
        <v>230</v>
      </c>
      <c r="G3800" t="s">
        <v>24733</v>
      </c>
      <c r="H3800">
        <v>20.73</v>
      </c>
      <c r="I3800">
        <v>0</v>
      </c>
      <c r="J3800">
        <v>0</v>
      </c>
      <c r="K3800">
        <v>0</v>
      </c>
      <c r="N3800">
        <v>3</v>
      </c>
      <c r="O3800">
        <v>3</v>
      </c>
      <c r="P3800">
        <v>0</v>
      </c>
      <c r="Q3800">
        <v>0</v>
      </c>
      <c r="R3800">
        <v>23.73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H3800">
        <v>23.73</v>
      </c>
    </row>
    <row r="3801" spans="1:34" x14ac:dyDescent="0.3">
      <c r="A3801" s="4">
        <v>3917</v>
      </c>
      <c r="B3801" s="5">
        <v>3794</v>
      </c>
      <c r="C3801">
        <v>14374</v>
      </c>
      <c r="D3801" t="s">
        <v>24734</v>
      </c>
      <c r="E3801" t="s">
        <v>26</v>
      </c>
      <c r="F3801" t="s">
        <v>20</v>
      </c>
      <c r="G3801" t="s">
        <v>24735</v>
      </c>
      <c r="H3801">
        <v>19.73</v>
      </c>
      <c r="I3801">
        <v>0</v>
      </c>
      <c r="J3801">
        <v>0</v>
      </c>
      <c r="K3801">
        <v>0</v>
      </c>
      <c r="O3801">
        <v>0</v>
      </c>
      <c r="P3801">
        <v>4</v>
      </c>
      <c r="Q3801">
        <v>0</v>
      </c>
      <c r="R3801">
        <v>23.73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H3801">
        <v>23.73</v>
      </c>
    </row>
    <row r="3802" spans="1:34" x14ac:dyDescent="0.3">
      <c r="A3802" s="4">
        <v>3918</v>
      </c>
      <c r="B3802" s="5">
        <v>3795</v>
      </c>
      <c r="C3802">
        <v>12467</v>
      </c>
      <c r="D3802" t="s">
        <v>205</v>
      </c>
      <c r="E3802" t="s">
        <v>29</v>
      </c>
      <c r="F3802" t="s">
        <v>20</v>
      </c>
      <c r="G3802" t="s">
        <v>24736</v>
      </c>
      <c r="H3802">
        <v>16.7</v>
      </c>
      <c r="I3802">
        <v>0</v>
      </c>
      <c r="J3802">
        <v>0</v>
      </c>
      <c r="K3802">
        <v>0</v>
      </c>
      <c r="O3802">
        <v>0</v>
      </c>
      <c r="P3802">
        <v>4</v>
      </c>
      <c r="Q3802">
        <v>0</v>
      </c>
      <c r="R3802">
        <v>20.7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3</v>
      </c>
      <c r="AC3802">
        <v>0</v>
      </c>
      <c r="AH3802">
        <v>23.7</v>
      </c>
    </row>
    <row r="3803" spans="1:34" x14ac:dyDescent="0.3">
      <c r="A3803" s="4">
        <v>3919</v>
      </c>
      <c r="B3803" s="5">
        <v>3796</v>
      </c>
      <c r="C3803">
        <v>10003</v>
      </c>
      <c r="D3803" t="s">
        <v>8239</v>
      </c>
      <c r="E3803" t="s">
        <v>188</v>
      </c>
      <c r="F3803" t="s">
        <v>343</v>
      </c>
      <c r="G3803" t="s">
        <v>24737</v>
      </c>
      <c r="H3803">
        <v>19.7</v>
      </c>
      <c r="I3803">
        <v>0</v>
      </c>
      <c r="J3803">
        <v>0</v>
      </c>
      <c r="K3803">
        <v>0</v>
      </c>
      <c r="O3803">
        <v>0</v>
      </c>
      <c r="P3803">
        <v>4</v>
      </c>
      <c r="Q3803">
        <v>0</v>
      </c>
      <c r="R3803">
        <v>23.7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H3803">
        <v>23.7</v>
      </c>
    </row>
    <row r="3804" spans="1:34" x14ac:dyDescent="0.3">
      <c r="A3804" s="4">
        <v>3920</v>
      </c>
      <c r="B3804" s="5">
        <v>3797</v>
      </c>
      <c r="C3804">
        <v>12340</v>
      </c>
      <c r="D3804" t="s">
        <v>23731</v>
      </c>
      <c r="E3804" t="s">
        <v>29</v>
      </c>
      <c r="F3804" t="s">
        <v>38</v>
      </c>
      <c r="G3804" t="s">
        <v>24738</v>
      </c>
      <c r="H3804">
        <v>19.7</v>
      </c>
      <c r="I3804">
        <v>0</v>
      </c>
      <c r="J3804">
        <v>0</v>
      </c>
      <c r="K3804">
        <v>0</v>
      </c>
      <c r="O3804">
        <v>0</v>
      </c>
      <c r="P3804">
        <v>4</v>
      </c>
      <c r="Q3804">
        <v>0</v>
      </c>
      <c r="R3804">
        <v>23.7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H3804">
        <v>23.7</v>
      </c>
    </row>
    <row r="3805" spans="1:34" x14ac:dyDescent="0.3">
      <c r="A3805" s="4">
        <v>3921</v>
      </c>
      <c r="B3805" s="5">
        <v>3798</v>
      </c>
      <c r="C3805">
        <v>12221</v>
      </c>
      <c r="D3805" t="s">
        <v>2682</v>
      </c>
      <c r="E3805" t="s">
        <v>100</v>
      </c>
      <c r="F3805" t="s">
        <v>782</v>
      </c>
      <c r="G3805" t="s">
        <v>24739</v>
      </c>
      <c r="H3805">
        <v>16.7</v>
      </c>
      <c r="I3805">
        <v>0</v>
      </c>
      <c r="J3805">
        <v>0</v>
      </c>
      <c r="K3805">
        <v>0</v>
      </c>
      <c r="N3805">
        <v>3</v>
      </c>
      <c r="O3805">
        <v>3</v>
      </c>
      <c r="P3805">
        <v>4</v>
      </c>
      <c r="Q3805">
        <v>0</v>
      </c>
      <c r="R3805">
        <v>23.7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H3805">
        <v>23.7</v>
      </c>
    </row>
    <row r="3806" spans="1:34" x14ac:dyDescent="0.3">
      <c r="A3806" s="4">
        <v>3922</v>
      </c>
      <c r="B3806" s="5">
        <v>3799</v>
      </c>
      <c r="C3806">
        <v>11489</v>
      </c>
      <c r="D3806" t="s">
        <v>24740</v>
      </c>
      <c r="E3806" t="s">
        <v>30</v>
      </c>
      <c r="F3806" t="s">
        <v>38</v>
      </c>
      <c r="G3806" t="s">
        <v>24741</v>
      </c>
      <c r="H3806">
        <v>16.68</v>
      </c>
      <c r="I3806">
        <v>0</v>
      </c>
      <c r="J3806">
        <v>0</v>
      </c>
      <c r="K3806">
        <v>0</v>
      </c>
      <c r="N3806">
        <v>3</v>
      </c>
      <c r="O3806">
        <v>3</v>
      </c>
      <c r="P3806">
        <v>4</v>
      </c>
      <c r="Q3806">
        <v>0</v>
      </c>
      <c r="R3806">
        <v>23.68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H3806">
        <v>23.68</v>
      </c>
    </row>
    <row r="3807" spans="1:34" x14ac:dyDescent="0.3">
      <c r="A3807" s="4">
        <v>3923</v>
      </c>
      <c r="B3807" s="5">
        <v>3800</v>
      </c>
      <c r="C3807">
        <v>12632</v>
      </c>
      <c r="D3807" t="s">
        <v>3434</v>
      </c>
      <c r="E3807" t="s">
        <v>88</v>
      </c>
      <c r="F3807" t="s">
        <v>328</v>
      </c>
      <c r="G3807" t="s">
        <v>24742</v>
      </c>
      <c r="H3807">
        <v>16.649999999999999</v>
      </c>
      <c r="I3807">
        <v>0</v>
      </c>
      <c r="J3807">
        <v>0</v>
      </c>
      <c r="K3807">
        <v>0</v>
      </c>
      <c r="L3807">
        <v>7</v>
      </c>
      <c r="O3807">
        <v>7</v>
      </c>
      <c r="P3807">
        <v>0</v>
      </c>
      <c r="Q3807">
        <v>0</v>
      </c>
      <c r="R3807">
        <v>23.65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H3807">
        <v>23.65</v>
      </c>
    </row>
    <row r="3808" spans="1:34" x14ac:dyDescent="0.3">
      <c r="A3808" s="4">
        <v>3924</v>
      </c>
      <c r="B3808" s="5">
        <v>3801</v>
      </c>
      <c r="C3808">
        <v>8266</v>
      </c>
      <c r="D3808" t="s">
        <v>24743</v>
      </c>
      <c r="E3808" t="s">
        <v>54</v>
      </c>
      <c r="F3808" t="s">
        <v>190</v>
      </c>
      <c r="G3808" t="s">
        <v>24744</v>
      </c>
      <c r="H3808">
        <v>16.649999999999999</v>
      </c>
      <c r="I3808">
        <v>0</v>
      </c>
      <c r="J3808">
        <v>0</v>
      </c>
      <c r="K3808">
        <v>0</v>
      </c>
      <c r="N3808">
        <v>3</v>
      </c>
      <c r="O3808">
        <v>3</v>
      </c>
      <c r="P3808">
        <v>4</v>
      </c>
      <c r="Q3808">
        <v>0</v>
      </c>
      <c r="R3808">
        <v>23.65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H3808">
        <v>23.65</v>
      </c>
    </row>
    <row r="3809" spans="1:34" x14ac:dyDescent="0.3">
      <c r="A3809" s="4">
        <v>3925</v>
      </c>
      <c r="B3809" s="5">
        <v>3802</v>
      </c>
      <c r="C3809">
        <v>13858</v>
      </c>
      <c r="D3809" t="s">
        <v>1078</v>
      </c>
      <c r="E3809" t="s">
        <v>24745</v>
      </c>
      <c r="F3809" t="s">
        <v>17</v>
      </c>
      <c r="G3809" t="s">
        <v>24746</v>
      </c>
      <c r="H3809">
        <v>16.649999999999999</v>
      </c>
      <c r="I3809">
        <v>0</v>
      </c>
      <c r="J3809">
        <v>0</v>
      </c>
      <c r="K3809">
        <v>0</v>
      </c>
      <c r="N3809">
        <v>3</v>
      </c>
      <c r="O3809">
        <v>3</v>
      </c>
      <c r="P3809">
        <v>4</v>
      </c>
      <c r="Q3809">
        <v>0</v>
      </c>
      <c r="R3809">
        <v>23.65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H3809">
        <v>23.65</v>
      </c>
    </row>
    <row r="3810" spans="1:34" x14ac:dyDescent="0.3">
      <c r="A3810" s="4">
        <v>3926</v>
      </c>
      <c r="B3810" s="5">
        <v>3803</v>
      </c>
      <c r="C3810">
        <v>12293</v>
      </c>
      <c r="D3810" t="s">
        <v>24747</v>
      </c>
      <c r="E3810" t="s">
        <v>29</v>
      </c>
      <c r="F3810" t="s">
        <v>892</v>
      </c>
      <c r="G3810" t="s">
        <v>24748</v>
      </c>
      <c r="H3810">
        <v>16.63</v>
      </c>
      <c r="I3810">
        <v>0</v>
      </c>
      <c r="J3810">
        <v>0</v>
      </c>
      <c r="K3810">
        <v>0</v>
      </c>
      <c r="N3810">
        <v>3</v>
      </c>
      <c r="O3810">
        <v>3</v>
      </c>
      <c r="P3810">
        <v>4</v>
      </c>
      <c r="Q3810">
        <v>0</v>
      </c>
      <c r="R3810">
        <v>23.63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H3810">
        <v>23.63</v>
      </c>
    </row>
    <row r="3811" spans="1:34" x14ac:dyDescent="0.3">
      <c r="A3811" s="4">
        <v>3927</v>
      </c>
      <c r="B3811" s="5">
        <v>3804</v>
      </c>
      <c r="C3811">
        <v>14689</v>
      </c>
      <c r="D3811" t="s">
        <v>24126</v>
      </c>
      <c r="E3811" t="s">
        <v>33</v>
      </c>
      <c r="F3811" t="s">
        <v>20</v>
      </c>
      <c r="G3811" t="s">
        <v>24749</v>
      </c>
      <c r="H3811">
        <v>16.63</v>
      </c>
      <c r="I3811">
        <v>0</v>
      </c>
      <c r="J3811">
        <v>0</v>
      </c>
      <c r="K3811">
        <v>0</v>
      </c>
      <c r="N3811">
        <v>3</v>
      </c>
      <c r="O3811">
        <v>3</v>
      </c>
      <c r="P3811">
        <v>4</v>
      </c>
      <c r="Q3811">
        <v>0</v>
      </c>
      <c r="R3811">
        <v>23.63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H3811">
        <v>23.63</v>
      </c>
    </row>
    <row r="3812" spans="1:34" x14ac:dyDescent="0.3">
      <c r="A3812" s="4">
        <v>3928</v>
      </c>
      <c r="B3812" s="5">
        <v>3805</v>
      </c>
      <c r="C3812">
        <v>15329</v>
      </c>
      <c r="D3812" t="s">
        <v>24750</v>
      </c>
      <c r="E3812" t="s">
        <v>97</v>
      </c>
      <c r="F3812" t="s">
        <v>20</v>
      </c>
      <c r="G3812" t="s">
        <v>24751</v>
      </c>
      <c r="H3812">
        <v>16.63</v>
      </c>
      <c r="I3812">
        <v>0</v>
      </c>
      <c r="J3812">
        <v>0</v>
      </c>
      <c r="K3812">
        <v>0</v>
      </c>
      <c r="N3812">
        <v>3</v>
      </c>
      <c r="O3812">
        <v>3</v>
      </c>
      <c r="P3812">
        <v>4</v>
      </c>
      <c r="Q3812">
        <v>0</v>
      </c>
      <c r="R3812">
        <v>23.63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H3812">
        <v>23.63</v>
      </c>
    </row>
    <row r="3813" spans="1:34" x14ac:dyDescent="0.3">
      <c r="A3813" s="4">
        <v>3929</v>
      </c>
      <c r="B3813" s="5">
        <v>3806</v>
      </c>
      <c r="C3813">
        <v>11588</v>
      </c>
      <c r="D3813" t="s">
        <v>24752</v>
      </c>
      <c r="E3813" t="s">
        <v>173</v>
      </c>
      <c r="F3813" t="s">
        <v>17</v>
      </c>
      <c r="G3813" t="s">
        <v>24753</v>
      </c>
      <c r="H3813">
        <v>16.600000000000001</v>
      </c>
      <c r="I3813">
        <v>0</v>
      </c>
      <c r="J3813">
        <v>0</v>
      </c>
      <c r="K3813">
        <v>0</v>
      </c>
      <c r="O3813">
        <v>0</v>
      </c>
      <c r="P3813">
        <v>4</v>
      </c>
      <c r="Q3813">
        <v>0</v>
      </c>
      <c r="R3813">
        <v>20.6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3</v>
      </c>
      <c r="AC3813">
        <v>0</v>
      </c>
      <c r="AH3813">
        <v>23.6</v>
      </c>
    </row>
    <row r="3814" spans="1:34" x14ac:dyDescent="0.3">
      <c r="A3814" s="4">
        <v>3930</v>
      </c>
      <c r="B3814" s="5">
        <v>3807</v>
      </c>
      <c r="C3814">
        <v>4984</v>
      </c>
      <c r="D3814" t="s">
        <v>24754</v>
      </c>
      <c r="E3814" t="s">
        <v>41</v>
      </c>
      <c r="F3814" t="s">
        <v>136</v>
      </c>
      <c r="G3814" t="s">
        <v>24755</v>
      </c>
      <c r="H3814">
        <v>16.600000000000001</v>
      </c>
      <c r="I3814">
        <v>0</v>
      </c>
      <c r="J3814">
        <v>0</v>
      </c>
      <c r="K3814">
        <v>0</v>
      </c>
      <c r="N3814">
        <v>3</v>
      </c>
      <c r="O3814">
        <v>3</v>
      </c>
      <c r="P3814">
        <v>4</v>
      </c>
      <c r="Q3814">
        <v>0</v>
      </c>
      <c r="R3814">
        <v>23.6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H3814">
        <v>23.6</v>
      </c>
    </row>
    <row r="3815" spans="1:34" x14ac:dyDescent="0.3">
      <c r="A3815" s="4">
        <v>3931</v>
      </c>
      <c r="B3815" s="5">
        <v>3808</v>
      </c>
      <c r="C3815">
        <v>7560</v>
      </c>
      <c r="D3815" t="s">
        <v>7932</v>
      </c>
      <c r="E3815" t="s">
        <v>161</v>
      </c>
      <c r="F3815" t="s">
        <v>17</v>
      </c>
      <c r="G3815" t="s">
        <v>24756</v>
      </c>
      <c r="H3815">
        <v>19.579999999999998</v>
      </c>
      <c r="I3815">
        <v>0</v>
      </c>
      <c r="J3815">
        <v>0</v>
      </c>
      <c r="K3815">
        <v>0</v>
      </c>
      <c r="O3815">
        <v>0</v>
      </c>
      <c r="P3815">
        <v>4</v>
      </c>
      <c r="Q3815">
        <v>0</v>
      </c>
      <c r="R3815">
        <v>23.58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H3815">
        <v>23.58</v>
      </c>
    </row>
    <row r="3816" spans="1:34" x14ac:dyDescent="0.3">
      <c r="A3816" s="4">
        <v>3932</v>
      </c>
      <c r="B3816" s="5">
        <v>3809</v>
      </c>
      <c r="C3816">
        <v>6459</v>
      </c>
      <c r="D3816" t="s">
        <v>7011</v>
      </c>
      <c r="E3816" t="s">
        <v>110</v>
      </c>
      <c r="F3816" t="s">
        <v>17</v>
      </c>
      <c r="G3816" t="s">
        <v>24757</v>
      </c>
      <c r="H3816">
        <v>16.579999999999998</v>
      </c>
      <c r="I3816">
        <v>0</v>
      </c>
      <c r="J3816">
        <v>0</v>
      </c>
      <c r="K3816">
        <v>0</v>
      </c>
      <c r="N3816">
        <v>3</v>
      </c>
      <c r="O3816">
        <v>3</v>
      </c>
      <c r="P3816">
        <v>4</v>
      </c>
      <c r="Q3816">
        <v>0</v>
      </c>
      <c r="R3816">
        <v>23.58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H3816">
        <v>23.58</v>
      </c>
    </row>
    <row r="3817" spans="1:34" x14ac:dyDescent="0.3">
      <c r="A3817" s="4">
        <v>3933</v>
      </c>
      <c r="B3817" s="5">
        <v>3810</v>
      </c>
      <c r="C3817">
        <v>15640</v>
      </c>
      <c r="D3817" t="s">
        <v>3309</v>
      </c>
      <c r="E3817" t="s">
        <v>1694</v>
      </c>
      <c r="F3817" t="s">
        <v>972</v>
      </c>
      <c r="G3817" t="s">
        <v>24758</v>
      </c>
      <c r="H3817">
        <v>17.55</v>
      </c>
      <c r="I3817">
        <v>0</v>
      </c>
      <c r="J3817">
        <v>0</v>
      </c>
      <c r="K3817">
        <v>0</v>
      </c>
      <c r="N3817">
        <v>3</v>
      </c>
      <c r="O3817">
        <v>3</v>
      </c>
      <c r="P3817">
        <v>0</v>
      </c>
      <c r="Q3817">
        <v>0</v>
      </c>
      <c r="R3817">
        <v>20.55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3</v>
      </c>
      <c r="AC3817">
        <v>0</v>
      </c>
      <c r="AH3817">
        <v>23.55</v>
      </c>
    </row>
    <row r="3818" spans="1:34" x14ac:dyDescent="0.3">
      <c r="A3818" s="4">
        <v>3934</v>
      </c>
      <c r="B3818" s="5">
        <v>3811</v>
      </c>
      <c r="C3818">
        <v>15682</v>
      </c>
      <c r="D3818" t="s">
        <v>2266</v>
      </c>
      <c r="E3818" t="s">
        <v>1989</v>
      </c>
      <c r="F3818" t="s">
        <v>81</v>
      </c>
      <c r="G3818" t="s">
        <v>24759</v>
      </c>
      <c r="H3818">
        <v>20.55</v>
      </c>
      <c r="I3818">
        <v>0</v>
      </c>
      <c r="J3818">
        <v>0</v>
      </c>
      <c r="K3818">
        <v>0</v>
      </c>
      <c r="N3818">
        <v>3</v>
      </c>
      <c r="O3818">
        <v>3</v>
      </c>
      <c r="P3818">
        <v>0</v>
      </c>
      <c r="Q3818">
        <v>0</v>
      </c>
      <c r="R3818">
        <v>23.55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H3818">
        <v>23.55</v>
      </c>
    </row>
    <row r="3819" spans="1:34" x14ac:dyDescent="0.3">
      <c r="A3819" s="4">
        <v>3935</v>
      </c>
      <c r="B3819" s="5">
        <v>3812</v>
      </c>
      <c r="C3819">
        <v>15016</v>
      </c>
      <c r="D3819" t="s">
        <v>24760</v>
      </c>
      <c r="E3819" t="s">
        <v>24761</v>
      </c>
      <c r="F3819" t="s">
        <v>117</v>
      </c>
      <c r="G3819" t="s">
        <v>24762</v>
      </c>
      <c r="H3819">
        <v>17.53</v>
      </c>
      <c r="I3819">
        <v>0</v>
      </c>
      <c r="J3819">
        <v>0</v>
      </c>
      <c r="K3819">
        <v>0</v>
      </c>
      <c r="O3819">
        <v>0</v>
      </c>
      <c r="P3819">
        <v>0</v>
      </c>
      <c r="Q3819">
        <v>0</v>
      </c>
      <c r="R3819">
        <v>17.53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6</v>
      </c>
      <c r="AC3819">
        <v>0</v>
      </c>
      <c r="AH3819">
        <v>23.53</v>
      </c>
    </row>
    <row r="3820" spans="1:34" x14ac:dyDescent="0.3">
      <c r="A3820" s="4">
        <v>3936</v>
      </c>
      <c r="B3820" s="5">
        <v>3813</v>
      </c>
      <c r="C3820">
        <v>2640</v>
      </c>
      <c r="D3820" t="s">
        <v>971</v>
      </c>
      <c r="E3820" t="s">
        <v>161</v>
      </c>
      <c r="F3820" t="s">
        <v>158</v>
      </c>
      <c r="G3820" t="s">
        <v>24763</v>
      </c>
      <c r="H3820">
        <v>17.53</v>
      </c>
      <c r="I3820">
        <v>0</v>
      </c>
      <c r="J3820">
        <v>0</v>
      </c>
      <c r="K3820">
        <v>0</v>
      </c>
      <c r="O3820">
        <v>0</v>
      </c>
      <c r="P3820">
        <v>0</v>
      </c>
      <c r="Q3820">
        <v>0</v>
      </c>
      <c r="R3820">
        <v>17.53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6</v>
      </c>
      <c r="AC3820">
        <v>0</v>
      </c>
      <c r="AH3820">
        <v>23.53</v>
      </c>
    </row>
    <row r="3821" spans="1:34" x14ac:dyDescent="0.3">
      <c r="A3821" s="4">
        <v>3937</v>
      </c>
      <c r="B3821" s="5">
        <v>3814</v>
      </c>
      <c r="C3821">
        <v>10230</v>
      </c>
      <c r="D3821" t="s">
        <v>24764</v>
      </c>
      <c r="E3821" t="s">
        <v>29</v>
      </c>
      <c r="F3821" t="s">
        <v>328</v>
      </c>
      <c r="G3821" t="s">
        <v>24765</v>
      </c>
      <c r="H3821">
        <v>16.53</v>
      </c>
      <c r="I3821">
        <v>0</v>
      </c>
      <c r="J3821">
        <v>0</v>
      </c>
      <c r="K3821">
        <v>0</v>
      </c>
      <c r="O3821">
        <v>0</v>
      </c>
      <c r="P3821">
        <v>4</v>
      </c>
      <c r="Q3821">
        <v>0</v>
      </c>
      <c r="R3821">
        <v>20.53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3</v>
      </c>
      <c r="AC3821">
        <v>0</v>
      </c>
      <c r="AH3821">
        <v>23.53</v>
      </c>
    </row>
    <row r="3822" spans="1:34" x14ac:dyDescent="0.3">
      <c r="A3822" s="4">
        <v>3938</v>
      </c>
      <c r="B3822" s="5">
        <v>3815</v>
      </c>
      <c r="C3822">
        <v>10934</v>
      </c>
      <c r="D3822" t="s">
        <v>24766</v>
      </c>
      <c r="E3822" t="s">
        <v>1997</v>
      </c>
      <c r="F3822" t="s">
        <v>62</v>
      </c>
      <c r="G3822" t="s">
        <v>24767</v>
      </c>
      <c r="H3822">
        <v>16.53</v>
      </c>
      <c r="I3822">
        <v>0</v>
      </c>
      <c r="J3822">
        <v>0</v>
      </c>
      <c r="K3822">
        <v>0</v>
      </c>
      <c r="O3822">
        <v>0</v>
      </c>
      <c r="P3822">
        <v>4</v>
      </c>
      <c r="Q3822">
        <v>0</v>
      </c>
      <c r="R3822">
        <v>20.53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3</v>
      </c>
      <c r="AC3822">
        <v>0</v>
      </c>
      <c r="AH3822">
        <v>23.53</v>
      </c>
    </row>
    <row r="3823" spans="1:34" x14ac:dyDescent="0.3">
      <c r="A3823" s="4">
        <v>3939</v>
      </c>
      <c r="B3823" s="5">
        <v>3816</v>
      </c>
      <c r="C3823">
        <v>3516</v>
      </c>
      <c r="D3823" t="s">
        <v>24768</v>
      </c>
      <c r="E3823" t="s">
        <v>24623</v>
      </c>
      <c r="F3823" t="s">
        <v>24769</v>
      </c>
      <c r="G3823" t="s">
        <v>24770</v>
      </c>
      <c r="H3823">
        <v>16.53</v>
      </c>
      <c r="I3823">
        <v>0</v>
      </c>
      <c r="J3823">
        <v>0</v>
      </c>
      <c r="K3823">
        <v>0</v>
      </c>
      <c r="N3823">
        <v>3</v>
      </c>
      <c r="O3823">
        <v>3</v>
      </c>
      <c r="P3823">
        <v>4</v>
      </c>
      <c r="Q3823">
        <v>0</v>
      </c>
      <c r="R3823">
        <v>23.53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H3823">
        <v>23.53</v>
      </c>
    </row>
    <row r="3824" spans="1:34" x14ac:dyDescent="0.3">
      <c r="A3824" s="4">
        <v>3940</v>
      </c>
      <c r="B3824" s="5">
        <v>3817</v>
      </c>
      <c r="C3824">
        <v>3827</v>
      </c>
      <c r="D3824" t="s">
        <v>24771</v>
      </c>
      <c r="E3824" t="s">
        <v>227</v>
      </c>
      <c r="F3824" t="s">
        <v>328</v>
      </c>
      <c r="G3824" t="s">
        <v>24772</v>
      </c>
      <c r="H3824">
        <v>16.53</v>
      </c>
      <c r="I3824">
        <v>0</v>
      </c>
      <c r="J3824">
        <v>0</v>
      </c>
      <c r="K3824">
        <v>0</v>
      </c>
      <c r="N3824">
        <v>3</v>
      </c>
      <c r="O3824">
        <v>3</v>
      </c>
      <c r="P3824">
        <v>4</v>
      </c>
      <c r="Q3824">
        <v>0</v>
      </c>
      <c r="R3824">
        <v>23.53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H3824">
        <v>23.53</v>
      </c>
    </row>
    <row r="3825" spans="1:34" x14ac:dyDescent="0.3">
      <c r="A3825" s="4">
        <v>3941</v>
      </c>
      <c r="B3825" s="5">
        <v>3818</v>
      </c>
      <c r="C3825">
        <v>1232</v>
      </c>
      <c r="D3825" t="s">
        <v>93</v>
      </c>
      <c r="E3825" t="s">
        <v>81</v>
      </c>
      <c r="F3825" t="s">
        <v>7576</v>
      </c>
      <c r="G3825" t="s">
        <v>24773</v>
      </c>
      <c r="H3825">
        <v>16.53</v>
      </c>
      <c r="I3825">
        <v>0</v>
      </c>
      <c r="J3825">
        <v>0</v>
      </c>
      <c r="K3825">
        <v>0</v>
      </c>
      <c r="N3825">
        <v>3</v>
      </c>
      <c r="O3825">
        <v>3</v>
      </c>
      <c r="P3825">
        <v>4</v>
      </c>
      <c r="Q3825">
        <v>0</v>
      </c>
      <c r="R3825">
        <v>23.53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H3825">
        <v>23.53</v>
      </c>
    </row>
    <row r="3826" spans="1:34" x14ac:dyDescent="0.3">
      <c r="A3826" s="4">
        <v>3942</v>
      </c>
      <c r="B3826" s="5">
        <v>3819</v>
      </c>
      <c r="C3826">
        <v>10033</v>
      </c>
      <c r="D3826" t="s">
        <v>15362</v>
      </c>
      <c r="E3826" t="s">
        <v>29</v>
      </c>
      <c r="F3826" t="s">
        <v>136</v>
      </c>
      <c r="G3826" t="s">
        <v>24774</v>
      </c>
      <c r="H3826">
        <v>17.5</v>
      </c>
      <c r="I3826">
        <v>0</v>
      </c>
      <c r="J3826">
        <v>0</v>
      </c>
      <c r="K3826">
        <v>0</v>
      </c>
      <c r="O3826">
        <v>0</v>
      </c>
      <c r="P3826">
        <v>0</v>
      </c>
      <c r="Q3826">
        <v>0</v>
      </c>
      <c r="R3826">
        <v>17.5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6</v>
      </c>
      <c r="AC3826">
        <v>0</v>
      </c>
      <c r="AH3826">
        <v>23.5</v>
      </c>
    </row>
    <row r="3827" spans="1:34" x14ac:dyDescent="0.3">
      <c r="A3827" s="4">
        <v>3943</v>
      </c>
      <c r="B3827" s="5">
        <v>3820</v>
      </c>
      <c r="C3827">
        <v>2662</v>
      </c>
      <c r="D3827" t="s">
        <v>15122</v>
      </c>
      <c r="E3827" t="s">
        <v>6660</v>
      </c>
      <c r="F3827" t="s">
        <v>375</v>
      </c>
      <c r="G3827" t="s">
        <v>24775</v>
      </c>
      <c r="H3827">
        <v>17.5</v>
      </c>
      <c r="I3827">
        <v>0</v>
      </c>
      <c r="J3827">
        <v>0</v>
      </c>
      <c r="K3827">
        <v>0</v>
      </c>
      <c r="N3827">
        <v>3</v>
      </c>
      <c r="O3827">
        <v>3</v>
      </c>
      <c r="P3827">
        <v>0</v>
      </c>
      <c r="Q3827">
        <v>0</v>
      </c>
      <c r="R3827">
        <v>20.5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3</v>
      </c>
      <c r="AC3827">
        <v>0</v>
      </c>
      <c r="AH3827">
        <v>23.5</v>
      </c>
    </row>
    <row r="3828" spans="1:34" x14ac:dyDescent="0.3">
      <c r="A3828" s="4">
        <v>3944</v>
      </c>
      <c r="B3828" s="5">
        <v>3821</v>
      </c>
      <c r="C3828">
        <v>3319</v>
      </c>
      <c r="D3828" t="s">
        <v>24776</v>
      </c>
      <c r="E3828" t="s">
        <v>24777</v>
      </c>
      <c r="F3828" t="s">
        <v>442</v>
      </c>
      <c r="G3828" t="s">
        <v>24778</v>
      </c>
      <c r="H3828">
        <v>16.5</v>
      </c>
      <c r="I3828">
        <v>0</v>
      </c>
      <c r="J3828">
        <v>0</v>
      </c>
      <c r="K3828">
        <v>0</v>
      </c>
      <c r="O3828">
        <v>0</v>
      </c>
      <c r="P3828">
        <v>4</v>
      </c>
      <c r="Q3828">
        <v>0</v>
      </c>
      <c r="R3828">
        <v>20.5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3</v>
      </c>
      <c r="AC3828">
        <v>0</v>
      </c>
      <c r="AH3828">
        <v>23.5</v>
      </c>
    </row>
    <row r="3829" spans="1:34" x14ac:dyDescent="0.3">
      <c r="A3829" s="4">
        <v>3945</v>
      </c>
      <c r="B3829" s="5">
        <v>3822</v>
      </c>
      <c r="C3829">
        <v>1855</v>
      </c>
      <c r="D3829" t="s">
        <v>24779</v>
      </c>
      <c r="E3829" t="s">
        <v>166</v>
      </c>
      <c r="F3829" t="s">
        <v>91</v>
      </c>
      <c r="G3829" t="s">
        <v>24780</v>
      </c>
      <c r="H3829">
        <v>19.5</v>
      </c>
      <c r="I3829">
        <v>0</v>
      </c>
      <c r="J3829">
        <v>0</v>
      </c>
      <c r="K3829">
        <v>0</v>
      </c>
      <c r="O3829">
        <v>0</v>
      </c>
      <c r="P3829">
        <v>4</v>
      </c>
      <c r="Q3829">
        <v>0</v>
      </c>
      <c r="R3829">
        <v>23.5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H3829">
        <v>23.5</v>
      </c>
    </row>
    <row r="3830" spans="1:34" x14ac:dyDescent="0.3">
      <c r="A3830" s="4">
        <v>3946</v>
      </c>
      <c r="B3830" s="5">
        <v>3823</v>
      </c>
      <c r="C3830">
        <v>2792</v>
      </c>
      <c r="D3830" t="s">
        <v>24781</v>
      </c>
      <c r="E3830" t="s">
        <v>1474</v>
      </c>
      <c r="F3830" t="s">
        <v>30</v>
      </c>
      <c r="G3830" t="s">
        <v>24782</v>
      </c>
      <c r="H3830">
        <v>19.5</v>
      </c>
      <c r="I3830">
        <v>0</v>
      </c>
      <c r="J3830">
        <v>0</v>
      </c>
      <c r="K3830">
        <v>0</v>
      </c>
      <c r="O3830">
        <v>0</v>
      </c>
      <c r="P3830">
        <v>4</v>
      </c>
      <c r="Q3830">
        <v>0</v>
      </c>
      <c r="R3830">
        <v>23.5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H3830">
        <v>23.5</v>
      </c>
    </row>
    <row r="3831" spans="1:34" x14ac:dyDescent="0.3">
      <c r="A3831" s="4">
        <v>3947</v>
      </c>
      <c r="B3831" s="5">
        <v>3824</v>
      </c>
      <c r="C3831">
        <v>8303</v>
      </c>
      <c r="D3831" t="s">
        <v>15675</v>
      </c>
      <c r="E3831" t="s">
        <v>3948</v>
      </c>
      <c r="F3831" t="s">
        <v>375</v>
      </c>
      <c r="G3831" t="s">
        <v>24783</v>
      </c>
      <c r="H3831">
        <v>16.5</v>
      </c>
      <c r="I3831">
        <v>0</v>
      </c>
      <c r="J3831">
        <v>0</v>
      </c>
      <c r="K3831">
        <v>0</v>
      </c>
      <c r="N3831">
        <v>3</v>
      </c>
      <c r="O3831">
        <v>3</v>
      </c>
      <c r="P3831">
        <v>4</v>
      </c>
      <c r="Q3831">
        <v>0</v>
      </c>
      <c r="R3831">
        <v>23.5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H3831">
        <v>23.5</v>
      </c>
    </row>
    <row r="3832" spans="1:34" x14ac:dyDescent="0.3">
      <c r="A3832" s="4">
        <v>3948</v>
      </c>
      <c r="B3832" s="5">
        <v>3825</v>
      </c>
      <c r="C3832">
        <v>13439</v>
      </c>
      <c r="D3832" t="s">
        <v>2453</v>
      </c>
      <c r="E3832" t="s">
        <v>744</v>
      </c>
      <c r="F3832" t="s">
        <v>17</v>
      </c>
      <c r="G3832" t="s">
        <v>24784</v>
      </c>
      <c r="H3832">
        <v>12.5</v>
      </c>
      <c r="I3832">
        <v>0</v>
      </c>
      <c r="J3832">
        <v>0</v>
      </c>
      <c r="K3832">
        <v>0</v>
      </c>
      <c r="L3832">
        <v>7</v>
      </c>
      <c r="O3832">
        <v>7</v>
      </c>
      <c r="P3832">
        <v>4</v>
      </c>
      <c r="Q3832">
        <v>0</v>
      </c>
      <c r="R3832">
        <v>23.5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H3832">
        <v>23.5</v>
      </c>
    </row>
    <row r="3833" spans="1:34" x14ac:dyDescent="0.3">
      <c r="A3833" s="4">
        <v>3949</v>
      </c>
      <c r="B3833" s="5">
        <v>3826</v>
      </c>
      <c r="C3833">
        <v>13885</v>
      </c>
      <c r="D3833" t="s">
        <v>14221</v>
      </c>
      <c r="E3833" t="s">
        <v>100</v>
      </c>
      <c r="F3833" t="s">
        <v>1023</v>
      </c>
      <c r="G3833" t="s">
        <v>24785</v>
      </c>
      <c r="H3833">
        <v>19.48</v>
      </c>
      <c r="I3833">
        <v>0</v>
      </c>
      <c r="J3833">
        <v>0</v>
      </c>
      <c r="K3833">
        <v>0</v>
      </c>
      <c r="O3833">
        <v>0</v>
      </c>
      <c r="P3833">
        <v>4</v>
      </c>
      <c r="Q3833">
        <v>0</v>
      </c>
      <c r="R3833">
        <v>23.48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H3833">
        <v>23.48</v>
      </c>
    </row>
    <row r="3834" spans="1:34" x14ac:dyDescent="0.3">
      <c r="A3834" s="4">
        <v>3950</v>
      </c>
      <c r="B3834" s="5">
        <v>3827</v>
      </c>
      <c r="C3834">
        <v>6859</v>
      </c>
      <c r="D3834" t="s">
        <v>24786</v>
      </c>
      <c r="E3834" t="s">
        <v>24787</v>
      </c>
      <c r="F3834" t="s">
        <v>24788</v>
      </c>
      <c r="G3834" t="s">
        <v>24789</v>
      </c>
      <c r="H3834">
        <v>19.48</v>
      </c>
      <c r="I3834">
        <v>0</v>
      </c>
      <c r="J3834">
        <v>0</v>
      </c>
      <c r="K3834">
        <v>0</v>
      </c>
      <c r="O3834">
        <v>0</v>
      </c>
      <c r="P3834">
        <v>4</v>
      </c>
      <c r="Q3834">
        <v>0</v>
      </c>
      <c r="R3834">
        <v>23.48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H3834">
        <v>23.48</v>
      </c>
    </row>
    <row r="3835" spans="1:34" x14ac:dyDescent="0.3">
      <c r="A3835" s="4">
        <v>3951</v>
      </c>
      <c r="B3835" s="5">
        <v>3828</v>
      </c>
      <c r="C3835">
        <v>3159</v>
      </c>
      <c r="D3835" t="s">
        <v>3764</v>
      </c>
      <c r="E3835" t="s">
        <v>132</v>
      </c>
      <c r="F3835" t="s">
        <v>259</v>
      </c>
      <c r="G3835" t="s">
        <v>24790</v>
      </c>
      <c r="H3835">
        <v>19.48</v>
      </c>
      <c r="I3835">
        <v>0</v>
      </c>
      <c r="J3835">
        <v>0</v>
      </c>
      <c r="K3835">
        <v>0</v>
      </c>
      <c r="O3835">
        <v>0</v>
      </c>
      <c r="P3835">
        <v>4</v>
      </c>
      <c r="Q3835">
        <v>0</v>
      </c>
      <c r="R3835">
        <v>23.48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H3835">
        <v>23.48</v>
      </c>
    </row>
    <row r="3836" spans="1:34" x14ac:dyDescent="0.3">
      <c r="A3836" s="4">
        <v>3952</v>
      </c>
      <c r="B3836" s="5">
        <v>3829</v>
      </c>
      <c r="C3836">
        <v>1755</v>
      </c>
      <c r="D3836" t="s">
        <v>24791</v>
      </c>
      <c r="E3836" t="s">
        <v>816</v>
      </c>
      <c r="F3836" t="s">
        <v>17</v>
      </c>
      <c r="G3836" t="s">
        <v>24792</v>
      </c>
      <c r="H3836">
        <v>16.48</v>
      </c>
      <c r="I3836">
        <v>0</v>
      </c>
      <c r="J3836">
        <v>0</v>
      </c>
      <c r="K3836">
        <v>0</v>
      </c>
      <c r="N3836">
        <v>3</v>
      </c>
      <c r="O3836">
        <v>3</v>
      </c>
      <c r="P3836">
        <v>4</v>
      </c>
      <c r="Q3836">
        <v>0</v>
      </c>
      <c r="R3836">
        <v>23.48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H3836">
        <v>23.48</v>
      </c>
    </row>
    <row r="3837" spans="1:34" x14ac:dyDescent="0.3">
      <c r="A3837" s="4">
        <v>3953</v>
      </c>
      <c r="B3837" s="5">
        <v>3830</v>
      </c>
      <c r="C3837">
        <v>12360</v>
      </c>
      <c r="D3837" t="s">
        <v>4171</v>
      </c>
      <c r="E3837" t="s">
        <v>24793</v>
      </c>
      <c r="F3837" t="s">
        <v>24794</v>
      </c>
      <c r="G3837" t="s">
        <v>24795</v>
      </c>
      <c r="H3837">
        <v>20.45</v>
      </c>
      <c r="I3837">
        <v>0</v>
      </c>
      <c r="J3837">
        <v>0</v>
      </c>
      <c r="K3837">
        <v>0</v>
      </c>
      <c r="N3837">
        <v>3</v>
      </c>
      <c r="O3837">
        <v>3</v>
      </c>
      <c r="P3837">
        <v>0</v>
      </c>
      <c r="Q3837">
        <v>0</v>
      </c>
      <c r="R3837">
        <v>23.45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H3837">
        <v>23.45</v>
      </c>
    </row>
    <row r="3838" spans="1:34" x14ac:dyDescent="0.3">
      <c r="A3838" s="4">
        <v>3954</v>
      </c>
      <c r="B3838" s="5">
        <v>3831</v>
      </c>
      <c r="C3838">
        <v>2136</v>
      </c>
      <c r="D3838" t="s">
        <v>24796</v>
      </c>
      <c r="E3838" t="s">
        <v>2792</v>
      </c>
      <c r="F3838" t="s">
        <v>328</v>
      </c>
      <c r="G3838" t="s">
        <v>24797</v>
      </c>
      <c r="H3838">
        <v>19.45</v>
      </c>
      <c r="I3838">
        <v>0</v>
      </c>
      <c r="J3838">
        <v>0</v>
      </c>
      <c r="K3838">
        <v>0</v>
      </c>
      <c r="O3838">
        <v>0</v>
      </c>
      <c r="P3838">
        <v>4</v>
      </c>
      <c r="Q3838">
        <v>0</v>
      </c>
      <c r="R3838">
        <v>23.45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H3838">
        <v>23.45</v>
      </c>
    </row>
    <row r="3839" spans="1:34" x14ac:dyDescent="0.3">
      <c r="A3839" s="4">
        <v>3955</v>
      </c>
      <c r="B3839" s="5">
        <v>3832</v>
      </c>
      <c r="C3839">
        <v>15294</v>
      </c>
      <c r="D3839" t="s">
        <v>3849</v>
      </c>
      <c r="E3839" t="s">
        <v>29</v>
      </c>
      <c r="F3839" t="s">
        <v>20</v>
      </c>
      <c r="G3839" t="s">
        <v>24798</v>
      </c>
      <c r="H3839">
        <v>19.45</v>
      </c>
      <c r="I3839">
        <v>0</v>
      </c>
      <c r="J3839">
        <v>0</v>
      </c>
      <c r="K3839">
        <v>0</v>
      </c>
      <c r="O3839">
        <v>0</v>
      </c>
      <c r="P3839">
        <v>4</v>
      </c>
      <c r="Q3839">
        <v>0</v>
      </c>
      <c r="R3839">
        <v>23.45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H3839">
        <v>23.45</v>
      </c>
    </row>
    <row r="3840" spans="1:34" x14ac:dyDescent="0.3">
      <c r="A3840" s="4">
        <v>3956</v>
      </c>
      <c r="B3840" s="5">
        <v>3833</v>
      </c>
      <c r="C3840">
        <v>3356</v>
      </c>
      <c r="D3840" t="s">
        <v>24799</v>
      </c>
      <c r="E3840" t="s">
        <v>17</v>
      </c>
      <c r="F3840" t="s">
        <v>227</v>
      </c>
      <c r="G3840" t="s">
        <v>24800</v>
      </c>
      <c r="H3840">
        <v>16.45</v>
      </c>
      <c r="I3840">
        <v>0</v>
      </c>
      <c r="J3840">
        <v>0</v>
      </c>
      <c r="K3840">
        <v>0</v>
      </c>
      <c r="N3840">
        <v>3</v>
      </c>
      <c r="O3840">
        <v>3</v>
      </c>
      <c r="P3840">
        <v>4</v>
      </c>
      <c r="Q3840">
        <v>0</v>
      </c>
      <c r="R3840">
        <v>23.45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H3840">
        <v>23.45</v>
      </c>
    </row>
    <row r="3841" spans="1:34" x14ac:dyDescent="0.3">
      <c r="A3841" s="4">
        <v>3957</v>
      </c>
      <c r="B3841" s="5">
        <v>3834</v>
      </c>
      <c r="C3841">
        <v>7747</v>
      </c>
      <c r="D3841" t="s">
        <v>24801</v>
      </c>
      <c r="E3841" t="s">
        <v>51</v>
      </c>
      <c r="F3841" t="s">
        <v>117</v>
      </c>
      <c r="G3841" t="s">
        <v>24802</v>
      </c>
      <c r="H3841">
        <v>19.43</v>
      </c>
      <c r="I3841">
        <v>0</v>
      </c>
      <c r="J3841">
        <v>0</v>
      </c>
      <c r="K3841">
        <v>0</v>
      </c>
      <c r="O3841">
        <v>0</v>
      </c>
      <c r="P3841">
        <v>4</v>
      </c>
      <c r="Q3841">
        <v>0</v>
      </c>
      <c r="R3841">
        <v>23.43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H3841">
        <v>23.43</v>
      </c>
    </row>
    <row r="3842" spans="1:34" x14ac:dyDescent="0.3">
      <c r="A3842" s="4">
        <v>3958</v>
      </c>
      <c r="B3842" s="5">
        <v>3835</v>
      </c>
      <c r="C3842">
        <v>15032</v>
      </c>
      <c r="D3842" t="s">
        <v>229</v>
      </c>
      <c r="E3842" t="s">
        <v>29</v>
      </c>
      <c r="F3842" t="s">
        <v>124</v>
      </c>
      <c r="G3842" t="s">
        <v>24803</v>
      </c>
      <c r="H3842">
        <v>19.43</v>
      </c>
      <c r="I3842">
        <v>0</v>
      </c>
      <c r="J3842">
        <v>0</v>
      </c>
      <c r="K3842">
        <v>0</v>
      </c>
      <c r="O3842">
        <v>0</v>
      </c>
      <c r="P3842">
        <v>4</v>
      </c>
      <c r="Q3842">
        <v>0</v>
      </c>
      <c r="R3842">
        <v>23.43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H3842">
        <v>23.43</v>
      </c>
    </row>
    <row r="3843" spans="1:34" x14ac:dyDescent="0.3">
      <c r="A3843" s="4">
        <v>3959</v>
      </c>
      <c r="B3843" s="5">
        <v>3836</v>
      </c>
      <c r="C3843">
        <v>11433</v>
      </c>
      <c r="D3843" t="s">
        <v>24804</v>
      </c>
      <c r="E3843" t="s">
        <v>29</v>
      </c>
      <c r="F3843" t="s">
        <v>243</v>
      </c>
      <c r="G3843" t="s">
        <v>24805</v>
      </c>
      <c r="H3843">
        <v>19.399999999999999</v>
      </c>
      <c r="I3843">
        <v>0</v>
      </c>
      <c r="J3843">
        <v>0</v>
      </c>
      <c r="K3843">
        <v>0</v>
      </c>
      <c r="O3843">
        <v>0</v>
      </c>
      <c r="P3843">
        <v>4</v>
      </c>
      <c r="Q3843">
        <v>0</v>
      </c>
      <c r="R3843">
        <v>23.4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H3843">
        <v>23.4</v>
      </c>
    </row>
    <row r="3844" spans="1:34" x14ac:dyDescent="0.3">
      <c r="A3844" s="4">
        <v>3960</v>
      </c>
      <c r="B3844" s="5">
        <v>3837</v>
      </c>
      <c r="C3844">
        <v>6341</v>
      </c>
      <c r="D3844" t="s">
        <v>24806</v>
      </c>
      <c r="E3844" t="s">
        <v>88</v>
      </c>
      <c r="F3844" t="s">
        <v>124</v>
      </c>
      <c r="G3844" t="s">
        <v>24807</v>
      </c>
      <c r="H3844">
        <v>19.399999999999999</v>
      </c>
      <c r="I3844">
        <v>0</v>
      </c>
      <c r="J3844">
        <v>0</v>
      </c>
      <c r="K3844">
        <v>0</v>
      </c>
      <c r="O3844">
        <v>0</v>
      </c>
      <c r="P3844">
        <v>4</v>
      </c>
      <c r="Q3844">
        <v>0</v>
      </c>
      <c r="R3844">
        <v>23.4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H3844">
        <v>23.4</v>
      </c>
    </row>
    <row r="3845" spans="1:34" x14ac:dyDescent="0.3">
      <c r="A3845" s="4">
        <v>3961</v>
      </c>
      <c r="B3845" s="5">
        <v>3838</v>
      </c>
      <c r="C3845">
        <v>13989</v>
      </c>
      <c r="D3845" t="s">
        <v>6407</v>
      </c>
      <c r="E3845" t="s">
        <v>54</v>
      </c>
      <c r="F3845" t="s">
        <v>17</v>
      </c>
      <c r="G3845" t="s">
        <v>24808</v>
      </c>
      <c r="H3845">
        <v>16.399999999999999</v>
      </c>
      <c r="I3845">
        <v>0</v>
      </c>
      <c r="J3845">
        <v>0</v>
      </c>
      <c r="K3845">
        <v>0</v>
      </c>
      <c r="N3845">
        <v>3</v>
      </c>
      <c r="O3845">
        <v>3</v>
      </c>
      <c r="P3845">
        <v>4</v>
      </c>
      <c r="Q3845">
        <v>0</v>
      </c>
      <c r="R3845">
        <v>23.4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H3845">
        <v>23.4</v>
      </c>
    </row>
    <row r="3846" spans="1:34" x14ac:dyDescent="0.3">
      <c r="A3846" s="4">
        <v>3962</v>
      </c>
      <c r="B3846" s="5">
        <v>3839</v>
      </c>
      <c r="C3846">
        <v>4903</v>
      </c>
      <c r="D3846" t="s">
        <v>24809</v>
      </c>
      <c r="E3846" t="s">
        <v>24810</v>
      </c>
      <c r="F3846" t="s">
        <v>79</v>
      </c>
      <c r="G3846" t="s">
        <v>24811</v>
      </c>
      <c r="H3846">
        <v>20.38</v>
      </c>
      <c r="I3846">
        <v>0</v>
      </c>
      <c r="J3846">
        <v>0</v>
      </c>
      <c r="K3846">
        <v>0</v>
      </c>
      <c r="N3846">
        <v>3</v>
      </c>
      <c r="O3846">
        <v>3</v>
      </c>
      <c r="P3846">
        <v>0</v>
      </c>
      <c r="Q3846">
        <v>0</v>
      </c>
      <c r="R3846">
        <v>23.38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H3846">
        <v>23.38</v>
      </c>
    </row>
    <row r="3847" spans="1:34" x14ac:dyDescent="0.3">
      <c r="A3847" s="4">
        <v>3963</v>
      </c>
      <c r="B3847" s="5">
        <v>3840</v>
      </c>
      <c r="C3847">
        <v>7463</v>
      </c>
      <c r="D3847" t="s">
        <v>24422</v>
      </c>
      <c r="E3847" t="s">
        <v>166</v>
      </c>
      <c r="F3847" t="s">
        <v>38</v>
      </c>
      <c r="G3847" t="s">
        <v>24812</v>
      </c>
      <c r="H3847">
        <v>20.38</v>
      </c>
      <c r="I3847">
        <v>0</v>
      </c>
      <c r="J3847">
        <v>0</v>
      </c>
      <c r="K3847">
        <v>0</v>
      </c>
      <c r="N3847">
        <v>3</v>
      </c>
      <c r="O3847">
        <v>3</v>
      </c>
      <c r="P3847">
        <v>0</v>
      </c>
      <c r="Q3847">
        <v>0</v>
      </c>
      <c r="R3847">
        <v>23.38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H3847">
        <v>23.38</v>
      </c>
    </row>
    <row r="3848" spans="1:34" x14ac:dyDescent="0.3">
      <c r="A3848" s="4">
        <v>3964</v>
      </c>
      <c r="B3848" s="5">
        <v>3841</v>
      </c>
      <c r="C3848">
        <v>5962</v>
      </c>
      <c r="D3848" t="s">
        <v>24813</v>
      </c>
      <c r="E3848" t="s">
        <v>30</v>
      </c>
      <c r="F3848" t="s">
        <v>158</v>
      </c>
      <c r="G3848" t="s">
        <v>24814</v>
      </c>
      <c r="H3848">
        <v>19.38</v>
      </c>
      <c r="I3848">
        <v>0</v>
      </c>
      <c r="J3848">
        <v>0</v>
      </c>
      <c r="K3848">
        <v>0</v>
      </c>
      <c r="O3848">
        <v>0</v>
      </c>
      <c r="P3848">
        <v>4</v>
      </c>
      <c r="Q3848">
        <v>0</v>
      </c>
      <c r="R3848">
        <v>23.38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H3848">
        <v>23.38</v>
      </c>
    </row>
    <row r="3849" spans="1:34" x14ac:dyDescent="0.3">
      <c r="A3849" s="4">
        <v>3965</v>
      </c>
      <c r="B3849" s="5">
        <v>3842</v>
      </c>
      <c r="C3849">
        <v>7851</v>
      </c>
      <c r="D3849" t="s">
        <v>24815</v>
      </c>
      <c r="E3849" t="s">
        <v>17657</v>
      </c>
      <c r="F3849" t="s">
        <v>158</v>
      </c>
      <c r="G3849" t="s">
        <v>24816</v>
      </c>
      <c r="H3849">
        <v>18.38</v>
      </c>
      <c r="I3849">
        <v>0</v>
      </c>
      <c r="J3849">
        <v>0</v>
      </c>
      <c r="K3849">
        <v>0</v>
      </c>
      <c r="M3849">
        <v>5</v>
      </c>
      <c r="O3849">
        <v>5</v>
      </c>
      <c r="P3849">
        <v>0</v>
      </c>
      <c r="Q3849">
        <v>0</v>
      </c>
      <c r="R3849">
        <v>23.38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H3849">
        <v>23.38</v>
      </c>
    </row>
    <row r="3850" spans="1:34" x14ac:dyDescent="0.3">
      <c r="A3850" s="4">
        <v>3966</v>
      </c>
      <c r="B3850" s="5">
        <v>3843</v>
      </c>
      <c r="C3850">
        <v>6800</v>
      </c>
      <c r="D3850" t="s">
        <v>21169</v>
      </c>
      <c r="E3850" t="s">
        <v>789</v>
      </c>
      <c r="F3850" t="s">
        <v>17</v>
      </c>
      <c r="G3850" t="s">
        <v>24817</v>
      </c>
      <c r="H3850">
        <v>16.38</v>
      </c>
      <c r="I3850">
        <v>0</v>
      </c>
      <c r="J3850">
        <v>0</v>
      </c>
      <c r="K3850">
        <v>0</v>
      </c>
      <c r="N3850">
        <v>3</v>
      </c>
      <c r="O3850">
        <v>3</v>
      </c>
      <c r="P3850">
        <v>4</v>
      </c>
      <c r="Q3850">
        <v>0</v>
      </c>
      <c r="R3850">
        <v>23.38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H3850">
        <v>23.38</v>
      </c>
    </row>
    <row r="3851" spans="1:34" x14ac:dyDescent="0.3">
      <c r="A3851" s="4">
        <v>3967</v>
      </c>
      <c r="B3851" s="5">
        <v>3844</v>
      </c>
      <c r="C3851">
        <v>14693</v>
      </c>
      <c r="D3851" t="s">
        <v>18598</v>
      </c>
      <c r="E3851" t="s">
        <v>858</v>
      </c>
      <c r="F3851" t="s">
        <v>30</v>
      </c>
      <c r="G3851" t="s">
        <v>24818</v>
      </c>
      <c r="H3851">
        <v>20.329999999999998</v>
      </c>
      <c r="I3851">
        <v>0</v>
      </c>
      <c r="J3851">
        <v>0</v>
      </c>
      <c r="K3851">
        <v>0</v>
      </c>
      <c r="N3851">
        <v>3</v>
      </c>
      <c r="O3851">
        <v>3</v>
      </c>
      <c r="P3851">
        <v>0</v>
      </c>
      <c r="Q3851">
        <v>0</v>
      </c>
      <c r="R3851">
        <v>23.33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H3851">
        <v>23.33</v>
      </c>
    </row>
    <row r="3852" spans="1:34" x14ac:dyDescent="0.3">
      <c r="A3852" s="4">
        <v>3968</v>
      </c>
      <c r="B3852" s="5">
        <v>3845</v>
      </c>
      <c r="C3852">
        <v>5787</v>
      </c>
      <c r="D3852" t="s">
        <v>24819</v>
      </c>
      <c r="E3852" t="s">
        <v>132</v>
      </c>
      <c r="F3852" t="s">
        <v>20</v>
      </c>
      <c r="G3852" t="s">
        <v>24820</v>
      </c>
      <c r="H3852">
        <v>16.329999999999998</v>
      </c>
      <c r="I3852">
        <v>0</v>
      </c>
      <c r="J3852">
        <v>0</v>
      </c>
      <c r="K3852">
        <v>0</v>
      </c>
      <c r="N3852">
        <v>3</v>
      </c>
      <c r="O3852">
        <v>3</v>
      </c>
      <c r="P3852">
        <v>4</v>
      </c>
      <c r="Q3852">
        <v>0</v>
      </c>
      <c r="R3852">
        <v>23.33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H3852">
        <v>23.33</v>
      </c>
    </row>
    <row r="3853" spans="1:34" x14ac:dyDescent="0.3">
      <c r="A3853" s="4">
        <v>3969</v>
      </c>
      <c r="B3853" s="5">
        <v>3846</v>
      </c>
      <c r="C3853">
        <v>14727</v>
      </c>
      <c r="D3853" t="s">
        <v>2916</v>
      </c>
      <c r="E3853" t="s">
        <v>1242</v>
      </c>
      <c r="F3853" t="s">
        <v>570</v>
      </c>
      <c r="G3853" t="s">
        <v>24821</v>
      </c>
      <c r="H3853">
        <v>17.3</v>
      </c>
      <c r="I3853">
        <v>0</v>
      </c>
      <c r="J3853">
        <v>0</v>
      </c>
      <c r="K3853">
        <v>0</v>
      </c>
      <c r="O3853">
        <v>0</v>
      </c>
      <c r="P3853">
        <v>0</v>
      </c>
      <c r="Q3853">
        <v>0</v>
      </c>
      <c r="R3853">
        <v>17.3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6</v>
      </c>
      <c r="AC3853">
        <v>0</v>
      </c>
      <c r="AH3853">
        <v>23.3</v>
      </c>
    </row>
    <row r="3854" spans="1:34" x14ac:dyDescent="0.3">
      <c r="A3854" s="4">
        <v>3970</v>
      </c>
      <c r="B3854" s="5">
        <v>3847</v>
      </c>
      <c r="C3854">
        <v>6133</v>
      </c>
      <c r="D3854" t="s">
        <v>24822</v>
      </c>
      <c r="E3854" t="s">
        <v>17</v>
      </c>
      <c r="F3854" t="s">
        <v>158</v>
      </c>
      <c r="G3854" t="s">
        <v>24823</v>
      </c>
      <c r="H3854">
        <v>17.3</v>
      </c>
      <c r="I3854">
        <v>0</v>
      </c>
      <c r="J3854">
        <v>0</v>
      </c>
      <c r="K3854">
        <v>0</v>
      </c>
      <c r="N3854">
        <v>3</v>
      </c>
      <c r="O3854">
        <v>3</v>
      </c>
      <c r="P3854">
        <v>0</v>
      </c>
      <c r="Q3854">
        <v>0</v>
      </c>
      <c r="R3854">
        <v>20.3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3</v>
      </c>
      <c r="AC3854">
        <v>0</v>
      </c>
      <c r="AH3854">
        <v>23.3</v>
      </c>
    </row>
    <row r="3855" spans="1:34" x14ac:dyDescent="0.3">
      <c r="A3855" s="4">
        <v>3971</v>
      </c>
      <c r="B3855" s="5">
        <v>3848</v>
      </c>
      <c r="C3855">
        <v>10085</v>
      </c>
      <c r="D3855" t="s">
        <v>24824</v>
      </c>
      <c r="E3855" t="s">
        <v>29</v>
      </c>
      <c r="F3855" t="s">
        <v>4873</v>
      </c>
      <c r="G3855" t="s">
        <v>24825</v>
      </c>
      <c r="H3855">
        <v>19.28</v>
      </c>
      <c r="I3855">
        <v>0</v>
      </c>
      <c r="J3855">
        <v>0</v>
      </c>
      <c r="K3855">
        <v>0</v>
      </c>
      <c r="O3855">
        <v>0</v>
      </c>
      <c r="P3855">
        <v>4</v>
      </c>
      <c r="Q3855">
        <v>0</v>
      </c>
      <c r="R3855">
        <v>23.28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H3855">
        <v>23.28</v>
      </c>
    </row>
    <row r="3856" spans="1:34" x14ac:dyDescent="0.3">
      <c r="A3856" s="4">
        <v>3972</v>
      </c>
      <c r="B3856" s="5">
        <v>3849</v>
      </c>
      <c r="C3856">
        <v>2543</v>
      </c>
      <c r="D3856" t="s">
        <v>24826</v>
      </c>
      <c r="E3856" t="s">
        <v>161</v>
      </c>
      <c r="F3856" t="s">
        <v>343</v>
      </c>
      <c r="G3856" t="s">
        <v>24827</v>
      </c>
      <c r="H3856">
        <v>19.25</v>
      </c>
      <c r="I3856">
        <v>0</v>
      </c>
      <c r="J3856">
        <v>0</v>
      </c>
      <c r="K3856">
        <v>0</v>
      </c>
      <c r="O3856">
        <v>0</v>
      </c>
      <c r="P3856">
        <v>4</v>
      </c>
      <c r="Q3856">
        <v>0</v>
      </c>
      <c r="R3856">
        <v>23.25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H3856">
        <v>23.25</v>
      </c>
    </row>
    <row r="3857" spans="1:34" x14ac:dyDescent="0.3">
      <c r="A3857" s="4">
        <v>3973</v>
      </c>
      <c r="B3857" s="5">
        <v>3850</v>
      </c>
      <c r="C3857">
        <v>2386</v>
      </c>
      <c r="D3857" t="s">
        <v>5144</v>
      </c>
      <c r="E3857" t="s">
        <v>166</v>
      </c>
      <c r="F3857" t="s">
        <v>105</v>
      </c>
      <c r="G3857" t="s">
        <v>24828</v>
      </c>
      <c r="H3857">
        <v>19.25</v>
      </c>
      <c r="I3857">
        <v>0</v>
      </c>
      <c r="J3857">
        <v>0</v>
      </c>
      <c r="K3857">
        <v>0</v>
      </c>
      <c r="O3857">
        <v>0</v>
      </c>
      <c r="P3857">
        <v>4</v>
      </c>
      <c r="Q3857">
        <v>0</v>
      </c>
      <c r="R3857">
        <v>23.25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H3857">
        <v>23.25</v>
      </c>
    </row>
    <row r="3858" spans="1:34" x14ac:dyDescent="0.3">
      <c r="A3858" s="4">
        <v>3974</v>
      </c>
      <c r="B3858" s="5">
        <v>3851</v>
      </c>
      <c r="C3858">
        <v>11474</v>
      </c>
      <c r="D3858" t="s">
        <v>24829</v>
      </c>
      <c r="E3858" t="s">
        <v>143</v>
      </c>
      <c r="F3858" t="s">
        <v>328</v>
      </c>
      <c r="G3858" t="s">
        <v>24830</v>
      </c>
      <c r="H3858">
        <v>19.25</v>
      </c>
      <c r="I3858">
        <v>0</v>
      </c>
      <c r="J3858">
        <v>0</v>
      </c>
      <c r="K3858">
        <v>0</v>
      </c>
      <c r="O3858">
        <v>0</v>
      </c>
      <c r="P3858">
        <v>4</v>
      </c>
      <c r="Q3858">
        <v>0</v>
      </c>
      <c r="R3858">
        <v>23.25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H3858">
        <v>23.25</v>
      </c>
    </row>
    <row r="3859" spans="1:34" x14ac:dyDescent="0.3">
      <c r="A3859" s="4">
        <v>3975</v>
      </c>
      <c r="B3859" s="5">
        <v>3852</v>
      </c>
      <c r="C3859">
        <v>8578</v>
      </c>
      <c r="D3859" t="s">
        <v>24831</v>
      </c>
      <c r="E3859" t="s">
        <v>560</v>
      </c>
      <c r="F3859" t="s">
        <v>38</v>
      </c>
      <c r="G3859" t="s">
        <v>24832</v>
      </c>
      <c r="H3859">
        <v>16.25</v>
      </c>
      <c r="I3859">
        <v>0</v>
      </c>
      <c r="J3859">
        <v>0</v>
      </c>
      <c r="K3859">
        <v>0</v>
      </c>
      <c r="L3859">
        <v>7</v>
      </c>
      <c r="O3859">
        <v>7</v>
      </c>
      <c r="P3859">
        <v>0</v>
      </c>
      <c r="Q3859">
        <v>0</v>
      </c>
      <c r="R3859">
        <v>23.25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H3859">
        <v>23.25</v>
      </c>
    </row>
    <row r="3860" spans="1:34" x14ac:dyDescent="0.3">
      <c r="A3860" s="4">
        <v>3976</v>
      </c>
      <c r="B3860" s="5">
        <v>3853</v>
      </c>
      <c r="C3860">
        <v>1543</v>
      </c>
      <c r="D3860" t="s">
        <v>7140</v>
      </c>
      <c r="E3860" t="s">
        <v>265</v>
      </c>
      <c r="F3860" t="s">
        <v>20</v>
      </c>
      <c r="G3860" t="s">
        <v>24833</v>
      </c>
      <c r="H3860">
        <v>20.23</v>
      </c>
      <c r="I3860">
        <v>0</v>
      </c>
      <c r="J3860">
        <v>0</v>
      </c>
      <c r="K3860">
        <v>0</v>
      </c>
      <c r="N3860">
        <v>3</v>
      </c>
      <c r="O3860">
        <v>3</v>
      </c>
      <c r="P3860">
        <v>0</v>
      </c>
      <c r="Q3860">
        <v>0</v>
      </c>
      <c r="R3860">
        <v>23.23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H3860">
        <v>23.23</v>
      </c>
    </row>
    <row r="3861" spans="1:34" x14ac:dyDescent="0.3">
      <c r="A3861" s="4">
        <v>3977</v>
      </c>
      <c r="B3861" s="5">
        <v>3854</v>
      </c>
      <c r="C3861">
        <v>14839</v>
      </c>
      <c r="D3861" t="s">
        <v>24834</v>
      </c>
      <c r="E3861" t="s">
        <v>149</v>
      </c>
      <c r="F3861" t="s">
        <v>91</v>
      </c>
      <c r="G3861" t="s">
        <v>24835</v>
      </c>
      <c r="H3861">
        <v>20.23</v>
      </c>
      <c r="I3861">
        <v>0</v>
      </c>
      <c r="J3861">
        <v>0</v>
      </c>
      <c r="K3861">
        <v>0</v>
      </c>
      <c r="N3861">
        <v>3</v>
      </c>
      <c r="O3861">
        <v>3</v>
      </c>
      <c r="P3861">
        <v>0</v>
      </c>
      <c r="Q3861">
        <v>0</v>
      </c>
      <c r="R3861">
        <v>23.23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H3861">
        <v>23.23</v>
      </c>
    </row>
    <row r="3862" spans="1:34" x14ac:dyDescent="0.3">
      <c r="A3862" s="4">
        <v>3978</v>
      </c>
      <c r="B3862" s="5">
        <v>3855</v>
      </c>
      <c r="C3862">
        <v>1087</v>
      </c>
      <c r="D3862" t="s">
        <v>24836</v>
      </c>
      <c r="E3862" t="s">
        <v>26</v>
      </c>
      <c r="F3862" t="s">
        <v>17</v>
      </c>
      <c r="G3862" t="s">
        <v>24837</v>
      </c>
      <c r="H3862">
        <v>18.23</v>
      </c>
      <c r="I3862">
        <v>0</v>
      </c>
      <c r="J3862">
        <v>0</v>
      </c>
      <c r="K3862">
        <v>0</v>
      </c>
      <c r="N3862">
        <v>3</v>
      </c>
      <c r="O3862">
        <v>3</v>
      </c>
      <c r="P3862">
        <v>0</v>
      </c>
      <c r="Q3862">
        <v>2</v>
      </c>
      <c r="R3862">
        <v>23.23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H3862">
        <v>23.23</v>
      </c>
    </row>
    <row r="3863" spans="1:34" x14ac:dyDescent="0.3">
      <c r="A3863" s="4">
        <v>3979</v>
      </c>
      <c r="B3863" s="5">
        <v>3856</v>
      </c>
      <c r="C3863">
        <v>4499</v>
      </c>
      <c r="D3863" t="s">
        <v>2961</v>
      </c>
      <c r="E3863" t="s">
        <v>97</v>
      </c>
      <c r="F3863" t="s">
        <v>346</v>
      </c>
      <c r="G3863" t="s">
        <v>24838</v>
      </c>
      <c r="H3863">
        <v>16.23</v>
      </c>
      <c r="I3863">
        <v>0</v>
      </c>
      <c r="J3863">
        <v>0</v>
      </c>
      <c r="K3863">
        <v>0</v>
      </c>
      <c r="N3863">
        <v>3</v>
      </c>
      <c r="O3863">
        <v>3</v>
      </c>
      <c r="P3863">
        <v>4</v>
      </c>
      <c r="Q3863">
        <v>0</v>
      </c>
      <c r="R3863">
        <v>23.23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H3863">
        <v>23.23</v>
      </c>
    </row>
    <row r="3864" spans="1:34" x14ac:dyDescent="0.3">
      <c r="A3864" s="4">
        <v>3980</v>
      </c>
      <c r="B3864" s="5">
        <v>3857</v>
      </c>
      <c r="C3864">
        <v>14900</v>
      </c>
      <c r="D3864" t="s">
        <v>5357</v>
      </c>
      <c r="E3864" t="s">
        <v>1659</v>
      </c>
      <c r="F3864" t="s">
        <v>20</v>
      </c>
      <c r="G3864" t="s">
        <v>24839</v>
      </c>
      <c r="H3864">
        <v>17.2</v>
      </c>
      <c r="I3864">
        <v>0</v>
      </c>
      <c r="J3864">
        <v>0</v>
      </c>
      <c r="K3864">
        <v>0</v>
      </c>
      <c r="N3864">
        <v>3</v>
      </c>
      <c r="O3864">
        <v>3</v>
      </c>
      <c r="P3864">
        <v>0</v>
      </c>
      <c r="Q3864">
        <v>0</v>
      </c>
      <c r="R3864">
        <v>20.2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3</v>
      </c>
      <c r="AC3864">
        <v>0</v>
      </c>
      <c r="AH3864">
        <v>23.2</v>
      </c>
    </row>
    <row r="3865" spans="1:34" x14ac:dyDescent="0.3">
      <c r="A3865" s="4">
        <v>3981</v>
      </c>
      <c r="B3865" s="5">
        <v>3858</v>
      </c>
      <c r="C3865">
        <v>4435</v>
      </c>
      <c r="D3865" t="s">
        <v>24840</v>
      </c>
      <c r="E3865" t="s">
        <v>170</v>
      </c>
      <c r="F3865" t="s">
        <v>2225</v>
      </c>
      <c r="G3865" t="s">
        <v>24841</v>
      </c>
      <c r="H3865">
        <v>19.2</v>
      </c>
      <c r="I3865">
        <v>0</v>
      </c>
      <c r="J3865">
        <v>0</v>
      </c>
      <c r="K3865">
        <v>0</v>
      </c>
      <c r="O3865">
        <v>0</v>
      </c>
      <c r="P3865">
        <v>4</v>
      </c>
      <c r="Q3865">
        <v>0</v>
      </c>
      <c r="R3865">
        <v>23.2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H3865">
        <v>23.2</v>
      </c>
    </row>
    <row r="3866" spans="1:34" x14ac:dyDescent="0.3">
      <c r="A3866" s="4">
        <v>3982</v>
      </c>
      <c r="B3866" s="5">
        <v>3859</v>
      </c>
      <c r="C3866">
        <v>11973</v>
      </c>
      <c r="D3866" t="s">
        <v>24842</v>
      </c>
      <c r="E3866" t="s">
        <v>26</v>
      </c>
      <c r="F3866" t="s">
        <v>17</v>
      </c>
      <c r="G3866" t="s">
        <v>24843</v>
      </c>
      <c r="H3866">
        <v>19.18</v>
      </c>
      <c r="I3866">
        <v>0</v>
      </c>
      <c r="J3866">
        <v>0</v>
      </c>
      <c r="K3866">
        <v>0</v>
      </c>
      <c r="O3866">
        <v>0</v>
      </c>
      <c r="P3866">
        <v>4</v>
      </c>
      <c r="Q3866">
        <v>0</v>
      </c>
      <c r="R3866">
        <v>23.18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H3866">
        <v>23.18</v>
      </c>
    </row>
    <row r="3867" spans="1:34" x14ac:dyDescent="0.3">
      <c r="A3867" s="4">
        <v>3983</v>
      </c>
      <c r="B3867" s="5">
        <v>3860</v>
      </c>
      <c r="C3867">
        <v>14520</v>
      </c>
      <c r="D3867" t="s">
        <v>24844</v>
      </c>
      <c r="E3867" t="s">
        <v>188</v>
      </c>
      <c r="F3867" t="s">
        <v>539</v>
      </c>
      <c r="G3867" t="s">
        <v>24845</v>
      </c>
      <c r="H3867">
        <v>19.149999999999999</v>
      </c>
      <c r="I3867">
        <v>0</v>
      </c>
      <c r="J3867">
        <v>0</v>
      </c>
      <c r="K3867">
        <v>0</v>
      </c>
      <c r="O3867">
        <v>0</v>
      </c>
      <c r="P3867">
        <v>4</v>
      </c>
      <c r="Q3867">
        <v>0</v>
      </c>
      <c r="R3867">
        <v>23.15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H3867">
        <v>23.15</v>
      </c>
    </row>
    <row r="3868" spans="1:34" x14ac:dyDescent="0.3">
      <c r="A3868" s="4">
        <v>3984</v>
      </c>
      <c r="B3868" s="5">
        <v>3861</v>
      </c>
      <c r="C3868">
        <v>14151</v>
      </c>
      <c r="D3868" t="s">
        <v>24846</v>
      </c>
      <c r="E3868" t="s">
        <v>30</v>
      </c>
      <c r="F3868" t="s">
        <v>81</v>
      </c>
      <c r="G3868" t="s">
        <v>24847</v>
      </c>
      <c r="H3868">
        <v>20.13</v>
      </c>
      <c r="I3868">
        <v>0</v>
      </c>
      <c r="J3868">
        <v>0</v>
      </c>
      <c r="K3868">
        <v>0</v>
      </c>
      <c r="N3868">
        <v>3</v>
      </c>
      <c r="O3868">
        <v>3</v>
      </c>
      <c r="P3868">
        <v>0</v>
      </c>
      <c r="Q3868">
        <v>0</v>
      </c>
      <c r="R3868">
        <v>23.13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H3868">
        <v>23.13</v>
      </c>
    </row>
    <row r="3869" spans="1:34" x14ac:dyDescent="0.3">
      <c r="A3869" s="4">
        <v>3985</v>
      </c>
      <c r="B3869" s="5">
        <v>3862</v>
      </c>
      <c r="C3869">
        <v>9178</v>
      </c>
      <c r="D3869" t="s">
        <v>18598</v>
      </c>
      <c r="E3869" t="s">
        <v>88</v>
      </c>
      <c r="F3869" t="s">
        <v>30</v>
      </c>
      <c r="G3869" t="s">
        <v>24848</v>
      </c>
      <c r="H3869">
        <v>20.100000000000001</v>
      </c>
      <c r="I3869">
        <v>0</v>
      </c>
      <c r="J3869">
        <v>0</v>
      </c>
      <c r="K3869">
        <v>0</v>
      </c>
      <c r="N3869">
        <v>3</v>
      </c>
      <c r="O3869">
        <v>3</v>
      </c>
      <c r="P3869">
        <v>0</v>
      </c>
      <c r="Q3869">
        <v>0</v>
      </c>
      <c r="R3869">
        <v>23.1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H3869">
        <v>23.1</v>
      </c>
    </row>
    <row r="3870" spans="1:34" x14ac:dyDescent="0.3">
      <c r="A3870" s="4">
        <v>3986</v>
      </c>
      <c r="B3870" s="5">
        <v>3863</v>
      </c>
      <c r="C3870">
        <v>13869</v>
      </c>
      <c r="D3870" t="s">
        <v>5130</v>
      </c>
      <c r="E3870" t="s">
        <v>182</v>
      </c>
      <c r="F3870" t="s">
        <v>81</v>
      </c>
      <c r="G3870" t="s">
        <v>24849</v>
      </c>
      <c r="H3870">
        <v>19.100000000000001</v>
      </c>
      <c r="I3870">
        <v>0</v>
      </c>
      <c r="J3870">
        <v>0</v>
      </c>
      <c r="K3870">
        <v>0</v>
      </c>
      <c r="O3870">
        <v>0</v>
      </c>
      <c r="P3870">
        <v>4</v>
      </c>
      <c r="Q3870">
        <v>0</v>
      </c>
      <c r="R3870">
        <v>23.1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H3870">
        <v>23.1</v>
      </c>
    </row>
    <row r="3871" spans="1:34" x14ac:dyDescent="0.3">
      <c r="A3871" s="4">
        <v>3987</v>
      </c>
      <c r="B3871" s="5">
        <v>3864</v>
      </c>
      <c r="C3871">
        <v>12529</v>
      </c>
      <c r="D3871" t="s">
        <v>24850</v>
      </c>
      <c r="E3871" t="s">
        <v>88</v>
      </c>
      <c r="F3871" t="s">
        <v>539</v>
      </c>
      <c r="G3871" t="s">
        <v>24851</v>
      </c>
      <c r="H3871">
        <v>19.100000000000001</v>
      </c>
      <c r="I3871">
        <v>0</v>
      </c>
      <c r="J3871">
        <v>0</v>
      </c>
      <c r="K3871">
        <v>0</v>
      </c>
      <c r="O3871">
        <v>0</v>
      </c>
      <c r="P3871">
        <v>4</v>
      </c>
      <c r="Q3871">
        <v>0</v>
      </c>
      <c r="R3871">
        <v>23.1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H3871">
        <v>23.1</v>
      </c>
    </row>
    <row r="3872" spans="1:34" x14ac:dyDescent="0.3">
      <c r="A3872" s="4">
        <v>3988</v>
      </c>
      <c r="B3872" s="5">
        <v>3865</v>
      </c>
      <c r="C3872">
        <v>7918</v>
      </c>
      <c r="D3872" t="s">
        <v>3181</v>
      </c>
      <c r="E3872" t="s">
        <v>789</v>
      </c>
      <c r="F3872" t="s">
        <v>17</v>
      </c>
      <c r="G3872" t="s">
        <v>24852</v>
      </c>
      <c r="H3872">
        <v>19.079999999999998</v>
      </c>
      <c r="I3872">
        <v>0</v>
      </c>
      <c r="J3872">
        <v>0</v>
      </c>
      <c r="K3872">
        <v>0</v>
      </c>
      <c r="O3872">
        <v>0</v>
      </c>
      <c r="P3872">
        <v>4</v>
      </c>
      <c r="Q3872">
        <v>0</v>
      </c>
      <c r="R3872">
        <v>23.08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H3872">
        <v>23.08</v>
      </c>
    </row>
    <row r="3873" spans="1:34" x14ac:dyDescent="0.3">
      <c r="A3873" s="4">
        <v>3989</v>
      </c>
      <c r="B3873" s="5">
        <v>3866</v>
      </c>
      <c r="C3873">
        <v>4610</v>
      </c>
      <c r="D3873" t="s">
        <v>93</v>
      </c>
      <c r="E3873" t="s">
        <v>390</v>
      </c>
      <c r="F3873" t="s">
        <v>179</v>
      </c>
      <c r="G3873" t="s">
        <v>24853</v>
      </c>
      <c r="H3873">
        <v>19.079999999999998</v>
      </c>
      <c r="I3873">
        <v>0</v>
      </c>
      <c r="J3873">
        <v>0</v>
      </c>
      <c r="K3873">
        <v>0</v>
      </c>
      <c r="O3873">
        <v>0</v>
      </c>
      <c r="P3873">
        <v>4</v>
      </c>
      <c r="Q3873">
        <v>0</v>
      </c>
      <c r="R3873">
        <v>23.08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H3873">
        <v>23.08</v>
      </c>
    </row>
    <row r="3874" spans="1:34" x14ac:dyDescent="0.3">
      <c r="A3874" s="4">
        <v>3990</v>
      </c>
      <c r="B3874" s="5">
        <v>3867</v>
      </c>
      <c r="C3874">
        <v>4927</v>
      </c>
      <c r="D3874" t="s">
        <v>663</v>
      </c>
      <c r="E3874" t="s">
        <v>24854</v>
      </c>
      <c r="F3874" t="s">
        <v>343</v>
      </c>
      <c r="G3874" t="s">
        <v>24855</v>
      </c>
      <c r="H3874">
        <v>20.03</v>
      </c>
      <c r="I3874">
        <v>0</v>
      </c>
      <c r="J3874">
        <v>0</v>
      </c>
      <c r="K3874">
        <v>0</v>
      </c>
      <c r="N3874">
        <v>3</v>
      </c>
      <c r="O3874">
        <v>3</v>
      </c>
      <c r="P3874">
        <v>0</v>
      </c>
      <c r="Q3874">
        <v>0</v>
      </c>
      <c r="R3874">
        <v>23.03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H3874">
        <v>23.03</v>
      </c>
    </row>
    <row r="3875" spans="1:34" x14ac:dyDescent="0.3">
      <c r="A3875" s="4">
        <v>3991</v>
      </c>
      <c r="B3875" s="5">
        <v>3868</v>
      </c>
      <c r="C3875">
        <v>3712</v>
      </c>
      <c r="D3875" t="s">
        <v>24590</v>
      </c>
      <c r="E3875" t="s">
        <v>54</v>
      </c>
      <c r="F3875" t="s">
        <v>136</v>
      </c>
      <c r="G3875" t="s">
        <v>24856</v>
      </c>
      <c r="H3875">
        <v>19.03</v>
      </c>
      <c r="I3875">
        <v>0</v>
      </c>
      <c r="J3875">
        <v>0</v>
      </c>
      <c r="K3875">
        <v>0</v>
      </c>
      <c r="O3875">
        <v>0</v>
      </c>
      <c r="P3875">
        <v>4</v>
      </c>
      <c r="Q3875">
        <v>0</v>
      </c>
      <c r="R3875">
        <v>23.03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H3875">
        <v>23.03</v>
      </c>
    </row>
    <row r="3876" spans="1:34" x14ac:dyDescent="0.3">
      <c r="A3876" s="4">
        <v>3992</v>
      </c>
      <c r="B3876" s="5">
        <v>3869</v>
      </c>
      <c r="C3876">
        <v>11200</v>
      </c>
      <c r="D3876" t="s">
        <v>11242</v>
      </c>
      <c r="E3876" t="s">
        <v>161</v>
      </c>
      <c r="F3876" t="s">
        <v>1806</v>
      </c>
      <c r="G3876" t="s">
        <v>24857</v>
      </c>
      <c r="H3876">
        <v>19.03</v>
      </c>
      <c r="I3876">
        <v>0</v>
      </c>
      <c r="J3876">
        <v>0</v>
      </c>
      <c r="K3876">
        <v>0</v>
      </c>
      <c r="O3876">
        <v>0</v>
      </c>
      <c r="P3876">
        <v>4</v>
      </c>
      <c r="Q3876">
        <v>0</v>
      </c>
      <c r="R3876">
        <v>23.03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H3876">
        <v>23.03</v>
      </c>
    </row>
    <row r="3877" spans="1:34" x14ac:dyDescent="0.3">
      <c r="A3877" s="4">
        <v>3993</v>
      </c>
      <c r="B3877" s="5">
        <v>3870</v>
      </c>
      <c r="C3877">
        <v>3267</v>
      </c>
      <c r="D3877" t="s">
        <v>438</v>
      </c>
      <c r="E3877" t="s">
        <v>935</v>
      </c>
      <c r="F3877" t="s">
        <v>81</v>
      </c>
      <c r="G3877" t="s">
        <v>24858</v>
      </c>
      <c r="H3877">
        <v>16</v>
      </c>
      <c r="I3877">
        <v>0</v>
      </c>
      <c r="J3877">
        <v>0</v>
      </c>
      <c r="K3877">
        <v>0</v>
      </c>
      <c r="L3877">
        <v>7</v>
      </c>
      <c r="O3877">
        <v>7</v>
      </c>
      <c r="P3877">
        <v>0</v>
      </c>
      <c r="Q3877">
        <v>0</v>
      </c>
      <c r="R3877">
        <v>23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H3877">
        <v>23</v>
      </c>
    </row>
    <row r="3878" spans="1:34" x14ac:dyDescent="0.3">
      <c r="A3878" s="4">
        <v>3994</v>
      </c>
      <c r="B3878" s="5">
        <v>3871</v>
      </c>
      <c r="C3878">
        <v>10452</v>
      </c>
      <c r="D3878" t="s">
        <v>994</v>
      </c>
      <c r="E3878" t="s">
        <v>22</v>
      </c>
      <c r="F3878" t="s">
        <v>117</v>
      </c>
      <c r="G3878" t="s">
        <v>24859</v>
      </c>
      <c r="H3878">
        <v>18.98</v>
      </c>
      <c r="I3878">
        <v>0</v>
      </c>
      <c r="J3878">
        <v>0</v>
      </c>
      <c r="K3878">
        <v>0</v>
      </c>
      <c r="O3878">
        <v>0</v>
      </c>
      <c r="P3878">
        <v>4</v>
      </c>
      <c r="Q3878">
        <v>0</v>
      </c>
      <c r="R3878">
        <v>22.98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H3878">
        <v>22.98</v>
      </c>
    </row>
    <row r="3879" spans="1:34" x14ac:dyDescent="0.3">
      <c r="A3879" s="4">
        <v>3995</v>
      </c>
      <c r="B3879" s="5">
        <v>3872</v>
      </c>
      <c r="C3879">
        <v>9640</v>
      </c>
      <c r="D3879" t="s">
        <v>24860</v>
      </c>
      <c r="E3879" t="s">
        <v>575</v>
      </c>
      <c r="F3879" t="s">
        <v>570</v>
      </c>
      <c r="G3879" t="s">
        <v>24861</v>
      </c>
      <c r="H3879">
        <v>15.95</v>
      </c>
      <c r="I3879">
        <v>0</v>
      </c>
      <c r="J3879">
        <v>0</v>
      </c>
      <c r="K3879">
        <v>0</v>
      </c>
      <c r="N3879">
        <v>3</v>
      </c>
      <c r="O3879">
        <v>3</v>
      </c>
      <c r="P3879">
        <v>4</v>
      </c>
      <c r="Q3879">
        <v>0</v>
      </c>
      <c r="R3879">
        <v>22.95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H3879">
        <v>22.95</v>
      </c>
    </row>
    <row r="3880" spans="1:34" x14ac:dyDescent="0.3">
      <c r="A3880" s="4">
        <v>3996</v>
      </c>
      <c r="B3880" s="5">
        <v>3873</v>
      </c>
      <c r="C3880">
        <v>6895</v>
      </c>
      <c r="D3880" t="s">
        <v>24862</v>
      </c>
      <c r="E3880" t="s">
        <v>26</v>
      </c>
      <c r="F3880" t="s">
        <v>17</v>
      </c>
      <c r="G3880" t="s">
        <v>24863</v>
      </c>
      <c r="H3880">
        <v>19.93</v>
      </c>
      <c r="I3880">
        <v>0</v>
      </c>
      <c r="J3880">
        <v>0</v>
      </c>
      <c r="K3880">
        <v>0</v>
      </c>
      <c r="N3880">
        <v>3</v>
      </c>
      <c r="O3880">
        <v>3</v>
      </c>
      <c r="P3880">
        <v>0</v>
      </c>
      <c r="Q3880">
        <v>0</v>
      </c>
      <c r="R3880">
        <v>22.93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H3880">
        <v>22.93</v>
      </c>
    </row>
    <row r="3881" spans="1:34" x14ac:dyDescent="0.3">
      <c r="A3881" s="4">
        <v>3997</v>
      </c>
      <c r="B3881" s="5">
        <v>3874</v>
      </c>
      <c r="C3881">
        <v>12430</v>
      </c>
      <c r="D3881" t="s">
        <v>24864</v>
      </c>
      <c r="E3881" t="s">
        <v>158</v>
      </c>
      <c r="F3881" t="s">
        <v>2557</v>
      </c>
      <c r="G3881" t="s">
        <v>24865</v>
      </c>
      <c r="H3881">
        <v>18.93</v>
      </c>
      <c r="I3881">
        <v>0</v>
      </c>
      <c r="J3881">
        <v>0</v>
      </c>
      <c r="K3881">
        <v>0</v>
      </c>
      <c r="O3881">
        <v>0</v>
      </c>
      <c r="P3881">
        <v>4</v>
      </c>
      <c r="Q3881">
        <v>0</v>
      </c>
      <c r="R3881">
        <v>22.93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H3881">
        <v>22.93</v>
      </c>
    </row>
    <row r="3882" spans="1:34" x14ac:dyDescent="0.3">
      <c r="A3882" s="4">
        <v>3998</v>
      </c>
      <c r="B3882" s="5">
        <v>3875</v>
      </c>
      <c r="C3882">
        <v>7801</v>
      </c>
      <c r="D3882" t="s">
        <v>24866</v>
      </c>
      <c r="E3882" t="s">
        <v>81</v>
      </c>
      <c r="F3882" t="s">
        <v>1023</v>
      </c>
      <c r="G3882" t="s">
        <v>24867</v>
      </c>
      <c r="H3882">
        <v>15.93</v>
      </c>
      <c r="I3882">
        <v>0</v>
      </c>
      <c r="J3882">
        <v>0</v>
      </c>
      <c r="K3882">
        <v>0</v>
      </c>
      <c r="N3882">
        <v>3</v>
      </c>
      <c r="O3882">
        <v>3</v>
      </c>
      <c r="P3882">
        <v>4</v>
      </c>
      <c r="Q3882">
        <v>0</v>
      </c>
      <c r="R3882">
        <v>22.93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H3882">
        <v>22.93</v>
      </c>
    </row>
    <row r="3883" spans="1:34" x14ac:dyDescent="0.3">
      <c r="A3883" s="4">
        <v>3999</v>
      </c>
      <c r="B3883" s="5">
        <v>3876</v>
      </c>
      <c r="C3883">
        <v>6495</v>
      </c>
      <c r="D3883" t="s">
        <v>24868</v>
      </c>
      <c r="E3883" t="s">
        <v>24869</v>
      </c>
      <c r="F3883" t="s">
        <v>62</v>
      </c>
      <c r="G3883" t="s">
        <v>24870</v>
      </c>
      <c r="H3883">
        <v>18.899999999999999</v>
      </c>
      <c r="I3883">
        <v>0</v>
      </c>
      <c r="J3883">
        <v>0</v>
      </c>
      <c r="K3883">
        <v>0</v>
      </c>
      <c r="O3883">
        <v>0</v>
      </c>
      <c r="P3883">
        <v>4</v>
      </c>
      <c r="Q3883">
        <v>0</v>
      </c>
      <c r="R3883">
        <v>22.9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H3883">
        <v>22.9</v>
      </c>
    </row>
    <row r="3884" spans="1:34" x14ac:dyDescent="0.3">
      <c r="A3884" s="4">
        <v>4000</v>
      </c>
      <c r="B3884" s="5">
        <v>3877</v>
      </c>
      <c r="C3884">
        <v>15531</v>
      </c>
      <c r="D3884" t="s">
        <v>181</v>
      </c>
      <c r="E3884" t="s">
        <v>149</v>
      </c>
      <c r="F3884" t="s">
        <v>68</v>
      </c>
      <c r="G3884" t="s">
        <v>24871</v>
      </c>
      <c r="H3884">
        <v>18.899999999999999</v>
      </c>
      <c r="I3884">
        <v>0</v>
      </c>
      <c r="J3884">
        <v>0</v>
      </c>
      <c r="K3884">
        <v>0</v>
      </c>
      <c r="O3884">
        <v>0</v>
      </c>
      <c r="P3884">
        <v>4</v>
      </c>
      <c r="Q3884">
        <v>0</v>
      </c>
      <c r="R3884">
        <v>22.9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H3884">
        <v>22.9</v>
      </c>
    </row>
    <row r="3885" spans="1:34" x14ac:dyDescent="0.3">
      <c r="A3885" s="4">
        <v>4001</v>
      </c>
      <c r="B3885" s="5">
        <v>3878</v>
      </c>
      <c r="C3885">
        <v>13804</v>
      </c>
      <c r="D3885" t="s">
        <v>7840</v>
      </c>
      <c r="E3885" t="s">
        <v>26</v>
      </c>
      <c r="F3885" t="s">
        <v>91</v>
      </c>
      <c r="G3885" t="s">
        <v>24872</v>
      </c>
      <c r="H3885">
        <v>18.899999999999999</v>
      </c>
      <c r="I3885">
        <v>0</v>
      </c>
      <c r="J3885">
        <v>0</v>
      </c>
      <c r="K3885">
        <v>0</v>
      </c>
      <c r="O3885">
        <v>0</v>
      </c>
      <c r="P3885">
        <v>4</v>
      </c>
      <c r="Q3885">
        <v>0</v>
      </c>
      <c r="R3885">
        <v>22.9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H3885">
        <v>22.9</v>
      </c>
    </row>
    <row r="3886" spans="1:34" x14ac:dyDescent="0.3">
      <c r="A3886" s="4">
        <v>4002</v>
      </c>
      <c r="B3886" s="5">
        <v>3879</v>
      </c>
      <c r="C3886">
        <v>12371</v>
      </c>
      <c r="D3886" t="s">
        <v>24873</v>
      </c>
      <c r="E3886" t="s">
        <v>24874</v>
      </c>
      <c r="F3886" t="s">
        <v>24875</v>
      </c>
      <c r="G3886" t="s">
        <v>24876</v>
      </c>
      <c r="H3886">
        <v>18.899999999999999</v>
      </c>
      <c r="I3886">
        <v>0</v>
      </c>
      <c r="J3886">
        <v>0</v>
      </c>
      <c r="K3886">
        <v>0</v>
      </c>
      <c r="O3886">
        <v>0</v>
      </c>
      <c r="P3886">
        <v>4</v>
      </c>
      <c r="Q3886">
        <v>0</v>
      </c>
      <c r="R3886">
        <v>22.9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H3886">
        <v>22.9</v>
      </c>
    </row>
    <row r="3887" spans="1:34" x14ac:dyDescent="0.3">
      <c r="A3887" s="4">
        <v>4003</v>
      </c>
      <c r="B3887" s="5">
        <v>3880</v>
      </c>
      <c r="C3887">
        <v>136</v>
      </c>
      <c r="D3887" t="s">
        <v>3033</v>
      </c>
      <c r="E3887" t="s">
        <v>1474</v>
      </c>
      <c r="F3887" t="s">
        <v>20</v>
      </c>
      <c r="G3887" t="s">
        <v>24877</v>
      </c>
      <c r="H3887">
        <v>15.9</v>
      </c>
      <c r="I3887">
        <v>0</v>
      </c>
      <c r="J3887">
        <v>0</v>
      </c>
      <c r="K3887">
        <v>0</v>
      </c>
      <c r="N3887">
        <v>3</v>
      </c>
      <c r="O3887">
        <v>3</v>
      </c>
      <c r="P3887">
        <v>4</v>
      </c>
      <c r="Q3887">
        <v>0</v>
      </c>
      <c r="R3887">
        <v>22.9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H3887">
        <v>22.9</v>
      </c>
    </row>
    <row r="3888" spans="1:34" x14ac:dyDescent="0.3">
      <c r="A3888" s="4">
        <v>4004</v>
      </c>
      <c r="B3888" s="5">
        <v>3881</v>
      </c>
      <c r="C3888">
        <v>9382</v>
      </c>
      <c r="D3888" t="s">
        <v>24878</v>
      </c>
      <c r="E3888" t="s">
        <v>24879</v>
      </c>
      <c r="F3888" t="s">
        <v>24880</v>
      </c>
      <c r="G3888" t="s">
        <v>24881</v>
      </c>
      <c r="H3888">
        <v>19.8</v>
      </c>
      <c r="I3888">
        <v>0</v>
      </c>
      <c r="J3888">
        <v>0</v>
      </c>
      <c r="K3888">
        <v>0</v>
      </c>
      <c r="N3888">
        <v>3</v>
      </c>
      <c r="O3888">
        <v>3</v>
      </c>
      <c r="P3888">
        <v>0</v>
      </c>
      <c r="Q3888">
        <v>0</v>
      </c>
      <c r="R3888">
        <v>22.8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H3888">
        <v>22.8</v>
      </c>
    </row>
    <row r="3889" spans="1:34" x14ac:dyDescent="0.3">
      <c r="A3889" s="4">
        <v>4005</v>
      </c>
      <c r="B3889" s="5">
        <v>3882</v>
      </c>
      <c r="C3889">
        <v>2562</v>
      </c>
      <c r="D3889" t="s">
        <v>24882</v>
      </c>
      <c r="E3889" t="s">
        <v>100</v>
      </c>
      <c r="F3889" t="s">
        <v>68</v>
      </c>
      <c r="G3889" t="s">
        <v>24883</v>
      </c>
      <c r="H3889">
        <v>18.8</v>
      </c>
      <c r="I3889">
        <v>0</v>
      </c>
      <c r="J3889">
        <v>0</v>
      </c>
      <c r="K3889">
        <v>0</v>
      </c>
      <c r="O3889">
        <v>0</v>
      </c>
      <c r="P3889">
        <v>4</v>
      </c>
      <c r="Q3889">
        <v>0</v>
      </c>
      <c r="R3889">
        <v>22.8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H3889">
        <v>22.8</v>
      </c>
    </row>
    <row r="3890" spans="1:34" x14ac:dyDescent="0.3">
      <c r="A3890" s="4">
        <v>4006</v>
      </c>
      <c r="B3890" s="5">
        <v>3883</v>
      </c>
      <c r="C3890">
        <v>2761</v>
      </c>
      <c r="D3890" t="s">
        <v>24884</v>
      </c>
      <c r="E3890" t="s">
        <v>626</v>
      </c>
      <c r="F3890" t="s">
        <v>14</v>
      </c>
      <c r="G3890" t="s">
        <v>24885</v>
      </c>
      <c r="H3890">
        <v>16.8</v>
      </c>
      <c r="I3890">
        <v>0</v>
      </c>
      <c r="J3890">
        <v>0</v>
      </c>
      <c r="K3890">
        <v>0</v>
      </c>
      <c r="O3890">
        <v>0</v>
      </c>
      <c r="P3890">
        <v>4</v>
      </c>
      <c r="Q3890">
        <v>2</v>
      </c>
      <c r="R3890">
        <v>22.8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H3890">
        <v>22.8</v>
      </c>
    </row>
    <row r="3891" spans="1:34" x14ac:dyDescent="0.3">
      <c r="A3891" s="4">
        <v>4007</v>
      </c>
      <c r="B3891" s="5">
        <v>3884</v>
      </c>
      <c r="C3891">
        <v>12483</v>
      </c>
      <c r="D3891" t="s">
        <v>24886</v>
      </c>
      <c r="E3891" t="s">
        <v>380</v>
      </c>
      <c r="F3891" t="s">
        <v>343</v>
      </c>
      <c r="G3891" t="s">
        <v>24887</v>
      </c>
      <c r="H3891">
        <v>15.8</v>
      </c>
      <c r="I3891">
        <v>0</v>
      </c>
      <c r="J3891">
        <v>0</v>
      </c>
      <c r="K3891">
        <v>0</v>
      </c>
      <c r="N3891">
        <v>3</v>
      </c>
      <c r="O3891">
        <v>3</v>
      </c>
      <c r="P3891">
        <v>4</v>
      </c>
      <c r="Q3891">
        <v>0</v>
      </c>
      <c r="R3891">
        <v>22.8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H3891">
        <v>22.8</v>
      </c>
    </row>
    <row r="3892" spans="1:34" x14ac:dyDescent="0.3">
      <c r="A3892" s="4">
        <v>4008</v>
      </c>
      <c r="B3892" s="5">
        <v>3885</v>
      </c>
      <c r="C3892">
        <v>13105</v>
      </c>
      <c r="D3892" t="s">
        <v>24888</v>
      </c>
      <c r="E3892" t="s">
        <v>166</v>
      </c>
      <c r="F3892" t="s">
        <v>7576</v>
      </c>
      <c r="G3892" t="s">
        <v>24889</v>
      </c>
      <c r="H3892">
        <v>19.78</v>
      </c>
      <c r="I3892">
        <v>0</v>
      </c>
      <c r="J3892">
        <v>0</v>
      </c>
      <c r="K3892">
        <v>0</v>
      </c>
      <c r="N3892">
        <v>3</v>
      </c>
      <c r="O3892">
        <v>3</v>
      </c>
      <c r="P3892">
        <v>0</v>
      </c>
      <c r="Q3892">
        <v>0</v>
      </c>
      <c r="R3892">
        <v>22.78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H3892">
        <v>22.78</v>
      </c>
    </row>
    <row r="3893" spans="1:34" x14ac:dyDescent="0.3">
      <c r="A3893" s="4">
        <v>4009</v>
      </c>
      <c r="B3893" s="5">
        <v>3886</v>
      </c>
      <c r="C3893">
        <v>9507</v>
      </c>
      <c r="D3893" t="s">
        <v>24890</v>
      </c>
      <c r="E3893" t="s">
        <v>29</v>
      </c>
      <c r="F3893" t="s">
        <v>259</v>
      </c>
      <c r="G3893" t="s">
        <v>24891</v>
      </c>
      <c r="H3893">
        <v>18.78</v>
      </c>
      <c r="I3893">
        <v>0</v>
      </c>
      <c r="J3893">
        <v>0</v>
      </c>
      <c r="K3893">
        <v>0</v>
      </c>
      <c r="O3893">
        <v>0</v>
      </c>
      <c r="P3893">
        <v>4</v>
      </c>
      <c r="Q3893">
        <v>0</v>
      </c>
      <c r="R3893">
        <v>22.78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H3893">
        <v>22.78</v>
      </c>
    </row>
    <row r="3894" spans="1:34" x14ac:dyDescent="0.3">
      <c r="A3894" s="4">
        <v>4010</v>
      </c>
      <c r="B3894" s="5">
        <v>3887</v>
      </c>
      <c r="C3894">
        <v>5688</v>
      </c>
      <c r="D3894" t="s">
        <v>24892</v>
      </c>
      <c r="E3894" t="s">
        <v>170</v>
      </c>
      <c r="F3894" t="s">
        <v>570</v>
      </c>
      <c r="G3894" t="s">
        <v>24893</v>
      </c>
      <c r="H3894">
        <v>15.78</v>
      </c>
      <c r="I3894">
        <v>0</v>
      </c>
      <c r="J3894">
        <v>0</v>
      </c>
      <c r="K3894">
        <v>0</v>
      </c>
      <c r="N3894">
        <v>3</v>
      </c>
      <c r="O3894">
        <v>3</v>
      </c>
      <c r="P3894">
        <v>4</v>
      </c>
      <c r="Q3894">
        <v>0</v>
      </c>
      <c r="R3894">
        <v>22.78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H3894">
        <v>22.78</v>
      </c>
    </row>
    <row r="3895" spans="1:34" x14ac:dyDescent="0.3">
      <c r="A3895" s="4">
        <v>4011</v>
      </c>
      <c r="B3895" s="5">
        <v>3888</v>
      </c>
      <c r="C3895">
        <v>13571</v>
      </c>
      <c r="D3895" t="s">
        <v>24894</v>
      </c>
      <c r="E3895" t="s">
        <v>132</v>
      </c>
      <c r="F3895" t="s">
        <v>136</v>
      </c>
      <c r="G3895" t="s">
        <v>24895</v>
      </c>
      <c r="H3895">
        <v>16.75</v>
      </c>
      <c r="I3895">
        <v>0</v>
      </c>
      <c r="J3895">
        <v>0</v>
      </c>
      <c r="K3895">
        <v>0</v>
      </c>
      <c r="O3895">
        <v>0</v>
      </c>
      <c r="P3895">
        <v>0</v>
      </c>
      <c r="Q3895">
        <v>0</v>
      </c>
      <c r="R3895">
        <v>16.75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6</v>
      </c>
      <c r="AC3895">
        <v>0</v>
      </c>
      <c r="AH3895">
        <v>22.75</v>
      </c>
    </row>
    <row r="3896" spans="1:34" x14ac:dyDescent="0.3">
      <c r="A3896" s="4">
        <v>4012</v>
      </c>
      <c r="B3896" s="5">
        <v>3889</v>
      </c>
      <c r="C3896">
        <v>6691</v>
      </c>
      <c r="D3896" t="s">
        <v>2132</v>
      </c>
      <c r="E3896" t="s">
        <v>29</v>
      </c>
      <c r="F3896" t="s">
        <v>190</v>
      </c>
      <c r="G3896" t="s">
        <v>24896</v>
      </c>
      <c r="H3896">
        <v>16.75</v>
      </c>
      <c r="I3896">
        <v>0</v>
      </c>
      <c r="J3896">
        <v>0</v>
      </c>
      <c r="K3896">
        <v>0</v>
      </c>
      <c r="N3896">
        <v>3</v>
      </c>
      <c r="O3896">
        <v>3</v>
      </c>
      <c r="P3896">
        <v>0</v>
      </c>
      <c r="Q3896">
        <v>0</v>
      </c>
      <c r="R3896">
        <v>19.75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3</v>
      </c>
      <c r="AC3896">
        <v>0</v>
      </c>
      <c r="AH3896">
        <v>22.75</v>
      </c>
    </row>
    <row r="3897" spans="1:34" x14ac:dyDescent="0.3">
      <c r="A3897" s="4">
        <v>4013</v>
      </c>
      <c r="B3897" s="5">
        <v>3890</v>
      </c>
      <c r="C3897">
        <v>6449</v>
      </c>
      <c r="D3897" t="s">
        <v>3155</v>
      </c>
      <c r="E3897" t="s">
        <v>22</v>
      </c>
      <c r="F3897" t="s">
        <v>124</v>
      </c>
      <c r="G3897" t="s">
        <v>24897</v>
      </c>
      <c r="H3897">
        <v>18.75</v>
      </c>
      <c r="I3897">
        <v>0</v>
      </c>
      <c r="J3897">
        <v>0</v>
      </c>
      <c r="K3897">
        <v>0</v>
      </c>
      <c r="O3897">
        <v>0</v>
      </c>
      <c r="P3897">
        <v>4</v>
      </c>
      <c r="Q3897">
        <v>0</v>
      </c>
      <c r="R3897">
        <v>22.75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H3897">
        <v>22.75</v>
      </c>
    </row>
    <row r="3898" spans="1:34" x14ac:dyDescent="0.3">
      <c r="A3898" s="4">
        <v>4014</v>
      </c>
      <c r="B3898" s="5">
        <v>3891</v>
      </c>
      <c r="C3898">
        <v>6965</v>
      </c>
      <c r="D3898" t="s">
        <v>24898</v>
      </c>
      <c r="E3898" t="s">
        <v>54</v>
      </c>
      <c r="F3898" t="s">
        <v>81</v>
      </c>
      <c r="G3898" t="s">
        <v>24899</v>
      </c>
      <c r="H3898">
        <v>18.73</v>
      </c>
      <c r="I3898">
        <v>0</v>
      </c>
      <c r="J3898">
        <v>0</v>
      </c>
      <c r="K3898">
        <v>0</v>
      </c>
      <c r="O3898">
        <v>0</v>
      </c>
      <c r="P3898">
        <v>4</v>
      </c>
      <c r="Q3898">
        <v>0</v>
      </c>
      <c r="R3898">
        <v>22.73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H3898">
        <v>22.73</v>
      </c>
    </row>
    <row r="3899" spans="1:34" x14ac:dyDescent="0.3">
      <c r="A3899" s="4">
        <v>4015</v>
      </c>
      <c r="B3899" s="5">
        <v>3892</v>
      </c>
      <c r="C3899">
        <v>1347</v>
      </c>
      <c r="D3899" t="s">
        <v>5712</v>
      </c>
      <c r="E3899" t="s">
        <v>29</v>
      </c>
      <c r="F3899" t="s">
        <v>4176</v>
      </c>
      <c r="G3899" t="s">
        <v>24900</v>
      </c>
      <c r="H3899">
        <v>18.73</v>
      </c>
      <c r="I3899">
        <v>0</v>
      </c>
      <c r="J3899">
        <v>0</v>
      </c>
      <c r="K3899">
        <v>0</v>
      </c>
      <c r="O3899">
        <v>0</v>
      </c>
      <c r="P3899">
        <v>4</v>
      </c>
      <c r="Q3899">
        <v>0</v>
      </c>
      <c r="R3899">
        <v>22.73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H3899">
        <v>22.73</v>
      </c>
    </row>
    <row r="3900" spans="1:34" x14ac:dyDescent="0.3">
      <c r="A3900" s="4">
        <v>4016</v>
      </c>
      <c r="B3900" s="5">
        <v>3893</v>
      </c>
      <c r="C3900">
        <v>575</v>
      </c>
      <c r="D3900" t="s">
        <v>14354</v>
      </c>
      <c r="E3900" t="s">
        <v>110</v>
      </c>
      <c r="F3900" t="s">
        <v>539</v>
      </c>
      <c r="G3900" t="s">
        <v>24901</v>
      </c>
      <c r="H3900">
        <v>18.73</v>
      </c>
      <c r="I3900">
        <v>0</v>
      </c>
      <c r="J3900">
        <v>0</v>
      </c>
      <c r="K3900">
        <v>0</v>
      </c>
      <c r="O3900">
        <v>0</v>
      </c>
      <c r="P3900">
        <v>4</v>
      </c>
      <c r="Q3900">
        <v>0</v>
      </c>
      <c r="R3900">
        <v>22.73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H3900">
        <v>22.73</v>
      </c>
    </row>
    <row r="3901" spans="1:34" x14ac:dyDescent="0.3">
      <c r="A3901" s="4">
        <v>4017</v>
      </c>
      <c r="B3901" s="5">
        <v>3894</v>
      </c>
      <c r="C3901">
        <v>2803</v>
      </c>
      <c r="D3901" t="s">
        <v>14878</v>
      </c>
      <c r="E3901" t="s">
        <v>38</v>
      </c>
      <c r="F3901" t="s">
        <v>81</v>
      </c>
      <c r="G3901" t="s">
        <v>24902</v>
      </c>
      <c r="H3901">
        <v>18.73</v>
      </c>
      <c r="I3901">
        <v>0</v>
      </c>
      <c r="J3901">
        <v>0</v>
      </c>
      <c r="K3901">
        <v>0</v>
      </c>
      <c r="O3901">
        <v>0</v>
      </c>
      <c r="P3901">
        <v>4</v>
      </c>
      <c r="Q3901">
        <v>0</v>
      </c>
      <c r="R3901">
        <v>22.73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H3901">
        <v>22.73</v>
      </c>
    </row>
    <row r="3902" spans="1:34" x14ac:dyDescent="0.3">
      <c r="A3902" s="4">
        <v>4018</v>
      </c>
      <c r="B3902" s="5">
        <v>3895</v>
      </c>
      <c r="C3902">
        <v>14209</v>
      </c>
      <c r="D3902" t="s">
        <v>24903</v>
      </c>
      <c r="E3902" t="s">
        <v>81</v>
      </c>
      <c r="F3902" t="s">
        <v>38</v>
      </c>
      <c r="G3902" t="s">
        <v>24904</v>
      </c>
      <c r="H3902">
        <v>15.7</v>
      </c>
      <c r="I3902">
        <v>0</v>
      </c>
      <c r="J3902">
        <v>0</v>
      </c>
      <c r="K3902">
        <v>0</v>
      </c>
      <c r="O3902">
        <v>0</v>
      </c>
      <c r="P3902">
        <v>4</v>
      </c>
      <c r="Q3902">
        <v>0</v>
      </c>
      <c r="R3902">
        <v>19.7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3</v>
      </c>
      <c r="AC3902">
        <v>0</v>
      </c>
      <c r="AH3902">
        <v>22.7</v>
      </c>
    </row>
    <row r="3903" spans="1:34" x14ac:dyDescent="0.3">
      <c r="A3903" s="4">
        <v>4019</v>
      </c>
      <c r="B3903" s="5">
        <v>3896</v>
      </c>
      <c r="C3903">
        <v>9969</v>
      </c>
      <c r="D3903" t="s">
        <v>6353</v>
      </c>
      <c r="E3903" t="s">
        <v>29</v>
      </c>
      <c r="F3903" t="s">
        <v>190</v>
      </c>
      <c r="H3903">
        <v>19.7</v>
      </c>
      <c r="I3903">
        <v>0</v>
      </c>
      <c r="J3903">
        <v>0</v>
      </c>
      <c r="K3903">
        <v>0</v>
      </c>
      <c r="N3903">
        <v>3</v>
      </c>
      <c r="O3903">
        <v>3</v>
      </c>
      <c r="P3903">
        <v>0</v>
      </c>
      <c r="Q3903">
        <v>0</v>
      </c>
      <c r="R3903">
        <v>22.7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H3903">
        <v>22.7</v>
      </c>
    </row>
    <row r="3904" spans="1:34" x14ac:dyDescent="0.3">
      <c r="A3904" s="4">
        <v>4020</v>
      </c>
      <c r="B3904" s="5">
        <v>3897</v>
      </c>
      <c r="C3904">
        <v>9074</v>
      </c>
      <c r="D3904" t="s">
        <v>788</v>
      </c>
      <c r="E3904" t="s">
        <v>188</v>
      </c>
      <c r="F3904" t="s">
        <v>17</v>
      </c>
      <c r="G3904" t="s">
        <v>24905</v>
      </c>
      <c r="H3904">
        <v>18.7</v>
      </c>
      <c r="I3904">
        <v>0</v>
      </c>
      <c r="J3904">
        <v>0</v>
      </c>
      <c r="K3904">
        <v>0</v>
      </c>
      <c r="O3904">
        <v>0</v>
      </c>
      <c r="P3904">
        <v>4</v>
      </c>
      <c r="Q3904">
        <v>0</v>
      </c>
      <c r="R3904">
        <v>22.7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H3904">
        <v>22.7</v>
      </c>
    </row>
    <row r="3905" spans="1:34" x14ac:dyDescent="0.3">
      <c r="A3905" s="4">
        <v>4021</v>
      </c>
      <c r="B3905" s="5">
        <v>3898</v>
      </c>
      <c r="C3905">
        <v>7709</v>
      </c>
      <c r="D3905" t="s">
        <v>3344</v>
      </c>
      <c r="E3905" t="s">
        <v>97</v>
      </c>
      <c r="F3905" t="s">
        <v>81</v>
      </c>
      <c r="G3905" t="s">
        <v>24906</v>
      </c>
      <c r="H3905">
        <v>18.7</v>
      </c>
      <c r="I3905">
        <v>0</v>
      </c>
      <c r="J3905">
        <v>0</v>
      </c>
      <c r="K3905">
        <v>0</v>
      </c>
      <c r="O3905">
        <v>0</v>
      </c>
      <c r="P3905">
        <v>4</v>
      </c>
      <c r="Q3905">
        <v>0</v>
      </c>
      <c r="R3905">
        <v>22.7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H3905">
        <v>22.7</v>
      </c>
    </row>
    <row r="3906" spans="1:34" x14ac:dyDescent="0.3">
      <c r="A3906" s="4">
        <v>4022</v>
      </c>
      <c r="B3906" s="5">
        <v>3899</v>
      </c>
      <c r="C3906">
        <v>9409</v>
      </c>
      <c r="D3906" t="s">
        <v>24907</v>
      </c>
      <c r="E3906" t="s">
        <v>81</v>
      </c>
      <c r="F3906" t="s">
        <v>52</v>
      </c>
      <c r="G3906" t="s">
        <v>24908</v>
      </c>
      <c r="H3906">
        <v>19.68</v>
      </c>
      <c r="I3906">
        <v>0</v>
      </c>
      <c r="J3906">
        <v>0</v>
      </c>
      <c r="K3906">
        <v>0</v>
      </c>
      <c r="N3906">
        <v>3</v>
      </c>
      <c r="O3906">
        <v>3</v>
      </c>
      <c r="P3906">
        <v>0</v>
      </c>
      <c r="Q3906">
        <v>0</v>
      </c>
      <c r="R3906">
        <v>22.68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H3906">
        <v>22.68</v>
      </c>
    </row>
    <row r="3907" spans="1:34" x14ac:dyDescent="0.3">
      <c r="A3907" s="4">
        <v>4023</v>
      </c>
      <c r="B3907" s="5">
        <v>3900</v>
      </c>
      <c r="C3907">
        <v>1552</v>
      </c>
      <c r="D3907" t="s">
        <v>24909</v>
      </c>
      <c r="E3907" t="s">
        <v>1694</v>
      </c>
      <c r="F3907" t="s">
        <v>68</v>
      </c>
      <c r="G3907" t="s">
        <v>24910</v>
      </c>
      <c r="H3907">
        <v>18.68</v>
      </c>
      <c r="I3907">
        <v>0</v>
      </c>
      <c r="J3907">
        <v>0</v>
      </c>
      <c r="K3907">
        <v>0</v>
      </c>
      <c r="O3907">
        <v>0</v>
      </c>
      <c r="P3907">
        <v>4</v>
      </c>
      <c r="Q3907">
        <v>0</v>
      </c>
      <c r="R3907">
        <v>22.68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H3907">
        <v>22.68</v>
      </c>
    </row>
    <row r="3908" spans="1:34" x14ac:dyDescent="0.3">
      <c r="A3908" s="4">
        <v>4024</v>
      </c>
      <c r="B3908" s="5">
        <v>3901</v>
      </c>
      <c r="C3908">
        <v>13625</v>
      </c>
      <c r="D3908" t="s">
        <v>16114</v>
      </c>
      <c r="E3908" t="s">
        <v>188</v>
      </c>
      <c r="F3908" t="s">
        <v>230</v>
      </c>
      <c r="G3908" t="s">
        <v>24911</v>
      </c>
      <c r="H3908">
        <v>15.68</v>
      </c>
      <c r="I3908">
        <v>0</v>
      </c>
      <c r="J3908">
        <v>0</v>
      </c>
      <c r="K3908">
        <v>0</v>
      </c>
      <c r="N3908">
        <v>3</v>
      </c>
      <c r="O3908">
        <v>3</v>
      </c>
      <c r="P3908">
        <v>4</v>
      </c>
      <c r="Q3908">
        <v>0</v>
      </c>
      <c r="R3908">
        <v>22.68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H3908">
        <v>22.68</v>
      </c>
    </row>
    <row r="3909" spans="1:34" x14ac:dyDescent="0.3">
      <c r="A3909" s="4">
        <v>4025</v>
      </c>
      <c r="B3909" s="5">
        <v>3902</v>
      </c>
      <c r="C3909">
        <v>10446</v>
      </c>
      <c r="D3909" t="s">
        <v>5820</v>
      </c>
      <c r="E3909" t="s">
        <v>37</v>
      </c>
      <c r="F3909" t="s">
        <v>34</v>
      </c>
      <c r="G3909" t="s">
        <v>24912</v>
      </c>
      <c r="H3909">
        <v>18.649999999999999</v>
      </c>
      <c r="I3909">
        <v>0</v>
      </c>
      <c r="J3909">
        <v>0</v>
      </c>
      <c r="K3909">
        <v>0</v>
      </c>
      <c r="O3909">
        <v>0</v>
      </c>
      <c r="P3909">
        <v>4</v>
      </c>
      <c r="Q3909">
        <v>0</v>
      </c>
      <c r="R3909">
        <v>22.65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H3909">
        <v>22.65</v>
      </c>
    </row>
    <row r="3910" spans="1:34" x14ac:dyDescent="0.3">
      <c r="A3910" s="4">
        <v>4026</v>
      </c>
      <c r="B3910" s="5">
        <v>3903</v>
      </c>
      <c r="C3910">
        <v>1512</v>
      </c>
      <c r="D3910" t="s">
        <v>28</v>
      </c>
      <c r="E3910" t="s">
        <v>22</v>
      </c>
      <c r="F3910" t="s">
        <v>136</v>
      </c>
      <c r="G3910" t="s">
        <v>24913</v>
      </c>
      <c r="H3910">
        <v>18.63</v>
      </c>
      <c r="I3910">
        <v>0</v>
      </c>
      <c r="J3910">
        <v>0</v>
      </c>
      <c r="K3910">
        <v>0</v>
      </c>
      <c r="O3910">
        <v>0</v>
      </c>
      <c r="P3910">
        <v>4</v>
      </c>
      <c r="Q3910">
        <v>0</v>
      </c>
      <c r="R3910">
        <v>22.63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H3910">
        <v>22.63</v>
      </c>
    </row>
    <row r="3911" spans="1:34" x14ac:dyDescent="0.3">
      <c r="A3911" s="4">
        <v>4027</v>
      </c>
      <c r="B3911" s="5">
        <v>3904</v>
      </c>
      <c r="C3911">
        <v>5986</v>
      </c>
      <c r="D3911" t="s">
        <v>4607</v>
      </c>
      <c r="E3911" t="s">
        <v>48</v>
      </c>
      <c r="F3911" t="s">
        <v>11853</v>
      </c>
      <c r="G3911" t="s">
        <v>24914</v>
      </c>
      <c r="H3911">
        <v>16.600000000000001</v>
      </c>
      <c r="I3911">
        <v>0</v>
      </c>
      <c r="J3911">
        <v>0</v>
      </c>
      <c r="K3911">
        <v>0</v>
      </c>
      <c r="N3911">
        <v>3</v>
      </c>
      <c r="O3911">
        <v>3</v>
      </c>
      <c r="P3911">
        <v>0</v>
      </c>
      <c r="Q3911">
        <v>0</v>
      </c>
      <c r="R3911">
        <v>19.600000000000001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3</v>
      </c>
      <c r="AC3911">
        <v>0</v>
      </c>
      <c r="AH3911">
        <v>22.6</v>
      </c>
    </row>
    <row r="3912" spans="1:34" x14ac:dyDescent="0.3">
      <c r="A3912" s="4">
        <v>4028</v>
      </c>
      <c r="B3912" s="5">
        <v>3905</v>
      </c>
      <c r="C3912">
        <v>5727</v>
      </c>
      <c r="D3912" t="s">
        <v>24915</v>
      </c>
      <c r="E3912" t="s">
        <v>20</v>
      </c>
      <c r="F3912" t="s">
        <v>55</v>
      </c>
      <c r="G3912" t="s">
        <v>24916</v>
      </c>
      <c r="H3912">
        <v>15.6</v>
      </c>
      <c r="I3912">
        <v>0</v>
      </c>
      <c r="J3912">
        <v>0</v>
      </c>
      <c r="K3912">
        <v>0</v>
      </c>
      <c r="O3912">
        <v>0</v>
      </c>
      <c r="P3912">
        <v>4</v>
      </c>
      <c r="Q3912">
        <v>0</v>
      </c>
      <c r="R3912">
        <v>19.600000000000001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3</v>
      </c>
      <c r="AC3912">
        <v>0</v>
      </c>
      <c r="AH3912">
        <v>22.6</v>
      </c>
    </row>
    <row r="3913" spans="1:34" x14ac:dyDescent="0.3">
      <c r="A3913" s="4">
        <v>4029</v>
      </c>
      <c r="B3913" s="5">
        <v>3906</v>
      </c>
      <c r="C3913">
        <v>6741</v>
      </c>
      <c r="D3913" t="s">
        <v>8473</v>
      </c>
      <c r="E3913" t="s">
        <v>819</v>
      </c>
      <c r="F3913" t="s">
        <v>17</v>
      </c>
      <c r="G3913" t="s">
        <v>24917</v>
      </c>
      <c r="H3913">
        <v>18.600000000000001</v>
      </c>
      <c r="I3913">
        <v>0</v>
      </c>
      <c r="J3913">
        <v>0</v>
      </c>
      <c r="K3913">
        <v>0</v>
      </c>
      <c r="O3913">
        <v>0</v>
      </c>
      <c r="P3913">
        <v>4</v>
      </c>
      <c r="Q3913">
        <v>0</v>
      </c>
      <c r="R3913">
        <v>22.6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H3913">
        <v>22.6</v>
      </c>
    </row>
    <row r="3914" spans="1:34" x14ac:dyDescent="0.3">
      <c r="A3914" s="4">
        <v>4030</v>
      </c>
      <c r="B3914" s="5">
        <v>3907</v>
      </c>
      <c r="C3914">
        <v>5544</v>
      </c>
      <c r="D3914" t="s">
        <v>24918</v>
      </c>
      <c r="E3914" t="s">
        <v>65</v>
      </c>
      <c r="F3914" t="s">
        <v>1238</v>
      </c>
      <c r="G3914" t="s">
        <v>24919</v>
      </c>
      <c r="H3914">
        <v>16.579999999999998</v>
      </c>
      <c r="I3914">
        <v>0</v>
      </c>
      <c r="J3914">
        <v>0</v>
      </c>
      <c r="K3914">
        <v>0</v>
      </c>
      <c r="O3914">
        <v>0</v>
      </c>
      <c r="P3914">
        <v>0</v>
      </c>
      <c r="Q3914">
        <v>0</v>
      </c>
      <c r="R3914">
        <v>16.579999999999998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6</v>
      </c>
      <c r="AC3914">
        <v>0</v>
      </c>
      <c r="AH3914">
        <v>22.58</v>
      </c>
    </row>
    <row r="3915" spans="1:34" x14ac:dyDescent="0.3">
      <c r="A3915" s="4">
        <v>4031</v>
      </c>
      <c r="B3915" s="5">
        <v>3908</v>
      </c>
      <c r="C3915">
        <v>8496</v>
      </c>
      <c r="D3915" t="s">
        <v>7848</v>
      </c>
      <c r="E3915" t="s">
        <v>560</v>
      </c>
      <c r="F3915" t="s">
        <v>158</v>
      </c>
      <c r="G3915" t="s">
        <v>24920</v>
      </c>
      <c r="H3915">
        <v>18.579999999999998</v>
      </c>
      <c r="I3915">
        <v>0</v>
      </c>
      <c r="J3915">
        <v>0</v>
      </c>
      <c r="K3915">
        <v>0</v>
      </c>
      <c r="O3915">
        <v>0</v>
      </c>
      <c r="P3915">
        <v>4</v>
      </c>
      <c r="Q3915">
        <v>0</v>
      </c>
      <c r="R3915">
        <v>22.58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H3915">
        <v>22.58</v>
      </c>
    </row>
    <row r="3916" spans="1:34" x14ac:dyDescent="0.3">
      <c r="A3916" s="4">
        <v>4032</v>
      </c>
      <c r="B3916" s="5">
        <v>3909</v>
      </c>
      <c r="C3916">
        <v>7044</v>
      </c>
      <c r="D3916" t="s">
        <v>165</v>
      </c>
      <c r="E3916" t="s">
        <v>68</v>
      </c>
      <c r="F3916" t="s">
        <v>124</v>
      </c>
      <c r="G3916" t="s">
        <v>24921</v>
      </c>
      <c r="H3916">
        <v>18.53</v>
      </c>
      <c r="I3916">
        <v>0</v>
      </c>
      <c r="J3916">
        <v>0</v>
      </c>
      <c r="K3916">
        <v>0</v>
      </c>
      <c r="O3916">
        <v>0</v>
      </c>
      <c r="P3916">
        <v>4</v>
      </c>
      <c r="Q3916">
        <v>0</v>
      </c>
      <c r="R3916">
        <v>22.53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H3916">
        <v>22.53</v>
      </c>
    </row>
    <row r="3917" spans="1:34" x14ac:dyDescent="0.3">
      <c r="A3917" s="4">
        <v>4033</v>
      </c>
      <c r="B3917" s="5">
        <v>3910</v>
      </c>
      <c r="C3917">
        <v>3789</v>
      </c>
      <c r="D3917" t="s">
        <v>1530</v>
      </c>
      <c r="E3917" t="s">
        <v>100</v>
      </c>
      <c r="F3917" t="s">
        <v>30</v>
      </c>
      <c r="G3917" t="s">
        <v>24922</v>
      </c>
      <c r="H3917">
        <v>18.53</v>
      </c>
      <c r="I3917">
        <v>0</v>
      </c>
      <c r="J3917">
        <v>0</v>
      </c>
      <c r="K3917">
        <v>0</v>
      </c>
      <c r="O3917">
        <v>0</v>
      </c>
      <c r="P3917">
        <v>4</v>
      </c>
      <c r="Q3917">
        <v>0</v>
      </c>
      <c r="R3917">
        <v>22.53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H3917">
        <v>22.53</v>
      </c>
    </row>
    <row r="3918" spans="1:34" x14ac:dyDescent="0.3">
      <c r="A3918" s="4">
        <v>4034</v>
      </c>
      <c r="B3918" s="5">
        <v>3911</v>
      </c>
      <c r="C3918">
        <v>2540</v>
      </c>
      <c r="D3918" t="s">
        <v>24923</v>
      </c>
      <c r="E3918" t="s">
        <v>24924</v>
      </c>
      <c r="F3918" t="s">
        <v>14</v>
      </c>
      <c r="G3918" t="s">
        <v>24925</v>
      </c>
      <c r="H3918">
        <v>18.53</v>
      </c>
      <c r="I3918">
        <v>0</v>
      </c>
      <c r="J3918">
        <v>0</v>
      </c>
      <c r="K3918">
        <v>0</v>
      </c>
      <c r="O3918">
        <v>0</v>
      </c>
      <c r="P3918">
        <v>4</v>
      </c>
      <c r="Q3918">
        <v>0</v>
      </c>
      <c r="R3918">
        <v>22.53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H3918">
        <v>22.53</v>
      </c>
    </row>
    <row r="3919" spans="1:34" x14ac:dyDescent="0.3">
      <c r="A3919" s="4">
        <v>4035</v>
      </c>
      <c r="B3919" s="5">
        <v>3912</v>
      </c>
      <c r="C3919">
        <v>9024</v>
      </c>
      <c r="D3919" t="s">
        <v>24926</v>
      </c>
      <c r="E3919" t="s">
        <v>2841</v>
      </c>
      <c r="F3919" t="s">
        <v>190</v>
      </c>
      <c r="G3919" t="s">
        <v>24927</v>
      </c>
      <c r="H3919">
        <v>18.5</v>
      </c>
      <c r="I3919">
        <v>0</v>
      </c>
      <c r="J3919">
        <v>0</v>
      </c>
      <c r="K3919">
        <v>0</v>
      </c>
      <c r="O3919">
        <v>0</v>
      </c>
      <c r="P3919">
        <v>4</v>
      </c>
      <c r="Q3919">
        <v>0</v>
      </c>
      <c r="R3919">
        <v>22.5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H3919">
        <v>22.5</v>
      </c>
    </row>
    <row r="3920" spans="1:34" x14ac:dyDescent="0.3">
      <c r="A3920" s="4">
        <v>4036</v>
      </c>
      <c r="B3920" s="5">
        <v>3913</v>
      </c>
      <c r="C3920">
        <v>8311</v>
      </c>
      <c r="D3920" t="s">
        <v>2132</v>
      </c>
      <c r="E3920" t="s">
        <v>147</v>
      </c>
      <c r="F3920" t="s">
        <v>30</v>
      </c>
      <c r="G3920" t="s">
        <v>24928</v>
      </c>
      <c r="H3920">
        <v>18.48</v>
      </c>
      <c r="I3920">
        <v>0</v>
      </c>
      <c r="J3920">
        <v>0</v>
      </c>
      <c r="K3920">
        <v>0</v>
      </c>
      <c r="O3920">
        <v>0</v>
      </c>
      <c r="P3920">
        <v>4</v>
      </c>
      <c r="Q3920">
        <v>0</v>
      </c>
      <c r="R3920">
        <v>22.48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H3920">
        <v>22.48</v>
      </c>
    </row>
    <row r="3921" spans="1:34" x14ac:dyDescent="0.3">
      <c r="A3921" s="4">
        <v>4037</v>
      </c>
      <c r="B3921" s="5">
        <v>3914</v>
      </c>
      <c r="C3921">
        <v>15617</v>
      </c>
      <c r="D3921" t="s">
        <v>181</v>
      </c>
      <c r="E3921" t="s">
        <v>161</v>
      </c>
      <c r="F3921" t="s">
        <v>230</v>
      </c>
      <c r="G3921" t="s">
        <v>24929</v>
      </c>
      <c r="H3921">
        <v>18.48</v>
      </c>
      <c r="I3921">
        <v>0</v>
      </c>
      <c r="J3921">
        <v>0</v>
      </c>
      <c r="K3921">
        <v>0</v>
      </c>
      <c r="O3921">
        <v>0</v>
      </c>
      <c r="P3921">
        <v>4</v>
      </c>
      <c r="Q3921">
        <v>0</v>
      </c>
      <c r="R3921">
        <v>22.48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H3921">
        <v>22.48</v>
      </c>
    </row>
    <row r="3922" spans="1:34" x14ac:dyDescent="0.3">
      <c r="A3922" s="4">
        <v>4038</v>
      </c>
      <c r="B3922" s="5">
        <v>3915</v>
      </c>
      <c r="C3922">
        <v>2565</v>
      </c>
      <c r="D3922" t="s">
        <v>24930</v>
      </c>
      <c r="E3922" t="s">
        <v>158</v>
      </c>
      <c r="F3922" t="s">
        <v>81</v>
      </c>
      <c r="G3922" t="s">
        <v>24931</v>
      </c>
      <c r="H3922">
        <v>15.48</v>
      </c>
      <c r="I3922">
        <v>0</v>
      </c>
      <c r="J3922">
        <v>0</v>
      </c>
      <c r="K3922">
        <v>0</v>
      </c>
      <c r="N3922">
        <v>3</v>
      </c>
      <c r="O3922">
        <v>3</v>
      </c>
      <c r="P3922">
        <v>4</v>
      </c>
      <c r="Q3922">
        <v>0</v>
      </c>
      <c r="R3922">
        <v>22.48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H3922">
        <v>22.48</v>
      </c>
    </row>
    <row r="3923" spans="1:34" x14ac:dyDescent="0.3">
      <c r="A3923" s="4">
        <v>4039</v>
      </c>
      <c r="B3923" s="5">
        <v>3916</v>
      </c>
      <c r="C3923">
        <v>12574</v>
      </c>
      <c r="D3923" t="s">
        <v>3377</v>
      </c>
      <c r="E3923" t="s">
        <v>178</v>
      </c>
      <c r="F3923" t="s">
        <v>17</v>
      </c>
      <c r="G3923" t="s">
        <v>24932</v>
      </c>
      <c r="H3923">
        <v>19.399999999999999</v>
      </c>
      <c r="I3923">
        <v>0</v>
      </c>
      <c r="J3923">
        <v>0</v>
      </c>
      <c r="K3923">
        <v>0</v>
      </c>
      <c r="O3923">
        <v>0</v>
      </c>
      <c r="P3923">
        <v>0</v>
      </c>
      <c r="Q3923">
        <v>0</v>
      </c>
      <c r="R3923">
        <v>19.399999999999999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3</v>
      </c>
      <c r="AC3923">
        <v>0</v>
      </c>
      <c r="AH3923">
        <v>22.4</v>
      </c>
    </row>
    <row r="3924" spans="1:34" x14ac:dyDescent="0.3">
      <c r="A3924" s="4">
        <v>4040</v>
      </c>
      <c r="B3924" s="5">
        <v>3917</v>
      </c>
      <c r="C3924">
        <v>10734</v>
      </c>
      <c r="D3924" t="s">
        <v>267</v>
      </c>
      <c r="E3924" t="s">
        <v>48</v>
      </c>
      <c r="F3924" t="s">
        <v>17</v>
      </c>
      <c r="G3924" t="s">
        <v>24933</v>
      </c>
      <c r="H3924">
        <v>18.399999999999999</v>
      </c>
      <c r="I3924">
        <v>0</v>
      </c>
      <c r="J3924">
        <v>0</v>
      </c>
      <c r="K3924">
        <v>0</v>
      </c>
      <c r="O3924">
        <v>0</v>
      </c>
      <c r="P3924">
        <v>4</v>
      </c>
      <c r="Q3924">
        <v>0</v>
      </c>
      <c r="R3924">
        <v>22.4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H3924">
        <v>22.4</v>
      </c>
    </row>
    <row r="3925" spans="1:34" x14ac:dyDescent="0.3">
      <c r="A3925" s="4">
        <v>4041</v>
      </c>
      <c r="B3925" s="5">
        <v>3918</v>
      </c>
      <c r="C3925">
        <v>12482</v>
      </c>
      <c r="D3925" t="s">
        <v>1606</v>
      </c>
      <c r="E3925" t="s">
        <v>29</v>
      </c>
      <c r="F3925" t="s">
        <v>158</v>
      </c>
      <c r="G3925" t="s">
        <v>24934</v>
      </c>
      <c r="H3925">
        <v>18.399999999999999</v>
      </c>
      <c r="I3925">
        <v>0</v>
      </c>
      <c r="J3925">
        <v>0</v>
      </c>
      <c r="K3925">
        <v>0</v>
      </c>
      <c r="O3925">
        <v>0</v>
      </c>
      <c r="P3925">
        <v>4</v>
      </c>
      <c r="Q3925">
        <v>0</v>
      </c>
      <c r="R3925">
        <v>22.4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H3925">
        <v>22.4</v>
      </c>
    </row>
    <row r="3926" spans="1:34" x14ac:dyDescent="0.3">
      <c r="A3926" s="4">
        <v>4042</v>
      </c>
      <c r="B3926" s="5">
        <v>3919</v>
      </c>
      <c r="C3926">
        <v>6525</v>
      </c>
      <c r="D3926" t="s">
        <v>24935</v>
      </c>
      <c r="E3926" t="s">
        <v>789</v>
      </c>
      <c r="F3926" t="s">
        <v>416</v>
      </c>
      <c r="G3926" t="s">
        <v>24936</v>
      </c>
      <c r="H3926">
        <v>17.399999999999999</v>
      </c>
      <c r="I3926">
        <v>0</v>
      </c>
      <c r="J3926">
        <v>0</v>
      </c>
      <c r="K3926">
        <v>0</v>
      </c>
      <c r="M3926">
        <v>5</v>
      </c>
      <c r="O3926">
        <v>5</v>
      </c>
      <c r="P3926">
        <v>0</v>
      </c>
      <c r="Q3926">
        <v>0</v>
      </c>
      <c r="R3926">
        <v>22.4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H3926">
        <v>22.4</v>
      </c>
    </row>
    <row r="3927" spans="1:34" x14ac:dyDescent="0.3">
      <c r="A3927" s="4">
        <v>4043</v>
      </c>
      <c r="B3927" s="5">
        <v>3920</v>
      </c>
      <c r="C3927">
        <v>5598</v>
      </c>
      <c r="D3927" t="s">
        <v>24937</v>
      </c>
      <c r="E3927" t="s">
        <v>24938</v>
      </c>
      <c r="F3927" t="s">
        <v>117</v>
      </c>
      <c r="G3927" t="s">
        <v>24939</v>
      </c>
      <c r="H3927">
        <v>19.350000000000001</v>
      </c>
      <c r="I3927">
        <v>0</v>
      </c>
      <c r="J3927">
        <v>0</v>
      </c>
      <c r="K3927">
        <v>0</v>
      </c>
      <c r="N3927">
        <v>3</v>
      </c>
      <c r="O3927">
        <v>3</v>
      </c>
      <c r="P3927">
        <v>0</v>
      </c>
      <c r="Q3927">
        <v>0</v>
      </c>
      <c r="R3927">
        <v>22.35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H3927">
        <v>22.35</v>
      </c>
    </row>
    <row r="3928" spans="1:34" x14ac:dyDescent="0.3">
      <c r="A3928" s="4">
        <v>4044</v>
      </c>
      <c r="B3928" s="5">
        <v>3921</v>
      </c>
      <c r="C3928">
        <v>12512</v>
      </c>
      <c r="D3928" t="s">
        <v>24940</v>
      </c>
      <c r="E3928" t="s">
        <v>29</v>
      </c>
      <c r="F3928" t="s">
        <v>136</v>
      </c>
      <c r="G3928" t="s">
        <v>24941</v>
      </c>
      <c r="H3928">
        <v>18.350000000000001</v>
      </c>
      <c r="I3928">
        <v>0</v>
      </c>
      <c r="J3928">
        <v>0</v>
      </c>
      <c r="K3928">
        <v>0</v>
      </c>
      <c r="O3928">
        <v>0</v>
      </c>
      <c r="P3928">
        <v>4</v>
      </c>
      <c r="Q3928">
        <v>0</v>
      </c>
      <c r="R3928">
        <v>22.35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H3928">
        <v>22.35</v>
      </c>
    </row>
    <row r="3929" spans="1:34" x14ac:dyDescent="0.3">
      <c r="A3929" s="4">
        <v>4045</v>
      </c>
      <c r="B3929" s="5">
        <v>3922</v>
      </c>
      <c r="C3929">
        <v>15085</v>
      </c>
      <c r="D3929" t="s">
        <v>24942</v>
      </c>
      <c r="E3929" t="s">
        <v>749</v>
      </c>
      <c r="F3929" t="s">
        <v>136</v>
      </c>
      <c r="G3929" t="s">
        <v>24943</v>
      </c>
      <c r="H3929">
        <v>19.25</v>
      </c>
      <c r="I3929">
        <v>0</v>
      </c>
      <c r="J3929">
        <v>0</v>
      </c>
      <c r="K3929">
        <v>0</v>
      </c>
      <c r="N3929">
        <v>3</v>
      </c>
      <c r="O3929">
        <v>3</v>
      </c>
      <c r="P3929">
        <v>0</v>
      </c>
      <c r="Q3929">
        <v>0</v>
      </c>
      <c r="R3929">
        <v>22.25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H3929">
        <v>22.25</v>
      </c>
    </row>
    <row r="3930" spans="1:34" x14ac:dyDescent="0.3">
      <c r="A3930" s="4">
        <v>4046</v>
      </c>
      <c r="B3930" s="5">
        <v>3923</v>
      </c>
      <c r="C3930">
        <v>11917</v>
      </c>
      <c r="D3930" t="s">
        <v>4781</v>
      </c>
      <c r="E3930" t="s">
        <v>100</v>
      </c>
      <c r="F3930" t="s">
        <v>136</v>
      </c>
      <c r="G3930" t="s">
        <v>24944</v>
      </c>
      <c r="H3930">
        <v>18.25</v>
      </c>
      <c r="I3930">
        <v>0</v>
      </c>
      <c r="J3930">
        <v>0</v>
      </c>
      <c r="K3930">
        <v>0</v>
      </c>
      <c r="O3930">
        <v>0</v>
      </c>
      <c r="P3930">
        <v>4</v>
      </c>
      <c r="Q3930">
        <v>0</v>
      </c>
      <c r="R3930">
        <v>22.25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H3930">
        <v>22.25</v>
      </c>
    </row>
    <row r="3931" spans="1:34" x14ac:dyDescent="0.3">
      <c r="A3931" s="4">
        <v>4047</v>
      </c>
      <c r="B3931" s="5">
        <v>3924</v>
      </c>
      <c r="C3931">
        <v>1374</v>
      </c>
      <c r="D3931" t="s">
        <v>24945</v>
      </c>
      <c r="E3931" t="s">
        <v>29</v>
      </c>
      <c r="F3931" t="s">
        <v>81</v>
      </c>
      <c r="G3931" t="s">
        <v>24946</v>
      </c>
      <c r="H3931">
        <v>18.25</v>
      </c>
      <c r="I3931">
        <v>0</v>
      </c>
      <c r="J3931">
        <v>0</v>
      </c>
      <c r="K3931">
        <v>0</v>
      </c>
      <c r="O3931">
        <v>0</v>
      </c>
      <c r="P3931">
        <v>4</v>
      </c>
      <c r="Q3931">
        <v>0</v>
      </c>
      <c r="R3931">
        <v>22.25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H3931">
        <v>22.25</v>
      </c>
    </row>
    <row r="3932" spans="1:34" x14ac:dyDescent="0.3">
      <c r="A3932" s="4">
        <v>4048</v>
      </c>
      <c r="B3932" s="5">
        <v>3925</v>
      </c>
      <c r="C3932">
        <v>8125</v>
      </c>
      <c r="D3932" t="s">
        <v>181</v>
      </c>
      <c r="E3932" t="s">
        <v>29</v>
      </c>
      <c r="F3932" t="s">
        <v>4176</v>
      </c>
      <c r="G3932" t="s">
        <v>24947</v>
      </c>
      <c r="H3932">
        <v>18.25</v>
      </c>
      <c r="I3932">
        <v>0</v>
      </c>
      <c r="J3932">
        <v>0</v>
      </c>
      <c r="K3932">
        <v>0</v>
      </c>
      <c r="O3932">
        <v>0</v>
      </c>
      <c r="P3932">
        <v>4</v>
      </c>
      <c r="Q3932">
        <v>0</v>
      </c>
      <c r="R3932">
        <v>22.25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H3932">
        <v>22.25</v>
      </c>
    </row>
    <row r="3933" spans="1:34" x14ac:dyDescent="0.3">
      <c r="A3933" s="4">
        <v>4049</v>
      </c>
      <c r="B3933" s="5">
        <v>3926</v>
      </c>
      <c r="C3933">
        <v>12793</v>
      </c>
      <c r="D3933" t="s">
        <v>1565</v>
      </c>
      <c r="E3933" t="s">
        <v>132</v>
      </c>
      <c r="F3933" t="s">
        <v>346</v>
      </c>
      <c r="G3933" t="s">
        <v>24948</v>
      </c>
      <c r="H3933">
        <v>19.23</v>
      </c>
      <c r="I3933">
        <v>0</v>
      </c>
      <c r="J3933">
        <v>0</v>
      </c>
      <c r="K3933">
        <v>0</v>
      </c>
      <c r="N3933">
        <v>3</v>
      </c>
      <c r="O3933">
        <v>3</v>
      </c>
      <c r="P3933">
        <v>0</v>
      </c>
      <c r="Q3933">
        <v>0</v>
      </c>
      <c r="R3933">
        <v>22.23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H3933">
        <v>22.23</v>
      </c>
    </row>
    <row r="3934" spans="1:34" x14ac:dyDescent="0.3">
      <c r="A3934" s="4">
        <v>4050</v>
      </c>
      <c r="B3934" s="5">
        <v>3927</v>
      </c>
      <c r="C3934">
        <v>12708</v>
      </c>
      <c r="D3934" t="s">
        <v>24949</v>
      </c>
      <c r="E3934" t="s">
        <v>29</v>
      </c>
      <c r="F3934" t="s">
        <v>117</v>
      </c>
      <c r="G3934" t="s">
        <v>24950</v>
      </c>
      <c r="H3934">
        <v>19.23</v>
      </c>
      <c r="I3934">
        <v>0</v>
      </c>
      <c r="J3934">
        <v>0</v>
      </c>
      <c r="K3934">
        <v>0</v>
      </c>
      <c r="N3934">
        <v>3</v>
      </c>
      <c r="O3934">
        <v>3</v>
      </c>
      <c r="P3934">
        <v>0</v>
      </c>
      <c r="Q3934">
        <v>0</v>
      </c>
      <c r="R3934">
        <v>22.23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H3934">
        <v>22.23</v>
      </c>
    </row>
    <row r="3935" spans="1:34" x14ac:dyDescent="0.3">
      <c r="A3935" s="4">
        <v>4051</v>
      </c>
      <c r="B3935" s="5">
        <v>3928</v>
      </c>
      <c r="C3935">
        <v>14718</v>
      </c>
      <c r="D3935" t="s">
        <v>7480</v>
      </c>
      <c r="E3935" t="s">
        <v>24951</v>
      </c>
      <c r="F3935" t="s">
        <v>81</v>
      </c>
      <c r="G3935" t="s">
        <v>24952</v>
      </c>
      <c r="H3935">
        <v>18.23</v>
      </c>
      <c r="I3935">
        <v>0</v>
      </c>
      <c r="J3935">
        <v>0</v>
      </c>
      <c r="K3935">
        <v>0</v>
      </c>
      <c r="O3935">
        <v>0</v>
      </c>
      <c r="P3935">
        <v>4</v>
      </c>
      <c r="Q3935">
        <v>0</v>
      </c>
      <c r="R3935">
        <v>22.23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H3935">
        <v>22.23</v>
      </c>
    </row>
    <row r="3936" spans="1:34" x14ac:dyDescent="0.3">
      <c r="A3936" s="4">
        <v>4052</v>
      </c>
      <c r="B3936" s="5">
        <v>3929</v>
      </c>
      <c r="C3936">
        <v>7996</v>
      </c>
      <c r="D3936" t="s">
        <v>784</v>
      </c>
      <c r="E3936" t="s">
        <v>136</v>
      </c>
      <c r="F3936" t="s">
        <v>81</v>
      </c>
      <c r="G3936" t="s">
        <v>24953</v>
      </c>
      <c r="H3936">
        <v>15.2</v>
      </c>
      <c r="I3936">
        <v>0</v>
      </c>
      <c r="J3936">
        <v>0</v>
      </c>
      <c r="K3936">
        <v>0</v>
      </c>
      <c r="N3936">
        <v>3</v>
      </c>
      <c r="O3936">
        <v>3</v>
      </c>
      <c r="P3936">
        <v>4</v>
      </c>
      <c r="Q3936">
        <v>0</v>
      </c>
      <c r="R3936">
        <v>22.2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H3936">
        <v>22.2</v>
      </c>
    </row>
    <row r="3937" spans="1:34" x14ac:dyDescent="0.3">
      <c r="A3937" s="4">
        <v>4053</v>
      </c>
      <c r="B3937" s="5">
        <v>3930</v>
      </c>
      <c r="C3937">
        <v>2838</v>
      </c>
      <c r="D3937" t="s">
        <v>12819</v>
      </c>
      <c r="E3937" t="s">
        <v>166</v>
      </c>
      <c r="F3937" t="s">
        <v>230</v>
      </c>
      <c r="G3937" t="s">
        <v>24954</v>
      </c>
      <c r="H3937">
        <v>19.18</v>
      </c>
      <c r="I3937">
        <v>0</v>
      </c>
      <c r="J3937">
        <v>0</v>
      </c>
      <c r="K3937">
        <v>0</v>
      </c>
      <c r="N3937">
        <v>3</v>
      </c>
      <c r="O3937">
        <v>3</v>
      </c>
      <c r="P3937">
        <v>0</v>
      </c>
      <c r="Q3937">
        <v>0</v>
      </c>
      <c r="R3937">
        <v>22.18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H3937">
        <v>22.18</v>
      </c>
    </row>
    <row r="3938" spans="1:34" x14ac:dyDescent="0.3">
      <c r="A3938" s="4">
        <v>4054</v>
      </c>
      <c r="B3938" s="5">
        <v>3931</v>
      </c>
      <c r="C3938">
        <v>1867</v>
      </c>
      <c r="D3938" t="s">
        <v>181</v>
      </c>
      <c r="E3938" t="s">
        <v>24955</v>
      </c>
      <c r="F3938" t="s">
        <v>17</v>
      </c>
      <c r="G3938" t="s">
        <v>24956</v>
      </c>
      <c r="H3938">
        <v>19.18</v>
      </c>
      <c r="I3938">
        <v>0</v>
      </c>
      <c r="J3938">
        <v>0</v>
      </c>
      <c r="K3938">
        <v>0</v>
      </c>
      <c r="N3938">
        <v>3</v>
      </c>
      <c r="O3938">
        <v>3</v>
      </c>
      <c r="P3938">
        <v>0</v>
      </c>
      <c r="Q3938">
        <v>0</v>
      </c>
      <c r="R3938">
        <v>22.18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H3938">
        <v>22.18</v>
      </c>
    </row>
    <row r="3939" spans="1:34" x14ac:dyDescent="0.3">
      <c r="A3939" s="4">
        <v>4055</v>
      </c>
      <c r="B3939" s="5">
        <v>3932</v>
      </c>
      <c r="C3939">
        <v>5275</v>
      </c>
      <c r="D3939" t="s">
        <v>24957</v>
      </c>
      <c r="E3939" t="s">
        <v>24958</v>
      </c>
      <c r="F3939" t="s">
        <v>20</v>
      </c>
      <c r="G3939" t="s">
        <v>24959</v>
      </c>
      <c r="H3939">
        <v>19.18</v>
      </c>
      <c r="I3939">
        <v>0</v>
      </c>
      <c r="J3939">
        <v>0</v>
      </c>
      <c r="K3939">
        <v>0</v>
      </c>
      <c r="N3939">
        <v>3</v>
      </c>
      <c r="O3939">
        <v>3</v>
      </c>
      <c r="P3939">
        <v>0</v>
      </c>
      <c r="Q3939">
        <v>0</v>
      </c>
      <c r="R3939">
        <v>22.18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H3939">
        <v>22.18</v>
      </c>
    </row>
    <row r="3940" spans="1:34" x14ac:dyDescent="0.3">
      <c r="A3940" s="4">
        <v>4056</v>
      </c>
      <c r="B3940" s="5">
        <v>3933</v>
      </c>
      <c r="C3940">
        <v>3977</v>
      </c>
      <c r="D3940" t="s">
        <v>24960</v>
      </c>
      <c r="E3940" t="s">
        <v>115</v>
      </c>
      <c r="F3940" t="s">
        <v>136</v>
      </c>
      <c r="G3940" t="s">
        <v>24961</v>
      </c>
      <c r="H3940">
        <v>19.149999999999999</v>
      </c>
      <c r="I3940">
        <v>0</v>
      </c>
      <c r="J3940">
        <v>0</v>
      </c>
      <c r="K3940">
        <v>0</v>
      </c>
      <c r="N3940">
        <v>3</v>
      </c>
      <c r="O3940">
        <v>3</v>
      </c>
      <c r="P3940">
        <v>0</v>
      </c>
      <c r="Q3940">
        <v>0</v>
      </c>
      <c r="R3940">
        <v>22.15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H3940">
        <v>22.15</v>
      </c>
    </row>
    <row r="3941" spans="1:34" x14ac:dyDescent="0.3">
      <c r="A3941" s="4">
        <v>4057</v>
      </c>
      <c r="B3941" s="5">
        <v>3934</v>
      </c>
      <c r="C3941">
        <v>6299</v>
      </c>
      <c r="D3941" t="s">
        <v>24962</v>
      </c>
      <c r="E3941" t="s">
        <v>100</v>
      </c>
      <c r="F3941" t="s">
        <v>17</v>
      </c>
      <c r="G3941" t="s">
        <v>24963</v>
      </c>
      <c r="H3941">
        <v>18.149999999999999</v>
      </c>
      <c r="I3941">
        <v>0</v>
      </c>
      <c r="J3941">
        <v>0</v>
      </c>
      <c r="K3941">
        <v>0</v>
      </c>
      <c r="O3941">
        <v>0</v>
      </c>
      <c r="P3941">
        <v>4</v>
      </c>
      <c r="Q3941">
        <v>0</v>
      </c>
      <c r="R3941">
        <v>22.15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H3941">
        <v>22.15</v>
      </c>
    </row>
    <row r="3942" spans="1:34" x14ac:dyDescent="0.3">
      <c r="A3942" s="4">
        <v>4058</v>
      </c>
      <c r="B3942" s="5">
        <v>3935</v>
      </c>
      <c r="C3942">
        <v>1293</v>
      </c>
      <c r="D3942" t="s">
        <v>24964</v>
      </c>
      <c r="E3942" t="s">
        <v>29</v>
      </c>
      <c r="F3942" t="s">
        <v>442</v>
      </c>
      <c r="G3942" t="s">
        <v>24965</v>
      </c>
      <c r="H3942">
        <v>18.149999999999999</v>
      </c>
      <c r="I3942">
        <v>0</v>
      </c>
      <c r="J3942">
        <v>0</v>
      </c>
      <c r="K3942">
        <v>0</v>
      </c>
      <c r="O3942">
        <v>0</v>
      </c>
      <c r="P3942">
        <v>4</v>
      </c>
      <c r="Q3942">
        <v>0</v>
      </c>
      <c r="R3942">
        <v>22.15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H3942">
        <v>22.15</v>
      </c>
    </row>
    <row r="3943" spans="1:34" x14ac:dyDescent="0.3">
      <c r="A3943" s="4">
        <v>4059</v>
      </c>
      <c r="B3943" s="5">
        <v>3936</v>
      </c>
      <c r="C3943">
        <v>5713</v>
      </c>
      <c r="D3943" t="s">
        <v>5697</v>
      </c>
      <c r="E3943" t="s">
        <v>789</v>
      </c>
      <c r="F3943" t="s">
        <v>68</v>
      </c>
      <c r="G3943" t="s">
        <v>24966</v>
      </c>
      <c r="H3943">
        <v>19.13</v>
      </c>
      <c r="I3943">
        <v>0</v>
      </c>
      <c r="J3943">
        <v>0</v>
      </c>
      <c r="K3943">
        <v>0</v>
      </c>
      <c r="N3943">
        <v>3</v>
      </c>
      <c r="O3943">
        <v>3</v>
      </c>
      <c r="P3943">
        <v>0</v>
      </c>
      <c r="Q3943">
        <v>0</v>
      </c>
      <c r="R3943">
        <v>22.13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H3943">
        <v>22.13</v>
      </c>
    </row>
    <row r="3944" spans="1:34" x14ac:dyDescent="0.3">
      <c r="A3944" s="4">
        <v>4060</v>
      </c>
      <c r="B3944" s="5">
        <v>3937</v>
      </c>
      <c r="C3944">
        <v>975</v>
      </c>
      <c r="D3944" t="s">
        <v>28</v>
      </c>
      <c r="E3944" t="s">
        <v>1016</v>
      </c>
      <c r="F3944" t="s">
        <v>20</v>
      </c>
      <c r="G3944">
        <v>1049165</v>
      </c>
      <c r="H3944">
        <v>18.100000000000001</v>
      </c>
      <c r="I3944">
        <v>0</v>
      </c>
      <c r="J3944">
        <v>0</v>
      </c>
      <c r="K3944">
        <v>0</v>
      </c>
      <c r="O3944">
        <v>0</v>
      </c>
      <c r="P3944">
        <v>4</v>
      </c>
      <c r="Q3944">
        <v>0</v>
      </c>
      <c r="R3944">
        <v>22.1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H3944">
        <v>22.1</v>
      </c>
    </row>
    <row r="3945" spans="1:34" x14ac:dyDescent="0.3">
      <c r="A3945" s="4">
        <v>4061</v>
      </c>
      <c r="B3945" s="5">
        <v>3938</v>
      </c>
      <c r="C3945">
        <v>14879</v>
      </c>
      <c r="D3945" t="s">
        <v>24967</v>
      </c>
      <c r="E3945" t="s">
        <v>29</v>
      </c>
      <c r="F3945" t="s">
        <v>20</v>
      </c>
      <c r="G3945" t="s">
        <v>24968</v>
      </c>
      <c r="H3945">
        <v>18.100000000000001</v>
      </c>
      <c r="I3945">
        <v>0</v>
      </c>
      <c r="J3945">
        <v>0</v>
      </c>
      <c r="K3945">
        <v>0</v>
      </c>
      <c r="O3945">
        <v>0</v>
      </c>
      <c r="P3945">
        <v>4</v>
      </c>
      <c r="Q3945">
        <v>0</v>
      </c>
      <c r="R3945">
        <v>22.1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H3945">
        <v>22.1</v>
      </c>
    </row>
    <row r="3946" spans="1:34" x14ac:dyDescent="0.3">
      <c r="A3946" s="4">
        <v>4062</v>
      </c>
      <c r="B3946" s="5">
        <v>3939</v>
      </c>
      <c r="C3946">
        <v>5660</v>
      </c>
      <c r="D3946" t="s">
        <v>24969</v>
      </c>
      <c r="E3946" t="s">
        <v>132</v>
      </c>
      <c r="F3946" t="s">
        <v>81</v>
      </c>
      <c r="G3946" t="s">
        <v>24970</v>
      </c>
      <c r="H3946">
        <v>18.100000000000001</v>
      </c>
      <c r="I3946">
        <v>0</v>
      </c>
      <c r="J3946">
        <v>0</v>
      </c>
      <c r="K3946">
        <v>0</v>
      </c>
      <c r="O3946">
        <v>0</v>
      </c>
      <c r="P3946">
        <v>4</v>
      </c>
      <c r="Q3946">
        <v>0</v>
      </c>
      <c r="R3946">
        <v>22.1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H3946">
        <v>22.1</v>
      </c>
    </row>
    <row r="3947" spans="1:34" x14ac:dyDescent="0.3">
      <c r="A3947" s="4">
        <v>4063</v>
      </c>
      <c r="B3947" s="5">
        <v>3940</v>
      </c>
      <c r="C3947">
        <v>3252</v>
      </c>
      <c r="D3947" t="s">
        <v>24971</v>
      </c>
      <c r="E3947" t="s">
        <v>17</v>
      </c>
      <c r="F3947" t="s">
        <v>1023</v>
      </c>
      <c r="G3947" t="s">
        <v>24972</v>
      </c>
      <c r="H3947">
        <v>18.079999999999998</v>
      </c>
      <c r="I3947">
        <v>0</v>
      </c>
      <c r="J3947">
        <v>0</v>
      </c>
      <c r="K3947">
        <v>0</v>
      </c>
      <c r="O3947">
        <v>0</v>
      </c>
      <c r="P3947">
        <v>4</v>
      </c>
      <c r="Q3947">
        <v>0</v>
      </c>
      <c r="R3947">
        <v>22.08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H3947">
        <v>22.08</v>
      </c>
    </row>
    <row r="3948" spans="1:34" x14ac:dyDescent="0.3">
      <c r="A3948" s="4">
        <v>4064</v>
      </c>
      <c r="B3948" s="5">
        <v>3941</v>
      </c>
      <c r="C3948">
        <v>1879</v>
      </c>
      <c r="D3948" t="s">
        <v>20838</v>
      </c>
      <c r="E3948" t="s">
        <v>88</v>
      </c>
      <c r="F3948" t="s">
        <v>17</v>
      </c>
      <c r="G3948" t="s">
        <v>24973</v>
      </c>
      <c r="H3948">
        <v>18.05</v>
      </c>
      <c r="I3948">
        <v>0</v>
      </c>
      <c r="J3948">
        <v>0</v>
      </c>
      <c r="K3948">
        <v>0</v>
      </c>
      <c r="O3948">
        <v>0</v>
      </c>
      <c r="P3948">
        <v>4</v>
      </c>
      <c r="Q3948">
        <v>0</v>
      </c>
      <c r="R3948">
        <v>22.05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H3948">
        <v>22.05</v>
      </c>
    </row>
    <row r="3949" spans="1:34" x14ac:dyDescent="0.3">
      <c r="A3949" s="4">
        <v>4065</v>
      </c>
      <c r="B3949" s="5">
        <v>3942</v>
      </c>
      <c r="C3949">
        <v>1592</v>
      </c>
      <c r="D3949" t="s">
        <v>22337</v>
      </c>
      <c r="E3949" t="s">
        <v>268</v>
      </c>
      <c r="F3949" t="s">
        <v>346</v>
      </c>
      <c r="G3949" t="s">
        <v>24974</v>
      </c>
      <c r="H3949">
        <v>18.03</v>
      </c>
      <c r="I3949">
        <v>0</v>
      </c>
      <c r="J3949">
        <v>0</v>
      </c>
      <c r="K3949">
        <v>0</v>
      </c>
      <c r="O3949">
        <v>0</v>
      </c>
      <c r="P3949">
        <v>4</v>
      </c>
      <c r="Q3949">
        <v>0</v>
      </c>
      <c r="R3949">
        <v>22.03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H3949">
        <v>22.03</v>
      </c>
    </row>
    <row r="3950" spans="1:34" x14ac:dyDescent="0.3">
      <c r="A3950" s="4">
        <v>4066</v>
      </c>
      <c r="B3950" s="5">
        <v>3943</v>
      </c>
      <c r="C3950">
        <v>5508</v>
      </c>
      <c r="D3950" t="s">
        <v>18793</v>
      </c>
      <c r="E3950" t="s">
        <v>1189</v>
      </c>
      <c r="F3950" t="s">
        <v>17</v>
      </c>
      <c r="G3950" t="s">
        <v>24975</v>
      </c>
      <c r="H3950">
        <v>18.03</v>
      </c>
      <c r="I3950">
        <v>0</v>
      </c>
      <c r="J3950">
        <v>0</v>
      </c>
      <c r="K3950">
        <v>0</v>
      </c>
      <c r="O3950">
        <v>0</v>
      </c>
      <c r="P3950">
        <v>4</v>
      </c>
      <c r="Q3950">
        <v>0</v>
      </c>
      <c r="R3950">
        <v>22.03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H3950">
        <v>22.03</v>
      </c>
    </row>
    <row r="3951" spans="1:34" x14ac:dyDescent="0.3">
      <c r="A3951" s="4">
        <v>4067</v>
      </c>
      <c r="B3951" s="5">
        <v>3944</v>
      </c>
      <c r="C3951">
        <v>8231</v>
      </c>
      <c r="D3951" t="s">
        <v>717</v>
      </c>
      <c r="E3951" t="s">
        <v>97</v>
      </c>
      <c r="F3951" t="s">
        <v>343</v>
      </c>
      <c r="G3951" t="s">
        <v>24976</v>
      </c>
      <c r="H3951">
        <v>19</v>
      </c>
      <c r="I3951">
        <v>0</v>
      </c>
      <c r="J3951">
        <v>0</v>
      </c>
      <c r="K3951">
        <v>0</v>
      </c>
      <c r="N3951">
        <v>3</v>
      </c>
      <c r="O3951">
        <v>3</v>
      </c>
      <c r="P3951">
        <v>0</v>
      </c>
      <c r="Q3951">
        <v>0</v>
      </c>
      <c r="R3951">
        <v>22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H3951">
        <v>22</v>
      </c>
    </row>
    <row r="3952" spans="1:34" x14ac:dyDescent="0.3">
      <c r="A3952" s="4">
        <v>4068</v>
      </c>
      <c r="B3952" s="5">
        <v>3945</v>
      </c>
      <c r="C3952">
        <v>10170</v>
      </c>
      <c r="D3952" t="s">
        <v>24977</v>
      </c>
      <c r="E3952" t="s">
        <v>22</v>
      </c>
      <c r="F3952" t="s">
        <v>328</v>
      </c>
      <c r="G3952" t="s">
        <v>24978</v>
      </c>
      <c r="H3952">
        <v>19</v>
      </c>
      <c r="I3952">
        <v>0</v>
      </c>
      <c r="J3952">
        <v>0</v>
      </c>
      <c r="K3952">
        <v>0</v>
      </c>
      <c r="N3952">
        <v>3</v>
      </c>
      <c r="O3952">
        <v>3</v>
      </c>
      <c r="P3952">
        <v>0</v>
      </c>
      <c r="Q3952">
        <v>0</v>
      </c>
      <c r="R3952">
        <v>22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H3952">
        <v>22</v>
      </c>
    </row>
    <row r="3953" spans="1:34" x14ac:dyDescent="0.3">
      <c r="A3953" s="4">
        <v>4069</v>
      </c>
      <c r="B3953" s="5">
        <v>3946</v>
      </c>
      <c r="C3953">
        <v>4719</v>
      </c>
      <c r="D3953" t="s">
        <v>791</v>
      </c>
      <c r="E3953" t="s">
        <v>3680</v>
      </c>
      <c r="F3953" t="s">
        <v>20</v>
      </c>
      <c r="G3953" t="s">
        <v>24979</v>
      </c>
      <c r="H3953">
        <v>18.98</v>
      </c>
      <c r="I3953">
        <v>0</v>
      </c>
      <c r="J3953">
        <v>0</v>
      </c>
      <c r="K3953">
        <v>0</v>
      </c>
      <c r="N3953">
        <v>3</v>
      </c>
      <c r="O3953">
        <v>3</v>
      </c>
      <c r="P3953">
        <v>0</v>
      </c>
      <c r="Q3953">
        <v>0</v>
      </c>
      <c r="R3953">
        <v>21.98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H3953">
        <v>21.98</v>
      </c>
    </row>
    <row r="3954" spans="1:34" x14ac:dyDescent="0.3">
      <c r="A3954" s="4">
        <v>4070</v>
      </c>
      <c r="B3954" s="5">
        <v>3947</v>
      </c>
      <c r="C3954">
        <v>677</v>
      </c>
      <c r="D3954" t="s">
        <v>22668</v>
      </c>
      <c r="E3954" t="s">
        <v>861</v>
      </c>
      <c r="F3954" t="s">
        <v>346</v>
      </c>
      <c r="G3954" t="s">
        <v>24980</v>
      </c>
      <c r="H3954">
        <v>17.95</v>
      </c>
      <c r="I3954">
        <v>0</v>
      </c>
      <c r="J3954">
        <v>0</v>
      </c>
      <c r="K3954">
        <v>0</v>
      </c>
      <c r="O3954">
        <v>0</v>
      </c>
      <c r="P3954">
        <v>4</v>
      </c>
      <c r="Q3954">
        <v>0</v>
      </c>
      <c r="R3954">
        <v>21.95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H3954">
        <v>21.95</v>
      </c>
    </row>
    <row r="3955" spans="1:34" x14ac:dyDescent="0.3">
      <c r="A3955" s="4">
        <v>4071</v>
      </c>
      <c r="B3955" s="5">
        <v>3948</v>
      </c>
      <c r="C3955">
        <v>6919</v>
      </c>
      <c r="D3955" t="s">
        <v>24981</v>
      </c>
      <c r="E3955" t="s">
        <v>136</v>
      </c>
      <c r="F3955" t="s">
        <v>81</v>
      </c>
      <c r="G3955" t="s">
        <v>24982</v>
      </c>
      <c r="H3955">
        <v>17.95</v>
      </c>
      <c r="I3955">
        <v>0</v>
      </c>
      <c r="J3955">
        <v>0</v>
      </c>
      <c r="K3955">
        <v>0</v>
      </c>
      <c r="O3955">
        <v>0</v>
      </c>
      <c r="P3955">
        <v>4</v>
      </c>
      <c r="Q3955">
        <v>0</v>
      </c>
      <c r="R3955">
        <v>21.95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H3955">
        <v>21.95</v>
      </c>
    </row>
    <row r="3956" spans="1:34" x14ac:dyDescent="0.3">
      <c r="A3956" s="4">
        <v>4072</v>
      </c>
      <c r="B3956" s="5">
        <v>3949</v>
      </c>
      <c r="C3956">
        <v>5765</v>
      </c>
      <c r="D3956" t="s">
        <v>3819</v>
      </c>
      <c r="E3956" t="s">
        <v>178</v>
      </c>
      <c r="F3956" t="s">
        <v>457</v>
      </c>
      <c r="G3956" t="s">
        <v>24983</v>
      </c>
      <c r="H3956">
        <v>17.95</v>
      </c>
      <c r="I3956">
        <v>0</v>
      </c>
      <c r="J3956">
        <v>0</v>
      </c>
      <c r="K3956">
        <v>0</v>
      </c>
      <c r="O3956">
        <v>0</v>
      </c>
      <c r="P3956">
        <v>4</v>
      </c>
      <c r="Q3956">
        <v>0</v>
      </c>
      <c r="R3956">
        <v>21.95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H3956">
        <v>21.95</v>
      </c>
    </row>
    <row r="3957" spans="1:34" x14ac:dyDescent="0.3">
      <c r="A3957" s="4">
        <v>4073</v>
      </c>
      <c r="B3957" s="5">
        <v>3950</v>
      </c>
      <c r="C3957">
        <v>11534</v>
      </c>
      <c r="D3957" t="s">
        <v>24984</v>
      </c>
      <c r="E3957" t="s">
        <v>68</v>
      </c>
      <c r="F3957" t="s">
        <v>136</v>
      </c>
      <c r="G3957" t="s">
        <v>24985</v>
      </c>
      <c r="H3957">
        <v>17.93</v>
      </c>
      <c r="I3957">
        <v>0</v>
      </c>
      <c r="J3957">
        <v>0</v>
      </c>
      <c r="K3957">
        <v>0</v>
      </c>
      <c r="O3957">
        <v>0</v>
      </c>
      <c r="P3957">
        <v>4</v>
      </c>
      <c r="Q3957">
        <v>0</v>
      </c>
      <c r="R3957">
        <v>21.93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H3957">
        <v>21.93</v>
      </c>
    </row>
    <row r="3958" spans="1:34" x14ac:dyDescent="0.3">
      <c r="A3958" s="4">
        <v>4074</v>
      </c>
      <c r="B3958" s="5">
        <v>3951</v>
      </c>
      <c r="C3958">
        <v>9929</v>
      </c>
      <c r="D3958" t="s">
        <v>24986</v>
      </c>
      <c r="E3958" t="s">
        <v>132</v>
      </c>
      <c r="F3958" t="s">
        <v>158</v>
      </c>
      <c r="G3958" t="s">
        <v>24987</v>
      </c>
      <c r="H3958">
        <v>17.899999999999999</v>
      </c>
      <c r="I3958">
        <v>0</v>
      </c>
      <c r="J3958">
        <v>0</v>
      </c>
      <c r="K3958">
        <v>0</v>
      </c>
      <c r="O3958">
        <v>0</v>
      </c>
      <c r="P3958">
        <v>4</v>
      </c>
      <c r="Q3958">
        <v>0</v>
      </c>
      <c r="R3958">
        <v>21.9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H3958">
        <v>21.9</v>
      </c>
    </row>
    <row r="3959" spans="1:34" x14ac:dyDescent="0.3">
      <c r="A3959" s="4">
        <v>4075</v>
      </c>
      <c r="B3959" s="5">
        <v>3952</v>
      </c>
      <c r="C3959">
        <v>7019</v>
      </c>
      <c r="D3959" t="s">
        <v>14200</v>
      </c>
      <c r="E3959" t="s">
        <v>255</v>
      </c>
      <c r="F3959" t="s">
        <v>117</v>
      </c>
      <c r="G3959" t="s">
        <v>24988</v>
      </c>
      <c r="H3959">
        <v>17.899999999999999</v>
      </c>
      <c r="I3959">
        <v>0</v>
      </c>
      <c r="J3959">
        <v>0</v>
      </c>
      <c r="K3959">
        <v>0</v>
      </c>
      <c r="O3959">
        <v>0</v>
      </c>
      <c r="P3959">
        <v>4</v>
      </c>
      <c r="Q3959">
        <v>0</v>
      </c>
      <c r="R3959">
        <v>21.9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H3959">
        <v>21.9</v>
      </c>
    </row>
    <row r="3960" spans="1:34" x14ac:dyDescent="0.3">
      <c r="A3960" s="4">
        <v>4076</v>
      </c>
      <c r="B3960" s="5">
        <v>3953</v>
      </c>
      <c r="C3960">
        <v>4723</v>
      </c>
      <c r="D3960" t="s">
        <v>799</v>
      </c>
      <c r="E3960" t="s">
        <v>29</v>
      </c>
      <c r="F3960" t="s">
        <v>20</v>
      </c>
      <c r="G3960" t="s">
        <v>24989</v>
      </c>
      <c r="H3960">
        <v>17.88</v>
      </c>
      <c r="I3960">
        <v>0</v>
      </c>
      <c r="J3960">
        <v>0</v>
      </c>
      <c r="K3960">
        <v>0</v>
      </c>
      <c r="O3960">
        <v>0</v>
      </c>
      <c r="P3960">
        <v>4</v>
      </c>
      <c r="Q3960">
        <v>0</v>
      </c>
      <c r="R3960">
        <v>21.88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H3960">
        <v>21.88</v>
      </c>
    </row>
    <row r="3961" spans="1:34" x14ac:dyDescent="0.3">
      <c r="A3961" s="4">
        <v>4077</v>
      </c>
      <c r="B3961" s="5">
        <v>3954</v>
      </c>
      <c r="C3961">
        <v>5242</v>
      </c>
      <c r="D3961" t="s">
        <v>979</v>
      </c>
      <c r="E3961" t="s">
        <v>110</v>
      </c>
      <c r="F3961" t="s">
        <v>5060</v>
      </c>
      <c r="G3961" t="s">
        <v>24990</v>
      </c>
      <c r="H3961">
        <v>17.850000000000001</v>
      </c>
      <c r="I3961">
        <v>0</v>
      </c>
      <c r="J3961">
        <v>0</v>
      </c>
      <c r="K3961">
        <v>0</v>
      </c>
      <c r="O3961">
        <v>0</v>
      </c>
      <c r="P3961">
        <v>4</v>
      </c>
      <c r="Q3961">
        <v>0</v>
      </c>
      <c r="R3961">
        <v>21.85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H3961">
        <v>21.85</v>
      </c>
    </row>
    <row r="3962" spans="1:34" x14ac:dyDescent="0.3">
      <c r="A3962" s="4">
        <v>4078</v>
      </c>
      <c r="B3962" s="5">
        <v>3955</v>
      </c>
      <c r="C3962">
        <v>10828</v>
      </c>
      <c r="D3962" t="s">
        <v>7830</v>
      </c>
      <c r="E3962" t="s">
        <v>3968</v>
      </c>
      <c r="F3962" t="s">
        <v>20</v>
      </c>
      <c r="G3962" t="s">
        <v>24991</v>
      </c>
      <c r="H3962">
        <v>17.850000000000001</v>
      </c>
      <c r="I3962">
        <v>0</v>
      </c>
      <c r="J3962">
        <v>0</v>
      </c>
      <c r="K3962">
        <v>0</v>
      </c>
      <c r="O3962">
        <v>0</v>
      </c>
      <c r="P3962">
        <v>4</v>
      </c>
      <c r="Q3962">
        <v>0</v>
      </c>
      <c r="R3962">
        <v>21.85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H3962">
        <v>21.85</v>
      </c>
    </row>
    <row r="3963" spans="1:34" x14ac:dyDescent="0.3">
      <c r="A3963" s="4">
        <v>4079</v>
      </c>
      <c r="B3963" s="5">
        <v>3956</v>
      </c>
      <c r="C3963">
        <v>14887</v>
      </c>
      <c r="D3963" t="s">
        <v>1950</v>
      </c>
      <c r="E3963" t="s">
        <v>41</v>
      </c>
      <c r="F3963" t="s">
        <v>91</v>
      </c>
      <c r="G3963" t="s">
        <v>24992</v>
      </c>
      <c r="H3963">
        <v>17.829999999999998</v>
      </c>
      <c r="I3963">
        <v>0</v>
      </c>
      <c r="J3963">
        <v>0</v>
      </c>
      <c r="K3963">
        <v>0</v>
      </c>
      <c r="O3963">
        <v>0</v>
      </c>
      <c r="P3963">
        <v>4</v>
      </c>
      <c r="Q3963">
        <v>0</v>
      </c>
      <c r="R3963">
        <v>21.83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H3963">
        <v>21.83</v>
      </c>
    </row>
    <row r="3964" spans="1:34" x14ac:dyDescent="0.3">
      <c r="A3964" s="4">
        <v>4080</v>
      </c>
      <c r="B3964" s="5">
        <v>3957</v>
      </c>
      <c r="C3964">
        <v>12279</v>
      </c>
      <c r="D3964" t="s">
        <v>24993</v>
      </c>
      <c r="E3964" t="s">
        <v>190</v>
      </c>
      <c r="F3964" t="s">
        <v>343</v>
      </c>
      <c r="G3964" t="s">
        <v>24994</v>
      </c>
      <c r="H3964">
        <v>17.829999999999998</v>
      </c>
      <c r="I3964">
        <v>0</v>
      </c>
      <c r="J3964">
        <v>0</v>
      </c>
      <c r="K3964">
        <v>0</v>
      </c>
      <c r="O3964">
        <v>0</v>
      </c>
      <c r="P3964">
        <v>4</v>
      </c>
      <c r="Q3964">
        <v>0</v>
      </c>
      <c r="R3964">
        <v>21.83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H3964">
        <v>21.83</v>
      </c>
    </row>
    <row r="3965" spans="1:34" x14ac:dyDescent="0.3">
      <c r="A3965" s="4">
        <v>4081</v>
      </c>
      <c r="B3965" s="5">
        <v>3958</v>
      </c>
      <c r="C3965">
        <v>4888</v>
      </c>
      <c r="D3965" t="s">
        <v>24995</v>
      </c>
      <c r="E3965" t="s">
        <v>268</v>
      </c>
      <c r="F3965" t="s">
        <v>20</v>
      </c>
      <c r="G3965" t="s">
        <v>24996</v>
      </c>
      <c r="H3965">
        <v>17.829999999999998</v>
      </c>
      <c r="I3965">
        <v>0</v>
      </c>
      <c r="J3965">
        <v>0</v>
      </c>
      <c r="K3965">
        <v>0</v>
      </c>
      <c r="O3965">
        <v>0</v>
      </c>
      <c r="P3965">
        <v>4</v>
      </c>
      <c r="Q3965">
        <v>0</v>
      </c>
      <c r="R3965">
        <v>21.83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H3965">
        <v>21.83</v>
      </c>
    </row>
    <row r="3966" spans="1:34" x14ac:dyDescent="0.3">
      <c r="A3966" s="4">
        <v>4082</v>
      </c>
      <c r="B3966" s="5">
        <v>3959</v>
      </c>
      <c r="C3966">
        <v>3327</v>
      </c>
      <c r="D3966" t="s">
        <v>24997</v>
      </c>
      <c r="E3966" t="s">
        <v>24998</v>
      </c>
      <c r="F3966" t="s">
        <v>343</v>
      </c>
      <c r="G3966" t="s">
        <v>24999</v>
      </c>
      <c r="H3966">
        <v>15.8</v>
      </c>
      <c r="I3966">
        <v>0</v>
      </c>
      <c r="J3966">
        <v>0</v>
      </c>
      <c r="K3966">
        <v>0</v>
      </c>
      <c r="N3966">
        <v>3</v>
      </c>
      <c r="O3966">
        <v>3</v>
      </c>
      <c r="P3966">
        <v>0</v>
      </c>
      <c r="Q3966">
        <v>0</v>
      </c>
      <c r="R3966">
        <v>18.8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3</v>
      </c>
      <c r="AC3966">
        <v>0</v>
      </c>
      <c r="AH3966">
        <v>21.8</v>
      </c>
    </row>
    <row r="3967" spans="1:34" x14ac:dyDescent="0.3">
      <c r="A3967" s="4">
        <v>4083</v>
      </c>
      <c r="B3967" s="5">
        <v>3960</v>
      </c>
      <c r="C3967">
        <v>10981</v>
      </c>
      <c r="D3967" t="s">
        <v>25000</v>
      </c>
      <c r="E3967" t="s">
        <v>208</v>
      </c>
      <c r="F3967" t="s">
        <v>17</v>
      </c>
      <c r="G3967" t="s">
        <v>25001</v>
      </c>
      <c r="H3967">
        <v>17.8</v>
      </c>
      <c r="I3967">
        <v>0</v>
      </c>
      <c r="J3967">
        <v>0</v>
      </c>
      <c r="K3967">
        <v>0</v>
      </c>
      <c r="O3967">
        <v>0</v>
      </c>
      <c r="P3967">
        <v>4</v>
      </c>
      <c r="Q3967">
        <v>0</v>
      </c>
      <c r="R3967">
        <v>21.8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H3967">
        <v>21.8</v>
      </c>
    </row>
    <row r="3968" spans="1:34" x14ac:dyDescent="0.3">
      <c r="A3968" s="4">
        <v>4084</v>
      </c>
      <c r="B3968" s="5">
        <v>3961</v>
      </c>
      <c r="C3968">
        <v>7990</v>
      </c>
      <c r="D3968" t="s">
        <v>7127</v>
      </c>
      <c r="E3968" t="s">
        <v>29</v>
      </c>
      <c r="F3968" t="s">
        <v>30</v>
      </c>
      <c r="G3968" t="s">
        <v>25002</v>
      </c>
      <c r="H3968">
        <v>18.78</v>
      </c>
      <c r="I3968">
        <v>0</v>
      </c>
      <c r="J3968">
        <v>0</v>
      </c>
      <c r="K3968">
        <v>0</v>
      </c>
      <c r="N3968">
        <v>3</v>
      </c>
      <c r="O3968">
        <v>3</v>
      </c>
      <c r="P3968">
        <v>0</v>
      </c>
      <c r="Q3968">
        <v>0</v>
      </c>
      <c r="R3968">
        <v>21.78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H3968">
        <v>21.78</v>
      </c>
    </row>
    <row r="3969" spans="1:34" x14ac:dyDescent="0.3">
      <c r="A3969" s="4">
        <v>4085</v>
      </c>
      <c r="B3969" s="5">
        <v>3962</v>
      </c>
      <c r="C3969">
        <v>11782</v>
      </c>
      <c r="D3969" t="s">
        <v>7762</v>
      </c>
      <c r="E3969" t="s">
        <v>58</v>
      </c>
      <c r="F3969" t="s">
        <v>1566</v>
      </c>
      <c r="G3969" t="s">
        <v>25003</v>
      </c>
      <c r="H3969">
        <v>17.75</v>
      </c>
      <c r="I3969">
        <v>0</v>
      </c>
      <c r="J3969">
        <v>0</v>
      </c>
      <c r="K3969">
        <v>0</v>
      </c>
      <c r="O3969">
        <v>0</v>
      </c>
      <c r="P3969">
        <v>4</v>
      </c>
      <c r="Q3969">
        <v>0</v>
      </c>
      <c r="R3969">
        <v>21.75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H3969">
        <v>21.75</v>
      </c>
    </row>
    <row r="3970" spans="1:34" x14ac:dyDescent="0.3">
      <c r="A3970" s="4">
        <v>4086</v>
      </c>
      <c r="B3970" s="5">
        <v>3963</v>
      </c>
      <c r="C3970">
        <v>7735</v>
      </c>
      <c r="D3970" t="s">
        <v>25004</v>
      </c>
      <c r="E3970" t="s">
        <v>25005</v>
      </c>
      <c r="F3970" t="s">
        <v>25006</v>
      </c>
      <c r="G3970" t="s">
        <v>25007</v>
      </c>
      <c r="H3970">
        <v>18.73</v>
      </c>
      <c r="I3970">
        <v>0</v>
      </c>
      <c r="J3970">
        <v>0</v>
      </c>
      <c r="K3970">
        <v>0</v>
      </c>
      <c r="N3970">
        <v>3</v>
      </c>
      <c r="O3970">
        <v>3</v>
      </c>
      <c r="P3970">
        <v>0</v>
      </c>
      <c r="Q3970">
        <v>0</v>
      </c>
      <c r="R3970">
        <v>21.73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H3970">
        <v>21.73</v>
      </c>
    </row>
    <row r="3971" spans="1:34" x14ac:dyDescent="0.3">
      <c r="A3971" s="4">
        <v>4087</v>
      </c>
      <c r="B3971" s="5">
        <v>3964</v>
      </c>
      <c r="C3971">
        <v>9266</v>
      </c>
      <c r="D3971" t="s">
        <v>3230</v>
      </c>
      <c r="E3971" t="s">
        <v>286</v>
      </c>
      <c r="F3971" t="s">
        <v>117</v>
      </c>
      <c r="G3971" t="s">
        <v>25008</v>
      </c>
      <c r="H3971">
        <v>18.7</v>
      </c>
      <c r="I3971">
        <v>0</v>
      </c>
      <c r="J3971">
        <v>0</v>
      </c>
      <c r="K3971">
        <v>0</v>
      </c>
      <c r="N3971">
        <v>3</v>
      </c>
      <c r="O3971">
        <v>3</v>
      </c>
      <c r="P3971">
        <v>0</v>
      </c>
      <c r="Q3971">
        <v>0</v>
      </c>
      <c r="R3971">
        <v>21.7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H3971">
        <v>21.7</v>
      </c>
    </row>
    <row r="3972" spans="1:34" x14ac:dyDescent="0.3">
      <c r="A3972" s="4">
        <v>4088</v>
      </c>
      <c r="B3972" s="5">
        <v>3965</v>
      </c>
      <c r="C3972">
        <v>1657</v>
      </c>
      <c r="D3972" t="s">
        <v>16803</v>
      </c>
      <c r="E3972" t="s">
        <v>33</v>
      </c>
      <c r="F3972" t="s">
        <v>81</v>
      </c>
      <c r="G3972" t="s">
        <v>25009</v>
      </c>
      <c r="H3972">
        <v>17.7</v>
      </c>
      <c r="I3972">
        <v>0</v>
      </c>
      <c r="J3972">
        <v>0</v>
      </c>
      <c r="K3972">
        <v>0</v>
      </c>
      <c r="O3972">
        <v>0</v>
      </c>
      <c r="P3972">
        <v>4</v>
      </c>
      <c r="Q3972">
        <v>0</v>
      </c>
      <c r="R3972">
        <v>21.7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H3972">
        <v>21.7</v>
      </c>
    </row>
    <row r="3973" spans="1:34" x14ac:dyDescent="0.3">
      <c r="A3973" s="4">
        <v>4089</v>
      </c>
      <c r="B3973" s="5">
        <v>3966</v>
      </c>
      <c r="C3973">
        <v>5375</v>
      </c>
      <c r="D3973" t="s">
        <v>41</v>
      </c>
      <c r="E3973" t="s">
        <v>25010</v>
      </c>
      <c r="F3973" t="s">
        <v>81</v>
      </c>
      <c r="G3973" t="s">
        <v>25011</v>
      </c>
      <c r="H3973">
        <v>17.7</v>
      </c>
      <c r="I3973">
        <v>0</v>
      </c>
      <c r="J3973">
        <v>0</v>
      </c>
      <c r="K3973">
        <v>0</v>
      </c>
      <c r="O3973">
        <v>0</v>
      </c>
      <c r="P3973">
        <v>4</v>
      </c>
      <c r="Q3973">
        <v>0</v>
      </c>
      <c r="R3973">
        <v>21.7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H3973">
        <v>21.7</v>
      </c>
    </row>
    <row r="3974" spans="1:34" x14ac:dyDescent="0.3">
      <c r="A3974" s="4">
        <v>4090</v>
      </c>
      <c r="B3974" s="5">
        <v>3967</v>
      </c>
      <c r="C3974">
        <v>4347</v>
      </c>
      <c r="D3974" t="s">
        <v>25012</v>
      </c>
      <c r="E3974" t="s">
        <v>97</v>
      </c>
      <c r="F3974" t="s">
        <v>17</v>
      </c>
      <c r="G3974" t="s">
        <v>25013</v>
      </c>
      <c r="H3974">
        <v>17.7</v>
      </c>
      <c r="I3974">
        <v>0</v>
      </c>
      <c r="J3974">
        <v>0</v>
      </c>
      <c r="K3974">
        <v>0</v>
      </c>
      <c r="O3974">
        <v>0</v>
      </c>
      <c r="P3974">
        <v>4</v>
      </c>
      <c r="Q3974">
        <v>0</v>
      </c>
      <c r="R3974">
        <v>21.7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H3974">
        <v>21.7</v>
      </c>
    </row>
    <row r="3975" spans="1:34" x14ac:dyDescent="0.3">
      <c r="A3975" s="4">
        <v>4091</v>
      </c>
      <c r="B3975" s="5">
        <v>3968</v>
      </c>
      <c r="C3975">
        <v>14944</v>
      </c>
      <c r="D3975" t="s">
        <v>25014</v>
      </c>
      <c r="E3975" t="s">
        <v>789</v>
      </c>
      <c r="F3975" t="s">
        <v>892</v>
      </c>
      <c r="G3975" t="s">
        <v>25015</v>
      </c>
      <c r="H3975">
        <v>18.68</v>
      </c>
      <c r="I3975">
        <v>0</v>
      </c>
      <c r="J3975">
        <v>0</v>
      </c>
      <c r="K3975">
        <v>0</v>
      </c>
      <c r="N3975">
        <v>3</v>
      </c>
      <c r="O3975">
        <v>3</v>
      </c>
      <c r="P3975">
        <v>0</v>
      </c>
      <c r="Q3975">
        <v>0</v>
      </c>
      <c r="R3975">
        <v>21.68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H3975">
        <v>21.68</v>
      </c>
    </row>
    <row r="3976" spans="1:34" x14ac:dyDescent="0.3">
      <c r="A3976" s="4">
        <v>4092</v>
      </c>
      <c r="B3976" s="5">
        <v>3969</v>
      </c>
      <c r="C3976">
        <v>14127</v>
      </c>
      <c r="D3976" t="s">
        <v>3388</v>
      </c>
      <c r="E3976" t="s">
        <v>132</v>
      </c>
      <c r="F3976" t="s">
        <v>136</v>
      </c>
      <c r="G3976" t="s">
        <v>25016</v>
      </c>
      <c r="H3976">
        <v>17.68</v>
      </c>
      <c r="I3976">
        <v>0</v>
      </c>
      <c r="J3976">
        <v>0</v>
      </c>
      <c r="K3976">
        <v>0</v>
      </c>
      <c r="O3976">
        <v>0</v>
      </c>
      <c r="P3976">
        <v>4</v>
      </c>
      <c r="Q3976">
        <v>0</v>
      </c>
      <c r="R3976">
        <v>21.68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H3976">
        <v>21.68</v>
      </c>
    </row>
    <row r="3977" spans="1:34" x14ac:dyDescent="0.3">
      <c r="A3977" s="4">
        <v>4093</v>
      </c>
      <c r="B3977" s="5">
        <v>3970</v>
      </c>
      <c r="C3977">
        <v>5571</v>
      </c>
      <c r="D3977" t="s">
        <v>25017</v>
      </c>
      <c r="E3977" t="s">
        <v>54</v>
      </c>
      <c r="F3977" t="s">
        <v>81</v>
      </c>
      <c r="G3977" t="s">
        <v>25018</v>
      </c>
      <c r="H3977">
        <v>17.68</v>
      </c>
      <c r="I3977">
        <v>0</v>
      </c>
      <c r="J3977">
        <v>0</v>
      </c>
      <c r="K3977">
        <v>0</v>
      </c>
      <c r="O3977">
        <v>0</v>
      </c>
      <c r="P3977">
        <v>4</v>
      </c>
      <c r="Q3977">
        <v>0</v>
      </c>
      <c r="R3977">
        <v>21.68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H3977">
        <v>21.68</v>
      </c>
    </row>
    <row r="3978" spans="1:34" x14ac:dyDescent="0.3">
      <c r="A3978" s="4">
        <v>4094</v>
      </c>
      <c r="B3978" s="5">
        <v>3971</v>
      </c>
      <c r="C3978">
        <v>7767</v>
      </c>
      <c r="D3978" t="s">
        <v>11927</v>
      </c>
      <c r="E3978" t="s">
        <v>29</v>
      </c>
      <c r="F3978" t="s">
        <v>55</v>
      </c>
      <c r="G3978" t="s">
        <v>25019</v>
      </c>
      <c r="H3978">
        <v>18.649999999999999</v>
      </c>
      <c r="I3978">
        <v>0</v>
      </c>
      <c r="J3978">
        <v>0</v>
      </c>
      <c r="K3978">
        <v>0</v>
      </c>
      <c r="N3978">
        <v>3</v>
      </c>
      <c r="O3978">
        <v>3</v>
      </c>
      <c r="P3978">
        <v>0</v>
      </c>
      <c r="Q3978">
        <v>0</v>
      </c>
      <c r="R3978">
        <v>21.65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H3978">
        <v>21.65</v>
      </c>
    </row>
    <row r="3979" spans="1:34" x14ac:dyDescent="0.3">
      <c r="A3979" s="4">
        <v>4095</v>
      </c>
      <c r="B3979" s="5">
        <v>3972</v>
      </c>
      <c r="C3979">
        <v>6118</v>
      </c>
      <c r="D3979" t="s">
        <v>25020</v>
      </c>
      <c r="E3979" t="s">
        <v>338</v>
      </c>
      <c r="F3979" t="s">
        <v>79</v>
      </c>
      <c r="G3979" t="s">
        <v>25021</v>
      </c>
      <c r="H3979">
        <v>18.649999999999999</v>
      </c>
      <c r="I3979">
        <v>0</v>
      </c>
      <c r="J3979">
        <v>0</v>
      </c>
      <c r="K3979">
        <v>0</v>
      </c>
      <c r="N3979">
        <v>3</v>
      </c>
      <c r="O3979">
        <v>3</v>
      </c>
      <c r="P3979">
        <v>0</v>
      </c>
      <c r="Q3979">
        <v>0</v>
      </c>
      <c r="R3979">
        <v>21.65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H3979">
        <v>21.65</v>
      </c>
    </row>
    <row r="3980" spans="1:34" x14ac:dyDescent="0.3">
      <c r="A3980" s="4">
        <v>4096</v>
      </c>
      <c r="B3980" s="5">
        <v>3973</v>
      </c>
      <c r="C3980">
        <v>7671</v>
      </c>
      <c r="D3980" t="s">
        <v>16916</v>
      </c>
      <c r="E3980" t="s">
        <v>255</v>
      </c>
      <c r="F3980" t="s">
        <v>117</v>
      </c>
      <c r="G3980" t="s">
        <v>25022</v>
      </c>
      <c r="H3980">
        <v>18.63</v>
      </c>
      <c r="I3980">
        <v>0</v>
      </c>
      <c r="J3980">
        <v>0</v>
      </c>
      <c r="K3980">
        <v>0</v>
      </c>
      <c r="N3980">
        <v>3</v>
      </c>
      <c r="O3980">
        <v>3</v>
      </c>
      <c r="P3980">
        <v>0</v>
      </c>
      <c r="Q3980">
        <v>0</v>
      </c>
      <c r="R3980">
        <v>21.63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H3980">
        <v>21.63</v>
      </c>
    </row>
    <row r="3981" spans="1:34" x14ac:dyDescent="0.3">
      <c r="A3981" s="4">
        <v>4097</v>
      </c>
      <c r="B3981" s="5">
        <v>3974</v>
      </c>
      <c r="C3981">
        <v>13873</v>
      </c>
      <c r="D3981" t="s">
        <v>25023</v>
      </c>
      <c r="E3981" t="s">
        <v>157</v>
      </c>
      <c r="F3981" t="s">
        <v>68</v>
      </c>
      <c r="G3981" t="s">
        <v>25024</v>
      </c>
      <c r="H3981">
        <v>17.63</v>
      </c>
      <c r="I3981">
        <v>0</v>
      </c>
      <c r="J3981">
        <v>0</v>
      </c>
      <c r="K3981">
        <v>0</v>
      </c>
      <c r="O3981">
        <v>0</v>
      </c>
      <c r="P3981">
        <v>4</v>
      </c>
      <c r="Q3981">
        <v>0</v>
      </c>
      <c r="R3981">
        <v>21.63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H3981">
        <v>21.63</v>
      </c>
    </row>
    <row r="3982" spans="1:34" x14ac:dyDescent="0.3">
      <c r="A3982" s="4">
        <v>4098</v>
      </c>
      <c r="B3982" s="5">
        <v>3975</v>
      </c>
      <c r="C3982">
        <v>15182</v>
      </c>
      <c r="D3982" t="s">
        <v>7685</v>
      </c>
      <c r="E3982" t="s">
        <v>166</v>
      </c>
      <c r="F3982" t="s">
        <v>17</v>
      </c>
      <c r="G3982" t="s">
        <v>25025</v>
      </c>
      <c r="H3982">
        <v>18.579999999999998</v>
      </c>
      <c r="I3982">
        <v>0</v>
      </c>
      <c r="J3982">
        <v>0</v>
      </c>
      <c r="K3982">
        <v>0</v>
      </c>
      <c r="O3982">
        <v>0</v>
      </c>
      <c r="P3982">
        <v>0</v>
      </c>
      <c r="Q3982">
        <v>0</v>
      </c>
      <c r="R3982">
        <v>18.579999999999998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3</v>
      </c>
      <c r="AC3982">
        <v>0</v>
      </c>
      <c r="AH3982">
        <v>21.58</v>
      </c>
    </row>
    <row r="3983" spans="1:34" x14ac:dyDescent="0.3">
      <c r="A3983" s="4">
        <v>4099</v>
      </c>
      <c r="B3983" s="5">
        <v>3976</v>
      </c>
      <c r="C3983">
        <v>7543</v>
      </c>
      <c r="D3983" t="s">
        <v>12663</v>
      </c>
      <c r="E3983" t="s">
        <v>25026</v>
      </c>
      <c r="F3983" t="s">
        <v>38</v>
      </c>
      <c r="G3983" t="s">
        <v>25027</v>
      </c>
      <c r="H3983">
        <v>14.58</v>
      </c>
      <c r="I3983">
        <v>0</v>
      </c>
      <c r="J3983">
        <v>0</v>
      </c>
      <c r="K3983">
        <v>0</v>
      </c>
      <c r="O3983">
        <v>0</v>
      </c>
      <c r="P3983">
        <v>4</v>
      </c>
      <c r="Q3983">
        <v>0</v>
      </c>
      <c r="R3983">
        <v>18.579999999999998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3</v>
      </c>
      <c r="AC3983">
        <v>0</v>
      </c>
      <c r="AH3983">
        <v>21.58</v>
      </c>
    </row>
    <row r="3984" spans="1:34" x14ac:dyDescent="0.3">
      <c r="A3984" s="4">
        <v>4100</v>
      </c>
      <c r="B3984" s="5">
        <v>3977</v>
      </c>
      <c r="C3984">
        <v>13347</v>
      </c>
      <c r="D3984" t="s">
        <v>25028</v>
      </c>
      <c r="E3984" t="s">
        <v>25029</v>
      </c>
      <c r="F3984" t="s">
        <v>652</v>
      </c>
      <c r="G3984" t="s">
        <v>25030</v>
      </c>
      <c r="H3984">
        <v>17.579999999999998</v>
      </c>
      <c r="I3984">
        <v>0</v>
      </c>
      <c r="J3984">
        <v>0</v>
      </c>
      <c r="K3984">
        <v>0</v>
      </c>
      <c r="O3984">
        <v>0</v>
      </c>
      <c r="P3984">
        <v>4</v>
      </c>
      <c r="Q3984">
        <v>0</v>
      </c>
      <c r="R3984">
        <v>21.58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H3984">
        <v>21.58</v>
      </c>
    </row>
    <row r="3985" spans="1:34" x14ac:dyDescent="0.3">
      <c r="A3985" s="4">
        <v>4101</v>
      </c>
      <c r="B3985" s="5">
        <v>3978</v>
      </c>
      <c r="C3985">
        <v>7294</v>
      </c>
      <c r="D3985" t="s">
        <v>6744</v>
      </c>
      <c r="E3985" t="s">
        <v>7864</v>
      </c>
      <c r="F3985" t="s">
        <v>38</v>
      </c>
      <c r="G3985" t="s">
        <v>25031</v>
      </c>
      <c r="H3985">
        <v>18.55</v>
      </c>
      <c r="I3985">
        <v>0</v>
      </c>
      <c r="J3985">
        <v>0</v>
      </c>
      <c r="K3985">
        <v>0</v>
      </c>
      <c r="N3985">
        <v>3</v>
      </c>
      <c r="O3985">
        <v>3</v>
      </c>
      <c r="P3985">
        <v>0</v>
      </c>
      <c r="Q3985">
        <v>0</v>
      </c>
      <c r="R3985">
        <v>21.55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H3985">
        <v>21.55</v>
      </c>
    </row>
    <row r="3986" spans="1:34" x14ac:dyDescent="0.3">
      <c r="A3986" s="4">
        <v>4102</v>
      </c>
      <c r="B3986" s="5">
        <v>3979</v>
      </c>
      <c r="C3986">
        <v>8449</v>
      </c>
      <c r="D3986" t="s">
        <v>25032</v>
      </c>
      <c r="E3986" t="s">
        <v>41</v>
      </c>
      <c r="F3986" t="s">
        <v>136</v>
      </c>
      <c r="G3986" t="s">
        <v>25033</v>
      </c>
      <c r="H3986">
        <v>17.55</v>
      </c>
      <c r="I3986">
        <v>0</v>
      </c>
      <c r="J3986">
        <v>0</v>
      </c>
      <c r="K3986">
        <v>0</v>
      </c>
      <c r="O3986">
        <v>0</v>
      </c>
      <c r="P3986">
        <v>4</v>
      </c>
      <c r="Q3986">
        <v>0</v>
      </c>
      <c r="R3986">
        <v>21.55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H3986">
        <v>21.55</v>
      </c>
    </row>
    <row r="3987" spans="1:34" x14ac:dyDescent="0.3">
      <c r="A3987" s="4">
        <v>4103</v>
      </c>
      <c r="B3987" s="5">
        <v>3980</v>
      </c>
      <c r="C3987">
        <v>5522</v>
      </c>
      <c r="D3987" t="s">
        <v>9646</v>
      </c>
      <c r="E3987" t="s">
        <v>147</v>
      </c>
      <c r="F3987" t="s">
        <v>298</v>
      </c>
      <c r="G3987" t="s">
        <v>25034</v>
      </c>
      <c r="H3987">
        <v>17.55</v>
      </c>
      <c r="I3987">
        <v>0</v>
      </c>
      <c r="J3987">
        <v>0</v>
      </c>
      <c r="K3987">
        <v>0</v>
      </c>
      <c r="O3987">
        <v>0</v>
      </c>
      <c r="P3987">
        <v>4</v>
      </c>
      <c r="Q3987">
        <v>0</v>
      </c>
      <c r="R3987">
        <v>21.55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H3987">
        <v>21.55</v>
      </c>
    </row>
    <row r="3988" spans="1:34" x14ac:dyDescent="0.3">
      <c r="A3988" s="4">
        <v>4104</v>
      </c>
      <c r="B3988" s="5">
        <v>3981</v>
      </c>
      <c r="C3988">
        <v>13223</v>
      </c>
      <c r="D3988" t="s">
        <v>25035</v>
      </c>
      <c r="E3988" t="s">
        <v>400</v>
      </c>
      <c r="F3988" t="s">
        <v>1178</v>
      </c>
      <c r="G3988" t="s">
        <v>25036</v>
      </c>
      <c r="H3988">
        <v>18.53</v>
      </c>
      <c r="I3988">
        <v>0</v>
      </c>
      <c r="J3988">
        <v>0</v>
      </c>
      <c r="K3988">
        <v>0</v>
      </c>
      <c r="N3988">
        <v>3</v>
      </c>
      <c r="O3988">
        <v>3</v>
      </c>
      <c r="P3988">
        <v>0</v>
      </c>
      <c r="Q3988">
        <v>0</v>
      </c>
      <c r="R3988">
        <v>21.53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H3988">
        <v>21.53</v>
      </c>
    </row>
    <row r="3989" spans="1:34" x14ac:dyDescent="0.3">
      <c r="A3989" s="4">
        <v>4105</v>
      </c>
      <c r="B3989" s="5">
        <v>3982</v>
      </c>
      <c r="C3989">
        <v>14026</v>
      </c>
      <c r="D3989" t="s">
        <v>25037</v>
      </c>
      <c r="E3989" t="s">
        <v>38</v>
      </c>
      <c r="F3989" t="s">
        <v>927</v>
      </c>
      <c r="G3989" t="s">
        <v>25038</v>
      </c>
      <c r="H3989">
        <v>18.53</v>
      </c>
      <c r="I3989">
        <v>0</v>
      </c>
      <c r="J3989">
        <v>0</v>
      </c>
      <c r="K3989">
        <v>0</v>
      </c>
      <c r="N3989">
        <v>3</v>
      </c>
      <c r="O3989">
        <v>3</v>
      </c>
      <c r="P3989">
        <v>0</v>
      </c>
      <c r="Q3989">
        <v>0</v>
      </c>
      <c r="R3989">
        <v>21.53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H3989">
        <v>21.53</v>
      </c>
    </row>
    <row r="3990" spans="1:34" x14ac:dyDescent="0.3">
      <c r="A3990" s="4">
        <v>4106</v>
      </c>
      <c r="B3990" s="5">
        <v>3983</v>
      </c>
      <c r="C3990">
        <v>7486</v>
      </c>
      <c r="D3990" t="s">
        <v>4698</v>
      </c>
      <c r="E3990" t="s">
        <v>25039</v>
      </c>
      <c r="F3990" t="s">
        <v>25040</v>
      </c>
      <c r="G3990" t="s">
        <v>25041</v>
      </c>
      <c r="H3990">
        <v>17.53</v>
      </c>
      <c r="I3990">
        <v>0</v>
      </c>
      <c r="J3990">
        <v>0</v>
      </c>
      <c r="K3990">
        <v>0</v>
      </c>
      <c r="O3990">
        <v>0</v>
      </c>
      <c r="P3990">
        <v>4</v>
      </c>
      <c r="Q3990">
        <v>0</v>
      </c>
      <c r="R3990">
        <v>21.53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H3990">
        <v>21.53</v>
      </c>
    </row>
    <row r="3991" spans="1:34" x14ac:dyDescent="0.3">
      <c r="A3991" s="4">
        <v>4107</v>
      </c>
      <c r="B3991" s="5">
        <v>3984</v>
      </c>
      <c r="C3991">
        <v>8854</v>
      </c>
      <c r="D3991" t="s">
        <v>22149</v>
      </c>
      <c r="E3991" t="s">
        <v>550</v>
      </c>
      <c r="F3991" t="s">
        <v>238</v>
      </c>
      <c r="G3991" t="s">
        <v>25042</v>
      </c>
      <c r="H3991">
        <v>17.53</v>
      </c>
      <c r="I3991">
        <v>0</v>
      </c>
      <c r="J3991">
        <v>0</v>
      </c>
      <c r="K3991">
        <v>0</v>
      </c>
      <c r="O3991">
        <v>0</v>
      </c>
      <c r="P3991">
        <v>4</v>
      </c>
      <c r="Q3991">
        <v>0</v>
      </c>
      <c r="R3991">
        <v>21.53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H3991">
        <v>21.53</v>
      </c>
    </row>
    <row r="3992" spans="1:34" x14ac:dyDescent="0.3">
      <c r="A3992" s="4">
        <v>4108</v>
      </c>
      <c r="B3992" s="5">
        <v>3985</v>
      </c>
      <c r="C3992">
        <v>1938</v>
      </c>
      <c r="D3992" t="s">
        <v>25043</v>
      </c>
      <c r="E3992" t="s">
        <v>136</v>
      </c>
      <c r="F3992" t="s">
        <v>20</v>
      </c>
      <c r="G3992" t="s">
        <v>25044</v>
      </c>
      <c r="H3992">
        <v>17.53</v>
      </c>
      <c r="I3992">
        <v>0</v>
      </c>
      <c r="J3992">
        <v>0</v>
      </c>
      <c r="K3992">
        <v>0</v>
      </c>
      <c r="O3992">
        <v>0</v>
      </c>
      <c r="P3992">
        <v>4</v>
      </c>
      <c r="Q3992">
        <v>0</v>
      </c>
      <c r="R3992">
        <v>21.53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H3992">
        <v>21.53</v>
      </c>
    </row>
    <row r="3993" spans="1:34" x14ac:dyDescent="0.3">
      <c r="A3993" s="4">
        <v>4109</v>
      </c>
      <c r="B3993" s="5">
        <v>3986</v>
      </c>
      <c r="C3993">
        <v>12016</v>
      </c>
      <c r="D3993" t="s">
        <v>25045</v>
      </c>
      <c r="E3993" t="s">
        <v>41</v>
      </c>
      <c r="F3993" t="s">
        <v>30</v>
      </c>
      <c r="G3993" t="s">
        <v>25046</v>
      </c>
      <c r="H3993">
        <v>12.5</v>
      </c>
      <c r="I3993">
        <v>0</v>
      </c>
      <c r="J3993">
        <v>0</v>
      </c>
      <c r="K3993">
        <v>0</v>
      </c>
      <c r="O3993">
        <v>0</v>
      </c>
      <c r="P3993">
        <v>0</v>
      </c>
      <c r="Q3993">
        <v>0</v>
      </c>
      <c r="R3993">
        <v>12.5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9</v>
      </c>
      <c r="AC3993">
        <v>0</v>
      </c>
      <c r="AH3993">
        <v>21.5</v>
      </c>
    </row>
    <row r="3994" spans="1:34" x14ac:dyDescent="0.3">
      <c r="A3994" s="4">
        <v>4110</v>
      </c>
      <c r="B3994" s="5">
        <v>3987</v>
      </c>
      <c r="C3994">
        <v>14289</v>
      </c>
      <c r="D3994" t="s">
        <v>25047</v>
      </c>
      <c r="E3994" t="s">
        <v>25048</v>
      </c>
      <c r="F3994" t="s">
        <v>230</v>
      </c>
      <c r="G3994" t="s">
        <v>25049</v>
      </c>
      <c r="H3994">
        <v>18.5</v>
      </c>
      <c r="I3994">
        <v>0</v>
      </c>
      <c r="J3994">
        <v>0</v>
      </c>
      <c r="K3994">
        <v>0</v>
      </c>
      <c r="O3994">
        <v>0</v>
      </c>
      <c r="P3994">
        <v>0</v>
      </c>
      <c r="Q3994">
        <v>0</v>
      </c>
      <c r="R3994">
        <v>18.5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3</v>
      </c>
      <c r="AC3994">
        <v>0</v>
      </c>
      <c r="AH3994">
        <v>21.5</v>
      </c>
    </row>
    <row r="3995" spans="1:34" x14ac:dyDescent="0.3">
      <c r="A3995" s="4">
        <v>4111</v>
      </c>
      <c r="B3995" s="5">
        <v>3988</v>
      </c>
      <c r="C3995">
        <v>14227</v>
      </c>
      <c r="D3995" t="s">
        <v>24287</v>
      </c>
      <c r="E3995" t="s">
        <v>147</v>
      </c>
      <c r="F3995" t="s">
        <v>1023</v>
      </c>
      <c r="G3995" t="s">
        <v>25050</v>
      </c>
      <c r="H3995">
        <v>17.5</v>
      </c>
      <c r="I3995">
        <v>0</v>
      </c>
      <c r="J3995">
        <v>0</v>
      </c>
      <c r="K3995">
        <v>0</v>
      </c>
      <c r="O3995">
        <v>0</v>
      </c>
      <c r="P3995">
        <v>4</v>
      </c>
      <c r="Q3995">
        <v>0</v>
      </c>
      <c r="R3995">
        <v>21.5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H3995">
        <v>21.5</v>
      </c>
    </row>
    <row r="3996" spans="1:34" x14ac:dyDescent="0.3">
      <c r="A3996" s="4">
        <v>4112</v>
      </c>
      <c r="B3996" s="5">
        <v>3989</v>
      </c>
      <c r="C3996">
        <v>10893</v>
      </c>
      <c r="D3996" t="s">
        <v>212</v>
      </c>
      <c r="E3996" t="s">
        <v>550</v>
      </c>
      <c r="F3996" t="s">
        <v>328</v>
      </c>
      <c r="G3996" t="s">
        <v>25051</v>
      </c>
      <c r="H3996">
        <v>17.5</v>
      </c>
      <c r="I3996">
        <v>0</v>
      </c>
      <c r="J3996">
        <v>0</v>
      </c>
      <c r="K3996">
        <v>0</v>
      </c>
      <c r="O3996">
        <v>0</v>
      </c>
      <c r="P3996">
        <v>4</v>
      </c>
      <c r="Q3996">
        <v>0</v>
      </c>
      <c r="R3996">
        <v>21.5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H3996">
        <v>21.5</v>
      </c>
    </row>
    <row r="3997" spans="1:34" x14ac:dyDescent="0.3">
      <c r="A3997" s="4">
        <v>4113</v>
      </c>
      <c r="B3997" s="5">
        <v>3990</v>
      </c>
      <c r="C3997">
        <v>8418</v>
      </c>
      <c r="D3997" t="s">
        <v>1287</v>
      </c>
      <c r="E3997" t="s">
        <v>283</v>
      </c>
      <c r="F3997" t="s">
        <v>6216</v>
      </c>
      <c r="G3997" t="s">
        <v>25052</v>
      </c>
      <c r="H3997">
        <v>18.48</v>
      </c>
      <c r="I3997">
        <v>0</v>
      </c>
      <c r="J3997">
        <v>0</v>
      </c>
      <c r="K3997">
        <v>0</v>
      </c>
      <c r="N3997">
        <v>3</v>
      </c>
      <c r="O3997">
        <v>3</v>
      </c>
      <c r="P3997">
        <v>0</v>
      </c>
      <c r="Q3997">
        <v>0</v>
      </c>
      <c r="R3997">
        <v>21.48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H3997">
        <v>21.48</v>
      </c>
    </row>
    <row r="3998" spans="1:34" x14ac:dyDescent="0.3">
      <c r="A3998" s="4">
        <v>4114</v>
      </c>
      <c r="B3998" s="5">
        <v>3991</v>
      </c>
      <c r="C3998">
        <v>15527</v>
      </c>
      <c r="D3998" t="s">
        <v>6441</v>
      </c>
      <c r="E3998" t="s">
        <v>100</v>
      </c>
      <c r="F3998" t="s">
        <v>1450</v>
      </c>
      <c r="G3998" t="s">
        <v>25053</v>
      </c>
      <c r="H3998">
        <v>17.48</v>
      </c>
      <c r="I3998">
        <v>0</v>
      </c>
      <c r="J3998">
        <v>0</v>
      </c>
      <c r="K3998">
        <v>0</v>
      </c>
      <c r="O3998">
        <v>0</v>
      </c>
      <c r="P3998">
        <v>4</v>
      </c>
      <c r="Q3998">
        <v>0</v>
      </c>
      <c r="R3998">
        <v>21.48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H3998">
        <v>21.48</v>
      </c>
    </row>
    <row r="3999" spans="1:34" x14ac:dyDescent="0.3">
      <c r="A3999" s="4">
        <v>4115</v>
      </c>
      <c r="B3999" s="5">
        <v>3992</v>
      </c>
      <c r="C3999">
        <v>11478</v>
      </c>
      <c r="D3999" t="s">
        <v>25054</v>
      </c>
      <c r="E3999" t="s">
        <v>259</v>
      </c>
      <c r="F3999" t="s">
        <v>6216</v>
      </c>
      <c r="G3999" t="s">
        <v>25055</v>
      </c>
      <c r="H3999">
        <v>18.45</v>
      </c>
      <c r="I3999">
        <v>0</v>
      </c>
      <c r="J3999">
        <v>0</v>
      </c>
      <c r="K3999">
        <v>0</v>
      </c>
      <c r="N3999">
        <v>3</v>
      </c>
      <c r="O3999">
        <v>3</v>
      </c>
      <c r="P3999">
        <v>0</v>
      </c>
      <c r="Q3999">
        <v>0</v>
      </c>
      <c r="R3999">
        <v>21.45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H3999">
        <v>21.45</v>
      </c>
    </row>
    <row r="4000" spans="1:34" x14ac:dyDescent="0.3">
      <c r="A4000" s="4">
        <v>4116</v>
      </c>
      <c r="B4000" s="5">
        <v>3993</v>
      </c>
      <c r="C4000">
        <v>12090</v>
      </c>
      <c r="D4000" t="s">
        <v>25056</v>
      </c>
      <c r="E4000" t="s">
        <v>25057</v>
      </c>
      <c r="F4000" t="s">
        <v>17</v>
      </c>
      <c r="G4000" t="s">
        <v>25058</v>
      </c>
      <c r="H4000">
        <v>17.329999999999998</v>
      </c>
      <c r="I4000">
        <v>0</v>
      </c>
      <c r="J4000">
        <v>0</v>
      </c>
      <c r="K4000">
        <v>0</v>
      </c>
      <c r="O4000">
        <v>0</v>
      </c>
      <c r="P4000">
        <v>4</v>
      </c>
      <c r="Q4000">
        <v>0</v>
      </c>
      <c r="R4000">
        <v>21.33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H4000">
        <v>21.33</v>
      </c>
    </row>
    <row r="4001" spans="1:34" x14ac:dyDescent="0.3">
      <c r="A4001" s="4">
        <v>4117</v>
      </c>
      <c r="B4001" s="5">
        <v>3994</v>
      </c>
      <c r="C4001">
        <v>13014</v>
      </c>
      <c r="D4001" t="s">
        <v>165</v>
      </c>
      <c r="E4001" t="s">
        <v>1189</v>
      </c>
      <c r="F4001" t="s">
        <v>24053</v>
      </c>
      <c r="G4001" t="s">
        <v>25059</v>
      </c>
      <c r="H4001">
        <v>17.329999999999998</v>
      </c>
      <c r="I4001">
        <v>0</v>
      </c>
      <c r="J4001">
        <v>0</v>
      </c>
      <c r="K4001">
        <v>0</v>
      </c>
      <c r="O4001">
        <v>0</v>
      </c>
      <c r="P4001">
        <v>4</v>
      </c>
      <c r="Q4001">
        <v>0</v>
      </c>
      <c r="R4001">
        <v>21.33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H4001">
        <v>21.33</v>
      </c>
    </row>
    <row r="4002" spans="1:34" x14ac:dyDescent="0.3">
      <c r="A4002" s="4">
        <v>4118</v>
      </c>
      <c r="B4002" s="5">
        <v>3995</v>
      </c>
      <c r="C4002">
        <v>3426</v>
      </c>
      <c r="D4002" t="s">
        <v>25060</v>
      </c>
      <c r="E4002" t="s">
        <v>54</v>
      </c>
      <c r="F4002" t="s">
        <v>17</v>
      </c>
      <c r="G4002" t="s">
        <v>25061</v>
      </c>
      <c r="H4002">
        <v>17.3</v>
      </c>
      <c r="I4002">
        <v>0</v>
      </c>
      <c r="J4002">
        <v>0</v>
      </c>
      <c r="K4002">
        <v>0</v>
      </c>
      <c r="O4002">
        <v>0</v>
      </c>
      <c r="P4002">
        <v>4</v>
      </c>
      <c r="Q4002">
        <v>0</v>
      </c>
      <c r="R4002">
        <v>21.3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H4002">
        <v>21.3</v>
      </c>
    </row>
    <row r="4003" spans="1:34" x14ac:dyDescent="0.3">
      <c r="A4003" s="4">
        <v>4119</v>
      </c>
      <c r="B4003" s="5">
        <v>3996</v>
      </c>
      <c r="C4003">
        <v>5367</v>
      </c>
      <c r="D4003" t="s">
        <v>2737</v>
      </c>
      <c r="E4003" t="s">
        <v>100</v>
      </c>
      <c r="F4003" t="s">
        <v>587</v>
      </c>
      <c r="G4003" t="s">
        <v>25062</v>
      </c>
      <c r="H4003">
        <v>17.3</v>
      </c>
      <c r="I4003">
        <v>0</v>
      </c>
      <c r="J4003">
        <v>0</v>
      </c>
      <c r="K4003">
        <v>0</v>
      </c>
      <c r="O4003">
        <v>0</v>
      </c>
      <c r="P4003">
        <v>4</v>
      </c>
      <c r="Q4003">
        <v>0</v>
      </c>
      <c r="R4003">
        <v>21.3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H4003">
        <v>21.3</v>
      </c>
    </row>
    <row r="4004" spans="1:34" x14ac:dyDescent="0.3">
      <c r="A4004" s="4">
        <v>4120</v>
      </c>
      <c r="B4004" s="5">
        <v>3997</v>
      </c>
      <c r="C4004">
        <v>8705</v>
      </c>
      <c r="D4004" t="s">
        <v>860</v>
      </c>
      <c r="E4004" t="s">
        <v>178</v>
      </c>
      <c r="F4004" t="s">
        <v>17</v>
      </c>
      <c r="G4004" t="s">
        <v>25063</v>
      </c>
      <c r="H4004">
        <v>18.28</v>
      </c>
      <c r="I4004">
        <v>0</v>
      </c>
      <c r="J4004">
        <v>0</v>
      </c>
      <c r="K4004">
        <v>0</v>
      </c>
      <c r="N4004">
        <v>3</v>
      </c>
      <c r="O4004">
        <v>3</v>
      </c>
      <c r="P4004">
        <v>0</v>
      </c>
      <c r="Q4004">
        <v>0</v>
      </c>
      <c r="R4004">
        <v>21.28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H4004">
        <v>21.28</v>
      </c>
    </row>
    <row r="4005" spans="1:34" x14ac:dyDescent="0.3">
      <c r="A4005" s="4">
        <v>4121</v>
      </c>
      <c r="B4005" s="5">
        <v>3998</v>
      </c>
      <c r="C4005">
        <v>6401</v>
      </c>
      <c r="D4005" t="s">
        <v>25064</v>
      </c>
      <c r="E4005" t="s">
        <v>1152</v>
      </c>
      <c r="F4005" t="s">
        <v>12748</v>
      </c>
      <c r="G4005" t="s">
        <v>25065</v>
      </c>
      <c r="H4005">
        <v>19.25</v>
      </c>
      <c r="I4005">
        <v>0</v>
      </c>
      <c r="J4005">
        <v>0</v>
      </c>
      <c r="K4005">
        <v>0</v>
      </c>
      <c r="O4005">
        <v>0</v>
      </c>
      <c r="P4005">
        <v>0</v>
      </c>
      <c r="Q4005">
        <v>2</v>
      </c>
      <c r="R4005">
        <v>21.25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H4005">
        <v>21.25</v>
      </c>
    </row>
    <row r="4006" spans="1:34" x14ac:dyDescent="0.3">
      <c r="A4006" s="4">
        <v>4122</v>
      </c>
      <c r="B4006" s="5">
        <v>3999</v>
      </c>
      <c r="C4006">
        <v>2070</v>
      </c>
      <c r="D4006" t="s">
        <v>8340</v>
      </c>
      <c r="E4006" t="s">
        <v>2122</v>
      </c>
      <c r="F4006" t="s">
        <v>30</v>
      </c>
      <c r="G4006" t="s">
        <v>25066</v>
      </c>
      <c r="H4006">
        <v>17.25</v>
      </c>
      <c r="I4006">
        <v>0</v>
      </c>
      <c r="J4006">
        <v>0</v>
      </c>
      <c r="K4006">
        <v>0</v>
      </c>
      <c r="O4006">
        <v>0</v>
      </c>
      <c r="P4006">
        <v>4</v>
      </c>
      <c r="Q4006">
        <v>0</v>
      </c>
      <c r="R4006">
        <v>21.25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H4006">
        <v>21.25</v>
      </c>
    </row>
    <row r="4007" spans="1:34" x14ac:dyDescent="0.3">
      <c r="A4007" s="4">
        <v>4123</v>
      </c>
      <c r="B4007" s="5">
        <v>4000</v>
      </c>
      <c r="C4007">
        <v>15712</v>
      </c>
      <c r="D4007" t="s">
        <v>25067</v>
      </c>
      <c r="E4007" t="s">
        <v>789</v>
      </c>
      <c r="F4007" t="s">
        <v>17</v>
      </c>
      <c r="G4007" t="s">
        <v>25068</v>
      </c>
      <c r="H4007">
        <v>17.25</v>
      </c>
      <c r="I4007">
        <v>0</v>
      </c>
      <c r="J4007">
        <v>0</v>
      </c>
      <c r="K4007">
        <v>0</v>
      </c>
      <c r="O4007">
        <v>0</v>
      </c>
      <c r="P4007">
        <v>4</v>
      </c>
      <c r="Q4007">
        <v>0</v>
      </c>
      <c r="R4007">
        <v>21.25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H4007">
        <v>21.25</v>
      </c>
    </row>
    <row r="4008" spans="1:34" x14ac:dyDescent="0.3">
      <c r="A4008" s="4">
        <v>4124</v>
      </c>
      <c r="B4008" s="5">
        <v>4001</v>
      </c>
      <c r="C4008">
        <v>13426</v>
      </c>
      <c r="D4008" t="s">
        <v>775</v>
      </c>
      <c r="E4008" t="s">
        <v>29</v>
      </c>
      <c r="F4008" t="s">
        <v>81</v>
      </c>
      <c r="G4008" t="s">
        <v>25069</v>
      </c>
      <c r="H4008">
        <v>18.23</v>
      </c>
      <c r="I4008">
        <v>0</v>
      </c>
      <c r="J4008">
        <v>0</v>
      </c>
      <c r="K4008">
        <v>0</v>
      </c>
      <c r="N4008">
        <v>3</v>
      </c>
      <c r="O4008">
        <v>3</v>
      </c>
      <c r="P4008">
        <v>0</v>
      </c>
      <c r="Q4008">
        <v>0</v>
      </c>
      <c r="R4008">
        <v>21.23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H4008">
        <v>21.23</v>
      </c>
    </row>
    <row r="4009" spans="1:34" x14ac:dyDescent="0.3">
      <c r="A4009" s="4">
        <v>4125</v>
      </c>
      <c r="B4009" s="5">
        <v>4002</v>
      </c>
      <c r="C4009">
        <v>13973</v>
      </c>
      <c r="D4009" t="s">
        <v>587</v>
      </c>
      <c r="E4009" t="s">
        <v>38</v>
      </c>
      <c r="F4009" t="s">
        <v>136</v>
      </c>
      <c r="G4009" t="s">
        <v>25070</v>
      </c>
      <c r="H4009">
        <v>17.23</v>
      </c>
      <c r="I4009">
        <v>0</v>
      </c>
      <c r="J4009">
        <v>0</v>
      </c>
      <c r="K4009">
        <v>0</v>
      </c>
      <c r="O4009">
        <v>0</v>
      </c>
      <c r="P4009">
        <v>4</v>
      </c>
      <c r="Q4009">
        <v>0</v>
      </c>
      <c r="R4009">
        <v>21.23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H4009">
        <v>21.23</v>
      </c>
    </row>
    <row r="4010" spans="1:34" x14ac:dyDescent="0.3">
      <c r="A4010" s="4">
        <v>4126</v>
      </c>
      <c r="B4010" s="5">
        <v>4003</v>
      </c>
      <c r="C4010">
        <v>13729</v>
      </c>
      <c r="D4010" t="s">
        <v>3340</v>
      </c>
      <c r="E4010" t="s">
        <v>13537</v>
      </c>
      <c r="F4010" t="s">
        <v>892</v>
      </c>
      <c r="G4010" t="s">
        <v>25071</v>
      </c>
      <c r="H4010">
        <v>17.23</v>
      </c>
      <c r="I4010">
        <v>0</v>
      </c>
      <c r="J4010">
        <v>0</v>
      </c>
      <c r="K4010">
        <v>0</v>
      </c>
      <c r="O4010">
        <v>0</v>
      </c>
      <c r="P4010">
        <v>4</v>
      </c>
      <c r="Q4010">
        <v>0</v>
      </c>
      <c r="R4010">
        <v>21.23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H4010">
        <v>21.23</v>
      </c>
    </row>
    <row r="4011" spans="1:34" x14ac:dyDescent="0.3">
      <c r="A4011" s="4">
        <v>4127</v>
      </c>
      <c r="B4011" s="5">
        <v>4004</v>
      </c>
      <c r="C4011">
        <v>3726</v>
      </c>
      <c r="D4011" t="s">
        <v>4893</v>
      </c>
      <c r="E4011" t="s">
        <v>208</v>
      </c>
      <c r="F4011" t="s">
        <v>158</v>
      </c>
      <c r="G4011" t="s">
        <v>25072</v>
      </c>
      <c r="H4011">
        <v>17.18</v>
      </c>
      <c r="I4011">
        <v>0</v>
      </c>
      <c r="J4011">
        <v>0</v>
      </c>
      <c r="K4011">
        <v>0</v>
      </c>
      <c r="O4011">
        <v>0</v>
      </c>
      <c r="P4011">
        <v>4</v>
      </c>
      <c r="Q4011">
        <v>0</v>
      </c>
      <c r="R4011">
        <v>21.18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H4011">
        <v>21.18</v>
      </c>
    </row>
    <row r="4012" spans="1:34" x14ac:dyDescent="0.3">
      <c r="A4012" s="4">
        <v>4128</v>
      </c>
      <c r="B4012" s="5">
        <v>4005</v>
      </c>
      <c r="C4012">
        <v>15164</v>
      </c>
      <c r="D4012" t="s">
        <v>5483</v>
      </c>
      <c r="E4012" t="s">
        <v>355</v>
      </c>
      <c r="F4012" t="s">
        <v>17</v>
      </c>
      <c r="G4012" t="s">
        <v>25073</v>
      </c>
      <c r="H4012">
        <v>18.149999999999999</v>
      </c>
      <c r="I4012">
        <v>0</v>
      </c>
      <c r="J4012">
        <v>0</v>
      </c>
      <c r="K4012">
        <v>0</v>
      </c>
      <c r="O4012">
        <v>0</v>
      </c>
      <c r="P4012">
        <v>0</v>
      </c>
      <c r="Q4012">
        <v>0</v>
      </c>
      <c r="R4012">
        <v>18.149999999999999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3</v>
      </c>
      <c r="AC4012">
        <v>0</v>
      </c>
      <c r="AH4012">
        <v>21.15</v>
      </c>
    </row>
    <row r="4013" spans="1:34" x14ac:dyDescent="0.3">
      <c r="A4013" s="4">
        <v>4129</v>
      </c>
      <c r="B4013" s="5">
        <v>4006</v>
      </c>
      <c r="C4013">
        <v>15120</v>
      </c>
      <c r="D4013" t="s">
        <v>9398</v>
      </c>
      <c r="E4013" t="s">
        <v>789</v>
      </c>
      <c r="F4013" t="s">
        <v>5614</v>
      </c>
      <c r="G4013" t="s">
        <v>25074</v>
      </c>
      <c r="H4013">
        <v>17.13</v>
      </c>
      <c r="I4013">
        <v>0</v>
      </c>
      <c r="J4013">
        <v>0</v>
      </c>
      <c r="K4013">
        <v>0</v>
      </c>
      <c r="O4013">
        <v>0</v>
      </c>
      <c r="P4013">
        <v>4</v>
      </c>
      <c r="Q4013">
        <v>0</v>
      </c>
      <c r="R4013">
        <v>21.13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H4013">
        <v>21.13</v>
      </c>
    </row>
    <row r="4014" spans="1:34" x14ac:dyDescent="0.3">
      <c r="A4014" s="4">
        <v>4130</v>
      </c>
      <c r="B4014" s="5">
        <v>4007</v>
      </c>
      <c r="C4014">
        <v>14078</v>
      </c>
      <c r="D4014" t="s">
        <v>25075</v>
      </c>
      <c r="E4014" t="s">
        <v>26</v>
      </c>
      <c r="F4014" t="s">
        <v>68</v>
      </c>
      <c r="G4014" t="s">
        <v>25076</v>
      </c>
      <c r="H4014">
        <v>18.100000000000001</v>
      </c>
      <c r="I4014">
        <v>0</v>
      </c>
      <c r="J4014">
        <v>0</v>
      </c>
      <c r="K4014">
        <v>0</v>
      </c>
      <c r="N4014">
        <v>3</v>
      </c>
      <c r="O4014">
        <v>3</v>
      </c>
      <c r="P4014">
        <v>0</v>
      </c>
      <c r="Q4014">
        <v>0</v>
      </c>
      <c r="R4014">
        <v>21.1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H4014">
        <v>21.1</v>
      </c>
    </row>
    <row r="4015" spans="1:34" x14ac:dyDescent="0.3">
      <c r="A4015" s="4">
        <v>4131</v>
      </c>
      <c r="B4015" s="5">
        <v>4008</v>
      </c>
      <c r="C4015">
        <v>5637</v>
      </c>
      <c r="D4015" t="s">
        <v>25077</v>
      </c>
      <c r="E4015" t="s">
        <v>37</v>
      </c>
      <c r="F4015" t="s">
        <v>136</v>
      </c>
      <c r="G4015" t="s">
        <v>25078</v>
      </c>
      <c r="H4015">
        <v>18.100000000000001</v>
      </c>
      <c r="I4015">
        <v>0</v>
      </c>
      <c r="J4015">
        <v>0</v>
      </c>
      <c r="K4015">
        <v>0</v>
      </c>
      <c r="N4015">
        <v>3</v>
      </c>
      <c r="O4015">
        <v>3</v>
      </c>
      <c r="P4015">
        <v>0</v>
      </c>
      <c r="Q4015">
        <v>0</v>
      </c>
      <c r="R4015">
        <v>21.1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H4015">
        <v>21.1</v>
      </c>
    </row>
    <row r="4016" spans="1:34" x14ac:dyDescent="0.3">
      <c r="A4016" s="4">
        <v>4132</v>
      </c>
      <c r="B4016" s="5">
        <v>4009</v>
      </c>
      <c r="C4016">
        <v>1066</v>
      </c>
      <c r="D4016" t="s">
        <v>25079</v>
      </c>
      <c r="E4016" t="s">
        <v>117</v>
      </c>
      <c r="F4016" t="s">
        <v>81</v>
      </c>
      <c r="G4016" t="s">
        <v>25080</v>
      </c>
      <c r="H4016">
        <v>18.100000000000001</v>
      </c>
      <c r="I4016">
        <v>0</v>
      </c>
      <c r="J4016">
        <v>0</v>
      </c>
      <c r="K4016">
        <v>0</v>
      </c>
      <c r="N4016">
        <v>3</v>
      </c>
      <c r="O4016">
        <v>3</v>
      </c>
      <c r="P4016">
        <v>0</v>
      </c>
      <c r="Q4016">
        <v>0</v>
      </c>
      <c r="R4016">
        <v>21.1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H4016">
        <v>21.1</v>
      </c>
    </row>
    <row r="4017" spans="1:34" x14ac:dyDescent="0.3">
      <c r="A4017" s="4">
        <v>4133</v>
      </c>
      <c r="B4017" s="5">
        <v>4010</v>
      </c>
      <c r="C4017">
        <v>3184</v>
      </c>
      <c r="D4017" t="s">
        <v>132</v>
      </c>
      <c r="E4017" t="s">
        <v>234</v>
      </c>
      <c r="F4017" t="s">
        <v>190</v>
      </c>
      <c r="G4017" t="s">
        <v>25081</v>
      </c>
      <c r="H4017">
        <v>17.100000000000001</v>
      </c>
      <c r="I4017">
        <v>0</v>
      </c>
      <c r="J4017">
        <v>0</v>
      </c>
      <c r="K4017">
        <v>0</v>
      </c>
      <c r="O4017">
        <v>0</v>
      </c>
      <c r="P4017">
        <v>4</v>
      </c>
      <c r="Q4017">
        <v>0</v>
      </c>
      <c r="R4017">
        <v>21.1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H4017">
        <v>21.1</v>
      </c>
    </row>
    <row r="4018" spans="1:34" x14ac:dyDescent="0.3">
      <c r="A4018" s="4">
        <v>4134</v>
      </c>
      <c r="B4018" s="5">
        <v>4011</v>
      </c>
      <c r="C4018">
        <v>15151</v>
      </c>
      <c r="D4018" t="s">
        <v>25082</v>
      </c>
      <c r="E4018" t="s">
        <v>5505</v>
      </c>
      <c r="F4018" t="s">
        <v>25083</v>
      </c>
      <c r="G4018" t="s">
        <v>25084</v>
      </c>
      <c r="H4018">
        <v>21.08</v>
      </c>
      <c r="I4018">
        <v>0</v>
      </c>
      <c r="J4018">
        <v>0</v>
      </c>
      <c r="K4018">
        <v>0</v>
      </c>
      <c r="O4018">
        <v>0</v>
      </c>
      <c r="P4018">
        <v>0</v>
      </c>
      <c r="Q4018">
        <v>0</v>
      </c>
      <c r="R4018">
        <v>21.08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H4018">
        <v>21.08</v>
      </c>
    </row>
    <row r="4019" spans="1:34" x14ac:dyDescent="0.3">
      <c r="A4019" s="4">
        <v>4135</v>
      </c>
      <c r="B4019" s="5">
        <v>4012</v>
      </c>
      <c r="C4019">
        <v>11411</v>
      </c>
      <c r="D4019" t="s">
        <v>645</v>
      </c>
      <c r="E4019" t="s">
        <v>182</v>
      </c>
      <c r="F4019" t="s">
        <v>17</v>
      </c>
      <c r="G4019" t="s">
        <v>25085</v>
      </c>
      <c r="H4019">
        <v>17.079999999999998</v>
      </c>
      <c r="I4019">
        <v>0</v>
      </c>
      <c r="J4019">
        <v>0</v>
      </c>
      <c r="K4019">
        <v>0</v>
      </c>
      <c r="O4019">
        <v>0</v>
      </c>
      <c r="P4019">
        <v>4</v>
      </c>
      <c r="Q4019">
        <v>0</v>
      </c>
      <c r="R4019">
        <v>21.08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H4019">
        <v>21.08</v>
      </c>
    </row>
    <row r="4020" spans="1:34" x14ac:dyDescent="0.3">
      <c r="A4020" s="4">
        <v>4136</v>
      </c>
      <c r="B4020" s="5">
        <v>4013</v>
      </c>
      <c r="C4020">
        <v>14852</v>
      </c>
      <c r="D4020" t="s">
        <v>25086</v>
      </c>
      <c r="E4020" t="s">
        <v>1484</v>
      </c>
      <c r="F4020" t="s">
        <v>38</v>
      </c>
      <c r="G4020" t="s">
        <v>25087</v>
      </c>
      <c r="H4020">
        <v>18.03</v>
      </c>
      <c r="I4020">
        <v>0</v>
      </c>
      <c r="J4020">
        <v>0</v>
      </c>
      <c r="K4020">
        <v>0</v>
      </c>
      <c r="N4020">
        <v>3</v>
      </c>
      <c r="O4020">
        <v>3</v>
      </c>
      <c r="P4020">
        <v>0</v>
      </c>
      <c r="Q4020">
        <v>0</v>
      </c>
      <c r="R4020">
        <v>21.03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H4020">
        <v>21.03</v>
      </c>
    </row>
    <row r="4021" spans="1:34" x14ac:dyDescent="0.3">
      <c r="A4021" s="4">
        <v>4137</v>
      </c>
      <c r="B4021" s="5">
        <v>4014</v>
      </c>
      <c r="C4021">
        <v>9715</v>
      </c>
      <c r="D4021" t="s">
        <v>2254</v>
      </c>
      <c r="E4021" t="s">
        <v>4801</v>
      </c>
      <c r="F4021" t="s">
        <v>38</v>
      </c>
      <c r="G4021" t="s">
        <v>25088</v>
      </c>
      <c r="H4021">
        <v>18.03</v>
      </c>
      <c r="I4021">
        <v>0</v>
      </c>
      <c r="J4021">
        <v>0</v>
      </c>
      <c r="K4021">
        <v>0</v>
      </c>
      <c r="N4021">
        <v>3</v>
      </c>
      <c r="O4021">
        <v>3</v>
      </c>
      <c r="P4021">
        <v>0</v>
      </c>
      <c r="Q4021">
        <v>0</v>
      </c>
      <c r="R4021">
        <v>21.03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H4021">
        <v>21.03</v>
      </c>
    </row>
    <row r="4022" spans="1:34" x14ac:dyDescent="0.3">
      <c r="A4022" s="4">
        <v>4138</v>
      </c>
      <c r="B4022" s="5">
        <v>4015</v>
      </c>
      <c r="C4022">
        <v>5441</v>
      </c>
      <c r="D4022" t="s">
        <v>4098</v>
      </c>
      <c r="E4022" t="s">
        <v>68</v>
      </c>
      <c r="F4022" t="s">
        <v>117</v>
      </c>
      <c r="G4022" t="s">
        <v>25089</v>
      </c>
      <c r="H4022">
        <v>18</v>
      </c>
      <c r="I4022">
        <v>0</v>
      </c>
      <c r="J4022">
        <v>0</v>
      </c>
      <c r="K4022">
        <v>0</v>
      </c>
      <c r="N4022">
        <v>3</v>
      </c>
      <c r="O4022">
        <v>3</v>
      </c>
      <c r="P4022">
        <v>0</v>
      </c>
      <c r="Q4022">
        <v>0</v>
      </c>
      <c r="R4022">
        <v>21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H4022">
        <v>21</v>
      </c>
    </row>
    <row r="4023" spans="1:34" x14ac:dyDescent="0.3">
      <c r="A4023" s="4">
        <v>4139</v>
      </c>
      <c r="B4023" s="5">
        <v>4016</v>
      </c>
      <c r="C4023">
        <v>15233</v>
      </c>
      <c r="D4023" t="s">
        <v>25090</v>
      </c>
      <c r="E4023" t="s">
        <v>3964</v>
      </c>
      <c r="F4023" t="s">
        <v>81</v>
      </c>
      <c r="G4023" t="s">
        <v>25091</v>
      </c>
      <c r="H4023">
        <v>18</v>
      </c>
      <c r="I4023">
        <v>0</v>
      </c>
      <c r="J4023">
        <v>0</v>
      </c>
      <c r="K4023">
        <v>0</v>
      </c>
      <c r="N4023">
        <v>3</v>
      </c>
      <c r="O4023">
        <v>3</v>
      </c>
      <c r="P4023">
        <v>0</v>
      </c>
      <c r="Q4023">
        <v>0</v>
      </c>
      <c r="R4023">
        <v>21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H4023">
        <v>21</v>
      </c>
    </row>
    <row r="4024" spans="1:34" x14ac:dyDescent="0.3">
      <c r="A4024" s="4">
        <v>4140</v>
      </c>
      <c r="B4024" s="5">
        <v>4017</v>
      </c>
      <c r="C4024">
        <v>15444</v>
      </c>
      <c r="D4024" t="s">
        <v>25092</v>
      </c>
      <c r="E4024" t="s">
        <v>173</v>
      </c>
      <c r="F4024" t="s">
        <v>17</v>
      </c>
      <c r="G4024" t="s">
        <v>25093</v>
      </c>
      <c r="H4024">
        <v>17</v>
      </c>
      <c r="I4024">
        <v>0</v>
      </c>
      <c r="J4024">
        <v>0</v>
      </c>
      <c r="K4024">
        <v>0</v>
      </c>
      <c r="O4024">
        <v>0</v>
      </c>
      <c r="P4024">
        <v>4</v>
      </c>
      <c r="Q4024">
        <v>0</v>
      </c>
      <c r="R4024">
        <v>21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H4024">
        <v>21</v>
      </c>
    </row>
    <row r="4025" spans="1:34" x14ac:dyDescent="0.3">
      <c r="A4025" s="4">
        <v>4141</v>
      </c>
      <c r="B4025" s="5">
        <v>4018</v>
      </c>
      <c r="C4025">
        <v>14974</v>
      </c>
      <c r="D4025" t="s">
        <v>25094</v>
      </c>
      <c r="E4025" t="s">
        <v>170</v>
      </c>
      <c r="F4025" t="s">
        <v>136</v>
      </c>
      <c r="G4025" t="s">
        <v>25095</v>
      </c>
      <c r="H4025">
        <v>17</v>
      </c>
      <c r="I4025">
        <v>0</v>
      </c>
      <c r="J4025">
        <v>0</v>
      </c>
      <c r="K4025">
        <v>0</v>
      </c>
      <c r="O4025">
        <v>0</v>
      </c>
      <c r="P4025">
        <v>4</v>
      </c>
      <c r="Q4025">
        <v>0</v>
      </c>
      <c r="R4025">
        <v>21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H4025">
        <v>21</v>
      </c>
    </row>
    <row r="4026" spans="1:34" x14ac:dyDescent="0.3">
      <c r="A4026" s="4">
        <v>4142</v>
      </c>
      <c r="B4026" s="5">
        <v>4019</v>
      </c>
      <c r="C4026">
        <v>6686</v>
      </c>
      <c r="D4026" t="s">
        <v>25096</v>
      </c>
      <c r="E4026" t="s">
        <v>5920</v>
      </c>
      <c r="F4026" t="s">
        <v>81</v>
      </c>
      <c r="G4026" t="s">
        <v>25097</v>
      </c>
      <c r="H4026">
        <v>17.98</v>
      </c>
      <c r="I4026">
        <v>0</v>
      </c>
      <c r="J4026">
        <v>0</v>
      </c>
      <c r="K4026">
        <v>0</v>
      </c>
      <c r="N4026">
        <v>3</v>
      </c>
      <c r="O4026">
        <v>3</v>
      </c>
      <c r="P4026">
        <v>0</v>
      </c>
      <c r="Q4026">
        <v>0</v>
      </c>
      <c r="R4026">
        <v>20.98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H4026">
        <v>20.98</v>
      </c>
    </row>
    <row r="4027" spans="1:34" x14ac:dyDescent="0.3">
      <c r="A4027" s="4">
        <v>4143</v>
      </c>
      <c r="B4027" s="5">
        <v>4020</v>
      </c>
      <c r="C4027">
        <v>15240</v>
      </c>
      <c r="D4027" t="s">
        <v>25098</v>
      </c>
      <c r="E4027" t="s">
        <v>81</v>
      </c>
      <c r="F4027" t="s">
        <v>136</v>
      </c>
      <c r="G4027" t="s">
        <v>25099</v>
      </c>
      <c r="H4027">
        <v>17.98</v>
      </c>
      <c r="I4027">
        <v>0</v>
      </c>
      <c r="J4027">
        <v>0</v>
      </c>
      <c r="K4027">
        <v>0</v>
      </c>
      <c r="N4027">
        <v>3</v>
      </c>
      <c r="O4027">
        <v>3</v>
      </c>
      <c r="P4027">
        <v>0</v>
      </c>
      <c r="Q4027">
        <v>0</v>
      </c>
      <c r="R4027">
        <v>20.98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H4027">
        <v>20.98</v>
      </c>
    </row>
    <row r="4028" spans="1:34" x14ac:dyDescent="0.3">
      <c r="A4028" s="4">
        <v>4144</v>
      </c>
      <c r="B4028" s="5">
        <v>4021</v>
      </c>
      <c r="C4028">
        <v>7015</v>
      </c>
      <c r="D4028" t="s">
        <v>25100</v>
      </c>
      <c r="E4028" t="s">
        <v>5101</v>
      </c>
      <c r="F4028" t="s">
        <v>117</v>
      </c>
      <c r="G4028">
        <v>402809</v>
      </c>
      <c r="H4028">
        <v>16.98</v>
      </c>
      <c r="I4028">
        <v>0</v>
      </c>
      <c r="J4028">
        <v>0</v>
      </c>
      <c r="K4028">
        <v>0</v>
      </c>
      <c r="O4028">
        <v>0</v>
      </c>
      <c r="P4028">
        <v>4</v>
      </c>
      <c r="Q4028">
        <v>0</v>
      </c>
      <c r="R4028">
        <v>20.98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H4028">
        <v>20.98</v>
      </c>
    </row>
    <row r="4029" spans="1:34" x14ac:dyDescent="0.3">
      <c r="A4029" s="4">
        <v>4145</v>
      </c>
      <c r="B4029" s="5">
        <v>4022</v>
      </c>
      <c r="C4029">
        <v>4738</v>
      </c>
      <c r="D4029" t="s">
        <v>1173</v>
      </c>
      <c r="E4029" t="s">
        <v>6507</v>
      </c>
      <c r="F4029" t="s">
        <v>38</v>
      </c>
      <c r="G4029" t="s">
        <v>25101</v>
      </c>
      <c r="H4029">
        <v>20.95</v>
      </c>
      <c r="I4029">
        <v>0</v>
      </c>
      <c r="J4029">
        <v>0</v>
      </c>
      <c r="K4029">
        <v>0</v>
      </c>
      <c r="O4029">
        <v>0</v>
      </c>
      <c r="P4029">
        <v>0</v>
      </c>
      <c r="Q4029">
        <v>0</v>
      </c>
      <c r="R4029">
        <v>20.95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H4029">
        <v>20.95</v>
      </c>
    </row>
    <row r="4030" spans="1:34" x14ac:dyDescent="0.3">
      <c r="A4030" s="4">
        <v>4146</v>
      </c>
      <c r="B4030" s="5">
        <v>4023</v>
      </c>
      <c r="C4030">
        <v>15255</v>
      </c>
      <c r="D4030" t="s">
        <v>6207</v>
      </c>
      <c r="E4030" t="s">
        <v>424</v>
      </c>
      <c r="F4030" t="s">
        <v>11145</v>
      </c>
      <c r="G4030" t="s">
        <v>25102</v>
      </c>
      <c r="H4030">
        <v>17.95</v>
      </c>
      <c r="I4030">
        <v>0</v>
      </c>
      <c r="J4030">
        <v>0</v>
      </c>
      <c r="K4030">
        <v>0</v>
      </c>
      <c r="N4030">
        <v>3</v>
      </c>
      <c r="O4030">
        <v>3</v>
      </c>
      <c r="P4030">
        <v>0</v>
      </c>
      <c r="Q4030">
        <v>0</v>
      </c>
      <c r="R4030">
        <v>20.95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H4030">
        <v>20.95</v>
      </c>
    </row>
    <row r="4031" spans="1:34" x14ac:dyDescent="0.3">
      <c r="A4031" s="4">
        <v>4147</v>
      </c>
      <c r="B4031" s="5">
        <v>4024</v>
      </c>
      <c r="C4031">
        <v>10156</v>
      </c>
      <c r="D4031" t="s">
        <v>25103</v>
      </c>
      <c r="E4031" t="s">
        <v>54</v>
      </c>
      <c r="F4031" t="s">
        <v>30</v>
      </c>
      <c r="G4031" t="s">
        <v>25104</v>
      </c>
      <c r="H4031">
        <v>16.95</v>
      </c>
      <c r="I4031">
        <v>0</v>
      </c>
      <c r="J4031">
        <v>0</v>
      </c>
      <c r="K4031">
        <v>0</v>
      </c>
      <c r="O4031">
        <v>0</v>
      </c>
      <c r="P4031">
        <v>4</v>
      </c>
      <c r="Q4031">
        <v>0</v>
      </c>
      <c r="R4031">
        <v>20.95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H4031">
        <v>20.95</v>
      </c>
    </row>
    <row r="4032" spans="1:34" x14ac:dyDescent="0.3">
      <c r="A4032" s="4">
        <v>4148</v>
      </c>
      <c r="B4032" s="5">
        <v>4025</v>
      </c>
      <c r="C4032">
        <v>5136</v>
      </c>
      <c r="D4032" t="s">
        <v>2869</v>
      </c>
      <c r="E4032" t="s">
        <v>29</v>
      </c>
      <c r="F4032" t="s">
        <v>158</v>
      </c>
      <c r="G4032" t="s">
        <v>25105</v>
      </c>
      <c r="H4032">
        <v>20.93</v>
      </c>
      <c r="I4032">
        <v>0</v>
      </c>
      <c r="J4032">
        <v>0</v>
      </c>
      <c r="K4032">
        <v>0</v>
      </c>
      <c r="O4032">
        <v>0</v>
      </c>
      <c r="P4032">
        <v>0</v>
      </c>
      <c r="Q4032">
        <v>0</v>
      </c>
      <c r="R4032">
        <v>20.93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H4032">
        <v>20.93</v>
      </c>
    </row>
    <row r="4033" spans="1:34" x14ac:dyDescent="0.3">
      <c r="A4033" s="4">
        <v>4149</v>
      </c>
      <c r="B4033" s="5">
        <v>4026</v>
      </c>
      <c r="C4033">
        <v>14884</v>
      </c>
      <c r="D4033" t="s">
        <v>25106</v>
      </c>
      <c r="E4033" t="s">
        <v>110</v>
      </c>
      <c r="F4033" t="s">
        <v>68</v>
      </c>
      <c r="G4033" t="s">
        <v>25107</v>
      </c>
      <c r="H4033">
        <v>17.93</v>
      </c>
      <c r="I4033">
        <v>0</v>
      </c>
      <c r="J4033">
        <v>0</v>
      </c>
      <c r="K4033">
        <v>0</v>
      </c>
      <c r="N4033">
        <v>3</v>
      </c>
      <c r="O4033">
        <v>3</v>
      </c>
      <c r="P4033">
        <v>0</v>
      </c>
      <c r="Q4033">
        <v>0</v>
      </c>
      <c r="R4033">
        <v>20.93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H4033">
        <v>20.93</v>
      </c>
    </row>
    <row r="4034" spans="1:34" x14ac:dyDescent="0.3">
      <c r="A4034" s="4">
        <v>4150</v>
      </c>
      <c r="B4034" s="5">
        <v>4027</v>
      </c>
      <c r="C4034">
        <v>12809</v>
      </c>
      <c r="D4034" t="s">
        <v>24868</v>
      </c>
      <c r="E4034" t="s">
        <v>182</v>
      </c>
      <c r="F4034" t="s">
        <v>62</v>
      </c>
      <c r="G4034" t="s">
        <v>25108</v>
      </c>
      <c r="H4034">
        <v>16.899999999999999</v>
      </c>
      <c r="I4034">
        <v>0</v>
      </c>
      <c r="J4034">
        <v>0</v>
      </c>
      <c r="K4034">
        <v>0</v>
      </c>
      <c r="O4034">
        <v>0</v>
      </c>
      <c r="P4034">
        <v>4</v>
      </c>
      <c r="Q4034">
        <v>0</v>
      </c>
      <c r="R4034">
        <v>20.9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H4034">
        <v>20.9</v>
      </c>
    </row>
    <row r="4035" spans="1:34" x14ac:dyDescent="0.3">
      <c r="A4035" s="4">
        <v>4151</v>
      </c>
      <c r="B4035" s="5">
        <v>4028</v>
      </c>
      <c r="C4035">
        <v>14956</v>
      </c>
      <c r="D4035" t="s">
        <v>25109</v>
      </c>
      <c r="E4035" t="s">
        <v>97</v>
      </c>
      <c r="F4035" t="s">
        <v>91</v>
      </c>
      <c r="G4035" t="s">
        <v>25110</v>
      </c>
      <c r="H4035">
        <v>16.899999999999999</v>
      </c>
      <c r="I4035">
        <v>0</v>
      </c>
      <c r="J4035">
        <v>0</v>
      </c>
      <c r="K4035">
        <v>0</v>
      </c>
      <c r="O4035">
        <v>0</v>
      </c>
      <c r="P4035">
        <v>4</v>
      </c>
      <c r="Q4035">
        <v>0</v>
      </c>
      <c r="R4035">
        <v>20.9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H4035">
        <v>20.9</v>
      </c>
    </row>
    <row r="4036" spans="1:34" x14ac:dyDescent="0.3">
      <c r="A4036" s="4">
        <v>4152</v>
      </c>
      <c r="B4036" s="5">
        <v>4029</v>
      </c>
      <c r="C4036">
        <v>7197</v>
      </c>
      <c r="D4036" t="s">
        <v>1923</v>
      </c>
      <c r="E4036" t="s">
        <v>25111</v>
      </c>
      <c r="F4036" t="s">
        <v>81</v>
      </c>
      <c r="G4036" t="s">
        <v>25112</v>
      </c>
      <c r="H4036">
        <v>17.8</v>
      </c>
      <c r="I4036">
        <v>0</v>
      </c>
      <c r="J4036">
        <v>0</v>
      </c>
      <c r="K4036">
        <v>0</v>
      </c>
      <c r="N4036">
        <v>3</v>
      </c>
      <c r="O4036">
        <v>3</v>
      </c>
      <c r="P4036">
        <v>0</v>
      </c>
      <c r="Q4036">
        <v>0</v>
      </c>
      <c r="R4036">
        <v>20.8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H4036">
        <v>20.8</v>
      </c>
    </row>
    <row r="4037" spans="1:34" x14ac:dyDescent="0.3">
      <c r="A4037" s="4">
        <v>4153</v>
      </c>
      <c r="B4037" s="5">
        <v>4030</v>
      </c>
      <c r="C4037">
        <v>10120</v>
      </c>
      <c r="D4037" t="s">
        <v>25113</v>
      </c>
      <c r="E4037" t="s">
        <v>81</v>
      </c>
      <c r="F4037" t="s">
        <v>4873</v>
      </c>
      <c r="G4037" t="s">
        <v>25114</v>
      </c>
      <c r="H4037">
        <v>17.78</v>
      </c>
      <c r="I4037">
        <v>0</v>
      </c>
      <c r="J4037">
        <v>0</v>
      </c>
      <c r="K4037">
        <v>0</v>
      </c>
      <c r="N4037">
        <v>3</v>
      </c>
      <c r="O4037">
        <v>3</v>
      </c>
      <c r="P4037">
        <v>0</v>
      </c>
      <c r="Q4037">
        <v>0</v>
      </c>
      <c r="R4037">
        <v>20.78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H4037">
        <v>20.78</v>
      </c>
    </row>
    <row r="4038" spans="1:34" x14ac:dyDescent="0.3">
      <c r="A4038" s="4">
        <v>4154</v>
      </c>
      <c r="B4038" s="5">
        <v>4031</v>
      </c>
      <c r="C4038">
        <v>5203</v>
      </c>
      <c r="D4038" t="s">
        <v>25115</v>
      </c>
      <c r="E4038" t="s">
        <v>132</v>
      </c>
      <c r="F4038" t="s">
        <v>81</v>
      </c>
      <c r="G4038" t="s">
        <v>25116</v>
      </c>
      <c r="H4038">
        <v>20.75</v>
      </c>
      <c r="I4038">
        <v>0</v>
      </c>
      <c r="J4038">
        <v>0</v>
      </c>
      <c r="K4038">
        <v>0</v>
      </c>
      <c r="O4038">
        <v>0</v>
      </c>
      <c r="P4038">
        <v>0</v>
      </c>
      <c r="Q4038">
        <v>0</v>
      </c>
      <c r="R4038">
        <v>20.75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H4038">
        <v>20.75</v>
      </c>
    </row>
    <row r="4039" spans="1:34" x14ac:dyDescent="0.3">
      <c r="A4039" s="4">
        <v>4155</v>
      </c>
      <c r="B4039" s="5">
        <v>4032</v>
      </c>
      <c r="C4039">
        <v>12466</v>
      </c>
      <c r="D4039" t="s">
        <v>25117</v>
      </c>
      <c r="E4039" t="s">
        <v>964</v>
      </c>
      <c r="F4039" t="s">
        <v>17</v>
      </c>
      <c r="G4039" t="s">
        <v>25118</v>
      </c>
      <c r="H4039">
        <v>16.75</v>
      </c>
      <c r="I4039">
        <v>0</v>
      </c>
      <c r="J4039">
        <v>0</v>
      </c>
      <c r="K4039">
        <v>0</v>
      </c>
      <c r="O4039">
        <v>0</v>
      </c>
      <c r="P4039">
        <v>4</v>
      </c>
      <c r="Q4039">
        <v>0</v>
      </c>
      <c r="R4039">
        <v>20.75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H4039">
        <v>20.75</v>
      </c>
    </row>
    <row r="4040" spans="1:34" x14ac:dyDescent="0.3">
      <c r="A4040" s="4">
        <v>4156</v>
      </c>
      <c r="B4040" s="5">
        <v>4033</v>
      </c>
      <c r="C4040">
        <v>2448</v>
      </c>
      <c r="D4040" t="s">
        <v>25119</v>
      </c>
      <c r="E4040" t="s">
        <v>166</v>
      </c>
      <c r="F4040" t="s">
        <v>38</v>
      </c>
      <c r="G4040" t="s">
        <v>25120</v>
      </c>
      <c r="H4040">
        <v>16.75</v>
      </c>
      <c r="I4040">
        <v>0</v>
      </c>
      <c r="J4040">
        <v>0</v>
      </c>
      <c r="K4040">
        <v>0</v>
      </c>
      <c r="O4040">
        <v>0</v>
      </c>
      <c r="P4040">
        <v>4</v>
      </c>
      <c r="Q4040">
        <v>0</v>
      </c>
      <c r="R4040">
        <v>20.75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H4040">
        <v>20.75</v>
      </c>
    </row>
    <row r="4041" spans="1:34" x14ac:dyDescent="0.3">
      <c r="A4041" s="4">
        <v>4157</v>
      </c>
      <c r="B4041" s="5">
        <v>4034</v>
      </c>
      <c r="C4041">
        <v>5163</v>
      </c>
      <c r="D4041" t="s">
        <v>25121</v>
      </c>
      <c r="E4041" t="s">
        <v>3130</v>
      </c>
      <c r="F4041" t="s">
        <v>8147</v>
      </c>
      <c r="G4041" t="s">
        <v>25122</v>
      </c>
      <c r="H4041">
        <v>16.73</v>
      </c>
      <c r="I4041">
        <v>0</v>
      </c>
      <c r="J4041">
        <v>0</v>
      </c>
      <c r="K4041">
        <v>0</v>
      </c>
      <c r="O4041">
        <v>0</v>
      </c>
      <c r="P4041">
        <v>4</v>
      </c>
      <c r="Q4041">
        <v>0</v>
      </c>
      <c r="R4041">
        <v>20.73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H4041">
        <v>20.73</v>
      </c>
    </row>
    <row r="4042" spans="1:34" x14ac:dyDescent="0.3">
      <c r="A4042" s="4">
        <v>4158</v>
      </c>
      <c r="B4042" s="5">
        <v>4035</v>
      </c>
      <c r="C4042">
        <v>3167</v>
      </c>
      <c r="D4042" t="s">
        <v>6556</v>
      </c>
      <c r="E4042" t="s">
        <v>1694</v>
      </c>
      <c r="F4042" t="s">
        <v>124</v>
      </c>
      <c r="G4042" t="s">
        <v>25123</v>
      </c>
      <c r="H4042">
        <v>17.7</v>
      </c>
      <c r="I4042">
        <v>0</v>
      </c>
      <c r="J4042">
        <v>0</v>
      </c>
      <c r="K4042">
        <v>0</v>
      </c>
      <c r="N4042">
        <v>3</v>
      </c>
      <c r="O4042">
        <v>3</v>
      </c>
      <c r="P4042">
        <v>0</v>
      </c>
      <c r="Q4042">
        <v>0</v>
      </c>
      <c r="R4042">
        <v>20.7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H4042">
        <v>20.7</v>
      </c>
    </row>
    <row r="4043" spans="1:34" x14ac:dyDescent="0.3">
      <c r="A4043" s="4">
        <v>4159</v>
      </c>
      <c r="B4043" s="5">
        <v>4036</v>
      </c>
      <c r="C4043">
        <v>5570</v>
      </c>
      <c r="D4043" t="s">
        <v>25124</v>
      </c>
      <c r="E4043" t="s">
        <v>29</v>
      </c>
      <c r="F4043" t="s">
        <v>20</v>
      </c>
      <c r="G4043" t="s">
        <v>25125</v>
      </c>
      <c r="H4043">
        <v>17.68</v>
      </c>
      <c r="I4043">
        <v>0</v>
      </c>
      <c r="J4043">
        <v>0</v>
      </c>
      <c r="K4043">
        <v>0</v>
      </c>
      <c r="N4043">
        <v>3</v>
      </c>
      <c r="O4043">
        <v>3</v>
      </c>
      <c r="P4043">
        <v>0</v>
      </c>
      <c r="Q4043">
        <v>0</v>
      </c>
      <c r="R4043">
        <v>20.68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H4043">
        <v>20.68</v>
      </c>
    </row>
    <row r="4044" spans="1:34" x14ac:dyDescent="0.3">
      <c r="A4044" s="4">
        <v>4160</v>
      </c>
      <c r="B4044" s="5">
        <v>4037</v>
      </c>
      <c r="C4044">
        <v>182</v>
      </c>
      <c r="D4044" t="s">
        <v>25126</v>
      </c>
      <c r="E4044" t="s">
        <v>166</v>
      </c>
      <c r="F4044" t="s">
        <v>38</v>
      </c>
      <c r="G4044" t="s">
        <v>25127</v>
      </c>
      <c r="H4044">
        <v>16.68</v>
      </c>
      <c r="I4044">
        <v>0</v>
      </c>
      <c r="J4044">
        <v>0</v>
      </c>
      <c r="K4044">
        <v>0</v>
      </c>
      <c r="O4044">
        <v>0</v>
      </c>
      <c r="P4044">
        <v>4</v>
      </c>
      <c r="Q4044">
        <v>0</v>
      </c>
      <c r="R4044">
        <v>20.68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H4044">
        <v>20.68</v>
      </c>
    </row>
    <row r="4045" spans="1:34" x14ac:dyDescent="0.3">
      <c r="A4045" s="4">
        <v>4161</v>
      </c>
      <c r="B4045" s="5">
        <v>4038</v>
      </c>
      <c r="C4045">
        <v>13726</v>
      </c>
      <c r="D4045" t="s">
        <v>25128</v>
      </c>
      <c r="E4045" t="s">
        <v>68</v>
      </c>
      <c r="F4045" t="s">
        <v>17</v>
      </c>
      <c r="G4045" t="s">
        <v>25129</v>
      </c>
      <c r="H4045">
        <v>20.65</v>
      </c>
      <c r="I4045">
        <v>0</v>
      </c>
      <c r="J4045">
        <v>0</v>
      </c>
      <c r="K4045">
        <v>0</v>
      </c>
      <c r="O4045">
        <v>0</v>
      </c>
      <c r="P4045">
        <v>0</v>
      </c>
      <c r="Q4045">
        <v>0</v>
      </c>
      <c r="R4045">
        <v>20.65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H4045">
        <v>20.65</v>
      </c>
    </row>
    <row r="4046" spans="1:34" x14ac:dyDescent="0.3">
      <c r="A4046" s="4">
        <v>4162</v>
      </c>
      <c r="B4046" s="5">
        <v>4039</v>
      </c>
      <c r="C4046">
        <v>6978</v>
      </c>
      <c r="D4046" t="s">
        <v>25130</v>
      </c>
      <c r="E4046" t="s">
        <v>166</v>
      </c>
      <c r="F4046" t="s">
        <v>375</v>
      </c>
      <c r="G4046" t="s">
        <v>25131</v>
      </c>
      <c r="H4046">
        <v>16.649999999999999</v>
      </c>
      <c r="I4046">
        <v>0</v>
      </c>
      <c r="J4046">
        <v>0</v>
      </c>
      <c r="K4046">
        <v>0</v>
      </c>
      <c r="O4046">
        <v>0</v>
      </c>
      <c r="P4046">
        <v>4</v>
      </c>
      <c r="Q4046">
        <v>0</v>
      </c>
      <c r="R4046">
        <v>20.65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H4046">
        <v>20.65</v>
      </c>
    </row>
    <row r="4047" spans="1:34" x14ac:dyDescent="0.3">
      <c r="A4047" s="4">
        <v>4163</v>
      </c>
      <c r="B4047" s="5">
        <v>4040</v>
      </c>
      <c r="C4047">
        <v>12570</v>
      </c>
      <c r="D4047" t="s">
        <v>5991</v>
      </c>
      <c r="E4047" t="s">
        <v>188</v>
      </c>
      <c r="F4047" t="s">
        <v>20</v>
      </c>
      <c r="G4047" t="s">
        <v>25132</v>
      </c>
      <c r="H4047">
        <v>16.63</v>
      </c>
      <c r="I4047">
        <v>0</v>
      </c>
      <c r="J4047">
        <v>0</v>
      </c>
      <c r="K4047">
        <v>0</v>
      </c>
      <c r="O4047">
        <v>0</v>
      </c>
      <c r="P4047">
        <v>4</v>
      </c>
      <c r="Q4047">
        <v>0</v>
      </c>
      <c r="R4047">
        <v>20.63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H4047">
        <v>20.63</v>
      </c>
    </row>
    <row r="4048" spans="1:34" x14ac:dyDescent="0.3">
      <c r="A4048" s="4">
        <v>4164</v>
      </c>
      <c r="B4048" s="5">
        <v>4041</v>
      </c>
      <c r="C4048">
        <v>5214</v>
      </c>
      <c r="D4048" t="s">
        <v>25133</v>
      </c>
      <c r="E4048" t="s">
        <v>26</v>
      </c>
      <c r="F4048" t="s">
        <v>14</v>
      </c>
      <c r="G4048" t="s">
        <v>25134</v>
      </c>
      <c r="H4048">
        <v>16.63</v>
      </c>
      <c r="I4048">
        <v>0</v>
      </c>
      <c r="J4048">
        <v>0</v>
      </c>
      <c r="K4048">
        <v>0</v>
      </c>
      <c r="O4048">
        <v>0</v>
      </c>
      <c r="P4048">
        <v>4</v>
      </c>
      <c r="Q4048">
        <v>0</v>
      </c>
      <c r="R4048">
        <v>20.63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H4048">
        <v>20.63</v>
      </c>
    </row>
    <row r="4049" spans="1:34" x14ac:dyDescent="0.3">
      <c r="A4049" s="4">
        <v>4165</v>
      </c>
      <c r="B4049" s="5">
        <v>4042</v>
      </c>
      <c r="C4049">
        <v>7104</v>
      </c>
      <c r="D4049" t="s">
        <v>3623</v>
      </c>
      <c r="E4049" t="s">
        <v>550</v>
      </c>
      <c r="F4049" t="s">
        <v>375</v>
      </c>
      <c r="G4049" t="s">
        <v>25135</v>
      </c>
      <c r="H4049">
        <v>16.55</v>
      </c>
      <c r="I4049">
        <v>0</v>
      </c>
      <c r="J4049">
        <v>0</v>
      </c>
      <c r="K4049">
        <v>0</v>
      </c>
      <c r="O4049">
        <v>0</v>
      </c>
      <c r="P4049">
        <v>4</v>
      </c>
      <c r="Q4049">
        <v>0</v>
      </c>
      <c r="R4049">
        <v>20.55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H4049">
        <v>20.55</v>
      </c>
    </row>
    <row r="4050" spans="1:34" x14ac:dyDescent="0.3">
      <c r="A4050" s="4">
        <v>4166</v>
      </c>
      <c r="B4050" s="5">
        <v>4043</v>
      </c>
      <c r="C4050">
        <v>5611</v>
      </c>
      <c r="D4050" t="s">
        <v>23644</v>
      </c>
      <c r="E4050" t="s">
        <v>283</v>
      </c>
      <c r="F4050" t="s">
        <v>17</v>
      </c>
      <c r="G4050" t="s">
        <v>25136</v>
      </c>
      <c r="H4050">
        <v>17.53</v>
      </c>
      <c r="I4050">
        <v>0</v>
      </c>
      <c r="J4050">
        <v>0</v>
      </c>
      <c r="K4050">
        <v>0</v>
      </c>
      <c r="N4050">
        <v>3</v>
      </c>
      <c r="O4050">
        <v>3</v>
      </c>
      <c r="P4050">
        <v>0</v>
      </c>
      <c r="Q4050">
        <v>0</v>
      </c>
      <c r="R4050">
        <v>20.53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H4050">
        <v>20.53</v>
      </c>
    </row>
    <row r="4051" spans="1:34" x14ac:dyDescent="0.3">
      <c r="A4051" s="4">
        <v>4167</v>
      </c>
      <c r="B4051" s="5">
        <v>4044</v>
      </c>
      <c r="C4051">
        <v>580</v>
      </c>
      <c r="D4051" t="s">
        <v>23922</v>
      </c>
      <c r="E4051" t="s">
        <v>54</v>
      </c>
      <c r="F4051" t="s">
        <v>38</v>
      </c>
      <c r="G4051" t="s">
        <v>25137</v>
      </c>
      <c r="H4051">
        <v>16.53</v>
      </c>
      <c r="I4051">
        <v>0</v>
      </c>
      <c r="J4051">
        <v>0</v>
      </c>
      <c r="K4051">
        <v>0</v>
      </c>
      <c r="O4051">
        <v>0</v>
      </c>
      <c r="P4051">
        <v>4</v>
      </c>
      <c r="Q4051">
        <v>0</v>
      </c>
      <c r="R4051">
        <v>20.53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H4051">
        <v>20.53</v>
      </c>
    </row>
    <row r="4052" spans="1:34" x14ac:dyDescent="0.3">
      <c r="A4052" s="4">
        <v>4168</v>
      </c>
      <c r="B4052" s="5">
        <v>4045</v>
      </c>
      <c r="C4052">
        <v>7258</v>
      </c>
      <c r="D4052" t="s">
        <v>25138</v>
      </c>
      <c r="E4052" t="s">
        <v>26</v>
      </c>
      <c r="F4052" t="s">
        <v>298</v>
      </c>
      <c r="G4052" t="s">
        <v>25139</v>
      </c>
      <c r="H4052">
        <v>16.53</v>
      </c>
      <c r="I4052">
        <v>0</v>
      </c>
      <c r="J4052">
        <v>0</v>
      </c>
      <c r="K4052">
        <v>0</v>
      </c>
      <c r="O4052">
        <v>0</v>
      </c>
      <c r="P4052">
        <v>4</v>
      </c>
      <c r="Q4052">
        <v>0</v>
      </c>
      <c r="R4052">
        <v>20.53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H4052">
        <v>20.53</v>
      </c>
    </row>
    <row r="4053" spans="1:34" x14ac:dyDescent="0.3">
      <c r="A4053" s="4">
        <v>4169</v>
      </c>
      <c r="B4053" s="5">
        <v>4046</v>
      </c>
      <c r="C4053">
        <v>2519</v>
      </c>
      <c r="D4053" t="s">
        <v>8546</v>
      </c>
      <c r="E4053" t="s">
        <v>29</v>
      </c>
      <c r="F4053" t="s">
        <v>68</v>
      </c>
      <c r="G4053" t="s">
        <v>25140</v>
      </c>
      <c r="H4053">
        <v>20.5</v>
      </c>
      <c r="I4053">
        <v>0</v>
      </c>
      <c r="J4053">
        <v>0</v>
      </c>
      <c r="K4053">
        <v>0</v>
      </c>
      <c r="O4053">
        <v>0</v>
      </c>
      <c r="P4053">
        <v>0</v>
      </c>
      <c r="Q4053">
        <v>0</v>
      </c>
      <c r="R4053">
        <v>20.5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H4053">
        <v>20.5</v>
      </c>
    </row>
    <row r="4054" spans="1:34" x14ac:dyDescent="0.3">
      <c r="A4054" s="4">
        <v>4170</v>
      </c>
      <c r="B4054" s="5">
        <v>4047</v>
      </c>
      <c r="C4054">
        <v>11197</v>
      </c>
      <c r="D4054" t="s">
        <v>25141</v>
      </c>
      <c r="E4054" t="s">
        <v>25142</v>
      </c>
      <c r="F4054" t="s">
        <v>17</v>
      </c>
      <c r="G4054" t="s">
        <v>25143</v>
      </c>
      <c r="H4054">
        <v>17.5</v>
      </c>
      <c r="I4054">
        <v>0</v>
      </c>
      <c r="J4054">
        <v>0</v>
      </c>
      <c r="K4054">
        <v>0</v>
      </c>
      <c r="N4054">
        <v>3</v>
      </c>
      <c r="O4054">
        <v>3</v>
      </c>
      <c r="P4054">
        <v>0</v>
      </c>
      <c r="Q4054">
        <v>0</v>
      </c>
      <c r="R4054">
        <v>20.5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H4054">
        <v>20.5</v>
      </c>
    </row>
    <row r="4055" spans="1:34" x14ac:dyDescent="0.3">
      <c r="A4055" s="4">
        <v>4171</v>
      </c>
      <c r="B4055" s="5">
        <v>4048</v>
      </c>
      <c r="C4055">
        <v>11777</v>
      </c>
      <c r="D4055" t="s">
        <v>25144</v>
      </c>
      <c r="E4055" t="s">
        <v>837</v>
      </c>
      <c r="F4055" t="s">
        <v>158</v>
      </c>
      <c r="G4055" t="s">
        <v>25145</v>
      </c>
      <c r="H4055">
        <v>16.5</v>
      </c>
      <c r="I4055">
        <v>0</v>
      </c>
      <c r="J4055">
        <v>0</v>
      </c>
      <c r="K4055">
        <v>0</v>
      </c>
      <c r="O4055">
        <v>0</v>
      </c>
      <c r="P4055">
        <v>4</v>
      </c>
      <c r="Q4055">
        <v>0</v>
      </c>
      <c r="R4055">
        <v>20.5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H4055">
        <v>20.5</v>
      </c>
    </row>
    <row r="4056" spans="1:34" x14ac:dyDescent="0.3">
      <c r="A4056" s="4">
        <v>4172</v>
      </c>
      <c r="B4056" s="5">
        <v>4049</v>
      </c>
      <c r="C4056">
        <v>13958</v>
      </c>
      <c r="D4056" t="s">
        <v>21769</v>
      </c>
      <c r="E4056" t="s">
        <v>393</v>
      </c>
      <c r="F4056" t="s">
        <v>20</v>
      </c>
      <c r="G4056" t="s">
        <v>25146</v>
      </c>
      <c r="H4056">
        <v>20.45</v>
      </c>
      <c r="I4056">
        <v>0</v>
      </c>
      <c r="J4056">
        <v>0</v>
      </c>
      <c r="K4056">
        <v>0</v>
      </c>
      <c r="O4056">
        <v>0</v>
      </c>
      <c r="P4056">
        <v>0</v>
      </c>
      <c r="Q4056">
        <v>0</v>
      </c>
      <c r="R4056">
        <v>20.45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H4056">
        <v>20.45</v>
      </c>
    </row>
    <row r="4057" spans="1:34" x14ac:dyDescent="0.3">
      <c r="A4057" s="4">
        <v>4173</v>
      </c>
      <c r="B4057" s="5">
        <v>4050</v>
      </c>
      <c r="C4057">
        <v>12752</v>
      </c>
      <c r="D4057" t="s">
        <v>25147</v>
      </c>
      <c r="E4057" t="s">
        <v>6225</v>
      </c>
      <c r="F4057" t="s">
        <v>25148</v>
      </c>
      <c r="G4057" t="s">
        <v>25149</v>
      </c>
      <c r="H4057">
        <v>17.43</v>
      </c>
      <c r="I4057">
        <v>0</v>
      </c>
      <c r="J4057">
        <v>0</v>
      </c>
      <c r="K4057">
        <v>0</v>
      </c>
      <c r="N4057">
        <v>3</v>
      </c>
      <c r="O4057">
        <v>3</v>
      </c>
      <c r="P4057">
        <v>0</v>
      </c>
      <c r="Q4057">
        <v>0</v>
      </c>
      <c r="R4057">
        <v>20.43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H4057">
        <v>20.43</v>
      </c>
    </row>
    <row r="4058" spans="1:34" x14ac:dyDescent="0.3">
      <c r="A4058" s="4">
        <v>4174</v>
      </c>
      <c r="B4058" s="5">
        <v>4051</v>
      </c>
      <c r="C4058">
        <v>10051</v>
      </c>
      <c r="D4058" t="s">
        <v>25150</v>
      </c>
      <c r="E4058" t="s">
        <v>789</v>
      </c>
      <c r="F4058" t="s">
        <v>975</v>
      </c>
      <c r="G4058" t="s">
        <v>25151</v>
      </c>
      <c r="H4058">
        <v>16.399999999999999</v>
      </c>
      <c r="I4058">
        <v>0</v>
      </c>
      <c r="J4058">
        <v>0</v>
      </c>
      <c r="K4058">
        <v>0</v>
      </c>
      <c r="O4058">
        <v>0</v>
      </c>
      <c r="P4058">
        <v>4</v>
      </c>
      <c r="Q4058">
        <v>0</v>
      </c>
      <c r="R4058">
        <v>20.399999999999999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H4058">
        <v>20.399999999999999</v>
      </c>
    </row>
    <row r="4059" spans="1:34" x14ac:dyDescent="0.3">
      <c r="A4059" s="4">
        <v>4175</v>
      </c>
      <c r="B4059" s="5">
        <v>4052</v>
      </c>
      <c r="C4059">
        <v>1706</v>
      </c>
      <c r="D4059" t="s">
        <v>363</v>
      </c>
      <c r="E4059" t="s">
        <v>173</v>
      </c>
      <c r="F4059" t="s">
        <v>259</v>
      </c>
      <c r="G4059" t="s">
        <v>25152</v>
      </c>
      <c r="H4059">
        <v>16.38</v>
      </c>
      <c r="I4059">
        <v>0</v>
      </c>
      <c r="J4059">
        <v>0</v>
      </c>
      <c r="K4059">
        <v>0</v>
      </c>
      <c r="O4059">
        <v>0</v>
      </c>
      <c r="P4059">
        <v>4</v>
      </c>
      <c r="Q4059">
        <v>0</v>
      </c>
      <c r="R4059">
        <v>20.38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H4059">
        <v>20.38</v>
      </c>
    </row>
    <row r="4060" spans="1:34" x14ac:dyDescent="0.3">
      <c r="A4060" s="4">
        <v>4176</v>
      </c>
      <c r="B4060" s="5">
        <v>4053</v>
      </c>
      <c r="C4060">
        <v>5364</v>
      </c>
      <c r="D4060" t="s">
        <v>25153</v>
      </c>
      <c r="E4060" t="s">
        <v>1854</v>
      </c>
      <c r="F4060" t="s">
        <v>38</v>
      </c>
      <c r="G4060" t="s">
        <v>25154</v>
      </c>
      <c r="H4060">
        <v>17.350000000000001</v>
      </c>
      <c r="I4060">
        <v>0</v>
      </c>
      <c r="J4060">
        <v>0</v>
      </c>
      <c r="K4060">
        <v>0</v>
      </c>
      <c r="N4060">
        <v>3</v>
      </c>
      <c r="O4060">
        <v>3</v>
      </c>
      <c r="P4060">
        <v>0</v>
      </c>
      <c r="Q4060">
        <v>0</v>
      </c>
      <c r="R4060">
        <v>20.350000000000001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H4060">
        <v>20.350000000000001</v>
      </c>
    </row>
    <row r="4061" spans="1:34" x14ac:dyDescent="0.3">
      <c r="A4061" s="4">
        <v>4177</v>
      </c>
      <c r="B4061" s="5">
        <v>4054</v>
      </c>
      <c r="C4061">
        <v>10737</v>
      </c>
      <c r="D4061" t="s">
        <v>11925</v>
      </c>
      <c r="E4061" t="s">
        <v>54</v>
      </c>
      <c r="F4061" t="s">
        <v>81</v>
      </c>
      <c r="G4061" t="s">
        <v>25155</v>
      </c>
      <c r="H4061">
        <v>16.350000000000001</v>
      </c>
      <c r="I4061">
        <v>0</v>
      </c>
      <c r="J4061">
        <v>0</v>
      </c>
      <c r="K4061">
        <v>0</v>
      </c>
      <c r="O4061">
        <v>0</v>
      </c>
      <c r="P4061">
        <v>4</v>
      </c>
      <c r="Q4061">
        <v>0</v>
      </c>
      <c r="R4061">
        <v>20.350000000000001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H4061">
        <v>20.350000000000001</v>
      </c>
    </row>
    <row r="4062" spans="1:34" x14ac:dyDescent="0.3">
      <c r="A4062" s="4">
        <v>4178</v>
      </c>
      <c r="B4062" s="5">
        <v>4055</v>
      </c>
      <c r="C4062">
        <v>14550</v>
      </c>
      <c r="D4062" t="s">
        <v>25156</v>
      </c>
      <c r="E4062" t="s">
        <v>2841</v>
      </c>
      <c r="F4062" t="s">
        <v>81</v>
      </c>
      <c r="G4062" t="s">
        <v>25157</v>
      </c>
      <c r="H4062">
        <v>16.329999999999998</v>
      </c>
      <c r="I4062">
        <v>0</v>
      </c>
      <c r="J4062">
        <v>0</v>
      </c>
      <c r="K4062">
        <v>0</v>
      </c>
      <c r="O4062">
        <v>0</v>
      </c>
      <c r="P4062">
        <v>4</v>
      </c>
      <c r="Q4062">
        <v>0</v>
      </c>
      <c r="R4062">
        <v>20.329999999999998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H4062">
        <v>20.329999999999998</v>
      </c>
    </row>
    <row r="4063" spans="1:34" x14ac:dyDescent="0.3">
      <c r="A4063" s="4">
        <v>4179</v>
      </c>
      <c r="B4063" s="5">
        <v>4056</v>
      </c>
      <c r="C4063">
        <v>12535</v>
      </c>
      <c r="D4063" t="s">
        <v>4038</v>
      </c>
      <c r="E4063" t="s">
        <v>178</v>
      </c>
      <c r="F4063" t="s">
        <v>17</v>
      </c>
      <c r="G4063" t="s">
        <v>25158</v>
      </c>
      <c r="H4063">
        <v>20.3</v>
      </c>
      <c r="I4063">
        <v>0</v>
      </c>
      <c r="J4063">
        <v>0</v>
      </c>
      <c r="K4063">
        <v>0</v>
      </c>
      <c r="O4063">
        <v>0</v>
      </c>
      <c r="P4063">
        <v>0</v>
      </c>
      <c r="Q4063">
        <v>0</v>
      </c>
      <c r="R4063">
        <v>20.3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H4063">
        <v>20.3</v>
      </c>
    </row>
    <row r="4064" spans="1:34" x14ac:dyDescent="0.3">
      <c r="A4064" s="4">
        <v>4180</v>
      </c>
      <c r="B4064" s="5">
        <v>4057</v>
      </c>
      <c r="C4064">
        <v>4564</v>
      </c>
      <c r="D4064" t="s">
        <v>25159</v>
      </c>
      <c r="E4064" t="s">
        <v>26</v>
      </c>
      <c r="F4064" t="s">
        <v>81</v>
      </c>
      <c r="G4064" t="s">
        <v>25160</v>
      </c>
      <c r="H4064">
        <v>17.3</v>
      </c>
      <c r="I4064">
        <v>0</v>
      </c>
      <c r="J4064">
        <v>0</v>
      </c>
      <c r="K4064">
        <v>0</v>
      </c>
      <c r="N4064">
        <v>3</v>
      </c>
      <c r="O4064">
        <v>3</v>
      </c>
      <c r="P4064">
        <v>0</v>
      </c>
      <c r="Q4064">
        <v>0</v>
      </c>
      <c r="R4064">
        <v>20.3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H4064">
        <v>20.3</v>
      </c>
    </row>
    <row r="4065" spans="1:34" x14ac:dyDescent="0.3">
      <c r="A4065" s="4">
        <v>4181</v>
      </c>
      <c r="B4065" s="5">
        <v>4058</v>
      </c>
      <c r="C4065">
        <v>1880</v>
      </c>
      <c r="D4065" t="s">
        <v>25161</v>
      </c>
      <c r="E4065" t="s">
        <v>1117</v>
      </c>
      <c r="F4065" t="s">
        <v>38</v>
      </c>
      <c r="G4065" t="s">
        <v>25162</v>
      </c>
      <c r="H4065">
        <v>17.3</v>
      </c>
      <c r="I4065">
        <v>0</v>
      </c>
      <c r="J4065">
        <v>0</v>
      </c>
      <c r="K4065">
        <v>0</v>
      </c>
      <c r="N4065">
        <v>3</v>
      </c>
      <c r="O4065">
        <v>3</v>
      </c>
      <c r="P4065">
        <v>0</v>
      </c>
      <c r="Q4065">
        <v>0</v>
      </c>
      <c r="R4065">
        <v>20.3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H4065">
        <v>20.3</v>
      </c>
    </row>
    <row r="4066" spans="1:34" x14ac:dyDescent="0.3">
      <c r="A4066" s="4">
        <v>4182</v>
      </c>
      <c r="B4066" s="5">
        <v>4059</v>
      </c>
      <c r="C4066">
        <v>6593</v>
      </c>
      <c r="D4066" t="s">
        <v>25163</v>
      </c>
      <c r="E4066" t="s">
        <v>25164</v>
      </c>
      <c r="F4066" t="s">
        <v>13155</v>
      </c>
      <c r="G4066" t="s">
        <v>25165</v>
      </c>
      <c r="H4066">
        <v>17.2</v>
      </c>
      <c r="I4066">
        <v>0</v>
      </c>
      <c r="J4066">
        <v>0</v>
      </c>
      <c r="K4066">
        <v>0</v>
      </c>
      <c r="N4066">
        <v>3</v>
      </c>
      <c r="O4066">
        <v>3</v>
      </c>
      <c r="P4066">
        <v>0</v>
      </c>
      <c r="Q4066">
        <v>0</v>
      </c>
      <c r="R4066">
        <v>20.2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H4066">
        <v>20.2</v>
      </c>
    </row>
    <row r="4067" spans="1:34" x14ac:dyDescent="0.3">
      <c r="A4067" s="4">
        <v>4183</v>
      </c>
      <c r="B4067" s="5">
        <v>4060</v>
      </c>
      <c r="C4067">
        <v>10502</v>
      </c>
      <c r="D4067" t="s">
        <v>4968</v>
      </c>
      <c r="E4067" t="s">
        <v>283</v>
      </c>
      <c r="F4067" t="s">
        <v>81</v>
      </c>
      <c r="G4067" t="s">
        <v>25166</v>
      </c>
      <c r="H4067">
        <v>17.2</v>
      </c>
      <c r="I4067">
        <v>0</v>
      </c>
      <c r="J4067">
        <v>0</v>
      </c>
      <c r="K4067">
        <v>0</v>
      </c>
      <c r="N4067">
        <v>3</v>
      </c>
      <c r="O4067">
        <v>3</v>
      </c>
      <c r="P4067">
        <v>0</v>
      </c>
      <c r="Q4067">
        <v>0</v>
      </c>
      <c r="R4067">
        <v>20.2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H4067">
        <v>20.2</v>
      </c>
    </row>
    <row r="4068" spans="1:34" x14ac:dyDescent="0.3">
      <c r="A4068" s="4">
        <v>4184</v>
      </c>
      <c r="B4068" s="5">
        <v>4061</v>
      </c>
      <c r="C4068">
        <v>13413</v>
      </c>
      <c r="D4068" t="s">
        <v>20332</v>
      </c>
      <c r="E4068" t="s">
        <v>100</v>
      </c>
      <c r="F4068" t="s">
        <v>30</v>
      </c>
      <c r="G4068" t="s">
        <v>25167</v>
      </c>
      <c r="H4068">
        <v>18.18</v>
      </c>
      <c r="I4068">
        <v>0</v>
      </c>
      <c r="J4068">
        <v>0</v>
      </c>
      <c r="K4068">
        <v>0</v>
      </c>
      <c r="O4068">
        <v>0</v>
      </c>
      <c r="P4068">
        <v>0</v>
      </c>
      <c r="Q4068">
        <v>2</v>
      </c>
      <c r="R4068">
        <v>20.18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H4068">
        <v>20.18</v>
      </c>
    </row>
    <row r="4069" spans="1:34" x14ac:dyDescent="0.3">
      <c r="A4069" s="4">
        <v>4185</v>
      </c>
      <c r="B4069" s="5">
        <v>4062</v>
      </c>
      <c r="C4069">
        <v>13866</v>
      </c>
      <c r="D4069" t="s">
        <v>25168</v>
      </c>
      <c r="E4069" t="s">
        <v>20</v>
      </c>
      <c r="F4069" t="s">
        <v>2595</v>
      </c>
      <c r="G4069" t="s">
        <v>25169</v>
      </c>
      <c r="H4069">
        <v>17.13</v>
      </c>
      <c r="I4069">
        <v>0</v>
      </c>
      <c r="J4069">
        <v>0</v>
      </c>
      <c r="K4069">
        <v>0</v>
      </c>
      <c r="N4069">
        <v>3</v>
      </c>
      <c r="O4069">
        <v>3</v>
      </c>
      <c r="P4069">
        <v>0</v>
      </c>
      <c r="Q4069">
        <v>0</v>
      </c>
      <c r="R4069">
        <v>20.13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H4069">
        <v>20.13</v>
      </c>
    </row>
    <row r="4070" spans="1:34" x14ac:dyDescent="0.3">
      <c r="A4070" s="4">
        <v>4186</v>
      </c>
      <c r="B4070" s="5">
        <v>4063</v>
      </c>
      <c r="C4070">
        <v>10164</v>
      </c>
      <c r="D4070" t="s">
        <v>25170</v>
      </c>
      <c r="E4070" t="s">
        <v>51</v>
      </c>
      <c r="F4070" t="s">
        <v>38</v>
      </c>
      <c r="G4070" t="s">
        <v>25171</v>
      </c>
      <c r="H4070">
        <v>20.100000000000001</v>
      </c>
      <c r="I4070">
        <v>0</v>
      </c>
      <c r="J4070">
        <v>0</v>
      </c>
      <c r="K4070">
        <v>0</v>
      </c>
      <c r="O4070">
        <v>0</v>
      </c>
      <c r="P4070">
        <v>0</v>
      </c>
      <c r="Q4070">
        <v>0</v>
      </c>
      <c r="R4070">
        <v>20.100000000000001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H4070">
        <v>20.100000000000001</v>
      </c>
    </row>
    <row r="4071" spans="1:34" x14ac:dyDescent="0.3">
      <c r="A4071" s="4">
        <v>4187</v>
      </c>
      <c r="B4071" s="5">
        <v>4064</v>
      </c>
      <c r="C4071">
        <v>8307</v>
      </c>
      <c r="D4071" t="s">
        <v>1530</v>
      </c>
      <c r="E4071" t="s">
        <v>29</v>
      </c>
      <c r="F4071" t="s">
        <v>62</v>
      </c>
      <c r="G4071" t="s">
        <v>25172</v>
      </c>
      <c r="H4071">
        <v>16.100000000000001</v>
      </c>
      <c r="I4071">
        <v>0</v>
      </c>
      <c r="J4071">
        <v>0</v>
      </c>
      <c r="K4071">
        <v>0</v>
      </c>
      <c r="O4071">
        <v>0</v>
      </c>
      <c r="P4071">
        <v>4</v>
      </c>
      <c r="Q4071">
        <v>0</v>
      </c>
      <c r="R4071">
        <v>20.100000000000001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H4071">
        <v>20.100000000000001</v>
      </c>
    </row>
    <row r="4072" spans="1:34" x14ac:dyDescent="0.3">
      <c r="A4072" s="4">
        <v>4188</v>
      </c>
      <c r="B4072" s="5">
        <v>4065</v>
      </c>
      <c r="C4072">
        <v>4634</v>
      </c>
      <c r="D4072" t="s">
        <v>25173</v>
      </c>
      <c r="E4072" t="s">
        <v>38</v>
      </c>
      <c r="F4072" t="s">
        <v>17</v>
      </c>
      <c r="G4072" t="s">
        <v>25174</v>
      </c>
      <c r="H4072">
        <v>16.079999999999998</v>
      </c>
      <c r="I4072">
        <v>0</v>
      </c>
      <c r="J4072">
        <v>0</v>
      </c>
      <c r="K4072">
        <v>0</v>
      </c>
      <c r="O4072">
        <v>0</v>
      </c>
      <c r="P4072">
        <v>4</v>
      </c>
      <c r="Q4072">
        <v>0</v>
      </c>
      <c r="R4072">
        <v>20.079999999999998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H4072">
        <v>20.079999999999998</v>
      </c>
    </row>
    <row r="4073" spans="1:34" x14ac:dyDescent="0.3">
      <c r="A4073" s="4">
        <v>4189</v>
      </c>
      <c r="B4073" s="5">
        <v>4066</v>
      </c>
      <c r="C4073">
        <v>13075</v>
      </c>
      <c r="D4073" t="s">
        <v>25175</v>
      </c>
      <c r="E4073" t="s">
        <v>149</v>
      </c>
      <c r="F4073" t="s">
        <v>136</v>
      </c>
      <c r="G4073" t="s">
        <v>25176</v>
      </c>
      <c r="H4073">
        <v>20</v>
      </c>
      <c r="I4073">
        <v>0</v>
      </c>
      <c r="J4073">
        <v>0</v>
      </c>
      <c r="K4073">
        <v>0</v>
      </c>
      <c r="O4073">
        <v>0</v>
      </c>
      <c r="P4073">
        <v>0</v>
      </c>
      <c r="Q4073">
        <v>0</v>
      </c>
      <c r="R4073">
        <v>20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H4073">
        <v>20</v>
      </c>
    </row>
    <row r="4074" spans="1:34" x14ac:dyDescent="0.3">
      <c r="A4074" s="4">
        <v>4190</v>
      </c>
      <c r="B4074" s="5">
        <v>4067</v>
      </c>
      <c r="C4074">
        <v>722</v>
      </c>
      <c r="D4074" t="s">
        <v>25177</v>
      </c>
      <c r="E4074" t="s">
        <v>5321</v>
      </c>
      <c r="F4074" t="s">
        <v>38</v>
      </c>
      <c r="G4074" t="s">
        <v>25178</v>
      </c>
      <c r="H4074">
        <v>16.98</v>
      </c>
      <c r="I4074">
        <v>0</v>
      </c>
      <c r="J4074">
        <v>0</v>
      </c>
      <c r="K4074">
        <v>0</v>
      </c>
      <c r="O4074">
        <v>0</v>
      </c>
      <c r="P4074">
        <v>0</v>
      </c>
      <c r="Q4074">
        <v>0</v>
      </c>
      <c r="R4074">
        <v>16.98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3</v>
      </c>
      <c r="AC4074">
        <v>0</v>
      </c>
      <c r="AH4074">
        <v>19.98</v>
      </c>
    </row>
    <row r="4075" spans="1:34" x14ac:dyDescent="0.3">
      <c r="A4075" s="4">
        <v>4191</v>
      </c>
      <c r="B4075" s="5">
        <v>4068</v>
      </c>
      <c r="C4075">
        <v>1803</v>
      </c>
      <c r="D4075" t="s">
        <v>18829</v>
      </c>
      <c r="E4075" t="s">
        <v>25179</v>
      </c>
      <c r="F4075" t="s">
        <v>25180</v>
      </c>
      <c r="G4075" t="s">
        <v>25181</v>
      </c>
      <c r="H4075">
        <v>15.98</v>
      </c>
      <c r="I4075">
        <v>0</v>
      </c>
      <c r="J4075">
        <v>0</v>
      </c>
      <c r="K4075">
        <v>0</v>
      </c>
      <c r="O4075">
        <v>0</v>
      </c>
      <c r="P4075">
        <v>4</v>
      </c>
      <c r="Q4075">
        <v>0</v>
      </c>
      <c r="R4075">
        <v>19.98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H4075">
        <v>19.98</v>
      </c>
    </row>
    <row r="4076" spans="1:34" x14ac:dyDescent="0.3">
      <c r="A4076" s="4">
        <v>4192</v>
      </c>
      <c r="B4076" s="5">
        <v>4069</v>
      </c>
      <c r="C4076">
        <v>7994</v>
      </c>
      <c r="D4076" t="s">
        <v>17358</v>
      </c>
      <c r="E4076" t="s">
        <v>104</v>
      </c>
      <c r="F4076" t="s">
        <v>652</v>
      </c>
      <c r="G4076" t="s">
        <v>25182</v>
      </c>
      <c r="H4076">
        <v>15.95</v>
      </c>
      <c r="I4076">
        <v>0</v>
      </c>
      <c r="J4076">
        <v>0</v>
      </c>
      <c r="K4076">
        <v>0</v>
      </c>
      <c r="O4076">
        <v>0</v>
      </c>
      <c r="P4076">
        <v>4</v>
      </c>
      <c r="Q4076">
        <v>0</v>
      </c>
      <c r="R4076">
        <v>19.95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H4076">
        <v>19.95</v>
      </c>
    </row>
    <row r="4077" spans="1:34" x14ac:dyDescent="0.3">
      <c r="A4077" s="4">
        <v>4193</v>
      </c>
      <c r="B4077" s="5">
        <v>4070</v>
      </c>
      <c r="C4077">
        <v>14667</v>
      </c>
      <c r="D4077" t="s">
        <v>10033</v>
      </c>
      <c r="E4077" t="s">
        <v>10141</v>
      </c>
      <c r="F4077" t="s">
        <v>13155</v>
      </c>
      <c r="G4077" t="s">
        <v>25183</v>
      </c>
      <c r="H4077">
        <v>16.93</v>
      </c>
      <c r="I4077">
        <v>0</v>
      </c>
      <c r="J4077">
        <v>0</v>
      </c>
      <c r="K4077">
        <v>0</v>
      </c>
      <c r="N4077">
        <v>3</v>
      </c>
      <c r="O4077">
        <v>3</v>
      </c>
      <c r="P4077">
        <v>0</v>
      </c>
      <c r="Q4077">
        <v>0</v>
      </c>
      <c r="R4077">
        <v>19.93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H4077">
        <v>19.93</v>
      </c>
    </row>
    <row r="4078" spans="1:34" x14ac:dyDescent="0.3">
      <c r="A4078" s="4">
        <v>4194</v>
      </c>
      <c r="B4078" s="5">
        <v>4071</v>
      </c>
      <c r="C4078">
        <v>10140</v>
      </c>
      <c r="D4078" t="s">
        <v>3304</v>
      </c>
      <c r="E4078" t="s">
        <v>25184</v>
      </c>
      <c r="F4078" t="s">
        <v>81</v>
      </c>
      <c r="G4078" t="s">
        <v>25185</v>
      </c>
      <c r="H4078">
        <v>15.93</v>
      </c>
      <c r="I4078">
        <v>0</v>
      </c>
      <c r="J4078">
        <v>0</v>
      </c>
      <c r="K4078">
        <v>0</v>
      </c>
      <c r="O4078">
        <v>0</v>
      </c>
      <c r="P4078">
        <v>4</v>
      </c>
      <c r="Q4078">
        <v>0</v>
      </c>
      <c r="R4078">
        <v>19.93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H4078">
        <v>19.93</v>
      </c>
    </row>
    <row r="4079" spans="1:34" x14ac:dyDescent="0.3">
      <c r="A4079" s="4">
        <v>4195</v>
      </c>
      <c r="B4079" s="5">
        <v>4072</v>
      </c>
      <c r="C4079">
        <v>13789</v>
      </c>
      <c r="D4079" t="s">
        <v>25186</v>
      </c>
      <c r="E4079" t="s">
        <v>100</v>
      </c>
      <c r="F4079" t="s">
        <v>243</v>
      </c>
      <c r="G4079" t="s">
        <v>25187</v>
      </c>
      <c r="H4079">
        <v>16.899999999999999</v>
      </c>
      <c r="I4079">
        <v>0</v>
      </c>
      <c r="J4079">
        <v>0</v>
      </c>
      <c r="K4079">
        <v>0</v>
      </c>
      <c r="N4079">
        <v>3</v>
      </c>
      <c r="O4079">
        <v>3</v>
      </c>
      <c r="P4079">
        <v>0</v>
      </c>
      <c r="Q4079">
        <v>0</v>
      </c>
      <c r="R4079">
        <v>19.899999999999999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H4079">
        <v>19.899999999999999</v>
      </c>
    </row>
    <row r="4080" spans="1:34" x14ac:dyDescent="0.3">
      <c r="A4080" s="4">
        <v>4196</v>
      </c>
      <c r="B4080" s="5">
        <v>4073</v>
      </c>
      <c r="C4080">
        <v>6364</v>
      </c>
      <c r="D4080" t="s">
        <v>25188</v>
      </c>
      <c r="E4080" t="s">
        <v>25189</v>
      </c>
      <c r="F4080" t="s">
        <v>158</v>
      </c>
      <c r="G4080" t="s">
        <v>25190</v>
      </c>
      <c r="H4080">
        <v>16.850000000000001</v>
      </c>
      <c r="I4080">
        <v>0</v>
      </c>
      <c r="J4080">
        <v>0</v>
      </c>
      <c r="K4080">
        <v>0</v>
      </c>
      <c r="N4080">
        <v>3</v>
      </c>
      <c r="O4080">
        <v>3</v>
      </c>
      <c r="P4080">
        <v>0</v>
      </c>
      <c r="Q4080">
        <v>0</v>
      </c>
      <c r="R4080">
        <v>19.850000000000001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H4080">
        <v>19.850000000000001</v>
      </c>
    </row>
    <row r="4081" spans="1:34" x14ac:dyDescent="0.3">
      <c r="A4081" s="4">
        <v>4197</v>
      </c>
      <c r="B4081" s="5">
        <v>4074</v>
      </c>
      <c r="C4081">
        <v>13243</v>
      </c>
      <c r="D4081" t="s">
        <v>11529</v>
      </c>
      <c r="E4081" t="s">
        <v>219</v>
      </c>
      <c r="F4081" t="s">
        <v>832</v>
      </c>
      <c r="G4081" t="s">
        <v>25191</v>
      </c>
      <c r="H4081">
        <v>19.8</v>
      </c>
      <c r="I4081">
        <v>0</v>
      </c>
      <c r="J4081">
        <v>0</v>
      </c>
      <c r="K4081">
        <v>0</v>
      </c>
      <c r="O4081">
        <v>0</v>
      </c>
      <c r="P4081">
        <v>0</v>
      </c>
      <c r="Q4081">
        <v>0</v>
      </c>
      <c r="R4081">
        <v>19.8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H4081">
        <v>19.8</v>
      </c>
    </row>
    <row r="4082" spans="1:34" x14ac:dyDescent="0.3">
      <c r="A4082" s="4">
        <v>4198</v>
      </c>
      <c r="B4082" s="5">
        <v>4075</v>
      </c>
      <c r="C4082">
        <v>9594</v>
      </c>
      <c r="D4082" t="s">
        <v>25192</v>
      </c>
      <c r="E4082" t="s">
        <v>81</v>
      </c>
      <c r="F4082" t="s">
        <v>2318</v>
      </c>
      <c r="G4082" t="s">
        <v>25193</v>
      </c>
      <c r="H4082">
        <v>16.75</v>
      </c>
      <c r="I4082">
        <v>0</v>
      </c>
      <c r="J4082">
        <v>0</v>
      </c>
      <c r="K4082">
        <v>0</v>
      </c>
      <c r="N4082">
        <v>3</v>
      </c>
      <c r="O4082">
        <v>3</v>
      </c>
      <c r="P4082">
        <v>0</v>
      </c>
      <c r="Q4082">
        <v>0</v>
      </c>
      <c r="R4082">
        <v>19.75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H4082">
        <v>19.75</v>
      </c>
    </row>
    <row r="4083" spans="1:34" x14ac:dyDescent="0.3">
      <c r="A4083" s="4">
        <v>4199</v>
      </c>
      <c r="B4083" s="5">
        <v>4076</v>
      </c>
      <c r="C4083">
        <v>12510</v>
      </c>
      <c r="D4083" t="s">
        <v>461</v>
      </c>
      <c r="E4083" t="s">
        <v>26</v>
      </c>
      <c r="F4083" t="s">
        <v>68</v>
      </c>
      <c r="G4083" t="s">
        <v>25194</v>
      </c>
      <c r="H4083">
        <v>16.75</v>
      </c>
      <c r="I4083">
        <v>0</v>
      </c>
      <c r="J4083">
        <v>0</v>
      </c>
      <c r="K4083">
        <v>0</v>
      </c>
      <c r="N4083">
        <v>3</v>
      </c>
      <c r="O4083">
        <v>3</v>
      </c>
      <c r="P4083">
        <v>0</v>
      </c>
      <c r="Q4083">
        <v>0</v>
      </c>
      <c r="R4083">
        <v>19.75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H4083">
        <v>19.75</v>
      </c>
    </row>
    <row r="4084" spans="1:34" x14ac:dyDescent="0.3">
      <c r="A4084" s="4">
        <v>4200</v>
      </c>
      <c r="B4084" s="5">
        <v>4077</v>
      </c>
      <c r="C4084">
        <v>13805</v>
      </c>
      <c r="D4084" t="s">
        <v>25195</v>
      </c>
      <c r="E4084" t="s">
        <v>41</v>
      </c>
      <c r="F4084" t="s">
        <v>17</v>
      </c>
      <c r="G4084" t="s">
        <v>25196</v>
      </c>
      <c r="H4084">
        <v>16.7</v>
      </c>
      <c r="I4084">
        <v>0</v>
      </c>
      <c r="J4084">
        <v>0</v>
      </c>
      <c r="K4084">
        <v>0</v>
      </c>
      <c r="N4084">
        <v>3</v>
      </c>
      <c r="O4084">
        <v>3</v>
      </c>
      <c r="P4084">
        <v>0</v>
      </c>
      <c r="Q4084">
        <v>0</v>
      </c>
      <c r="R4084">
        <v>19.7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H4084">
        <v>19.7</v>
      </c>
    </row>
    <row r="4085" spans="1:34" x14ac:dyDescent="0.3">
      <c r="A4085" s="4">
        <v>4201</v>
      </c>
      <c r="B4085" s="5">
        <v>4078</v>
      </c>
      <c r="C4085">
        <v>5424</v>
      </c>
      <c r="D4085" t="s">
        <v>25197</v>
      </c>
      <c r="E4085" t="s">
        <v>570</v>
      </c>
      <c r="F4085" t="s">
        <v>878</v>
      </c>
      <c r="G4085" t="s">
        <v>25198</v>
      </c>
      <c r="H4085">
        <v>15.7</v>
      </c>
      <c r="I4085">
        <v>0</v>
      </c>
      <c r="J4085">
        <v>0</v>
      </c>
      <c r="K4085">
        <v>0</v>
      </c>
      <c r="O4085">
        <v>0</v>
      </c>
      <c r="P4085">
        <v>4</v>
      </c>
      <c r="Q4085">
        <v>0</v>
      </c>
      <c r="R4085">
        <v>19.7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H4085">
        <v>19.7</v>
      </c>
    </row>
    <row r="4086" spans="1:34" x14ac:dyDescent="0.3">
      <c r="A4086" s="4">
        <v>4202</v>
      </c>
      <c r="B4086" s="5">
        <v>4079</v>
      </c>
      <c r="C4086">
        <v>7132</v>
      </c>
      <c r="D4086" t="s">
        <v>21785</v>
      </c>
      <c r="E4086" t="s">
        <v>894</v>
      </c>
      <c r="F4086" t="s">
        <v>158</v>
      </c>
      <c r="G4086" t="s">
        <v>25199</v>
      </c>
      <c r="H4086">
        <v>15.68</v>
      </c>
      <c r="I4086">
        <v>0</v>
      </c>
      <c r="J4086">
        <v>0</v>
      </c>
      <c r="K4086">
        <v>0</v>
      </c>
      <c r="O4086">
        <v>0</v>
      </c>
      <c r="P4086">
        <v>4</v>
      </c>
      <c r="Q4086">
        <v>0</v>
      </c>
      <c r="R4086">
        <v>19.68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H4086">
        <v>19.68</v>
      </c>
    </row>
    <row r="4087" spans="1:34" x14ac:dyDescent="0.3">
      <c r="A4087" s="4">
        <v>4203</v>
      </c>
      <c r="B4087" s="5">
        <v>4080</v>
      </c>
      <c r="C4087">
        <v>10424</v>
      </c>
      <c r="D4087" t="s">
        <v>25200</v>
      </c>
      <c r="E4087" t="s">
        <v>4855</v>
      </c>
      <c r="F4087" t="s">
        <v>25201</v>
      </c>
      <c r="G4087" t="s">
        <v>25202</v>
      </c>
      <c r="H4087">
        <v>16.63</v>
      </c>
      <c r="I4087">
        <v>0</v>
      </c>
      <c r="J4087">
        <v>0</v>
      </c>
      <c r="K4087">
        <v>0</v>
      </c>
      <c r="O4087">
        <v>0</v>
      </c>
      <c r="P4087">
        <v>0</v>
      </c>
      <c r="Q4087">
        <v>0</v>
      </c>
      <c r="R4087">
        <v>16.63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3</v>
      </c>
      <c r="AC4087">
        <v>0</v>
      </c>
      <c r="AH4087">
        <v>19.63</v>
      </c>
    </row>
    <row r="4088" spans="1:34" x14ac:dyDescent="0.3">
      <c r="A4088" s="4">
        <v>4204</v>
      </c>
      <c r="B4088" s="5">
        <v>4081</v>
      </c>
      <c r="C4088">
        <v>12517</v>
      </c>
      <c r="D4088" t="s">
        <v>9262</v>
      </c>
      <c r="E4088" t="s">
        <v>68</v>
      </c>
      <c r="F4088" t="s">
        <v>1460</v>
      </c>
      <c r="G4088" t="s">
        <v>25203</v>
      </c>
      <c r="H4088">
        <v>19.53</v>
      </c>
      <c r="I4088">
        <v>0</v>
      </c>
      <c r="J4088">
        <v>0</v>
      </c>
      <c r="K4088">
        <v>0</v>
      </c>
      <c r="O4088">
        <v>0</v>
      </c>
      <c r="P4088">
        <v>0</v>
      </c>
      <c r="Q4088">
        <v>0</v>
      </c>
      <c r="R4088">
        <v>19.53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H4088">
        <v>19.53</v>
      </c>
    </row>
    <row r="4089" spans="1:34" x14ac:dyDescent="0.3">
      <c r="A4089" s="4">
        <v>4205</v>
      </c>
      <c r="B4089" s="5">
        <v>4082</v>
      </c>
      <c r="C4089">
        <v>4485</v>
      </c>
      <c r="D4089" t="s">
        <v>25204</v>
      </c>
      <c r="E4089" t="s">
        <v>22</v>
      </c>
      <c r="F4089" t="s">
        <v>81</v>
      </c>
      <c r="G4089" t="s">
        <v>25205</v>
      </c>
      <c r="H4089">
        <v>12.5</v>
      </c>
      <c r="I4089">
        <v>0</v>
      </c>
      <c r="J4089">
        <v>0</v>
      </c>
      <c r="K4089">
        <v>0</v>
      </c>
      <c r="N4089">
        <v>3</v>
      </c>
      <c r="O4089">
        <v>3</v>
      </c>
      <c r="P4089">
        <v>4</v>
      </c>
      <c r="Q4089">
        <v>0</v>
      </c>
      <c r="R4089">
        <v>19.5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H4089">
        <v>19.5</v>
      </c>
    </row>
    <row r="4090" spans="1:34" x14ac:dyDescent="0.3">
      <c r="A4090" s="4">
        <v>4206</v>
      </c>
      <c r="B4090" s="5">
        <v>4083</v>
      </c>
      <c r="C4090">
        <v>9645</v>
      </c>
      <c r="D4090" t="s">
        <v>25206</v>
      </c>
      <c r="E4090" t="s">
        <v>25207</v>
      </c>
      <c r="F4090" t="s">
        <v>25208</v>
      </c>
      <c r="G4090" t="s">
        <v>25209</v>
      </c>
      <c r="H4090">
        <v>19.43</v>
      </c>
      <c r="I4090">
        <v>0</v>
      </c>
      <c r="J4090">
        <v>0</v>
      </c>
      <c r="K4090">
        <v>0</v>
      </c>
      <c r="O4090">
        <v>0</v>
      </c>
      <c r="P4090">
        <v>0</v>
      </c>
      <c r="Q4090">
        <v>0</v>
      </c>
      <c r="R4090">
        <v>19.43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H4090">
        <v>19.43</v>
      </c>
    </row>
    <row r="4091" spans="1:34" x14ac:dyDescent="0.3">
      <c r="A4091" s="4">
        <v>4207</v>
      </c>
      <c r="B4091" s="5">
        <v>4084</v>
      </c>
      <c r="C4091">
        <v>1083</v>
      </c>
      <c r="D4091" t="s">
        <v>775</v>
      </c>
      <c r="E4091" t="s">
        <v>1089</v>
      </c>
      <c r="F4091" t="s">
        <v>25210</v>
      </c>
      <c r="G4091" t="s">
        <v>25211</v>
      </c>
      <c r="H4091">
        <v>16.399999999999999</v>
      </c>
      <c r="I4091">
        <v>0</v>
      </c>
      <c r="J4091">
        <v>0</v>
      </c>
      <c r="K4091">
        <v>0</v>
      </c>
      <c r="N4091">
        <v>3</v>
      </c>
      <c r="O4091">
        <v>3</v>
      </c>
      <c r="P4091">
        <v>0</v>
      </c>
      <c r="Q4091">
        <v>0</v>
      </c>
      <c r="R4091">
        <v>19.399999999999999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H4091">
        <v>19.399999999999999</v>
      </c>
    </row>
    <row r="4092" spans="1:34" x14ac:dyDescent="0.3">
      <c r="A4092" s="4">
        <v>4208</v>
      </c>
      <c r="B4092" s="5">
        <v>4085</v>
      </c>
      <c r="C4092">
        <v>9595</v>
      </c>
      <c r="D4092" t="s">
        <v>389</v>
      </c>
      <c r="E4092" t="s">
        <v>2481</v>
      </c>
      <c r="F4092" t="s">
        <v>117</v>
      </c>
      <c r="G4092" t="s">
        <v>25212</v>
      </c>
      <c r="H4092">
        <v>16.399999999999999</v>
      </c>
      <c r="I4092">
        <v>0</v>
      </c>
      <c r="J4092">
        <v>0</v>
      </c>
      <c r="K4092">
        <v>0</v>
      </c>
      <c r="N4092">
        <v>3</v>
      </c>
      <c r="O4092">
        <v>3</v>
      </c>
      <c r="P4092">
        <v>0</v>
      </c>
      <c r="Q4092">
        <v>0</v>
      </c>
      <c r="R4092">
        <v>19.399999999999999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H4092">
        <v>19.399999999999999</v>
      </c>
    </row>
    <row r="4093" spans="1:34" x14ac:dyDescent="0.3">
      <c r="A4093" s="4">
        <v>4209</v>
      </c>
      <c r="B4093" s="5">
        <v>4086</v>
      </c>
      <c r="C4093">
        <v>613</v>
      </c>
      <c r="D4093" t="s">
        <v>25213</v>
      </c>
      <c r="E4093" t="s">
        <v>188</v>
      </c>
      <c r="F4093" t="s">
        <v>117</v>
      </c>
      <c r="G4093" t="s">
        <v>25214</v>
      </c>
      <c r="H4093">
        <v>19.38</v>
      </c>
      <c r="I4093">
        <v>0</v>
      </c>
      <c r="J4093">
        <v>0</v>
      </c>
      <c r="K4093">
        <v>0</v>
      </c>
      <c r="O4093">
        <v>0</v>
      </c>
      <c r="P4093">
        <v>0</v>
      </c>
      <c r="Q4093">
        <v>0</v>
      </c>
      <c r="R4093">
        <v>19.38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H4093">
        <v>19.38</v>
      </c>
    </row>
    <row r="4094" spans="1:34" x14ac:dyDescent="0.3">
      <c r="A4094" s="4">
        <v>4210</v>
      </c>
      <c r="B4094" s="5">
        <v>4087</v>
      </c>
      <c r="C4094">
        <v>6075</v>
      </c>
      <c r="D4094" t="s">
        <v>25215</v>
      </c>
      <c r="E4094" t="s">
        <v>143</v>
      </c>
      <c r="F4094" t="s">
        <v>782</v>
      </c>
      <c r="G4094" t="s">
        <v>25216</v>
      </c>
      <c r="H4094">
        <v>15.3</v>
      </c>
      <c r="I4094">
        <v>0</v>
      </c>
      <c r="J4094">
        <v>0</v>
      </c>
      <c r="K4094">
        <v>0</v>
      </c>
      <c r="O4094">
        <v>0</v>
      </c>
      <c r="P4094">
        <v>4</v>
      </c>
      <c r="Q4094">
        <v>0</v>
      </c>
      <c r="R4094">
        <v>19.3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H4094">
        <v>19.3</v>
      </c>
    </row>
    <row r="4095" spans="1:34" x14ac:dyDescent="0.3">
      <c r="A4095" s="4">
        <v>4211</v>
      </c>
      <c r="B4095" s="5">
        <v>4088</v>
      </c>
      <c r="C4095">
        <v>10363</v>
      </c>
      <c r="D4095" t="s">
        <v>2043</v>
      </c>
      <c r="E4095" t="s">
        <v>858</v>
      </c>
      <c r="F4095" t="s">
        <v>68</v>
      </c>
      <c r="G4095" t="s">
        <v>25217</v>
      </c>
      <c r="H4095">
        <v>19.23</v>
      </c>
      <c r="I4095">
        <v>0</v>
      </c>
      <c r="J4095">
        <v>0</v>
      </c>
      <c r="K4095">
        <v>0</v>
      </c>
      <c r="O4095">
        <v>0</v>
      </c>
      <c r="P4095">
        <v>0</v>
      </c>
      <c r="Q4095">
        <v>0</v>
      </c>
      <c r="R4095">
        <v>19.23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H4095">
        <v>19.23</v>
      </c>
    </row>
    <row r="4096" spans="1:34" x14ac:dyDescent="0.3">
      <c r="A4096" s="4">
        <v>4212</v>
      </c>
      <c r="B4096" s="5">
        <v>4089</v>
      </c>
      <c r="C4096">
        <v>1207</v>
      </c>
      <c r="D4096" t="s">
        <v>7423</v>
      </c>
      <c r="E4096" t="s">
        <v>173</v>
      </c>
      <c r="F4096" t="s">
        <v>5060</v>
      </c>
      <c r="G4096" t="s">
        <v>7424</v>
      </c>
      <c r="H4096">
        <v>15.23</v>
      </c>
      <c r="I4096">
        <v>0</v>
      </c>
      <c r="J4096">
        <v>0</v>
      </c>
      <c r="K4096">
        <v>0</v>
      </c>
      <c r="O4096">
        <v>0</v>
      </c>
      <c r="P4096">
        <v>4</v>
      </c>
      <c r="Q4096">
        <v>0</v>
      </c>
      <c r="R4096">
        <v>19.23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H4096">
        <v>19.23</v>
      </c>
    </row>
    <row r="4097" spans="1:34" x14ac:dyDescent="0.3">
      <c r="A4097" s="4">
        <v>4213</v>
      </c>
      <c r="B4097" s="5">
        <v>4090</v>
      </c>
      <c r="C4097">
        <v>9933</v>
      </c>
      <c r="D4097" t="s">
        <v>25218</v>
      </c>
      <c r="E4097" t="s">
        <v>230</v>
      </c>
      <c r="F4097" t="s">
        <v>81</v>
      </c>
      <c r="G4097" t="s">
        <v>25219</v>
      </c>
      <c r="H4097">
        <v>16.18</v>
      </c>
      <c r="I4097">
        <v>0</v>
      </c>
      <c r="J4097">
        <v>0</v>
      </c>
      <c r="K4097">
        <v>0</v>
      </c>
      <c r="N4097">
        <v>3</v>
      </c>
      <c r="O4097">
        <v>3</v>
      </c>
      <c r="P4097">
        <v>0</v>
      </c>
      <c r="Q4097">
        <v>0</v>
      </c>
      <c r="R4097">
        <v>19.18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H4097">
        <v>19.18</v>
      </c>
    </row>
    <row r="4098" spans="1:34" x14ac:dyDescent="0.3">
      <c r="A4098" s="4">
        <v>4214</v>
      </c>
      <c r="B4098" s="5">
        <v>4091</v>
      </c>
      <c r="C4098">
        <v>7028</v>
      </c>
      <c r="D4098" t="s">
        <v>25220</v>
      </c>
      <c r="E4098" t="s">
        <v>161</v>
      </c>
      <c r="F4098" t="s">
        <v>38</v>
      </c>
      <c r="G4098" t="s">
        <v>25221</v>
      </c>
      <c r="H4098">
        <v>19.13</v>
      </c>
      <c r="I4098">
        <v>0</v>
      </c>
      <c r="J4098">
        <v>0</v>
      </c>
      <c r="K4098">
        <v>0</v>
      </c>
      <c r="O4098">
        <v>0</v>
      </c>
      <c r="P4098">
        <v>0</v>
      </c>
      <c r="Q4098">
        <v>0</v>
      </c>
      <c r="R4098">
        <v>19.13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H4098">
        <v>19.13</v>
      </c>
    </row>
    <row r="4099" spans="1:34" x14ac:dyDescent="0.3">
      <c r="A4099" s="4">
        <v>4215</v>
      </c>
      <c r="B4099" s="5">
        <v>4092</v>
      </c>
      <c r="C4099">
        <v>13614</v>
      </c>
      <c r="D4099" t="s">
        <v>8108</v>
      </c>
      <c r="E4099" t="s">
        <v>255</v>
      </c>
      <c r="F4099" t="s">
        <v>892</v>
      </c>
      <c r="G4099" t="s">
        <v>25222</v>
      </c>
      <c r="H4099">
        <v>16.079999999999998</v>
      </c>
      <c r="I4099">
        <v>0</v>
      </c>
      <c r="J4099">
        <v>0</v>
      </c>
      <c r="K4099">
        <v>0</v>
      </c>
      <c r="O4099">
        <v>0</v>
      </c>
      <c r="P4099">
        <v>0</v>
      </c>
      <c r="Q4099">
        <v>0</v>
      </c>
      <c r="R4099">
        <v>16.079999999999998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3</v>
      </c>
      <c r="AC4099">
        <v>0</v>
      </c>
      <c r="AH4099">
        <v>19.079999999999998</v>
      </c>
    </row>
    <row r="4100" spans="1:34" x14ac:dyDescent="0.3">
      <c r="A4100" s="4">
        <v>4216</v>
      </c>
      <c r="B4100" s="5">
        <v>4093</v>
      </c>
      <c r="C4100">
        <v>3498</v>
      </c>
      <c r="D4100" t="s">
        <v>5130</v>
      </c>
      <c r="E4100" t="s">
        <v>471</v>
      </c>
      <c r="F4100" t="s">
        <v>782</v>
      </c>
      <c r="G4100" t="s">
        <v>25223</v>
      </c>
      <c r="H4100">
        <v>16.079999999999998</v>
      </c>
      <c r="I4100">
        <v>0</v>
      </c>
      <c r="J4100">
        <v>0</v>
      </c>
      <c r="K4100">
        <v>0</v>
      </c>
      <c r="O4100">
        <v>0</v>
      </c>
      <c r="P4100">
        <v>0</v>
      </c>
      <c r="Q4100">
        <v>0</v>
      </c>
      <c r="R4100">
        <v>16.079999999999998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3</v>
      </c>
      <c r="AC4100">
        <v>0</v>
      </c>
      <c r="AH4100">
        <v>19.079999999999998</v>
      </c>
    </row>
    <row r="4101" spans="1:34" x14ac:dyDescent="0.3">
      <c r="A4101" s="4">
        <v>4217</v>
      </c>
      <c r="B4101" s="5">
        <v>4094</v>
      </c>
      <c r="C4101">
        <v>15399</v>
      </c>
      <c r="D4101" t="s">
        <v>25224</v>
      </c>
      <c r="E4101" t="s">
        <v>789</v>
      </c>
      <c r="F4101" t="s">
        <v>17</v>
      </c>
      <c r="G4101" t="s">
        <v>25225</v>
      </c>
      <c r="H4101">
        <v>19.05</v>
      </c>
      <c r="I4101">
        <v>0</v>
      </c>
      <c r="J4101">
        <v>0</v>
      </c>
      <c r="K4101">
        <v>0</v>
      </c>
      <c r="O4101">
        <v>0</v>
      </c>
      <c r="P4101">
        <v>0</v>
      </c>
      <c r="Q4101">
        <v>0</v>
      </c>
      <c r="R4101">
        <v>19.05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H4101">
        <v>19.05</v>
      </c>
    </row>
    <row r="4102" spans="1:34" x14ac:dyDescent="0.3">
      <c r="A4102" s="4">
        <v>4218</v>
      </c>
      <c r="B4102" s="5">
        <v>4095</v>
      </c>
      <c r="C4102">
        <v>13202</v>
      </c>
      <c r="D4102" t="s">
        <v>17078</v>
      </c>
      <c r="E4102" t="s">
        <v>560</v>
      </c>
      <c r="F4102" t="s">
        <v>587</v>
      </c>
      <c r="G4102" t="s">
        <v>25226</v>
      </c>
      <c r="H4102">
        <v>15.03</v>
      </c>
      <c r="I4102">
        <v>0</v>
      </c>
      <c r="J4102">
        <v>0</v>
      </c>
      <c r="K4102">
        <v>0</v>
      </c>
      <c r="O4102">
        <v>0</v>
      </c>
      <c r="P4102">
        <v>4</v>
      </c>
      <c r="Q4102">
        <v>0</v>
      </c>
      <c r="R4102">
        <v>19.03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H4102">
        <v>19.03</v>
      </c>
    </row>
    <row r="4103" spans="1:34" x14ac:dyDescent="0.3">
      <c r="A4103" s="4">
        <v>4219</v>
      </c>
      <c r="B4103" s="5">
        <v>4096</v>
      </c>
      <c r="C4103">
        <v>6688</v>
      </c>
      <c r="D4103" t="s">
        <v>25227</v>
      </c>
      <c r="E4103" t="s">
        <v>825</v>
      </c>
      <c r="F4103" t="s">
        <v>190</v>
      </c>
      <c r="G4103" t="s">
        <v>25228</v>
      </c>
      <c r="H4103">
        <v>18.8</v>
      </c>
      <c r="I4103">
        <v>0</v>
      </c>
      <c r="J4103">
        <v>0</v>
      </c>
      <c r="K4103">
        <v>0</v>
      </c>
      <c r="O4103">
        <v>0</v>
      </c>
      <c r="P4103">
        <v>0</v>
      </c>
      <c r="Q4103">
        <v>0</v>
      </c>
      <c r="R4103">
        <v>18.8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H4103">
        <v>18.8</v>
      </c>
    </row>
    <row r="4104" spans="1:34" x14ac:dyDescent="0.3">
      <c r="A4104" s="4">
        <v>4220</v>
      </c>
      <c r="B4104" s="5">
        <v>4097</v>
      </c>
      <c r="C4104">
        <v>873</v>
      </c>
      <c r="D4104" t="s">
        <v>25229</v>
      </c>
      <c r="E4104" t="s">
        <v>25230</v>
      </c>
      <c r="F4104" t="s">
        <v>25231</v>
      </c>
      <c r="G4104" t="s">
        <v>25232</v>
      </c>
      <c r="H4104">
        <v>18.8</v>
      </c>
      <c r="I4104">
        <v>0</v>
      </c>
      <c r="J4104">
        <v>0</v>
      </c>
      <c r="K4104">
        <v>0</v>
      </c>
      <c r="O4104">
        <v>0</v>
      </c>
      <c r="P4104">
        <v>0</v>
      </c>
      <c r="Q4104">
        <v>0</v>
      </c>
      <c r="R4104">
        <v>18.8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H4104">
        <v>18.8</v>
      </c>
    </row>
    <row r="4105" spans="1:34" x14ac:dyDescent="0.3">
      <c r="A4105" s="4">
        <v>4221</v>
      </c>
      <c r="B4105" s="5">
        <v>4098</v>
      </c>
      <c r="C4105">
        <v>6921</v>
      </c>
      <c r="D4105" t="s">
        <v>1304</v>
      </c>
      <c r="E4105" t="s">
        <v>170</v>
      </c>
      <c r="F4105" t="s">
        <v>20</v>
      </c>
      <c r="G4105" t="s">
        <v>25233</v>
      </c>
      <c r="H4105">
        <v>18.8</v>
      </c>
      <c r="I4105">
        <v>0</v>
      </c>
      <c r="J4105">
        <v>0</v>
      </c>
      <c r="K4105">
        <v>0</v>
      </c>
      <c r="O4105">
        <v>0</v>
      </c>
      <c r="P4105">
        <v>0</v>
      </c>
      <c r="Q4105">
        <v>0</v>
      </c>
      <c r="R4105">
        <v>18.8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H4105">
        <v>18.8</v>
      </c>
    </row>
    <row r="4106" spans="1:34" x14ac:dyDescent="0.3">
      <c r="A4106" s="4">
        <v>4222</v>
      </c>
      <c r="B4106" s="5">
        <v>4099</v>
      </c>
      <c r="C4106">
        <v>7564</v>
      </c>
      <c r="D4106" t="s">
        <v>25234</v>
      </c>
      <c r="E4106" t="s">
        <v>166</v>
      </c>
      <c r="F4106" t="s">
        <v>136</v>
      </c>
      <c r="G4106" t="s">
        <v>25235</v>
      </c>
      <c r="H4106">
        <v>18.75</v>
      </c>
      <c r="I4106">
        <v>0</v>
      </c>
      <c r="J4106">
        <v>0</v>
      </c>
      <c r="K4106">
        <v>0</v>
      </c>
      <c r="O4106">
        <v>0</v>
      </c>
      <c r="P4106">
        <v>0</v>
      </c>
      <c r="Q4106">
        <v>0</v>
      </c>
      <c r="R4106">
        <v>18.75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H4106">
        <v>18.75</v>
      </c>
    </row>
    <row r="4107" spans="1:34" x14ac:dyDescent="0.3">
      <c r="A4107" s="4">
        <v>4223</v>
      </c>
      <c r="B4107" s="5">
        <v>4100</v>
      </c>
      <c r="C4107">
        <v>11769</v>
      </c>
      <c r="D4107" t="s">
        <v>25236</v>
      </c>
      <c r="E4107" t="s">
        <v>161</v>
      </c>
      <c r="F4107" t="s">
        <v>17</v>
      </c>
      <c r="G4107" t="s">
        <v>25237</v>
      </c>
      <c r="H4107">
        <v>18.649999999999999</v>
      </c>
      <c r="I4107">
        <v>0</v>
      </c>
      <c r="J4107">
        <v>0</v>
      </c>
      <c r="K4107">
        <v>0</v>
      </c>
      <c r="O4107">
        <v>0</v>
      </c>
      <c r="P4107">
        <v>0</v>
      </c>
      <c r="Q4107">
        <v>0</v>
      </c>
      <c r="R4107">
        <v>18.649999999999999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H4107">
        <v>18.649999999999999</v>
      </c>
    </row>
    <row r="4108" spans="1:34" x14ac:dyDescent="0.3">
      <c r="A4108" s="4">
        <v>4224</v>
      </c>
      <c r="B4108" s="5">
        <v>4101</v>
      </c>
      <c r="C4108">
        <v>1300</v>
      </c>
      <c r="D4108" t="s">
        <v>5160</v>
      </c>
      <c r="E4108" t="s">
        <v>7743</v>
      </c>
      <c r="F4108" t="s">
        <v>68</v>
      </c>
      <c r="G4108" t="s">
        <v>25238</v>
      </c>
      <c r="H4108">
        <v>18.63</v>
      </c>
      <c r="I4108">
        <v>0</v>
      </c>
      <c r="J4108">
        <v>0</v>
      </c>
      <c r="K4108">
        <v>0</v>
      </c>
      <c r="O4108">
        <v>0</v>
      </c>
      <c r="P4108">
        <v>0</v>
      </c>
      <c r="Q4108">
        <v>0</v>
      </c>
      <c r="R4108">
        <v>18.63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H4108">
        <v>18.63</v>
      </c>
    </row>
    <row r="4109" spans="1:34" x14ac:dyDescent="0.3">
      <c r="A4109" s="4">
        <v>4225</v>
      </c>
      <c r="B4109" s="5">
        <v>4102</v>
      </c>
      <c r="C4109">
        <v>5858</v>
      </c>
      <c r="D4109" t="s">
        <v>25239</v>
      </c>
      <c r="E4109" t="s">
        <v>54</v>
      </c>
      <c r="F4109" t="s">
        <v>442</v>
      </c>
      <c r="G4109" t="s">
        <v>25240</v>
      </c>
      <c r="H4109">
        <v>18.38</v>
      </c>
      <c r="I4109">
        <v>0</v>
      </c>
      <c r="J4109">
        <v>0</v>
      </c>
      <c r="K4109">
        <v>0</v>
      </c>
      <c r="O4109">
        <v>0</v>
      </c>
      <c r="P4109">
        <v>0</v>
      </c>
      <c r="Q4109">
        <v>0</v>
      </c>
      <c r="R4109">
        <v>18.38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H4109">
        <v>18.38</v>
      </c>
    </row>
    <row r="4110" spans="1:34" x14ac:dyDescent="0.3">
      <c r="A4110" s="4">
        <v>4226</v>
      </c>
      <c r="B4110" s="5">
        <v>4103</v>
      </c>
      <c r="C4110">
        <v>1225</v>
      </c>
      <c r="D4110" t="s">
        <v>577</v>
      </c>
      <c r="E4110" t="s">
        <v>97</v>
      </c>
      <c r="F4110" t="s">
        <v>158</v>
      </c>
      <c r="G4110" t="s">
        <v>25241</v>
      </c>
      <c r="H4110">
        <v>18.3</v>
      </c>
      <c r="I4110">
        <v>0</v>
      </c>
      <c r="J4110">
        <v>0</v>
      </c>
      <c r="K4110">
        <v>0</v>
      </c>
      <c r="O4110">
        <v>0</v>
      </c>
      <c r="P4110">
        <v>0</v>
      </c>
      <c r="Q4110">
        <v>0</v>
      </c>
      <c r="R4110">
        <v>18.3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H4110">
        <v>18.3</v>
      </c>
    </row>
    <row r="4111" spans="1:34" x14ac:dyDescent="0.3">
      <c r="A4111" s="4">
        <v>4227</v>
      </c>
      <c r="B4111" s="5">
        <v>4104</v>
      </c>
      <c r="C4111">
        <v>13120</v>
      </c>
      <c r="D4111" t="s">
        <v>25242</v>
      </c>
      <c r="E4111" t="s">
        <v>25243</v>
      </c>
      <c r="F4111" t="s">
        <v>117</v>
      </c>
      <c r="G4111" t="s">
        <v>25244</v>
      </c>
      <c r="H4111">
        <v>18.25</v>
      </c>
      <c r="I4111">
        <v>0</v>
      </c>
      <c r="J4111">
        <v>0</v>
      </c>
      <c r="K4111">
        <v>0</v>
      </c>
      <c r="O4111">
        <v>0</v>
      </c>
      <c r="P4111">
        <v>0</v>
      </c>
      <c r="Q4111">
        <v>0</v>
      </c>
      <c r="R4111">
        <v>18.25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H4111">
        <v>18.25</v>
      </c>
    </row>
    <row r="4112" spans="1:34" x14ac:dyDescent="0.3">
      <c r="A4112" s="4">
        <v>4228</v>
      </c>
      <c r="B4112" s="5">
        <v>4105</v>
      </c>
      <c r="C4112">
        <v>4594</v>
      </c>
      <c r="D4112" t="s">
        <v>25245</v>
      </c>
      <c r="E4112" t="s">
        <v>166</v>
      </c>
      <c r="F4112" t="s">
        <v>782</v>
      </c>
      <c r="G4112" t="s">
        <v>25246</v>
      </c>
      <c r="H4112">
        <v>18.13</v>
      </c>
      <c r="I4112">
        <v>0</v>
      </c>
      <c r="J4112">
        <v>0</v>
      </c>
      <c r="K4112">
        <v>0</v>
      </c>
      <c r="O4112">
        <v>0</v>
      </c>
      <c r="P4112">
        <v>0</v>
      </c>
      <c r="Q4112">
        <v>0</v>
      </c>
      <c r="R4112">
        <v>18.13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H4112">
        <v>18.13</v>
      </c>
    </row>
    <row r="4113" spans="1:34" x14ac:dyDescent="0.3">
      <c r="A4113" s="4">
        <v>4229</v>
      </c>
      <c r="B4113" s="5">
        <v>4106</v>
      </c>
      <c r="C4113">
        <v>12864</v>
      </c>
      <c r="D4113" t="s">
        <v>14686</v>
      </c>
      <c r="E4113" t="s">
        <v>6507</v>
      </c>
      <c r="F4113" t="s">
        <v>136</v>
      </c>
      <c r="G4113" t="s">
        <v>25247</v>
      </c>
      <c r="H4113">
        <v>18.100000000000001</v>
      </c>
      <c r="I4113">
        <v>0</v>
      </c>
      <c r="J4113">
        <v>0</v>
      </c>
      <c r="K4113">
        <v>0</v>
      </c>
      <c r="O4113">
        <v>0</v>
      </c>
      <c r="P4113">
        <v>0</v>
      </c>
      <c r="Q4113">
        <v>0</v>
      </c>
      <c r="R4113">
        <v>18.100000000000001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H4113">
        <v>18.100000000000001</v>
      </c>
    </row>
    <row r="4114" spans="1:34" x14ac:dyDescent="0.3">
      <c r="A4114" s="4">
        <v>4230</v>
      </c>
      <c r="B4114" s="5">
        <v>4107</v>
      </c>
      <c r="C4114">
        <v>11028</v>
      </c>
      <c r="D4114" t="s">
        <v>23344</v>
      </c>
      <c r="E4114" t="s">
        <v>110</v>
      </c>
      <c r="F4114" t="s">
        <v>81</v>
      </c>
      <c r="G4114" t="s">
        <v>25248</v>
      </c>
      <c r="H4114">
        <v>18.100000000000001</v>
      </c>
      <c r="I4114">
        <v>0</v>
      </c>
      <c r="J4114">
        <v>0</v>
      </c>
      <c r="K4114">
        <v>0</v>
      </c>
      <c r="O4114">
        <v>0</v>
      </c>
      <c r="P4114">
        <v>0</v>
      </c>
      <c r="Q4114">
        <v>0</v>
      </c>
      <c r="R4114">
        <v>18.100000000000001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H4114">
        <v>18.100000000000001</v>
      </c>
    </row>
    <row r="4115" spans="1:34" x14ac:dyDescent="0.3">
      <c r="A4115" s="4">
        <v>4231</v>
      </c>
      <c r="B4115" s="5">
        <v>4108</v>
      </c>
      <c r="C4115">
        <v>11694</v>
      </c>
      <c r="D4115" t="s">
        <v>3960</v>
      </c>
      <c r="E4115" t="s">
        <v>178</v>
      </c>
      <c r="F4115" t="s">
        <v>81</v>
      </c>
      <c r="G4115" t="s">
        <v>25249</v>
      </c>
      <c r="H4115">
        <v>18.079999999999998</v>
      </c>
      <c r="I4115">
        <v>0</v>
      </c>
      <c r="J4115">
        <v>0</v>
      </c>
      <c r="K4115">
        <v>0</v>
      </c>
      <c r="O4115">
        <v>0</v>
      </c>
      <c r="P4115">
        <v>0</v>
      </c>
      <c r="Q4115">
        <v>0</v>
      </c>
      <c r="R4115">
        <v>18.079999999999998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H4115">
        <v>18.079999999999998</v>
      </c>
    </row>
    <row r="4116" spans="1:34" x14ac:dyDescent="0.3">
      <c r="A4116" s="4">
        <v>4232</v>
      </c>
      <c r="B4116" s="5">
        <v>4109</v>
      </c>
      <c r="C4116">
        <v>10056</v>
      </c>
      <c r="D4116" t="s">
        <v>13603</v>
      </c>
      <c r="E4116" t="s">
        <v>115</v>
      </c>
      <c r="F4116" t="s">
        <v>17</v>
      </c>
      <c r="G4116" t="s">
        <v>25250</v>
      </c>
      <c r="H4116">
        <v>18.03</v>
      </c>
      <c r="I4116">
        <v>0</v>
      </c>
      <c r="J4116">
        <v>0</v>
      </c>
      <c r="K4116">
        <v>0</v>
      </c>
      <c r="O4116">
        <v>0</v>
      </c>
      <c r="P4116">
        <v>0</v>
      </c>
      <c r="Q4116">
        <v>0</v>
      </c>
      <c r="R4116">
        <v>18.03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H4116">
        <v>18.03</v>
      </c>
    </row>
    <row r="4117" spans="1:34" x14ac:dyDescent="0.3">
      <c r="A4117" s="4">
        <v>4233</v>
      </c>
      <c r="B4117" s="5">
        <v>4110</v>
      </c>
      <c r="C4117">
        <v>10641</v>
      </c>
      <c r="D4117" t="s">
        <v>25251</v>
      </c>
      <c r="E4117" t="s">
        <v>41</v>
      </c>
      <c r="F4117" t="s">
        <v>20</v>
      </c>
      <c r="G4117" t="s">
        <v>25252</v>
      </c>
      <c r="H4117">
        <v>18</v>
      </c>
      <c r="I4117">
        <v>0</v>
      </c>
      <c r="J4117">
        <v>0</v>
      </c>
      <c r="K4117">
        <v>0</v>
      </c>
      <c r="O4117">
        <v>0</v>
      </c>
      <c r="P4117">
        <v>0</v>
      </c>
      <c r="Q4117">
        <v>0</v>
      </c>
      <c r="R4117">
        <v>18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H4117">
        <v>18</v>
      </c>
    </row>
    <row r="4118" spans="1:34" x14ac:dyDescent="0.3">
      <c r="A4118" s="4">
        <v>4234</v>
      </c>
      <c r="B4118" s="5">
        <v>4111</v>
      </c>
      <c r="C4118">
        <v>11929</v>
      </c>
      <c r="D4118" t="s">
        <v>1501</v>
      </c>
      <c r="E4118" t="s">
        <v>2758</v>
      </c>
      <c r="F4118" t="s">
        <v>20823</v>
      </c>
      <c r="G4118" t="s">
        <v>25253</v>
      </c>
      <c r="H4118">
        <v>18</v>
      </c>
      <c r="I4118">
        <v>0</v>
      </c>
      <c r="J4118">
        <v>0</v>
      </c>
      <c r="K4118">
        <v>0</v>
      </c>
      <c r="O4118">
        <v>0</v>
      </c>
      <c r="P4118">
        <v>0</v>
      </c>
      <c r="Q4118">
        <v>0</v>
      </c>
      <c r="R4118">
        <v>18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H4118">
        <v>18</v>
      </c>
    </row>
    <row r="4119" spans="1:34" x14ac:dyDescent="0.3">
      <c r="A4119" s="4">
        <v>4235</v>
      </c>
      <c r="B4119" s="5">
        <v>4112</v>
      </c>
      <c r="C4119">
        <v>9563</v>
      </c>
      <c r="D4119" t="s">
        <v>25254</v>
      </c>
      <c r="E4119" t="s">
        <v>188</v>
      </c>
      <c r="F4119" t="s">
        <v>17</v>
      </c>
      <c r="G4119" t="s">
        <v>25255</v>
      </c>
      <c r="H4119">
        <v>17.98</v>
      </c>
      <c r="I4119">
        <v>0</v>
      </c>
      <c r="J4119">
        <v>0</v>
      </c>
      <c r="K4119">
        <v>0</v>
      </c>
      <c r="O4119">
        <v>0</v>
      </c>
      <c r="P4119">
        <v>0</v>
      </c>
      <c r="Q4119">
        <v>0</v>
      </c>
      <c r="R4119">
        <v>17.98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H4119">
        <v>17.98</v>
      </c>
    </row>
    <row r="4120" spans="1:34" x14ac:dyDescent="0.3">
      <c r="A4120" s="4">
        <v>4236</v>
      </c>
      <c r="B4120" s="5">
        <v>4113</v>
      </c>
      <c r="C4120">
        <v>7538</v>
      </c>
      <c r="D4120" t="s">
        <v>25256</v>
      </c>
      <c r="E4120" t="s">
        <v>1652</v>
      </c>
      <c r="F4120" t="s">
        <v>38</v>
      </c>
      <c r="G4120" t="s">
        <v>25257</v>
      </c>
      <c r="H4120">
        <v>17.93</v>
      </c>
      <c r="I4120">
        <v>0</v>
      </c>
      <c r="J4120">
        <v>0</v>
      </c>
      <c r="K4120">
        <v>0</v>
      </c>
      <c r="O4120">
        <v>0</v>
      </c>
      <c r="P4120">
        <v>0</v>
      </c>
      <c r="Q4120">
        <v>0</v>
      </c>
      <c r="R4120">
        <v>17.93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H4120">
        <v>17.93</v>
      </c>
    </row>
    <row r="4121" spans="1:34" x14ac:dyDescent="0.3">
      <c r="A4121" s="4">
        <v>4237</v>
      </c>
      <c r="B4121" s="5">
        <v>4114</v>
      </c>
      <c r="C4121">
        <v>14447</v>
      </c>
      <c r="D4121" t="s">
        <v>25258</v>
      </c>
      <c r="E4121" t="s">
        <v>158</v>
      </c>
      <c r="F4121" t="s">
        <v>25259</v>
      </c>
      <c r="G4121" t="s">
        <v>25260</v>
      </c>
      <c r="H4121">
        <v>17.88</v>
      </c>
      <c r="I4121">
        <v>0</v>
      </c>
      <c r="J4121">
        <v>0</v>
      </c>
      <c r="K4121">
        <v>0</v>
      </c>
      <c r="O4121">
        <v>0</v>
      </c>
      <c r="P4121">
        <v>0</v>
      </c>
      <c r="Q4121">
        <v>0</v>
      </c>
      <c r="R4121">
        <v>17.88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H4121">
        <v>17.88</v>
      </c>
    </row>
    <row r="4122" spans="1:34" x14ac:dyDescent="0.3">
      <c r="A4122" s="4">
        <v>4238</v>
      </c>
      <c r="B4122" s="5">
        <v>4115</v>
      </c>
      <c r="C4122">
        <v>2948</v>
      </c>
      <c r="D4122" t="s">
        <v>4814</v>
      </c>
      <c r="E4122" t="s">
        <v>697</v>
      </c>
      <c r="F4122" t="s">
        <v>68</v>
      </c>
      <c r="G4122" t="s">
        <v>25261</v>
      </c>
      <c r="H4122">
        <v>17.850000000000001</v>
      </c>
      <c r="I4122">
        <v>0</v>
      </c>
      <c r="J4122">
        <v>0</v>
      </c>
      <c r="K4122">
        <v>0</v>
      </c>
      <c r="O4122">
        <v>0</v>
      </c>
      <c r="P4122">
        <v>0</v>
      </c>
      <c r="Q4122">
        <v>0</v>
      </c>
      <c r="R4122">
        <v>17.850000000000001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H4122">
        <v>17.850000000000001</v>
      </c>
    </row>
    <row r="4123" spans="1:34" x14ac:dyDescent="0.3">
      <c r="A4123" s="4">
        <v>4239</v>
      </c>
      <c r="B4123" s="5">
        <v>4116</v>
      </c>
      <c r="C4123">
        <v>15688</v>
      </c>
      <c r="D4123" t="s">
        <v>4332</v>
      </c>
      <c r="E4123" t="s">
        <v>29</v>
      </c>
      <c r="F4123" t="s">
        <v>375</v>
      </c>
      <c r="G4123" t="s">
        <v>25262</v>
      </c>
      <c r="H4123">
        <v>17.8</v>
      </c>
      <c r="I4123">
        <v>0</v>
      </c>
      <c r="J4123">
        <v>0</v>
      </c>
      <c r="K4123">
        <v>0</v>
      </c>
      <c r="O4123">
        <v>0</v>
      </c>
      <c r="P4123">
        <v>0</v>
      </c>
      <c r="Q4123">
        <v>0</v>
      </c>
      <c r="R4123">
        <v>17.8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H4123">
        <v>17.8</v>
      </c>
    </row>
    <row r="4124" spans="1:34" x14ac:dyDescent="0.3">
      <c r="A4124" s="4">
        <v>4240</v>
      </c>
      <c r="B4124" s="5">
        <v>4117</v>
      </c>
      <c r="C4124">
        <v>13746</v>
      </c>
      <c r="D4124" t="s">
        <v>25263</v>
      </c>
      <c r="E4124" t="s">
        <v>34</v>
      </c>
      <c r="F4124" t="s">
        <v>840</v>
      </c>
      <c r="G4124" t="s">
        <v>25264</v>
      </c>
      <c r="H4124">
        <v>17.78</v>
      </c>
      <c r="I4124">
        <v>0</v>
      </c>
      <c r="J4124">
        <v>0</v>
      </c>
      <c r="K4124">
        <v>0</v>
      </c>
      <c r="O4124">
        <v>0</v>
      </c>
      <c r="P4124">
        <v>0</v>
      </c>
      <c r="Q4124">
        <v>0</v>
      </c>
      <c r="R4124">
        <v>17.78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H4124">
        <v>17.78</v>
      </c>
    </row>
    <row r="4125" spans="1:34" x14ac:dyDescent="0.3">
      <c r="A4125" s="4">
        <v>4241</v>
      </c>
      <c r="B4125" s="5">
        <v>4118</v>
      </c>
      <c r="C4125">
        <v>14304</v>
      </c>
      <c r="D4125" t="s">
        <v>4558</v>
      </c>
      <c r="E4125" t="s">
        <v>255</v>
      </c>
      <c r="F4125" t="s">
        <v>652</v>
      </c>
      <c r="G4125" t="s">
        <v>25265</v>
      </c>
      <c r="H4125">
        <v>17.68</v>
      </c>
      <c r="I4125">
        <v>0</v>
      </c>
      <c r="J4125">
        <v>0</v>
      </c>
      <c r="K4125">
        <v>0</v>
      </c>
      <c r="O4125">
        <v>0</v>
      </c>
      <c r="P4125">
        <v>0</v>
      </c>
      <c r="Q4125">
        <v>0</v>
      </c>
      <c r="R4125">
        <v>17.68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H4125">
        <v>17.68</v>
      </c>
    </row>
    <row r="4126" spans="1:34" x14ac:dyDescent="0.3">
      <c r="A4126" s="4">
        <v>4242</v>
      </c>
      <c r="B4126" s="5">
        <v>4119</v>
      </c>
      <c r="C4126">
        <v>13425</v>
      </c>
      <c r="D4126" t="s">
        <v>6906</v>
      </c>
      <c r="E4126" t="s">
        <v>29</v>
      </c>
      <c r="F4126" t="s">
        <v>190</v>
      </c>
      <c r="G4126" t="s">
        <v>25266</v>
      </c>
      <c r="H4126">
        <v>17.55</v>
      </c>
      <c r="I4126">
        <v>0</v>
      </c>
      <c r="J4126">
        <v>0</v>
      </c>
      <c r="K4126">
        <v>0</v>
      </c>
      <c r="O4126">
        <v>0</v>
      </c>
      <c r="P4126">
        <v>0</v>
      </c>
      <c r="Q4126">
        <v>0</v>
      </c>
      <c r="R4126">
        <v>17.55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H4126">
        <v>17.55</v>
      </c>
    </row>
    <row r="4127" spans="1:34" x14ac:dyDescent="0.3">
      <c r="A4127" s="4">
        <v>4243</v>
      </c>
      <c r="B4127" s="5">
        <v>4120</v>
      </c>
      <c r="C4127">
        <v>8103</v>
      </c>
      <c r="D4127" t="s">
        <v>25267</v>
      </c>
      <c r="E4127" t="s">
        <v>161</v>
      </c>
      <c r="F4127" t="s">
        <v>158</v>
      </c>
      <c r="G4127" t="s">
        <v>25268</v>
      </c>
      <c r="H4127">
        <v>17.55</v>
      </c>
      <c r="I4127">
        <v>0</v>
      </c>
      <c r="J4127">
        <v>0</v>
      </c>
      <c r="K4127">
        <v>0</v>
      </c>
      <c r="O4127">
        <v>0</v>
      </c>
      <c r="P4127">
        <v>0</v>
      </c>
      <c r="Q4127">
        <v>0</v>
      </c>
      <c r="R4127">
        <v>17.55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H4127">
        <v>17.55</v>
      </c>
    </row>
    <row r="4128" spans="1:34" x14ac:dyDescent="0.3">
      <c r="A4128" s="4">
        <v>4244</v>
      </c>
      <c r="B4128" s="5">
        <v>4121</v>
      </c>
      <c r="C4128">
        <v>12285</v>
      </c>
      <c r="D4128" t="s">
        <v>25269</v>
      </c>
      <c r="E4128" t="s">
        <v>25270</v>
      </c>
      <c r="F4128" t="s">
        <v>38</v>
      </c>
      <c r="G4128" t="s">
        <v>25271</v>
      </c>
      <c r="H4128">
        <v>17.45</v>
      </c>
      <c r="I4128">
        <v>0</v>
      </c>
      <c r="J4128">
        <v>0</v>
      </c>
      <c r="K4128">
        <v>0</v>
      </c>
      <c r="O4128">
        <v>0</v>
      </c>
      <c r="P4128">
        <v>0</v>
      </c>
      <c r="Q4128">
        <v>0</v>
      </c>
      <c r="R4128">
        <v>17.45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H4128">
        <v>17.45</v>
      </c>
    </row>
    <row r="4129" spans="1:34" x14ac:dyDescent="0.3">
      <c r="A4129" s="4">
        <v>4245</v>
      </c>
      <c r="B4129" s="5">
        <v>4122</v>
      </c>
      <c r="C4129">
        <v>15015</v>
      </c>
      <c r="D4129" t="s">
        <v>25272</v>
      </c>
      <c r="E4129" t="s">
        <v>33</v>
      </c>
      <c r="F4129" t="s">
        <v>124</v>
      </c>
      <c r="G4129" t="s">
        <v>25273</v>
      </c>
      <c r="H4129">
        <v>17.45</v>
      </c>
      <c r="I4129">
        <v>0</v>
      </c>
      <c r="J4129">
        <v>0</v>
      </c>
      <c r="K4129">
        <v>0</v>
      </c>
      <c r="O4129">
        <v>0</v>
      </c>
      <c r="P4129">
        <v>0</v>
      </c>
      <c r="Q4129">
        <v>0</v>
      </c>
      <c r="R4129">
        <v>17.45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H4129">
        <v>17.45</v>
      </c>
    </row>
    <row r="4130" spans="1:34" x14ac:dyDescent="0.3">
      <c r="A4130" s="4">
        <v>4246</v>
      </c>
      <c r="B4130" s="5">
        <v>4123</v>
      </c>
      <c r="C4130">
        <v>6648</v>
      </c>
      <c r="D4130" t="s">
        <v>25274</v>
      </c>
      <c r="E4130" t="s">
        <v>8147</v>
      </c>
      <c r="F4130" t="s">
        <v>30</v>
      </c>
      <c r="G4130" t="s">
        <v>25275</v>
      </c>
      <c r="H4130">
        <v>17.43</v>
      </c>
      <c r="I4130">
        <v>0</v>
      </c>
      <c r="J4130">
        <v>0</v>
      </c>
      <c r="K4130">
        <v>0</v>
      </c>
      <c r="O4130">
        <v>0</v>
      </c>
      <c r="P4130">
        <v>0</v>
      </c>
      <c r="Q4130">
        <v>0</v>
      </c>
      <c r="R4130">
        <v>17.43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H4130">
        <v>17.43</v>
      </c>
    </row>
    <row r="4131" spans="1:34" x14ac:dyDescent="0.3">
      <c r="A4131" s="4">
        <v>4247</v>
      </c>
      <c r="B4131" s="5">
        <v>4124</v>
      </c>
      <c r="C4131">
        <v>10822</v>
      </c>
      <c r="D4131" t="s">
        <v>4439</v>
      </c>
      <c r="E4131" t="s">
        <v>208</v>
      </c>
      <c r="F4131" t="s">
        <v>117</v>
      </c>
      <c r="G4131" t="s">
        <v>25276</v>
      </c>
      <c r="H4131">
        <v>17.350000000000001</v>
      </c>
      <c r="I4131">
        <v>0</v>
      </c>
      <c r="J4131">
        <v>0</v>
      </c>
      <c r="K4131">
        <v>0</v>
      </c>
      <c r="O4131">
        <v>0</v>
      </c>
      <c r="P4131">
        <v>0</v>
      </c>
      <c r="Q4131">
        <v>0</v>
      </c>
      <c r="R4131">
        <v>17.350000000000001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H4131">
        <v>17.350000000000001</v>
      </c>
    </row>
    <row r="4132" spans="1:34" x14ac:dyDescent="0.3">
      <c r="A4132" s="4">
        <v>4248</v>
      </c>
      <c r="B4132" s="5">
        <v>4125</v>
      </c>
      <c r="C4132">
        <v>5036</v>
      </c>
      <c r="D4132" t="s">
        <v>25277</v>
      </c>
      <c r="E4132" t="s">
        <v>20</v>
      </c>
      <c r="F4132" t="s">
        <v>346</v>
      </c>
      <c r="G4132" t="s">
        <v>25278</v>
      </c>
      <c r="H4132">
        <v>17</v>
      </c>
      <c r="I4132">
        <v>0</v>
      </c>
      <c r="J4132">
        <v>0</v>
      </c>
      <c r="K4132">
        <v>0</v>
      </c>
      <c r="O4132">
        <v>0</v>
      </c>
      <c r="P4132">
        <v>0</v>
      </c>
      <c r="Q4132">
        <v>0</v>
      </c>
      <c r="R4132">
        <v>17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H4132">
        <v>17</v>
      </c>
    </row>
    <row r="4133" spans="1:34" x14ac:dyDescent="0.3">
      <c r="A4133" s="4">
        <v>4249</v>
      </c>
      <c r="B4133" s="5">
        <v>4126</v>
      </c>
      <c r="C4133">
        <v>15121</v>
      </c>
      <c r="D4133" t="s">
        <v>11296</v>
      </c>
      <c r="E4133" t="s">
        <v>789</v>
      </c>
      <c r="F4133" t="s">
        <v>117</v>
      </c>
      <c r="G4133" t="s">
        <v>25279</v>
      </c>
      <c r="H4133">
        <v>16.93</v>
      </c>
      <c r="I4133">
        <v>0</v>
      </c>
      <c r="J4133">
        <v>0</v>
      </c>
      <c r="K4133">
        <v>0</v>
      </c>
      <c r="O4133">
        <v>0</v>
      </c>
      <c r="P4133">
        <v>0</v>
      </c>
      <c r="Q4133">
        <v>0</v>
      </c>
      <c r="R4133">
        <v>16.93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H4133">
        <v>16.93</v>
      </c>
    </row>
    <row r="4134" spans="1:34" x14ac:dyDescent="0.3">
      <c r="A4134" s="4">
        <v>4250</v>
      </c>
      <c r="B4134" s="5">
        <v>4127</v>
      </c>
      <c r="C4134">
        <v>11981</v>
      </c>
      <c r="D4134" t="s">
        <v>25280</v>
      </c>
      <c r="E4134" t="s">
        <v>20</v>
      </c>
      <c r="F4134" t="s">
        <v>782</v>
      </c>
      <c r="G4134" t="s">
        <v>25281</v>
      </c>
      <c r="H4134">
        <v>16.93</v>
      </c>
      <c r="I4134">
        <v>0</v>
      </c>
      <c r="J4134">
        <v>0</v>
      </c>
      <c r="K4134">
        <v>0</v>
      </c>
      <c r="O4134">
        <v>0</v>
      </c>
      <c r="P4134">
        <v>0</v>
      </c>
      <c r="Q4134">
        <v>0</v>
      </c>
      <c r="R4134">
        <v>16.93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H4134">
        <v>16.93</v>
      </c>
    </row>
    <row r="4135" spans="1:34" x14ac:dyDescent="0.3">
      <c r="A4135" s="4">
        <v>4251</v>
      </c>
      <c r="B4135" s="5">
        <v>4128</v>
      </c>
      <c r="C4135">
        <v>6102</v>
      </c>
      <c r="D4135" t="s">
        <v>25282</v>
      </c>
      <c r="E4135" t="s">
        <v>25283</v>
      </c>
      <c r="F4135" t="s">
        <v>25284</v>
      </c>
      <c r="G4135" t="s">
        <v>25285</v>
      </c>
      <c r="H4135">
        <v>16.899999999999999</v>
      </c>
      <c r="I4135">
        <v>0</v>
      </c>
      <c r="J4135">
        <v>0</v>
      </c>
      <c r="K4135">
        <v>0</v>
      </c>
      <c r="O4135">
        <v>0</v>
      </c>
      <c r="P4135">
        <v>0</v>
      </c>
      <c r="Q4135">
        <v>0</v>
      </c>
      <c r="R4135">
        <v>16.899999999999999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H4135">
        <v>16.899999999999999</v>
      </c>
    </row>
    <row r="4136" spans="1:34" x14ac:dyDescent="0.3">
      <c r="A4136" s="4">
        <v>4252</v>
      </c>
      <c r="B4136" s="5">
        <v>4129</v>
      </c>
      <c r="C4136">
        <v>15557</v>
      </c>
      <c r="D4136" t="s">
        <v>25286</v>
      </c>
      <c r="E4136" t="s">
        <v>54</v>
      </c>
      <c r="F4136" t="s">
        <v>17</v>
      </c>
      <c r="G4136" t="s">
        <v>25287</v>
      </c>
      <c r="H4136">
        <v>16.829999999999998</v>
      </c>
      <c r="I4136">
        <v>0</v>
      </c>
      <c r="J4136">
        <v>0</v>
      </c>
      <c r="K4136">
        <v>0</v>
      </c>
      <c r="O4136">
        <v>0</v>
      </c>
      <c r="P4136">
        <v>0</v>
      </c>
      <c r="Q4136">
        <v>0</v>
      </c>
      <c r="R4136">
        <v>16.829999999999998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H4136">
        <v>16.829999999999998</v>
      </c>
    </row>
    <row r="4137" spans="1:34" x14ac:dyDescent="0.3">
      <c r="A4137" s="4">
        <v>4253</v>
      </c>
      <c r="B4137" s="5">
        <v>4130</v>
      </c>
      <c r="C4137">
        <v>11013</v>
      </c>
      <c r="D4137" t="s">
        <v>25288</v>
      </c>
      <c r="E4137" t="s">
        <v>38</v>
      </c>
      <c r="F4137" t="s">
        <v>81</v>
      </c>
      <c r="G4137" t="s">
        <v>25289</v>
      </c>
      <c r="H4137">
        <v>16.73</v>
      </c>
      <c r="I4137">
        <v>0</v>
      </c>
      <c r="J4137">
        <v>0</v>
      </c>
      <c r="K4137">
        <v>0</v>
      </c>
      <c r="O4137">
        <v>0</v>
      </c>
      <c r="P4137">
        <v>0</v>
      </c>
      <c r="Q4137">
        <v>0</v>
      </c>
      <c r="R4137">
        <v>16.73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H4137">
        <v>16.73</v>
      </c>
    </row>
    <row r="4138" spans="1:34" x14ac:dyDescent="0.3">
      <c r="A4138" s="4">
        <v>4254</v>
      </c>
      <c r="B4138" s="5">
        <v>4131</v>
      </c>
      <c r="C4138">
        <v>14169</v>
      </c>
      <c r="D4138" t="s">
        <v>7529</v>
      </c>
      <c r="E4138" t="s">
        <v>54</v>
      </c>
      <c r="F4138" t="s">
        <v>17</v>
      </c>
      <c r="G4138" t="s">
        <v>25290</v>
      </c>
      <c r="H4138">
        <v>16.43</v>
      </c>
      <c r="I4138">
        <v>0</v>
      </c>
      <c r="J4138">
        <v>0</v>
      </c>
      <c r="K4138">
        <v>0</v>
      </c>
      <c r="O4138">
        <v>0</v>
      </c>
      <c r="P4138">
        <v>0</v>
      </c>
      <c r="Q4138">
        <v>0</v>
      </c>
      <c r="R4138">
        <v>16.43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H4138">
        <v>16.43</v>
      </c>
    </row>
    <row r="4139" spans="1:34" x14ac:dyDescent="0.3">
      <c r="A4139" s="4">
        <v>4255</v>
      </c>
      <c r="B4139" s="5">
        <v>4132</v>
      </c>
      <c r="C4139">
        <v>7704</v>
      </c>
      <c r="D4139" t="s">
        <v>25291</v>
      </c>
      <c r="E4139" t="s">
        <v>54</v>
      </c>
      <c r="F4139" t="s">
        <v>416</v>
      </c>
      <c r="G4139" t="s">
        <v>25292</v>
      </c>
      <c r="H4139">
        <v>16.38</v>
      </c>
      <c r="I4139">
        <v>0</v>
      </c>
      <c r="J4139">
        <v>0</v>
      </c>
      <c r="K4139">
        <v>0</v>
      </c>
      <c r="O4139">
        <v>0</v>
      </c>
      <c r="P4139">
        <v>0</v>
      </c>
      <c r="Q4139">
        <v>0</v>
      </c>
      <c r="R4139">
        <v>16.38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H4139">
        <v>16.38</v>
      </c>
    </row>
    <row r="4140" spans="1:34" x14ac:dyDescent="0.3">
      <c r="A4140" s="4">
        <v>4256</v>
      </c>
      <c r="B4140" s="5">
        <v>4133</v>
      </c>
      <c r="C4140">
        <v>8213</v>
      </c>
      <c r="D4140" t="s">
        <v>25293</v>
      </c>
      <c r="E4140" t="s">
        <v>68</v>
      </c>
      <c r="F4140" t="s">
        <v>117</v>
      </c>
      <c r="G4140" t="s">
        <v>25294</v>
      </c>
      <c r="H4140">
        <v>16.149999999999999</v>
      </c>
      <c r="I4140">
        <v>0</v>
      </c>
      <c r="J4140">
        <v>0</v>
      </c>
      <c r="K4140">
        <v>0</v>
      </c>
      <c r="O4140">
        <v>0</v>
      </c>
      <c r="P4140">
        <v>0</v>
      </c>
      <c r="Q4140">
        <v>0</v>
      </c>
      <c r="R4140">
        <v>16.149999999999999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H4140">
        <v>16.149999999999999</v>
      </c>
    </row>
    <row r="4141" spans="1:34" x14ac:dyDescent="0.3">
      <c r="A4141" s="4">
        <v>4257</v>
      </c>
      <c r="B4141" s="5">
        <v>4134</v>
      </c>
      <c r="C4141">
        <v>12331</v>
      </c>
      <c r="D4141" t="s">
        <v>2635</v>
      </c>
      <c r="E4141" t="s">
        <v>25295</v>
      </c>
      <c r="F4141" t="s">
        <v>38</v>
      </c>
      <c r="G4141" t="s">
        <v>25296</v>
      </c>
      <c r="H4141">
        <v>16.13</v>
      </c>
      <c r="I4141">
        <v>0</v>
      </c>
      <c r="J4141">
        <v>0</v>
      </c>
      <c r="K4141">
        <v>0</v>
      </c>
      <c r="O4141">
        <v>0</v>
      </c>
      <c r="P4141">
        <v>0</v>
      </c>
      <c r="Q4141">
        <v>0</v>
      </c>
      <c r="R4141">
        <v>16.13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H4141">
        <v>16.13</v>
      </c>
    </row>
    <row r="4142" spans="1:34" x14ac:dyDescent="0.3">
      <c r="A4142" s="4">
        <v>4258</v>
      </c>
      <c r="B4142" s="5">
        <v>4135</v>
      </c>
      <c r="C4142">
        <v>11603</v>
      </c>
      <c r="D4142" t="s">
        <v>784</v>
      </c>
      <c r="E4142" t="s">
        <v>1815</v>
      </c>
      <c r="F4142" t="s">
        <v>24503</v>
      </c>
      <c r="G4142" t="s">
        <v>25297</v>
      </c>
      <c r="H4142">
        <v>16</v>
      </c>
      <c r="I4142">
        <v>0</v>
      </c>
      <c r="J4142">
        <v>0</v>
      </c>
      <c r="K4142">
        <v>0</v>
      </c>
      <c r="O4142">
        <v>0</v>
      </c>
      <c r="P4142">
        <v>0</v>
      </c>
      <c r="Q4142">
        <v>0</v>
      </c>
      <c r="R4142">
        <v>16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H4142">
        <v>16</v>
      </c>
    </row>
    <row r="4143" spans="1:34" x14ac:dyDescent="0.3">
      <c r="A4143" s="4">
        <v>4259</v>
      </c>
      <c r="B4143" s="5">
        <v>4136</v>
      </c>
      <c r="C4143">
        <v>15117</v>
      </c>
      <c r="D4143" t="s">
        <v>25298</v>
      </c>
      <c r="E4143" t="s">
        <v>1140</v>
      </c>
      <c r="F4143" t="s">
        <v>343</v>
      </c>
      <c r="G4143" t="s">
        <v>25299</v>
      </c>
      <c r="H4143">
        <v>15.98</v>
      </c>
      <c r="I4143">
        <v>0</v>
      </c>
      <c r="J4143">
        <v>0</v>
      </c>
      <c r="K4143">
        <v>0</v>
      </c>
      <c r="O4143">
        <v>0</v>
      </c>
      <c r="P4143">
        <v>0</v>
      </c>
      <c r="Q4143">
        <v>0</v>
      </c>
      <c r="R4143">
        <v>15.98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H4143">
        <v>15.98</v>
      </c>
    </row>
    <row r="4144" spans="1:34" x14ac:dyDescent="0.3">
      <c r="A4144" s="4">
        <v>4260</v>
      </c>
      <c r="B4144" s="5">
        <v>4137</v>
      </c>
      <c r="C4144">
        <v>6114</v>
      </c>
      <c r="D4144" t="s">
        <v>7037</v>
      </c>
      <c r="E4144" t="s">
        <v>975</v>
      </c>
      <c r="F4144" t="s">
        <v>3711</v>
      </c>
      <c r="G4144" t="s">
        <v>25300</v>
      </c>
      <c r="H4144">
        <v>15.63</v>
      </c>
      <c r="I4144">
        <v>0</v>
      </c>
      <c r="J4144">
        <v>0</v>
      </c>
      <c r="K4144">
        <v>0</v>
      </c>
      <c r="O4144">
        <v>0</v>
      </c>
      <c r="P4144">
        <v>0</v>
      </c>
      <c r="Q4144">
        <v>0</v>
      </c>
      <c r="R4144">
        <v>15.63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H4144">
        <v>15.63</v>
      </c>
    </row>
    <row r="4145" spans="1:34" x14ac:dyDescent="0.3">
      <c r="A4145" s="4">
        <v>4261</v>
      </c>
      <c r="B4145" s="5">
        <v>4138</v>
      </c>
      <c r="C4145">
        <v>4788</v>
      </c>
      <c r="D4145" t="s">
        <v>25301</v>
      </c>
      <c r="E4145" t="s">
        <v>3243</v>
      </c>
      <c r="F4145" t="s">
        <v>34</v>
      </c>
      <c r="G4145" t="s">
        <v>25302</v>
      </c>
      <c r="H4145">
        <v>15.53</v>
      </c>
      <c r="I4145">
        <v>0</v>
      </c>
      <c r="J4145">
        <v>0</v>
      </c>
      <c r="K4145">
        <v>0</v>
      </c>
      <c r="O4145">
        <v>0</v>
      </c>
      <c r="P4145">
        <v>0</v>
      </c>
      <c r="Q4145">
        <v>0</v>
      </c>
      <c r="R4145">
        <v>15.53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H4145">
        <v>15.53</v>
      </c>
    </row>
    <row r="4146" spans="1:34" x14ac:dyDescent="0.3">
      <c r="A4146" s="4">
        <v>4262</v>
      </c>
      <c r="B4146" s="5">
        <v>4139</v>
      </c>
      <c r="C4146">
        <v>11756</v>
      </c>
      <c r="D4146" t="s">
        <v>25303</v>
      </c>
      <c r="E4146" t="s">
        <v>100</v>
      </c>
      <c r="F4146" t="s">
        <v>20</v>
      </c>
      <c r="G4146" t="s">
        <v>25304</v>
      </c>
      <c r="H4146">
        <v>12.5</v>
      </c>
      <c r="I4146">
        <v>0</v>
      </c>
      <c r="J4146">
        <v>0</v>
      </c>
      <c r="K4146">
        <v>0</v>
      </c>
      <c r="O4146">
        <v>0</v>
      </c>
      <c r="P4146">
        <v>0</v>
      </c>
      <c r="Q4146">
        <v>0</v>
      </c>
      <c r="R4146">
        <v>12.5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3</v>
      </c>
      <c r="AC4146">
        <v>0</v>
      </c>
      <c r="AH4146">
        <v>15.5</v>
      </c>
    </row>
    <row r="4148" spans="1:34" x14ac:dyDescent="0.3">
      <c r="A4148" s="3" t="s">
        <v>8356</v>
      </c>
    </row>
    <row r="4149" spans="1:34" x14ac:dyDescent="0.3">
      <c r="A4149" s="3" t="s">
        <v>10724</v>
      </c>
    </row>
    <row r="4150" spans="1:34" s="4" customFormat="1" x14ac:dyDescent="0.3">
      <c r="A4150" s="3" t="s">
        <v>10725</v>
      </c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</row>
    <row r="4151" spans="1:34" s="4" customFormat="1" x14ac:dyDescent="0.3">
      <c r="A4151" s="3" t="s">
        <v>10726</v>
      </c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</row>
    <row r="4152" spans="1:34" s="4" customFormat="1" x14ac:dyDescent="0.3">
      <c r="A4152" s="3" t="s">
        <v>10727</v>
      </c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</row>
    <row r="4153" spans="1:34" s="4" customFormat="1" x14ac:dyDescent="0.3">
      <c r="A4153" s="3" t="s">
        <v>10728</v>
      </c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</row>
    <row r="4154" spans="1:34" s="4" customFormat="1" x14ac:dyDescent="0.3">
      <c r="A4154" s="3" t="s">
        <v>10729</v>
      </c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</row>
    <row r="4155" spans="1:34" s="4" customFormat="1" x14ac:dyDescent="0.3">
      <c r="A4155" s="3" t="s">
        <v>10730</v>
      </c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</row>
    <row r="4156" spans="1:34" s="4" customFormat="1" x14ac:dyDescent="0.3">
      <c r="A4156" s="3" t="s">
        <v>10731</v>
      </c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</row>
    <row r="4157" spans="1:34" s="4" customFormat="1" x14ac:dyDescent="0.3">
      <c r="A4157" s="3" t="s">
        <v>10732</v>
      </c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</row>
    <row r="4158" spans="1:34" s="4" customFormat="1" x14ac:dyDescent="0.3">
      <c r="A4158" s="3" t="s">
        <v>10733</v>
      </c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</row>
    <row r="4159" spans="1:34" s="4" customFormat="1" x14ac:dyDescent="0.3">
      <c r="A4159" s="3" t="s">
        <v>10734</v>
      </c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</row>
    <row r="4160" spans="1:34" s="4" customFormat="1" x14ac:dyDescent="0.3">
      <c r="A4160" s="3" t="s">
        <v>10735</v>
      </c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</row>
    <row r="4161" spans="1:34" s="4" customFormat="1" x14ac:dyDescent="0.3">
      <c r="A4161" s="3" t="s">
        <v>10736</v>
      </c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</row>
    <row r="4162" spans="1:34" s="4" customFormat="1" x14ac:dyDescent="0.3">
      <c r="A4162" s="3" t="s">
        <v>10737</v>
      </c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</row>
    <row r="4163" spans="1:34" s="4" customFormat="1" x14ac:dyDescent="0.3">
      <c r="A4163" s="3" t="s">
        <v>10738</v>
      </c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</row>
    <row r="4164" spans="1:34" s="4" customFormat="1" x14ac:dyDescent="0.3">
      <c r="A4164" s="3" t="s">
        <v>10739</v>
      </c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</row>
    <row r="4165" spans="1:34" s="4" customFormat="1" x14ac:dyDescent="0.3">
      <c r="A4165" s="3" t="s">
        <v>10740</v>
      </c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</row>
    <row r="4166" spans="1:34" s="4" customFormat="1" x14ac:dyDescent="0.3">
      <c r="A4166" s="3" t="s">
        <v>10741</v>
      </c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</row>
    <row r="4167" spans="1:34" s="4" customFormat="1" x14ac:dyDescent="0.3">
      <c r="A4167" s="3" t="s">
        <v>10742</v>
      </c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</row>
    <row r="4168" spans="1:34" s="4" customFormat="1" x14ac:dyDescent="0.3">
      <c r="A4168" s="3" t="s">
        <v>10743</v>
      </c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</row>
    <row r="4169" spans="1:34" s="4" customFormat="1" x14ac:dyDescent="0.3">
      <c r="A4169" s="3" t="s">
        <v>10744</v>
      </c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</row>
    <row r="4170" spans="1:34" s="4" customFormat="1" x14ac:dyDescent="0.3">
      <c r="A4170" s="3" t="s">
        <v>10745</v>
      </c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</row>
    <row r="4171" spans="1:34" s="4" customFormat="1" x14ac:dyDescent="0.3">
      <c r="A4171" s="3" t="s">
        <v>10746</v>
      </c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</row>
    <row r="4172" spans="1:34" s="4" customFormat="1" x14ac:dyDescent="0.3">
      <c r="A4172" s="3" t="s">
        <v>10747</v>
      </c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</row>
    <row r="4173" spans="1:34" s="4" customFormat="1" x14ac:dyDescent="0.3">
      <c r="A4173" s="3" t="s">
        <v>10748</v>
      </c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</row>
    <row r="4174" spans="1:34" s="4" customFormat="1" x14ac:dyDescent="0.3">
      <c r="A4174" s="3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</row>
    <row r="4175" spans="1:34" s="4" customFormat="1" x14ac:dyDescent="0.3">
      <c r="A4175" s="3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</row>
    <row r="4176" spans="1:34" s="4" customFormat="1" x14ac:dyDescent="0.3">
      <c r="A4176" s="3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Φύλλο14"/>
  <dimension ref="A1:AH532"/>
  <sheetViews>
    <sheetView workbookViewId="0">
      <selection activeCell="A8" sqref="A8:AH537"/>
    </sheetView>
  </sheetViews>
  <sheetFormatPr defaultRowHeight="14.4" x14ac:dyDescent="0.3"/>
  <cols>
    <col min="1" max="2" width="9.109375" style="4"/>
    <col min="3" max="3" width="6" customWidth="1"/>
    <col min="4" max="4" width="24" bestFit="1" customWidth="1"/>
    <col min="5" max="5" width="24.33203125" bestFit="1" customWidth="1"/>
    <col min="6" max="6" width="24.6640625" bestFit="1" customWidth="1"/>
    <col min="7" max="7" width="10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25305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6">
        <v>1</v>
      </c>
      <c r="B8" s="5">
        <v>1</v>
      </c>
      <c r="C8" s="1">
        <v>6498</v>
      </c>
      <c r="D8" s="1" t="s">
        <v>25306</v>
      </c>
      <c r="E8" s="1" t="s">
        <v>479</v>
      </c>
      <c r="F8" s="1" t="s">
        <v>30</v>
      </c>
      <c r="G8" s="1" t="s">
        <v>25307</v>
      </c>
      <c r="H8" s="1">
        <v>17.38</v>
      </c>
      <c r="I8" s="1">
        <v>0</v>
      </c>
      <c r="J8" s="1">
        <v>0</v>
      </c>
      <c r="K8" s="1">
        <v>20</v>
      </c>
      <c r="L8" s="1">
        <v>7</v>
      </c>
      <c r="M8" s="1"/>
      <c r="N8" s="1"/>
      <c r="O8" s="1">
        <v>7</v>
      </c>
      <c r="P8" s="1">
        <v>4</v>
      </c>
      <c r="Q8" s="1">
        <v>2</v>
      </c>
      <c r="R8" s="1">
        <v>50.38</v>
      </c>
      <c r="S8" s="1">
        <v>99</v>
      </c>
      <c r="T8" s="1">
        <v>99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99</v>
      </c>
      <c r="AB8" s="1">
        <v>6</v>
      </c>
      <c r="AC8" s="1">
        <v>0</v>
      </c>
      <c r="AD8" s="1" t="s">
        <v>130</v>
      </c>
      <c r="AE8" s="1"/>
      <c r="AF8" s="1" t="s">
        <v>130</v>
      </c>
      <c r="AG8" s="1"/>
      <c r="AH8" s="1">
        <v>155.38</v>
      </c>
    </row>
    <row r="9" spans="1:34" x14ac:dyDescent="0.3">
      <c r="A9" s="4">
        <v>2</v>
      </c>
      <c r="B9" s="5">
        <v>2</v>
      </c>
      <c r="C9">
        <v>9</v>
      </c>
      <c r="D9" t="s">
        <v>25308</v>
      </c>
      <c r="E9" t="s">
        <v>9158</v>
      </c>
      <c r="F9" t="s">
        <v>136</v>
      </c>
      <c r="G9" t="s">
        <v>25309</v>
      </c>
      <c r="H9">
        <v>19.25</v>
      </c>
      <c r="I9">
        <v>0</v>
      </c>
      <c r="J9">
        <v>0</v>
      </c>
      <c r="K9">
        <v>28</v>
      </c>
      <c r="L9">
        <v>7</v>
      </c>
      <c r="O9">
        <v>7</v>
      </c>
      <c r="P9">
        <v>4</v>
      </c>
      <c r="Q9">
        <v>0</v>
      </c>
      <c r="R9">
        <v>58.25</v>
      </c>
      <c r="S9">
        <v>55</v>
      </c>
      <c r="T9">
        <v>55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55</v>
      </c>
      <c r="AB9">
        <v>6</v>
      </c>
      <c r="AC9">
        <v>0</v>
      </c>
      <c r="AF9" t="s">
        <v>130</v>
      </c>
      <c r="AH9">
        <v>119.25</v>
      </c>
    </row>
    <row r="10" spans="1:34" x14ac:dyDescent="0.3">
      <c r="A10" s="4">
        <v>3</v>
      </c>
      <c r="B10" s="5">
        <v>3</v>
      </c>
      <c r="C10">
        <v>1672</v>
      </c>
      <c r="D10" t="s">
        <v>11578</v>
      </c>
      <c r="E10" t="s">
        <v>33</v>
      </c>
      <c r="F10" t="s">
        <v>81</v>
      </c>
      <c r="G10" t="s">
        <v>25310</v>
      </c>
      <c r="H10">
        <v>20.75</v>
      </c>
      <c r="I10">
        <v>0</v>
      </c>
      <c r="J10">
        <v>0</v>
      </c>
      <c r="K10">
        <v>20</v>
      </c>
      <c r="L10">
        <v>7</v>
      </c>
      <c r="O10">
        <v>7</v>
      </c>
      <c r="P10">
        <v>4</v>
      </c>
      <c r="Q10">
        <v>0</v>
      </c>
      <c r="R10">
        <v>51.75</v>
      </c>
      <c r="S10">
        <v>59</v>
      </c>
      <c r="T10">
        <v>59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59</v>
      </c>
      <c r="AB10">
        <v>6</v>
      </c>
      <c r="AC10">
        <v>0</v>
      </c>
      <c r="AF10" t="s">
        <v>130</v>
      </c>
      <c r="AH10">
        <v>116.75</v>
      </c>
    </row>
    <row r="11" spans="1:34" x14ac:dyDescent="0.3">
      <c r="A11" s="4">
        <v>4</v>
      </c>
      <c r="B11" s="5">
        <v>4</v>
      </c>
      <c r="C11">
        <v>13152</v>
      </c>
      <c r="D11" t="s">
        <v>25311</v>
      </c>
      <c r="E11" t="s">
        <v>25312</v>
      </c>
      <c r="F11" t="s">
        <v>214</v>
      </c>
      <c r="G11" t="s">
        <v>25313</v>
      </c>
      <c r="H11">
        <v>14.8</v>
      </c>
      <c r="I11">
        <v>0</v>
      </c>
      <c r="J11">
        <v>0</v>
      </c>
      <c r="K11">
        <v>20</v>
      </c>
      <c r="O11">
        <v>0</v>
      </c>
      <c r="P11">
        <v>4</v>
      </c>
      <c r="Q11">
        <v>2</v>
      </c>
      <c r="R11">
        <v>40.799999999999997</v>
      </c>
      <c r="S11">
        <v>35</v>
      </c>
      <c r="T11">
        <v>35</v>
      </c>
      <c r="U11">
        <v>18</v>
      </c>
      <c r="V11">
        <v>36</v>
      </c>
      <c r="W11">
        <v>0</v>
      </c>
      <c r="X11">
        <v>0</v>
      </c>
      <c r="Y11">
        <v>0</v>
      </c>
      <c r="Z11">
        <v>0</v>
      </c>
      <c r="AA11">
        <v>71</v>
      </c>
      <c r="AB11">
        <v>0</v>
      </c>
      <c r="AC11">
        <v>0</v>
      </c>
      <c r="AD11" t="s">
        <v>130</v>
      </c>
      <c r="AF11" t="s">
        <v>130</v>
      </c>
      <c r="AH11">
        <v>111.8</v>
      </c>
    </row>
    <row r="12" spans="1:34" x14ac:dyDescent="0.3">
      <c r="A12" s="4">
        <v>5</v>
      </c>
      <c r="B12" s="5">
        <v>5</v>
      </c>
      <c r="C12">
        <v>6930</v>
      </c>
      <c r="D12" t="s">
        <v>23320</v>
      </c>
      <c r="E12" t="s">
        <v>255</v>
      </c>
      <c r="F12" t="s">
        <v>38</v>
      </c>
      <c r="G12" t="s">
        <v>25314</v>
      </c>
      <c r="H12">
        <v>20.13</v>
      </c>
      <c r="I12">
        <v>0</v>
      </c>
      <c r="J12">
        <v>0</v>
      </c>
      <c r="K12">
        <v>28</v>
      </c>
      <c r="N12">
        <v>3</v>
      </c>
      <c r="O12">
        <v>3</v>
      </c>
      <c r="P12">
        <v>4</v>
      </c>
      <c r="Q12">
        <v>2</v>
      </c>
      <c r="R12">
        <v>57.13</v>
      </c>
      <c r="S12">
        <v>48</v>
      </c>
      <c r="T12">
        <v>48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48</v>
      </c>
      <c r="AB12">
        <v>6</v>
      </c>
      <c r="AC12">
        <v>0</v>
      </c>
      <c r="AD12" t="s">
        <v>130</v>
      </c>
      <c r="AF12" t="s">
        <v>130</v>
      </c>
      <c r="AH12">
        <v>111.13</v>
      </c>
    </row>
    <row r="13" spans="1:34" x14ac:dyDescent="0.3">
      <c r="A13" s="4">
        <v>7</v>
      </c>
      <c r="B13" s="5">
        <v>6</v>
      </c>
      <c r="C13">
        <v>112</v>
      </c>
      <c r="D13" t="s">
        <v>25315</v>
      </c>
      <c r="E13" t="s">
        <v>117</v>
      </c>
      <c r="F13" t="s">
        <v>38</v>
      </c>
      <c r="G13" t="s">
        <v>25316</v>
      </c>
      <c r="H13">
        <v>16.329999999999998</v>
      </c>
      <c r="I13">
        <v>0</v>
      </c>
      <c r="J13">
        <v>0</v>
      </c>
      <c r="K13">
        <v>20</v>
      </c>
      <c r="L13">
        <v>7</v>
      </c>
      <c r="O13">
        <v>7</v>
      </c>
      <c r="P13">
        <v>4</v>
      </c>
      <c r="Q13">
        <v>2</v>
      </c>
      <c r="R13">
        <v>49.33</v>
      </c>
      <c r="S13">
        <v>51</v>
      </c>
      <c r="T13">
        <v>51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51</v>
      </c>
      <c r="AB13">
        <v>3</v>
      </c>
      <c r="AC13">
        <v>0</v>
      </c>
      <c r="AF13" t="s">
        <v>130</v>
      </c>
      <c r="AH13">
        <v>103.33</v>
      </c>
    </row>
    <row r="14" spans="1:34" x14ac:dyDescent="0.3">
      <c r="A14" s="4">
        <v>10</v>
      </c>
      <c r="B14" s="5">
        <v>7</v>
      </c>
      <c r="C14">
        <v>10396</v>
      </c>
      <c r="D14" t="s">
        <v>25317</v>
      </c>
      <c r="E14" t="s">
        <v>117</v>
      </c>
      <c r="F14" t="s">
        <v>38</v>
      </c>
      <c r="G14" t="s">
        <v>25318</v>
      </c>
      <c r="H14">
        <v>17.75</v>
      </c>
      <c r="I14">
        <v>0</v>
      </c>
      <c r="J14">
        <v>0</v>
      </c>
      <c r="K14">
        <v>28</v>
      </c>
      <c r="L14">
        <v>7</v>
      </c>
      <c r="O14">
        <v>7</v>
      </c>
      <c r="P14">
        <v>4</v>
      </c>
      <c r="Q14">
        <v>2</v>
      </c>
      <c r="R14">
        <v>58.75</v>
      </c>
      <c r="S14">
        <v>38</v>
      </c>
      <c r="T14">
        <v>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38</v>
      </c>
      <c r="AB14">
        <v>0</v>
      </c>
      <c r="AC14">
        <v>0</v>
      </c>
      <c r="AD14" t="s">
        <v>130</v>
      </c>
      <c r="AF14" t="s">
        <v>130</v>
      </c>
      <c r="AH14">
        <v>96.75</v>
      </c>
    </row>
    <row r="15" spans="1:34" x14ac:dyDescent="0.3">
      <c r="A15" s="4">
        <v>11</v>
      </c>
      <c r="B15" s="5">
        <v>8</v>
      </c>
      <c r="C15">
        <v>2496</v>
      </c>
      <c r="D15" t="s">
        <v>25319</v>
      </c>
      <c r="E15" t="s">
        <v>406</v>
      </c>
      <c r="F15" t="s">
        <v>626</v>
      </c>
      <c r="G15" t="s">
        <v>25320</v>
      </c>
      <c r="H15">
        <v>15.5</v>
      </c>
      <c r="I15">
        <v>0</v>
      </c>
      <c r="J15">
        <v>0</v>
      </c>
      <c r="K15">
        <v>20</v>
      </c>
      <c r="L15">
        <v>7</v>
      </c>
      <c r="N15">
        <v>3</v>
      </c>
      <c r="O15">
        <v>10</v>
      </c>
      <c r="P15">
        <v>4</v>
      </c>
      <c r="Q15">
        <v>2</v>
      </c>
      <c r="R15">
        <v>51.5</v>
      </c>
      <c r="S15">
        <v>45</v>
      </c>
      <c r="T15">
        <v>45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45</v>
      </c>
      <c r="AB15">
        <v>0</v>
      </c>
      <c r="AC15">
        <v>0</v>
      </c>
      <c r="AF15" t="s">
        <v>130</v>
      </c>
      <c r="AH15">
        <v>96.5</v>
      </c>
    </row>
    <row r="16" spans="1:34" x14ac:dyDescent="0.3">
      <c r="A16" s="4">
        <v>12</v>
      </c>
      <c r="B16" s="5">
        <v>9</v>
      </c>
      <c r="C16">
        <v>1304</v>
      </c>
      <c r="D16" t="s">
        <v>1521</v>
      </c>
      <c r="E16" t="s">
        <v>29</v>
      </c>
      <c r="F16" t="s">
        <v>570</v>
      </c>
      <c r="G16" t="s">
        <v>25321</v>
      </c>
      <c r="H16">
        <v>17.25</v>
      </c>
      <c r="I16">
        <v>0</v>
      </c>
      <c r="J16">
        <v>0</v>
      </c>
      <c r="K16">
        <v>20</v>
      </c>
      <c r="O16">
        <v>0</v>
      </c>
      <c r="P16">
        <v>4</v>
      </c>
      <c r="Q16">
        <v>2</v>
      </c>
      <c r="R16">
        <v>43.25</v>
      </c>
      <c r="S16">
        <v>47</v>
      </c>
      <c r="T16">
        <v>47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47</v>
      </c>
      <c r="AB16">
        <v>6</v>
      </c>
      <c r="AC16">
        <v>0</v>
      </c>
      <c r="AF16" t="s">
        <v>130</v>
      </c>
      <c r="AH16">
        <v>96.25</v>
      </c>
    </row>
    <row r="17" spans="1:34" x14ac:dyDescent="0.3">
      <c r="A17" s="4">
        <v>13</v>
      </c>
      <c r="B17" s="5">
        <v>10</v>
      </c>
      <c r="C17">
        <v>14781</v>
      </c>
      <c r="D17" t="s">
        <v>1224</v>
      </c>
      <c r="E17" t="s">
        <v>825</v>
      </c>
      <c r="F17" t="s">
        <v>17</v>
      </c>
      <c r="G17" t="s">
        <v>25322</v>
      </c>
      <c r="H17">
        <v>17.95</v>
      </c>
      <c r="I17">
        <v>0</v>
      </c>
      <c r="J17">
        <v>40</v>
      </c>
      <c r="K17">
        <v>20</v>
      </c>
      <c r="L17">
        <v>7</v>
      </c>
      <c r="O17">
        <v>7</v>
      </c>
      <c r="P17">
        <v>4</v>
      </c>
      <c r="Q17">
        <v>0</v>
      </c>
      <c r="R17">
        <v>88.95</v>
      </c>
      <c r="S17">
        <v>6</v>
      </c>
      <c r="T17">
        <v>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6</v>
      </c>
      <c r="AB17">
        <v>0</v>
      </c>
      <c r="AC17">
        <v>0</v>
      </c>
      <c r="AF17" t="s">
        <v>130</v>
      </c>
      <c r="AH17">
        <v>94.95</v>
      </c>
    </row>
    <row r="18" spans="1:34" x14ac:dyDescent="0.3">
      <c r="A18" s="4">
        <v>14</v>
      </c>
      <c r="B18" s="5">
        <v>11</v>
      </c>
      <c r="C18">
        <v>905</v>
      </c>
      <c r="D18" t="s">
        <v>25323</v>
      </c>
      <c r="E18" t="s">
        <v>3964</v>
      </c>
      <c r="F18" t="s">
        <v>68</v>
      </c>
      <c r="G18" t="s">
        <v>25324</v>
      </c>
      <c r="H18">
        <v>18.53</v>
      </c>
      <c r="I18">
        <v>0</v>
      </c>
      <c r="J18">
        <v>0</v>
      </c>
      <c r="K18">
        <v>0</v>
      </c>
      <c r="N18">
        <v>3</v>
      </c>
      <c r="O18">
        <v>3</v>
      </c>
      <c r="P18">
        <v>4</v>
      </c>
      <c r="Q18">
        <v>2</v>
      </c>
      <c r="R18">
        <v>27.53</v>
      </c>
      <c r="S18">
        <v>63</v>
      </c>
      <c r="T18">
        <v>63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63</v>
      </c>
      <c r="AB18">
        <v>3</v>
      </c>
      <c r="AC18">
        <v>0</v>
      </c>
      <c r="AF18" t="s">
        <v>130</v>
      </c>
      <c r="AH18">
        <v>93.53</v>
      </c>
    </row>
    <row r="19" spans="1:34" x14ac:dyDescent="0.3">
      <c r="A19" s="4">
        <v>17</v>
      </c>
      <c r="B19" s="5">
        <v>12</v>
      </c>
      <c r="C19">
        <v>2169</v>
      </c>
      <c r="D19" t="s">
        <v>25326</v>
      </c>
      <c r="E19" t="s">
        <v>124</v>
      </c>
      <c r="F19" t="s">
        <v>23</v>
      </c>
      <c r="G19" t="s">
        <v>25327</v>
      </c>
      <c r="H19">
        <v>18.63</v>
      </c>
      <c r="I19">
        <v>0</v>
      </c>
      <c r="J19">
        <v>40</v>
      </c>
      <c r="K19">
        <v>20</v>
      </c>
      <c r="L19">
        <v>7</v>
      </c>
      <c r="O19">
        <v>7</v>
      </c>
      <c r="P19">
        <v>4</v>
      </c>
      <c r="Q19">
        <v>2</v>
      </c>
      <c r="R19">
        <v>91.63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F19" t="s">
        <v>130</v>
      </c>
      <c r="AH19">
        <v>91.63</v>
      </c>
    </row>
    <row r="20" spans="1:34" x14ac:dyDescent="0.3">
      <c r="A20" s="4">
        <v>18</v>
      </c>
      <c r="B20" s="5">
        <v>13</v>
      </c>
      <c r="C20">
        <v>249</v>
      </c>
      <c r="D20" t="s">
        <v>25328</v>
      </c>
      <c r="E20" t="s">
        <v>166</v>
      </c>
      <c r="F20" t="s">
        <v>38</v>
      </c>
      <c r="G20" t="s">
        <v>25329</v>
      </c>
      <c r="H20">
        <v>17.38</v>
      </c>
      <c r="I20">
        <v>0</v>
      </c>
      <c r="J20">
        <v>0</v>
      </c>
      <c r="K20">
        <v>20</v>
      </c>
      <c r="L20">
        <v>7</v>
      </c>
      <c r="N20">
        <v>3</v>
      </c>
      <c r="O20">
        <v>10</v>
      </c>
      <c r="P20">
        <v>4</v>
      </c>
      <c r="Q20">
        <v>2</v>
      </c>
      <c r="R20">
        <v>53.38</v>
      </c>
      <c r="S20">
        <v>34</v>
      </c>
      <c r="T20">
        <v>34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34</v>
      </c>
      <c r="AB20">
        <v>3</v>
      </c>
      <c r="AC20">
        <v>0</v>
      </c>
      <c r="AD20" t="s">
        <v>130</v>
      </c>
      <c r="AF20" t="s">
        <v>130</v>
      </c>
      <c r="AH20">
        <v>90.38</v>
      </c>
    </row>
    <row r="21" spans="1:34" x14ac:dyDescent="0.3">
      <c r="A21" s="4">
        <v>19</v>
      </c>
      <c r="B21" s="5">
        <v>14</v>
      </c>
      <c r="C21">
        <v>6352</v>
      </c>
      <c r="D21" t="s">
        <v>25330</v>
      </c>
      <c r="E21" t="s">
        <v>789</v>
      </c>
      <c r="F21" t="s">
        <v>425</v>
      </c>
      <c r="G21" t="s">
        <v>25331</v>
      </c>
      <c r="H21">
        <v>14.78</v>
      </c>
      <c r="I21">
        <v>0</v>
      </c>
      <c r="J21">
        <v>0</v>
      </c>
      <c r="K21">
        <v>20</v>
      </c>
      <c r="M21">
        <v>5</v>
      </c>
      <c r="O21">
        <v>5</v>
      </c>
      <c r="P21">
        <v>4</v>
      </c>
      <c r="Q21">
        <v>2</v>
      </c>
      <c r="R21">
        <v>45.78</v>
      </c>
      <c r="S21">
        <v>41</v>
      </c>
      <c r="T21">
        <v>41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41</v>
      </c>
      <c r="AB21">
        <v>3</v>
      </c>
      <c r="AC21">
        <v>0</v>
      </c>
      <c r="AD21" t="s">
        <v>130</v>
      </c>
      <c r="AF21" t="s">
        <v>130</v>
      </c>
      <c r="AH21">
        <v>89.78</v>
      </c>
    </row>
    <row r="22" spans="1:34" x14ac:dyDescent="0.3">
      <c r="A22" s="4">
        <v>20</v>
      </c>
      <c r="B22" s="5">
        <v>15</v>
      </c>
      <c r="C22">
        <v>12386</v>
      </c>
      <c r="D22" t="s">
        <v>28</v>
      </c>
      <c r="E22" t="s">
        <v>100</v>
      </c>
      <c r="F22" t="s">
        <v>1274</v>
      </c>
      <c r="G22" t="s">
        <v>25332</v>
      </c>
      <c r="H22">
        <v>18.7</v>
      </c>
      <c r="I22">
        <v>0</v>
      </c>
      <c r="J22">
        <v>0</v>
      </c>
      <c r="K22">
        <v>20</v>
      </c>
      <c r="N22">
        <v>3</v>
      </c>
      <c r="O22">
        <v>3</v>
      </c>
      <c r="P22">
        <v>4</v>
      </c>
      <c r="Q22">
        <v>2</v>
      </c>
      <c r="R22">
        <v>47.7</v>
      </c>
      <c r="S22">
        <v>36</v>
      </c>
      <c r="T22">
        <v>36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36</v>
      </c>
      <c r="AB22">
        <v>6</v>
      </c>
      <c r="AC22">
        <v>0</v>
      </c>
      <c r="AF22" t="s">
        <v>130</v>
      </c>
      <c r="AH22">
        <v>89.7</v>
      </c>
    </row>
    <row r="23" spans="1:34" x14ac:dyDescent="0.3">
      <c r="A23" s="4">
        <v>25</v>
      </c>
      <c r="B23" s="5">
        <v>16</v>
      </c>
      <c r="C23">
        <v>13480</v>
      </c>
      <c r="D23" t="s">
        <v>10933</v>
      </c>
      <c r="E23" t="s">
        <v>471</v>
      </c>
      <c r="F23" t="s">
        <v>30</v>
      </c>
      <c r="G23" t="s">
        <v>25333</v>
      </c>
      <c r="H23">
        <v>17.98</v>
      </c>
      <c r="I23">
        <v>0</v>
      </c>
      <c r="J23">
        <v>0</v>
      </c>
      <c r="K23">
        <v>0</v>
      </c>
      <c r="N23">
        <v>3</v>
      </c>
      <c r="O23">
        <v>3</v>
      </c>
      <c r="P23">
        <v>4</v>
      </c>
      <c r="Q23">
        <v>2</v>
      </c>
      <c r="R23">
        <v>26.98</v>
      </c>
      <c r="S23">
        <v>29</v>
      </c>
      <c r="T23">
        <v>29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29</v>
      </c>
      <c r="AB23">
        <v>3</v>
      </c>
      <c r="AC23">
        <v>26.8</v>
      </c>
      <c r="AD23" t="s">
        <v>130</v>
      </c>
      <c r="AF23" t="s">
        <v>130</v>
      </c>
      <c r="AH23">
        <v>85.78</v>
      </c>
    </row>
    <row r="24" spans="1:34" x14ac:dyDescent="0.3">
      <c r="A24" s="4">
        <v>27</v>
      </c>
      <c r="B24" s="5">
        <v>17</v>
      </c>
      <c r="C24">
        <v>2292</v>
      </c>
      <c r="D24" t="s">
        <v>6987</v>
      </c>
      <c r="E24" t="s">
        <v>738</v>
      </c>
      <c r="F24" t="s">
        <v>25334</v>
      </c>
      <c r="G24" t="s">
        <v>25335</v>
      </c>
      <c r="H24">
        <v>16.03</v>
      </c>
      <c r="I24">
        <v>0</v>
      </c>
      <c r="J24">
        <v>0</v>
      </c>
      <c r="K24">
        <v>20</v>
      </c>
      <c r="L24">
        <v>7</v>
      </c>
      <c r="O24">
        <v>7</v>
      </c>
      <c r="P24">
        <v>4</v>
      </c>
      <c r="Q24">
        <v>2</v>
      </c>
      <c r="R24">
        <v>49.03</v>
      </c>
      <c r="S24">
        <v>36</v>
      </c>
      <c r="T24">
        <v>36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36</v>
      </c>
      <c r="AB24">
        <v>0</v>
      </c>
      <c r="AC24">
        <v>0</v>
      </c>
      <c r="AF24" t="s">
        <v>130</v>
      </c>
      <c r="AH24">
        <v>85.03</v>
      </c>
    </row>
    <row r="25" spans="1:34" x14ac:dyDescent="0.3">
      <c r="A25" s="4">
        <v>30</v>
      </c>
      <c r="B25" s="5">
        <v>18</v>
      </c>
      <c r="C25">
        <v>258</v>
      </c>
      <c r="D25" t="s">
        <v>25336</v>
      </c>
      <c r="E25" t="s">
        <v>6216</v>
      </c>
      <c r="F25" t="s">
        <v>1622</v>
      </c>
      <c r="G25" t="s">
        <v>25337</v>
      </c>
      <c r="H25">
        <v>17.93</v>
      </c>
      <c r="I25">
        <v>0</v>
      </c>
      <c r="J25">
        <v>0</v>
      </c>
      <c r="K25">
        <v>20</v>
      </c>
      <c r="L25">
        <v>7</v>
      </c>
      <c r="N25">
        <v>3</v>
      </c>
      <c r="O25">
        <v>10</v>
      </c>
      <c r="P25">
        <v>4</v>
      </c>
      <c r="Q25">
        <v>2</v>
      </c>
      <c r="R25">
        <v>53.93</v>
      </c>
      <c r="S25">
        <v>24</v>
      </c>
      <c r="T25">
        <v>24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24</v>
      </c>
      <c r="AB25">
        <v>6</v>
      </c>
      <c r="AC25">
        <v>0</v>
      </c>
      <c r="AD25" t="s">
        <v>130</v>
      </c>
      <c r="AF25" t="s">
        <v>130</v>
      </c>
      <c r="AH25">
        <v>83.93</v>
      </c>
    </row>
    <row r="26" spans="1:34" x14ac:dyDescent="0.3">
      <c r="A26" s="4">
        <v>32</v>
      </c>
      <c r="B26" s="5">
        <v>19</v>
      </c>
      <c r="C26">
        <v>2807</v>
      </c>
      <c r="D26" t="s">
        <v>12696</v>
      </c>
      <c r="E26" t="s">
        <v>54</v>
      </c>
      <c r="F26" t="s">
        <v>136</v>
      </c>
      <c r="G26" t="s">
        <v>25338</v>
      </c>
      <c r="H26">
        <v>19.38</v>
      </c>
      <c r="I26">
        <v>0</v>
      </c>
      <c r="J26">
        <v>0</v>
      </c>
      <c r="K26">
        <v>20</v>
      </c>
      <c r="M26">
        <v>5</v>
      </c>
      <c r="O26">
        <v>5</v>
      </c>
      <c r="P26">
        <v>4</v>
      </c>
      <c r="Q26">
        <v>2</v>
      </c>
      <c r="R26">
        <v>50.38</v>
      </c>
      <c r="S26">
        <v>33</v>
      </c>
      <c r="T26">
        <v>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33</v>
      </c>
      <c r="AB26">
        <v>0</v>
      </c>
      <c r="AC26">
        <v>0</v>
      </c>
      <c r="AD26" t="s">
        <v>130</v>
      </c>
      <c r="AF26" t="s">
        <v>130</v>
      </c>
      <c r="AH26">
        <v>83.38</v>
      </c>
    </row>
    <row r="27" spans="1:34" x14ac:dyDescent="0.3">
      <c r="A27" s="4">
        <v>36</v>
      </c>
      <c r="B27" s="5">
        <v>20</v>
      </c>
      <c r="C27">
        <v>8133</v>
      </c>
      <c r="D27" t="s">
        <v>25340</v>
      </c>
      <c r="E27" t="s">
        <v>25341</v>
      </c>
      <c r="F27" t="s">
        <v>83</v>
      </c>
      <c r="G27" t="s">
        <v>25342</v>
      </c>
      <c r="H27">
        <v>16.850000000000001</v>
      </c>
      <c r="I27">
        <v>0</v>
      </c>
      <c r="J27">
        <v>0</v>
      </c>
      <c r="K27">
        <v>20</v>
      </c>
      <c r="N27">
        <v>3</v>
      </c>
      <c r="O27">
        <v>3</v>
      </c>
      <c r="P27">
        <v>4</v>
      </c>
      <c r="Q27">
        <v>2</v>
      </c>
      <c r="R27">
        <v>45.85</v>
      </c>
      <c r="S27">
        <v>33</v>
      </c>
      <c r="T27">
        <v>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33</v>
      </c>
      <c r="AB27">
        <v>3</v>
      </c>
      <c r="AC27">
        <v>0</v>
      </c>
      <c r="AD27" t="s">
        <v>130</v>
      </c>
      <c r="AF27" t="s">
        <v>130</v>
      </c>
      <c r="AH27">
        <v>81.849999999999994</v>
      </c>
    </row>
    <row r="28" spans="1:34" x14ac:dyDescent="0.3">
      <c r="A28" s="4">
        <v>37</v>
      </c>
      <c r="B28" s="5">
        <v>21</v>
      </c>
      <c r="C28">
        <v>2154</v>
      </c>
      <c r="D28" t="s">
        <v>18004</v>
      </c>
      <c r="E28" t="s">
        <v>188</v>
      </c>
      <c r="F28" t="s">
        <v>20</v>
      </c>
      <c r="G28" t="s">
        <v>25343</v>
      </c>
      <c r="H28">
        <v>17.75</v>
      </c>
      <c r="I28">
        <v>0</v>
      </c>
      <c r="J28">
        <v>0</v>
      </c>
      <c r="K28">
        <v>28</v>
      </c>
      <c r="N28">
        <v>3</v>
      </c>
      <c r="O28">
        <v>3</v>
      </c>
      <c r="P28">
        <v>4</v>
      </c>
      <c r="Q28">
        <v>2</v>
      </c>
      <c r="R28">
        <v>54.75</v>
      </c>
      <c r="S28">
        <v>18</v>
      </c>
      <c r="T28">
        <v>18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18</v>
      </c>
      <c r="AB28">
        <v>9</v>
      </c>
      <c r="AC28">
        <v>0</v>
      </c>
      <c r="AD28" t="s">
        <v>130</v>
      </c>
      <c r="AF28" t="s">
        <v>130</v>
      </c>
      <c r="AH28">
        <v>81.75</v>
      </c>
    </row>
    <row r="29" spans="1:34" x14ac:dyDescent="0.3">
      <c r="A29" s="4">
        <v>38</v>
      </c>
      <c r="B29" s="5">
        <v>22</v>
      </c>
      <c r="C29">
        <v>9092</v>
      </c>
      <c r="D29" t="s">
        <v>7199</v>
      </c>
      <c r="E29" t="s">
        <v>439</v>
      </c>
      <c r="F29" t="s">
        <v>17</v>
      </c>
      <c r="G29" t="s">
        <v>25344</v>
      </c>
      <c r="H29">
        <v>19.350000000000001</v>
      </c>
      <c r="I29">
        <v>0</v>
      </c>
      <c r="J29">
        <v>0</v>
      </c>
      <c r="K29">
        <v>20</v>
      </c>
      <c r="N29">
        <v>3</v>
      </c>
      <c r="O29">
        <v>3</v>
      </c>
      <c r="P29">
        <v>4</v>
      </c>
      <c r="Q29">
        <v>2</v>
      </c>
      <c r="R29">
        <v>48.35</v>
      </c>
      <c r="S29">
        <v>33</v>
      </c>
      <c r="T29">
        <v>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33</v>
      </c>
      <c r="AB29">
        <v>0</v>
      </c>
      <c r="AC29">
        <v>0</v>
      </c>
      <c r="AF29" t="s">
        <v>130</v>
      </c>
      <c r="AH29">
        <v>81.349999999999994</v>
      </c>
    </row>
    <row r="30" spans="1:34" x14ac:dyDescent="0.3">
      <c r="A30" s="4">
        <v>39</v>
      </c>
      <c r="B30" s="5">
        <v>23</v>
      </c>
      <c r="C30">
        <v>862</v>
      </c>
      <c r="D30" t="s">
        <v>25345</v>
      </c>
      <c r="E30" t="s">
        <v>117</v>
      </c>
      <c r="F30" t="s">
        <v>52</v>
      </c>
      <c r="G30" t="s">
        <v>25346</v>
      </c>
      <c r="H30">
        <v>21.3</v>
      </c>
      <c r="I30">
        <v>0</v>
      </c>
      <c r="J30">
        <v>0</v>
      </c>
      <c r="K30">
        <v>20</v>
      </c>
      <c r="L30">
        <v>7</v>
      </c>
      <c r="O30">
        <v>7</v>
      </c>
      <c r="P30">
        <v>4</v>
      </c>
      <c r="Q30">
        <v>2</v>
      </c>
      <c r="R30">
        <v>54.3</v>
      </c>
      <c r="S30">
        <v>27</v>
      </c>
      <c r="T30">
        <v>27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27</v>
      </c>
      <c r="AB30">
        <v>0</v>
      </c>
      <c r="AC30">
        <v>0</v>
      </c>
      <c r="AF30" t="s">
        <v>130</v>
      </c>
      <c r="AH30">
        <v>81.3</v>
      </c>
    </row>
    <row r="31" spans="1:34" x14ac:dyDescent="0.3">
      <c r="A31" s="4">
        <v>40</v>
      </c>
      <c r="B31" s="5">
        <v>24</v>
      </c>
      <c r="C31">
        <v>36</v>
      </c>
      <c r="D31" t="s">
        <v>2166</v>
      </c>
      <c r="E31" t="s">
        <v>338</v>
      </c>
      <c r="F31" t="s">
        <v>117</v>
      </c>
      <c r="G31" t="s">
        <v>25347</v>
      </c>
      <c r="H31">
        <v>19.079999999999998</v>
      </c>
      <c r="I31">
        <v>0</v>
      </c>
      <c r="J31">
        <v>0</v>
      </c>
      <c r="K31">
        <v>20</v>
      </c>
      <c r="N31">
        <v>3</v>
      </c>
      <c r="O31">
        <v>3</v>
      </c>
      <c r="P31">
        <v>4</v>
      </c>
      <c r="Q31">
        <v>2</v>
      </c>
      <c r="R31">
        <v>48.08</v>
      </c>
      <c r="S31">
        <v>33</v>
      </c>
      <c r="T31">
        <v>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33</v>
      </c>
      <c r="AB31">
        <v>0</v>
      </c>
      <c r="AC31">
        <v>0</v>
      </c>
      <c r="AF31" t="s">
        <v>130</v>
      </c>
      <c r="AH31">
        <v>81.08</v>
      </c>
    </row>
    <row r="32" spans="1:34" x14ac:dyDescent="0.3">
      <c r="A32" s="4">
        <v>43</v>
      </c>
      <c r="B32" s="5">
        <v>25</v>
      </c>
      <c r="C32">
        <v>4031</v>
      </c>
      <c r="D32" t="s">
        <v>25348</v>
      </c>
      <c r="E32" t="s">
        <v>652</v>
      </c>
      <c r="F32" t="s">
        <v>20</v>
      </c>
      <c r="G32" t="s">
        <v>25349</v>
      </c>
      <c r="H32">
        <v>16.7</v>
      </c>
      <c r="I32">
        <v>0</v>
      </c>
      <c r="J32">
        <v>0</v>
      </c>
      <c r="K32">
        <v>28</v>
      </c>
      <c r="N32">
        <v>3</v>
      </c>
      <c r="O32">
        <v>3</v>
      </c>
      <c r="P32">
        <v>4</v>
      </c>
      <c r="Q32">
        <v>2</v>
      </c>
      <c r="R32">
        <v>53.7</v>
      </c>
      <c r="S32">
        <v>18</v>
      </c>
      <c r="T32">
        <v>18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18</v>
      </c>
      <c r="AB32">
        <v>9</v>
      </c>
      <c r="AC32">
        <v>0</v>
      </c>
      <c r="AF32" t="s">
        <v>130</v>
      </c>
      <c r="AH32">
        <v>80.7</v>
      </c>
    </row>
    <row r="33" spans="1:34" x14ac:dyDescent="0.3">
      <c r="A33" s="4">
        <v>44</v>
      </c>
      <c r="B33" s="5">
        <v>26</v>
      </c>
      <c r="C33">
        <v>10969</v>
      </c>
      <c r="D33" t="s">
        <v>25350</v>
      </c>
      <c r="E33" t="s">
        <v>117</v>
      </c>
      <c r="F33" t="s">
        <v>136</v>
      </c>
      <c r="G33" t="s">
        <v>25351</v>
      </c>
      <c r="H33">
        <v>18.100000000000001</v>
      </c>
      <c r="I33">
        <v>0</v>
      </c>
      <c r="J33">
        <v>0</v>
      </c>
      <c r="K33">
        <v>20</v>
      </c>
      <c r="M33">
        <v>5</v>
      </c>
      <c r="O33">
        <v>5</v>
      </c>
      <c r="P33">
        <v>4</v>
      </c>
      <c r="Q33">
        <v>2</v>
      </c>
      <c r="R33">
        <v>49.1</v>
      </c>
      <c r="S33">
        <v>31</v>
      </c>
      <c r="T33">
        <v>31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31</v>
      </c>
      <c r="AB33">
        <v>0</v>
      </c>
      <c r="AC33">
        <v>0</v>
      </c>
      <c r="AD33" t="s">
        <v>130</v>
      </c>
      <c r="AF33" t="s">
        <v>130</v>
      </c>
      <c r="AH33">
        <v>80.099999999999994</v>
      </c>
    </row>
    <row r="34" spans="1:34" x14ac:dyDescent="0.3">
      <c r="A34" s="4">
        <v>45</v>
      </c>
      <c r="B34" s="5">
        <v>27</v>
      </c>
      <c r="C34">
        <v>1489</v>
      </c>
      <c r="D34" t="s">
        <v>25352</v>
      </c>
      <c r="E34" t="s">
        <v>26</v>
      </c>
      <c r="F34" t="s">
        <v>81</v>
      </c>
      <c r="G34" t="s">
        <v>25353</v>
      </c>
      <c r="H34">
        <v>16.8</v>
      </c>
      <c r="I34">
        <v>0</v>
      </c>
      <c r="J34">
        <v>0</v>
      </c>
      <c r="K34">
        <v>20</v>
      </c>
      <c r="L34">
        <v>7</v>
      </c>
      <c r="O34">
        <v>7</v>
      </c>
      <c r="P34">
        <v>4</v>
      </c>
      <c r="Q34">
        <v>2</v>
      </c>
      <c r="R34">
        <v>49.8</v>
      </c>
      <c r="S34">
        <v>18</v>
      </c>
      <c r="T34">
        <v>18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18</v>
      </c>
      <c r="AB34">
        <v>12</v>
      </c>
      <c r="AC34">
        <v>0</v>
      </c>
      <c r="AD34" t="s">
        <v>130</v>
      </c>
      <c r="AF34" t="s">
        <v>130</v>
      </c>
      <c r="AH34">
        <v>79.8</v>
      </c>
    </row>
    <row r="35" spans="1:34" x14ac:dyDescent="0.3">
      <c r="A35" s="4">
        <v>47</v>
      </c>
      <c r="B35" s="5">
        <v>28</v>
      </c>
      <c r="C35">
        <v>1084</v>
      </c>
      <c r="D35" t="s">
        <v>25354</v>
      </c>
      <c r="E35" t="s">
        <v>188</v>
      </c>
      <c r="F35" t="s">
        <v>17</v>
      </c>
      <c r="G35" t="s">
        <v>25355</v>
      </c>
      <c r="H35">
        <v>16.2</v>
      </c>
      <c r="I35">
        <v>0</v>
      </c>
      <c r="J35">
        <v>0</v>
      </c>
      <c r="K35">
        <v>28</v>
      </c>
      <c r="L35">
        <v>7</v>
      </c>
      <c r="O35">
        <v>7</v>
      </c>
      <c r="P35">
        <v>4</v>
      </c>
      <c r="Q35">
        <v>2</v>
      </c>
      <c r="R35">
        <v>57.2</v>
      </c>
      <c r="S35">
        <v>16</v>
      </c>
      <c r="T35">
        <v>16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16</v>
      </c>
      <c r="AB35">
        <v>6</v>
      </c>
      <c r="AC35">
        <v>0</v>
      </c>
      <c r="AD35" t="s">
        <v>130</v>
      </c>
      <c r="AF35" t="s">
        <v>130</v>
      </c>
      <c r="AH35">
        <v>79.2</v>
      </c>
    </row>
    <row r="36" spans="1:34" x14ac:dyDescent="0.3">
      <c r="A36" s="4">
        <v>50</v>
      </c>
      <c r="B36" s="5">
        <v>29</v>
      </c>
      <c r="C36">
        <v>2861</v>
      </c>
      <c r="D36" t="s">
        <v>4279</v>
      </c>
      <c r="E36" t="s">
        <v>100</v>
      </c>
      <c r="F36" t="s">
        <v>30</v>
      </c>
      <c r="G36" t="s">
        <v>25356</v>
      </c>
      <c r="H36">
        <v>21.8</v>
      </c>
      <c r="I36">
        <v>7</v>
      </c>
      <c r="J36">
        <v>0</v>
      </c>
      <c r="K36">
        <v>28</v>
      </c>
      <c r="L36">
        <v>7</v>
      </c>
      <c r="O36">
        <v>7</v>
      </c>
      <c r="P36">
        <v>4</v>
      </c>
      <c r="Q36">
        <v>2</v>
      </c>
      <c r="R36">
        <v>69.8</v>
      </c>
      <c r="S36">
        <v>6</v>
      </c>
      <c r="T36">
        <v>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6</v>
      </c>
      <c r="AB36">
        <v>3</v>
      </c>
      <c r="AC36">
        <v>0</v>
      </c>
      <c r="AF36" t="s">
        <v>130</v>
      </c>
      <c r="AH36">
        <v>78.8</v>
      </c>
    </row>
    <row r="37" spans="1:34" x14ac:dyDescent="0.3">
      <c r="A37" s="4">
        <v>51</v>
      </c>
      <c r="B37" s="5">
        <v>30</v>
      </c>
      <c r="C37">
        <v>5645</v>
      </c>
      <c r="D37" t="s">
        <v>25357</v>
      </c>
      <c r="E37" t="s">
        <v>355</v>
      </c>
      <c r="F37" t="s">
        <v>25358</v>
      </c>
      <c r="G37" t="s">
        <v>25359</v>
      </c>
      <c r="H37">
        <v>16.399999999999999</v>
      </c>
      <c r="I37">
        <v>0</v>
      </c>
      <c r="J37">
        <v>0</v>
      </c>
      <c r="K37">
        <v>20</v>
      </c>
      <c r="N37">
        <v>3</v>
      </c>
      <c r="O37">
        <v>3</v>
      </c>
      <c r="P37">
        <v>4</v>
      </c>
      <c r="Q37">
        <v>2</v>
      </c>
      <c r="R37">
        <v>45.4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32</v>
      </c>
      <c r="AF37" t="s">
        <v>130</v>
      </c>
      <c r="AH37">
        <v>77.400000000000006</v>
      </c>
    </row>
    <row r="38" spans="1:34" x14ac:dyDescent="0.3">
      <c r="A38" s="4">
        <v>52</v>
      </c>
      <c r="B38" s="5">
        <v>31</v>
      </c>
      <c r="C38">
        <v>11067</v>
      </c>
      <c r="D38" t="s">
        <v>947</v>
      </c>
      <c r="E38" t="s">
        <v>1694</v>
      </c>
      <c r="F38" t="s">
        <v>25360</v>
      </c>
      <c r="G38" t="s">
        <v>25361</v>
      </c>
      <c r="H38">
        <v>16.75</v>
      </c>
      <c r="I38">
        <v>0</v>
      </c>
      <c r="J38">
        <v>0</v>
      </c>
      <c r="K38">
        <v>20</v>
      </c>
      <c r="L38">
        <v>14</v>
      </c>
      <c r="O38">
        <v>14</v>
      </c>
      <c r="P38">
        <v>4</v>
      </c>
      <c r="Q38">
        <v>0</v>
      </c>
      <c r="R38">
        <v>54.75</v>
      </c>
      <c r="S38">
        <v>16</v>
      </c>
      <c r="T38">
        <v>16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16</v>
      </c>
      <c r="AB38">
        <v>6</v>
      </c>
      <c r="AC38">
        <v>0</v>
      </c>
      <c r="AF38" t="s">
        <v>130</v>
      </c>
      <c r="AH38">
        <v>76.75</v>
      </c>
    </row>
    <row r="39" spans="1:34" x14ac:dyDescent="0.3">
      <c r="A39" s="4">
        <v>53</v>
      </c>
      <c r="B39" s="5">
        <v>32</v>
      </c>
      <c r="C39">
        <v>9008</v>
      </c>
      <c r="D39" t="s">
        <v>20667</v>
      </c>
      <c r="E39" t="s">
        <v>20</v>
      </c>
      <c r="F39" t="s">
        <v>91</v>
      </c>
      <c r="G39" t="s">
        <v>25362</v>
      </c>
      <c r="H39">
        <v>18.5</v>
      </c>
      <c r="I39">
        <v>7</v>
      </c>
      <c r="J39">
        <v>0</v>
      </c>
      <c r="K39">
        <v>0</v>
      </c>
      <c r="N39">
        <v>3</v>
      </c>
      <c r="O39">
        <v>3</v>
      </c>
      <c r="P39">
        <v>4</v>
      </c>
      <c r="Q39">
        <v>0</v>
      </c>
      <c r="R39">
        <v>32.5</v>
      </c>
      <c r="S39">
        <v>41</v>
      </c>
      <c r="T39">
        <v>41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41</v>
      </c>
      <c r="AB39">
        <v>3</v>
      </c>
      <c r="AC39">
        <v>0</v>
      </c>
      <c r="AF39" t="s">
        <v>130</v>
      </c>
      <c r="AH39">
        <v>76.5</v>
      </c>
    </row>
    <row r="40" spans="1:34" x14ac:dyDescent="0.3">
      <c r="A40" s="4">
        <v>54</v>
      </c>
      <c r="B40" s="5">
        <v>33</v>
      </c>
      <c r="C40">
        <v>10989</v>
      </c>
      <c r="D40" t="s">
        <v>3377</v>
      </c>
      <c r="E40" t="s">
        <v>161</v>
      </c>
      <c r="F40" t="s">
        <v>20</v>
      </c>
      <c r="G40" t="s">
        <v>25363</v>
      </c>
      <c r="H40">
        <v>19.2</v>
      </c>
      <c r="I40">
        <v>0</v>
      </c>
      <c r="J40">
        <v>0</v>
      </c>
      <c r="K40">
        <v>20</v>
      </c>
      <c r="L40">
        <v>7</v>
      </c>
      <c r="O40">
        <v>7</v>
      </c>
      <c r="P40">
        <v>4</v>
      </c>
      <c r="Q40">
        <v>2</v>
      </c>
      <c r="R40">
        <v>52.2</v>
      </c>
      <c r="S40">
        <v>18</v>
      </c>
      <c r="T40">
        <v>18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18</v>
      </c>
      <c r="AB40">
        <v>6</v>
      </c>
      <c r="AC40">
        <v>0</v>
      </c>
      <c r="AF40" t="s">
        <v>130</v>
      </c>
      <c r="AH40">
        <v>76.2</v>
      </c>
    </row>
    <row r="41" spans="1:34" x14ac:dyDescent="0.3">
      <c r="A41" s="4">
        <v>55</v>
      </c>
      <c r="B41" s="5">
        <v>34</v>
      </c>
      <c r="C41">
        <v>12099</v>
      </c>
      <c r="D41" t="s">
        <v>25364</v>
      </c>
      <c r="E41" t="s">
        <v>29</v>
      </c>
      <c r="F41" t="s">
        <v>2017</v>
      </c>
      <c r="G41" t="s">
        <v>25365</v>
      </c>
      <c r="H41">
        <v>20.9</v>
      </c>
      <c r="I41">
        <v>0</v>
      </c>
      <c r="J41">
        <v>0</v>
      </c>
      <c r="K41">
        <v>20</v>
      </c>
      <c r="M41">
        <v>5</v>
      </c>
      <c r="O41">
        <v>5</v>
      </c>
      <c r="P41">
        <v>4</v>
      </c>
      <c r="Q41">
        <v>2</v>
      </c>
      <c r="R41">
        <v>51.9</v>
      </c>
      <c r="S41">
        <v>18</v>
      </c>
      <c r="T41">
        <v>18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18</v>
      </c>
      <c r="AB41">
        <v>6</v>
      </c>
      <c r="AC41">
        <v>0</v>
      </c>
      <c r="AF41" t="s">
        <v>130</v>
      </c>
      <c r="AH41">
        <v>75.900000000000006</v>
      </c>
    </row>
    <row r="42" spans="1:34" x14ac:dyDescent="0.3">
      <c r="A42" s="4">
        <v>58</v>
      </c>
      <c r="B42" s="5">
        <v>35</v>
      </c>
      <c r="C42">
        <v>3666</v>
      </c>
      <c r="D42" t="s">
        <v>25367</v>
      </c>
      <c r="E42" t="s">
        <v>25368</v>
      </c>
      <c r="F42" t="s">
        <v>652</v>
      </c>
      <c r="G42" t="s">
        <v>25369</v>
      </c>
      <c r="H42">
        <v>19.25</v>
      </c>
      <c r="I42">
        <v>0</v>
      </c>
      <c r="J42">
        <v>0</v>
      </c>
      <c r="K42">
        <v>20</v>
      </c>
      <c r="M42">
        <v>5</v>
      </c>
      <c r="O42">
        <v>5</v>
      </c>
      <c r="P42">
        <v>4</v>
      </c>
      <c r="Q42">
        <v>0</v>
      </c>
      <c r="R42">
        <v>48.25</v>
      </c>
      <c r="S42">
        <v>26</v>
      </c>
      <c r="T42">
        <v>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26</v>
      </c>
      <c r="AB42">
        <v>0</v>
      </c>
      <c r="AC42">
        <v>0</v>
      </c>
      <c r="AF42" t="s">
        <v>130</v>
      </c>
      <c r="AH42">
        <v>74.25</v>
      </c>
    </row>
    <row r="43" spans="1:34" x14ac:dyDescent="0.3">
      <c r="A43" s="4">
        <v>59</v>
      </c>
      <c r="B43" s="5">
        <v>36</v>
      </c>
      <c r="C43">
        <v>4600</v>
      </c>
      <c r="D43" t="s">
        <v>25370</v>
      </c>
      <c r="E43" t="s">
        <v>38</v>
      </c>
      <c r="F43" t="s">
        <v>81</v>
      </c>
      <c r="G43" t="s">
        <v>25371</v>
      </c>
      <c r="H43">
        <v>15.03</v>
      </c>
      <c r="I43">
        <v>0</v>
      </c>
      <c r="J43">
        <v>0</v>
      </c>
      <c r="K43">
        <v>0</v>
      </c>
      <c r="M43">
        <v>5</v>
      </c>
      <c r="O43">
        <v>5</v>
      </c>
      <c r="P43">
        <v>4</v>
      </c>
      <c r="Q43">
        <v>2</v>
      </c>
      <c r="R43">
        <v>26.03</v>
      </c>
      <c r="S43">
        <v>48</v>
      </c>
      <c r="T43">
        <v>48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48</v>
      </c>
      <c r="AB43">
        <v>0</v>
      </c>
      <c r="AC43">
        <v>0</v>
      </c>
      <c r="AF43" t="s">
        <v>130</v>
      </c>
      <c r="AH43">
        <v>74.03</v>
      </c>
    </row>
    <row r="44" spans="1:34" x14ac:dyDescent="0.3">
      <c r="A44" s="4">
        <v>60</v>
      </c>
      <c r="B44" s="5">
        <v>37</v>
      </c>
      <c r="C44">
        <v>3584</v>
      </c>
      <c r="D44" t="s">
        <v>25372</v>
      </c>
      <c r="E44" t="s">
        <v>789</v>
      </c>
      <c r="F44" t="s">
        <v>136</v>
      </c>
      <c r="G44" t="s">
        <v>25373</v>
      </c>
      <c r="H44">
        <v>22.85</v>
      </c>
      <c r="I44">
        <v>0</v>
      </c>
      <c r="J44">
        <v>0</v>
      </c>
      <c r="K44">
        <v>20</v>
      </c>
      <c r="L44">
        <v>7</v>
      </c>
      <c r="O44">
        <v>7</v>
      </c>
      <c r="P44">
        <v>4</v>
      </c>
      <c r="Q44">
        <v>2</v>
      </c>
      <c r="R44">
        <v>55.85</v>
      </c>
      <c r="S44">
        <v>17</v>
      </c>
      <c r="T44">
        <v>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17</v>
      </c>
      <c r="AB44">
        <v>0</v>
      </c>
      <c r="AC44">
        <v>0</v>
      </c>
      <c r="AF44" t="s">
        <v>130</v>
      </c>
      <c r="AH44">
        <v>72.849999999999994</v>
      </c>
    </row>
    <row r="45" spans="1:34" x14ac:dyDescent="0.3">
      <c r="A45" s="4">
        <v>61</v>
      </c>
      <c r="B45" s="5">
        <v>38</v>
      </c>
      <c r="C45">
        <v>12998</v>
      </c>
      <c r="D45" t="s">
        <v>3508</v>
      </c>
      <c r="E45" t="s">
        <v>166</v>
      </c>
      <c r="F45" t="s">
        <v>68</v>
      </c>
      <c r="G45" t="s">
        <v>25374</v>
      </c>
      <c r="H45">
        <v>14.68</v>
      </c>
      <c r="I45">
        <v>0</v>
      </c>
      <c r="J45">
        <v>0</v>
      </c>
      <c r="K45">
        <v>20</v>
      </c>
      <c r="L45">
        <v>7</v>
      </c>
      <c r="O45">
        <v>7</v>
      </c>
      <c r="P45">
        <v>4</v>
      </c>
      <c r="Q45">
        <v>2</v>
      </c>
      <c r="R45">
        <v>47.68</v>
      </c>
      <c r="S45">
        <v>25</v>
      </c>
      <c r="T45">
        <v>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25</v>
      </c>
      <c r="AB45">
        <v>0</v>
      </c>
      <c r="AC45">
        <v>0</v>
      </c>
      <c r="AD45" t="s">
        <v>130</v>
      </c>
      <c r="AF45" t="s">
        <v>130</v>
      </c>
      <c r="AH45">
        <v>72.680000000000007</v>
      </c>
    </row>
    <row r="46" spans="1:34" x14ac:dyDescent="0.3">
      <c r="A46" s="4">
        <v>63</v>
      </c>
      <c r="B46" s="5">
        <v>39</v>
      </c>
      <c r="C46">
        <v>4480</v>
      </c>
      <c r="D46" t="s">
        <v>1170</v>
      </c>
      <c r="E46" t="s">
        <v>29</v>
      </c>
      <c r="F46" t="s">
        <v>38</v>
      </c>
      <c r="G46" t="s">
        <v>25376</v>
      </c>
      <c r="H46">
        <v>18.38</v>
      </c>
      <c r="I46">
        <v>0</v>
      </c>
      <c r="J46">
        <v>0</v>
      </c>
      <c r="K46">
        <v>20</v>
      </c>
      <c r="L46">
        <v>7</v>
      </c>
      <c r="O46">
        <v>7</v>
      </c>
      <c r="P46">
        <v>4</v>
      </c>
      <c r="Q46">
        <v>2</v>
      </c>
      <c r="R46">
        <v>51.38</v>
      </c>
      <c r="S46">
        <v>15</v>
      </c>
      <c r="T46">
        <v>15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15</v>
      </c>
      <c r="AB46">
        <v>6</v>
      </c>
      <c r="AC46">
        <v>0</v>
      </c>
      <c r="AF46" t="s">
        <v>130</v>
      </c>
      <c r="AH46">
        <v>72.38</v>
      </c>
    </row>
    <row r="47" spans="1:34" x14ac:dyDescent="0.3">
      <c r="A47" s="4">
        <v>64</v>
      </c>
      <c r="B47" s="5">
        <v>40</v>
      </c>
      <c r="C47">
        <v>8596</v>
      </c>
      <c r="D47" t="s">
        <v>9376</v>
      </c>
      <c r="E47" t="s">
        <v>161</v>
      </c>
      <c r="F47" t="s">
        <v>136</v>
      </c>
      <c r="G47" t="s">
        <v>25377</v>
      </c>
      <c r="H47">
        <v>18.3</v>
      </c>
      <c r="I47">
        <v>0</v>
      </c>
      <c r="J47">
        <v>0</v>
      </c>
      <c r="K47">
        <v>20</v>
      </c>
      <c r="N47">
        <v>3</v>
      </c>
      <c r="O47">
        <v>3</v>
      </c>
      <c r="P47">
        <v>4</v>
      </c>
      <c r="Q47">
        <v>0</v>
      </c>
      <c r="R47">
        <v>45.3</v>
      </c>
      <c r="S47">
        <v>21</v>
      </c>
      <c r="T47">
        <v>21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21</v>
      </c>
      <c r="AB47">
        <v>6</v>
      </c>
      <c r="AC47">
        <v>0</v>
      </c>
      <c r="AF47" t="s">
        <v>130</v>
      </c>
      <c r="AH47">
        <v>72.3</v>
      </c>
    </row>
    <row r="48" spans="1:34" x14ac:dyDescent="0.3">
      <c r="A48" s="4">
        <v>65</v>
      </c>
      <c r="B48" s="5">
        <v>41</v>
      </c>
      <c r="C48">
        <v>425</v>
      </c>
      <c r="D48" t="s">
        <v>10279</v>
      </c>
      <c r="E48" t="s">
        <v>25378</v>
      </c>
      <c r="F48" t="s">
        <v>25379</v>
      </c>
      <c r="G48" t="s">
        <v>25380</v>
      </c>
      <c r="H48">
        <v>20.05</v>
      </c>
      <c r="I48">
        <v>0</v>
      </c>
      <c r="J48">
        <v>0</v>
      </c>
      <c r="K48">
        <v>20</v>
      </c>
      <c r="L48">
        <v>7</v>
      </c>
      <c r="O48">
        <v>7</v>
      </c>
      <c r="P48">
        <v>4</v>
      </c>
      <c r="Q48">
        <v>0</v>
      </c>
      <c r="R48">
        <v>51.05</v>
      </c>
      <c r="S48">
        <v>15</v>
      </c>
      <c r="T48">
        <v>15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15</v>
      </c>
      <c r="AB48">
        <v>6</v>
      </c>
      <c r="AC48">
        <v>0</v>
      </c>
      <c r="AF48" t="s">
        <v>130</v>
      </c>
      <c r="AH48">
        <v>72.05</v>
      </c>
    </row>
    <row r="49" spans="1:34" x14ac:dyDescent="0.3">
      <c r="A49" s="4">
        <v>66</v>
      </c>
      <c r="B49" s="5">
        <v>42</v>
      </c>
      <c r="C49">
        <v>7077</v>
      </c>
      <c r="D49" t="s">
        <v>4809</v>
      </c>
      <c r="E49" t="s">
        <v>33</v>
      </c>
      <c r="F49" t="s">
        <v>193</v>
      </c>
      <c r="G49" t="s">
        <v>25381</v>
      </c>
      <c r="H49">
        <v>17.7</v>
      </c>
      <c r="I49">
        <v>0</v>
      </c>
      <c r="J49">
        <v>0</v>
      </c>
      <c r="K49">
        <v>20</v>
      </c>
      <c r="L49">
        <v>7</v>
      </c>
      <c r="N49">
        <v>3</v>
      </c>
      <c r="O49">
        <v>10</v>
      </c>
      <c r="P49">
        <v>4</v>
      </c>
      <c r="Q49">
        <v>2</v>
      </c>
      <c r="R49">
        <v>53.7</v>
      </c>
      <c r="S49">
        <v>18</v>
      </c>
      <c r="T49">
        <v>18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18</v>
      </c>
      <c r="AB49">
        <v>0</v>
      </c>
      <c r="AC49">
        <v>0</v>
      </c>
      <c r="AF49" t="s">
        <v>130</v>
      </c>
      <c r="AH49">
        <v>71.7</v>
      </c>
    </row>
    <row r="50" spans="1:34" x14ac:dyDescent="0.3">
      <c r="A50" s="4">
        <v>69</v>
      </c>
      <c r="B50" s="5">
        <v>43</v>
      </c>
      <c r="C50">
        <v>10209</v>
      </c>
      <c r="D50" t="s">
        <v>25383</v>
      </c>
      <c r="E50" t="s">
        <v>20</v>
      </c>
      <c r="F50" t="s">
        <v>782</v>
      </c>
      <c r="G50" t="s">
        <v>25384</v>
      </c>
      <c r="H50">
        <v>19.100000000000001</v>
      </c>
      <c r="I50">
        <v>0</v>
      </c>
      <c r="J50">
        <v>0</v>
      </c>
      <c r="K50">
        <v>28</v>
      </c>
      <c r="O50">
        <v>0</v>
      </c>
      <c r="P50">
        <v>4</v>
      </c>
      <c r="Q50">
        <v>2</v>
      </c>
      <c r="R50">
        <v>53.1</v>
      </c>
      <c r="S50">
        <v>18</v>
      </c>
      <c r="T50">
        <v>18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18</v>
      </c>
      <c r="AB50">
        <v>0</v>
      </c>
      <c r="AC50">
        <v>0</v>
      </c>
      <c r="AF50" t="s">
        <v>130</v>
      </c>
      <c r="AH50">
        <v>71.099999999999994</v>
      </c>
    </row>
    <row r="51" spans="1:34" x14ac:dyDescent="0.3">
      <c r="A51" s="4">
        <v>71</v>
      </c>
      <c r="B51" s="5">
        <v>44</v>
      </c>
      <c r="C51">
        <v>10523</v>
      </c>
      <c r="D51" t="s">
        <v>25385</v>
      </c>
      <c r="E51" t="s">
        <v>178</v>
      </c>
      <c r="F51" t="s">
        <v>124</v>
      </c>
      <c r="G51" t="s">
        <v>25386</v>
      </c>
      <c r="H51">
        <v>17.73</v>
      </c>
      <c r="I51">
        <v>0</v>
      </c>
      <c r="J51">
        <v>0</v>
      </c>
      <c r="K51">
        <v>0</v>
      </c>
      <c r="L51">
        <v>7</v>
      </c>
      <c r="O51">
        <v>7</v>
      </c>
      <c r="P51">
        <v>4</v>
      </c>
      <c r="Q51">
        <v>2</v>
      </c>
      <c r="R51">
        <v>30.73</v>
      </c>
      <c r="S51">
        <v>40</v>
      </c>
      <c r="T51">
        <v>40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40</v>
      </c>
      <c r="AB51">
        <v>0</v>
      </c>
      <c r="AC51">
        <v>0</v>
      </c>
      <c r="AD51" t="s">
        <v>130</v>
      </c>
      <c r="AF51" t="s">
        <v>130</v>
      </c>
      <c r="AH51">
        <v>70.73</v>
      </c>
    </row>
    <row r="52" spans="1:34" x14ac:dyDescent="0.3">
      <c r="A52" s="4">
        <v>72</v>
      </c>
      <c r="B52" s="5">
        <v>45</v>
      </c>
      <c r="C52">
        <v>2019</v>
      </c>
      <c r="D52" t="s">
        <v>25387</v>
      </c>
      <c r="E52" t="s">
        <v>8622</v>
      </c>
      <c r="F52" t="s">
        <v>34</v>
      </c>
      <c r="G52" t="s">
        <v>25388</v>
      </c>
      <c r="H52">
        <v>18.78</v>
      </c>
      <c r="I52">
        <v>0</v>
      </c>
      <c r="J52">
        <v>0</v>
      </c>
      <c r="K52">
        <v>20</v>
      </c>
      <c r="L52">
        <v>7</v>
      </c>
      <c r="O52">
        <v>7</v>
      </c>
      <c r="P52">
        <v>4</v>
      </c>
      <c r="Q52">
        <v>2</v>
      </c>
      <c r="R52">
        <v>51.78</v>
      </c>
      <c r="S52">
        <v>18</v>
      </c>
      <c r="T52">
        <v>18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18</v>
      </c>
      <c r="AB52">
        <v>0</v>
      </c>
      <c r="AC52">
        <v>0</v>
      </c>
      <c r="AF52" t="s">
        <v>130</v>
      </c>
      <c r="AH52">
        <v>69.78</v>
      </c>
    </row>
    <row r="53" spans="1:34" x14ac:dyDescent="0.3">
      <c r="A53" s="4">
        <v>73</v>
      </c>
      <c r="B53" s="5">
        <v>46</v>
      </c>
      <c r="C53">
        <v>5205</v>
      </c>
      <c r="D53" t="s">
        <v>4814</v>
      </c>
      <c r="E53" t="s">
        <v>54</v>
      </c>
      <c r="F53" t="s">
        <v>38</v>
      </c>
      <c r="G53" t="s">
        <v>25389</v>
      </c>
      <c r="H53">
        <v>18.899999999999999</v>
      </c>
      <c r="I53">
        <v>0</v>
      </c>
      <c r="J53">
        <v>0</v>
      </c>
      <c r="K53">
        <v>0</v>
      </c>
      <c r="N53">
        <v>6</v>
      </c>
      <c r="O53">
        <v>6</v>
      </c>
      <c r="P53">
        <v>4</v>
      </c>
      <c r="Q53">
        <v>2</v>
      </c>
      <c r="R53">
        <v>30.9</v>
      </c>
      <c r="S53">
        <v>6</v>
      </c>
      <c r="T53">
        <v>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6</v>
      </c>
      <c r="AB53">
        <v>6</v>
      </c>
      <c r="AC53">
        <v>26.8</v>
      </c>
      <c r="AF53" t="s">
        <v>130</v>
      </c>
      <c r="AH53">
        <v>69.7</v>
      </c>
    </row>
    <row r="54" spans="1:34" x14ac:dyDescent="0.3">
      <c r="A54" s="4">
        <v>74</v>
      </c>
      <c r="B54" s="5">
        <v>47</v>
      </c>
      <c r="C54">
        <v>6864</v>
      </c>
      <c r="D54" t="s">
        <v>25390</v>
      </c>
      <c r="E54" t="s">
        <v>81</v>
      </c>
      <c r="F54" t="s">
        <v>488</v>
      </c>
      <c r="G54" t="s">
        <v>25391</v>
      </c>
      <c r="H54">
        <v>18.53</v>
      </c>
      <c r="I54">
        <v>0</v>
      </c>
      <c r="J54">
        <v>0</v>
      </c>
      <c r="K54">
        <v>0</v>
      </c>
      <c r="O54">
        <v>0</v>
      </c>
      <c r="P54">
        <v>4</v>
      </c>
      <c r="Q54">
        <v>2</v>
      </c>
      <c r="R54">
        <v>24.53</v>
      </c>
      <c r="S54">
        <v>45</v>
      </c>
      <c r="T54">
        <v>45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45</v>
      </c>
      <c r="AB54">
        <v>0</v>
      </c>
      <c r="AC54">
        <v>0</v>
      </c>
      <c r="AF54" t="s">
        <v>130</v>
      </c>
      <c r="AH54">
        <v>69.53</v>
      </c>
    </row>
    <row r="55" spans="1:34" x14ac:dyDescent="0.3">
      <c r="A55" s="4">
        <v>75</v>
      </c>
      <c r="B55" s="5">
        <v>48</v>
      </c>
      <c r="C55">
        <v>7048</v>
      </c>
      <c r="D55" t="s">
        <v>25392</v>
      </c>
      <c r="E55" t="s">
        <v>188</v>
      </c>
      <c r="F55" t="s">
        <v>30</v>
      </c>
      <c r="G55" t="s">
        <v>25393</v>
      </c>
      <c r="H55">
        <v>18.45</v>
      </c>
      <c r="I55">
        <v>0</v>
      </c>
      <c r="J55">
        <v>0</v>
      </c>
      <c r="K55">
        <v>20</v>
      </c>
      <c r="L55">
        <v>7</v>
      </c>
      <c r="O55">
        <v>7</v>
      </c>
      <c r="P55">
        <v>4</v>
      </c>
      <c r="Q55">
        <v>2</v>
      </c>
      <c r="R55">
        <v>51.45</v>
      </c>
      <c r="S55">
        <v>18</v>
      </c>
      <c r="T55">
        <v>18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18</v>
      </c>
      <c r="AB55">
        <v>0</v>
      </c>
      <c r="AC55">
        <v>0</v>
      </c>
      <c r="AF55" t="s">
        <v>130</v>
      </c>
      <c r="AH55">
        <v>69.45</v>
      </c>
    </row>
    <row r="56" spans="1:34" x14ac:dyDescent="0.3">
      <c r="A56" s="4">
        <v>77</v>
      </c>
      <c r="B56" s="5">
        <v>49</v>
      </c>
      <c r="C56">
        <v>12043</v>
      </c>
      <c r="D56" t="s">
        <v>25394</v>
      </c>
      <c r="E56" t="s">
        <v>167</v>
      </c>
      <c r="F56" t="s">
        <v>81</v>
      </c>
      <c r="G56" t="s">
        <v>25395</v>
      </c>
      <c r="H56">
        <v>18.2</v>
      </c>
      <c r="I56">
        <v>0</v>
      </c>
      <c r="J56">
        <v>0</v>
      </c>
      <c r="K56">
        <v>20</v>
      </c>
      <c r="L56">
        <v>7</v>
      </c>
      <c r="O56">
        <v>7</v>
      </c>
      <c r="P56">
        <v>4</v>
      </c>
      <c r="Q56">
        <v>2</v>
      </c>
      <c r="R56">
        <v>51.2</v>
      </c>
      <c r="S56">
        <v>17</v>
      </c>
      <c r="T56">
        <v>17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17</v>
      </c>
      <c r="AB56">
        <v>0</v>
      </c>
      <c r="AC56">
        <v>0</v>
      </c>
      <c r="AF56" t="s">
        <v>130</v>
      </c>
      <c r="AH56">
        <v>68.2</v>
      </c>
    </row>
    <row r="57" spans="1:34" x14ac:dyDescent="0.3">
      <c r="A57" s="4">
        <v>78</v>
      </c>
      <c r="B57" s="5">
        <v>50</v>
      </c>
      <c r="C57">
        <v>13503</v>
      </c>
      <c r="D57" t="s">
        <v>25396</v>
      </c>
      <c r="E57" t="s">
        <v>3705</v>
      </c>
      <c r="F57" t="s">
        <v>17</v>
      </c>
      <c r="G57" t="s">
        <v>25397</v>
      </c>
      <c r="H57">
        <v>20.9</v>
      </c>
      <c r="I57">
        <v>0</v>
      </c>
      <c r="J57">
        <v>0</v>
      </c>
      <c r="K57">
        <v>20</v>
      </c>
      <c r="L57">
        <v>7</v>
      </c>
      <c r="M57">
        <v>5</v>
      </c>
      <c r="O57">
        <v>12</v>
      </c>
      <c r="P57">
        <v>4</v>
      </c>
      <c r="Q57">
        <v>2</v>
      </c>
      <c r="R57">
        <v>58.9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9</v>
      </c>
      <c r="AC57">
        <v>0</v>
      </c>
      <c r="AF57" t="s">
        <v>130</v>
      </c>
      <c r="AH57">
        <v>67.900000000000006</v>
      </c>
    </row>
    <row r="58" spans="1:34" x14ac:dyDescent="0.3">
      <c r="A58" s="4">
        <v>81</v>
      </c>
      <c r="B58" s="5">
        <v>51</v>
      </c>
      <c r="C58">
        <v>11352</v>
      </c>
      <c r="D58" t="s">
        <v>25398</v>
      </c>
      <c r="E58" t="s">
        <v>25399</v>
      </c>
      <c r="F58" t="s">
        <v>117</v>
      </c>
      <c r="G58" t="s">
        <v>25400</v>
      </c>
      <c r="H58">
        <v>17.079999999999998</v>
      </c>
      <c r="I58">
        <v>0</v>
      </c>
      <c r="J58">
        <v>0</v>
      </c>
      <c r="K58">
        <v>20</v>
      </c>
      <c r="M58">
        <v>5</v>
      </c>
      <c r="O58">
        <v>5</v>
      </c>
      <c r="P58">
        <v>4</v>
      </c>
      <c r="Q58">
        <v>2</v>
      </c>
      <c r="R58">
        <v>48.08</v>
      </c>
      <c r="S58">
        <v>18</v>
      </c>
      <c r="T58">
        <v>18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18</v>
      </c>
      <c r="AB58">
        <v>0</v>
      </c>
      <c r="AC58">
        <v>0</v>
      </c>
      <c r="AF58" t="s">
        <v>130</v>
      </c>
      <c r="AH58">
        <v>66.08</v>
      </c>
    </row>
    <row r="59" spans="1:34" x14ac:dyDescent="0.3">
      <c r="A59" s="4">
        <v>82</v>
      </c>
      <c r="B59" s="5">
        <v>52</v>
      </c>
      <c r="C59">
        <v>12827</v>
      </c>
      <c r="D59" t="s">
        <v>25401</v>
      </c>
      <c r="E59" t="s">
        <v>143</v>
      </c>
      <c r="F59" t="s">
        <v>1526</v>
      </c>
      <c r="G59" t="s">
        <v>25402</v>
      </c>
      <c r="H59">
        <v>18.68</v>
      </c>
      <c r="I59">
        <v>0</v>
      </c>
      <c r="J59">
        <v>0</v>
      </c>
      <c r="K59">
        <v>20</v>
      </c>
      <c r="N59">
        <v>3</v>
      </c>
      <c r="O59">
        <v>3</v>
      </c>
      <c r="P59">
        <v>4</v>
      </c>
      <c r="Q59">
        <v>2</v>
      </c>
      <c r="R59">
        <v>47.68</v>
      </c>
      <c r="S59">
        <v>18</v>
      </c>
      <c r="T59">
        <v>18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18</v>
      </c>
      <c r="AB59">
        <v>0</v>
      </c>
      <c r="AC59">
        <v>0</v>
      </c>
      <c r="AD59" t="s">
        <v>130</v>
      </c>
      <c r="AF59" t="s">
        <v>130</v>
      </c>
      <c r="AH59">
        <v>65.680000000000007</v>
      </c>
    </row>
    <row r="60" spans="1:34" x14ac:dyDescent="0.3">
      <c r="A60" s="4">
        <v>83</v>
      </c>
      <c r="B60" s="5">
        <v>53</v>
      </c>
      <c r="C60">
        <v>4128</v>
      </c>
      <c r="D60" t="s">
        <v>25403</v>
      </c>
      <c r="E60" t="s">
        <v>81</v>
      </c>
      <c r="F60" t="s">
        <v>117</v>
      </c>
      <c r="G60" t="s">
        <v>25404</v>
      </c>
      <c r="H60">
        <v>17.45</v>
      </c>
      <c r="I60">
        <v>0</v>
      </c>
      <c r="J60">
        <v>0</v>
      </c>
      <c r="K60">
        <v>20</v>
      </c>
      <c r="N60">
        <v>3</v>
      </c>
      <c r="O60">
        <v>3</v>
      </c>
      <c r="P60">
        <v>4</v>
      </c>
      <c r="Q60">
        <v>2</v>
      </c>
      <c r="R60">
        <v>46.45</v>
      </c>
      <c r="S60">
        <v>18</v>
      </c>
      <c r="T60">
        <v>18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18</v>
      </c>
      <c r="AB60">
        <v>0</v>
      </c>
      <c r="AC60">
        <v>0</v>
      </c>
      <c r="AF60" t="s">
        <v>130</v>
      </c>
      <c r="AH60">
        <v>64.45</v>
      </c>
    </row>
    <row r="61" spans="1:34" x14ac:dyDescent="0.3">
      <c r="A61" s="4">
        <v>84</v>
      </c>
      <c r="B61" s="5">
        <v>54</v>
      </c>
      <c r="C61">
        <v>13051</v>
      </c>
      <c r="D61" t="s">
        <v>3956</v>
      </c>
      <c r="E61" t="s">
        <v>213</v>
      </c>
      <c r="F61" t="s">
        <v>13155</v>
      </c>
      <c r="G61" t="s">
        <v>25405</v>
      </c>
      <c r="H61">
        <v>21.25</v>
      </c>
      <c r="I61">
        <v>0</v>
      </c>
      <c r="J61">
        <v>0</v>
      </c>
      <c r="K61">
        <v>0</v>
      </c>
      <c r="L61">
        <v>7</v>
      </c>
      <c r="O61">
        <v>7</v>
      </c>
      <c r="P61">
        <v>4</v>
      </c>
      <c r="Q61">
        <v>0</v>
      </c>
      <c r="R61">
        <v>32.25</v>
      </c>
      <c r="S61">
        <v>32</v>
      </c>
      <c r="T61">
        <v>32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32</v>
      </c>
      <c r="AB61">
        <v>0</v>
      </c>
      <c r="AC61">
        <v>0</v>
      </c>
      <c r="AF61" t="s">
        <v>130</v>
      </c>
      <c r="AH61">
        <v>64.25</v>
      </c>
    </row>
    <row r="62" spans="1:34" x14ac:dyDescent="0.3">
      <c r="A62" s="4">
        <v>85</v>
      </c>
      <c r="B62" s="5">
        <v>55</v>
      </c>
      <c r="C62">
        <v>9649</v>
      </c>
      <c r="D62" t="s">
        <v>25406</v>
      </c>
      <c r="E62" t="s">
        <v>816</v>
      </c>
      <c r="F62" t="s">
        <v>18112</v>
      </c>
      <c r="G62" t="s">
        <v>25407</v>
      </c>
      <c r="H62">
        <v>20.53</v>
      </c>
      <c r="I62">
        <v>0</v>
      </c>
      <c r="J62">
        <v>0</v>
      </c>
      <c r="K62">
        <v>20</v>
      </c>
      <c r="N62">
        <v>3</v>
      </c>
      <c r="O62">
        <v>3</v>
      </c>
      <c r="P62">
        <v>4</v>
      </c>
      <c r="Q62">
        <v>2</v>
      </c>
      <c r="R62">
        <v>49.53</v>
      </c>
      <c r="S62">
        <v>8</v>
      </c>
      <c r="T62">
        <v>8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8</v>
      </c>
      <c r="AB62">
        <v>6</v>
      </c>
      <c r="AC62">
        <v>0</v>
      </c>
      <c r="AD62" t="s">
        <v>130</v>
      </c>
      <c r="AF62" t="s">
        <v>130</v>
      </c>
      <c r="AH62">
        <v>63.53</v>
      </c>
    </row>
    <row r="63" spans="1:34" x14ac:dyDescent="0.3">
      <c r="A63" s="4">
        <v>86</v>
      </c>
      <c r="B63" s="5">
        <v>56</v>
      </c>
      <c r="C63">
        <v>9979</v>
      </c>
      <c r="D63" t="s">
        <v>4388</v>
      </c>
      <c r="E63" t="s">
        <v>25408</v>
      </c>
      <c r="F63" t="s">
        <v>652</v>
      </c>
      <c r="G63" t="s">
        <v>32077</v>
      </c>
      <c r="H63">
        <v>17.829999999999998</v>
      </c>
      <c r="I63">
        <v>0</v>
      </c>
      <c r="J63">
        <v>0</v>
      </c>
      <c r="K63">
        <v>0</v>
      </c>
      <c r="L63">
        <v>7</v>
      </c>
      <c r="O63">
        <v>7</v>
      </c>
      <c r="P63">
        <v>4</v>
      </c>
      <c r="Q63">
        <v>2</v>
      </c>
      <c r="R63">
        <v>30.83</v>
      </c>
      <c r="S63">
        <v>32</v>
      </c>
      <c r="T63">
        <v>32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32</v>
      </c>
      <c r="AB63">
        <v>0</v>
      </c>
      <c r="AC63">
        <v>0</v>
      </c>
      <c r="AF63" t="s">
        <v>130</v>
      </c>
      <c r="AH63">
        <v>62.83</v>
      </c>
    </row>
    <row r="64" spans="1:34" x14ac:dyDescent="0.3">
      <c r="A64" s="4">
        <v>87</v>
      </c>
      <c r="B64" s="5">
        <v>57</v>
      </c>
      <c r="C64">
        <v>10273</v>
      </c>
      <c r="D64" t="s">
        <v>506</v>
      </c>
      <c r="E64" t="s">
        <v>3184</v>
      </c>
      <c r="F64" t="s">
        <v>158</v>
      </c>
      <c r="G64" t="s">
        <v>25409</v>
      </c>
      <c r="H64">
        <v>17.8</v>
      </c>
      <c r="I64">
        <v>0</v>
      </c>
      <c r="J64">
        <v>0</v>
      </c>
      <c r="K64">
        <v>20</v>
      </c>
      <c r="N64">
        <v>3</v>
      </c>
      <c r="O64">
        <v>3</v>
      </c>
      <c r="P64">
        <v>4</v>
      </c>
      <c r="Q64">
        <v>0</v>
      </c>
      <c r="R64">
        <v>44.8</v>
      </c>
      <c r="S64">
        <v>18</v>
      </c>
      <c r="T64">
        <v>18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18</v>
      </c>
      <c r="AB64">
        <v>0</v>
      </c>
      <c r="AC64">
        <v>0</v>
      </c>
      <c r="AD64" t="s">
        <v>130</v>
      </c>
      <c r="AF64" t="s">
        <v>130</v>
      </c>
      <c r="AH64">
        <v>62.8</v>
      </c>
    </row>
    <row r="65" spans="1:34" x14ac:dyDescent="0.3">
      <c r="A65" s="4">
        <v>89</v>
      </c>
      <c r="B65" s="5">
        <v>58</v>
      </c>
      <c r="C65">
        <v>12896</v>
      </c>
      <c r="D65" t="s">
        <v>4658</v>
      </c>
      <c r="E65" t="s">
        <v>54</v>
      </c>
      <c r="F65" t="s">
        <v>55</v>
      </c>
      <c r="G65" t="s">
        <v>4659</v>
      </c>
      <c r="H65">
        <v>18.3</v>
      </c>
      <c r="I65">
        <v>0</v>
      </c>
      <c r="J65">
        <v>0</v>
      </c>
      <c r="K65">
        <v>0</v>
      </c>
      <c r="N65">
        <v>3</v>
      </c>
      <c r="O65">
        <v>3</v>
      </c>
      <c r="P65">
        <v>4</v>
      </c>
      <c r="Q65">
        <v>0</v>
      </c>
      <c r="R65">
        <v>25.3</v>
      </c>
      <c r="S65">
        <v>31</v>
      </c>
      <c r="T65">
        <v>31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31</v>
      </c>
      <c r="AB65">
        <v>6</v>
      </c>
      <c r="AC65">
        <v>0</v>
      </c>
      <c r="AF65" t="s">
        <v>130</v>
      </c>
      <c r="AH65">
        <v>62.3</v>
      </c>
    </row>
    <row r="66" spans="1:34" x14ac:dyDescent="0.3">
      <c r="A66" s="4">
        <v>90</v>
      </c>
      <c r="B66" s="5">
        <v>59</v>
      </c>
      <c r="C66">
        <v>11827</v>
      </c>
      <c r="D66" t="s">
        <v>25410</v>
      </c>
      <c r="E66" t="s">
        <v>100</v>
      </c>
      <c r="F66" t="s">
        <v>343</v>
      </c>
      <c r="G66" t="s">
        <v>25411</v>
      </c>
      <c r="H66">
        <v>18.88</v>
      </c>
      <c r="I66">
        <v>0</v>
      </c>
      <c r="J66">
        <v>0</v>
      </c>
      <c r="K66">
        <v>20</v>
      </c>
      <c r="L66">
        <v>7</v>
      </c>
      <c r="N66">
        <v>3</v>
      </c>
      <c r="O66">
        <v>10</v>
      </c>
      <c r="P66">
        <v>4</v>
      </c>
      <c r="Q66">
        <v>2</v>
      </c>
      <c r="R66">
        <v>54.88</v>
      </c>
      <c r="S66">
        <v>7</v>
      </c>
      <c r="T66">
        <v>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7</v>
      </c>
      <c r="AB66">
        <v>0</v>
      </c>
      <c r="AC66">
        <v>0</v>
      </c>
      <c r="AF66" t="s">
        <v>130</v>
      </c>
      <c r="AH66">
        <v>61.88</v>
      </c>
    </row>
    <row r="67" spans="1:34" x14ac:dyDescent="0.3">
      <c r="A67" s="4">
        <v>91</v>
      </c>
      <c r="B67" s="5">
        <v>60</v>
      </c>
      <c r="C67">
        <v>279</v>
      </c>
      <c r="D67" t="s">
        <v>25412</v>
      </c>
      <c r="E67" t="s">
        <v>41</v>
      </c>
      <c r="F67" t="s">
        <v>243</v>
      </c>
      <c r="G67" t="s">
        <v>25413</v>
      </c>
      <c r="H67">
        <v>16.829999999999998</v>
      </c>
      <c r="I67">
        <v>0</v>
      </c>
      <c r="J67">
        <v>0</v>
      </c>
      <c r="K67">
        <v>20</v>
      </c>
      <c r="N67">
        <v>3</v>
      </c>
      <c r="O67">
        <v>3</v>
      </c>
      <c r="P67">
        <v>4</v>
      </c>
      <c r="Q67">
        <v>2</v>
      </c>
      <c r="R67">
        <v>45.83</v>
      </c>
      <c r="S67">
        <v>16</v>
      </c>
      <c r="T67">
        <v>16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16</v>
      </c>
      <c r="AB67">
        <v>0</v>
      </c>
      <c r="AC67">
        <v>0</v>
      </c>
      <c r="AF67" t="s">
        <v>130</v>
      </c>
      <c r="AH67">
        <v>61.83</v>
      </c>
    </row>
    <row r="68" spans="1:34" x14ac:dyDescent="0.3">
      <c r="A68" s="4">
        <v>92</v>
      </c>
      <c r="B68" s="5">
        <v>61</v>
      </c>
      <c r="C68">
        <v>11040</v>
      </c>
      <c r="D68" t="s">
        <v>17186</v>
      </c>
      <c r="E68" t="s">
        <v>29</v>
      </c>
      <c r="F68" t="s">
        <v>30</v>
      </c>
      <c r="G68" t="s">
        <v>25414</v>
      </c>
      <c r="H68">
        <v>19.5</v>
      </c>
      <c r="I68">
        <v>0</v>
      </c>
      <c r="J68">
        <v>0</v>
      </c>
      <c r="K68">
        <v>20</v>
      </c>
      <c r="M68">
        <v>5</v>
      </c>
      <c r="O68">
        <v>5</v>
      </c>
      <c r="P68">
        <v>4</v>
      </c>
      <c r="Q68">
        <v>2</v>
      </c>
      <c r="R68">
        <v>50.5</v>
      </c>
      <c r="S68">
        <v>8</v>
      </c>
      <c r="T68">
        <v>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8</v>
      </c>
      <c r="AB68">
        <v>3</v>
      </c>
      <c r="AC68">
        <v>0</v>
      </c>
      <c r="AD68" t="s">
        <v>130</v>
      </c>
      <c r="AF68" t="s">
        <v>130</v>
      </c>
      <c r="AH68">
        <v>61.5</v>
      </c>
    </row>
    <row r="69" spans="1:34" x14ac:dyDescent="0.3">
      <c r="A69" s="4">
        <v>93</v>
      </c>
      <c r="B69" s="5">
        <v>62</v>
      </c>
      <c r="C69">
        <v>4673</v>
      </c>
      <c r="D69" t="s">
        <v>3000</v>
      </c>
      <c r="E69" t="s">
        <v>307</v>
      </c>
      <c r="F69" t="s">
        <v>38</v>
      </c>
      <c r="G69" t="s">
        <v>25415</v>
      </c>
      <c r="H69">
        <v>17.03</v>
      </c>
      <c r="I69">
        <v>0</v>
      </c>
      <c r="J69">
        <v>0</v>
      </c>
      <c r="K69">
        <v>20</v>
      </c>
      <c r="L69">
        <v>7</v>
      </c>
      <c r="N69">
        <v>3</v>
      </c>
      <c r="O69">
        <v>10</v>
      </c>
      <c r="P69">
        <v>4</v>
      </c>
      <c r="Q69">
        <v>2</v>
      </c>
      <c r="R69">
        <v>53.03</v>
      </c>
      <c r="S69">
        <v>8</v>
      </c>
      <c r="T69">
        <v>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8</v>
      </c>
      <c r="AB69">
        <v>0</v>
      </c>
      <c r="AC69">
        <v>0</v>
      </c>
      <c r="AF69" t="s">
        <v>130</v>
      </c>
      <c r="AH69">
        <v>61.03</v>
      </c>
    </row>
    <row r="70" spans="1:34" x14ac:dyDescent="0.3">
      <c r="A70" s="4">
        <v>94</v>
      </c>
      <c r="B70" s="5">
        <v>63</v>
      </c>
      <c r="C70">
        <v>5708</v>
      </c>
      <c r="D70" t="s">
        <v>25416</v>
      </c>
      <c r="E70" t="s">
        <v>88</v>
      </c>
      <c r="F70" t="s">
        <v>20</v>
      </c>
      <c r="G70" t="s">
        <v>25417</v>
      </c>
      <c r="H70">
        <v>16.98</v>
      </c>
      <c r="I70">
        <v>0</v>
      </c>
      <c r="J70">
        <v>0</v>
      </c>
      <c r="K70">
        <v>20</v>
      </c>
      <c r="L70">
        <v>7</v>
      </c>
      <c r="O70">
        <v>7</v>
      </c>
      <c r="P70">
        <v>4</v>
      </c>
      <c r="Q70">
        <v>2</v>
      </c>
      <c r="R70">
        <v>49.98</v>
      </c>
      <c r="S70">
        <v>8</v>
      </c>
      <c r="T70">
        <v>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8</v>
      </c>
      <c r="AB70">
        <v>3</v>
      </c>
      <c r="AC70">
        <v>0</v>
      </c>
      <c r="AF70" t="s">
        <v>130</v>
      </c>
      <c r="AH70">
        <v>60.98</v>
      </c>
    </row>
    <row r="71" spans="1:34" x14ac:dyDescent="0.3">
      <c r="A71" s="4">
        <v>95</v>
      </c>
      <c r="B71" s="5">
        <v>64</v>
      </c>
      <c r="C71">
        <v>2390</v>
      </c>
      <c r="D71" t="s">
        <v>5985</v>
      </c>
      <c r="E71" t="s">
        <v>51</v>
      </c>
      <c r="F71" t="s">
        <v>38</v>
      </c>
      <c r="G71" t="s">
        <v>25418</v>
      </c>
      <c r="H71">
        <v>23.65</v>
      </c>
      <c r="I71">
        <v>7</v>
      </c>
      <c r="J71">
        <v>0</v>
      </c>
      <c r="K71">
        <v>0</v>
      </c>
      <c r="N71">
        <v>3</v>
      </c>
      <c r="O71">
        <v>3</v>
      </c>
      <c r="P71">
        <v>4</v>
      </c>
      <c r="Q71">
        <v>2</v>
      </c>
      <c r="R71">
        <v>39.65</v>
      </c>
      <c r="S71">
        <v>18</v>
      </c>
      <c r="T71">
        <v>18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18</v>
      </c>
      <c r="AB71">
        <v>3</v>
      </c>
      <c r="AC71">
        <v>0</v>
      </c>
      <c r="AF71" t="s">
        <v>130</v>
      </c>
      <c r="AH71">
        <v>60.65</v>
      </c>
    </row>
    <row r="72" spans="1:34" x14ac:dyDescent="0.3">
      <c r="A72" s="4">
        <v>96</v>
      </c>
      <c r="B72" s="5">
        <v>65</v>
      </c>
      <c r="C72">
        <v>9509</v>
      </c>
      <c r="D72" t="s">
        <v>93</v>
      </c>
      <c r="E72" t="s">
        <v>575</v>
      </c>
      <c r="F72" t="s">
        <v>68</v>
      </c>
      <c r="G72" t="s">
        <v>25419</v>
      </c>
      <c r="H72">
        <v>15.55</v>
      </c>
      <c r="I72">
        <v>7</v>
      </c>
      <c r="J72">
        <v>0</v>
      </c>
      <c r="K72">
        <v>20</v>
      </c>
      <c r="N72">
        <v>3</v>
      </c>
      <c r="O72">
        <v>3</v>
      </c>
      <c r="P72">
        <v>4</v>
      </c>
      <c r="Q72">
        <v>2</v>
      </c>
      <c r="R72">
        <v>51.55</v>
      </c>
      <c r="S72">
        <v>9</v>
      </c>
      <c r="T72">
        <v>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9</v>
      </c>
      <c r="AB72">
        <v>0</v>
      </c>
      <c r="AC72">
        <v>0</v>
      </c>
      <c r="AD72" t="s">
        <v>130</v>
      </c>
      <c r="AF72" t="s">
        <v>130</v>
      </c>
      <c r="AH72">
        <v>60.55</v>
      </c>
    </row>
    <row r="73" spans="1:34" x14ac:dyDescent="0.3">
      <c r="A73" s="4">
        <v>97</v>
      </c>
      <c r="B73" s="5">
        <v>66</v>
      </c>
      <c r="C73">
        <v>5249</v>
      </c>
      <c r="D73" t="s">
        <v>25420</v>
      </c>
      <c r="E73" t="s">
        <v>143</v>
      </c>
      <c r="F73" t="s">
        <v>17</v>
      </c>
      <c r="G73" t="s">
        <v>25421</v>
      </c>
      <c r="H73">
        <v>20.25</v>
      </c>
      <c r="I73">
        <v>0</v>
      </c>
      <c r="J73">
        <v>0</v>
      </c>
      <c r="K73">
        <v>20</v>
      </c>
      <c r="M73">
        <v>5</v>
      </c>
      <c r="O73">
        <v>5</v>
      </c>
      <c r="P73">
        <v>4</v>
      </c>
      <c r="Q73">
        <v>2</v>
      </c>
      <c r="R73">
        <v>51.25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</v>
      </c>
      <c r="AC73">
        <v>0</v>
      </c>
      <c r="AF73" t="s">
        <v>130</v>
      </c>
      <c r="AH73">
        <v>60.25</v>
      </c>
    </row>
    <row r="74" spans="1:34" x14ac:dyDescent="0.3">
      <c r="A74" s="4">
        <v>98</v>
      </c>
      <c r="B74" s="5">
        <v>67</v>
      </c>
      <c r="C74">
        <v>4155</v>
      </c>
      <c r="D74" t="s">
        <v>2008</v>
      </c>
      <c r="E74" t="s">
        <v>2088</v>
      </c>
      <c r="F74" t="s">
        <v>38</v>
      </c>
      <c r="G74" t="s">
        <v>25422</v>
      </c>
      <c r="H74">
        <v>16.25</v>
      </c>
      <c r="I74">
        <v>0</v>
      </c>
      <c r="J74">
        <v>0</v>
      </c>
      <c r="K74">
        <v>28</v>
      </c>
      <c r="N74">
        <v>3</v>
      </c>
      <c r="O74">
        <v>3</v>
      </c>
      <c r="P74">
        <v>4</v>
      </c>
      <c r="Q74">
        <v>0</v>
      </c>
      <c r="R74">
        <v>51.25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9</v>
      </c>
      <c r="AC74">
        <v>0</v>
      </c>
      <c r="AF74" t="s">
        <v>130</v>
      </c>
      <c r="AH74">
        <v>60.25</v>
      </c>
    </row>
    <row r="75" spans="1:34" x14ac:dyDescent="0.3">
      <c r="A75" s="4">
        <v>99</v>
      </c>
      <c r="B75" s="5">
        <v>68</v>
      </c>
      <c r="C75">
        <v>3576</v>
      </c>
      <c r="D75" t="s">
        <v>4603</v>
      </c>
      <c r="E75" t="s">
        <v>283</v>
      </c>
      <c r="F75" t="s">
        <v>81</v>
      </c>
      <c r="G75" t="s">
        <v>25423</v>
      </c>
      <c r="H75">
        <v>17</v>
      </c>
      <c r="I75">
        <v>0</v>
      </c>
      <c r="J75">
        <v>0</v>
      </c>
      <c r="K75">
        <v>0</v>
      </c>
      <c r="L75">
        <v>14</v>
      </c>
      <c r="O75">
        <v>14</v>
      </c>
      <c r="P75">
        <v>4</v>
      </c>
      <c r="Q75">
        <v>2</v>
      </c>
      <c r="R75">
        <v>37</v>
      </c>
      <c r="S75">
        <v>17</v>
      </c>
      <c r="T75">
        <v>17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17</v>
      </c>
      <c r="AB75">
        <v>6</v>
      </c>
      <c r="AC75">
        <v>0</v>
      </c>
      <c r="AD75" t="s">
        <v>130</v>
      </c>
      <c r="AF75" t="s">
        <v>130</v>
      </c>
      <c r="AH75">
        <v>60</v>
      </c>
    </row>
    <row r="76" spans="1:34" x14ac:dyDescent="0.3">
      <c r="A76" s="4">
        <v>100</v>
      </c>
      <c r="B76" s="5">
        <v>69</v>
      </c>
      <c r="C76">
        <v>4840</v>
      </c>
      <c r="D76" t="s">
        <v>12972</v>
      </c>
      <c r="E76" t="s">
        <v>471</v>
      </c>
      <c r="F76" t="s">
        <v>158</v>
      </c>
      <c r="G76" t="s">
        <v>25424</v>
      </c>
      <c r="H76">
        <v>17.23</v>
      </c>
      <c r="I76">
        <v>7</v>
      </c>
      <c r="J76">
        <v>0</v>
      </c>
      <c r="K76">
        <v>20</v>
      </c>
      <c r="N76">
        <v>3</v>
      </c>
      <c r="O76">
        <v>3</v>
      </c>
      <c r="P76">
        <v>4</v>
      </c>
      <c r="Q76">
        <v>2</v>
      </c>
      <c r="R76">
        <v>53.23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6</v>
      </c>
      <c r="AC76">
        <v>0</v>
      </c>
      <c r="AF76" t="s">
        <v>130</v>
      </c>
      <c r="AH76">
        <v>59.23</v>
      </c>
    </row>
    <row r="77" spans="1:34" x14ac:dyDescent="0.3">
      <c r="A77" s="4">
        <v>101</v>
      </c>
      <c r="B77" s="5">
        <v>70</v>
      </c>
      <c r="C77">
        <v>1329</v>
      </c>
      <c r="D77" t="s">
        <v>5874</v>
      </c>
      <c r="E77" t="s">
        <v>29</v>
      </c>
      <c r="F77" t="s">
        <v>81</v>
      </c>
      <c r="G77" t="s">
        <v>25425</v>
      </c>
      <c r="H77">
        <v>15.48</v>
      </c>
      <c r="I77">
        <v>0</v>
      </c>
      <c r="J77">
        <v>0</v>
      </c>
      <c r="K77">
        <v>20</v>
      </c>
      <c r="L77">
        <v>7</v>
      </c>
      <c r="O77">
        <v>7</v>
      </c>
      <c r="P77">
        <v>4</v>
      </c>
      <c r="Q77">
        <v>2</v>
      </c>
      <c r="R77">
        <v>48.48</v>
      </c>
      <c r="S77">
        <v>10</v>
      </c>
      <c r="T77">
        <v>10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10</v>
      </c>
      <c r="AB77">
        <v>0</v>
      </c>
      <c r="AC77">
        <v>0</v>
      </c>
      <c r="AD77" t="s">
        <v>130</v>
      </c>
      <c r="AF77" t="s">
        <v>130</v>
      </c>
      <c r="AH77">
        <v>58.48</v>
      </c>
    </row>
    <row r="78" spans="1:34" x14ac:dyDescent="0.3">
      <c r="A78" s="4">
        <v>102</v>
      </c>
      <c r="B78" s="5">
        <v>71</v>
      </c>
      <c r="C78">
        <v>6866</v>
      </c>
      <c r="D78" t="s">
        <v>3752</v>
      </c>
      <c r="E78" t="s">
        <v>182</v>
      </c>
      <c r="F78" t="s">
        <v>68</v>
      </c>
      <c r="G78" t="s">
        <v>25426</v>
      </c>
      <c r="H78">
        <v>18.100000000000001</v>
      </c>
      <c r="I78">
        <v>0</v>
      </c>
      <c r="J78">
        <v>0</v>
      </c>
      <c r="K78">
        <v>0</v>
      </c>
      <c r="L78">
        <v>7</v>
      </c>
      <c r="N78">
        <v>3</v>
      </c>
      <c r="O78">
        <v>10</v>
      </c>
      <c r="P78">
        <v>4</v>
      </c>
      <c r="Q78">
        <v>2</v>
      </c>
      <c r="R78">
        <v>34.1</v>
      </c>
      <c r="S78">
        <v>18</v>
      </c>
      <c r="T78">
        <v>18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18</v>
      </c>
      <c r="AB78">
        <v>6</v>
      </c>
      <c r="AC78">
        <v>0</v>
      </c>
      <c r="AF78" t="s">
        <v>130</v>
      </c>
      <c r="AH78">
        <v>58.1</v>
      </c>
    </row>
    <row r="79" spans="1:34" x14ac:dyDescent="0.3">
      <c r="A79" s="4">
        <v>103</v>
      </c>
      <c r="B79" s="5">
        <v>72</v>
      </c>
      <c r="C79">
        <v>9155</v>
      </c>
      <c r="D79" t="s">
        <v>198</v>
      </c>
      <c r="E79" t="s">
        <v>88</v>
      </c>
      <c r="F79" t="s">
        <v>38</v>
      </c>
      <c r="G79" t="s">
        <v>25427</v>
      </c>
      <c r="H79">
        <v>17</v>
      </c>
      <c r="I79">
        <v>0</v>
      </c>
      <c r="J79">
        <v>0</v>
      </c>
      <c r="K79">
        <v>0</v>
      </c>
      <c r="N79">
        <v>3</v>
      </c>
      <c r="O79">
        <v>3</v>
      </c>
      <c r="P79">
        <v>4</v>
      </c>
      <c r="Q79">
        <v>2</v>
      </c>
      <c r="R79">
        <v>26</v>
      </c>
      <c r="S79">
        <v>32</v>
      </c>
      <c r="T79">
        <v>32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32</v>
      </c>
      <c r="AB79">
        <v>0</v>
      </c>
      <c r="AC79">
        <v>0</v>
      </c>
      <c r="AD79" t="s">
        <v>130</v>
      </c>
      <c r="AF79" t="s">
        <v>130</v>
      </c>
      <c r="AH79">
        <v>58</v>
      </c>
    </row>
    <row r="80" spans="1:34" x14ac:dyDescent="0.3">
      <c r="A80" s="4">
        <v>104</v>
      </c>
      <c r="B80" s="5">
        <v>73</v>
      </c>
      <c r="C80">
        <v>14428</v>
      </c>
      <c r="D80" t="s">
        <v>377</v>
      </c>
      <c r="E80" t="s">
        <v>744</v>
      </c>
      <c r="F80" t="s">
        <v>190</v>
      </c>
      <c r="G80" t="s">
        <v>25428</v>
      </c>
      <c r="H80">
        <v>23.83</v>
      </c>
      <c r="I80">
        <v>0</v>
      </c>
      <c r="J80">
        <v>0</v>
      </c>
      <c r="K80">
        <v>20</v>
      </c>
      <c r="L80">
        <v>7</v>
      </c>
      <c r="O80">
        <v>7</v>
      </c>
      <c r="P80">
        <v>4</v>
      </c>
      <c r="Q80">
        <v>2</v>
      </c>
      <c r="R80">
        <v>56.83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F80" t="s">
        <v>130</v>
      </c>
      <c r="AH80">
        <v>56.83</v>
      </c>
    </row>
    <row r="81" spans="1:34" x14ac:dyDescent="0.3">
      <c r="A81" s="4">
        <v>105</v>
      </c>
      <c r="B81" s="5">
        <v>74</v>
      </c>
      <c r="C81">
        <v>3458</v>
      </c>
      <c r="D81" t="s">
        <v>1701</v>
      </c>
      <c r="E81" t="s">
        <v>29</v>
      </c>
      <c r="F81" t="s">
        <v>158</v>
      </c>
      <c r="G81" t="s">
        <v>25429</v>
      </c>
      <c r="H81">
        <v>16.25</v>
      </c>
      <c r="I81">
        <v>0</v>
      </c>
      <c r="J81">
        <v>0</v>
      </c>
      <c r="K81">
        <v>20</v>
      </c>
      <c r="L81">
        <v>7</v>
      </c>
      <c r="O81">
        <v>7</v>
      </c>
      <c r="P81">
        <v>4</v>
      </c>
      <c r="Q81">
        <v>2</v>
      </c>
      <c r="R81">
        <v>49.25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6</v>
      </c>
      <c r="AC81">
        <v>0</v>
      </c>
      <c r="AF81" t="s">
        <v>130</v>
      </c>
      <c r="AH81">
        <v>55.25</v>
      </c>
    </row>
    <row r="82" spans="1:34" x14ac:dyDescent="0.3">
      <c r="A82" s="4">
        <v>106</v>
      </c>
      <c r="B82" s="5">
        <v>75</v>
      </c>
      <c r="C82">
        <v>7674</v>
      </c>
      <c r="D82" t="s">
        <v>25430</v>
      </c>
      <c r="E82" t="s">
        <v>166</v>
      </c>
      <c r="F82" t="s">
        <v>136</v>
      </c>
      <c r="G82" t="s">
        <v>25431</v>
      </c>
      <c r="H82">
        <v>17.13</v>
      </c>
      <c r="I82">
        <v>0</v>
      </c>
      <c r="J82">
        <v>0</v>
      </c>
      <c r="K82">
        <v>20</v>
      </c>
      <c r="O82">
        <v>0</v>
      </c>
      <c r="P82">
        <v>4</v>
      </c>
      <c r="Q82">
        <v>2</v>
      </c>
      <c r="R82">
        <v>43.13</v>
      </c>
      <c r="S82">
        <v>6</v>
      </c>
      <c r="T82">
        <v>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6</v>
      </c>
      <c r="AB82">
        <v>6</v>
      </c>
      <c r="AC82">
        <v>0</v>
      </c>
      <c r="AD82" t="s">
        <v>130</v>
      </c>
      <c r="AF82" t="s">
        <v>130</v>
      </c>
      <c r="AH82">
        <v>55.13</v>
      </c>
    </row>
    <row r="83" spans="1:34" x14ac:dyDescent="0.3">
      <c r="A83" s="4">
        <v>107</v>
      </c>
      <c r="B83" s="5">
        <v>76</v>
      </c>
      <c r="C83">
        <v>5046</v>
      </c>
      <c r="D83" t="s">
        <v>18187</v>
      </c>
      <c r="E83" t="s">
        <v>1117</v>
      </c>
      <c r="F83" t="s">
        <v>30</v>
      </c>
      <c r="G83" t="s">
        <v>25432</v>
      </c>
      <c r="H83">
        <v>16.88</v>
      </c>
      <c r="I83">
        <v>0</v>
      </c>
      <c r="J83">
        <v>0</v>
      </c>
      <c r="K83">
        <v>0</v>
      </c>
      <c r="N83">
        <v>3</v>
      </c>
      <c r="O83">
        <v>3</v>
      </c>
      <c r="P83">
        <v>4</v>
      </c>
      <c r="Q83">
        <v>2</v>
      </c>
      <c r="R83">
        <v>25.88</v>
      </c>
      <c r="S83">
        <v>29</v>
      </c>
      <c r="T83">
        <v>29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29</v>
      </c>
      <c r="AB83">
        <v>0</v>
      </c>
      <c r="AC83">
        <v>0</v>
      </c>
      <c r="AF83" t="s">
        <v>130</v>
      </c>
      <c r="AH83">
        <v>54.88</v>
      </c>
    </row>
    <row r="84" spans="1:34" x14ac:dyDescent="0.3">
      <c r="A84" s="4">
        <v>108</v>
      </c>
      <c r="B84" s="5">
        <v>77</v>
      </c>
      <c r="C84">
        <v>3269</v>
      </c>
      <c r="D84" t="s">
        <v>22692</v>
      </c>
      <c r="E84" t="s">
        <v>283</v>
      </c>
      <c r="F84" t="s">
        <v>117</v>
      </c>
      <c r="G84" t="s">
        <v>25433</v>
      </c>
      <c r="H84">
        <v>19.45</v>
      </c>
      <c r="I84">
        <v>0</v>
      </c>
      <c r="J84">
        <v>0</v>
      </c>
      <c r="K84">
        <v>20</v>
      </c>
      <c r="N84">
        <v>3</v>
      </c>
      <c r="O84">
        <v>3</v>
      </c>
      <c r="P84">
        <v>4</v>
      </c>
      <c r="Q84">
        <v>2</v>
      </c>
      <c r="R84">
        <v>48.45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6</v>
      </c>
      <c r="AC84">
        <v>0</v>
      </c>
      <c r="AF84" t="s">
        <v>130</v>
      </c>
      <c r="AH84">
        <v>54.45</v>
      </c>
    </row>
    <row r="85" spans="1:34" x14ac:dyDescent="0.3">
      <c r="A85" s="4">
        <v>109</v>
      </c>
      <c r="B85" s="5">
        <v>78</v>
      </c>
      <c r="C85">
        <v>15376</v>
      </c>
      <c r="D85" t="s">
        <v>13286</v>
      </c>
      <c r="E85" t="s">
        <v>161</v>
      </c>
      <c r="F85" t="s">
        <v>20</v>
      </c>
      <c r="G85" t="s">
        <v>25434</v>
      </c>
      <c r="H85">
        <v>19.23</v>
      </c>
      <c r="I85">
        <v>0</v>
      </c>
      <c r="J85">
        <v>0</v>
      </c>
      <c r="K85">
        <v>28</v>
      </c>
      <c r="N85">
        <v>3</v>
      </c>
      <c r="O85">
        <v>3</v>
      </c>
      <c r="P85">
        <v>4</v>
      </c>
      <c r="Q85">
        <v>0</v>
      </c>
      <c r="R85">
        <v>54.23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 t="s">
        <v>130</v>
      </c>
      <c r="AF85" t="s">
        <v>130</v>
      </c>
      <c r="AH85">
        <v>54.23</v>
      </c>
    </row>
    <row r="86" spans="1:34" x14ac:dyDescent="0.3">
      <c r="A86" s="4">
        <v>110</v>
      </c>
      <c r="B86" s="5">
        <v>79</v>
      </c>
      <c r="C86">
        <v>2732</v>
      </c>
      <c r="D86" t="s">
        <v>25435</v>
      </c>
      <c r="E86" t="s">
        <v>1053</v>
      </c>
      <c r="F86" t="s">
        <v>30</v>
      </c>
      <c r="G86" t="s">
        <v>25436</v>
      </c>
      <c r="H86">
        <v>18.18</v>
      </c>
      <c r="I86">
        <v>0</v>
      </c>
      <c r="J86">
        <v>0</v>
      </c>
      <c r="K86">
        <v>0</v>
      </c>
      <c r="N86">
        <v>3</v>
      </c>
      <c r="O86">
        <v>3</v>
      </c>
      <c r="P86">
        <v>4</v>
      </c>
      <c r="Q86">
        <v>2</v>
      </c>
      <c r="R86">
        <v>27.18</v>
      </c>
      <c r="S86">
        <v>24</v>
      </c>
      <c r="T86">
        <v>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24</v>
      </c>
      <c r="AB86">
        <v>3</v>
      </c>
      <c r="AC86">
        <v>0</v>
      </c>
      <c r="AD86" t="s">
        <v>130</v>
      </c>
      <c r="AF86" t="s">
        <v>130</v>
      </c>
      <c r="AH86">
        <v>54.18</v>
      </c>
    </row>
    <row r="87" spans="1:34" x14ac:dyDescent="0.3">
      <c r="A87" s="4">
        <v>111</v>
      </c>
      <c r="B87" s="5">
        <v>80</v>
      </c>
      <c r="C87">
        <v>2874</v>
      </c>
      <c r="D87" t="s">
        <v>25437</v>
      </c>
      <c r="E87" t="s">
        <v>52</v>
      </c>
      <c r="F87" t="s">
        <v>68</v>
      </c>
      <c r="G87" t="s">
        <v>25438</v>
      </c>
      <c r="H87">
        <v>21.53</v>
      </c>
      <c r="I87">
        <v>7</v>
      </c>
      <c r="J87">
        <v>0</v>
      </c>
      <c r="K87">
        <v>0</v>
      </c>
      <c r="O87">
        <v>0</v>
      </c>
      <c r="P87">
        <v>4</v>
      </c>
      <c r="Q87">
        <v>2</v>
      </c>
      <c r="R87">
        <v>34.53</v>
      </c>
      <c r="S87">
        <v>16</v>
      </c>
      <c r="T87">
        <v>16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16</v>
      </c>
      <c r="AB87">
        <v>3</v>
      </c>
      <c r="AC87">
        <v>0</v>
      </c>
      <c r="AF87" t="s">
        <v>130</v>
      </c>
      <c r="AH87">
        <v>53.53</v>
      </c>
    </row>
    <row r="88" spans="1:34" x14ac:dyDescent="0.3">
      <c r="A88" s="4">
        <v>112</v>
      </c>
      <c r="B88" s="5">
        <v>81</v>
      </c>
      <c r="C88">
        <v>10621</v>
      </c>
      <c r="D88" t="s">
        <v>7480</v>
      </c>
      <c r="E88" t="s">
        <v>550</v>
      </c>
      <c r="F88" t="s">
        <v>385</v>
      </c>
      <c r="G88" t="s">
        <v>25439</v>
      </c>
      <c r="H88">
        <v>16.5</v>
      </c>
      <c r="I88">
        <v>0</v>
      </c>
      <c r="J88">
        <v>0</v>
      </c>
      <c r="K88">
        <v>0</v>
      </c>
      <c r="L88">
        <v>7</v>
      </c>
      <c r="O88">
        <v>7</v>
      </c>
      <c r="P88">
        <v>4</v>
      </c>
      <c r="Q88">
        <v>2</v>
      </c>
      <c r="R88">
        <v>29.5</v>
      </c>
      <c r="S88">
        <v>18</v>
      </c>
      <c r="T88">
        <v>18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18</v>
      </c>
      <c r="AB88">
        <v>6</v>
      </c>
      <c r="AC88">
        <v>0</v>
      </c>
      <c r="AF88" t="s">
        <v>130</v>
      </c>
      <c r="AH88">
        <v>53.5</v>
      </c>
    </row>
    <row r="89" spans="1:34" x14ac:dyDescent="0.3">
      <c r="A89" s="4">
        <v>113</v>
      </c>
      <c r="B89" s="5">
        <v>82</v>
      </c>
      <c r="C89">
        <v>1295</v>
      </c>
      <c r="D89" t="s">
        <v>22195</v>
      </c>
      <c r="E89" t="s">
        <v>81</v>
      </c>
      <c r="F89" t="s">
        <v>158</v>
      </c>
      <c r="G89" t="s">
        <v>25440</v>
      </c>
      <c r="H89">
        <v>17.38</v>
      </c>
      <c r="I89">
        <v>7</v>
      </c>
      <c r="J89">
        <v>0</v>
      </c>
      <c r="K89">
        <v>20</v>
      </c>
      <c r="N89">
        <v>3</v>
      </c>
      <c r="O89">
        <v>3</v>
      </c>
      <c r="P89">
        <v>4</v>
      </c>
      <c r="Q89">
        <v>2</v>
      </c>
      <c r="R89">
        <v>53.38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F89" t="s">
        <v>130</v>
      </c>
      <c r="AH89">
        <v>53.38</v>
      </c>
    </row>
    <row r="90" spans="1:34" x14ac:dyDescent="0.3">
      <c r="A90" s="4">
        <v>114</v>
      </c>
      <c r="B90" s="5">
        <v>83</v>
      </c>
      <c r="C90">
        <v>8736</v>
      </c>
      <c r="D90" t="s">
        <v>25441</v>
      </c>
      <c r="E90" t="s">
        <v>41</v>
      </c>
      <c r="F90" t="s">
        <v>230</v>
      </c>
      <c r="G90" t="s">
        <v>25442</v>
      </c>
      <c r="H90">
        <v>19.18</v>
      </c>
      <c r="I90">
        <v>0</v>
      </c>
      <c r="J90">
        <v>0</v>
      </c>
      <c r="K90">
        <v>0</v>
      </c>
      <c r="N90">
        <v>3</v>
      </c>
      <c r="O90">
        <v>3</v>
      </c>
      <c r="P90">
        <v>4</v>
      </c>
      <c r="Q90">
        <v>2</v>
      </c>
      <c r="R90">
        <v>28.18</v>
      </c>
      <c r="S90">
        <v>22</v>
      </c>
      <c r="T90">
        <v>22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22</v>
      </c>
      <c r="AB90">
        <v>3</v>
      </c>
      <c r="AC90">
        <v>0</v>
      </c>
      <c r="AF90" t="s">
        <v>130</v>
      </c>
      <c r="AH90">
        <v>53.18</v>
      </c>
    </row>
    <row r="91" spans="1:34" x14ac:dyDescent="0.3">
      <c r="A91" s="4">
        <v>116</v>
      </c>
      <c r="B91" s="5">
        <v>84</v>
      </c>
      <c r="C91">
        <v>910</v>
      </c>
      <c r="D91" t="s">
        <v>25443</v>
      </c>
      <c r="E91" t="s">
        <v>20</v>
      </c>
      <c r="F91" t="s">
        <v>124</v>
      </c>
      <c r="G91" t="s">
        <v>25444</v>
      </c>
      <c r="H91">
        <v>18.75</v>
      </c>
      <c r="I91">
        <v>0</v>
      </c>
      <c r="J91">
        <v>0</v>
      </c>
      <c r="K91">
        <v>20</v>
      </c>
      <c r="L91">
        <v>7</v>
      </c>
      <c r="O91">
        <v>7</v>
      </c>
      <c r="P91">
        <v>4</v>
      </c>
      <c r="Q91">
        <v>0</v>
      </c>
      <c r="R91">
        <v>49.75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3</v>
      </c>
      <c r="AC91">
        <v>0</v>
      </c>
      <c r="AF91" t="s">
        <v>130</v>
      </c>
      <c r="AH91">
        <v>52.75</v>
      </c>
    </row>
    <row r="92" spans="1:34" x14ac:dyDescent="0.3">
      <c r="A92" s="4">
        <v>117</v>
      </c>
      <c r="B92" s="5">
        <v>85</v>
      </c>
      <c r="C92">
        <v>7708</v>
      </c>
      <c r="D92" t="s">
        <v>25445</v>
      </c>
      <c r="E92" t="s">
        <v>550</v>
      </c>
      <c r="F92" t="s">
        <v>158</v>
      </c>
      <c r="G92" t="s">
        <v>25446</v>
      </c>
      <c r="H92">
        <v>19.649999999999999</v>
      </c>
      <c r="I92">
        <v>0</v>
      </c>
      <c r="J92">
        <v>0</v>
      </c>
      <c r="K92">
        <v>20</v>
      </c>
      <c r="L92">
        <v>7</v>
      </c>
      <c r="O92">
        <v>7</v>
      </c>
      <c r="P92">
        <v>4</v>
      </c>
      <c r="Q92">
        <v>2</v>
      </c>
      <c r="R92">
        <v>52.65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F92" t="s">
        <v>130</v>
      </c>
      <c r="AH92">
        <v>52.65</v>
      </c>
    </row>
    <row r="93" spans="1:34" x14ac:dyDescent="0.3">
      <c r="A93" s="4">
        <v>118</v>
      </c>
      <c r="B93" s="5">
        <v>86</v>
      </c>
      <c r="C93">
        <v>1530</v>
      </c>
      <c r="D93" t="s">
        <v>6423</v>
      </c>
      <c r="E93" t="s">
        <v>29</v>
      </c>
      <c r="F93" t="s">
        <v>38</v>
      </c>
      <c r="G93" t="s">
        <v>25447</v>
      </c>
      <c r="H93">
        <v>16.48</v>
      </c>
      <c r="I93">
        <v>0</v>
      </c>
      <c r="J93">
        <v>0</v>
      </c>
      <c r="K93">
        <v>0</v>
      </c>
      <c r="L93">
        <v>7</v>
      </c>
      <c r="O93">
        <v>7</v>
      </c>
      <c r="P93">
        <v>4</v>
      </c>
      <c r="Q93">
        <v>2</v>
      </c>
      <c r="R93">
        <v>29.48</v>
      </c>
      <c r="S93">
        <v>23</v>
      </c>
      <c r="T93">
        <v>23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23</v>
      </c>
      <c r="AB93">
        <v>0</v>
      </c>
      <c r="AC93">
        <v>0</v>
      </c>
      <c r="AF93" t="s">
        <v>130</v>
      </c>
      <c r="AH93">
        <v>52.48</v>
      </c>
    </row>
    <row r="94" spans="1:34" x14ac:dyDescent="0.3">
      <c r="A94" s="4">
        <v>119</v>
      </c>
      <c r="B94" s="5">
        <v>87</v>
      </c>
      <c r="C94">
        <v>5303</v>
      </c>
      <c r="D94" t="s">
        <v>8554</v>
      </c>
      <c r="E94" t="s">
        <v>29</v>
      </c>
      <c r="F94" t="s">
        <v>343</v>
      </c>
      <c r="G94" t="s">
        <v>25448</v>
      </c>
      <c r="H94">
        <v>21.23</v>
      </c>
      <c r="I94">
        <v>0</v>
      </c>
      <c r="J94">
        <v>0</v>
      </c>
      <c r="K94">
        <v>20</v>
      </c>
      <c r="M94">
        <v>5</v>
      </c>
      <c r="O94">
        <v>5</v>
      </c>
      <c r="P94">
        <v>4</v>
      </c>
      <c r="Q94">
        <v>2</v>
      </c>
      <c r="R94">
        <v>52.23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F94" t="s">
        <v>130</v>
      </c>
      <c r="AH94">
        <v>52.23</v>
      </c>
    </row>
    <row r="95" spans="1:34" x14ac:dyDescent="0.3">
      <c r="A95" s="4">
        <v>121</v>
      </c>
      <c r="B95" s="5">
        <v>88</v>
      </c>
      <c r="C95">
        <v>5785</v>
      </c>
      <c r="D95" t="s">
        <v>25449</v>
      </c>
      <c r="E95" t="s">
        <v>25450</v>
      </c>
      <c r="F95" t="s">
        <v>343</v>
      </c>
      <c r="G95" t="s">
        <v>25451</v>
      </c>
      <c r="H95">
        <v>19.93</v>
      </c>
      <c r="I95">
        <v>0</v>
      </c>
      <c r="J95">
        <v>0</v>
      </c>
      <c r="K95">
        <v>20</v>
      </c>
      <c r="N95">
        <v>3</v>
      </c>
      <c r="O95">
        <v>3</v>
      </c>
      <c r="P95">
        <v>4</v>
      </c>
      <c r="Q95">
        <v>2</v>
      </c>
      <c r="R95">
        <v>48.93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</v>
      </c>
      <c r="AC95">
        <v>0</v>
      </c>
      <c r="AF95" t="s">
        <v>130</v>
      </c>
      <c r="AH95">
        <v>51.93</v>
      </c>
    </row>
    <row r="96" spans="1:34" x14ac:dyDescent="0.3">
      <c r="A96" s="4">
        <v>122</v>
      </c>
      <c r="B96" s="5">
        <v>89</v>
      </c>
      <c r="C96">
        <v>7477</v>
      </c>
      <c r="D96" t="s">
        <v>2416</v>
      </c>
      <c r="E96" t="s">
        <v>178</v>
      </c>
      <c r="F96" t="s">
        <v>136</v>
      </c>
      <c r="G96" t="s">
        <v>25452</v>
      </c>
      <c r="H96">
        <v>18.75</v>
      </c>
      <c r="I96">
        <v>0</v>
      </c>
      <c r="J96">
        <v>0</v>
      </c>
      <c r="K96">
        <v>0</v>
      </c>
      <c r="N96">
        <v>3</v>
      </c>
      <c r="O96">
        <v>3</v>
      </c>
      <c r="P96">
        <v>4</v>
      </c>
      <c r="Q96">
        <v>2</v>
      </c>
      <c r="R96">
        <v>27.75</v>
      </c>
      <c r="S96">
        <v>24</v>
      </c>
      <c r="T96">
        <v>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24</v>
      </c>
      <c r="AB96">
        <v>0</v>
      </c>
      <c r="AC96">
        <v>0</v>
      </c>
      <c r="AF96" t="s">
        <v>130</v>
      </c>
      <c r="AH96">
        <v>51.75</v>
      </c>
    </row>
    <row r="97" spans="1:34" x14ac:dyDescent="0.3">
      <c r="A97" s="4">
        <v>123</v>
      </c>
      <c r="B97" s="5">
        <v>90</v>
      </c>
      <c r="C97">
        <v>6676</v>
      </c>
      <c r="D97" t="s">
        <v>5613</v>
      </c>
      <c r="E97" t="s">
        <v>188</v>
      </c>
      <c r="F97" t="s">
        <v>17</v>
      </c>
      <c r="G97" t="s">
        <v>25453</v>
      </c>
      <c r="H97">
        <v>18.579999999999998</v>
      </c>
      <c r="I97">
        <v>0</v>
      </c>
      <c r="J97">
        <v>0</v>
      </c>
      <c r="K97">
        <v>0</v>
      </c>
      <c r="L97">
        <v>7</v>
      </c>
      <c r="O97">
        <v>7</v>
      </c>
      <c r="P97">
        <v>4</v>
      </c>
      <c r="Q97">
        <v>2</v>
      </c>
      <c r="R97">
        <v>31.58</v>
      </c>
      <c r="S97">
        <v>17</v>
      </c>
      <c r="T97">
        <v>17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17</v>
      </c>
      <c r="AB97">
        <v>3</v>
      </c>
      <c r="AC97">
        <v>0</v>
      </c>
      <c r="AD97" t="s">
        <v>130</v>
      </c>
      <c r="AF97" t="s">
        <v>130</v>
      </c>
      <c r="AH97">
        <v>51.58</v>
      </c>
    </row>
    <row r="98" spans="1:34" x14ac:dyDescent="0.3">
      <c r="A98" s="4">
        <v>124</v>
      </c>
      <c r="B98" s="5">
        <v>91</v>
      </c>
      <c r="C98">
        <v>15103</v>
      </c>
      <c r="D98" t="s">
        <v>25454</v>
      </c>
      <c r="E98" t="s">
        <v>20</v>
      </c>
      <c r="F98" t="s">
        <v>38</v>
      </c>
      <c r="G98" t="s">
        <v>25455</v>
      </c>
      <c r="H98">
        <v>15.2</v>
      </c>
      <c r="I98">
        <v>0</v>
      </c>
      <c r="J98">
        <v>0</v>
      </c>
      <c r="K98">
        <v>20</v>
      </c>
      <c r="L98">
        <v>7</v>
      </c>
      <c r="N98">
        <v>3</v>
      </c>
      <c r="O98">
        <v>10</v>
      </c>
      <c r="P98">
        <v>4</v>
      </c>
      <c r="Q98">
        <v>2</v>
      </c>
      <c r="R98">
        <v>51.2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F98" t="s">
        <v>130</v>
      </c>
      <c r="AH98">
        <v>51.2</v>
      </c>
    </row>
    <row r="99" spans="1:34" x14ac:dyDescent="0.3">
      <c r="A99" s="4">
        <v>125</v>
      </c>
      <c r="B99" s="5">
        <v>92</v>
      </c>
      <c r="C99">
        <v>11846</v>
      </c>
      <c r="D99" t="s">
        <v>25456</v>
      </c>
      <c r="E99" t="s">
        <v>3778</v>
      </c>
      <c r="F99" t="s">
        <v>81</v>
      </c>
      <c r="G99" t="s">
        <v>25457</v>
      </c>
      <c r="H99">
        <v>18.75</v>
      </c>
      <c r="I99">
        <v>0</v>
      </c>
      <c r="J99">
        <v>0</v>
      </c>
      <c r="K99">
        <v>20</v>
      </c>
      <c r="M99">
        <v>5</v>
      </c>
      <c r="O99">
        <v>5</v>
      </c>
      <c r="P99">
        <v>4</v>
      </c>
      <c r="Q99">
        <v>0</v>
      </c>
      <c r="R99">
        <v>47.75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3</v>
      </c>
      <c r="AC99">
        <v>0</v>
      </c>
      <c r="AF99" t="s">
        <v>130</v>
      </c>
      <c r="AH99">
        <v>50.75</v>
      </c>
    </row>
    <row r="100" spans="1:34" x14ac:dyDescent="0.3">
      <c r="A100" s="4">
        <v>128</v>
      </c>
      <c r="B100" s="5">
        <v>93</v>
      </c>
      <c r="C100">
        <v>7170</v>
      </c>
      <c r="D100" t="s">
        <v>25458</v>
      </c>
      <c r="E100" t="s">
        <v>115</v>
      </c>
      <c r="F100" t="s">
        <v>190</v>
      </c>
      <c r="G100" t="s">
        <v>25459</v>
      </c>
      <c r="H100">
        <v>16.98</v>
      </c>
      <c r="I100">
        <v>0</v>
      </c>
      <c r="J100">
        <v>0</v>
      </c>
      <c r="K100">
        <v>0</v>
      </c>
      <c r="N100">
        <v>3</v>
      </c>
      <c r="O100">
        <v>3</v>
      </c>
      <c r="P100">
        <v>4</v>
      </c>
      <c r="Q100">
        <v>0</v>
      </c>
      <c r="R100">
        <v>23.98</v>
      </c>
      <c r="S100">
        <v>23</v>
      </c>
      <c r="T100">
        <v>23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23</v>
      </c>
      <c r="AB100">
        <v>3</v>
      </c>
      <c r="AC100">
        <v>0</v>
      </c>
      <c r="AF100" t="s">
        <v>130</v>
      </c>
      <c r="AH100">
        <v>49.98</v>
      </c>
    </row>
    <row r="101" spans="1:34" x14ac:dyDescent="0.3">
      <c r="A101" s="4">
        <v>129</v>
      </c>
      <c r="B101" s="5">
        <v>94</v>
      </c>
      <c r="C101">
        <v>5586</v>
      </c>
      <c r="D101" t="s">
        <v>6874</v>
      </c>
      <c r="E101" t="s">
        <v>219</v>
      </c>
      <c r="F101" t="s">
        <v>539</v>
      </c>
      <c r="G101" t="s">
        <v>25460</v>
      </c>
      <c r="H101">
        <v>18.93</v>
      </c>
      <c r="I101">
        <v>0</v>
      </c>
      <c r="J101">
        <v>0</v>
      </c>
      <c r="K101">
        <v>20</v>
      </c>
      <c r="L101">
        <v>7</v>
      </c>
      <c r="O101">
        <v>7</v>
      </c>
      <c r="P101">
        <v>4</v>
      </c>
      <c r="Q101">
        <v>0</v>
      </c>
      <c r="R101">
        <v>49.93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F101" t="s">
        <v>130</v>
      </c>
      <c r="AH101">
        <v>49.93</v>
      </c>
    </row>
    <row r="102" spans="1:34" x14ac:dyDescent="0.3">
      <c r="A102" s="4">
        <v>130</v>
      </c>
      <c r="B102" s="5">
        <v>95</v>
      </c>
      <c r="C102">
        <v>2670</v>
      </c>
      <c r="D102" t="s">
        <v>5008</v>
      </c>
      <c r="E102" t="s">
        <v>178</v>
      </c>
      <c r="F102" t="s">
        <v>14</v>
      </c>
      <c r="G102" t="s">
        <v>25461</v>
      </c>
      <c r="H102">
        <v>17.75</v>
      </c>
      <c r="I102">
        <v>0</v>
      </c>
      <c r="J102">
        <v>0</v>
      </c>
      <c r="K102">
        <v>0</v>
      </c>
      <c r="L102">
        <v>7</v>
      </c>
      <c r="O102">
        <v>7</v>
      </c>
      <c r="P102">
        <v>4</v>
      </c>
      <c r="Q102">
        <v>2</v>
      </c>
      <c r="R102">
        <v>30.75</v>
      </c>
      <c r="S102">
        <v>19</v>
      </c>
      <c r="T102">
        <v>19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19</v>
      </c>
      <c r="AB102">
        <v>0</v>
      </c>
      <c r="AC102">
        <v>0</v>
      </c>
      <c r="AF102" t="s">
        <v>130</v>
      </c>
      <c r="AH102">
        <v>49.75</v>
      </c>
    </row>
    <row r="103" spans="1:34" x14ac:dyDescent="0.3">
      <c r="A103" s="4">
        <v>131</v>
      </c>
      <c r="B103" s="5">
        <v>96</v>
      </c>
      <c r="C103">
        <v>6185</v>
      </c>
      <c r="D103" t="s">
        <v>25462</v>
      </c>
      <c r="E103" t="s">
        <v>29</v>
      </c>
      <c r="F103" t="s">
        <v>117</v>
      </c>
      <c r="G103" t="s">
        <v>25463</v>
      </c>
      <c r="H103">
        <v>17.43</v>
      </c>
      <c r="I103">
        <v>0</v>
      </c>
      <c r="J103">
        <v>0</v>
      </c>
      <c r="K103">
        <v>20</v>
      </c>
      <c r="N103">
        <v>6</v>
      </c>
      <c r="O103">
        <v>6</v>
      </c>
      <c r="P103">
        <v>4</v>
      </c>
      <c r="Q103">
        <v>2</v>
      </c>
      <c r="R103">
        <v>49.43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F103" t="s">
        <v>130</v>
      </c>
      <c r="AH103">
        <v>49.43</v>
      </c>
    </row>
    <row r="104" spans="1:34" x14ac:dyDescent="0.3">
      <c r="A104" s="4">
        <v>132</v>
      </c>
      <c r="B104" s="5">
        <v>97</v>
      </c>
      <c r="C104">
        <v>6390</v>
      </c>
      <c r="D104" t="s">
        <v>25464</v>
      </c>
      <c r="E104" t="s">
        <v>25465</v>
      </c>
      <c r="F104" t="s">
        <v>91</v>
      </c>
      <c r="G104" t="s">
        <v>25466</v>
      </c>
      <c r="H104">
        <v>19.05</v>
      </c>
      <c r="I104">
        <v>0</v>
      </c>
      <c r="J104">
        <v>0</v>
      </c>
      <c r="K104">
        <v>0</v>
      </c>
      <c r="L104">
        <v>7</v>
      </c>
      <c r="O104">
        <v>7</v>
      </c>
      <c r="P104">
        <v>4</v>
      </c>
      <c r="Q104">
        <v>2</v>
      </c>
      <c r="R104">
        <v>32.049999999999997</v>
      </c>
      <c r="S104">
        <v>17</v>
      </c>
      <c r="T104">
        <v>17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17</v>
      </c>
      <c r="AB104">
        <v>0</v>
      </c>
      <c r="AC104">
        <v>0</v>
      </c>
      <c r="AF104" t="s">
        <v>130</v>
      </c>
      <c r="AH104">
        <v>49.05</v>
      </c>
    </row>
    <row r="105" spans="1:34" x14ac:dyDescent="0.3">
      <c r="A105" s="4">
        <v>133</v>
      </c>
      <c r="B105" s="5">
        <v>98</v>
      </c>
      <c r="C105">
        <v>5198</v>
      </c>
      <c r="D105" t="s">
        <v>25467</v>
      </c>
      <c r="E105" t="s">
        <v>1659</v>
      </c>
      <c r="F105" t="s">
        <v>238</v>
      </c>
      <c r="G105" t="s">
        <v>25468</v>
      </c>
      <c r="H105">
        <v>16.75</v>
      </c>
      <c r="I105">
        <v>0</v>
      </c>
      <c r="J105">
        <v>0</v>
      </c>
      <c r="K105">
        <v>0</v>
      </c>
      <c r="O105">
        <v>0</v>
      </c>
      <c r="P105">
        <v>4</v>
      </c>
      <c r="Q105">
        <v>0</v>
      </c>
      <c r="R105">
        <v>20.75</v>
      </c>
      <c r="S105">
        <v>25</v>
      </c>
      <c r="T105">
        <v>25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25</v>
      </c>
      <c r="AB105">
        <v>3</v>
      </c>
      <c r="AC105">
        <v>0</v>
      </c>
      <c r="AF105" t="s">
        <v>130</v>
      </c>
      <c r="AH105">
        <v>48.75</v>
      </c>
    </row>
    <row r="106" spans="1:34" x14ac:dyDescent="0.3">
      <c r="A106" s="4">
        <v>134</v>
      </c>
      <c r="B106" s="5">
        <v>99</v>
      </c>
      <c r="C106">
        <v>13945</v>
      </c>
      <c r="D106" t="s">
        <v>6215</v>
      </c>
      <c r="E106" t="s">
        <v>188</v>
      </c>
      <c r="F106" t="s">
        <v>243</v>
      </c>
      <c r="G106" t="s">
        <v>25469</v>
      </c>
      <c r="H106">
        <v>16.649999999999999</v>
      </c>
      <c r="I106">
        <v>0</v>
      </c>
      <c r="J106">
        <v>0</v>
      </c>
      <c r="K106">
        <v>0</v>
      </c>
      <c r="N106">
        <v>3</v>
      </c>
      <c r="O106">
        <v>3</v>
      </c>
      <c r="P106">
        <v>4</v>
      </c>
      <c r="Q106">
        <v>2</v>
      </c>
      <c r="R106">
        <v>25.65</v>
      </c>
      <c r="S106">
        <v>17</v>
      </c>
      <c r="T106">
        <v>17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17</v>
      </c>
      <c r="AB106">
        <v>6</v>
      </c>
      <c r="AC106">
        <v>0</v>
      </c>
      <c r="AE106" t="s">
        <v>130</v>
      </c>
      <c r="AF106" t="s">
        <v>130</v>
      </c>
      <c r="AH106">
        <v>48.65</v>
      </c>
    </row>
    <row r="107" spans="1:34" x14ac:dyDescent="0.3">
      <c r="A107" s="4">
        <v>135</v>
      </c>
      <c r="B107" s="5">
        <v>100</v>
      </c>
      <c r="C107">
        <v>8722</v>
      </c>
      <c r="D107" t="s">
        <v>25470</v>
      </c>
      <c r="E107" t="s">
        <v>479</v>
      </c>
      <c r="F107" t="s">
        <v>14</v>
      </c>
      <c r="G107" t="s">
        <v>25471</v>
      </c>
      <c r="H107">
        <v>18.350000000000001</v>
      </c>
      <c r="I107">
        <v>0</v>
      </c>
      <c r="J107">
        <v>0</v>
      </c>
      <c r="K107">
        <v>0</v>
      </c>
      <c r="N107">
        <v>3</v>
      </c>
      <c r="O107">
        <v>3</v>
      </c>
      <c r="P107">
        <v>4</v>
      </c>
      <c r="Q107">
        <v>0</v>
      </c>
      <c r="R107">
        <v>25.35</v>
      </c>
      <c r="S107">
        <v>23</v>
      </c>
      <c r="T107">
        <v>23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23</v>
      </c>
      <c r="AB107">
        <v>0</v>
      </c>
      <c r="AC107">
        <v>0</v>
      </c>
      <c r="AF107" t="s">
        <v>130</v>
      </c>
      <c r="AH107">
        <v>48.35</v>
      </c>
    </row>
    <row r="108" spans="1:34" x14ac:dyDescent="0.3">
      <c r="A108" s="4">
        <v>136</v>
      </c>
      <c r="B108" s="5">
        <v>101</v>
      </c>
      <c r="C108">
        <v>181</v>
      </c>
      <c r="D108" t="s">
        <v>25472</v>
      </c>
      <c r="E108" t="s">
        <v>2237</v>
      </c>
      <c r="F108" t="s">
        <v>38</v>
      </c>
      <c r="G108" t="s">
        <v>25473</v>
      </c>
      <c r="H108">
        <v>15.05</v>
      </c>
      <c r="I108">
        <v>0</v>
      </c>
      <c r="J108">
        <v>0</v>
      </c>
      <c r="K108">
        <v>0</v>
      </c>
      <c r="O108">
        <v>0</v>
      </c>
      <c r="P108">
        <v>0</v>
      </c>
      <c r="Q108">
        <v>2</v>
      </c>
      <c r="R108">
        <v>17.05</v>
      </c>
      <c r="S108">
        <v>25</v>
      </c>
      <c r="T108">
        <v>25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25</v>
      </c>
      <c r="AB108">
        <v>6</v>
      </c>
      <c r="AC108">
        <v>0</v>
      </c>
      <c r="AF108" t="s">
        <v>130</v>
      </c>
      <c r="AH108">
        <v>48.05</v>
      </c>
    </row>
    <row r="109" spans="1:34" x14ac:dyDescent="0.3">
      <c r="A109" s="4">
        <v>137</v>
      </c>
      <c r="B109" s="5">
        <v>102</v>
      </c>
      <c r="C109">
        <v>2459</v>
      </c>
      <c r="D109" t="s">
        <v>25474</v>
      </c>
      <c r="E109" t="s">
        <v>243</v>
      </c>
      <c r="F109" t="s">
        <v>17</v>
      </c>
      <c r="G109" t="s">
        <v>25475</v>
      </c>
      <c r="H109">
        <v>18.05</v>
      </c>
      <c r="I109">
        <v>0</v>
      </c>
      <c r="J109">
        <v>0</v>
      </c>
      <c r="K109">
        <v>20</v>
      </c>
      <c r="N109">
        <v>3</v>
      </c>
      <c r="O109">
        <v>3</v>
      </c>
      <c r="P109">
        <v>4</v>
      </c>
      <c r="Q109">
        <v>0</v>
      </c>
      <c r="R109">
        <v>45.05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3</v>
      </c>
      <c r="AC109">
        <v>0</v>
      </c>
      <c r="AF109" t="s">
        <v>130</v>
      </c>
      <c r="AH109">
        <v>48.05</v>
      </c>
    </row>
    <row r="110" spans="1:34" x14ac:dyDescent="0.3">
      <c r="A110" s="4">
        <v>138</v>
      </c>
      <c r="B110" s="5">
        <v>103</v>
      </c>
      <c r="C110">
        <v>13812</v>
      </c>
      <c r="D110" t="s">
        <v>25476</v>
      </c>
      <c r="E110" t="s">
        <v>132</v>
      </c>
      <c r="F110" t="s">
        <v>68</v>
      </c>
      <c r="G110" t="s">
        <v>25477</v>
      </c>
      <c r="H110">
        <v>17</v>
      </c>
      <c r="I110">
        <v>0</v>
      </c>
      <c r="J110">
        <v>0</v>
      </c>
      <c r="K110">
        <v>0</v>
      </c>
      <c r="M110">
        <v>5</v>
      </c>
      <c r="O110">
        <v>5</v>
      </c>
      <c r="P110">
        <v>4</v>
      </c>
      <c r="Q110">
        <v>2</v>
      </c>
      <c r="R110">
        <v>28</v>
      </c>
      <c r="S110">
        <v>17</v>
      </c>
      <c r="T110">
        <v>17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17</v>
      </c>
      <c r="AB110">
        <v>3</v>
      </c>
      <c r="AC110">
        <v>0</v>
      </c>
      <c r="AF110" t="s">
        <v>130</v>
      </c>
      <c r="AH110">
        <v>48</v>
      </c>
    </row>
    <row r="111" spans="1:34" x14ac:dyDescent="0.3">
      <c r="A111" s="4">
        <v>139</v>
      </c>
      <c r="B111" s="5">
        <v>104</v>
      </c>
      <c r="C111">
        <v>12958</v>
      </c>
      <c r="D111" t="s">
        <v>25478</v>
      </c>
      <c r="E111" t="s">
        <v>190</v>
      </c>
      <c r="F111" t="s">
        <v>20</v>
      </c>
      <c r="G111" t="s">
        <v>25479</v>
      </c>
      <c r="H111">
        <v>16.88</v>
      </c>
      <c r="I111">
        <v>0</v>
      </c>
      <c r="J111">
        <v>0</v>
      </c>
      <c r="K111">
        <v>20</v>
      </c>
      <c r="L111">
        <v>7</v>
      </c>
      <c r="O111">
        <v>7</v>
      </c>
      <c r="P111">
        <v>4</v>
      </c>
      <c r="Q111">
        <v>0</v>
      </c>
      <c r="R111">
        <v>47.88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F111" t="s">
        <v>130</v>
      </c>
      <c r="AH111">
        <v>47.88</v>
      </c>
    </row>
    <row r="112" spans="1:34" x14ac:dyDescent="0.3">
      <c r="A112" s="4">
        <v>140</v>
      </c>
      <c r="B112" s="5">
        <v>105</v>
      </c>
      <c r="C112">
        <v>13860</v>
      </c>
      <c r="D112" t="s">
        <v>25480</v>
      </c>
      <c r="E112" t="s">
        <v>1084</v>
      </c>
      <c r="F112" t="s">
        <v>30</v>
      </c>
      <c r="G112" t="s">
        <v>25481</v>
      </c>
      <c r="H112">
        <v>20.399999999999999</v>
      </c>
      <c r="I112">
        <v>0</v>
      </c>
      <c r="J112">
        <v>0</v>
      </c>
      <c r="K112">
        <v>20</v>
      </c>
      <c r="N112">
        <v>3</v>
      </c>
      <c r="O112">
        <v>3</v>
      </c>
      <c r="P112">
        <v>4</v>
      </c>
      <c r="Q112">
        <v>0</v>
      </c>
      <c r="R112">
        <v>47.4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F112" t="s">
        <v>130</v>
      </c>
      <c r="AH112">
        <v>47.4</v>
      </c>
    </row>
    <row r="113" spans="1:34" x14ac:dyDescent="0.3">
      <c r="A113" s="4">
        <v>141</v>
      </c>
      <c r="B113" s="5">
        <v>106</v>
      </c>
      <c r="C113">
        <v>4685</v>
      </c>
      <c r="D113" t="s">
        <v>25482</v>
      </c>
      <c r="E113" t="s">
        <v>652</v>
      </c>
      <c r="F113" t="s">
        <v>81</v>
      </c>
      <c r="G113" t="s">
        <v>25483</v>
      </c>
      <c r="H113">
        <v>16.88</v>
      </c>
      <c r="I113">
        <v>0</v>
      </c>
      <c r="J113">
        <v>0</v>
      </c>
      <c r="K113">
        <v>0</v>
      </c>
      <c r="L113">
        <v>7</v>
      </c>
      <c r="O113">
        <v>7</v>
      </c>
      <c r="P113">
        <v>4</v>
      </c>
      <c r="Q113">
        <v>2</v>
      </c>
      <c r="R113">
        <v>29.88</v>
      </c>
      <c r="S113">
        <v>17</v>
      </c>
      <c r="T113">
        <v>17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17</v>
      </c>
      <c r="AB113">
        <v>0</v>
      </c>
      <c r="AC113">
        <v>0</v>
      </c>
      <c r="AF113" t="s">
        <v>130</v>
      </c>
      <c r="AH113">
        <v>46.88</v>
      </c>
    </row>
    <row r="114" spans="1:34" x14ac:dyDescent="0.3">
      <c r="A114" s="4">
        <v>142</v>
      </c>
      <c r="B114" s="5">
        <v>107</v>
      </c>
      <c r="C114">
        <v>11590</v>
      </c>
      <c r="D114" t="s">
        <v>8779</v>
      </c>
      <c r="E114" t="s">
        <v>5009</v>
      </c>
      <c r="F114" t="s">
        <v>158</v>
      </c>
      <c r="G114" t="s">
        <v>25484</v>
      </c>
      <c r="H114">
        <v>16.73</v>
      </c>
      <c r="I114">
        <v>0</v>
      </c>
      <c r="J114">
        <v>0</v>
      </c>
      <c r="K114">
        <v>0</v>
      </c>
      <c r="L114">
        <v>7</v>
      </c>
      <c r="O114">
        <v>7</v>
      </c>
      <c r="P114">
        <v>4</v>
      </c>
      <c r="Q114">
        <v>2</v>
      </c>
      <c r="R114">
        <v>29.73</v>
      </c>
      <c r="S114">
        <v>17</v>
      </c>
      <c r="T114">
        <v>17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17</v>
      </c>
      <c r="AB114">
        <v>0</v>
      </c>
      <c r="AC114">
        <v>0</v>
      </c>
      <c r="AF114" t="s">
        <v>130</v>
      </c>
      <c r="AH114">
        <v>46.73</v>
      </c>
    </row>
    <row r="115" spans="1:34" x14ac:dyDescent="0.3">
      <c r="A115" s="4">
        <v>143</v>
      </c>
      <c r="B115" s="5">
        <v>108</v>
      </c>
      <c r="C115">
        <v>6893</v>
      </c>
      <c r="D115" t="s">
        <v>6585</v>
      </c>
      <c r="E115" t="s">
        <v>738</v>
      </c>
      <c r="F115" t="s">
        <v>38</v>
      </c>
      <c r="G115" t="s">
        <v>25485</v>
      </c>
      <c r="H115">
        <v>16.5</v>
      </c>
      <c r="I115">
        <v>0</v>
      </c>
      <c r="J115">
        <v>0</v>
      </c>
      <c r="K115">
        <v>0</v>
      </c>
      <c r="N115">
        <v>3</v>
      </c>
      <c r="O115">
        <v>3</v>
      </c>
      <c r="P115">
        <v>4</v>
      </c>
      <c r="Q115">
        <v>2</v>
      </c>
      <c r="R115">
        <v>25.5</v>
      </c>
      <c r="S115">
        <v>18</v>
      </c>
      <c r="T115">
        <v>18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18</v>
      </c>
      <c r="AB115">
        <v>3</v>
      </c>
      <c r="AC115">
        <v>0</v>
      </c>
      <c r="AF115" t="s">
        <v>130</v>
      </c>
      <c r="AH115">
        <v>46.5</v>
      </c>
    </row>
    <row r="116" spans="1:34" x14ac:dyDescent="0.3">
      <c r="A116" s="4">
        <v>144</v>
      </c>
      <c r="B116" s="5">
        <v>109</v>
      </c>
      <c r="C116">
        <v>4235</v>
      </c>
      <c r="D116" t="s">
        <v>25486</v>
      </c>
      <c r="E116" t="s">
        <v>126</v>
      </c>
      <c r="F116" t="s">
        <v>17</v>
      </c>
      <c r="G116" t="s">
        <v>25487</v>
      </c>
      <c r="H116">
        <v>18</v>
      </c>
      <c r="I116">
        <v>0</v>
      </c>
      <c r="J116">
        <v>0</v>
      </c>
      <c r="K116">
        <v>0</v>
      </c>
      <c r="L116">
        <v>7</v>
      </c>
      <c r="N116">
        <v>3</v>
      </c>
      <c r="O116">
        <v>10</v>
      </c>
      <c r="P116">
        <v>4</v>
      </c>
      <c r="Q116">
        <v>0</v>
      </c>
      <c r="R116">
        <v>32</v>
      </c>
      <c r="S116">
        <v>8</v>
      </c>
      <c r="T116">
        <v>8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8</v>
      </c>
      <c r="AB116">
        <v>6</v>
      </c>
      <c r="AC116">
        <v>0</v>
      </c>
      <c r="AF116" t="s">
        <v>130</v>
      </c>
      <c r="AH116">
        <v>46</v>
      </c>
    </row>
    <row r="117" spans="1:34" x14ac:dyDescent="0.3">
      <c r="A117" s="4">
        <v>145</v>
      </c>
      <c r="B117" s="5">
        <v>110</v>
      </c>
      <c r="C117">
        <v>1587</v>
      </c>
      <c r="D117" t="s">
        <v>25488</v>
      </c>
      <c r="E117" t="s">
        <v>173</v>
      </c>
      <c r="F117" t="s">
        <v>193</v>
      </c>
      <c r="G117" t="s">
        <v>25489</v>
      </c>
      <c r="H117">
        <v>19.8</v>
      </c>
      <c r="I117">
        <v>7</v>
      </c>
      <c r="J117">
        <v>0</v>
      </c>
      <c r="K117">
        <v>0</v>
      </c>
      <c r="L117">
        <v>7</v>
      </c>
      <c r="O117">
        <v>7</v>
      </c>
      <c r="P117">
        <v>4</v>
      </c>
      <c r="Q117">
        <v>2</v>
      </c>
      <c r="R117">
        <v>39.799999999999997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6</v>
      </c>
      <c r="AC117">
        <v>0</v>
      </c>
      <c r="AF117" t="s">
        <v>130</v>
      </c>
      <c r="AH117">
        <v>45.8</v>
      </c>
    </row>
    <row r="118" spans="1:34" x14ac:dyDescent="0.3">
      <c r="A118" s="4">
        <v>146</v>
      </c>
      <c r="B118" s="5">
        <v>111</v>
      </c>
      <c r="C118">
        <v>12071</v>
      </c>
      <c r="D118" t="s">
        <v>25490</v>
      </c>
      <c r="E118" t="s">
        <v>22</v>
      </c>
      <c r="F118" t="s">
        <v>30</v>
      </c>
      <c r="G118" t="s">
        <v>25491</v>
      </c>
      <c r="H118">
        <v>18.78</v>
      </c>
      <c r="I118">
        <v>0</v>
      </c>
      <c r="J118">
        <v>0</v>
      </c>
      <c r="K118">
        <v>20</v>
      </c>
      <c r="N118">
        <v>3</v>
      </c>
      <c r="O118">
        <v>3</v>
      </c>
      <c r="P118">
        <v>4</v>
      </c>
      <c r="Q118">
        <v>0</v>
      </c>
      <c r="R118">
        <v>45.78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F118" t="s">
        <v>130</v>
      </c>
      <c r="AH118">
        <v>45.78</v>
      </c>
    </row>
    <row r="119" spans="1:34" x14ac:dyDescent="0.3">
      <c r="A119" s="4">
        <v>147</v>
      </c>
      <c r="B119" s="5">
        <v>112</v>
      </c>
      <c r="C119">
        <v>4825</v>
      </c>
      <c r="D119" t="s">
        <v>974</v>
      </c>
      <c r="E119" t="s">
        <v>613</v>
      </c>
      <c r="F119" t="s">
        <v>38</v>
      </c>
      <c r="G119" t="s">
        <v>25492</v>
      </c>
      <c r="H119">
        <v>16.25</v>
      </c>
      <c r="I119">
        <v>0</v>
      </c>
      <c r="J119">
        <v>0</v>
      </c>
      <c r="K119">
        <v>20</v>
      </c>
      <c r="N119">
        <v>3</v>
      </c>
      <c r="O119">
        <v>3</v>
      </c>
      <c r="P119">
        <v>4</v>
      </c>
      <c r="Q119">
        <v>2</v>
      </c>
      <c r="R119">
        <v>45.25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F119" t="s">
        <v>130</v>
      </c>
      <c r="AH119">
        <v>45.25</v>
      </c>
    </row>
    <row r="120" spans="1:34" x14ac:dyDescent="0.3">
      <c r="A120" s="4">
        <v>148</v>
      </c>
      <c r="B120" s="5">
        <v>113</v>
      </c>
      <c r="C120">
        <v>4543</v>
      </c>
      <c r="D120" t="s">
        <v>25493</v>
      </c>
      <c r="E120" t="s">
        <v>25494</v>
      </c>
      <c r="F120" t="s">
        <v>4923</v>
      </c>
      <c r="G120" t="s">
        <v>25495</v>
      </c>
      <c r="H120">
        <v>15.98</v>
      </c>
      <c r="I120">
        <v>0</v>
      </c>
      <c r="J120">
        <v>0</v>
      </c>
      <c r="K120">
        <v>20</v>
      </c>
      <c r="N120">
        <v>3</v>
      </c>
      <c r="O120">
        <v>3</v>
      </c>
      <c r="P120">
        <v>4</v>
      </c>
      <c r="Q120">
        <v>2</v>
      </c>
      <c r="R120">
        <v>44.98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 t="s">
        <v>130</v>
      </c>
      <c r="AF120" t="s">
        <v>130</v>
      </c>
      <c r="AH120">
        <v>44.98</v>
      </c>
    </row>
    <row r="121" spans="1:34" x14ac:dyDescent="0.3">
      <c r="A121" s="4">
        <v>149</v>
      </c>
      <c r="B121" s="5">
        <v>114</v>
      </c>
      <c r="C121">
        <v>10605</v>
      </c>
      <c r="D121" t="s">
        <v>4728</v>
      </c>
      <c r="E121" t="s">
        <v>1152</v>
      </c>
      <c r="F121" t="s">
        <v>81</v>
      </c>
      <c r="G121" t="s">
        <v>25496</v>
      </c>
      <c r="H121">
        <v>16.75</v>
      </c>
      <c r="I121">
        <v>0</v>
      </c>
      <c r="J121">
        <v>0</v>
      </c>
      <c r="K121">
        <v>0</v>
      </c>
      <c r="N121">
        <v>3</v>
      </c>
      <c r="O121">
        <v>3</v>
      </c>
      <c r="P121">
        <v>0</v>
      </c>
      <c r="Q121">
        <v>2</v>
      </c>
      <c r="R121">
        <v>21.75</v>
      </c>
      <c r="S121">
        <v>17</v>
      </c>
      <c r="T121">
        <v>17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17</v>
      </c>
      <c r="AB121">
        <v>6</v>
      </c>
      <c r="AC121">
        <v>0</v>
      </c>
      <c r="AF121" t="s">
        <v>130</v>
      </c>
      <c r="AH121">
        <v>44.75</v>
      </c>
    </row>
    <row r="122" spans="1:34" x14ac:dyDescent="0.3">
      <c r="A122" s="4">
        <v>150</v>
      </c>
      <c r="B122" s="5">
        <v>115</v>
      </c>
      <c r="C122">
        <v>293</v>
      </c>
      <c r="D122" t="s">
        <v>25497</v>
      </c>
      <c r="E122" t="s">
        <v>342</v>
      </c>
      <c r="F122" t="s">
        <v>243</v>
      </c>
      <c r="G122" t="s">
        <v>25498</v>
      </c>
      <c r="H122">
        <v>18.7</v>
      </c>
      <c r="I122">
        <v>0</v>
      </c>
      <c r="J122">
        <v>0</v>
      </c>
      <c r="K122">
        <v>0</v>
      </c>
      <c r="N122">
        <v>3</v>
      </c>
      <c r="O122">
        <v>3</v>
      </c>
      <c r="P122">
        <v>4</v>
      </c>
      <c r="Q122">
        <v>2</v>
      </c>
      <c r="R122">
        <v>27.7</v>
      </c>
      <c r="S122">
        <v>17</v>
      </c>
      <c r="T122">
        <v>17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17</v>
      </c>
      <c r="AB122">
        <v>0</v>
      </c>
      <c r="AC122">
        <v>0</v>
      </c>
      <c r="AF122" t="s">
        <v>130</v>
      </c>
      <c r="AH122">
        <v>44.7</v>
      </c>
    </row>
    <row r="123" spans="1:34" x14ac:dyDescent="0.3">
      <c r="A123" s="4">
        <v>151</v>
      </c>
      <c r="B123" s="5">
        <v>116</v>
      </c>
      <c r="C123">
        <v>3223</v>
      </c>
      <c r="D123" t="s">
        <v>25499</v>
      </c>
      <c r="E123" t="s">
        <v>3235</v>
      </c>
      <c r="F123" t="s">
        <v>38</v>
      </c>
      <c r="G123" t="s">
        <v>25500</v>
      </c>
      <c r="H123">
        <v>17.649999999999999</v>
      </c>
      <c r="I123">
        <v>0</v>
      </c>
      <c r="J123">
        <v>0</v>
      </c>
      <c r="K123">
        <v>0</v>
      </c>
      <c r="N123">
        <v>3</v>
      </c>
      <c r="O123">
        <v>3</v>
      </c>
      <c r="P123">
        <v>4</v>
      </c>
      <c r="Q123">
        <v>2</v>
      </c>
      <c r="R123">
        <v>26.65</v>
      </c>
      <c r="S123">
        <v>18</v>
      </c>
      <c r="T123">
        <v>18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18</v>
      </c>
      <c r="AB123">
        <v>0</v>
      </c>
      <c r="AC123">
        <v>0</v>
      </c>
      <c r="AD123" t="s">
        <v>130</v>
      </c>
      <c r="AF123" t="s">
        <v>130</v>
      </c>
      <c r="AH123">
        <v>44.65</v>
      </c>
    </row>
    <row r="124" spans="1:34" x14ac:dyDescent="0.3">
      <c r="A124" s="4">
        <v>152</v>
      </c>
      <c r="B124" s="5">
        <v>117</v>
      </c>
      <c r="C124">
        <v>679</v>
      </c>
      <c r="D124" t="s">
        <v>25501</v>
      </c>
      <c r="E124" t="s">
        <v>22</v>
      </c>
      <c r="F124" t="s">
        <v>117</v>
      </c>
      <c r="G124" t="s">
        <v>25502</v>
      </c>
      <c r="H124">
        <v>17.28</v>
      </c>
      <c r="I124">
        <v>0</v>
      </c>
      <c r="J124">
        <v>0</v>
      </c>
      <c r="K124">
        <v>0</v>
      </c>
      <c r="L124">
        <v>7</v>
      </c>
      <c r="O124">
        <v>7</v>
      </c>
      <c r="P124">
        <v>4</v>
      </c>
      <c r="Q124">
        <v>2</v>
      </c>
      <c r="R124">
        <v>30.28</v>
      </c>
      <c r="S124">
        <v>8</v>
      </c>
      <c r="T124">
        <v>8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8</v>
      </c>
      <c r="AB124">
        <v>6</v>
      </c>
      <c r="AC124">
        <v>0</v>
      </c>
      <c r="AF124" t="s">
        <v>130</v>
      </c>
      <c r="AH124">
        <v>44.28</v>
      </c>
    </row>
    <row r="125" spans="1:34" x14ac:dyDescent="0.3">
      <c r="A125" s="4">
        <v>153</v>
      </c>
      <c r="B125" s="5">
        <v>118</v>
      </c>
      <c r="C125">
        <v>1660</v>
      </c>
      <c r="D125" t="s">
        <v>1630</v>
      </c>
      <c r="E125" t="s">
        <v>219</v>
      </c>
      <c r="F125" t="s">
        <v>38</v>
      </c>
      <c r="G125" t="s">
        <v>25503</v>
      </c>
      <c r="H125">
        <v>17.28</v>
      </c>
      <c r="I125">
        <v>0</v>
      </c>
      <c r="J125">
        <v>0</v>
      </c>
      <c r="K125">
        <v>20</v>
      </c>
      <c r="N125">
        <v>3</v>
      </c>
      <c r="O125">
        <v>3</v>
      </c>
      <c r="P125">
        <v>4</v>
      </c>
      <c r="Q125">
        <v>0</v>
      </c>
      <c r="R125">
        <v>44.28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F125" t="s">
        <v>130</v>
      </c>
      <c r="AH125">
        <v>44.28</v>
      </c>
    </row>
    <row r="126" spans="1:34" x14ac:dyDescent="0.3">
      <c r="A126" s="4">
        <v>154</v>
      </c>
      <c r="B126" s="5">
        <v>119</v>
      </c>
      <c r="C126">
        <v>872</v>
      </c>
      <c r="D126" t="s">
        <v>25504</v>
      </c>
      <c r="E126" t="s">
        <v>147</v>
      </c>
      <c r="F126" t="s">
        <v>55</v>
      </c>
      <c r="G126" t="s">
        <v>25505</v>
      </c>
      <c r="H126">
        <v>18.23</v>
      </c>
      <c r="I126">
        <v>0</v>
      </c>
      <c r="J126">
        <v>0</v>
      </c>
      <c r="K126">
        <v>0</v>
      </c>
      <c r="N126">
        <v>3</v>
      </c>
      <c r="O126">
        <v>3</v>
      </c>
      <c r="P126">
        <v>4</v>
      </c>
      <c r="Q126">
        <v>2</v>
      </c>
      <c r="R126">
        <v>27.23</v>
      </c>
      <c r="S126">
        <v>17</v>
      </c>
      <c r="T126">
        <v>17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17</v>
      </c>
      <c r="AB126">
        <v>0</v>
      </c>
      <c r="AC126">
        <v>0</v>
      </c>
      <c r="AF126" t="s">
        <v>130</v>
      </c>
      <c r="AH126">
        <v>44.23</v>
      </c>
    </row>
    <row r="127" spans="1:34" x14ac:dyDescent="0.3">
      <c r="A127" s="4">
        <v>155</v>
      </c>
      <c r="B127" s="5">
        <v>120</v>
      </c>
      <c r="C127">
        <v>923</v>
      </c>
      <c r="D127" t="s">
        <v>2391</v>
      </c>
      <c r="E127" t="s">
        <v>255</v>
      </c>
      <c r="F127" t="s">
        <v>5060</v>
      </c>
      <c r="G127" t="s">
        <v>25506</v>
      </c>
      <c r="H127">
        <v>20.079999999999998</v>
      </c>
      <c r="I127">
        <v>0</v>
      </c>
      <c r="J127">
        <v>0</v>
      </c>
      <c r="K127">
        <v>0</v>
      </c>
      <c r="N127">
        <v>3</v>
      </c>
      <c r="O127">
        <v>3</v>
      </c>
      <c r="P127">
        <v>4</v>
      </c>
      <c r="Q127">
        <v>2</v>
      </c>
      <c r="R127">
        <v>29.08</v>
      </c>
      <c r="S127">
        <v>15</v>
      </c>
      <c r="T127">
        <v>15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15</v>
      </c>
      <c r="AB127">
        <v>0</v>
      </c>
      <c r="AC127">
        <v>0</v>
      </c>
      <c r="AD127" t="s">
        <v>130</v>
      </c>
      <c r="AF127" t="s">
        <v>130</v>
      </c>
      <c r="AH127">
        <v>44.08</v>
      </c>
    </row>
    <row r="128" spans="1:34" x14ac:dyDescent="0.3">
      <c r="A128" s="4">
        <v>156</v>
      </c>
      <c r="B128" s="5">
        <v>121</v>
      </c>
      <c r="C128">
        <v>2499</v>
      </c>
      <c r="D128" t="s">
        <v>2056</v>
      </c>
      <c r="E128" t="s">
        <v>219</v>
      </c>
      <c r="F128" t="s">
        <v>34</v>
      </c>
      <c r="G128" t="s">
        <v>2057</v>
      </c>
      <c r="H128">
        <v>15.83</v>
      </c>
      <c r="I128">
        <v>0</v>
      </c>
      <c r="J128">
        <v>0</v>
      </c>
      <c r="K128">
        <v>0</v>
      </c>
      <c r="L128">
        <v>7</v>
      </c>
      <c r="O128">
        <v>7</v>
      </c>
      <c r="P128">
        <v>4</v>
      </c>
      <c r="Q128">
        <v>2</v>
      </c>
      <c r="R128">
        <v>28.83</v>
      </c>
      <c r="S128">
        <v>15</v>
      </c>
      <c r="T128">
        <v>15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15</v>
      </c>
      <c r="AB128">
        <v>0</v>
      </c>
      <c r="AC128">
        <v>0</v>
      </c>
      <c r="AD128" t="s">
        <v>130</v>
      </c>
      <c r="AF128" t="s">
        <v>130</v>
      </c>
      <c r="AH128">
        <v>43.83</v>
      </c>
    </row>
    <row r="129" spans="1:34" x14ac:dyDescent="0.3">
      <c r="A129" s="4">
        <v>157</v>
      </c>
      <c r="B129" s="5">
        <v>122</v>
      </c>
      <c r="C129">
        <v>10563</v>
      </c>
      <c r="D129" t="s">
        <v>56</v>
      </c>
      <c r="E129" t="s">
        <v>57</v>
      </c>
      <c r="F129" t="s">
        <v>58</v>
      </c>
      <c r="G129" t="s">
        <v>59</v>
      </c>
      <c r="H129">
        <v>16.5</v>
      </c>
      <c r="I129">
        <v>0</v>
      </c>
      <c r="J129">
        <v>0</v>
      </c>
      <c r="K129">
        <v>0</v>
      </c>
      <c r="L129">
        <v>7</v>
      </c>
      <c r="O129">
        <v>7</v>
      </c>
      <c r="P129">
        <v>4</v>
      </c>
      <c r="Q129">
        <v>2</v>
      </c>
      <c r="R129">
        <v>29.5</v>
      </c>
      <c r="S129">
        <v>8</v>
      </c>
      <c r="T129">
        <v>8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8</v>
      </c>
      <c r="AB129">
        <v>6</v>
      </c>
      <c r="AC129">
        <v>0</v>
      </c>
      <c r="AD129" t="s">
        <v>130</v>
      </c>
      <c r="AF129" t="s">
        <v>130</v>
      </c>
      <c r="AH129">
        <v>43.5</v>
      </c>
    </row>
    <row r="130" spans="1:34" x14ac:dyDescent="0.3">
      <c r="A130" s="4">
        <v>158</v>
      </c>
      <c r="B130" s="5">
        <v>123</v>
      </c>
      <c r="C130">
        <v>11091</v>
      </c>
      <c r="D130" t="s">
        <v>7774</v>
      </c>
      <c r="E130" t="s">
        <v>41</v>
      </c>
      <c r="F130" t="s">
        <v>1265</v>
      </c>
      <c r="G130" t="s">
        <v>25507</v>
      </c>
      <c r="H130">
        <v>16.25</v>
      </c>
      <c r="I130">
        <v>0</v>
      </c>
      <c r="J130">
        <v>0</v>
      </c>
      <c r="K130">
        <v>20</v>
      </c>
      <c r="N130">
        <v>3</v>
      </c>
      <c r="O130">
        <v>3</v>
      </c>
      <c r="P130">
        <v>4</v>
      </c>
      <c r="Q130">
        <v>0</v>
      </c>
      <c r="R130">
        <v>43.25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F130" t="s">
        <v>130</v>
      </c>
      <c r="AH130">
        <v>43.25</v>
      </c>
    </row>
    <row r="131" spans="1:34" x14ac:dyDescent="0.3">
      <c r="A131" s="4">
        <v>159</v>
      </c>
      <c r="B131" s="5">
        <v>124</v>
      </c>
      <c r="C131">
        <v>4364</v>
      </c>
      <c r="D131" t="s">
        <v>17870</v>
      </c>
      <c r="E131" t="s">
        <v>147</v>
      </c>
      <c r="F131" t="s">
        <v>117</v>
      </c>
      <c r="G131" t="s">
        <v>25508</v>
      </c>
      <c r="H131">
        <v>17.2</v>
      </c>
      <c r="I131">
        <v>7</v>
      </c>
      <c r="J131">
        <v>0</v>
      </c>
      <c r="K131">
        <v>0</v>
      </c>
      <c r="L131">
        <v>7</v>
      </c>
      <c r="O131">
        <v>7</v>
      </c>
      <c r="P131">
        <v>4</v>
      </c>
      <c r="Q131">
        <v>2</v>
      </c>
      <c r="R131">
        <v>37.200000000000003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6</v>
      </c>
      <c r="AC131">
        <v>0</v>
      </c>
      <c r="AF131" t="s">
        <v>130</v>
      </c>
      <c r="AH131">
        <v>43.2</v>
      </c>
    </row>
    <row r="132" spans="1:34" x14ac:dyDescent="0.3">
      <c r="A132" s="4">
        <v>160</v>
      </c>
      <c r="B132" s="5">
        <v>125</v>
      </c>
      <c r="C132">
        <v>8367</v>
      </c>
      <c r="D132" t="s">
        <v>4955</v>
      </c>
      <c r="E132" t="s">
        <v>37</v>
      </c>
      <c r="F132" t="s">
        <v>30</v>
      </c>
      <c r="G132" t="s">
        <v>25509</v>
      </c>
      <c r="H132">
        <v>18.03</v>
      </c>
      <c r="I132">
        <v>0</v>
      </c>
      <c r="J132">
        <v>0</v>
      </c>
      <c r="K132">
        <v>0</v>
      </c>
      <c r="O132">
        <v>0</v>
      </c>
      <c r="P132">
        <v>4</v>
      </c>
      <c r="Q132">
        <v>2</v>
      </c>
      <c r="R132">
        <v>24.03</v>
      </c>
      <c r="S132">
        <v>19</v>
      </c>
      <c r="T132">
        <v>19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19</v>
      </c>
      <c r="AB132">
        <v>0</v>
      </c>
      <c r="AC132">
        <v>0</v>
      </c>
      <c r="AF132" t="s">
        <v>130</v>
      </c>
      <c r="AH132">
        <v>43.03</v>
      </c>
    </row>
    <row r="133" spans="1:34" x14ac:dyDescent="0.3">
      <c r="A133" s="4">
        <v>161</v>
      </c>
      <c r="B133" s="5">
        <v>126</v>
      </c>
      <c r="C133">
        <v>8793</v>
      </c>
      <c r="D133" t="s">
        <v>25510</v>
      </c>
      <c r="E133" t="s">
        <v>33</v>
      </c>
      <c r="F133" t="s">
        <v>30</v>
      </c>
      <c r="G133" t="s">
        <v>25511</v>
      </c>
      <c r="H133">
        <v>16.579999999999998</v>
      </c>
      <c r="I133">
        <v>0</v>
      </c>
      <c r="J133">
        <v>0</v>
      </c>
      <c r="K133">
        <v>0</v>
      </c>
      <c r="N133">
        <v>3</v>
      </c>
      <c r="O133">
        <v>3</v>
      </c>
      <c r="P133">
        <v>4</v>
      </c>
      <c r="Q133">
        <v>2</v>
      </c>
      <c r="R133">
        <v>25.58</v>
      </c>
      <c r="S133">
        <v>17</v>
      </c>
      <c r="T133">
        <v>17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17</v>
      </c>
      <c r="AB133">
        <v>0</v>
      </c>
      <c r="AC133">
        <v>0</v>
      </c>
      <c r="AF133" t="s">
        <v>130</v>
      </c>
      <c r="AH133">
        <v>42.58</v>
      </c>
    </row>
    <row r="134" spans="1:34" x14ac:dyDescent="0.3">
      <c r="A134" s="4">
        <v>162</v>
      </c>
      <c r="B134" s="5">
        <v>127</v>
      </c>
      <c r="C134">
        <v>4143</v>
      </c>
      <c r="D134" t="s">
        <v>25512</v>
      </c>
      <c r="E134" t="s">
        <v>782</v>
      </c>
      <c r="F134" t="s">
        <v>539</v>
      </c>
      <c r="G134" t="s">
        <v>25513</v>
      </c>
      <c r="H134">
        <v>16.95</v>
      </c>
      <c r="I134">
        <v>0</v>
      </c>
      <c r="J134">
        <v>0</v>
      </c>
      <c r="K134">
        <v>0</v>
      </c>
      <c r="N134">
        <v>3</v>
      </c>
      <c r="O134">
        <v>3</v>
      </c>
      <c r="P134">
        <v>4</v>
      </c>
      <c r="Q134">
        <v>0</v>
      </c>
      <c r="R134">
        <v>23.95</v>
      </c>
      <c r="S134">
        <v>15</v>
      </c>
      <c r="T134">
        <v>15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15</v>
      </c>
      <c r="AB134">
        <v>3</v>
      </c>
      <c r="AC134">
        <v>0</v>
      </c>
      <c r="AF134" t="s">
        <v>130</v>
      </c>
      <c r="AH134">
        <v>41.95</v>
      </c>
    </row>
    <row r="135" spans="1:34" x14ac:dyDescent="0.3">
      <c r="A135" s="4">
        <v>163</v>
      </c>
      <c r="B135" s="5">
        <v>128</v>
      </c>
      <c r="C135">
        <v>10975</v>
      </c>
      <c r="D135" t="s">
        <v>25514</v>
      </c>
      <c r="E135" t="s">
        <v>652</v>
      </c>
      <c r="F135" t="s">
        <v>30</v>
      </c>
      <c r="G135" t="s">
        <v>25515</v>
      </c>
      <c r="H135">
        <v>15.93</v>
      </c>
      <c r="I135">
        <v>0</v>
      </c>
      <c r="J135">
        <v>0</v>
      </c>
      <c r="K135">
        <v>20</v>
      </c>
      <c r="O135">
        <v>0</v>
      </c>
      <c r="P135">
        <v>4</v>
      </c>
      <c r="Q135">
        <v>2</v>
      </c>
      <c r="R135">
        <v>41.93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F135" t="s">
        <v>130</v>
      </c>
      <c r="AH135">
        <v>41.93</v>
      </c>
    </row>
    <row r="136" spans="1:34" x14ac:dyDescent="0.3">
      <c r="A136" s="4">
        <v>164</v>
      </c>
      <c r="B136" s="5">
        <v>129</v>
      </c>
      <c r="C136">
        <v>6330</v>
      </c>
      <c r="D136" t="s">
        <v>25516</v>
      </c>
      <c r="E136" t="s">
        <v>149</v>
      </c>
      <c r="F136" t="s">
        <v>442</v>
      </c>
      <c r="G136" t="s">
        <v>25517</v>
      </c>
      <c r="H136">
        <v>20</v>
      </c>
      <c r="I136">
        <v>0</v>
      </c>
      <c r="J136">
        <v>0</v>
      </c>
      <c r="K136">
        <v>0</v>
      </c>
      <c r="L136">
        <v>7</v>
      </c>
      <c r="O136">
        <v>7</v>
      </c>
      <c r="P136">
        <v>4</v>
      </c>
      <c r="Q136">
        <v>2</v>
      </c>
      <c r="R136">
        <v>33</v>
      </c>
      <c r="S136">
        <v>8</v>
      </c>
      <c r="T136">
        <v>8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8</v>
      </c>
      <c r="AB136">
        <v>0</v>
      </c>
      <c r="AC136">
        <v>0</v>
      </c>
      <c r="AF136" t="s">
        <v>130</v>
      </c>
      <c r="AH136">
        <v>41</v>
      </c>
    </row>
    <row r="137" spans="1:34" x14ac:dyDescent="0.3">
      <c r="A137" s="4">
        <v>165</v>
      </c>
      <c r="B137" s="5">
        <v>130</v>
      </c>
      <c r="C137">
        <v>2797</v>
      </c>
      <c r="D137" t="s">
        <v>181</v>
      </c>
      <c r="E137" t="s">
        <v>3719</v>
      </c>
      <c r="F137" t="s">
        <v>328</v>
      </c>
      <c r="G137" t="s">
        <v>25518</v>
      </c>
      <c r="H137">
        <v>19.43</v>
      </c>
      <c r="I137">
        <v>0</v>
      </c>
      <c r="J137">
        <v>0</v>
      </c>
      <c r="K137">
        <v>0</v>
      </c>
      <c r="O137">
        <v>0</v>
      </c>
      <c r="P137">
        <v>4</v>
      </c>
      <c r="Q137">
        <v>0</v>
      </c>
      <c r="R137">
        <v>23.43</v>
      </c>
      <c r="S137">
        <v>14</v>
      </c>
      <c r="T137">
        <v>14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14</v>
      </c>
      <c r="AB137">
        <v>3</v>
      </c>
      <c r="AC137">
        <v>0</v>
      </c>
      <c r="AF137" t="s">
        <v>130</v>
      </c>
      <c r="AH137">
        <v>40.43</v>
      </c>
    </row>
    <row r="138" spans="1:34" x14ac:dyDescent="0.3">
      <c r="A138" s="4">
        <v>166</v>
      </c>
      <c r="B138" s="5">
        <v>131</v>
      </c>
      <c r="C138">
        <v>13670</v>
      </c>
      <c r="D138" t="s">
        <v>25519</v>
      </c>
      <c r="E138" t="s">
        <v>120</v>
      </c>
      <c r="F138" t="s">
        <v>167</v>
      </c>
      <c r="G138" t="s">
        <v>25520</v>
      </c>
      <c r="H138">
        <v>18.850000000000001</v>
      </c>
      <c r="I138">
        <v>0</v>
      </c>
      <c r="J138">
        <v>0</v>
      </c>
      <c r="K138">
        <v>0</v>
      </c>
      <c r="L138">
        <v>7</v>
      </c>
      <c r="M138">
        <v>5</v>
      </c>
      <c r="O138">
        <v>12</v>
      </c>
      <c r="P138">
        <v>4</v>
      </c>
      <c r="Q138">
        <v>2</v>
      </c>
      <c r="R138">
        <v>36.85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3</v>
      </c>
      <c r="AC138">
        <v>0</v>
      </c>
      <c r="AF138" t="s">
        <v>130</v>
      </c>
      <c r="AH138">
        <v>39.85</v>
      </c>
    </row>
    <row r="139" spans="1:34" x14ac:dyDescent="0.3">
      <c r="A139" s="4">
        <v>167</v>
      </c>
      <c r="B139" s="5">
        <v>132</v>
      </c>
      <c r="C139">
        <v>1509</v>
      </c>
      <c r="D139" t="s">
        <v>950</v>
      </c>
      <c r="E139" t="s">
        <v>115</v>
      </c>
      <c r="F139" t="s">
        <v>17</v>
      </c>
      <c r="G139" t="s">
        <v>951</v>
      </c>
      <c r="H139">
        <v>18.43</v>
      </c>
      <c r="I139">
        <v>0</v>
      </c>
      <c r="J139">
        <v>0</v>
      </c>
      <c r="K139">
        <v>0</v>
      </c>
      <c r="L139">
        <v>7</v>
      </c>
      <c r="O139">
        <v>7</v>
      </c>
      <c r="P139">
        <v>4</v>
      </c>
      <c r="Q139">
        <v>2</v>
      </c>
      <c r="R139">
        <v>31.43</v>
      </c>
      <c r="S139">
        <v>8</v>
      </c>
      <c r="T139">
        <v>8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8</v>
      </c>
      <c r="AB139">
        <v>0</v>
      </c>
      <c r="AC139">
        <v>0</v>
      </c>
      <c r="AF139" t="s">
        <v>130</v>
      </c>
      <c r="AH139">
        <v>39.43</v>
      </c>
    </row>
    <row r="140" spans="1:34" x14ac:dyDescent="0.3">
      <c r="A140" s="4">
        <v>168</v>
      </c>
      <c r="B140" s="5">
        <v>133</v>
      </c>
      <c r="C140">
        <v>11222</v>
      </c>
      <c r="D140" t="s">
        <v>25521</v>
      </c>
      <c r="E140" t="s">
        <v>1997</v>
      </c>
      <c r="F140" t="s">
        <v>20</v>
      </c>
      <c r="G140" t="s">
        <v>25522</v>
      </c>
      <c r="H140">
        <v>18.399999999999999</v>
      </c>
      <c r="I140">
        <v>7</v>
      </c>
      <c r="J140">
        <v>0</v>
      </c>
      <c r="K140">
        <v>0</v>
      </c>
      <c r="L140">
        <v>7</v>
      </c>
      <c r="O140">
        <v>7</v>
      </c>
      <c r="P140">
        <v>4</v>
      </c>
      <c r="Q140">
        <v>2</v>
      </c>
      <c r="R140">
        <v>38.4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F140" t="s">
        <v>130</v>
      </c>
      <c r="AH140">
        <v>38.4</v>
      </c>
    </row>
    <row r="141" spans="1:34" x14ac:dyDescent="0.3">
      <c r="A141" s="4">
        <v>169</v>
      </c>
      <c r="B141" s="5">
        <v>134</v>
      </c>
      <c r="C141">
        <v>383</v>
      </c>
      <c r="D141" t="s">
        <v>6077</v>
      </c>
      <c r="E141" t="s">
        <v>166</v>
      </c>
      <c r="F141" t="s">
        <v>17</v>
      </c>
      <c r="G141" t="s">
        <v>25523</v>
      </c>
      <c r="H141">
        <v>18.079999999999998</v>
      </c>
      <c r="I141">
        <v>7</v>
      </c>
      <c r="J141">
        <v>0</v>
      </c>
      <c r="K141">
        <v>0</v>
      </c>
      <c r="L141">
        <v>7</v>
      </c>
      <c r="O141">
        <v>7</v>
      </c>
      <c r="P141">
        <v>4</v>
      </c>
      <c r="Q141">
        <v>2</v>
      </c>
      <c r="R141">
        <v>38.08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">
        <v>130</v>
      </c>
      <c r="AF141" t="s">
        <v>130</v>
      </c>
      <c r="AH141">
        <v>38.08</v>
      </c>
    </row>
    <row r="142" spans="1:34" x14ac:dyDescent="0.3">
      <c r="A142" s="4">
        <v>170</v>
      </c>
      <c r="B142" s="5">
        <v>135</v>
      </c>
      <c r="C142">
        <v>12166</v>
      </c>
      <c r="D142" t="s">
        <v>5824</v>
      </c>
      <c r="E142" t="s">
        <v>213</v>
      </c>
      <c r="F142" t="s">
        <v>2855</v>
      </c>
      <c r="G142" t="s">
        <v>25524</v>
      </c>
      <c r="H142">
        <v>16.7</v>
      </c>
      <c r="I142">
        <v>0</v>
      </c>
      <c r="J142">
        <v>0</v>
      </c>
      <c r="K142">
        <v>0</v>
      </c>
      <c r="L142">
        <v>7</v>
      </c>
      <c r="O142">
        <v>7</v>
      </c>
      <c r="P142">
        <v>4</v>
      </c>
      <c r="Q142">
        <v>2</v>
      </c>
      <c r="R142">
        <v>29.7</v>
      </c>
      <c r="S142">
        <v>8</v>
      </c>
      <c r="T142">
        <v>8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8</v>
      </c>
      <c r="AB142">
        <v>0</v>
      </c>
      <c r="AC142">
        <v>0</v>
      </c>
      <c r="AF142" t="s">
        <v>130</v>
      </c>
      <c r="AH142">
        <v>37.700000000000003</v>
      </c>
    </row>
    <row r="143" spans="1:34" x14ac:dyDescent="0.3">
      <c r="A143" s="4">
        <v>171</v>
      </c>
      <c r="B143" s="5">
        <v>136</v>
      </c>
      <c r="C143">
        <v>602</v>
      </c>
      <c r="D143" t="s">
        <v>2635</v>
      </c>
      <c r="E143" t="s">
        <v>37</v>
      </c>
      <c r="F143" t="s">
        <v>17</v>
      </c>
      <c r="G143" t="s">
        <v>25525</v>
      </c>
      <c r="H143">
        <v>17.579999999999998</v>
      </c>
      <c r="I143">
        <v>7</v>
      </c>
      <c r="J143">
        <v>0</v>
      </c>
      <c r="K143">
        <v>0</v>
      </c>
      <c r="N143">
        <v>3</v>
      </c>
      <c r="O143">
        <v>3</v>
      </c>
      <c r="P143">
        <v>4</v>
      </c>
      <c r="Q143">
        <v>0</v>
      </c>
      <c r="R143">
        <v>31.58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6</v>
      </c>
      <c r="AC143">
        <v>0</v>
      </c>
      <c r="AF143" t="s">
        <v>130</v>
      </c>
      <c r="AH143">
        <v>37.58</v>
      </c>
    </row>
    <row r="144" spans="1:34" x14ac:dyDescent="0.3">
      <c r="A144" s="4">
        <v>172</v>
      </c>
      <c r="B144" s="5">
        <v>137</v>
      </c>
      <c r="C144">
        <v>8177</v>
      </c>
      <c r="D144" t="s">
        <v>9528</v>
      </c>
      <c r="E144" t="s">
        <v>117</v>
      </c>
      <c r="F144" t="s">
        <v>158</v>
      </c>
      <c r="G144" t="s">
        <v>25526</v>
      </c>
      <c r="H144">
        <v>15.93</v>
      </c>
      <c r="I144">
        <v>0</v>
      </c>
      <c r="J144">
        <v>0</v>
      </c>
      <c r="K144">
        <v>0</v>
      </c>
      <c r="N144">
        <v>3</v>
      </c>
      <c r="O144">
        <v>3</v>
      </c>
      <c r="P144">
        <v>4</v>
      </c>
      <c r="Q144">
        <v>2</v>
      </c>
      <c r="R144">
        <v>24.93</v>
      </c>
      <c r="S144">
        <v>6</v>
      </c>
      <c r="T144">
        <v>6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6</v>
      </c>
      <c r="AB144">
        <v>6</v>
      </c>
      <c r="AC144">
        <v>0</v>
      </c>
      <c r="AF144" t="s">
        <v>130</v>
      </c>
      <c r="AH144">
        <v>36.93</v>
      </c>
    </row>
    <row r="145" spans="1:34" x14ac:dyDescent="0.3">
      <c r="A145" s="4">
        <v>173</v>
      </c>
      <c r="B145" s="5">
        <v>138</v>
      </c>
      <c r="C145">
        <v>5071</v>
      </c>
      <c r="D145" t="s">
        <v>25527</v>
      </c>
      <c r="E145" t="s">
        <v>30</v>
      </c>
      <c r="F145" t="s">
        <v>62</v>
      </c>
      <c r="G145" t="s">
        <v>25528</v>
      </c>
      <c r="H145">
        <v>18.78</v>
      </c>
      <c r="I145">
        <v>7</v>
      </c>
      <c r="J145">
        <v>0</v>
      </c>
      <c r="K145">
        <v>0</v>
      </c>
      <c r="L145">
        <v>7</v>
      </c>
      <c r="O145">
        <v>7</v>
      </c>
      <c r="P145">
        <v>4</v>
      </c>
      <c r="Q145">
        <v>0</v>
      </c>
      <c r="R145">
        <v>36.78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F145" t="s">
        <v>130</v>
      </c>
      <c r="AH145">
        <v>36.78</v>
      </c>
    </row>
    <row r="146" spans="1:34" x14ac:dyDescent="0.3">
      <c r="A146" s="4">
        <v>174</v>
      </c>
      <c r="B146" s="5">
        <v>139</v>
      </c>
      <c r="C146">
        <v>8889</v>
      </c>
      <c r="D146" t="s">
        <v>25529</v>
      </c>
      <c r="E146" t="s">
        <v>33</v>
      </c>
      <c r="F146" t="s">
        <v>20</v>
      </c>
      <c r="G146" t="s">
        <v>25530</v>
      </c>
      <c r="H146">
        <v>17.28</v>
      </c>
      <c r="I146">
        <v>7</v>
      </c>
      <c r="J146">
        <v>0</v>
      </c>
      <c r="K146">
        <v>0</v>
      </c>
      <c r="N146">
        <v>3</v>
      </c>
      <c r="O146">
        <v>3</v>
      </c>
      <c r="P146">
        <v>4</v>
      </c>
      <c r="Q146">
        <v>2</v>
      </c>
      <c r="R146">
        <v>33.28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3</v>
      </c>
      <c r="AC146">
        <v>0</v>
      </c>
      <c r="AF146" t="s">
        <v>130</v>
      </c>
      <c r="AH146">
        <v>36.28</v>
      </c>
    </row>
    <row r="147" spans="1:34" x14ac:dyDescent="0.3">
      <c r="A147" s="4">
        <v>175</v>
      </c>
      <c r="B147" s="5">
        <v>140</v>
      </c>
      <c r="C147">
        <v>7262</v>
      </c>
      <c r="D147" t="s">
        <v>25531</v>
      </c>
      <c r="E147" t="s">
        <v>25532</v>
      </c>
      <c r="F147" t="s">
        <v>124</v>
      </c>
      <c r="G147" t="s">
        <v>25533</v>
      </c>
      <c r="H147">
        <v>20.100000000000001</v>
      </c>
      <c r="I147">
        <v>0</v>
      </c>
      <c r="J147">
        <v>0</v>
      </c>
      <c r="K147">
        <v>0</v>
      </c>
      <c r="L147">
        <v>7</v>
      </c>
      <c r="N147">
        <v>3</v>
      </c>
      <c r="O147">
        <v>10</v>
      </c>
      <c r="P147">
        <v>4</v>
      </c>
      <c r="Q147">
        <v>2</v>
      </c>
      <c r="R147">
        <v>36.1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F147" t="s">
        <v>130</v>
      </c>
      <c r="AH147">
        <v>36.1</v>
      </c>
    </row>
    <row r="148" spans="1:34" x14ac:dyDescent="0.3">
      <c r="A148" s="4">
        <v>176</v>
      </c>
      <c r="B148" s="5">
        <v>141</v>
      </c>
      <c r="C148">
        <v>6106</v>
      </c>
      <c r="D148" t="s">
        <v>25534</v>
      </c>
      <c r="E148" t="s">
        <v>88</v>
      </c>
      <c r="F148" t="s">
        <v>158</v>
      </c>
      <c r="G148" t="s">
        <v>25535</v>
      </c>
      <c r="H148">
        <v>18.600000000000001</v>
      </c>
      <c r="I148">
        <v>0</v>
      </c>
      <c r="J148">
        <v>0</v>
      </c>
      <c r="K148">
        <v>0</v>
      </c>
      <c r="L148">
        <v>7</v>
      </c>
      <c r="N148">
        <v>3</v>
      </c>
      <c r="O148">
        <v>10</v>
      </c>
      <c r="P148">
        <v>4</v>
      </c>
      <c r="Q148">
        <v>0</v>
      </c>
      <c r="R148">
        <v>32.6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3</v>
      </c>
      <c r="AC148">
        <v>0</v>
      </c>
      <c r="AD148" t="s">
        <v>130</v>
      </c>
      <c r="AF148" t="s">
        <v>130</v>
      </c>
      <c r="AH148">
        <v>35.6</v>
      </c>
    </row>
    <row r="149" spans="1:34" x14ac:dyDescent="0.3">
      <c r="A149" s="4">
        <v>177</v>
      </c>
      <c r="B149" s="5">
        <v>142</v>
      </c>
      <c r="C149">
        <v>5867</v>
      </c>
      <c r="D149" t="s">
        <v>25536</v>
      </c>
      <c r="E149" t="s">
        <v>20</v>
      </c>
      <c r="F149" t="s">
        <v>17</v>
      </c>
      <c r="G149" t="s">
        <v>25537</v>
      </c>
      <c r="H149">
        <v>22.23</v>
      </c>
      <c r="I149">
        <v>7</v>
      </c>
      <c r="J149">
        <v>0</v>
      </c>
      <c r="K149">
        <v>0</v>
      </c>
      <c r="O149">
        <v>0</v>
      </c>
      <c r="P149">
        <v>4</v>
      </c>
      <c r="Q149">
        <v>2</v>
      </c>
      <c r="R149">
        <v>35.229999999999997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F149" t="s">
        <v>130</v>
      </c>
      <c r="AH149">
        <v>35.229999999999997</v>
      </c>
    </row>
    <row r="150" spans="1:34" x14ac:dyDescent="0.3">
      <c r="A150" s="4">
        <v>178</v>
      </c>
      <c r="B150" s="5">
        <v>143</v>
      </c>
      <c r="C150">
        <v>7562</v>
      </c>
      <c r="D150" t="s">
        <v>1752</v>
      </c>
      <c r="E150" t="s">
        <v>2561</v>
      </c>
      <c r="F150" t="s">
        <v>136</v>
      </c>
      <c r="G150" t="s">
        <v>25538</v>
      </c>
      <c r="H150">
        <v>20.73</v>
      </c>
      <c r="I150">
        <v>7</v>
      </c>
      <c r="J150">
        <v>0</v>
      </c>
      <c r="K150">
        <v>0</v>
      </c>
      <c r="N150">
        <v>3</v>
      </c>
      <c r="O150">
        <v>3</v>
      </c>
      <c r="P150">
        <v>4</v>
      </c>
      <c r="Q150">
        <v>0</v>
      </c>
      <c r="R150">
        <v>34.729999999999997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F150" t="s">
        <v>130</v>
      </c>
      <c r="AH150">
        <v>34.729999999999997</v>
      </c>
    </row>
    <row r="151" spans="1:34" x14ac:dyDescent="0.3">
      <c r="A151" s="4">
        <v>179</v>
      </c>
      <c r="B151" s="5">
        <v>144</v>
      </c>
      <c r="C151">
        <v>8902</v>
      </c>
      <c r="D151" t="s">
        <v>25539</v>
      </c>
      <c r="E151" t="s">
        <v>182</v>
      </c>
      <c r="F151" t="s">
        <v>158</v>
      </c>
      <c r="G151" t="s">
        <v>25540</v>
      </c>
      <c r="H151">
        <v>19.25</v>
      </c>
      <c r="I151">
        <v>0</v>
      </c>
      <c r="J151">
        <v>0</v>
      </c>
      <c r="K151">
        <v>0</v>
      </c>
      <c r="O151">
        <v>0</v>
      </c>
      <c r="P151">
        <v>4</v>
      </c>
      <c r="Q151">
        <v>0</v>
      </c>
      <c r="R151">
        <v>23.25</v>
      </c>
      <c r="S151">
        <v>8</v>
      </c>
      <c r="T151">
        <v>8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8</v>
      </c>
      <c r="AB151">
        <v>3</v>
      </c>
      <c r="AC151">
        <v>0</v>
      </c>
      <c r="AF151" t="s">
        <v>130</v>
      </c>
      <c r="AH151">
        <v>34.25</v>
      </c>
    </row>
    <row r="152" spans="1:34" x14ac:dyDescent="0.3">
      <c r="A152" s="4">
        <v>180</v>
      </c>
      <c r="B152" s="5">
        <v>145</v>
      </c>
      <c r="C152">
        <v>5929</v>
      </c>
      <c r="D152" t="s">
        <v>4291</v>
      </c>
      <c r="E152" t="s">
        <v>97</v>
      </c>
      <c r="F152" t="s">
        <v>230</v>
      </c>
      <c r="G152" t="s">
        <v>4292</v>
      </c>
      <c r="H152">
        <v>17.149999999999999</v>
      </c>
      <c r="I152">
        <v>0</v>
      </c>
      <c r="J152">
        <v>0</v>
      </c>
      <c r="K152">
        <v>0</v>
      </c>
      <c r="L152">
        <v>7</v>
      </c>
      <c r="O152">
        <v>7</v>
      </c>
      <c r="P152">
        <v>4</v>
      </c>
      <c r="Q152">
        <v>0</v>
      </c>
      <c r="R152">
        <v>28.15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6</v>
      </c>
      <c r="AC152">
        <v>0</v>
      </c>
      <c r="AF152" t="s">
        <v>130</v>
      </c>
      <c r="AH152">
        <v>34.15</v>
      </c>
    </row>
    <row r="153" spans="1:34" x14ac:dyDescent="0.3">
      <c r="A153" s="4">
        <v>181</v>
      </c>
      <c r="B153" s="5">
        <v>146</v>
      </c>
      <c r="C153">
        <v>7492</v>
      </c>
      <c r="D153" t="s">
        <v>25541</v>
      </c>
      <c r="E153" t="s">
        <v>115</v>
      </c>
      <c r="F153" t="s">
        <v>20</v>
      </c>
      <c r="G153" t="s">
        <v>25542</v>
      </c>
      <c r="H153">
        <v>17.03</v>
      </c>
      <c r="I153">
        <v>0</v>
      </c>
      <c r="J153">
        <v>0</v>
      </c>
      <c r="K153">
        <v>0</v>
      </c>
      <c r="N153">
        <v>3</v>
      </c>
      <c r="O153">
        <v>3</v>
      </c>
      <c r="P153">
        <v>4</v>
      </c>
      <c r="Q153">
        <v>2</v>
      </c>
      <c r="R153">
        <v>26.03</v>
      </c>
      <c r="S153">
        <v>8</v>
      </c>
      <c r="T153">
        <v>8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8</v>
      </c>
      <c r="AB153">
        <v>0</v>
      </c>
      <c r="AC153">
        <v>0</v>
      </c>
      <c r="AF153" t="s">
        <v>130</v>
      </c>
      <c r="AH153">
        <v>34.03</v>
      </c>
    </row>
    <row r="154" spans="1:34" x14ac:dyDescent="0.3">
      <c r="A154" s="6">
        <v>182</v>
      </c>
      <c r="B154" s="5">
        <v>147</v>
      </c>
      <c r="C154" s="1">
        <v>2668</v>
      </c>
      <c r="D154" s="1" t="s">
        <v>25543</v>
      </c>
      <c r="E154" s="1" t="s">
        <v>132</v>
      </c>
      <c r="F154" s="1" t="s">
        <v>975</v>
      </c>
      <c r="G154" s="1" t="s">
        <v>25544</v>
      </c>
      <c r="H154" s="1">
        <v>18.899999999999999</v>
      </c>
      <c r="I154" s="1">
        <v>0</v>
      </c>
      <c r="J154" s="1">
        <v>0</v>
      </c>
      <c r="K154" s="1">
        <v>0</v>
      </c>
      <c r="L154" s="1"/>
      <c r="M154" s="1">
        <v>5</v>
      </c>
      <c r="N154" s="1"/>
      <c r="O154" s="1">
        <v>5</v>
      </c>
      <c r="P154" s="1">
        <v>4</v>
      </c>
      <c r="Q154" s="1">
        <v>0</v>
      </c>
      <c r="R154" s="1">
        <v>27.9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6</v>
      </c>
      <c r="AC154" s="1">
        <v>0</v>
      </c>
      <c r="AD154" s="1" t="s">
        <v>130</v>
      </c>
      <c r="AE154" s="1"/>
      <c r="AF154" s="1" t="s">
        <v>130</v>
      </c>
      <c r="AG154" s="1"/>
      <c r="AH154" s="1">
        <v>33.9</v>
      </c>
    </row>
    <row r="155" spans="1:34" x14ac:dyDescent="0.3">
      <c r="A155" s="4">
        <v>183</v>
      </c>
      <c r="B155" s="5">
        <v>148</v>
      </c>
      <c r="C155">
        <v>4846</v>
      </c>
      <c r="D155" t="s">
        <v>22508</v>
      </c>
      <c r="E155" t="s">
        <v>1474</v>
      </c>
      <c r="F155" t="s">
        <v>62</v>
      </c>
      <c r="G155" t="s">
        <v>25545</v>
      </c>
      <c r="H155">
        <v>19.5</v>
      </c>
      <c r="I155">
        <v>0</v>
      </c>
      <c r="J155">
        <v>0</v>
      </c>
      <c r="K155">
        <v>0</v>
      </c>
      <c r="L155">
        <v>7</v>
      </c>
      <c r="O155">
        <v>7</v>
      </c>
      <c r="P155">
        <v>4</v>
      </c>
      <c r="Q155">
        <v>2</v>
      </c>
      <c r="R155">
        <v>32.5</v>
      </c>
      <c r="S155">
        <v>1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1</v>
      </c>
      <c r="AB155">
        <v>0</v>
      </c>
      <c r="AC155">
        <v>0</v>
      </c>
      <c r="AF155" t="s">
        <v>130</v>
      </c>
      <c r="AH155">
        <v>33.5</v>
      </c>
    </row>
    <row r="156" spans="1:34" x14ac:dyDescent="0.3">
      <c r="A156" s="4">
        <v>184</v>
      </c>
      <c r="B156" s="5">
        <v>149</v>
      </c>
      <c r="C156">
        <v>13356</v>
      </c>
      <c r="D156" t="s">
        <v>25546</v>
      </c>
      <c r="E156" t="s">
        <v>54</v>
      </c>
      <c r="F156" t="s">
        <v>343</v>
      </c>
      <c r="G156" t="s">
        <v>25547</v>
      </c>
      <c r="H156">
        <v>17.13</v>
      </c>
      <c r="I156">
        <v>7</v>
      </c>
      <c r="J156">
        <v>0</v>
      </c>
      <c r="K156">
        <v>0</v>
      </c>
      <c r="N156">
        <v>3</v>
      </c>
      <c r="O156">
        <v>3</v>
      </c>
      <c r="P156">
        <v>4</v>
      </c>
      <c r="Q156">
        <v>2</v>
      </c>
      <c r="R156">
        <v>33.130000000000003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F156" t="s">
        <v>130</v>
      </c>
      <c r="AH156">
        <v>33.130000000000003</v>
      </c>
    </row>
    <row r="157" spans="1:34" x14ac:dyDescent="0.3">
      <c r="A157" s="4">
        <v>185</v>
      </c>
      <c r="B157" s="5">
        <v>150</v>
      </c>
      <c r="C157">
        <v>13573</v>
      </c>
      <c r="D157" t="s">
        <v>25548</v>
      </c>
      <c r="E157" t="s">
        <v>33</v>
      </c>
      <c r="F157" t="s">
        <v>136</v>
      </c>
      <c r="G157" t="s">
        <v>25549</v>
      </c>
      <c r="H157">
        <v>18</v>
      </c>
      <c r="I157">
        <v>0</v>
      </c>
      <c r="J157">
        <v>0</v>
      </c>
      <c r="K157">
        <v>0</v>
      </c>
      <c r="O157">
        <v>0</v>
      </c>
      <c r="P157">
        <v>4</v>
      </c>
      <c r="Q157">
        <v>2</v>
      </c>
      <c r="R157">
        <v>24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9</v>
      </c>
      <c r="AC157">
        <v>0</v>
      </c>
      <c r="AF157" t="s">
        <v>130</v>
      </c>
      <c r="AH157">
        <v>33</v>
      </c>
    </row>
    <row r="158" spans="1:34" x14ac:dyDescent="0.3">
      <c r="A158" s="4">
        <v>186</v>
      </c>
      <c r="B158" s="5">
        <v>151</v>
      </c>
      <c r="C158">
        <v>2397</v>
      </c>
      <c r="D158" t="s">
        <v>25550</v>
      </c>
      <c r="E158" t="s">
        <v>171</v>
      </c>
      <c r="F158" t="s">
        <v>652</v>
      </c>
      <c r="G158" t="s">
        <v>25551</v>
      </c>
      <c r="H158">
        <v>20.399999999999999</v>
      </c>
      <c r="I158">
        <v>7</v>
      </c>
      <c r="J158">
        <v>0</v>
      </c>
      <c r="K158">
        <v>0</v>
      </c>
      <c r="N158">
        <v>3</v>
      </c>
      <c r="O158">
        <v>3</v>
      </c>
      <c r="P158">
        <v>0</v>
      </c>
      <c r="Q158">
        <v>2</v>
      </c>
      <c r="R158">
        <v>32.4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F158" t="s">
        <v>130</v>
      </c>
      <c r="AH158">
        <v>32.4</v>
      </c>
    </row>
    <row r="159" spans="1:34" x14ac:dyDescent="0.3">
      <c r="A159" s="4">
        <v>187</v>
      </c>
      <c r="B159" s="5">
        <v>152</v>
      </c>
      <c r="C159">
        <v>15234</v>
      </c>
      <c r="D159" t="s">
        <v>4131</v>
      </c>
      <c r="E159" t="s">
        <v>29</v>
      </c>
      <c r="F159" t="s">
        <v>117</v>
      </c>
      <c r="G159" t="s">
        <v>4132</v>
      </c>
      <c r="H159">
        <v>16.28</v>
      </c>
      <c r="I159">
        <v>0</v>
      </c>
      <c r="J159">
        <v>0</v>
      </c>
      <c r="K159">
        <v>0</v>
      </c>
      <c r="L159">
        <v>7</v>
      </c>
      <c r="N159">
        <v>3</v>
      </c>
      <c r="O159">
        <v>10</v>
      </c>
      <c r="P159">
        <v>4</v>
      </c>
      <c r="Q159">
        <v>2</v>
      </c>
      <c r="R159">
        <v>32.28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F159" t="s">
        <v>130</v>
      </c>
      <c r="AH159">
        <v>32.28</v>
      </c>
    </row>
    <row r="160" spans="1:34" x14ac:dyDescent="0.3">
      <c r="A160" s="4">
        <v>188</v>
      </c>
      <c r="B160" s="5">
        <v>153</v>
      </c>
      <c r="C160">
        <v>5719</v>
      </c>
      <c r="D160" t="s">
        <v>20136</v>
      </c>
      <c r="E160" t="s">
        <v>20</v>
      </c>
      <c r="F160" t="s">
        <v>190</v>
      </c>
      <c r="G160" t="s">
        <v>20137</v>
      </c>
      <c r="H160">
        <v>16.100000000000001</v>
      </c>
      <c r="I160">
        <v>7</v>
      </c>
      <c r="J160">
        <v>0</v>
      </c>
      <c r="K160">
        <v>0</v>
      </c>
      <c r="N160">
        <v>3</v>
      </c>
      <c r="O160">
        <v>3</v>
      </c>
      <c r="P160">
        <v>4</v>
      </c>
      <c r="Q160">
        <v>2</v>
      </c>
      <c r="R160">
        <v>32.1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F160" t="s">
        <v>130</v>
      </c>
      <c r="AH160">
        <v>32.1</v>
      </c>
    </row>
    <row r="161" spans="1:34" x14ac:dyDescent="0.3">
      <c r="A161" s="4">
        <v>189</v>
      </c>
      <c r="B161" s="5">
        <v>154</v>
      </c>
      <c r="C161">
        <v>11771</v>
      </c>
      <c r="D161" t="s">
        <v>2254</v>
      </c>
      <c r="E161" t="s">
        <v>29</v>
      </c>
      <c r="F161" t="s">
        <v>136</v>
      </c>
      <c r="G161" t="s">
        <v>25552</v>
      </c>
      <c r="H161">
        <v>17.899999999999999</v>
      </c>
      <c r="I161">
        <v>0</v>
      </c>
      <c r="J161">
        <v>0</v>
      </c>
      <c r="K161">
        <v>0</v>
      </c>
      <c r="L161">
        <v>7</v>
      </c>
      <c r="O161">
        <v>7</v>
      </c>
      <c r="P161">
        <v>4</v>
      </c>
      <c r="Q161">
        <v>0</v>
      </c>
      <c r="R161">
        <v>28.9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3</v>
      </c>
      <c r="AC161">
        <v>0</v>
      </c>
      <c r="AF161" t="s">
        <v>130</v>
      </c>
      <c r="AH161">
        <v>31.9</v>
      </c>
    </row>
    <row r="162" spans="1:34" x14ac:dyDescent="0.3">
      <c r="A162" s="4">
        <v>190</v>
      </c>
      <c r="B162" s="5">
        <v>155</v>
      </c>
      <c r="C162">
        <v>7972</v>
      </c>
      <c r="D162" t="s">
        <v>25553</v>
      </c>
      <c r="E162" t="s">
        <v>173</v>
      </c>
      <c r="F162" t="s">
        <v>68</v>
      </c>
      <c r="G162" t="s">
        <v>25554</v>
      </c>
      <c r="H162">
        <v>21.25</v>
      </c>
      <c r="I162">
        <v>0</v>
      </c>
      <c r="J162">
        <v>0</v>
      </c>
      <c r="K162">
        <v>0</v>
      </c>
      <c r="N162">
        <v>3</v>
      </c>
      <c r="O162">
        <v>3</v>
      </c>
      <c r="P162">
        <v>4</v>
      </c>
      <c r="Q162">
        <v>0</v>
      </c>
      <c r="R162">
        <v>28.25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3</v>
      </c>
      <c r="AC162">
        <v>0</v>
      </c>
      <c r="AF162" t="s">
        <v>130</v>
      </c>
      <c r="AH162">
        <v>31.25</v>
      </c>
    </row>
    <row r="163" spans="1:34" x14ac:dyDescent="0.3">
      <c r="A163" s="4">
        <v>191</v>
      </c>
      <c r="B163" s="5">
        <v>156</v>
      </c>
      <c r="C163">
        <v>10819</v>
      </c>
      <c r="D163" t="s">
        <v>25555</v>
      </c>
      <c r="E163" t="s">
        <v>358</v>
      </c>
      <c r="F163" t="s">
        <v>136</v>
      </c>
      <c r="G163" t="s">
        <v>25556</v>
      </c>
      <c r="H163">
        <v>15.25</v>
      </c>
      <c r="I163">
        <v>0</v>
      </c>
      <c r="J163">
        <v>0</v>
      </c>
      <c r="K163">
        <v>0</v>
      </c>
      <c r="L163">
        <v>7</v>
      </c>
      <c r="O163">
        <v>7</v>
      </c>
      <c r="P163">
        <v>4</v>
      </c>
      <c r="Q163">
        <v>2</v>
      </c>
      <c r="R163">
        <v>28.25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3</v>
      </c>
      <c r="AC163">
        <v>0</v>
      </c>
      <c r="AF163" t="s">
        <v>130</v>
      </c>
      <c r="AH163">
        <v>31.25</v>
      </c>
    </row>
    <row r="164" spans="1:34" x14ac:dyDescent="0.3">
      <c r="A164" s="4">
        <v>192</v>
      </c>
      <c r="B164" s="5">
        <v>157</v>
      </c>
      <c r="C164">
        <v>12046</v>
      </c>
      <c r="D164" t="s">
        <v>87</v>
      </c>
      <c r="E164" t="s">
        <v>88</v>
      </c>
      <c r="F164" t="s">
        <v>81</v>
      </c>
      <c r="G164" t="s">
        <v>89</v>
      </c>
      <c r="H164">
        <v>16</v>
      </c>
      <c r="I164">
        <v>0</v>
      </c>
      <c r="J164">
        <v>0</v>
      </c>
      <c r="K164">
        <v>0</v>
      </c>
      <c r="N164">
        <v>3</v>
      </c>
      <c r="O164">
        <v>3</v>
      </c>
      <c r="P164">
        <v>4</v>
      </c>
      <c r="Q164">
        <v>2</v>
      </c>
      <c r="R164">
        <v>25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6</v>
      </c>
      <c r="AC164">
        <v>0</v>
      </c>
      <c r="AD164" t="s">
        <v>130</v>
      </c>
      <c r="AF164" t="s">
        <v>130</v>
      </c>
      <c r="AH164">
        <v>31</v>
      </c>
    </row>
    <row r="165" spans="1:34" x14ac:dyDescent="0.3">
      <c r="A165" s="4">
        <v>193</v>
      </c>
      <c r="B165" s="5">
        <v>158</v>
      </c>
      <c r="C165">
        <v>14881</v>
      </c>
      <c r="D165" t="s">
        <v>715</v>
      </c>
      <c r="E165" t="s">
        <v>54</v>
      </c>
      <c r="F165" t="s">
        <v>1023</v>
      </c>
      <c r="G165" t="s">
        <v>25557</v>
      </c>
      <c r="H165">
        <v>17.329999999999998</v>
      </c>
      <c r="I165">
        <v>0</v>
      </c>
      <c r="J165">
        <v>0</v>
      </c>
      <c r="K165">
        <v>0</v>
      </c>
      <c r="N165">
        <v>3</v>
      </c>
      <c r="O165">
        <v>3</v>
      </c>
      <c r="P165">
        <v>4</v>
      </c>
      <c r="Q165">
        <v>0</v>
      </c>
      <c r="R165">
        <v>24.33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6</v>
      </c>
      <c r="AC165">
        <v>0</v>
      </c>
      <c r="AF165" t="s">
        <v>130</v>
      </c>
      <c r="AH165">
        <v>30.33</v>
      </c>
    </row>
    <row r="166" spans="1:34" x14ac:dyDescent="0.3">
      <c r="A166" s="4">
        <v>194</v>
      </c>
      <c r="B166" s="5">
        <v>159</v>
      </c>
      <c r="C166">
        <v>10501</v>
      </c>
      <c r="D166" t="s">
        <v>717</v>
      </c>
      <c r="E166" t="s">
        <v>255</v>
      </c>
      <c r="F166" t="s">
        <v>136</v>
      </c>
      <c r="G166" t="s">
        <v>25558</v>
      </c>
      <c r="H166">
        <v>17.899999999999999</v>
      </c>
      <c r="I166">
        <v>0</v>
      </c>
      <c r="J166">
        <v>0</v>
      </c>
      <c r="K166">
        <v>0</v>
      </c>
      <c r="N166">
        <v>3</v>
      </c>
      <c r="O166">
        <v>3</v>
      </c>
      <c r="P166">
        <v>4</v>
      </c>
      <c r="Q166">
        <v>2</v>
      </c>
      <c r="R166">
        <v>26.9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3</v>
      </c>
      <c r="AC166">
        <v>0</v>
      </c>
      <c r="AF166" t="s">
        <v>130</v>
      </c>
      <c r="AH166">
        <v>29.9</v>
      </c>
    </row>
    <row r="167" spans="1:34" x14ac:dyDescent="0.3">
      <c r="A167" s="4">
        <v>195</v>
      </c>
      <c r="B167" s="5">
        <v>160</v>
      </c>
      <c r="C167">
        <v>2137</v>
      </c>
      <c r="D167" t="s">
        <v>12427</v>
      </c>
      <c r="E167" t="s">
        <v>161</v>
      </c>
      <c r="F167" t="s">
        <v>179</v>
      </c>
      <c r="G167" t="s">
        <v>25559</v>
      </c>
      <c r="H167">
        <v>16.28</v>
      </c>
      <c r="I167">
        <v>0</v>
      </c>
      <c r="J167">
        <v>0</v>
      </c>
      <c r="K167">
        <v>0</v>
      </c>
      <c r="L167">
        <v>7</v>
      </c>
      <c r="O167">
        <v>7</v>
      </c>
      <c r="P167">
        <v>4</v>
      </c>
      <c r="Q167">
        <v>0</v>
      </c>
      <c r="R167">
        <v>27.28</v>
      </c>
      <c r="S167">
        <v>2</v>
      </c>
      <c r="T167">
        <v>2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2</v>
      </c>
      <c r="AB167">
        <v>0</v>
      </c>
      <c r="AC167">
        <v>0</v>
      </c>
      <c r="AF167" t="s">
        <v>130</v>
      </c>
      <c r="AH167">
        <v>29.28</v>
      </c>
    </row>
    <row r="168" spans="1:34" x14ac:dyDescent="0.3">
      <c r="A168" s="4">
        <v>196</v>
      </c>
      <c r="B168" s="5">
        <v>161</v>
      </c>
      <c r="C168">
        <v>10784</v>
      </c>
      <c r="D168" t="s">
        <v>2647</v>
      </c>
      <c r="E168" t="s">
        <v>1508</v>
      </c>
      <c r="F168" t="s">
        <v>17</v>
      </c>
      <c r="G168" t="s">
        <v>25560</v>
      </c>
      <c r="H168">
        <v>20.23</v>
      </c>
      <c r="I168">
        <v>0</v>
      </c>
      <c r="J168">
        <v>0</v>
      </c>
      <c r="K168">
        <v>0</v>
      </c>
      <c r="N168">
        <v>3</v>
      </c>
      <c r="O168">
        <v>3</v>
      </c>
      <c r="P168">
        <v>4</v>
      </c>
      <c r="Q168">
        <v>2</v>
      </c>
      <c r="R168">
        <v>29.23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F168" t="s">
        <v>130</v>
      </c>
      <c r="AH168">
        <v>29.23</v>
      </c>
    </row>
    <row r="169" spans="1:34" x14ac:dyDescent="0.3">
      <c r="A169" s="4">
        <v>197</v>
      </c>
      <c r="B169" s="5">
        <v>162</v>
      </c>
      <c r="C169">
        <v>7746</v>
      </c>
      <c r="D169" t="s">
        <v>459</v>
      </c>
      <c r="E169" t="s">
        <v>188</v>
      </c>
      <c r="F169" t="s">
        <v>38</v>
      </c>
      <c r="G169" t="s">
        <v>25561</v>
      </c>
      <c r="H169">
        <v>16.75</v>
      </c>
      <c r="I169">
        <v>0</v>
      </c>
      <c r="J169">
        <v>0</v>
      </c>
      <c r="K169">
        <v>0</v>
      </c>
      <c r="O169">
        <v>0</v>
      </c>
      <c r="P169">
        <v>4</v>
      </c>
      <c r="Q169">
        <v>2</v>
      </c>
      <c r="R169">
        <v>22.75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6</v>
      </c>
      <c r="AC169">
        <v>0</v>
      </c>
      <c r="AF169" t="s">
        <v>130</v>
      </c>
      <c r="AH169">
        <v>28.75</v>
      </c>
    </row>
    <row r="170" spans="1:34" x14ac:dyDescent="0.3">
      <c r="A170" s="4">
        <v>198</v>
      </c>
      <c r="B170" s="5">
        <v>163</v>
      </c>
      <c r="C170">
        <v>9734</v>
      </c>
      <c r="D170" t="s">
        <v>1711</v>
      </c>
      <c r="E170" t="s">
        <v>178</v>
      </c>
      <c r="F170" t="s">
        <v>425</v>
      </c>
      <c r="G170" t="s">
        <v>25562</v>
      </c>
      <c r="H170">
        <v>17</v>
      </c>
      <c r="I170">
        <v>0</v>
      </c>
      <c r="J170">
        <v>0</v>
      </c>
      <c r="K170">
        <v>0</v>
      </c>
      <c r="O170">
        <v>0</v>
      </c>
      <c r="P170">
        <v>0</v>
      </c>
      <c r="Q170">
        <v>2</v>
      </c>
      <c r="R170">
        <v>19</v>
      </c>
      <c r="S170">
        <v>9</v>
      </c>
      <c r="T170">
        <v>9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9</v>
      </c>
      <c r="AB170">
        <v>0</v>
      </c>
      <c r="AC170">
        <v>0</v>
      </c>
      <c r="AF170" t="s">
        <v>130</v>
      </c>
      <c r="AH170">
        <v>28</v>
      </c>
    </row>
    <row r="171" spans="1:34" x14ac:dyDescent="0.3">
      <c r="A171" s="4">
        <v>199</v>
      </c>
      <c r="B171" s="5">
        <v>164</v>
      </c>
      <c r="C171">
        <v>6162</v>
      </c>
      <c r="D171" t="s">
        <v>25563</v>
      </c>
      <c r="E171" t="s">
        <v>652</v>
      </c>
      <c r="F171" t="s">
        <v>68</v>
      </c>
      <c r="G171" t="s">
        <v>25564</v>
      </c>
      <c r="H171">
        <v>16.399999999999999</v>
      </c>
      <c r="I171">
        <v>7</v>
      </c>
      <c r="J171">
        <v>0</v>
      </c>
      <c r="K171">
        <v>0</v>
      </c>
      <c r="O171">
        <v>0</v>
      </c>
      <c r="P171">
        <v>4</v>
      </c>
      <c r="Q171">
        <v>0</v>
      </c>
      <c r="R171">
        <v>27.4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F171" t="s">
        <v>130</v>
      </c>
      <c r="AH171">
        <v>27.4</v>
      </c>
    </row>
    <row r="172" spans="1:34" x14ac:dyDescent="0.3">
      <c r="A172" s="4">
        <v>200</v>
      </c>
      <c r="B172" s="5">
        <v>165</v>
      </c>
      <c r="C172">
        <v>10136</v>
      </c>
      <c r="D172" t="s">
        <v>996</v>
      </c>
      <c r="E172" t="s">
        <v>5060</v>
      </c>
      <c r="F172" t="s">
        <v>243</v>
      </c>
      <c r="G172" t="s">
        <v>25565</v>
      </c>
      <c r="H172">
        <v>16.8</v>
      </c>
      <c r="I172">
        <v>7</v>
      </c>
      <c r="J172">
        <v>0</v>
      </c>
      <c r="K172">
        <v>0</v>
      </c>
      <c r="N172">
        <v>3</v>
      </c>
      <c r="O172">
        <v>3</v>
      </c>
      <c r="P172">
        <v>0</v>
      </c>
      <c r="Q172">
        <v>0</v>
      </c>
      <c r="R172">
        <v>26.8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F172" t="s">
        <v>130</v>
      </c>
      <c r="AH172">
        <v>26.8</v>
      </c>
    </row>
    <row r="173" spans="1:34" x14ac:dyDescent="0.3">
      <c r="A173" s="4">
        <v>201</v>
      </c>
      <c r="B173" s="5">
        <v>166</v>
      </c>
      <c r="C173">
        <v>12879</v>
      </c>
      <c r="D173" t="s">
        <v>1791</v>
      </c>
      <c r="E173" t="s">
        <v>25566</v>
      </c>
      <c r="F173" t="s">
        <v>230</v>
      </c>
      <c r="G173" t="s">
        <v>25567</v>
      </c>
      <c r="H173">
        <v>17.7</v>
      </c>
      <c r="I173">
        <v>0</v>
      </c>
      <c r="J173">
        <v>0</v>
      </c>
      <c r="K173">
        <v>0</v>
      </c>
      <c r="N173">
        <v>3</v>
      </c>
      <c r="O173">
        <v>3</v>
      </c>
      <c r="P173">
        <v>4</v>
      </c>
      <c r="Q173">
        <v>2</v>
      </c>
      <c r="R173">
        <v>26.7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F173" t="s">
        <v>130</v>
      </c>
      <c r="AH173">
        <v>26.7</v>
      </c>
    </row>
    <row r="174" spans="1:34" x14ac:dyDescent="0.3">
      <c r="A174" s="4">
        <v>202</v>
      </c>
      <c r="B174" s="5">
        <v>167</v>
      </c>
      <c r="C174">
        <v>5484</v>
      </c>
      <c r="D174" t="s">
        <v>25568</v>
      </c>
      <c r="E174" t="s">
        <v>29</v>
      </c>
      <c r="F174" t="s">
        <v>62</v>
      </c>
      <c r="G174" t="s">
        <v>25569</v>
      </c>
      <c r="H174">
        <v>17.649999999999999</v>
      </c>
      <c r="I174">
        <v>0</v>
      </c>
      <c r="J174">
        <v>0</v>
      </c>
      <c r="K174">
        <v>0</v>
      </c>
      <c r="N174">
        <v>3</v>
      </c>
      <c r="O174">
        <v>3</v>
      </c>
      <c r="P174">
        <v>4</v>
      </c>
      <c r="Q174">
        <v>2</v>
      </c>
      <c r="R174">
        <v>26.65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F174" t="s">
        <v>130</v>
      </c>
      <c r="AH174">
        <v>26.65</v>
      </c>
    </row>
    <row r="175" spans="1:34" x14ac:dyDescent="0.3">
      <c r="A175" s="4">
        <v>203</v>
      </c>
      <c r="B175" s="5">
        <v>168</v>
      </c>
      <c r="C175">
        <v>4602</v>
      </c>
      <c r="D175" t="s">
        <v>4051</v>
      </c>
      <c r="E175" t="s">
        <v>25570</v>
      </c>
      <c r="F175" t="s">
        <v>570</v>
      </c>
      <c r="G175" t="s">
        <v>25571</v>
      </c>
      <c r="H175">
        <v>15.38</v>
      </c>
      <c r="I175">
        <v>7</v>
      </c>
      <c r="J175">
        <v>0</v>
      </c>
      <c r="K175">
        <v>0</v>
      </c>
      <c r="O175">
        <v>0</v>
      </c>
      <c r="P175">
        <v>4</v>
      </c>
      <c r="Q175">
        <v>0</v>
      </c>
      <c r="R175">
        <v>26.38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F175" t="s">
        <v>130</v>
      </c>
      <c r="AH175">
        <v>26.38</v>
      </c>
    </row>
    <row r="176" spans="1:34" x14ac:dyDescent="0.3">
      <c r="A176" s="4">
        <v>204</v>
      </c>
      <c r="B176" s="5">
        <v>169</v>
      </c>
      <c r="C176">
        <v>9132</v>
      </c>
      <c r="D176" t="s">
        <v>25572</v>
      </c>
      <c r="E176" t="s">
        <v>964</v>
      </c>
      <c r="F176" t="s">
        <v>20</v>
      </c>
      <c r="G176" t="s">
        <v>25573</v>
      </c>
      <c r="H176">
        <v>18.579999999999998</v>
      </c>
      <c r="I176">
        <v>7</v>
      </c>
      <c r="J176">
        <v>0</v>
      </c>
      <c r="K176">
        <v>0</v>
      </c>
      <c r="O176">
        <v>0</v>
      </c>
      <c r="P176">
        <v>0</v>
      </c>
      <c r="Q176">
        <v>0</v>
      </c>
      <c r="R176">
        <v>25.58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F176" t="s">
        <v>130</v>
      </c>
      <c r="AH176">
        <v>25.58</v>
      </c>
    </row>
    <row r="177" spans="1:34" x14ac:dyDescent="0.3">
      <c r="A177" s="4">
        <v>205</v>
      </c>
      <c r="B177" s="5">
        <v>170</v>
      </c>
      <c r="C177">
        <v>3398</v>
      </c>
      <c r="D177" t="s">
        <v>2043</v>
      </c>
      <c r="E177" t="s">
        <v>132</v>
      </c>
      <c r="F177" t="s">
        <v>20</v>
      </c>
      <c r="G177" t="s">
        <v>25574</v>
      </c>
      <c r="H177">
        <v>16.5</v>
      </c>
      <c r="I177">
        <v>0</v>
      </c>
      <c r="J177">
        <v>0</v>
      </c>
      <c r="K177">
        <v>0</v>
      </c>
      <c r="N177">
        <v>3</v>
      </c>
      <c r="O177">
        <v>3</v>
      </c>
      <c r="P177">
        <v>4</v>
      </c>
      <c r="Q177">
        <v>2</v>
      </c>
      <c r="R177">
        <v>25.5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F177" t="s">
        <v>130</v>
      </c>
      <c r="AH177">
        <v>25.5</v>
      </c>
    </row>
    <row r="178" spans="1:34" x14ac:dyDescent="0.3">
      <c r="A178" s="4">
        <v>206</v>
      </c>
      <c r="B178" s="5">
        <v>171</v>
      </c>
      <c r="C178">
        <v>10730</v>
      </c>
      <c r="D178" t="s">
        <v>25575</v>
      </c>
      <c r="E178" t="s">
        <v>25576</v>
      </c>
      <c r="F178" t="s">
        <v>9059</v>
      </c>
      <c r="G178" t="s">
        <v>25577</v>
      </c>
      <c r="H178">
        <v>17.45</v>
      </c>
      <c r="I178">
        <v>0</v>
      </c>
      <c r="J178">
        <v>0</v>
      </c>
      <c r="K178">
        <v>0</v>
      </c>
      <c r="N178">
        <v>3</v>
      </c>
      <c r="O178">
        <v>3</v>
      </c>
      <c r="P178">
        <v>4</v>
      </c>
      <c r="Q178">
        <v>0</v>
      </c>
      <c r="R178">
        <v>24.45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F178" t="s">
        <v>130</v>
      </c>
      <c r="AH178">
        <v>24.45</v>
      </c>
    </row>
    <row r="179" spans="1:34" x14ac:dyDescent="0.3">
      <c r="A179" s="4">
        <v>207</v>
      </c>
      <c r="B179" s="5">
        <v>172</v>
      </c>
      <c r="C179">
        <v>5449</v>
      </c>
      <c r="D179" t="s">
        <v>25578</v>
      </c>
      <c r="E179" t="s">
        <v>2088</v>
      </c>
      <c r="F179" t="s">
        <v>158</v>
      </c>
      <c r="G179" t="s">
        <v>25579</v>
      </c>
      <c r="H179">
        <v>17.63</v>
      </c>
      <c r="I179">
        <v>0</v>
      </c>
      <c r="J179">
        <v>0</v>
      </c>
      <c r="K179">
        <v>0</v>
      </c>
      <c r="O179">
        <v>0</v>
      </c>
      <c r="P179">
        <v>4</v>
      </c>
      <c r="Q179">
        <v>2</v>
      </c>
      <c r="R179">
        <v>23.63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F179" t="s">
        <v>130</v>
      </c>
      <c r="AH179">
        <v>23.63</v>
      </c>
    </row>
    <row r="180" spans="1:34" x14ac:dyDescent="0.3">
      <c r="A180" s="4">
        <v>208</v>
      </c>
      <c r="B180" s="5">
        <v>173</v>
      </c>
      <c r="C180">
        <v>12546</v>
      </c>
      <c r="D180" t="s">
        <v>25580</v>
      </c>
      <c r="E180" t="s">
        <v>81</v>
      </c>
      <c r="F180" t="s">
        <v>34</v>
      </c>
      <c r="G180" t="s">
        <v>25581</v>
      </c>
      <c r="H180">
        <v>16.38</v>
      </c>
      <c r="I180">
        <v>0</v>
      </c>
      <c r="J180">
        <v>0</v>
      </c>
      <c r="K180">
        <v>0</v>
      </c>
      <c r="O180">
        <v>0</v>
      </c>
      <c r="P180">
        <v>4</v>
      </c>
      <c r="Q180">
        <v>2</v>
      </c>
      <c r="R180">
        <v>22.38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 t="s">
        <v>130</v>
      </c>
      <c r="AF180" t="s">
        <v>130</v>
      </c>
      <c r="AH180">
        <v>22.38</v>
      </c>
    </row>
    <row r="181" spans="1:34" x14ac:dyDescent="0.3">
      <c r="A181" s="4">
        <v>209</v>
      </c>
      <c r="B181" s="5">
        <v>174</v>
      </c>
      <c r="C181">
        <v>7956</v>
      </c>
      <c r="D181" t="s">
        <v>8839</v>
      </c>
      <c r="E181" t="s">
        <v>30</v>
      </c>
      <c r="F181" t="s">
        <v>20</v>
      </c>
      <c r="G181" t="s">
        <v>25582</v>
      </c>
      <c r="H181">
        <v>16.23</v>
      </c>
      <c r="I181">
        <v>0</v>
      </c>
      <c r="J181">
        <v>0</v>
      </c>
      <c r="K181">
        <v>0</v>
      </c>
      <c r="O181">
        <v>0</v>
      </c>
      <c r="P181">
        <v>4</v>
      </c>
      <c r="Q181">
        <v>2</v>
      </c>
      <c r="R181">
        <v>22.23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F181" t="s">
        <v>130</v>
      </c>
      <c r="AH181">
        <v>22.23</v>
      </c>
    </row>
    <row r="182" spans="1:34" x14ac:dyDescent="0.3">
      <c r="A182" s="4">
        <v>210</v>
      </c>
      <c r="B182" s="5">
        <v>175</v>
      </c>
      <c r="C182">
        <v>4252</v>
      </c>
      <c r="D182" t="s">
        <v>25583</v>
      </c>
      <c r="E182" t="s">
        <v>38</v>
      </c>
      <c r="F182" t="s">
        <v>117</v>
      </c>
      <c r="G182" t="s">
        <v>25584</v>
      </c>
      <c r="H182">
        <v>19.079999999999998</v>
      </c>
      <c r="I182">
        <v>0</v>
      </c>
      <c r="J182">
        <v>0</v>
      </c>
      <c r="K182">
        <v>0</v>
      </c>
      <c r="N182">
        <v>3</v>
      </c>
      <c r="O182">
        <v>3</v>
      </c>
      <c r="P182">
        <v>0</v>
      </c>
      <c r="Q182">
        <v>0</v>
      </c>
      <c r="R182">
        <v>22.08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F182" t="s">
        <v>130</v>
      </c>
      <c r="AH182">
        <v>22.08</v>
      </c>
    </row>
    <row r="183" spans="1:34" x14ac:dyDescent="0.3">
      <c r="A183" s="4">
        <v>211</v>
      </c>
      <c r="B183" s="5">
        <v>176</v>
      </c>
      <c r="C183">
        <v>12541</v>
      </c>
      <c r="D183" t="s">
        <v>3075</v>
      </c>
      <c r="E183" t="s">
        <v>19922</v>
      </c>
      <c r="F183" t="s">
        <v>62</v>
      </c>
      <c r="G183" t="s">
        <v>25585</v>
      </c>
      <c r="H183">
        <v>14.78</v>
      </c>
      <c r="I183">
        <v>0</v>
      </c>
      <c r="J183">
        <v>0</v>
      </c>
      <c r="K183">
        <v>0</v>
      </c>
      <c r="O183">
        <v>0</v>
      </c>
      <c r="P183">
        <v>4</v>
      </c>
      <c r="Q183">
        <v>2</v>
      </c>
      <c r="R183">
        <v>20.78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F183" t="s">
        <v>130</v>
      </c>
      <c r="AH183">
        <v>20.78</v>
      </c>
    </row>
    <row r="184" spans="1:34" x14ac:dyDescent="0.3">
      <c r="A184" s="4">
        <v>212</v>
      </c>
      <c r="B184" s="5">
        <v>177</v>
      </c>
      <c r="C184">
        <v>10582</v>
      </c>
      <c r="D184" t="s">
        <v>25586</v>
      </c>
      <c r="E184" t="s">
        <v>25587</v>
      </c>
      <c r="F184" t="s">
        <v>328</v>
      </c>
      <c r="G184" t="s">
        <v>25588</v>
      </c>
      <c r="H184">
        <v>16.75</v>
      </c>
      <c r="I184">
        <v>0</v>
      </c>
      <c r="J184">
        <v>0</v>
      </c>
      <c r="K184">
        <v>0</v>
      </c>
      <c r="L184">
        <v>14</v>
      </c>
      <c r="O184">
        <v>14</v>
      </c>
      <c r="P184">
        <v>4</v>
      </c>
      <c r="Q184">
        <v>0</v>
      </c>
      <c r="R184">
        <v>34.75</v>
      </c>
      <c r="S184">
        <v>44</v>
      </c>
      <c r="T184">
        <v>44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44</v>
      </c>
      <c r="AB184">
        <v>9</v>
      </c>
      <c r="AC184">
        <v>0</v>
      </c>
      <c r="AH184">
        <v>87.75</v>
      </c>
    </row>
    <row r="185" spans="1:34" x14ac:dyDescent="0.3">
      <c r="A185" s="4">
        <v>213</v>
      </c>
      <c r="B185" s="5">
        <v>178</v>
      </c>
      <c r="C185">
        <v>15449</v>
      </c>
      <c r="D185" t="s">
        <v>25589</v>
      </c>
      <c r="E185" t="s">
        <v>14</v>
      </c>
      <c r="F185" t="s">
        <v>68</v>
      </c>
      <c r="G185" t="s">
        <v>25590</v>
      </c>
      <c r="H185">
        <v>19.68</v>
      </c>
      <c r="I185">
        <v>0</v>
      </c>
      <c r="J185">
        <v>0</v>
      </c>
      <c r="K185">
        <v>20</v>
      </c>
      <c r="M185">
        <v>5</v>
      </c>
      <c r="N185">
        <v>3</v>
      </c>
      <c r="O185">
        <v>8</v>
      </c>
      <c r="P185">
        <v>4</v>
      </c>
      <c r="Q185">
        <v>0</v>
      </c>
      <c r="R185">
        <v>51.68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36</v>
      </c>
      <c r="AH185">
        <v>87.68</v>
      </c>
    </row>
    <row r="186" spans="1:34" x14ac:dyDescent="0.3">
      <c r="A186" s="4">
        <v>214</v>
      </c>
      <c r="B186" s="5">
        <v>179</v>
      </c>
      <c r="C186">
        <v>1914</v>
      </c>
      <c r="D186" t="s">
        <v>25591</v>
      </c>
      <c r="E186" t="s">
        <v>100</v>
      </c>
      <c r="F186" t="s">
        <v>972</v>
      </c>
      <c r="G186" t="s">
        <v>25592</v>
      </c>
      <c r="H186">
        <v>20.399999999999999</v>
      </c>
      <c r="I186">
        <v>0</v>
      </c>
      <c r="J186">
        <v>0</v>
      </c>
      <c r="K186">
        <v>20</v>
      </c>
      <c r="N186">
        <v>3</v>
      </c>
      <c r="O186">
        <v>3</v>
      </c>
      <c r="P186">
        <v>4</v>
      </c>
      <c r="Q186">
        <v>0</v>
      </c>
      <c r="R186">
        <v>47.4</v>
      </c>
      <c r="S186">
        <v>31</v>
      </c>
      <c r="T186">
        <v>31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31</v>
      </c>
      <c r="AB186">
        <v>3</v>
      </c>
      <c r="AC186">
        <v>0</v>
      </c>
      <c r="AH186">
        <v>81.400000000000006</v>
      </c>
    </row>
    <row r="187" spans="1:34" x14ac:dyDescent="0.3">
      <c r="A187" s="4">
        <v>215</v>
      </c>
      <c r="B187" s="5">
        <v>180</v>
      </c>
      <c r="C187">
        <v>13919</v>
      </c>
      <c r="D187" t="s">
        <v>2966</v>
      </c>
      <c r="E187" t="s">
        <v>100</v>
      </c>
      <c r="F187" t="s">
        <v>136</v>
      </c>
      <c r="G187" t="s">
        <v>25593</v>
      </c>
      <c r="H187">
        <v>17.7</v>
      </c>
      <c r="I187">
        <v>0</v>
      </c>
      <c r="J187">
        <v>0</v>
      </c>
      <c r="K187">
        <v>20</v>
      </c>
      <c r="O187">
        <v>0</v>
      </c>
      <c r="P187">
        <v>4</v>
      </c>
      <c r="Q187">
        <v>2</v>
      </c>
      <c r="R187">
        <v>43.7</v>
      </c>
      <c r="S187">
        <v>21</v>
      </c>
      <c r="T187">
        <v>21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21</v>
      </c>
      <c r="AB187">
        <v>15</v>
      </c>
      <c r="AC187">
        <v>0</v>
      </c>
      <c r="AD187" t="s">
        <v>130</v>
      </c>
      <c r="AH187">
        <v>79.7</v>
      </c>
    </row>
    <row r="188" spans="1:34" x14ac:dyDescent="0.3">
      <c r="A188" s="4">
        <v>216</v>
      </c>
      <c r="B188" s="5">
        <v>181</v>
      </c>
      <c r="C188">
        <v>11042</v>
      </c>
      <c r="D188" t="s">
        <v>6099</v>
      </c>
      <c r="E188" t="s">
        <v>54</v>
      </c>
      <c r="F188" t="s">
        <v>136</v>
      </c>
      <c r="G188" t="s">
        <v>25594</v>
      </c>
      <c r="H188">
        <v>19.25</v>
      </c>
      <c r="I188">
        <v>0</v>
      </c>
      <c r="J188">
        <v>0</v>
      </c>
      <c r="K188">
        <v>20</v>
      </c>
      <c r="N188">
        <v>3</v>
      </c>
      <c r="O188">
        <v>3</v>
      </c>
      <c r="P188">
        <v>4</v>
      </c>
      <c r="Q188">
        <v>0</v>
      </c>
      <c r="R188">
        <v>46.25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6</v>
      </c>
      <c r="AC188">
        <v>26.8</v>
      </c>
      <c r="AH188">
        <v>79.05</v>
      </c>
    </row>
    <row r="189" spans="1:34" x14ac:dyDescent="0.3">
      <c r="A189" s="4">
        <v>217</v>
      </c>
      <c r="B189" s="5">
        <v>182</v>
      </c>
      <c r="C189">
        <v>5382</v>
      </c>
      <c r="D189" t="s">
        <v>25595</v>
      </c>
      <c r="E189" t="s">
        <v>100</v>
      </c>
      <c r="F189" t="s">
        <v>81</v>
      </c>
      <c r="G189" t="s">
        <v>25596</v>
      </c>
      <c r="H189">
        <v>19.600000000000001</v>
      </c>
      <c r="I189">
        <v>0</v>
      </c>
      <c r="J189">
        <v>0</v>
      </c>
      <c r="K189">
        <v>20</v>
      </c>
      <c r="L189">
        <v>7</v>
      </c>
      <c r="O189">
        <v>7</v>
      </c>
      <c r="P189">
        <v>4</v>
      </c>
      <c r="Q189">
        <v>0</v>
      </c>
      <c r="R189">
        <v>50.6</v>
      </c>
      <c r="S189">
        <v>22</v>
      </c>
      <c r="T189">
        <v>22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22</v>
      </c>
      <c r="AB189">
        <v>6</v>
      </c>
      <c r="AC189">
        <v>0</v>
      </c>
      <c r="AH189">
        <v>78.599999999999994</v>
      </c>
    </row>
    <row r="190" spans="1:34" x14ac:dyDescent="0.3">
      <c r="A190" s="4">
        <v>218</v>
      </c>
      <c r="B190" s="5">
        <v>183</v>
      </c>
      <c r="C190">
        <v>13470</v>
      </c>
      <c r="D190" t="s">
        <v>25597</v>
      </c>
      <c r="E190" t="s">
        <v>158</v>
      </c>
      <c r="F190" t="s">
        <v>1450</v>
      </c>
      <c r="G190" t="s">
        <v>25598</v>
      </c>
      <c r="H190">
        <v>20.78</v>
      </c>
      <c r="I190">
        <v>0</v>
      </c>
      <c r="J190">
        <v>0</v>
      </c>
      <c r="K190">
        <v>20</v>
      </c>
      <c r="L190">
        <v>7</v>
      </c>
      <c r="O190">
        <v>7</v>
      </c>
      <c r="P190">
        <v>4</v>
      </c>
      <c r="Q190">
        <v>0</v>
      </c>
      <c r="R190">
        <v>51.78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26.8</v>
      </c>
      <c r="AH190">
        <v>78.58</v>
      </c>
    </row>
    <row r="191" spans="1:34" x14ac:dyDescent="0.3">
      <c r="A191" s="4">
        <v>219</v>
      </c>
      <c r="B191" s="5">
        <v>184</v>
      </c>
      <c r="C191">
        <v>1184</v>
      </c>
      <c r="D191" t="s">
        <v>25599</v>
      </c>
      <c r="E191" t="s">
        <v>25600</v>
      </c>
      <c r="F191" t="s">
        <v>626</v>
      </c>
      <c r="G191" t="s">
        <v>25601</v>
      </c>
      <c r="H191">
        <v>16.53</v>
      </c>
      <c r="I191">
        <v>0</v>
      </c>
      <c r="J191">
        <v>0</v>
      </c>
      <c r="K191">
        <v>20</v>
      </c>
      <c r="L191">
        <v>7</v>
      </c>
      <c r="O191">
        <v>7</v>
      </c>
      <c r="P191">
        <v>4</v>
      </c>
      <c r="Q191">
        <v>2</v>
      </c>
      <c r="R191">
        <v>49.53</v>
      </c>
      <c r="S191">
        <v>8</v>
      </c>
      <c r="T191">
        <v>8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8</v>
      </c>
      <c r="AB191">
        <v>0</v>
      </c>
      <c r="AC191">
        <v>20</v>
      </c>
      <c r="AH191">
        <v>77.53</v>
      </c>
    </row>
    <row r="192" spans="1:34" x14ac:dyDescent="0.3">
      <c r="A192" s="4">
        <v>220</v>
      </c>
      <c r="B192" s="5">
        <v>185</v>
      </c>
      <c r="C192">
        <v>1284</v>
      </c>
      <c r="D192" t="s">
        <v>7830</v>
      </c>
      <c r="E192" t="s">
        <v>136</v>
      </c>
      <c r="F192" t="s">
        <v>81</v>
      </c>
      <c r="G192" t="s">
        <v>7831</v>
      </c>
      <c r="H192">
        <v>18</v>
      </c>
      <c r="I192">
        <v>7</v>
      </c>
      <c r="J192">
        <v>0</v>
      </c>
      <c r="K192">
        <v>0</v>
      </c>
      <c r="N192">
        <v>3</v>
      </c>
      <c r="O192">
        <v>3</v>
      </c>
      <c r="P192">
        <v>4</v>
      </c>
      <c r="Q192">
        <v>0</v>
      </c>
      <c r="R192">
        <v>32</v>
      </c>
      <c r="S192">
        <v>42</v>
      </c>
      <c r="T192">
        <v>42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42</v>
      </c>
      <c r="AB192">
        <v>0</v>
      </c>
      <c r="AC192">
        <v>0</v>
      </c>
      <c r="AD192" t="s">
        <v>130</v>
      </c>
      <c r="AH192">
        <v>74</v>
      </c>
    </row>
    <row r="193" spans="1:34" x14ac:dyDescent="0.3">
      <c r="A193" s="4">
        <v>221</v>
      </c>
      <c r="B193" s="5">
        <v>186</v>
      </c>
      <c r="C193">
        <v>12252</v>
      </c>
      <c r="D193" t="s">
        <v>25602</v>
      </c>
      <c r="E193" t="s">
        <v>25603</v>
      </c>
      <c r="F193" t="s">
        <v>25604</v>
      </c>
      <c r="G193" t="s">
        <v>25605</v>
      </c>
      <c r="H193">
        <v>18.850000000000001</v>
      </c>
      <c r="I193">
        <v>0</v>
      </c>
      <c r="J193">
        <v>0</v>
      </c>
      <c r="K193">
        <v>20</v>
      </c>
      <c r="L193">
        <v>7</v>
      </c>
      <c r="N193">
        <v>3</v>
      </c>
      <c r="O193">
        <v>10</v>
      </c>
      <c r="P193">
        <v>4</v>
      </c>
      <c r="Q193">
        <v>2</v>
      </c>
      <c r="R193">
        <v>54.85</v>
      </c>
      <c r="S193">
        <v>17</v>
      </c>
      <c r="T193">
        <v>17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17</v>
      </c>
      <c r="AB193">
        <v>0</v>
      </c>
      <c r="AC193">
        <v>0</v>
      </c>
      <c r="AH193">
        <v>71.849999999999994</v>
      </c>
    </row>
    <row r="194" spans="1:34" x14ac:dyDescent="0.3">
      <c r="A194" s="4">
        <v>222</v>
      </c>
      <c r="B194" s="5">
        <v>187</v>
      </c>
      <c r="C194">
        <v>14453</v>
      </c>
      <c r="D194" t="s">
        <v>25606</v>
      </c>
      <c r="E194" t="s">
        <v>819</v>
      </c>
      <c r="F194" t="s">
        <v>1812</v>
      </c>
      <c r="G194" t="s">
        <v>25607</v>
      </c>
      <c r="H194">
        <v>16.23</v>
      </c>
      <c r="I194">
        <v>0</v>
      </c>
      <c r="J194">
        <v>0</v>
      </c>
      <c r="K194">
        <v>20</v>
      </c>
      <c r="L194">
        <v>7</v>
      </c>
      <c r="O194">
        <v>7</v>
      </c>
      <c r="P194">
        <v>4</v>
      </c>
      <c r="Q194">
        <v>0</v>
      </c>
      <c r="R194">
        <v>47.23</v>
      </c>
      <c r="S194">
        <v>18</v>
      </c>
      <c r="T194">
        <v>18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18</v>
      </c>
      <c r="AB194">
        <v>6</v>
      </c>
      <c r="AC194">
        <v>0</v>
      </c>
      <c r="AH194">
        <v>71.23</v>
      </c>
    </row>
    <row r="195" spans="1:34" x14ac:dyDescent="0.3">
      <c r="A195" s="4">
        <v>223</v>
      </c>
      <c r="B195" s="5">
        <v>188</v>
      </c>
      <c r="C195">
        <v>9356</v>
      </c>
      <c r="D195" t="s">
        <v>25608</v>
      </c>
      <c r="E195" t="s">
        <v>26</v>
      </c>
      <c r="F195" t="s">
        <v>328</v>
      </c>
      <c r="G195" t="s">
        <v>25609</v>
      </c>
      <c r="H195">
        <v>19.649999999999999</v>
      </c>
      <c r="I195">
        <v>0</v>
      </c>
      <c r="J195">
        <v>0</v>
      </c>
      <c r="K195">
        <v>20</v>
      </c>
      <c r="L195">
        <v>7</v>
      </c>
      <c r="N195">
        <v>3</v>
      </c>
      <c r="O195">
        <v>10</v>
      </c>
      <c r="P195">
        <v>4</v>
      </c>
      <c r="Q195">
        <v>2</v>
      </c>
      <c r="R195">
        <v>55.65</v>
      </c>
      <c r="S195">
        <v>14</v>
      </c>
      <c r="T195">
        <v>14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14</v>
      </c>
      <c r="AB195">
        <v>0</v>
      </c>
      <c r="AC195">
        <v>0</v>
      </c>
      <c r="AH195">
        <v>69.650000000000006</v>
      </c>
    </row>
    <row r="196" spans="1:34" x14ac:dyDescent="0.3">
      <c r="A196" s="4">
        <v>224</v>
      </c>
      <c r="B196" s="5">
        <v>189</v>
      </c>
      <c r="C196">
        <v>8048</v>
      </c>
      <c r="D196" t="s">
        <v>25610</v>
      </c>
      <c r="E196" t="s">
        <v>81</v>
      </c>
      <c r="F196" t="s">
        <v>343</v>
      </c>
      <c r="G196" t="s">
        <v>25611</v>
      </c>
      <c r="H196">
        <v>16.829999999999998</v>
      </c>
      <c r="I196">
        <v>0</v>
      </c>
      <c r="J196">
        <v>0</v>
      </c>
      <c r="K196">
        <v>0</v>
      </c>
      <c r="L196">
        <v>7</v>
      </c>
      <c r="O196">
        <v>7</v>
      </c>
      <c r="P196">
        <v>4</v>
      </c>
      <c r="Q196">
        <v>0</v>
      </c>
      <c r="R196">
        <v>27.83</v>
      </c>
      <c r="S196">
        <v>8</v>
      </c>
      <c r="T196">
        <v>8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8</v>
      </c>
      <c r="AB196">
        <v>6</v>
      </c>
      <c r="AC196">
        <v>26.8</v>
      </c>
      <c r="AH196">
        <v>68.63</v>
      </c>
    </row>
    <row r="197" spans="1:34" x14ac:dyDescent="0.3">
      <c r="A197" s="4">
        <v>225</v>
      </c>
      <c r="B197" s="5">
        <v>190</v>
      </c>
      <c r="C197">
        <v>10891</v>
      </c>
      <c r="D197" t="s">
        <v>2008</v>
      </c>
      <c r="E197" t="s">
        <v>182</v>
      </c>
      <c r="F197" t="s">
        <v>38</v>
      </c>
      <c r="G197" t="s">
        <v>25612</v>
      </c>
      <c r="H197">
        <v>17.5</v>
      </c>
      <c r="I197">
        <v>0</v>
      </c>
      <c r="J197">
        <v>0</v>
      </c>
      <c r="K197">
        <v>28</v>
      </c>
      <c r="L197">
        <v>7</v>
      </c>
      <c r="N197">
        <v>3</v>
      </c>
      <c r="O197">
        <v>10</v>
      </c>
      <c r="P197">
        <v>4</v>
      </c>
      <c r="Q197">
        <v>2</v>
      </c>
      <c r="R197">
        <v>61.5</v>
      </c>
      <c r="S197">
        <v>6</v>
      </c>
      <c r="T197">
        <v>6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6</v>
      </c>
      <c r="AB197">
        <v>0</v>
      </c>
      <c r="AC197">
        <v>0</v>
      </c>
      <c r="AH197">
        <v>67.5</v>
      </c>
    </row>
    <row r="198" spans="1:34" x14ac:dyDescent="0.3">
      <c r="A198" s="4">
        <v>226</v>
      </c>
      <c r="B198" s="5">
        <v>191</v>
      </c>
      <c r="C198">
        <v>12289</v>
      </c>
      <c r="D198" t="s">
        <v>25613</v>
      </c>
      <c r="E198" t="s">
        <v>8960</v>
      </c>
      <c r="F198" t="s">
        <v>20</v>
      </c>
      <c r="G198" t="s">
        <v>25614</v>
      </c>
      <c r="H198">
        <v>16.98</v>
      </c>
      <c r="I198">
        <v>0</v>
      </c>
      <c r="J198">
        <v>0</v>
      </c>
      <c r="K198">
        <v>20</v>
      </c>
      <c r="L198">
        <v>7</v>
      </c>
      <c r="O198">
        <v>7</v>
      </c>
      <c r="P198">
        <v>4</v>
      </c>
      <c r="Q198">
        <v>2</v>
      </c>
      <c r="R198">
        <v>49.98</v>
      </c>
      <c r="S198">
        <v>17</v>
      </c>
      <c r="T198">
        <v>17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17</v>
      </c>
      <c r="AB198">
        <v>0</v>
      </c>
      <c r="AC198">
        <v>0</v>
      </c>
      <c r="AD198" t="s">
        <v>130</v>
      </c>
      <c r="AH198">
        <v>66.98</v>
      </c>
    </row>
    <row r="199" spans="1:34" x14ac:dyDescent="0.3">
      <c r="A199" s="4">
        <v>227</v>
      </c>
      <c r="B199" s="5">
        <v>192</v>
      </c>
      <c r="C199">
        <v>4515</v>
      </c>
      <c r="D199" t="s">
        <v>6423</v>
      </c>
      <c r="E199" t="s">
        <v>132</v>
      </c>
      <c r="F199" t="s">
        <v>2680</v>
      </c>
      <c r="G199" t="s">
        <v>25615</v>
      </c>
      <c r="H199">
        <v>19.78</v>
      </c>
      <c r="I199">
        <v>0</v>
      </c>
      <c r="J199">
        <v>0</v>
      </c>
      <c r="K199">
        <v>20</v>
      </c>
      <c r="N199">
        <v>3</v>
      </c>
      <c r="O199">
        <v>3</v>
      </c>
      <c r="P199">
        <v>4</v>
      </c>
      <c r="Q199">
        <v>2</v>
      </c>
      <c r="R199">
        <v>48.78</v>
      </c>
      <c r="S199">
        <v>17</v>
      </c>
      <c r="T199">
        <v>17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17</v>
      </c>
      <c r="AB199">
        <v>0</v>
      </c>
      <c r="AC199">
        <v>0</v>
      </c>
      <c r="AD199" t="s">
        <v>130</v>
      </c>
      <c r="AH199">
        <v>65.78</v>
      </c>
    </row>
    <row r="200" spans="1:34" x14ac:dyDescent="0.3">
      <c r="A200" s="4">
        <v>228</v>
      </c>
      <c r="B200" s="5">
        <v>193</v>
      </c>
      <c r="C200">
        <v>10630</v>
      </c>
      <c r="D200" t="s">
        <v>25616</v>
      </c>
      <c r="E200" t="s">
        <v>54</v>
      </c>
      <c r="F200" t="s">
        <v>20</v>
      </c>
      <c r="G200" t="s">
        <v>25617</v>
      </c>
      <c r="H200">
        <v>16.5</v>
      </c>
      <c r="I200">
        <v>0</v>
      </c>
      <c r="J200">
        <v>0</v>
      </c>
      <c r="K200">
        <v>20</v>
      </c>
      <c r="N200">
        <v>3</v>
      </c>
      <c r="O200">
        <v>3</v>
      </c>
      <c r="P200">
        <v>4</v>
      </c>
      <c r="Q200">
        <v>2</v>
      </c>
      <c r="R200">
        <v>45.5</v>
      </c>
      <c r="S200">
        <v>17</v>
      </c>
      <c r="T200">
        <v>17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17</v>
      </c>
      <c r="AB200">
        <v>3</v>
      </c>
      <c r="AC200">
        <v>0</v>
      </c>
      <c r="AH200">
        <v>65.5</v>
      </c>
    </row>
    <row r="201" spans="1:34" x14ac:dyDescent="0.3">
      <c r="A201" s="4">
        <v>229</v>
      </c>
      <c r="B201" s="5">
        <v>194</v>
      </c>
      <c r="C201">
        <v>10034</v>
      </c>
      <c r="D201" t="s">
        <v>25618</v>
      </c>
      <c r="E201" t="s">
        <v>161</v>
      </c>
      <c r="F201" t="s">
        <v>20</v>
      </c>
      <c r="G201" t="s">
        <v>25619</v>
      </c>
      <c r="H201">
        <v>18.18</v>
      </c>
      <c r="I201">
        <v>0</v>
      </c>
      <c r="J201">
        <v>0</v>
      </c>
      <c r="K201">
        <v>20</v>
      </c>
      <c r="L201">
        <v>7</v>
      </c>
      <c r="O201">
        <v>7</v>
      </c>
      <c r="P201">
        <v>4</v>
      </c>
      <c r="Q201">
        <v>2</v>
      </c>
      <c r="R201">
        <v>51.18</v>
      </c>
      <c r="S201">
        <v>14</v>
      </c>
      <c r="T201">
        <v>14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14</v>
      </c>
      <c r="AB201">
        <v>0</v>
      </c>
      <c r="AC201">
        <v>0</v>
      </c>
      <c r="AD201" t="s">
        <v>130</v>
      </c>
      <c r="AH201">
        <v>65.180000000000007</v>
      </c>
    </row>
    <row r="202" spans="1:34" x14ac:dyDescent="0.3">
      <c r="A202" s="4">
        <v>230</v>
      </c>
      <c r="B202" s="5">
        <v>195</v>
      </c>
      <c r="C202">
        <v>10735</v>
      </c>
      <c r="D202" t="s">
        <v>1284</v>
      </c>
      <c r="E202" t="s">
        <v>166</v>
      </c>
      <c r="F202" t="s">
        <v>20</v>
      </c>
      <c r="G202" t="s">
        <v>25620</v>
      </c>
      <c r="H202">
        <v>17.95</v>
      </c>
      <c r="I202">
        <v>0</v>
      </c>
      <c r="J202">
        <v>0</v>
      </c>
      <c r="K202">
        <v>20</v>
      </c>
      <c r="N202">
        <v>6</v>
      </c>
      <c r="O202">
        <v>6</v>
      </c>
      <c r="P202">
        <v>4</v>
      </c>
      <c r="Q202">
        <v>2</v>
      </c>
      <c r="R202">
        <v>49.95</v>
      </c>
      <c r="S202">
        <v>8</v>
      </c>
      <c r="T202">
        <v>8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8</v>
      </c>
      <c r="AB202">
        <v>6</v>
      </c>
      <c r="AC202">
        <v>0</v>
      </c>
      <c r="AH202">
        <v>63.95</v>
      </c>
    </row>
    <row r="203" spans="1:34" x14ac:dyDescent="0.3">
      <c r="A203" s="4">
        <v>231</v>
      </c>
      <c r="B203" s="5">
        <v>196</v>
      </c>
      <c r="C203">
        <v>2953</v>
      </c>
      <c r="D203" t="s">
        <v>25621</v>
      </c>
      <c r="E203" t="s">
        <v>25622</v>
      </c>
      <c r="F203" t="s">
        <v>13835</v>
      </c>
      <c r="G203" t="s">
        <v>25623</v>
      </c>
      <c r="H203">
        <v>15.05</v>
      </c>
      <c r="I203">
        <v>0</v>
      </c>
      <c r="J203">
        <v>0</v>
      </c>
      <c r="K203">
        <v>0</v>
      </c>
      <c r="N203">
        <v>3</v>
      </c>
      <c r="O203">
        <v>3</v>
      </c>
      <c r="P203">
        <v>4</v>
      </c>
      <c r="Q203">
        <v>0</v>
      </c>
      <c r="R203">
        <v>22.05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40</v>
      </c>
      <c r="AD203" t="s">
        <v>130</v>
      </c>
      <c r="AH203">
        <v>62.05</v>
      </c>
    </row>
    <row r="204" spans="1:34" x14ac:dyDescent="0.3">
      <c r="A204" s="4">
        <v>232</v>
      </c>
      <c r="B204" s="5">
        <v>197</v>
      </c>
      <c r="C204">
        <v>14257</v>
      </c>
      <c r="D204" t="s">
        <v>3766</v>
      </c>
      <c r="E204" t="s">
        <v>283</v>
      </c>
      <c r="F204" t="s">
        <v>2598</v>
      </c>
      <c r="G204" t="s">
        <v>25624</v>
      </c>
      <c r="H204">
        <v>19</v>
      </c>
      <c r="I204">
        <v>7</v>
      </c>
      <c r="J204">
        <v>0</v>
      </c>
      <c r="K204">
        <v>20</v>
      </c>
      <c r="L204">
        <v>7</v>
      </c>
      <c r="O204">
        <v>7</v>
      </c>
      <c r="P204">
        <v>4</v>
      </c>
      <c r="Q204">
        <v>2</v>
      </c>
      <c r="R204">
        <v>59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3</v>
      </c>
      <c r="AC204">
        <v>0</v>
      </c>
      <c r="AH204">
        <v>62</v>
      </c>
    </row>
    <row r="205" spans="1:34" x14ac:dyDescent="0.3">
      <c r="A205" s="4">
        <v>233</v>
      </c>
      <c r="B205" s="5">
        <v>198</v>
      </c>
      <c r="C205">
        <v>529</v>
      </c>
      <c r="D205" t="s">
        <v>25625</v>
      </c>
      <c r="E205" t="s">
        <v>343</v>
      </c>
      <c r="F205" t="s">
        <v>190</v>
      </c>
      <c r="G205" t="s">
        <v>25626</v>
      </c>
      <c r="H205">
        <v>19.829999999999998</v>
      </c>
      <c r="I205">
        <v>0</v>
      </c>
      <c r="J205">
        <v>0</v>
      </c>
      <c r="K205">
        <v>28</v>
      </c>
      <c r="M205">
        <v>5</v>
      </c>
      <c r="N205">
        <v>3</v>
      </c>
      <c r="O205">
        <v>8</v>
      </c>
      <c r="P205">
        <v>4</v>
      </c>
      <c r="Q205">
        <v>2</v>
      </c>
      <c r="R205">
        <v>61.83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H205">
        <v>61.83</v>
      </c>
    </row>
    <row r="206" spans="1:34" x14ac:dyDescent="0.3">
      <c r="A206" s="4">
        <v>234</v>
      </c>
      <c r="B206" s="5">
        <v>199</v>
      </c>
      <c r="C206">
        <v>8802</v>
      </c>
      <c r="D206" t="s">
        <v>12167</v>
      </c>
      <c r="E206" t="s">
        <v>22</v>
      </c>
      <c r="F206" t="s">
        <v>2582</v>
      </c>
      <c r="G206" t="s">
        <v>25627</v>
      </c>
      <c r="H206">
        <v>19.25</v>
      </c>
      <c r="I206">
        <v>0</v>
      </c>
      <c r="J206">
        <v>0</v>
      </c>
      <c r="K206">
        <v>20</v>
      </c>
      <c r="L206">
        <v>7</v>
      </c>
      <c r="O206">
        <v>7</v>
      </c>
      <c r="P206">
        <v>4</v>
      </c>
      <c r="Q206">
        <v>2</v>
      </c>
      <c r="R206">
        <v>52.25</v>
      </c>
      <c r="S206">
        <v>3</v>
      </c>
      <c r="T206">
        <v>3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3</v>
      </c>
      <c r="AB206">
        <v>6</v>
      </c>
      <c r="AC206">
        <v>0</v>
      </c>
      <c r="AD206" t="s">
        <v>130</v>
      </c>
      <c r="AH206">
        <v>61.25</v>
      </c>
    </row>
    <row r="207" spans="1:34" x14ac:dyDescent="0.3">
      <c r="A207" s="4">
        <v>235</v>
      </c>
      <c r="B207" s="5">
        <v>200</v>
      </c>
      <c r="C207">
        <v>11663</v>
      </c>
      <c r="D207" t="s">
        <v>3000</v>
      </c>
      <c r="E207" t="s">
        <v>471</v>
      </c>
      <c r="F207" t="s">
        <v>81</v>
      </c>
      <c r="G207" t="s">
        <v>25628</v>
      </c>
      <c r="H207">
        <v>19.25</v>
      </c>
      <c r="I207">
        <v>0</v>
      </c>
      <c r="J207">
        <v>0</v>
      </c>
      <c r="K207">
        <v>20</v>
      </c>
      <c r="L207">
        <v>7</v>
      </c>
      <c r="N207">
        <v>3</v>
      </c>
      <c r="O207">
        <v>10</v>
      </c>
      <c r="P207">
        <v>4</v>
      </c>
      <c r="Q207">
        <v>2</v>
      </c>
      <c r="R207">
        <v>55.25</v>
      </c>
      <c r="S207">
        <v>5</v>
      </c>
      <c r="T207">
        <v>5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5</v>
      </c>
      <c r="AB207">
        <v>0</v>
      </c>
      <c r="AC207">
        <v>0</v>
      </c>
      <c r="AH207">
        <v>60.25</v>
      </c>
    </row>
    <row r="208" spans="1:34" x14ac:dyDescent="0.3">
      <c r="A208" s="4">
        <v>236</v>
      </c>
      <c r="B208" s="5">
        <v>201</v>
      </c>
      <c r="C208">
        <v>2297</v>
      </c>
      <c r="D208" t="s">
        <v>25629</v>
      </c>
      <c r="E208" t="s">
        <v>149</v>
      </c>
      <c r="F208" t="s">
        <v>117</v>
      </c>
      <c r="G208" t="s">
        <v>25630</v>
      </c>
      <c r="H208">
        <v>18.93</v>
      </c>
      <c r="I208">
        <v>0</v>
      </c>
      <c r="J208">
        <v>0</v>
      </c>
      <c r="K208">
        <v>28</v>
      </c>
      <c r="L208">
        <v>7</v>
      </c>
      <c r="O208">
        <v>7</v>
      </c>
      <c r="P208">
        <v>4</v>
      </c>
      <c r="Q208">
        <v>2</v>
      </c>
      <c r="R208">
        <v>59.93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H208">
        <v>59.93</v>
      </c>
    </row>
    <row r="209" spans="1:34" x14ac:dyDescent="0.3">
      <c r="A209" s="4">
        <v>237</v>
      </c>
      <c r="B209" s="5">
        <v>202</v>
      </c>
      <c r="C209">
        <v>2832</v>
      </c>
      <c r="D209" t="s">
        <v>25631</v>
      </c>
      <c r="E209" t="s">
        <v>957</v>
      </c>
      <c r="F209" t="s">
        <v>20</v>
      </c>
      <c r="G209" t="s">
        <v>25632</v>
      </c>
      <c r="H209">
        <v>20.5</v>
      </c>
      <c r="I209">
        <v>0</v>
      </c>
      <c r="J209">
        <v>0</v>
      </c>
      <c r="K209">
        <v>20</v>
      </c>
      <c r="L209">
        <v>7</v>
      </c>
      <c r="O209">
        <v>7</v>
      </c>
      <c r="P209">
        <v>4</v>
      </c>
      <c r="Q209">
        <v>2</v>
      </c>
      <c r="R209">
        <v>53.5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</v>
      </c>
      <c r="AC209">
        <v>0</v>
      </c>
      <c r="AH209">
        <v>59.5</v>
      </c>
    </row>
    <row r="210" spans="1:34" x14ac:dyDescent="0.3">
      <c r="A210" s="4">
        <v>238</v>
      </c>
      <c r="B210" s="5">
        <v>203</v>
      </c>
      <c r="C210">
        <v>12498</v>
      </c>
      <c r="D210" t="s">
        <v>25633</v>
      </c>
      <c r="E210" t="s">
        <v>20</v>
      </c>
      <c r="F210" t="s">
        <v>81</v>
      </c>
      <c r="G210">
        <v>264307033</v>
      </c>
      <c r="H210">
        <v>19.399999999999999</v>
      </c>
      <c r="I210">
        <v>0</v>
      </c>
      <c r="J210">
        <v>0</v>
      </c>
      <c r="K210">
        <v>20</v>
      </c>
      <c r="L210">
        <v>7</v>
      </c>
      <c r="O210">
        <v>7</v>
      </c>
      <c r="P210">
        <v>4</v>
      </c>
      <c r="Q210">
        <v>0</v>
      </c>
      <c r="R210">
        <v>50.4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9</v>
      </c>
      <c r="AC210">
        <v>0</v>
      </c>
      <c r="AH210">
        <v>59.4</v>
      </c>
    </row>
    <row r="211" spans="1:34" x14ac:dyDescent="0.3">
      <c r="A211" s="4">
        <v>239</v>
      </c>
      <c r="B211" s="5">
        <v>204</v>
      </c>
      <c r="C211">
        <v>5619</v>
      </c>
      <c r="D211" t="s">
        <v>11988</v>
      </c>
      <c r="E211" t="s">
        <v>54</v>
      </c>
      <c r="F211" t="s">
        <v>1593</v>
      </c>
      <c r="G211" t="s">
        <v>25634</v>
      </c>
      <c r="H211">
        <v>17.350000000000001</v>
      </c>
      <c r="I211">
        <v>0</v>
      </c>
      <c r="J211">
        <v>0</v>
      </c>
      <c r="K211">
        <v>20</v>
      </c>
      <c r="L211">
        <v>7</v>
      </c>
      <c r="N211">
        <v>3</v>
      </c>
      <c r="O211">
        <v>10</v>
      </c>
      <c r="P211">
        <v>4</v>
      </c>
      <c r="Q211">
        <v>0</v>
      </c>
      <c r="R211">
        <v>51.35</v>
      </c>
      <c r="S211">
        <v>5</v>
      </c>
      <c r="T211">
        <v>5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5</v>
      </c>
      <c r="AB211">
        <v>3</v>
      </c>
      <c r="AC211">
        <v>0</v>
      </c>
      <c r="AH211">
        <v>59.35</v>
      </c>
    </row>
    <row r="212" spans="1:34" x14ac:dyDescent="0.3">
      <c r="A212" s="4">
        <v>240</v>
      </c>
      <c r="B212" s="5">
        <v>205</v>
      </c>
      <c r="C212">
        <v>15542</v>
      </c>
      <c r="D212" t="s">
        <v>25635</v>
      </c>
      <c r="E212" t="s">
        <v>17</v>
      </c>
      <c r="F212" t="s">
        <v>25636</v>
      </c>
      <c r="G212" t="s">
        <v>25637</v>
      </c>
      <c r="H212">
        <v>20.85</v>
      </c>
      <c r="I212">
        <v>7</v>
      </c>
      <c r="J212">
        <v>0</v>
      </c>
      <c r="K212">
        <v>20</v>
      </c>
      <c r="L212">
        <v>7</v>
      </c>
      <c r="O212">
        <v>7</v>
      </c>
      <c r="P212">
        <v>4</v>
      </c>
      <c r="Q212">
        <v>0</v>
      </c>
      <c r="R212">
        <v>58.85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H212">
        <v>58.85</v>
      </c>
    </row>
    <row r="213" spans="1:34" x14ac:dyDescent="0.3">
      <c r="A213" s="4">
        <v>241</v>
      </c>
      <c r="B213" s="5">
        <v>206</v>
      </c>
      <c r="C213">
        <v>14399</v>
      </c>
      <c r="D213" t="s">
        <v>3570</v>
      </c>
      <c r="E213" t="s">
        <v>283</v>
      </c>
      <c r="F213" t="s">
        <v>62</v>
      </c>
      <c r="G213" t="s">
        <v>25638</v>
      </c>
      <c r="H213">
        <v>18.75</v>
      </c>
      <c r="I213">
        <v>0</v>
      </c>
      <c r="J213">
        <v>0</v>
      </c>
      <c r="K213">
        <v>20</v>
      </c>
      <c r="L213">
        <v>7</v>
      </c>
      <c r="N213">
        <v>3</v>
      </c>
      <c r="O213">
        <v>10</v>
      </c>
      <c r="P213">
        <v>4</v>
      </c>
      <c r="Q213">
        <v>0</v>
      </c>
      <c r="R213">
        <v>52.75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6</v>
      </c>
      <c r="AC213">
        <v>0</v>
      </c>
      <c r="AH213">
        <v>58.75</v>
      </c>
    </row>
    <row r="214" spans="1:34" x14ac:dyDescent="0.3">
      <c r="A214" s="4">
        <v>242</v>
      </c>
      <c r="B214" s="5">
        <v>207</v>
      </c>
      <c r="C214">
        <v>5223</v>
      </c>
      <c r="D214" t="s">
        <v>25639</v>
      </c>
      <c r="E214" t="s">
        <v>10013</v>
      </c>
      <c r="F214" t="s">
        <v>23497</v>
      </c>
      <c r="G214" t="s">
        <v>25640</v>
      </c>
      <c r="H214">
        <v>19.399999999999999</v>
      </c>
      <c r="I214">
        <v>0</v>
      </c>
      <c r="J214">
        <v>0</v>
      </c>
      <c r="K214">
        <v>20</v>
      </c>
      <c r="N214">
        <v>6</v>
      </c>
      <c r="O214">
        <v>6</v>
      </c>
      <c r="P214">
        <v>4</v>
      </c>
      <c r="Q214">
        <v>0</v>
      </c>
      <c r="R214">
        <v>49.4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9</v>
      </c>
      <c r="AC214">
        <v>0</v>
      </c>
      <c r="AH214">
        <v>58.4</v>
      </c>
    </row>
    <row r="215" spans="1:34" x14ac:dyDescent="0.3">
      <c r="A215" s="4">
        <v>243</v>
      </c>
      <c r="B215" s="5">
        <v>208</v>
      </c>
      <c r="C215">
        <v>6404</v>
      </c>
      <c r="D215" t="s">
        <v>25641</v>
      </c>
      <c r="E215" t="s">
        <v>17</v>
      </c>
      <c r="F215" t="s">
        <v>52</v>
      </c>
      <c r="G215" t="s">
        <v>25642</v>
      </c>
      <c r="H215">
        <v>19.399999999999999</v>
      </c>
      <c r="I215">
        <v>0</v>
      </c>
      <c r="J215">
        <v>0</v>
      </c>
      <c r="K215">
        <v>20</v>
      </c>
      <c r="L215">
        <v>7</v>
      </c>
      <c r="O215">
        <v>7</v>
      </c>
      <c r="P215">
        <v>4</v>
      </c>
      <c r="Q215">
        <v>0</v>
      </c>
      <c r="R215">
        <v>50.4</v>
      </c>
      <c r="S215">
        <v>8</v>
      </c>
      <c r="T215">
        <v>8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8</v>
      </c>
      <c r="AB215">
        <v>0</v>
      </c>
      <c r="AC215">
        <v>0</v>
      </c>
      <c r="AH215">
        <v>58.4</v>
      </c>
    </row>
    <row r="216" spans="1:34" x14ac:dyDescent="0.3">
      <c r="A216" s="4">
        <v>244</v>
      </c>
      <c r="B216" s="5">
        <v>209</v>
      </c>
      <c r="C216">
        <v>4355</v>
      </c>
      <c r="D216" t="s">
        <v>25597</v>
      </c>
      <c r="E216" t="s">
        <v>17</v>
      </c>
      <c r="F216" t="s">
        <v>381</v>
      </c>
      <c r="G216" t="s">
        <v>25643</v>
      </c>
      <c r="H216">
        <v>18.079999999999998</v>
      </c>
      <c r="I216">
        <v>0</v>
      </c>
      <c r="J216">
        <v>0</v>
      </c>
      <c r="K216">
        <v>20</v>
      </c>
      <c r="L216">
        <v>7</v>
      </c>
      <c r="N216">
        <v>3</v>
      </c>
      <c r="O216">
        <v>10</v>
      </c>
      <c r="P216">
        <v>4</v>
      </c>
      <c r="Q216">
        <v>0</v>
      </c>
      <c r="R216">
        <v>52.08</v>
      </c>
      <c r="S216">
        <v>6</v>
      </c>
      <c r="T216">
        <v>6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6</v>
      </c>
      <c r="AB216">
        <v>0</v>
      </c>
      <c r="AC216">
        <v>0</v>
      </c>
      <c r="AH216">
        <v>58.08</v>
      </c>
    </row>
    <row r="217" spans="1:34" x14ac:dyDescent="0.3">
      <c r="A217" s="4">
        <v>245</v>
      </c>
      <c r="B217" s="5">
        <v>210</v>
      </c>
      <c r="C217">
        <v>10154</v>
      </c>
      <c r="D217" t="s">
        <v>21118</v>
      </c>
      <c r="E217" t="s">
        <v>81</v>
      </c>
      <c r="F217" t="s">
        <v>38</v>
      </c>
      <c r="G217" t="s">
        <v>21119</v>
      </c>
      <c r="H217">
        <v>19.850000000000001</v>
      </c>
      <c r="I217">
        <v>7</v>
      </c>
      <c r="J217">
        <v>0</v>
      </c>
      <c r="K217">
        <v>20</v>
      </c>
      <c r="L217">
        <v>7</v>
      </c>
      <c r="O217">
        <v>7</v>
      </c>
      <c r="P217">
        <v>4</v>
      </c>
      <c r="Q217">
        <v>0</v>
      </c>
      <c r="R217">
        <v>57.85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 t="s">
        <v>130</v>
      </c>
      <c r="AH217">
        <v>57.85</v>
      </c>
    </row>
    <row r="218" spans="1:34" x14ac:dyDescent="0.3">
      <c r="A218" s="4">
        <v>246</v>
      </c>
      <c r="B218" s="5">
        <v>211</v>
      </c>
      <c r="C218">
        <v>8787</v>
      </c>
      <c r="D218" t="s">
        <v>1950</v>
      </c>
      <c r="E218" t="s">
        <v>837</v>
      </c>
      <c r="F218" t="s">
        <v>570</v>
      </c>
      <c r="G218" t="s">
        <v>25644</v>
      </c>
      <c r="H218">
        <v>17.8</v>
      </c>
      <c r="I218">
        <v>0</v>
      </c>
      <c r="J218">
        <v>0</v>
      </c>
      <c r="K218">
        <v>20</v>
      </c>
      <c r="L218">
        <v>7</v>
      </c>
      <c r="N218">
        <v>3</v>
      </c>
      <c r="O218">
        <v>10</v>
      </c>
      <c r="P218">
        <v>4</v>
      </c>
      <c r="Q218">
        <v>0</v>
      </c>
      <c r="R218">
        <v>51.8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6</v>
      </c>
      <c r="AC218">
        <v>0</v>
      </c>
      <c r="AD218" t="s">
        <v>130</v>
      </c>
      <c r="AH218">
        <v>57.8</v>
      </c>
    </row>
    <row r="219" spans="1:34" x14ac:dyDescent="0.3">
      <c r="A219" s="4">
        <v>247</v>
      </c>
      <c r="B219" s="5">
        <v>212</v>
      </c>
      <c r="C219">
        <v>5060</v>
      </c>
      <c r="D219" t="s">
        <v>25372</v>
      </c>
      <c r="E219" t="s">
        <v>957</v>
      </c>
      <c r="F219" t="s">
        <v>136</v>
      </c>
      <c r="G219" t="s">
        <v>25645</v>
      </c>
      <c r="H219">
        <v>23.83</v>
      </c>
      <c r="I219">
        <v>0</v>
      </c>
      <c r="J219">
        <v>0</v>
      </c>
      <c r="K219">
        <v>20</v>
      </c>
      <c r="L219">
        <v>7</v>
      </c>
      <c r="O219">
        <v>7</v>
      </c>
      <c r="P219">
        <v>4</v>
      </c>
      <c r="Q219">
        <v>2</v>
      </c>
      <c r="R219">
        <v>56.83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H219">
        <v>56.83</v>
      </c>
    </row>
    <row r="220" spans="1:34" x14ac:dyDescent="0.3">
      <c r="A220" s="4">
        <v>248</v>
      </c>
      <c r="B220" s="5">
        <v>213</v>
      </c>
      <c r="C220">
        <v>9651</v>
      </c>
      <c r="D220" t="s">
        <v>8480</v>
      </c>
      <c r="E220" t="s">
        <v>38</v>
      </c>
      <c r="F220" t="s">
        <v>20</v>
      </c>
      <c r="G220" t="s">
        <v>25646</v>
      </c>
      <c r="H220">
        <v>14.38</v>
      </c>
      <c r="I220">
        <v>0</v>
      </c>
      <c r="J220">
        <v>0</v>
      </c>
      <c r="K220">
        <v>0</v>
      </c>
      <c r="O220">
        <v>0</v>
      </c>
      <c r="P220">
        <v>4</v>
      </c>
      <c r="Q220">
        <v>0</v>
      </c>
      <c r="R220">
        <v>18.38</v>
      </c>
      <c r="S220">
        <v>7</v>
      </c>
      <c r="T220">
        <v>7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7</v>
      </c>
      <c r="AB220">
        <v>6</v>
      </c>
      <c r="AC220">
        <v>25.2</v>
      </c>
      <c r="AH220">
        <v>56.58</v>
      </c>
    </row>
    <row r="221" spans="1:34" x14ac:dyDescent="0.3">
      <c r="A221" s="4">
        <v>249</v>
      </c>
      <c r="B221" s="5">
        <v>214</v>
      </c>
      <c r="C221">
        <v>39</v>
      </c>
      <c r="D221" t="s">
        <v>577</v>
      </c>
      <c r="E221" t="s">
        <v>692</v>
      </c>
      <c r="F221" t="s">
        <v>62</v>
      </c>
      <c r="G221" t="s">
        <v>25647</v>
      </c>
      <c r="H221">
        <v>17.5</v>
      </c>
      <c r="I221">
        <v>0</v>
      </c>
      <c r="J221">
        <v>0</v>
      </c>
      <c r="K221">
        <v>20</v>
      </c>
      <c r="L221">
        <v>7</v>
      </c>
      <c r="O221">
        <v>7</v>
      </c>
      <c r="P221">
        <v>4</v>
      </c>
      <c r="Q221">
        <v>2</v>
      </c>
      <c r="R221">
        <v>50.5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6</v>
      </c>
      <c r="AC221">
        <v>0</v>
      </c>
      <c r="AH221">
        <v>56.5</v>
      </c>
    </row>
    <row r="222" spans="1:34" x14ac:dyDescent="0.3">
      <c r="A222" s="4">
        <v>250</v>
      </c>
      <c r="B222" s="5">
        <v>215</v>
      </c>
      <c r="C222">
        <v>2394</v>
      </c>
      <c r="D222" t="s">
        <v>25648</v>
      </c>
      <c r="E222" t="s">
        <v>789</v>
      </c>
      <c r="F222" t="s">
        <v>20</v>
      </c>
      <c r="G222" t="s">
        <v>25649</v>
      </c>
      <c r="H222">
        <v>20.45</v>
      </c>
      <c r="I222">
        <v>0</v>
      </c>
      <c r="J222">
        <v>0</v>
      </c>
      <c r="K222">
        <v>20</v>
      </c>
      <c r="L222">
        <v>7</v>
      </c>
      <c r="N222">
        <v>3</v>
      </c>
      <c r="O222">
        <v>10</v>
      </c>
      <c r="P222">
        <v>4</v>
      </c>
      <c r="Q222">
        <v>2</v>
      </c>
      <c r="R222">
        <v>56.45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H222">
        <v>56.45</v>
      </c>
    </row>
    <row r="223" spans="1:34" x14ac:dyDescent="0.3">
      <c r="A223" s="4">
        <v>251</v>
      </c>
      <c r="B223" s="5">
        <v>216</v>
      </c>
      <c r="C223">
        <v>15711</v>
      </c>
      <c r="D223" t="s">
        <v>10319</v>
      </c>
      <c r="E223" t="s">
        <v>2150</v>
      </c>
      <c r="F223" t="s">
        <v>375</v>
      </c>
      <c r="G223" t="s">
        <v>25650</v>
      </c>
      <c r="H223">
        <v>20.25</v>
      </c>
      <c r="I223">
        <v>7</v>
      </c>
      <c r="J223">
        <v>0</v>
      </c>
      <c r="K223">
        <v>20</v>
      </c>
      <c r="N223">
        <v>3</v>
      </c>
      <c r="O223">
        <v>3</v>
      </c>
      <c r="P223">
        <v>4</v>
      </c>
      <c r="Q223">
        <v>2</v>
      </c>
      <c r="R223">
        <v>56.25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H223">
        <v>56.25</v>
      </c>
    </row>
    <row r="224" spans="1:34" x14ac:dyDescent="0.3">
      <c r="A224" s="4">
        <v>252</v>
      </c>
      <c r="B224" s="5">
        <v>217</v>
      </c>
      <c r="C224">
        <v>15496</v>
      </c>
      <c r="D224" t="s">
        <v>4988</v>
      </c>
      <c r="E224" t="s">
        <v>110</v>
      </c>
      <c r="F224" t="s">
        <v>38</v>
      </c>
      <c r="G224" t="s">
        <v>25651</v>
      </c>
      <c r="H224">
        <v>15.28</v>
      </c>
      <c r="I224">
        <v>0</v>
      </c>
      <c r="J224">
        <v>0</v>
      </c>
      <c r="K224">
        <v>0</v>
      </c>
      <c r="L224">
        <v>7</v>
      </c>
      <c r="O224">
        <v>7</v>
      </c>
      <c r="P224">
        <v>4</v>
      </c>
      <c r="Q224">
        <v>0</v>
      </c>
      <c r="R224">
        <v>26.28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3</v>
      </c>
      <c r="AC224">
        <v>26.8</v>
      </c>
      <c r="AH224">
        <v>56.08</v>
      </c>
    </row>
    <row r="225" spans="1:34" x14ac:dyDescent="0.3">
      <c r="A225" s="4">
        <v>253</v>
      </c>
      <c r="B225" s="5">
        <v>218</v>
      </c>
      <c r="C225">
        <v>7940</v>
      </c>
      <c r="D225" t="s">
        <v>1958</v>
      </c>
      <c r="E225" t="s">
        <v>178</v>
      </c>
      <c r="F225" t="s">
        <v>117</v>
      </c>
      <c r="G225" t="s">
        <v>25652</v>
      </c>
      <c r="H225">
        <v>19.829999999999998</v>
      </c>
      <c r="I225">
        <v>0</v>
      </c>
      <c r="J225">
        <v>0</v>
      </c>
      <c r="K225">
        <v>20</v>
      </c>
      <c r="N225">
        <v>6</v>
      </c>
      <c r="O225">
        <v>6</v>
      </c>
      <c r="P225">
        <v>4</v>
      </c>
      <c r="Q225">
        <v>0</v>
      </c>
      <c r="R225">
        <v>49.83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6</v>
      </c>
      <c r="AC225">
        <v>0</v>
      </c>
      <c r="AH225">
        <v>55.83</v>
      </c>
    </row>
    <row r="226" spans="1:34" x14ac:dyDescent="0.3">
      <c r="A226" s="4">
        <v>254</v>
      </c>
      <c r="B226" s="5">
        <v>219</v>
      </c>
      <c r="C226">
        <v>7542</v>
      </c>
      <c r="D226" t="s">
        <v>23906</v>
      </c>
      <c r="E226" t="s">
        <v>8000</v>
      </c>
      <c r="F226" t="s">
        <v>20</v>
      </c>
      <c r="G226" t="s">
        <v>25653</v>
      </c>
      <c r="H226">
        <v>18.75</v>
      </c>
      <c r="I226">
        <v>0</v>
      </c>
      <c r="J226">
        <v>0</v>
      </c>
      <c r="K226">
        <v>20</v>
      </c>
      <c r="L226">
        <v>7</v>
      </c>
      <c r="O226">
        <v>7</v>
      </c>
      <c r="P226">
        <v>4</v>
      </c>
      <c r="Q226">
        <v>0</v>
      </c>
      <c r="R226">
        <v>49.75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6</v>
      </c>
      <c r="AC226">
        <v>0</v>
      </c>
      <c r="AH226">
        <v>55.75</v>
      </c>
    </row>
    <row r="227" spans="1:34" x14ac:dyDescent="0.3">
      <c r="A227" s="4">
        <v>255</v>
      </c>
      <c r="B227" s="5">
        <v>220</v>
      </c>
      <c r="C227">
        <v>7184</v>
      </c>
      <c r="D227" t="s">
        <v>25654</v>
      </c>
      <c r="E227" t="s">
        <v>17</v>
      </c>
      <c r="F227" t="s">
        <v>38</v>
      </c>
      <c r="G227" t="s">
        <v>25655</v>
      </c>
      <c r="H227">
        <v>21.68</v>
      </c>
      <c r="I227">
        <v>7</v>
      </c>
      <c r="J227">
        <v>0</v>
      </c>
      <c r="K227">
        <v>20</v>
      </c>
      <c r="N227">
        <v>3</v>
      </c>
      <c r="O227">
        <v>3</v>
      </c>
      <c r="P227">
        <v>4</v>
      </c>
      <c r="Q227">
        <v>0</v>
      </c>
      <c r="R227">
        <v>55.68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H227">
        <v>55.68</v>
      </c>
    </row>
    <row r="228" spans="1:34" x14ac:dyDescent="0.3">
      <c r="A228" s="4">
        <v>256</v>
      </c>
      <c r="B228" s="5">
        <v>221</v>
      </c>
      <c r="C228">
        <v>1995</v>
      </c>
      <c r="D228" t="s">
        <v>944</v>
      </c>
      <c r="E228" t="s">
        <v>550</v>
      </c>
      <c r="F228" t="s">
        <v>1526</v>
      </c>
      <c r="G228" t="s">
        <v>25656</v>
      </c>
      <c r="H228">
        <v>17.149999999999999</v>
      </c>
      <c r="I228">
        <v>0</v>
      </c>
      <c r="J228">
        <v>0</v>
      </c>
      <c r="K228">
        <v>0</v>
      </c>
      <c r="L228">
        <v>7</v>
      </c>
      <c r="O228">
        <v>7</v>
      </c>
      <c r="P228">
        <v>4</v>
      </c>
      <c r="Q228">
        <v>0</v>
      </c>
      <c r="R228">
        <v>28.15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26.8</v>
      </c>
      <c r="AH228">
        <v>54.95</v>
      </c>
    </row>
    <row r="229" spans="1:34" x14ac:dyDescent="0.3">
      <c r="A229" s="4">
        <v>257</v>
      </c>
      <c r="B229" s="5">
        <v>222</v>
      </c>
      <c r="C229">
        <v>2715</v>
      </c>
      <c r="D229" t="s">
        <v>25657</v>
      </c>
      <c r="E229" t="s">
        <v>149</v>
      </c>
      <c r="F229" t="s">
        <v>117</v>
      </c>
      <c r="G229" t="s">
        <v>25658</v>
      </c>
      <c r="H229">
        <v>15.83</v>
      </c>
      <c r="I229">
        <v>0</v>
      </c>
      <c r="J229">
        <v>0</v>
      </c>
      <c r="K229">
        <v>20</v>
      </c>
      <c r="L229">
        <v>7</v>
      </c>
      <c r="O229">
        <v>7</v>
      </c>
      <c r="P229">
        <v>4</v>
      </c>
      <c r="Q229">
        <v>2</v>
      </c>
      <c r="R229">
        <v>48.83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6</v>
      </c>
      <c r="AC229">
        <v>0</v>
      </c>
      <c r="AD229" t="s">
        <v>130</v>
      </c>
      <c r="AH229">
        <v>54.83</v>
      </c>
    </row>
    <row r="230" spans="1:34" x14ac:dyDescent="0.3">
      <c r="A230" s="4">
        <v>258</v>
      </c>
      <c r="B230" s="5">
        <v>223</v>
      </c>
      <c r="C230">
        <v>9760</v>
      </c>
      <c r="D230" t="s">
        <v>15490</v>
      </c>
      <c r="E230" t="s">
        <v>413</v>
      </c>
      <c r="F230" t="s">
        <v>55</v>
      </c>
      <c r="G230" t="s">
        <v>25659</v>
      </c>
      <c r="H230">
        <v>18.38</v>
      </c>
      <c r="I230">
        <v>0</v>
      </c>
      <c r="J230">
        <v>0</v>
      </c>
      <c r="K230">
        <v>20</v>
      </c>
      <c r="L230">
        <v>7</v>
      </c>
      <c r="N230">
        <v>3</v>
      </c>
      <c r="O230">
        <v>10</v>
      </c>
      <c r="P230">
        <v>4</v>
      </c>
      <c r="Q230">
        <v>2</v>
      </c>
      <c r="R230">
        <v>54.38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H230">
        <v>54.38</v>
      </c>
    </row>
    <row r="231" spans="1:34" x14ac:dyDescent="0.3">
      <c r="A231" s="4">
        <v>259</v>
      </c>
      <c r="B231" s="5">
        <v>224</v>
      </c>
      <c r="C231">
        <v>8644</v>
      </c>
      <c r="D231" t="s">
        <v>25660</v>
      </c>
      <c r="E231" t="s">
        <v>3313</v>
      </c>
      <c r="F231" t="s">
        <v>750</v>
      </c>
      <c r="G231" t="s">
        <v>25661</v>
      </c>
      <c r="H231">
        <v>20.350000000000001</v>
      </c>
      <c r="I231">
        <v>0</v>
      </c>
      <c r="J231">
        <v>0</v>
      </c>
      <c r="K231">
        <v>20</v>
      </c>
      <c r="L231">
        <v>7</v>
      </c>
      <c r="N231">
        <v>3</v>
      </c>
      <c r="O231">
        <v>10</v>
      </c>
      <c r="P231">
        <v>4</v>
      </c>
      <c r="Q231">
        <v>0</v>
      </c>
      <c r="R231">
        <v>54.35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H231">
        <v>54.35</v>
      </c>
    </row>
    <row r="232" spans="1:34" x14ac:dyDescent="0.3">
      <c r="A232" s="4">
        <v>260</v>
      </c>
      <c r="B232" s="5">
        <v>225</v>
      </c>
      <c r="C232">
        <v>5627</v>
      </c>
      <c r="D232" t="s">
        <v>25662</v>
      </c>
      <c r="E232" t="s">
        <v>2795</v>
      </c>
      <c r="F232" t="s">
        <v>117</v>
      </c>
      <c r="G232" t="s">
        <v>25663</v>
      </c>
      <c r="H232">
        <v>16.88</v>
      </c>
      <c r="I232">
        <v>0</v>
      </c>
      <c r="J232">
        <v>0</v>
      </c>
      <c r="K232">
        <v>0</v>
      </c>
      <c r="L232">
        <v>7</v>
      </c>
      <c r="N232">
        <v>3</v>
      </c>
      <c r="O232">
        <v>10</v>
      </c>
      <c r="P232">
        <v>4</v>
      </c>
      <c r="Q232">
        <v>2</v>
      </c>
      <c r="R232">
        <v>32.880000000000003</v>
      </c>
      <c r="S232">
        <v>7</v>
      </c>
      <c r="T232">
        <v>7</v>
      </c>
      <c r="U232">
        <v>7</v>
      </c>
      <c r="V232">
        <v>14</v>
      </c>
      <c r="W232">
        <v>0</v>
      </c>
      <c r="X232">
        <v>0</v>
      </c>
      <c r="Y232">
        <v>0</v>
      </c>
      <c r="Z232">
        <v>0</v>
      </c>
      <c r="AA232">
        <v>21</v>
      </c>
      <c r="AB232">
        <v>0</v>
      </c>
      <c r="AC232">
        <v>0</v>
      </c>
      <c r="AH232">
        <v>53.88</v>
      </c>
    </row>
    <row r="233" spans="1:34" x14ac:dyDescent="0.3">
      <c r="A233" s="4">
        <v>261</v>
      </c>
      <c r="B233" s="5">
        <v>226</v>
      </c>
      <c r="C233">
        <v>144</v>
      </c>
      <c r="D233" t="s">
        <v>25664</v>
      </c>
      <c r="E233" t="s">
        <v>20</v>
      </c>
      <c r="F233" t="s">
        <v>416</v>
      </c>
      <c r="G233" t="s">
        <v>25665</v>
      </c>
      <c r="H233">
        <v>20.85</v>
      </c>
      <c r="I233">
        <v>0</v>
      </c>
      <c r="J233">
        <v>0</v>
      </c>
      <c r="K233">
        <v>20</v>
      </c>
      <c r="L233">
        <v>7</v>
      </c>
      <c r="O233">
        <v>7</v>
      </c>
      <c r="P233">
        <v>4</v>
      </c>
      <c r="Q233">
        <v>2</v>
      </c>
      <c r="R233">
        <v>53.85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H233">
        <v>53.85</v>
      </c>
    </row>
    <row r="234" spans="1:34" x14ac:dyDescent="0.3">
      <c r="A234" s="4">
        <v>262</v>
      </c>
      <c r="B234" s="5">
        <v>227</v>
      </c>
      <c r="C234">
        <v>11361</v>
      </c>
      <c r="D234" t="s">
        <v>4526</v>
      </c>
      <c r="E234" t="s">
        <v>143</v>
      </c>
      <c r="F234" t="s">
        <v>17</v>
      </c>
      <c r="G234" t="s">
        <v>25666</v>
      </c>
      <c r="H234">
        <v>15.6</v>
      </c>
      <c r="I234">
        <v>0</v>
      </c>
      <c r="J234">
        <v>0</v>
      </c>
      <c r="K234">
        <v>20</v>
      </c>
      <c r="N234">
        <v>3</v>
      </c>
      <c r="O234">
        <v>3</v>
      </c>
      <c r="P234">
        <v>4</v>
      </c>
      <c r="Q234">
        <v>0</v>
      </c>
      <c r="R234">
        <v>42.6</v>
      </c>
      <c r="S234">
        <v>11</v>
      </c>
      <c r="T234">
        <v>11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11</v>
      </c>
      <c r="AB234">
        <v>0</v>
      </c>
      <c r="AC234">
        <v>0</v>
      </c>
      <c r="AD234" t="s">
        <v>130</v>
      </c>
      <c r="AH234">
        <v>53.6</v>
      </c>
    </row>
    <row r="235" spans="1:34" x14ac:dyDescent="0.3">
      <c r="A235" s="4">
        <v>263</v>
      </c>
      <c r="B235" s="5">
        <v>228</v>
      </c>
      <c r="C235">
        <v>11943</v>
      </c>
      <c r="D235" t="s">
        <v>25667</v>
      </c>
      <c r="E235" t="s">
        <v>68</v>
      </c>
      <c r="F235" t="s">
        <v>81</v>
      </c>
      <c r="G235" t="s">
        <v>25668</v>
      </c>
      <c r="H235">
        <v>17.5</v>
      </c>
      <c r="I235">
        <v>0</v>
      </c>
      <c r="J235">
        <v>0</v>
      </c>
      <c r="K235">
        <v>20</v>
      </c>
      <c r="N235">
        <v>3</v>
      </c>
      <c r="O235">
        <v>3</v>
      </c>
      <c r="P235">
        <v>4</v>
      </c>
      <c r="Q235">
        <v>0</v>
      </c>
      <c r="R235">
        <v>44.5</v>
      </c>
      <c r="S235">
        <v>6</v>
      </c>
      <c r="T235">
        <v>6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6</v>
      </c>
      <c r="AB235">
        <v>3</v>
      </c>
      <c r="AC235">
        <v>0</v>
      </c>
      <c r="AH235">
        <v>53.5</v>
      </c>
    </row>
    <row r="236" spans="1:34" x14ac:dyDescent="0.3">
      <c r="A236" s="4">
        <v>264</v>
      </c>
      <c r="B236" s="5">
        <v>229</v>
      </c>
      <c r="C236">
        <v>12434</v>
      </c>
      <c r="D236" t="s">
        <v>8860</v>
      </c>
      <c r="E236" t="s">
        <v>29</v>
      </c>
      <c r="F236" t="s">
        <v>136</v>
      </c>
      <c r="G236" t="s">
        <v>25669</v>
      </c>
      <c r="H236">
        <v>20.38</v>
      </c>
      <c r="I236">
        <v>0</v>
      </c>
      <c r="J236">
        <v>0</v>
      </c>
      <c r="K236">
        <v>20</v>
      </c>
      <c r="L236">
        <v>7</v>
      </c>
      <c r="O236">
        <v>7</v>
      </c>
      <c r="P236">
        <v>4</v>
      </c>
      <c r="Q236">
        <v>2</v>
      </c>
      <c r="R236">
        <v>53.38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H236">
        <v>53.38</v>
      </c>
    </row>
    <row r="237" spans="1:34" x14ac:dyDescent="0.3">
      <c r="A237" s="4">
        <v>265</v>
      </c>
      <c r="B237" s="5">
        <v>230</v>
      </c>
      <c r="C237">
        <v>7190</v>
      </c>
      <c r="D237" t="s">
        <v>891</v>
      </c>
      <c r="E237" t="s">
        <v>2193</v>
      </c>
      <c r="F237" t="s">
        <v>6703</v>
      </c>
      <c r="G237" t="s">
        <v>25670</v>
      </c>
      <c r="H237">
        <v>18.850000000000001</v>
      </c>
      <c r="I237">
        <v>0</v>
      </c>
      <c r="J237">
        <v>0</v>
      </c>
      <c r="K237">
        <v>20</v>
      </c>
      <c r="L237">
        <v>7</v>
      </c>
      <c r="O237">
        <v>7</v>
      </c>
      <c r="P237">
        <v>4</v>
      </c>
      <c r="Q237">
        <v>0</v>
      </c>
      <c r="R237">
        <v>49.85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3</v>
      </c>
      <c r="AC237">
        <v>0</v>
      </c>
      <c r="AH237">
        <v>52.85</v>
      </c>
    </row>
    <row r="238" spans="1:34" x14ac:dyDescent="0.3">
      <c r="A238" s="4">
        <v>266</v>
      </c>
      <c r="B238" s="5">
        <v>231</v>
      </c>
      <c r="C238">
        <v>8094</v>
      </c>
      <c r="D238" t="s">
        <v>25671</v>
      </c>
      <c r="E238" t="s">
        <v>182</v>
      </c>
      <c r="F238" t="s">
        <v>91</v>
      </c>
      <c r="G238" t="s">
        <v>25672</v>
      </c>
      <c r="H238">
        <v>21.73</v>
      </c>
      <c r="I238">
        <v>0</v>
      </c>
      <c r="J238">
        <v>0</v>
      </c>
      <c r="K238">
        <v>20</v>
      </c>
      <c r="L238">
        <v>7</v>
      </c>
      <c r="O238">
        <v>7</v>
      </c>
      <c r="P238">
        <v>4</v>
      </c>
      <c r="Q238">
        <v>0</v>
      </c>
      <c r="R238">
        <v>52.73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H238">
        <v>52.73</v>
      </c>
    </row>
    <row r="239" spans="1:34" x14ac:dyDescent="0.3">
      <c r="A239" s="4">
        <v>267</v>
      </c>
      <c r="B239" s="5">
        <v>232</v>
      </c>
      <c r="C239">
        <v>10933</v>
      </c>
      <c r="D239" t="s">
        <v>25673</v>
      </c>
      <c r="E239" t="s">
        <v>117</v>
      </c>
      <c r="F239" t="s">
        <v>55</v>
      </c>
      <c r="G239" t="s">
        <v>25674</v>
      </c>
      <c r="H239">
        <v>18.829999999999998</v>
      </c>
      <c r="I239">
        <v>0</v>
      </c>
      <c r="J239">
        <v>0</v>
      </c>
      <c r="K239">
        <v>0</v>
      </c>
      <c r="N239">
        <v>3</v>
      </c>
      <c r="O239">
        <v>3</v>
      </c>
      <c r="P239">
        <v>4</v>
      </c>
      <c r="Q239">
        <v>0</v>
      </c>
      <c r="R239">
        <v>25.83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26.8</v>
      </c>
      <c r="AH239">
        <v>52.63</v>
      </c>
    </row>
    <row r="240" spans="1:34" x14ac:dyDescent="0.3">
      <c r="A240" s="4">
        <v>268</v>
      </c>
      <c r="B240" s="5">
        <v>233</v>
      </c>
      <c r="C240">
        <v>1336</v>
      </c>
      <c r="D240" t="s">
        <v>181</v>
      </c>
      <c r="E240" t="s">
        <v>22</v>
      </c>
      <c r="F240" t="s">
        <v>81</v>
      </c>
      <c r="G240" t="s">
        <v>25675</v>
      </c>
      <c r="H240">
        <v>19.63</v>
      </c>
      <c r="I240">
        <v>0</v>
      </c>
      <c r="J240">
        <v>0</v>
      </c>
      <c r="K240">
        <v>20</v>
      </c>
      <c r="N240">
        <v>3</v>
      </c>
      <c r="O240">
        <v>3</v>
      </c>
      <c r="P240">
        <v>4</v>
      </c>
      <c r="Q240">
        <v>0</v>
      </c>
      <c r="R240">
        <v>46.63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6</v>
      </c>
      <c r="AC240">
        <v>0</v>
      </c>
      <c r="AH240">
        <v>52.63</v>
      </c>
    </row>
    <row r="241" spans="1:34" x14ac:dyDescent="0.3">
      <c r="A241" s="4">
        <v>269</v>
      </c>
      <c r="B241" s="5">
        <v>234</v>
      </c>
      <c r="C241">
        <v>3210</v>
      </c>
      <c r="D241" t="s">
        <v>25676</v>
      </c>
      <c r="E241" t="s">
        <v>167</v>
      </c>
      <c r="F241" t="s">
        <v>3814</v>
      </c>
      <c r="G241" t="s">
        <v>25677</v>
      </c>
      <c r="H241">
        <v>21.63</v>
      </c>
      <c r="I241">
        <v>0</v>
      </c>
      <c r="J241">
        <v>0</v>
      </c>
      <c r="K241">
        <v>20</v>
      </c>
      <c r="L241">
        <v>7</v>
      </c>
      <c r="O241">
        <v>7</v>
      </c>
      <c r="P241">
        <v>4</v>
      </c>
      <c r="Q241">
        <v>0</v>
      </c>
      <c r="R241">
        <v>52.63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H241">
        <v>52.63</v>
      </c>
    </row>
    <row r="242" spans="1:34" x14ac:dyDescent="0.3">
      <c r="A242" s="4">
        <v>270</v>
      </c>
      <c r="B242" s="5">
        <v>235</v>
      </c>
      <c r="C242">
        <v>14017</v>
      </c>
      <c r="D242" t="s">
        <v>25678</v>
      </c>
      <c r="E242" t="s">
        <v>26</v>
      </c>
      <c r="F242" t="s">
        <v>81</v>
      </c>
      <c r="G242" t="s">
        <v>25679</v>
      </c>
      <c r="H242">
        <v>18.63</v>
      </c>
      <c r="I242">
        <v>0</v>
      </c>
      <c r="J242">
        <v>0</v>
      </c>
      <c r="K242">
        <v>20</v>
      </c>
      <c r="L242">
        <v>7</v>
      </c>
      <c r="N242">
        <v>3</v>
      </c>
      <c r="O242">
        <v>10</v>
      </c>
      <c r="P242">
        <v>4</v>
      </c>
      <c r="Q242">
        <v>0</v>
      </c>
      <c r="R242">
        <v>52.63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H242">
        <v>52.63</v>
      </c>
    </row>
    <row r="243" spans="1:34" x14ac:dyDescent="0.3">
      <c r="A243" s="4">
        <v>271</v>
      </c>
      <c r="B243" s="5">
        <v>236</v>
      </c>
      <c r="C243">
        <v>4878</v>
      </c>
      <c r="D243" t="s">
        <v>18910</v>
      </c>
      <c r="E243" t="s">
        <v>29</v>
      </c>
      <c r="F243" t="s">
        <v>230</v>
      </c>
      <c r="G243" t="s">
        <v>25680</v>
      </c>
      <c r="H243">
        <v>16.93</v>
      </c>
      <c r="I243">
        <v>0</v>
      </c>
      <c r="J243">
        <v>0</v>
      </c>
      <c r="K243">
        <v>0</v>
      </c>
      <c r="N243">
        <v>3</v>
      </c>
      <c r="O243">
        <v>3</v>
      </c>
      <c r="P243">
        <v>4</v>
      </c>
      <c r="Q243">
        <v>2</v>
      </c>
      <c r="R243">
        <v>25.93</v>
      </c>
      <c r="S243">
        <v>20</v>
      </c>
      <c r="T243">
        <v>20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20</v>
      </c>
      <c r="AB243">
        <v>6</v>
      </c>
      <c r="AC243">
        <v>0</v>
      </c>
      <c r="AH243">
        <v>51.93</v>
      </c>
    </row>
    <row r="244" spans="1:34" x14ac:dyDescent="0.3">
      <c r="A244" s="4">
        <v>272</v>
      </c>
      <c r="B244" s="5">
        <v>237</v>
      </c>
      <c r="C244">
        <v>10838</v>
      </c>
      <c r="D244" t="s">
        <v>25681</v>
      </c>
      <c r="E244" t="s">
        <v>406</v>
      </c>
      <c r="F244" t="s">
        <v>136</v>
      </c>
      <c r="G244" t="s">
        <v>25682</v>
      </c>
      <c r="H244">
        <v>21.88</v>
      </c>
      <c r="I244">
        <v>0</v>
      </c>
      <c r="J244">
        <v>0</v>
      </c>
      <c r="K244">
        <v>20</v>
      </c>
      <c r="N244">
        <v>3</v>
      </c>
      <c r="O244">
        <v>3</v>
      </c>
      <c r="P244">
        <v>4</v>
      </c>
      <c r="Q244">
        <v>0</v>
      </c>
      <c r="R244">
        <v>48.88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3</v>
      </c>
      <c r="AC244">
        <v>0</v>
      </c>
      <c r="AH244">
        <v>51.88</v>
      </c>
    </row>
    <row r="245" spans="1:34" x14ac:dyDescent="0.3">
      <c r="A245" s="4">
        <v>273</v>
      </c>
      <c r="B245" s="5">
        <v>238</v>
      </c>
      <c r="C245">
        <v>11963</v>
      </c>
      <c r="D245" t="s">
        <v>717</v>
      </c>
      <c r="E245" t="s">
        <v>19</v>
      </c>
      <c r="F245" t="s">
        <v>38</v>
      </c>
      <c r="G245" t="s">
        <v>25683</v>
      </c>
      <c r="H245">
        <v>18.75</v>
      </c>
      <c r="I245">
        <v>0</v>
      </c>
      <c r="J245">
        <v>0</v>
      </c>
      <c r="K245">
        <v>20</v>
      </c>
      <c r="L245">
        <v>7</v>
      </c>
      <c r="N245">
        <v>3</v>
      </c>
      <c r="O245">
        <v>10</v>
      </c>
      <c r="P245">
        <v>0</v>
      </c>
      <c r="Q245">
        <v>0</v>
      </c>
      <c r="R245">
        <v>48.75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3</v>
      </c>
      <c r="AC245">
        <v>0</v>
      </c>
      <c r="AH245">
        <v>51.75</v>
      </c>
    </row>
    <row r="246" spans="1:34" x14ac:dyDescent="0.3">
      <c r="A246" s="4">
        <v>274</v>
      </c>
      <c r="B246" s="5">
        <v>239</v>
      </c>
      <c r="C246">
        <v>13968</v>
      </c>
      <c r="D246" t="s">
        <v>25684</v>
      </c>
      <c r="E246" t="s">
        <v>17</v>
      </c>
      <c r="F246" t="s">
        <v>68</v>
      </c>
      <c r="G246" t="s">
        <v>25685</v>
      </c>
      <c r="H246">
        <v>16.48</v>
      </c>
      <c r="I246">
        <v>0</v>
      </c>
      <c r="J246">
        <v>0</v>
      </c>
      <c r="K246">
        <v>20</v>
      </c>
      <c r="N246">
        <v>3</v>
      </c>
      <c r="O246">
        <v>3</v>
      </c>
      <c r="P246">
        <v>4</v>
      </c>
      <c r="Q246">
        <v>2</v>
      </c>
      <c r="R246">
        <v>45.48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6</v>
      </c>
      <c r="AC246">
        <v>0</v>
      </c>
      <c r="AD246" t="s">
        <v>130</v>
      </c>
      <c r="AH246">
        <v>51.48</v>
      </c>
    </row>
    <row r="247" spans="1:34" x14ac:dyDescent="0.3">
      <c r="A247" s="4">
        <v>275</v>
      </c>
      <c r="B247" s="5">
        <v>240</v>
      </c>
      <c r="C247">
        <v>7230</v>
      </c>
      <c r="D247" t="s">
        <v>22262</v>
      </c>
      <c r="E247" t="s">
        <v>88</v>
      </c>
      <c r="F247" t="s">
        <v>30</v>
      </c>
      <c r="G247" t="s">
        <v>25686</v>
      </c>
      <c r="H247">
        <v>18.28</v>
      </c>
      <c r="I247">
        <v>0</v>
      </c>
      <c r="J247">
        <v>0</v>
      </c>
      <c r="K247">
        <v>20</v>
      </c>
      <c r="N247">
        <v>3</v>
      </c>
      <c r="O247">
        <v>3</v>
      </c>
      <c r="P247">
        <v>4</v>
      </c>
      <c r="Q247">
        <v>0</v>
      </c>
      <c r="R247">
        <v>45.28</v>
      </c>
      <c r="S247">
        <v>6</v>
      </c>
      <c r="T247">
        <v>6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6</v>
      </c>
      <c r="AB247">
        <v>0</v>
      </c>
      <c r="AC247">
        <v>0</v>
      </c>
      <c r="AH247">
        <v>51.28</v>
      </c>
    </row>
    <row r="248" spans="1:34" x14ac:dyDescent="0.3">
      <c r="A248" s="4">
        <v>276</v>
      </c>
      <c r="B248" s="5">
        <v>241</v>
      </c>
      <c r="C248">
        <v>10611</v>
      </c>
      <c r="D248" t="s">
        <v>8409</v>
      </c>
      <c r="E248" t="s">
        <v>1140</v>
      </c>
      <c r="F248" t="s">
        <v>62</v>
      </c>
      <c r="G248" t="s">
        <v>25687</v>
      </c>
      <c r="H248">
        <v>20.25</v>
      </c>
      <c r="I248">
        <v>0</v>
      </c>
      <c r="J248">
        <v>0</v>
      </c>
      <c r="K248">
        <v>20</v>
      </c>
      <c r="L248">
        <v>7</v>
      </c>
      <c r="O248">
        <v>7</v>
      </c>
      <c r="P248">
        <v>4</v>
      </c>
      <c r="Q248">
        <v>0</v>
      </c>
      <c r="R248">
        <v>51.25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H248">
        <v>51.25</v>
      </c>
    </row>
    <row r="249" spans="1:34" x14ac:dyDescent="0.3">
      <c r="A249" s="4">
        <v>277</v>
      </c>
      <c r="B249" s="5">
        <v>242</v>
      </c>
      <c r="C249">
        <v>527</v>
      </c>
      <c r="D249" t="s">
        <v>25688</v>
      </c>
      <c r="E249" t="s">
        <v>17</v>
      </c>
      <c r="F249" t="s">
        <v>17</v>
      </c>
      <c r="G249" t="s">
        <v>25689</v>
      </c>
      <c r="H249">
        <v>18.25</v>
      </c>
      <c r="I249">
        <v>0</v>
      </c>
      <c r="J249">
        <v>0</v>
      </c>
      <c r="K249">
        <v>20</v>
      </c>
      <c r="L249">
        <v>7</v>
      </c>
      <c r="O249">
        <v>7</v>
      </c>
      <c r="P249">
        <v>4</v>
      </c>
      <c r="Q249">
        <v>2</v>
      </c>
      <c r="R249">
        <v>51.25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H249">
        <v>51.25</v>
      </c>
    </row>
    <row r="250" spans="1:34" x14ac:dyDescent="0.3">
      <c r="A250" s="4">
        <v>278</v>
      </c>
      <c r="B250" s="5">
        <v>243</v>
      </c>
      <c r="C250">
        <v>10068</v>
      </c>
      <c r="D250" t="s">
        <v>2363</v>
      </c>
      <c r="E250" t="s">
        <v>166</v>
      </c>
      <c r="F250" t="s">
        <v>20</v>
      </c>
      <c r="G250" t="s">
        <v>2364</v>
      </c>
      <c r="H250">
        <v>18.25</v>
      </c>
      <c r="I250">
        <v>0</v>
      </c>
      <c r="J250">
        <v>0</v>
      </c>
      <c r="K250">
        <v>20</v>
      </c>
      <c r="L250">
        <v>7</v>
      </c>
      <c r="O250">
        <v>7</v>
      </c>
      <c r="P250">
        <v>4</v>
      </c>
      <c r="Q250">
        <v>2</v>
      </c>
      <c r="R250">
        <v>51.25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 t="s">
        <v>130</v>
      </c>
      <c r="AH250">
        <v>51.25</v>
      </c>
    </row>
    <row r="251" spans="1:34" x14ac:dyDescent="0.3">
      <c r="A251" s="4">
        <v>279</v>
      </c>
      <c r="B251" s="5">
        <v>244</v>
      </c>
      <c r="C251">
        <v>8970</v>
      </c>
      <c r="D251" t="s">
        <v>25690</v>
      </c>
      <c r="E251" t="s">
        <v>158</v>
      </c>
      <c r="F251" t="s">
        <v>17</v>
      </c>
      <c r="G251" t="s">
        <v>25691</v>
      </c>
      <c r="H251">
        <v>20.2</v>
      </c>
      <c r="I251">
        <v>0</v>
      </c>
      <c r="J251">
        <v>0</v>
      </c>
      <c r="K251">
        <v>20</v>
      </c>
      <c r="N251">
        <v>3</v>
      </c>
      <c r="O251">
        <v>3</v>
      </c>
      <c r="P251">
        <v>4</v>
      </c>
      <c r="Q251">
        <v>0</v>
      </c>
      <c r="R251">
        <v>47.2</v>
      </c>
      <c r="S251">
        <v>4</v>
      </c>
      <c r="T251">
        <v>4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4</v>
      </c>
      <c r="AB251">
        <v>0</v>
      </c>
      <c r="AC251">
        <v>0</v>
      </c>
      <c r="AD251" t="s">
        <v>130</v>
      </c>
      <c r="AH251">
        <v>51.2</v>
      </c>
    </row>
    <row r="252" spans="1:34" x14ac:dyDescent="0.3">
      <c r="A252" s="4">
        <v>280</v>
      </c>
      <c r="B252" s="5">
        <v>245</v>
      </c>
      <c r="C252">
        <v>3363</v>
      </c>
      <c r="D252" t="s">
        <v>11178</v>
      </c>
      <c r="E252" t="s">
        <v>550</v>
      </c>
      <c r="F252" t="s">
        <v>167</v>
      </c>
      <c r="G252" t="s">
        <v>25692</v>
      </c>
      <c r="H252">
        <v>20.149999999999999</v>
      </c>
      <c r="I252">
        <v>0</v>
      </c>
      <c r="J252">
        <v>0</v>
      </c>
      <c r="K252">
        <v>20</v>
      </c>
      <c r="L252">
        <v>7</v>
      </c>
      <c r="O252">
        <v>7</v>
      </c>
      <c r="P252">
        <v>4</v>
      </c>
      <c r="Q252">
        <v>0</v>
      </c>
      <c r="R252">
        <v>51.15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H252">
        <v>51.15</v>
      </c>
    </row>
    <row r="253" spans="1:34" x14ac:dyDescent="0.3">
      <c r="A253" s="4">
        <v>281</v>
      </c>
      <c r="B253" s="5">
        <v>246</v>
      </c>
      <c r="C253">
        <v>3994</v>
      </c>
      <c r="D253" t="s">
        <v>25693</v>
      </c>
      <c r="E253" t="s">
        <v>182</v>
      </c>
      <c r="F253" t="s">
        <v>136</v>
      </c>
      <c r="G253" t="s">
        <v>25694</v>
      </c>
      <c r="H253">
        <v>17.95</v>
      </c>
      <c r="I253">
        <v>0</v>
      </c>
      <c r="J253">
        <v>0</v>
      </c>
      <c r="K253">
        <v>20</v>
      </c>
      <c r="L253">
        <v>7</v>
      </c>
      <c r="O253">
        <v>7</v>
      </c>
      <c r="P253">
        <v>4</v>
      </c>
      <c r="Q253">
        <v>2</v>
      </c>
      <c r="R253">
        <v>50.95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H253">
        <v>50.95</v>
      </c>
    </row>
    <row r="254" spans="1:34" x14ac:dyDescent="0.3">
      <c r="A254" s="4">
        <v>282</v>
      </c>
      <c r="B254" s="5">
        <v>247</v>
      </c>
      <c r="C254">
        <v>11247</v>
      </c>
      <c r="D254" t="s">
        <v>25695</v>
      </c>
      <c r="E254" t="s">
        <v>1053</v>
      </c>
      <c r="F254" t="s">
        <v>68</v>
      </c>
      <c r="G254" t="s">
        <v>25696</v>
      </c>
      <c r="H254">
        <v>17.579999999999998</v>
      </c>
      <c r="I254">
        <v>0</v>
      </c>
      <c r="J254">
        <v>0</v>
      </c>
      <c r="K254">
        <v>20</v>
      </c>
      <c r="L254">
        <v>7</v>
      </c>
      <c r="O254">
        <v>7</v>
      </c>
      <c r="P254">
        <v>4</v>
      </c>
      <c r="Q254">
        <v>2</v>
      </c>
      <c r="R254">
        <v>50.58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H254">
        <v>50.58</v>
      </c>
    </row>
    <row r="255" spans="1:34" x14ac:dyDescent="0.3">
      <c r="A255" s="4">
        <v>283</v>
      </c>
      <c r="B255" s="5">
        <v>248</v>
      </c>
      <c r="C255">
        <v>1827</v>
      </c>
      <c r="D255" t="s">
        <v>5695</v>
      </c>
      <c r="E255" t="s">
        <v>29</v>
      </c>
      <c r="F255" t="s">
        <v>62</v>
      </c>
      <c r="G255" t="s">
        <v>25697</v>
      </c>
      <c r="H255">
        <v>20.58</v>
      </c>
      <c r="I255">
        <v>0</v>
      </c>
      <c r="J255">
        <v>0</v>
      </c>
      <c r="K255">
        <v>0</v>
      </c>
      <c r="N255">
        <v>6</v>
      </c>
      <c r="O255">
        <v>6</v>
      </c>
      <c r="P255">
        <v>4</v>
      </c>
      <c r="Q255">
        <v>2</v>
      </c>
      <c r="R255">
        <v>32.58</v>
      </c>
      <c r="S255">
        <v>8</v>
      </c>
      <c r="T255">
        <v>8</v>
      </c>
      <c r="U255">
        <v>5</v>
      </c>
      <c r="V255">
        <v>10</v>
      </c>
      <c r="W255">
        <v>0</v>
      </c>
      <c r="X255">
        <v>0</v>
      </c>
      <c r="Y255">
        <v>0</v>
      </c>
      <c r="Z255">
        <v>0</v>
      </c>
      <c r="AA255">
        <v>18</v>
      </c>
      <c r="AB255">
        <v>0</v>
      </c>
      <c r="AC255">
        <v>0</v>
      </c>
      <c r="AH255">
        <v>50.58</v>
      </c>
    </row>
    <row r="256" spans="1:34" x14ac:dyDescent="0.3">
      <c r="A256" s="4">
        <v>284</v>
      </c>
      <c r="B256" s="5">
        <v>249</v>
      </c>
      <c r="C256">
        <v>8183</v>
      </c>
      <c r="D256" t="s">
        <v>831</v>
      </c>
      <c r="E256" t="s">
        <v>41</v>
      </c>
      <c r="F256" t="s">
        <v>25698</v>
      </c>
      <c r="G256" t="s">
        <v>25699</v>
      </c>
      <c r="H256">
        <v>19.55</v>
      </c>
      <c r="I256">
        <v>0</v>
      </c>
      <c r="J256">
        <v>0</v>
      </c>
      <c r="K256">
        <v>20</v>
      </c>
      <c r="L256">
        <v>7</v>
      </c>
      <c r="O256">
        <v>7</v>
      </c>
      <c r="P256">
        <v>4</v>
      </c>
      <c r="Q256">
        <v>0</v>
      </c>
      <c r="R256">
        <v>50.55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H256">
        <v>50.55</v>
      </c>
    </row>
    <row r="257" spans="1:34" x14ac:dyDescent="0.3">
      <c r="A257" s="4">
        <v>285</v>
      </c>
      <c r="B257" s="5">
        <v>250</v>
      </c>
      <c r="C257">
        <v>14977</v>
      </c>
      <c r="D257" t="s">
        <v>3454</v>
      </c>
      <c r="E257" t="s">
        <v>1371</v>
      </c>
      <c r="F257" t="s">
        <v>227</v>
      </c>
      <c r="G257" t="s">
        <v>25700</v>
      </c>
      <c r="H257">
        <v>17.350000000000001</v>
      </c>
      <c r="I257">
        <v>0</v>
      </c>
      <c r="J257">
        <v>0</v>
      </c>
      <c r="K257">
        <v>20</v>
      </c>
      <c r="L257">
        <v>7</v>
      </c>
      <c r="O257">
        <v>7</v>
      </c>
      <c r="P257">
        <v>4</v>
      </c>
      <c r="Q257">
        <v>2</v>
      </c>
      <c r="R257">
        <v>50.35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 t="s">
        <v>130</v>
      </c>
      <c r="AH257">
        <v>50.35</v>
      </c>
    </row>
    <row r="258" spans="1:34" x14ac:dyDescent="0.3">
      <c r="A258" s="4">
        <v>286</v>
      </c>
      <c r="B258" s="5">
        <v>251</v>
      </c>
      <c r="C258">
        <v>10802</v>
      </c>
      <c r="D258" t="s">
        <v>25701</v>
      </c>
      <c r="E258" t="s">
        <v>81</v>
      </c>
      <c r="F258" t="s">
        <v>158</v>
      </c>
      <c r="G258" t="s">
        <v>25702</v>
      </c>
      <c r="H258">
        <v>20.93</v>
      </c>
      <c r="I258">
        <v>0</v>
      </c>
      <c r="J258">
        <v>0</v>
      </c>
      <c r="K258">
        <v>20</v>
      </c>
      <c r="M258">
        <v>5</v>
      </c>
      <c r="O258">
        <v>5</v>
      </c>
      <c r="P258">
        <v>4</v>
      </c>
      <c r="Q258">
        <v>0</v>
      </c>
      <c r="R258">
        <v>49.93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H258">
        <v>49.93</v>
      </c>
    </row>
    <row r="259" spans="1:34" x14ac:dyDescent="0.3">
      <c r="A259" s="4">
        <v>287</v>
      </c>
      <c r="B259" s="5">
        <v>252</v>
      </c>
      <c r="C259">
        <v>11848</v>
      </c>
      <c r="D259" t="s">
        <v>6299</v>
      </c>
      <c r="E259" t="s">
        <v>697</v>
      </c>
      <c r="F259" t="s">
        <v>1450</v>
      </c>
      <c r="G259" t="s">
        <v>25703</v>
      </c>
      <c r="H259">
        <v>16.68</v>
      </c>
      <c r="I259">
        <v>0</v>
      </c>
      <c r="J259">
        <v>0</v>
      </c>
      <c r="K259">
        <v>20</v>
      </c>
      <c r="L259">
        <v>7</v>
      </c>
      <c r="O259">
        <v>7</v>
      </c>
      <c r="P259">
        <v>4</v>
      </c>
      <c r="Q259">
        <v>2</v>
      </c>
      <c r="R259">
        <v>49.68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H259">
        <v>49.68</v>
      </c>
    </row>
    <row r="260" spans="1:34" x14ac:dyDescent="0.3">
      <c r="A260" s="4">
        <v>288</v>
      </c>
      <c r="B260" s="5">
        <v>253</v>
      </c>
      <c r="C260">
        <v>12305</v>
      </c>
      <c r="D260" t="s">
        <v>2008</v>
      </c>
      <c r="E260" t="s">
        <v>286</v>
      </c>
      <c r="F260" t="s">
        <v>158</v>
      </c>
      <c r="G260" t="s">
        <v>25704</v>
      </c>
      <c r="H260">
        <v>18.38</v>
      </c>
      <c r="I260">
        <v>0</v>
      </c>
      <c r="J260">
        <v>0</v>
      </c>
      <c r="K260">
        <v>20</v>
      </c>
      <c r="L260">
        <v>7</v>
      </c>
      <c r="O260">
        <v>7</v>
      </c>
      <c r="P260">
        <v>4</v>
      </c>
      <c r="Q260">
        <v>0</v>
      </c>
      <c r="R260">
        <v>49.38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H260">
        <v>49.38</v>
      </c>
    </row>
    <row r="261" spans="1:34" x14ac:dyDescent="0.3">
      <c r="A261" s="4">
        <v>289</v>
      </c>
      <c r="B261" s="5">
        <v>254</v>
      </c>
      <c r="C261">
        <v>3670</v>
      </c>
      <c r="D261" t="s">
        <v>25705</v>
      </c>
      <c r="E261" t="s">
        <v>789</v>
      </c>
      <c r="F261" t="s">
        <v>81</v>
      </c>
      <c r="G261" t="s">
        <v>25706</v>
      </c>
      <c r="H261">
        <v>19.3</v>
      </c>
      <c r="I261">
        <v>0</v>
      </c>
      <c r="J261">
        <v>0</v>
      </c>
      <c r="K261">
        <v>0</v>
      </c>
      <c r="M261">
        <v>5</v>
      </c>
      <c r="O261">
        <v>5</v>
      </c>
      <c r="P261">
        <v>4</v>
      </c>
      <c r="Q261">
        <v>2</v>
      </c>
      <c r="R261">
        <v>30.3</v>
      </c>
      <c r="S261">
        <v>19</v>
      </c>
      <c r="T261">
        <v>19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19</v>
      </c>
      <c r="AB261">
        <v>0</v>
      </c>
      <c r="AC261">
        <v>0</v>
      </c>
      <c r="AH261">
        <v>49.3</v>
      </c>
    </row>
    <row r="262" spans="1:34" x14ac:dyDescent="0.3">
      <c r="A262" s="4">
        <v>290</v>
      </c>
      <c r="B262" s="5">
        <v>255</v>
      </c>
      <c r="C262">
        <v>1251</v>
      </c>
      <c r="D262" t="s">
        <v>12030</v>
      </c>
      <c r="E262" t="s">
        <v>25707</v>
      </c>
      <c r="F262" t="s">
        <v>34</v>
      </c>
      <c r="G262" t="s">
        <v>25708</v>
      </c>
      <c r="H262">
        <v>16.149999999999999</v>
      </c>
      <c r="I262">
        <v>0</v>
      </c>
      <c r="J262">
        <v>0</v>
      </c>
      <c r="K262">
        <v>0</v>
      </c>
      <c r="L262">
        <v>7</v>
      </c>
      <c r="N262">
        <v>3</v>
      </c>
      <c r="O262">
        <v>10</v>
      </c>
      <c r="P262">
        <v>4</v>
      </c>
      <c r="Q262">
        <v>2</v>
      </c>
      <c r="R262">
        <v>32.15</v>
      </c>
      <c r="S262">
        <v>17</v>
      </c>
      <c r="T262">
        <v>17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17</v>
      </c>
      <c r="AB262">
        <v>0</v>
      </c>
      <c r="AC262">
        <v>0</v>
      </c>
      <c r="AH262">
        <v>49.15</v>
      </c>
    </row>
    <row r="263" spans="1:34" x14ac:dyDescent="0.3">
      <c r="A263" s="4">
        <v>291</v>
      </c>
      <c r="B263" s="5">
        <v>256</v>
      </c>
      <c r="C263">
        <v>8065</v>
      </c>
      <c r="D263" t="s">
        <v>8993</v>
      </c>
      <c r="E263" t="s">
        <v>38</v>
      </c>
      <c r="F263" t="s">
        <v>652</v>
      </c>
      <c r="G263" t="s">
        <v>25709</v>
      </c>
      <c r="H263">
        <v>19.100000000000001</v>
      </c>
      <c r="I263">
        <v>0</v>
      </c>
      <c r="J263">
        <v>0</v>
      </c>
      <c r="K263">
        <v>20</v>
      </c>
      <c r="L263">
        <v>7</v>
      </c>
      <c r="N263">
        <v>3</v>
      </c>
      <c r="O263">
        <v>10</v>
      </c>
      <c r="P263">
        <v>0</v>
      </c>
      <c r="Q263">
        <v>0</v>
      </c>
      <c r="R263">
        <v>49.1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H263">
        <v>49.1</v>
      </c>
    </row>
    <row r="264" spans="1:34" x14ac:dyDescent="0.3">
      <c r="A264" s="4">
        <v>292</v>
      </c>
      <c r="B264" s="5">
        <v>257</v>
      </c>
      <c r="C264">
        <v>10432</v>
      </c>
      <c r="D264" t="s">
        <v>25710</v>
      </c>
      <c r="E264" t="s">
        <v>213</v>
      </c>
      <c r="F264" t="s">
        <v>16323</v>
      </c>
      <c r="G264" t="s">
        <v>25711</v>
      </c>
      <c r="H264">
        <v>17</v>
      </c>
      <c r="I264">
        <v>0</v>
      </c>
      <c r="J264">
        <v>0</v>
      </c>
      <c r="K264">
        <v>20</v>
      </c>
      <c r="M264">
        <v>5</v>
      </c>
      <c r="O264">
        <v>5</v>
      </c>
      <c r="P264">
        <v>4</v>
      </c>
      <c r="Q264">
        <v>0</v>
      </c>
      <c r="R264">
        <v>46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3</v>
      </c>
      <c r="AC264">
        <v>0</v>
      </c>
      <c r="AH264">
        <v>49</v>
      </c>
    </row>
    <row r="265" spans="1:34" x14ac:dyDescent="0.3">
      <c r="A265" s="4">
        <v>293</v>
      </c>
      <c r="B265" s="5">
        <v>258</v>
      </c>
      <c r="C265">
        <v>720</v>
      </c>
      <c r="D265" t="s">
        <v>25712</v>
      </c>
      <c r="E265" t="s">
        <v>243</v>
      </c>
      <c r="F265" t="s">
        <v>17</v>
      </c>
      <c r="G265" t="s">
        <v>25713</v>
      </c>
      <c r="H265">
        <v>21.95</v>
      </c>
      <c r="I265">
        <v>0</v>
      </c>
      <c r="J265">
        <v>0</v>
      </c>
      <c r="K265">
        <v>20</v>
      </c>
      <c r="N265">
        <v>3</v>
      </c>
      <c r="O265">
        <v>3</v>
      </c>
      <c r="P265">
        <v>4</v>
      </c>
      <c r="Q265">
        <v>0</v>
      </c>
      <c r="R265">
        <v>48.95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H265">
        <v>48.95</v>
      </c>
    </row>
    <row r="266" spans="1:34" x14ac:dyDescent="0.3">
      <c r="A266" s="4">
        <v>294</v>
      </c>
      <c r="B266" s="5">
        <v>259</v>
      </c>
      <c r="C266">
        <v>6052</v>
      </c>
      <c r="D266" t="s">
        <v>25714</v>
      </c>
      <c r="E266" t="s">
        <v>20</v>
      </c>
      <c r="F266" t="s">
        <v>81</v>
      </c>
      <c r="G266" t="s">
        <v>25715</v>
      </c>
      <c r="H266">
        <v>17.68</v>
      </c>
      <c r="I266">
        <v>0</v>
      </c>
      <c r="J266">
        <v>0</v>
      </c>
      <c r="K266">
        <v>20</v>
      </c>
      <c r="L266">
        <v>7</v>
      </c>
      <c r="O266">
        <v>7</v>
      </c>
      <c r="P266">
        <v>4</v>
      </c>
      <c r="Q266">
        <v>0</v>
      </c>
      <c r="R266">
        <v>48.68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H266">
        <v>48.68</v>
      </c>
    </row>
    <row r="267" spans="1:34" x14ac:dyDescent="0.3">
      <c r="A267" s="4">
        <v>295</v>
      </c>
      <c r="B267" s="5">
        <v>260</v>
      </c>
      <c r="C267">
        <v>6435</v>
      </c>
      <c r="D267" t="s">
        <v>25716</v>
      </c>
      <c r="E267" t="s">
        <v>88</v>
      </c>
      <c r="F267" t="s">
        <v>20</v>
      </c>
      <c r="G267" t="s">
        <v>25717</v>
      </c>
      <c r="H267">
        <v>19.63</v>
      </c>
      <c r="I267">
        <v>0</v>
      </c>
      <c r="J267">
        <v>0</v>
      </c>
      <c r="K267">
        <v>20</v>
      </c>
      <c r="N267">
        <v>3</v>
      </c>
      <c r="O267">
        <v>3</v>
      </c>
      <c r="P267">
        <v>4</v>
      </c>
      <c r="Q267">
        <v>2</v>
      </c>
      <c r="R267">
        <v>48.63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H267">
        <v>48.63</v>
      </c>
    </row>
    <row r="268" spans="1:34" x14ac:dyDescent="0.3">
      <c r="A268" s="4">
        <v>296</v>
      </c>
      <c r="B268" s="5">
        <v>261</v>
      </c>
      <c r="C268">
        <v>10333</v>
      </c>
      <c r="D268" t="s">
        <v>25718</v>
      </c>
      <c r="E268" t="s">
        <v>2758</v>
      </c>
      <c r="F268" t="s">
        <v>259</v>
      </c>
      <c r="G268" t="s">
        <v>25719</v>
      </c>
      <c r="H268">
        <v>18.55</v>
      </c>
      <c r="I268">
        <v>0</v>
      </c>
      <c r="J268">
        <v>0</v>
      </c>
      <c r="K268">
        <v>20</v>
      </c>
      <c r="N268">
        <v>6</v>
      </c>
      <c r="O268">
        <v>6</v>
      </c>
      <c r="P268">
        <v>4</v>
      </c>
      <c r="Q268">
        <v>0</v>
      </c>
      <c r="R268">
        <v>48.55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H268">
        <v>48.55</v>
      </c>
    </row>
    <row r="269" spans="1:34" x14ac:dyDescent="0.3">
      <c r="A269" s="4">
        <v>297</v>
      </c>
      <c r="B269" s="5">
        <v>262</v>
      </c>
      <c r="C269">
        <v>13476</v>
      </c>
      <c r="D269" t="s">
        <v>7639</v>
      </c>
      <c r="E269" t="s">
        <v>789</v>
      </c>
      <c r="F269" t="s">
        <v>55</v>
      </c>
      <c r="G269" t="s">
        <v>25720</v>
      </c>
      <c r="H269">
        <v>17.5</v>
      </c>
      <c r="I269">
        <v>0</v>
      </c>
      <c r="J269">
        <v>0</v>
      </c>
      <c r="K269">
        <v>20</v>
      </c>
      <c r="L269">
        <v>7</v>
      </c>
      <c r="O269">
        <v>7</v>
      </c>
      <c r="P269">
        <v>4</v>
      </c>
      <c r="Q269">
        <v>0</v>
      </c>
      <c r="R269">
        <v>48.5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H269">
        <v>48.5</v>
      </c>
    </row>
    <row r="270" spans="1:34" x14ac:dyDescent="0.3">
      <c r="A270" s="4">
        <v>298</v>
      </c>
      <c r="B270" s="5">
        <v>263</v>
      </c>
      <c r="C270">
        <v>12266</v>
      </c>
      <c r="D270" t="s">
        <v>11282</v>
      </c>
      <c r="E270" t="s">
        <v>51</v>
      </c>
      <c r="F270" t="s">
        <v>34</v>
      </c>
      <c r="G270" t="s">
        <v>25721</v>
      </c>
      <c r="H270">
        <v>15.43</v>
      </c>
      <c r="I270">
        <v>0</v>
      </c>
      <c r="J270">
        <v>0</v>
      </c>
      <c r="K270">
        <v>20</v>
      </c>
      <c r="O270">
        <v>0</v>
      </c>
      <c r="P270">
        <v>4</v>
      </c>
      <c r="Q270">
        <v>2</v>
      </c>
      <c r="R270">
        <v>41.43</v>
      </c>
      <c r="S270">
        <v>7</v>
      </c>
      <c r="T270">
        <v>7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7</v>
      </c>
      <c r="AB270">
        <v>0</v>
      </c>
      <c r="AC270">
        <v>0</v>
      </c>
      <c r="AH270">
        <v>48.43</v>
      </c>
    </row>
    <row r="271" spans="1:34" x14ac:dyDescent="0.3">
      <c r="A271" s="4">
        <v>299</v>
      </c>
      <c r="B271" s="5">
        <v>264</v>
      </c>
      <c r="C271">
        <v>6334</v>
      </c>
      <c r="D271" t="s">
        <v>93</v>
      </c>
      <c r="E271" t="s">
        <v>4362</v>
      </c>
      <c r="F271" t="s">
        <v>17</v>
      </c>
      <c r="G271" t="s">
        <v>25722</v>
      </c>
      <c r="H271">
        <v>17.3</v>
      </c>
      <c r="I271">
        <v>0</v>
      </c>
      <c r="J271">
        <v>0</v>
      </c>
      <c r="K271">
        <v>20</v>
      </c>
      <c r="L271">
        <v>7</v>
      </c>
      <c r="O271">
        <v>7</v>
      </c>
      <c r="P271">
        <v>4</v>
      </c>
      <c r="Q271">
        <v>0</v>
      </c>
      <c r="R271">
        <v>48.3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H271">
        <v>48.3</v>
      </c>
    </row>
    <row r="272" spans="1:34" x14ac:dyDescent="0.3">
      <c r="A272" s="4">
        <v>300</v>
      </c>
      <c r="B272" s="5">
        <v>265</v>
      </c>
      <c r="C272">
        <v>14150</v>
      </c>
      <c r="D272" t="s">
        <v>2840</v>
      </c>
      <c r="E272" t="s">
        <v>3948</v>
      </c>
      <c r="F272" t="s">
        <v>158</v>
      </c>
      <c r="G272" t="s">
        <v>25723</v>
      </c>
      <c r="H272">
        <v>17.23</v>
      </c>
      <c r="I272">
        <v>0</v>
      </c>
      <c r="J272">
        <v>0</v>
      </c>
      <c r="K272">
        <v>20</v>
      </c>
      <c r="L272">
        <v>7</v>
      </c>
      <c r="O272">
        <v>7</v>
      </c>
      <c r="P272">
        <v>4</v>
      </c>
      <c r="Q272">
        <v>0</v>
      </c>
      <c r="R272">
        <v>48.23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H272">
        <v>48.23</v>
      </c>
    </row>
    <row r="273" spans="1:34" x14ac:dyDescent="0.3">
      <c r="A273" s="4">
        <v>301</v>
      </c>
      <c r="B273" s="5">
        <v>266</v>
      </c>
      <c r="C273">
        <v>545</v>
      </c>
      <c r="D273" t="s">
        <v>25724</v>
      </c>
      <c r="E273" t="s">
        <v>188</v>
      </c>
      <c r="F273" t="s">
        <v>385</v>
      </c>
      <c r="G273" t="s">
        <v>25725</v>
      </c>
      <c r="H273">
        <v>17.2</v>
      </c>
      <c r="I273">
        <v>0</v>
      </c>
      <c r="J273">
        <v>0</v>
      </c>
      <c r="K273">
        <v>20</v>
      </c>
      <c r="L273">
        <v>7</v>
      </c>
      <c r="O273">
        <v>7</v>
      </c>
      <c r="P273">
        <v>4</v>
      </c>
      <c r="Q273">
        <v>0</v>
      </c>
      <c r="R273">
        <v>48.2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H273">
        <v>48.2</v>
      </c>
    </row>
    <row r="274" spans="1:34" x14ac:dyDescent="0.3">
      <c r="A274" s="4">
        <v>302</v>
      </c>
      <c r="B274" s="5">
        <v>267</v>
      </c>
      <c r="C274">
        <v>5772</v>
      </c>
      <c r="D274" t="s">
        <v>2103</v>
      </c>
      <c r="E274" t="s">
        <v>1659</v>
      </c>
      <c r="F274" t="s">
        <v>243</v>
      </c>
      <c r="G274" t="s">
        <v>25726</v>
      </c>
      <c r="H274">
        <v>17.2</v>
      </c>
      <c r="I274">
        <v>0</v>
      </c>
      <c r="J274">
        <v>0</v>
      </c>
      <c r="K274">
        <v>20</v>
      </c>
      <c r="L274">
        <v>7</v>
      </c>
      <c r="O274">
        <v>7</v>
      </c>
      <c r="P274">
        <v>4</v>
      </c>
      <c r="Q274">
        <v>0</v>
      </c>
      <c r="R274">
        <v>48.2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H274">
        <v>48.2</v>
      </c>
    </row>
    <row r="275" spans="1:34" x14ac:dyDescent="0.3">
      <c r="A275" s="4">
        <v>303</v>
      </c>
      <c r="B275" s="5">
        <v>268</v>
      </c>
      <c r="C275">
        <v>9346</v>
      </c>
      <c r="D275" t="s">
        <v>3889</v>
      </c>
      <c r="E275" t="s">
        <v>88</v>
      </c>
      <c r="F275" t="s">
        <v>81</v>
      </c>
      <c r="G275" t="s">
        <v>25727</v>
      </c>
      <c r="H275">
        <v>17.03</v>
      </c>
      <c r="I275">
        <v>0</v>
      </c>
      <c r="J275">
        <v>0</v>
      </c>
      <c r="K275">
        <v>0</v>
      </c>
      <c r="L275">
        <v>14</v>
      </c>
      <c r="O275">
        <v>14</v>
      </c>
      <c r="P275">
        <v>4</v>
      </c>
      <c r="Q275">
        <v>0</v>
      </c>
      <c r="R275">
        <v>35.03</v>
      </c>
      <c r="S275">
        <v>13</v>
      </c>
      <c r="T275">
        <v>13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13</v>
      </c>
      <c r="AB275">
        <v>0</v>
      </c>
      <c r="AC275">
        <v>0</v>
      </c>
      <c r="AH275">
        <v>48.03</v>
      </c>
    </row>
    <row r="276" spans="1:34" x14ac:dyDescent="0.3">
      <c r="A276" s="4">
        <v>304</v>
      </c>
      <c r="B276" s="5">
        <v>269</v>
      </c>
      <c r="C276">
        <v>8167</v>
      </c>
      <c r="D276" t="s">
        <v>25728</v>
      </c>
      <c r="E276" t="s">
        <v>100</v>
      </c>
      <c r="F276" t="s">
        <v>158</v>
      </c>
      <c r="G276" t="s">
        <v>25729</v>
      </c>
      <c r="H276">
        <v>18</v>
      </c>
      <c r="I276">
        <v>0</v>
      </c>
      <c r="J276">
        <v>0</v>
      </c>
      <c r="K276">
        <v>20</v>
      </c>
      <c r="N276">
        <v>3</v>
      </c>
      <c r="O276">
        <v>3</v>
      </c>
      <c r="P276">
        <v>4</v>
      </c>
      <c r="Q276">
        <v>0</v>
      </c>
      <c r="R276">
        <v>45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3</v>
      </c>
      <c r="AC276">
        <v>0</v>
      </c>
      <c r="AH276">
        <v>48</v>
      </c>
    </row>
    <row r="277" spans="1:34" x14ac:dyDescent="0.3">
      <c r="A277" s="4">
        <v>305</v>
      </c>
      <c r="B277" s="5">
        <v>270</v>
      </c>
      <c r="C277">
        <v>11337</v>
      </c>
      <c r="D277" t="s">
        <v>5374</v>
      </c>
      <c r="E277" t="s">
        <v>230</v>
      </c>
      <c r="F277" t="s">
        <v>238</v>
      </c>
      <c r="G277" t="s">
        <v>25730</v>
      </c>
      <c r="H277">
        <v>17.8</v>
      </c>
      <c r="I277">
        <v>0</v>
      </c>
      <c r="J277">
        <v>0</v>
      </c>
      <c r="K277">
        <v>20</v>
      </c>
      <c r="L277">
        <v>7</v>
      </c>
      <c r="O277">
        <v>7</v>
      </c>
      <c r="P277">
        <v>0</v>
      </c>
      <c r="Q277">
        <v>0</v>
      </c>
      <c r="R277">
        <v>44.8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3</v>
      </c>
      <c r="AC277">
        <v>0</v>
      </c>
      <c r="AH277">
        <v>47.8</v>
      </c>
    </row>
    <row r="278" spans="1:34" x14ac:dyDescent="0.3">
      <c r="A278" s="4">
        <v>306</v>
      </c>
      <c r="B278" s="5">
        <v>271</v>
      </c>
      <c r="C278">
        <v>12601</v>
      </c>
      <c r="D278" t="s">
        <v>25731</v>
      </c>
      <c r="E278" t="s">
        <v>400</v>
      </c>
      <c r="F278" t="s">
        <v>81</v>
      </c>
      <c r="G278" t="s">
        <v>25732</v>
      </c>
      <c r="H278">
        <v>17.53</v>
      </c>
      <c r="I278">
        <v>0</v>
      </c>
      <c r="J278">
        <v>0</v>
      </c>
      <c r="K278">
        <v>20</v>
      </c>
      <c r="N278">
        <v>6</v>
      </c>
      <c r="O278">
        <v>6</v>
      </c>
      <c r="P278">
        <v>4</v>
      </c>
      <c r="Q278">
        <v>0</v>
      </c>
      <c r="R278">
        <v>47.53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H278">
        <v>47.53</v>
      </c>
    </row>
    <row r="279" spans="1:34" x14ac:dyDescent="0.3">
      <c r="A279" s="4">
        <v>307</v>
      </c>
      <c r="B279" s="5">
        <v>272</v>
      </c>
      <c r="C279">
        <v>9169</v>
      </c>
      <c r="D279" t="s">
        <v>2140</v>
      </c>
      <c r="E279" t="s">
        <v>136</v>
      </c>
      <c r="F279" t="s">
        <v>158</v>
      </c>
      <c r="G279" t="s">
        <v>25733</v>
      </c>
      <c r="H279">
        <v>17.5</v>
      </c>
      <c r="I279">
        <v>0</v>
      </c>
      <c r="J279">
        <v>0</v>
      </c>
      <c r="K279">
        <v>20</v>
      </c>
      <c r="N279">
        <v>3</v>
      </c>
      <c r="O279">
        <v>3</v>
      </c>
      <c r="P279">
        <v>4</v>
      </c>
      <c r="Q279">
        <v>0</v>
      </c>
      <c r="R279">
        <v>44.5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3</v>
      </c>
      <c r="AC279">
        <v>0</v>
      </c>
      <c r="AH279">
        <v>47.5</v>
      </c>
    </row>
    <row r="280" spans="1:34" x14ac:dyDescent="0.3">
      <c r="A280" s="4">
        <v>308</v>
      </c>
      <c r="B280" s="5">
        <v>273</v>
      </c>
      <c r="C280">
        <v>3934</v>
      </c>
      <c r="D280" t="s">
        <v>8531</v>
      </c>
      <c r="E280" t="s">
        <v>81</v>
      </c>
      <c r="F280" t="s">
        <v>649</v>
      </c>
      <c r="G280" t="s">
        <v>25734</v>
      </c>
      <c r="H280">
        <v>20.48</v>
      </c>
      <c r="I280">
        <v>0</v>
      </c>
      <c r="J280">
        <v>0</v>
      </c>
      <c r="K280">
        <v>20</v>
      </c>
      <c r="N280">
        <v>3</v>
      </c>
      <c r="O280">
        <v>3</v>
      </c>
      <c r="P280">
        <v>4</v>
      </c>
      <c r="Q280">
        <v>0</v>
      </c>
      <c r="R280">
        <v>47.48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H280">
        <v>47.48</v>
      </c>
    </row>
    <row r="281" spans="1:34" x14ac:dyDescent="0.3">
      <c r="A281" s="4">
        <v>309</v>
      </c>
      <c r="B281" s="5">
        <v>274</v>
      </c>
      <c r="C281">
        <v>12552</v>
      </c>
      <c r="D281" t="s">
        <v>14333</v>
      </c>
      <c r="E281" t="s">
        <v>964</v>
      </c>
      <c r="F281" t="s">
        <v>20</v>
      </c>
      <c r="G281" t="s">
        <v>25735</v>
      </c>
      <c r="H281">
        <v>16.43</v>
      </c>
      <c r="I281">
        <v>0</v>
      </c>
      <c r="J281">
        <v>0</v>
      </c>
      <c r="K281">
        <v>20</v>
      </c>
      <c r="L281">
        <v>7</v>
      </c>
      <c r="O281">
        <v>7</v>
      </c>
      <c r="P281">
        <v>4</v>
      </c>
      <c r="Q281">
        <v>0</v>
      </c>
      <c r="R281">
        <v>47.43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H281">
        <v>47.43</v>
      </c>
    </row>
    <row r="282" spans="1:34" x14ac:dyDescent="0.3">
      <c r="A282" s="4">
        <v>310</v>
      </c>
      <c r="B282" s="5">
        <v>275</v>
      </c>
      <c r="C282">
        <v>15611</v>
      </c>
      <c r="D282" t="s">
        <v>25736</v>
      </c>
      <c r="E282" t="s">
        <v>471</v>
      </c>
      <c r="F282" t="s">
        <v>38</v>
      </c>
      <c r="G282" t="s">
        <v>25737</v>
      </c>
      <c r="H282">
        <v>18.25</v>
      </c>
      <c r="I282">
        <v>0</v>
      </c>
      <c r="J282">
        <v>0</v>
      </c>
      <c r="K282">
        <v>20</v>
      </c>
      <c r="M282">
        <v>5</v>
      </c>
      <c r="O282">
        <v>5</v>
      </c>
      <c r="P282">
        <v>4</v>
      </c>
      <c r="Q282">
        <v>0</v>
      </c>
      <c r="R282">
        <v>47.25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H282">
        <v>47.25</v>
      </c>
    </row>
    <row r="283" spans="1:34" x14ac:dyDescent="0.3">
      <c r="A283" s="4">
        <v>311</v>
      </c>
      <c r="B283" s="5">
        <v>276</v>
      </c>
      <c r="C283">
        <v>12327</v>
      </c>
      <c r="D283" t="s">
        <v>1896</v>
      </c>
      <c r="E283" t="s">
        <v>3192</v>
      </c>
      <c r="F283" t="s">
        <v>298</v>
      </c>
      <c r="G283" t="s">
        <v>25738</v>
      </c>
      <c r="H283">
        <v>17.079999999999998</v>
      </c>
      <c r="I283">
        <v>0</v>
      </c>
      <c r="J283">
        <v>0</v>
      </c>
      <c r="K283">
        <v>20</v>
      </c>
      <c r="N283">
        <v>3</v>
      </c>
      <c r="O283">
        <v>3</v>
      </c>
      <c r="P283">
        <v>4</v>
      </c>
      <c r="Q283">
        <v>0</v>
      </c>
      <c r="R283">
        <v>44.08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3</v>
      </c>
      <c r="AC283">
        <v>0</v>
      </c>
      <c r="AD283" t="s">
        <v>130</v>
      </c>
      <c r="AH283">
        <v>47.08</v>
      </c>
    </row>
    <row r="284" spans="1:34" x14ac:dyDescent="0.3">
      <c r="A284" s="4">
        <v>312</v>
      </c>
      <c r="B284" s="5">
        <v>277</v>
      </c>
      <c r="C284">
        <v>4306</v>
      </c>
      <c r="D284" t="s">
        <v>25739</v>
      </c>
      <c r="E284" t="s">
        <v>213</v>
      </c>
      <c r="F284" t="s">
        <v>62</v>
      </c>
      <c r="G284" t="s">
        <v>25740</v>
      </c>
      <c r="H284">
        <v>20.079999999999998</v>
      </c>
      <c r="I284">
        <v>0</v>
      </c>
      <c r="J284">
        <v>0</v>
      </c>
      <c r="K284">
        <v>20</v>
      </c>
      <c r="N284">
        <v>3</v>
      </c>
      <c r="O284">
        <v>3</v>
      </c>
      <c r="P284">
        <v>4</v>
      </c>
      <c r="Q284">
        <v>0</v>
      </c>
      <c r="R284">
        <v>47.08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H284">
        <v>47.08</v>
      </c>
    </row>
    <row r="285" spans="1:34" x14ac:dyDescent="0.3">
      <c r="A285" s="4">
        <v>313</v>
      </c>
      <c r="B285" s="5">
        <v>278</v>
      </c>
      <c r="C285">
        <v>14566</v>
      </c>
      <c r="D285" t="s">
        <v>25741</v>
      </c>
      <c r="E285" t="s">
        <v>97</v>
      </c>
      <c r="F285" t="s">
        <v>167</v>
      </c>
      <c r="G285" t="s">
        <v>25742</v>
      </c>
      <c r="H285">
        <v>19.579999999999998</v>
      </c>
      <c r="I285">
        <v>0</v>
      </c>
      <c r="J285">
        <v>0</v>
      </c>
      <c r="K285">
        <v>20</v>
      </c>
      <c r="L285">
        <v>7</v>
      </c>
      <c r="O285">
        <v>7</v>
      </c>
      <c r="P285">
        <v>0</v>
      </c>
      <c r="Q285">
        <v>0</v>
      </c>
      <c r="R285">
        <v>46.58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H285">
        <v>46.58</v>
      </c>
    </row>
    <row r="286" spans="1:34" x14ac:dyDescent="0.3">
      <c r="A286" s="4">
        <v>314</v>
      </c>
      <c r="B286" s="5">
        <v>279</v>
      </c>
      <c r="C286">
        <v>14851</v>
      </c>
      <c r="D286" t="s">
        <v>9088</v>
      </c>
      <c r="E286" t="s">
        <v>697</v>
      </c>
      <c r="F286" t="s">
        <v>375</v>
      </c>
      <c r="G286" t="s">
        <v>25743</v>
      </c>
      <c r="H286">
        <v>15.5</v>
      </c>
      <c r="I286">
        <v>0</v>
      </c>
      <c r="J286">
        <v>0</v>
      </c>
      <c r="K286">
        <v>20</v>
      </c>
      <c r="L286">
        <v>7</v>
      </c>
      <c r="O286">
        <v>7</v>
      </c>
      <c r="P286">
        <v>4</v>
      </c>
      <c r="Q286">
        <v>0</v>
      </c>
      <c r="R286">
        <v>46.5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H286">
        <v>46.5</v>
      </c>
    </row>
    <row r="287" spans="1:34" x14ac:dyDescent="0.3">
      <c r="A287" s="4">
        <v>315</v>
      </c>
      <c r="B287" s="5">
        <v>280</v>
      </c>
      <c r="C287">
        <v>15118</v>
      </c>
      <c r="D287" t="s">
        <v>1530</v>
      </c>
      <c r="E287" t="s">
        <v>54</v>
      </c>
      <c r="F287" t="s">
        <v>298</v>
      </c>
      <c r="G287" t="s">
        <v>25744</v>
      </c>
      <c r="H287">
        <v>19.05</v>
      </c>
      <c r="I287">
        <v>0</v>
      </c>
      <c r="J287">
        <v>0</v>
      </c>
      <c r="K287">
        <v>20</v>
      </c>
      <c r="N287">
        <v>3</v>
      </c>
      <c r="O287">
        <v>3</v>
      </c>
      <c r="P287">
        <v>4</v>
      </c>
      <c r="Q287">
        <v>0</v>
      </c>
      <c r="R287">
        <v>46.05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H287">
        <v>46.05</v>
      </c>
    </row>
    <row r="288" spans="1:34" x14ac:dyDescent="0.3">
      <c r="A288" s="4">
        <v>316</v>
      </c>
      <c r="B288" s="5">
        <v>281</v>
      </c>
      <c r="C288">
        <v>2733</v>
      </c>
      <c r="D288" t="s">
        <v>25745</v>
      </c>
      <c r="E288" t="s">
        <v>132</v>
      </c>
      <c r="F288" t="s">
        <v>10541</v>
      </c>
      <c r="G288" t="s">
        <v>25746</v>
      </c>
      <c r="H288">
        <v>18.850000000000001</v>
      </c>
      <c r="I288">
        <v>0</v>
      </c>
      <c r="J288">
        <v>0</v>
      </c>
      <c r="K288">
        <v>20</v>
      </c>
      <c r="N288">
        <v>3</v>
      </c>
      <c r="O288">
        <v>3</v>
      </c>
      <c r="P288">
        <v>4</v>
      </c>
      <c r="Q288">
        <v>0</v>
      </c>
      <c r="R288">
        <v>45.85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H288">
        <v>45.85</v>
      </c>
    </row>
    <row r="289" spans="1:34" x14ac:dyDescent="0.3">
      <c r="A289" s="4">
        <v>317</v>
      </c>
      <c r="B289" s="5">
        <v>282</v>
      </c>
      <c r="C289">
        <v>9670</v>
      </c>
      <c r="D289" t="s">
        <v>9666</v>
      </c>
      <c r="E289" t="s">
        <v>26</v>
      </c>
      <c r="F289" t="s">
        <v>7870</v>
      </c>
      <c r="G289" t="s">
        <v>25747</v>
      </c>
      <c r="H289">
        <v>18.600000000000001</v>
      </c>
      <c r="I289">
        <v>0</v>
      </c>
      <c r="J289">
        <v>0</v>
      </c>
      <c r="K289">
        <v>20</v>
      </c>
      <c r="N289">
        <v>3</v>
      </c>
      <c r="O289">
        <v>3</v>
      </c>
      <c r="P289">
        <v>4</v>
      </c>
      <c r="Q289">
        <v>0</v>
      </c>
      <c r="R289">
        <v>45.6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H289">
        <v>45.6</v>
      </c>
    </row>
    <row r="290" spans="1:34" x14ac:dyDescent="0.3">
      <c r="A290" s="4">
        <v>318</v>
      </c>
      <c r="B290" s="5">
        <v>283</v>
      </c>
      <c r="C290">
        <v>6394</v>
      </c>
      <c r="D290" t="s">
        <v>16545</v>
      </c>
      <c r="E290" t="s">
        <v>10939</v>
      </c>
      <c r="F290" t="s">
        <v>117</v>
      </c>
      <c r="G290" t="s">
        <v>25748</v>
      </c>
      <c r="H290">
        <v>18.600000000000001</v>
      </c>
      <c r="I290">
        <v>0</v>
      </c>
      <c r="J290">
        <v>0</v>
      </c>
      <c r="K290">
        <v>0</v>
      </c>
      <c r="L290">
        <v>7</v>
      </c>
      <c r="O290">
        <v>7</v>
      </c>
      <c r="P290">
        <v>4</v>
      </c>
      <c r="Q290">
        <v>2</v>
      </c>
      <c r="R290">
        <v>31.6</v>
      </c>
      <c r="S290">
        <v>14</v>
      </c>
      <c r="T290">
        <v>14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14</v>
      </c>
      <c r="AB290">
        <v>0</v>
      </c>
      <c r="AC290">
        <v>0</v>
      </c>
      <c r="AH290">
        <v>45.6</v>
      </c>
    </row>
    <row r="291" spans="1:34" x14ac:dyDescent="0.3">
      <c r="A291" s="4">
        <v>319</v>
      </c>
      <c r="B291" s="5">
        <v>284</v>
      </c>
      <c r="C291">
        <v>5169</v>
      </c>
      <c r="D291" t="s">
        <v>259</v>
      </c>
      <c r="E291" t="s">
        <v>25749</v>
      </c>
      <c r="F291" t="s">
        <v>17</v>
      </c>
      <c r="G291" t="s">
        <v>25750</v>
      </c>
      <c r="H291">
        <v>18.55</v>
      </c>
      <c r="I291">
        <v>0</v>
      </c>
      <c r="J291">
        <v>0</v>
      </c>
      <c r="K291">
        <v>20</v>
      </c>
      <c r="N291">
        <v>3</v>
      </c>
      <c r="O291">
        <v>3</v>
      </c>
      <c r="P291">
        <v>4</v>
      </c>
      <c r="Q291">
        <v>0</v>
      </c>
      <c r="R291">
        <v>45.55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H291">
        <v>45.55</v>
      </c>
    </row>
    <row r="292" spans="1:34" x14ac:dyDescent="0.3">
      <c r="A292" s="4">
        <v>320</v>
      </c>
      <c r="B292" s="5">
        <v>285</v>
      </c>
      <c r="C292">
        <v>893</v>
      </c>
      <c r="D292" t="s">
        <v>25751</v>
      </c>
      <c r="E292" t="s">
        <v>143</v>
      </c>
      <c r="F292" t="s">
        <v>20</v>
      </c>
      <c r="G292" t="s">
        <v>25752</v>
      </c>
      <c r="H292">
        <v>17.8</v>
      </c>
      <c r="I292">
        <v>0</v>
      </c>
      <c r="J292">
        <v>0</v>
      </c>
      <c r="K292">
        <v>20</v>
      </c>
      <c r="N292">
        <v>3</v>
      </c>
      <c r="O292">
        <v>3</v>
      </c>
      <c r="P292">
        <v>4</v>
      </c>
      <c r="Q292">
        <v>0</v>
      </c>
      <c r="R292">
        <v>44.8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H292">
        <v>44.8</v>
      </c>
    </row>
    <row r="293" spans="1:34" x14ac:dyDescent="0.3">
      <c r="A293" s="4">
        <v>321</v>
      </c>
      <c r="B293" s="5">
        <v>286</v>
      </c>
      <c r="C293">
        <v>5811</v>
      </c>
      <c r="D293" t="s">
        <v>25753</v>
      </c>
      <c r="E293" t="s">
        <v>29</v>
      </c>
      <c r="F293" t="s">
        <v>17</v>
      </c>
      <c r="G293" t="s">
        <v>25754</v>
      </c>
      <c r="H293">
        <v>19.63</v>
      </c>
      <c r="I293">
        <v>7</v>
      </c>
      <c r="J293">
        <v>0</v>
      </c>
      <c r="K293">
        <v>0</v>
      </c>
      <c r="L293">
        <v>14</v>
      </c>
      <c r="O293">
        <v>14</v>
      </c>
      <c r="P293">
        <v>4</v>
      </c>
      <c r="Q293">
        <v>0</v>
      </c>
      <c r="R293">
        <v>44.63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H293">
        <v>44.63</v>
      </c>
    </row>
    <row r="294" spans="1:34" x14ac:dyDescent="0.3">
      <c r="A294" s="4">
        <v>322</v>
      </c>
      <c r="B294" s="5">
        <v>287</v>
      </c>
      <c r="C294">
        <v>10488</v>
      </c>
      <c r="D294" t="s">
        <v>569</v>
      </c>
      <c r="E294" t="s">
        <v>816</v>
      </c>
      <c r="F294" t="s">
        <v>25755</v>
      </c>
      <c r="G294" t="s">
        <v>25756</v>
      </c>
      <c r="H294">
        <v>17.5</v>
      </c>
      <c r="I294">
        <v>0</v>
      </c>
      <c r="J294">
        <v>0</v>
      </c>
      <c r="K294">
        <v>20</v>
      </c>
      <c r="N294">
        <v>3</v>
      </c>
      <c r="O294">
        <v>3</v>
      </c>
      <c r="P294">
        <v>4</v>
      </c>
      <c r="Q294">
        <v>0</v>
      </c>
      <c r="R294">
        <v>44.5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H294">
        <v>44.5</v>
      </c>
    </row>
    <row r="295" spans="1:34" x14ac:dyDescent="0.3">
      <c r="A295" s="4">
        <v>323</v>
      </c>
      <c r="B295" s="5">
        <v>288</v>
      </c>
      <c r="C295">
        <v>4403</v>
      </c>
      <c r="D295" t="s">
        <v>25757</v>
      </c>
      <c r="E295" t="s">
        <v>136</v>
      </c>
      <c r="F295" t="s">
        <v>375</v>
      </c>
      <c r="G295" t="s">
        <v>25758</v>
      </c>
      <c r="H295">
        <v>15.5</v>
      </c>
      <c r="I295">
        <v>0</v>
      </c>
      <c r="J295">
        <v>0</v>
      </c>
      <c r="K295">
        <v>0</v>
      </c>
      <c r="L295">
        <v>7</v>
      </c>
      <c r="O295">
        <v>7</v>
      </c>
      <c r="P295">
        <v>4</v>
      </c>
      <c r="Q295">
        <v>2</v>
      </c>
      <c r="R295">
        <v>28.5</v>
      </c>
      <c r="S295">
        <v>16</v>
      </c>
      <c r="T295">
        <v>16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16</v>
      </c>
      <c r="AB295">
        <v>0</v>
      </c>
      <c r="AC295">
        <v>0</v>
      </c>
      <c r="AH295">
        <v>44.5</v>
      </c>
    </row>
    <row r="296" spans="1:34" x14ac:dyDescent="0.3">
      <c r="A296" s="4">
        <v>324</v>
      </c>
      <c r="B296" s="5">
        <v>289</v>
      </c>
      <c r="C296">
        <v>9817</v>
      </c>
      <c r="D296" t="s">
        <v>7344</v>
      </c>
      <c r="E296" t="s">
        <v>25759</v>
      </c>
      <c r="F296" t="s">
        <v>442</v>
      </c>
      <c r="G296" t="s">
        <v>25760</v>
      </c>
      <c r="H296">
        <v>17.45</v>
      </c>
      <c r="I296">
        <v>0</v>
      </c>
      <c r="J296">
        <v>0</v>
      </c>
      <c r="K296">
        <v>20</v>
      </c>
      <c r="N296">
        <v>3</v>
      </c>
      <c r="O296">
        <v>3</v>
      </c>
      <c r="P296">
        <v>4</v>
      </c>
      <c r="Q296">
        <v>0</v>
      </c>
      <c r="R296">
        <v>44.45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H296">
        <v>44.45</v>
      </c>
    </row>
    <row r="297" spans="1:34" x14ac:dyDescent="0.3">
      <c r="A297" s="4">
        <v>325</v>
      </c>
      <c r="B297" s="5">
        <v>290</v>
      </c>
      <c r="C297">
        <v>9442</v>
      </c>
      <c r="D297" t="s">
        <v>25761</v>
      </c>
      <c r="E297" t="s">
        <v>17</v>
      </c>
      <c r="F297" t="s">
        <v>91</v>
      </c>
      <c r="G297" t="s">
        <v>25762</v>
      </c>
      <c r="H297">
        <v>17.350000000000001</v>
      </c>
      <c r="I297">
        <v>0</v>
      </c>
      <c r="J297">
        <v>0</v>
      </c>
      <c r="K297">
        <v>20</v>
      </c>
      <c r="N297">
        <v>3</v>
      </c>
      <c r="O297">
        <v>3</v>
      </c>
      <c r="P297">
        <v>4</v>
      </c>
      <c r="Q297">
        <v>0</v>
      </c>
      <c r="R297">
        <v>44.35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H297">
        <v>44.35</v>
      </c>
    </row>
    <row r="298" spans="1:34" x14ac:dyDescent="0.3">
      <c r="A298" s="4">
        <v>326</v>
      </c>
      <c r="B298" s="5">
        <v>291</v>
      </c>
      <c r="C298">
        <v>5282</v>
      </c>
      <c r="D298" t="s">
        <v>5065</v>
      </c>
      <c r="E298" t="s">
        <v>208</v>
      </c>
      <c r="F298" t="s">
        <v>20</v>
      </c>
      <c r="G298" t="s">
        <v>25763</v>
      </c>
      <c r="H298">
        <v>17.25</v>
      </c>
      <c r="I298">
        <v>0</v>
      </c>
      <c r="J298">
        <v>0</v>
      </c>
      <c r="K298">
        <v>20</v>
      </c>
      <c r="N298">
        <v>3</v>
      </c>
      <c r="O298">
        <v>3</v>
      </c>
      <c r="P298">
        <v>4</v>
      </c>
      <c r="Q298">
        <v>0</v>
      </c>
      <c r="R298">
        <v>44.25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H298">
        <v>44.25</v>
      </c>
    </row>
    <row r="299" spans="1:34" x14ac:dyDescent="0.3">
      <c r="A299" s="4">
        <v>327</v>
      </c>
      <c r="B299" s="5">
        <v>292</v>
      </c>
      <c r="C299">
        <v>14858</v>
      </c>
      <c r="D299" t="s">
        <v>8598</v>
      </c>
      <c r="E299" t="s">
        <v>789</v>
      </c>
      <c r="F299" t="s">
        <v>17</v>
      </c>
      <c r="G299" t="s">
        <v>25764</v>
      </c>
      <c r="H299">
        <v>17.23</v>
      </c>
      <c r="I299">
        <v>0</v>
      </c>
      <c r="J299">
        <v>0</v>
      </c>
      <c r="K299">
        <v>20</v>
      </c>
      <c r="N299">
        <v>3</v>
      </c>
      <c r="O299">
        <v>3</v>
      </c>
      <c r="P299">
        <v>4</v>
      </c>
      <c r="Q299">
        <v>0</v>
      </c>
      <c r="R299">
        <v>44.23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H299">
        <v>44.23</v>
      </c>
    </row>
    <row r="300" spans="1:34" x14ac:dyDescent="0.3">
      <c r="A300" s="4">
        <v>328</v>
      </c>
      <c r="B300" s="5">
        <v>293</v>
      </c>
      <c r="C300">
        <v>6296</v>
      </c>
      <c r="D300" t="s">
        <v>25765</v>
      </c>
      <c r="E300" t="s">
        <v>188</v>
      </c>
      <c r="F300" t="s">
        <v>17</v>
      </c>
      <c r="G300" t="s">
        <v>25766</v>
      </c>
      <c r="H300">
        <v>15.2</v>
      </c>
      <c r="I300">
        <v>0</v>
      </c>
      <c r="J300">
        <v>0</v>
      </c>
      <c r="K300">
        <v>20</v>
      </c>
      <c r="N300">
        <v>3</v>
      </c>
      <c r="O300">
        <v>3</v>
      </c>
      <c r="P300">
        <v>4</v>
      </c>
      <c r="Q300">
        <v>2</v>
      </c>
      <c r="R300">
        <v>44.2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H300">
        <v>44.2</v>
      </c>
    </row>
    <row r="301" spans="1:34" x14ac:dyDescent="0.3">
      <c r="A301" s="4">
        <v>329</v>
      </c>
      <c r="B301" s="5">
        <v>294</v>
      </c>
      <c r="C301">
        <v>12341</v>
      </c>
      <c r="D301" t="s">
        <v>1078</v>
      </c>
      <c r="E301" t="s">
        <v>126</v>
      </c>
      <c r="F301" t="s">
        <v>30</v>
      </c>
      <c r="G301" t="s">
        <v>25767</v>
      </c>
      <c r="H301">
        <v>16.88</v>
      </c>
      <c r="I301">
        <v>0</v>
      </c>
      <c r="J301">
        <v>0</v>
      </c>
      <c r="K301">
        <v>20</v>
      </c>
      <c r="N301">
        <v>3</v>
      </c>
      <c r="O301">
        <v>3</v>
      </c>
      <c r="P301">
        <v>4</v>
      </c>
      <c r="Q301">
        <v>0</v>
      </c>
      <c r="R301">
        <v>43.88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H301">
        <v>43.88</v>
      </c>
    </row>
    <row r="302" spans="1:34" x14ac:dyDescent="0.3">
      <c r="A302" s="4">
        <v>330</v>
      </c>
      <c r="B302" s="5">
        <v>295</v>
      </c>
      <c r="C302">
        <v>5356</v>
      </c>
      <c r="D302" t="s">
        <v>25768</v>
      </c>
      <c r="E302" t="s">
        <v>25769</v>
      </c>
      <c r="F302" t="s">
        <v>587</v>
      </c>
      <c r="G302" t="s">
        <v>25770</v>
      </c>
      <c r="H302">
        <v>19.850000000000001</v>
      </c>
      <c r="I302">
        <v>0</v>
      </c>
      <c r="J302">
        <v>0</v>
      </c>
      <c r="K302">
        <v>20</v>
      </c>
      <c r="O302">
        <v>0</v>
      </c>
      <c r="P302">
        <v>4</v>
      </c>
      <c r="Q302">
        <v>0</v>
      </c>
      <c r="R302">
        <v>43.85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H302">
        <v>43.85</v>
      </c>
    </row>
    <row r="303" spans="1:34" x14ac:dyDescent="0.3">
      <c r="A303" s="4">
        <v>331</v>
      </c>
      <c r="B303" s="5">
        <v>296</v>
      </c>
      <c r="C303">
        <v>10378</v>
      </c>
      <c r="D303" t="s">
        <v>5761</v>
      </c>
      <c r="E303" t="s">
        <v>424</v>
      </c>
      <c r="F303" t="s">
        <v>30</v>
      </c>
      <c r="G303" t="s">
        <v>25771</v>
      </c>
      <c r="H303">
        <v>17.73</v>
      </c>
      <c r="I303">
        <v>0</v>
      </c>
      <c r="J303">
        <v>0</v>
      </c>
      <c r="K303">
        <v>0</v>
      </c>
      <c r="M303">
        <v>5</v>
      </c>
      <c r="O303">
        <v>5</v>
      </c>
      <c r="P303">
        <v>4</v>
      </c>
      <c r="Q303">
        <v>0</v>
      </c>
      <c r="R303">
        <v>26.73</v>
      </c>
      <c r="S303">
        <v>17</v>
      </c>
      <c r="T303">
        <v>17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17</v>
      </c>
      <c r="AB303">
        <v>0</v>
      </c>
      <c r="AC303">
        <v>0</v>
      </c>
      <c r="AH303">
        <v>43.73</v>
      </c>
    </row>
    <row r="304" spans="1:34" x14ac:dyDescent="0.3">
      <c r="A304" s="4">
        <v>332</v>
      </c>
      <c r="B304" s="5">
        <v>297</v>
      </c>
      <c r="C304">
        <v>12968</v>
      </c>
      <c r="D304" t="s">
        <v>912</v>
      </c>
      <c r="E304" t="s">
        <v>25772</v>
      </c>
      <c r="F304" t="s">
        <v>25773</v>
      </c>
      <c r="G304" t="s">
        <v>25774</v>
      </c>
      <c r="H304">
        <v>18.5</v>
      </c>
      <c r="I304">
        <v>0</v>
      </c>
      <c r="J304">
        <v>0</v>
      </c>
      <c r="K304">
        <v>0</v>
      </c>
      <c r="N304">
        <v>3</v>
      </c>
      <c r="O304">
        <v>3</v>
      </c>
      <c r="P304">
        <v>4</v>
      </c>
      <c r="Q304">
        <v>2</v>
      </c>
      <c r="R304">
        <v>27.5</v>
      </c>
      <c r="S304">
        <v>0</v>
      </c>
      <c r="T304">
        <v>0</v>
      </c>
      <c r="U304">
        <v>0</v>
      </c>
      <c r="V304">
        <v>0</v>
      </c>
      <c r="W304">
        <v>11</v>
      </c>
      <c r="X304">
        <v>16</v>
      </c>
      <c r="Y304">
        <v>0</v>
      </c>
      <c r="Z304">
        <v>0</v>
      </c>
      <c r="AA304">
        <v>16</v>
      </c>
      <c r="AB304">
        <v>0</v>
      </c>
      <c r="AC304">
        <v>0</v>
      </c>
      <c r="AH304">
        <v>43.5</v>
      </c>
    </row>
    <row r="305" spans="1:34" x14ac:dyDescent="0.3">
      <c r="A305" s="4">
        <v>333</v>
      </c>
      <c r="B305" s="5">
        <v>298</v>
      </c>
      <c r="C305">
        <v>8943</v>
      </c>
      <c r="D305" t="s">
        <v>25775</v>
      </c>
      <c r="E305" t="s">
        <v>406</v>
      </c>
      <c r="F305" t="s">
        <v>81</v>
      </c>
      <c r="G305" t="s">
        <v>25776</v>
      </c>
      <c r="H305">
        <v>19.23</v>
      </c>
      <c r="I305">
        <v>0</v>
      </c>
      <c r="J305">
        <v>0</v>
      </c>
      <c r="K305">
        <v>20</v>
      </c>
      <c r="O305">
        <v>0</v>
      </c>
      <c r="P305">
        <v>4</v>
      </c>
      <c r="Q305">
        <v>0</v>
      </c>
      <c r="R305">
        <v>43.23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 t="s">
        <v>130</v>
      </c>
      <c r="AH305">
        <v>43.23</v>
      </c>
    </row>
    <row r="306" spans="1:34" x14ac:dyDescent="0.3">
      <c r="A306" s="4">
        <v>334</v>
      </c>
      <c r="B306" s="5">
        <v>299</v>
      </c>
      <c r="C306">
        <v>6099</v>
      </c>
      <c r="D306" t="s">
        <v>2682</v>
      </c>
      <c r="E306" t="s">
        <v>88</v>
      </c>
      <c r="F306" t="s">
        <v>227</v>
      </c>
      <c r="G306" t="s">
        <v>25777</v>
      </c>
      <c r="H306">
        <v>18.329999999999998</v>
      </c>
      <c r="I306">
        <v>0</v>
      </c>
      <c r="J306">
        <v>0</v>
      </c>
      <c r="K306">
        <v>20</v>
      </c>
      <c r="O306">
        <v>0</v>
      </c>
      <c r="P306">
        <v>4</v>
      </c>
      <c r="Q306">
        <v>0</v>
      </c>
      <c r="R306">
        <v>42.33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H306">
        <v>42.33</v>
      </c>
    </row>
    <row r="307" spans="1:34" x14ac:dyDescent="0.3">
      <c r="A307" s="4">
        <v>335</v>
      </c>
      <c r="B307" s="5">
        <v>300</v>
      </c>
      <c r="C307">
        <v>12307</v>
      </c>
      <c r="D307" t="s">
        <v>25778</v>
      </c>
      <c r="E307" t="s">
        <v>816</v>
      </c>
      <c r="F307" t="s">
        <v>17</v>
      </c>
      <c r="G307" t="s">
        <v>25779</v>
      </c>
      <c r="H307">
        <v>20.18</v>
      </c>
      <c r="I307">
        <v>0</v>
      </c>
      <c r="J307">
        <v>0</v>
      </c>
      <c r="K307">
        <v>0</v>
      </c>
      <c r="L307">
        <v>7</v>
      </c>
      <c r="N307">
        <v>3</v>
      </c>
      <c r="O307">
        <v>10</v>
      </c>
      <c r="P307">
        <v>4</v>
      </c>
      <c r="Q307">
        <v>0</v>
      </c>
      <c r="R307">
        <v>34.18</v>
      </c>
      <c r="S307">
        <v>8</v>
      </c>
      <c r="T307">
        <v>8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8</v>
      </c>
      <c r="AB307">
        <v>0</v>
      </c>
      <c r="AC307">
        <v>0</v>
      </c>
      <c r="AH307">
        <v>42.18</v>
      </c>
    </row>
    <row r="308" spans="1:34" x14ac:dyDescent="0.3">
      <c r="A308" s="4">
        <v>336</v>
      </c>
      <c r="B308" s="5">
        <v>301</v>
      </c>
      <c r="C308">
        <v>8917</v>
      </c>
      <c r="D308" t="s">
        <v>25780</v>
      </c>
      <c r="E308" t="s">
        <v>25781</v>
      </c>
      <c r="F308" t="s">
        <v>136</v>
      </c>
      <c r="G308" t="s">
        <v>25782</v>
      </c>
      <c r="H308">
        <v>18.13</v>
      </c>
      <c r="I308">
        <v>0</v>
      </c>
      <c r="J308">
        <v>0</v>
      </c>
      <c r="K308">
        <v>20</v>
      </c>
      <c r="N308">
        <v>3</v>
      </c>
      <c r="O308">
        <v>3</v>
      </c>
      <c r="P308">
        <v>0</v>
      </c>
      <c r="Q308">
        <v>0</v>
      </c>
      <c r="R308">
        <v>41.13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H308">
        <v>41.13</v>
      </c>
    </row>
    <row r="309" spans="1:34" x14ac:dyDescent="0.3">
      <c r="A309" s="4">
        <v>337</v>
      </c>
      <c r="B309" s="5">
        <v>302</v>
      </c>
      <c r="C309">
        <v>12023</v>
      </c>
      <c r="D309" t="s">
        <v>25783</v>
      </c>
      <c r="E309" t="s">
        <v>166</v>
      </c>
      <c r="F309" t="s">
        <v>81</v>
      </c>
      <c r="G309" t="s">
        <v>25784</v>
      </c>
      <c r="H309">
        <v>21.25</v>
      </c>
      <c r="I309">
        <v>0</v>
      </c>
      <c r="J309">
        <v>0</v>
      </c>
      <c r="K309">
        <v>0</v>
      </c>
      <c r="N309">
        <v>3</v>
      </c>
      <c r="O309">
        <v>3</v>
      </c>
      <c r="P309">
        <v>4</v>
      </c>
      <c r="Q309">
        <v>2</v>
      </c>
      <c r="R309">
        <v>30.25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9</v>
      </c>
      <c r="AC309">
        <v>0</v>
      </c>
      <c r="AH309">
        <v>39.25</v>
      </c>
    </row>
    <row r="310" spans="1:34" x14ac:dyDescent="0.3">
      <c r="A310" s="4">
        <v>338</v>
      </c>
      <c r="B310" s="5">
        <v>303</v>
      </c>
      <c r="C310">
        <v>14871</v>
      </c>
      <c r="D310" t="s">
        <v>3603</v>
      </c>
      <c r="E310" t="s">
        <v>166</v>
      </c>
      <c r="F310" t="s">
        <v>124</v>
      </c>
      <c r="G310" t="s">
        <v>25785</v>
      </c>
      <c r="H310">
        <v>14.88</v>
      </c>
      <c r="I310">
        <v>0</v>
      </c>
      <c r="J310">
        <v>0</v>
      </c>
      <c r="K310">
        <v>0</v>
      </c>
      <c r="L310">
        <v>7</v>
      </c>
      <c r="M310">
        <v>5</v>
      </c>
      <c r="O310">
        <v>12</v>
      </c>
      <c r="P310">
        <v>4</v>
      </c>
      <c r="Q310">
        <v>2</v>
      </c>
      <c r="R310">
        <v>32.880000000000003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6</v>
      </c>
      <c r="AC310">
        <v>0</v>
      </c>
      <c r="AH310">
        <v>38.880000000000003</v>
      </c>
    </row>
    <row r="311" spans="1:34" x14ac:dyDescent="0.3">
      <c r="A311" s="4">
        <v>339</v>
      </c>
      <c r="B311" s="5">
        <v>304</v>
      </c>
      <c r="C311">
        <v>765</v>
      </c>
      <c r="D311" t="s">
        <v>25786</v>
      </c>
      <c r="E311" t="s">
        <v>1694</v>
      </c>
      <c r="F311" t="s">
        <v>8771</v>
      </c>
      <c r="G311" t="s">
        <v>25787</v>
      </c>
      <c r="H311">
        <v>17.829999999999998</v>
      </c>
      <c r="I311">
        <v>0</v>
      </c>
      <c r="J311">
        <v>0</v>
      </c>
      <c r="K311">
        <v>0</v>
      </c>
      <c r="N311">
        <v>6</v>
      </c>
      <c r="O311">
        <v>6</v>
      </c>
      <c r="P311">
        <v>4</v>
      </c>
      <c r="Q311">
        <v>2</v>
      </c>
      <c r="R311">
        <v>29.83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9</v>
      </c>
      <c r="AC311">
        <v>0</v>
      </c>
      <c r="AH311">
        <v>38.83</v>
      </c>
    </row>
    <row r="312" spans="1:34" x14ac:dyDescent="0.3">
      <c r="A312" s="4">
        <v>340</v>
      </c>
      <c r="B312" s="5">
        <v>305</v>
      </c>
      <c r="C312">
        <v>15167</v>
      </c>
      <c r="D312" t="s">
        <v>3434</v>
      </c>
      <c r="E312" t="s">
        <v>342</v>
      </c>
      <c r="F312" t="s">
        <v>328</v>
      </c>
      <c r="G312" t="s">
        <v>25788</v>
      </c>
      <c r="H312">
        <v>24.25</v>
      </c>
      <c r="I312">
        <v>0</v>
      </c>
      <c r="J312">
        <v>0</v>
      </c>
      <c r="K312">
        <v>0</v>
      </c>
      <c r="L312">
        <v>7</v>
      </c>
      <c r="N312">
        <v>3</v>
      </c>
      <c r="O312">
        <v>10</v>
      </c>
      <c r="P312">
        <v>4</v>
      </c>
      <c r="Q312">
        <v>0</v>
      </c>
      <c r="R312">
        <v>38.25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H312">
        <v>38.25</v>
      </c>
    </row>
    <row r="313" spans="1:34" x14ac:dyDescent="0.3">
      <c r="A313" s="4">
        <v>341</v>
      </c>
      <c r="B313" s="5">
        <v>306</v>
      </c>
      <c r="C313">
        <v>6655</v>
      </c>
      <c r="D313" t="s">
        <v>3858</v>
      </c>
      <c r="E313" t="s">
        <v>149</v>
      </c>
      <c r="F313" t="s">
        <v>117</v>
      </c>
      <c r="G313" t="s">
        <v>25789</v>
      </c>
      <c r="H313">
        <v>16.829999999999998</v>
      </c>
      <c r="I313">
        <v>0</v>
      </c>
      <c r="J313">
        <v>0</v>
      </c>
      <c r="K313">
        <v>0</v>
      </c>
      <c r="N313">
        <v>3</v>
      </c>
      <c r="O313">
        <v>3</v>
      </c>
      <c r="P313">
        <v>4</v>
      </c>
      <c r="Q313">
        <v>0</v>
      </c>
      <c r="R313">
        <v>23.83</v>
      </c>
      <c r="S313">
        <v>8</v>
      </c>
      <c r="T313">
        <v>8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8</v>
      </c>
      <c r="AB313">
        <v>6</v>
      </c>
      <c r="AC313">
        <v>0</v>
      </c>
      <c r="AH313">
        <v>37.83</v>
      </c>
    </row>
    <row r="314" spans="1:34" x14ac:dyDescent="0.3">
      <c r="A314" s="4">
        <v>342</v>
      </c>
      <c r="B314" s="5">
        <v>307</v>
      </c>
      <c r="C314">
        <v>10499</v>
      </c>
      <c r="D314" t="s">
        <v>25790</v>
      </c>
      <c r="E314" t="s">
        <v>15078</v>
      </c>
      <c r="F314" t="s">
        <v>124</v>
      </c>
      <c r="G314" t="s">
        <v>25791</v>
      </c>
      <c r="H314">
        <v>21.13</v>
      </c>
      <c r="I314">
        <v>0</v>
      </c>
      <c r="J314">
        <v>0</v>
      </c>
      <c r="K314">
        <v>0</v>
      </c>
      <c r="L314">
        <v>7</v>
      </c>
      <c r="N314">
        <v>3</v>
      </c>
      <c r="O314">
        <v>10</v>
      </c>
      <c r="P314">
        <v>4</v>
      </c>
      <c r="Q314">
        <v>2</v>
      </c>
      <c r="R314">
        <v>37.130000000000003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H314">
        <v>37.130000000000003</v>
      </c>
    </row>
    <row r="315" spans="1:34" x14ac:dyDescent="0.3">
      <c r="A315" s="4">
        <v>343</v>
      </c>
      <c r="B315" s="5">
        <v>308</v>
      </c>
      <c r="C315">
        <v>11814</v>
      </c>
      <c r="D315" t="s">
        <v>25792</v>
      </c>
      <c r="E315" t="s">
        <v>158</v>
      </c>
      <c r="F315" t="s">
        <v>117</v>
      </c>
      <c r="G315" t="s">
        <v>25793</v>
      </c>
      <c r="H315">
        <v>16.13</v>
      </c>
      <c r="I315">
        <v>0</v>
      </c>
      <c r="J315">
        <v>0</v>
      </c>
      <c r="K315">
        <v>0</v>
      </c>
      <c r="L315">
        <v>7</v>
      </c>
      <c r="O315">
        <v>7</v>
      </c>
      <c r="P315">
        <v>4</v>
      </c>
      <c r="Q315">
        <v>2</v>
      </c>
      <c r="R315">
        <v>29.13</v>
      </c>
      <c r="S315">
        <v>8</v>
      </c>
      <c r="T315">
        <v>8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8</v>
      </c>
      <c r="AB315">
        <v>0</v>
      </c>
      <c r="AC315">
        <v>0</v>
      </c>
      <c r="AH315">
        <v>37.130000000000003</v>
      </c>
    </row>
    <row r="316" spans="1:34" x14ac:dyDescent="0.3">
      <c r="A316" s="4">
        <v>344</v>
      </c>
      <c r="B316" s="5">
        <v>309</v>
      </c>
      <c r="C316">
        <v>13520</v>
      </c>
      <c r="D316" t="s">
        <v>12558</v>
      </c>
      <c r="E316" t="s">
        <v>8016</v>
      </c>
      <c r="F316" t="s">
        <v>158</v>
      </c>
      <c r="G316" t="s">
        <v>25794</v>
      </c>
      <c r="H316">
        <v>17.329999999999998</v>
      </c>
      <c r="I316">
        <v>0</v>
      </c>
      <c r="J316">
        <v>0</v>
      </c>
      <c r="K316">
        <v>0</v>
      </c>
      <c r="L316">
        <v>7</v>
      </c>
      <c r="O316">
        <v>7</v>
      </c>
      <c r="P316">
        <v>4</v>
      </c>
      <c r="Q316">
        <v>0</v>
      </c>
      <c r="R316">
        <v>28.33</v>
      </c>
      <c r="S316">
        <v>8</v>
      </c>
      <c r="T316">
        <v>8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8</v>
      </c>
      <c r="AB316">
        <v>0</v>
      </c>
      <c r="AC316">
        <v>0</v>
      </c>
      <c r="AH316">
        <v>36.33</v>
      </c>
    </row>
    <row r="317" spans="1:34" x14ac:dyDescent="0.3">
      <c r="A317" s="4">
        <v>345</v>
      </c>
      <c r="B317" s="5">
        <v>310</v>
      </c>
      <c r="C317">
        <v>9569</v>
      </c>
      <c r="D317" t="s">
        <v>25795</v>
      </c>
      <c r="E317" t="s">
        <v>550</v>
      </c>
      <c r="F317" t="s">
        <v>136</v>
      </c>
      <c r="G317" t="s">
        <v>25796</v>
      </c>
      <c r="H317">
        <v>20.149999999999999</v>
      </c>
      <c r="I317">
        <v>0</v>
      </c>
      <c r="J317">
        <v>0</v>
      </c>
      <c r="K317">
        <v>0</v>
      </c>
      <c r="L317">
        <v>7</v>
      </c>
      <c r="M317">
        <v>5</v>
      </c>
      <c r="O317">
        <v>12</v>
      </c>
      <c r="P317">
        <v>4</v>
      </c>
      <c r="Q317">
        <v>0</v>
      </c>
      <c r="R317">
        <v>36.15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H317">
        <v>36.15</v>
      </c>
    </row>
    <row r="318" spans="1:34" x14ac:dyDescent="0.3">
      <c r="A318" s="4">
        <v>346</v>
      </c>
      <c r="B318" s="5">
        <v>311</v>
      </c>
      <c r="C318">
        <v>12050</v>
      </c>
      <c r="D318" t="s">
        <v>10349</v>
      </c>
      <c r="E318" t="s">
        <v>471</v>
      </c>
      <c r="F318" t="s">
        <v>30</v>
      </c>
      <c r="G318" t="s">
        <v>25797</v>
      </c>
      <c r="H318">
        <v>19.68</v>
      </c>
      <c r="I318">
        <v>0</v>
      </c>
      <c r="J318">
        <v>0</v>
      </c>
      <c r="K318">
        <v>0</v>
      </c>
      <c r="L318">
        <v>7</v>
      </c>
      <c r="O318">
        <v>7</v>
      </c>
      <c r="P318">
        <v>4</v>
      </c>
      <c r="Q318">
        <v>2</v>
      </c>
      <c r="R318">
        <v>32.68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3</v>
      </c>
      <c r="AC318">
        <v>0</v>
      </c>
      <c r="AD318" t="s">
        <v>130</v>
      </c>
      <c r="AH318">
        <v>35.68</v>
      </c>
    </row>
    <row r="319" spans="1:34" x14ac:dyDescent="0.3">
      <c r="A319" s="4">
        <v>347</v>
      </c>
      <c r="B319" s="5">
        <v>312</v>
      </c>
      <c r="C319">
        <v>5618</v>
      </c>
      <c r="D319" t="s">
        <v>9946</v>
      </c>
      <c r="E319" t="s">
        <v>188</v>
      </c>
      <c r="F319" t="s">
        <v>17</v>
      </c>
      <c r="G319" t="s">
        <v>25798</v>
      </c>
      <c r="H319">
        <v>16.5</v>
      </c>
      <c r="I319">
        <v>0</v>
      </c>
      <c r="J319">
        <v>0</v>
      </c>
      <c r="K319">
        <v>0</v>
      </c>
      <c r="L319">
        <v>7</v>
      </c>
      <c r="O319">
        <v>7</v>
      </c>
      <c r="P319">
        <v>4</v>
      </c>
      <c r="Q319">
        <v>2</v>
      </c>
      <c r="R319">
        <v>29.5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6</v>
      </c>
      <c r="AC319">
        <v>0</v>
      </c>
      <c r="AH319">
        <v>35.5</v>
      </c>
    </row>
    <row r="320" spans="1:34" x14ac:dyDescent="0.3">
      <c r="A320" s="4">
        <v>348</v>
      </c>
      <c r="B320" s="5">
        <v>313</v>
      </c>
      <c r="C320">
        <v>5675</v>
      </c>
      <c r="D320" t="s">
        <v>173</v>
      </c>
      <c r="E320" t="s">
        <v>51</v>
      </c>
      <c r="F320" t="s">
        <v>68</v>
      </c>
      <c r="G320" t="s">
        <v>25799</v>
      </c>
      <c r="H320">
        <v>21.4</v>
      </c>
      <c r="I320">
        <v>0</v>
      </c>
      <c r="J320">
        <v>0</v>
      </c>
      <c r="K320">
        <v>0</v>
      </c>
      <c r="L320">
        <v>7</v>
      </c>
      <c r="N320">
        <v>3</v>
      </c>
      <c r="O320">
        <v>10</v>
      </c>
      <c r="P320">
        <v>4</v>
      </c>
      <c r="Q320">
        <v>0</v>
      </c>
      <c r="R320">
        <v>35.4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H320">
        <v>35.4</v>
      </c>
    </row>
    <row r="321" spans="1:34" x14ac:dyDescent="0.3">
      <c r="A321" s="4">
        <v>349</v>
      </c>
      <c r="B321" s="5">
        <v>314</v>
      </c>
      <c r="C321">
        <v>948</v>
      </c>
      <c r="D321" t="s">
        <v>23278</v>
      </c>
      <c r="E321" t="s">
        <v>25800</v>
      </c>
      <c r="F321" t="s">
        <v>30</v>
      </c>
      <c r="G321" t="s">
        <v>25801</v>
      </c>
      <c r="H321">
        <v>20.079999999999998</v>
      </c>
      <c r="I321">
        <v>0</v>
      </c>
      <c r="J321">
        <v>0</v>
      </c>
      <c r="K321">
        <v>0</v>
      </c>
      <c r="N321">
        <v>3</v>
      </c>
      <c r="O321">
        <v>3</v>
      </c>
      <c r="P321">
        <v>4</v>
      </c>
      <c r="Q321">
        <v>2</v>
      </c>
      <c r="R321">
        <v>29.08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6</v>
      </c>
      <c r="AC321">
        <v>0</v>
      </c>
      <c r="AH321">
        <v>35.08</v>
      </c>
    </row>
    <row r="322" spans="1:34" x14ac:dyDescent="0.3">
      <c r="A322" s="4">
        <v>350</v>
      </c>
      <c r="B322" s="5">
        <v>315</v>
      </c>
      <c r="C322">
        <v>8172</v>
      </c>
      <c r="D322" t="s">
        <v>22278</v>
      </c>
      <c r="E322" t="s">
        <v>208</v>
      </c>
      <c r="F322" t="s">
        <v>79</v>
      </c>
      <c r="G322" t="s">
        <v>25802</v>
      </c>
      <c r="H322">
        <v>18.78</v>
      </c>
      <c r="I322">
        <v>0</v>
      </c>
      <c r="J322">
        <v>0</v>
      </c>
      <c r="K322">
        <v>0</v>
      </c>
      <c r="L322">
        <v>7</v>
      </c>
      <c r="M322">
        <v>5</v>
      </c>
      <c r="O322">
        <v>12</v>
      </c>
      <c r="P322">
        <v>4</v>
      </c>
      <c r="Q322">
        <v>0</v>
      </c>
      <c r="R322">
        <v>34.78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 t="s">
        <v>130</v>
      </c>
      <c r="AH322">
        <v>34.78</v>
      </c>
    </row>
    <row r="323" spans="1:34" x14ac:dyDescent="0.3">
      <c r="A323" s="4">
        <v>351</v>
      </c>
      <c r="B323" s="5">
        <v>316</v>
      </c>
      <c r="C323">
        <v>7636</v>
      </c>
      <c r="D323" t="s">
        <v>25803</v>
      </c>
      <c r="E323" t="s">
        <v>406</v>
      </c>
      <c r="F323" t="s">
        <v>167</v>
      </c>
      <c r="G323" t="s">
        <v>25804</v>
      </c>
      <c r="H323">
        <v>15.55</v>
      </c>
      <c r="I323">
        <v>0</v>
      </c>
      <c r="J323">
        <v>0</v>
      </c>
      <c r="K323">
        <v>0</v>
      </c>
      <c r="N323">
        <v>6</v>
      </c>
      <c r="O323">
        <v>6</v>
      </c>
      <c r="P323">
        <v>4</v>
      </c>
      <c r="Q323">
        <v>0</v>
      </c>
      <c r="R323">
        <v>25.55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9</v>
      </c>
      <c r="AC323">
        <v>0</v>
      </c>
      <c r="AH323">
        <v>34.549999999999997</v>
      </c>
    </row>
    <row r="324" spans="1:34" x14ac:dyDescent="0.3">
      <c r="A324" s="4">
        <v>352</v>
      </c>
      <c r="B324" s="5">
        <v>317</v>
      </c>
      <c r="C324">
        <v>12970</v>
      </c>
      <c r="D324" t="s">
        <v>25805</v>
      </c>
      <c r="E324" t="s">
        <v>697</v>
      </c>
      <c r="F324" t="s">
        <v>259</v>
      </c>
      <c r="G324" t="s">
        <v>25806</v>
      </c>
      <c r="H324">
        <v>17.5</v>
      </c>
      <c r="I324">
        <v>0</v>
      </c>
      <c r="J324">
        <v>0</v>
      </c>
      <c r="K324">
        <v>0</v>
      </c>
      <c r="L324">
        <v>7</v>
      </c>
      <c r="O324">
        <v>7</v>
      </c>
      <c r="P324">
        <v>4</v>
      </c>
      <c r="Q324">
        <v>0</v>
      </c>
      <c r="R324">
        <v>28.5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6</v>
      </c>
      <c r="AC324">
        <v>0</v>
      </c>
      <c r="AH324">
        <v>34.5</v>
      </c>
    </row>
    <row r="325" spans="1:34" x14ac:dyDescent="0.3">
      <c r="A325" s="4">
        <v>353</v>
      </c>
      <c r="B325" s="5">
        <v>318</v>
      </c>
      <c r="C325">
        <v>416</v>
      </c>
      <c r="D325" t="s">
        <v>1088</v>
      </c>
      <c r="E325" t="s">
        <v>55</v>
      </c>
      <c r="F325" t="s">
        <v>227</v>
      </c>
      <c r="G325" t="s">
        <v>25807</v>
      </c>
      <c r="H325">
        <v>22.8</v>
      </c>
      <c r="I325">
        <v>0</v>
      </c>
      <c r="J325">
        <v>0</v>
      </c>
      <c r="K325">
        <v>0</v>
      </c>
      <c r="L325">
        <v>7</v>
      </c>
      <c r="O325">
        <v>7</v>
      </c>
      <c r="P325">
        <v>4</v>
      </c>
      <c r="Q325">
        <v>0</v>
      </c>
      <c r="R325">
        <v>33.799999999999997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H325">
        <v>33.799999999999997</v>
      </c>
    </row>
    <row r="326" spans="1:34" x14ac:dyDescent="0.3">
      <c r="A326" s="4">
        <v>354</v>
      </c>
      <c r="B326" s="5">
        <v>319</v>
      </c>
      <c r="C326">
        <v>4162</v>
      </c>
      <c r="D326" t="s">
        <v>5008</v>
      </c>
      <c r="E326" t="s">
        <v>178</v>
      </c>
      <c r="F326" t="s">
        <v>328</v>
      </c>
      <c r="G326" t="s">
        <v>25808</v>
      </c>
      <c r="H326">
        <v>17.7</v>
      </c>
      <c r="I326">
        <v>0</v>
      </c>
      <c r="J326">
        <v>0</v>
      </c>
      <c r="K326">
        <v>0</v>
      </c>
      <c r="M326">
        <v>5</v>
      </c>
      <c r="N326">
        <v>3</v>
      </c>
      <c r="O326">
        <v>8</v>
      </c>
      <c r="P326">
        <v>4</v>
      </c>
      <c r="Q326">
        <v>2</v>
      </c>
      <c r="R326">
        <v>31.7</v>
      </c>
      <c r="S326">
        <v>2</v>
      </c>
      <c r="T326">
        <v>2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0</v>
      </c>
      <c r="AC326">
        <v>0</v>
      </c>
      <c r="AH326">
        <v>33.700000000000003</v>
      </c>
    </row>
    <row r="327" spans="1:34" x14ac:dyDescent="0.3">
      <c r="A327" s="4">
        <v>355</v>
      </c>
      <c r="B327" s="5">
        <v>320</v>
      </c>
      <c r="C327">
        <v>488</v>
      </c>
      <c r="D327" t="s">
        <v>1099</v>
      </c>
      <c r="E327" t="s">
        <v>1694</v>
      </c>
      <c r="F327" t="s">
        <v>136</v>
      </c>
      <c r="G327" t="s">
        <v>25809</v>
      </c>
      <c r="H327">
        <v>17.68</v>
      </c>
      <c r="I327">
        <v>0</v>
      </c>
      <c r="J327">
        <v>0</v>
      </c>
      <c r="K327">
        <v>0</v>
      </c>
      <c r="N327">
        <v>6</v>
      </c>
      <c r="O327">
        <v>6</v>
      </c>
      <c r="P327">
        <v>4</v>
      </c>
      <c r="Q327">
        <v>0</v>
      </c>
      <c r="R327">
        <v>27.68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6</v>
      </c>
      <c r="AC327">
        <v>0</v>
      </c>
      <c r="AH327">
        <v>33.68</v>
      </c>
    </row>
    <row r="328" spans="1:34" x14ac:dyDescent="0.3">
      <c r="A328" s="4">
        <v>356</v>
      </c>
      <c r="B328" s="5">
        <v>321</v>
      </c>
      <c r="C328">
        <v>3820</v>
      </c>
      <c r="D328" t="s">
        <v>25810</v>
      </c>
      <c r="E328" t="s">
        <v>178</v>
      </c>
      <c r="F328" t="s">
        <v>20</v>
      </c>
      <c r="G328" t="s">
        <v>25811</v>
      </c>
      <c r="H328">
        <v>15.65</v>
      </c>
      <c r="I328">
        <v>0</v>
      </c>
      <c r="J328">
        <v>0</v>
      </c>
      <c r="K328">
        <v>0</v>
      </c>
      <c r="O328">
        <v>0</v>
      </c>
      <c r="P328">
        <v>4</v>
      </c>
      <c r="Q328">
        <v>0</v>
      </c>
      <c r="R328">
        <v>19.649999999999999</v>
      </c>
      <c r="S328">
        <v>8</v>
      </c>
      <c r="T328">
        <v>8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8</v>
      </c>
      <c r="AB328">
        <v>6</v>
      </c>
      <c r="AC328">
        <v>0</v>
      </c>
      <c r="AH328">
        <v>33.65</v>
      </c>
    </row>
    <row r="329" spans="1:34" x14ac:dyDescent="0.3">
      <c r="A329" s="4">
        <v>357</v>
      </c>
      <c r="B329" s="5">
        <v>322</v>
      </c>
      <c r="C329">
        <v>1928</v>
      </c>
      <c r="D329" t="s">
        <v>2666</v>
      </c>
      <c r="E329" t="s">
        <v>29</v>
      </c>
      <c r="F329" t="s">
        <v>38</v>
      </c>
      <c r="G329" t="s">
        <v>25812</v>
      </c>
      <c r="H329">
        <v>17.600000000000001</v>
      </c>
      <c r="I329">
        <v>0</v>
      </c>
      <c r="J329">
        <v>0</v>
      </c>
      <c r="K329">
        <v>0</v>
      </c>
      <c r="L329">
        <v>7</v>
      </c>
      <c r="O329">
        <v>7</v>
      </c>
      <c r="P329">
        <v>4</v>
      </c>
      <c r="Q329">
        <v>2</v>
      </c>
      <c r="R329">
        <v>30.6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3</v>
      </c>
      <c r="AC329">
        <v>0</v>
      </c>
      <c r="AH329">
        <v>33.6</v>
      </c>
    </row>
    <row r="330" spans="1:34" x14ac:dyDescent="0.3">
      <c r="A330" s="4">
        <v>358</v>
      </c>
      <c r="B330" s="5">
        <v>323</v>
      </c>
      <c r="C330">
        <v>9703</v>
      </c>
      <c r="D330" t="s">
        <v>752</v>
      </c>
      <c r="E330" t="s">
        <v>71</v>
      </c>
      <c r="F330" t="s">
        <v>52</v>
      </c>
      <c r="G330" t="s">
        <v>25813</v>
      </c>
      <c r="H330">
        <v>19.43</v>
      </c>
      <c r="I330">
        <v>0</v>
      </c>
      <c r="J330">
        <v>0</v>
      </c>
      <c r="K330">
        <v>0</v>
      </c>
      <c r="L330">
        <v>7</v>
      </c>
      <c r="N330">
        <v>3</v>
      </c>
      <c r="O330">
        <v>10</v>
      </c>
      <c r="P330">
        <v>4</v>
      </c>
      <c r="Q330">
        <v>0</v>
      </c>
      <c r="R330">
        <v>33.43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H330">
        <v>33.43</v>
      </c>
    </row>
    <row r="331" spans="1:34" x14ac:dyDescent="0.3">
      <c r="A331" s="4">
        <v>359</v>
      </c>
      <c r="B331" s="5">
        <v>324</v>
      </c>
      <c r="C331">
        <v>6832</v>
      </c>
      <c r="D331" t="s">
        <v>25814</v>
      </c>
      <c r="E331" t="s">
        <v>29</v>
      </c>
      <c r="F331" t="s">
        <v>55</v>
      </c>
      <c r="G331" t="s">
        <v>25815</v>
      </c>
      <c r="H331">
        <v>20.3</v>
      </c>
      <c r="I331">
        <v>0</v>
      </c>
      <c r="J331">
        <v>0</v>
      </c>
      <c r="K331">
        <v>0</v>
      </c>
      <c r="L331">
        <v>7</v>
      </c>
      <c r="O331">
        <v>7</v>
      </c>
      <c r="P331">
        <v>4</v>
      </c>
      <c r="Q331">
        <v>2</v>
      </c>
      <c r="R331">
        <v>33.299999999999997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H331">
        <v>33.299999999999997</v>
      </c>
    </row>
    <row r="332" spans="1:34" x14ac:dyDescent="0.3">
      <c r="A332" s="4">
        <v>360</v>
      </c>
      <c r="B332" s="5">
        <v>325</v>
      </c>
      <c r="C332">
        <v>12261</v>
      </c>
      <c r="D332" t="s">
        <v>13352</v>
      </c>
      <c r="E332" t="s">
        <v>17005</v>
      </c>
      <c r="F332" t="s">
        <v>2875</v>
      </c>
      <c r="G332" t="s">
        <v>25816</v>
      </c>
      <c r="H332">
        <v>16.25</v>
      </c>
      <c r="I332">
        <v>7</v>
      </c>
      <c r="J332">
        <v>0</v>
      </c>
      <c r="K332">
        <v>0</v>
      </c>
      <c r="N332">
        <v>3</v>
      </c>
      <c r="O332">
        <v>3</v>
      </c>
      <c r="P332">
        <v>4</v>
      </c>
      <c r="Q332">
        <v>0</v>
      </c>
      <c r="R332">
        <v>30.25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3</v>
      </c>
      <c r="AC332">
        <v>0</v>
      </c>
      <c r="AH332">
        <v>33.25</v>
      </c>
    </row>
    <row r="333" spans="1:34" x14ac:dyDescent="0.3">
      <c r="A333" s="4">
        <v>361</v>
      </c>
      <c r="B333" s="5">
        <v>326</v>
      </c>
      <c r="C333">
        <v>1619</v>
      </c>
      <c r="D333" t="s">
        <v>3132</v>
      </c>
      <c r="E333" t="s">
        <v>132</v>
      </c>
      <c r="F333" t="s">
        <v>52</v>
      </c>
      <c r="G333" t="s">
        <v>3133</v>
      </c>
      <c r="H333">
        <v>18.2</v>
      </c>
      <c r="I333">
        <v>0</v>
      </c>
      <c r="J333">
        <v>0</v>
      </c>
      <c r="K333">
        <v>0</v>
      </c>
      <c r="N333">
        <v>3</v>
      </c>
      <c r="O333">
        <v>3</v>
      </c>
      <c r="P333">
        <v>4</v>
      </c>
      <c r="Q333">
        <v>2</v>
      </c>
      <c r="R333">
        <v>27.2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6</v>
      </c>
      <c r="AC333">
        <v>0</v>
      </c>
      <c r="AH333">
        <v>33.200000000000003</v>
      </c>
    </row>
    <row r="334" spans="1:34" x14ac:dyDescent="0.3">
      <c r="A334" s="4">
        <v>362</v>
      </c>
      <c r="B334" s="5">
        <v>327</v>
      </c>
      <c r="C334">
        <v>12700</v>
      </c>
      <c r="D334" t="s">
        <v>25817</v>
      </c>
      <c r="E334" t="s">
        <v>143</v>
      </c>
      <c r="F334" t="s">
        <v>38</v>
      </c>
      <c r="G334" t="s">
        <v>25818</v>
      </c>
      <c r="H334">
        <v>22.13</v>
      </c>
      <c r="I334">
        <v>0</v>
      </c>
      <c r="J334">
        <v>0</v>
      </c>
      <c r="K334">
        <v>0</v>
      </c>
      <c r="L334">
        <v>7</v>
      </c>
      <c r="O334">
        <v>7</v>
      </c>
      <c r="P334">
        <v>4</v>
      </c>
      <c r="Q334">
        <v>0</v>
      </c>
      <c r="R334">
        <v>33.130000000000003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H334">
        <v>33.130000000000003</v>
      </c>
    </row>
    <row r="335" spans="1:34" x14ac:dyDescent="0.3">
      <c r="A335" s="4">
        <v>363</v>
      </c>
      <c r="B335" s="5">
        <v>328</v>
      </c>
      <c r="C335">
        <v>2231</v>
      </c>
      <c r="D335" t="s">
        <v>3091</v>
      </c>
      <c r="E335" t="s">
        <v>789</v>
      </c>
      <c r="F335" t="s">
        <v>158</v>
      </c>
      <c r="G335" t="s">
        <v>25819</v>
      </c>
      <c r="H335">
        <v>18.05</v>
      </c>
      <c r="I335">
        <v>0</v>
      </c>
      <c r="J335">
        <v>0</v>
      </c>
      <c r="K335">
        <v>0</v>
      </c>
      <c r="M335">
        <v>5</v>
      </c>
      <c r="O335">
        <v>5</v>
      </c>
      <c r="P335">
        <v>4</v>
      </c>
      <c r="Q335">
        <v>0</v>
      </c>
      <c r="R335">
        <v>27.05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6</v>
      </c>
      <c r="AC335">
        <v>0</v>
      </c>
      <c r="AH335">
        <v>33.049999999999997</v>
      </c>
    </row>
    <row r="336" spans="1:34" x14ac:dyDescent="0.3">
      <c r="A336" s="4">
        <v>364</v>
      </c>
      <c r="B336" s="5">
        <v>329</v>
      </c>
      <c r="C336">
        <v>3263</v>
      </c>
      <c r="D336" t="s">
        <v>25820</v>
      </c>
      <c r="E336" t="s">
        <v>1117</v>
      </c>
      <c r="F336" t="s">
        <v>136</v>
      </c>
      <c r="G336" t="s">
        <v>25821</v>
      </c>
      <c r="H336">
        <v>20</v>
      </c>
      <c r="I336">
        <v>0</v>
      </c>
      <c r="J336">
        <v>0</v>
      </c>
      <c r="K336">
        <v>0</v>
      </c>
      <c r="L336">
        <v>7</v>
      </c>
      <c r="O336">
        <v>7</v>
      </c>
      <c r="P336">
        <v>0</v>
      </c>
      <c r="Q336">
        <v>0</v>
      </c>
      <c r="R336">
        <v>27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6</v>
      </c>
      <c r="AC336">
        <v>0</v>
      </c>
      <c r="AH336">
        <v>33</v>
      </c>
    </row>
    <row r="337" spans="1:34" x14ac:dyDescent="0.3">
      <c r="A337" s="4">
        <v>365</v>
      </c>
      <c r="B337" s="5">
        <v>330</v>
      </c>
      <c r="C337">
        <v>12894</v>
      </c>
      <c r="D337" t="s">
        <v>25822</v>
      </c>
      <c r="E337" t="s">
        <v>30</v>
      </c>
      <c r="F337" t="s">
        <v>539</v>
      </c>
      <c r="G337" t="s">
        <v>25823</v>
      </c>
      <c r="H337">
        <v>21.95</v>
      </c>
      <c r="I337">
        <v>0</v>
      </c>
      <c r="J337">
        <v>0</v>
      </c>
      <c r="K337">
        <v>0</v>
      </c>
      <c r="L337">
        <v>7</v>
      </c>
      <c r="O337">
        <v>7</v>
      </c>
      <c r="P337">
        <v>4</v>
      </c>
      <c r="Q337">
        <v>0</v>
      </c>
      <c r="R337">
        <v>32.950000000000003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H337">
        <v>32.950000000000003</v>
      </c>
    </row>
    <row r="338" spans="1:34" x14ac:dyDescent="0.3">
      <c r="A338" s="4">
        <v>366</v>
      </c>
      <c r="B338" s="5">
        <v>331</v>
      </c>
      <c r="C338">
        <v>8459</v>
      </c>
      <c r="D338" t="s">
        <v>14236</v>
      </c>
      <c r="E338" t="s">
        <v>10290</v>
      </c>
      <c r="F338" t="s">
        <v>20</v>
      </c>
      <c r="G338" t="s">
        <v>25824</v>
      </c>
      <c r="H338">
        <v>19.78</v>
      </c>
      <c r="I338">
        <v>0</v>
      </c>
      <c r="J338">
        <v>0</v>
      </c>
      <c r="K338">
        <v>0</v>
      </c>
      <c r="N338">
        <v>3</v>
      </c>
      <c r="O338">
        <v>3</v>
      </c>
      <c r="P338">
        <v>4</v>
      </c>
      <c r="Q338">
        <v>0</v>
      </c>
      <c r="R338">
        <v>26.78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6</v>
      </c>
      <c r="AC338">
        <v>0</v>
      </c>
      <c r="AD338" t="s">
        <v>130</v>
      </c>
      <c r="AH338">
        <v>32.78</v>
      </c>
    </row>
    <row r="339" spans="1:34" x14ac:dyDescent="0.3">
      <c r="A339" s="4">
        <v>367</v>
      </c>
      <c r="B339" s="5">
        <v>332</v>
      </c>
      <c r="C339">
        <v>14798</v>
      </c>
      <c r="D339" t="s">
        <v>25825</v>
      </c>
      <c r="E339" t="s">
        <v>816</v>
      </c>
      <c r="F339" t="s">
        <v>68</v>
      </c>
      <c r="G339" t="s">
        <v>25826</v>
      </c>
      <c r="H339">
        <v>18.78</v>
      </c>
      <c r="I339">
        <v>0</v>
      </c>
      <c r="J339">
        <v>0</v>
      </c>
      <c r="K339">
        <v>0</v>
      </c>
      <c r="L339">
        <v>7</v>
      </c>
      <c r="N339">
        <v>3</v>
      </c>
      <c r="O339">
        <v>10</v>
      </c>
      <c r="P339">
        <v>4</v>
      </c>
      <c r="Q339">
        <v>0</v>
      </c>
      <c r="R339">
        <v>32.78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H339">
        <v>32.78</v>
      </c>
    </row>
    <row r="340" spans="1:34" x14ac:dyDescent="0.3">
      <c r="A340" s="4">
        <v>368</v>
      </c>
      <c r="B340" s="5">
        <v>333</v>
      </c>
      <c r="C340">
        <v>1280</v>
      </c>
      <c r="D340" t="s">
        <v>549</v>
      </c>
      <c r="E340" t="s">
        <v>54</v>
      </c>
      <c r="F340" t="s">
        <v>25827</v>
      </c>
      <c r="G340" t="s">
        <v>25828</v>
      </c>
      <c r="H340">
        <v>21.53</v>
      </c>
      <c r="I340">
        <v>0</v>
      </c>
      <c r="J340">
        <v>0</v>
      </c>
      <c r="K340">
        <v>0</v>
      </c>
      <c r="N340">
        <v>3</v>
      </c>
      <c r="O340">
        <v>3</v>
      </c>
      <c r="P340">
        <v>0</v>
      </c>
      <c r="Q340">
        <v>2</v>
      </c>
      <c r="R340">
        <v>26.53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6</v>
      </c>
      <c r="AC340">
        <v>0</v>
      </c>
      <c r="AD340" t="s">
        <v>130</v>
      </c>
      <c r="AH340">
        <v>32.53</v>
      </c>
    </row>
    <row r="341" spans="1:34" x14ac:dyDescent="0.3">
      <c r="A341" s="4">
        <v>369</v>
      </c>
      <c r="B341" s="5">
        <v>334</v>
      </c>
      <c r="C341">
        <v>3947</v>
      </c>
      <c r="D341" t="s">
        <v>25829</v>
      </c>
      <c r="E341" t="s">
        <v>161</v>
      </c>
      <c r="F341" t="s">
        <v>158</v>
      </c>
      <c r="G341" t="s">
        <v>25830</v>
      </c>
      <c r="H341">
        <v>19.53</v>
      </c>
      <c r="I341">
        <v>0</v>
      </c>
      <c r="J341">
        <v>0</v>
      </c>
      <c r="K341">
        <v>0</v>
      </c>
      <c r="L341">
        <v>7</v>
      </c>
      <c r="O341">
        <v>7</v>
      </c>
      <c r="P341">
        <v>4</v>
      </c>
      <c r="Q341">
        <v>2</v>
      </c>
      <c r="R341">
        <v>32.53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H341">
        <v>32.53</v>
      </c>
    </row>
    <row r="342" spans="1:34" x14ac:dyDescent="0.3">
      <c r="A342" s="4">
        <v>370</v>
      </c>
      <c r="B342" s="5">
        <v>335</v>
      </c>
      <c r="C342">
        <v>14516</v>
      </c>
      <c r="D342" t="s">
        <v>25831</v>
      </c>
      <c r="E342" t="s">
        <v>273</v>
      </c>
      <c r="F342" t="s">
        <v>17</v>
      </c>
      <c r="G342" t="s">
        <v>25832</v>
      </c>
      <c r="H342">
        <v>22.43</v>
      </c>
      <c r="I342">
        <v>0</v>
      </c>
      <c r="J342">
        <v>0</v>
      </c>
      <c r="K342">
        <v>0</v>
      </c>
      <c r="N342">
        <v>6</v>
      </c>
      <c r="O342">
        <v>6</v>
      </c>
      <c r="P342">
        <v>4</v>
      </c>
      <c r="Q342">
        <v>0</v>
      </c>
      <c r="R342">
        <v>32.43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H342">
        <v>32.43</v>
      </c>
    </row>
    <row r="343" spans="1:34" x14ac:dyDescent="0.3">
      <c r="A343" s="4">
        <v>371</v>
      </c>
      <c r="B343" s="5">
        <v>336</v>
      </c>
      <c r="C343">
        <v>4473</v>
      </c>
      <c r="D343" t="s">
        <v>25833</v>
      </c>
      <c r="E343" t="s">
        <v>54</v>
      </c>
      <c r="F343" t="s">
        <v>343</v>
      </c>
      <c r="G343" t="s">
        <v>25834</v>
      </c>
      <c r="H343">
        <v>18.38</v>
      </c>
      <c r="I343">
        <v>0</v>
      </c>
      <c r="J343">
        <v>0</v>
      </c>
      <c r="K343">
        <v>0</v>
      </c>
      <c r="L343">
        <v>7</v>
      </c>
      <c r="N343">
        <v>3</v>
      </c>
      <c r="O343">
        <v>10</v>
      </c>
      <c r="P343">
        <v>4</v>
      </c>
      <c r="Q343">
        <v>0</v>
      </c>
      <c r="R343">
        <v>32.380000000000003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H343">
        <v>32.380000000000003</v>
      </c>
    </row>
    <row r="344" spans="1:34" x14ac:dyDescent="0.3">
      <c r="A344" s="4">
        <v>372</v>
      </c>
      <c r="B344" s="5">
        <v>337</v>
      </c>
      <c r="C344">
        <v>5791</v>
      </c>
      <c r="D344" t="s">
        <v>25835</v>
      </c>
      <c r="E344" t="s">
        <v>738</v>
      </c>
      <c r="F344" t="s">
        <v>25836</v>
      </c>
      <c r="G344" t="s">
        <v>25837</v>
      </c>
      <c r="H344">
        <v>16.329999999999998</v>
      </c>
      <c r="I344">
        <v>0</v>
      </c>
      <c r="J344">
        <v>0</v>
      </c>
      <c r="K344">
        <v>0</v>
      </c>
      <c r="N344">
        <v>6</v>
      </c>
      <c r="O344">
        <v>6</v>
      </c>
      <c r="P344">
        <v>4</v>
      </c>
      <c r="Q344">
        <v>0</v>
      </c>
      <c r="R344">
        <v>26.33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6</v>
      </c>
      <c r="AC344">
        <v>0</v>
      </c>
      <c r="AH344">
        <v>32.33</v>
      </c>
    </row>
    <row r="345" spans="1:34" x14ac:dyDescent="0.3">
      <c r="A345" s="4">
        <v>373</v>
      </c>
      <c r="B345" s="5">
        <v>338</v>
      </c>
      <c r="C345">
        <v>3902</v>
      </c>
      <c r="D345" t="s">
        <v>25838</v>
      </c>
      <c r="E345" t="s">
        <v>100</v>
      </c>
      <c r="F345" t="s">
        <v>81</v>
      </c>
      <c r="G345" t="s">
        <v>25839</v>
      </c>
      <c r="H345">
        <v>19.329999999999998</v>
      </c>
      <c r="I345">
        <v>0</v>
      </c>
      <c r="J345">
        <v>0</v>
      </c>
      <c r="K345">
        <v>0</v>
      </c>
      <c r="L345">
        <v>7</v>
      </c>
      <c r="O345">
        <v>7</v>
      </c>
      <c r="P345">
        <v>4</v>
      </c>
      <c r="Q345">
        <v>2</v>
      </c>
      <c r="R345">
        <v>32.33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H345">
        <v>32.33</v>
      </c>
    </row>
    <row r="346" spans="1:34" x14ac:dyDescent="0.3">
      <c r="A346" s="4">
        <v>374</v>
      </c>
      <c r="B346" s="5">
        <v>339</v>
      </c>
      <c r="C346">
        <v>13616</v>
      </c>
      <c r="D346" t="s">
        <v>9942</v>
      </c>
      <c r="E346" t="s">
        <v>166</v>
      </c>
      <c r="F346" t="s">
        <v>117</v>
      </c>
      <c r="G346" t="s">
        <v>25840</v>
      </c>
      <c r="H346">
        <v>20.28</v>
      </c>
      <c r="I346">
        <v>0</v>
      </c>
      <c r="J346">
        <v>0</v>
      </c>
      <c r="K346">
        <v>0</v>
      </c>
      <c r="N346">
        <v>3</v>
      </c>
      <c r="O346">
        <v>3</v>
      </c>
      <c r="P346">
        <v>4</v>
      </c>
      <c r="Q346">
        <v>2</v>
      </c>
      <c r="R346">
        <v>29.28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3</v>
      </c>
      <c r="AC346">
        <v>0</v>
      </c>
      <c r="AH346">
        <v>32.28</v>
      </c>
    </row>
    <row r="347" spans="1:34" x14ac:dyDescent="0.3">
      <c r="A347" s="4">
        <v>375</v>
      </c>
      <c r="B347" s="5">
        <v>340</v>
      </c>
      <c r="C347">
        <v>11972</v>
      </c>
      <c r="D347" t="s">
        <v>25841</v>
      </c>
      <c r="E347" t="s">
        <v>255</v>
      </c>
      <c r="F347" t="s">
        <v>310</v>
      </c>
      <c r="G347" t="s">
        <v>25842</v>
      </c>
      <c r="H347">
        <v>16.98</v>
      </c>
      <c r="I347">
        <v>0</v>
      </c>
      <c r="J347">
        <v>0</v>
      </c>
      <c r="K347">
        <v>0</v>
      </c>
      <c r="N347">
        <v>3</v>
      </c>
      <c r="O347">
        <v>3</v>
      </c>
      <c r="P347">
        <v>4</v>
      </c>
      <c r="Q347">
        <v>2</v>
      </c>
      <c r="R347">
        <v>25.98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6</v>
      </c>
      <c r="AC347">
        <v>0</v>
      </c>
      <c r="AH347">
        <v>31.98</v>
      </c>
    </row>
    <row r="348" spans="1:34" x14ac:dyDescent="0.3">
      <c r="A348" s="4">
        <v>376</v>
      </c>
      <c r="B348" s="5">
        <v>341</v>
      </c>
      <c r="C348">
        <v>9341</v>
      </c>
      <c r="D348" t="s">
        <v>1286</v>
      </c>
      <c r="E348" t="s">
        <v>208</v>
      </c>
      <c r="F348" t="s">
        <v>62</v>
      </c>
      <c r="G348" t="s">
        <v>25843</v>
      </c>
      <c r="H348">
        <v>18.93</v>
      </c>
      <c r="I348">
        <v>0</v>
      </c>
      <c r="J348">
        <v>0</v>
      </c>
      <c r="K348">
        <v>0</v>
      </c>
      <c r="N348">
        <v>3</v>
      </c>
      <c r="O348">
        <v>3</v>
      </c>
      <c r="P348">
        <v>4</v>
      </c>
      <c r="Q348">
        <v>0</v>
      </c>
      <c r="R348">
        <v>25.93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6</v>
      </c>
      <c r="AC348">
        <v>0</v>
      </c>
      <c r="AH348">
        <v>31.93</v>
      </c>
    </row>
    <row r="349" spans="1:34" x14ac:dyDescent="0.3">
      <c r="A349" s="4">
        <v>377</v>
      </c>
      <c r="B349" s="5">
        <v>342</v>
      </c>
      <c r="C349">
        <v>5295</v>
      </c>
      <c r="D349" t="s">
        <v>25844</v>
      </c>
      <c r="E349" t="s">
        <v>81</v>
      </c>
      <c r="F349" t="s">
        <v>243</v>
      </c>
      <c r="G349" t="s">
        <v>25845</v>
      </c>
      <c r="H349">
        <v>16.850000000000001</v>
      </c>
      <c r="I349">
        <v>0</v>
      </c>
      <c r="J349">
        <v>0</v>
      </c>
      <c r="K349">
        <v>0</v>
      </c>
      <c r="N349">
        <v>3</v>
      </c>
      <c r="O349">
        <v>3</v>
      </c>
      <c r="P349">
        <v>4</v>
      </c>
      <c r="Q349">
        <v>2</v>
      </c>
      <c r="R349">
        <v>25.85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6</v>
      </c>
      <c r="AC349">
        <v>0</v>
      </c>
      <c r="AD349" t="s">
        <v>130</v>
      </c>
      <c r="AH349">
        <v>31.85</v>
      </c>
    </row>
    <row r="350" spans="1:34" x14ac:dyDescent="0.3">
      <c r="A350" s="4">
        <v>378</v>
      </c>
      <c r="B350" s="5">
        <v>343</v>
      </c>
      <c r="C350">
        <v>12084</v>
      </c>
      <c r="D350" t="s">
        <v>1284</v>
      </c>
      <c r="E350" t="s">
        <v>161</v>
      </c>
      <c r="F350" t="s">
        <v>81</v>
      </c>
      <c r="G350" t="s">
        <v>25846</v>
      </c>
      <c r="H350">
        <v>16.829999999999998</v>
      </c>
      <c r="I350">
        <v>0</v>
      </c>
      <c r="J350">
        <v>0</v>
      </c>
      <c r="K350">
        <v>0</v>
      </c>
      <c r="N350">
        <v>3</v>
      </c>
      <c r="O350">
        <v>3</v>
      </c>
      <c r="P350">
        <v>4</v>
      </c>
      <c r="Q350">
        <v>2</v>
      </c>
      <c r="R350">
        <v>25.83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6</v>
      </c>
      <c r="AC350">
        <v>0</v>
      </c>
      <c r="AH350">
        <v>31.83</v>
      </c>
    </row>
    <row r="351" spans="1:34" x14ac:dyDescent="0.3">
      <c r="A351" s="4">
        <v>379</v>
      </c>
      <c r="B351" s="5">
        <v>344</v>
      </c>
      <c r="C351">
        <v>7614</v>
      </c>
      <c r="D351" t="s">
        <v>25847</v>
      </c>
      <c r="E351" t="s">
        <v>1526</v>
      </c>
      <c r="F351" t="s">
        <v>652</v>
      </c>
      <c r="G351" t="s">
        <v>25848</v>
      </c>
      <c r="H351">
        <v>18.75</v>
      </c>
      <c r="I351">
        <v>0</v>
      </c>
      <c r="J351">
        <v>0</v>
      </c>
      <c r="K351">
        <v>0</v>
      </c>
      <c r="O351">
        <v>0</v>
      </c>
      <c r="P351">
        <v>4</v>
      </c>
      <c r="Q351">
        <v>0</v>
      </c>
      <c r="R351">
        <v>22.75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9</v>
      </c>
      <c r="AC351">
        <v>0</v>
      </c>
      <c r="AH351">
        <v>31.75</v>
      </c>
    </row>
    <row r="352" spans="1:34" x14ac:dyDescent="0.3">
      <c r="A352" s="4">
        <v>380</v>
      </c>
      <c r="B352" s="5">
        <v>345</v>
      </c>
      <c r="C352">
        <v>2839</v>
      </c>
      <c r="D352" t="s">
        <v>25849</v>
      </c>
      <c r="E352" t="s">
        <v>1953</v>
      </c>
      <c r="F352" t="s">
        <v>81</v>
      </c>
      <c r="G352" t="s">
        <v>25850</v>
      </c>
      <c r="H352">
        <v>18.5</v>
      </c>
      <c r="I352">
        <v>0</v>
      </c>
      <c r="J352">
        <v>0</v>
      </c>
      <c r="K352">
        <v>0</v>
      </c>
      <c r="O352">
        <v>0</v>
      </c>
      <c r="P352">
        <v>4</v>
      </c>
      <c r="Q352">
        <v>0</v>
      </c>
      <c r="R352">
        <v>22.5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9</v>
      </c>
      <c r="AC352">
        <v>0</v>
      </c>
      <c r="AH352">
        <v>31.5</v>
      </c>
    </row>
    <row r="353" spans="1:34" x14ac:dyDescent="0.3">
      <c r="A353" s="4">
        <v>381</v>
      </c>
      <c r="B353" s="5">
        <v>346</v>
      </c>
      <c r="C353">
        <v>4157</v>
      </c>
      <c r="D353" t="s">
        <v>25851</v>
      </c>
      <c r="E353" t="s">
        <v>25852</v>
      </c>
      <c r="F353" t="s">
        <v>25853</v>
      </c>
      <c r="G353" t="s">
        <v>25854</v>
      </c>
      <c r="H353">
        <v>17.38</v>
      </c>
      <c r="I353">
        <v>0</v>
      </c>
      <c r="J353">
        <v>0</v>
      </c>
      <c r="K353">
        <v>0</v>
      </c>
      <c r="L353">
        <v>7</v>
      </c>
      <c r="N353">
        <v>3</v>
      </c>
      <c r="O353">
        <v>10</v>
      </c>
      <c r="P353">
        <v>4</v>
      </c>
      <c r="Q353">
        <v>0</v>
      </c>
      <c r="R353">
        <v>31.38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H353">
        <v>31.38</v>
      </c>
    </row>
    <row r="354" spans="1:34" x14ac:dyDescent="0.3">
      <c r="A354" s="4">
        <v>382</v>
      </c>
      <c r="B354" s="5">
        <v>347</v>
      </c>
      <c r="C354">
        <v>1314</v>
      </c>
      <c r="D354" t="s">
        <v>1998</v>
      </c>
      <c r="E354" t="s">
        <v>16946</v>
      </c>
      <c r="F354" t="s">
        <v>20</v>
      </c>
      <c r="G354" t="s">
        <v>25855</v>
      </c>
      <c r="H354">
        <v>20.329999999999998</v>
      </c>
      <c r="I354">
        <v>0</v>
      </c>
      <c r="J354">
        <v>0</v>
      </c>
      <c r="K354">
        <v>0</v>
      </c>
      <c r="L354">
        <v>7</v>
      </c>
      <c r="O354">
        <v>7</v>
      </c>
      <c r="P354">
        <v>4</v>
      </c>
      <c r="Q354">
        <v>0</v>
      </c>
      <c r="R354">
        <v>31.33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 t="s">
        <v>130</v>
      </c>
      <c r="AH354">
        <v>31.33</v>
      </c>
    </row>
    <row r="355" spans="1:34" x14ac:dyDescent="0.3">
      <c r="A355" s="4">
        <v>383</v>
      </c>
      <c r="B355" s="5">
        <v>348</v>
      </c>
      <c r="C355">
        <v>8837</v>
      </c>
      <c r="D355" t="s">
        <v>6215</v>
      </c>
      <c r="E355" t="s">
        <v>26</v>
      </c>
      <c r="F355" t="s">
        <v>626</v>
      </c>
      <c r="G355" t="s">
        <v>25856</v>
      </c>
      <c r="H355">
        <v>20.28</v>
      </c>
      <c r="I355">
        <v>0</v>
      </c>
      <c r="J355">
        <v>0</v>
      </c>
      <c r="K355">
        <v>0</v>
      </c>
      <c r="L355">
        <v>7</v>
      </c>
      <c r="O355">
        <v>7</v>
      </c>
      <c r="P355">
        <v>4</v>
      </c>
      <c r="Q355">
        <v>0</v>
      </c>
      <c r="R355">
        <v>31.28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H355">
        <v>31.28</v>
      </c>
    </row>
    <row r="356" spans="1:34" x14ac:dyDescent="0.3">
      <c r="A356" s="4">
        <v>384</v>
      </c>
      <c r="B356" s="5">
        <v>349</v>
      </c>
      <c r="C356">
        <v>8856</v>
      </c>
      <c r="D356" t="s">
        <v>14335</v>
      </c>
      <c r="E356" t="s">
        <v>273</v>
      </c>
      <c r="F356" t="s">
        <v>158</v>
      </c>
      <c r="G356" t="s">
        <v>25857</v>
      </c>
      <c r="H356">
        <v>20.28</v>
      </c>
      <c r="I356">
        <v>0</v>
      </c>
      <c r="J356">
        <v>0</v>
      </c>
      <c r="K356">
        <v>0</v>
      </c>
      <c r="L356">
        <v>7</v>
      </c>
      <c r="O356">
        <v>7</v>
      </c>
      <c r="P356">
        <v>4</v>
      </c>
      <c r="Q356">
        <v>0</v>
      </c>
      <c r="R356">
        <v>31.28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H356">
        <v>31.28</v>
      </c>
    </row>
    <row r="357" spans="1:34" x14ac:dyDescent="0.3">
      <c r="A357" s="4">
        <v>385</v>
      </c>
      <c r="B357" s="5">
        <v>350</v>
      </c>
      <c r="C357">
        <v>5398</v>
      </c>
      <c r="D357" t="s">
        <v>25858</v>
      </c>
      <c r="E357" t="s">
        <v>8150</v>
      </c>
      <c r="F357" t="s">
        <v>30</v>
      </c>
      <c r="G357" t="s">
        <v>25859</v>
      </c>
      <c r="H357">
        <v>18.25</v>
      </c>
      <c r="I357">
        <v>0</v>
      </c>
      <c r="J357">
        <v>0</v>
      </c>
      <c r="K357">
        <v>0</v>
      </c>
      <c r="N357">
        <v>3</v>
      </c>
      <c r="O357">
        <v>3</v>
      </c>
      <c r="P357">
        <v>4</v>
      </c>
      <c r="Q357">
        <v>0</v>
      </c>
      <c r="R357">
        <v>25.25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6</v>
      </c>
      <c r="AC357">
        <v>0</v>
      </c>
      <c r="AH357">
        <v>31.25</v>
      </c>
    </row>
    <row r="358" spans="1:34" x14ac:dyDescent="0.3">
      <c r="A358" s="4">
        <v>386</v>
      </c>
      <c r="B358" s="5">
        <v>351</v>
      </c>
      <c r="C358">
        <v>5473</v>
      </c>
      <c r="D358" t="s">
        <v>717</v>
      </c>
      <c r="E358" t="s">
        <v>166</v>
      </c>
      <c r="F358" t="s">
        <v>243</v>
      </c>
      <c r="G358" t="s">
        <v>25860</v>
      </c>
      <c r="H358">
        <v>20.03</v>
      </c>
      <c r="I358">
        <v>0</v>
      </c>
      <c r="J358">
        <v>0</v>
      </c>
      <c r="K358">
        <v>0</v>
      </c>
      <c r="L358">
        <v>7</v>
      </c>
      <c r="O358">
        <v>7</v>
      </c>
      <c r="P358">
        <v>4</v>
      </c>
      <c r="Q358">
        <v>0</v>
      </c>
      <c r="R358">
        <v>31.03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H358">
        <v>31.03</v>
      </c>
    </row>
    <row r="359" spans="1:34" x14ac:dyDescent="0.3">
      <c r="A359" s="4">
        <v>387</v>
      </c>
      <c r="B359" s="5">
        <v>352</v>
      </c>
      <c r="C359">
        <v>1433</v>
      </c>
      <c r="D359" t="s">
        <v>25861</v>
      </c>
      <c r="E359" t="s">
        <v>97</v>
      </c>
      <c r="F359" t="s">
        <v>375</v>
      </c>
      <c r="G359" t="s">
        <v>25862</v>
      </c>
      <c r="H359">
        <v>17.93</v>
      </c>
      <c r="I359">
        <v>0</v>
      </c>
      <c r="J359">
        <v>0</v>
      </c>
      <c r="K359">
        <v>0</v>
      </c>
      <c r="L359">
        <v>7</v>
      </c>
      <c r="O359">
        <v>7</v>
      </c>
      <c r="P359">
        <v>4</v>
      </c>
      <c r="Q359">
        <v>2</v>
      </c>
      <c r="R359">
        <v>30.93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H359">
        <v>30.93</v>
      </c>
    </row>
    <row r="360" spans="1:34" x14ac:dyDescent="0.3">
      <c r="A360" s="4">
        <v>388</v>
      </c>
      <c r="B360" s="5">
        <v>353</v>
      </c>
      <c r="C360">
        <v>11184</v>
      </c>
      <c r="D360" t="s">
        <v>1517</v>
      </c>
      <c r="E360" t="s">
        <v>104</v>
      </c>
      <c r="F360" t="s">
        <v>38</v>
      </c>
      <c r="G360" t="s">
        <v>25863</v>
      </c>
      <c r="H360">
        <v>17.88</v>
      </c>
      <c r="I360">
        <v>0</v>
      </c>
      <c r="J360">
        <v>0</v>
      </c>
      <c r="K360">
        <v>0</v>
      </c>
      <c r="N360">
        <v>3</v>
      </c>
      <c r="O360">
        <v>3</v>
      </c>
      <c r="P360">
        <v>4</v>
      </c>
      <c r="Q360">
        <v>0</v>
      </c>
      <c r="R360">
        <v>24.88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6</v>
      </c>
      <c r="AC360">
        <v>0</v>
      </c>
      <c r="AH360">
        <v>30.88</v>
      </c>
    </row>
    <row r="361" spans="1:34" x14ac:dyDescent="0.3">
      <c r="A361" s="4">
        <v>389</v>
      </c>
      <c r="B361" s="5">
        <v>354</v>
      </c>
      <c r="C361">
        <v>15361</v>
      </c>
      <c r="D361" t="s">
        <v>25864</v>
      </c>
      <c r="E361" t="s">
        <v>29</v>
      </c>
      <c r="F361" t="s">
        <v>81</v>
      </c>
      <c r="G361" t="s">
        <v>25865</v>
      </c>
      <c r="H361">
        <v>19.850000000000001</v>
      </c>
      <c r="I361">
        <v>0</v>
      </c>
      <c r="J361">
        <v>0</v>
      </c>
      <c r="K361">
        <v>0</v>
      </c>
      <c r="M361">
        <v>5</v>
      </c>
      <c r="O361">
        <v>5</v>
      </c>
      <c r="P361">
        <v>4</v>
      </c>
      <c r="Q361">
        <v>2</v>
      </c>
      <c r="R361">
        <v>30.85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H361">
        <v>30.85</v>
      </c>
    </row>
    <row r="362" spans="1:34" x14ac:dyDescent="0.3">
      <c r="A362" s="4">
        <v>390</v>
      </c>
      <c r="B362" s="5">
        <v>355</v>
      </c>
      <c r="C362">
        <v>12782</v>
      </c>
      <c r="D362" t="s">
        <v>12000</v>
      </c>
      <c r="E362" t="s">
        <v>29</v>
      </c>
      <c r="F362" t="s">
        <v>2598</v>
      </c>
      <c r="G362" t="s">
        <v>25866</v>
      </c>
      <c r="H362">
        <v>17.7</v>
      </c>
      <c r="I362">
        <v>0</v>
      </c>
      <c r="J362">
        <v>0</v>
      </c>
      <c r="K362">
        <v>0</v>
      </c>
      <c r="L362">
        <v>7</v>
      </c>
      <c r="O362">
        <v>7</v>
      </c>
      <c r="P362">
        <v>4</v>
      </c>
      <c r="Q362">
        <v>2</v>
      </c>
      <c r="R362">
        <v>30.7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H362">
        <v>30.7</v>
      </c>
    </row>
    <row r="363" spans="1:34" x14ac:dyDescent="0.3">
      <c r="A363" s="4">
        <v>391</v>
      </c>
      <c r="B363" s="5">
        <v>356</v>
      </c>
      <c r="C363">
        <v>6914</v>
      </c>
      <c r="D363" t="s">
        <v>8684</v>
      </c>
      <c r="E363" t="s">
        <v>188</v>
      </c>
      <c r="F363" t="s">
        <v>230</v>
      </c>
      <c r="G363" t="s">
        <v>25867</v>
      </c>
      <c r="H363">
        <v>19.68</v>
      </c>
      <c r="I363">
        <v>0</v>
      </c>
      <c r="J363">
        <v>0</v>
      </c>
      <c r="K363">
        <v>0</v>
      </c>
      <c r="L363">
        <v>7</v>
      </c>
      <c r="O363">
        <v>7</v>
      </c>
      <c r="P363">
        <v>4</v>
      </c>
      <c r="Q363">
        <v>0</v>
      </c>
      <c r="R363">
        <v>30.68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H363">
        <v>30.68</v>
      </c>
    </row>
    <row r="364" spans="1:34" x14ac:dyDescent="0.3">
      <c r="A364" s="4">
        <v>392</v>
      </c>
      <c r="B364" s="5">
        <v>357</v>
      </c>
      <c r="C364">
        <v>14935</v>
      </c>
      <c r="D364" t="s">
        <v>25868</v>
      </c>
      <c r="E364" t="s">
        <v>539</v>
      </c>
      <c r="F364" t="s">
        <v>158</v>
      </c>
      <c r="G364" t="s">
        <v>25869</v>
      </c>
      <c r="H364">
        <v>19.579999999999998</v>
      </c>
      <c r="I364">
        <v>0</v>
      </c>
      <c r="J364">
        <v>0</v>
      </c>
      <c r="K364">
        <v>0</v>
      </c>
      <c r="L364">
        <v>7</v>
      </c>
      <c r="O364">
        <v>7</v>
      </c>
      <c r="P364">
        <v>4</v>
      </c>
      <c r="Q364">
        <v>0</v>
      </c>
      <c r="R364">
        <v>30.58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H364">
        <v>30.58</v>
      </c>
    </row>
    <row r="365" spans="1:34" x14ac:dyDescent="0.3">
      <c r="A365" s="4">
        <v>393</v>
      </c>
      <c r="B365" s="5">
        <v>358</v>
      </c>
      <c r="C365">
        <v>11924</v>
      </c>
      <c r="D365" t="s">
        <v>11347</v>
      </c>
      <c r="E365" t="s">
        <v>97</v>
      </c>
      <c r="F365" t="s">
        <v>30</v>
      </c>
      <c r="G365" t="s">
        <v>25870</v>
      </c>
      <c r="H365">
        <v>17.5</v>
      </c>
      <c r="I365">
        <v>0</v>
      </c>
      <c r="J365">
        <v>0</v>
      </c>
      <c r="K365">
        <v>0</v>
      </c>
      <c r="L365">
        <v>7</v>
      </c>
      <c r="O365">
        <v>7</v>
      </c>
      <c r="P365">
        <v>0</v>
      </c>
      <c r="Q365">
        <v>0</v>
      </c>
      <c r="R365">
        <v>24.5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6</v>
      </c>
      <c r="AC365">
        <v>0</v>
      </c>
      <c r="AH365">
        <v>30.5</v>
      </c>
    </row>
    <row r="366" spans="1:34" x14ac:dyDescent="0.3">
      <c r="A366" s="4">
        <v>394</v>
      </c>
      <c r="B366" s="5">
        <v>359</v>
      </c>
      <c r="C366">
        <v>6695</v>
      </c>
      <c r="D366" t="s">
        <v>752</v>
      </c>
      <c r="E366" t="s">
        <v>25871</v>
      </c>
      <c r="F366" t="s">
        <v>346</v>
      </c>
      <c r="G366" t="s">
        <v>25872</v>
      </c>
      <c r="H366">
        <v>20.5</v>
      </c>
      <c r="I366">
        <v>0</v>
      </c>
      <c r="J366">
        <v>0</v>
      </c>
      <c r="K366">
        <v>0</v>
      </c>
      <c r="N366">
        <v>6</v>
      </c>
      <c r="O366">
        <v>6</v>
      </c>
      <c r="P366">
        <v>4</v>
      </c>
      <c r="Q366">
        <v>0</v>
      </c>
      <c r="R366">
        <v>30.5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H366">
        <v>30.5</v>
      </c>
    </row>
    <row r="367" spans="1:34" x14ac:dyDescent="0.3">
      <c r="A367" s="4">
        <v>395</v>
      </c>
      <c r="B367" s="5">
        <v>360</v>
      </c>
      <c r="C367">
        <v>13918</v>
      </c>
      <c r="D367" t="s">
        <v>25873</v>
      </c>
      <c r="E367" t="s">
        <v>110</v>
      </c>
      <c r="F367" t="s">
        <v>136</v>
      </c>
      <c r="G367" t="s">
        <v>25874</v>
      </c>
      <c r="H367">
        <v>19.5</v>
      </c>
      <c r="I367">
        <v>0</v>
      </c>
      <c r="J367">
        <v>0</v>
      </c>
      <c r="K367">
        <v>0</v>
      </c>
      <c r="L367">
        <v>7</v>
      </c>
      <c r="O367">
        <v>7</v>
      </c>
      <c r="P367">
        <v>4</v>
      </c>
      <c r="Q367">
        <v>0</v>
      </c>
      <c r="R367">
        <v>30.5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H367">
        <v>30.5</v>
      </c>
    </row>
    <row r="368" spans="1:34" x14ac:dyDescent="0.3">
      <c r="A368" s="4">
        <v>396</v>
      </c>
      <c r="B368" s="5">
        <v>361</v>
      </c>
      <c r="C368">
        <v>11831</v>
      </c>
      <c r="D368" t="s">
        <v>549</v>
      </c>
      <c r="E368" t="s">
        <v>3778</v>
      </c>
      <c r="F368" t="s">
        <v>68</v>
      </c>
      <c r="G368" t="s">
        <v>25875</v>
      </c>
      <c r="H368">
        <v>17.45</v>
      </c>
      <c r="I368">
        <v>0</v>
      </c>
      <c r="J368">
        <v>0</v>
      </c>
      <c r="K368">
        <v>0</v>
      </c>
      <c r="N368">
        <v>6</v>
      </c>
      <c r="O368">
        <v>6</v>
      </c>
      <c r="P368">
        <v>4</v>
      </c>
      <c r="Q368">
        <v>0</v>
      </c>
      <c r="R368">
        <v>27.45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3</v>
      </c>
      <c r="AC368">
        <v>0</v>
      </c>
      <c r="AH368">
        <v>30.45</v>
      </c>
    </row>
    <row r="369" spans="1:34" x14ac:dyDescent="0.3">
      <c r="A369" s="4">
        <v>397</v>
      </c>
      <c r="B369" s="5">
        <v>362</v>
      </c>
      <c r="C369">
        <v>1892</v>
      </c>
      <c r="D369" t="s">
        <v>5740</v>
      </c>
      <c r="E369" t="s">
        <v>29</v>
      </c>
      <c r="F369" t="s">
        <v>878</v>
      </c>
      <c r="G369" t="s">
        <v>25876</v>
      </c>
      <c r="H369">
        <v>17.38</v>
      </c>
      <c r="I369">
        <v>0</v>
      </c>
      <c r="J369">
        <v>0</v>
      </c>
      <c r="K369">
        <v>0</v>
      </c>
      <c r="O369">
        <v>0</v>
      </c>
      <c r="P369">
        <v>4</v>
      </c>
      <c r="Q369">
        <v>0</v>
      </c>
      <c r="R369">
        <v>21.38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9</v>
      </c>
      <c r="AC369">
        <v>0</v>
      </c>
      <c r="AH369">
        <v>30.38</v>
      </c>
    </row>
    <row r="370" spans="1:34" x14ac:dyDescent="0.3">
      <c r="A370" s="4">
        <v>398</v>
      </c>
      <c r="B370" s="5">
        <v>363</v>
      </c>
      <c r="C370">
        <v>7279</v>
      </c>
      <c r="D370" t="s">
        <v>21188</v>
      </c>
      <c r="E370" t="s">
        <v>161</v>
      </c>
      <c r="F370" t="s">
        <v>81</v>
      </c>
      <c r="G370" t="s">
        <v>25877</v>
      </c>
      <c r="H370">
        <v>17.38</v>
      </c>
      <c r="I370">
        <v>0</v>
      </c>
      <c r="J370">
        <v>0</v>
      </c>
      <c r="K370">
        <v>0</v>
      </c>
      <c r="N370">
        <v>6</v>
      </c>
      <c r="O370">
        <v>6</v>
      </c>
      <c r="P370">
        <v>4</v>
      </c>
      <c r="Q370">
        <v>0</v>
      </c>
      <c r="R370">
        <v>27.38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3</v>
      </c>
      <c r="AC370">
        <v>0</v>
      </c>
      <c r="AH370">
        <v>30.38</v>
      </c>
    </row>
    <row r="371" spans="1:34" x14ac:dyDescent="0.3">
      <c r="A371" s="4">
        <v>399</v>
      </c>
      <c r="B371" s="5">
        <v>364</v>
      </c>
      <c r="C371">
        <v>4115</v>
      </c>
      <c r="D371" t="s">
        <v>4470</v>
      </c>
      <c r="E371" t="s">
        <v>178</v>
      </c>
      <c r="F371" t="s">
        <v>17</v>
      </c>
      <c r="G371" t="s">
        <v>25878</v>
      </c>
      <c r="H371">
        <v>19.18</v>
      </c>
      <c r="I371">
        <v>0</v>
      </c>
      <c r="J371">
        <v>0</v>
      </c>
      <c r="K371">
        <v>0</v>
      </c>
      <c r="L371">
        <v>7</v>
      </c>
      <c r="O371">
        <v>7</v>
      </c>
      <c r="P371">
        <v>4</v>
      </c>
      <c r="Q371">
        <v>0</v>
      </c>
      <c r="R371">
        <v>30.18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H371">
        <v>30.18</v>
      </c>
    </row>
    <row r="372" spans="1:34" x14ac:dyDescent="0.3">
      <c r="A372" s="4">
        <v>400</v>
      </c>
      <c r="B372" s="5">
        <v>365</v>
      </c>
      <c r="C372">
        <v>10869</v>
      </c>
      <c r="D372" t="s">
        <v>25879</v>
      </c>
      <c r="E372" t="s">
        <v>1280</v>
      </c>
      <c r="F372" t="s">
        <v>117</v>
      </c>
      <c r="G372" t="s">
        <v>25880</v>
      </c>
      <c r="H372">
        <v>17.13</v>
      </c>
      <c r="I372">
        <v>0</v>
      </c>
      <c r="J372">
        <v>0</v>
      </c>
      <c r="K372">
        <v>0</v>
      </c>
      <c r="N372">
        <v>3</v>
      </c>
      <c r="O372">
        <v>3</v>
      </c>
      <c r="P372">
        <v>4</v>
      </c>
      <c r="Q372">
        <v>0</v>
      </c>
      <c r="R372">
        <v>24.13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6</v>
      </c>
      <c r="AC372">
        <v>0</v>
      </c>
      <c r="AH372">
        <v>30.13</v>
      </c>
    </row>
    <row r="373" spans="1:34" x14ac:dyDescent="0.3">
      <c r="A373" s="4">
        <v>401</v>
      </c>
      <c r="B373" s="5">
        <v>366</v>
      </c>
      <c r="C373">
        <v>2538</v>
      </c>
      <c r="D373" t="s">
        <v>25881</v>
      </c>
      <c r="E373" t="s">
        <v>23</v>
      </c>
      <c r="F373" t="s">
        <v>190</v>
      </c>
      <c r="G373" t="s">
        <v>25882</v>
      </c>
      <c r="H373">
        <v>23.08</v>
      </c>
      <c r="I373">
        <v>0</v>
      </c>
      <c r="J373">
        <v>0</v>
      </c>
      <c r="K373">
        <v>0</v>
      </c>
      <c r="L373">
        <v>7</v>
      </c>
      <c r="O373">
        <v>7</v>
      </c>
      <c r="P373">
        <v>0</v>
      </c>
      <c r="Q373">
        <v>0</v>
      </c>
      <c r="R373">
        <v>30.08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H373">
        <v>30.08</v>
      </c>
    </row>
    <row r="374" spans="1:34" x14ac:dyDescent="0.3">
      <c r="A374" s="4">
        <v>402</v>
      </c>
      <c r="B374" s="5">
        <v>367</v>
      </c>
      <c r="C374">
        <v>7043</v>
      </c>
      <c r="D374" t="s">
        <v>25883</v>
      </c>
      <c r="E374" t="s">
        <v>29</v>
      </c>
      <c r="F374" t="s">
        <v>81</v>
      </c>
      <c r="G374" t="s">
        <v>25884</v>
      </c>
      <c r="H374">
        <v>19.98</v>
      </c>
      <c r="I374">
        <v>0</v>
      </c>
      <c r="J374">
        <v>0</v>
      </c>
      <c r="K374">
        <v>0</v>
      </c>
      <c r="L374">
        <v>7</v>
      </c>
      <c r="O374">
        <v>7</v>
      </c>
      <c r="P374">
        <v>0</v>
      </c>
      <c r="Q374">
        <v>0</v>
      </c>
      <c r="R374">
        <v>26.98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3</v>
      </c>
      <c r="AC374">
        <v>0</v>
      </c>
      <c r="AH374">
        <v>29.98</v>
      </c>
    </row>
    <row r="375" spans="1:34" x14ac:dyDescent="0.3">
      <c r="A375" s="4">
        <v>403</v>
      </c>
      <c r="B375" s="5">
        <v>368</v>
      </c>
      <c r="C375">
        <v>6261</v>
      </c>
      <c r="D375" t="s">
        <v>4841</v>
      </c>
      <c r="E375" t="s">
        <v>255</v>
      </c>
      <c r="F375" t="s">
        <v>136</v>
      </c>
      <c r="G375" t="s">
        <v>25885</v>
      </c>
      <c r="H375">
        <v>20.95</v>
      </c>
      <c r="I375">
        <v>0</v>
      </c>
      <c r="J375">
        <v>0</v>
      </c>
      <c r="K375">
        <v>0</v>
      </c>
      <c r="N375">
        <v>3</v>
      </c>
      <c r="O375">
        <v>3</v>
      </c>
      <c r="P375">
        <v>4</v>
      </c>
      <c r="Q375">
        <v>2</v>
      </c>
      <c r="R375">
        <v>29.95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H375">
        <v>29.95</v>
      </c>
    </row>
    <row r="376" spans="1:34" x14ac:dyDescent="0.3">
      <c r="A376" s="4">
        <v>404</v>
      </c>
      <c r="B376" s="5">
        <v>369</v>
      </c>
      <c r="C376">
        <v>8989</v>
      </c>
      <c r="D376" t="s">
        <v>25886</v>
      </c>
      <c r="E376" t="s">
        <v>744</v>
      </c>
      <c r="F376" t="s">
        <v>34</v>
      </c>
      <c r="G376" t="s">
        <v>25887</v>
      </c>
      <c r="H376">
        <v>15.75</v>
      </c>
      <c r="I376">
        <v>0</v>
      </c>
      <c r="J376">
        <v>0</v>
      </c>
      <c r="K376">
        <v>0</v>
      </c>
      <c r="L376">
        <v>7</v>
      </c>
      <c r="O376">
        <v>7</v>
      </c>
      <c r="P376">
        <v>4</v>
      </c>
      <c r="Q376">
        <v>0</v>
      </c>
      <c r="R376">
        <v>26.75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3</v>
      </c>
      <c r="AC376">
        <v>0</v>
      </c>
      <c r="AH376">
        <v>29.75</v>
      </c>
    </row>
    <row r="377" spans="1:34" x14ac:dyDescent="0.3">
      <c r="A377" s="4">
        <v>405</v>
      </c>
      <c r="B377" s="5">
        <v>370</v>
      </c>
      <c r="C377">
        <v>13153</v>
      </c>
      <c r="D377" t="s">
        <v>3223</v>
      </c>
      <c r="E377" t="s">
        <v>100</v>
      </c>
      <c r="F377" t="s">
        <v>117</v>
      </c>
      <c r="G377" t="s">
        <v>25888</v>
      </c>
      <c r="H377">
        <v>16.649999999999999</v>
      </c>
      <c r="I377">
        <v>0</v>
      </c>
      <c r="J377">
        <v>0</v>
      </c>
      <c r="K377">
        <v>0</v>
      </c>
      <c r="N377">
        <v>3</v>
      </c>
      <c r="O377">
        <v>3</v>
      </c>
      <c r="P377">
        <v>4</v>
      </c>
      <c r="Q377">
        <v>0</v>
      </c>
      <c r="R377">
        <v>23.65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6</v>
      </c>
      <c r="AC377">
        <v>0</v>
      </c>
      <c r="AH377">
        <v>29.65</v>
      </c>
    </row>
    <row r="378" spans="1:34" x14ac:dyDescent="0.3">
      <c r="A378" s="4">
        <v>406</v>
      </c>
      <c r="B378" s="5">
        <v>371</v>
      </c>
      <c r="C378">
        <v>2752</v>
      </c>
      <c r="D378" t="s">
        <v>9603</v>
      </c>
      <c r="E378" t="s">
        <v>782</v>
      </c>
      <c r="F378" t="s">
        <v>34</v>
      </c>
      <c r="G378" t="s">
        <v>25889</v>
      </c>
      <c r="H378">
        <v>18.600000000000001</v>
      </c>
      <c r="I378">
        <v>0</v>
      </c>
      <c r="J378">
        <v>0</v>
      </c>
      <c r="K378">
        <v>0</v>
      </c>
      <c r="L378">
        <v>7</v>
      </c>
      <c r="O378">
        <v>7</v>
      </c>
      <c r="P378">
        <v>4</v>
      </c>
      <c r="Q378">
        <v>0</v>
      </c>
      <c r="R378">
        <v>29.6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H378">
        <v>29.6</v>
      </c>
    </row>
    <row r="379" spans="1:34" x14ac:dyDescent="0.3">
      <c r="A379" s="4">
        <v>407</v>
      </c>
      <c r="B379" s="5">
        <v>372</v>
      </c>
      <c r="C379">
        <v>11804</v>
      </c>
      <c r="D379" t="s">
        <v>25890</v>
      </c>
      <c r="E379" t="s">
        <v>1280</v>
      </c>
      <c r="F379" t="s">
        <v>30</v>
      </c>
      <c r="G379" t="s">
        <v>25891</v>
      </c>
      <c r="H379">
        <v>18.600000000000001</v>
      </c>
      <c r="I379">
        <v>0</v>
      </c>
      <c r="J379">
        <v>0</v>
      </c>
      <c r="K379">
        <v>0</v>
      </c>
      <c r="L379">
        <v>7</v>
      </c>
      <c r="O379">
        <v>7</v>
      </c>
      <c r="P379">
        <v>4</v>
      </c>
      <c r="Q379">
        <v>0</v>
      </c>
      <c r="R379">
        <v>29.6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H379">
        <v>29.6</v>
      </c>
    </row>
    <row r="380" spans="1:34" x14ac:dyDescent="0.3">
      <c r="A380" s="4">
        <v>408</v>
      </c>
      <c r="B380" s="5">
        <v>373</v>
      </c>
      <c r="C380">
        <v>14553</v>
      </c>
      <c r="D380" t="s">
        <v>3011</v>
      </c>
      <c r="E380" t="s">
        <v>2150</v>
      </c>
      <c r="F380" t="s">
        <v>17</v>
      </c>
      <c r="G380" t="s">
        <v>25892</v>
      </c>
      <c r="H380">
        <v>19.48</v>
      </c>
      <c r="I380">
        <v>0</v>
      </c>
      <c r="J380">
        <v>0</v>
      </c>
      <c r="K380">
        <v>0</v>
      </c>
      <c r="L380">
        <v>7</v>
      </c>
      <c r="N380">
        <v>3</v>
      </c>
      <c r="O380">
        <v>10</v>
      </c>
      <c r="P380">
        <v>0</v>
      </c>
      <c r="Q380">
        <v>0</v>
      </c>
      <c r="R380">
        <v>29.48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H380">
        <v>29.48</v>
      </c>
    </row>
    <row r="381" spans="1:34" x14ac:dyDescent="0.3">
      <c r="A381" s="4">
        <v>409</v>
      </c>
      <c r="B381" s="5">
        <v>374</v>
      </c>
      <c r="C381">
        <v>11805</v>
      </c>
      <c r="D381" t="s">
        <v>5008</v>
      </c>
      <c r="E381" t="s">
        <v>188</v>
      </c>
      <c r="F381" t="s">
        <v>30</v>
      </c>
      <c r="G381" t="s">
        <v>25893</v>
      </c>
      <c r="H381">
        <v>16.25</v>
      </c>
      <c r="I381">
        <v>0</v>
      </c>
      <c r="J381">
        <v>0</v>
      </c>
      <c r="K381">
        <v>0</v>
      </c>
      <c r="N381">
        <v>3</v>
      </c>
      <c r="O381">
        <v>3</v>
      </c>
      <c r="P381">
        <v>4</v>
      </c>
      <c r="Q381">
        <v>0</v>
      </c>
      <c r="R381">
        <v>23.25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6</v>
      </c>
      <c r="AC381">
        <v>0</v>
      </c>
      <c r="AH381">
        <v>29.25</v>
      </c>
    </row>
    <row r="382" spans="1:34" x14ac:dyDescent="0.3">
      <c r="A382" s="4">
        <v>410</v>
      </c>
      <c r="B382" s="5">
        <v>375</v>
      </c>
      <c r="C382">
        <v>13325</v>
      </c>
      <c r="D382" t="s">
        <v>25894</v>
      </c>
      <c r="E382" t="s">
        <v>178</v>
      </c>
      <c r="F382" t="s">
        <v>1748</v>
      </c>
      <c r="G382" t="s">
        <v>25895</v>
      </c>
      <c r="H382">
        <v>19.25</v>
      </c>
      <c r="I382">
        <v>0</v>
      </c>
      <c r="J382">
        <v>0</v>
      </c>
      <c r="K382">
        <v>0</v>
      </c>
      <c r="N382">
        <v>3</v>
      </c>
      <c r="O382">
        <v>3</v>
      </c>
      <c r="P382">
        <v>4</v>
      </c>
      <c r="Q382">
        <v>0</v>
      </c>
      <c r="R382">
        <v>26.25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3</v>
      </c>
      <c r="AC382">
        <v>0</v>
      </c>
      <c r="AH382">
        <v>29.25</v>
      </c>
    </row>
    <row r="383" spans="1:34" x14ac:dyDescent="0.3">
      <c r="A383" s="4">
        <v>411</v>
      </c>
      <c r="B383" s="5">
        <v>376</v>
      </c>
      <c r="C383">
        <v>2352</v>
      </c>
      <c r="D383" t="s">
        <v>1432</v>
      </c>
      <c r="E383" t="s">
        <v>166</v>
      </c>
      <c r="F383" t="s">
        <v>136</v>
      </c>
      <c r="G383" t="s">
        <v>25896</v>
      </c>
      <c r="H383">
        <v>18.25</v>
      </c>
      <c r="I383">
        <v>0</v>
      </c>
      <c r="J383">
        <v>0</v>
      </c>
      <c r="K383">
        <v>0</v>
      </c>
      <c r="L383">
        <v>7</v>
      </c>
      <c r="O383">
        <v>7</v>
      </c>
      <c r="P383">
        <v>4</v>
      </c>
      <c r="Q383">
        <v>0</v>
      </c>
      <c r="R383">
        <v>29.25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H383">
        <v>29.25</v>
      </c>
    </row>
    <row r="384" spans="1:34" x14ac:dyDescent="0.3">
      <c r="A384" s="4">
        <v>412</v>
      </c>
      <c r="B384" s="5">
        <v>377</v>
      </c>
      <c r="C384">
        <v>3008</v>
      </c>
      <c r="D384" t="s">
        <v>25897</v>
      </c>
      <c r="E384" t="s">
        <v>88</v>
      </c>
      <c r="F384" t="s">
        <v>190</v>
      </c>
      <c r="G384" t="s">
        <v>25898</v>
      </c>
      <c r="H384">
        <v>18.850000000000001</v>
      </c>
      <c r="I384">
        <v>0</v>
      </c>
      <c r="J384">
        <v>0</v>
      </c>
      <c r="K384">
        <v>0</v>
      </c>
      <c r="N384">
        <v>3</v>
      </c>
      <c r="O384">
        <v>3</v>
      </c>
      <c r="P384">
        <v>4</v>
      </c>
      <c r="Q384">
        <v>0</v>
      </c>
      <c r="R384">
        <v>25.85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3</v>
      </c>
      <c r="AC384">
        <v>0</v>
      </c>
      <c r="AH384">
        <v>28.85</v>
      </c>
    </row>
    <row r="385" spans="1:34" x14ac:dyDescent="0.3">
      <c r="A385" s="4">
        <v>413</v>
      </c>
      <c r="B385" s="5">
        <v>378</v>
      </c>
      <c r="C385">
        <v>1289</v>
      </c>
      <c r="D385" t="s">
        <v>21210</v>
      </c>
      <c r="E385" t="s">
        <v>88</v>
      </c>
      <c r="F385" t="s">
        <v>243</v>
      </c>
      <c r="G385" t="s">
        <v>25899</v>
      </c>
      <c r="H385">
        <v>17.829999999999998</v>
      </c>
      <c r="I385">
        <v>0</v>
      </c>
      <c r="J385">
        <v>0</v>
      </c>
      <c r="K385">
        <v>0</v>
      </c>
      <c r="M385">
        <v>5</v>
      </c>
      <c r="O385">
        <v>5</v>
      </c>
      <c r="P385">
        <v>4</v>
      </c>
      <c r="Q385">
        <v>2</v>
      </c>
      <c r="R385">
        <v>28.83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H385">
        <v>28.83</v>
      </c>
    </row>
    <row r="386" spans="1:34" x14ac:dyDescent="0.3">
      <c r="A386" s="4">
        <v>414</v>
      </c>
      <c r="B386" s="5">
        <v>379</v>
      </c>
      <c r="C386">
        <v>13902</v>
      </c>
      <c r="D386" t="s">
        <v>25900</v>
      </c>
      <c r="E386" t="s">
        <v>132</v>
      </c>
      <c r="F386" t="s">
        <v>972</v>
      </c>
      <c r="G386" t="s">
        <v>25901</v>
      </c>
      <c r="H386">
        <v>19.78</v>
      </c>
      <c r="I386">
        <v>0</v>
      </c>
      <c r="J386">
        <v>0</v>
      </c>
      <c r="K386">
        <v>0</v>
      </c>
      <c r="M386">
        <v>5</v>
      </c>
      <c r="O386">
        <v>5</v>
      </c>
      <c r="P386">
        <v>4</v>
      </c>
      <c r="Q386">
        <v>0</v>
      </c>
      <c r="R386">
        <v>28.78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H386">
        <v>28.78</v>
      </c>
    </row>
    <row r="387" spans="1:34" x14ac:dyDescent="0.3">
      <c r="A387" s="4">
        <v>415</v>
      </c>
      <c r="B387" s="5">
        <v>380</v>
      </c>
      <c r="C387">
        <v>12037</v>
      </c>
      <c r="D387" t="s">
        <v>93</v>
      </c>
      <c r="E387" t="s">
        <v>132</v>
      </c>
      <c r="F387" t="s">
        <v>1460</v>
      </c>
      <c r="G387" t="s">
        <v>25902</v>
      </c>
      <c r="H387">
        <v>18.73</v>
      </c>
      <c r="I387">
        <v>0</v>
      </c>
      <c r="J387">
        <v>0</v>
      </c>
      <c r="K387">
        <v>0</v>
      </c>
      <c r="N387">
        <v>3</v>
      </c>
      <c r="O387">
        <v>3</v>
      </c>
      <c r="P387">
        <v>4</v>
      </c>
      <c r="Q387">
        <v>0</v>
      </c>
      <c r="R387">
        <v>25.73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3</v>
      </c>
      <c r="AC387">
        <v>0</v>
      </c>
      <c r="AH387">
        <v>28.73</v>
      </c>
    </row>
    <row r="388" spans="1:34" x14ac:dyDescent="0.3">
      <c r="A388" s="4">
        <v>416</v>
      </c>
      <c r="B388" s="5">
        <v>381</v>
      </c>
      <c r="C388">
        <v>8380</v>
      </c>
      <c r="D388" t="s">
        <v>750</v>
      </c>
      <c r="E388" t="s">
        <v>62</v>
      </c>
      <c r="F388" t="s">
        <v>1460</v>
      </c>
      <c r="G388" t="s">
        <v>25903</v>
      </c>
      <c r="H388">
        <v>17.600000000000001</v>
      </c>
      <c r="I388">
        <v>0</v>
      </c>
      <c r="J388">
        <v>0</v>
      </c>
      <c r="K388">
        <v>0</v>
      </c>
      <c r="L388">
        <v>7</v>
      </c>
      <c r="O388">
        <v>7</v>
      </c>
      <c r="P388">
        <v>4</v>
      </c>
      <c r="Q388">
        <v>0</v>
      </c>
      <c r="R388">
        <v>28.6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H388">
        <v>28.6</v>
      </c>
    </row>
    <row r="389" spans="1:34" x14ac:dyDescent="0.3">
      <c r="A389" s="4">
        <v>417</v>
      </c>
      <c r="B389" s="5">
        <v>382</v>
      </c>
      <c r="C389">
        <v>7219</v>
      </c>
      <c r="D389" t="s">
        <v>25904</v>
      </c>
      <c r="E389" t="s">
        <v>25905</v>
      </c>
      <c r="F389" t="s">
        <v>25906</v>
      </c>
      <c r="G389" t="s">
        <v>25907</v>
      </c>
      <c r="H389">
        <v>21.53</v>
      </c>
      <c r="I389">
        <v>0</v>
      </c>
      <c r="J389">
        <v>0</v>
      </c>
      <c r="K389">
        <v>0</v>
      </c>
      <c r="N389">
        <v>3</v>
      </c>
      <c r="O389">
        <v>3</v>
      </c>
      <c r="P389">
        <v>4</v>
      </c>
      <c r="Q389">
        <v>0</v>
      </c>
      <c r="R389">
        <v>28.53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H389">
        <v>28.53</v>
      </c>
    </row>
    <row r="390" spans="1:34" x14ac:dyDescent="0.3">
      <c r="A390" s="4">
        <v>418</v>
      </c>
      <c r="B390" s="5">
        <v>383</v>
      </c>
      <c r="C390">
        <v>5902</v>
      </c>
      <c r="D390" t="s">
        <v>25908</v>
      </c>
      <c r="E390" t="s">
        <v>25909</v>
      </c>
      <c r="F390" t="s">
        <v>38</v>
      </c>
      <c r="G390" t="s">
        <v>25910</v>
      </c>
      <c r="H390">
        <v>19.53</v>
      </c>
      <c r="I390">
        <v>0</v>
      </c>
      <c r="J390">
        <v>0</v>
      </c>
      <c r="K390">
        <v>0</v>
      </c>
      <c r="N390">
        <v>3</v>
      </c>
      <c r="O390">
        <v>3</v>
      </c>
      <c r="P390">
        <v>4</v>
      </c>
      <c r="Q390">
        <v>2</v>
      </c>
      <c r="R390">
        <v>28.53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H390">
        <v>28.53</v>
      </c>
    </row>
    <row r="391" spans="1:34" x14ac:dyDescent="0.3">
      <c r="A391" s="4">
        <v>419</v>
      </c>
      <c r="B391" s="5">
        <v>384</v>
      </c>
      <c r="C391">
        <v>9194</v>
      </c>
      <c r="D391" t="s">
        <v>4558</v>
      </c>
      <c r="E391" t="s">
        <v>283</v>
      </c>
      <c r="F391" t="s">
        <v>20</v>
      </c>
      <c r="G391" t="s">
        <v>25911</v>
      </c>
      <c r="H391">
        <v>18.18</v>
      </c>
      <c r="I391">
        <v>0</v>
      </c>
      <c r="J391">
        <v>0</v>
      </c>
      <c r="K391">
        <v>0</v>
      </c>
      <c r="N391">
        <v>3</v>
      </c>
      <c r="O391">
        <v>3</v>
      </c>
      <c r="P391">
        <v>4</v>
      </c>
      <c r="Q391">
        <v>0</v>
      </c>
      <c r="R391">
        <v>25.18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3</v>
      </c>
      <c r="AC391">
        <v>0</v>
      </c>
      <c r="AH391">
        <v>28.18</v>
      </c>
    </row>
    <row r="392" spans="1:34" x14ac:dyDescent="0.3">
      <c r="A392" s="4">
        <v>420</v>
      </c>
      <c r="B392" s="5">
        <v>385</v>
      </c>
      <c r="C392">
        <v>11830</v>
      </c>
      <c r="D392" t="s">
        <v>25912</v>
      </c>
      <c r="E392" t="s">
        <v>7862</v>
      </c>
      <c r="F392" t="s">
        <v>11853</v>
      </c>
      <c r="G392" t="s">
        <v>25913</v>
      </c>
      <c r="H392">
        <v>17.100000000000001</v>
      </c>
      <c r="I392">
        <v>0</v>
      </c>
      <c r="J392">
        <v>0</v>
      </c>
      <c r="K392">
        <v>0</v>
      </c>
      <c r="L392">
        <v>7</v>
      </c>
      <c r="O392">
        <v>7</v>
      </c>
      <c r="P392">
        <v>4</v>
      </c>
      <c r="Q392">
        <v>0</v>
      </c>
      <c r="R392">
        <v>28.1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H392">
        <v>28.1</v>
      </c>
    </row>
    <row r="393" spans="1:34" x14ac:dyDescent="0.3">
      <c r="A393" s="4">
        <v>421</v>
      </c>
      <c r="B393" s="5">
        <v>386</v>
      </c>
      <c r="C393">
        <v>6434</v>
      </c>
      <c r="D393" t="s">
        <v>10808</v>
      </c>
      <c r="E393" t="s">
        <v>25914</v>
      </c>
      <c r="F393" t="s">
        <v>117</v>
      </c>
      <c r="H393">
        <v>14.95</v>
      </c>
      <c r="I393">
        <v>0</v>
      </c>
      <c r="J393">
        <v>0</v>
      </c>
      <c r="K393">
        <v>0</v>
      </c>
      <c r="L393">
        <v>7</v>
      </c>
      <c r="O393">
        <v>7</v>
      </c>
      <c r="P393">
        <v>4</v>
      </c>
      <c r="Q393">
        <v>2</v>
      </c>
      <c r="R393">
        <v>27.95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H393">
        <v>27.95</v>
      </c>
    </row>
    <row r="394" spans="1:34" x14ac:dyDescent="0.3">
      <c r="A394" s="4">
        <v>422</v>
      </c>
      <c r="B394" s="5">
        <v>387</v>
      </c>
      <c r="C394">
        <v>331</v>
      </c>
      <c r="D394" t="s">
        <v>2320</v>
      </c>
      <c r="E394" t="s">
        <v>858</v>
      </c>
      <c r="F394" t="s">
        <v>801</v>
      </c>
      <c r="G394" t="s">
        <v>25915</v>
      </c>
      <c r="H394">
        <v>20.75</v>
      </c>
      <c r="I394">
        <v>0</v>
      </c>
      <c r="J394">
        <v>0</v>
      </c>
      <c r="K394">
        <v>0</v>
      </c>
      <c r="N394">
        <v>3</v>
      </c>
      <c r="O394">
        <v>3</v>
      </c>
      <c r="P394">
        <v>4</v>
      </c>
      <c r="Q394">
        <v>0</v>
      </c>
      <c r="R394">
        <v>27.75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H394">
        <v>27.75</v>
      </c>
    </row>
    <row r="395" spans="1:34" x14ac:dyDescent="0.3">
      <c r="A395" s="4">
        <v>423</v>
      </c>
      <c r="B395" s="5">
        <v>388</v>
      </c>
      <c r="C395">
        <v>10422</v>
      </c>
      <c r="D395" t="s">
        <v>1822</v>
      </c>
      <c r="E395" t="s">
        <v>1576</v>
      </c>
      <c r="F395" t="s">
        <v>17</v>
      </c>
      <c r="G395" t="s">
        <v>25916</v>
      </c>
      <c r="H395">
        <v>18.68</v>
      </c>
      <c r="I395">
        <v>0</v>
      </c>
      <c r="J395">
        <v>0</v>
      </c>
      <c r="K395">
        <v>0</v>
      </c>
      <c r="N395">
        <v>3</v>
      </c>
      <c r="O395">
        <v>3</v>
      </c>
      <c r="P395">
        <v>0</v>
      </c>
      <c r="Q395">
        <v>0</v>
      </c>
      <c r="R395">
        <v>21.68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6</v>
      </c>
      <c r="AC395">
        <v>0</v>
      </c>
      <c r="AH395">
        <v>27.68</v>
      </c>
    </row>
    <row r="396" spans="1:34" x14ac:dyDescent="0.3">
      <c r="A396" s="4">
        <v>424</v>
      </c>
      <c r="B396" s="5">
        <v>389</v>
      </c>
      <c r="C396">
        <v>5013</v>
      </c>
      <c r="D396" t="s">
        <v>25917</v>
      </c>
      <c r="E396" t="s">
        <v>17</v>
      </c>
      <c r="F396" t="s">
        <v>81</v>
      </c>
      <c r="G396" t="s">
        <v>25918</v>
      </c>
      <c r="H396">
        <v>20.68</v>
      </c>
      <c r="I396">
        <v>0</v>
      </c>
      <c r="J396">
        <v>0</v>
      </c>
      <c r="K396">
        <v>0</v>
      </c>
      <c r="L396">
        <v>7</v>
      </c>
      <c r="O396">
        <v>7</v>
      </c>
      <c r="P396">
        <v>0</v>
      </c>
      <c r="Q396">
        <v>0</v>
      </c>
      <c r="R396">
        <v>27.68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H396">
        <v>27.68</v>
      </c>
    </row>
    <row r="397" spans="1:34" x14ac:dyDescent="0.3">
      <c r="A397" s="4">
        <v>425</v>
      </c>
      <c r="B397" s="5">
        <v>390</v>
      </c>
      <c r="C397">
        <v>14639</v>
      </c>
      <c r="D397" t="s">
        <v>25919</v>
      </c>
      <c r="E397" t="s">
        <v>170</v>
      </c>
      <c r="F397" t="s">
        <v>81</v>
      </c>
      <c r="G397" t="s">
        <v>25920</v>
      </c>
      <c r="H397">
        <v>17.649999999999999</v>
      </c>
      <c r="I397">
        <v>0</v>
      </c>
      <c r="J397">
        <v>0</v>
      </c>
      <c r="K397">
        <v>0</v>
      </c>
      <c r="N397">
        <v>6</v>
      </c>
      <c r="O397">
        <v>6</v>
      </c>
      <c r="P397">
        <v>4</v>
      </c>
      <c r="Q397">
        <v>0</v>
      </c>
      <c r="R397">
        <v>27.65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H397">
        <v>27.65</v>
      </c>
    </row>
    <row r="398" spans="1:34" x14ac:dyDescent="0.3">
      <c r="A398" s="4">
        <v>426</v>
      </c>
      <c r="B398" s="5">
        <v>391</v>
      </c>
      <c r="C398">
        <v>9662</v>
      </c>
      <c r="D398" t="s">
        <v>25921</v>
      </c>
      <c r="E398" t="s">
        <v>3775</v>
      </c>
      <c r="F398" t="s">
        <v>81</v>
      </c>
      <c r="G398" t="s">
        <v>25922</v>
      </c>
      <c r="H398">
        <v>16.399999999999999</v>
      </c>
      <c r="I398">
        <v>0</v>
      </c>
      <c r="J398">
        <v>0</v>
      </c>
      <c r="K398">
        <v>0</v>
      </c>
      <c r="L398">
        <v>7</v>
      </c>
      <c r="O398">
        <v>7</v>
      </c>
      <c r="P398">
        <v>4</v>
      </c>
      <c r="Q398">
        <v>0</v>
      </c>
      <c r="R398">
        <v>27.4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H398">
        <v>27.4</v>
      </c>
    </row>
    <row r="399" spans="1:34" x14ac:dyDescent="0.3">
      <c r="A399" s="4">
        <v>427</v>
      </c>
      <c r="B399" s="5">
        <v>392</v>
      </c>
      <c r="C399">
        <v>15638</v>
      </c>
      <c r="D399" t="s">
        <v>5892</v>
      </c>
      <c r="E399" t="s">
        <v>157</v>
      </c>
      <c r="F399" t="s">
        <v>3443</v>
      </c>
      <c r="G399" t="s">
        <v>25923</v>
      </c>
      <c r="H399">
        <v>20.350000000000001</v>
      </c>
      <c r="I399">
        <v>0</v>
      </c>
      <c r="J399">
        <v>0</v>
      </c>
      <c r="K399">
        <v>0</v>
      </c>
      <c r="N399">
        <v>3</v>
      </c>
      <c r="O399">
        <v>3</v>
      </c>
      <c r="P399">
        <v>4</v>
      </c>
      <c r="Q399">
        <v>0</v>
      </c>
      <c r="R399">
        <v>27.35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H399">
        <v>27.35</v>
      </c>
    </row>
    <row r="400" spans="1:34" x14ac:dyDescent="0.3">
      <c r="A400" s="4">
        <v>428</v>
      </c>
      <c r="B400" s="5">
        <v>393</v>
      </c>
      <c r="C400">
        <v>11189</v>
      </c>
      <c r="D400" t="s">
        <v>41</v>
      </c>
      <c r="E400" t="s">
        <v>25924</v>
      </c>
      <c r="F400" t="s">
        <v>17</v>
      </c>
      <c r="G400" t="s">
        <v>25925</v>
      </c>
      <c r="H400">
        <v>20.350000000000001</v>
      </c>
      <c r="I400">
        <v>0</v>
      </c>
      <c r="J400">
        <v>0</v>
      </c>
      <c r="K400">
        <v>0</v>
      </c>
      <c r="N400">
        <v>3</v>
      </c>
      <c r="O400">
        <v>3</v>
      </c>
      <c r="P400">
        <v>4</v>
      </c>
      <c r="Q400">
        <v>0</v>
      </c>
      <c r="R400">
        <v>27.35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H400">
        <v>27.35</v>
      </c>
    </row>
    <row r="401" spans="1:34" x14ac:dyDescent="0.3">
      <c r="A401" s="4">
        <v>429</v>
      </c>
      <c r="B401" s="5">
        <v>394</v>
      </c>
      <c r="C401">
        <v>14628</v>
      </c>
      <c r="D401" t="s">
        <v>8306</v>
      </c>
      <c r="E401" t="s">
        <v>338</v>
      </c>
      <c r="F401" t="s">
        <v>117</v>
      </c>
      <c r="G401" t="s">
        <v>25926</v>
      </c>
      <c r="H401">
        <v>20.350000000000001</v>
      </c>
      <c r="I401">
        <v>0</v>
      </c>
      <c r="J401">
        <v>0</v>
      </c>
      <c r="K401">
        <v>0</v>
      </c>
      <c r="N401">
        <v>3</v>
      </c>
      <c r="O401">
        <v>3</v>
      </c>
      <c r="P401">
        <v>4</v>
      </c>
      <c r="Q401">
        <v>0</v>
      </c>
      <c r="R401">
        <v>27.35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H401">
        <v>27.35</v>
      </c>
    </row>
    <row r="402" spans="1:34" x14ac:dyDescent="0.3">
      <c r="A402" s="4">
        <v>430</v>
      </c>
      <c r="B402" s="5">
        <v>395</v>
      </c>
      <c r="C402">
        <v>5903</v>
      </c>
      <c r="D402" t="s">
        <v>1317</v>
      </c>
      <c r="E402" t="s">
        <v>21788</v>
      </c>
      <c r="F402" t="s">
        <v>11853</v>
      </c>
      <c r="G402" t="s">
        <v>25927</v>
      </c>
      <c r="H402">
        <v>16.3</v>
      </c>
      <c r="I402">
        <v>0</v>
      </c>
      <c r="J402">
        <v>0</v>
      </c>
      <c r="K402">
        <v>0</v>
      </c>
      <c r="L402">
        <v>7</v>
      </c>
      <c r="O402">
        <v>7</v>
      </c>
      <c r="P402">
        <v>4</v>
      </c>
      <c r="Q402">
        <v>0</v>
      </c>
      <c r="R402">
        <v>27.3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H402">
        <v>27.3</v>
      </c>
    </row>
    <row r="403" spans="1:34" x14ac:dyDescent="0.3">
      <c r="A403" s="4">
        <v>431</v>
      </c>
      <c r="B403" s="5">
        <v>396</v>
      </c>
      <c r="C403">
        <v>4571</v>
      </c>
      <c r="D403" t="s">
        <v>25928</v>
      </c>
      <c r="E403" t="s">
        <v>29</v>
      </c>
      <c r="F403" t="s">
        <v>158</v>
      </c>
      <c r="G403" t="s">
        <v>25929</v>
      </c>
      <c r="H403">
        <v>18.18</v>
      </c>
      <c r="I403">
        <v>0</v>
      </c>
      <c r="J403">
        <v>0</v>
      </c>
      <c r="K403">
        <v>0</v>
      </c>
      <c r="L403">
        <v>7</v>
      </c>
      <c r="O403">
        <v>7</v>
      </c>
      <c r="P403">
        <v>0</v>
      </c>
      <c r="Q403">
        <v>2</v>
      </c>
      <c r="R403">
        <v>27.18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H403">
        <v>27.18</v>
      </c>
    </row>
    <row r="404" spans="1:34" x14ac:dyDescent="0.3">
      <c r="A404" s="4">
        <v>432</v>
      </c>
      <c r="B404" s="5">
        <v>397</v>
      </c>
      <c r="C404">
        <v>15169</v>
      </c>
      <c r="D404" t="s">
        <v>16058</v>
      </c>
      <c r="E404" t="s">
        <v>273</v>
      </c>
      <c r="F404" t="s">
        <v>81</v>
      </c>
      <c r="G404" t="s">
        <v>25930</v>
      </c>
      <c r="H404">
        <v>20.13</v>
      </c>
      <c r="I404">
        <v>0</v>
      </c>
      <c r="J404">
        <v>0</v>
      </c>
      <c r="K404">
        <v>0</v>
      </c>
      <c r="L404">
        <v>7</v>
      </c>
      <c r="O404">
        <v>7</v>
      </c>
      <c r="P404">
        <v>0</v>
      </c>
      <c r="Q404">
        <v>0</v>
      </c>
      <c r="R404">
        <v>27.13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H404">
        <v>27.13</v>
      </c>
    </row>
    <row r="405" spans="1:34" x14ac:dyDescent="0.3">
      <c r="A405" s="4">
        <v>433</v>
      </c>
      <c r="B405" s="5">
        <v>398</v>
      </c>
      <c r="C405">
        <v>1815</v>
      </c>
      <c r="D405" t="s">
        <v>25931</v>
      </c>
      <c r="E405" t="s">
        <v>81</v>
      </c>
      <c r="F405" t="s">
        <v>34</v>
      </c>
      <c r="G405" t="s">
        <v>25932</v>
      </c>
      <c r="H405">
        <v>17.95</v>
      </c>
      <c r="I405">
        <v>0</v>
      </c>
      <c r="J405">
        <v>0</v>
      </c>
      <c r="K405">
        <v>0</v>
      </c>
      <c r="M405">
        <v>5</v>
      </c>
      <c r="O405">
        <v>5</v>
      </c>
      <c r="P405">
        <v>4</v>
      </c>
      <c r="Q405">
        <v>0</v>
      </c>
      <c r="R405">
        <v>26.95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H405">
        <v>26.95</v>
      </c>
    </row>
    <row r="406" spans="1:34" x14ac:dyDescent="0.3">
      <c r="A406" s="4">
        <v>434</v>
      </c>
      <c r="B406" s="5">
        <v>399</v>
      </c>
      <c r="C406">
        <v>792</v>
      </c>
      <c r="D406" t="s">
        <v>14535</v>
      </c>
      <c r="E406" t="s">
        <v>41</v>
      </c>
      <c r="F406" t="s">
        <v>230</v>
      </c>
      <c r="G406" t="s">
        <v>25933</v>
      </c>
      <c r="H406">
        <v>18.899999999999999</v>
      </c>
      <c r="I406">
        <v>0</v>
      </c>
      <c r="J406">
        <v>0</v>
      </c>
      <c r="K406">
        <v>0</v>
      </c>
      <c r="N406">
        <v>3</v>
      </c>
      <c r="O406">
        <v>3</v>
      </c>
      <c r="P406">
        <v>4</v>
      </c>
      <c r="Q406">
        <v>0</v>
      </c>
      <c r="R406">
        <v>25.9</v>
      </c>
      <c r="S406">
        <v>1</v>
      </c>
      <c r="T406">
        <v>1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1</v>
      </c>
      <c r="AB406">
        <v>0</v>
      </c>
      <c r="AC406">
        <v>0</v>
      </c>
      <c r="AH406">
        <v>26.9</v>
      </c>
    </row>
    <row r="407" spans="1:34" x14ac:dyDescent="0.3">
      <c r="A407" s="4">
        <v>435</v>
      </c>
      <c r="B407" s="5">
        <v>400</v>
      </c>
      <c r="C407">
        <v>3068</v>
      </c>
      <c r="D407" t="s">
        <v>25934</v>
      </c>
      <c r="E407" t="s">
        <v>97</v>
      </c>
      <c r="F407" t="s">
        <v>81</v>
      </c>
      <c r="G407" t="s">
        <v>25935</v>
      </c>
      <c r="H407">
        <v>18.829999999999998</v>
      </c>
      <c r="I407">
        <v>0</v>
      </c>
      <c r="J407">
        <v>0</v>
      </c>
      <c r="K407">
        <v>0</v>
      </c>
      <c r="M407">
        <v>5</v>
      </c>
      <c r="O407">
        <v>5</v>
      </c>
      <c r="P407">
        <v>0</v>
      </c>
      <c r="Q407">
        <v>0</v>
      </c>
      <c r="R407">
        <v>23.83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3</v>
      </c>
      <c r="AC407">
        <v>0</v>
      </c>
      <c r="AH407">
        <v>26.83</v>
      </c>
    </row>
    <row r="408" spans="1:34" x14ac:dyDescent="0.3">
      <c r="A408" s="4">
        <v>436</v>
      </c>
      <c r="B408" s="5">
        <v>401</v>
      </c>
      <c r="C408">
        <v>14306</v>
      </c>
      <c r="D408" t="s">
        <v>25936</v>
      </c>
      <c r="E408" t="s">
        <v>17</v>
      </c>
      <c r="F408" t="s">
        <v>38</v>
      </c>
      <c r="G408" t="s">
        <v>25937</v>
      </c>
      <c r="H408">
        <v>20.78</v>
      </c>
      <c r="I408">
        <v>0</v>
      </c>
      <c r="J408">
        <v>0</v>
      </c>
      <c r="K408">
        <v>0</v>
      </c>
      <c r="N408">
        <v>6</v>
      </c>
      <c r="O408">
        <v>6</v>
      </c>
      <c r="P408">
        <v>0</v>
      </c>
      <c r="Q408">
        <v>0</v>
      </c>
      <c r="R408">
        <v>26.78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H408">
        <v>26.78</v>
      </c>
    </row>
    <row r="409" spans="1:34" x14ac:dyDescent="0.3">
      <c r="A409" s="4">
        <v>437</v>
      </c>
      <c r="B409" s="5">
        <v>402</v>
      </c>
      <c r="C409">
        <v>8263</v>
      </c>
      <c r="D409" t="s">
        <v>25938</v>
      </c>
      <c r="E409" t="s">
        <v>782</v>
      </c>
      <c r="F409" t="s">
        <v>158</v>
      </c>
      <c r="G409" t="s">
        <v>25939</v>
      </c>
      <c r="H409">
        <v>13.78</v>
      </c>
      <c r="I409">
        <v>0</v>
      </c>
      <c r="J409">
        <v>0</v>
      </c>
      <c r="K409">
        <v>0</v>
      </c>
      <c r="L409">
        <v>7</v>
      </c>
      <c r="O409">
        <v>7</v>
      </c>
      <c r="P409">
        <v>4</v>
      </c>
      <c r="Q409">
        <v>2</v>
      </c>
      <c r="R409">
        <v>26.78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H409">
        <v>26.78</v>
      </c>
    </row>
    <row r="410" spans="1:34" x14ac:dyDescent="0.3">
      <c r="A410" s="4">
        <v>438</v>
      </c>
      <c r="B410" s="5">
        <v>403</v>
      </c>
      <c r="C410">
        <v>1857</v>
      </c>
      <c r="D410" t="s">
        <v>25940</v>
      </c>
      <c r="E410" t="s">
        <v>41</v>
      </c>
      <c r="F410" t="s">
        <v>17</v>
      </c>
      <c r="G410" t="s">
        <v>25941</v>
      </c>
      <c r="H410">
        <v>16.75</v>
      </c>
      <c r="I410">
        <v>0</v>
      </c>
      <c r="J410">
        <v>0</v>
      </c>
      <c r="K410">
        <v>0</v>
      </c>
      <c r="N410">
        <v>3</v>
      </c>
      <c r="O410">
        <v>3</v>
      </c>
      <c r="P410">
        <v>4</v>
      </c>
      <c r="Q410">
        <v>0</v>
      </c>
      <c r="R410">
        <v>23.75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3</v>
      </c>
      <c r="AC410">
        <v>0</v>
      </c>
      <c r="AH410">
        <v>26.75</v>
      </c>
    </row>
    <row r="411" spans="1:34" x14ac:dyDescent="0.3">
      <c r="A411" s="4">
        <v>439</v>
      </c>
      <c r="B411" s="5">
        <v>404</v>
      </c>
      <c r="C411">
        <v>8932</v>
      </c>
      <c r="D411" t="s">
        <v>2528</v>
      </c>
      <c r="E411" t="s">
        <v>25942</v>
      </c>
      <c r="F411" t="s">
        <v>38</v>
      </c>
      <c r="G411" t="s">
        <v>25943</v>
      </c>
      <c r="H411">
        <v>19.73</v>
      </c>
      <c r="I411">
        <v>0</v>
      </c>
      <c r="J411">
        <v>0</v>
      </c>
      <c r="K411">
        <v>0</v>
      </c>
      <c r="N411">
        <v>3</v>
      </c>
      <c r="O411">
        <v>3</v>
      </c>
      <c r="P411">
        <v>4</v>
      </c>
      <c r="Q411">
        <v>0</v>
      </c>
      <c r="R411">
        <v>26.73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H411">
        <v>26.73</v>
      </c>
    </row>
    <row r="412" spans="1:34" x14ac:dyDescent="0.3">
      <c r="A412" s="4">
        <v>440</v>
      </c>
      <c r="B412" s="5">
        <v>405</v>
      </c>
      <c r="C412">
        <v>14192</v>
      </c>
      <c r="D412" t="s">
        <v>25944</v>
      </c>
      <c r="E412" t="s">
        <v>25945</v>
      </c>
      <c r="F412" t="s">
        <v>81</v>
      </c>
      <c r="G412" t="s">
        <v>25946</v>
      </c>
      <c r="H412">
        <v>17.649999999999999</v>
      </c>
      <c r="I412">
        <v>0</v>
      </c>
      <c r="J412">
        <v>0</v>
      </c>
      <c r="K412">
        <v>0</v>
      </c>
      <c r="N412">
        <v>3</v>
      </c>
      <c r="O412">
        <v>3</v>
      </c>
      <c r="P412">
        <v>4</v>
      </c>
      <c r="Q412">
        <v>2</v>
      </c>
      <c r="R412">
        <v>26.65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H412">
        <v>26.65</v>
      </c>
    </row>
    <row r="413" spans="1:34" x14ac:dyDescent="0.3">
      <c r="A413" s="4">
        <v>441</v>
      </c>
      <c r="B413" s="5">
        <v>406</v>
      </c>
      <c r="C413">
        <v>5173</v>
      </c>
      <c r="D413" t="s">
        <v>25947</v>
      </c>
      <c r="E413" t="s">
        <v>25948</v>
      </c>
      <c r="F413" t="s">
        <v>136</v>
      </c>
      <c r="G413" t="s">
        <v>25949</v>
      </c>
      <c r="H413">
        <v>16.63</v>
      </c>
      <c r="I413">
        <v>0</v>
      </c>
      <c r="J413">
        <v>0</v>
      </c>
      <c r="K413">
        <v>0</v>
      </c>
      <c r="O413">
        <v>0</v>
      </c>
      <c r="P413">
        <v>4</v>
      </c>
      <c r="Q413">
        <v>0</v>
      </c>
      <c r="R413">
        <v>20.63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6</v>
      </c>
      <c r="AC413">
        <v>0</v>
      </c>
      <c r="AH413">
        <v>26.63</v>
      </c>
    </row>
    <row r="414" spans="1:34" x14ac:dyDescent="0.3">
      <c r="A414" s="4">
        <v>442</v>
      </c>
      <c r="B414" s="5">
        <v>407</v>
      </c>
      <c r="C414">
        <v>5351</v>
      </c>
      <c r="D414" t="s">
        <v>944</v>
      </c>
      <c r="E414" t="s">
        <v>1694</v>
      </c>
      <c r="F414" t="s">
        <v>238</v>
      </c>
      <c r="G414" t="s">
        <v>25950</v>
      </c>
      <c r="H414">
        <v>16.600000000000001</v>
      </c>
      <c r="I414">
        <v>0</v>
      </c>
      <c r="J414">
        <v>0</v>
      </c>
      <c r="K414">
        <v>0</v>
      </c>
      <c r="N414">
        <v>3</v>
      </c>
      <c r="O414">
        <v>3</v>
      </c>
      <c r="P414">
        <v>4</v>
      </c>
      <c r="Q414">
        <v>0</v>
      </c>
      <c r="R414">
        <v>23.6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3</v>
      </c>
      <c r="AC414">
        <v>0</v>
      </c>
      <c r="AH414">
        <v>26.6</v>
      </c>
    </row>
    <row r="415" spans="1:34" x14ac:dyDescent="0.3">
      <c r="A415" s="4">
        <v>443</v>
      </c>
      <c r="B415" s="5">
        <v>408</v>
      </c>
      <c r="C415">
        <v>11820</v>
      </c>
      <c r="D415" t="s">
        <v>15344</v>
      </c>
      <c r="E415" t="s">
        <v>54</v>
      </c>
      <c r="F415" t="s">
        <v>117</v>
      </c>
      <c r="G415" t="s">
        <v>25951</v>
      </c>
      <c r="H415">
        <v>16.55</v>
      </c>
      <c r="I415">
        <v>0</v>
      </c>
      <c r="J415">
        <v>0</v>
      </c>
      <c r="K415">
        <v>0</v>
      </c>
      <c r="O415">
        <v>0</v>
      </c>
      <c r="P415">
        <v>4</v>
      </c>
      <c r="Q415">
        <v>0</v>
      </c>
      <c r="R415">
        <v>20.55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6</v>
      </c>
      <c r="AC415">
        <v>0</v>
      </c>
      <c r="AH415">
        <v>26.55</v>
      </c>
    </row>
    <row r="416" spans="1:34" x14ac:dyDescent="0.3">
      <c r="A416" s="4">
        <v>444</v>
      </c>
      <c r="B416" s="5">
        <v>409</v>
      </c>
      <c r="C416">
        <v>6977</v>
      </c>
      <c r="D416" t="s">
        <v>181</v>
      </c>
      <c r="E416" t="s">
        <v>25952</v>
      </c>
      <c r="F416" t="s">
        <v>68</v>
      </c>
      <c r="G416" t="s">
        <v>25953</v>
      </c>
      <c r="H416">
        <v>15.53</v>
      </c>
      <c r="I416">
        <v>0</v>
      </c>
      <c r="J416">
        <v>0</v>
      </c>
      <c r="K416">
        <v>0</v>
      </c>
      <c r="L416">
        <v>7</v>
      </c>
      <c r="O416">
        <v>7</v>
      </c>
      <c r="P416">
        <v>4</v>
      </c>
      <c r="Q416">
        <v>0</v>
      </c>
      <c r="R416">
        <v>26.53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H416">
        <v>26.53</v>
      </c>
    </row>
    <row r="417" spans="1:34" x14ac:dyDescent="0.3">
      <c r="A417" s="4">
        <v>445</v>
      </c>
      <c r="B417" s="5">
        <v>410</v>
      </c>
      <c r="C417">
        <v>13129</v>
      </c>
      <c r="D417" t="s">
        <v>6683</v>
      </c>
      <c r="E417" t="s">
        <v>273</v>
      </c>
      <c r="F417" t="s">
        <v>375</v>
      </c>
      <c r="G417" t="s">
        <v>25954</v>
      </c>
      <c r="H417">
        <v>16.5</v>
      </c>
      <c r="I417">
        <v>0</v>
      </c>
      <c r="J417">
        <v>0</v>
      </c>
      <c r="K417">
        <v>0</v>
      </c>
      <c r="N417">
        <v>3</v>
      </c>
      <c r="O417">
        <v>3</v>
      </c>
      <c r="P417">
        <v>4</v>
      </c>
      <c r="Q417">
        <v>0</v>
      </c>
      <c r="R417">
        <v>23.5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3</v>
      </c>
      <c r="AC417">
        <v>0</v>
      </c>
      <c r="AH417">
        <v>26.5</v>
      </c>
    </row>
    <row r="418" spans="1:34" x14ac:dyDescent="0.3">
      <c r="A418" s="4">
        <v>446</v>
      </c>
      <c r="B418" s="5">
        <v>411</v>
      </c>
      <c r="C418">
        <v>5553</v>
      </c>
      <c r="D418" t="s">
        <v>25955</v>
      </c>
      <c r="E418" t="s">
        <v>25956</v>
      </c>
      <c r="F418" t="s">
        <v>38</v>
      </c>
      <c r="G418" t="s">
        <v>25957</v>
      </c>
      <c r="H418">
        <v>17.5</v>
      </c>
      <c r="I418">
        <v>0</v>
      </c>
      <c r="J418">
        <v>0</v>
      </c>
      <c r="K418">
        <v>0</v>
      </c>
      <c r="N418">
        <v>3</v>
      </c>
      <c r="O418">
        <v>3</v>
      </c>
      <c r="P418">
        <v>4</v>
      </c>
      <c r="Q418">
        <v>2</v>
      </c>
      <c r="R418">
        <v>26.5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H418">
        <v>26.5</v>
      </c>
    </row>
    <row r="419" spans="1:34" x14ac:dyDescent="0.3">
      <c r="A419" s="4">
        <v>447</v>
      </c>
      <c r="B419" s="5">
        <v>412</v>
      </c>
      <c r="C419">
        <v>14356</v>
      </c>
      <c r="D419" t="s">
        <v>1958</v>
      </c>
      <c r="E419" t="s">
        <v>29</v>
      </c>
      <c r="F419" t="s">
        <v>158</v>
      </c>
      <c r="G419" t="s">
        <v>25958</v>
      </c>
      <c r="H419">
        <v>15.45</v>
      </c>
      <c r="I419">
        <v>0</v>
      </c>
      <c r="J419">
        <v>0</v>
      </c>
      <c r="K419">
        <v>0</v>
      </c>
      <c r="L419">
        <v>7</v>
      </c>
      <c r="O419">
        <v>7</v>
      </c>
      <c r="P419">
        <v>4</v>
      </c>
      <c r="Q419">
        <v>0</v>
      </c>
      <c r="R419">
        <v>26.45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H419">
        <v>26.45</v>
      </c>
    </row>
    <row r="420" spans="1:34" x14ac:dyDescent="0.3">
      <c r="A420" s="4">
        <v>448</v>
      </c>
      <c r="B420" s="5">
        <v>413</v>
      </c>
      <c r="C420">
        <v>4889</v>
      </c>
      <c r="D420" t="s">
        <v>6914</v>
      </c>
      <c r="E420" t="s">
        <v>54</v>
      </c>
      <c r="F420" t="s">
        <v>30</v>
      </c>
      <c r="G420" t="s">
        <v>25959</v>
      </c>
      <c r="H420">
        <v>16.350000000000001</v>
      </c>
      <c r="I420">
        <v>0</v>
      </c>
      <c r="J420">
        <v>0</v>
      </c>
      <c r="K420">
        <v>0</v>
      </c>
      <c r="N420">
        <v>3</v>
      </c>
      <c r="O420">
        <v>3</v>
      </c>
      <c r="P420">
        <v>4</v>
      </c>
      <c r="Q420">
        <v>0</v>
      </c>
      <c r="R420">
        <v>23.35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3</v>
      </c>
      <c r="AC420">
        <v>0</v>
      </c>
      <c r="AH420">
        <v>26.35</v>
      </c>
    </row>
    <row r="421" spans="1:34" x14ac:dyDescent="0.3">
      <c r="A421" s="4">
        <v>449</v>
      </c>
      <c r="B421" s="5">
        <v>414</v>
      </c>
      <c r="C421">
        <v>15655</v>
      </c>
      <c r="D421" t="s">
        <v>7029</v>
      </c>
      <c r="E421" t="s">
        <v>328</v>
      </c>
      <c r="F421" t="s">
        <v>1225</v>
      </c>
      <c r="G421" t="s">
        <v>25960</v>
      </c>
      <c r="H421">
        <v>19.350000000000001</v>
      </c>
      <c r="I421">
        <v>0</v>
      </c>
      <c r="J421">
        <v>0</v>
      </c>
      <c r="K421">
        <v>0</v>
      </c>
      <c r="N421">
        <v>3</v>
      </c>
      <c r="O421">
        <v>3</v>
      </c>
      <c r="P421">
        <v>4</v>
      </c>
      <c r="Q421">
        <v>0</v>
      </c>
      <c r="R421">
        <v>26.35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H421">
        <v>26.35</v>
      </c>
    </row>
    <row r="422" spans="1:34" x14ac:dyDescent="0.3">
      <c r="A422" s="4">
        <v>450</v>
      </c>
      <c r="B422" s="5">
        <v>415</v>
      </c>
      <c r="C422">
        <v>6615</v>
      </c>
      <c r="D422" t="s">
        <v>23903</v>
      </c>
      <c r="E422" t="s">
        <v>4081</v>
      </c>
      <c r="F422" t="s">
        <v>117</v>
      </c>
      <c r="G422" t="s">
        <v>32078</v>
      </c>
      <c r="H422">
        <v>19.23</v>
      </c>
      <c r="I422">
        <v>0</v>
      </c>
      <c r="J422">
        <v>0</v>
      </c>
      <c r="K422">
        <v>0</v>
      </c>
      <c r="N422">
        <v>3</v>
      </c>
      <c r="O422">
        <v>3</v>
      </c>
      <c r="P422">
        <v>4</v>
      </c>
      <c r="Q422">
        <v>0</v>
      </c>
      <c r="R422">
        <v>26.23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H422">
        <v>26.23</v>
      </c>
    </row>
    <row r="423" spans="1:34" x14ac:dyDescent="0.3">
      <c r="A423" s="4">
        <v>451</v>
      </c>
      <c r="B423" s="5">
        <v>416</v>
      </c>
      <c r="C423">
        <v>6163</v>
      </c>
      <c r="D423" t="s">
        <v>6628</v>
      </c>
      <c r="E423" t="s">
        <v>29</v>
      </c>
      <c r="F423" t="s">
        <v>3705</v>
      </c>
      <c r="G423" t="s">
        <v>25961</v>
      </c>
      <c r="H423">
        <v>19.13</v>
      </c>
      <c r="I423">
        <v>0</v>
      </c>
      <c r="J423">
        <v>0</v>
      </c>
      <c r="K423">
        <v>0</v>
      </c>
      <c r="N423">
        <v>3</v>
      </c>
      <c r="O423">
        <v>3</v>
      </c>
      <c r="P423">
        <v>4</v>
      </c>
      <c r="Q423">
        <v>0</v>
      </c>
      <c r="R423">
        <v>26.13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H423">
        <v>26.13</v>
      </c>
    </row>
    <row r="424" spans="1:34" x14ac:dyDescent="0.3">
      <c r="A424" s="4">
        <v>452</v>
      </c>
      <c r="B424" s="5">
        <v>417</v>
      </c>
      <c r="C424">
        <v>15220</v>
      </c>
      <c r="D424" t="s">
        <v>25962</v>
      </c>
      <c r="E424" t="s">
        <v>26</v>
      </c>
      <c r="F424" t="s">
        <v>25963</v>
      </c>
      <c r="G424" t="s">
        <v>25964</v>
      </c>
      <c r="H424">
        <v>16.13</v>
      </c>
      <c r="I424">
        <v>0</v>
      </c>
      <c r="J424">
        <v>0</v>
      </c>
      <c r="K424">
        <v>0</v>
      </c>
      <c r="N424">
        <v>6</v>
      </c>
      <c r="O424">
        <v>6</v>
      </c>
      <c r="P424">
        <v>4</v>
      </c>
      <c r="Q424">
        <v>0</v>
      </c>
      <c r="R424">
        <v>26.13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H424">
        <v>26.13</v>
      </c>
    </row>
    <row r="425" spans="1:34" x14ac:dyDescent="0.3">
      <c r="A425" s="4">
        <v>453</v>
      </c>
      <c r="B425" s="5">
        <v>418</v>
      </c>
      <c r="C425">
        <v>10236</v>
      </c>
      <c r="D425" t="s">
        <v>25965</v>
      </c>
      <c r="E425" t="s">
        <v>149</v>
      </c>
      <c r="F425" t="s">
        <v>81</v>
      </c>
      <c r="G425" t="s">
        <v>25966</v>
      </c>
      <c r="H425">
        <v>15.13</v>
      </c>
      <c r="I425">
        <v>0</v>
      </c>
      <c r="J425">
        <v>0</v>
      </c>
      <c r="K425">
        <v>0</v>
      </c>
      <c r="L425">
        <v>7</v>
      </c>
      <c r="O425">
        <v>7</v>
      </c>
      <c r="P425">
        <v>4</v>
      </c>
      <c r="Q425">
        <v>0</v>
      </c>
      <c r="R425">
        <v>26.13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H425">
        <v>26.13</v>
      </c>
    </row>
    <row r="426" spans="1:34" x14ac:dyDescent="0.3">
      <c r="A426" s="4">
        <v>454</v>
      </c>
      <c r="B426" s="5">
        <v>419</v>
      </c>
      <c r="C426">
        <v>11841</v>
      </c>
      <c r="D426" t="s">
        <v>20913</v>
      </c>
      <c r="E426" t="s">
        <v>20</v>
      </c>
      <c r="F426" t="s">
        <v>17</v>
      </c>
      <c r="G426" t="s">
        <v>25967</v>
      </c>
      <c r="H426">
        <v>17.100000000000001</v>
      </c>
      <c r="I426">
        <v>0</v>
      </c>
      <c r="J426">
        <v>0</v>
      </c>
      <c r="K426">
        <v>0</v>
      </c>
      <c r="N426">
        <v>3</v>
      </c>
      <c r="O426">
        <v>3</v>
      </c>
      <c r="P426">
        <v>4</v>
      </c>
      <c r="Q426">
        <v>2</v>
      </c>
      <c r="R426">
        <v>26.1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H426">
        <v>26.1</v>
      </c>
    </row>
    <row r="427" spans="1:34" x14ac:dyDescent="0.3">
      <c r="A427" s="4">
        <v>455</v>
      </c>
      <c r="B427" s="5">
        <v>420</v>
      </c>
      <c r="C427">
        <v>13512</v>
      </c>
      <c r="D427" t="s">
        <v>74</v>
      </c>
      <c r="E427" t="s">
        <v>41</v>
      </c>
      <c r="F427" t="s">
        <v>17</v>
      </c>
      <c r="G427" t="s">
        <v>25968</v>
      </c>
      <c r="H427">
        <v>19.05</v>
      </c>
      <c r="I427">
        <v>0</v>
      </c>
      <c r="J427">
        <v>0</v>
      </c>
      <c r="K427">
        <v>0</v>
      </c>
      <c r="N427">
        <v>3</v>
      </c>
      <c r="O427">
        <v>3</v>
      </c>
      <c r="P427">
        <v>4</v>
      </c>
      <c r="Q427">
        <v>0</v>
      </c>
      <c r="R427">
        <v>26.05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H427">
        <v>26.05</v>
      </c>
    </row>
    <row r="428" spans="1:34" x14ac:dyDescent="0.3">
      <c r="A428" s="4">
        <v>456</v>
      </c>
      <c r="B428" s="5">
        <v>421</v>
      </c>
      <c r="C428">
        <v>5250</v>
      </c>
      <c r="D428" t="s">
        <v>25969</v>
      </c>
      <c r="E428" t="s">
        <v>25970</v>
      </c>
      <c r="F428" t="s">
        <v>25971</v>
      </c>
      <c r="G428" t="s">
        <v>25972</v>
      </c>
      <c r="H428">
        <v>19.03</v>
      </c>
      <c r="I428">
        <v>0</v>
      </c>
      <c r="J428">
        <v>0</v>
      </c>
      <c r="K428">
        <v>0</v>
      </c>
      <c r="N428">
        <v>3</v>
      </c>
      <c r="O428">
        <v>3</v>
      </c>
      <c r="P428">
        <v>4</v>
      </c>
      <c r="Q428">
        <v>0</v>
      </c>
      <c r="R428">
        <v>26.03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H428">
        <v>26.03</v>
      </c>
    </row>
    <row r="429" spans="1:34" x14ac:dyDescent="0.3">
      <c r="A429" s="4">
        <v>457</v>
      </c>
      <c r="B429" s="5">
        <v>422</v>
      </c>
      <c r="C429">
        <v>9775</v>
      </c>
      <c r="D429" t="s">
        <v>25973</v>
      </c>
      <c r="E429" t="s">
        <v>320</v>
      </c>
      <c r="F429" t="s">
        <v>91</v>
      </c>
      <c r="G429" t="s">
        <v>25974</v>
      </c>
      <c r="H429">
        <v>18.95</v>
      </c>
      <c r="I429">
        <v>0</v>
      </c>
      <c r="J429">
        <v>0</v>
      </c>
      <c r="K429">
        <v>0</v>
      </c>
      <c r="N429">
        <v>3</v>
      </c>
      <c r="O429">
        <v>3</v>
      </c>
      <c r="P429">
        <v>4</v>
      </c>
      <c r="Q429">
        <v>0</v>
      </c>
      <c r="R429">
        <v>25.95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H429">
        <v>25.95</v>
      </c>
    </row>
    <row r="430" spans="1:34" x14ac:dyDescent="0.3">
      <c r="A430" s="4">
        <v>458</v>
      </c>
      <c r="B430" s="5">
        <v>423</v>
      </c>
      <c r="C430">
        <v>5666</v>
      </c>
      <c r="D430" t="s">
        <v>2609</v>
      </c>
      <c r="E430" t="s">
        <v>161</v>
      </c>
      <c r="F430" t="s">
        <v>3130</v>
      </c>
      <c r="G430" t="s">
        <v>25975</v>
      </c>
      <c r="H430">
        <v>15.88</v>
      </c>
      <c r="I430">
        <v>0</v>
      </c>
      <c r="J430">
        <v>0</v>
      </c>
      <c r="K430">
        <v>0</v>
      </c>
      <c r="N430">
        <v>3</v>
      </c>
      <c r="O430">
        <v>3</v>
      </c>
      <c r="P430">
        <v>4</v>
      </c>
      <c r="Q430">
        <v>0</v>
      </c>
      <c r="R430">
        <v>22.88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3</v>
      </c>
      <c r="AC430">
        <v>0</v>
      </c>
      <c r="AH430">
        <v>25.88</v>
      </c>
    </row>
    <row r="431" spans="1:34" x14ac:dyDescent="0.3">
      <c r="A431" s="4">
        <v>459</v>
      </c>
      <c r="B431" s="5">
        <v>424</v>
      </c>
      <c r="C431">
        <v>15370</v>
      </c>
      <c r="D431" t="s">
        <v>25976</v>
      </c>
      <c r="E431" t="s">
        <v>213</v>
      </c>
      <c r="F431" t="s">
        <v>782</v>
      </c>
      <c r="H431">
        <v>18.88</v>
      </c>
      <c r="I431">
        <v>0</v>
      </c>
      <c r="J431">
        <v>0</v>
      </c>
      <c r="K431">
        <v>0</v>
      </c>
      <c r="N431">
        <v>3</v>
      </c>
      <c r="O431">
        <v>3</v>
      </c>
      <c r="P431">
        <v>4</v>
      </c>
      <c r="Q431">
        <v>0</v>
      </c>
      <c r="R431">
        <v>25.88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H431">
        <v>25.88</v>
      </c>
    </row>
    <row r="432" spans="1:34" x14ac:dyDescent="0.3">
      <c r="A432" s="4">
        <v>460</v>
      </c>
      <c r="B432" s="5">
        <v>425</v>
      </c>
      <c r="C432">
        <v>2103</v>
      </c>
      <c r="D432" t="s">
        <v>25977</v>
      </c>
      <c r="E432" t="s">
        <v>136</v>
      </c>
      <c r="F432" t="s">
        <v>570</v>
      </c>
      <c r="G432" t="s">
        <v>25978</v>
      </c>
      <c r="H432">
        <v>16.850000000000001</v>
      </c>
      <c r="I432">
        <v>0</v>
      </c>
      <c r="J432">
        <v>0</v>
      </c>
      <c r="K432">
        <v>0</v>
      </c>
      <c r="N432">
        <v>3</v>
      </c>
      <c r="O432">
        <v>3</v>
      </c>
      <c r="P432">
        <v>4</v>
      </c>
      <c r="Q432">
        <v>2</v>
      </c>
      <c r="R432">
        <v>25.85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H432">
        <v>25.85</v>
      </c>
    </row>
    <row r="433" spans="1:34" x14ac:dyDescent="0.3">
      <c r="A433" s="4">
        <v>461</v>
      </c>
      <c r="B433" s="5">
        <v>426</v>
      </c>
      <c r="C433">
        <v>10137</v>
      </c>
      <c r="D433" t="s">
        <v>25979</v>
      </c>
      <c r="E433" t="s">
        <v>25980</v>
      </c>
      <c r="F433" t="s">
        <v>521</v>
      </c>
      <c r="G433" t="s">
        <v>25981</v>
      </c>
      <c r="H433">
        <v>18.75</v>
      </c>
      <c r="I433">
        <v>0</v>
      </c>
      <c r="J433">
        <v>0</v>
      </c>
      <c r="K433">
        <v>0</v>
      </c>
      <c r="N433">
        <v>3</v>
      </c>
      <c r="O433">
        <v>3</v>
      </c>
      <c r="P433">
        <v>4</v>
      </c>
      <c r="Q433">
        <v>0</v>
      </c>
      <c r="R433">
        <v>25.75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H433">
        <v>25.75</v>
      </c>
    </row>
    <row r="434" spans="1:34" x14ac:dyDescent="0.3">
      <c r="A434" s="4">
        <v>462</v>
      </c>
      <c r="B434" s="5">
        <v>427</v>
      </c>
      <c r="C434">
        <v>8965</v>
      </c>
      <c r="D434" t="s">
        <v>5674</v>
      </c>
      <c r="E434" t="s">
        <v>29</v>
      </c>
      <c r="F434" t="s">
        <v>158</v>
      </c>
      <c r="G434" t="s">
        <v>25982</v>
      </c>
      <c r="H434">
        <v>18.75</v>
      </c>
      <c r="I434">
        <v>0</v>
      </c>
      <c r="J434">
        <v>0</v>
      </c>
      <c r="K434">
        <v>0</v>
      </c>
      <c r="N434">
        <v>3</v>
      </c>
      <c r="O434">
        <v>3</v>
      </c>
      <c r="P434">
        <v>4</v>
      </c>
      <c r="Q434">
        <v>0</v>
      </c>
      <c r="R434">
        <v>25.75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H434">
        <v>25.75</v>
      </c>
    </row>
    <row r="435" spans="1:34" x14ac:dyDescent="0.3">
      <c r="A435" s="4">
        <v>463</v>
      </c>
      <c r="B435" s="5">
        <v>428</v>
      </c>
      <c r="C435">
        <v>5735</v>
      </c>
      <c r="D435" t="s">
        <v>25983</v>
      </c>
      <c r="E435" t="s">
        <v>17</v>
      </c>
      <c r="F435" t="s">
        <v>30</v>
      </c>
      <c r="G435" t="s">
        <v>25984</v>
      </c>
      <c r="H435">
        <v>16.75</v>
      </c>
      <c r="I435">
        <v>0</v>
      </c>
      <c r="J435">
        <v>0</v>
      </c>
      <c r="K435">
        <v>0</v>
      </c>
      <c r="M435">
        <v>5</v>
      </c>
      <c r="O435">
        <v>5</v>
      </c>
      <c r="P435">
        <v>4</v>
      </c>
      <c r="Q435">
        <v>0</v>
      </c>
      <c r="R435">
        <v>25.75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H435">
        <v>25.75</v>
      </c>
    </row>
    <row r="436" spans="1:34" x14ac:dyDescent="0.3">
      <c r="A436" s="4">
        <v>464</v>
      </c>
      <c r="B436" s="5">
        <v>429</v>
      </c>
      <c r="C436">
        <v>638</v>
      </c>
      <c r="D436" t="s">
        <v>25985</v>
      </c>
      <c r="E436" t="s">
        <v>38</v>
      </c>
      <c r="F436" t="s">
        <v>136</v>
      </c>
      <c r="G436" t="s">
        <v>25986</v>
      </c>
      <c r="H436">
        <v>20.73</v>
      </c>
      <c r="I436">
        <v>0</v>
      </c>
      <c r="J436">
        <v>0</v>
      </c>
      <c r="K436">
        <v>0</v>
      </c>
      <c r="M436">
        <v>5</v>
      </c>
      <c r="O436">
        <v>5</v>
      </c>
      <c r="P436">
        <v>0</v>
      </c>
      <c r="Q436">
        <v>0</v>
      </c>
      <c r="R436">
        <v>25.73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H436">
        <v>25.73</v>
      </c>
    </row>
    <row r="437" spans="1:34" x14ac:dyDescent="0.3">
      <c r="A437" s="4">
        <v>465</v>
      </c>
      <c r="B437" s="5">
        <v>430</v>
      </c>
      <c r="C437">
        <v>2979</v>
      </c>
      <c r="D437" t="s">
        <v>25987</v>
      </c>
      <c r="E437" t="s">
        <v>6507</v>
      </c>
      <c r="F437" t="s">
        <v>17</v>
      </c>
      <c r="G437" t="s">
        <v>25988</v>
      </c>
      <c r="H437">
        <v>18.68</v>
      </c>
      <c r="I437">
        <v>0</v>
      </c>
      <c r="J437">
        <v>0</v>
      </c>
      <c r="K437">
        <v>0</v>
      </c>
      <c r="N437">
        <v>3</v>
      </c>
      <c r="O437">
        <v>3</v>
      </c>
      <c r="P437">
        <v>4</v>
      </c>
      <c r="Q437">
        <v>0</v>
      </c>
      <c r="R437">
        <v>25.68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H437">
        <v>25.68</v>
      </c>
    </row>
    <row r="438" spans="1:34" x14ac:dyDescent="0.3">
      <c r="A438" s="4">
        <v>466</v>
      </c>
      <c r="B438" s="5">
        <v>431</v>
      </c>
      <c r="C438">
        <v>9657</v>
      </c>
      <c r="D438" t="s">
        <v>25989</v>
      </c>
      <c r="E438" t="s">
        <v>37</v>
      </c>
      <c r="F438" t="s">
        <v>38</v>
      </c>
      <c r="G438" t="s">
        <v>25990</v>
      </c>
      <c r="H438">
        <v>18.649999999999999</v>
      </c>
      <c r="I438">
        <v>0</v>
      </c>
      <c r="J438">
        <v>0</v>
      </c>
      <c r="K438">
        <v>0</v>
      </c>
      <c r="N438">
        <v>3</v>
      </c>
      <c r="O438">
        <v>3</v>
      </c>
      <c r="P438">
        <v>4</v>
      </c>
      <c r="Q438">
        <v>0</v>
      </c>
      <c r="R438">
        <v>25.65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H438">
        <v>25.65</v>
      </c>
    </row>
    <row r="439" spans="1:34" x14ac:dyDescent="0.3">
      <c r="A439" s="4">
        <v>467</v>
      </c>
      <c r="B439" s="5">
        <v>432</v>
      </c>
      <c r="C439">
        <v>15184</v>
      </c>
      <c r="D439" t="s">
        <v>25991</v>
      </c>
      <c r="E439" t="s">
        <v>26</v>
      </c>
      <c r="F439" t="s">
        <v>38</v>
      </c>
      <c r="G439" t="s">
        <v>25992</v>
      </c>
      <c r="H439">
        <v>18.63</v>
      </c>
      <c r="I439">
        <v>0</v>
      </c>
      <c r="J439">
        <v>0</v>
      </c>
      <c r="K439">
        <v>0</v>
      </c>
      <c r="L439">
        <v>7</v>
      </c>
      <c r="O439">
        <v>7</v>
      </c>
      <c r="P439">
        <v>0</v>
      </c>
      <c r="Q439">
        <v>0</v>
      </c>
      <c r="R439">
        <v>25.63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H439">
        <v>25.63</v>
      </c>
    </row>
    <row r="440" spans="1:34" x14ac:dyDescent="0.3">
      <c r="A440" s="4">
        <v>468</v>
      </c>
      <c r="B440" s="5">
        <v>433</v>
      </c>
      <c r="C440">
        <v>1204</v>
      </c>
      <c r="D440" t="s">
        <v>25993</v>
      </c>
      <c r="E440" t="s">
        <v>20</v>
      </c>
      <c r="F440" t="s">
        <v>17</v>
      </c>
      <c r="G440" t="s">
        <v>25994</v>
      </c>
      <c r="H440">
        <v>18.579999999999998</v>
      </c>
      <c r="I440">
        <v>0</v>
      </c>
      <c r="J440">
        <v>0</v>
      </c>
      <c r="K440">
        <v>0</v>
      </c>
      <c r="N440">
        <v>3</v>
      </c>
      <c r="O440">
        <v>3</v>
      </c>
      <c r="P440">
        <v>4</v>
      </c>
      <c r="Q440">
        <v>0</v>
      </c>
      <c r="R440">
        <v>25.58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H440">
        <v>25.58</v>
      </c>
    </row>
    <row r="441" spans="1:34" x14ac:dyDescent="0.3">
      <c r="A441" s="4">
        <v>469</v>
      </c>
      <c r="B441" s="5">
        <v>434</v>
      </c>
      <c r="C441">
        <v>1352</v>
      </c>
      <c r="D441" t="s">
        <v>25995</v>
      </c>
      <c r="E441" t="s">
        <v>20</v>
      </c>
      <c r="F441" t="s">
        <v>136</v>
      </c>
      <c r="G441" t="s">
        <v>25996</v>
      </c>
      <c r="H441">
        <v>16.399999999999999</v>
      </c>
      <c r="I441">
        <v>0</v>
      </c>
      <c r="J441">
        <v>0</v>
      </c>
      <c r="K441">
        <v>0</v>
      </c>
      <c r="N441">
        <v>3</v>
      </c>
      <c r="O441">
        <v>3</v>
      </c>
      <c r="P441">
        <v>4</v>
      </c>
      <c r="Q441">
        <v>2</v>
      </c>
      <c r="R441">
        <v>25.4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H441">
        <v>25.4</v>
      </c>
    </row>
    <row r="442" spans="1:34" x14ac:dyDescent="0.3">
      <c r="A442" s="4">
        <v>470</v>
      </c>
      <c r="B442" s="5">
        <v>435</v>
      </c>
      <c r="C442">
        <v>4273</v>
      </c>
      <c r="D442" t="s">
        <v>25997</v>
      </c>
      <c r="E442" t="s">
        <v>178</v>
      </c>
      <c r="F442" t="s">
        <v>892</v>
      </c>
      <c r="G442" t="s">
        <v>25998</v>
      </c>
      <c r="H442">
        <v>15.38</v>
      </c>
      <c r="I442">
        <v>0</v>
      </c>
      <c r="J442">
        <v>0</v>
      </c>
      <c r="K442">
        <v>0</v>
      </c>
      <c r="O442">
        <v>0</v>
      </c>
      <c r="P442">
        <v>4</v>
      </c>
      <c r="Q442">
        <v>0</v>
      </c>
      <c r="R442">
        <v>19.38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6</v>
      </c>
      <c r="AC442">
        <v>0</v>
      </c>
      <c r="AH442">
        <v>25.38</v>
      </c>
    </row>
    <row r="443" spans="1:34" x14ac:dyDescent="0.3">
      <c r="A443" s="4">
        <v>471</v>
      </c>
      <c r="B443" s="5">
        <v>436</v>
      </c>
      <c r="C443">
        <v>4849</v>
      </c>
      <c r="D443" t="s">
        <v>8920</v>
      </c>
      <c r="E443" t="s">
        <v>744</v>
      </c>
      <c r="F443" t="s">
        <v>68</v>
      </c>
      <c r="G443" t="s">
        <v>25999</v>
      </c>
      <c r="H443">
        <v>18.350000000000001</v>
      </c>
      <c r="I443">
        <v>0</v>
      </c>
      <c r="J443">
        <v>0</v>
      </c>
      <c r="K443">
        <v>0</v>
      </c>
      <c r="O443">
        <v>0</v>
      </c>
      <c r="P443">
        <v>4</v>
      </c>
      <c r="Q443">
        <v>0</v>
      </c>
      <c r="R443">
        <v>22.35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3</v>
      </c>
      <c r="AC443">
        <v>0</v>
      </c>
      <c r="AH443">
        <v>25.35</v>
      </c>
    </row>
    <row r="444" spans="1:34" x14ac:dyDescent="0.3">
      <c r="A444" s="4">
        <v>472</v>
      </c>
      <c r="B444" s="5">
        <v>437</v>
      </c>
      <c r="C444">
        <v>6210</v>
      </c>
      <c r="D444" t="s">
        <v>26000</v>
      </c>
      <c r="E444" t="s">
        <v>20</v>
      </c>
      <c r="F444" t="s">
        <v>17</v>
      </c>
      <c r="G444" t="s">
        <v>26001</v>
      </c>
      <c r="H444">
        <v>18.3</v>
      </c>
      <c r="I444">
        <v>0</v>
      </c>
      <c r="J444">
        <v>0</v>
      </c>
      <c r="K444">
        <v>0</v>
      </c>
      <c r="N444">
        <v>3</v>
      </c>
      <c r="O444">
        <v>3</v>
      </c>
      <c r="P444">
        <v>4</v>
      </c>
      <c r="Q444">
        <v>0</v>
      </c>
      <c r="R444">
        <v>25.3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H444">
        <v>25.3</v>
      </c>
    </row>
    <row r="445" spans="1:34" x14ac:dyDescent="0.3">
      <c r="A445" s="4">
        <v>473</v>
      </c>
      <c r="B445" s="5">
        <v>438</v>
      </c>
      <c r="C445">
        <v>14795</v>
      </c>
      <c r="D445" t="s">
        <v>26002</v>
      </c>
      <c r="E445" t="s">
        <v>54</v>
      </c>
      <c r="F445" t="s">
        <v>375</v>
      </c>
      <c r="G445" t="s">
        <v>26003</v>
      </c>
      <c r="H445">
        <v>18.3</v>
      </c>
      <c r="I445">
        <v>0</v>
      </c>
      <c r="J445">
        <v>0</v>
      </c>
      <c r="K445">
        <v>0</v>
      </c>
      <c r="L445">
        <v>7</v>
      </c>
      <c r="O445">
        <v>7</v>
      </c>
      <c r="P445">
        <v>0</v>
      </c>
      <c r="Q445">
        <v>0</v>
      </c>
      <c r="R445">
        <v>25.3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H445">
        <v>25.3</v>
      </c>
    </row>
    <row r="446" spans="1:34" x14ac:dyDescent="0.3">
      <c r="A446" s="4">
        <v>474</v>
      </c>
      <c r="B446" s="5">
        <v>439</v>
      </c>
      <c r="C446">
        <v>2815</v>
      </c>
      <c r="D446" t="s">
        <v>4603</v>
      </c>
      <c r="E446" t="s">
        <v>219</v>
      </c>
      <c r="F446" t="s">
        <v>1854</v>
      </c>
      <c r="G446" t="s">
        <v>26004</v>
      </c>
      <c r="H446">
        <v>16.3</v>
      </c>
      <c r="I446">
        <v>0</v>
      </c>
      <c r="J446">
        <v>0</v>
      </c>
      <c r="K446">
        <v>0</v>
      </c>
      <c r="M446">
        <v>5</v>
      </c>
      <c r="O446">
        <v>5</v>
      </c>
      <c r="P446">
        <v>4</v>
      </c>
      <c r="Q446">
        <v>0</v>
      </c>
      <c r="R446">
        <v>25.3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H446">
        <v>25.3</v>
      </c>
    </row>
    <row r="447" spans="1:34" x14ac:dyDescent="0.3">
      <c r="A447" s="4">
        <v>475</v>
      </c>
      <c r="B447" s="5">
        <v>440</v>
      </c>
      <c r="C447">
        <v>9414</v>
      </c>
      <c r="D447" t="s">
        <v>221</v>
      </c>
      <c r="E447" t="s">
        <v>37</v>
      </c>
      <c r="F447" t="s">
        <v>68</v>
      </c>
      <c r="G447" t="s">
        <v>26005</v>
      </c>
      <c r="H447">
        <v>15.23</v>
      </c>
      <c r="I447">
        <v>0</v>
      </c>
      <c r="J447">
        <v>0</v>
      </c>
      <c r="K447">
        <v>0</v>
      </c>
      <c r="O447">
        <v>0</v>
      </c>
      <c r="P447">
        <v>4</v>
      </c>
      <c r="Q447">
        <v>0</v>
      </c>
      <c r="R447">
        <v>19.23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6</v>
      </c>
      <c r="AC447">
        <v>0</v>
      </c>
      <c r="AH447">
        <v>25.23</v>
      </c>
    </row>
    <row r="448" spans="1:34" x14ac:dyDescent="0.3">
      <c r="A448" s="4">
        <v>476</v>
      </c>
      <c r="B448" s="5">
        <v>441</v>
      </c>
      <c r="C448">
        <v>4664</v>
      </c>
      <c r="D448" t="s">
        <v>8673</v>
      </c>
      <c r="E448" t="s">
        <v>1171</v>
      </c>
      <c r="F448" t="s">
        <v>17</v>
      </c>
      <c r="G448" t="s">
        <v>26006</v>
      </c>
      <c r="H448">
        <v>16.18</v>
      </c>
      <c r="I448">
        <v>0</v>
      </c>
      <c r="J448">
        <v>0</v>
      </c>
      <c r="K448">
        <v>0</v>
      </c>
      <c r="N448">
        <v>3</v>
      </c>
      <c r="O448">
        <v>3</v>
      </c>
      <c r="P448">
        <v>4</v>
      </c>
      <c r="Q448">
        <v>2</v>
      </c>
      <c r="R448">
        <v>25.18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H448">
        <v>25.18</v>
      </c>
    </row>
    <row r="449" spans="1:34" x14ac:dyDescent="0.3">
      <c r="A449" s="4">
        <v>477</v>
      </c>
      <c r="B449" s="5">
        <v>442</v>
      </c>
      <c r="C449">
        <v>8881</v>
      </c>
      <c r="D449" t="s">
        <v>6556</v>
      </c>
      <c r="E449" t="s">
        <v>173</v>
      </c>
      <c r="F449" t="s">
        <v>38</v>
      </c>
      <c r="G449" t="s">
        <v>26007</v>
      </c>
      <c r="H449">
        <v>18.03</v>
      </c>
      <c r="I449">
        <v>0</v>
      </c>
      <c r="J449">
        <v>0</v>
      </c>
      <c r="K449">
        <v>0</v>
      </c>
      <c r="N449">
        <v>3</v>
      </c>
      <c r="O449">
        <v>3</v>
      </c>
      <c r="P449">
        <v>4</v>
      </c>
      <c r="Q449">
        <v>0</v>
      </c>
      <c r="R449">
        <v>25.03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H449">
        <v>25.03</v>
      </c>
    </row>
    <row r="450" spans="1:34" x14ac:dyDescent="0.3">
      <c r="A450" s="4">
        <v>478</v>
      </c>
      <c r="B450" s="5">
        <v>443</v>
      </c>
      <c r="C450">
        <v>14088</v>
      </c>
      <c r="D450" t="s">
        <v>21158</v>
      </c>
      <c r="E450" t="s">
        <v>29</v>
      </c>
      <c r="F450" t="s">
        <v>68</v>
      </c>
      <c r="G450" t="s">
        <v>26008</v>
      </c>
      <c r="H450">
        <v>19</v>
      </c>
      <c r="I450">
        <v>0</v>
      </c>
      <c r="J450">
        <v>0</v>
      </c>
      <c r="K450">
        <v>0</v>
      </c>
      <c r="N450">
        <v>3</v>
      </c>
      <c r="O450">
        <v>3</v>
      </c>
      <c r="P450">
        <v>0</v>
      </c>
      <c r="Q450">
        <v>0</v>
      </c>
      <c r="R450">
        <v>22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3</v>
      </c>
      <c r="AC450">
        <v>0</v>
      </c>
      <c r="AH450">
        <v>25</v>
      </c>
    </row>
    <row r="451" spans="1:34" x14ac:dyDescent="0.3">
      <c r="A451" s="4">
        <v>479</v>
      </c>
      <c r="B451" s="5">
        <v>444</v>
      </c>
      <c r="C451">
        <v>13648</v>
      </c>
      <c r="D451" t="s">
        <v>26009</v>
      </c>
      <c r="E451" t="s">
        <v>26010</v>
      </c>
      <c r="F451" t="s">
        <v>25180</v>
      </c>
      <c r="G451" t="s">
        <v>26011</v>
      </c>
      <c r="H451">
        <v>18</v>
      </c>
      <c r="I451">
        <v>0</v>
      </c>
      <c r="J451">
        <v>0</v>
      </c>
      <c r="K451">
        <v>0</v>
      </c>
      <c r="N451">
        <v>3</v>
      </c>
      <c r="O451">
        <v>3</v>
      </c>
      <c r="P451">
        <v>4</v>
      </c>
      <c r="Q451">
        <v>0</v>
      </c>
      <c r="R451">
        <v>25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H451">
        <v>25</v>
      </c>
    </row>
    <row r="452" spans="1:34" x14ac:dyDescent="0.3">
      <c r="A452" s="4">
        <v>480</v>
      </c>
      <c r="B452" s="5">
        <v>445</v>
      </c>
      <c r="C452">
        <v>5764</v>
      </c>
      <c r="D452" t="s">
        <v>1078</v>
      </c>
      <c r="E452" t="s">
        <v>147</v>
      </c>
      <c r="F452" t="s">
        <v>17</v>
      </c>
      <c r="G452" t="s">
        <v>26012</v>
      </c>
      <c r="H452">
        <v>17.899999999999999</v>
      </c>
      <c r="I452">
        <v>0</v>
      </c>
      <c r="J452">
        <v>0</v>
      </c>
      <c r="K452">
        <v>0</v>
      </c>
      <c r="N452">
        <v>3</v>
      </c>
      <c r="O452">
        <v>3</v>
      </c>
      <c r="P452">
        <v>4</v>
      </c>
      <c r="Q452">
        <v>0</v>
      </c>
      <c r="R452">
        <v>24.9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H452">
        <v>24.9</v>
      </c>
    </row>
    <row r="453" spans="1:34" x14ac:dyDescent="0.3">
      <c r="A453" s="4">
        <v>481</v>
      </c>
      <c r="B453" s="5">
        <v>446</v>
      </c>
      <c r="C453">
        <v>12885</v>
      </c>
      <c r="D453" t="s">
        <v>26013</v>
      </c>
      <c r="E453" t="s">
        <v>54</v>
      </c>
      <c r="F453" t="s">
        <v>136</v>
      </c>
      <c r="G453" t="s">
        <v>26014</v>
      </c>
      <c r="H453">
        <v>15.78</v>
      </c>
      <c r="I453">
        <v>0</v>
      </c>
      <c r="J453">
        <v>0</v>
      </c>
      <c r="K453">
        <v>0</v>
      </c>
      <c r="N453">
        <v>3</v>
      </c>
      <c r="O453">
        <v>3</v>
      </c>
      <c r="P453">
        <v>0</v>
      </c>
      <c r="Q453">
        <v>0</v>
      </c>
      <c r="R453">
        <v>18.78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6</v>
      </c>
      <c r="AC453">
        <v>0</v>
      </c>
      <c r="AH453">
        <v>24.78</v>
      </c>
    </row>
    <row r="454" spans="1:34" x14ac:dyDescent="0.3">
      <c r="A454" s="4">
        <v>482</v>
      </c>
      <c r="B454" s="5">
        <v>447</v>
      </c>
      <c r="C454">
        <v>13803</v>
      </c>
      <c r="D454" t="s">
        <v>11146</v>
      </c>
      <c r="E454" t="s">
        <v>188</v>
      </c>
      <c r="F454" t="s">
        <v>972</v>
      </c>
      <c r="G454" t="s">
        <v>26015</v>
      </c>
      <c r="H454">
        <v>20.78</v>
      </c>
      <c r="I454">
        <v>0</v>
      </c>
      <c r="J454">
        <v>0</v>
      </c>
      <c r="K454">
        <v>0</v>
      </c>
      <c r="O454">
        <v>0</v>
      </c>
      <c r="P454">
        <v>4</v>
      </c>
      <c r="Q454">
        <v>0</v>
      </c>
      <c r="R454">
        <v>24.78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H454">
        <v>24.78</v>
      </c>
    </row>
    <row r="455" spans="1:34" x14ac:dyDescent="0.3">
      <c r="A455" s="4">
        <v>483</v>
      </c>
      <c r="B455" s="5">
        <v>448</v>
      </c>
      <c r="C455">
        <v>5489</v>
      </c>
      <c r="D455" t="s">
        <v>12703</v>
      </c>
      <c r="E455" t="s">
        <v>37</v>
      </c>
      <c r="F455" t="s">
        <v>38</v>
      </c>
      <c r="G455" t="s">
        <v>26016</v>
      </c>
      <c r="H455">
        <v>17.78</v>
      </c>
      <c r="I455">
        <v>0</v>
      </c>
      <c r="J455">
        <v>0</v>
      </c>
      <c r="K455">
        <v>0</v>
      </c>
      <c r="L455">
        <v>7</v>
      </c>
      <c r="O455">
        <v>7</v>
      </c>
      <c r="P455">
        <v>0</v>
      </c>
      <c r="Q455">
        <v>0</v>
      </c>
      <c r="R455">
        <v>24.78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H455">
        <v>24.78</v>
      </c>
    </row>
    <row r="456" spans="1:34" x14ac:dyDescent="0.3">
      <c r="A456" s="4">
        <v>484</v>
      </c>
      <c r="B456" s="5">
        <v>449</v>
      </c>
      <c r="C456">
        <v>9723</v>
      </c>
      <c r="D456" t="s">
        <v>26017</v>
      </c>
      <c r="E456" t="s">
        <v>442</v>
      </c>
      <c r="F456" t="s">
        <v>34</v>
      </c>
      <c r="G456" t="s">
        <v>26018</v>
      </c>
      <c r="H456">
        <v>17.78</v>
      </c>
      <c r="I456">
        <v>0</v>
      </c>
      <c r="J456">
        <v>0</v>
      </c>
      <c r="K456">
        <v>0</v>
      </c>
      <c r="N456">
        <v>3</v>
      </c>
      <c r="O456">
        <v>3</v>
      </c>
      <c r="P456">
        <v>4</v>
      </c>
      <c r="Q456">
        <v>0</v>
      </c>
      <c r="R456">
        <v>24.78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H456">
        <v>24.78</v>
      </c>
    </row>
    <row r="457" spans="1:34" x14ac:dyDescent="0.3">
      <c r="A457" s="4">
        <v>485</v>
      </c>
      <c r="B457" s="5">
        <v>450</v>
      </c>
      <c r="C457">
        <v>12915</v>
      </c>
      <c r="D457" t="s">
        <v>410</v>
      </c>
      <c r="E457" t="s">
        <v>88</v>
      </c>
      <c r="F457" t="s">
        <v>425</v>
      </c>
      <c r="G457" t="s">
        <v>26019</v>
      </c>
      <c r="H457">
        <v>17.7</v>
      </c>
      <c r="I457">
        <v>0</v>
      </c>
      <c r="J457">
        <v>0</v>
      </c>
      <c r="K457">
        <v>0</v>
      </c>
      <c r="N457">
        <v>3</v>
      </c>
      <c r="O457">
        <v>3</v>
      </c>
      <c r="P457">
        <v>4</v>
      </c>
      <c r="Q457">
        <v>0</v>
      </c>
      <c r="R457">
        <v>24.7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H457">
        <v>24.7</v>
      </c>
    </row>
    <row r="458" spans="1:34" x14ac:dyDescent="0.3">
      <c r="A458" s="4">
        <v>486</v>
      </c>
      <c r="B458" s="5">
        <v>451</v>
      </c>
      <c r="C458">
        <v>8422</v>
      </c>
      <c r="D458" t="s">
        <v>26020</v>
      </c>
      <c r="E458" t="s">
        <v>471</v>
      </c>
      <c r="F458" t="s">
        <v>38</v>
      </c>
      <c r="G458" t="s">
        <v>26021</v>
      </c>
      <c r="H458">
        <v>17.5</v>
      </c>
      <c r="I458">
        <v>0</v>
      </c>
      <c r="J458">
        <v>0</v>
      </c>
      <c r="K458">
        <v>0</v>
      </c>
      <c r="N458">
        <v>3</v>
      </c>
      <c r="O458">
        <v>3</v>
      </c>
      <c r="P458">
        <v>4</v>
      </c>
      <c r="Q458">
        <v>0</v>
      </c>
      <c r="R458">
        <v>24.5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H458">
        <v>24.5</v>
      </c>
    </row>
    <row r="459" spans="1:34" x14ac:dyDescent="0.3">
      <c r="A459" s="4">
        <v>487</v>
      </c>
      <c r="B459" s="5">
        <v>452</v>
      </c>
      <c r="C459">
        <v>13841</v>
      </c>
      <c r="D459" t="s">
        <v>554</v>
      </c>
      <c r="E459" t="s">
        <v>479</v>
      </c>
      <c r="F459" t="s">
        <v>2333</v>
      </c>
      <c r="G459" t="s">
        <v>26022</v>
      </c>
      <c r="H459">
        <v>17.45</v>
      </c>
      <c r="I459">
        <v>0</v>
      </c>
      <c r="J459">
        <v>0</v>
      </c>
      <c r="K459">
        <v>0</v>
      </c>
      <c r="N459">
        <v>3</v>
      </c>
      <c r="O459">
        <v>3</v>
      </c>
      <c r="P459">
        <v>4</v>
      </c>
      <c r="Q459">
        <v>0</v>
      </c>
      <c r="R459">
        <v>24.45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H459">
        <v>24.45</v>
      </c>
    </row>
    <row r="460" spans="1:34" x14ac:dyDescent="0.3">
      <c r="A460" s="4">
        <v>488</v>
      </c>
      <c r="B460" s="5">
        <v>453</v>
      </c>
      <c r="C460">
        <v>14014</v>
      </c>
      <c r="D460" t="s">
        <v>410</v>
      </c>
      <c r="E460" t="s">
        <v>3964</v>
      </c>
      <c r="F460" t="s">
        <v>343</v>
      </c>
      <c r="H460">
        <v>17.350000000000001</v>
      </c>
      <c r="I460">
        <v>0</v>
      </c>
      <c r="J460">
        <v>0</v>
      </c>
      <c r="K460">
        <v>0</v>
      </c>
      <c r="L460">
        <v>7</v>
      </c>
      <c r="O460">
        <v>7</v>
      </c>
      <c r="P460">
        <v>0</v>
      </c>
      <c r="Q460">
        <v>0</v>
      </c>
      <c r="R460">
        <v>24.35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H460">
        <v>24.35</v>
      </c>
    </row>
    <row r="461" spans="1:34" x14ac:dyDescent="0.3">
      <c r="A461" s="4">
        <v>489</v>
      </c>
      <c r="B461" s="5">
        <v>454</v>
      </c>
      <c r="C461">
        <v>9782</v>
      </c>
      <c r="D461" t="s">
        <v>26023</v>
      </c>
      <c r="E461" t="s">
        <v>26024</v>
      </c>
      <c r="F461" t="s">
        <v>17</v>
      </c>
      <c r="G461" t="s">
        <v>26025</v>
      </c>
      <c r="H461">
        <v>18.28</v>
      </c>
      <c r="I461">
        <v>0</v>
      </c>
      <c r="J461">
        <v>0</v>
      </c>
      <c r="K461">
        <v>0</v>
      </c>
      <c r="N461">
        <v>3</v>
      </c>
      <c r="O461">
        <v>3</v>
      </c>
      <c r="P461">
        <v>0</v>
      </c>
      <c r="Q461">
        <v>0</v>
      </c>
      <c r="R461">
        <v>21.28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3</v>
      </c>
      <c r="AC461">
        <v>0</v>
      </c>
      <c r="AH461">
        <v>24.28</v>
      </c>
    </row>
    <row r="462" spans="1:34" x14ac:dyDescent="0.3">
      <c r="A462" s="4">
        <v>490</v>
      </c>
      <c r="B462" s="5">
        <v>455</v>
      </c>
      <c r="C462">
        <v>5458</v>
      </c>
      <c r="D462" t="s">
        <v>26026</v>
      </c>
      <c r="E462" t="s">
        <v>54</v>
      </c>
      <c r="F462" t="s">
        <v>1000</v>
      </c>
      <c r="G462" t="s">
        <v>26027</v>
      </c>
      <c r="H462">
        <v>17.25</v>
      </c>
      <c r="I462">
        <v>0</v>
      </c>
      <c r="J462">
        <v>0</v>
      </c>
      <c r="K462">
        <v>0</v>
      </c>
      <c r="N462">
        <v>3</v>
      </c>
      <c r="O462">
        <v>3</v>
      </c>
      <c r="P462">
        <v>4</v>
      </c>
      <c r="Q462">
        <v>0</v>
      </c>
      <c r="R462">
        <v>24.25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H462">
        <v>24.25</v>
      </c>
    </row>
    <row r="463" spans="1:34" x14ac:dyDescent="0.3">
      <c r="A463" s="4">
        <v>491</v>
      </c>
      <c r="B463" s="5">
        <v>456</v>
      </c>
      <c r="C463">
        <v>5745</v>
      </c>
      <c r="D463" t="s">
        <v>26028</v>
      </c>
      <c r="E463" t="s">
        <v>29</v>
      </c>
      <c r="F463" t="s">
        <v>17</v>
      </c>
      <c r="G463" t="s">
        <v>26029</v>
      </c>
      <c r="H463">
        <v>17.25</v>
      </c>
      <c r="I463">
        <v>0</v>
      </c>
      <c r="J463">
        <v>0</v>
      </c>
      <c r="K463">
        <v>0</v>
      </c>
      <c r="N463">
        <v>3</v>
      </c>
      <c r="O463">
        <v>3</v>
      </c>
      <c r="P463">
        <v>4</v>
      </c>
      <c r="Q463">
        <v>0</v>
      </c>
      <c r="R463">
        <v>24.25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H463">
        <v>24.25</v>
      </c>
    </row>
    <row r="464" spans="1:34" x14ac:dyDescent="0.3">
      <c r="A464" s="4">
        <v>492</v>
      </c>
      <c r="B464" s="5">
        <v>457</v>
      </c>
      <c r="C464">
        <v>4122</v>
      </c>
      <c r="D464" t="s">
        <v>1304</v>
      </c>
      <c r="E464" t="s">
        <v>188</v>
      </c>
      <c r="F464" t="s">
        <v>30</v>
      </c>
      <c r="G464" t="s">
        <v>26030</v>
      </c>
      <c r="H464">
        <v>17.03</v>
      </c>
      <c r="I464">
        <v>0</v>
      </c>
      <c r="J464">
        <v>0</v>
      </c>
      <c r="K464">
        <v>0</v>
      </c>
      <c r="N464">
        <v>3</v>
      </c>
      <c r="O464">
        <v>3</v>
      </c>
      <c r="P464">
        <v>4</v>
      </c>
      <c r="Q464">
        <v>0</v>
      </c>
      <c r="R464">
        <v>24.03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H464">
        <v>24.03</v>
      </c>
    </row>
    <row r="465" spans="1:34" x14ac:dyDescent="0.3">
      <c r="A465" s="4">
        <v>493</v>
      </c>
      <c r="B465" s="5">
        <v>458</v>
      </c>
      <c r="C465">
        <v>3927</v>
      </c>
      <c r="D465" t="s">
        <v>25993</v>
      </c>
      <c r="E465" t="s">
        <v>117</v>
      </c>
      <c r="F465" t="s">
        <v>17</v>
      </c>
      <c r="G465" t="s">
        <v>26031</v>
      </c>
      <c r="H465">
        <v>16.649999999999999</v>
      </c>
      <c r="I465">
        <v>0</v>
      </c>
      <c r="J465">
        <v>0</v>
      </c>
      <c r="K465">
        <v>0</v>
      </c>
      <c r="L465">
        <v>7</v>
      </c>
      <c r="O465">
        <v>7</v>
      </c>
      <c r="P465">
        <v>0</v>
      </c>
      <c r="Q465">
        <v>0</v>
      </c>
      <c r="R465">
        <v>23.65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H465">
        <v>23.65</v>
      </c>
    </row>
    <row r="466" spans="1:34" x14ac:dyDescent="0.3">
      <c r="A466" s="4">
        <v>494</v>
      </c>
      <c r="B466" s="5">
        <v>459</v>
      </c>
      <c r="C466">
        <v>14232</v>
      </c>
      <c r="D466" t="s">
        <v>26032</v>
      </c>
      <c r="E466" t="s">
        <v>283</v>
      </c>
      <c r="F466" t="s">
        <v>81</v>
      </c>
      <c r="G466" t="s">
        <v>26033</v>
      </c>
      <c r="H466">
        <v>18.53</v>
      </c>
      <c r="I466">
        <v>0</v>
      </c>
      <c r="J466">
        <v>0</v>
      </c>
      <c r="K466">
        <v>0</v>
      </c>
      <c r="N466">
        <v>3</v>
      </c>
      <c r="O466">
        <v>3</v>
      </c>
      <c r="P466">
        <v>0</v>
      </c>
      <c r="Q466">
        <v>2</v>
      </c>
      <c r="R466">
        <v>23.53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H466">
        <v>23.53</v>
      </c>
    </row>
    <row r="467" spans="1:34" x14ac:dyDescent="0.3">
      <c r="A467" s="4">
        <v>495</v>
      </c>
      <c r="B467" s="5">
        <v>460</v>
      </c>
      <c r="C467">
        <v>10313</v>
      </c>
      <c r="D467" t="s">
        <v>26034</v>
      </c>
      <c r="E467" t="s">
        <v>442</v>
      </c>
      <c r="F467" t="s">
        <v>521</v>
      </c>
      <c r="G467" t="s">
        <v>26035</v>
      </c>
      <c r="H467">
        <v>20.43</v>
      </c>
      <c r="I467">
        <v>0</v>
      </c>
      <c r="J467">
        <v>0</v>
      </c>
      <c r="K467">
        <v>0</v>
      </c>
      <c r="N467">
        <v>3</v>
      </c>
      <c r="O467">
        <v>3</v>
      </c>
      <c r="P467">
        <v>0</v>
      </c>
      <c r="Q467">
        <v>0</v>
      </c>
      <c r="R467">
        <v>23.43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H467">
        <v>23.43</v>
      </c>
    </row>
    <row r="468" spans="1:34" x14ac:dyDescent="0.3">
      <c r="A468" s="4">
        <v>496</v>
      </c>
      <c r="B468" s="5">
        <v>461</v>
      </c>
      <c r="C468">
        <v>2719</v>
      </c>
      <c r="D468" t="s">
        <v>26036</v>
      </c>
      <c r="E468" t="s">
        <v>17517</v>
      </c>
      <c r="F468" t="s">
        <v>26037</v>
      </c>
      <c r="G468" t="s">
        <v>26038</v>
      </c>
      <c r="H468">
        <v>19.399999999999999</v>
      </c>
      <c r="I468">
        <v>0</v>
      </c>
      <c r="J468">
        <v>0</v>
      </c>
      <c r="K468">
        <v>0</v>
      </c>
      <c r="O468">
        <v>0</v>
      </c>
      <c r="P468">
        <v>4</v>
      </c>
      <c r="Q468">
        <v>0</v>
      </c>
      <c r="R468">
        <v>23.4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H468">
        <v>23.4</v>
      </c>
    </row>
    <row r="469" spans="1:34" x14ac:dyDescent="0.3">
      <c r="A469" s="4">
        <v>497</v>
      </c>
      <c r="B469" s="5">
        <v>462</v>
      </c>
      <c r="C469">
        <v>8813</v>
      </c>
      <c r="D469" t="s">
        <v>9560</v>
      </c>
      <c r="E469" t="s">
        <v>182</v>
      </c>
      <c r="F469" t="s">
        <v>81</v>
      </c>
      <c r="G469" t="s">
        <v>26039</v>
      </c>
      <c r="H469">
        <v>16.23</v>
      </c>
      <c r="I469">
        <v>0</v>
      </c>
      <c r="J469">
        <v>0</v>
      </c>
      <c r="K469">
        <v>0</v>
      </c>
      <c r="N469">
        <v>3</v>
      </c>
      <c r="O469">
        <v>3</v>
      </c>
      <c r="P469">
        <v>4</v>
      </c>
      <c r="Q469">
        <v>0</v>
      </c>
      <c r="R469">
        <v>23.23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H469">
        <v>23.23</v>
      </c>
    </row>
    <row r="470" spans="1:34" x14ac:dyDescent="0.3">
      <c r="A470" s="4">
        <v>498</v>
      </c>
      <c r="B470" s="5">
        <v>463</v>
      </c>
      <c r="C470">
        <v>13601</v>
      </c>
      <c r="D470" t="s">
        <v>26040</v>
      </c>
      <c r="E470" t="s">
        <v>166</v>
      </c>
      <c r="F470" t="s">
        <v>2595</v>
      </c>
      <c r="G470" t="s">
        <v>26041</v>
      </c>
      <c r="H470">
        <v>16.18</v>
      </c>
      <c r="I470">
        <v>0</v>
      </c>
      <c r="J470">
        <v>0</v>
      </c>
      <c r="K470">
        <v>0</v>
      </c>
      <c r="N470">
        <v>3</v>
      </c>
      <c r="O470">
        <v>3</v>
      </c>
      <c r="P470">
        <v>4</v>
      </c>
      <c r="Q470">
        <v>0</v>
      </c>
      <c r="R470">
        <v>23.18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H470">
        <v>23.18</v>
      </c>
    </row>
    <row r="471" spans="1:34" x14ac:dyDescent="0.3">
      <c r="A471" s="4">
        <v>499</v>
      </c>
      <c r="B471" s="5">
        <v>464</v>
      </c>
      <c r="C471">
        <v>11921</v>
      </c>
      <c r="D471" t="s">
        <v>26042</v>
      </c>
      <c r="E471" t="s">
        <v>41</v>
      </c>
      <c r="F471" t="s">
        <v>20</v>
      </c>
      <c r="G471" t="s">
        <v>26043</v>
      </c>
      <c r="H471">
        <v>20.05</v>
      </c>
      <c r="I471">
        <v>0</v>
      </c>
      <c r="J471">
        <v>0</v>
      </c>
      <c r="K471">
        <v>0</v>
      </c>
      <c r="N471">
        <v>3</v>
      </c>
      <c r="O471">
        <v>3</v>
      </c>
      <c r="P471">
        <v>0</v>
      </c>
      <c r="Q471">
        <v>0</v>
      </c>
      <c r="R471">
        <v>23.05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H471">
        <v>23.05</v>
      </c>
    </row>
    <row r="472" spans="1:34" x14ac:dyDescent="0.3">
      <c r="A472" s="4">
        <v>500</v>
      </c>
      <c r="B472" s="5">
        <v>465</v>
      </c>
      <c r="C472">
        <v>4218</v>
      </c>
      <c r="D472" t="s">
        <v>18216</v>
      </c>
      <c r="E472" t="s">
        <v>81</v>
      </c>
      <c r="F472" t="s">
        <v>346</v>
      </c>
      <c r="G472" t="s">
        <v>26044</v>
      </c>
      <c r="H472">
        <v>16</v>
      </c>
      <c r="I472">
        <v>0</v>
      </c>
      <c r="J472">
        <v>0</v>
      </c>
      <c r="K472">
        <v>0</v>
      </c>
      <c r="O472">
        <v>0</v>
      </c>
      <c r="P472">
        <v>4</v>
      </c>
      <c r="Q472">
        <v>0</v>
      </c>
      <c r="R472">
        <v>20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3</v>
      </c>
      <c r="AC472">
        <v>0</v>
      </c>
      <c r="AH472">
        <v>23</v>
      </c>
    </row>
    <row r="473" spans="1:34" x14ac:dyDescent="0.3">
      <c r="A473" s="4">
        <v>501</v>
      </c>
      <c r="B473" s="5">
        <v>466</v>
      </c>
      <c r="C473">
        <v>8381</v>
      </c>
      <c r="D473" t="s">
        <v>15446</v>
      </c>
      <c r="E473" t="s">
        <v>182</v>
      </c>
      <c r="F473" t="s">
        <v>17</v>
      </c>
      <c r="G473" t="s">
        <v>26045</v>
      </c>
      <c r="H473">
        <v>16.899999999999999</v>
      </c>
      <c r="I473">
        <v>0</v>
      </c>
      <c r="J473">
        <v>0</v>
      </c>
      <c r="K473">
        <v>0</v>
      </c>
      <c r="N473">
        <v>3</v>
      </c>
      <c r="O473">
        <v>3</v>
      </c>
      <c r="P473">
        <v>0</v>
      </c>
      <c r="Q473">
        <v>0</v>
      </c>
      <c r="R473">
        <v>19.899999999999999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3</v>
      </c>
      <c r="AC473">
        <v>0</v>
      </c>
      <c r="AH473">
        <v>22.9</v>
      </c>
    </row>
    <row r="474" spans="1:34" x14ac:dyDescent="0.3">
      <c r="A474" s="4">
        <v>502</v>
      </c>
      <c r="B474" s="5">
        <v>467</v>
      </c>
      <c r="C474">
        <v>6157</v>
      </c>
      <c r="D474" t="s">
        <v>2227</v>
      </c>
      <c r="E474" t="s">
        <v>54</v>
      </c>
      <c r="F474" t="s">
        <v>626</v>
      </c>
      <c r="G474" t="s">
        <v>26046</v>
      </c>
      <c r="H474">
        <v>16.75</v>
      </c>
      <c r="I474">
        <v>0</v>
      </c>
      <c r="J474">
        <v>0</v>
      </c>
      <c r="K474">
        <v>0</v>
      </c>
      <c r="O474">
        <v>0</v>
      </c>
      <c r="P474">
        <v>4</v>
      </c>
      <c r="Q474">
        <v>2</v>
      </c>
      <c r="R474">
        <v>22.75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H474">
        <v>22.75</v>
      </c>
    </row>
    <row r="475" spans="1:34" x14ac:dyDescent="0.3">
      <c r="A475" s="4">
        <v>503</v>
      </c>
      <c r="B475" s="5">
        <v>468</v>
      </c>
      <c r="C475">
        <v>7368</v>
      </c>
      <c r="D475" t="s">
        <v>15886</v>
      </c>
      <c r="E475" t="s">
        <v>41</v>
      </c>
      <c r="F475" t="s">
        <v>230</v>
      </c>
      <c r="G475" t="s">
        <v>26047</v>
      </c>
      <c r="H475">
        <v>15.7</v>
      </c>
      <c r="I475">
        <v>0</v>
      </c>
      <c r="J475">
        <v>0</v>
      </c>
      <c r="K475">
        <v>0</v>
      </c>
      <c r="N475">
        <v>3</v>
      </c>
      <c r="O475">
        <v>3</v>
      </c>
      <c r="P475">
        <v>4</v>
      </c>
      <c r="Q475">
        <v>0</v>
      </c>
      <c r="R475">
        <v>22.7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H475">
        <v>22.7</v>
      </c>
    </row>
    <row r="476" spans="1:34" x14ac:dyDescent="0.3">
      <c r="A476" s="4">
        <v>504</v>
      </c>
      <c r="B476" s="5">
        <v>469</v>
      </c>
      <c r="C476">
        <v>6572</v>
      </c>
      <c r="D476" t="s">
        <v>26048</v>
      </c>
      <c r="E476" t="s">
        <v>570</v>
      </c>
      <c r="F476" t="s">
        <v>26049</v>
      </c>
      <c r="G476" t="s">
        <v>26050</v>
      </c>
      <c r="H476">
        <v>17.53</v>
      </c>
      <c r="I476">
        <v>0</v>
      </c>
      <c r="J476">
        <v>0</v>
      </c>
      <c r="K476">
        <v>0</v>
      </c>
      <c r="N476">
        <v>3</v>
      </c>
      <c r="O476">
        <v>3</v>
      </c>
      <c r="P476">
        <v>0</v>
      </c>
      <c r="Q476">
        <v>2</v>
      </c>
      <c r="R476">
        <v>22.53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H476">
        <v>22.53</v>
      </c>
    </row>
    <row r="477" spans="1:34" x14ac:dyDescent="0.3">
      <c r="A477" s="4">
        <v>505</v>
      </c>
      <c r="B477" s="5">
        <v>470</v>
      </c>
      <c r="C477">
        <v>14515</v>
      </c>
      <c r="D477" t="s">
        <v>26051</v>
      </c>
      <c r="E477" t="s">
        <v>132</v>
      </c>
      <c r="F477" t="s">
        <v>179</v>
      </c>
      <c r="G477" t="s">
        <v>26052</v>
      </c>
      <c r="H477">
        <v>18.25</v>
      </c>
      <c r="I477">
        <v>0</v>
      </c>
      <c r="J477">
        <v>0</v>
      </c>
      <c r="K477">
        <v>0</v>
      </c>
      <c r="O477">
        <v>0</v>
      </c>
      <c r="P477">
        <v>4</v>
      </c>
      <c r="Q477">
        <v>0</v>
      </c>
      <c r="R477">
        <v>22.25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H477">
        <v>22.25</v>
      </c>
    </row>
    <row r="478" spans="1:34" x14ac:dyDescent="0.3">
      <c r="A478" s="4">
        <v>506</v>
      </c>
      <c r="B478" s="5">
        <v>471</v>
      </c>
      <c r="C478">
        <v>12041</v>
      </c>
      <c r="D478" t="s">
        <v>23344</v>
      </c>
      <c r="E478" t="s">
        <v>54</v>
      </c>
      <c r="F478" t="s">
        <v>17</v>
      </c>
      <c r="G478" t="s">
        <v>26053</v>
      </c>
      <c r="H478">
        <v>20.2</v>
      </c>
      <c r="I478">
        <v>0</v>
      </c>
      <c r="J478">
        <v>0</v>
      </c>
      <c r="K478">
        <v>0</v>
      </c>
      <c r="O478">
        <v>0</v>
      </c>
      <c r="P478">
        <v>0</v>
      </c>
      <c r="Q478">
        <v>2</v>
      </c>
      <c r="R478">
        <v>22.2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H478">
        <v>22.2</v>
      </c>
    </row>
    <row r="479" spans="1:34" x14ac:dyDescent="0.3">
      <c r="A479" s="4">
        <v>507</v>
      </c>
      <c r="B479" s="5">
        <v>472</v>
      </c>
      <c r="C479">
        <v>5150</v>
      </c>
      <c r="D479" t="s">
        <v>26054</v>
      </c>
      <c r="E479" t="s">
        <v>238</v>
      </c>
      <c r="F479" t="s">
        <v>26055</v>
      </c>
      <c r="G479" t="s">
        <v>26056</v>
      </c>
      <c r="H479">
        <v>18.75</v>
      </c>
      <c r="I479">
        <v>0</v>
      </c>
      <c r="J479">
        <v>0</v>
      </c>
      <c r="K479">
        <v>0</v>
      </c>
      <c r="N479">
        <v>3</v>
      </c>
      <c r="O479">
        <v>3</v>
      </c>
      <c r="P479">
        <v>0</v>
      </c>
      <c r="Q479">
        <v>0</v>
      </c>
      <c r="R479">
        <v>21.75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H479">
        <v>21.75</v>
      </c>
    </row>
    <row r="480" spans="1:34" x14ac:dyDescent="0.3">
      <c r="A480" s="4">
        <v>508</v>
      </c>
      <c r="B480" s="5">
        <v>473</v>
      </c>
      <c r="C480">
        <v>14303</v>
      </c>
      <c r="D480" t="s">
        <v>13003</v>
      </c>
      <c r="E480" t="s">
        <v>957</v>
      </c>
      <c r="F480" t="s">
        <v>55</v>
      </c>
      <c r="G480" t="s">
        <v>26057</v>
      </c>
      <c r="H480">
        <v>18.75</v>
      </c>
      <c r="I480">
        <v>0</v>
      </c>
      <c r="J480">
        <v>0</v>
      </c>
      <c r="K480">
        <v>0</v>
      </c>
      <c r="N480">
        <v>3</v>
      </c>
      <c r="O480">
        <v>3</v>
      </c>
      <c r="P480">
        <v>0</v>
      </c>
      <c r="Q480">
        <v>0</v>
      </c>
      <c r="R480">
        <v>21.75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H480">
        <v>21.75</v>
      </c>
    </row>
    <row r="481" spans="1:34" x14ac:dyDescent="0.3">
      <c r="A481" s="4">
        <v>509</v>
      </c>
      <c r="B481" s="5">
        <v>474</v>
      </c>
      <c r="C481">
        <v>7849</v>
      </c>
      <c r="D481" t="s">
        <v>26058</v>
      </c>
      <c r="E481" t="s">
        <v>2538</v>
      </c>
      <c r="F481" t="s">
        <v>136</v>
      </c>
      <c r="G481" t="s">
        <v>26059</v>
      </c>
      <c r="H481">
        <v>14.75</v>
      </c>
      <c r="I481">
        <v>0</v>
      </c>
      <c r="J481">
        <v>0</v>
      </c>
      <c r="K481">
        <v>0</v>
      </c>
      <c r="N481">
        <v>3</v>
      </c>
      <c r="O481">
        <v>3</v>
      </c>
      <c r="P481">
        <v>4</v>
      </c>
      <c r="Q481">
        <v>0</v>
      </c>
      <c r="R481">
        <v>21.75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H481">
        <v>21.75</v>
      </c>
    </row>
    <row r="482" spans="1:34" x14ac:dyDescent="0.3">
      <c r="A482" s="4">
        <v>510</v>
      </c>
      <c r="B482" s="5">
        <v>475</v>
      </c>
      <c r="C482">
        <v>1560</v>
      </c>
      <c r="D482" t="s">
        <v>26060</v>
      </c>
      <c r="E482" t="s">
        <v>29</v>
      </c>
      <c r="F482" t="s">
        <v>136</v>
      </c>
      <c r="G482" t="s">
        <v>26061</v>
      </c>
      <c r="H482">
        <v>12.5</v>
      </c>
      <c r="I482">
        <v>0</v>
      </c>
      <c r="J482">
        <v>0</v>
      </c>
      <c r="K482">
        <v>0</v>
      </c>
      <c r="N482">
        <v>3</v>
      </c>
      <c r="O482">
        <v>3</v>
      </c>
      <c r="P482">
        <v>0</v>
      </c>
      <c r="Q482">
        <v>0</v>
      </c>
      <c r="R482">
        <v>15.5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6</v>
      </c>
      <c r="AC482">
        <v>0</v>
      </c>
      <c r="AH482">
        <v>21.5</v>
      </c>
    </row>
    <row r="483" spans="1:34" x14ac:dyDescent="0.3">
      <c r="A483" s="4">
        <v>511</v>
      </c>
      <c r="B483" s="5">
        <v>476</v>
      </c>
      <c r="C483">
        <v>12108</v>
      </c>
      <c r="D483" t="s">
        <v>26062</v>
      </c>
      <c r="E483" t="s">
        <v>117</v>
      </c>
      <c r="F483" t="s">
        <v>346</v>
      </c>
      <c r="G483" t="s">
        <v>26063</v>
      </c>
      <c r="H483">
        <v>17.399999999999999</v>
      </c>
      <c r="I483">
        <v>0</v>
      </c>
      <c r="J483">
        <v>0</v>
      </c>
      <c r="K483">
        <v>0</v>
      </c>
      <c r="O483">
        <v>0</v>
      </c>
      <c r="P483">
        <v>4</v>
      </c>
      <c r="Q483">
        <v>0</v>
      </c>
      <c r="R483">
        <v>21.4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H483">
        <v>21.4</v>
      </c>
    </row>
    <row r="484" spans="1:34" x14ac:dyDescent="0.3">
      <c r="A484" s="4">
        <v>512</v>
      </c>
      <c r="B484" s="5">
        <v>477</v>
      </c>
      <c r="C484">
        <v>9588</v>
      </c>
      <c r="D484" t="s">
        <v>26064</v>
      </c>
      <c r="E484" t="s">
        <v>22</v>
      </c>
      <c r="F484" t="s">
        <v>81</v>
      </c>
      <c r="G484" t="s">
        <v>26065</v>
      </c>
      <c r="H484">
        <v>18.100000000000001</v>
      </c>
      <c r="I484">
        <v>0</v>
      </c>
      <c r="J484">
        <v>0</v>
      </c>
      <c r="K484">
        <v>0</v>
      </c>
      <c r="N484">
        <v>3</v>
      </c>
      <c r="O484">
        <v>3</v>
      </c>
      <c r="P484">
        <v>0</v>
      </c>
      <c r="Q484">
        <v>0</v>
      </c>
      <c r="R484">
        <v>21.1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H484">
        <v>21.1</v>
      </c>
    </row>
    <row r="485" spans="1:34" x14ac:dyDescent="0.3">
      <c r="A485" s="4">
        <v>513</v>
      </c>
      <c r="B485" s="5">
        <v>478</v>
      </c>
      <c r="C485">
        <v>6217</v>
      </c>
      <c r="D485" t="s">
        <v>788</v>
      </c>
      <c r="E485" t="s">
        <v>7743</v>
      </c>
      <c r="F485" t="s">
        <v>20</v>
      </c>
      <c r="G485" t="s">
        <v>26066</v>
      </c>
      <c r="H485">
        <v>17.05</v>
      </c>
      <c r="I485">
        <v>0</v>
      </c>
      <c r="J485">
        <v>0</v>
      </c>
      <c r="K485">
        <v>0</v>
      </c>
      <c r="O485">
        <v>0</v>
      </c>
      <c r="P485">
        <v>4</v>
      </c>
      <c r="Q485">
        <v>0</v>
      </c>
      <c r="R485">
        <v>21.05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H485">
        <v>21.05</v>
      </c>
    </row>
    <row r="486" spans="1:34" x14ac:dyDescent="0.3">
      <c r="A486" s="4">
        <v>514</v>
      </c>
      <c r="B486" s="5">
        <v>479</v>
      </c>
      <c r="C486">
        <v>11404</v>
      </c>
      <c r="D486" t="s">
        <v>26067</v>
      </c>
      <c r="E486" t="s">
        <v>62</v>
      </c>
      <c r="F486" t="s">
        <v>30</v>
      </c>
      <c r="G486" t="s">
        <v>26068</v>
      </c>
      <c r="H486">
        <v>16</v>
      </c>
      <c r="I486">
        <v>0</v>
      </c>
      <c r="J486">
        <v>0</v>
      </c>
      <c r="K486">
        <v>0</v>
      </c>
      <c r="M486">
        <v>5</v>
      </c>
      <c r="O486">
        <v>5</v>
      </c>
      <c r="P486">
        <v>0</v>
      </c>
      <c r="Q486">
        <v>0</v>
      </c>
      <c r="R486">
        <v>21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H486">
        <v>21</v>
      </c>
    </row>
    <row r="487" spans="1:34" x14ac:dyDescent="0.3">
      <c r="A487" s="4">
        <v>515</v>
      </c>
      <c r="B487" s="5">
        <v>480</v>
      </c>
      <c r="C487">
        <v>6735</v>
      </c>
      <c r="D487" t="s">
        <v>26069</v>
      </c>
      <c r="E487" t="s">
        <v>400</v>
      </c>
      <c r="F487" t="s">
        <v>136</v>
      </c>
      <c r="G487" t="s">
        <v>26070</v>
      </c>
      <c r="H487">
        <v>17.88</v>
      </c>
      <c r="I487">
        <v>0</v>
      </c>
      <c r="J487">
        <v>0</v>
      </c>
      <c r="K487">
        <v>0</v>
      </c>
      <c r="N487">
        <v>3</v>
      </c>
      <c r="O487">
        <v>3</v>
      </c>
      <c r="P487">
        <v>0</v>
      </c>
      <c r="Q487">
        <v>0</v>
      </c>
      <c r="R487">
        <v>20.88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H487">
        <v>20.88</v>
      </c>
    </row>
    <row r="488" spans="1:34" x14ac:dyDescent="0.3">
      <c r="A488" s="4">
        <v>516</v>
      </c>
      <c r="B488" s="5">
        <v>481</v>
      </c>
      <c r="C488">
        <v>2972</v>
      </c>
      <c r="D488" t="s">
        <v>26071</v>
      </c>
      <c r="E488" t="s">
        <v>29</v>
      </c>
      <c r="F488" t="s">
        <v>68</v>
      </c>
      <c r="G488" t="s">
        <v>26072</v>
      </c>
      <c r="H488">
        <v>17.88</v>
      </c>
      <c r="I488">
        <v>0</v>
      </c>
      <c r="J488">
        <v>0</v>
      </c>
      <c r="K488">
        <v>0</v>
      </c>
      <c r="N488">
        <v>3</v>
      </c>
      <c r="O488">
        <v>3</v>
      </c>
      <c r="P488">
        <v>0</v>
      </c>
      <c r="Q488">
        <v>0</v>
      </c>
      <c r="R488">
        <v>20.88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H488">
        <v>20.88</v>
      </c>
    </row>
    <row r="489" spans="1:34" x14ac:dyDescent="0.3">
      <c r="A489" s="4">
        <v>517</v>
      </c>
      <c r="B489" s="5">
        <v>482</v>
      </c>
      <c r="C489">
        <v>3224</v>
      </c>
      <c r="D489" t="s">
        <v>26073</v>
      </c>
      <c r="E489" t="s">
        <v>238</v>
      </c>
      <c r="F489" t="s">
        <v>124</v>
      </c>
      <c r="G489" t="s">
        <v>26074</v>
      </c>
      <c r="H489">
        <v>17.63</v>
      </c>
      <c r="I489">
        <v>0</v>
      </c>
      <c r="J489">
        <v>0</v>
      </c>
      <c r="K489">
        <v>0</v>
      </c>
      <c r="N489">
        <v>3</v>
      </c>
      <c r="O489">
        <v>3</v>
      </c>
      <c r="P489">
        <v>0</v>
      </c>
      <c r="Q489">
        <v>0</v>
      </c>
      <c r="R489">
        <v>20.63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H489">
        <v>20.63</v>
      </c>
    </row>
    <row r="490" spans="1:34" x14ac:dyDescent="0.3">
      <c r="A490" s="4">
        <v>518</v>
      </c>
      <c r="B490" s="5">
        <v>483</v>
      </c>
      <c r="C490">
        <v>777</v>
      </c>
      <c r="D490" t="s">
        <v>26075</v>
      </c>
      <c r="E490" t="s">
        <v>124</v>
      </c>
      <c r="F490" t="s">
        <v>243</v>
      </c>
      <c r="G490" t="s">
        <v>26076</v>
      </c>
      <c r="H490">
        <v>16.350000000000001</v>
      </c>
      <c r="I490">
        <v>0</v>
      </c>
      <c r="J490">
        <v>0</v>
      </c>
      <c r="K490">
        <v>0</v>
      </c>
      <c r="O490">
        <v>0</v>
      </c>
      <c r="P490">
        <v>4</v>
      </c>
      <c r="Q490">
        <v>0</v>
      </c>
      <c r="R490">
        <v>20.350000000000001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H490">
        <v>20.350000000000001</v>
      </c>
    </row>
    <row r="491" spans="1:34" x14ac:dyDescent="0.3">
      <c r="A491" s="4">
        <v>519</v>
      </c>
      <c r="B491" s="5">
        <v>484</v>
      </c>
      <c r="C491">
        <v>10836</v>
      </c>
      <c r="D491" t="s">
        <v>26077</v>
      </c>
      <c r="E491" t="s">
        <v>26078</v>
      </c>
      <c r="F491" t="s">
        <v>62</v>
      </c>
      <c r="G491" t="s">
        <v>26079</v>
      </c>
      <c r="H491">
        <v>20.100000000000001</v>
      </c>
      <c r="I491">
        <v>0</v>
      </c>
      <c r="J491">
        <v>0</v>
      </c>
      <c r="K491">
        <v>0</v>
      </c>
      <c r="O491">
        <v>0</v>
      </c>
      <c r="P491">
        <v>0</v>
      </c>
      <c r="Q491">
        <v>0</v>
      </c>
      <c r="R491">
        <v>20.100000000000001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H491">
        <v>20.100000000000001</v>
      </c>
    </row>
    <row r="492" spans="1:34" x14ac:dyDescent="0.3">
      <c r="A492" s="4">
        <v>520</v>
      </c>
      <c r="B492" s="5">
        <v>485</v>
      </c>
      <c r="C492">
        <v>9441</v>
      </c>
      <c r="D492" t="s">
        <v>4560</v>
      </c>
      <c r="E492" t="s">
        <v>29</v>
      </c>
      <c r="F492" t="s">
        <v>34</v>
      </c>
      <c r="G492" t="s">
        <v>26080</v>
      </c>
      <c r="H492">
        <v>17.100000000000001</v>
      </c>
      <c r="I492">
        <v>0</v>
      </c>
      <c r="J492">
        <v>0</v>
      </c>
      <c r="K492">
        <v>0</v>
      </c>
      <c r="N492">
        <v>3</v>
      </c>
      <c r="O492">
        <v>3</v>
      </c>
      <c r="P492">
        <v>0</v>
      </c>
      <c r="Q492">
        <v>0</v>
      </c>
      <c r="R492">
        <v>20.100000000000001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H492">
        <v>20.100000000000001</v>
      </c>
    </row>
    <row r="493" spans="1:34" x14ac:dyDescent="0.3">
      <c r="A493" s="4">
        <v>521</v>
      </c>
      <c r="B493" s="5">
        <v>486</v>
      </c>
      <c r="C493">
        <v>1095</v>
      </c>
      <c r="D493" t="s">
        <v>26081</v>
      </c>
      <c r="E493" t="s">
        <v>1331</v>
      </c>
      <c r="F493" t="s">
        <v>20</v>
      </c>
      <c r="G493" t="s">
        <v>26082</v>
      </c>
      <c r="H493">
        <v>17</v>
      </c>
      <c r="I493">
        <v>0</v>
      </c>
      <c r="J493">
        <v>0</v>
      </c>
      <c r="K493">
        <v>0</v>
      </c>
      <c r="N493">
        <v>3</v>
      </c>
      <c r="O493">
        <v>3</v>
      </c>
      <c r="P493">
        <v>0</v>
      </c>
      <c r="Q493">
        <v>0</v>
      </c>
      <c r="R493">
        <v>20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H493">
        <v>20</v>
      </c>
    </row>
    <row r="494" spans="1:34" x14ac:dyDescent="0.3">
      <c r="A494" s="4">
        <v>522</v>
      </c>
      <c r="B494" s="5">
        <v>487</v>
      </c>
      <c r="C494">
        <v>6427</v>
      </c>
      <c r="D494" t="s">
        <v>7027</v>
      </c>
      <c r="E494" t="s">
        <v>33</v>
      </c>
      <c r="F494" t="s">
        <v>117</v>
      </c>
      <c r="G494" t="s">
        <v>7028</v>
      </c>
      <c r="H494">
        <v>15.88</v>
      </c>
      <c r="I494">
        <v>0</v>
      </c>
      <c r="J494">
        <v>0</v>
      </c>
      <c r="K494">
        <v>0</v>
      </c>
      <c r="O494">
        <v>0</v>
      </c>
      <c r="P494">
        <v>4</v>
      </c>
      <c r="Q494">
        <v>0</v>
      </c>
      <c r="R494">
        <v>19.88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H494">
        <v>19.88</v>
      </c>
    </row>
    <row r="495" spans="1:34" x14ac:dyDescent="0.3">
      <c r="A495" s="4">
        <v>523</v>
      </c>
      <c r="B495" s="5">
        <v>488</v>
      </c>
      <c r="C495">
        <v>12646</v>
      </c>
      <c r="D495" t="s">
        <v>26083</v>
      </c>
      <c r="E495" t="s">
        <v>26084</v>
      </c>
      <c r="F495" t="s">
        <v>30</v>
      </c>
      <c r="G495" t="s">
        <v>32079</v>
      </c>
      <c r="H495">
        <v>15.1</v>
      </c>
      <c r="I495">
        <v>0</v>
      </c>
      <c r="J495">
        <v>0</v>
      </c>
      <c r="K495">
        <v>0</v>
      </c>
      <c r="O495">
        <v>0</v>
      </c>
      <c r="P495">
        <v>4</v>
      </c>
      <c r="Q495">
        <v>0</v>
      </c>
      <c r="R495">
        <v>19.100000000000001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H495">
        <v>19.100000000000001</v>
      </c>
    </row>
    <row r="496" spans="1:34" x14ac:dyDescent="0.3">
      <c r="A496" s="4">
        <v>524</v>
      </c>
      <c r="B496" s="5">
        <v>489</v>
      </c>
      <c r="C496">
        <v>14916</v>
      </c>
      <c r="D496" t="s">
        <v>26085</v>
      </c>
      <c r="E496" t="s">
        <v>439</v>
      </c>
      <c r="F496" t="s">
        <v>3439</v>
      </c>
      <c r="G496" t="s">
        <v>26086</v>
      </c>
      <c r="H496">
        <v>15.83</v>
      </c>
      <c r="I496">
        <v>0</v>
      </c>
      <c r="J496">
        <v>0</v>
      </c>
      <c r="K496">
        <v>0</v>
      </c>
      <c r="O496">
        <v>0</v>
      </c>
      <c r="P496">
        <v>0</v>
      </c>
      <c r="Q496">
        <v>0</v>
      </c>
      <c r="R496">
        <v>15.83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3</v>
      </c>
      <c r="AC496">
        <v>0</v>
      </c>
      <c r="AH496">
        <v>18.829999999999998</v>
      </c>
    </row>
    <row r="497" spans="1:34" x14ac:dyDescent="0.3">
      <c r="A497" s="4">
        <v>525</v>
      </c>
      <c r="B497" s="5">
        <v>490</v>
      </c>
      <c r="C497">
        <v>15490</v>
      </c>
      <c r="D497" t="s">
        <v>24942</v>
      </c>
      <c r="E497" t="s">
        <v>789</v>
      </c>
      <c r="F497" t="s">
        <v>136</v>
      </c>
      <c r="G497" t="s">
        <v>26087</v>
      </c>
      <c r="H497">
        <v>18.18</v>
      </c>
      <c r="I497">
        <v>0</v>
      </c>
      <c r="J497">
        <v>0</v>
      </c>
      <c r="K497">
        <v>0</v>
      </c>
      <c r="O497">
        <v>0</v>
      </c>
      <c r="P497">
        <v>0</v>
      </c>
      <c r="Q497">
        <v>0</v>
      </c>
      <c r="R497">
        <v>18.18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H497">
        <v>18.18</v>
      </c>
    </row>
    <row r="498" spans="1:34" x14ac:dyDescent="0.3">
      <c r="A498" s="4">
        <v>526</v>
      </c>
      <c r="B498" s="5">
        <v>491</v>
      </c>
      <c r="C498">
        <v>1410</v>
      </c>
      <c r="D498" t="s">
        <v>26088</v>
      </c>
      <c r="E498" t="s">
        <v>81</v>
      </c>
      <c r="F498" t="s">
        <v>20</v>
      </c>
      <c r="G498" t="s">
        <v>26089</v>
      </c>
      <c r="H498">
        <v>17.899999999999999</v>
      </c>
      <c r="I498">
        <v>0</v>
      </c>
      <c r="J498">
        <v>0</v>
      </c>
      <c r="K498">
        <v>0</v>
      </c>
      <c r="O498">
        <v>0</v>
      </c>
      <c r="P498">
        <v>0</v>
      </c>
      <c r="Q498">
        <v>0</v>
      </c>
      <c r="R498">
        <v>17.899999999999999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H498">
        <v>17.899999999999999</v>
      </c>
    </row>
    <row r="499" spans="1:34" x14ac:dyDescent="0.3">
      <c r="A499" s="4">
        <v>527</v>
      </c>
      <c r="B499" s="5">
        <v>492</v>
      </c>
      <c r="C499">
        <v>10030</v>
      </c>
      <c r="D499" t="s">
        <v>26090</v>
      </c>
      <c r="E499" t="s">
        <v>909</v>
      </c>
      <c r="F499" t="s">
        <v>17</v>
      </c>
      <c r="G499" t="s">
        <v>26091</v>
      </c>
      <c r="H499">
        <v>12.5</v>
      </c>
      <c r="I499">
        <v>0</v>
      </c>
      <c r="J499">
        <v>0</v>
      </c>
      <c r="K499">
        <v>0</v>
      </c>
      <c r="O499">
        <v>0</v>
      </c>
      <c r="P499">
        <v>4</v>
      </c>
      <c r="Q499">
        <v>0</v>
      </c>
      <c r="R499">
        <v>16.5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H499">
        <v>16.5</v>
      </c>
    </row>
    <row r="500" spans="1:34" x14ac:dyDescent="0.3">
      <c r="A500" s="4">
        <v>528</v>
      </c>
      <c r="B500" s="5">
        <v>493</v>
      </c>
      <c r="C500">
        <v>13378</v>
      </c>
      <c r="D500" t="s">
        <v>26092</v>
      </c>
      <c r="E500" t="s">
        <v>136</v>
      </c>
      <c r="F500" t="s">
        <v>91</v>
      </c>
      <c r="G500" t="s">
        <v>26093</v>
      </c>
      <c r="H500">
        <v>16.45</v>
      </c>
      <c r="I500">
        <v>0</v>
      </c>
      <c r="J500">
        <v>0</v>
      </c>
      <c r="K500">
        <v>0</v>
      </c>
      <c r="O500">
        <v>0</v>
      </c>
      <c r="P500">
        <v>0</v>
      </c>
      <c r="Q500">
        <v>0</v>
      </c>
      <c r="R500">
        <v>16.45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H500">
        <v>16.45</v>
      </c>
    </row>
    <row r="501" spans="1:34" x14ac:dyDescent="0.3">
      <c r="A501" s="4">
        <v>529</v>
      </c>
      <c r="B501" s="5">
        <v>494</v>
      </c>
      <c r="C501">
        <v>12230</v>
      </c>
      <c r="D501" t="s">
        <v>12236</v>
      </c>
      <c r="E501" t="s">
        <v>20</v>
      </c>
      <c r="F501" t="s">
        <v>124</v>
      </c>
      <c r="G501" t="s">
        <v>26094</v>
      </c>
      <c r="H501">
        <v>14.95</v>
      </c>
      <c r="I501">
        <v>0</v>
      </c>
      <c r="J501">
        <v>0</v>
      </c>
      <c r="K501">
        <v>0</v>
      </c>
      <c r="O501">
        <v>0</v>
      </c>
      <c r="P501">
        <v>0</v>
      </c>
      <c r="Q501">
        <v>0</v>
      </c>
      <c r="R501">
        <v>14.95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H501">
        <v>14.95</v>
      </c>
    </row>
    <row r="502" spans="1:34" x14ac:dyDescent="0.3">
      <c r="A502" s="4">
        <v>530</v>
      </c>
      <c r="B502" s="5">
        <v>495</v>
      </c>
      <c r="C502">
        <v>15604</v>
      </c>
      <c r="D502" t="s">
        <v>4835</v>
      </c>
      <c r="E502" t="s">
        <v>41</v>
      </c>
      <c r="F502" t="s">
        <v>26095</v>
      </c>
      <c r="G502" t="s">
        <v>26096</v>
      </c>
      <c r="H502">
        <v>12.5</v>
      </c>
      <c r="I502">
        <v>0</v>
      </c>
      <c r="J502">
        <v>0</v>
      </c>
      <c r="K502">
        <v>0</v>
      </c>
      <c r="O502">
        <v>0</v>
      </c>
      <c r="P502">
        <v>0</v>
      </c>
      <c r="Q502">
        <v>0</v>
      </c>
      <c r="R502">
        <v>12.5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H502">
        <v>12.5</v>
      </c>
    </row>
    <row r="504" spans="1:34" x14ac:dyDescent="0.3">
      <c r="A504" s="3" t="s">
        <v>8356</v>
      </c>
    </row>
    <row r="505" spans="1:34" x14ac:dyDescent="0.3">
      <c r="A505" s="3" t="s">
        <v>10724</v>
      </c>
    </row>
    <row r="506" spans="1:34" x14ac:dyDescent="0.3">
      <c r="A506" s="3" t="s">
        <v>10725</v>
      </c>
    </row>
    <row r="507" spans="1:34" x14ac:dyDescent="0.3">
      <c r="A507" s="3" t="s">
        <v>10726</v>
      </c>
    </row>
    <row r="508" spans="1:34" x14ac:dyDescent="0.3">
      <c r="A508" s="3" t="s">
        <v>10727</v>
      </c>
    </row>
    <row r="509" spans="1:34" x14ac:dyDescent="0.3">
      <c r="A509" s="3" t="s">
        <v>10728</v>
      </c>
    </row>
    <row r="510" spans="1:34" s="4" customFormat="1" x14ac:dyDescent="0.3">
      <c r="A510" s="3" t="s">
        <v>10729</v>
      </c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</row>
    <row r="511" spans="1:34" s="4" customFormat="1" x14ac:dyDescent="0.3">
      <c r="A511" s="3" t="s">
        <v>10730</v>
      </c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</row>
    <row r="512" spans="1:34" s="4" customFormat="1" x14ac:dyDescent="0.3">
      <c r="A512" s="3" t="s">
        <v>10731</v>
      </c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</row>
    <row r="513" spans="1:34" s="4" customFormat="1" x14ac:dyDescent="0.3">
      <c r="A513" s="3" t="s">
        <v>10732</v>
      </c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</row>
    <row r="514" spans="1:34" s="4" customFormat="1" x14ac:dyDescent="0.3">
      <c r="A514" s="3" t="s">
        <v>10733</v>
      </c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</row>
    <row r="515" spans="1:34" s="4" customFormat="1" x14ac:dyDescent="0.3">
      <c r="A515" s="3" t="s">
        <v>10734</v>
      </c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</row>
    <row r="516" spans="1:34" s="4" customFormat="1" x14ac:dyDescent="0.3">
      <c r="A516" s="3" t="s">
        <v>10735</v>
      </c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</row>
    <row r="517" spans="1:34" s="4" customFormat="1" x14ac:dyDescent="0.3">
      <c r="A517" s="3" t="s">
        <v>10736</v>
      </c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</row>
    <row r="518" spans="1:34" s="4" customFormat="1" x14ac:dyDescent="0.3">
      <c r="A518" s="3" t="s">
        <v>10737</v>
      </c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</row>
    <row r="519" spans="1:34" s="4" customFormat="1" x14ac:dyDescent="0.3">
      <c r="A519" s="3" t="s">
        <v>10738</v>
      </c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</row>
    <row r="520" spans="1:34" s="4" customFormat="1" x14ac:dyDescent="0.3">
      <c r="A520" s="3" t="s">
        <v>10739</v>
      </c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</row>
    <row r="521" spans="1:34" s="4" customFormat="1" x14ac:dyDescent="0.3">
      <c r="A521" s="3" t="s">
        <v>10740</v>
      </c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</row>
    <row r="522" spans="1:34" s="4" customFormat="1" x14ac:dyDescent="0.3">
      <c r="A522" s="3" t="s">
        <v>10741</v>
      </c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</row>
    <row r="523" spans="1:34" s="4" customFormat="1" x14ac:dyDescent="0.3">
      <c r="A523" s="3" t="s">
        <v>10742</v>
      </c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</row>
    <row r="524" spans="1:34" s="4" customFormat="1" x14ac:dyDescent="0.3">
      <c r="A524" s="3" t="s">
        <v>10743</v>
      </c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</row>
    <row r="525" spans="1:34" s="4" customFormat="1" x14ac:dyDescent="0.3">
      <c r="A525" s="3" t="s">
        <v>10744</v>
      </c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</row>
    <row r="526" spans="1:34" s="4" customFormat="1" x14ac:dyDescent="0.3">
      <c r="A526" s="3" t="s">
        <v>10745</v>
      </c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</row>
    <row r="527" spans="1:34" s="4" customFormat="1" x14ac:dyDescent="0.3">
      <c r="A527" s="3" t="s">
        <v>10746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</row>
    <row r="528" spans="1:34" s="4" customFormat="1" x14ac:dyDescent="0.3">
      <c r="A528" s="3" t="s">
        <v>10747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</row>
    <row r="529" spans="1:34" s="4" customFormat="1" x14ac:dyDescent="0.3">
      <c r="A529" s="3" t="s">
        <v>10748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</row>
    <row r="530" spans="1:34" s="4" customFormat="1" x14ac:dyDescent="0.3">
      <c r="A530" s="3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</row>
    <row r="531" spans="1:34" s="4" customFormat="1" x14ac:dyDescent="0.3">
      <c r="A531" s="3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</row>
    <row r="532" spans="1:34" s="4" customFormat="1" x14ac:dyDescent="0.3">
      <c r="A532" s="3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Φύλλο15"/>
  <dimension ref="A1:AH455"/>
  <sheetViews>
    <sheetView workbookViewId="0">
      <selection activeCell="A8" sqref="A8:AH471"/>
    </sheetView>
  </sheetViews>
  <sheetFormatPr defaultRowHeight="14.4" x14ac:dyDescent="0.3"/>
  <cols>
    <col min="1" max="2" width="9.109375" style="4"/>
    <col min="3" max="3" width="6" customWidth="1"/>
    <col min="4" max="4" width="24.88671875" bestFit="1" customWidth="1"/>
    <col min="5" max="5" width="22.33203125" bestFit="1" customWidth="1"/>
    <col min="6" max="6" width="26.109375" bestFit="1" customWidth="1"/>
    <col min="7" max="7" width="10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26097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2</v>
      </c>
      <c r="B8" s="5">
        <v>1</v>
      </c>
      <c r="C8">
        <v>13549</v>
      </c>
      <c r="D8" t="s">
        <v>25997</v>
      </c>
      <c r="E8" t="s">
        <v>26098</v>
      </c>
      <c r="F8" t="s">
        <v>17</v>
      </c>
      <c r="G8" t="s">
        <v>26099</v>
      </c>
      <c r="H8">
        <v>19.23</v>
      </c>
      <c r="I8">
        <v>0</v>
      </c>
      <c r="J8">
        <v>0</v>
      </c>
      <c r="K8">
        <v>0</v>
      </c>
      <c r="N8">
        <v>3</v>
      </c>
      <c r="O8">
        <v>3</v>
      </c>
      <c r="P8">
        <v>4</v>
      </c>
      <c r="Q8">
        <v>2</v>
      </c>
      <c r="R8">
        <v>28.23</v>
      </c>
      <c r="S8">
        <v>106</v>
      </c>
      <c r="T8">
        <v>106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106</v>
      </c>
      <c r="AB8">
        <v>3</v>
      </c>
      <c r="AC8">
        <v>0</v>
      </c>
      <c r="AF8" t="s">
        <v>130</v>
      </c>
      <c r="AH8">
        <v>137.22999999999999</v>
      </c>
    </row>
    <row r="9" spans="1:34" x14ac:dyDescent="0.3">
      <c r="A9" s="4">
        <v>4</v>
      </c>
      <c r="B9" s="5">
        <v>2</v>
      </c>
      <c r="C9">
        <v>11711</v>
      </c>
      <c r="D9" t="s">
        <v>7560</v>
      </c>
      <c r="E9" t="s">
        <v>132</v>
      </c>
      <c r="F9" t="s">
        <v>30</v>
      </c>
      <c r="G9" t="s">
        <v>26100</v>
      </c>
      <c r="H9">
        <v>20.05</v>
      </c>
      <c r="I9">
        <v>0</v>
      </c>
      <c r="J9">
        <v>0</v>
      </c>
      <c r="K9">
        <v>0</v>
      </c>
      <c r="N9">
        <v>3</v>
      </c>
      <c r="O9">
        <v>3</v>
      </c>
      <c r="P9">
        <v>0</v>
      </c>
      <c r="Q9">
        <v>2</v>
      </c>
      <c r="R9">
        <v>25.05</v>
      </c>
      <c r="S9">
        <v>81</v>
      </c>
      <c r="T9">
        <v>81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81</v>
      </c>
      <c r="AB9">
        <v>0</v>
      </c>
      <c r="AC9">
        <v>20</v>
      </c>
      <c r="AF9" t="s">
        <v>130</v>
      </c>
      <c r="AH9">
        <v>126.05</v>
      </c>
    </row>
    <row r="10" spans="1:34" x14ac:dyDescent="0.3">
      <c r="A10" s="4">
        <v>5</v>
      </c>
      <c r="B10" s="5">
        <v>3</v>
      </c>
      <c r="C10">
        <v>10827</v>
      </c>
      <c r="D10" t="s">
        <v>26101</v>
      </c>
      <c r="E10" t="s">
        <v>12921</v>
      </c>
      <c r="F10" t="s">
        <v>17</v>
      </c>
      <c r="G10" t="s">
        <v>26102</v>
      </c>
      <c r="H10">
        <v>18.649999999999999</v>
      </c>
      <c r="I10">
        <v>0</v>
      </c>
      <c r="J10">
        <v>0</v>
      </c>
      <c r="K10">
        <v>20</v>
      </c>
      <c r="M10">
        <v>5</v>
      </c>
      <c r="O10">
        <v>5</v>
      </c>
      <c r="P10">
        <v>4</v>
      </c>
      <c r="Q10">
        <v>0</v>
      </c>
      <c r="R10">
        <v>47.65</v>
      </c>
      <c r="S10">
        <v>63</v>
      </c>
      <c r="T10">
        <v>63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63</v>
      </c>
      <c r="AB10">
        <v>9</v>
      </c>
      <c r="AC10">
        <v>0</v>
      </c>
      <c r="AF10" t="s">
        <v>130</v>
      </c>
      <c r="AH10">
        <v>119.65</v>
      </c>
    </row>
    <row r="11" spans="1:34" x14ac:dyDescent="0.3">
      <c r="A11" s="4">
        <v>6</v>
      </c>
      <c r="B11" s="5">
        <v>4</v>
      </c>
      <c r="C11">
        <v>10528</v>
      </c>
      <c r="D11" t="s">
        <v>1980</v>
      </c>
      <c r="E11" t="s">
        <v>10825</v>
      </c>
      <c r="F11" t="s">
        <v>2855</v>
      </c>
      <c r="G11" t="s">
        <v>26103</v>
      </c>
      <c r="H11">
        <v>21.1</v>
      </c>
      <c r="I11">
        <v>0</v>
      </c>
      <c r="J11">
        <v>0</v>
      </c>
      <c r="K11">
        <v>28</v>
      </c>
      <c r="N11">
        <v>3</v>
      </c>
      <c r="O11">
        <v>3</v>
      </c>
      <c r="P11">
        <v>4</v>
      </c>
      <c r="Q11">
        <v>2</v>
      </c>
      <c r="R11">
        <v>58.1</v>
      </c>
      <c r="S11">
        <v>60</v>
      </c>
      <c r="T11">
        <v>60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60</v>
      </c>
      <c r="AB11">
        <v>0</v>
      </c>
      <c r="AC11">
        <v>0</v>
      </c>
      <c r="AF11" t="s">
        <v>130</v>
      </c>
      <c r="AH11">
        <v>118.1</v>
      </c>
    </row>
    <row r="12" spans="1:34" x14ac:dyDescent="0.3">
      <c r="A12" s="4">
        <v>10</v>
      </c>
      <c r="B12" s="5">
        <v>5</v>
      </c>
      <c r="C12">
        <v>10877</v>
      </c>
      <c r="D12" t="s">
        <v>4754</v>
      </c>
      <c r="E12" t="s">
        <v>29</v>
      </c>
      <c r="F12" t="s">
        <v>26104</v>
      </c>
      <c r="G12" t="s">
        <v>26105</v>
      </c>
      <c r="H12">
        <v>18.68</v>
      </c>
      <c r="I12">
        <v>0</v>
      </c>
      <c r="J12">
        <v>0</v>
      </c>
      <c r="K12">
        <v>20</v>
      </c>
      <c r="M12">
        <v>5</v>
      </c>
      <c r="O12">
        <v>5</v>
      </c>
      <c r="P12">
        <v>4</v>
      </c>
      <c r="Q12">
        <v>2</v>
      </c>
      <c r="R12">
        <v>49.68</v>
      </c>
      <c r="S12">
        <v>42</v>
      </c>
      <c r="T12">
        <v>42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42</v>
      </c>
      <c r="AB12">
        <v>6</v>
      </c>
      <c r="AC12">
        <v>0</v>
      </c>
      <c r="AF12" t="s">
        <v>130</v>
      </c>
      <c r="AH12">
        <v>97.68</v>
      </c>
    </row>
    <row r="13" spans="1:34" x14ac:dyDescent="0.3">
      <c r="A13" s="4">
        <v>11</v>
      </c>
      <c r="B13" s="5">
        <v>6</v>
      </c>
      <c r="C13">
        <v>8293</v>
      </c>
      <c r="D13" t="s">
        <v>26106</v>
      </c>
      <c r="E13" t="s">
        <v>24712</v>
      </c>
      <c r="F13" t="s">
        <v>5060</v>
      </c>
      <c r="G13" t="s">
        <v>26107</v>
      </c>
      <c r="H13">
        <v>19.38</v>
      </c>
      <c r="I13">
        <v>0</v>
      </c>
      <c r="J13">
        <v>0</v>
      </c>
      <c r="K13">
        <v>20</v>
      </c>
      <c r="L13">
        <v>7</v>
      </c>
      <c r="O13">
        <v>7</v>
      </c>
      <c r="P13">
        <v>4</v>
      </c>
      <c r="Q13">
        <v>0</v>
      </c>
      <c r="R13">
        <v>50.38</v>
      </c>
      <c r="S13">
        <v>41</v>
      </c>
      <c r="T13">
        <v>41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41</v>
      </c>
      <c r="AB13">
        <v>6</v>
      </c>
      <c r="AC13">
        <v>0</v>
      </c>
      <c r="AD13" t="s">
        <v>130</v>
      </c>
      <c r="AF13" t="s">
        <v>130</v>
      </c>
      <c r="AH13">
        <v>97.38</v>
      </c>
    </row>
    <row r="14" spans="1:34" x14ac:dyDescent="0.3">
      <c r="A14" s="4">
        <v>12</v>
      </c>
      <c r="B14" s="5">
        <v>7</v>
      </c>
      <c r="C14">
        <v>8838</v>
      </c>
      <c r="D14" t="s">
        <v>26108</v>
      </c>
      <c r="E14" t="s">
        <v>406</v>
      </c>
      <c r="F14" t="s">
        <v>17</v>
      </c>
      <c r="G14" t="s">
        <v>26109</v>
      </c>
      <c r="H14">
        <v>20.28</v>
      </c>
      <c r="I14">
        <v>0</v>
      </c>
      <c r="J14">
        <v>0</v>
      </c>
      <c r="K14">
        <v>20</v>
      </c>
      <c r="N14">
        <v>6</v>
      </c>
      <c r="O14">
        <v>6</v>
      </c>
      <c r="P14">
        <v>4</v>
      </c>
      <c r="Q14">
        <v>0</v>
      </c>
      <c r="R14">
        <v>50.28</v>
      </c>
      <c r="S14">
        <v>38</v>
      </c>
      <c r="T14">
        <v>38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38</v>
      </c>
      <c r="AB14">
        <v>6</v>
      </c>
      <c r="AC14">
        <v>0</v>
      </c>
      <c r="AF14" t="s">
        <v>130</v>
      </c>
      <c r="AH14">
        <v>94.28</v>
      </c>
    </row>
    <row r="15" spans="1:34" x14ac:dyDescent="0.3">
      <c r="A15" s="4">
        <v>13</v>
      </c>
      <c r="B15" s="5">
        <v>8</v>
      </c>
      <c r="C15">
        <v>9948</v>
      </c>
      <c r="D15" t="s">
        <v>17199</v>
      </c>
      <c r="E15" t="s">
        <v>208</v>
      </c>
      <c r="F15" t="s">
        <v>81</v>
      </c>
      <c r="G15" t="s">
        <v>26110</v>
      </c>
      <c r="H15">
        <v>22.33</v>
      </c>
      <c r="I15">
        <v>0</v>
      </c>
      <c r="J15">
        <v>0</v>
      </c>
      <c r="K15">
        <v>28</v>
      </c>
      <c r="L15">
        <v>7</v>
      </c>
      <c r="O15">
        <v>7</v>
      </c>
      <c r="P15">
        <v>4</v>
      </c>
      <c r="Q15">
        <v>2</v>
      </c>
      <c r="R15">
        <v>63.33</v>
      </c>
      <c r="S15">
        <v>29</v>
      </c>
      <c r="T15">
        <v>29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29</v>
      </c>
      <c r="AB15">
        <v>0</v>
      </c>
      <c r="AC15">
        <v>0</v>
      </c>
      <c r="AD15" t="s">
        <v>130</v>
      </c>
      <c r="AF15" t="s">
        <v>130</v>
      </c>
      <c r="AH15">
        <v>92.33</v>
      </c>
    </row>
    <row r="16" spans="1:34" x14ac:dyDescent="0.3">
      <c r="A16" s="4">
        <v>16</v>
      </c>
      <c r="B16" s="5">
        <v>9</v>
      </c>
      <c r="C16">
        <v>11696</v>
      </c>
      <c r="D16" t="s">
        <v>2010</v>
      </c>
      <c r="E16" t="s">
        <v>178</v>
      </c>
      <c r="F16" t="s">
        <v>259</v>
      </c>
      <c r="G16" t="s">
        <v>26111</v>
      </c>
      <c r="H16">
        <v>20.05</v>
      </c>
      <c r="I16">
        <v>0</v>
      </c>
      <c r="J16">
        <v>0</v>
      </c>
      <c r="K16">
        <v>20</v>
      </c>
      <c r="L16">
        <v>7</v>
      </c>
      <c r="O16">
        <v>7</v>
      </c>
      <c r="P16">
        <v>4</v>
      </c>
      <c r="Q16">
        <v>0</v>
      </c>
      <c r="R16">
        <v>51.05</v>
      </c>
      <c r="S16">
        <v>40</v>
      </c>
      <c r="T16">
        <v>40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40</v>
      </c>
      <c r="AB16">
        <v>0</v>
      </c>
      <c r="AC16">
        <v>0</v>
      </c>
      <c r="AF16" t="s">
        <v>130</v>
      </c>
      <c r="AH16">
        <v>91.05</v>
      </c>
    </row>
    <row r="17" spans="1:34" x14ac:dyDescent="0.3">
      <c r="A17" s="4">
        <v>19</v>
      </c>
      <c r="B17" s="5">
        <v>10</v>
      </c>
      <c r="C17">
        <v>164</v>
      </c>
      <c r="D17" t="s">
        <v>26112</v>
      </c>
      <c r="E17" t="s">
        <v>178</v>
      </c>
      <c r="F17" t="s">
        <v>20</v>
      </c>
      <c r="G17" t="s">
        <v>26113</v>
      </c>
      <c r="H17">
        <v>19.399999999999999</v>
      </c>
      <c r="I17">
        <v>0</v>
      </c>
      <c r="J17">
        <v>0</v>
      </c>
      <c r="K17">
        <v>20</v>
      </c>
      <c r="M17">
        <v>5</v>
      </c>
      <c r="N17">
        <v>3</v>
      </c>
      <c r="O17">
        <v>8</v>
      </c>
      <c r="P17">
        <v>4</v>
      </c>
      <c r="Q17">
        <v>0</v>
      </c>
      <c r="R17">
        <v>51.4</v>
      </c>
      <c r="S17">
        <v>31</v>
      </c>
      <c r="T17">
        <v>31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31</v>
      </c>
      <c r="AB17">
        <v>6</v>
      </c>
      <c r="AC17">
        <v>0</v>
      </c>
      <c r="AF17" t="s">
        <v>130</v>
      </c>
      <c r="AH17">
        <v>88.4</v>
      </c>
    </row>
    <row r="18" spans="1:34" x14ac:dyDescent="0.3">
      <c r="A18" s="4">
        <v>20</v>
      </c>
      <c r="B18" s="5">
        <v>11</v>
      </c>
      <c r="C18">
        <v>14230</v>
      </c>
      <c r="D18" t="s">
        <v>26114</v>
      </c>
      <c r="E18" t="s">
        <v>161</v>
      </c>
      <c r="F18" t="s">
        <v>38</v>
      </c>
      <c r="G18" t="s">
        <v>26115</v>
      </c>
      <c r="H18">
        <v>19.13</v>
      </c>
      <c r="I18">
        <v>0</v>
      </c>
      <c r="J18">
        <v>0</v>
      </c>
      <c r="K18">
        <v>20</v>
      </c>
      <c r="L18">
        <v>7</v>
      </c>
      <c r="O18">
        <v>7</v>
      </c>
      <c r="P18">
        <v>4</v>
      </c>
      <c r="Q18">
        <v>2</v>
      </c>
      <c r="R18">
        <v>52.13</v>
      </c>
      <c r="S18">
        <v>36</v>
      </c>
      <c r="T18">
        <v>36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36</v>
      </c>
      <c r="AB18">
        <v>0</v>
      </c>
      <c r="AC18">
        <v>0</v>
      </c>
      <c r="AF18" t="s">
        <v>130</v>
      </c>
      <c r="AH18">
        <v>88.13</v>
      </c>
    </row>
    <row r="19" spans="1:34" x14ac:dyDescent="0.3">
      <c r="A19" s="4">
        <v>23</v>
      </c>
      <c r="B19" s="5">
        <v>12</v>
      </c>
      <c r="C19">
        <v>4513</v>
      </c>
      <c r="D19" t="s">
        <v>26116</v>
      </c>
      <c r="E19" t="s">
        <v>132</v>
      </c>
      <c r="F19" t="s">
        <v>17</v>
      </c>
      <c r="G19" t="s">
        <v>26117</v>
      </c>
      <c r="H19">
        <v>17.829999999999998</v>
      </c>
      <c r="I19">
        <v>0</v>
      </c>
      <c r="J19">
        <v>0</v>
      </c>
      <c r="K19">
        <v>20</v>
      </c>
      <c r="N19">
        <v>3</v>
      </c>
      <c r="O19">
        <v>3</v>
      </c>
      <c r="P19">
        <v>4</v>
      </c>
      <c r="Q19">
        <v>2</v>
      </c>
      <c r="R19">
        <v>46.83</v>
      </c>
      <c r="S19">
        <v>36</v>
      </c>
      <c r="T19">
        <v>36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36</v>
      </c>
      <c r="AB19">
        <v>3</v>
      </c>
      <c r="AC19">
        <v>0</v>
      </c>
      <c r="AF19" t="s">
        <v>130</v>
      </c>
      <c r="AH19">
        <v>85.83</v>
      </c>
    </row>
    <row r="20" spans="1:34" x14ac:dyDescent="0.3">
      <c r="A20" s="4">
        <v>24</v>
      </c>
      <c r="B20" s="5">
        <v>13</v>
      </c>
      <c r="C20">
        <v>1491</v>
      </c>
      <c r="D20" t="s">
        <v>6129</v>
      </c>
      <c r="E20" t="s">
        <v>22</v>
      </c>
      <c r="F20" t="s">
        <v>328</v>
      </c>
      <c r="G20" t="s">
        <v>26118</v>
      </c>
      <c r="H20">
        <v>18.95</v>
      </c>
      <c r="I20">
        <v>0</v>
      </c>
      <c r="J20">
        <v>0</v>
      </c>
      <c r="K20">
        <v>20</v>
      </c>
      <c r="N20">
        <v>3</v>
      </c>
      <c r="O20">
        <v>3</v>
      </c>
      <c r="P20">
        <v>4</v>
      </c>
      <c r="Q20">
        <v>2</v>
      </c>
      <c r="R20">
        <v>47.95</v>
      </c>
      <c r="S20">
        <v>36</v>
      </c>
      <c r="T20">
        <v>36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36</v>
      </c>
      <c r="AB20">
        <v>0</v>
      </c>
      <c r="AC20">
        <v>0</v>
      </c>
      <c r="AF20" t="s">
        <v>130</v>
      </c>
      <c r="AH20">
        <v>83.95</v>
      </c>
    </row>
    <row r="21" spans="1:34" x14ac:dyDescent="0.3">
      <c r="A21" s="4">
        <v>26</v>
      </c>
      <c r="B21" s="5">
        <v>14</v>
      </c>
      <c r="C21">
        <v>1905</v>
      </c>
      <c r="D21" t="s">
        <v>26119</v>
      </c>
      <c r="E21" t="s">
        <v>29</v>
      </c>
      <c r="F21" t="s">
        <v>17</v>
      </c>
      <c r="G21" t="s">
        <v>26120</v>
      </c>
      <c r="H21">
        <v>23.45</v>
      </c>
      <c r="I21">
        <v>0</v>
      </c>
      <c r="J21">
        <v>0</v>
      </c>
      <c r="K21">
        <v>20</v>
      </c>
      <c r="L21">
        <v>7</v>
      </c>
      <c r="N21">
        <v>3</v>
      </c>
      <c r="O21">
        <v>10</v>
      </c>
      <c r="P21">
        <v>4</v>
      </c>
      <c r="Q21">
        <v>2</v>
      </c>
      <c r="R21">
        <v>59.45</v>
      </c>
      <c r="S21">
        <v>18</v>
      </c>
      <c r="T21">
        <v>18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18</v>
      </c>
      <c r="AB21">
        <v>6</v>
      </c>
      <c r="AC21">
        <v>0</v>
      </c>
      <c r="AF21" t="s">
        <v>130</v>
      </c>
      <c r="AH21">
        <v>83.45</v>
      </c>
    </row>
    <row r="22" spans="1:34" x14ac:dyDescent="0.3">
      <c r="A22" s="4">
        <v>27</v>
      </c>
      <c r="B22" s="5">
        <v>15</v>
      </c>
      <c r="C22">
        <v>1380</v>
      </c>
      <c r="D22" t="s">
        <v>26121</v>
      </c>
      <c r="E22" t="s">
        <v>29</v>
      </c>
      <c r="F22" t="s">
        <v>81</v>
      </c>
      <c r="G22" t="s">
        <v>26122</v>
      </c>
      <c r="H22">
        <v>19.5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2</v>
      </c>
      <c r="R22">
        <v>52.5</v>
      </c>
      <c r="S22">
        <v>22</v>
      </c>
      <c r="T22">
        <v>22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22</v>
      </c>
      <c r="AB22">
        <v>6</v>
      </c>
      <c r="AC22">
        <v>0</v>
      </c>
      <c r="AF22" t="s">
        <v>130</v>
      </c>
      <c r="AH22">
        <v>80.5</v>
      </c>
    </row>
    <row r="23" spans="1:34" x14ac:dyDescent="0.3">
      <c r="A23" s="4">
        <v>29</v>
      </c>
      <c r="B23" s="5">
        <v>16</v>
      </c>
      <c r="C23">
        <v>4670</v>
      </c>
      <c r="D23" t="s">
        <v>198</v>
      </c>
      <c r="E23" t="s">
        <v>613</v>
      </c>
      <c r="F23" t="s">
        <v>30</v>
      </c>
      <c r="G23" t="s">
        <v>26123</v>
      </c>
      <c r="H23">
        <v>18.98</v>
      </c>
      <c r="I23">
        <v>0</v>
      </c>
      <c r="J23">
        <v>0</v>
      </c>
      <c r="K23">
        <v>20</v>
      </c>
      <c r="L23">
        <v>7</v>
      </c>
      <c r="N23">
        <v>3</v>
      </c>
      <c r="O23">
        <v>10</v>
      </c>
      <c r="P23">
        <v>4</v>
      </c>
      <c r="Q23">
        <v>0</v>
      </c>
      <c r="R23">
        <v>52.98</v>
      </c>
      <c r="S23">
        <v>18</v>
      </c>
      <c r="T23">
        <v>18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18</v>
      </c>
      <c r="AB23">
        <v>9</v>
      </c>
      <c r="AC23">
        <v>0</v>
      </c>
      <c r="AF23" t="s">
        <v>130</v>
      </c>
      <c r="AH23">
        <v>79.98</v>
      </c>
    </row>
    <row r="24" spans="1:34" x14ac:dyDescent="0.3">
      <c r="A24" s="4">
        <v>31</v>
      </c>
      <c r="B24" s="5">
        <v>17</v>
      </c>
      <c r="C24">
        <v>6231</v>
      </c>
      <c r="D24" t="s">
        <v>26124</v>
      </c>
      <c r="E24" t="s">
        <v>68</v>
      </c>
      <c r="F24" t="s">
        <v>539</v>
      </c>
      <c r="G24" t="s">
        <v>26125</v>
      </c>
      <c r="H24">
        <v>18.8</v>
      </c>
      <c r="I24">
        <v>0</v>
      </c>
      <c r="J24">
        <v>0</v>
      </c>
      <c r="K24">
        <v>20</v>
      </c>
      <c r="O24">
        <v>0</v>
      </c>
      <c r="P24">
        <v>4</v>
      </c>
      <c r="Q24">
        <v>2</v>
      </c>
      <c r="R24">
        <v>44.8</v>
      </c>
      <c r="S24">
        <v>32</v>
      </c>
      <c r="T24">
        <v>32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32</v>
      </c>
      <c r="AB24">
        <v>3</v>
      </c>
      <c r="AC24">
        <v>0</v>
      </c>
      <c r="AF24" t="s">
        <v>130</v>
      </c>
      <c r="AH24">
        <v>79.8</v>
      </c>
    </row>
    <row r="25" spans="1:34" x14ac:dyDescent="0.3">
      <c r="A25" s="4">
        <v>34</v>
      </c>
      <c r="B25" s="5">
        <v>18</v>
      </c>
      <c r="C25">
        <v>2476</v>
      </c>
      <c r="D25" t="s">
        <v>26126</v>
      </c>
      <c r="E25" t="s">
        <v>166</v>
      </c>
      <c r="F25" t="s">
        <v>7576</v>
      </c>
      <c r="G25" t="s">
        <v>26127</v>
      </c>
      <c r="H25">
        <v>23.08</v>
      </c>
      <c r="I25">
        <v>0</v>
      </c>
      <c r="J25">
        <v>0</v>
      </c>
      <c r="K25">
        <v>28</v>
      </c>
      <c r="L25">
        <v>7</v>
      </c>
      <c r="O25">
        <v>7</v>
      </c>
      <c r="P25">
        <v>4</v>
      </c>
      <c r="Q25">
        <v>2</v>
      </c>
      <c r="R25">
        <v>64.08</v>
      </c>
      <c r="S25">
        <v>14</v>
      </c>
      <c r="T25">
        <v>14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14</v>
      </c>
      <c r="AB25">
        <v>0</v>
      </c>
      <c r="AC25">
        <v>0</v>
      </c>
      <c r="AF25" t="s">
        <v>130</v>
      </c>
      <c r="AH25">
        <v>78.08</v>
      </c>
    </row>
    <row r="26" spans="1:34" x14ac:dyDescent="0.3">
      <c r="A26" s="4">
        <v>35</v>
      </c>
      <c r="B26" s="5">
        <v>19</v>
      </c>
      <c r="C26">
        <v>2759</v>
      </c>
      <c r="D26" t="s">
        <v>7050</v>
      </c>
      <c r="E26" t="s">
        <v>188</v>
      </c>
      <c r="F26" t="s">
        <v>81</v>
      </c>
      <c r="G26" t="s">
        <v>26128</v>
      </c>
      <c r="H26">
        <v>16.68</v>
      </c>
      <c r="I26">
        <v>0</v>
      </c>
      <c r="J26">
        <v>0</v>
      </c>
      <c r="K26">
        <v>20</v>
      </c>
      <c r="O26">
        <v>0</v>
      </c>
      <c r="P26">
        <v>4</v>
      </c>
      <c r="Q26">
        <v>2</v>
      </c>
      <c r="R26">
        <v>42.68</v>
      </c>
      <c r="S26">
        <v>35</v>
      </c>
      <c r="T26">
        <v>35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35</v>
      </c>
      <c r="AB26">
        <v>0</v>
      </c>
      <c r="AC26">
        <v>0</v>
      </c>
      <c r="AF26" t="s">
        <v>130</v>
      </c>
      <c r="AH26">
        <v>77.680000000000007</v>
      </c>
    </row>
    <row r="27" spans="1:34" x14ac:dyDescent="0.3">
      <c r="A27" s="4">
        <v>36</v>
      </c>
      <c r="B27" s="5">
        <v>20</v>
      </c>
      <c r="C27">
        <v>9273</v>
      </c>
      <c r="D27" t="s">
        <v>26129</v>
      </c>
      <c r="E27" t="s">
        <v>1576</v>
      </c>
      <c r="F27" t="s">
        <v>81</v>
      </c>
      <c r="G27" t="s">
        <v>26130</v>
      </c>
      <c r="H27">
        <v>21.85</v>
      </c>
      <c r="I27">
        <v>0</v>
      </c>
      <c r="J27">
        <v>0</v>
      </c>
      <c r="K27">
        <v>20</v>
      </c>
      <c r="N27">
        <v>3</v>
      </c>
      <c r="O27">
        <v>3</v>
      </c>
      <c r="P27">
        <v>4</v>
      </c>
      <c r="Q27">
        <v>0</v>
      </c>
      <c r="R27">
        <v>48.85</v>
      </c>
      <c r="S27">
        <v>18</v>
      </c>
      <c r="T27">
        <v>18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18</v>
      </c>
      <c r="AB27">
        <v>9</v>
      </c>
      <c r="AC27">
        <v>0</v>
      </c>
      <c r="AF27" t="s">
        <v>130</v>
      </c>
      <c r="AH27">
        <v>75.849999999999994</v>
      </c>
    </row>
    <row r="28" spans="1:34" x14ac:dyDescent="0.3">
      <c r="A28" s="4">
        <v>38</v>
      </c>
      <c r="B28" s="5">
        <v>21</v>
      </c>
      <c r="C28">
        <v>11321</v>
      </c>
      <c r="D28" t="s">
        <v>26131</v>
      </c>
      <c r="E28" t="s">
        <v>1975</v>
      </c>
      <c r="F28" t="s">
        <v>17</v>
      </c>
      <c r="G28" t="s">
        <v>26132</v>
      </c>
      <c r="H28">
        <v>21.15</v>
      </c>
      <c r="I28">
        <v>0</v>
      </c>
      <c r="J28">
        <v>0</v>
      </c>
      <c r="K28">
        <v>28</v>
      </c>
      <c r="M28">
        <v>5</v>
      </c>
      <c r="N28">
        <v>3</v>
      </c>
      <c r="O28">
        <v>8</v>
      </c>
      <c r="P28">
        <v>0</v>
      </c>
      <c r="Q28">
        <v>0</v>
      </c>
      <c r="R28">
        <v>57.15</v>
      </c>
      <c r="S28">
        <v>18</v>
      </c>
      <c r="T28">
        <v>18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18</v>
      </c>
      <c r="AB28">
        <v>0</v>
      </c>
      <c r="AC28">
        <v>0</v>
      </c>
      <c r="AF28" t="s">
        <v>130</v>
      </c>
      <c r="AH28">
        <v>75.150000000000006</v>
      </c>
    </row>
    <row r="29" spans="1:34" x14ac:dyDescent="0.3">
      <c r="A29" s="4">
        <v>39</v>
      </c>
      <c r="B29" s="5">
        <v>22</v>
      </c>
      <c r="C29">
        <v>7273</v>
      </c>
      <c r="D29" t="s">
        <v>3510</v>
      </c>
      <c r="E29" t="s">
        <v>33</v>
      </c>
      <c r="F29" t="s">
        <v>81</v>
      </c>
      <c r="G29" t="s">
        <v>26133</v>
      </c>
      <c r="H29">
        <v>19.899999999999999</v>
      </c>
      <c r="I29">
        <v>0</v>
      </c>
      <c r="J29">
        <v>0</v>
      </c>
      <c r="K29">
        <v>20</v>
      </c>
      <c r="L29">
        <v>7</v>
      </c>
      <c r="O29">
        <v>7</v>
      </c>
      <c r="P29">
        <v>4</v>
      </c>
      <c r="Q29">
        <v>2</v>
      </c>
      <c r="R29">
        <v>52.9</v>
      </c>
      <c r="S29">
        <v>16</v>
      </c>
      <c r="T29">
        <v>16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16</v>
      </c>
      <c r="AB29">
        <v>6</v>
      </c>
      <c r="AC29">
        <v>0</v>
      </c>
      <c r="AF29" t="s">
        <v>130</v>
      </c>
      <c r="AH29">
        <v>74.900000000000006</v>
      </c>
    </row>
    <row r="30" spans="1:34" x14ac:dyDescent="0.3">
      <c r="A30" s="4">
        <v>41</v>
      </c>
      <c r="B30" s="5">
        <v>23</v>
      </c>
      <c r="C30">
        <v>9920</v>
      </c>
      <c r="D30" t="s">
        <v>26134</v>
      </c>
      <c r="E30" t="s">
        <v>26135</v>
      </c>
      <c r="F30" t="s">
        <v>20</v>
      </c>
      <c r="G30" t="s">
        <v>26136</v>
      </c>
      <c r="H30">
        <v>20.23</v>
      </c>
      <c r="I30">
        <v>0</v>
      </c>
      <c r="J30">
        <v>0</v>
      </c>
      <c r="K30">
        <v>20</v>
      </c>
      <c r="L30">
        <v>7</v>
      </c>
      <c r="N30">
        <v>3</v>
      </c>
      <c r="O30">
        <v>10</v>
      </c>
      <c r="P30">
        <v>4</v>
      </c>
      <c r="Q30">
        <v>2</v>
      </c>
      <c r="R30">
        <v>56.23</v>
      </c>
      <c r="S30">
        <v>17</v>
      </c>
      <c r="T30">
        <v>17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17</v>
      </c>
      <c r="AB30">
        <v>0</v>
      </c>
      <c r="AC30">
        <v>0</v>
      </c>
      <c r="AF30" t="s">
        <v>130</v>
      </c>
      <c r="AH30">
        <v>73.23</v>
      </c>
    </row>
    <row r="31" spans="1:34" x14ac:dyDescent="0.3">
      <c r="A31" s="4">
        <v>42</v>
      </c>
      <c r="B31" s="5">
        <v>24</v>
      </c>
      <c r="C31">
        <v>323</v>
      </c>
      <c r="D31" t="s">
        <v>26137</v>
      </c>
      <c r="E31" t="s">
        <v>110</v>
      </c>
      <c r="F31" t="s">
        <v>652</v>
      </c>
      <c r="G31" t="s">
        <v>26138</v>
      </c>
      <c r="H31">
        <v>18.93</v>
      </c>
      <c r="I31">
        <v>0</v>
      </c>
      <c r="J31">
        <v>0</v>
      </c>
      <c r="K31">
        <v>20</v>
      </c>
      <c r="L31">
        <v>7</v>
      </c>
      <c r="N31">
        <v>3</v>
      </c>
      <c r="O31">
        <v>10</v>
      </c>
      <c r="P31">
        <v>4</v>
      </c>
      <c r="Q31">
        <v>2</v>
      </c>
      <c r="R31">
        <v>54.93</v>
      </c>
      <c r="S31">
        <v>17</v>
      </c>
      <c r="T31">
        <v>17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17</v>
      </c>
      <c r="AB31">
        <v>0</v>
      </c>
      <c r="AC31">
        <v>0</v>
      </c>
      <c r="AF31" t="s">
        <v>130</v>
      </c>
      <c r="AH31">
        <v>71.930000000000007</v>
      </c>
    </row>
    <row r="32" spans="1:34" x14ac:dyDescent="0.3">
      <c r="A32" s="4">
        <v>43</v>
      </c>
      <c r="B32" s="5">
        <v>25</v>
      </c>
      <c r="C32">
        <v>8442</v>
      </c>
      <c r="D32" t="s">
        <v>26139</v>
      </c>
      <c r="E32" t="s">
        <v>1809</v>
      </c>
      <c r="F32" t="s">
        <v>158</v>
      </c>
      <c r="G32" t="s">
        <v>26140</v>
      </c>
      <c r="H32">
        <v>21.15</v>
      </c>
      <c r="I32">
        <v>0</v>
      </c>
      <c r="J32">
        <v>0</v>
      </c>
      <c r="K32">
        <v>0</v>
      </c>
      <c r="N32">
        <v>3</v>
      </c>
      <c r="O32">
        <v>3</v>
      </c>
      <c r="P32">
        <v>4</v>
      </c>
      <c r="Q32">
        <v>0</v>
      </c>
      <c r="R32">
        <v>28.15</v>
      </c>
      <c r="S32">
        <v>37</v>
      </c>
      <c r="T32">
        <v>37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37</v>
      </c>
      <c r="AB32">
        <v>6</v>
      </c>
      <c r="AC32">
        <v>0</v>
      </c>
      <c r="AF32" t="s">
        <v>130</v>
      </c>
      <c r="AH32">
        <v>71.150000000000006</v>
      </c>
    </row>
    <row r="33" spans="1:34" x14ac:dyDescent="0.3">
      <c r="A33" s="4">
        <v>44</v>
      </c>
      <c r="B33" s="5">
        <v>26</v>
      </c>
      <c r="C33">
        <v>9992</v>
      </c>
      <c r="D33" t="s">
        <v>26141</v>
      </c>
      <c r="E33" t="s">
        <v>29</v>
      </c>
      <c r="F33" t="s">
        <v>68</v>
      </c>
      <c r="G33" t="s">
        <v>26142</v>
      </c>
      <c r="H33">
        <v>19.649999999999999</v>
      </c>
      <c r="I33">
        <v>0</v>
      </c>
      <c r="J33">
        <v>0</v>
      </c>
      <c r="K33">
        <v>20</v>
      </c>
      <c r="L33">
        <v>7</v>
      </c>
      <c r="O33">
        <v>7</v>
      </c>
      <c r="P33">
        <v>4</v>
      </c>
      <c r="Q33">
        <v>2</v>
      </c>
      <c r="R33">
        <v>52.65</v>
      </c>
      <c r="S33">
        <v>8</v>
      </c>
      <c r="T33">
        <v>8</v>
      </c>
      <c r="U33">
        <v>0</v>
      </c>
      <c r="V33">
        <v>0</v>
      </c>
      <c r="W33">
        <v>6</v>
      </c>
      <c r="X33">
        <v>9</v>
      </c>
      <c r="Y33">
        <v>0</v>
      </c>
      <c r="Z33">
        <v>0</v>
      </c>
      <c r="AA33">
        <v>17</v>
      </c>
      <c r="AB33">
        <v>0</v>
      </c>
      <c r="AC33">
        <v>0</v>
      </c>
      <c r="AF33" t="s">
        <v>130</v>
      </c>
      <c r="AH33">
        <v>69.650000000000006</v>
      </c>
    </row>
    <row r="34" spans="1:34" x14ac:dyDescent="0.3">
      <c r="A34" s="4">
        <v>45</v>
      </c>
      <c r="B34" s="5">
        <v>27</v>
      </c>
      <c r="C34">
        <v>783</v>
      </c>
      <c r="D34" t="s">
        <v>26143</v>
      </c>
      <c r="E34" t="s">
        <v>38</v>
      </c>
      <c r="F34" t="s">
        <v>124</v>
      </c>
      <c r="G34" t="s">
        <v>26144</v>
      </c>
      <c r="H34">
        <v>22.68</v>
      </c>
      <c r="I34">
        <v>0</v>
      </c>
      <c r="J34">
        <v>0</v>
      </c>
      <c r="K34">
        <v>20</v>
      </c>
      <c r="L34">
        <v>7</v>
      </c>
      <c r="O34">
        <v>7</v>
      </c>
      <c r="P34">
        <v>4</v>
      </c>
      <c r="Q34">
        <v>2</v>
      </c>
      <c r="R34">
        <v>55.68</v>
      </c>
      <c r="S34">
        <v>13</v>
      </c>
      <c r="T34">
        <v>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13</v>
      </c>
      <c r="AB34">
        <v>0</v>
      </c>
      <c r="AC34">
        <v>0</v>
      </c>
      <c r="AD34" t="s">
        <v>130</v>
      </c>
      <c r="AF34" t="s">
        <v>130</v>
      </c>
      <c r="AH34">
        <v>68.680000000000007</v>
      </c>
    </row>
    <row r="35" spans="1:34" x14ac:dyDescent="0.3">
      <c r="A35" s="4">
        <v>47</v>
      </c>
      <c r="B35" s="5">
        <v>28</v>
      </c>
      <c r="C35">
        <v>14996</v>
      </c>
      <c r="D35" t="s">
        <v>26145</v>
      </c>
      <c r="E35" t="s">
        <v>178</v>
      </c>
      <c r="F35" t="s">
        <v>81</v>
      </c>
      <c r="G35" t="s">
        <v>26146</v>
      </c>
      <c r="H35">
        <v>20.45</v>
      </c>
      <c r="I35">
        <v>0</v>
      </c>
      <c r="J35">
        <v>0</v>
      </c>
      <c r="K35">
        <v>20</v>
      </c>
      <c r="N35">
        <v>6</v>
      </c>
      <c r="O35">
        <v>6</v>
      </c>
      <c r="P35">
        <v>4</v>
      </c>
      <c r="Q35">
        <v>0</v>
      </c>
      <c r="R35">
        <v>50.45</v>
      </c>
      <c r="S35">
        <v>18</v>
      </c>
      <c r="T35">
        <v>18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18</v>
      </c>
      <c r="AB35">
        <v>0</v>
      </c>
      <c r="AC35">
        <v>0</v>
      </c>
      <c r="AF35" t="s">
        <v>130</v>
      </c>
      <c r="AH35">
        <v>68.45</v>
      </c>
    </row>
    <row r="36" spans="1:34" x14ac:dyDescent="0.3">
      <c r="A36" s="4">
        <v>48</v>
      </c>
      <c r="B36" s="5">
        <v>29</v>
      </c>
      <c r="C36">
        <v>13457</v>
      </c>
      <c r="D36" t="s">
        <v>4468</v>
      </c>
      <c r="E36" t="s">
        <v>182</v>
      </c>
      <c r="F36" t="s">
        <v>38</v>
      </c>
      <c r="G36" t="s">
        <v>26147</v>
      </c>
      <c r="H36">
        <v>17.23</v>
      </c>
      <c r="I36">
        <v>0</v>
      </c>
      <c r="J36">
        <v>0</v>
      </c>
      <c r="K36">
        <v>0</v>
      </c>
      <c r="N36">
        <v>3</v>
      </c>
      <c r="O36">
        <v>3</v>
      </c>
      <c r="P36">
        <v>4</v>
      </c>
      <c r="Q36">
        <v>2</v>
      </c>
      <c r="R36">
        <v>26.23</v>
      </c>
      <c r="S36">
        <v>42</v>
      </c>
      <c r="T36">
        <v>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42</v>
      </c>
      <c r="AB36">
        <v>0</v>
      </c>
      <c r="AC36">
        <v>0</v>
      </c>
      <c r="AD36" t="s">
        <v>130</v>
      </c>
      <c r="AF36" t="s">
        <v>130</v>
      </c>
      <c r="AH36">
        <v>68.23</v>
      </c>
    </row>
    <row r="37" spans="1:34" x14ac:dyDescent="0.3">
      <c r="A37" s="4">
        <v>50</v>
      </c>
      <c r="B37" s="5">
        <v>30</v>
      </c>
      <c r="C37">
        <v>9369</v>
      </c>
      <c r="D37" t="s">
        <v>7501</v>
      </c>
      <c r="E37" t="s">
        <v>286</v>
      </c>
      <c r="F37" t="s">
        <v>328</v>
      </c>
      <c r="G37" t="s">
        <v>26148</v>
      </c>
      <c r="H37">
        <v>20.9</v>
      </c>
      <c r="I37">
        <v>0</v>
      </c>
      <c r="J37">
        <v>0</v>
      </c>
      <c r="K37">
        <v>20</v>
      </c>
      <c r="L37">
        <v>7</v>
      </c>
      <c r="O37">
        <v>7</v>
      </c>
      <c r="P37">
        <v>4</v>
      </c>
      <c r="Q37">
        <v>2</v>
      </c>
      <c r="R37">
        <v>53.9</v>
      </c>
      <c r="S37">
        <v>14</v>
      </c>
      <c r="T37">
        <v>14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14</v>
      </c>
      <c r="AB37">
        <v>0</v>
      </c>
      <c r="AC37">
        <v>0</v>
      </c>
      <c r="AF37" t="s">
        <v>130</v>
      </c>
      <c r="AH37">
        <v>67.900000000000006</v>
      </c>
    </row>
    <row r="38" spans="1:34" x14ac:dyDescent="0.3">
      <c r="A38" s="4">
        <v>51</v>
      </c>
      <c r="B38" s="5">
        <v>31</v>
      </c>
      <c r="C38">
        <v>8358</v>
      </c>
      <c r="D38" t="s">
        <v>26149</v>
      </c>
      <c r="E38" t="s">
        <v>132</v>
      </c>
      <c r="F38" t="s">
        <v>38</v>
      </c>
      <c r="G38" t="s">
        <v>26150</v>
      </c>
      <c r="H38">
        <v>19.88</v>
      </c>
      <c r="I38">
        <v>0</v>
      </c>
      <c r="J38">
        <v>0</v>
      </c>
      <c r="K38">
        <v>0</v>
      </c>
      <c r="N38">
        <v>3</v>
      </c>
      <c r="O38">
        <v>3</v>
      </c>
      <c r="P38">
        <v>4</v>
      </c>
      <c r="Q38">
        <v>2</v>
      </c>
      <c r="R38">
        <v>28.88</v>
      </c>
      <c r="S38">
        <v>33</v>
      </c>
      <c r="T38">
        <v>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33</v>
      </c>
      <c r="AB38">
        <v>6</v>
      </c>
      <c r="AC38">
        <v>0</v>
      </c>
      <c r="AF38" t="s">
        <v>130</v>
      </c>
      <c r="AH38">
        <v>67.88</v>
      </c>
    </row>
    <row r="39" spans="1:34" x14ac:dyDescent="0.3">
      <c r="A39" s="4">
        <v>52</v>
      </c>
      <c r="B39" s="5">
        <v>32</v>
      </c>
      <c r="C39">
        <v>7350</v>
      </c>
      <c r="D39" t="s">
        <v>26151</v>
      </c>
      <c r="E39" t="s">
        <v>259</v>
      </c>
      <c r="F39" t="s">
        <v>243</v>
      </c>
      <c r="G39" t="s">
        <v>26152</v>
      </c>
      <c r="H39">
        <v>19.78</v>
      </c>
      <c r="I39">
        <v>0</v>
      </c>
      <c r="J39">
        <v>0</v>
      </c>
      <c r="K39">
        <v>20</v>
      </c>
      <c r="L39">
        <v>7</v>
      </c>
      <c r="O39">
        <v>7</v>
      </c>
      <c r="P39">
        <v>4</v>
      </c>
      <c r="Q39">
        <v>0</v>
      </c>
      <c r="R39">
        <v>50.78</v>
      </c>
      <c r="S39">
        <v>16</v>
      </c>
      <c r="T39">
        <v>16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16</v>
      </c>
      <c r="AB39">
        <v>0</v>
      </c>
      <c r="AC39">
        <v>0</v>
      </c>
      <c r="AF39" t="s">
        <v>130</v>
      </c>
      <c r="AH39">
        <v>66.78</v>
      </c>
    </row>
    <row r="40" spans="1:34" x14ac:dyDescent="0.3">
      <c r="A40" s="4">
        <v>55</v>
      </c>
      <c r="B40" s="5">
        <v>33</v>
      </c>
      <c r="C40">
        <v>1684</v>
      </c>
      <c r="D40" t="s">
        <v>14221</v>
      </c>
      <c r="E40" t="s">
        <v>54</v>
      </c>
      <c r="F40" t="s">
        <v>17</v>
      </c>
      <c r="G40" t="s">
        <v>26153</v>
      </c>
      <c r="H40">
        <v>22.3</v>
      </c>
      <c r="I40">
        <v>7</v>
      </c>
      <c r="J40">
        <v>0</v>
      </c>
      <c r="K40">
        <v>20</v>
      </c>
      <c r="L40">
        <v>7</v>
      </c>
      <c r="N40">
        <v>3</v>
      </c>
      <c r="O40">
        <v>10</v>
      </c>
      <c r="P40">
        <v>4</v>
      </c>
      <c r="Q40">
        <v>2</v>
      </c>
      <c r="R40">
        <v>65.3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F40" t="s">
        <v>130</v>
      </c>
      <c r="AH40">
        <v>65.3</v>
      </c>
    </row>
    <row r="41" spans="1:34" x14ac:dyDescent="0.3">
      <c r="A41" s="4">
        <v>56</v>
      </c>
      <c r="B41" s="5">
        <v>34</v>
      </c>
      <c r="C41">
        <v>13027</v>
      </c>
      <c r="D41" t="s">
        <v>1630</v>
      </c>
      <c r="E41" t="s">
        <v>957</v>
      </c>
      <c r="F41" t="s">
        <v>230</v>
      </c>
      <c r="G41">
        <v>730399</v>
      </c>
      <c r="H41">
        <v>18.25</v>
      </c>
      <c r="I41">
        <v>0</v>
      </c>
      <c r="J41">
        <v>0</v>
      </c>
      <c r="K41">
        <v>0</v>
      </c>
      <c r="N41">
        <v>3</v>
      </c>
      <c r="O41">
        <v>3</v>
      </c>
      <c r="P41">
        <v>4</v>
      </c>
      <c r="Q41">
        <v>2</v>
      </c>
      <c r="R41">
        <v>27.25</v>
      </c>
      <c r="S41">
        <v>35</v>
      </c>
      <c r="T41">
        <v>35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35</v>
      </c>
      <c r="AB41">
        <v>3</v>
      </c>
      <c r="AC41">
        <v>0</v>
      </c>
      <c r="AD41" t="s">
        <v>130</v>
      </c>
      <c r="AF41" t="s">
        <v>130</v>
      </c>
      <c r="AH41">
        <v>65.25</v>
      </c>
    </row>
    <row r="42" spans="1:34" x14ac:dyDescent="0.3">
      <c r="A42" s="4">
        <v>57</v>
      </c>
      <c r="B42" s="5">
        <v>35</v>
      </c>
      <c r="C42">
        <v>3214</v>
      </c>
      <c r="D42" t="s">
        <v>13020</v>
      </c>
      <c r="E42" t="s">
        <v>1189</v>
      </c>
      <c r="F42" t="s">
        <v>2333</v>
      </c>
      <c r="G42" t="s">
        <v>26154</v>
      </c>
      <c r="H42">
        <v>21</v>
      </c>
      <c r="I42">
        <v>7</v>
      </c>
      <c r="J42">
        <v>0</v>
      </c>
      <c r="K42">
        <v>28</v>
      </c>
      <c r="M42">
        <v>5</v>
      </c>
      <c r="O42">
        <v>5</v>
      </c>
      <c r="P42">
        <v>4</v>
      </c>
      <c r="Q42">
        <v>0</v>
      </c>
      <c r="R42">
        <v>65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 t="s">
        <v>130</v>
      </c>
      <c r="AF42" t="s">
        <v>130</v>
      </c>
      <c r="AH42">
        <v>65</v>
      </c>
    </row>
    <row r="43" spans="1:34" x14ac:dyDescent="0.3">
      <c r="A43" s="4">
        <v>59</v>
      </c>
      <c r="B43" s="5">
        <v>36</v>
      </c>
      <c r="C43">
        <v>277</v>
      </c>
      <c r="D43" t="s">
        <v>26155</v>
      </c>
      <c r="E43" t="s">
        <v>54</v>
      </c>
      <c r="F43" t="s">
        <v>26156</v>
      </c>
      <c r="G43" t="s">
        <v>26157</v>
      </c>
      <c r="H43">
        <v>20.18</v>
      </c>
      <c r="I43">
        <v>0</v>
      </c>
      <c r="J43">
        <v>0</v>
      </c>
      <c r="K43">
        <v>20</v>
      </c>
      <c r="O43">
        <v>0</v>
      </c>
      <c r="P43">
        <v>4</v>
      </c>
      <c r="Q43">
        <v>2</v>
      </c>
      <c r="R43">
        <v>46.18</v>
      </c>
      <c r="S43">
        <v>18</v>
      </c>
      <c r="T43">
        <v>18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18</v>
      </c>
      <c r="AB43">
        <v>0</v>
      </c>
      <c r="AC43">
        <v>0</v>
      </c>
      <c r="AF43" t="s">
        <v>130</v>
      </c>
      <c r="AH43">
        <v>64.180000000000007</v>
      </c>
    </row>
    <row r="44" spans="1:34" x14ac:dyDescent="0.3">
      <c r="A44" s="4">
        <v>62</v>
      </c>
      <c r="B44" s="5">
        <v>37</v>
      </c>
      <c r="C44">
        <v>2926</v>
      </c>
      <c r="D44" t="s">
        <v>26158</v>
      </c>
      <c r="E44" t="s">
        <v>5539</v>
      </c>
      <c r="F44" t="s">
        <v>230</v>
      </c>
      <c r="G44" t="s">
        <v>26159</v>
      </c>
      <c r="H44">
        <v>19.38</v>
      </c>
      <c r="I44">
        <v>0</v>
      </c>
      <c r="J44">
        <v>0</v>
      </c>
      <c r="K44">
        <v>0</v>
      </c>
      <c r="L44">
        <v>7</v>
      </c>
      <c r="O44">
        <v>7</v>
      </c>
      <c r="P44">
        <v>0</v>
      </c>
      <c r="Q44">
        <v>0</v>
      </c>
      <c r="R44">
        <v>26.38</v>
      </c>
      <c r="S44">
        <v>37</v>
      </c>
      <c r="T44">
        <v>37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37</v>
      </c>
      <c r="AB44">
        <v>0</v>
      </c>
      <c r="AC44">
        <v>0</v>
      </c>
      <c r="AF44" t="s">
        <v>130</v>
      </c>
      <c r="AH44">
        <v>63.38</v>
      </c>
    </row>
    <row r="45" spans="1:34" x14ac:dyDescent="0.3">
      <c r="A45" s="4">
        <v>63</v>
      </c>
      <c r="B45" s="5">
        <v>38</v>
      </c>
      <c r="C45">
        <v>13992</v>
      </c>
      <c r="D45" t="s">
        <v>26160</v>
      </c>
      <c r="E45" t="s">
        <v>166</v>
      </c>
      <c r="F45" t="s">
        <v>442</v>
      </c>
      <c r="G45" t="s">
        <v>26161</v>
      </c>
      <c r="H45">
        <v>19.75</v>
      </c>
      <c r="I45">
        <v>0</v>
      </c>
      <c r="J45">
        <v>0</v>
      </c>
      <c r="K45">
        <v>0</v>
      </c>
      <c r="L45">
        <v>7</v>
      </c>
      <c r="N45">
        <v>3</v>
      </c>
      <c r="O45">
        <v>10</v>
      </c>
      <c r="P45">
        <v>4</v>
      </c>
      <c r="Q45">
        <v>2</v>
      </c>
      <c r="R45">
        <v>35.75</v>
      </c>
      <c r="S45">
        <v>27</v>
      </c>
      <c r="T45">
        <v>27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27</v>
      </c>
      <c r="AB45">
        <v>0</v>
      </c>
      <c r="AC45">
        <v>0</v>
      </c>
      <c r="AF45" t="s">
        <v>130</v>
      </c>
      <c r="AH45">
        <v>62.75</v>
      </c>
    </row>
    <row r="46" spans="1:34" x14ac:dyDescent="0.3">
      <c r="A46" s="4">
        <v>65</v>
      </c>
      <c r="B46" s="5">
        <v>39</v>
      </c>
      <c r="C46">
        <v>10011</v>
      </c>
      <c r="D46" t="s">
        <v>26162</v>
      </c>
      <c r="E46" t="s">
        <v>115</v>
      </c>
      <c r="F46" t="s">
        <v>17</v>
      </c>
      <c r="G46" t="s">
        <v>26163</v>
      </c>
      <c r="H46">
        <v>19.899999999999999</v>
      </c>
      <c r="I46">
        <v>0</v>
      </c>
      <c r="J46">
        <v>0</v>
      </c>
      <c r="K46">
        <v>0</v>
      </c>
      <c r="O46">
        <v>0</v>
      </c>
      <c r="P46">
        <v>4</v>
      </c>
      <c r="Q46">
        <v>2</v>
      </c>
      <c r="R46">
        <v>25.9</v>
      </c>
      <c r="S46">
        <v>35</v>
      </c>
      <c r="T46">
        <v>35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35</v>
      </c>
      <c r="AB46">
        <v>0</v>
      </c>
      <c r="AC46">
        <v>0</v>
      </c>
      <c r="AD46" t="s">
        <v>130</v>
      </c>
      <c r="AF46" t="s">
        <v>130</v>
      </c>
      <c r="AH46">
        <v>60.9</v>
      </c>
    </row>
    <row r="47" spans="1:34" x14ac:dyDescent="0.3">
      <c r="A47" s="4">
        <v>67</v>
      </c>
      <c r="B47" s="5">
        <v>40</v>
      </c>
      <c r="C47">
        <v>6093</v>
      </c>
      <c r="D47" t="s">
        <v>1296</v>
      </c>
      <c r="E47" t="s">
        <v>26164</v>
      </c>
      <c r="F47" t="s">
        <v>539</v>
      </c>
      <c r="G47" t="s">
        <v>26165</v>
      </c>
      <c r="H47">
        <v>19.23</v>
      </c>
      <c r="I47">
        <v>0</v>
      </c>
      <c r="J47">
        <v>0</v>
      </c>
      <c r="K47">
        <v>0</v>
      </c>
      <c r="N47">
        <v>3</v>
      </c>
      <c r="O47">
        <v>3</v>
      </c>
      <c r="P47">
        <v>4</v>
      </c>
      <c r="Q47">
        <v>2</v>
      </c>
      <c r="R47">
        <v>28.23</v>
      </c>
      <c r="S47">
        <v>26</v>
      </c>
      <c r="T47">
        <v>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26</v>
      </c>
      <c r="AB47">
        <v>6</v>
      </c>
      <c r="AC47">
        <v>0</v>
      </c>
      <c r="AF47" t="s">
        <v>130</v>
      </c>
      <c r="AH47">
        <v>60.23</v>
      </c>
    </row>
    <row r="48" spans="1:34" x14ac:dyDescent="0.3">
      <c r="A48" s="4">
        <v>68</v>
      </c>
      <c r="B48" s="5">
        <v>41</v>
      </c>
      <c r="C48">
        <v>1925</v>
      </c>
      <c r="D48" t="s">
        <v>198</v>
      </c>
      <c r="E48" t="s">
        <v>166</v>
      </c>
      <c r="F48" t="s">
        <v>20</v>
      </c>
      <c r="G48" t="s">
        <v>26166</v>
      </c>
      <c r="H48">
        <v>21</v>
      </c>
      <c r="I48">
        <v>7</v>
      </c>
      <c r="J48">
        <v>0</v>
      </c>
      <c r="K48">
        <v>0</v>
      </c>
      <c r="N48">
        <v>6</v>
      </c>
      <c r="O48">
        <v>6</v>
      </c>
      <c r="P48">
        <v>4</v>
      </c>
      <c r="Q48">
        <v>2</v>
      </c>
      <c r="R48">
        <v>40</v>
      </c>
      <c r="S48">
        <v>18</v>
      </c>
      <c r="T48">
        <v>18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18</v>
      </c>
      <c r="AB48">
        <v>0</v>
      </c>
      <c r="AC48">
        <v>0</v>
      </c>
      <c r="AF48" t="s">
        <v>130</v>
      </c>
      <c r="AH48">
        <v>58</v>
      </c>
    </row>
    <row r="49" spans="1:34" x14ac:dyDescent="0.3">
      <c r="A49" s="4">
        <v>70</v>
      </c>
      <c r="B49" s="5">
        <v>42</v>
      </c>
      <c r="C49">
        <v>7317</v>
      </c>
      <c r="D49" t="s">
        <v>26167</v>
      </c>
      <c r="E49" t="s">
        <v>54</v>
      </c>
      <c r="F49" t="s">
        <v>26168</v>
      </c>
      <c r="G49" t="s">
        <v>26169</v>
      </c>
      <c r="H49">
        <v>20.350000000000001</v>
      </c>
      <c r="I49">
        <v>7</v>
      </c>
      <c r="J49">
        <v>0</v>
      </c>
      <c r="K49">
        <v>20</v>
      </c>
      <c r="N49">
        <v>3</v>
      </c>
      <c r="O49">
        <v>3</v>
      </c>
      <c r="P49">
        <v>4</v>
      </c>
      <c r="Q49">
        <v>0</v>
      </c>
      <c r="R49">
        <v>54.35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3</v>
      </c>
      <c r="AC49">
        <v>0</v>
      </c>
      <c r="AF49" t="s">
        <v>130</v>
      </c>
      <c r="AH49">
        <v>57.35</v>
      </c>
    </row>
    <row r="50" spans="1:34" x14ac:dyDescent="0.3">
      <c r="A50" s="4">
        <v>71</v>
      </c>
      <c r="B50" s="5">
        <v>43</v>
      </c>
      <c r="C50">
        <v>8828</v>
      </c>
      <c r="D50" t="s">
        <v>5911</v>
      </c>
      <c r="E50" t="s">
        <v>957</v>
      </c>
      <c r="F50" t="s">
        <v>243</v>
      </c>
      <c r="G50" t="s">
        <v>26170</v>
      </c>
      <c r="H50">
        <v>19.850000000000001</v>
      </c>
      <c r="I50">
        <v>0</v>
      </c>
      <c r="J50">
        <v>0</v>
      </c>
      <c r="K50">
        <v>20</v>
      </c>
      <c r="L50">
        <v>7</v>
      </c>
      <c r="O50">
        <v>7</v>
      </c>
      <c r="P50">
        <v>4</v>
      </c>
      <c r="Q50">
        <v>2</v>
      </c>
      <c r="R50">
        <v>52.85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3</v>
      </c>
      <c r="AC50">
        <v>0</v>
      </c>
      <c r="AF50" t="s">
        <v>130</v>
      </c>
      <c r="AH50">
        <v>55.85</v>
      </c>
    </row>
    <row r="51" spans="1:34" x14ac:dyDescent="0.3">
      <c r="A51" s="4">
        <v>73</v>
      </c>
      <c r="B51" s="5">
        <v>44</v>
      </c>
      <c r="C51">
        <v>3202</v>
      </c>
      <c r="D51" t="s">
        <v>16985</v>
      </c>
      <c r="E51" t="s">
        <v>471</v>
      </c>
      <c r="F51" t="s">
        <v>1450</v>
      </c>
      <c r="G51" t="s">
        <v>26171</v>
      </c>
      <c r="H51">
        <v>19.45</v>
      </c>
      <c r="I51">
        <v>0</v>
      </c>
      <c r="J51">
        <v>0</v>
      </c>
      <c r="K51">
        <v>0</v>
      </c>
      <c r="L51">
        <v>7</v>
      </c>
      <c r="O51">
        <v>7</v>
      </c>
      <c r="P51">
        <v>4</v>
      </c>
      <c r="Q51">
        <v>2</v>
      </c>
      <c r="R51">
        <v>32.450000000000003</v>
      </c>
      <c r="S51">
        <v>17</v>
      </c>
      <c r="T51">
        <v>17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17</v>
      </c>
      <c r="AB51">
        <v>6</v>
      </c>
      <c r="AC51">
        <v>0</v>
      </c>
      <c r="AF51" t="s">
        <v>130</v>
      </c>
      <c r="AH51">
        <v>55.45</v>
      </c>
    </row>
    <row r="52" spans="1:34" x14ac:dyDescent="0.3">
      <c r="A52" s="4">
        <v>74</v>
      </c>
      <c r="B52" s="5">
        <v>45</v>
      </c>
      <c r="C52">
        <v>2720</v>
      </c>
      <c r="D52" t="s">
        <v>1224</v>
      </c>
      <c r="E52" t="s">
        <v>29</v>
      </c>
      <c r="F52" t="s">
        <v>136</v>
      </c>
      <c r="G52" t="s">
        <v>26172</v>
      </c>
      <c r="H52">
        <v>20.350000000000001</v>
      </c>
      <c r="I52">
        <v>0</v>
      </c>
      <c r="J52">
        <v>0</v>
      </c>
      <c r="K52">
        <v>20</v>
      </c>
      <c r="N52">
        <v>3</v>
      </c>
      <c r="O52">
        <v>3</v>
      </c>
      <c r="P52">
        <v>4</v>
      </c>
      <c r="Q52">
        <v>2</v>
      </c>
      <c r="R52">
        <v>49.35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6</v>
      </c>
      <c r="AC52">
        <v>0</v>
      </c>
      <c r="AF52" t="s">
        <v>130</v>
      </c>
      <c r="AH52">
        <v>55.35</v>
      </c>
    </row>
    <row r="53" spans="1:34" x14ac:dyDescent="0.3">
      <c r="A53" s="4">
        <v>76</v>
      </c>
      <c r="B53" s="5">
        <v>46</v>
      </c>
      <c r="C53">
        <v>15485</v>
      </c>
      <c r="D53" t="s">
        <v>3091</v>
      </c>
      <c r="E53" t="s">
        <v>54</v>
      </c>
      <c r="F53" t="s">
        <v>38</v>
      </c>
      <c r="G53" t="s">
        <v>26173</v>
      </c>
      <c r="H53">
        <v>22.05</v>
      </c>
      <c r="I53">
        <v>0</v>
      </c>
      <c r="J53">
        <v>0</v>
      </c>
      <c r="K53">
        <v>20</v>
      </c>
      <c r="L53">
        <v>7</v>
      </c>
      <c r="O53">
        <v>7</v>
      </c>
      <c r="P53">
        <v>4</v>
      </c>
      <c r="Q53">
        <v>2</v>
      </c>
      <c r="R53">
        <v>55.05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 t="s">
        <v>130</v>
      </c>
      <c r="AF53" t="s">
        <v>130</v>
      </c>
      <c r="AH53">
        <v>55.05</v>
      </c>
    </row>
    <row r="54" spans="1:34" x14ac:dyDescent="0.3">
      <c r="A54" s="4">
        <v>77</v>
      </c>
      <c r="B54" s="5">
        <v>47</v>
      </c>
      <c r="C54">
        <v>11873</v>
      </c>
      <c r="D54" t="s">
        <v>26174</v>
      </c>
      <c r="E54" t="s">
        <v>342</v>
      </c>
      <c r="F54" t="s">
        <v>17</v>
      </c>
      <c r="G54" t="s">
        <v>26175</v>
      </c>
      <c r="H54">
        <v>18.05</v>
      </c>
      <c r="I54">
        <v>0</v>
      </c>
      <c r="J54">
        <v>0</v>
      </c>
      <c r="K54">
        <v>0</v>
      </c>
      <c r="O54">
        <v>0</v>
      </c>
      <c r="P54">
        <v>4</v>
      </c>
      <c r="Q54">
        <v>2</v>
      </c>
      <c r="R54">
        <v>24.05</v>
      </c>
      <c r="S54">
        <v>31</v>
      </c>
      <c r="T54">
        <v>31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31</v>
      </c>
      <c r="AB54">
        <v>0</v>
      </c>
      <c r="AC54">
        <v>0</v>
      </c>
      <c r="AF54" t="s">
        <v>130</v>
      </c>
      <c r="AH54">
        <v>55.05</v>
      </c>
    </row>
    <row r="55" spans="1:34" x14ac:dyDescent="0.3">
      <c r="A55" s="4">
        <v>78</v>
      </c>
      <c r="B55" s="5">
        <v>48</v>
      </c>
      <c r="C55">
        <v>15470</v>
      </c>
      <c r="D55" t="s">
        <v>26176</v>
      </c>
      <c r="E55" t="s">
        <v>29</v>
      </c>
      <c r="F55" t="s">
        <v>81</v>
      </c>
      <c r="G55" t="s">
        <v>26177</v>
      </c>
      <c r="H55">
        <v>18.68</v>
      </c>
      <c r="I55">
        <v>0</v>
      </c>
      <c r="J55">
        <v>0</v>
      </c>
      <c r="K55">
        <v>20</v>
      </c>
      <c r="N55">
        <v>3</v>
      </c>
      <c r="O55">
        <v>3</v>
      </c>
      <c r="P55">
        <v>4</v>
      </c>
      <c r="Q55">
        <v>0</v>
      </c>
      <c r="R55">
        <v>45.68</v>
      </c>
      <c r="S55">
        <v>9</v>
      </c>
      <c r="T55">
        <v>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9</v>
      </c>
      <c r="AB55">
        <v>0</v>
      </c>
      <c r="AC55">
        <v>0</v>
      </c>
      <c r="AF55" t="s">
        <v>130</v>
      </c>
      <c r="AH55">
        <v>54.68</v>
      </c>
    </row>
    <row r="56" spans="1:34" x14ac:dyDescent="0.3">
      <c r="A56" s="4">
        <v>79</v>
      </c>
      <c r="B56" s="5">
        <v>49</v>
      </c>
      <c r="C56">
        <v>562</v>
      </c>
      <c r="D56" t="s">
        <v>26178</v>
      </c>
      <c r="E56" t="s">
        <v>166</v>
      </c>
      <c r="F56" t="s">
        <v>68</v>
      </c>
      <c r="G56" t="s">
        <v>26179</v>
      </c>
      <c r="H56">
        <v>20.23</v>
      </c>
      <c r="I56">
        <v>0</v>
      </c>
      <c r="J56">
        <v>0</v>
      </c>
      <c r="K56">
        <v>20</v>
      </c>
      <c r="L56">
        <v>7</v>
      </c>
      <c r="O56">
        <v>7</v>
      </c>
      <c r="P56">
        <v>4</v>
      </c>
      <c r="Q56">
        <v>2</v>
      </c>
      <c r="R56">
        <v>53.23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F56" t="s">
        <v>130</v>
      </c>
      <c r="AH56">
        <v>53.23</v>
      </c>
    </row>
    <row r="57" spans="1:34" x14ac:dyDescent="0.3">
      <c r="A57" s="4">
        <v>80</v>
      </c>
      <c r="B57" s="5">
        <v>50</v>
      </c>
      <c r="C57">
        <v>10270</v>
      </c>
      <c r="D57" t="s">
        <v>2786</v>
      </c>
      <c r="E57" t="s">
        <v>255</v>
      </c>
      <c r="F57" t="s">
        <v>17</v>
      </c>
      <c r="G57" t="s">
        <v>26180</v>
      </c>
      <c r="H57">
        <v>18.63</v>
      </c>
      <c r="I57">
        <v>0</v>
      </c>
      <c r="J57">
        <v>0</v>
      </c>
      <c r="K57">
        <v>0</v>
      </c>
      <c r="O57">
        <v>0</v>
      </c>
      <c r="P57">
        <v>4</v>
      </c>
      <c r="Q57">
        <v>2</v>
      </c>
      <c r="R57">
        <v>24.63</v>
      </c>
      <c r="S57">
        <v>25</v>
      </c>
      <c r="T57">
        <v>25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25</v>
      </c>
      <c r="AB57">
        <v>3</v>
      </c>
      <c r="AC57">
        <v>0</v>
      </c>
      <c r="AF57" t="s">
        <v>130</v>
      </c>
      <c r="AH57">
        <v>52.63</v>
      </c>
    </row>
    <row r="58" spans="1:34" x14ac:dyDescent="0.3">
      <c r="A58" s="4">
        <v>81</v>
      </c>
      <c r="B58" s="5">
        <v>51</v>
      </c>
      <c r="C58">
        <v>5362</v>
      </c>
      <c r="D58" t="s">
        <v>26181</v>
      </c>
      <c r="E58" t="s">
        <v>9284</v>
      </c>
      <c r="F58" t="s">
        <v>136</v>
      </c>
      <c r="G58" t="s">
        <v>26182</v>
      </c>
      <c r="H58">
        <v>18.18</v>
      </c>
      <c r="I58">
        <v>0</v>
      </c>
      <c r="J58">
        <v>0</v>
      </c>
      <c r="K58">
        <v>28</v>
      </c>
      <c r="O58">
        <v>0</v>
      </c>
      <c r="P58">
        <v>4</v>
      </c>
      <c r="Q58">
        <v>2</v>
      </c>
      <c r="R58">
        <v>52.18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 t="s">
        <v>130</v>
      </c>
      <c r="AF58" t="s">
        <v>130</v>
      </c>
      <c r="AH58">
        <v>52.18</v>
      </c>
    </row>
    <row r="59" spans="1:34" x14ac:dyDescent="0.3">
      <c r="A59" s="4">
        <v>82</v>
      </c>
      <c r="B59" s="5">
        <v>52</v>
      </c>
      <c r="C59">
        <v>10558</v>
      </c>
      <c r="D59" t="s">
        <v>3657</v>
      </c>
      <c r="E59" t="s">
        <v>1280</v>
      </c>
      <c r="F59" t="s">
        <v>136</v>
      </c>
      <c r="G59" t="s">
        <v>26183</v>
      </c>
      <c r="H59">
        <v>22.38</v>
      </c>
      <c r="I59">
        <v>0</v>
      </c>
      <c r="J59">
        <v>0</v>
      </c>
      <c r="K59">
        <v>0</v>
      </c>
      <c r="L59">
        <v>14</v>
      </c>
      <c r="O59">
        <v>14</v>
      </c>
      <c r="P59">
        <v>4</v>
      </c>
      <c r="Q59">
        <v>2</v>
      </c>
      <c r="R59">
        <v>42.38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9</v>
      </c>
      <c r="AC59">
        <v>0</v>
      </c>
      <c r="AF59" t="s">
        <v>130</v>
      </c>
      <c r="AH59">
        <v>51.38</v>
      </c>
    </row>
    <row r="60" spans="1:34" x14ac:dyDescent="0.3">
      <c r="A60" s="4">
        <v>83</v>
      </c>
      <c r="B60" s="5">
        <v>53</v>
      </c>
      <c r="C60">
        <v>6050</v>
      </c>
      <c r="D60" t="s">
        <v>7596</v>
      </c>
      <c r="E60" t="s">
        <v>10707</v>
      </c>
      <c r="F60" t="s">
        <v>20</v>
      </c>
      <c r="G60" t="s">
        <v>26184</v>
      </c>
      <c r="H60">
        <v>19.95</v>
      </c>
      <c r="I60">
        <v>0</v>
      </c>
      <c r="J60">
        <v>0</v>
      </c>
      <c r="K60">
        <v>20</v>
      </c>
      <c r="L60">
        <v>7</v>
      </c>
      <c r="O60">
        <v>7</v>
      </c>
      <c r="P60">
        <v>4</v>
      </c>
      <c r="Q60">
        <v>0</v>
      </c>
      <c r="R60">
        <v>50.95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F60" t="s">
        <v>130</v>
      </c>
      <c r="AH60">
        <v>50.95</v>
      </c>
    </row>
    <row r="61" spans="1:34" x14ac:dyDescent="0.3">
      <c r="A61" s="4">
        <v>84</v>
      </c>
      <c r="B61" s="5">
        <v>54</v>
      </c>
      <c r="C61">
        <v>12032</v>
      </c>
      <c r="D61" t="s">
        <v>26185</v>
      </c>
      <c r="E61" t="s">
        <v>110</v>
      </c>
      <c r="F61" t="s">
        <v>17</v>
      </c>
      <c r="G61" t="s">
        <v>26186</v>
      </c>
      <c r="H61">
        <v>20.9</v>
      </c>
      <c r="I61">
        <v>0</v>
      </c>
      <c r="J61">
        <v>0</v>
      </c>
      <c r="K61">
        <v>20</v>
      </c>
      <c r="N61">
        <v>3</v>
      </c>
      <c r="O61">
        <v>3</v>
      </c>
      <c r="P61">
        <v>4</v>
      </c>
      <c r="Q61">
        <v>0</v>
      </c>
      <c r="R61">
        <v>47.9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</v>
      </c>
      <c r="AC61">
        <v>0</v>
      </c>
      <c r="AF61" t="s">
        <v>130</v>
      </c>
      <c r="AH61">
        <v>50.9</v>
      </c>
    </row>
    <row r="62" spans="1:34" x14ac:dyDescent="0.3">
      <c r="A62" s="4">
        <v>86</v>
      </c>
      <c r="B62" s="5">
        <v>55</v>
      </c>
      <c r="C62">
        <v>9247</v>
      </c>
      <c r="D62" t="s">
        <v>26188</v>
      </c>
      <c r="E62" t="s">
        <v>132</v>
      </c>
      <c r="F62" t="s">
        <v>17</v>
      </c>
      <c r="G62" t="s">
        <v>26189</v>
      </c>
      <c r="H62">
        <v>19.8</v>
      </c>
      <c r="I62">
        <v>0</v>
      </c>
      <c r="J62">
        <v>0</v>
      </c>
      <c r="K62">
        <v>20</v>
      </c>
      <c r="L62">
        <v>7</v>
      </c>
      <c r="O62">
        <v>7</v>
      </c>
      <c r="P62">
        <v>4</v>
      </c>
      <c r="Q62">
        <v>0</v>
      </c>
      <c r="R62">
        <v>50.8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F62" t="s">
        <v>130</v>
      </c>
      <c r="AH62">
        <v>50.8</v>
      </c>
    </row>
    <row r="63" spans="1:34" x14ac:dyDescent="0.3">
      <c r="A63" s="4">
        <v>87</v>
      </c>
      <c r="B63" s="5">
        <v>56</v>
      </c>
      <c r="C63">
        <v>5967</v>
      </c>
      <c r="D63" t="s">
        <v>26190</v>
      </c>
      <c r="E63" t="s">
        <v>14420</v>
      </c>
      <c r="F63" t="s">
        <v>328</v>
      </c>
      <c r="G63" t="s">
        <v>26191</v>
      </c>
      <c r="H63">
        <v>19.28</v>
      </c>
      <c r="I63">
        <v>0</v>
      </c>
      <c r="J63">
        <v>0</v>
      </c>
      <c r="K63">
        <v>20</v>
      </c>
      <c r="M63">
        <v>5</v>
      </c>
      <c r="O63">
        <v>5</v>
      </c>
      <c r="P63">
        <v>4</v>
      </c>
      <c r="Q63">
        <v>2</v>
      </c>
      <c r="R63">
        <v>50.28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F63" t="s">
        <v>130</v>
      </c>
      <c r="AH63">
        <v>50.28</v>
      </c>
    </row>
    <row r="64" spans="1:34" x14ac:dyDescent="0.3">
      <c r="A64" s="4">
        <v>88</v>
      </c>
      <c r="B64" s="5">
        <v>57</v>
      </c>
      <c r="C64">
        <v>8957</v>
      </c>
      <c r="D64" t="s">
        <v>1457</v>
      </c>
      <c r="E64" t="s">
        <v>26192</v>
      </c>
      <c r="F64" t="s">
        <v>68</v>
      </c>
      <c r="G64" t="s">
        <v>26193</v>
      </c>
      <c r="H64">
        <v>21.13</v>
      </c>
      <c r="I64">
        <v>0</v>
      </c>
      <c r="J64">
        <v>0</v>
      </c>
      <c r="K64">
        <v>20</v>
      </c>
      <c r="N64">
        <v>3</v>
      </c>
      <c r="O64">
        <v>3</v>
      </c>
      <c r="P64">
        <v>4</v>
      </c>
      <c r="Q64">
        <v>2</v>
      </c>
      <c r="R64">
        <v>50.13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 t="s">
        <v>130</v>
      </c>
      <c r="AF64" t="s">
        <v>130</v>
      </c>
      <c r="AH64">
        <v>50.13</v>
      </c>
    </row>
    <row r="65" spans="1:34" x14ac:dyDescent="0.3">
      <c r="A65" s="4">
        <v>89</v>
      </c>
      <c r="B65" s="5">
        <v>58</v>
      </c>
      <c r="C65">
        <v>892</v>
      </c>
      <c r="D65" t="s">
        <v>207</v>
      </c>
      <c r="E65" t="s">
        <v>161</v>
      </c>
      <c r="F65" t="s">
        <v>136</v>
      </c>
      <c r="G65" t="s">
        <v>26194</v>
      </c>
      <c r="H65">
        <v>19.68</v>
      </c>
      <c r="I65">
        <v>0</v>
      </c>
      <c r="J65">
        <v>0</v>
      </c>
      <c r="K65">
        <v>20</v>
      </c>
      <c r="N65">
        <v>3</v>
      </c>
      <c r="O65">
        <v>3</v>
      </c>
      <c r="P65">
        <v>4</v>
      </c>
      <c r="Q65">
        <v>0</v>
      </c>
      <c r="R65">
        <v>46.68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3</v>
      </c>
      <c r="AC65">
        <v>0</v>
      </c>
      <c r="AF65" t="s">
        <v>130</v>
      </c>
      <c r="AH65">
        <v>49.68</v>
      </c>
    </row>
    <row r="66" spans="1:34" x14ac:dyDescent="0.3">
      <c r="A66" s="4">
        <v>90</v>
      </c>
      <c r="B66" s="5">
        <v>59</v>
      </c>
      <c r="C66">
        <v>2329</v>
      </c>
      <c r="D66" t="s">
        <v>16104</v>
      </c>
      <c r="E66" t="s">
        <v>692</v>
      </c>
      <c r="F66" t="s">
        <v>20</v>
      </c>
      <c r="G66" t="s">
        <v>26195</v>
      </c>
      <c r="H66">
        <v>20.65</v>
      </c>
      <c r="I66">
        <v>0</v>
      </c>
      <c r="J66">
        <v>0</v>
      </c>
      <c r="K66">
        <v>20</v>
      </c>
      <c r="L66">
        <v>7</v>
      </c>
      <c r="O66">
        <v>7</v>
      </c>
      <c r="P66">
        <v>0</v>
      </c>
      <c r="Q66">
        <v>2</v>
      </c>
      <c r="R66">
        <v>49.65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F66" t="s">
        <v>130</v>
      </c>
      <c r="AH66">
        <v>49.65</v>
      </c>
    </row>
    <row r="67" spans="1:34" x14ac:dyDescent="0.3">
      <c r="A67" s="4">
        <v>92</v>
      </c>
      <c r="B67" s="5">
        <v>60</v>
      </c>
      <c r="C67">
        <v>15605</v>
      </c>
      <c r="D67" t="s">
        <v>26196</v>
      </c>
      <c r="E67" t="s">
        <v>26197</v>
      </c>
      <c r="F67" t="s">
        <v>466</v>
      </c>
      <c r="G67" t="s">
        <v>26198</v>
      </c>
      <c r="H67">
        <v>21.88</v>
      </c>
      <c r="I67">
        <v>0</v>
      </c>
      <c r="J67">
        <v>0</v>
      </c>
      <c r="K67">
        <v>20</v>
      </c>
      <c r="N67">
        <v>3</v>
      </c>
      <c r="O67">
        <v>3</v>
      </c>
      <c r="P67">
        <v>4</v>
      </c>
      <c r="Q67">
        <v>0</v>
      </c>
      <c r="R67">
        <v>48.88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F67" t="s">
        <v>130</v>
      </c>
      <c r="AH67">
        <v>48.88</v>
      </c>
    </row>
    <row r="68" spans="1:34" x14ac:dyDescent="0.3">
      <c r="A68" s="4">
        <v>93</v>
      </c>
      <c r="B68" s="5">
        <v>61</v>
      </c>
      <c r="C68">
        <v>13487</v>
      </c>
      <c r="D68" t="s">
        <v>1447</v>
      </c>
      <c r="E68" t="s">
        <v>10391</v>
      </c>
      <c r="F68" t="s">
        <v>2513</v>
      </c>
      <c r="G68" t="s">
        <v>26199</v>
      </c>
      <c r="H68">
        <v>19.579999999999998</v>
      </c>
      <c r="I68">
        <v>0</v>
      </c>
      <c r="J68">
        <v>0</v>
      </c>
      <c r="K68">
        <v>20</v>
      </c>
      <c r="N68">
        <v>3</v>
      </c>
      <c r="O68">
        <v>3</v>
      </c>
      <c r="P68">
        <v>4</v>
      </c>
      <c r="Q68">
        <v>2</v>
      </c>
      <c r="R68">
        <v>48.58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 t="s">
        <v>130</v>
      </c>
      <c r="AF68" t="s">
        <v>130</v>
      </c>
      <c r="AH68">
        <v>48.58</v>
      </c>
    </row>
    <row r="69" spans="1:34" x14ac:dyDescent="0.3">
      <c r="A69" s="4">
        <v>95</v>
      </c>
      <c r="B69" s="5">
        <v>62</v>
      </c>
      <c r="C69">
        <v>9110</v>
      </c>
      <c r="D69" t="s">
        <v>26200</v>
      </c>
      <c r="E69" t="s">
        <v>20</v>
      </c>
      <c r="F69" t="s">
        <v>570</v>
      </c>
      <c r="G69" t="s">
        <v>26201</v>
      </c>
      <c r="H69">
        <v>16.350000000000001</v>
      </c>
      <c r="I69">
        <v>0</v>
      </c>
      <c r="J69">
        <v>0</v>
      </c>
      <c r="K69">
        <v>0</v>
      </c>
      <c r="L69">
        <v>7</v>
      </c>
      <c r="O69">
        <v>7</v>
      </c>
      <c r="P69">
        <v>4</v>
      </c>
      <c r="Q69">
        <v>2</v>
      </c>
      <c r="R69">
        <v>29.35</v>
      </c>
      <c r="S69">
        <v>17</v>
      </c>
      <c r="T69">
        <v>17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17</v>
      </c>
      <c r="AB69">
        <v>0</v>
      </c>
      <c r="AC69">
        <v>0</v>
      </c>
      <c r="AF69" t="s">
        <v>130</v>
      </c>
      <c r="AH69">
        <v>46.35</v>
      </c>
    </row>
    <row r="70" spans="1:34" x14ac:dyDescent="0.3">
      <c r="A70" s="4">
        <v>96</v>
      </c>
      <c r="B70" s="5">
        <v>63</v>
      </c>
      <c r="C70">
        <v>4243</v>
      </c>
      <c r="D70" t="s">
        <v>26202</v>
      </c>
      <c r="E70" t="s">
        <v>273</v>
      </c>
      <c r="F70" t="s">
        <v>38</v>
      </c>
      <c r="G70" t="s">
        <v>26203</v>
      </c>
      <c r="H70">
        <v>22.98</v>
      </c>
      <c r="I70">
        <v>0</v>
      </c>
      <c r="J70">
        <v>0</v>
      </c>
      <c r="K70">
        <v>0</v>
      </c>
      <c r="M70">
        <v>5</v>
      </c>
      <c r="N70">
        <v>3</v>
      </c>
      <c r="O70">
        <v>8</v>
      </c>
      <c r="P70">
        <v>4</v>
      </c>
      <c r="Q70">
        <v>0</v>
      </c>
      <c r="R70">
        <v>34.979999999999997</v>
      </c>
      <c r="S70">
        <v>8</v>
      </c>
      <c r="T70">
        <v>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8</v>
      </c>
      <c r="AB70">
        <v>3</v>
      </c>
      <c r="AC70">
        <v>0</v>
      </c>
      <c r="AD70" t="s">
        <v>130</v>
      </c>
      <c r="AF70" t="s">
        <v>130</v>
      </c>
      <c r="AH70">
        <v>45.98</v>
      </c>
    </row>
    <row r="71" spans="1:34" x14ac:dyDescent="0.3">
      <c r="A71" s="4">
        <v>98</v>
      </c>
      <c r="B71" s="5">
        <v>64</v>
      </c>
      <c r="C71">
        <v>3699</v>
      </c>
      <c r="D71" t="s">
        <v>5189</v>
      </c>
      <c r="E71" t="s">
        <v>29</v>
      </c>
      <c r="F71" t="s">
        <v>26204</v>
      </c>
      <c r="G71" t="s">
        <v>26205</v>
      </c>
      <c r="H71">
        <v>21.58</v>
      </c>
      <c r="I71">
        <v>0</v>
      </c>
      <c r="J71">
        <v>0</v>
      </c>
      <c r="K71">
        <v>0</v>
      </c>
      <c r="O71">
        <v>0</v>
      </c>
      <c r="P71">
        <v>4</v>
      </c>
      <c r="Q71">
        <v>2</v>
      </c>
      <c r="R71">
        <v>27.58</v>
      </c>
      <c r="S71">
        <v>18</v>
      </c>
      <c r="T71">
        <v>18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18</v>
      </c>
      <c r="AB71">
        <v>0</v>
      </c>
      <c r="AC71">
        <v>0</v>
      </c>
      <c r="AF71" t="s">
        <v>130</v>
      </c>
      <c r="AH71">
        <v>45.58</v>
      </c>
    </row>
    <row r="72" spans="1:34" x14ac:dyDescent="0.3">
      <c r="A72" s="4">
        <v>99</v>
      </c>
      <c r="B72" s="5">
        <v>65</v>
      </c>
      <c r="C72">
        <v>5378</v>
      </c>
      <c r="D72" t="s">
        <v>2170</v>
      </c>
      <c r="E72" t="s">
        <v>178</v>
      </c>
      <c r="F72" t="s">
        <v>652</v>
      </c>
      <c r="G72" t="s">
        <v>26206</v>
      </c>
      <c r="H72">
        <v>21.58</v>
      </c>
      <c r="I72">
        <v>7</v>
      </c>
      <c r="J72">
        <v>0</v>
      </c>
      <c r="K72">
        <v>0</v>
      </c>
      <c r="L72">
        <v>7</v>
      </c>
      <c r="N72">
        <v>3</v>
      </c>
      <c r="O72">
        <v>10</v>
      </c>
      <c r="P72">
        <v>4</v>
      </c>
      <c r="Q72">
        <v>2</v>
      </c>
      <c r="R72">
        <v>44.58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 t="s">
        <v>130</v>
      </c>
      <c r="AF72" t="s">
        <v>130</v>
      </c>
      <c r="AH72">
        <v>44.58</v>
      </c>
    </row>
    <row r="73" spans="1:34" x14ac:dyDescent="0.3">
      <c r="A73" s="4">
        <v>100</v>
      </c>
      <c r="B73" s="5">
        <v>66</v>
      </c>
      <c r="C73">
        <v>15344</v>
      </c>
      <c r="D73" t="s">
        <v>11747</v>
      </c>
      <c r="E73" t="s">
        <v>166</v>
      </c>
      <c r="F73" t="s">
        <v>167</v>
      </c>
      <c r="G73" t="s">
        <v>26207</v>
      </c>
      <c r="H73">
        <v>17.3</v>
      </c>
      <c r="I73">
        <v>0</v>
      </c>
      <c r="J73">
        <v>0</v>
      </c>
      <c r="K73">
        <v>20</v>
      </c>
      <c r="N73">
        <v>3</v>
      </c>
      <c r="O73">
        <v>3</v>
      </c>
      <c r="P73">
        <v>4</v>
      </c>
      <c r="Q73">
        <v>0</v>
      </c>
      <c r="R73">
        <v>44.3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 t="s">
        <v>130</v>
      </c>
      <c r="AF73" t="s">
        <v>130</v>
      </c>
      <c r="AH73">
        <v>44.3</v>
      </c>
    </row>
    <row r="74" spans="1:34" x14ac:dyDescent="0.3">
      <c r="A74" s="4">
        <v>101</v>
      </c>
      <c r="B74" s="5">
        <v>67</v>
      </c>
      <c r="C74">
        <v>5956</v>
      </c>
      <c r="D74" t="s">
        <v>267</v>
      </c>
      <c r="E74" t="s">
        <v>29</v>
      </c>
      <c r="F74" t="s">
        <v>38</v>
      </c>
      <c r="G74" t="s">
        <v>26208</v>
      </c>
      <c r="H74">
        <v>20.98</v>
      </c>
      <c r="I74">
        <v>7</v>
      </c>
      <c r="J74">
        <v>0</v>
      </c>
      <c r="K74">
        <v>0</v>
      </c>
      <c r="L74">
        <v>7</v>
      </c>
      <c r="N74">
        <v>3</v>
      </c>
      <c r="O74">
        <v>10</v>
      </c>
      <c r="P74">
        <v>4</v>
      </c>
      <c r="Q74">
        <v>2</v>
      </c>
      <c r="R74">
        <v>43.98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F74" t="s">
        <v>130</v>
      </c>
      <c r="AH74">
        <v>43.98</v>
      </c>
    </row>
    <row r="75" spans="1:34" x14ac:dyDescent="0.3">
      <c r="A75" s="4">
        <v>103</v>
      </c>
      <c r="B75" s="5">
        <v>68</v>
      </c>
      <c r="C75">
        <v>12273</v>
      </c>
      <c r="D75" t="s">
        <v>26209</v>
      </c>
      <c r="E75" t="s">
        <v>190</v>
      </c>
      <c r="F75" t="s">
        <v>167</v>
      </c>
      <c r="G75" t="s">
        <v>26210</v>
      </c>
      <c r="H75">
        <v>17.98</v>
      </c>
      <c r="I75">
        <v>0</v>
      </c>
      <c r="J75">
        <v>0</v>
      </c>
      <c r="K75">
        <v>0</v>
      </c>
      <c r="N75">
        <v>3</v>
      </c>
      <c r="O75">
        <v>3</v>
      </c>
      <c r="P75">
        <v>4</v>
      </c>
      <c r="Q75">
        <v>2</v>
      </c>
      <c r="R75">
        <v>26.98</v>
      </c>
      <c r="S75">
        <v>13</v>
      </c>
      <c r="T75">
        <v>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13</v>
      </c>
      <c r="AB75">
        <v>3</v>
      </c>
      <c r="AC75">
        <v>0</v>
      </c>
      <c r="AF75" t="s">
        <v>130</v>
      </c>
      <c r="AH75">
        <v>42.98</v>
      </c>
    </row>
    <row r="76" spans="1:34" x14ac:dyDescent="0.3">
      <c r="A76" s="4">
        <v>104</v>
      </c>
      <c r="B76" s="5">
        <v>69</v>
      </c>
      <c r="C76">
        <v>7702</v>
      </c>
      <c r="D76" t="s">
        <v>1907</v>
      </c>
      <c r="E76" t="s">
        <v>41</v>
      </c>
      <c r="F76" t="s">
        <v>68</v>
      </c>
      <c r="G76" t="s">
        <v>26211</v>
      </c>
      <c r="H76">
        <v>20.58</v>
      </c>
      <c r="I76">
        <v>0</v>
      </c>
      <c r="J76">
        <v>0</v>
      </c>
      <c r="K76">
        <v>0</v>
      </c>
      <c r="N76">
        <v>3</v>
      </c>
      <c r="O76">
        <v>3</v>
      </c>
      <c r="P76">
        <v>4</v>
      </c>
      <c r="Q76">
        <v>2</v>
      </c>
      <c r="R76">
        <v>29.58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12</v>
      </c>
      <c r="AC76">
        <v>0</v>
      </c>
      <c r="AF76" t="s">
        <v>130</v>
      </c>
      <c r="AH76">
        <v>41.58</v>
      </c>
    </row>
    <row r="77" spans="1:34" x14ac:dyDescent="0.3">
      <c r="A77" s="4">
        <v>105</v>
      </c>
      <c r="B77" s="5">
        <v>70</v>
      </c>
      <c r="C77">
        <v>1650</v>
      </c>
      <c r="D77" t="s">
        <v>26212</v>
      </c>
      <c r="E77" t="s">
        <v>188</v>
      </c>
      <c r="F77" t="s">
        <v>81</v>
      </c>
      <c r="G77" t="s">
        <v>26213</v>
      </c>
      <c r="H77">
        <v>19.899999999999999</v>
      </c>
      <c r="I77">
        <v>7</v>
      </c>
      <c r="J77">
        <v>0</v>
      </c>
      <c r="K77">
        <v>0</v>
      </c>
      <c r="L77">
        <v>7</v>
      </c>
      <c r="N77">
        <v>3</v>
      </c>
      <c r="O77">
        <v>10</v>
      </c>
      <c r="P77">
        <v>4</v>
      </c>
      <c r="Q77">
        <v>0</v>
      </c>
      <c r="R77">
        <v>40.9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 t="s">
        <v>130</v>
      </c>
      <c r="AF77" t="s">
        <v>130</v>
      </c>
      <c r="AH77">
        <v>40.9</v>
      </c>
    </row>
    <row r="78" spans="1:34" x14ac:dyDescent="0.3">
      <c r="A78" s="4">
        <v>106</v>
      </c>
      <c r="B78" s="5">
        <v>71</v>
      </c>
      <c r="C78">
        <v>11380</v>
      </c>
      <c r="D78" t="s">
        <v>26214</v>
      </c>
      <c r="E78" t="s">
        <v>132</v>
      </c>
      <c r="F78" t="s">
        <v>34</v>
      </c>
      <c r="G78" t="s">
        <v>26215</v>
      </c>
      <c r="H78">
        <v>21.35</v>
      </c>
      <c r="I78">
        <v>7</v>
      </c>
      <c r="J78">
        <v>0</v>
      </c>
      <c r="K78">
        <v>0</v>
      </c>
      <c r="N78">
        <v>3</v>
      </c>
      <c r="O78">
        <v>3</v>
      </c>
      <c r="P78">
        <v>4</v>
      </c>
      <c r="Q78">
        <v>2</v>
      </c>
      <c r="R78">
        <v>37.35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3</v>
      </c>
      <c r="AC78">
        <v>0</v>
      </c>
      <c r="AF78" t="s">
        <v>130</v>
      </c>
      <c r="AH78">
        <v>40.35</v>
      </c>
    </row>
    <row r="79" spans="1:34" x14ac:dyDescent="0.3">
      <c r="A79" s="4">
        <v>107</v>
      </c>
      <c r="B79" s="5">
        <v>72</v>
      </c>
      <c r="C79">
        <v>4402</v>
      </c>
      <c r="D79" t="s">
        <v>14954</v>
      </c>
      <c r="E79" t="s">
        <v>967</v>
      </c>
      <c r="F79" t="s">
        <v>81</v>
      </c>
      <c r="G79" t="s">
        <v>26216</v>
      </c>
      <c r="H79">
        <v>21.93</v>
      </c>
      <c r="I79">
        <v>0</v>
      </c>
      <c r="J79">
        <v>0</v>
      </c>
      <c r="K79">
        <v>0</v>
      </c>
      <c r="L79">
        <v>7</v>
      </c>
      <c r="N79">
        <v>3</v>
      </c>
      <c r="O79">
        <v>10</v>
      </c>
      <c r="P79">
        <v>4</v>
      </c>
      <c r="Q79">
        <v>0</v>
      </c>
      <c r="R79">
        <v>35.93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F79" t="s">
        <v>130</v>
      </c>
      <c r="AH79">
        <v>35.93</v>
      </c>
    </row>
    <row r="80" spans="1:34" x14ac:dyDescent="0.3">
      <c r="A80" s="4">
        <v>109</v>
      </c>
      <c r="B80" s="5">
        <v>73</v>
      </c>
      <c r="C80">
        <v>6467</v>
      </c>
      <c r="D80" t="s">
        <v>64</v>
      </c>
      <c r="E80" t="s">
        <v>132</v>
      </c>
      <c r="F80" t="s">
        <v>117</v>
      </c>
      <c r="G80" t="s">
        <v>26217</v>
      </c>
      <c r="H80">
        <v>20.53</v>
      </c>
      <c r="I80">
        <v>0</v>
      </c>
      <c r="J80">
        <v>0</v>
      </c>
      <c r="K80">
        <v>0</v>
      </c>
      <c r="O80">
        <v>0</v>
      </c>
      <c r="P80">
        <v>4</v>
      </c>
      <c r="Q80">
        <v>2</v>
      </c>
      <c r="R80">
        <v>26.53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6</v>
      </c>
      <c r="AC80">
        <v>0</v>
      </c>
      <c r="AF80" t="s">
        <v>130</v>
      </c>
      <c r="AH80">
        <v>32.53</v>
      </c>
    </row>
    <row r="81" spans="1:34" x14ac:dyDescent="0.3">
      <c r="A81" s="4">
        <v>110</v>
      </c>
      <c r="B81" s="5">
        <v>74</v>
      </c>
      <c r="C81">
        <v>7393</v>
      </c>
      <c r="D81" t="s">
        <v>6620</v>
      </c>
      <c r="E81" t="s">
        <v>29</v>
      </c>
      <c r="F81" t="s">
        <v>17</v>
      </c>
      <c r="G81" t="s">
        <v>26218</v>
      </c>
      <c r="H81">
        <v>21.33</v>
      </c>
      <c r="I81">
        <v>0</v>
      </c>
      <c r="J81">
        <v>0</v>
      </c>
      <c r="K81">
        <v>0</v>
      </c>
      <c r="M81">
        <v>5</v>
      </c>
      <c r="O81">
        <v>5</v>
      </c>
      <c r="P81">
        <v>4</v>
      </c>
      <c r="Q81">
        <v>2</v>
      </c>
      <c r="R81">
        <v>32.33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F81" t="s">
        <v>130</v>
      </c>
      <c r="AH81">
        <v>32.33</v>
      </c>
    </row>
    <row r="82" spans="1:34" x14ac:dyDescent="0.3">
      <c r="A82" s="4">
        <v>111</v>
      </c>
      <c r="B82" s="5">
        <v>75</v>
      </c>
      <c r="C82">
        <v>3979</v>
      </c>
      <c r="D82" t="s">
        <v>5160</v>
      </c>
      <c r="E82" t="s">
        <v>37</v>
      </c>
      <c r="F82" t="s">
        <v>20</v>
      </c>
      <c r="G82" t="s">
        <v>26219</v>
      </c>
      <c r="H82">
        <v>21.1</v>
      </c>
      <c r="I82">
        <v>0</v>
      </c>
      <c r="J82">
        <v>0</v>
      </c>
      <c r="K82">
        <v>0</v>
      </c>
      <c r="L82">
        <v>7</v>
      </c>
      <c r="O82">
        <v>7</v>
      </c>
      <c r="P82">
        <v>4</v>
      </c>
      <c r="Q82">
        <v>0</v>
      </c>
      <c r="R82">
        <v>32.1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F82" t="s">
        <v>130</v>
      </c>
      <c r="AH82">
        <v>32.1</v>
      </c>
    </row>
    <row r="83" spans="1:34" x14ac:dyDescent="0.3">
      <c r="A83" s="4">
        <v>112</v>
      </c>
      <c r="B83" s="5">
        <v>76</v>
      </c>
      <c r="C83">
        <v>10781</v>
      </c>
      <c r="D83" t="s">
        <v>26220</v>
      </c>
      <c r="E83" t="s">
        <v>29</v>
      </c>
      <c r="F83" t="s">
        <v>38</v>
      </c>
      <c r="G83" t="s">
        <v>26221</v>
      </c>
      <c r="H83">
        <v>19.55</v>
      </c>
      <c r="I83">
        <v>0</v>
      </c>
      <c r="J83">
        <v>0</v>
      </c>
      <c r="K83">
        <v>0</v>
      </c>
      <c r="O83">
        <v>0</v>
      </c>
      <c r="P83">
        <v>4</v>
      </c>
      <c r="Q83">
        <v>0</v>
      </c>
      <c r="R83">
        <v>23.55</v>
      </c>
      <c r="S83">
        <v>8</v>
      </c>
      <c r="T83">
        <v>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8</v>
      </c>
      <c r="AB83">
        <v>0</v>
      </c>
      <c r="AC83">
        <v>0</v>
      </c>
      <c r="AF83" t="s">
        <v>130</v>
      </c>
      <c r="AH83">
        <v>31.55</v>
      </c>
    </row>
    <row r="84" spans="1:34" x14ac:dyDescent="0.3">
      <c r="A84" s="4">
        <v>113</v>
      </c>
      <c r="B84" s="5">
        <v>77</v>
      </c>
      <c r="C84">
        <v>12457</v>
      </c>
      <c r="D84" t="s">
        <v>5103</v>
      </c>
      <c r="E84" t="s">
        <v>132</v>
      </c>
      <c r="F84" t="s">
        <v>136</v>
      </c>
      <c r="G84" t="s">
        <v>26222</v>
      </c>
      <c r="H84">
        <v>18.100000000000001</v>
      </c>
      <c r="I84">
        <v>0</v>
      </c>
      <c r="J84">
        <v>0</v>
      </c>
      <c r="K84">
        <v>0</v>
      </c>
      <c r="N84">
        <v>6</v>
      </c>
      <c r="O84">
        <v>6</v>
      </c>
      <c r="P84">
        <v>4</v>
      </c>
      <c r="Q84">
        <v>2</v>
      </c>
      <c r="R84">
        <v>30.1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F84" t="s">
        <v>130</v>
      </c>
      <c r="AH84">
        <v>30.1</v>
      </c>
    </row>
    <row r="85" spans="1:34" x14ac:dyDescent="0.3">
      <c r="A85" s="4">
        <v>114</v>
      </c>
      <c r="B85" s="5">
        <v>78</v>
      </c>
      <c r="C85">
        <v>966</v>
      </c>
      <c r="D85" t="s">
        <v>26223</v>
      </c>
      <c r="E85" t="s">
        <v>442</v>
      </c>
      <c r="F85" t="s">
        <v>81</v>
      </c>
      <c r="G85" t="s">
        <v>26224</v>
      </c>
      <c r="H85">
        <v>18.98</v>
      </c>
      <c r="I85">
        <v>0</v>
      </c>
      <c r="J85">
        <v>0</v>
      </c>
      <c r="K85">
        <v>0</v>
      </c>
      <c r="N85">
        <v>3</v>
      </c>
      <c r="O85">
        <v>3</v>
      </c>
      <c r="P85">
        <v>0</v>
      </c>
      <c r="Q85">
        <v>2</v>
      </c>
      <c r="R85">
        <v>23.98</v>
      </c>
      <c r="S85">
        <v>6</v>
      </c>
      <c r="T85">
        <v>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6</v>
      </c>
      <c r="AB85">
        <v>0</v>
      </c>
      <c r="AC85">
        <v>0</v>
      </c>
      <c r="AF85" t="s">
        <v>130</v>
      </c>
      <c r="AH85">
        <v>29.98</v>
      </c>
    </row>
    <row r="86" spans="1:34" x14ac:dyDescent="0.3">
      <c r="A86" s="4">
        <v>115</v>
      </c>
      <c r="B86" s="5">
        <v>79</v>
      </c>
      <c r="C86">
        <v>7112</v>
      </c>
      <c r="D86" t="s">
        <v>26225</v>
      </c>
      <c r="E86" t="s">
        <v>789</v>
      </c>
      <c r="F86" t="s">
        <v>136</v>
      </c>
      <c r="G86" t="s">
        <v>26226</v>
      </c>
      <c r="H86">
        <v>18.45</v>
      </c>
      <c r="I86">
        <v>0</v>
      </c>
      <c r="J86">
        <v>0</v>
      </c>
      <c r="K86">
        <v>0</v>
      </c>
      <c r="M86">
        <v>5</v>
      </c>
      <c r="O86">
        <v>5</v>
      </c>
      <c r="P86">
        <v>4</v>
      </c>
      <c r="Q86">
        <v>2</v>
      </c>
      <c r="R86">
        <v>29.45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 t="s">
        <v>130</v>
      </c>
      <c r="AF86" t="s">
        <v>130</v>
      </c>
      <c r="AH86">
        <v>29.45</v>
      </c>
    </row>
    <row r="87" spans="1:34" x14ac:dyDescent="0.3">
      <c r="A87" s="4">
        <v>117</v>
      </c>
      <c r="B87" s="5">
        <v>80</v>
      </c>
      <c r="C87">
        <v>4886</v>
      </c>
      <c r="D87" t="s">
        <v>26227</v>
      </c>
      <c r="E87" t="s">
        <v>29</v>
      </c>
      <c r="F87" t="s">
        <v>91</v>
      </c>
      <c r="G87" t="s">
        <v>26228</v>
      </c>
      <c r="H87">
        <v>19.38</v>
      </c>
      <c r="I87">
        <v>0</v>
      </c>
      <c r="J87">
        <v>0</v>
      </c>
      <c r="K87">
        <v>0</v>
      </c>
      <c r="N87">
        <v>6</v>
      </c>
      <c r="O87">
        <v>6</v>
      </c>
      <c r="P87">
        <v>0</v>
      </c>
      <c r="Q87">
        <v>0</v>
      </c>
      <c r="R87">
        <v>25.38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</v>
      </c>
      <c r="AC87">
        <v>0</v>
      </c>
      <c r="AF87" t="s">
        <v>130</v>
      </c>
      <c r="AH87">
        <v>28.38</v>
      </c>
    </row>
    <row r="88" spans="1:34" x14ac:dyDescent="0.3">
      <c r="A88" s="4">
        <v>118</v>
      </c>
      <c r="B88" s="5">
        <v>81</v>
      </c>
      <c r="C88">
        <v>10817</v>
      </c>
      <c r="D88" t="s">
        <v>2010</v>
      </c>
      <c r="E88" t="s">
        <v>1975</v>
      </c>
      <c r="F88" t="s">
        <v>136</v>
      </c>
      <c r="G88" t="s">
        <v>26229</v>
      </c>
      <c r="H88">
        <v>17.75</v>
      </c>
      <c r="I88">
        <v>0</v>
      </c>
      <c r="J88">
        <v>0</v>
      </c>
      <c r="K88">
        <v>0</v>
      </c>
      <c r="N88">
        <v>3</v>
      </c>
      <c r="O88">
        <v>3</v>
      </c>
      <c r="P88">
        <v>4</v>
      </c>
      <c r="Q88">
        <v>0</v>
      </c>
      <c r="R88">
        <v>24.75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</v>
      </c>
      <c r="AC88">
        <v>0</v>
      </c>
      <c r="AF88" t="s">
        <v>130</v>
      </c>
      <c r="AH88">
        <v>27.75</v>
      </c>
    </row>
    <row r="89" spans="1:34" x14ac:dyDescent="0.3">
      <c r="A89" s="4">
        <v>119</v>
      </c>
      <c r="B89" s="5">
        <v>82</v>
      </c>
      <c r="C89">
        <v>14436</v>
      </c>
      <c r="D89" t="s">
        <v>26230</v>
      </c>
      <c r="E89" t="s">
        <v>1474</v>
      </c>
      <c r="F89" t="s">
        <v>167</v>
      </c>
      <c r="G89" t="s">
        <v>26231</v>
      </c>
      <c r="H89">
        <v>20.079999999999998</v>
      </c>
      <c r="I89">
        <v>0</v>
      </c>
      <c r="J89">
        <v>0</v>
      </c>
      <c r="K89">
        <v>0</v>
      </c>
      <c r="N89">
        <v>3</v>
      </c>
      <c r="O89">
        <v>3</v>
      </c>
      <c r="P89">
        <v>4</v>
      </c>
      <c r="Q89">
        <v>0</v>
      </c>
      <c r="R89">
        <v>27.08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F89" t="s">
        <v>130</v>
      </c>
      <c r="AH89">
        <v>27.08</v>
      </c>
    </row>
    <row r="90" spans="1:34" x14ac:dyDescent="0.3">
      <c r="A90" s="4">
        <v>120</v>
      </c>
      <c r="B90" s="5">
        <v>83</v>
      </c>
      <c r="C90">
        <v>5509</v>
      </c>
      <c r="D90" t="s">
        <v>26232</v>
      </c>
      <c r="E90" t="s">
        <v>17</v>
      </c>
      <c r="F90" t="s">
        <v>17</v>
      </c>
      <c r="G90" t="s">
        <v>26233</v>
      </c>
      <c r="H90">
        <v>17.5</v>
      </c>
      <c r="I90">
        <v>0</v>
      </c>
      <c r="J90">
        <v>0</v>
      </c>
      <c r="K90">
        <v>0</v>
      </c>
      <c r="O90">
        <v>0</v>
      </c>
      <c r="P90">
        <v>0</v>
      </c>
      <c r="Q90">
        <v>0</v>
      </c>
      <c r="R90">
        <v>17.5</v>
      </c>
      <c r="S90">
        <v>8</v>
      </c>
      <c r="T90">
        <v>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8</v>
      </c>
      <c r="AB90">
        <v>0</v>
      </c>
      <c r="AC90">
        <v>0</v>
      </c>
      <c r="AF90" t="s">
        <v>130</v>
      </c>
      <c r="AH90">
        <v>25.5</v>
      </c>
    </row>
    <row r="91" spans="1:34" x14ac:dyDescent="0.3">
      <c r="A91" s="4">
        <v>121</v>
      </c>
      <c r="B91" s="5">
        <v>84</v>
      </c>
      <c r="C91">
        <v>2447</v>
      </c>
      <c r="D91" t="s">
        <v>6509</v>
      </c>
      <c r="E91" t="s">
        <v>268</v>
      </c>
      <c r="F91" t="s">
        <v>38</v>
      </c>
      <c r="G91" t="s">
        <v>26234</v>
      </c>
      <c r="H91">
        <v>18.45</v>
      </c>
      <c r="I91">
        <v>0</v>
      </c>
      <c r="J91">
        <v>0</v>
      </c>
      <c r="K91">
        <v>0</v>
      </c>
      <c r="N91">
        <v>3</v>
      </c>
      <c r="O91">
        <v>3</v>
      </c>
      <c r="P91">
        <v>0</v>
      </c>
      <c r="Q91">
        <v>2</v>
      </c>
      <c r="R91">
        <v>23.45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F91" t="s">
        <v>130</v>
      </c>
      <c r="AH91">
        <v>23.45</v>
      </c>
    </row>
    <row r="92" spans="1:34" x14ac:dyDescent="0.3">
      <c r="A92" s="4">
        <v>125</v>
      </c>
      <c r="B92" s="5">
        <v>85</v>
      </c>
      <c r="C92">
        <v>2498</v>
      </c>
      <c r="D92" t="s">
        <v>22287</v>
      </c>
      <c r="E92" t="s">
        <v>161</v>
      </c>
      <c r="F92" t="s">
        <v>68</v>
      </c>
      <c r="G92" t="s">
        <v>26235</v>
      </c>
      <c r="H92">
        <v>20.25</v>
      </c>
      <c r="I92">
        <v>0</v>
      </c>
      <c r="J92">
        <v>0</v>
      </c>
      <c r="K92">
        <v>20</v>
      </c>
      <c r="L92">
        <v>7</v>
      </c>
      <c r="N92">
        <v>3</v>
      </c>
      <c r="O92">
        <v>10</v>
      </c>
      <c r="P92">
        <v>4</v>
      </c>
      <c r="Q92">
        <v>2</v>
      </c>
      <c r="R92">
        <v>56.25</v>
      </c>
      <c r="S92">
        <v>50</v>
      </c>
      <c r="T92">
        <v>50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50</v>
      </c>
      <c r="AB92">
        <v>0</v>
      </c>
      <c r="AC92">
        <v>0</v>
      </c>
      <c r="AH92">
        <v>106.25</v>
      </c>
    </row>
    <row r="93" spans="1:34" x14ac:dyDescent="0.3">
      <c r="A93" s="4">
        <v>129</v>
      </c>
      <c r="B93" s="5">
        <v>86</v>
      </c>
      <c r="C93">
        <v>4864</v>
      </c>
      <c r="D93" t="s">
        <v>1304</v>
      </c>
      <c r="E93" t="s">
        <v>170</v>
      </c>
      <c r="F93" t="s">
        <v>26236</v>
      </c>
      <c r="G93" t="s">
        <v>26237</v>
      </c>
      <c r="H93">
        <v>21.08</v>
      </c>
      <c r="I93">
        <v>0</v>
      </c>
      <c r="J93">
        <v>0</v>
      </c>
      <c r="K93">
        <v>20</v>
      </c>
      <c r="L93">
        <v>7</v>
      </c>
      <c r="N93">
        <v>3</v>
      </c>
      <c r="O93">
        <v>10</v>
      </c>
      <c r="P93">
        <v>4</v>
      </c>
      <c r="Q93">
        <v>0</v>
      </c>
      <c r="R93">
        <v>55.08</v>
      </c>
      <c r="S93">
        <v>18</v>
      </c>
      <c r="T93">
        <v>18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18</v>
      </c>
      <c r="AB93">
        <v>3</v>
      </c>
      <c r="AC93">
        <v>0</v>
      </c>
      <c r="AH93">
        <v>76.08</v>
      </c>
    </row>
    <row r="94" spans="1:34" x14ac:dyDescent="0.3">
      <c r="A94" s="4">
        <v>130</v>
      </c>
      <c r="B94" s="5">
        <v>87</v>
      </c>
      <c r="C94">
        <v>12562</v>
      </c>
      <c r="D94" t="s">
        <v>26238</v>
      </c>
      <c r="E94" t="s">
        <v>26</v>
      </c>
      <c r="F94" t="s">
        <v>26239</v>
      </c>
      <c r="G94" t="s">
        <v>26240</v>
      </c>
      <c r="H94">
        <v>18</v>
      </c>
      <c r="I94">
        <v>0</v>
      </c>
      <c r="J94">
        <v>0</v>
      </c>
      <c r="K94">
        <v>0</v>
      </c>
      <c r="N94">
        <v>3</v>
      </c>
      <c r="O94">
        <v>3</v>
      </c>
      <c r="P94">
        <v>4</v>
      </c>
      <c r="Q94">
        <v>0</v>
      </c>
      <c r="R94">
        <v>25</v>
      </c>
      <c r="S94">
        <v>46</v>
      </c>
      <c r="T94">
        <v>46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46</v>
      </c>
      <c r="AB94">
        <v>3</v>
      </c>
      <c r="AC94">
        <v>0</v>
      </c>
      <c r="AH94">
        <v>74</v>
      </c>
    </row>
    <row r="95" spans="1:34" x14ac:dyDescent="0.3">
      <c r="A95" s="4">
        <v>131</v>
      </c>
      <c r="B95" s="5">
        <v>88</v>
      </c>
      <c r="C95">
        <v>11815</v>
      </c>
      <c r="D95" t="s">
        <v>26241</v>
      </c>
      <c r="E95" t="s">
        <v>143</v>
      </c>
      <c r="F95" t="s">
        <v>1511</v>
      </c>
      <c r="G95" t="s">
        <v>26242</v>
      </c>
      <c r="H95">
        <v>12.5</v>
      </c>
      <c r="I95">
        <v>0</v>
      </c>
      <c r="J95">
        <v>0</v>
      </c>
      <c r="K95">
        <v>0</v>
      </c>
      <c r="N95">
        <v>3</v>
      </c>
      <c r="O95">
        <v>3</v>
      </c>
      <c r="P95">
        <v>4</v>
      </c>
      <c r="Q95">
        <v>2</v>
      </c>
      <c r="R95">
        <v>21.5</v>
      </c>
      <c r="S95">
        <v>22</v>
      </c>
      <c r="T95">
        <v>22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22</v>
      </c>
      <c r="AB95">
        <v>3</v>
      </c>
      <c r="AC95">
        <v>26.8</v>
      </c>
      <c r="AD95" t="s">
        <v>130</v>
      </c>
      <c r="AH95">
        <v>73.3</v>
      </c>
    </row>
    <row r="96" spans="1:34" x14ac:dyDescent="0.3">
      <c r="A96" s="4">
        <v>133</v>
      </c>
      <c r="B96" s="5">
        <v>89</v>
      </c>
      <c r="C96">
        <v>6342</v>
      </c>
      <c r="D96" t="s">
        <v>26243</v>
      </c>
      <c r="E96" t="s">
        <v>286</v>
      </c>
      <c r="F96" t="s">
        <v>136</v>
      </c>
      <c r="G96" t="s">
        <v>26244</v>
      </c>
      <c r="H96">
        <v>21.55</v>
      </c>
      <c r="I96">
        <v>0</v>
      </c>
      <c r="J96">
        <v>0</v>
      </c>
      <c r="K96">
        <v>0</v>
      </c>
      <c r="N96">
        <v>3</v>
      </c>
      <c r="O96">
        <v>3</v>
      </c>
      <c r="P96">
        <v>4</v>
      </c>
      <c r="Q96">
        <v>0</v>
      </c>
      <c r="R96">
        <v>28.55</v>
      </c>
      <c r="S96">
        <v>16</v>
      </c>
      <c r="T96">
        <v>16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16</v>
      </c>
      <c r="AB96">
        <v>6</v>
      </c>
      <c r="AC96">
        <v>20</v>
      </c>
      <c r="AH96">
        <v>70.55</v>
      </c>
    </row>
    <row r="97" spans="1:34" x14ac:dyDescent="0.3">
      <c r="A97" s="4">
        <v>134</v>
      </c>
      <c r="B97" s="5">
        <v>90</v>
      </c>
      <c r="C97">
        <v>3750</v>
      </c>
      <c r="D97" t="s">
        <v>932</v>
      </c>
      <c r="E97" t="s">
        <v>283</v>
      </c>
      <c r="F97" t="s">
        <v>570</v>
      </c>
      <c r="G97" t="s">
        <v>26245</v>
      </c>
      <c r="H97">
        <v>18.18</v>
      </c>
      <c r="I97">
        <v>0</v>
      </c>
      <c r="J97">
        <v>0</v>
      </c>
      <c r="K97">
        <v>0</v>
      </c>
      <c r="O97">
        <v>0</v>
      </c>
      <c r="P97">
        <v>4</v>
      </c>
      <c r="Q97">
        <v>0</v>
      </c>
      <c r="R97">
        <v>22.18</v>
      </c>
      <c r="S97">
        <v>45</v>
      </c>
      <c r="T97">
        <v>45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45</v>
      </c>
      <c r="AB97">
        <v>3</v>
      </c>
      <c r="AC97">
        <v>0</v>
      </c>
      <c r="AH97">
        <v>70.180000000000007</v>
      </c>
    </row>
    <row r="98" spans="1:34" x14ac:dyDescent="0.3">
      <c r="A98" s="4">
        <v>136</v>
      </c>
      <c r="B98" s="5">
        <v>91</v>
      </c>
      <c r="C98">
        <v>8349</v>
      </c>
      <c r="D98" t="s">
        <v>26246</v>
      </c>
      <c r="E98" t="s">
        <v>208</v>
      </c>
      <c r="F98" t="s">
        <v>68</v>
      </c>
      <c r="G98" t="s">
        <v>26247</v>
      </c>
      <c r="H98">
        <v>18.48</v>
      </c>
      <c r="I98">
        <v>0</v>
      </c>
      <c r="J98">
        <v>0</v>
      </c>
      <c r="K98">
        <v>0</v>
      </c>
      <c r="O98">
        <v>0</v>
      </c>
      <c r="P98">
        <v>0</v>
      </c>
      <c r="Q98">
        <v>2</v>
      </c>
      <c r="R98">
        <v>20.48</v>
      </c>
      <c r="S98">
        <v>42</v>
      </c>
      <c r="T98">
        <v>42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42</v>
      </c>
      <c r="AB98">
        <v>6</v>
      </c>
      <c r="AC98">
        <v>0</v>
      </c>
      <c r="AH98">
        <v>68.48</v>
      </c>
    </row>
    <row r="99" spans="1:34" x14ac:dyDescent="0.3">
      <c r="A99" s="4">
        <v>137</v>
      </c>
      <c r="B99" s="5">
        <v>92</v>
      </c>
      <c r="C99">
        <v>6685</v>
      </c>
      <c r="D99" t="s">
        <v>26248</v>
      </c>
      <c r="E99" t="s">
        <v>667</v>
      </c>
      <c r="F99" t="s">
        <v>136</v>
      </c>
      <c r="G99" t="s">
        <v>26249</v>
      </c>
      <c r="H99">
        <v>22.15</v>
      </c>
      <c r="I99">
        <v>0</v>
      </c>
      <c r="J99">
        <v>0</v>
      </c>
      <c r="K99">
        <v>20</v>
      </c>
      <c r="L99">
        <v>7</v>
      </c>
      <c r="M99">
        <v>5</v>
      </c>
      <c r="O99">
        <v>12</v>
      </c>
      <c r="P99">
        <v>4</v>
      </c>
      <c r="Q99">
        <v>2</v>
      </c>
      <c r="R99">
        <v>60.15</v>
      </c>
      <c r="S99">
        <v>8</v>
      </c>
      <c r="T99">
        <v>8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8</v>
      </c>
      <c r="AB99">
        <v>0</v>
      </c>
      <c r="AC99">
        <v>0</v>
      </c>
      <c r="AH99">
        <v>68.150000000000006</v>
      </c>
    </row>
    <row r="100" spans="1:34" x14ac:dyDescent="0.3">
      <c r="A100" s="4">
        <v>138</v>
      </c>
      <c r="B100" s="5">
        <v>93</v>
      </c>
      <c r="C100">
        <v>8822</v>
      </c>
      <c r="D100" t="s">
        <v>26250</v>
      </c>
      <c r="E100" t="s">
        <v>213</v>
      </c>
      <c r="F100" t="s">
        <v>17</v>
      </c>
      <c r="G100" t="s">
        <v>26251</v>
      </c>
      <c r="H100">
        <v>19.7</v>
      </c>
      <c r="I100">
        <v>0</v>
      </c>
      <c r="J100">
        <v>0</v>
      </c>
      <c r="K100">
        <v>0</v>
      </c>
      <c r="O100">
        <v>0</v>
      </c>
      <c r="P100">
        <v>4</v>
      </c>
      <c r="Q100">
        <v>2</v>
      </c>
      <c r="R100">
        <v>25.7</v>
      </c>
      <c r="S100">
        <v>40</v>
      </c>
      <c r="T100">
        <v>40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40</v>
      </c>
      <c r="AB100">
        <v>0</v>
      </c>
      <c r="AC100">
        <v>0</v>
      </c>
      <c r="AD100" t="s">
        <v>130</v>
      </c>
      <c r="AH100">
        <v>65.7</v>
      </c>
    </row>
    <row r="101" spans="1:34" x14ac:dyDescent="0.3">
      <c r="A101" s="4">
        <v>139</v>
      </c>
      <c r="B101" s="5">
        <v>94</v>
      </c>
      <c r="C101">
        <v>13315</v>
      </c>
      <c r="D101" t="s">
        <v>26252</v>
      </c>
      <c r="E101" t="s">
        <v>26253</v>
      </c>
      <c r="F101" t="s">
        <v>2126</v>
      </c>
      <c r="G101" t="s">
        <v>26254</v>
      </c>
      <c r="H101">
        <v>19.98</v>
      </c>
      <c r="I101">
        <v>0</v>
      </c>
      <c r="J101">
        <v>0</v>
      </c>
      <c r="K101">
        <v>0</v>
      </c>
      <c r="N101">
        <v>3</v>
      </c>
      <c r="O101">
        <v>3</v>
      </c>
      <c r="P101">
        <v>4</v>
      </c>
      <c r="Q101">
        <v>0</v>
      </c>
      <c r="R101">
        <v>26.98</v>
      </c>
      <c r="S101">
        <v>32</v>
      </c>
      <c r="T101">
        <v>32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32</v>
      </c>
      <c r="AB101">
        <v>6</v>
      </c>
      <c r="AC101">
        <v>0</v>
      </c>
      <c r="AH101">
        <v>64.98</v>
      </c>
    </row>
    <row r="102" spans="1:34" x14ac:dyDescent="0.3">
      <c r="A102" s="4">
        <v>140</v>
      </c>
      <c r="B102" s="5">
        <v>95</v>
      </c>
      <c r="C102">
        <v>7565</v>
      </c>
      <c r="D102" t="s">
        <v>26255</v>
      </c>
      <c r="E102" t="s">
        <v>29</v>
      </c>
      <c r="F102" t="s">
        <v>385</v>
      </c>
      <c r="G102" t="s">
        <v>26256</v>
      </c>
      <c r="H102">
        <v>17.850000000000001</v>
      </c>
      <c r="I102">
        <v>0</v>
      </c>
      <c r="J102">
        <v>0</v>
      </c>
      <c r="K102">
        <v>20</v>
      </c>
      <c r="L102">
        <v>7</v>
      </c>
      <c r="O102">
        <v>7</v>
      </c>
      <c r="P102">
        <v>4</v>
      </c>
      <c r="Q102">
        <v>0</v>
      </c>
      <c r="R102">
        <v>48.85</v>
      </c>
      <c r="S102">
        <v>16</v>
      </c>
      <c r="T102">
        <v>16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16</v>
      </c>
      <c r="AB102">
        <v>0</v>
      </c>
      <c r="AC102">
        <v>0</v>
      </c>
      <c r="AH102">
        <v>64.849999999999994</v>
      </c>
    </row>
    <row r="103" spans="1:34" x14ac:dyDescent="0.3">
      <c r="A103" s="4">
        <v>141</v>
      </c>
      <c r="B103" s="5">
        <v>96</v>
      </c>
      <c r="C103">
        <v>9130</v>
      </c>
      <c r="D103" t="s">
        <v>19928</v>
      </c>
      <c r="E103" t="s">
        <v>858</v>
      </c>
      <c r="F103" t="s">
        <v>2442</v>
      </c>
      <c r="G103" t="s">
        <v>26257</v>
      </c>
      <c r="H103">
        <v>23.25</v>
      </c>
      <c r="I103">
        <v>7</v>
      </c>
      <c r="J103">
        <v>0</v>
      </c>
      <c r="K103">
        <v>0</v>
      </c>
      <c r="N103">
        <v>6</v>
      </c>
      <c r="O103">
        <v>6</v>
      </c>
      <c r="P103">
        <v>4</v>
      </c>
      <c r="Q103">
        <v>2</v>
      </c>
      <c r="R103">
        <v>42.25</v>
      </c>
      <c r="S103">
        <v>18</v>
      </c>
      <c r="T103">
        <v>18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18</v>
      </c>
      <c r="AB103">
        <v>3</v>
      </c>
      <c r="AC103">
        <v>0</v>
      </c>
      <c r="AD103" t="s">
        <v>130</v>
      </c>
      <c r="AH103">
        <v>63.25</v>
      </c>
    </row>
    <row r="104" spans="1:34" x14ac:dyDescent="0.3">
      <c r="A104" s="4">
        <v>142</v>
      </c>
      <c r="B104" s="5">
        <v>97</v>
      </c>
      <c r="C104">
        <v>3808</v>
      </c>
      <c r="D104" t="s">
        <v>26258</v>
      </c>
      <c r="E104" t="s">
        <v>132</v>
      </c>
      <c r="F104" t="s">
        <v>227</v>
      </c>
      <c r="G104" t="s">
        <v>26259</v>
      </c>
      <c r="H104">
        <v>19.600000000000001</v>
      </c>
      <c r="I104">
        <v>0</v>
      </c>
      <c r="J104">
        <v>0</v>
      </c>
      <c r="K104">
        <v>0</v>
      </c>
      <c r="N104">
        <v>3</v>
      </c>
      <c r="O104">
        <v>3</v>
      </c>
      <c r="P104">
        <v>4</v>
      </c>
      <c r="Q104">
        <v>2</v>
      </c>
      <c r="R104">
        <v>28.6</v>
      </c>
      <c r="S104">
        <v>25</v>
      </c>
      <c r="T104">
        <v>25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25</v>
      </c>
      <c r="AB104">
        <v>9</v>
      </c>
      <c r="AC104">
        <v>0</v>
      </c>
      <c r="AH104">
        <v>62.6</v>
      </c>
    </row>
    <row r="105" spans="1:34" x14ac:dyDescent="0.3">
      <c r="A105" s="4">
        <v>143</v>
      </c>
      <c r="B105" s="5">
        <v>98</v>
      </c>
      <c r="C105">
        <v>4527</v>
      </c>
      <c r="D105" t="s">
        <v>1549</v>
      </c>
      <c r="E105" t="s">
        <v>33</v>
      </c>
      <c r="F105" t="s">
        <v>230</v>
      </c>
      <c r="G105" t="s">
        <v>26260</v>
      </c>
      <c r="H105">
        <v>16.079999999999998</v>
      </c>
      <c r="I105">
        <v>0</v>
      </c>
      <c r="J105">
        <v>0</v>
      </c>
      <c r="K105">
        <v>0</v>
      </c>
      <c r="L105">
        <v>7</v>
      </c>
      <c r="O105">
        <v>7</v>
      </c>
      <c r="P105">
        <v>4</v>
      </c>
      <c r="Q105">
        <v>2</v>
      </c>
      <c r="R105">
        <v>29.08</v>
      </c>
      <c r="S105">
        <v>33</v>
      </c>
      <c r="T105">
        <v>33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33</v>
      </c>
      <c r="AB105">
        <v>0</v>
      </c>
      <c r="AC105">
        <v>0</v>
      </c>
      <c r="AH105">
        <v>62.08</v>
      </c>
    </row>
    <row r="106" spans="1:34" x14ac:dyDescent="0.3">
      <c r="A106" s="4">
        <v>144</v>
      </c>
      <c r="B106" s="5">
        <v>99</v>
      </c>
      <c r="C106">
        <v>7439</v>
      </c>
      <c r="D106" t="s">
        <v>4841</v>
      </c>
      <c r="E106" t="s">
        <v>789</v>
      </c>
      <c r="F106" t="s">
        <v>20</v>
      </c>
      <c r="G106" t="s">
        <v>26261</v>
      </c>
      <c r="H106">
        <v>21.1</v>
      </c>
      <c r="I106">
        <v>0</v>
      </c>
      <c r="J106">
        <v>0</v>
      </c>
      <c r="K106">
        <v>0</v>
      </c>
      <c r="L106">
        <v>7</v>
      </c>
      <c r="O106">
        <v>7</v>
      </c>
      <c r="P106">
        <v>0</v>
      </c>
      <c r="Q106">
        <v>0</v>
      </c>
      <c r="R106">
        <v>28.1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32.4</v>
      </c>
      <c r="AH106">
        <v>60.5</v>
      </c>
    </row>
    <row r="107" spans="1:34" x14ac:dyDescent="0.3">
      <c r="A107" s="4">
        <v>145</v>
      </c>
      <c r="B107" s="5">
        <v>100</v>
      </c>
      <c r="C107">
        <v>11479</v>
      </c>
      <c r="D107" t="s">
        <v>26262</v>
      </c>
      <c r="E107" t="s">
        <v>110</v>
      </c>
      <c r="F107" t="s">
        <v>55</v>
      </c>
      <c r="G107" t="s">
        <v>26263</v>
      </c>
      <c r="H107">
        <v>18.38</v>
      </c>
      <c r="I107">
        <v>0</v>
      </c>
      <c r="J107">
        <v>0</v>
      </c>
      <c r="K107">
        <v>20</v>
      </c>
      <c r="L107">
        <v>7</v>
      </c>
      <c r="N107">
        <v>3</v>
      </c>
      <c r="O107">
        <v>10</v>
      </c>
      <c r="P107">
        <v>4</v>
      </c>
      <c r="Q107">
        <v>0</v>
      </c>
      <c r="R107">
        <v>52.38</v>
      </c>
      <c r="S107">
        <v>8</v>
      </c>
      <c r="T107">
        <v>8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8</v>
      </c>
      <c r="AB107">
        <v>0</v>
      </c>
      <c r="AC107">
        <v>0</v>
      </c>
      <c r="AH107">
        <v>60.38</v>
      </c>
    </row>
    <row r="108" spans="1:34" x14ac:dyDescent="0.3">
      <c r="A108" s="4">
        <v>146</v>
      </c>
      <c r="B108" s="5">
        <v>101</v>
      </c>
      <c r="C108">
        <v>10220</v>
      </c>
      <c r="D108" t="s">
        <v>26264</v>
      </c>
      <c r="E108" t="s">
        <v>170</v>
      </c>
      <c r="F108" t="s">
        <v>343</v>
      </c>
      <c r="G108" t="s">
        <v>26265</v>
      </c>
      <c r="H108">
        <v>19.88</v>
      </c>
      <c r="I108">
        <v>0</v>
      </c>
      <c r="J108">
        <v>0</v>
      </c>
      <c r="K108">
        <v>0</v>
      </c>
      <c r="L108">
        <v>7</v>
      </c>
      <c r="N108">
        <v>3</v>
      </c>
      <c r="O108">
        <v>10</v>
      </c>
      <c r="P108">
        <v>4</v>
      </c>
      <c r="Q108">
        <v>2</v>
      </c>
      <c r="R108">
        <v>35.880000000000003</v>
      </c>
      <c r="S108">
        <v>18</v>
      </c>
      <c r="T108">
        <v>18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18</v>
      </c>
      <c r="AB108">
        <v>6</v>
      </c>
      <c r="AC108">
        <v>0</v>
      </c>
      <c r="AH108">
        <v>59.88</v>
      </c>
    </row>
    <row r="109" spans="1:34" x14ac:dyDescent="0.3">
      <c r="A109" s="4">
        <v>147</v>
      </c>
      <c r="B109" s="5">
        <v>102</v>
      </c>
      <c r="C109">
        <v>8876</v>
      </c>
      <c r="D109" t="s">
        <v>26266</v>
      </c>
      <c r="E109" t="s">
        <v>110</v>
      </c>
      <c r="F109" t="s">
        <v>158</v>
      </c>
      <c r="G109" t="s">
        <v>26267</v>
      </c>
      <c r="H109">
        <v>21.8</v>
      </c>
      <c r="I109">
        <v>0</v>
      </c>
      <c r="J109">
        <v>0</v>
      </c>
      <c r="K109">
        <v>20</v>
      </c>
      <c r="L109">
        <v>7</v>
      </c>
      <c r="N109">
        <v>3</v>
      </c>
      <c r="O109">
        <v>10</v>
      </c>
      <c r="P109">
        <v>4</v>
      </c>
      <c r="Q109">
        <v>0</v>
      </c>
      <c r="R109">
        <v>55.8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3</v>
      </c>
      <c r="AC109">
        <v>0</v>
      </c>
      <c r="AH109">
        <v>58.8</v>
      </c>
    </row>
    <row r="110" spans="1:34" x14ac:dyDescent="0.3">
      <c r="A110" s="4">
        <v>148</v>
      </c>
      <c r="B110" s="5">
        <v>103</v>
      </c>
      <c r="C110">
        <v>8603</v>
      </c>
      <c r="D110" t="s">
        <v>26268</v>
      </c>
      <c r="E110" t="s">
        <v>41</v>
      </c>
      <c r="F110" t="s">
        <v>230</v>
      </c>
      <c r="G110" t="s">
        <v>26269</v>
      </c>
      <c r="H110">
        <v>18.75</v>
      </c>
      <c r="I110">
        <v>0</v>
      </c>
      <c r="J110">
        <v>0</v>
      </c>
      <c r="K110">
        <v>0</v>
      </c>
      <c r="N110">
        <v>3</v>
      </c>
      <c r="O110">
        <v>3</v>
      </c>
      <c r="P110">
        <v>0</v>
      </c>
      <c r="Q110">
        <v>2</v>
      </c>
      <c r="R110">
        <v>23.75</v>
      </c>
      <c r="S110">
        <v>32</v>
      </c>
      <c r="T110">
        <v>32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32</v>
      </c>
      <c r="AB110">
        <v>3</v>
      </c>
      <c r="AC110">
        <v>0</v>
      </c>
      <c r="AH110">
        <v>58.75</v>
      </c>
    </row>
    <row r="111" spans="1:34" x14ac:dyDescent="0.3">
      <c r="A111" s="4">
        <v>149</v>
      </c>
      <c r="B111" s="5">
        <v>104</v>
      </c>
      <c r="C111">
        <v>8064</v>
      </c>
      <c r="D111" t="s">
        <v>26270</v>
      </c>
      <c r="E111" t="s">
        <v>161</v>
      </c>
      <c r="F111" t="s">
        <v>892</v>
      </c>
      <c r="G111" t="s">
        <v>26271</v>
      </c>
      <c r="H111">
        <v>22.23</v>
      </c>
      <c r="I111">
        <v>0</v>
      </c>
      <c r="J111">
        <v>0</v>
      </c>
      <c r="K111">
        <v>0</v>
      </c>
      <c r="L111">
        <v>7</v>
      </c>
      <c r="O111">
        <v>7</v>
      </c>
      <c r="P111">
        <v>4</v>
      </c>
      <c r="Q111">
        <v>2</v>
      </c>
      <c r="R111">
        <v>35.229999999999997</v>
      </c>
      <c r="S111">
        <v>17</v>
      </c>
      <c r="T111">
        <v>17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17</v>
      </c>
      <c r="AB111">
        <v>6</v>
      </c>
      <c r="AC111">
        <v>0</v>
      </c>
      <c r="AH111">
        <v>58.23</v>
      </c>
    </row>
    <row r="112" spans="1:34" x14ac:dyDescent="0.3">
      <c r="A112" s="4">
        <v>150</v>
      </c>
      <c r="B112" s="5">
        <v>105</v>
      </c>
      <c r="C112">
        <v>14715</v>
      </c>
      <c r="D112" t="s">
        <v>3091</v>
      </c>
      <c r="E112" t="s">
        <v>1809</v>
      </c>
      <c r="F112" t="s">
        <v>124</v>
      </c>
      <c r="G112" t="s">
        <v>26272</v>
      </c>
      <c r="H112">
        <v>18.45</v>
      </c>
      <c r="I112">
        <v>0</v>
      </c>
      <c r="J112">
        <v>0</v>
      </c>
      <c r="K112">
        <v>0</v>
      </c>
      <c r="N112">
        <v>3</v>
      </c>
      <c r="O112">
        <v>3</v>
      </c>
      <c r="P112">
        <v>4</v>
      </c>
      <c r="Q112">
        <v>0</v>
      </c>
      <c r="R112">
        <v>25.45</v>
      </c>
      <c r="S112">
        <v>26</v>
      </c>
      <c r="T112">
        <v>26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26</v>
      </c>
      <c r="AB112">
        <v>6</v>
      </c>
      <c r="AC112">
        <v>0</v>
      </c>
      <c r="AH112">
        <v>57.45</v>
      </c>
    </row>
    <row r="113" spans="1:34" x14ac:dyDescent="0.3">
      <c r="A113" s="4">
        <v>151</v>
      </c>
      <c r="B113" s="5">
        <v>106</v>
      </c>
      <c r="C113">
        <v>10808</v>
      </c>
      <c r="D113" t="s">
        <v>1740</v>
      </c>
      <c r="E113" t="s">
        <v>957</v>
      </c>
      <c r="F113" t="s">
        <v>38</v>
      </c>
      <c r="G113" t="s">
        <v>26273</v>
      </c>
      <c r="H113">
        <v>21.95</v>
      </c>
      <c r="I113">
        <v>0</v>
      </c>
      <c r="J113">
        <v>0</v>
      </c>
      <c r="K113">
        <v>0</v>
      </c>
      <c r="L113">
        <v>7</v>
      </c>
      <c r="O113">
        <v>7</v>
      </c>
      <c r="P113">
        <v>4</v>
      </c>
      <c r="Q113">
        <v>0</v>
      </c>
      <c r="R113">
        <v>32.950000000000003</v>
      </c>
      <c r="S113">
        <v>18</v>
      </c>
      <c r="T113">
        <v>18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18</v>
      </c>
      <c r="AB113">
        <v>6</v>
      </c>
      <c r="AC113">
        <v>0</v>
      </c>
      <c r="AH113">
        <v>56.95</v>
      </c>
    </row>
    <row r="114" spans="1:34" x14ac:dyDescent="0.3">
      <c r="A114" s="4">
        <v>152</v>
      </c>
      <c r="B114" s="5">
        <v>107</v>
      </c>
      <c r="C114">
        <v>11499</v>
      </c>
      <c r="D114" t="s">
        <v>26274</v>
      </c>
      <c r="E114" t="s">
        <v>208</v>
      </c>
      <c r="F114" t="s">
        <v>17</v>
      </c>
      <c r="G114" t="s">
        <v>26275</v>
      </c>
      <c r="H114">
        <v>18.899999999999999</v>
      </c>
      <c r="I114">
        <v>0</v>
      </c>
      <c r="J114">
        <v>0</v>
      </c>
      <c r="K114">
        <v>0</v>
      </c>
      <c r="N114">
        <v>6</v>
      </c>
      <c r="O114">
        <v>6</v>
      </c>
      <c r="P114">
        <v>4</v>
      </c>
      <c r="Q114">
        <v>0</v>
      </c>
      <c r="R114">
        <v>28.9</v>
      </c>
      <c r="S114">
        <v>25</v>
      </c>
      <c r="T114">
        <v>25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25</v>
      </c>
      <c r="AB114">
        <v>3</v>
      </c>
      <c r="AC114">
        <v>0</v>
      </c>
      <c r="AH114">
        <v>56.9</v>
      </c>
    </row>
    <row r="115" spans="1:34" x14ac:dyDescent="0.3">
      <c r="A115" s="4">
        <v>153</v>
      </c>
      <c r="B115" s="5">
        <v>108</v>
      </c>
      <c r="C115">
        <v>12897</v>
      </c>
      <c r="D115" t="s">
        <v>26276</v>
      </c>
      <c r="E115" t="s">
        <v>41</v>
      </c>
      <c r="F115" t="s">
        <v>343</v>
      </c>
      <c r="G115" t="s">
        <v>26277</v>
      </c>
      <c r="H115">
        <v>22.83</v>
      </c>
      <c r="I115">
        <v>0</v>
      </c>
      <c r="J115">
        <v>0</v>
      </c>
      <c r="K115">
        <v>20</v>
      </c>
      <c r="L115">
        <v>7</v>
      </c>
      <c r="N115">
        <v>3</v>
      </c>
      <c r="O115">
        <v>10</v>
      </c>
      <c r="P115">
        <v>4</v>
      </c>
      <c r="Q115">
        <v>0</v>
      </c>
      <c r="R115">
        <v>56.83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H115">
        <v>56.83</v>
      </c>
    </row>
    <row r="116" spans="1:34" x14ac:dyDescent="0.3">
      <c r="A116" s="4">
        <v>154</v>
      </c>
      <c r="B116" s="5">
        <v>109</v>
      </c>
      <c r="C116">
        <v>14062</v>
      </c>
      <c r="D116" t="s">
        <v>26278</v>
      </c>
      <c r="E116" t="s">
        <v>17</v>
      </c>
      <c r="F116" t="s">
        <v>81</v>
      </c>
      <c r="G116" t="s">
        <v>26279</v>
      </c>
      <c r="H116">
        <v>22.38</v>
      </c>
      <c r="I116">
        <v>0</v>
      </c>
      <c r="J116">
        <v>0</v>
      </c>
      <c r="K116">
        <v>20</v>
      </c>
      <c r="L116">
        <v>7</v>
      </c>
      <c r="N116">
        <v>3</v>
      </c>
      <c r="O116">
        <v>10</v>
      </c>
      <c r="P116">
        <v>4</v>
      </c>
      <c r="Q116">
        <v>0</v>
      </c>
      <c r="R116">
        <v>56.38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H116">
        <v>56.38</v>
      </c>
    </row>
    <row r="117" spans="1:34" x14ac:dyDescent="0.3">
      <c r="A117" s="4">
        <v>155</v>
      </c>
      <c r="B117" s="5">
        <v>110</v>
      </c>
      <c r="C117">
        <v>9295</v>
      </c>
      <c r="D117" t="s">
        <v>3295</v>
      </c>
      <c r="E117" t="s">
        <v>4695</v>
      </c>
      <c r="F117" t="s">
        <v>652</v>
      </c>
      <c r="G117" t="s">
        <v>26280</v>
      </c>
      <c r="H117">
        <v>22.38</v>
      </c>
      <c r="I117">
        <v>0</v>
      </c>
      <c r="J117">
        <v>0</v>
      </c>
      <c r="K117">
        <v>0</v>
      </c>
      <c r="L117">
        <v>7</v>
      </c>
      <c r="N117">
        <v>3</v>
      </c>
      <c r="O117">
        <v>10</v>
      </c>
      <c r="P117">
        <v>4</v>
      </c>
      <c r="Q117">
        <v>2</v>
      </c>
      <c r="R117">
        <v>38.380000000000003</v>
      </c>
      <c r="S117">
        <v>18</v>
      </c>
      <c r="T117">
        <v>18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18</v>
      </c>
      <c r="AB117">
        <v>0</v>
      </c>
      <c r="AC117">
        <v>0</v>
      </c>
      <c r="AH117">
        <v>56.38</v>
      </c>
    </row>
    <row r="118" spans="1:34" x14ac:dyDescent="0.3">
      <c r="A118" s="4">
        <v>156</v>
      </c>
      <c r="B118" s="5">
        <v>111</v>
      </c>
      <c r="C118">
        <v>4793</v>
      </c>
      <c r="D118" t="s">
        <v>22861</v>
      </c>
      <c r="E118" t="s">
        <v>62</v>
      </c>
      <c r="F118" t="s">
        <v>17</v>
      </c>
      <c r="G118" t="s">
        <v>26281</v>
      </c>
      <c r="H118">
        <v>12.5</v>
      </c>
      <c r="I118">
        <v>0</v>
      </c>
      <c r="J118">
        <v>0</v>
      </c>
      <c r="K118">
        <v>0</v>
      </c>
      <c r="N118">
        <v>3</v>
      </c>
      <c r="O118">
        <v>3</v>
      </c>
      <c r="P118">
        <v>0</v>
      </c>
      <c r="Q118">
        <v>0</v>
      </c>
      <c r="R118">
        <v>15.5</v>
      </c>
      <c r="S118">
        <v>34</v>
      </c>
      <c r="T118">
        <v>34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34</v>
      </c>
      <c r="AB118">
        <v>6</v>
      </c>
      <c r="AC118">
        <v>0</v>
      </c>
      <c r="AH118">
        <v>55.5</v>
      </c>
    </row>
    <row r="119" spans="1:34" x14ac:dyDescent="0.3">
      <c r="A119" s="4">
        <v>157</v>
      </c>
      <c r="B119" s="5">
        <v>112</v>
      </c>
      <c r="C119">
        <v>3456</v>
      </c>
      <c r="D119" t="s">
        <v>9952</v>
      </c>
      <c r="E119" t="s">
        <v>110</v>
      </c>
      <c r="F119" t="s">
        <v>3854</v>
      </c>
      <c r="G119" t="s">
        <v>26282</v>
      </c>
      <c r="H119">
        <v>18.45</v>
      </c>
      <c r="I119">
        <v>0</v>
      </c>
      <c r="J119">
        <v>0</v>
      </c>
      <c r="K119">
        <v>0</v>
      </c>
      <c r="N119">
        <v>3</v>
      </c>
      <c r="O119">
        <v>3</v>
      </c>
      <c r="P119">
        <v>4</v>
      </c>
      <c r="Q119">
        <v>0</v>
      </c>
      <c r="R119">
        <v>25.45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3</v>
      </c>
      <c r="AC119">
        <v>26.8</v>
      </c>
      <c r="AH119">
        <v>55.25</v>
      </c>
    </row>
    <row r="120" spans="1:34" x14ac:dyDescent="0.3">
      <c r="A120" s="4">
        <v>158</v>
      </c>
      <c r="B120" s="5">
        <v>113</v>
      </c>
      <c r="C120">
        <v>7909</v>
      </c>
      <c r="D120" t="s">
        <v>2115</v>
      </c>
      <c r="E120" t="s">
        <v>208</v>
      </c>
      <c r="F120" t="s">
        <v>2140</v>
      </c>
      <c r="G120" t="s">
        <v>26283</v>
      </c>
      <c r="H120">
        <v>20.2</v>
      </c>
      <c r="I120">
        <v>0</v>
      </c>
      <c r="J120">
        <v>0</v>
      </c>
      <c r="K120">
        <v>0</v>
      </c>
      <c r="L120">
        <v>7</v>
      </c>
      <c r="O120">
        <v>7</v>
      </c>
      <c r="P120">
        <v>4</v>
      </c>
      <c r="Q120">
        <v>2</v>
      </c>
      <c r="R120">
        <v>33.200000000000003</v>
      </c>
      <c r="S120">
        <v>16</v>
      </c>
      <c r="T120">
        <v>16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16</v>
      </c>
      <c r="AB120">
        <v>6</v>
      </c>
      <c r="AC120">
        <v>0</v>
      </c>
      <c r="AH120">
        <v>55.2</v>
      </c>
    </row>
    <row r="121" spans="1:34" x14ac:dyDescent="0.3">
      <c r="A121" s="4">
        <v>159</v>
      </c>
      <c r="B121" s="5">
        <v>114</v>
      </c>
      <c r="C121">
        <v>2833</v>
      </c>
      <c r="D121" t="s">
        <v>26284</v>
      </c>
      <c r="E121" t="s">
        <v>1327</v>
      </c>
      <c r="F121" t="s">
        <v>117</v>
      </c>
      <c r="G121" t="s">
        <v>26285</v>
      </c>
      <c r="H121">
        <v>19.2</v>
      </c>
      <c r="I121">
        <v>0</v>
      </c>
      <c r="J121">
        <v>0</v>
      </c>
      <c r="K121">
        <v>0</v>
      </c>
      <c r="L121">
        <v>7</v>
      </c>
      <c r="O121">
        <v>7</v>
      </c>
      <c r="P121">
        <v>4</v>
      </c>
      <c r="Q121">
        <v>0</v>
      </c>
      <c r="R121">
        <v>30.2</v>
      </c>
      <c r="S121">
        <v>22</v>
      </c>
      <c r="T121">
        <v>22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22</v>
      </c>
      <c r="AB121">
        <v>3</v>
      </c>
      <c r="AC121">
        <v>0</v>
      </c>
      <c r="AH121">
        <v>55.2</v>
      </c>
    </row>
    <row r="122" spans="1:34" x14ac:dyDescent="0.3">
      <c r="A122" s="4">
        <v>160</v>
      </c>
      <c r="B122" s="5">
        <v>115</v>
      </c>
      <c r="C122">
        <v>10691</v>
      </c>
      <c r="D122" t="s">
        <v>26286</v>
      </c>
      <c r="E122" t="s">
        <v>26287</v>
      </c>
      <c r="F122" t="s">
        <v>6419</v>
      </c>
      <c r="G122" t="s">
        <v>26288</v>
      </c>
      <c r="H122">
        <v>18.3</v>
      </c>
      <c r="I122">
        <v>0</v>
      </c>
      <c r="J122">
        <v>0</v>
      </c>
      <c r="K122">
        <v>0</v>
      </c>
      <c r="N122">
        <v>6</v>
      </c>
      <c r="O122">
        <v>6</v>
      </c>
      <c r="P122">
        <v>4</v>
      </c>
      <c r="Q122">
        <v>0</v>
      </c>
      <c r="R122">
        <v>28.3</v>
      </c>
      <c r="S122">
        <v>26</v>
      </c>
      <c r="T122">
        <v>26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26</v>
      </c>
      <c r="AB122">
        <v>0</v>
      </c>
      <c r="AC122">
        <v>0</v>
      </c>
      <c r="AH122">
        <v>54.3</v>
      </c>
    </row>
    <row r="123" spans="1:34" x14ac:dyDescent="0.3">
      <c r="A123" s="4">
        <v>161</v>
      </c>
      <c r="B123" s="5">
        <v>116</v>
      </c>
      <c r="C123">
        <v>9376</v>
      </c>
      <c r="D123" t="s">
        <v>3404</v>
      </c>
      <c r="E123" t="s">
        <v>117</v>
      </c>
      <c r="F123" t="s">
        <v>124</v>
      </c>
      <c r="G123" t="s">
        <v>26289</v>
      </c>
      <c r="H123">
        <v>19.23</v>
      </c>
      <c r="I123">
        <v>0</v>
      </c>
      <c r="J123">
        <v>0</v>
      </c>
      <c r="K123">
        <v>20</v>
      </c>
      <c r="L123">
        <v>7</v>
      </c>
      <c r="O123">
        <v>7</v>
      </c>
      <c r="P123">
        <v>0</v>
      </c>
      <c r="Q123">
        <v>2</v>
      </c>
      <c r="R123">
        <v>48.23</v>
      </c>
      <c r="S123">
        <v>6</v>
      </c>
      <c r="T123">
        <v>6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6</v>
      </c>
      <c r="AB123">
        <v>0</v>
      </c>
      <c r="AC123">
        <v>0</v>
      </c>
      <c r="AH123">
        <v>54.23</v>
      </c>
    </row>
    <row r="124" spans="1:34" x14ac:dyDescent="0.3">
      <c r="A124" s="4">
        <v>162</v>
      </c>
      <c r="B124" s="5">
        <v>117</v>
      </c>
      <c r="C124">
        <v>9013</v>
      </c>
      <c r="D124" t="s">
        <v>21888</v>
      </c>
      <c r="E124" t="s">
        <v>1754</v>
      </c>
      <c r="F124" t="s">
        <v>30</v>
      </c>
      <c r="G124" t="s">
        <v>26290</v>
      </c>
      <c r="H124">
        <v>18.68</v>
      </c>
      <c r="I124">
        <v>0</v>
      </c>
      <c r="J124">
        <v>0</v>
      </c>
      <c r="K124">
        <v>0</v>
      </c>
      <c r="M124">
        <v>5</v>
      </c>
      <c r="O124">
        <v>5</v>
      </c>
      <c r="P124">
        <v>4</v>
      </c>
      <c r="Q124">
        <v>2</v>
      </c>
      <c r="R124">
        <v>29.68</v>
      </c>
      <c r="S124">
        <v>18</v>
      </c>
      <c r="T124">
        <v>18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18</v>
      </c>
      <c r="AB124">
        <v>6</v>
      </c>
      <c r="AC124">
        <v>0</v>
      </c>
      <c r="AH124">
        <v>53.68</v>
      </c>
    </row>
    <row r="125" spans="1:34" x14ac:dyDescent="0.3">
      <c r="A125" s="4">
        <v>163</v>
      </c>
      <c r="B125" s="5">
        <v>118</v>
      </c>
      <c r="C125">
        <v>8484</v>
      </c>
      <c r="D125" t="s">
        <v>4306</v>
      </c>
      <c r="E125" t="s">
        <v>471</v>
      </c>
      <c r="F125" t="s">
        <v>34</v>
      </c>
      <c r="G125" t="s">
        <v>26291</v>
      </c>
      <c r="H125">
        <v>20.6</v>
      </c>
      <c r="I125">
        <v>0</v>
      </c>
      <c r="J125">
        <v>0</v>
      </c>
      <c r="K125">
        <v>0</v>
      </c>
      <c r="L125">
        <v>7</v>
      </c>
      <c r="O125">
        <v>7</v>
      </c>
      <c r="P125">
        <v>4</v>
      </c>
      <c r="Q125">
        <v>2</v>
      </c>
      <c r="R125">
        <v>33.6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20</v>
      </c>
      <c r="AH125">
        <v>53.6</v>
      </c>
    </row>
    <row r="126" spans="1:34" x14ac:dyDescent="0.3">
      <c r="A126" s="4">
        <v>164</v>
      </c>
      <c r="B126" s="5">
        <v>119</v>
      </c>
      <c r="C126">
        <v>4239</v>
      </c>
      <c r="D126" t="s">
        <v>26292</v>
      </c>
      <c r="E126" t="s">
        <v>29</v>
      </c>
      <c r="F126" t="s">
        <v>227</v>
      </c>
      <c r="G126" t="s">
        <v>26293</v>
      </c>
      <c r="H126">
        <v>23.55</v>
      </c>
      <c r="I126">
        <v>0</v>
      </c>
      <c r="J126">
        <v>0</v>
      </c>
      <c r="K126">
        <v>20</v>
      </c>
      <c r="N126">
        <v>3</v>
      </c>
      <c r="O126">
        <v>3</v>
      </c>
      <c r="P126">
        <v>4</v>
      </c>
      <c r="Q126">
        <v>0</v>
      </c>
      <c r="R126">
        <v>50.55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3</v>
      </c>
      <c r="AC126">
        <v>0</v>
      </c>
      <c r="AH126">
        <v>53.55</v>
      </c>
    </row>
    <row r="127" spans="1:34" x14ac:dyDescent="0.3">
      <c r="A127" s="4">
        <v>165</v>
      </c>
      <c r="B127" s="5">
        <v>120</v>
      </c>
      <c r="C127">
        <v>14722</v>
      </c>
      <c r="D127" t="s">
        <v>26294</v>
      </c>
      <c r="E127" t="s">
        <v>33</v>
      </c>
      <c r="F127" t="s">
        <v>2582</v>
      </c>
      <c r="G127" t="s">
        <v>26295</v>
      </c>
      <c r="H127">
        <v>19.25</v>
      </c>
      <c r="I127">
        <v>0</v>
      </c>
      <c r="J127">
        <v>0</v>
      </c>
      <c r="K127">
        <v>20</v>
      </c>
      <c r="L127">
        <v>7</v>
      </c>
      <c r="O127">
        <v>7</v>
      </c>
      <c r="P127">
        <v>4</v>
      </c>
      <c r="Q127">
        <v>0</v>
      </c>
      <c r="R127">
        <v>50.25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3</v>
      </c>
      <c r="AC127">
        <v>0</v>
      </c>
      <c r="AH127">
        <v>53.25</v>
      </c>
    </row>
    <row r="128" spans="1:34" x14ac:dyDescent="0.3">
      <c r="A128" s="4">
        <v>166</v>
      </c>
      <c r="B128" s="5">
        <v>121</v>
      </c>
      <c r="C128">
        <v>819</v>
      </c>
      <c r="D128" t="s">
        <v>212</v>
      </c>
      <c r="E128" t="s">
        <v>26296</v>
      </c>
      <c r="F128" t="s">
        <v>190</v>
      </c>
      <c r="G128" t="s">
        <v>26297</v>
      </c>
      <c r="H128">
        <v>20.149999999999999</v>
      </c>
      <c r="I128">
        <v>0</v>
      </c>
      <c r="J128">
        <v>0</v>
      </c>
      <c r="K128">
        <v>20</v>
      </c>
      <c r="L128">
        <v>7</v>
      </c>
      <c r="O128">
        <v>7</v>
      </c>
      <c r="P128">
        <v>4</v>
      </c>
      <c r="Q128">
        <v>2</v>
      </c>
      <c r="R128">
        <v>53.15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H128">
        <v>53.15</v>
      </c>
    </row>
    <row r="129" spans="1:34" x14ac:dyDescent="0.3">
      <c r="A129" s="4">
        <v>167</v>
      </c>
      <c r="B129" s="5">
        <v>122</v>
      </c>
      <c r="C129">
        <v>4139</v>
      </c>
      <c r="D129" t="s">
        <v>2236</v>
      </c>
      <c r="E129" t="s">
        <v>54</v>
      </c>
      <c r="F129" t="s">
        <v>20</v>
      </c>
      <c r="G129" t="s">
        <v>26298</v>
      </c>
      <c r="H129">
        <v>19</v>
      </c>
      <c r="I129">
        <v>0</v>
      </c>
      <c r="J129">
        <v>0</v>
      </c>
      <c r="K129">
        <v>20</v>
      </c>
      <c r="L129">
        <v>14</v>
      </c>
      <c r="O129">
        <v>14</v>
      </c>
      <c r="P129">
        <v>0</v>
      </c>
      <c r="Q129">
        <v>0</v>
      </c>
      <c r="R129">
        <v>53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H129">
        <v>53</v>
      </c>
    </row>
    <row r="130" spans="1:34" x14ac:dyDescent="0.3">
      <c r="A130" s="4">
        <v>168</v>
      </c>
      <c r="B130" s="5">
        <v>123</v>
      </c>
      <c r="C130">
        <v>13172</v>
      </c>
      <c r="D130" t="s">
        <v>26299</v>
      </c>
      <c r="E130" t="s">
        <v>166</v>
      </c>
      <c r="F130" t="s">
        <v>38</v>
      </c>
      <c r="G130" t="s">
        <v>26300</v>
      </c>
      <c r="H130">
        <v>18.8</v>
      </c>
      <c r="I130">
        <v>0</v>
      </c>
      <c r="J130">
        <v>0</v>
      </c>
      <c r="K130">
        <v>20</v>
      </c>
      <c r="L130">
        <v>7</v>
      </c>
      <c r="O130">
        <v>7</v>
      </c>
      <c r="P130">
        <v>4</v>
      </c>
      <c r="Q130">
        <v>0</v>
      </c>
      <c r="R130">
        <v>49.8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3</v>
      </c>
      <c r="AC130">
        <v>0</v>
      </c>
      <c r="AH130">
        <v>52.8</v>
      </c>
    </row>
    <row r="131" spans="1:34" x14ac:dyDescent="0.3">
      <c r="A131" s="4">
        <v>169</v>
      </c>
      <c r="B131" s="5">
        <v>124</v>
      </c>
      <c r="C131">
        <v>6408</v>
      </c>
      <c r="D131" t="s">
        <v>1340</v>
      </c>
      <c r="E131" t="s">
        <v>29</v>
      </c>
      <c r="F131" t="s">
        <v>17</v>
      </c>
      <c r="G131" t="s">
        <v>26301</v>
      </c>
      <c r="H131">
        <v>18.78</v>
      </c>
      <c r="I131">
        <v>0</v>
      </c>
      <c r="J131">
        <v>0</v>
      </c>
      <c r="K131">
        <v>20</v>
      </c>
      <c r="L131">
        <v>7</v>
      </c>
      <c r="N131">
        <v>3</v>
      </c>
      <c r="O131">
        <v>10</v>
      </c>
      <c r="P131">
        <v>4</v>
      </c>
      <c r="Q131">
        <v>0</v>
      </c>
      <c r="R131">
        <v>52.78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H131">
        <v>52.78</v>
      </c>
    </row>
    <row r="132" spans="1:34" x14ac:dyDescent="0.3">
      <c r="A132" s="4">
        <v>170</v>
      </c>
      <c r="B132" s="5">
        <v>125</v>
      </c>
      <c r="C132">
        <v>7737</v>
      </c>
      <c r="D132" t="s">
        <v>26302</v>
      </c>
      <c r="E132" t="s">
        <v>213</v>
      </c>
      <c r="F132" t="s">
        <v>3175</v>
      </c>
      <c r="G132" t="s">
        <v>26303</v>
      </c>
      <c r="H132">
        <v>19.350000000000001</v>
      </c>
      <c r="I132">
        <v>0</v>
      </c>
      <c r="J132">
        <v>0</v>
      </c>
      <c r="K132">
        <v>20</v>
      </c>
      <c r="L132">
        <v>7</v>
      </c>
      <c r="O132">
        <v>7</v>
      </c>
      <c r="P132">
        <v>4</v>
      </c>
      <c r="Q132">
        <v>2</v>
      </c>
      <c r="R132">
        <v>52.35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H132">
        <v>52.35</v>
      </c>
    </row>
    <row r="133" spans="1:34" x14ac:dyDescent="0.3">
      <c r="A133" s="4">
        <v>171</v>
      </c>
      <c r="B133" s="5">
        <v>126</v>
      </c>
      <c r="C133">
        <v>8918</v>
      </c>
      <c r="D133" t="s">
        <v>26304</v>
      </c>
      <c r="E133" t="s">
        <v>54</v>
      </c>
      <c r="F133" t="s">
        <v>20</v>
      </c>
      <c r="G133" t="s">
        <v>26305</v>
      </c>
      <c r="H133">
        <v>20.85</v>
      </c>
      <c r="I133">
        <v>0</v>
      </c>
      <c r="J133">
        <v>0</v>
      </c>
      <c r="K133">
        <v>0</v>
      </c>
      <c r="L133">
        <v>7</v>
      </c>
      <c r="O133">
        <v>7</v>
      </c>
      <c r="P133">
        <v>4</v>
      </c>
      <c r="Q133">
        <v>2</v>
      </c>
      <c r="R133">
        <v>33.85</v>
      </c>
      <c r="S133">
        <v>18</v>
      </c>
      <c r="T133">
        <v>18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18</v>
      </c>
      <c r="AB133">
        <v>0</v>
      </c>
      <c r="AC133">
        <v>0</v>
      </c>
      <c r="AH133">
        <v>51.85</v>
      </c>
    </row>
    <row r="134" spans="1:34" x14ac:dyDescent="0.3">
      <c r="A134" s="4">
        <v>172</v>
      </c>
      <c r="B134" s="5">
        <v>127</v>
      </c>
      <c r="C134">
        <v>5841</v>
      </c>
      <c r="D134" t="s">
        <v>3432</v>
      </c>
      <c r="E134" t="s">
        <v>2122</v>
      </c>
      <c r="F134" t="s">
        <v>91</v>
      </c>
      <c r="G134" t="s">
        <v>26306</v>
      </c>
      <c r="H134">
        <v>20.7</v>
      </c>
      <c r="I134">
        <v>0</v>
      </c>
      <c r="J134">
        <v>0</v>
      </c>
      <c r="K134">
        <v>0</v>
      </c>
      <c r="L134">
        <v>7</v>
      </c>
      <c r="O134">
        <v>7</v>
      </c>
      <c r="P134">
        <v>4</v>
      </c>
      <c r="Q134">
        <v>2</v>
      </c>
      <c r="R134">
        <v>33.700000000000003</v>
      </c>
      <c r="S134">
        <v>18</v>
      </c>
      <c r="T134">
        <v>18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18</v>
      </c>
      <c r="AB134">
        <v>0</v>
      </c>
      <c r="AC134">
        <v>0</v>
      </c>
      <c r="AH134">
        <v>51.7</v>
      </c>
    </row>
    <row r="135" spans="1:34" x14ac:dyDescent="0.3">
      <c r="A135" s="4">
        <v>173</v>
      </c>
      <c r="B135" s="5">
        <v>128</v>
      </c>
      <c r="C135">
        <v>12026</v>
      </c>
      <c r="D135" t="s">
        <v>26307</v>
      </c>
      <c r="E135" t="s">
        <v>26308</v>
      </c>
      <c r="F135" t="s">
        <v>19632</v>
      </c>
      <c r="G135" t="s">
        <v>26309</v>
      </c>
      <c r="H135">
        <v>20.68</v>
      </c>
      <c r="I135">
        <v>0</v>
      </c>
      <c r="J135">
        <v>0</v>
      </c>
      <c r="K135">
        <v>0</v>
      </c>
      <c r="L135">
        <v>7</v>
      </c>
      <c r="O135">
        <v>7</v>
      </c>
      <c r="P135">
        <v>4</v>
      </c>
      <c r="Q135">
        <v>2</v>
      </c>
      <c r="R135">
        <v>33.68</v>
      </c>
      <c r="S135">
        <v>18</v>
      </c>
      <c r="T135">
        <v>18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18</v>
      </c>
      <c r="AB135">
        <v>0</v>
      </c>
      <c r="AC135">
        <v>0</v>
      </c>
      <c r="AH135">
        <v>51.68</v>
      </c>
    </row>
    <row r="136" spans="1:34" x14ac:dyDescent="0.3">
      <c r="A136" s="4">
        <v>174</v>
      </c>
      <c r="B136" s="5">
        <v>129</v>
      </c>
      <c r="C136">
        <v>4803</v>
      </c>
      <c r="D136" t="s">
        <v>20991</v>
      </c>
      <c r="E136" t="s">
        <v>38</v>
      </c>
      <c r="F136" t="s">
        <v>68</v>
      </c>
      <c r="G136" t="s">
        <v>26310</v>
      </c>
      <c r="H136">
        <v>21.5</v>
      </c>
      <c r="I136">
        <v>0</v>
      </c>
      <c r="J136">
        <v>0</v>
      </c>
      <c r="K136">
        <v>0</v>
      </c>
      <c r="L136">
        <v>7</v>
      </c>
      <c r="N136">
        <v>3</v>
      </c>
      <c r="O136">
        <v>10</v>
      </c>
      <c r="P136">
        <v>4</v>
      </c>
      <c r="Q136">
        <v>2</v>
      </c>
      <c r="R136">
        <v>37.5</v>
      </c>
      <c r="S136">
        <v>14</v>
      </c>
      <c r="T136">
        <v>14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14</v>
      </c>
      <c r="AB136">
        <v>0</v>
      </c>
      <c r="AC136">
        <v>0</v>
      </c>
      <c r="AH136">
        <v>51.5</v>
      </c>
    </row>
    <row r="137" spans="1:34" x14ac:dyDescent="0.3">
      <c r="A137" s="4">
        <v>175</v>
      </c>
      <c r="B137" s="5">
        <v>130</v>
      </c>
      <c r="C137">
        <v>9377</v>
      </c>
      <c r="D137" t="s">
        <v>26311</v>
      </c>
      <c r="E137" t="s">
        <v>149</v>
      </c>
      <c r="F137" t="s">
        <v>81</v>
      </c>
      <c r="G137">
        <v>582230</v>
      </c>
      <c r="H137">
        <v>20.23</v>
      </c>
      <c r="I137">
        <v>0</v>
      </c>
      <c r="J137">
        <v>0</v>
      </c>
      <c r="K137">
        <v>20</v>
      </c>
      <c r="L137">
        <v>7</v>
      </c>
      <c r="O137">
        <v>7</v>
      </c>
      <c r="P137">
        <v>4</v>
      </c>
      <c r="Q137">
        <v>0</v>
      </c>
      <c r="R137">
        <v>51.23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 t="s">
        <v>130</v>
      </c>
      <c r="AH137">
        <v>51.23</v>
      </c>
    </row>
    <row r="138" spans="1:34" x14ac:dyDescent="0.3">
      <c r="A138" s="4">
        <v>176</v>
      </c>
      <c r="B138" s="5">
        <v>131</v>
      </c>
      <c r="C138">
        <v>3330</v>
      </c>
      <c r="D138" t="s">
        <v>25170</v>
      </c>
      <c r="E138" t="s">
        <v>10969</v>
      </c>
      <c r="F138" t="s">
        <v>136</v>
      </c>
      <c r="G138" t="s">
        <v>26312</v>
      </c>
      <c r="H138">
        <v>21.9</v>
      </c>
      <c r="I138">
        <v>0</v>
      </c>
      <c r="J138">
        <v>0</v>
      </c>
      <c r="K138">
        <v>0</v>
      </c>
      <c r="L138">
        <v>7</v>
      </c>
      <c r="O138">
        <v>7</v>
      </c>
      <c r="P138">
        <v>4</v>
      </c>
      <c r="Q138">
        <v>2</v>
      </c>
      <c r="R138">
        <v>34.9</v>
      </c>
      <c r="S138">
        <v>16</v>
      </c>
      <c r="T138">
        <v>16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16</v>
      </c>
      <c r="AB138">
        <v>0</v>
      </c>
      <c r="AC138">
        <v>0</v>
      </c>
      <c r="AH138">
        <v>50.9</v>
      </c>
    </row>
    <row r="139" spans="1:34" x14ac:dyDescent="0.3">
      <c r="A139" s="4">
        <v>177</v>
      </c>
      <c r="B139" s="5">
        <v>132</v>
      </c>
      <c r="C139">
        <v>3478</v>
      </c>
      <c r="D139" t="s">
        <v>9566</v>
      </c>
      <c r="E139" t="s">
        <v>283</v>
      </c>
      <c r="F139" t="s">
        <v>38</v>
      </c>
      <c r="G139" t="s">
        <v>26313</v>
      </c>
      <c r="H139">
        <v>19.600000000000001</v>
      </c>
      <c r="I139">
        <v>0</v>
      </c>
      <c r="J139">
        <v>0</v>
      </c>
      <c r="K139">
        <v>20</v>
      </c>
      <c r="L139">
        <v>7</v>
      </c>
      <c r="O139">
        <v>7</v>
      </c>
      <c r="P139">
        <v>4</v>
      </c>
      <c r="Q139">
        <v>0</v>
      </c>
      <c r="R139">
        <v>50.6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H139">
        <v>50.6</v>
      </c>
    </row>
    <row r="140" spans="1:34" x14ac:dyDescent="0.3">
      <c r="A140" s="4">
        <v>178</v>
      </c>
      <c r="B140" s="5">
        <v>133</v>
      </c>
      <c r="C140">
        <v>6014</v>
      </c>
      <c r="D140" t="s">
        <v>1742</v>
      </c>
      <c r="E140" t="s">
        <v>188</v>
      </c>
      <c r="F140" t="s">
        <v>38</v>
      </c>
      <c r="G140" t="s">
        <v>26314</v>
      </c>
      <c r="H140">
        <v>19.53</v>
      </c>
      <c r="I140">
        <v>0</v>
      </c>
      <c r="J140">
        <v>0</v>
      </c>
      <c r="K140">
        <v>20</v>
      </c>
      <c r="L140">
        <v>7</v>
      </c>
      <c r="O140">
        <v>7</v>
      </c>
      <c r="P140">
        <v>4</v>
      </c>
      <c r="Q140">
        <v>0</v>
      </c>
      <c r="R140">
        <v>50.53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H140">
        <v>50.53</v>
      </c>
    </row>
    <row r="141" spans="1:34" x14ac:dyDescent="0.3">
      <c r="A141" s="4">
        <v>179</v>
      </c>
      <c r="B141" s="5">
        <v>134</v>
      </c>
      <c r="C141">
        <v>6946</v>
      </c>
      <c r="D141" t="s">
        <v>1129</v>
      </c>
      <c r="E141" t="s">
        <v>219</v>
      </c>
      <c r="F141" t="s">
        <v>167</v>
      </c>
      <c r="G141" t="s">
        <v>26315</v>
      </c>
      <c r="H141">
        <v>18.850000000000001</v>
      </c>
      <c r="I141">
        <v>0</v>
      </c>
      <c r="J141">
        <v>0</v>
      </c>
      <c r="K141">
        <v>20</v>
      </c>
      <c r="L141">
        <v>7</v>
      </c>
      <c r="O141">
        <v>7</v>
      </c>
      <c r="P141">
        <v>4</v>
      </c>
      <c r="Q141">
        <v>0</v>
      </c>
      <c r="R141">
        <v>49.85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 t="s">
        <v>130</v>
      </c>
      <c r="AH141">
        <v>49.85</v>
      </c>
    </row>
    <row r="142" spans="1:34" x14ac:dyDescent="0.3">
      <c r="A142" s="4">
        <v>180</v>
      </c>
      <c r="B142" s="5">
        <v>135</v>
      </c>
      <c r="C142">
        <v>12204</v>
      </c>
      <c r="D142" t="s">
        <v>12688</v>
      </c>
      <c r="E142" t="s">
        <v>29</v>
      </c>
      <c r="F142" t="s">
        <v>2237</v>
      </c>
      <c r="G142" t="s">
        <v>26316</v>
      </c>
      <c r="H142">
        <v>20.65</v>
      </c>
      <c r="I142">
        <v>0</v>
      </c>
      <c r="J142">
        <v>0</v>
      </c>
      <c r="K142">
        <v>0</v>
      </c>
      <c r="L142">
        <v>7</v>
      </c>
      <c r="O142">
        <v>7</v>
      </c>
      <c r="P142">
        <v>4</v>
      </c>
      <c r="Q142">
        <v>0</v>
      </c>
      <c r="R142">
        <v>31.65</v>
      </c>
      <c r="S142">
        <v>18</v>
      </c>
      <c r="T142">
        <v>18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18</v>
      </c>
      <c r="AB142">
        <v>0</v>
      </c>
      <c r="AC142">
        <v>0</v>
      </c>
      <c r="AH142">
        <v>49.65</v>
      </c>
    </row>
    <row r="143" spans="1:34" x14ac:dyDescent="0.3">
      <c r="A143" s="4">
        <v>181</v>
      </c>
      <c r="B143" s="5">
        <v>136</v>
      </c>
      <c r="C143">
        <v>5423</v>
      </c>
      <c r="D143" t="s">
        <v>2685</v>
      </c>
      <c r="E143" t="s">
        <v>188</v>
      </c>
      <c r="F143" t="s">
        <v>17</v>
      </c>
      <c r="G143" t="s">
        <v>26317</v>
      </c>
      <c r="H143">
        <v>17.55</v>
      </c>
      <c r="I143">
        <v>0</v>
      </c>
      <c r="J143">
        <v>0</v>
      </c>
      <c r="K143">
        <v>20</v>
      </c>
      <c r="M143">
        <v>5</v>
      </c>
      <c r="O143">
        <v>5</v>
      </c>
      <c r="P143">
        <v>4</v>
      </c>
      <c r="Q143">
        <v>0</v>
      </c>
      <c r="R143">
        <v>46.55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3</v>
      </c>
      <c r="AC143">
        <v>0</v>
      </c>
      <c r="AH143">
        <v>49.55</v>
      </c>
    </row>
    <row r="144" spans="1:34" x14ac:dyDescent="0.3">
      <c r="A144" s="4">
        <v>182</v>
      </c>
      <c r="B144" s="5">
        <v>137</v>
      </c>
      <c r="C144">
        <v>3650</v>
      </c>
      <c r="D144" t="s">
        <v>950</v>
      </c>
      <c r="E144" t="s">
        <v>1474</v>
      </c>
      <c r="F144" t="s">
        <v>167</v>
      </c>
      <c r="G144" t="s">
        <v>26318</v>
      </c>
      <c r="H144">
        <v>18.28</v>
      </c>
      <c r="I144">
        <v>0</v>
      </c>
      <c r="J144">
        <v>0</v>
      </c>
      <c r="K144">
        <v>0</v>
      </c>
      <c r="O144">
        <v>0</v>
      </c>
      <c r="P144">
        <v>4</v>
      </c>
      <c r="Q144">
        <v>2</v>
      </c>
      <c r="R144">
        <v>24.28</v>
      </c>
      <c r="S144">
        <v>22</v>
      </c>
      <c r="T144">
        <v>22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22</v>
      </c>
      <c r="AB144">
        <v>3</v>
      </c>
      <c r="AC144">
        <v>0</v>
      </c>
      <c r="AD144" t="s">
        <v>130</v>
      </c>
      <c r="AH144">
        <v>49.28</v>
      </c>
    </row>
    <row r="145" spans="1:34" x14ac:dyDescent="0.3">
      <c r="A145" s="4">
        <v>183</v>
      </c>
      <c r="B145" s="5">
        <v>138</v>
      </c>
      <c r="C145">
        <v>12349</v>
      </c>
      <c r="D145" t="s">
        <v>26319</v>
      </c>
      <c r="E145" t="s">
        <v>26320</v>
      </c>
      <c r="F145" t="s">
        <v>17</v>
      </c>
      <c r="G145" t="s">
        <v>26321</v>
      </c>
      <c r="H145">
        <v>22.2</v>
      </c>
      <c r="I145">
        <v>0</v>
      </c>
      <c r="J145">
        <v>0</v>
      </c>
      <c r="K145">
        <v>0</v>
      </c>
      <c r="N145">
        <v>3</v>
      </c>
      <c r="O145">
        <v>3</v>
      </c>
      <c r="P145">
        <v>4</v>
      </c>
      <c r="Q145">
        <v>2</v>
      </c>
      <c r="R145">
        <v>31.2</v>
      </c>
      <c r="S145">
        <v>18</v>
      </c>
      <c r="T145">
        <v>18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18</v>
      </c>
      <c r="AB145">
        <v>0</v>
      </c>
      <c r="AC145">
        <v>0</v>
      </c>
      <c r="AH145">
        <v>49.2</v>
      </c>
    </row>
    <row r="146" spans="1:34" x14ac:dyDescent="0.3">
      <c r="A146" s="4">
        <v>184</v>
      </c>
      <c r="B146" s="5">
        <v>139</v>
      </c>
      <c r="C146">
        <v>8689</v>
      </c>
      <c r="D146" t="s">
        <v>26322</v>
      </c>
      <c r="E146" t="s">
        <v>26323</v>
      </c>
      <c r="F146" t="s">
        <v>2225</v>
      </c>
      <c r="G146">
        <v>192772</v>
      </c>
      <c r="H146">
        <v>20.149999999999999</v>
      </c>
      <c r="I146">
        <v>0</v>
      </c>
      <c r="J146">
        <v>0</v>
      </c>
      <c r="K146">
        <v>0</v>
      </c>
      <c r="L146">
        <v>7</v>
      </c>
      <c r="O146">
        <v>7</v>
      </c>
      <c r="P146">
        <v>4</v>
      </c>
      <c r="Q146">
        <v>0</v>
      </c>
      <c r="R146">
        <v>31.15</v>
      </c>
      <c r="S146">
        <v>18</v>
      </c>
      <c r="T146">
        <v>18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18</v>
      </c>
      <c r="AB146">
        <v>0</v>
      </c>
      <c r="AC146">
        <v>0</v>
      </c>
      <c r="AE146" t="s">
        <v>130</v>
      </c>
      <c r="AH146">
        <v>49.15</v>
      </c>
    </row>
    <row r="147" spans="1:34" x14ac:dyDescent="0.3">
      <c r="A147" s="4">
        <v>185</v>
      </c>
      <c r="B147" s="5">
        <v>140</v>
      </c>
      <c r="C147">
        <v>13892</v>
      </c>
      <c r="D147" t="s">
        <v>4995</v>
      </c>
      <c r="E147" t="s">
        <v>26324</v>
      </c>
      <c r="F147" t="s">
        <v>52</v>
      </c>
      <c r="G147" t="s">
        <v>26325</v>
      </c>
      <c r="H147">
        <v>21.95</v>
      </c>
      <c r="I147">
        <v>0</v>
      </c>
      <c r="J147">
        <v>0</v>
      </c>
      <c r="K147">
        <v>20</v>
      </c>
      <c r="N147">
        <v>3</v>
      </c>
      <c r="O147">
        <v>3</v>
      </c>
      <c r="P147">
        <v>4</v>
      </c>
      <c r="Q147">
        <v>0</v>
      </c>
      <c r="R147">
        <v>48.95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H147">
        <v>48.95</v>
      </c>
    </row>
    <row r="148" spans="1:34" x14ac:dyDescent="0.3">
      <c r="A148" s="4">
        <v>186</v>
      </c>
      <c r="B148" s="5">
        <v>141</v>
      </c>
      <c r="C148">
        <v>1793</v>
      </c>
      <c r="D148" t="s">
        <v>18216</v>
      </c>
      <c r="E148" t="s">
        <v>17</v>
      </c>
      <c r="F148" t="s">
        <v>346</v>
      </c>
      <c r="G148" t="s">
        <v>26326</v>
      </c>
      <c r="H148">
        <v>16.829999999999998</v>
      </c>
      <c r="I148">
        <v>0</v>
      </c>
      <c r="J148">
        <v>0</v>
      </c>
      <c r="K148">
        <v>0</v>
      </c>
      <c r="N148">
        <v>3</v>
      </c>
      <c r="O148">
        <v>3</v>
      </c>
      <c r="P148">
        <v>4</v>
      </c>
      <c r="Q148">
        <v>2</v>
      </c>
      <c r="R148">
        <v>25.83</v>
      </c>
      <c r="S148">
        <v>17</v>
      </c>
      <c r="T148">
        <v>17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17</v>
      </c>
      <c r="AB148">
        <v>6</v>
      </c>
      <c r="AC148">
        <v>0</v>
      </c>
      <c r="AH148">
        <v>48.83</v>
      </c>
    </row>
    <row r="149" spans="1:34" x14ac:dyDescent="0.3">
      <c r="A149" s="4">
        <v>187</v>
      </c>
      <c r="B149" s="5">
        <v>142</v>
      </c>
      <c r="C149">
        <v>8810</v>
      </c>
      <c r="D149" t="s">
        <v>8537</v>
      </c>
      <c r="E149" t="s">
        <v>268</v>
      </c>
      <c r="F149" t="s">
        <v>38</v>
      </c>
      <c r="G149" t="s">
        <v>26327</v>
      </c>
      <c r="H149">
        <v>20.73</v>
      </c>
      <c r="I149">
        <v>0</v>
      </c>
      <c r="J149">
        <v>0</v>
      </c>
      <c r="K149">
        <v>20</v>
      </c>
      <c r="N149">
        <v>3</v>
      </c>
      <c r="O149">
        <v>3</v>
      </c>
      <c r="P149">
        <v>0</v>
      </c>
      <c r="Q149">
        <v>2</v>
      </c>
      <c r="R149">
        <v>45.73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3</v>
      </c>
      <c r="AC149">
        <v>0</v>
      </c>
      <c r="AH149">
        <v>48.73</v>
      </c>
    </row>
    <row r="150" spans="1:34" x14ac:dyDescent="0.3">
      <c r="A150" s="4">
        <v>188</v>
      </c>
      <c r="B150" s="5">
        <v>143</v>
      </c>
      <c r="C150">
        <v>8373</v>
      </c>
      <c r="D150" t="s">
        <v>1822</v>
      </c>
      <c r="E150" t="s">
        <v>178</v>
      </c>
      <c r="F150" t="s">
        <v>26328</v>
      </c>
      <c r="G150" t="s">
        <v>26329</v>
      </c>
      <c r="H150">
        <v>19.48</v>
      </c>
      <c r="I150">
        <v>0</v>
      </c>
      <c r="J150">
        <v>0</v>
      </c>
      <c r="K150">
        <v>0</v>
      </c>
      <c r="O150">
        <v>0</v>
      </c>
      <c r="P150">
        <v>4</v>
      </c>
      <c r="Q150">
        <v>2</v>
      </c>
      <c r="R150">
        <v>25.48</v>
      </c>
      <c r="S150">
        <v>17</v>
      </c>
      <c r="T150">
        <v>17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17</v>
      </c>
      <c r="AB150">
        <v>6</v>
      </c>
      <c r="AC150">
        <v>0</v>
      </c>
      <c r="AH150">
        <v>48.48</v>
      </c>
    </row>
    <row r="151" spans="1:34" x14ac:dyDescent="0.3">
      <c r="A151" s="4">
        <v>189</v>
      </c>
      <c r="B151" s="5">
        <v>144</v>
      </c>
      <c r="C151">
        <v>5344</v>
      </c>
      <c r="D151" t="s">
        <v>21520</v>
      </c>
      <c r="E151" t="s">
        <v>1387</v>
      </c>
      <c r="F151" t="s">
        <v>30</v>
      </c>
      <c r="G151" t="s">
        <v>26330</v>
      </c>
      <c r="H151">
        <v>19.38</v>
      </c>
      <c r="I151">
        <v>0</v>
      </c>
      <c r="J151">
        <v>0</v>
      </c>
      <c r="K151">
        <v>0</v>
      </c>
      <c r="L151">
        <v>7</v>
      </c>
      <c r="O151">
        <v>7</v>
      </c>
      <c r="P151">
        <v>4</v>
      </c>
      <c r="Q151">
        <v>2</v>
      </c>
      <c r="R151">
        <v>32.380000000000003</v>
      </c>
      <c r="S151">
        <v>16</v>
      </c>
      <c r="T151">
        <v>16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16</v>
      </c>
      <c r="AB151">
        <v>0</v>
      </c>
      <c r="AC151">
        <v>0</v>
      </c>
      <c r="AH151">
        <v>48.38</v>
      </c>
    </row>
    <row r="152" spans="1:34" x14ac:dyDescent="0.3">
      <c r="A152" s="4">
        <v>190</v>
      </c>
      <c r="B152" s="5">
        <v>145</v>
      </c>
      <c r="C152">
        <v>6300</v>
      </c>
      <c r="D152" t="s">
        <v>7768</v>
      </c>
      <c r="E152" t="s">
        <v>33</v>
      </c>
      <c r="F152" t="s">
        <v>17</v>
      </c>
      <c r="G152" t="s">
        <v>26331</v>
      </c>
      <c r="H152">
        <v>21</v>
      </c>
      <c r="I152">
        <v>0</v>
      </c>
      <c r="J152">
        <v>0</v>
      </c>
      <c r="K152">
        <v>20</v>
      </c>
      <c r="N152">
        <v>3</v>
      </c>
      <c r="O152">
        <v>3</v>
      </c>
      <c r="P152">
        <v>4</v>
      </c>
      <c r="Q152">
        <v>0</v>
      </c>
      <c r="R152">
        <v>48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H152">
        <v>48</v>
      </c>
    </row>
    <row r="153" spans="1:34" x14ac:dyDescent="0.3">
      <c r="A153" s="4">
        <v>191</v>
      </c>
      <c r="B153" s="5">
        <v>146</v>
      </c>
      <c r="C153">
        <v>7967</v>
      </c>
      <c r="D153" t="s">
        <v>17053</v>
      </c>
      <c r="E153" t="s">
        <v>283</v>
      </c>
      <c r="F153" t="s">
        <v>62</v>
      </c>
      <c r="G153" t="s">
        <v>26332</v>
      </c>
      <c r="H153">
        <v>17</v>
      </c>
      <c r="I153">
        <v>0</v>
      </c>
      <c r="J153">
        <v>0</v>
      </c>
      <c r="K153">
        <v>20</v>
      </c>
      <c r="L153">
        <v>7</v>
      </c>
      <c r="O153">
        <v>7</v>
      </c>
      <c r="P153">
        <v>4</v>
      </c>
      <c r="Q153">
        <v>0</v>
      </c>
      <c r="R153">
        <v>48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H153">
        <v>48</v>
      </c>
    </row>
    <row r="154" spans="1:34" x14ac:dyDescent="0.3">
      <c r="A154" s="4">
        <v>192</v>
      </c>
      <c r="B154" s="5">
        <v>147</v>
      </c>
      <c r="C154">
        <v>11230</v>
      </c>
      <c r="D154" t="s">
        <v>26333</v>
      </c>
      <c r="E154" t="s">
        <v>62</v>
      </c>
      <c r="F154" t="s">
        <v>167</v>
      </c>
      <c r="G154" t="s">
        <v>26334</v>
      </c>
      <c r="H154">
        <v>20.5</v>
      </c>
      <c r="I154">
        <v>0</v>
      </c>
      <c r="J154">
        <v>0</v>
      </c>
      <c r="K154">
        <v>0</v>
      </c>
      <c r="N154">
        <v>3</v>
      </c>
      <c r="O154">
        <v>3</v>
      </c>
      <c r="P154">
        <v>4</v>
      </c>
      <c r="Q154">
        <v>0</v>
      </c>
      <c r="R154">
        <v>27.5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20</v>
      </c>
      <c r="AH154">
        <v>47.5</v>
      </c>
    </row>
    <row r="155" spans="1:34" x14ac:dyDescent="0.3">
      <c r="A155" s="4">
        <v>193</v>
      </c>
      <c r="B155" s="5">
        <v>148</v>
      </c>
      <c r="C155">
        <v>7359</v>
      </c>
      <c r="D155" t="s">
        <v>26335</v>
      </c>
      <c r="E155" t="s">
        <v>6121</v>
      </c>
      <c r="F155" t="s">
        <v>9300</v>
      </c>
      <c r="G155" t="s">
        <v>26336</v>
      </c>
      <c r="H155">
        <v>19.18</v>
      </c>
      <c r="I155">
        <v>0</v>
      </c>
      <c r="J155">
        <v>0</v>
      </c>
      <c r="K155">
        <v>0</v>
      </c>
      <c r="O155">
        <v>0</v>
      </c>
      <c r="P155">
        <v>0</v>
      </c>
      <c r="Q155">
        <v>0</v>
      </c>
      <c r="R155">
        <v>19.18</v>
      </c>
      <c r="S155">
        <v>25</v>
      </c>
      <c r="T155">
        <v>25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25</v>
      </c>
      <c r="AB155">
        <v>3</v>
      </c>
      <c r="AC155">
        <v>0</v>
      </c>
      <c r="AH155">
        <v>47.18</v>
      </c>
    </row>
    <row r="156" spans="1:34" x14ac:dyDescent="0.3">
      <c r="A156" s="4">
        <v>194</v>
      </c>
      <c r="B156" s="5">
        <v>149</v>
      </c>
      <c r="C156">
        <v>7751</v>
      </c>
      <c r="D156" t="s">
        <v>5306</v>
      </c>
      <c r="E156" t="s">
        <v>54</v>
      </c>
      <c r="F156" t="s">
        <v>117</v>
      </c>
      <c r="G156" t="s">
        <v>26337</v>
      </c>
      <c r="H156">
        <v>19.95</v>
      </c>
      <c r="I156">
        <v>0</v>
      </c>
      <c r="J156">
        <v>0</v>
      </c>
      <c r="K156">
        <v>20</v>
      </c>
      <c r="L156">
        <v>7</v>
      </c>
      <c r="O156">
        <v>7</v>
      </c>
      <c r="P156">
        <v>0</v>
      </c>
      <c r="Q156">
        <v>0</v>
      </c>
      <c r="R156">
        <v>46.95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H156">
        <v>46.95</v>
      </c>
    </row>
    <row r="157" spans="1:34" x14ac:dyDescent="0.3">
      <c r="A157" s="4">
        <v>195</v>
      </c>
      <c r="B157" s="5">
        <v>150</v>
      </c>
      <c r="C157">
        <v>14408</v>
      </c>
      <c r="D157" t="s">
        <v>26338</v>
      </c>
      <c r="E157" t="s">
        <v>110</v>
      </c>
      <c r="F157" t="s">
        <v>346</v>
      </c>
      <c r="G157" t="s">
        <v>26339</v>
      </c>
      <c r="H157">
        <v>19.600000000000001</v>
      </c>
      <c r="I157">
        <v>0</v>
      </c>
      <c r="J157">
        <v>0</v>
      </c>
      <c r="K157">
        <v>0</v>
      </c>
      <c r="N157">
        <v>3</v>
      </c>
      <c r="O157">
        <v>3</v>
      </c>
      <c r="P157">
        <v>4</v>
      </c>
      <c r="Q157">
        <v>2</v>
      </c>
      <c r="R157">
        <v>28.6</v>
      </c>
      <c r="S157">
        <v>18</v>
      </c>
      <c r="T157">
        <v>18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18</v>
      </c>
      <c r="AB157">
        <v>0</v>
      </c>
      <c r="AC157">
        <v>0</v>
      </c>
      <c r="AD157" t="s">
        <v>130</v>
      </c>
      <c r="AH157">
        <v>46.6</v>
      </c>
    </row>
    <row r="158" spans="1:34" x14ac:dyDescent="0.3">
      <c r="A158" s="4">
        <v>196</v>
      </c>
      <c r="B158" s="5">
        <v>151</v>
      </c>
      <c r="C158">
        <v>15502</v>
      </c>
      <c r="D158" t="s">
        <v>26340</v>
      </c>
      <c r="E158" t="s">
        <v>136</v>
      </c>
      <c r="F158" t="s">
        <v>227</v>
      </c>
      <c r="G158" t="s">
        <v>26341</v>
      </c>
      <c r="H158">
        <v>19.23</v>
      </c>
      <c r="I158">
        <v>0</v>
      </c>
      <c r="J158">
        <v>0</v>
      </c>
      <c r="K158">
        <v>20</v>
      </c>
      <c r="L158">
        <v>7</v>
      </c>
      <c r="O158">
        <v>7</v>
      </c>
      <c r="P158">
        <v>0</v>
      </c>
      <c r="Q158">
        <v>0</v>
      </c>
      <c r="R158">
        <v>46.23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H158">
        <v>46.23</v>
      </c>
    </row>
    <row r="159" spans="1:34" x14ac:dyDescent="0.3">
      <c r="A159" s="4">
        <v>197</v>
      </c>
      <c r="B159" s="5">
        <v>152</v>
      </c>
      <c r="C159">
        <v>891</v>
      </c>
      <c r="D159" t="s">
        <v>6115</v>
      </c>
      <c r="E159" t="s">
        <v>132</v>
      </c>
      <c r="F159" t="s">
        <v>124</v>
      </c>
      <c r="G159" t="s">
        <v>26342</v>
      </c>
      <c r="H159">
        <v>18.75</v>
      </c>
      <c r="I159">
        <v>0</v>
      </c>
      <c r="J159">
        <v>0</v>
      </c>
      <c r="K159">
        <v>0</v>
      </c>
      <c r="N159">
        <v>3</v>
      </c>
      <c r="O159">
        <v>3</v>
      </c>
      <c r="P159">
        <v>4</v>
      </c>
      <c r="Q159">
        <v>2</v>
      </c>
      <c r="R159">
        <v>27.75</v>
      </c>
      <c r="S159">
        <v>18</v>
      </c>
      <c r="T159">
        <v>18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18</v>
      </c>
      <c r="AB159">
        <v>0</v>
      </c>
      <c r="AC159">
        <v>0</v>
      </c>
      <c r="AD159" t="s">
        <v>130</v>
      </c>
      <c r="AH159">
        <v>45.75</v>
      </c>
    </row>
    <row r="160" spans="1:34" x14ac:dyDescent="0.3">
      <c r="A160" s="4">
        <v>198</v>
      </c>
      <c r="B160" s="5">
        <v>153</v>
      </c>
      <c r="C160">
        <v>6765</v>
      </c>
      <c r="D160" t="s">
        <v>1958</v>
      </c>
      <c r="E160" t="s">
        <v>37</v>
      </c>
      <c r="F160" t="s">
        <v>158</v>
      </c>
      <c r="G160" t="s">
        <v>26343</v>
      </c>
      <c r="H160">
        <v>15.68</v>
      </c>
      <c r="I160">
        <v>0</v>
      </c>
      <c r="J160">
        <v>0</v>
      </c>
      <c r="K160">
        <v>0</v>
      </c>
      <c r="L160">
        <v>7</v>
      </c>
      <c r="N160">
        <v>3</v>
      </c>
      <c r="O160">
        <v>10</v>
      </c>
      <c r="P160">
        <v>4</v>
      </c>
      <c r="Q160">
        <v>2</v>
      </c>
      <c r="R160">
        <v>31.68</v>
      </c>
      <c r="S160">
        <v>14</v>
      </c>
      <c r="T160">
        <v>14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14</v>
      </c>
      <c r="AB160">
        <v>0</v>
      </c>
      <c r="AC160">
        <v>0</v>
      </c>
      <c r="AH160">
        <v>45.68</v>
      </c>
    </row>
    <row r="161" spans="1:34" x14ac:dyDescent="0.3">
      <c r="A161" s="4">
        <v>199</v>
      </c>
      <c r="B161" s="5">
        <v>154</v>
      </c>
      <c r="C161">
        <v>696</v>
      </c>
      <c r="D161" t="s">
        <v>26344</v>
      </c>
      <c r="E161" t="s">
        <v>1426</v>
      </c>
      <c r="F161" t="s">
        <v>81</v>
      </c>
      <c r="G161" t="s">
        <v>26345</v>
      </c>
      <c r="H161">
        <v>18.579999999999998</v>
      </c>
      <c r="I161">
        <v>0</v>
      </c>
      <c r="J161">
        <v>0</v>
      </c>
      <c r="K161">
        <v>20</v>
      </c>
      <c r="N161">
        <v>3</v>
      </c>
      <c r="O161">
        <v>3</v>
      </c>
      <c r="P161">
        <v>4</v>
      </c>
      <c r="Q161">
        <v>0</v>
      </c>
      <c r="R161">
        <v>45.58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H161">
        <v>45.58</v>
      </c>
    </row>
    <row r="162" spans="1:34" x14ac:dyDescent="0.3">
      <c r="A162" s="4">
        <v>200</v>
      </c>
      <c r="B162" s="5">
        <v>155</v>
      </c>
      <c r="C162">
        <v>11328</v>
      </c>
      <c r="D162" t="s">
        <v>1015</v>
      </c>
      <c r="E162" t="s">
        <v>825</v>
      </c>
      <c r="F162" t="s">
        <v>892</v>
      </c>
      <c r="G162" t="s">
        <v>26346</v>
      </c>
      <c r="H162">
        <v>21.13</v>
      </c>
      <c r="I162">
        <v>0</v>
      </c>
      <c r="J162">
        <v>0</v>
      </c>
      <c r="K162">
        <v>0</v>
      </c>
      <c r="O162">
        <v>0</v>
      </c>
      <c r="P162">
        <v>4</v>
      </c>
      <c r="Q162">
        <v>2</v>
      </c>
      <c r="R162">
        <v>27.13</v>
      </c>
      <c r="S162">
        <v>18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18</v>
      </c>
      <c r="AB162">
        <v>0</v>
      </c>
      <c r="AC162">
        <v>0</v>
      </c>
      <c r="AH162">
        <v>45.13</v>
      </c>
    </row>
    <row r="163" spans="1:34" x14ac:dyDescent="0.3">
      <c r="A163" s="4">
        <v>201</v>
      </c>
      <c r="B163" s="5">
        <v>156</v>
      </c>
      <c r="C163">
        <v>9475</v>
      </c>
      <c r="D163" t="s">
        <v>26347</v>
      </c>
      <c r="E163" t="s">
        <v>34</v>
      </c>
      <c r="F163" t="s">
        <v>117</v>
      </c>
      <c r="G163" t="s">
        <v>26348</v>
      </c>
      <c r="H163">
        <v>20.78</v>
      </c>
      <c r="I163">
        <v>0</v>
      </c>
      <c r="J163">
        <v>0</v>
      </c>
      <c r="K163">
        <v>0</v>
      </c>
      <c r="L163">
        <v>7</v>
      </c>
      <c r="M163">
        <v>5</v>
      </c>
      <c r="O163">
        <v>12</v>
      </c>
      <c r="P163">
        <v>4</v>
      </c>
      <c r="Q163">
        <v>0</v>
      </c>
      <c r="R163">
        <v>36.78</v>
      </c>
      <c r="S163">
        <v>8</v>
      </c>
      <c r="T163">
        <v>8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8</v>
      </c>
      <c r="AB163">
        <v>0</v>
      </c>
      <c r="AC163">
        <v>0</v>
      </c>
      <c r="AH163">
        <v>44.78</v>
      </c>
    </row>
    <row r="164" spans="1:34" x14ac:dyDescent="0.3">
      <c r="A164" s="4">
        <v>202</v>
      </c>
      <c r="B164" s="5">
        <v>157</v>
      </c>
      <c r="C164">
        <v>6729</v>
      </c>
      <c r="D164" t="s">
        <v>26349</v>
      </c>
      <c r="E164" t="s">
        <v>488</v>
      </c>
      <c r="F164" t="s">
        <v>62</v>
      </c>
      <c r="G164" t="s">
        <v>26350</v>
      </c>
      <c r="H164">
        <v>19.5</v>
      </c>
      <c r="I164">
        <v>0</v>
      </c>
      <c r="J164">
        <v>0</v>
      </c>
      <c r="K164">
        <v>20</v>
      </c>
      <c r="N164">
        <v>3</v>
      </c>
      <c r="O164">
        <v>3</v>
      </c>
      <c r="P164">
        <v>0</v>
      </c>
      <c r="Q164">
        <v>2</v>
      </c>
      <c r="R164">
        <v>44.5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H164">
        <v>44.5</v>
      </c>
    </row>
    <row r="165" spans="1:34" x14ac:dyDescent="0.3">
      <c r="A165" s="4">
        <v>203</v>
      </c>
      <c r="B165" s="5">
        <v>158</v>
      </c>
      <c r="C165">
        <v>10962</v>
      </c>
      <c r="D165" t="s">
        <v>26351</v>
      </c>
      <c r="E165" t="s">
        <v>33</v>
      </c>
      <c r="F165" t="s">
        <v>17</v>
      </c>
      <c r="G165" t="s">
        <v>26352</v>
      </c>
      <c r="H165">
        <v>19.73</v>
      </c>
      <c r="I165">
        <v>0</v>
      </c>
      <c r="J165">
        <v>0</v>
      </c>
      <c r="K165">
        <v>0</v>
      </c>
      <c r="L165">
        <v>7</v>
      </c>
      <c r="O165">
        <v>7</v>
      </c>
      <c r="P165">
        <v>4</v>
      </c>
      <c r="Q165">
        <v>2</v>
      </c>
      <c r="R165">
        <v>32.729999999999997</v>
      </c>
      <c r="S165">
        <v>8</v>
      </c>
      <c r="T165">
        <v>8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8</v>
      </c>
      <c r="AB165">
        <v>3</v>
      </c>
      <c r="AC165">
        <v>0</v>
      </c>
      <c r="AH165">
        <v>43.73</v>
      </c>
    </row>
    <row r="166" spans="1:34" x14ac:dyDescent="0.3">
      <c r="A166" s="4">
        <v>204</v>
      </c>
      <c r="B166" s="5">
        <v>159</v>
      </c>
      <c r="C166">
        <v>12931</v>
      </c>
      <c r="D166" t="s">
        <v>26353</v>
      </c>
      <c r="E166" t="s">
        <v>380</v>
      </c>
      <c r="F166" t="s">
        <v>136</v>
      </c>
      <c r="G166" t="s">
        <v>26354</v>
      </c>
      <c r="H166">
        <v>18.73</v>
      </c>
      <c r="I166">
        <v>0</v>
      </c>
      <c r="J166">
        <v>0</v>
      </c>
      <c r="K166">
        <v>0</v>
      </c>
      <c r="N166">
        <v>3</v>
      </c>
      <c r="O166">
        <v>3</v>
      </c>
      <c r="P166">
        <v>4</v>
      </c>
      <c r="Q166">
        <v>0</v>
      </c>
      <c r="R166">
        <v>25.73</v>
      </c>
      <c r="S166">
        <v>18</v>
      </c>
      <c r="T166">
        <v>18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18</v>
      </c>
      <c r="AB166">
        <v>0</v>
      </c>
      <c r="AC166">
        <v>0</v>
      </c>
      <c r="AH166">
        <v>43.73</v>
      </c>
    </row>
    <row r="167" spans="1:34" x14ac:dyDescent="0.3">
      <c r="A167" s="4">
        <v>205</v>
      </c>
      <c r="B167" s="5">
        <v>160</v>
      </c>
      <c r="C167">
        <v>333</v>
      </c>
      <c r="D167" t="s">
        <v>775</v>
      </c>
      <c r="E167" t="s">
        <v>26355</v>
      </c>
      <c r="F167" t="s">
        <v>136</v>
      </c>
      <c r="G167" t="s">
        <v>26356</v>
      </c>
      <c r="H167">
        <v>20.3</v>
      </c>
      <c r="I167">
        <v>0</v>
      </c>
      <c r="J167">
        <v>0</v>
      </c>
      <c r="K167">
        <v>0</v>
      </c>
      <c r="L167">
        <v>7</v>
      </c>
      <c r="N167">
        <v>3</v>
      </c>
      <c r="O167">
        <v>10</v>
      </c>
      <c r="P167">
        <v>4</v>
      </c>
      <c r="Q167">
        <v>2</v>
      </c>
      <c r="R167">
        <v>36.299999999999997</v>
      </c>
      <c r="S167">
        <v>7</v>
      </c>
      <c r="T167">
        <v>7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7</v>
      </c>
      <c r="AB167">
        <v>0</v>
      </c>
      <c r="AC167">
        <v>0</v>
      </c>
      <c r="AD167" t="s">
        <v>130</v>
      </c>
      <c r="AH167">
        <v>43.3</v>
      </c>
    </row>
    <row r="168" spans="1:34" x14ac:dyDescent="0.3">
      <c r="A168" s="4">
        <v>206</v>
      </c>
      <c r="B168" s="5">
        <v>161</v>
      </c>
      <c r="C168">
        <v>1325</v>
      </c>
      <c r="D168" t="s">
        <v>26357</v>
      </c>
      <c r="E168" t="s">
        <v>81</v>
      </c>
      <c r="F168" t="s">
        <v>17</v>
      </c>
      <c r="G168" t="s">
        <v>26358</v>
      </c>
      <c r="H168">
        <v>16.25</v>
      </c>
      <c r="I168">
        <v>0</v>
      </c>
      <c r="J168">
        <v>0</v>
      </c>
      <c r="K168">
        <v>0</v>
      </c>
      <c r="M168">
        <v>5</v>
      </c>
      <c r="O168">
        <v>5</v>
      </c>
      <c r="P168">
        <v>4</v>
      </c>
      <c r="Q168">
        <v>0</v>
      </c>
      <c r="R168">
        <v>25.25</v>
      </c>
      <c r="S168">
        <v>18</v>
      </c>
      <c r="T168">
        <v>18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18</v>
      </c>
      <c r="AB168">
        <v>0</v>
      </c>
      <c r="AC168">
        <v>0</v>
      </c>
      <c r="AH168">
        <v>43.25</v>
      </c>
    </row>
    <row r="169" spans="1:34" x14ac:dyDescent="0.3">
      <c r="A169" s="4">
        <v>208</v>
      </c>
      <c r="B169" s="5">
        <v>162</v>
      </c>
      <c r="C169">
        <v>7968</v>
      </c>
      <c r="D169" t="s">
        <v>26359</v>
      </c>
      <c r="E169" t="s">
        <v>54</v>
      </c>
      <c r="F169" t="s">
        <v>17</v>
      </c>
      <c r="G169">
        <v>116383</v>
      </c>
      <c r="H169">
        <v>21.45</v>
      </c>
      <c r="I169">
        <v>0</v>
      </c>
      <c r="J169">
        <v>0</v>
      </c>
      <c r="K169">
        <v>0</v>
      </c>
      <c r="L169">
        <v>7</v>
      </c>
      <c r="O169">
        <v>7</v>
      </c>
      <c r="P169">
        <v>4</v>
      </c>
      <c r="Q169">
        <v>2</v>
      </c>
      <c r="R169">
        <v>34.450000000000003</v>
      </c>
      <c r="S169">
        <v>8</v>
      </c>
      <c r="T169">
        <v>8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8</v>
      </c>
      <c r="AB169">
        <v>0</v>
      </c>
      <c r="AC169">
        <v>0</v>
      </c>
      <c r="AH169">
        <v>42.45</v>
      </c>
    </row>
    <row r="170" spans="1:34" x14ac:dyDescent="0.3">
      <c r="A170" s="4">
        <v>209</v>
      </c>
      <c r="B170" s="5">
        <v>163</v>
      </c>
      <c r="C170">
        <v>12572</v>
      </c>
      <c r="D170" t="s">
        <v>26360</v>
      </c>
      <c r="E170" t="s">
        <v>29</v>
      </c>
      <c r="F170" t="s">
        <v>2333</v>
      </c>
      <c r="G170" t="s">
        <v>26361</v>
      </c>
      <c r="H170">
        <v>21.85</v>
      </c>
      <c r="I170">
        <v>0</v>
      </c>
      <c r="J170">
        <v>0</v>
      </c>
      <c r="K170">
        <v>20</v>
      </c>
      <c r="O170">
        <v>0</v>
      </c>
      <c r="P170">
        <v>0</v>
      </c>
      <c r="Q170">
        <v>0</v>
      </c>
      <c r="R170">
        <v>41.85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H170">
        <v>41.85</v>
      </c>
    </row>
    <row r="171" spans="1:34" x14ac:dyDescent="0.3">
      <c r="A171" s="4">
        <v>210</v>
      </c>
      <c r="B171" s="5">
        <v>164</v>
      </c>
      <c r="C171">
        <v>307</v>
      </c>
      <c r="D171" t="s">
        <v>1874</v>
      </c>
      <c r="E171" t="s">
        <v>178</v>
      </c>
      <c r="F171" t="s">
        <v>238</v>
      </c>
      <c r="G171" t="s">
        <v>26362</v>
      </c>
      <c r="H171">
        <v>18.649999999999999</v>
      </c>
      <c r="I171">
        <v>0</v>
      </c>
      <c r="J171">
        <v>0</v>
      </c>
      <c r="K171">
        <v>0</v>
      </c>
      <c r="N171">
        <v>3</v>
      </c>
      <c r="O171">
        <v>3</v>
      </c>
      <c r="P171">
        <v>4</v>
      </c>
      <c r="Q171">
        <v>2</v>
      </c>
      <c r="R171">
        <v>27.65</v>
      </c>
      <c r="S171">
        <v>8</v>
      </c>
      <c r="T171">
        <v>8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8</v>
      </c>
      <c r="AB171">
        <v>6</v>
      </c>
      <c r="AC171">
        <v>0</v>
      </c>
      <c r="AD171" t="s">
        <v>130</v>
      </c>
      <c r="AH171">
        <v>41.65</v>
      </c>
    </row>
    <row r="172" spans="1:34" x14ac:dyDescent="0.3">
      <c r="A172" s="4">
        <v>211</v>
      </c>
      <c r="B172" s="5">
        <v>165</v>
      </c>
      <c r="C172">
        <v>5127</v>
      </c>
      <c r="D172" t="s">
        <v>25236</v>
      </c>
      <c r="E172" t="s">
        <v>97</v>
      </c>
      <c r="F172" t="s">
        <v>346</v>
      </c>
      <c r="G172" t="s">
        <v>26363</v>
      </c>
      <c r="H172">
        <v>20.58</v>
      </c>
      <c r="I172">
        <v>0</v>
      </c>
      <c r="J172">
        <v>0</v>
      </c>
      <c r="K172">
        <v>0</v>
      </c>
      <c r="N172">
        <v>3</v>
      </c>
      <c r="O172">
        <v>3</v>
      </c>
      <c r="P172">
        <v>4</v>
      </c>
      <c r="Q172">
        <v>0</v>
      </c>
      <c r="R172">
        <v>27.58</v>
      </c>
      <c r="S172">
        <v>8</v>
      </c>
      <c r="T172">
        <v>8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8</v>
      </c>
      <c r="AB172">
        <v>6</v>
      </c>
      <c r="AC172">
        <v>0</v>
      </c>
      <c r="AH172">
        <v>41.58</v>
      </c>
    </row>
    <row r="173" spans="1:34" x14ac:dyDescent="0.3">
      <c r="A173" s="4">
        <v>212</v>
      </c>
      <c r="B173" s="5">
        <v>166</v>
      </c>
      <c r="C173">
        <v>2131</v>
      </c>
      <c r="D173" t="s">
        <v>1565</v>
      </c>
      <c r="E173" t="s">
        <v>3948</v>
      </c>
      <c r="F173" t="s">
        <v>230</v>
      </c>
      <c r="G173" t="s">
        <v>26364</v>
      </c>
      <c r="H173">
        <v>20.03</v>
      </c>
      <c r="I173">
        <v>0</v>
      </c>
      <c r="J173">
        <v>0</v>
      </c>
      <c r="K173">
        <v>0</v>
      </c>
      <c r="O173">
        <v>0</v>
      </c>
      <c r="P173">
        <v>4</v>
      </c>
      <c r="Q173">
        <v>2</v>
      </c>
      <c r="R173">
        <v>26.03</v>
      </c>
      <c r="S173">
        <v>9</v>
      </c>
      <c r="T173">
        <v>9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9</v>
      </c>
      <c r="AB173">
        <v>6</v>
      </c>
      <c r="AC173">
        <v>0</v>
      </c>
      <c r="AH173">
        <v>41.03</v>
      </c>
    </row>
    <row r="174" spans="1:34" x14ac:dyDescent="0.3">
      <c r="A174" s="4">
        <v>213</v>
      </c>
      <c r="B174" s="5">
        <v>167</v>
      </c>
      <c r="C174">
        <v>3245</v>
      </c>
      <c r="D174" t="s">
        <v>18006</v>
      </c>
      <c r="E174" t="s">
        <v>38</v>
      </c>
      <c r="F174" t="s">
        <v>117</v>
      </c>
      <c r="G174" t="s">
        <v>26365</v>
      </c>
      <c r="H174">
        <v>17.899999999999999</v>
      </c>
      <c r="I174">
        <v>0</v>
      </c>
      <c r="J174">
        <v>0</v>
      </c>
      <c r="K174">
        <v>0</v>
      </c>
      <c r="L174">
        <v>7</v>
      </c>
      <c r="O174">
        <v>7</v>
      </c>
      <c r="P174">
        <v>4</v>
      </c>
      <c r="Q174">
        <v>0</v>
      </c>
      <c r="R174">
        <v>28.9</v>
      </c>
      <c r="S174">
        <v>8</v>
      </c>
      <c r="T174">
        <v>8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8</v>
      </c>
      <c r="AB174">
        <v>3</v>
      </c>
      <c r="AC174">
        <v>0</v>
      </c>
      <c r="AH174">
        <v>39.9</v>
      </c>
    </row>
    <row r="175" spans="1:34" x14ac:dyDescent="0.3">
      <c r="A175" s="4">
        <v>214</v>
      </c>
      <c r="B175" s="5">
        <v>168</v>
      </c>
      <c r="C175">
        <v>1750</v>
      </c>
      <c r="D175" t="s">
        <v>26366</v>
      </c>
      <c r="E175" t="s">
        <v>744</v>
      </c>
      <c r="F175" t="s">
        <v>158</v>
      </c>
      <c r="G175" t="s">
        <v>26367</v>
      </c>
      <c r="H175">
        <v>22.38</v>
      </c>
      <c r="I175">
        <v>7</v>
      </c>
      <c r="J175">
        <v>0</v>
      </c>
      <c r="K175">
        <v>0</v>
      </c>
      <c r="N175">
        <v>3</v>
      </c>
      <c r="O175">
        <v>3</v>
      </c>
      <c r="P175">
        <v>4</v>
      </c>
      <c r="Q175">
        <v>0</v>
      </c>
      <c r="R175">
        <v>36.380000000000003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3</v>
      </c>
      <c r="AC175">
        <v>0</v>
      </c>
      <c r="AH175">
        <v>39.380000000000003</v>
      </c>
    </row>
    <row r="176" spans="1:34" x14ac:dyDescent="0.3">
      <c r="A176" s="4">
        <v>215</v>
      </c>
      <c r="B176" s="5">
        <v>169</v>
      </c>
      <c r="C176">
        <v>2730</v>
      </c>
      <c r="D176" t="s">
        <v>3458</v>
      </c>
      <c r="E176" t="s">
        <v>166</v>
      </c>
      <c r="F176" t="s">
        <v>136</v>
      </c>
      <c r="G176" t="s">
        <v>26368</v>
      </c>
      <c r="H176">
        <v>18.850000000000001</v>
      </c>
      <c r="I176">
        <v>0</v>
      </c>
      <c r="J176">
        <v>0</v>
      </c>
      <c r="K176">
        <v>0</v>
      </c>
      <c r="L176">
        <v>7</v>
      </c>
      <c r="N176">
        <v>3</v>
      </c>
      <c r="O176">
        <v>10</v>
      </c>
      <c r="P176">
        <v>4</v>
      </c>
      <c r="Q176">
        <v>0</v>
      </c>
      <c r="R176">
        <v>32.85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6</v>
      </c>
      <c r="AC176">
        <v>0</v>
      </c>
      <c r="AH176">
        <v>38.85</v>
      </c>
    </row>
    <row r="177" spans="1:34" x14ac:dyDescent="0.3">
      <c r="A177" s="4">
        <v>216</v>
      </c>
      <c r="B177" s="5">
        <v>170</v>
      </c>
      <c r="C177">
        <v>11979</v>
      </c>
      <c r="D177" t="s">
        <v>1425</v>
      </c>
      <c r="E177" t="s">
        <v>188</v>
      </c>
      <c r="F177" t="s">
        <v>238</v>
      </c>
      <c r="G177" t="s">
        <v>26369</v>
      </c>
      <c r="H177">
        <v>21.68</v>
      </c>
      <c r="I177">
        <v>0</v>
      </c>
      <c r="J177">
        <v>0</v>
      </c>
      <c r="K177">
        <v>0</v>
      </c>
      <c r="M177">
        <v>5</v>
      </c>
      <c r="N177">
        <v>3</v>
      </c>
      <c r="O177">
        <v>8</v>
      </c>
      <c r="P177">
        <v>4</v>
      </c>
      <c r="Q177">
        <v>2</v>
      </c>
      <c r="R177">
        <v>35.68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3</v>
      </c>
      <c r="AC177">
        <v>0</v>
      </c>
      <c r="AH177">
        <v>38.68</v>
      </c>
    </row>
    <row r="178" spans="1:34" x14ac:dyDescent="0.3">
      <c r="A178" s="4">
        <v>217</v>
      </c>
      <c r="B178" s="5">
        <v>171</v>
      </c>
      <c r="C178">
        <v>7527</v>
      </c>
      <c r="D178" t="s">
        <v>26370</v>
      </c>
      <c r="E178" t="s">
        <v>26371</v>
      </c>
      <c r="F178" t="s">
        <v>26372</v>
      </c>
      <c r="G178" t="s">
        <v>26373</v>
      </c>
      <c r="H178">
        <v>18.399999999999999</v>
      </c>
      <c r="I178">
        <v>0</v>
      </c>
      <c r="J178">
        <v>0</v>
      </c>
      <c r="K178">
        <v>0</v>
      </c>
      <c r="L178">
        <v>14</v>
      </c>
      <c r="O178">
        <v>14</v>
      </c>
      <c r="P178">
        <v>4</v>
      </c>
      <c r="Q178">
        <v>2</v>
      </c>
      <c r="R178">
        <v>38.4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H178">
        <v>38.4</v>
      </c>
    </row>
    <row r="179" spans="1:34" x14ac:dyDescent="0.3">
      <c r="A179" s="4">
        <v>218</v>
      </c>
      <c r="B179" s="5">
        <v>172</v>
      </c>
      <c r="C179">
        <v>11865</v>
      </c>
      <c r="D179" t="s">
        <v>1160</v>
      </c>
      <c r="E179" t="s">
        <v>11806</v>
      </c>
      <c r="F179" t="s">
        <v>117</v>
      </c>
      <c r="G179" t="s">
        <v>26374</v>
      </c>
      <c r="H179">
        <v>20.100000000000001</v>
      </c>
      <c r="I179">
        <v>0</v>
      </c>
      <c r="J179">
        <v>0</v>
      </c>
      <c r="K179">
        <v>0</v>
      </c>
      <c r="L179">
        <v>7</v>
      </c>
      <c r="M179">
        <v>5</v>
      </c>
      <c r="O179">
        <v>12</v>
      </c>
      <c r="P179">
        <v>4</v>
      </c>
      <c r="Q179">
        <v>2</v>
      </c>
      <c r="R179">
        <v>38.1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H179">
        <v>38.1</v>
      </c>
    </row>
    <row r="180" spans="1:34" x14ac:dyDescent="0.3">
      <c r="A180" s="4">
        <v>219</v>
      </c>
      <c r="B180" s="5">
        <v>173</v>
      </c>
      <c r="C180">
        <v>12828</v>
      </c>
      <c r="D180" t="s">
        <v>26375</v>
      </c>
      <c r="E180" t="s">
        <v>161</v>
      </c>
      <c r="F180" t="s">
        <v>20</v>
      </c>
      <c r="G180" t="s">
        <v>26376</v>
      </c>
      <c r="H180">
        <v>23.75</v>
      </c>
      <c r="I180">
        <v>7</v>
      </c>
      <c r="J180">
        <v>0</v>
      </c>
      <c r="K180">
        <v>0</v>
      </c>
      <c r="L180">
        <v>7</v>
      </c>
      <c r="O180">
        <v>7</v>
      </c>
      <c r="P180">
        <v>0</v>
      </c>
      <c r="Q180">
        <v>0</v>
      </c>
      <c r="R180">
        <v>37.75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H180">
        <v>37.75</v>
      </c>
    </row>
    <row r="181" spans="1:34" x14ac:dyDescent="0.3">
      <c r="A181" s="4">
        <v>220</v>
      </c>
      <c r="B181" s="5">
        <v>174</v>
      </c>
      <c r="C181">
        <v>5264</v>
      </c>
      <c r="D181" t="s">
        <v>6792</v>
      </c>
      <c r="E181" t="s">
        <v>100</v>
      </c>
      <c r="F181" t="s">
        <v>17</v>
      </c>
      <c r="G181" t="s">
        <v>26377</v>
      </c>
      <c r="H181">
        <v>20.65</v>
      </c>
      <c r="I181">
        <v>0</v>
      </c>
      <c r="J181">
        <v>0</v>
      </c>
      <c r="K181">
        <v>0</v>
      </c>
      <c r="N181">
        <v>3</v>
      </c>
      <c r="O181">
        <v>3</v>
      </c>
      <c r="P181">
        <v>4</v>
      </c>
      <c r="Q181">
        <v>2</v>
      </c>
      <c r="R181">
        <v>29.65</v>
      </c>
      <c r="S181">
        <v>8</v>
      </c>
      <c r="T181">
        <v>8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8</v>
      </c>
      <c r="AB181">
        <v>0</v>
      </c>
      <c r="AC181">
        <v>0</v>
      </c>
      <c r="AH181">
        <v>37.65</v>
      </c>
    </row>
    <row r="182" spans="1:34" x14ac:dyDescent="0.3">
      <c r="A182" s="4">
        <v>221</v>
      </c>
      <c r="B182" s="5">
        <v>175</v>
      </c>
      <c r="C182">
        <v>1090</v>
      </c>
      <c r="D182" t="s">
        <v>26378</v>
      </c>
      <c r="E182" t="s">
        <v>41</v>
      </c>
      <c r="F182" t="s">
        <v>570</v>
      </c>
      <c r="G182" t="s">
        <v>26379</v>
      </c>
      <c r="H182">
        <v>22.4</v>
      </c>
      <c r="I182">
        <v>0</v>
      </c>
      <c r="J182">
        <v>0</v>
      </c>
      <c r="K182">
        <v>0</v>
      </c>
      <c r="M182">
        <v>5</v>
      </c>
      <c r="N182">
        <v>3</v>
      </c>
      <c r="O182">
        <v>8</v>
      </c>
      <c r="P182">
        <v>4</v>
      </c>
      <c r="Q182">
        <v>0</v>
      </c>
      <c r="R182">
        <v>34.4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3</v>
      </c>
      <c r="AC182">
        <v>0</v>
      </c>
      <c r="AH182">
        <v>37.4</v>
      </c>
    </row>
    <row r="183" spans="1:34" x14ac:dyDescent="0.3">
      <c r="A183" s="4">
        <v>222</v>
      </c>
      <c r="B183" s="5">
        <v>176</v>
      </c>
      <c r="C183">
        <v>11849</v>
      </c>
      <c r="D183" t="s">
        <v>5294</v>
      </c>
      <c r="E183" t="s">
        <v>33</v>
      </c>
      <c r="F183" t="s">
        <v>20</v>
      </c>
      <c r="G183" t="s">
        <v>26380</v>
      </c>
      <c r="H183">
        <v>20.28</v>
      </c>
      <c r="I183">
        <v>7</v>
      </c>
      <c r="J183">
        <v>0</v>
      </c>
      <c r="K183">
        <v>0</v>
      </c>
      <c r="L183">
        <v>7</v>
      </c>
      <c r="N183">
        <v>3</v>
      </c>
      <c r="O183">
        <v>10</v>
      </c>
      <c r="P183">
        <v>0</v>
      </c>
      <c r="Q183">
        <v>0</v>
      </c>
      <c r="R183">
        <v>37.28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H183">
        <v>37.28</v>
      </c>
    </row>
    <row r="184" spans="1:34" x14ac:dyDescent="0.3">
      <c r="A184" s="4">
        <v>223</v>
      </c>
      <c r="B184" s="5">
        <v>177</v>
      </c>
      <c r="C184">
        <v>8018</v>
      </c>
      <c r="D184" t="s">
        <v>122</v>
      </c>
      <c r="E184" t="s">
        <v>1652</v>
      </c>
      <c r="F184" t="s">
        <v>20</v>
      </c>
      <c r="G184" t="s">
        <v>26381</v>
      </c>
      <c r="H184">
        <v>18.25</v>
      </c>
      <c r="I184">
        <v>0</v>
      </c>
      <c r="J184">
        <v>0</v>
      </c>
      <c r="K184">
        <v>0</v>
      </c>
      <c r="O184">
        <v>0</v>
      </c>
      <c r="P184">
        <v>0</v>
      </c>
      <c r="Q184">
        <v>2</v>
      </c>
      <c r="R184">
        <v>20.25</v>
      </c>
      <c r="S184">
        <v>17</v>
      </c>
      <c r="T184">
        <v>17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17</v>
      </c>
      <c r="AB184">
        <v>0</v>
      </c>
      <c r="AC184">
        <v>0</v>
      </c>
      <c r="AH184">
        <v>37.25</v>
      </c>
    </row>
    <row r="185" spans="1:34" x14ac:dyDescent="0.3">
      <c r="A185" s="4">
        <v>224</v>
      </c>
      <c r="B185" s="5">
        <v>178</v>
      </c>
      <c r="C185">
        <v>4608</v>
      </c>
      <c r="D185" t="s">
        <v>26382</v>
      </c>
      <c r="E185" t="s">
        <v>320</v>
      </c>
      <c r="F185" t="s">
        <v>38</v>
      </c>
      <c r="G185" t="s">
        <v>26383</v>
      </c>
      <c r="H185">
        <v>21</v>
      </c>
      <c r="I185">
        <v>0</v>
      </c>
      <c r="J185">
        <v>0</v>
      </c>
      <c r="K185">
        <v>0</v>
      </c>
      <c r="L185">
        <v>7</v>
      </c>
      <c r="N185">
        <v>3</v>
      </c>
      <c r="O185">
        <v>10</v>
      </c>
      <c r="P185">
        <v>4</v>
      </c>
      <c r="Q185">
        <v>2</v>
      </c>
      <c r="R185">
        <v>37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H185">
        <v>37</v>
      </c>
    </row>
    <row r="186" spans="1:34" x14ac:dyDescent="0.3">
      <c r="A186" s="4">
        <v>225</v>
      </c>
      <c r="B186" s="5">
        <v>179</v>
      </c>
      <c r="C186">
        <v>3852</v>
      </c>
      <c r="D186" t="s">
        <v>10468</v>
      </c>
      <c r="E186" t="s">
        <v>54</v>
      </c>
      <c r="F186" t="s">
        <v>81</v>
      </c>
      <c r="G186" t="s">
        <v>26384</v>
      </c>
      <c r="H186">
        <v>16.98</v>
      </c>
      <c r="I186">
        <v>0</v>
      </c>
      <c r="J186">
        <v>0</v>
      </c>
      <c r="K186">
        <v>0</v>
      </c>
      <c r="L186">
        <v>7</v>
      </c>
      <c r="O186">
        <v>7</v>
      </c>
      <c r="P186">
        <v>4</v>
      </c>
      <c r="Q186">
        <v>0</v>
      </c>
      <c r="R186">
        <v>27.98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9</v>
      </c>
      <c r="AC186">
        <v>0</v>
      </c>
      <c r="AH186">
        <v>36.979999999999997</v>
      </c>
    </row>
    <row r="187" spans="1:34" x14ac:dyDescent="0.3">
      <c r="A187" s="4">
        <v>226</v>
      </c>
      <c r="B187" s="5">
        <v>180</v>
      </c>
      <c r="C187">
        <v>8239</v>
      </c>
      <c r="D187" t="s">
        <v>26385</v>
      </c>
      <c r="E187" t="s">
        <v>54</v>
      </c>
      <c r="F187" t="s">
        <v>30</v>
      </c>
      <c r="G187" t="s">
        <v>26386</v>
      </c>
      <c r="H187">
        <v>21.83</v>
      </c>
      <c r="I187">
        <v>0</v>
      </c>
      <c r="J187">
        <v>0</v>
      </c>
      <c r="K187">
        <v>0</v>
      </c>
      <c r="L187">
        <v>7</v>
      </c>
      <c r="O187">
        <v>7</v>
      </c>
      <c r="P187">
        <v>4</v>
      </c>
      <c r="Q187">
        <v>0</v>
      </c>
      <c r="R187">
        <v>32.83</v>
      </c>
      <c r="S187">
        <v>4</v>
      </c>
      <c r="T187">
        <v>4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4</v>
      </c>
      <c r="AB187">
        <v>0</v>
      </c>
      <c r="AC187">
        <v>0</v>
      </c>
      <c r="AH187">
        <v>36.83</v>
      </c>
    </row>
    <row r="188" spans="1:34" x14ac:dyDescent="0.3">
      <c r="A188" s="4">
        <v>227</v>
      </c>
      <c r="B188" s="5">
        <v>181</v>
      </c>
      <c r="C188">
        <v>1565</v>
      </c>
      <c r="D188" t="s">
        <v>12868</v>
      </c>
      <c r="E188" t="s">
        <v>166</v>
      </c>
      <c r="F188" t="s">
        <v>26387</v>
      </c>
      <c r="G188" t="s">
        <v>26388</v>
      </c>
      <c r="H188">
        <v>17.600000000000001</v>
      </c>
      <c r="I188">
        <v>0</v>
      </c>
      <c r="J188">
        <v>0</v>
      </c>
      <c r="K188">
        <v>0</v>
      </c>
      <c r="L188">
        <v>7</v>
      </c>
      <c r="O188">
        <v>7</v>
      </c>
      <c r="P188">
        <v>0</v>
      </c>
      <c r="Q188">
        <v>2</v>
      </c>
      <c r="R188">
        <v>26.6</v>
      </c>
      <c r="S188">
        <v>0</v>
      </c>
      <c r="T188">
        <v>0</v>
      </c>
      <c r="U188">
        <v>0</v>
      </c>
      <c r="V188">
        <v>0</v>
      </c>
      <c r="W188">
        <v>7</v>
      </c>
      <c r="X188">
        <v>10</v>
      </c>
      <c r="Y188">
        <v>0</v>
      </c>
      <c r="Z188">
        <v>0</v>
      </c>
      <c r="AA188">
        <v>10</v>
      </c>
      <c r="AB188">
        <v>0</v>
      </c>
      <c r="AC188">
        <v>0</v>
      </c>
      <c r="AH188">
        <v>36.6</v>
      </c>
    </row>
    <row r="189" spans="1:34" x14ac:dyDescent="0.3">
      <c r="A189" s="4">
        <v>228</v>
      </c>
      <c r="B189" s="5">
        <v>182</v>
      </c>
      <c r="C189">
        <v>9922</v>
      </c>
      <c r="D189" t="s">
        <v>2356</v>
      </c>
      <c r="E189" t="s">
        <v>161</v>
      </c>
      <c r="F189" t="s">
        <v>230</v>
      </c>
      <c r="G189" t="s">
        <v>26389</v>
      </c>
      <c r="H189">
        <v>19.579999999999998</v>
      </c>
      <c r="I189">
        <v>0</v>
      </c>
      <c r="J189">
        <v>0</v>
      </c>
      <c r="K189">
        <v>0</v>
      </c>
      <c r="L189">
        <v>7</v>
      </c>
      <c r="O189">
        <v>7</v>
      </c>
      <c r="P189">
        <v>4</v>
      </c>
      <c r="Q189">
        <v>0</v>
      </c>
      <c r="R189">
        <v>30.58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6</v>
      </c>
      <c r="AC189">
        <v>0</v>
      </c>
      <c r="AH189">
        <v>36.58</v>
      </c>
    </row>
    <row r="190" spans="1:34" x14ac:dyDescent="0.3">
      <c r="A190" s="4">
        <v>229</v>
      </c>
      <c r="B190" s="5">
        <v>183</v>
      </c>
      <c r="C190">
        <v>6602</v>
      </c>
      <c r="D190" t="s">
        <v>26390</v>
      </c>
      <c r="E190" t="s">
        <v>30</v>
      </c>
      <c r="F190" t="s">
        <v>81</v>
      </c>
      <c r="G190" t="s">
        <v>26391</v>
      </c>
      <c r="H190">
        <v>22.33</v>
      </c>
      <c r="I190">
        <v>0</v>
      </c>
      <c r="J190">
        <v>0</v>
      </c>
      <c r="K190">
        <v>0</v>
      </c>
      <c r="L190">
        <v>7</v>
      </c>
      <c r="M190">
        <v>5</v>
      </c>
      <c r="O190">
        <v>12</v>
      </c>
      <c r="P190">
        <v>0</v>
      </c>
      <c r="Q190">
        <v>2</v>
      </c>
      <c r="R190">
        <v>36.33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 t="s">
        <v>130</v>
      </c>
      <c r="AH190">
        <v>36.33</v>
      </c>
    </row>
    <row r="191" spans="1:34" x14ac:dyDescent="0.3">
      <c r="A191" s="4">
        <v>230</v>
      </c>
      <c r="B191" s="5">
        <v>184</v>
      </c>
      <c r="C191">
        <v>589</v>
      </c>
      <c r="D191" t="s">
        <v>26392</v>
      </c>
      <c r="E191" t="s">
        <v>97</v>
      </c>
      <c r="F191" t="s">
        <v>158</v>
      </c>
      <c r="G191" t="s">
        <v>26393</v>
      </c>
      <c r="H191">
        <v>20.2</v>
      </c>
      <c r="I191">
        <v>0</v>
      </c>
      <c r="J191">
        <v>0</v>
      </c>
      <c r="K191">
        <v>0</v>
      </c>
      <c r="L191">
        <v>7</v>
      </c>
      <c r="M191">
        <v>5</v>
      </c>
      <c r="O191">
        <v>12</v>
      </c>
      <c r="P191">
        <v>4</v>
      </c>
      <c r="Q191">
        <v>0</v>
      </c>
      <c r="R191">
        <v>36.200000000000003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H191">
        <v>36.200000000000003</v>
      </c>
    </row>
    <row r="192" spans="1:34" x14ac:dyDescent="0.3">
      <c r="A192" s="4">
        <v>231</v>
      </c>
      <c r="B192" s="5">
        <v>185</v>
      </c>
      <c r="C192">
        <v>13085</v>
      </c>
      <c r="D192" t="s">
        <v>26394</v>
      </c>
      <c r="E192" t="s">
        <v>1887</v>
      </c>
      <c r="F192" t="s">
        <v>1998</v>
      </c>
      <c r="G192" t="s">
        <v>26395</v>
      </c>
      <c r="H192">
        <v>19.829999999999998</v>
      </c>
      <c r="I192">
        <v>0</v>
      </c>
      <c r="J192">
        <v>0</v>
      </c>
      <c r="K192">
        <v>0</v>
      </c>
      <c r="O192">
        <v>0</v>
      </c>
      <c r="P192">
        <v>0</v>
      </c>
      <c r="Q192">
        <v>2</v>
      </c>
      <c r="R192">
        <v>21.83</v>
      </c>
      <c r="S192">
        <v>11</v>
      </c>
      <c r="T192">
        <v>11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11</v>
      </c>
      <c r="AB192">
        <v>3</v>
      </c>
      <c r="AC192">
        <v>0</v>
      </c>
      <c r="AH192">
        <v>35.83</v>
      </c>
    </row>
    <row r="193" spans="1:34" x14ac:dyDescent="0.3">
      <c r="A193" s="4">
        <v>232</v>
      </c>
      <c r="B193" s="5">
        <v>186</v>
      </c>
      <c r="C193">
        <v>4192</v>
      </c>
      <c r="D193" t="s">
        <v>5254</v>
      </c>
      <c r="E193" t="s">
        <v>2271</v>
      </c>
      <c r="F193" t="s">
        <v>30</v>
      </c>
      <c r="G193" t="s">
        <v>26396</v>
      </c>
      <c r="H193">
        <v>20.7</v>
      </c>
      <c r="I193">
        <v>0</v>
      </c>
      <c r="J193">
        <v>0</v>
      </c>
      <c r="K193">
        <v>0</v>
      </c>
      <c r="N193">
        <v>3</v>
      </c>
      <c r="O193">
        <v>3</v>
      </c>
      <c r="P193">
        <v>4</v>
      </c>
      <c r="Q193">
        <v>2</v>
      </c>
      <c r="R193">
        <v>29.7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6</v>
      </c>
      <c r="AC193">
        <v>0</v>
      </c>
      <c r="AH193">
        <v>35.700000000000003</v>
      </c>
    </row>
    <row r="194" spans="1:34" x14ac:dyDescent="0.3">
      <c r="A194" s="4">
        <v>233</v>
      </c>
      <c r="B194" s="5">
        <v>187</v>
      </c>
      <c r="C194">
        <v>2956</v>
      </c>
      <c r="D194" t="s">
        <v>12030</v>
      </c>
      <c r="E194" t="s">
        <v>170</v>
      </c>
      <c r="F194" t="s">
        <v>117</v>
      </c>
      <c r="G194" t="s">
        <v>26397</v>
      </c>
      <c r="H194">
        <v>21.55</v>
      </c>
      <c r="I194">
        <v>0</v>
      </c>
      <c r="J194">
        <v>0</v>
      </c>
      <c r="K194">
        <v>0</v>
      </c>
      <c r="L194">
        <v>7</v>
      </c>
      <c r="N194">
        <v>3</v>
      </c>
      <c r="O194">
        <v>10</v>
      </c>
      <c r="P194">
        <v>4</v>
      </c>
      <c r="Q194">
        <v>0</v>
      </c>
      <c r="R194">
        <v>35.549999999999997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H194">
        <v>35.549999999999997</v>
      </c>
    </row>
    <row r="195" spans="1:34" x14ac:dyDescent="0.3">
      <c r="A195" s="4">
        <v>234</v>
      </c>
      <c r="B195" s="5">
        <v>188</v>
      </c>
      <c r="C195">
        <v>8495</v>
      </c>
      <c r="D195" t="s">
        <v>8450</v>
      </c>
      <c r="E195" t="s">
        <v>26398</v>
      </c>
      <c r="F195" t="s">
        <v>17</v>
      </c>
      <c r="G195" t="s">
        <v>26399</v>
      </c>
      <c r="H195">
        <v>22.53</v>
      </c>
      <c r="I195">
        <v>0</v>
      </c>
      <c r="J195">
        <v>0</v>
      </c>
      <c r="K195">
        <v>0</v>
      </c>
      <c r="L195">
        <v>7</v>
      </c>
      <c r="O195">
        <v>7</v>
      </c>
      <c r="P195">
        <v>4</v>
      </c>
      <c r="Q195">
        <v>2</v>
      </c>
      <c r="R195">
        <v>35.53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 t="s">
        <v>130</v>
      </c>
      <c r="AH195">
        <v>35.53</v>
      </c>
    </row>
    <row r="196" spans="1:34" x14ac:dyDescent="0.3">
      <c r="A196" s="4">
        <v>235</v>
      </c>
      <c r="B196" s="5">
        <v>189</v>
      </c>
      <c r="C196">
        <v>7336</v>
      </c>
      <c r="D196" t="s">
        <v>26400</v>
      </c>
      <c r="E196" t="s">
        <v>54</v>
      </c>
      <c r="F196" t="s">
        <v>20</v>
      </c>
      <c r="G196" t="s">
        <v>26401</v>
      </c>
      <c r="H196">
        <v>20.53</v>
      </c>
      <c r="I196">
        <v>0</v>
      </c>
      <c r="J196">
        <v>0</v>
      </c>
      <c r="K196">
        <v>0</v>
      </c>
      <c r="N196">
        <v>6</v>
      </c>
      <c r="O196">
        <v>6</v>
      </c>
      <c r="P196">
        <v>4</v>
      </c>
      <c r="Q196">
        <v>0</v>
      </c>
      <c r="R196">
        <v>30.53</v>
      </c>
      <c r="S196">
        <v>5</v>
      </c>
      <c r="T196">
        <v>5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5</v>
      </c>
      <c r="AB196">
        <v>0</v>
      </c>
      <c r="AC196">
        <v>0</v>
      </c>
      <c r="AH196">
        <v>35.53</v>
      </c>
    </row>
    <row r="197" spans="1:34" x14ac:dyDescent="0.3">
      <c r="A197" s="4">
        <v>236</v>
      </c>
      <c r="B197" s="5">
        <v>190</v>
      </c>
      <c r="C197">
        <v>5749</v>
      </c>
      <c r="D197" t="s">
        <v>2666</v>
      </c>
      <c r="E197" t="s">
        <v>143</v>
      </c>
      <c r="F197" t="s">
        <v>158</v>
      </c>
      <c r="G197" t="s">
        <v>26402</v>
      </c>
      <c r="H197">
        <v>22.25</v>
      </c>
      <c r="I197">
        <v>0</v>
      </c>
      <c r="J197">
        <v>0</v>
      </c>
      <c r="K197">
        <v>0</v>
      </c>
      <c r="L197">
        <v>7</v>
      </c>
      <c r="O197">
        <v>7</v>
      </c>
      <c r="P197">
        <v>4</v>
      </c>
      <c r="Q197">
        <v>2</v>
      </c>
      <c r="R197">
        <v>35.25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H197">
        <v>35.25</v>
      </c>
    </row>
    <row r="198" spans="1:34" x14ac:dyDescent="0.3">
      <c r="A198" s="4">
        <v>237</v>
      </c>
      <c r="B198" s="5">
        <v>191</v>
      </c>
      <c r="C198">
        <v>13898</v>
      </c>
      <c r="D198" t="s">
        <v>4108</v>
      </c>
      <c r="E198" t="s">
        <v>283</v>
      </c>
      <c r="F198" t="s">
        <v>328</v>
      </c>
      <c r="G198" t="s">
        <v>26403</v>
      </c>
      <c r="H198">
        <v>21.03</v>
      </c>
      <c r="I198">
        <v>0</v>
      </c>
      <c r="J198">
        <v>0</v>
      </c>
      <c r="K198">
        <v>0</v>
      </c>
      <c r="L198">
        <v>7</v>
      </c>
      <c r="N198">
        <v>3</v>
      </c>
      <c r="O198">
        <v>10</v>
      </c>
      <c r="P198">
        <v>4</v>
      </c>
      <c r="Q198">
        <v>0</v>
      </c>
      <c r="R198">
        <v>35.03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H198">
        <v>35.03</v>
      </c>
    </row>
    <row r="199" spans="1:34" x14ac:dyDescent="0.3">
      <c r="A199" s="4">
        <v>238</v>
      </c>
      <c r="B199" s="5">
        <v>192</v>
      </c>
      <c r="C199">
        <v>2750</v>
      </c>
      <c r="D199" t="s">
        <v>7135</v>
      </c>
      <c r="E199" t="s">
        <v>1874</v>
      </c>
      <c r="F199" t="s">
        <v>26404</v>
      </c>
      <c r="G199" t="s">
        <v>26405</v>
      </c>
      <c r="H199">
        <v>20.83</v>
      </c>
      <c r="I199">
        <v>0</v>
      </c>
      <c r="J199">
        <v>0</v>
      </c>
      <c r="K199">
        <v>0</v>
      </c>
      <c r="M199">
        <v>5</v>
      </c>
      <c r="O199">
        <v>5</v>
      </c>
      <c r="P199">
        <v>4</v>
      </c>
      <c r="Q199">
        <v>2</v>
      </c>
      <c r="R199">
        <v>31.83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3</v>
      </c>
      <c r="AC199">
        <v>0</v>
      </c>
      <c r="AH199">
        <v>34.83</v>
      </c>
    </row>
    <row r="200" spans="1:34" x14ac:dyDescent="0.3">
      <c r="A200" s="4">
        <v>239</v>
      </c>
      <c r="B200" s="5">
        <v>193</v>
      </c>
      <c r="C200">
        <v>4800</v>
      </c>
      <c r="D200" t="s">
        <v>26406</v>
      </c>
      <c r="E200" t="s">
        <v>29</v>
      </c>
      <c r="F200" t="s">
        <v>190</v>
      </c>
      <c r="G200" t="s">
        <v>26407</v>
      </c>
      <c r="H200">
        <v>21.5</v>
      </c>
      <c r="I200">
        <v>0</v>
      </c>
      <c r="J200">
        <v>0</v>
      </c>
      <c r="K200">
        <v>0</v>
      </c>
      <c r="N200">
        <v>3</v>
      </c>
      <c r="O200">
        <v>3</v>
      </c>
      <c r="P200">
        <v>4</v>
      </c>
      <c r="Q200">
        <v>0</v>
      </c>
      <c r="R200">
        <v>28.5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6</v>
      </c>
      <c r="AC200">
        <v>0</v>
      </c>
      <c r="AH200">
        <v>34.5</v>
      </c>
    </row>
    <row r="201" spans="1:34" x14ac:dyDescent="0.3">
      <c r="A201" s="4">
        <v>240</v>
      </c>
      <c r="B201" s="5">
        <v>194</v>
      </c>
      <c r="C201">
        <v>4323</v>
      </c>
      <c r="D201" t="s">
        <v>26408</v>
      </c>
      <c r="E201" t="s">
        <v>161</v>
      </c>
      <c r="F201" t="s">
        <v>136</v>
      </c>
      <c r="G201" t="s">
        <v>26409</v>
      </c>
      <c r="H201">
        <v>18.45</v>
      </c>
      <c r="I201">
        <v>0</v>
      </c>
      <c r="J201">
        <v>0</v>
      </c>
      <c r="K201">
        <v>0</v>
      </c>
      <c r="L201">
        <v>7</v>
      </c>
      <c r="M201">
        <v>5</v>
      </c>
      <c r="O201">
        <v>12</v>
      </c>
      <c r="P201">
        <v>4</v>
      </c>
      <c r="Q201">
        <v>0</v>
      </c>
      <c r="R201">
        <v>34.450000000000003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H201">
        <v>34.450000000000003</v>
      </c>
    </row>
    <row r="202" spans="1:34" x14ac:dyDescent="0.3">
      <c r="A202" s="4">
        <v>241</v>
      </c>
      <c r="B202" s="5">
        <v>195</v>
      </c>
      <c r="C202">
        <v>6006</v>
      </c>
      <c r="D202" t="s">
        <v>26410</v>
      </c>
      <c r="E202" t="s">
        <v>26411</v>
      </c>
      <c r="F202" t="s">
        <v>17</v>
      </c>
      <c r="G202" t="s">
        <v>26412</v>
      </c>
      <c r="H202">
        <v>20.25</v>
      </c>
      <c r="I202">
        <v>0</v>
      </c>
      <c r="J202">
        <v>0</v>
      </c>
      <c r="K202">
        <v>0</v>
      </c>
      <c r="L202">
        <v>14</v>
      </c>
      <c r="O202">
        <v>14</v>
      </c>
      <c r="P202">
        <v>0</v>
      </c>
      <c r="Q202">
        <v>0</v>
      </c>
      <c r="R202">
        <v>34.25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H202">
        <v>34.25</v>
      </c>
    </row>
    <row r="203" spans="1:34" x14ac:dyDescent="0.3">
      <c r="A203" s="4">
        <v>242</v>
      </c>
      <c r="B203" s="5">
        <v>196</v>
      </c>
      <c r="C203">
        <v>3975</v>
      </c>
      <c r="D203" t="s">
        <v>26413</v>
      </c>
      <c r="E203" t="s">
        <v>26414</v>
      </c>
      <c r="F203" t="s">
        <v>243</v>
      </c>
      <c r="G203" t="s">
        <v>26415</v>
      </c>
      <c r="H203">
        <v>21.15</v>
      </c>
      <c r="I203">
        <v>0</v>
      </c>
      <c r="J203">
        <v>0</v>
      </c>
      <c r="K203">
        <v>0</v>
      </c>
      <c r="L203">
        <v>7</v>
      </c>
      <c r="O203">
        <v>7</v>
      </c>
      <c r="P203">
        <v>4</v>
      </c>
      <c r="Q203">
        <v>2</v>
      </c>
      <c r="R203">
        <v>34.15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 t="s">
        <v>130</v>
      </c>
      <c r="AH203">
        <v>34.15</v>
      </c>
    </row>
    <row r="204" spans="1:34" x14ac:dyDescent="0.3">
      <c r="A204" s="4">
        <v>243</v>
      </c>
      <c r="B204" s="5">
        <v>197</v>
      </c>
      <c r="C204">
        <v>15088</v>
      </c>
      <c r="D204" t="s">
        <v>26416</v>
      </c>
      <c r="E204" t="s">
        <v>33</v>
      </c>
      <c r="F204" t="s">
        <v>20</v>
      </c>
      <c r="G204" t="s">
        <v>26417</v>
      </c>
      <c r="H204">
        <v>21.03</v>
      </c>
      <c r="I204">
        <v>0</v>
      </c>
      <c r="J204">
        <v>0</v>
      </c>
      <c r="K204">
        <v>0</v>
      </c>
      <c r="L204">
        <v>7</v>
      </c>
      <c r="O204">
        <v>7</v>
      </c>
      <c r="P204">
        <v>4</v>
      </c>
      <c r="Q204">
        <v>2</v>
      </c>
      <c r="R204">
        <v>34.03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H204">
        <v>34.03</v>
      </c>
    </row>
    <row r="205" spans="1:34" x14ac:dyDescent="0.3">
      <c r="A205" s="4">
        <v>244</v>
      </c>
      <c r="B205" s="5">
        <v>198</v>
      </c>
      <c r="C205">
        <v>15091</v>
      </c>
      <c r="D205" t="s">
        <v>8165</v>
      </c>
      <c r="E205" t="s">
        <v>273</v>
      </c>
      <c r="F205" t="s">
        <v>68</v>
      </c>
      <c r="G205" t="s">
        <v>26418</v>
      </c>
      <c r="H205">
        <v>20.85</v>
      </c>
      <c r="I205">
        <v>0</v>
      </c>
      <c r="J205">
        <v>0</v>
      </c>
      <c r="K205">
        <v>0</v>
      </c>
      <c r="L205">
        <v>7</v>
      </c>
      <c r="O205">
        <v>7</v>
      </c>
      <c r="P205">
        <v>0</v>
      </c>
      <c r="Q205">
        <v>0</v>
      </c>
      <c r="R205">
        <v>27.85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6</v>
      </c>
      <c r="AC205">
        <v>0</v>
      </c>
      <c r="AH205">
        <v>33.85</v>
      </c>
    </row>
    <row r="206" spans="1:34" x14ac:dyDescent="0.3">
      <c r="A206" s="4">
        <v>245</v>
      </c>
      <c r="B206" s="5">
        <v>199</v>
      </c>
      <c r="C206">
        <v>3217</v>
      </c>
      <c r="D206" t="s">
        <v>26419</v>
      </c>
      <c r="E206" t="s">
        <v>26420</v>
      </c>
      <c r="F206" t="s">
        <v>3511</v>
      </c>
      <c r="G206" t="s">
        <v>26421</v>
      </c>
      <c r="H206">
        <v>18.7</v>
      </c>
      <c r="I206">
        <v>0</v>
      </c>
      <c r="J206">
        <v>0</v>
      </c>
      <c r="K206">
        <v>0</v>
      </c>
      <c r="N206">
        <v>3</v>
      </c>
      <c r="O206">
        <v>3</v>
      </c>
      <c r="P206">
        <v>4</v>
      </c>
      <c r="Q206">
        <v>2</v>
      </c>
      <c r="R206">
        <v>27.7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6</v>
      </c>
      <c r="AC206">
        <v>0</v>
      </c>
      <c r="AH206">
        <v>33.700000000000003</v>
      </c>
    </row>
    <row r="207" spans="1:34" x14ac:dyDescent="0.3">
      <c r="A207" s="4">
        <v>246</v>
      </c>
      <c r="B207" s="5">
        <v>200</v>
      </c>
      <c r="C207">
        <v>233</v>
      </c>
      <c r="D207" t="s">
        <v>26422</v>
      </c>
      <c r="E207" t="s">
        <v>88</v>
      </c>
      <c r="F207" t="s">
        <v>136</v>
      </c>
      <c r="G207" t="s">
        <v>26423</v>
      </c>
      <c r="H207">
        <v>20.7</v>
      </c>
      <c r="I207">
        <v>0</v>
      </c>
      <c r="J207">
        <v>0</v>
      </c>
      <c r="K207">
        <v>0</v>
      </c>
      <c r="L207">
        <v>7</v>
      </c>
      <c r="O207">
        <v>7</v>
      </c>
      <c r="P207">
        <v>4</v>
      </c>
      <c r="Q207">
        <v>2</v>
      </c>
      <c r="R207">
        <v>33.700000000000003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 t="s">
        <v>130</v>
      </c>
      <c r="AE207" t="s">
        <v>130</v>
      </c>
      <c r="AH207">
        <v>33.700000000000003</v>
      </c>
    </row>
    <row r="208" spans="1:34" x14ac:dyDescent="0.3">
      <c r="A208" s="4">
        <v>247</v>
      </c>
      <c r="B208" s="5">
        <v>201</v>
      </c>
      <c r="C208">
        <v>7470</v>
      </c>
      <c r="D208" t="s">
        <v>3889</v>
      </c>
      <c r="E208" t="s">
        <v>454</v>
      </c>
      <c r="F208" t="s">
        <v>117</v>
      </c>
      <c r="G208" t="s">
        <v>26424</v>
      </c>
      <c r="H208">
        <v>18.63</v>
      </c>
      <c r="I208">
        <v>0</v>
      </c>
      <c r="J208">
        <v>0</v>
      </c>
      <c r="K208">
        <v>0</v>
      </c>
      <c r="N208">
        <v>3</v>
      </c>
      <c r="O208">
        <v>3</v>
      </c>
      <c r="P208">
        <v>4</v>
      </c>
      <c r="Q208">
        <v>2</v>
      </c>
      <c r="R208">
        <v>27.63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6</v>
      </c>
      <c r="AC208">
        <v>0</v>
      </c>
      <c r="AH208">
        <v>33.630000000000003</v>
      </c>
    </row>
    <row r="209" spans="1:34" x14ac:dyDescent="0.3">
      <c r="A209" s="4">
        <v>248</v>
      </c>
      <c r="B209" s="5">
        <v>202</v>
      </c>
      <c r="C209">
        <v>8972</v>
      </c>
      <c r="D209" t="s">
        <v>26425</v>
      </c>
      <c r="E209" t="s">
        <v>789</v>
      </c>
      <c r="F209" t="s">
        <v>328</v>
      </c>
      <c r="G209" t="s">
        <v>26426</v>
      </c>
      <c r="H209">
        <v>21.6</v>
      </c>
      <c r="I209">
        <v>0</v>
      </c>
      <c r="J209">
        <v>0</v>
      </c>
      <c r="K209">
        <v>0</v>
      </c>
      <c r="L209">
        <v>7</v>
      </c>
      <c r="N209">
        <v>3</v>
      </c>
      <c r="O209">
        <v>10</v>
      </c>
      <c r="P209">
        <v>0</v>
      </c>
      <c r="Q209">
        <v>2</v>
      </c>
      <c r="R209">
        <v>33.6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H209">
        <v>33.6</v>
      </c>
    </row>
    <row r="210" spans="1:34" x14ac:dyDescent="0.3">
      <c r="A210" s="4">
        <v>249</v>
      </c>
      <c r="B210" s="5">
        <v>203</v>
      </c>
      <c r="C210">
        <v>9768</v>
      </c>
      <c r="D210" t="s">
        <v>26427</v>
      </c>
      <c r="E210" t="s">
        <v>3313</v>
      </c>
      <c r="F210" t="s">
        <v>91</v>
      </c>
      <c r="G210" t="s">
        <v>26428</v>
      </c>
      <c r="H210">
        <v>20.58</v>
      </c>
      <c r="I210">
        <v>0</v>
      </c>
      <c r="J210">
        <v>0</v>
      </c>
      <c r="K210">
        <v>0</v>
      </c>
      <c r="N210">
        <v>3</v>
      </c>
      <c r="O210">
        <v>3</v>
      </c>
      <c r="P210">
        <v>4</v>
      </c>
      <c r="Q210">
        <v>0</v>
      </c>
      <c r="R210">
        <v>27.58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6</v>
      </c>
      <c r="AC210">
        <v>0</v>
      </c>
      <c r="AH210">
        <v>33.58</v>
      </c>
    </row>
    <row r="211" spans="1:34" x14ac:dyDescent="0.3">
      <c r="A211" s="4">
        <v>250</v>
      </c>
      <c r="B211" s="5">
        <v>204</v>
      </c>
      <c r="C211">
        <v>802</v>
      </c>
      <c r="D211" t="s">
        <v>11984</v>
      </c>
      <c r="E211" t="s">
        <v>161</v>
      </c>
      <c r="F211" t="s">
        <v>3094</v>
      </c>
      <c r="G211" t="s">
        <v>26429</v>
      </c>
      <c r="H211">
        <v>20.45</v>
      </c>
      <c r="I211">
        <v>0</v>
      </c>
      <c r="J211">
        <v>0</v>
      </c>
      <c r="K211">
        <v>0</v>
      </c>
      <c r="L211">
        <v>7</v>
      </c>
      <c r="O211">
        <v>7</v>
      </c>
      <c r="P211">
        <v>4</v>
      </c>
      <c r="Q211">
        <v>2</v>
      </c>
      <c r="R211">
        <v>33.450000000000003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H211">
        <v>33.450000000000003</v>
      </c>
    </row>
    <row r="212" spans="1:34" x14ac:dyDescent="0.3">
      <c r="A212" s="4">
        <v>251</v>
      </c>
      <c r="B212" s="5">
        <v>205</v>
      </c>
      <c r="C212">
        <v>3333</v>
      </c>
      <c r="D212" t="s">
        <v>6043</v>
      </c>
      <c r="E212" t="s">
        <v>182</v>
      </c>
      <c r="F212" t="s">
        <v>38</v>
      </c>
      <c r="G212" t="s">
        <v>26430</v>
      </c>
      <c r="H212">
        <v>20.45</v>
      </c>
      <c r="I212">
        <v>0</v>
      </c>
      <c r="J212">
        <v>0</v>
      </c>
      <c r="K212">
        <v>0</v>
      </c>
      <c r="L212">
        <v>7</v>
      </c>
      <c r="O212">
        <v>7</v>
      </c>
      <c r="P212">
        <v>4</v>
      </c>
      <c r="Q212">
        <v>2</v>
      </c>
      <c r="R212">
        <v>33.450000000000003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 t="s">
        <v>130</v>
      </c>
      <c r="AH212">
        <v>33.450000000000003</v>
      </c>
    </row>
    <row r="213" spans="1:34" x14ac:dyDescent="0.3">
      <c r="A213" s="4">
        <v>252</v>
      </c>
      <c r="B213" s="5">
        <v>206</v>
      </c>
      <c r="C213">
        <v>13448</v>
      </c>
      <c r="D213" t="s">
        <v>15577</v>
      </c>
      <c r="E213" t="s">
        <v>29</v>
      </c>
      <c r="F213" t="s">
        <v>17</v>
      </c>
      <c r="G213" t="s">
        <v>26431</v>
      </c>
      <c r="H213">
        <v>20.38</v>
      </c>
      <c r="I213">
        <v>0</v>
      </c>
      <c r="J213">
        <v>0</v>
      </c>
      <c r="K213">
        <v>0</v>
      </c>
      <c r="L213">
        <v>7</v>
      </c>
      <c r="O213">
        <v>7</v>
      </c>
      <c r="P213">
        <v>4</v>
      </c>
      <c r="Q213">
        <v>2</v>
      </c>
      <c r="R213">
        <v>33.380000000000003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H213">
        <v>33.380000000000003</v>
      </c>
    </row>
    <row r="214" spans="1:34" x14ac:dyDescent="0.3">
      <c r="A214" s="4">
        <v>253</v>
      </c>
      <c r="B214" s="5">
        <v>207</v>
      </c>
      <c r="C214">
        <v>1534</v>
      </c>
      <c r="D214" t="s">
        <v>26432</v>
      </c>
      <c r="E214" t="s">
        <v>54</v>
      </c>
      <c r="F214" t="s">
        <v>1460</v>
      </c>
      <c r="G214" t="s">
        <v>26433</v>
      </c>
      <c r="H214">
        <v>18.2</v>
      </c>
      <c r="I214">
        <v>0</v>
      </c>
      <c r="J214">
        <v>0</v>
      </c>
      <c r="K214">
        <v>0</v>
      </c>
      <c r="N214">
        <v>3</v>
      </c>
      <c r="O214">
        <v>3</v>
      </c>
      <c r="P214">
        <v>4</v>
      </c>
      <c r="Q214">
        <v>0</v>
      </c>
      <c r="R214">
        <v>25.2</v>
      </c>
      <c r="S214">
        <v>8</v>
      </c>
      <c r="T214">
        <v>8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8</v>
      </c>
      <c r="AB214">
        <v>0</v>
      </c>
      <c r="AC214">
        <v>0</v>
      </c>
      <c r="AH214">
        <v>33.200000000000003</v>
      </c>
    </row>
    <row r="215" spans="1:34" x14ac:dyDescent="0.3">
      <c r="A215" s="4">
        <v>254</v>
      </c>
      <c r="B215" s="5">
        <v>208</v>
      </c>
      <c r="C215">
        <v>5970</v>
      </c>
      <c r="D215" t="s">
        <v>13728</v>
      </c>
      <c r="E215" t="s">
        <v>219</v>
      </c>
      <c r="F215" t="s">
        <v>136</v>
      </c>
      <c r="G215" t="s">
        <v>26434</v>
      </c>
      <c r="H215">
        <v>20.18</v>
      </c>
      <c r="I215">
        <v>0</v>
      </c>
      <c r="J215">
        <v>0</v>
      </c>
      <c r="K215">
        <v>0</v>
      </c>
      <c r="L215">
        <v>7</v>
      </c>
      <c r="O215">
        <v>7</v>
      </c>
      <c r="P215">
        <v>4</v>
      </c>
      <c r="Q215">
        <v>2</v>
      </c>
      <c r="R215">
        <v>33.18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 t="s">
        <v>130</v>
      </c>
      <c r="AH215">
        <v>33.18</v>
      </c>
    </row>
    <row r="216" spans="1:34" x14ac:dyDescent="0.3">
      <c r="A216" s="4">
        <v>255</v>
      </c>
      <c r="B216" s="5">
        <v>209</v>
      </c>
      <c r="C216">
        <v>2539</v>
      </c>
      <c r="D216" t="s">
        <v>1447</v>
      </c>
      <c r="E216" t="s">
        <v>173</v>
      </c>
      <c r="F216" t="s">
        <v>4098</v>
      </c>
      <c r="G216" t="s">
        <v>26435</v>
      </c>
      <c r="H216">
        <v>21.78</v>
      </c>
      <c r="I216">
        <v>0</v>
      </c>
      <c r="J216">
        <v>0</v>
      </c>
      <c r="K216">
        <v>0</v>
      </c>
      <c r="L216">
        <v>7</v>
      </c>
      <c r="O216">
        <v>7</v>
      </c>
      <c r="P216">
        <v>4</v>
      </c>
      <c r="Q216">
        <v>0</v>
      </c>
      <c r="R216">
        <v>32.78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H216">
        <v>32.78</v>
      </c>
    </row>
    <row r="217" spans="1:34" x14ac:dyDescent="0.3">
      <c r="A217" s="4">
        <v>256</v>
      </c>
      <c r="B217" s="5">
        <v>210</v>
      </c>
      <c r="C217">
        <v>2825</v>
      </c>
      <c r="D217" t="s">
        <v>4154</v>
      </c>
      <c r="E217" t="s">
        <v>188</v>
      </c>
      <c r="F217" t="s">
        <v>20</v>
      </c>
      <c r="G217" t="s">
        <v>26436</v>
      </c>
      <c r="H217">
        <v>20.73</v>
      </c>
      <c r="I217">
        <v>0</v>
      </c>
      <c r="J217">
        <v>0</v>
      </c>
      <c r="K217">
        <v>0</v>
      </c>
      <c r="M217">
        <v>5</v>
      </c>
      <c r="N217">
        <v>3</v>
      </c>
      <c r="O217">
        <v>8</v>
      </c>
      <c r="P217">
        <v>4</v>
      </c>
      <c r="Q217">
        <v>0</v>
      </c>
      <c r="R217">
        <v>32.729999999999997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H217">
        <v>32.729999999999997</v>
      </c>
    </row>
    <row r="218" spans="1:34" x14ac:dyDescent="0.3">
      <c r="A218" s="4">
        <v>257</v>
      </c>
      <c r="B218" s="5">
        <v>211</v>
      </c>
      <c r="C218">
        <v>6421</v>
      </c>
      <c r="D218" t="s">
        <v>26437</v>
      </c>
      <c r="E218" t="s">
        <v>117</v>
      </c>
      <c r="F218" t="s">
        <v>20</v>
      </c>
      <c r="G218" t="s">
        <v>26438</v>
      </c>
      <c r="H218">
        <v>18.649999999999999</v>
      </c>
      <c r="I218">
        <v>0</v>
      </c>
      <c r="J218">
        <v>0</v>
      </c>
      <c r="K218">
        <v>0</v>
      </c>
      <c r="O218">
        <v>0</v>
      </c>
      <c r="P218">
        <v>4</v>
      </c>
      <c r="Q218">
        <v>0</v>
      </c>
      <c r="R218">
        <v>22.65</v>
      </c>
      <c r="S218">
        <v>7</v>
      </c>
      <c r="T218">
        <v>7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7</v>
      </c>
      <c r="AB218">
        <v>3</v>
      </c>
      <c r="AC218">
        <v>0</v>
      </c>
      <c r="AH218">
        <v>32.65</v>
      </c>
    </row>
    <row r="219" spans="1:34" x14ac:dyDescent="0.3">
      <c r="A219" s="4">
        <v>258</v>
      </c>
      <c r="B219" s="5">
        <v>212</v>
      </c>
      <c r="C219">
        <v>1276</v>
      </c>
      <c r="D219" t="s">
        <v>26439</v>
      </c>
      <c r="E219" t="s">
        <v>115</v>
      </c>
      <c r="F219" t="s">
        <v>158</v>
      </c>
      <c r="G219" t="s">
        <v>26440</v>
      </c>
      <c r="H219">
        <v>19.579999999999998</v>
      </c>
      <c r="I219">
        <v>0</v>
      </c>
      <c r="J219">
        <v>0</v>
      </c>
      <c r="K219">
        <v>0</v>
      </c>
      <c r="L219">
        <v>7</v>
      </c>
      <c r="O219">
        <v>7</v>
      </c>
      <c r="P219">
        <v>4</v>
      </c>
      <c r="Q219">
        <v>2</v>
      </c>
      <c r="R219">
        <v>32.58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H219">
        <v>32.58</v>
      </c>
    </row>
    <row r="220" spans="1:34" x14ac:dyDescent="0.3">
      <c r="A220" s="4">
        <v>259</v>
      </c>
      <c r="B220" s="5">
        <v>213</v>
      </c>
      <c r="C220">
        <v>1227</v>
      </c>
      <c r="D220" t="s">
        <v>19278</v>
      </c>
      <c r="E220" t="s">
        <v>33</v>
      </c>
      <c r="F220" t="s">
        <v>55</v>
      </c>
      <c r="G220" t="s">
        <v>26441</v>
      </c>
      <c r="H220">
        <v>21.48</v>
      </c>
      <c r="I220">
        <v>0</v>
      </c>
      <c r="J220">
        <v>0</v>
      </c>
      <c r="K220">
        <v>0</v>
      </c>
      <c r="L220">
        <v>7</v>
      </c>
      <c r="O220">
        <v>7</v>
      </c>
      <c r="P220">
        <v>4</v>
      </c>
      <c r="Q220">
        <v>0</v>
      </c>
      <c r="R220">
        <v>32.479999999999997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H220">
        <v>32.479999999999997</v>
      </c>
    </row>
    <row r="221" spans="1:34" x14ac:dyDescent="0.3">
      <c r="A221" s="4">
        <v>260</v>
      </c>
      <c r="B221" s="5">
        <v>214</v>
      </c>
      <c r="C221">
        <v>8924</v>
      </c>
      <c r="D221" t="s">
        <v>20667</v>
      </c>
      <c r="E221" t="s">
        <v>972</v>
      </c>
      <c r="F221" t="s">
        <v>158</v>
      </c>
      <c r="G221" t="s">
        <v>26442</v>
      </c>
      <c r="H221">
        <v>19.38</v>
      </c>
      <c r="I221">
        <v>0</v>
      </c>
      <c r="J221">
        <v>0</v>
      </c>
      <c r="K221">
        <v>0</v>
      </c>
      <c r="N221">
        <v>3</v>
      </c>
      <c r="O221">
        <v>3</v>
      </c>
      <c r="P221">
        <v>4</v>
      </c>
      <c r="Q221">
        <v>0</v>
      </c>
      <c r="R221">
        <v>26.38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6</v>
      </c>
      <c r="AC221">
        <v>0</v>
      </c>
      <c r="AH221">
        <v>32.380000000000003</v>
      </c>
    </row>
    <row r="222" spans="1:34" x14ac:dyDescent="0.3">
      <c r="A222" s="4">
        <v>261</v>
      </c>
      <c r="B222" s="5">
        <v>215</v>
      </c>
      <c r="C222">
        <v>9000</v>
      </c>
      <c r="D222" t="s">
        <v>317</v>
      </c>
      <c r="E222" t="s">
        <v>188</v>
      </c>
      <c r="F222" t="s">
        <v>20</v>
      </c>
      <c r="G222" t="s">
        <v>26443</v>
      </c>
      <c r="H222">
        <v>21.33</v>
      </c>
      <c r="I222">
        <v>0</v>
      </c>
      <c r="J222">
        <v>0</v>
      </c>
      <c r="K222">
        <v>0</v>
      </c>
      <c r="L222">
        <v>7</v>
      </c>
      <c r="O222">
        <v>7</v>
      </c>
      <c r="P222">
        <v>4</v>
      </c>
      <c r="Q222">
        <v>0</v>
      </c>
      <c r="R222">
        <v>32.33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H222">
        <v>32.33</v>
      </c>
    </row>
    <row r="223" spans="1:34" x14ac:dyDescent="0.3">
      <c r="A223" s="4">
        <v>262</v>
      </c>
      <c r="B223" s="5">
        <v>216</v>
      </c>
      <c r="C223">
        <v>7512</v>
      </c>
      <c r="D223" t="s">
        <v>26444</v>
      </c>
      <c r="E223" t="s">
        <v>29</v>
      </c>
      <c r="F223" t="s">
        <v>17</v>
      </c>
      <c r="G223" t="s">
        <v>26445</v>
      </c>
      <c r="H223">
        <v>18.25</v>
      </c>
      <c r="I223">
        <v>0</v>
      </c>
      <c r="J223">
        <v>0</v>
      </c>
      <c r="K223">
        <v>0</v>
      </c>
      <c r="O223">
        <v>0</v>
      </c>
      <c r="P223">
        <v>4</v>
      </c>
      <c r="Q223">
        <v>0</v>
      </c>
      <c r="R223">
        <v>22.25</v>
      </c>
      <c r="S223">
        <v>7</v>
      </c>
      <c r="T223">
        <v>7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7</v>
      </c>
      <c r="AB223">
        <v>3</v>
      </c>
      <c r="AC223">
        <v>0</v>
      </c>
      <c r="AH223">
        <v>32.25</v>
      </c>
    </row>
    <row r="224" spans="1:34" x14ac:dyDescent="0.3">
      <c r="A224" s="4">
        <v>263</v>
      </c>
      <c r="B224" s="5">
        <v>217</v>
      </c>
      <c r="C224">
        <v>11084</v>
      </c>
      <c r="D224" t="s">
        <v>6432</v>
      </c>
      <c r="E224" t="s">
        <v>161</v>
      </c>
      <c r="F224" t="s">
        <v>30</v>
      </c>
      <c r="G224" t="s">
        <v>26446</v>
      </c>
      <c r="H224">
        <v>19.23</v>
      </c>
      <c r="I224">
        <v>0</v>
      </c>
      <c r="J224">
        <v>0</v>
      </c>
      <c r="K224">
        <v>0</v>
      </c>
      <c r="N224">
        <v>3</v>
      </c>
      <c r="O224">
        <v>3</v>
      </c>
      <c r="P224">
        <v>4</v>
      </c>
      <c r="Q224">
        <v>0</v>
      </c>
      <c r="R224">
        <v>26.23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6</v>
      </c>
      <c r="AC224">
        <v>0</v>
      </c>
      <c r="AH224">
        <v>32.229999999999997</v>
      </c>
    </row>
    <row r="225" spans="1:34" x14ac:dyDescent="0.3">
      <c r="A225" s="4">
        <v>264</v>
      </c>
      <c r="B225" s="5">
        <v>218</v>
      </c>
      <c r="C225">
        <v>10374</v>
      </c>
      <c r="D225" t="s">
        <v>6906</v>
      </c>
      <c r="E225" t="s">
        <v>100</v>
      </c>
      <c r="F225" t="s">
        <v>158</v>
      </c>
      <c r="G225" t="s">
        <v>26447</v>
      </c>
      <c r="H225">
        <v>19.13</v>
      </c>
      <c r="I225">
        <v>0</v>
      </c>
      <c r="J225">
        <v>0</v>
      </c>
      <c r="K225">
        <v>0</v>
      </c>
      <c r="N225">
        <v>3</v>
      </c>
      <c r="O225">
        <v>3</v>
      </c>
      <c r="P225">
        <v>4</v>
      </c>
      <c r="Q225">
        <v>0</v>
      </c>
      <c r="R225">
        <v>26.13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6</v>
      </c>
      <c r="AC225">
        <v>0</v>
      </c>
      <c r="AH225">
        <v>32.130000000000003</v>
      </c>
    </row>
    <row r="226" spans="1:34" x14ac:dyDescent="0.3">
      <c r="A226" s="4">
        <v>265</v>
      </c>
      <c r="B226" s="5">
        <v>219</v>
      </c>
      <c r="C226">
        <v>5470</v>
      </c>
      <c r="D226" t="s">
        <v>26448</v>
      </c>
      <c r="E226" t="s">
        <v>6762</v>
      </c>
      <c r="F226" t="s">
        <v>117</v>
      </c>
      <c r="G226" t="s">
        <v>26449</v>
      </c>
      <c r="H226">
        <v>17.079999999999998</v>
      </c>
      <c r="I226">
        <v>0</v>
      </c>
      <c r="J226">
        <v>0</v>
      </c>
      <c r="K226">
        <v>0</v>
      </c>
      <c r="N226">
        <v>3</v>
      </c>
      <c r="O226">
        <v>3</v>
      </c>
      <c r="P226">
        <v>4</v>
      </c>
      <c r="Q226">
        <v>2</v>
      </c>
      <c r="R226">
        <v>26.08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6</v>
      </c>
      <c r="AC226">
        <v>0</v>
      </c>
      <c r="AH226">
        <v>32.08</v>
      </c>
    </row>
    <row r="227" spans="1:34" x14ac:dyDescent="0.3">
      <c r="A227" s="4">
        <v>266</v>
      </c>
      <c r="B227" s="5">
        <v>220</v>
      </c>
      <c r="C227">
        <v>5039</v>
      </c>
      <c r="D227" t="s">
        <v>23478</v>
      </c>
      <c r="E227" t="s">
        <v>3094</v>
      </c>
      <c r="F227" t="s">
        <v>539</v>
      </c>
      <c r="G227" t="s">
        <v>26450</v>
      </c>
      <c r="H227">
        <v>21.05</v>
      </c>
      <c r="I227">
        <v>0</v>
      </c>
      <c r="J227">
        <v>0</v>
      </c>
      <c r="K227">
        <v>0</v>
      </c>
      <c r="L227">
        <v>7</v>
      </c>
      <c r="O227">
        <v>7</v>
      </c>
      <c r="P227">
        <v>4</v>
      </c>
      <c r="Q227">
        <v>0</v>
      </c>
      <c r="R227">
        <v>32.049999999999997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H227">
        <v>32.049999999999997</v>
      </c>
    </row>
    <row r="228" spans="1:34" x14ac:dyDescent="0.3">
      <c r="A228" s="4">
        <v>267</v>
      </c>
      <c r="B228" s="5">
        <v>221</v>
      </c>
      <c r="C228">
        <v>11371</v>
      </c>
      <c r="D228" t="s">
        <v>11899</v>
      </c>
      <c r="E228" t="s">
        <v>208</v>
      </c>
      <c r="F228" t="s">
        <v>17</v>
      </c>
      <c r="G228" t="s">
        <v>26451</v>
      </c>
      <c r="H228">
        <v>23.03</v>
      </c>
      <c r="I228">
        <v>0</v>
      </c>
      <c r="J228">
        <v>0</v>
      </c>
      <c r="K228">
        <v>0</v>
      </c>
      <c r="L228">
        <v>7</v>
      </c>
      <c r="O228">
        <v>7</v>
      </c>
      <c r="P228">
        <v>0</v>
      </c>
      <c r="Q228">
        <v>2</v>
      </c>
      <c r="R228">
        <v>32.03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H228">
        <v>32.03</v>
      </c>
    </row>
    <row r="229" spans="1:34" x14ac:dyDescent="0.3">
      <c r="A229" s="4">
        <v>268</v>
      </c>
      <c r="B229" s="5">
        <v>222</v>
      </c>
      <c r="C229">
        <v>6629</v>
      </c>
      <c r="D229" t="s">
        <v>26452</v>
      </c>
      <c r="E229" t="s">
        <v>100</v>
      </c>
      <c r="F229" t="s">
        <v>782</v>
      </c>
      <c r="G229" t="s">
        <v>26453</v>
      </c>
      <c r="H229">
        <v>20.03</v>
      </c>
      <c r="I229">
        <v>0</v>
      </c>
      <c r="J229">
        <v>0</v>
      </c>
      <c r="K229">
        <v>0</v>
      </c>
      <c r="L229">
        <v>7</v>
      </c>
      <c r="O229">
        <v>7</v>
      </c>
      <c r="P229">
        <v>0</v>
      </c>
      <c r="Q229">
        <v>0</v>
      </c>
      <c r="R229">
        <v>27.03</v>
      </c>
      <c r="S229">
        <v>5</v>
      </c>
      <c r="T229">
        <v>5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5</v>
      </c>
      <c r="AB229">
        <v>0</v>
      </c>
      <c r="AC229">
        <v>0</v>
      </c>
      <c r="AH229">
        <v>32.03</v>
      </c>
    </row>
    <row r="230" spans="1:34" x14ac:dyDescent="0.3">
      <c r="A230" s="4">
        <v>269</v>
      </c>
      <c r="B230" s="5">
        <v>223</v>
      </c>
      <c r="C230">
        <v>1495</v>
      </c>
      <c r="D230" t="s">
        <v>19861</v>
      </c>
      <c r="E230" t="s">
        <v>26454</v>
      </c>
      <c r="F230" t="s">
        <v>26455</v>
      </c>
      <c r="G230" t="s">
        <v>26456</v>
      </c>
      <c r="H230">
        <v>19.93</v>
      </c>
      <c r="I230">
        <v>0</v>
      </c>
      <c r="J230">
        <v>0</v>
      </c>
      <c r="K230">
        <v>0</v>
      </c>
      <c r="N230">
        <v>3</v>
      </c>
      <c r="O230">
        <v>3</v>
      </c>
      <c r="P230">
        <v>4</v>
      </c>
      <c r="Q230">
        <v>2</v>
      </c>
      <c r="R230">
        <v>28.93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3</v>
      </c>
      <c r="AC230">
        <v>0</v>
      </c>
      <c r="AH230">
        <v>31.93</v>
      </c>
    </row>
    <row r="231" spans="1:34" x14ac:dyDescent="0.3">
      <c r="A231" s="4">
        <v>270</v>
      </c>
      <c r="B231" s="5">
        <v>224</v>
      </c>
      <c r="C231">
        <v>7563</v>
      </c>
      <c r="D231" t="s">
        <v>11578</v>
      </c>
      <c r="E231" t="s">
        <v>166</v>
      </c>
      <c r="F231" t="s">
        <v>570</v>
      </c>
      <c r="G231" t="s">
        <v>26457</v>
      </c>
      <c r="H231">
        <v>19.829999999999998</v>
      </c>
      <c r="I231">
        <v>0</v>
      </c>
      <c r="J231">
        <v>0</v>
      </c>
      <c r="K231">
        <v>0</v>
      </c>
      <c r="N231">
        <v>3</v>
      </c>
      <c r="O231">
        <v>3</v>
      </c>
      <c r="P231">
        <v>4</v>
      </c>
      <c r="Q231">
        <v>2</v>
      </c>
      <c r="R231">
        <v>28.83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3</v>
      </c>
      <c r="AC231">
        <v>0</v>
      </c>
      <c r="AD231" t="s">
        <v>130</v>
      </c>
      <c r="AH231">
        <v>31.83</v>
      </c>
    </row>
    <row r="232" spans="1:34" x14ac:dyDescent="0.3">
      <c r="A232" s="4">
        <v>271</v>
      </c>
      <c r="B232" s="5">
        <v>225</v>
      </c>
      <c r="C232">
        <v>2077</v>
      </c>
      <c r="D232" t="s">
        <v>2043</v>
      </c>
      <c r="E232" t="s">
        <v>789</v>
      </c>
      <c r="F232" t="s">
        <v>17</v>
      </c>
      <c r="G232" t="s">
        <v>26458</v>
      </c>
      <c r="H232">
        <v>18.75</v>
      </c>
      <c r="I232">
        <v>0</v>
      </c>
      <c r="J232">
        <v>0</v>
      </c>
      <c r="K232">
        <v>0</v>
      </c>
      <c r="N232">
        <v>3</v>
      </c>
      <c r="O232">
        <v>3</v>
      </c>
      <c r="P232">
        <v>4</v>
      </c>
      <c r="Q232">
        <v>0</v>
      </c>
      <c r="R232">
        <v>25.75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6</v>
      </c>
      <c r="AC232">
        <v>0</v>
      </c>
      <c r="AH232">
        <v>31.75</v>
      </c>
    </row>
    <row r="233" spans="1:34" x14ac:dyDescent="0.3">
      <c r="A233" s="4">
        <v>272</v>
      </c>
      <c r="B233" s="5">
        <v>226</v>
      </c>
      <c r="C233">
        <v>12232</v>
      </c>
      <c r="D233" t="s">
        <v>26459</v>
      </c>
      <c r="E233" t="s">
        <v>3680</v>
      </c>
      <c r="F233" t="s">
        <v>117</v>
      </c>
      <c r="G233" t="s">
        <v>26460</v>
      </c>
      <c r="H233">
        <v>19.73</v>
      </c>
      <c r="I233">
        <v>0</v>
      </c>
      <c r="J233">
        <v>0</v>
      </c>
      <c r="K233">
        <v>0</v>
      </c>
      <c r="N233">
        <v>3</v>
      </c>
      <c r="O233">
        <v>3</v>
      </c>
      <c r="P233">
        <v>0</v>
      </c>
      <c r="Q233">
        <v>0</v>
      </c>
      <c r="R233">
        <v>22.73</v>
      </c>
      <c r="S233">
        <v>6</v>
      </c>
      <c r="T233">
        <v>6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6</v>
      </c>
      <c r="AB233">
        <v>3</v>
      </c>
      <c r="AC233">
        <v>0</v>
      </c>
      <c r="AH233">
        <v>31.73</v>
      </c>
    </row>
    <row r="234" spans="1:34" x14ac:dyDescent="0.3">
      <c r="A234" s="4">
        <v>273</v>
      </c>
      <c r="B234" s="5">
        <v>227</v>
      </c>
      <c r="C234">
        <v>1797</v>
      </c>
      <c r="D234" t="s">
        <v>26461</v>
      </c>
      <c r="E234" t="s">
        <v>789</v>
      </c>
      <c r="F234" t="s">
        <v>34</v>
      </c>
      <c r="G234" t="s">
        <v>26462</v>
      </c>
      <c r="H234">
        <v>18.7</v>
      </c>
      <c r="I234">
        <v>0</v>
      </c>
      <c r="J234">
        <v>0</v>
      </c>
      <c r="K234">
        <v>0</v>
      </c>
      <c r="N234">
        <v>3</v>
      </c>
      <c r="O234">
        <v>3</v>
      </c>
      <c r="P234">
        <v>4</v>
      </c>
      <c r="Q234">
        <v>0</v>
      </c>
      <c r="R234">
        <v>25.7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6</v>
      </c>
      <c r="AC234">
        <v>0</v>
      </c>
      <c r="AH234">
        <v>31.7</v>
      </c>
    </row>
    <row r="235" spans="1:34" x14ac:dyDescent="0.3">
      <c r="A235" s="4">
        <v>274</v>
      </c>
      <c r="B235" s="5">
        <v>228</v>
      </c>
      <c r="C235">
        <v>14007</v>
      </c>
      <c r="D235" t="s">
        <v>3853</v>
      </c>
      <c r="E235" t="s">
        <v>54</v>
      </c>
      <c r="F235" t="s">
        <v>17</v>
      </c>
      <c r="G235" t="s">
        <v>26463</v>
      </c>
      <c r="H235">
        <v>19.7</v>
      </c>
      <c r="I235">
        <v>0</v>
      </c>
      <c r="J235">
        <v>0</v>
      </c>
      <c r="K235">
        <v>0</v>
      </c>
      <c r="L235">
        <v>7</v>
      </c>
      <c r="M235">
        <v>5</v>
      </c>
      <c r="O235">
        <v>12</v>
      </c>
      <c r="P235">
        <v>0</v>
      </c>
      <c r="Q235">
        <v>0</v>
      </c>
      <c r="R235">
        <v>31.7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H235">
        <v>31.7</v>
      </c>
    </row>
    <row r="236" spans="1:34" x14ac:dyDescent="0.3">
      <c r="A236" s="4">
        <v>275</v>
      </c>
      <c r="B236" s="5">
        <v>229</v>
      </c>
      <c r="C236">
        <v>8408</v>
      </c>
      <c r="D236" t="s">
        <v>26464</v>
      </c>
      <c r="E236" t="s">
        <v>355</v>
      </c>
      <c r="F236" t="s">
        <v>2595</v>
      </c>
      <c r="G236" t="s">
        <v>26465</v>
      </c>
      <c r="H236">
        <v>19.68</v>
      </c>
      <c r="I236">
        <v>0</v>
      </c>
      <c r="J236">
        <v>0</v>
      </c>
      <c r="K236">
        <v>0</v>
      </c>
      <c r="N236">
        <v>6</v>
      </c>
      <c r="O236">
        <v>6</v>
      </c>
      <c r="P236">
        <v>4</v>
      </c>
      <c r="Q236">
        <v>2</v>
      </c>
      <c r="R236">
        <v>31.68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 t="s">
        <v>130</v>
      </c>
      <c r="AH236">
        <v>31.68</v>
      </c>
    </row>
    <row r="237" spans="1:34" x14ac:dyDescent="0.3">
      <c r="A237" s="4">
        <v>276</v>
      </c>
      <c r="B237" s="5">
        <v>230</v>
      </c>
      <c r="C237">
        <v>14366</v>
      </c>
      <c r="D237" t="s">
        <v>26466</v>
      </c>
      <c r="E237" t="s">
        <v>37</v>
      </c>
      <c r="F237" t="s">
        <v>17</v>
      </c>
      <c r="G237" t="s">
        <v>26467</v>
      </c>
      <c r="H237">
        <v>20.63</v>
      </c>
      <c r="I237">
        <v>0</v>
      </c>
      <c r="J237">
        <v>0</v>
      </c>
      <c r="K237">
        <v>0</v>
      </c>
      <c r="L237">
        <v>7</v>
      </c>
      <c r="O237">
        <v>7</v>
      </c>
      <c r="P237">
        <v>4</v>
      </c>
      <c r="Q237">
        <v>0</v>
      </c>
      <c r="R237">
        <v>31.63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H237">
        <v>31.63</v>
      </c>
    </row>
    <row r="238" spans="1:34" x14ac:dyDescent="0.3">
      <c r="A238" s="4">
        <v>277</v>
      </c>
      <c r="B238" s="5">
        <v>231</v>
      </c>
      <c r="C238">
        <v>10868</v>
      </c>
      <c r="D238" t="s">
        <v>25035</v>
      </c>
      <c r="E238" t="s">
        <v>789</v>
      </c>
      <c r="F238" t="s">
        <v>17</v>
      </c>
      <c r="G238" t="s">
        <v>26468</v>
      </c>
      <c r="H238">
        <v>21.58</v>
      </c>
      <c r="I238">
        <v>0</v>
      </c>
      <c r="J238">
        <v>0</v>
      </c>
      <c r="K238">
        <v>0</v>
      </c>
      <c r="L238">
        <v>7</v>
      </c>
      <c r="N238">
        <v>3</v>
      </c>
      <c r="O238">
        <v>10</v>
      </c>
      <c r="P238">
        <v>0</v>
      </c>
      <c r="Q238">
        <v>0</v>
      </c>
      <c r="R238">
        <v>31.58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H238">
        <v>31.58</v>
      </c>
    </row>
    <row r="239" spans="1:34" x14ac:dyDescent="0.3">
      <c r="A239" s="4">
        <v>278</v>
      </c>
      <c r="B239" s="5">
        <v>232</v>
      </c>
      <c r="C239">
        <v>12383</v>
      </c>
      <c r="D239" t="s">
        <v>26469</v>
      </c>
      <c r="E239" t="s">
        <v>5255</v>
      </c>
      <c r="F239" t="s">
        <v>587</v>
      </c>
      <c r="G239" t="s">
        <v>26470</v>
      </c>
      <c r="H239">
        <v>17.43</v>
      </c>
      <c r="I239">
        <v>0</v>
      </c>
      <c r="J239">
        <v>0</v>
      </c>
      <c r="K239">
        <v>0</v>
      </c>
      <c r="N239">
        <v>3</v>
      </c>
      <c r="O239">
        <v>3</v>
      </c>
      <c r="P239">
        <v>4</v>
      </c>
      <c r="Q239">
        <v>2</v>
      </c>
      <c r="R239">
        <v>26.43</v>
      </c>
      <c r="S239">
        <v>5</v>
      </c>
      <c r="T239">
        <v>5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5</v>
      </c>
      <c r="AB239">
        <v>0</v>
      </c>
      <c r="AC239">
        <v>0</v>
      </c>
      <c r="AH239">
        <v>31.43</v>
      </c>
    </row>
    <row r="240" spans="1:34" x14ac:dyDescent="0.3">
      <c r="A240" s="4">
        <v>279</v>
      </c>
      <c r="B240" s="5">
        <v>233</v>
      </c>
      <c r="C240">
        <v>5292</v>
      </c>
      <c r="D240" t="s">
        <v>1240</v>
      </c>
      <c r="E240" t="s">
        <v>97</v>
      </c>
      <c r="F240" t="s">
        <v>539</v>
      </c>
      <c r="G240" t="s">
        <v>26471</v>
      </c>
      <c r="H240">
        <v>20.399999999999999</v>
      </c>
      <c r="I240">
        <v>0</v>
      </c>
      <c r="J240">
        <v>0</v>
      </c>
      <c r="K240">
        <v>0</v>
      </c>
      <c r="M240">
        <v>5</v>
      </c>
      <c r="O240">
        <v>5</v>
      </c>
      <c r="P240">
        <v>4</v>
      </c>
      <c r="Q240">
        <v>2</v>
      </c>
      <c r="R240">
        <v>31.4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H240">
        <v>31.4</v>
      </c>
    </row>
    <row r="241" spans="1:34" x14ac:dyDescent="0.3">
      <c r="A241" s="4">
        <v>280</v>
      </c>
      <c r="B241" s="5">
        <v>234</v>
      </c>
      <c r="C241">
        <v>12673</v>
      </c>
      <c r="D241" t="s">
        <v>17675</v>
      </c>
      <c r="E241" t="s">
        <v>188</v>
      </c>
      <c r="F241" t="s">
        <v>14</v>
      </c>
      <c r="G241" t="s">
        <v>26472</v>
      </c>
      <c r="H241">
        <v>18.329999999999998</v>
      </c>
      <c r="I241">
        <v>0</v>
      </c>
      <c r="J241">
        <v>0</v>
      </c>
      <c r="K241">
        <v>0</v>
      </c>
      <c r="N241">
        <v>6</v>
      </c>
      <c r="O241">
        <v>6</v>
      </c>
      <c r="P241">
        <v>4</v>
      </c>
      <c r="Q241">
        <v>0</v>
      </c>
      <c r="R241">
        <v>28.33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3</v>
      </c>
      <c r="AC241">
        <v>0</v>
      </c>
      <c r="AH241">
        <v>31.33</v>
      </c>
    </row>
    <row r="242" spans="1:34" x14ac:dyDescent="0.3">
      <c r="A242" s="4">
        <v>281</v>
      </c>
      <c r="B242" s="5">
        <v>235</v>
      </c>
      <c r="C242">
        <v>6894</v>
      </c>
      <c r="D242" t="s">
        <v>3434</v>
      </c>
      <c r="E242" t="s">
        <v>1508</v>
      </c>
      <c r="F242" t="s">
        <v>38</v>
      </c>
      <c r="G242" t="s">
        <v>26473</v>
      </c>
      <c r="H242">
        <v>21.33</v>
      </c>
      <c r="I242">
        <v>0</v>
      </c>
      <c r="J242">
        <v>0</v>
      </c>
      <c r="K242">
        <v>0</v>
      </c>
      <c r="L242">
        <v>7</v>
      </c>
      <c r="N242">
        <v>3</v>
      </c>
      <c r="O242">
        <v>10</v>
      </c>
      <c r="P242">
        <v>0</v>
      </c>
      <c r="Q242">
        <v>0</v>
      </c>
      <c r="R242">
        <v>31.33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H242">
        <v>31.33</v>
      </c>
    </row>
    <row r="243" spans="1:34" x14ac:dyDescent="0.3">
      <c r="A243" s="4">
        <v>282</v>
      </c>
      <c r="B243" s="5">
        <v>236</v>
      </c>
      <c r="C243">
        <v>6917</v>
      </c>
      <c r="D243" t="s">
        <v>1889</v>
      </c>
      <c r="E243" t="s">
        <v>967</v>
      </c>
      <c r="F243" t="s">
        <v>587</v>
      </c>
      <c r="G243" t="s">
        <v>26474</v>
      </c>
      <c r="H243">
        <v>20.18</v>
      </c>
      <c r="I243">
        <v>0</v>
      </c>
      <c r="J243">
        <v>0</v>
      </c>
      <c r="K243">
        <v>0</v>
      </c>
      <c r="L243">
        <v>7</v>
      </c>
      <c r="O243">
        <v>7</v>
      </c>
      <c r="P243">
        <v>4</v>
      </c>
      <c r="Q243">
        <v>0</v>
      </c>
      <c r="R243">
        <v>31.18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H243">
        <v>31.18</v>
      </c>
    </row>
    <row r="244" spans="1:34" x14ac:dyDescent="0.3">
      <c r="A244" s="4">
        <v>283</v>
      </c>
      <c r="B244" s="5">
        <v>237</v>
      </c>
      <c r="C244">
        <v>5532</v>
      </c>
      <c r="D244" t="s">
        <v>26475</v>
      </c>
      <c r="E244" t="s">
        <v>454</v>
      </c>
      <c r="F244" t="s">
        <v>972</v>
      </c>
      <c r="G244" t="s">
        <v>26476</v>
      </c>
      <c r="H244">
        <v>21.95</v>
      </c>
      <c r="I244">
        <v>0</v>
      </c>
      <c r="J244">
        <v>0</v>
      </c>
      <c r="K244">
        <v>0</v>
      </c>
      <c r="N244">
        <v>3</v>
      </c>
      <c r="O244">
        <v>3</v>
      </c>
      <c r="P244">
        <v>0</v>
      </c>
      <c r="Q244">
        <v>0</v>
      </c>
      <c r="R244">
        <v>24.95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6</v>
      </c>
      <c r="AC244">
        <v>0</v>
      </c>
      <c r="AH244">
        <v>30.95</v>
      </c>
    </row>
    <row r="245" spans="1:34" x14ac:dyDescent="0.3">
      <c r="A245" s="4">
        <v>284</v>
      </c>
      <c r="B245" s="5">
        <v>238</v>
      </c>
      <c r="C245">
        <v>11038</v>
      </c>
      <c r="D245" t="s">
        <v>26477</v>
      </c>
      <c r="E245" t="s">
        <v>188</v>
      </c>
      <c r="F245" t="s">
        <v>30</v>
      </c>
      <c r="G245" t="s">
        <v>26478</v>
      </c>
      <c r="H245">
        <v>19.850000000000001</v>
      </c>
      <c r="I245">
        <v>0</v>
      </c>
      <c r="J245">
        <v>0</v>
      </c>
      <c r="K245">
        <v>0</v>
      </c>
      <c r="L245">
        <v>7</v>
      </c>
      <c r="O245">
        <v>7</v>
      </c>
      <c r="P245">
        <v>4</v>
      </c>
      <c r="Q245">
        <v>0</v>
      </c>
      <c r="R245">
        <v>30.85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H245">
        <v>30.85</v>
      </c>
    </row>
    <row r="246" spans="1:34" x14ac:dyDescent="0.3">
      <c r="A246" s="4">
        <v>285</v>
      </c>
      <c r="B246" s="5">
        <v>239</v>
      </c>
      <c r="C246">
        <v>4379</v>
      </c>
      <c r="D246" t="s">
        <v>26479</v>
      </c>
      <c r="E246" t="s">
        <v>132</v>
      </c>
      <c r="F246" t="s">
        <v>81</v>
      </c>
      <c r="G246" t="s">
        <v>26480</v>
      </c>
      <c r="H246">
        <v>19.850000000000001</v>
      </c>
      <c r="I246">
        <v>0</v>
      </c>
      <c r="J246">
        <v>0</v>
      </c>
      <c r="K246">
        <v>0</v>
      </c>
      <c r="L246">
        <v>7</v>
      </c>
      <c r="O246">
        <v>7</v>
      </c>
      <c r="P246">
        <v>4</v>
      </c>
      <c r="Q246">
        <v>0</v>
      </c>
      <c r="R246">
        <v>30.85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H246">
        <v>30.85</v>
      </c>
    </row>
    <row r="247" spans="1:34" x14ac:dyDescent="0.3">
      <c r="A247" s="4">
        <v>286</v>
      </c>
      <c r="B247" s="5">
        <v>240</v>
      </c>
      <c r="C247">
        <v>7366</v>
      </c>
      <c r="D247" t="s">
        <v>26481</v>
      </c>
      <c r="E247" t="s">
        <v>213</v>
      </c>
      <c r="F247" t="s">
        <v>62</v>
      </c>
      <c r="G247" t="s">
        <v>26482</v>
      </c>
      <c r="H247">
        <v>21.83</v>
      </c>
      <c r="I247">
        <v>0</v>
      </c>
      <c r="J247">
        <v>0</v>
      </c>
      <c r="K247">
        <v>0</v>
      </c>
      <c r="N247">
        <v>3</v>
      </c>
      <c r="O247">
        <v>3</v>
      </c>
      <c r="P247">
        <v>4</v>
      </c>
      <c r="Q247">
        <v>2</v>
      </c>
      <c r="R247">
        <v>30.83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H247">
        <v>30.83</v>
      </c>
    </row>
    <row r="248" spans="1:34" x14ac:dyDescent="0.3">
      <c r="A248" s="4">
        <v>287</v>
      </c>
      <c r="B248" s="5">
        <v>241</v>
      </c>
      <c r="C248">
        <v>14195</v>
      </c>
      <c r="D248" t="s">
        <v>20494</v>
      </c>
      <c r="E248" t="s">
        <v>29</v>
      </c>
      <c r="F248" t="s">
        <v>375</v>
      </c>
      <c r="G248" t="s">
        <v>26483</v>
      </c>
      <c r="H248">
        <v>21.8</v>
      </c>
      <c r="I248">
        <v>0</v>
      </c>
      <c r="J248">
        <v>0</v>
      </c>
      <c r="K248">
        <v>0</v>
      </c>
      <c r="L248">
        <v>7</v>
      </c>
      <c r="O248">
        <v>7</v>
      </c>
      <c r="P248">
        <v>0</v>
      </c>
      <c r="Q248">
        <v>2</v>
      </c>
      <c r="R248">
        <v>30.8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H248">
        <v>30.8</v>
      </c>
    </row>
    <row r="249" spans="1:34" x14ac:dyDescent="0.3">
      <c r="A249" s="4">
        <v>288</v>
      </c>
      <c r="B249" s="5">
        <v>242</v>
      </c>
      <c r="C249">
        <v>6692</v>
      </c>
      <c r="D249" t="s">
        <v>4693</v>
      </c>
      <c r="E249" t="s">
        <v>161</v>
      </c>
      <c r="F249" t="s">
        <v>81</v>
      </c>
      <c r="G249" t="s">
        <v>26484</v>
      </c>
      <c r="H249">
        <v>20.75</v>
      </c>
      <c r="I249">
        <v>0</v>
      </c>
      <c r="J249">
        <v>0</v>
      </c>
      <c r="K249">
        <v>0</v>
      </c>
      <c r="N249">
        <v>3</v>
      </c>
      <c r="O249">
        <v>3</v>
      </c>
      <c r="P249">
        <v>4</v>
      </c>
      <c r="Q249">
        <v>0</v>
      </c>
      <c r="R249">
        <v>27.75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3</v>
      </c>
      <c r="AC249">
        <v>0</v>
      </c>
      <c r="AH249">
        <v>30.75</v>
      </c>
    </row>
    <row r="250" spans="1:34" x14ac:dyDescent="0.3">
      <c r="A250" s="4">
        <v>289</v>
      </c>
      <c r="B250" s="5">
        <v>243</v>
      </c>
      <c r="C250">
        <v>1886</v>
      </c>
      <c r="D250" t="s">
        <v>26485</v>
      </c>
      <c r="E250" t="s">
        <v>563</v>
      </c>
      <c r="F250" t="s">
        <v>17</v>
      </c>
      <c r="G250" t="s">
        <v>26486</v>
      </c>
      <c r="H250">
        <v>19.75</v>
      </c>
      <c r="I250">
        <v>0</v>
      </c>
      <c r="J250">
        <v>0</v>
      </c>
      <c r="K250">
        <v>0</v>
      </c>
      <c r="L250">
        <v>7</v>
      </c>
      <c r="O250">
        <v>7</v>
      </c>
      <c r="P250">
        <v>4</v>
      </c>
      <c r="Q250">
        <v>0</v>
      </c>
      <c r="R250">
        <v>30.75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H250">
        <v>30.75</v>
      </c>
    </row>
    <row r="251" spans="1:34" x14ac:dyDescent="0.3">
      <c r="A251" s="4">
        <v>290</v>
      </c>
      <c r="B251" s="5">
        <v>244</v>
      </c>
      <c r="C251">
        <v>9753</v>
      </c>
      <c r="D251" t="s">
        <v>8456</v>
      </c>
      <c r="E251" t="s">
        <v>54</v>
      </c>
      <c r="F251" t="s">
        <v>17</v>
      </c>
      <c r="G251" t="s">
        <v>26487</v>
      </c>
      <c r="H251">
        <v>19.55</v>
      </c>
      <c r="I251">
        <v>0</v>
      </c>
      <c r="J251">
        <v>0</v>
      </c>
      <c r="K251">
        <v>0</v>
      </c>
      <c r="L251">
        <v>7</v>
      </c>
      <c r="O251">
        <v>7</v>
      </c>
      <c r="P251">
        <v>4</v>
      </c>
      <c r="Q251">
        <v>0</v>
      </c>
      <c r="R251">
        <v>30.55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H251">
        <v>30.55</v>
      </c>
    </row>
    <row r="252" spans="1:34" x14ac:dyDescent="0.3">
      <c r="A252" s="4">
        <v>291</v>
      </c>
      <c r="B252" s="5">
        <v>245</v>
      </c>
      <c r="C252">
        <v>4771</v>
      </c>
      <c r="D252" t="s">
        <v>19054</v>
      </c>
      <c r="E252" t="s">
        <v>22</v>
      </c>
      <c r="F252" t="s">
        <v>117</v>
      </c>
      <c r="G252" t="s">
        <v>26488</v>
      </c>
      <c r="H252">
        <v>19.5</v>
      </c>
      <c r="I252">
        <v>0</v>
      </c>
      <c r="J252">
        <v>0</v>
      </c>
      <c r="K252">
        <v>0</v>
      </c>
      <c r="M252">
        <v>5</v>
      </c>
      <c r="O252">
        <v>5</v>
      </c>
      <c r="P252">
        <v>4</v>
      </c>
      <c r="Q252">
        <v>2</v>
      </c>
      <c r="R252">
        <v>30.5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H252">
        <v>30.5</v>
      </c>
    </row>
    <row r="253" spans="1:34" x14ac:dyDescent="0.3">
      <c r="A253" s="4">
        <v>292</v>
      </c>
      <c r="B253" s="5">
        <v>246</v>
      </c>
      <c r="C253">
        <v>401</v>
      </c>
      <c r="D253" t="s">
        <v>7768</v>
      </c>
      <c r="E253" t="s">
        <v>166</v>
      </c>
      <c r="F253" t="s">
        <v>346</v>
      </c>
      <c r="G253" t="s">
        <v>26489</v>
      </c>
      <c r="H253">
        <v>19.48</v>
      </c>
      <c r="I253">
        <v>0</v>
      </c>
      <c r="J253">
        <v>0</v>
      </c>
      <c r="K253">
        <v>0</v>
      </c>
      <c r="M253">
        <v>5</v>
      </c>
      <c r="O253">
        <v>5</v>
      </c>
      <c r="P253">
        <v>0</v>
      </c>
      <c r="Q253">
        <v>0</v>
      </c>
      <c r="R253">
        <v>24.48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6</v>
      </c>
      <c r="AC253">
        <v>0</v>
      </c>
      <c r="AH253">
        <v>30.48</v>
      </c>
    </row>
    <row r="254" spans="1:34" x14ac:dyDescent="0.3">
      <c r="A254" s="4">
        <v>293</v>
      </c>
      <c r="B254" s="5">
        <v>247</v>
      </c>
      <c r="C254">
        <v>1986</v>
      </c>
      <c r="D254" t="s">
        <v>15605</v>
      </c>
      <c r="E254" t="s">
        <v>136</v>
      </c>
      <c r="F254" t="s">
        <v>62</v>
      </c>
      <c r="G254" t="s">
        <v>26490</v>
      </c>
      <c r="H254">
        <v>20.350000000000001</v>
      </c>
      <c r="I254">
        <v>0</v>
      </c>
      <c r="J254">
        <v>0</v>
      </c>
      <c r="K254">
        <v>0</v>
      </c>
      <c r="N254">
        <v>3</v>
      </c>
      <c r="O254">
        <v>3</v>
      </c>
      <c r="P254">
        <v>4</v>
      </c>
      <c r="Q254">
        <v>0</v>
      </c>
      <c r="R254">
        <v>27.35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3</v>
      </c>
      <c r="AC254">
        <v>0</v>
      </c>
      <c r="AH254">
        <v>30.35</v>
      </c>
    </row>
    <row r="255" spans="1:34" x14ac:dyDescent="0.3">
      <c r="A255" s="4">
        <v>294</v>
      </c>
      <c r="B255" s="5">
        <v>248</v>
      </c>
      <c r="C255">
        <v>9006</v>
      </c>
      <c r="D255" t="s">
        <v>1711</v>
      </c>
      <c r="E255" t="s">
        <v>208</v>
      </c>
      <c r="F255" t="s">
        <v>38</v>
      </c>
      <c r="G255" t="s">
        <v>26491</v>
      </c>
      <c r="H255">
        <v>19.25</v>
      </c>
      <c r="I255">
        <v>0</v>
      </c>
      <c r="J255">
        <v>0</v>
      </c>
      <c r="K255">
        <v>0</v>
      </c>
      <c r="L255">
        <v>7</v>
      </c>
      <c r="O255">
        <v>7</v>
      </c>
      <c r="P255">
        <v>4</v>
      </c>
      <c r="Q255">
        <v>0</v>
      </c>
      <c r="R255">
        <v>30.25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H255">
        <v>30.25</v>
      </c>
    </row>
    <row r="256" spans="1:34" x14ac:dyDescent="0.3">
      <c r="A256" s="4">
        <v>295</v>
      </c>
      <c r="B256" s="5">
        <v>249</v>
      </c>
      <c r="C256">
        <v>10076</v>
      </c>
      <c r="D256" t="s">
        <v>565</v>
      </c>
      <c r="E256" t="s">
        <v>1053</v>
      </c>
      <c r="F256" t="s">
        <v>38</v>
      </c>
      <c r="G256" t="s">
        <v>26492</v>
      </c>
      <c r="H256">
        <v>21.15</v>
      </c>
      <c r="I256">
        <v>0</v>
      </c>
      <c r="J256">
        <v>0</v>
      </c>
      <c r="K256">
        <v>0</v>
      </c>
      <c r="N256">
        <v>3</v>
      </c>
      <c r="O256">
        <v>3</v>
      </c>
      <c r="P256">
        <v>0</v>
      </c>
      <c r="Q256">
        <v>0</v>
      </c>
      <c r="R256">
        <v>24.15</v>
      </c>
      <c r="S256">
        <v>6</v>
      </c>
      <c r="T256">
        <v>6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6</v>
      </c>
      <c r="AB256">
        <v>0</v>
      </c>
      <c r="AC256">
        <v>0</v>
      </c>
      <c r="AH256">
        <v>30.15</v>
      </c>
    </row>
    <row r="257" spans="1:34" x14ac:dyDescent="0.3">
      <c r="A257" s="4">
        <v>296</v>
      </c>
      <c r="B257" s="5">
        <v>250</v>
      </c>
      <c r="C257">
        <v>11927</v>
      </c>
      <c r="D257" t="s">
        <v>6275</v>
      </c>
      <c r="E257" t="s">
        <v>26493</v>
      </c>
      <c r="F257" t="s">
        <v>158</v>
      </c>
      <c r="G257" t="s">
        <v>26494</v>
      </c>
      <c r="H257">
        <v>17.100000000000001</v>
      </c>
      <c r="I257">
        <v>0</v>
      </c>
      <c r="J257">
        <v>0</v>
      </c>
      <c r="K257">
        <v>0</v>
      </c>
      <c r="L257">
        <v>7</v>
      </c>
      <c r="O257">
        <v>7</v>
      </c>
      <c r="P257">
        <v>0</v>
      </c>
      <c r="Q257">
        <v>0</v>
      </c>
      <c r="R257">
        <v>24.1</v>
      </c>
      <c r="S257">
        <v>6</v>
      </c>
      <c r="T257">
        <v>6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6</v>
      </c>
      <c r="AB257">
        <v>0</v>
      </c>
      <c r="AC257">
        <v>0</v>
      </c>
      <c r="AH257">
        <v>30.1</v>
      </c>
    </row>
    <row r="258" spans="1:34" x14ac:dyDescent="0.3">
      <c r="A258" s="4">
        <v>297</v>
      </c>
      <c r="B258" s="5">
        <v>251</v>
      </c>
      <c r="C258">
        <v>7985</v>
      </c>
      <c r="D258" t="s">
        <v>26495</v>
      </c>
      <c r="E258" t="s">
        <v>29</v>
      </c>
      <c r="F258" t="s">
        <v>167</v>
      </c>
      <c r="G258" t="s">
        <v>26496</v>
      </c>
      <c r="H258">
        <v>20</v>
      </c>
      <c r="I258">
        <v>0</v>
      </c>
      <c r="J258">
        <v>0</v>
      </c>
      <c r="K258">
        <v>0</v>
      </c>
      <c r="L258">
        <v>7</v>
      </c>
      <c r="N258">
        <v>3</v>
      </c>
      <c r="O258">
        <v>10</v>
      </c>
      <c r="P258">
        <v>0</v>
      </c>
      <c r="Q258">
        <v>0</v>
      </c>
      <c r="R258">
        <v>30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H258">
        <v>30</v>
      </c>
    </row>
    <row r="259" spans="1:34" x14ac:dyDescent="0.3">
      <c r="A259" s="4">
        <v>298</v>
      </c>
      <c r="B259" s="5">
        <v>252</v>
      </c>
      <c r="C259">
        <v>1667</v>
      </c>
      <c r="D259" t="s">
        <v>26497</v>
      </c>
      <c r="E259" t="s">
        <v>26498</v>
      </c>
      <c r="F259" t="s">
        <v>243</v>
      </c>
      <c r="G259" t="s">
        <v>26499</v>
      </c>
      <c r="H259">
        <v>18.88</v>
      </c>
      <c r="I259">
        <v>0</v>
      </c>
      <c r="J259">
        <v>0</v>
      </c>
      <c r="K259">
        <v>0</v>
      </c>
      <c r="L259">
        <v>7</v>
      </c>
      <c r="O259">
        <v>7</v>
      </c>
      <c r="P259">
        <v>4</v>
      </c>
      <c r="Q259">
        <v>0</v>
      </c>
      <c r="R259">
        <v>29.88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H259">
        <v>29.88</v>
      </c>
    </row>
    <row r="260" spans="1:34" x14ac:dyDescent="0.3">
      <c r="A260" s="4">
        <v>299</v>
      </c>
      <c r="B260" s="5">
        <v>253</v>
      </c>
      <c r="C260">
        <v>13145</v>
      </c>
      <c r="D260" t="s">
        <v>26500</v>
      </c>
      <c r="E260" t="s">
        <v>1806</v>
      </c>
      <c r="F260" t="s">
        <v>2378</v>
      </c>
      <c r="G260" t="s">
        <v>26501</v>
      </c>
      <c r="H260">
        <v>19.850000000000001</v>
      </c>
      <c r="I260">
        <v>0</v>
      </c>
      <c r="J260">
        <v>0</v>
      </c>
      <c r="K260">
        <v>0</v>
      </c>
      <c r="L260">
        <v>7</v>
      </c>
      <c r="N260">
        <v>3</v>
      </c>
      <c r="O260">
        <v>10</v>
      </c>
      <c r="P260">
        <v>0</v>
      </c>
      <c r="Q260">
        <v>0</v>
      </c>
      <c r="R260">
        <v>29.85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H260">
        <v>29.85</v>
      </c>
    </row>
    <row r="261" spans="1:34" x14ac:dyDescent="0.3">
      <c r="A261" s="4">
        <v>300</v>
      </c>
      <c r="B261" s="5">
        <v>254</v>
      </c>
      <c r="C261">
        <v>2696</v>
      </c>
      <c r="D261" t="s">
        <v>5502</v>
      </c>
      <c r="E261" t="s">
        <v>41</v>
      </c>
      <c r="F261" t="s">
        <v>1450</v>
      </c>
      <c r="G261" t="s">
        <v>26502</v>
      </c>
      <c r="H261">
        <v>18.8</v>
      </c>
      <c r="I261">
        <v>0</v>
      </c>
      <c r="J261">
        <v>0</v>
      </c>
      <c r="K261">
        <v>0</v>
      </c>
      <c r="L261">
        <v>7</v>
      </c>
      <c r="O261">
        <v>7</v>
      </c>
      <c r="P261">
        <v>4</v>
      </c>
      <c r="Q261">
        <v>0</v>
      </c>
      <c r="R261">
        <v>29.8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H261">
        <v>29.8</v>
      </c>
    </row>
    <row r="262" spans="1:34" x14ac:dyDescent="0.3">
      <c r="A262" s="4">
        <v>301</v>
      </c>
      <c r="B262" s="5">
        <v>255</v>
      </c>
      <c r="C262">
        <v>12188</v>
      </c>
      <c r="D262" t="s">
        <v>149</v>
      </c>
      <c r="E262" t="s">
        <v>390</v>
      </c>
      <c r="F262" t="s">
        <v>5851</v>
      </c>
      <c r="G262" t="s">
        <v>26503</v>
      </c>
      <c r="H262">
        <v>19.78</v>
      </c>
      <c r="I262">
        <v>7</v>
      </c>
      <c r="J262">
        <v>0</v>
      </c>
      <c r="K262">
        <v>0</v>
      </c>
      <c r="N262">
        <v>3</v>
      </c>
      <c r="O262">
        <v>3</v>
      </c>
      <c r="P262">
        <v>0</v>
      </c>
      <c r="Q262">
        <v>0</v>
      </c>
      <c r="R262">
        <v>29.78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 t="s">
        <v>130</v>
      </c>
      <c r="AH262">
        <v>29.78</v>
      </c>
    </row>
    <row r="263" spans="1:34" x14ac:dyDescent="0.3">
      <c r="A263" s="4">
        <v>302</v>
      </c>
      <c r="B263" s="5">
        <v>256</v>
      </c>
      <c r="C263">
        <v>2580</v>
      </c>
      <c r="D263" t="s">
        <v>3458</v>
      </c>
      <c r="E263" t="s">
        <v>182</v>
      </c>
      <c r="F263" t="s">
        <v>17</v>
      </c>
      <c r="G263" t="s">
        <v>26504</v>
      </c>
      <c r="H263">
        <v>19.78</v>
      </c>
      <c r="I263">
        <v>0</v>
      </c>
      <c r="J263">
        <v>0</v>
      </c>
      <c r="K263">
        <v>0</v>
      </c>
      <c r="L263">
        <v>7</v>
      </c>
      <c r="N263">
        <v>3</v>
      </c>
      <c r="O263">
        <v>10</v>
      </c>
      <c r="P263">
        <v>0</v>
      </c>
      <c r="Q263">
        <v>0</v>
      </c>
      <c r="R263">
        <v>29.78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H263">
        <v>29.78</v>
      </c>
    </row>
    <row r="264" spans="1:34" x14ac:dyDescent="0.3">
      <c r="A264" s="4">
        <v>303</v>
      </c>
      <c r="B264" s="5">
        <v>257</v>
      </c>
      <c r="C264">
        <v>10237</v>
      </c>
      <c r="D264" t="s">
        <v>26505</v>
      </c>
      <c r="E264" t="s">
        <v>41</v>
      </c>
      <c r="F264" t="s">
        <v>1174</v>
      </c>
      <c r="G264" t="s">
        <v>26506</v>
      </c>
      <c r="H264">
        <v>18.73</v>
      </c>
      <c r="I264">
        <v>0</v>
      </c>
      <c r="J264">
        <v>0</v>
      </c>
      <c r="K264">
        <v>0</v>
      </c>
      <c r="L264">
        <v>7</v>
      </c>
      <c r="O264">
        <v>7</v>
      </c>
      <c r="P264">
        <v>4</v>
      </c>
      <c r="Q264">
        <v>0</v>
      </c>
      <c r="R264">
        <v>29.73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H264">
        <v>29.73</v>
      </c>
    </row>
    <row r="265" spans="1:34" x14ac:dyDescent="0.3">
      <c r="A265" s="4">
        <v>304</v>
      </c>
      <c r="B265" s="5">
        <v>258</v>
      </c>
      <c r="C265">
        <v>7099</v>
      </c>
      <c r="D265" t="s">
        <v>26507</v>
      </c>
      <c r="E265" t="s">
        <v>2150</v>
      </c>
      <c r="F265" t="s">
        <v>20</v>
      </c>
      <c r="G265" t="s">
        <v>26508</v>
      </c>
      <c r="H265">
        <v>18.649999999999999</v>
      </c>
      <c r="I265">
        <v>0</v>
      </c>
      <c r="J265">
        <v>0</v>
      </c>
      <c r="K265">
        <v>0</v>
      </c>
      <c r="L265">
        <v>7</v>
      </c>
      <c r="O265">
        <v>7</v>
      </c>
      <c r="P265">
        <v>4</v>
      </c>
      <c r="Q265">
        <v>0</v>
      </c>
      <c r="R265">
        <v>29.65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H265">
        <v>29.65</v>
      </c>
    </row>
    <row r="266" spans="1:34" x14ac:dyDescent="0.3">
      <c r="A266" s="4">
        <v>305</v>
      </c>
      <c r="B266" s="5">
        <v>259</v>
      </c>
      <c r="C266">
        <v>12281</v>
      </c>
      <c r="D266" t="s">
        <v>26509</v>
      </c>
      <c r="E266" t="s">
        <v>20</v>
      </c>
      <c r="F266" t="s">
        <v>79</v>
      </c>
      <c r="G266" t="s">
        <v>26510</v>
      </c>
      <c r="H266">
        <v>18.600000000000001</v>
      </c>
      <c r="I266">
        <v>0</v>
      </c>
      <c r="J266">
        <v>0</v>
      </c>
      <c r="K266">
        <v>0</v>
      </c>
      <c r="L266">
        <v>7</v>
      </c>
      <c r="O266">
        <v>7</v>
      </c>
      <c r="P266">
        <v>4</v>
      </c>
      <c r="Q266">
        <v>0</v>
      </c>
      <c r="R266">
        <v>29.6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H266">
        <v>29.6</v>
      </c>
    </row>
    <row r="267" spans="1:34" x14ac:dyDescent="0.3">
      <c r="A267" s="4">
        <v>306</v>
      </c>
      <c r="B267" s="5">
        <v>260</v>
      </c>
      <c r="C267">
        <v>6474</v>
      </c>
      <c r="D267" t="s">
        <v>26511</v>
      </c>
      <c r="E267" t="s">
        <v>33</v>
      </c>
      <c r="F267" t="s">
        <v>117</v>
      </c>
      <c r="G267" t="s">
        <v>26512</v>
      </c>
      <c r="H267">
        <v>22.58</v>
      </c>
      <c r="I267">
        <v>0</v>
      </c>
      <c r="J267">
        <v>0</v>
      </c>
      <c r="K267">
        <v>0</v>
      </c>
      <c r="L267">
        <v>7</v>
      </c>
      <c r="O267">
        <v>7</v>
      </c>
      <c r="P267">
        <v>0</v>
      </c>
      <c r="Q267">
        <v>0</v>
      </c>
      <c r="R267">
        <v>29.58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H267">
        <v>29.58</v>
      </c>
    </row>
    <row r="268" spans="1:34" x14ac:dyDescent="0.3">
      <c r="A268" s="4">
        <v>307</v>
      </c>
      <c r="B268" s="5">
        <v>261</v>
      </c>
      <c r="C268">
        <v>13975</v>
      </c>
      <c r="D268" t="s">
        <v>1015</v>
      </c>
      <c r="E268" t="s">
        <v>97</v>
      </c>
      <c r="F268" t="s">
        <v>17</v>
      </c>
      <c r="G268" t="s">
        <v>26513</v>
      </c>
      <c r="H268">
        <v>19.55</v>
      </c>
      <c r="I268">
        <v>0</v>
      </c>
      <c r="J268">
        <v>0</v>
      </c>
      <c r="K268">
        <v>0</v>
      </c>
      <c r="N268">
        <v>3</v>
      </c>
      <c r="O268">
        <v>3</v>
      </c>
      <c r="P268">
        <v>4</v>
      </c>
      <c r="Q268">
        <v>0</v>
      </c>
      <c r="R268">
        <v>26.55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3</v>
      </c>
      <c r="AC268">
        <v>0</v>
      </c>
      <c r="AH268">
        <v>29.55</v>
      </c>
    </row>
    <row r="269" spans="1:34" x14ac:dyDescent="0.3">
      <c r="A269" s="4">
        <v>308</v>
      </c>
      <c r="B269" s="5">
        <v>262</v>
      </c>
      <c r="C269">
        <v>5681</v>
      </c>
      <c r="D269" t="s">
        <v>26514</v>
      </c>
      <c r="E269" t="s">
        <v>29</v>
      </c>
      <c r="F269" t="s">
        <v>17</v>
      </c>
      <c r="G269" t="s">
        <v>26515</v>
      </c>
      <c r="H269">
        <v>20.53</v>
      </c>
      <c r="I269">
        <v>0</v>
      </c>
      <c r="J269">
        <v>0</v>
      </c>
      <c r="K269">
        <v>0</v>
      </c>
      <c r="N269">
        <v>3</v>
      </c>
      <c r="O269">
        <v>3</v>
      </c>
      <c r="P269">
        <v>4</v>
      </c>
      <c r="Q269">
        <v>2</v>
      </c>
      <c r="R269">
        <v>29.53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H269">
        <v>29.53</v>
      </c>
    </row>
    <row r="270" spans="1:34" x14ac:dyDescent="0.3">
      <c r="A270" s="4">
        <v>309</v>
      </c>
      <c r="B270" s="5">
        <v>263</v>
      </c>
      <c r="C270">
        <v>5593</v>
      </c>
      <c r="D270" t="s">
        <v>26516</v>
      </c>
      <c r="E270" t="s">
        <v>115</v>
      </c>
      <c r="F270" t="s">
        <v>158</v>
      </c>
      <c r="G270" t="s">
        <v>26517</v>
      </c>
      <c r="H270">
        <v>20.45</v>
      </c>
      <c r="I270">
        <v>0</v>
      </c>
      <c r="J270">
        <v>0</v>
      </c>
      <c r="K270">
        <v>0</v>
      </c>
      <c r="L270">
        <v>7</v>
      </c>
      <c r="O270">
        <v>7</v>
      </c>
      <c r="P270">
        <v>0</v>
      </c>
      <c r="Q270">
        <v>2</v>
      </c>
      <c r="R270">
        <v>29.45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H270">
        <v>29.45</v>
      </c>
    </row>
    <row r="271" spans="1:34" x14ac:dyDescent="0.3">
      <c r="A271" s="4">
        <v>310</v>
      </c>
      <c r="B271" s="5">
        <v>264</v>
      </c>
      <c r="C271">
        <v>1186</v>
      </c>
      <c r="D271" t="s">
        <v>769</v>
      </c>
      <c r="E271" t="s">
        <v>208</v>
      </c>
      <c r="F271" t="s">
        <v>91</v>
      </c>
      <c r="G271" t="s">
        <v>26518</v>
      </c>
      <c r="H271">
        <v>17.43</v>
      </c>
      <c r="I271">
        <v>0</v>
      </c>
      <c r="J271">
        <v>0</v>
      </c>
      <c r="K271">
        <v>0</v>
      </c>
      <c r="N271">
        <v>6</v>
      </c>
      <c r="O271">
        <v>6</v>
      </c>
      <c r="P271">
        <v>4</v>
      </c>
      <c r="Q271">
        <v>2</v>
      </c>
      <c r="R271">
        <v>29.43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H271">
        <v>29.43</v>
      </c>
    </row>
    <row r="272" spans="1:34" x14ac:dyDescent="0.3">
      <c r="A272" s="4">
        <v>311</v>
      </c>
      <c r="B272" s="5">
        <v>265</v>
      </c>
      <c r="C272">
        <v>1551</v>
      </c>
      <c r="D272" t="s">
        <v>8839</v>
      </c>
      <c r="E272" t="s">
        <v>5971</v>
      </c>
      <c r="F272" t="s">
        <v>238</v>
      </c>
      <c r="G272" t="s">
        <v>26519</v>
      </c>
      <c r="H272">
        <v>14.4</v>
      </c>
      <c r="I272">
        <v>0</v>
      </c>
      <c r="J272">
        <v>0</v>
      </c>
      <c r="K272">
        <v>0</v>
      </c>
      <c r="O272">
        <v>0</v>
      </c>
      <c r="P272">
        <v>4</v>
      </c>
      <c r="Q272">
        <v>0</v>
      </c>
      <c r="R272">
        <v>18.399999999999999</v>
      </c>
      <c r="S272">
        <v>11</v>
      </c>
      <c r="T272">
        <v>11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11</v>
      </c>
      <c r="AB272">
        <v>0</v>
      </c>
      <c r="AC272">
        <v>0</v>
      </c>
      <c r="AH272">
        <v>29.4</v>
      </c>
    </row>
    <row r="273" spans="1:34" x14ac:dyDescent="0.3">
      <c r="A273" s="4">
        <v>312</v>
      </c>
      <c r="B273" s="5">
        <v>266</v>
      </c>
      <c r="C273">
        <v>13087</v>
      </c>
      <c r="D273" t="s">
        <v>14037</v>
      </c>
      <c r="E273" t="s">
        <v>29</v>
      </c>
      <c r="F273" t="s">
        <v>243</v>
      </c>
      <c r="G273" t="s">
        <v>26520</v>
      </c>
      <c r="H273">
        <v>18.350000000000001</v>
      </c>
      <c r="I273">
        <v>0</v>
      </c>
      <c r="J273">
        <v>0</v>
      </c>
      <c r="K273">
        <v>0</v>
      </c>
      <c r="L273">
        <v>7</v>
      </c>
      <c r="O273">
        <v>7</v>
      </c>
      <c r="P273">
        <v>4</v>
      </c>
      <c r="Q273">
        <v>0</v>
      </c>
      <c r="R273">
        <v>29.35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 t="s">
        <v>130</v>
      </c>
      <c r="AH273">
        <v>29.35</v>
      </c>
    </row>
    <row r="274" spans="1:34" x14ac:dyDescent="0.3">
      <c r="A274" s="4">
        <v>313</v>
      </c>
      <c r="B274" s="5">
        <v>267</v>
      </c>
      <c r="C274">
        <v>12020</v>
      </c>
      <c r="D274" t="s">
        <v>799</v>
      </c>
      <c r="E274" t="s">
        <v>29</v>
      </c>
      <c r="F274" t="s">
        <v>328</v>
      </c>
      <c r="G274" t="s">
        <v>26521</v>
      </c>
      <c r="H274">
        <v>19.25</v>
      </c>
      <c r="I274">
        <v>0</v>
      </c>
      <c r="J274">
        <v>0</v>
      </c>
      <c r="K274">
        <v>0</v>
      </c>
      <c r="O274">
        <v>0</v>
      </c>
      <c r="P274">
        <v>4</v>
      </c>
      <c r="Q274">
        <v>0</v>
      </c>
      <c r="R274">
        <v>23.25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6</v>
      </c>
      <c r="AC274">
        <v>0</v>
      </c>
      <c r="AH274">
        <v>29.25</v>
      </c>
    </row>
    <row r="275" spans="1:34" x14ac:dyDescent="0.3">
      <c r="A275" s="4">
        <v>314</v>
      </c>
      <c r="B275" s="5">
        <v>268</v>
      </c>
      <c r="C275">
        <v>12987</v>
      </c>
      <c r="D275" t="s">
        <v>11281</v>
      </c>
      <c r="E275" t="s">
        <v>161</v>
      </c>
      <c r="F275" t="s">
        <v>38</v>
      </c>
      <c r="G275" t="s">
        <v>26522</v>
      </c>
      <c r="H275">
        <v>17.2</v>
      </c>
      <c r="I275">
        <v>0</v>
      </c>
      <c r="J275">
        <v>0</v>
      </c>
      <c r="K275">
        <v>0</v>
      </c>
      <c r="N275">
        <v>3</v>
      </c>
      <c r="O275">
        <v>3</v>
      </c>
      <c r="P275">
        <v>4</v>
      </c>
      <c r="Q275">
        <v>2</v>
      </c>
      <c r="R275">
        <v>26.2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3</v>
      </c>
      <c r="AC275">
        <v>0</v>
      </c>
      <c r="AH275">
        <v>29.2</v>
      </c>
    </row>
    <row r="276" spans="1:34" x14ac:dyDescent="0.3">
      <c r="A276" s="4">
        <v>315</v>
      </c>
      <c r="B276" s="5">
        <v>269</v>
      </c>
      <c r="C276">
        <v>11094</v>
      </c>
      <c r="D276" t="s">
        <v>20161</v>
      </c>
      <c r="E276" t="s">
        <v>4695</v>
      </c>
      <c r="F276" t="s">
        <v>30</v>
      </c>
      <c r="H276">
        <v>18.2</v>
      </c>
      <c r="I276">
        <v>0</v>
      </c>
      <c r="J276">
        <v>0</v>
      </c>
      <c r="K276">
        <v>0</v>
      </c>
      <c r="L276">
        <v>7</v>
      </c>
      <c r="O276">
        <v>7</v>
      </c>
      <c r="P276">
        <v>4</v>
      </c>
      <c r="Q276">
        <v>0</v>
      </c>
      <c r="R276">
        <v>29.2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H276">
        <v>29.2</v>
      </c>
    </row>
    <row r="277" spans="1:34" x14ac:dyDescent="0.3">
      <c r="A277" s="4">
        <v>316</v>
      </c>
      <c r="B277" s="5">
        <v>270</v>
      </c>
      <c r="C277">
        <v>5572</v>
      </c>
      <c r="D277" t="s">
        <v>12813</v>
      </c>
      <c r="E277" t="s">
        <v>41</v>
      </c>
      <c r="F277" t="s">
        <v>17</v>
      </c>
      <c r="G277" t="s">
        <v>26523</v>
      </c>
      <c r="H277">
        <v>19.100000000000001</v>
      </c>
      <c r="I277">
        <v>0</v>
      </c>
      <c r="J277">
        <v>0</v>
      </c>
      <c r="K277">
        <v>0</v>
      </c>
      <c r="N277">
        <v>3</v>
      </c>
      <c r="O277">
        <v>3</v>
      </c>
      <c r="P277">
        <v>4</v>
      </c>
      <c r="Q277">
        <v>0</v>
      </c>
      <c r="R277">
        <v>26.1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3</v>
      </c>
      <c r="AC277">
        <v>0</v>
      </c>
      <c r="AH277">
        <v>29.1</v>
      </c>
    </row>
    <row r="278" spans="1:34" x14ac:dyDescent="0.3">
      <c r="A278" s="4">
        <v>317</v>
      </c>
      <c r="B278" s="5">
        <v>271</v>
      </c>
      <c r="C278">
        <v>4107</v>
      </c>
      <c r="D278" t="s">
        <v>1299</v>
      </c>
      <c r="E278" t="s">
        <v>41</v>
      </c>
      <c r="F278" t="s">
        <v>17</v>
      </c>
      <c r="G278" t="s">
        <v>26524</v>
      </c>
      <c r="H278">
        <v>18.98</v>
      </c>
      <c r="I278">
        <v>0</v>
      </c>
      <c r="J278">
        <v>0</v>
      </c>
      <c r="K278">
        <v>0</v>
      </c>
      <c r="N278">
        <v>3</v>
      </c>
      <c r="O278">
        <v>3</v>
      </c>
      <c r="P278">
        <v>4</v>
      </c>
      <c r="Q278">
        <v>0</v>
      </c>
      <c r="R278">
        <v>25.98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3</v>
      </c>
      <c r="AC278">
        <v>0</v>
      </c>
      <c r="AH278">
        <v>28.98</v>
      </c>
    </row>
    <row r="279" spans="1:34" x14ac:dyDescent="0.3">
      <c r="A279" s="4">
        <v>318</v>
      </c>
      <c r="B279" s="5">
        <v>272</v>
      </c>
      <c r="C279">
        <v>13947</v>
      </c>
      <c r="D279" t="s">
        <v>26276</v>
      </c>
      <c r="E279" t="s">
        <v>29</v>
      </c>
      <c r="F279" t="s">
        <v>136</v>
      </c>
      <c r="G279" t="s">
        <v>26525</v>
      </c>
      <c r="H279">
        <v>18.899999999999999</v>
      </c>
      <c r="I279">
        <v>0</v>
      </c>
      <c r="J279">
        <v>0</v>
      </c>
      <c r="K279">
        <v>0</v>
      </c>
      <c r="N279">
        <v>6</v>
      </c>
      <c r="O279">
        <v>6</v>
      </c>
      <c r="P279">
        <v>4</v>
      </c>
      <c r="Q279">
        <v>0</v>
      </c>
      <c r="R279">
        <v>28.9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H279">
        <v>28.9</v>
      </c>
    </row>
    <row r="280" spans="1:34" x14ac:dyDescent="0.3">
      <c r="A280" s="4">
        <v>319</v>
      </c>
      <c r="B280" s="5">
        <v>273</v>
      </c>
      <c r="C280">
        <v>6523</v>
      </c>
      <c r="D280" t="s">
        <v>26526</v>
      </c>
      <c r="E280" t="s">
        <v>26527</v>
      </c>
      <c r="F280" t="s">
        <v>7961</v>
      </c>
      <c r="G280" t="s">
        <v>26528</v>
      </c>
      <c r="H280">
        <v>17.829999999999998</v>
      </c>
      <c r="I280">
        <v>0</v>
      </c>
      <c r="J280">
        <v>0</v>
      </c>
      <c r="K280">
        <v>0</v>
      </c>
      <c r="L280">
        <v>7</v>
      </c>
      <c r="O280">
        <v>7</v>
      </c>
      <c r="P280">
        <v>4</v>
      </c>
      <c r="Q280">
        <v>0</v>
      </c>
      <c r="R280">
        <v>28.83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H280">
        <v>28.83</v>
      </c>
    </row>
    <row r="281" spans="1:34" x14ac:dyDescent="0.3">
      <c r="A281" s="4">
        <v>320</v>
      </c>
      <c r="B281" s="5">
        <v>274</v>
      </c>
      <c r="C281">
        <v>10511</v>
      </c>
      <c r="D281" t="s">
        <v>26529</v>
      </c>
      <c r="E281" t="s">
        <v>26</v>
      </c>
      <c r="F281" t="s">
        <v>381</v>
      </c>
      <c r="G281" t="s">
        <v>26530</v>
      </c>
      <c r="H281">
        <v>21.75</v>
      </c>
      <c r="I281">
        <v>0</v>
      </c>
      <c r="J281">
        <v>0</v>
      </c>
      <c r="K281">
        <v>0</v>
      </c>
      <c r="L281">
        <v>7</v>
      </c>
      <c r="O281">
        <v>7</v>
      </c>
      <c r="P281">
        <v>0</v>
      </c>
      <c r="Q281">
        <v>0</v>
      </c>
      <c r="R281">
        <v>28.75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H281">
        <v>28.75</v>
      </c>
    </row>
    <row r="282" spans="1:34" x14ac:dyDescent="0.3">
      <c r="A282" s="4">
        <v>321</v>
      </c>
      <c r="B282" s="5">
        <v>275</v>
      </c>
      <c r="C282">
        <v>13073</v>
      </c>
      <c r="D282" t="s">
        <v>1611</v>
      </c>
      <c r="E282" t="s">
        <v>338</v>
      </c>
      <c r="F282" t="s">
        <v>6071</v>
      </c>
      <c r="G282" t="s">
        <v>26531</v>
      </c>
      <c r="H282">
        <v>19.75</v>
      </c>
      <c r="I282">
        <v>0</v>
      </c>
      <c r="J282">
        <v>0</v>
      </c>
      <c r="K282">
        <v>0</v>
      </c>
      <c r="N282">
        <v>3</v>
      </c>
      <c r="O282">
        <v>3</v>
      </c>
      <c r="P282">
        <v>4</v>
      </c>
      <c r="Q282">
        <v>2</v>
      </c>
      <c r="R282">
        <v>28.75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H282">
        <v>28.75</v>
      </c>
    </row>
    <row r="283" spans="1:34" x14ac:dyDescent="0.3">
      <c r="A283" s="4">
        <v>322</v>
      </c>
      <c r="B283" s="5">
        <v>276</v>
      </c>
      <c r="C283">
        <v>12485</v>
      </c>
      <c r="D283" t="s">
        <v>26532</v>
      </c>
      <c r="E283" t="s">
        <v>502</v>
      </c>
      <c r="F283" t="s">
        <v>375</v>
      </c>
      <c r="G283" t="s">
        <v>26533</v>
      </c>
      <c r="H283">
        <v>18.68</v>
      </c>
      <c r="I283">
        <v>0</v>
      </c>
      <c r="J283">
        <v>0</v>
      </c>
      <c r="K283">
        <v>0</v>
      </c>
      <c r="L283">
        <v>7</v>
      </c>
      <c r="N283">
        <v>3</v>
      </c>
      <c r="O283">
        <v>10</v>
      </c>
      <c r="P283">
        <v>0</v>
      </c>
      <c r="Q283">
        <v>0</v>
      </c>
      <c r="R283">
        <v>28.68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H283">
        <v>28.68</v>
      </c>
    </row>
    <row r="284" spans="1:34" x14ac:dyDescent="0.3">
      <c r="A284" s="4">
        <v>323</v>
      </c>
      <c r="B284" s="5">
        <v>277</v>
      </c>
      <c r="C284">
        <v>11257</v>
      </c>
      <c r="D284" t="s">
        <v>26534</v>
      </c>
      <c r="E284" t="s">
        <v>29</v>
      </c>
      <c r="F284" t="s">
        <v>20</v>
      </c>
      <c r="G284" t="s">
        <v>26535</v>
      </c>
      <c r="H284">
        <v>18.63</v>
      </c>
      <c r="I284">
        <v>0</v>
      </c>
      <c r="J284">
        <v>0</v>
      </c>
      <c r="K284">
        <v>0</v>
      </c>
      <c r="N284">
        <v>3</v>
      </c>
      <c r="O284">
        <v>3</v>
      </c>
      <c r="P284">
        <v>4</v>
      </c>
      <c r="Q284">
        <v>0</v>
      </c>
      <c r="R284">
        <v>25.63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3</v>
      </c>
      <c r="AC284">
        <v>0</v>
      </c>
      <c r="AH284">
        <v>28.63</v>
      </c>
    </row>
    <row r="285" spans="1:34" x14ac:dyDescent="0.3">
      <c r="A285" s="4">
        <v>324</v>
      </c>
      <c r="B285" s="5">
        <v>278</v>
      </c>
      <c r="C285">
        <v>6916</v>
      </c>
      <c r="D285" t="s">
        <v>2609</v>
      </c>
      <c r="E285" t="s">
        <v>143</v>
      </c>
      <c r="F285" t="s">
        <v>782</v>
      </c>
      <c r="G285" t="s">
        <v>26536</v>
      </c>
      <c r="H285">
        <v>19.600000000000001</v>
      </c>
      <c r="I285">
        <v>0</v>
      </c>
      <c r="J285">
        <v>0</v>
      </c>
      <c r="K285">
        <v>0</v>
      </c>
      <c r="N285">
        <v>3</v>
      </c>
      <c r="O285">
        <v>3</v>
      </c>
      <c r="P285">
        <v>0</v>
      </c>
      <c r="Q285">
        <v>0</v>
      </c>
      <c r="R285">
        <v>22.6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6</v>
      </c>
      <c r="AC285">
        <v>0</v>
      </c>
      <c r="AH285">
        <v>28.6</v>
      </c>
    </row>
    <row r="286" spans="1:34" x14ac:dyDescent="0.3">
      <c r="A286" s="4">
        <v>325</v>
      </c>
      <c r="B286" s="5">
        <v>279</v>
      </c>
      <c r="C286">
        <v>8362</v>
      </c>
      <c r="D286" t="s">
        <v>19821</v>
      </c>
      <c r="E286" t="s">
        <v>188</v>
      </c>
      <c r="F286" t="s">
        <v>55</v>
      </c>
      <c r="G286" t="s">
        <v>26537</v>
      </c>
      <c r="H286">
        <v>21.53</v>
      </c>
      <c r="I286">
        <v>0</v>
      </c>
      <c r="J286">
        <v>0</v>
      </c>
      <c r="K286">
        <v>0</v>
      </c>
      <c r="N286">
        <v>3</v>
      </c>
      <c r="O286">
        <v>3</v>
      </c>
      <c r="P286">
        <v>4</v>
      </c>
      <c r="Q286">
        <v>0</v>
      </c>
      <c r="R286">
        <v>28.53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H286">
        <v>28.53</v>
      </c>
    </row>
    <row r="287" spans="1:34" x14ac:dyDescent="0.3">
      <c r="A287" s="4">
        <v>326</v>
      </c>
      <c r="B287" s="5">
        <v>280</v>
      </c>
      <c r="C287">
        <v>13570</v>
      </c>
      <c r="D287" t="s">
        <v>26538</v>
      </c>
      <c r="E287" t="s">
        <v>613</v>
      </c>
      <c r="F287" t="s">
        <v>136</v>
      </c>
      <c r="G287" t="s">
        <v>26539</v>
      </c>
      <c r="H287">
        <v>21.43</v>
      </c>
      <c r="I287">
        <v>0</v>
      </c>
      <c r="J287">
        <v>0</v>
      </c>
      <c r="K287">
        <v>0</v>
      </c>
      <c r="L287">
        <v>7</v>
      </c>
      <c r="O287">
        <v>7</v>
      </c>
      <c r="P287">
        <v>0</v>
      </c>
      <c r="Q287">
        <v>0</v>
      </c>
      <c r="R287">
        <v>28.43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H287">
        <v>28.43</v>
      </c>
    </row>
    <row r="288" spans="1:34" x14ac:dyDescent="0.3">
      <c r="A288" s="4">
        <v>327</v>
      </c>
      <c r="B288" s="5">
        <v>281</v>
      </c>
      <c r="C288">
        <v>3145</v>
      </c>
      <c r="D288" t="s">
        <v>14221</v>
      </c>
      <c r="E288" t="s">
        <v>88</v>
      </c>
      <c r="F288" t="s">
        <v>81</v>
      </c>
      <c r="G288" t="s">
        <v>26540</v>
      </c>
      <c r="H288">
        <v>21.43</v>
      </c>
      <c r="I288">
        <v>0</v>
      </c>
      <c r="J288">
        <v>0</v>
      </c>
      <c r="K288">
        <v>0</v>
      </c>
      <c r="N288">
        <v>3</v>
      </c>
      <c r="O288">
        <v>3</v>
      </c>
      <c r="P288">
        <v>4</v>
      </c>
      <c r="Q288">
        <v>0</v>
      </c>
      <c r="R288">
        <v>28.43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H288">
        <v>28.43</v>
      </c>
    </row>
    <row r="289" spans="1:34" x14ac:dyDescent="0.3">
      <c r="A289" s="4">
        <v>328</v>
      </c>
      <c r="B289" s="5">
        <v>282</v>
      </c>
      <c r="C289">
        <v>9634</v>
      </c>
      <c r="D289" t="s">
        <v>9088</v>
      </c>
      <c r="E289" t="s">
        <v>454</v>
      </c>
      <c r="F289" t="s">
        <v>782</v>
      </c>
      <c r="G289" t="s">
        <v>26541</v>
      </c>
      <c r="H289">
        <v>21.43</v>
      </c>
      <c r="I289">
        <v>0</v>
      </c>
      <c r="J289">
        <v>0</v>
      </c>
      <c r="K289">
        <v>0</v>
      </c>
      <c r="L289">
        <v>7</v>
      </c>
      <c r="O289">
        <v>7</v>
      </c>
      <c r="P289">
        <v>0</v>
      </c>
      <c r="Q289">
        <v>0</v>
      </c>
      <c r="R289">
        <v>28.43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H289">
        <v>28.43</v>
      </c>
    </row>
    <row r="290" spans="1:34" x14ac:dyDescent="0.3">
      <c r="A290" s="4">
        <v>329</v>
      </c>
      <c r="B290" s="5">
        <v>283</v>
      </c>
      <c r="C290">
        <v>12935</v>
      </c>
      <c r="D290" t="s">
        <v>731</v>
      </c>
      <c r="E290" t="s">
        <v>29</v>
      </c>
      <c r="F290" t="s">
        <v>136</v>
      </c>
      <c r="G290" t="s">
        <v>26542</v>
      </c>
      <c r="H290">
        <v>18.43</v>
      </c>
      <c r="I290">
        <v>0</v>
      </c>
      <c r="J290">
        <v>0</v>
      </c>
      <c r="K290">
        <v>0</v>
      </c>
      <c r="N290">
        <v>6</v>
      </c>
      <c r="O290">
        <v>6</v>
      </c>
      <c r="P290">
        <v>4</v>
      </c>
      <c r="Q290">
        <v>0</v>
      </c>
      <c r="R290">
        <v>28.43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H290">
        <v>28.43</v>
      </c>
    </row>
    <row r="291" spans="1:34" x14ac:dyDescent="0.3">
      <c r="A291" s="4">
        <v>330</v>
      </c>
      <c r="B291" s="5">
        <v>284</v>
      </c>
      <c r="C291">
        <v>5992</v>
      </c>
      <c r="D291" t="s">
        <v>26543</v>
      </c>
      <c r="E291" t="s">
        <v>170</v>
      </c>
      <c r="F291" t="s">
        <v>801</v>
      </c>
      <c r="G291" t="s">
        <v>26544</v>
      </c>
      <c r="H291">
        <v>19.399999999999999</v>
      </c>
      <c r="I291">
        <v>0</v>
      </c>
      <c r="J291">
        <v>0</v>
      </c>
      <c r="K291">
        <v>0</v>
      </c>
      <c r="L291">
        <v>7</v>
      </c>
      <c r="O291">
        <v>7</v>
      </c>
      <c r="P291">
        <v>0</v>
      </c>
      <c r="Q291">
        <v>2</v>
      </c>
      <c r="R291">
        <v>28.4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H291">
        <v>28.4</v>
      </c>
    </row>
    <row r="292" spans="1:34" x14ac:dyDescent="0.3">
      <c r="A292" s="4">
        <v>331</v>
      </c>
      <c r="B292" s="5">
        <v>285</v>
      </c>
      <c r="C292">
        <v>7691</v>
      </c>
      <c r="D292" t="s">
        <v>2966</v>
      </c>
      <c r="E292" t="s">
        <v>355</v>
      </c>
      <c r="F292" t="s">
        <v>68</v>
      </c>
      <c r="G292" t="s">
        <v>26545</v>
      </c>
      <c r="H292">
        <v>17.329999999999998</v>
      </c>
      <c r="I292">
        <v>0</v>
      </c>
      <c r="J292">
        <v>0</v>
      </c>
      <c r="K292">
        <v>0</v>
      </c>
      <c r="L292">
        <v>7</v>
      </c>
      <c r="O292">
        <v>7</v>
      </c>
      <c r="P292">
        <v>4</v>
      </c>
      <c r="Q292">
        <v>0</v>
      </c>
      <c r="R292">
        <v>28.33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H292">
        <v>28.33</v>
      </c>
    </row>
    <row r="293" spans="1:34" x14ac:dyDescent="0.3">
      <c r="A293" s="4">
        <v>332</v>
      </c>
      <c r="B293" s="5">
        <v>286</v>
      </c>
      <c r="C293">
        <v>10931</v>
      </c>
      <c r="D293" t="s">
        <v>26546</v>
      </c>
      <c r="E293" t="s">
        <v>41</v>
      </c>
      <c r="F293" t="s">
        <v>136</v>
      </c>
      <c r="G293" t="s">
        <v>26547</v>
      </c>
      <c r="H293">
        <v>21.23</v>
      </c>
      <c r="I293">
        <v>0</v>
      </c>
      <c r="J293">
        <v>0</v>
      </c>
      <c r="K293">
        <v>0</v>
      </c>
      <c r="N293">
        <v>3</v>
      </c>
      <c r="O293">
        <v>3</v>
      </c>
      <c r="P293">
        <v>4</v>
      </c>
      <c r="Q293">
        <v>0</v>
      </c>
      <c r="R293">
        <v>28.23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H293">
        <v>28.23</v>
      </c>
    </row>
    <row r="294" spans="1:34" x14ac:dyDescent="0.3">
      <c r="A294" s="4">
        <v>333</v>
      </c>
      <c r="B294" s="5">
        <v>287</v>
      </c>
      <c r="C294">
        <v>7579</v>
      </c>
      <c r="D294" t="s">
        <v>3642</v>
      </c>
      <c r="E294" t="s">
        <v>55</v>
      </c>
      <c r="F294" t="s">
        <v>6208</v>
      </c>
      <c r="G294" t="s">
        <v>26548</v>
      </c>
      <c r="H294">
        <v>21.03</v>
      </c>
      <c r="I294">
        <v>0</v>
      </c>
      <c r="J294">
        <v>0</v>
      </c>
      <c r="K294">
        <v>0</v>
      </c>
      <c r="N294">
        <v>3</v>
      </c>
      <c r="O294">
        <v>3</v>
      </c>
      <c r="P294">
        <v>4</v>
      </c>
      <c r="Q294">
        <v>0</v>
      </c>
      <c r="R294">
        <v>28.03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H294">
        <v>28.03</v>
      </c>
    </row>
    <row r="295" spans="1:34" x14ac:dyDescent="0.3">
      <c r="A295" s="4">
        <v>334</v>
      </c>
      <c r="B295" s="5">
        <v>288</v>
      </c>
      <c r="C295">
        <v>15519</v>
      </c>
      <c r="D295" t="s">
        <v>26549</v>
      </c>
      <c r="E295" t="s">
        <v>29</v>
      </c>
      <c r="F295" t="s">
        <v>17</v>
      </c>
      <c r="G295" t="s">
        <v>26550</v>
      </c>
      <c r="H295">
        <v>18.93</v>
      </c>
      <c r="I295">
        <v>0</v>
      </c>
      <c r="J295">
        <v>0</v>
      </c>
      <c r="K295">
        <v>0</v>
      </c>
      <c r="L295">
        <v>7</v>
      </c>
      <c r="O295">
        <v>7</v>
      </c>
      <c r="P295">
        <v>0</v>
      </c>
      <c r="Q295">
        <v>2</v>
      </c>
      <c r="R295">
        <v>27.93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H295">
        <v>27.93</v>
      </c>
    </row>
    <row r="296" spans="1:34" x14ac:dyDescent="0.3">
      <c r="A296" s="4">
        <v>335</v>
      </c>
      <c r="B296" s="5">
        <v>289</v>
      </c>
      <c r="C296">
        <v>11268</v>
      </c>
      <c r="D296" t="s">
        <v>26551</v>
      </c>
      <c r="E296" t="s">
        <v>342</v>
      </c>
      <c r="F296" t="s">
        <v>55</v>
      </c>
      <c r="G296" t="s">
        <v>26552</v>
      </c>
      <c r="H296">
        <v>20.88</v>
      </c>
      <c r="I296">
        <v>0</v>
      </c>
      <c r="J296">
        <v>0</v>
      </c>
      <c r="K296">
        <v>0</v>
      </c>
      <c r="L296">
        <v>7</v>
      </c>
      <c r="O296">
        <v>7</v>
      </c>
      <c r="P296">
        <v>0</v>
      </c>
      <c r="Q296">
        <v>0</v>
      </c>
      <c r="R296">
        <v>27.88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H296">
        <v>27.88</v>
      </c>
    </row>
    <row r="297" spans="1:34" x14ac:dyDescent="0.3">
      <c r="A297" s="4">
        <v>336</v>
      </c>
      <c r="B297" s="5">
        <v>290</v>
      </c>
      <c r="C297">
        <v>10358</v>
      </c>
      <c r="D297" t="s">
        <v>26553</v>
      </c>
      <c r="E297" t="s">
        <v>188</v>
      </c>
      <c r="F297" t="s">
        <v>539</v>
      </c>
      <c r="G297" t="s">
        <v>26554</v>
      </c>
      <c r="H297">
        <v>18.88</v>
      </c>
      <c r="I297">
        <v>0</v>
      </c>
      <c r="J297">
        <v>0</v>
      </c>
      <c r="K297">
        <v>0</v>
      </c>
      <c r="N297">
        <v>3</v>
      </c>
      <c r="O297">
        <v>3</v>
      </c>
      <c r="P297">
        <v>4</v>
      </c>
      <c r="Q297">
        <v>2</v>
      </c>
      <c r="R297">
        <v>27.88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H297">
        <v>27.88</v>
      </c>
    </row>
    <row r="298" spans="1:34" x14ac:dyDescent="0.3">
      <c r="A298" s="4">
        <v>337</v>
      </c>
      <c r="B298" s="5">
        <v>291</v>
      </c>
      <c r="C298">
        <v>11789</v>
      </c>
      <c r="D298" t="s">
        <v>6264</v>
      </c>
      <c r="E298" t="s">
        <v>29</v>
      </c>
      <c r="F298" t="s">
        <v>17</v>
      </c>
      <c r="G298" t="s">
        <v>26555</v>
      </c>
      <c r="H298">
        <v>20.83</v>
      </c>
      <c r="I298">
        <v>0</v>
      </c>
      <c r="J298">
        <v>0</v>
      </c>
      <c r="K298">
        <v>0</v>
      </c>
      <c r="N298">
        <v>3</v>
      </c>
      <c r="O298">
        <v>3</v>
      </c>
      <c r="P298">
        <v>4</v>
      </c>
      <c r="Q298">
        <v>0</v>
      </c>
      <c r="R298">
        <v>27.83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H298">
        <v>27.83</v>
      </c>
    </row>
    <row r="299" spans="1:34" x14ac:dyDescent="0.3">
      <c r="A299" s="4">
        <v>338</v>
      </c>
      <c r="B299" s="5">
        <v>292</v>
      </c>
      <c r="C299">
        <v>14003</v>
      </c>
      <c r="D299" t="s">
        <v>549</v>
      </c>
      <c r="E299" t="s">
        <v>166</v>
      </c>
      <c r="F299" t="s">
        <v>38</v>
      </c>
      <c r="G299" t="s">
        <v>26556</v>
      </c>
      <c r="H299">
        <v>20.8</v>
      </c>
      <c r="I299">
        <v>0</v>
      </c>
      <c r="J299">
        <v>0</v>
      </c>
      <c r="K299">
        <v>0</v>
      </c>
      <c r="O299">
        <v>0</v>
      </c>
      <c r="P299">
        <v>4</v>
      </c>
      <c r="Q299">
        <v>0</v>
      </c>
      <c r="R299">
        <v>24.8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3</v>
      </c>
      <c r="AC299">
        <v>0</v>
      </c>
      <c r="AD299" t="s">
        <v>130</v>
      </c>
      <c r="AH299">
        <v>27.8</v>
      </c>
    </row>
    <row r="300" spans="1:34" x14ac:dyDescent="0.3">
      <c r="A300" s="4">
        <v>339</v>
      </c>
      <c r="B300" s="5">
        <v>293</v>
      </c>
      <c r="C300">
        <v>6612</v>
      </c>
      <c r="D300" t="s">
        <v>18520</v>
      </c>
      <c r="E300" t="s">
        <v>38</v>
      </c>
      <c r="F300" t="s">
        <v>3439</v>
      </c>
      <c r="G300" t="s">
        <v>26557</v>
      </c>
      <c r="H300">
        <v>18.75</v>
      </c>
      <c r="I300">
        <v>0</v>
      </c>
      <c r="J300">
        <v>0</v>
      </c>
      <c r="K300">
        <v>0</v>
      </c>
      <c r="M300">
        <v>5</v>
      </c>
      <c r="O300">
        <v>5</v>
      </c>
      <c r="P300">
        <v>4</v>
      </c>
      <c r="Q300">
        <v>0</v>
      </c>
      <c r="R300">
        <v>27.75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H300">
        <v>27.75</v>
      </c>
    </row>
    <row r="301" spans="1:34" x14ac:dyDescent="0.3">
      <c r="A301" s="4">
        <v>340</v>
      </c>
      <c r="B301" s="5">
        <v>294</v>
      </c>
      <c r="C301">
        <v>6911</v>
      </c>
      <c r="D301" t="s">
        <v>26558</v>
      </c>
      <c r="E301" t="s">
        <v>1155</v>
      </c>
      <c r="F301" t="s">
        <v>81</v>
      </c>
      <c r="G301" t="s">
        <v>26559</v>
      </c>
      <c r="H301">
        <v>20.65</v>
      </c>
      <c r="I301">
        <v>0</v>
      </c>
      <c r="J301">
        <v>0</v>
      </c>
      <c r="K301">
        <v>0</v>
      </c>
      <c r="L301">
        <v>7</v>
      </c>
      <c r="O301">
        <v>7</v>
      </c>
      <c r="P301">
        <v>0</v>
      </c>
      <c r="Q301">
        <v>0</v>
      </c>
      <c r="R301">
        <v>27.65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H301">
        <v>27.65</v>
      </c>
    </row>
    <row r="302" spans="1:34" x14ac:dyDescent="0.3">
      <c r="A302" s="4">
        <v>341</v>
      </c>
      <c r="B302" s="5">
        <v>295</v>
      </c>
      <c r="C302">
        <v>9080</v>
      </c>
      <c r="D302" t="s">
        <v>26560</v>
      </c>
      <c r="E302" t="s">
        <v>26561</v>
      </c>
      <c r="F302" t="s">
        <v>626</v>
      </c>
      <c r="G302" t="s">
        <v>26562</v>
      </c>
      <c r="H302">
        <v>20.63</v>
      </c>
      <c r="I302">
        <v>0</v>
      </c>
      <c r="J302">
        <v>0</v>
      </c>
      <c r="K302">
        <v>0</v>
      </c>
      <c r="N302">
        <v>3</v>
      </c>
      <c r="O302">
        <v>3</v>
      </c>
      <c r="P302">
        <v>4</v>
      </c>
      <c r="Q302">
        <v>0</v>
      </c>
      <c r="R302">
        <v>27.63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H302">
        <v>27.63</v>
      </c>
    </row>
    <row r="303" spans="1:34" x14ac:dyDescent="0.3">
      <c r="A303" s="4">
        <v>342</v>
      </c>
      <c r="B303" s="5">
        <v>296</v>
      </c>
      <c r="C303">
        <v>4390</v>
      </c>
      <c r="D303" t="s">
        <v>5765</v>
      </c>
      <c r="E303" t="s">
        <v>41</v>
      </c>
      <c r="F303" t="s">
        <v>79</v>
      </c>
      <c r="G303" t="s">
        <v>26563</v>
      </c>
      <c r="H303">
        <v>17.579999999999998</v>
      </c>
      <c r="I303">
        <v>0</v>
      </c>
      <c r="J303">
        <v>0</v>
      </c>
      <c r="K303">
        <v>0</v>
      </c>
      <c r="N303">
        <v>6</v>
      </c>
      <c r="O303">
        <v>6</v>
      </c>
      <c r="P303">
        <v>4</v>
      </c>
      <c r="Q303">
        <v>0</v>
      </c>
      <c r="R303">
        <v>27.58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H303">
        <v>27.58</v>
      </c>
    </row>
    <row r="304" spans="1:34" x14ac:dyDescent="0.3">
      <c r="A304" s="4">
        <v>343</v>
      </c>
      <c r="B304" s="5">
        <v>297</v>
      </c>
      <c r="C304">
        <v>4757</v>
      </c>
      <c r="D304" t="s">
        <v>4108</v>
      </c>
      <c r="E304" t="s">
        <v>54</v>
      </c>
      <c r="F304" t="s">
        <v>649</v>
      </c>
      <c r="G304" t="s">
        <v>26564</v>
      </c>
      <c r="H304">
        <v>20.53</v>
      </c>
      <c r="I304">
        <v>0</v>
      </c>
      <c r="J304">
        <v>0</v>
      </c>
      <c r="K304">
        <v>0</v>
      </c>
      <c r="N304">
        <v>3</v>
      </c>
      <c r="O304">
        <v>3</v>
      </c>
      <c r="P304">
        <v>4</v>
      </c>
      <c r="Q304">
        <v>0</v>
      </c>
      <c r="R304">
        <v>27.53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H304">
        <v>27.53</v>
      </c>
    </row>
    <row r="305" spans="1:34" x14ac:dyDescent="0.3">
      <c r="A305" s="4">
        <v>344</v>
      </c>
      <c r="B305" s="5">
        <v>298</v>
      </c>
      <c r="C305">
        <v>4304</v>
      </c>
      <c r="D305" t="s">
        <v>26565</v>
      </c>
      <c r="E305" t="s">
        <v>22</v>
      </c>
      <c r="F305" t="s">
        <v>17</v>
      </c>
      <c r="G305" t="s">
        <v>26566</v>
      </c>
      <c r="H305">
        <v>21.5</v>
      </c>
      <c r="I305">
        <v>0</v>
      </c>
      <c r="J305">
        <v>0</v>
      </c>
      <c r="K305">
        <v>0</v>
      </c>
      <c r="O305">
        <v>0</v>
      </c>
      <c r="P305">
        <v>0</v>
      </c>
      <c r="Q305">
        <v>0</v>
      </c>
      <c r="R305">
        <v>21.5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6</v>
      </c>
      <c r="AC305">
        <v>0</v>
      </c>
      <c r="AH305">
        <v>27.5</v>
      </c>
    </row>
    <row r="306" spans="1:34" x14ac:dyDescent="0.3">
      <c r="A306" s="4">
        <v>345</v>
      </c>
      <c r="B306" s="5">
        <v>299</v>
      </c>
      <c r="C306">
        <v>10153</v>
      </c>
      <c r="D306" t="s">
        <v>26567</v>
      </c>
      <c r="E306" t="s">
        <v>471</v>
      </c>
      <c r="F306" t="s">
        <v>38</v>
      </c>
      <c r="G306" t="s">
        <v>26568</v>
      </c>
      <c r="H306">
        <v>20.45</v>
      </c>
      <c r="I306">
        <v>0</v>
      </c>
      <c r="J306">
        <v>0</v>
      </c>
      <c r="K306">
        <v>0</v>
      </c>
      <c r="N306">
        <v>3</v>
      </c>
      <c r="O306">
        <v>3</v>
      </c>
      <c r="P306">
        <v>4</v>
      </c>
      <c r="Q306">
        <v>0</v>
      </c>
      <c r="R306">
        <v>27.45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H306">
        <v>27.45</v>
      </c>
    </row>
    <row r="307" spans="1:34" x14ac:dyDescent="0.3">
      <c r="A307" s="4">
        <v>346</v>
      </c>
      <c r="B307" s="5">
        <v>300</v>
      </c>
      <c r="C307">
        <v>7924</v>
      </c>
      <c r="D307" t="s">
        <v>26569</v>
      </c>
      <c r="E307" t="s">
        <v>26454</v>
      </c>
      <c r="F307" t="s">
        <v>26570</v>
      </c>
      <c r="G307" t="s">
        <v>26571</v>
      </c>
      <c r="H307">
        <v>18.45</v>
      </c>
      <c r="I307">
        <v>0</v>
      </c>
      <c r="J307">
        <v>0</v>
      </c>
      <c r="K307">
        <v>0</v>
      </c>
      <c r="L307">
        <v>7</v>
      </c>
      <c r="O307">
        <v>7</v>
      </c>
      <c r="P307">
        <v>0</v>
      </c>
      <c r="Q307">
        <v>2</v>
      </c>
      <c r="R307">
        <v>27.45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H307">
        <v>27.45</v>
      </c>
    </row>
    <row r="308" spans="1:34" x14ac:dyDescent="0.3">
      <c r="A308" s="4">
        <v>347</v>
      </c>
      <c r="B308" s="5">
        <v>301</v>
      </c>
      <c r="C308">
        <v>8819</v>
      </c>
      <c r="D308" t="s">
        <v>6275</v>
      </c>
      <c r="E308" t="s">
        <v>5190</v>
      </c>
      <c r="F308" t="s">
        <v>117</v>
      </c>
      <c r="G308" t="s">
        <v>26572</v>
      </c>
      <c r="H308">
        <v>18.149999999999999</v>
      </c>
      <c r="I308">
        <v>0</v>
      </c>
      <c r="J308">
        <v>0</v>
      </c>
      <c r="K308">
        <v>0</v>
      </c>
      <c r="L308">
        <v>7</v>
      </c>
      <c r="O308">
        <v>7</v>
      </c>
      <c r="P308">
        <v>0</v>
      </c>
      <c r="Q308">
        <v>2</v>
      </c>
      <c r="R308">
        <v>27.15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H308">
        <v>27.15</v>
      </c>
    </row>
    <row r="309" spans="1:34" x14ac:dyDescent="0.3">
      <c r="A309" s="4">
        <v>348</v>
      </c>
      <c r="B309" s="5">
        <v>302</v>
      </c>
      <c r="C309">
        <v>1130</v>
      </c>
      <c r="D309" t="s">
        <v>705</v>
      </c>
      <c r="E309" t="s">
        <v>161</v>
      </c>
      <c r="F309" t="s">
        <v>3094</v>
      </c>
      <c r="G309" t="s">
        <v>26573</v>
      </c>
      <c r="H309">
        <v>20.100000000000001</v>
      </c>
      <c r="I309">
        <v>0</v>
      </c>
      <c r="J309">
        <v>0</v>
      </c>
      <c r="K309">
        <v>0</v>
      </c>
      <c r="N309">
        <v>3</v>
      </c>
      <c r="O309">
        <v>3</v>
      </c>
      <c r="P309">
        <v>4</v>
      </c>
      <c r="Q309">
        <v>0</v>
      </c>
      <c r="R309">
        <v>27.1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H309">
        <v>27.1</v>
      </c>
    </row>
    <row r="310" spans="1:34" x14ac:dyDescent="0.3">
      <c r="A310" s="4">
        <v>349</v>
      </c>
      <c r="B310" s="5">
        <v>303</v>
      </c>
      <c r="C310">
        <v>717</v>
      </c>
      <c r="D310" t="s">
        <v>26574</v>
      </c>
      <c r="E310" t="s">
        <v>68</v>
      </c>
      <c r="F310" t="s">
        <v>81</v>
      </c>
      <c r="G310" t="s">
        <v>26575</v>
      </c>
      <c r="H310">
        <v>17</v>
      </c>
      <c r="I310">
        <v>0</v>
      </c>
      <c r="J310">
        <v>0</v>
      </c>
      <c r="K310">
        <v>0</v>
      </c>
      <c r="O310">
        <v>0</v>
      </c>
      <c r="P310">
        <v>4</v>
      </c>
      <c r="Q310">
        <v>0</v>
      </c>
      <c r="R310">
        <v>21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6</v>
      </c>
      <c r="AC310">
        <v>0</v>
      </c>
      <c r="AH310">
        <v>27</v>
      </c>
    </row>
    <row r="311" spans="1:34" x14ac:dyDescent="0.3">
      <c r="A311" s="4">
        <v>350</v>
      </c>
      <c r="B311" s="5">
        <v>304</v>
      </c>
      <c r="C311">
        <v>11005</v>
      </c>
      <c r="D311" t="s">
        <v>3508</v>
      </c>
      <c r="E311" t="s">
        <v>132</v>
      </c>
      <c r="F311" t="s">
        <v>328</v>
      </c>
      <c r="G311" t="s">
        <v>26576</v>
      </c>
      <c r="H311">
        <v>17</v>
      </c>
      <c r="I311">
        <v>0</v>
      </c>
      <c r="J311">
        <v>0</v>
      </c>
      <c r="K311">
        <v>0</v>
      </c>
      <c r="N311">
        <v>3</v>
      </c>
      <c r="O311">
        <v>3</v>
      </c>
      <c r="P311">
        <v>4</v>
      </c>
      <c r="Q311">
        <v>0</v>
      </c>
      <c r="R311">
        <v>24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3</v>
      </c>
      <c r="AC311">
        <v>0</v>
      </c>
      <c r="AH311">
        <v>27</v>
      </c>
    </row>
    <row r="312" spans="1:34" x14ac:dyDescent="0.3">
      <c r="A312" s="4">
        <v>351</v>
      </c>
      <c r="B312" s="5">
        <v>305</v>
      </c>
      <c r="C312">
        <v>15464</v>
      </c>
      <c r="D312" t="s">
        <v>26577</v>
      </c>
      <c r="E312" t="s">
        <v>273</v>
      </c>
      <c r="F312" t="s">
        <v>2802</v>
      </c>
      <c r="G312" t="s">
        <v>26578</v>
      </c>
      <c r="H312">
        <v>17</v>
      </c>
      <c r="I312">
        <v>0</v>
      </c>
      <c r="J312">
        <v>0</v>
      </c>
      <c r="K312">
        <v>0</v>
      </c>
      <c r="N312">
        <v>6</v>
      </c>
      <c r="O312">
        <v>6</v>
      </c>
      <c r="P312">
        <v>4</v>
      </c>
      <c r="Q312">
        <v>0</v>
      </c>
      <c r="R312">
        <v>27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H312">
        <v>27</v>
      </c>
    </row>
    <row r="313" spans="1:34" x14ac:dyDescent="0.3">
      <c r="A313" s="4">
        <v>352</v>
      </c>
      <c r="B313" s="5">
        <v>306</v>
      </c>
      <c r="C313">
        <v>5349</v>
      </c>
      <c r="D313" t="s">
        <v>5097</v>
      </c>
      <c r="E313" t="s">
        <v>166</v>
      </c>
      <c r="F313" t="s">
        <v>68</v>
      </c>
      <c r="G313" t="s">
        <v>26579</v>
      </c>
      <c r="H313">
        <v>20.93</v>
      </c>
      <c r="I313">
        <v>0</v>
      </c>
      <c r="J313">
        <v>0</v>
      </c>
      <c r="K313">
        <v>0</v>
      </c>
      <c r="O313">
        <v>0</v>
      </c>
      <c r="P313">
        <v>0</v>
      </c>
      <c r="Q313">
        <v>0</v>
      </c>
      <c r="R313">
        <v>20.93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6</v>
      </c>
      <c r="AC313">
        <v>0</v>
      </c>
      <c r="AH313">
        <v>26.93</v>
      </c>
    </row>
    <row r="314" spans="1:34" x14ac:dyDescent="0.3">
      <c r="A314" s="4">
        <v>353</v>
      </c>
      <c r="B314" s="5">
        <v>307</v>
      </c>
      <c r="C314">
        <v>2378</v>
      </c>
      <c r="D314" t="s">
        <v>8600</v>
      </c>
      <c r="E314" t="s">
        <v>283</v>
      </c>
      <c r="F314" t="s">
        <v>1854</v>
      </c>
      <c r="G314" t="s">
        <v>26580</v>
      </c>
      <c r="H314">
        <v>19.88</v>
      </c>
      <c r="I314">
        <v>0</v>
      </c>
      <c r="J314">
        <v>0</v>
      </c>
      <c r="K314">
        <v>0</v>
      </c>
      <c r="N314">
        <v>3</v>
      </c>
      <c r="O314">
        <v>3</v>
      </c>
      <c r="P314">
        <v>4</v>
      </c>
      <c r="Q314">
        <v>0</v>
      </c>
      <c r="R314">
        <v>26.88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H314">
        <v>26.88</v>
      </c>
    </row>
    <row r="315" spans="1:34" x14ac:dyDescent="0.3">
      <c r="A315" s="4">
        <v>354</v>
      </c>
      <c r="B315" s="5">
        <v>308</v>
      </c>
      <c r="C315">
        <v>10579</v>
      </c>
      <c r="D315" t="s">
        <v>3102</v>
      </c>
      <c r="E315" t="s">
        <v>110</v>
      </c>
      <c r="F315" t="s">
        <v>55</v>
      </c>
      <c r="G315" t="s">
        <v>26581</v>
      </c>
      <c r="H315">
        <v>19.8</v>
      </c>
      <c r="I315">
        <v>0</v>
      </c>
      <c r="J315">
        <v>0</v>
      </c>
      <c r="K315">
        <v>0</v>
      </c>
      <c r="L315">
        <v>7</v>
      </c>
      <c r="O315">
        <v>7</v>
      </c>
      <c r="P315">
        <v>0</v>
      </c>
      <c r="Q315">
        <v>0</v>
      </c>
      <c r="R315">
        <v>26.8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H315">
        <v>26.8</v>
      </c>
    </row>
    <row r="316" spans="1:34" x14ac:dyDescent="0.3">
      <c r="A316" s="4">
        <v>355</v>
      </c>
      <c r="B316" s="5">
        <v>309</v>
      </c>
      <c r="C316">
        <v>12196</v>
      </c>
      <c r="D316" t="s">
        <v>2786</v>
      </c>
      <c r="E316" t="s">
        <v>400</v>
      </c>
      <c r="F316" t="s">
        <v>117</v>
      </c>
      <c r="G316" t="s">
        <v>26582</v>
      </c>
      <c r="H316">
        <v>17.78</v>
      </c>
      <c r="I316">
        <v>0</v>
      </c>
      <c r="J316">
        <v>0</v>
      </c>
      <c r="K316">
        <v>0</v>
      </c>
      <c r="N316">
        <v>3</v>
      </c>
      <c r="O316">
        <v>3</v>
      </c>
      <c r="P316">
        <v>4</v>
      </c>
      <c r="Q316">
        <v>2</v>
      </c>
      <c r="R316">
        <v>26.78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H316">
        <v>26.78</v>
      </c>
    </row>
    <row r="317" spans="1:34" x14ac:dyDescent="0.3">
      <c r="A317" s="4">
        <v>356</v>
      </c>
      <c r="B317" s="5">
        <v>310</v>
      </c>
      <c r="C317">
        <v>11243</v>
      </c>
      <c r="D317" t="s">
        <v>26583</v>
      </c>
      <c r="E317" t="s">
        <v>1639</v>
      </c>
      <c r="F317" t="s">
        <v>2998</v>
      </c>
      <c r="G317" t="s">
        <v>26584</v>
      </c>
      <c r="H317">
        <v>17.73</v>
      </c>
      <c r="I317">
        <v>0</v>
      </c>
      <c r="J317">
        <v>0</v>
      </c>
      <c r="K317">
        <v>0</v>
      </c>
      <c r="N317">
        <v>6</v>
      </c>
      <c r="O317">
        <v>6</v>
      </c>
      <c r="P317">
        <v>0</v>
      </c>
      <c r="Q317">
        <v>0</v>
      </c>
      <c r="R317">
        <v>23.73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3</v>
      </c>
      <c r="AC317">
        <v>0</v>
      </c>
      <c r="AH317">
        <v>26.73</v>
      </c>
    </row>
    <row r="318" spans="1:34" x14ac:dyDescent="0.3">
      <c r="A318" s="4">
        <v>357</v>
      </c>
      <c r="B318" s="5">
        <v>311</v>
      </c>
      <c r="C318">
        <v>7595</v>
      </c>
      <c r="D318" t="s">
        <v>26585</v>
      </c>
      <c r="E318" t="s">
        <v>22</v>
      </c>
      <c r="F318" t="s">
        <v>81</v>
      </c>
      <c r="G318" t="s">
        <v>26586</v>
      </c>
      <c r="H318">
        <v>19.68</v>
      </c>
      <c r="I318">
        <v>0</v>
      </c>
      <c r="J318">
        <v>0</v>
      </c>
      <c r="K318">
        <v>0</v>
      </c>
      <c r="N318">
        <v>3</v>
      </c>
      <c r="O318">
        <v>3</v>
      </c>
      <c r="P318">
        <v>4</v>
      </c>
      <c r="Q318">
        <v>0</v>
      </c>
      <c r="R318">
        <v>26.68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H318">
        <v>26.68</v>
      </c>
    </row>
    <row r="319" spans="1:34" x14ac:dyDescent="0.3">
      <c r="A319" s="4">
        <v>358</v>
      </c>
      <c r="B319" s="5">
        <v>312</v>
      </c>
      <c r="C319">
        <v>8501</v>
      </c>
      <c r="D319" t="s">
        <v>23255</v>
      </c>
      <c r="E319" t="s">
        <v>188</v>
      </c>
      <c r="F319" t="s">
        <v>381</v>
      </c>
      <c r="G319" t="s">
        <v>26587</v>
      </c>
      <c r="H319">
        <v>17.649999999999999</v>
      </c>
      <c r="I319">
        <v>0</v>
      </c>
      <c r="J319">
        <v>0</v>
      </c>
      <c r="K319">
        <v>0</v>
      </c>
      <c r="O319">
        <v>0</v>
      </c>
      <c r="P319">
        <v>0</v>
      </c>
      <c r="Q319">
        <v>0</v>
      </c>
      <c r="R319">
        <v>17.649999999999999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9</v>
      </c>
      <c r="AC319">
        <v>0</v>
      </c>
      <c r="AH319">
        <v>26.65</v>
      </c>
    </row>
    <row r="320" spans="1:34" x14ac:dyDescent="0.3">
      <c r="A320" s="4">
        <v>359</v>
      </c>
      <c r="B320" s="5">
        <v>313</v>
      </c>
      <c r="C320">
        <v>3094</v>
      </c>
      <c r="D320" t="s">
        <v>1538</v>
      </c>
      <c r="E320" t="s">
        <v>149</v>
      </c>
      <c r="F320" t="s">
        <v>136</v>
      </c>
      <c r="G320" t="s">
        <v>26588</v>
      </c>
      <c r="H320">
        <v>18.63</v>
      </c>
      <c r="I320">
        <v>0</v>
      </c>
      <c r="J320">
        <v>0</v>
      </c>
      <c r="K320">
        <v>0</v>
      </c>
      <c r="M320">
        <v>5</v>
      </c>
      <c r="N320">
        <v>3</v>
      </c>
      <c r="O320">
        <v>8</v>
      </c>
      <c r="P320">
        <v>0</v>
      </c>
      <c r="Q320">
        <v>0</v>
      </c>
      <c r="R320">
        <v>26.63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H320">
        <v>26.63</v>
      </c>
    </row>
    <row r="321" spans="1:34" x14ac:dyDescent="0.3">
      <c r="A321" s="4">
        <v>360</v>
      </c>
      <c r="B321" s="5">
        <v>314</v>
      </c>
      <c r="C321">
        <v>1874</v>
      </c>
      <c r="D321" t="s">
        <v>26589</v>
      </c>
      <c r="E321" t="s">
        <v>188</v>
      </c>
      <c r="F321" t="s">
        <v>30</v>
      </c>
      <c r="G321" t="s">
        <v>26590</v>
      </c>
      <c r="H321">
        <v>19.55</v>
      </c>
      <c r="I321">
        <v>0</v>
      </c>
      <c r="J321">
        <v>0</v>
      </c>
      <c r="K321">
        <v>0</v>
      </c>
      <c r="N321">
        <v>3</v>
      </c>
      <c r="O321">
        <v>3</v>
      </c>
      <c r="P321">
        <v>4</v>
      </c>
      <c r="Q321">
        <v>0</v>
      </c>
      <c r="R321">
        <v>26.55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H321">
        <v>26.55</v>
      </c>
    </row>
    <row r="322" spans="1:34" x14ac:dyDescent="0.3">
      <c r="A322" s="4">
        <v>361</v>
      </c>
      <c r="B322" s="5">
        <v>315</v>
      </c>
      <c r="C322">
        <v>11394</v>
      </c>
      <c r="D322" t="s">
        <v>26591</v>
      </c>
      <c r="E322" t="s">
        <v>208</v>
      </c>
      <c r="F322" t="s">
        <v>68</v>
      </c>
      <c r="G322" t="s">
        <v>26592</v>
      </c>
      <c r="H322">
        <v>19.55</v>
      </c>
      <c r="I322">
        <v>0</v>
      </c>
      <c r="J322">
        <v>0</v>
      </c>
      <c r="K322">
        <v>0</v>
      </c>
      <c r="L322">
        <v>7</v>
      </c>
      <c r="O322">
        <v>7</v>
      </c>
      <c r="P322">
        <v>0</v>
      </c>
      <c r="Q322">
        <v>0</v>
      </c>
      <c r="R322">
        <v>26.55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H322">
        <v>26.55</v>
      </c>
    </row>
    <row r="323" spans="1:34" x14ac:dyDescent="0.3">
      <c r="A323" s="4">
        <v>362</v>
      </c>
      <c r="B323" s="5">
        <v>316</v>
      </c>
      <c r="C323">
        <v>11323</v>
      </c>
      <c r="D323" t="s">
        <v>5590</v>
      </c>
      <c r="E323" t="s">
        <v>37</v>
      </c>
      <c r="F323" t="s">
        <v>167</v>
      </c>
      <c r="G323" t="s">
        <v>5591</v>
      </c>
      <c r="H323">
        <v>18.45</v>
      </c>
      <c r="I323">
        <v>0</v>
      </c>
      <c r="J323">
        <v>0</v>
      </c>
      <c r="K323">
        <v>0</v>
      </c>
      <c r="O323">
        <v>0</v>
      </c>
      <c r="P323">
        <v>0</v>
      </c>
      <c r="Q323">
        <v>2</v>
      </c>
      <c r="R323">
        <v>20.45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6</v>
      </c>
      <c r="AC323">
        <v>0</v>
      </c>
      <c r="AH323">
        <v>26.45</v>
      </c>
    </row>
    <row r="324" spans="1:34" x14ac:dyDescent="0.3">
      <c r="A324" s="4">
        <v>363</v>
      </c>
      <c r="B324" s="5">
        <v>317</v>
      </c>
      <c r="C324">
        <v>13694</v>
      </c>
      <c r="D324" t="s">
        <v>8592</v>
      </c>
      <c r="E324" t="s">
        <v>188</v>
      </c>
      <c r="F324" t="s">
        <v>20</v>
      </c>
      <c r="G324" t="s">
        <v>26593</v>
      </c>
      <c r="H324">
        <v>21.43</v>
      </c>
      <c r="I324">
        <v>0</v>
      </c>
      <c r="J324">
        <v>0</v>
      </c>
      <c r="K324">
        <v>0</v>
      </c>
      <c r="N324">
        <v>3</v>
      </c>
      <c r="O324">
        <v>3</v>
      </c>
      <c r="P324">
        <v>0</v>
      </c>
      <c r="Q324">
        <v>2</v>
      </c>
      <c r="R324">
        <v>26.43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H324">
        <v>26.43</v>
      </c>
    </row>
    <row r="325" spans="1:34" x14ac:dyDescent="0.3">
      <c r="A325" s="4">
        <v>364</v>
      </c>
      <c r="B325" s="5">
        <v>318</v>
      </c>
      <c r="C325">
        <v>5009</v>
      </c>
      <c r="D325" t="s">
        <v>26594</v>
      </c>
      <c r="E325" t="s">
        <v>33</v>
      </c>
      <c r="F325" t="s">
        <v>158</v>
      </c>
      <c r="G325" t="s">
        <v>26595</v>
      </c>
      <c r="H325">
        <v>19.399999999999999</v>
      </c>
      <c r="I325">
        <v>0</v>
      </c>
      <c r="J325">
        <v>0</v>
      </c>
      <c r="K325">
        <v>0</v>
      </c>
      <c r="L325">
        <v>7</v>
      </c>
      <c r="O325">
        <v>7</v>
      </c>
      <c r="P325">
        <v>0</v>
      </c>
      <c r="Q325">
        <v>0</v>
      </c>
      <c r="R325">
        <v>26.4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H325">
        <v>26.4</v>
      </c>
    </row>
    <row r="326" spans="1:34" x14ac:dyDescent="0.3">
      <c r="A326" s="4">
        <v>365</v>
      </c>
      <c r="B326" s="5">
        <v>319</v>
      </c>
      <c r="C326">
        <v>11732</v>
      </c>
      <c r="D326" t="s">
        <v>26596</v>
      </c>
      <c r="E326" t="s">
        <v>26597</v>
      </c>
      <c r="F326" t="s">
        <v>68</v>
      </c>
      <c r="G326" t="s">
        <v>26598</v>
      </c>
      <c r="H326">
        <v>19.3</v>
      </c>
      <c r="I326">
        <v>0</v>
      </c>
      <c r="J326">
        <v>0</v>
      </c>
      <c r="K326">
        <v>0</v>
      </c>
      <c r="L326">
        <v>7</v>
      </c>
      <c r="O326">
        <v>7</v>
      </c>
      <c r="P326">
        <v>0</v>
      </c>
      <c r="Q326">
        <v>0</v>
      </c>
      <c r="R326">
        <v>26.3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H326">
        <v>26.3</v>
      </c>
    </row>
    <row r="327" spans="1:34" x14ac:dyDescent="0.3">
      <c r="A327" s="4">
        <v>366</v>
      </c>
      <c r="B327" s="5">
        <v>320</v>
      </c>
      <c r="C327">
        <v>14093</v>
      </c>
      <c r="D327" t="s">
        <v>26599</v>
      </c>
      <c r="E327" t="s">
        <v>33</v>
      </c>
      <c r="F327" t="s">
        <v>30</v>
      </c>
      <c r="G327" t="s">
        <v>26600</v>
      </c>
      <c r="H327">
        <v>19.3</v>
      </c>
      <c r="I327">
        <v>0</v>
      </c>
      <c r="J327">
        <v>0</v>
      </c>
      <c r="K327">
        <v>0</v>
      </c>
      <c r="N327">
        <v>3</v>
      </c>
      <c r="O327">
        <v>3</v>
      </c>
      <c r="P327">
        <v>4</v>
      </c>
      <c r="Q327">
        <v>0</v>
      </c>
      <c r="R327">
        <v>26.3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H327">
        <v>26.3</v>
      </c>
    </row>
    <row r="328" spans="1:34" x14ac:dyDescent="0.3">
      <c r="A328" s="4">
        <v>367</v>
      </c>
      <c r="B328" s="5">
        <v>321</v>
      </c>
      <c r="C328">
        <v>15372</v>
      </c>
      <c r="D328" t="s">
        <v>1287</v>
      </c>
      <c r="E328" t="s">
        <v>30</v>
      </c>
      <c r="F328" t="s">
        <v>117</v>
      </c>
      <c r="G328" t="s">
        <v>26601</v>
      </c>
      <c r="H328">
        <v>22.25</v>
      </c>
      <c r="I328">
        <v>0</v>
      </c>
      <c r="J328">
        <v>0</v>
      </c>
      <c r="K328">
        <v>0</v>
      </c>
      <c r="O328">
        <v>0</v>
      </c>
      <c r="P328">
        <v>4</v>
      </c>
      <c r="Q328">
        <v>0</v>
      </c>
      <c r="R328">
        <v>26.25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H328">
        <v>26.25</v>
      </c>
    </row>
    <row r="329" spans="1:34" x14ac:dyDescent="0.3">
      <c r="A329" s="4">
        <v>368</v>
      </c>
      <c r="B329" s="5">
        <v>322</v>
      </c>
      <c r="C329">
        <v>12239</v>
      </c>
      <c r="D329" t="s">
        <v>26602</v>
      </c>
      <c r="E329" t="s">
        <v>190</v>
      </c>
      <c r="F329" t="s">
        <v>1526</v>
      </c>
      <c r="G329" t="s">
        <v>26603</v>
      </c>
      <c r="H329">
        <v>19.18</v>
      </c>
      <c r="I329">
        <v>0</v>
      </c>
      <c r="J329">
        <v>0</v>
      </c>
      <c r="K329">
        <v>0</v>
      </c>
      <c r="L329">
        <v>7</v>
      </c>
      <c r="O329">
        <v>7</v>
      </c>
      <c r="P329">
        <v>0</v>
      </c>
      <c r="Q329">
        <v>0</v>
      </c>
      <c r="R329">
        <v>26.18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H329">
        <v>26.18</v>
      </c>
    </row>
    <row r="330" spans="1:34" x14ac:dyDescent="0.3">
      <c r="A330" s="4">
        <v>369</v>
      </c>
      <c r="B330" s="5">
        <v>323</v>
      </c>
      <c r="C330">
        <v>12580</v>
      </c>
      <c r="D330" t="s">
        <v>26604</v>
      </c>
      <c r="E330" t="s">
        <v>188</v>
      </c>
      <c r="F330" t="s">
        <v>17</v>
      </c>
      <c r="G330" t="s">
        <v>26605</v>
      </c>
      <c r="H330">
        <v>19.149999999999999</v>
      </c>
      <c r="I330">
        <v>0</v>
      </c>
      <c r="J330">
        <v>0</v>
      </c>
      <c r="K330">
        <v>0</v>
      </c>
      <c r="N330">
        <v>3</v>
      </c>
      <c r="O330">
        <v>3</v>
      </c>
      <c r="P330">
        <v>4</v>
      </c>
      <c r="Q330">
        <v>0</v>
      </c>
      <c r="R330">
        <v>26.15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 t="s">
        <v>130</v>
      </c>
      <c r="AH330">
        <v>26.15</v>
      </c>
    </row>
    <row r="331" spans="1:34" x14ac:dyDescent="0.3">
      <c r="A331" s="4">
        <v>370</v>
      </c>
      <c r="B331" s="5">
        <v>324</v>
      </c>
      <c r="C331">
        <v>7748</v>
      </c>
      <c r="D331" t="s">
        <v>3309</v>
      </c>
      <c r="E331" t="s">
        <v>208</v>
      </c>
      <c r="F331" t="s">
        <v>38</v>
      </c>
      <c r="G331" t="s">
        <v>26606</v>
      </c>
      <c r="H331">
        <v>19.05</v>
      </c>
      <c r="I331">
        <v>0</v>
      </c>
      <c r="J331">
        <v>0</v>
      </c>
      <c r="K331">
        <v>0</v>
      </c>
      <c r="N331">
        <v>3</v>
      </c>
      <c r="O331">
        <v>3</v>
      </c>
      <c r="P331">
        <v>4</v>
      </c>
      <c r="Q331">
        <v>0</v>
      </c>
      <c r="R331">
        <v>26.05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H331">
        <v>26.05</v>
      </c>
    </row>
    <row r="332" spans="1:34" x14ac:dyDescent="0.3">
      <c r="A332" s="4">
        <v>371</v>
      </c>
      <c r="B332" s="5">
        <v>325</v>
      </c>
      <c r="C332">
        <v>5166</v>
      </c>
      <c r="D332" t="s">
        <v>26607</v>
      </c>
      <c r="E332" t="s">
        <v>26608</v>
      </c>
      <c r="F332" t="s">
        <v>124</v>
      </c>
      <c r="G332" t="s">
        <v>26609</v>
      </c>
      <c r="H332">
        <v>18.98</v>
      </c>
      <c r="I332">
        <v>0</v>
      </c>
      <c r="J332">
        <v>0</v>
      </c>
      <c r="K332">
        <v>0</v>
      </c>
      <c r="L332">
        <v>7</v>
      </c>
      <c r="O332">
        <v>7</v>
      </c>
      <c r="P332">
        <v>0</v>
      </c>
      <c r="Q332">
        <v>0</v>
      </c>
      <c r="R332">
        <v>25.98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H332">
        <v>25.98</v>
      </c>
    </row>
    <row r="333" spans="1:34" x14ac:dyDescent="0.3">
      <c r="A333" s="4">
        <v>372</v>
      </c>
      <c r="B333" s="5">
        <v>326</v>
      </c>
      <c r="C333">
        <v>9367</v>
      </c>
      <c r="D333" t="s">
        <v>1250</v>
      </c>
      <c r="E333" t="s">
        <v>182</v>
      </c>
      <c r="F333" t="s">
        <v>1460</v>
      </c>
      <c r="G333" t="s">
        <v>26610</v>
      </c>
      <c r="H333">
        <v>19.93</v>
      </c>
      <c r="I333">
        <v>0</v>
      </c>
      <c r="J333">
        <v>0</v>
      </c>
      <c r="K333">
        <v>0</v>
      </c>
      <c r="O333">
        <v>0</v>
      </c>
      <c r="P333">
        <v>4</v>
      </c>
      <c r="Q333">
        <v>2</v>
      </c>
      <c r="R333">
        <v>25.93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H333">
        <v>25.93</v>
      </c>
    </row>
    <row r="334" spans="1:34" x14ac:dyDescent="0.3">
      <c r="A334" s="4">
        <v>373</v>
      </c>
      <c r="B334" s="5">
        <v>327</v>
      </c>
      <c r="C334">
        <v>14000</v>
      </c>
      <c r="D334" t="s">
        <v>26611</v>
      </c>
      <c r="E334" t="s">
        <v>26</v>
      </c>
      <c r="F334" t="s">
        <v>136</v>
      </c>
      <c r="G334" t="s">
        <v>26612</v>
      </c>
      <c r="H334">
        <v>18.93</v>
      </c>
      <c r="I334">
        <v>0</v>
      </c>
      <c r="J334">
        <v>0</v>
      </c>
      <c r="K334">
        <v>0</v>
      </c>
      <c r="N334">
        <v>3</v>
      </c>
      <c r="O334">
        <v>3</v>
      </c>
      <c r="P334">
        <v>4</v>
      </c>
      <c r="Q334">
        <v>0</v>
      </c>
      <c r="R334">
        <v>25.93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H334">
        <v>25.93</v>
      </c>
    </row>
    <row r="335" spans="1:34" x14ac:dyDescent="0.3">
      <c r="A335" s="4">
        <v>374</v>
      </c>
      <c r="B335" s="5">
        <v>328</v>
      </c>
      <c r="C335">
        <v>12590</v>
      </c>
      <c r="D335" t="s">
        <v>1693</v>
      </c>
      <c r="E335" t="s">
        <v>110</v>
      </c>
      <c r="F335" t="s">
        <v>91</v>
      </c>
      <c r="G335" t="s">
        <v>26613</v>
      </c>
      <c r="H335">
        <v>19.88</v>
      </c>
      <c r="I335">
        <v>0</v>
      </c>
      <c r="J335">
        <v>0</v>
      </c>
      <c r="K335">
        <v>0</v>
      </c>
      <c r="N335">
        <v>3</v>
      </c>
      <c r="O335">
        <v>3</v>
      </c>
      <c r="P335">
        <v>0</v>
      </c>
      <c r="Q335">
        <v>0</v>
      </c>
      <c r="R335">
        <v>22.88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3</v>
      </c>
      <c r="AC335">
        <v>0</v>
      </c>
      <c r="AH335">
        <v>25.88</v>
      </c>
    </row>
    <row r="336" spans="1:34" x14ac:dyDescent="0.3">
      <c r="A336" s="4">
        <v>375</v>
      </c>
      <c r="B336" s="5">
        <v>329</v>
      </c>
      <c r="C336">
        <v>13787</v>
      </c>
      <c r="D336" t="s">
        <v>26614</v>
      </c>
      <c r="E336" t="s">
        <v>97</v>
      </c>
      <c r="F336" t="s">
        <v>20</v>
      </c>
      <c r="G336" t="s">
        <v>26615</v>
      </c>
      <c r="H336">
        <v>21.85</v>
      </c>
      <c r="I336">
        <v>0</v>
      </c>
      <c r="J336">
        <v>0</v>
      </c>
      <c r="K336">
        <v>0</v>
      </c>
      <c r="O336">
        <v>0</v>
      </c>
      <c r="P336">
        <v>4</v>
      </c>
      <c r="Q336">
        <v>0</v>
      </c>
      <c r="R336">
        <v>25.85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H336">
        <v>25.85</v>
      </c>
    </row>
    <row r="337" spans="1:34" x14ac:dyDescent="0.3">
      <c r="A337" s="4">
        <v>376</v>
      </c>
      <c r="B337" s="5">
        <v>330</v>
      </c>
      <c r="C337">
        <v>15243</v>
      </c>
      <c r="D337" t="s">
        <v>12682</v>
      </c>
      <c r="E337" t="s">
        <v>97</v>
      </c>
      <c r="F337" t="s">
        <v>68</v>
      </c>
      <c r="G337" t="s">
        <v>26616</v>
      </c>
      <c r="H337">
        <v>19.850000000000001</v>
      </c>
      <c r="I337">
        <v>0</v>
      </c>
      <c r="J337">
        <v>0</v>
      </c>
      <c r="K337">
        <v>0</v>
      </c>
      <c r="N337">
        <v>6</v>
      </c>
      <c r="O337">
        <v>6</v>
      </c>
      <c r="P337">
        <v>0</v>
      </c>
      <c r="Q337">
        <v>0</v>
      </c>
      <c r="R337">
        <v>25.85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E337" t="s">
        <v>130</v>
      </c>
      <c r="AH337">
        <v>25.85</v>
      </c>
    </row>
    <row r="338" spans="1:34" x14ac:dyDescent="0.3">
      <c r="A338" s="4">
        <v>377</v>
      </c>
      <c r="B338" s="5">
        <v>331</v>
      </c>
      <c r="C338">
        <v>6121</v>
      </c>
      <c r="D338" t="s">
        <v>26617</v>
      </c>
      <c r="E338" t="s">
        <v>81</v>
      </c>
      <c r="F338" t="s">
        <v>17</v>
      </c>
      <c r="G338" t="s">
        <v>26618</v>
      </c>
      <c r="H338">
        <v>18.850000000000001</v>
      </c>
      <c r="I338">
        <v>0</v>
      </c>
      <c r="J338">
        <v>0</v>
      </c>
      <c r="K338">
        <v>0</v>
      </c>
      <c r="L338">
        <v>7</v>
      </c>
      <c r="O338">
        <v>7</v>
      </c>
      <c r="P338">
        <v>0</v>
      </c>
      <c r="Q338">
        <v>0</v>
      </c>
      <c r="R338">
        <v>25.85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H338">
        <v>25.85</v>
      </c>
    </row>
    <row r="339" spans="1:34" x14ac:dyDescent="0.3">
      <c r="A339" s="4">
        <v>378</v>
      </c>
      <c r="B339" s="5">
        <v>332</v>
      </c>
      <c r="C339">
        <v>11509</v>
      </c>
      <c r="D339" t="s">
        <v>410</v>
      </c>
      <c r="E339" t="s">
        <v>188</v>
      </c>
      <c r="F339" t="s">
        <v>20</v>
      </c>
      <c r="G339" t="s">
        <v>26619</v>
      </c>
      <c r="H339">
        <v>18.78</v>
      </c>
      <c r="I339">
        <v>0</v>
      </c>
      <c r="J339">
        <v>0</v>
      </c>
      <c r="K339">
        <v>0</v>
      </c>
      <c r="L339">
        <v>7</v>
      </c>
      <c r="O339">
        <v>7</v>
      </c>
      <c r="P339">
        <v>0</v>
      </c>
      <c r="Q339">
        <v>0</v>
      </c>
      <c r="R339">
        <v>25.78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H339">
        <v>25.78</v>
      </c>
    </row>
    <row r="340" spans="1:34" x14ac:dyDescent="0.3">
      <c r="A340" s="4">
        <v>379</v>
      </c>
      <c r="B340" s="5">
        <v>333</v>
      </c>
      <c r="C340">
        <v>7475</v>
      </c>
      <c r="D340" t="s">
        <v>17822</v>
      </c>
      <c r="E340" t="s">
        <v>88</v>
      </c>
      <c r="F340" t="s">
        <v>17</v>
      </c>
      <c r="G340" t="s">
        <v>26620</v>
      </c>
      <c r="H340">
        <v>18.75</v>
      </c>
      <c r="I340">
        <v>0</v>
      </c>
      <c r="J340">
        <v>0</v>
      </c>
      <c r="K340">
        <v>0</v>
      </c>
      <c r="O340">
        <v>0</v>
      </c>
      <c r="P340">
        <v>4</v>
      </c>
      <c r="Q340">
        <v>0</v>
      </c>
      <c r="R340">
        <v>22.75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3</v>
      </c>
      <c r="AC340">
        <v>0</v>
      </c>
      <c r="AH340">
        <v>25.75</v>
      </c>
    </row>
    <row r="341" spans="1:34" x14ac:dyDescent="0.3">
      <c r="A341" s="4">
        <v>380</v>
      </c>
      <c r="B341" s="5">
        <v>334</v>
      </c>
      <c r="C341">
        <v>12471</v>
      </c>
      <c r="D341" t="s">
        <v>21853</v>
      </c>
      <c r="E341" t="s">
        <v>173</v>
      </c>
      <c r="F341" t="s">
        <v>17</v>
      </c>
      <c r="G341" t="s">
        <v>26621</v>
      </c>
      <c r="H341">
        <v>20.75</v>
      </c>
      <c r="I341">
        <v>0</v>
      </c>
      <c r="J341">
        <v>0</v>
      </c>
      <c r="K341">
        <v>0</v>
      </c>
      <c r="N341">
        <v>3</v>
      </c>
      <c r="O341">
        <v>3</v>
      </c>
      <c r="P341">
        <v>0</v>
      </c>
      <c r="Q341">
        <v>2</v>
      </c>
      <c r="R341">
        <v>25.75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H341">
        <v>25.75</v>
      </c>
    </row>
    <row r="342" spans="1:34" x14ac:dyDescent="0.3">
      <c r="A342" s="4">
        <v>381</v>
      </c>
      <c r="B342" s="5">
        <v>335</v>
      </c>
      <c r="C342">
        <v>2885</v>
      </c>
      <c r="D342" t="s">
        <v>3350</v>
      </c>
      <c r="E342" t="s">
        <v>2843</v>
      </c>
      <c r="F342" t="s">
        <v>20</v>
      </c>
      <c r="G342" t="s">
        <v>26622</v>
      </c>
      <c r="H342">
        <v>18.75</v>
      </c>
      <c r="I342">
        <v>0</v>
      </c>
      <c r="J342">
        <v>0</v>
      </c>
      <c r="K342">
        <v>0</v>
      </c>
      <c r="L342">
        <v>7</v>
      </c>
      <c r="O342">
        <v>7</v>
      </c>
      <c r="P342">
        <v>0</v>
      </c>
      <c r="Q342">
        <v>0</v>
      </c>
      <c r="R342">
        <v>25.75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H342">
        <v>25.75</v>
      </c>
    </row>
    <row r="343" spans="1:34" x14ac:dyDescent="0.3">
      <c r="A343" s="4">
        <v>382</v>
      </c>
      <c r="B343" s="5">
        <v>336</v>
      </c>
      <c r="C343">
        <v>11209</v>
      </c>
      <c r="D343" t="s">
        <v>10605</v>
      </c>
      <c r="E343" t="s">
        <v>390</v>
      </c>
      <c r="F343" t="s">
        <v>9636</v>
      </c>
      <c r="G343" t="s">
        <v>26623</v>
      </c>
      <c r="H343">
        <v>20.73</v>
      </c>
      <c r="I343">
        <v>0</v>
      </c>
      <c r="J343">
        <v>0</v>
      </c>
      <c r="K343">
        <v>0</v>
      </c>
      <c r="N343">
        <v>3</v>
      </c>
      <c r="O343">
        <v>3</v>
      </c>
      <c r="P343">
        <v>0</v>
      </c>
      <c r="Q343">
        <v>2</v>
      </c>
      <c r="R343">
        <v>25.73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H343">
        <v>25.73</v>
      </c>
    </row>
    <row r="344" spans="1:34" x14ac:dyDescent="0.3">
      <c r="A344" s="4">
        <v>383</v>
      </c>
      <c r="B344" s="5">
        <v>337</v>
      </c>
      <c r="C344">
        <v>12988</v>
      </c>
      <c r="D344" t="s">
        <v>181</v>
      </c>
      <c r="E344" t="s">
        <v>789</v>
      </c>
      <c r="F344" t="s">
        <v>20</v>
      </c>
      <c r="G344" t="s">
        <v>26624</v>
      </c>
      <c r="H344">
        <v>18.649999999999999</v>
      </c>
      <c r="I344">
        <v>0</v>
      </c>
      <c r="J344">
        <v>0</v>
      </c>
      <c r="K344">
        <v>0</v>
      </c>
      <c r="N344">
        <v>3</v>
      </c>
      <c r="O344">
        <v>3</v>
      </c>
      <c r="P344">
        <v>4</v>
      </c>
      <c r="Q344">
        <v>0</v>
      </c>
      <c r="R344">
        <v>25.65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H344">
        <v>25.65</v>
      </c>
    </row>
    <row r="345" spans="1:34" x14ac:dyDescent="0.3">
      <c r="A345" s="4">
        <v>384</v>
      </c>
      <c r="B345" s="5">
        <v>338</v>
      </c>
      <c r="C345">
        <v>5757</v>
      </c>
      <c r="D345" t="s">
        <v>6215</v>
      </c>
      <c r="E345" t="s">
        <v>26625</v>
      </c>
      <c r="F345" t="s">
        <v>81</v>
      </c>
      <c r="G345" t="s">
        <v>26626</v>
      </c>
      <c r="H345">
        <v>17.63</v>
      </c>
      <c r="I345">
        <v>0</v>
      </c>
      <c r="J345">
        <v>0</v>
      </c>
      <c r="K345">
        <v>0</v>
      </c>
      <c r="O345">
        <v>0</v>
      </c>
      <c r="P345">
        <v>0</v>
      </c>
      <c r="Q345">
        <v>2</v>
      </c>
      <c r="R345">
        <v>19.63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6</v>
      </c>
      <c r="AC345">
        <v>0</v>
      </c>
      <c r="AH345">
        <v>25.63</v>
      </c>
    </row>
    <row r="346" spans="1:34" x14ac:dyDescent="0.3">
      <c r="A346" s="4">
        <v>385</v>
      </c>
      <c r="B346" s="5">
        <v>339</v>
      </c>
      <c r="C346">
        <v>6799</v>
      </c>
      <c r="D346" t="s">
        <v>26627</v>
      </c>
      <c r="E346" t="s">
        <v>1072</v>
      </c>
      <c r="F346" t="s">
        <v>26628</v>
      </c>
      <c r="G346" t="s">
        <v>26629</v>
      </c>
      <c r="H346">
        <v>20.63</v>
      </c>
      <c r="I346">
        <v>0</v>
      </c>
      <c r="J346">
        <v>0</v>
      </c>
      <c r="K346">
        <v>0</v>
      </c>
      <c r="M346">
        <v>5</v>
      </c>
      <c r="O346">
        <v>5</v>
      </c>
      <c r="P346">
        <v>0</v>
      </c>
      <c r="Q346">
        <v>0</v>
      </c>
      <c r="R346">
        <v>25.63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H346">
        <v>25.63</v>
      </c>
    </row>
    <row r="347" spans="1:34" x14ac:dyDescent="0.3">
      <c r="A347" s="4">
        <v>386</v>
      </c>
      <c r="B347" s="5">
        <v>340</v>
      </c>
      <c r="C347">
        <v>318</v>
      </c>
      <c r="D347" t="s">
        <v>26630</v>
      </c>
      <c r="E347" t="s">
        <v>516</v>
      </c>
      <c r="F347" t="s">
        <v>10326</v>
      </c>
      <c r="G347" t="s">
        <v>26631</v>
      </c>
      <c r="H347">
        <v>18.600000000000001</v>
      </c>
      <c r="I347">
        <v>0</v>
      </c>
      <c r="J347">
        <v>0</v>
      </c>
      <c r="K347">
        <v>0</v>
      </c>
      <c r="L347">
        <v>7</v>
      </c>
      <c r="O347">
        <v>7</v>
      </c>
      <c r="P347">
        <v>0</v>
      </c>
      <c r="Q347">
        <v>0</v>
      </c>
      <c r="R347">
        <v>25.6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H347">
        <v>25.6</v>
      </c>
    </row>
    <row r="348" spans="1:34" x14ac:dyDescent="0.3">
      <c r="A348" s="4">
        <v>387</v>
      </c>
      <c r="B348" s="5">
        <v>341</v>
      </c>
      <c r="C348">
        <v>3831</v>
      </c>
      <c r="D348" t="s">
        <v>47</v>
      </c>
      <c r="E348" t="s">
        <v>2758</v>
      </c>
      <c r="F348" t="s">
        <v>375</v>
      </c>
      <c r="G348" t="s">
        <v>26632</v>
      </c>
      <c r="H348">
        <v>16.579999999999998</v>
      </c>
      <c r="I348">
        <v>0</v>
      </c>
      <c r="J348">
        <v>0</v>
      </c>
      <c r="K348">
        <v>0</v>
      </c>
      <c r="O348">
        <v>0</v>
      </c>
      <c r="P348">
        <v>4</v>
      </c>
      <c r="Q348">
        <v>0</v>
      </c>
      <c r="R348">
        <v>20.58</v>
      </c>
      <c r="S348">
        <v>5</v>
      </c>
      <c r="T348">
        <v>5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5</v>
      </c>
      <c r="AB348">
        <v>0</v>
      </c>
      <c r="AC348">
        <v>0</v>
      </c>
      <c r="AD348" t="s">
        <v>130</v>
      </c>
      <c r="AH348">
        <v>25.58</v>
      </c>
    </row>
    <row r="349" spans="1:34" x14ac:dyDescent="0.3">
      <c r="A349" s="4">
        <v>388</v>
      </c>
      <c r="B349" s="5">
        <v>342</v>
      </c>
      <c r="C349">
        <v>11171</v>
      </c>
      <c r="D349" t="s">
        <v>7088</v>
      </c>
      <c r="E349" t="s">
        <v>71</v>
      </c>
      <c r="F349" t="s">
        <v>20</v>
      </c>
      <c r="G349" t="s">
        <v>26633</v>
      </c>
      <c r="H349">
        <v>18.48</v>
      </c>
      <c r="I349">
        <v>0</v>
      </c>
      <c r="J349">
        <v>0</v>
      </c>
      <c r="K349">
        <v>0</v>
      </c>
      <c r="O349">
        <v>0</v>
      </c>
      <c r="P349">
        <v>4</v>
      </c>
      <c r="Q349">
        <v>0</v>
      </c>
      <c r="R349">
        <v>22.48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3</v>
      </c>
      <c r="AC349">
        <v>0</v>
      </c>
      <c r="AH349">
        <v>25.48</v>
      </c>
    </row>
    <row r="350" spans="1:34" x14ac:dyDescent="0.3">
      <c r="A350" s="4">
        <v>389</v>
      </c>
      <c r="B350" s="5">
        <v>343</v>
      </c>
      <c r="C350">
        <v>9915</v>
      </c>
      <c r="D350" t="s">
        <v>20503</v>
      </c>
      <c r="E350" t="s">
        <v>471</v>
      </c>
      <c r="F350" t="s">
        <v>782</v>
      </c>
      <c r="G350" t="s">
        <v>26634</v>
      </c>
      <c r="H350">
        <v>18.48</v>
      </c>
      <c r="I350">
        <v>0</v>
      </c>
      <c r="J350">
        <v>0</v>
      </c>
      <c r="K350">
        <v>0</v>
      </c>
      <c r="N350">
        <v>3</v>
      </c>
      <c r="O350">
        <v>3</v>
      </c>
      <c r="P350">
        <v>4</v>
      </c>
      <c r="Q350">
        <v>0</v>
      </c>
      <c r="R350">
        <v>25.48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H350">
        <v>25.48</v>
      </c>
    </row>
    <row r="351" spans="1:34" x14ac:dyDescent="0.3">
      <c r="A351" s="4">
        <v>390</v>
      </c>
      <c r="B351" s="5">
        <v>344</v>
      </c>
      <c r="C351">
        <v>3345</v>
      </c>
      <c r="D351" t="s">
        <v>8708</v>
      </c>
      <c r="E351" t="s">
        <v>957</v>
      </c>
      <c r="F351" t="s">
        <v>8771</v>
      </c>
      <c r="G351" t="s">
        <v>26635</v>
      </c>
      <c r="H351">
        <v>18.43</v>
      </c>
      <c r="I351">
        <v>0</v>
      </c>
      <c r="J351">
        <v>0</v>
      </c>
      <c r="K351">
        <v>0</v>
      </c>
      <c r="N351">
        <v>3</v>
      </c>
      <c r="O351">
        <v>3</v>
      </c>
      <c r="P351">
        <v>4</v>
      </c>
      <c r="Q351">
        <v>0</v>
      </c>
      <c r="R351">
        <v>25.43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H351">
        <v>25.43</v>
      </c>
    </row>
    <row r="352" spans="1:34" x14ac:dyDescent="0.3">
      <c r="A352" s="4">
        <v>391</v>
      </c>
      <c r="B352" s="5">
        <v>345</v>
      </c>
      <c r="C352">
        <v>6225</v>
      </c>
      <c r="D352" t="s">
        <v>26636</v>
      </c>
      <c r="E352" t="s">
        <v>29</v>
      </c>
      <c r="F352" t="s">
        <v>385</v>
      </c>
      <c r="G352" t="s">
        <v>26637</v>
      </c>
      <c r="H352">
        <v>18.350000000000001</v>
      </c>
      <c r="I352">
        <v>0</v>
      </c>
      <c r="J352">
        <v>0</v>
      </c>
      <c r="K352">
        <v>0</v>
      </c>
      <c r="N352">
        <v>3</v>
      </c>
      <c r="O352">
        <v>3</v>
      </c>
      <c r="P352">
        <v>4</v>
      </c>
      <c r="Q352">
        <v>0</v>
      </c>
      <c r="R352">
        <v>25.35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H352">
        <v>25.35</v>
      </c>
    </row>
    <row r="353" spans="1:34" x14ac:dyDescent="0.3">
      <c r="A353" s="4">
        <v>392</v>
      </c>
      <c r="B353" s="5">
        <v>346</v>
      </c>
      <c r="C353">
        <v>7758</v>
      </c>
      <c r="D353" t="s">
        <v>15589</v>
      </c>
      <c r="E353" t="s">
        <v>13882</v>
      </c>
      <c r="F353" t="s">
        <v>375</v>
      </c>
      <c r="G353" t="s">
        <v>26638</v>
      </c>
      <c r="H353">
        <v>19.329999999999998</v>
      </c>
      <c r="I353">
        <v>0</v>
      </c>
      <c r="J353">
        <v>0</v>
      </c>
      <c r="K353">
        <v>0</v>
      </c>
      <c r="N353">
        <v>3</v>
      </c>
      <c r="O353">
        <v>3</v>
      </c>
      <c r="P353">
        <v>0</v>
      </c>
      <c r="Q353">
        <v>0</v>
      </c>
      <c r="R353">
        <v>22.33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3</v>
      </c>
      <c r="AC353">
        <v>0</v>
      </c>
      <c r="AH353">
        <v>25.33</v>
      </c>
    </row>
    <row r="354" spans="1:34" x14ac:dyDescent="0.3">
      <c r="A354" s="4">
        <v>393</v>
      </c>
      <c r="B354" s="5">
        <v>347</v>
      </c>
      <c r="C354">
        <v>8169</v>
      </c>
      <c r="D354" t="s">
        <v>26639</v>
      </c>
      <c r="E354" t="s">
        <v>110</v>
      </c>
      <c r="F354" t="s">
        <v>259</v>
      </c>
      <c r="G354" t="s">
        <v>26640</v>
      </c>
      <c r="H354">
        <v>18.329999999999998</v>
      </c>
      <c r="I354">
        <v>0</v>
      </c>
      <c r="J354">
        <v>0</v>
      </c>
      <c r="K354">
        <v>0</v>
      </c>
      <c r="N354">
        <v>3</v>
      </c>
      <c r="O354">
        <v>3</v>
      </c>
      <c r="P354">
        <v>4</v>
      </c>
      <c r="Q354">
        <v>0</v>
      </c>
      <c r="R354">
        <v>25.33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H354">
        <v>25.33</v>
      </c>
    </row>
    <row r="355" spans="1:34" x14ac:dyDescent="0.3">
      <c r="A355" s="4">
        <v>394</v>
      </c>
      <c r="B355" s="5">
        <v>348</v>
      </c>
      <c r="C355">
        <v>4419</v>
      </c>
      <c r="D355" t="s">
        <v>26641</v>
      </c>
      <c r="E355" t="s">
        <v>33</v>
      </c>
      <c r="F355" t="s">
        <v>227</v>
      </c>
      <c r="G355" t="s">
        <v>26642</v>
      </c>
      <c r="H355">
        <v>18.329999999999998</v>
      </c>
      <c r="I355">
        <v>0</v>
      </c>
      <c r="J355">
        <v>0</v>
      </c>
      <c r="K355">
        <v>0</v>
      </c>
      <c r="N355">
        <v>3</v>
      </c>
      <c r="O355">
        <v>3</v>
      </c>
      <c r="P355">
        <v>4</v>
      </c>
      <c r="Q355">
        <v>0</v>
      </c>
      <c r="R355">
        <v>25.33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H355">
        <v>25.33</v>
      </c>
    </row>
    <row r="356" spans="1:34" x14ac:dyDescent="0.3">
      <c r="A356" s="4">
        <v>395</v>
      </c>
      <c r="B356" s="5">
        <v>349</v>
      </c>
      <c r="C356">
        <v>14652</v>
      </c>
      <c r="D356" t="s">
        <v>26643</v>
      </c>
      <c r="E356" t="s">
        <v>219</v>
      </c>
      <c r="F356" t="s">
        <v>17</v>
      </c>
      <c r="G356" t="s">
        <v>26644</v>
      </c>
      <c r="H356">
        <v>18.329999999999998</v>
      </c>
      <c r="I356">
        <v>0</v>
      </c>
      <c r="J356">
        <v>0</v>
      </c>
      <c r="K356">
        <v>0</v>
      </c>
      <c r="L356">
        <v>7</v>
      </c>
      <c r="O356">
        <v>7</v>
      </c>
      <c r="P356">
        <v>0</v>
      </c>
      <c r="Q356">
        <v>0</v>
      </c>
      <c r="R356">
        <v>25.33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H356">
        <v>25.33</v>
      </c>
    </row>
    <row r="357" spans="1:34" x14ac:dyDescent="0.3">
      <c r="A357" s="4">
        <v>396</v>
      </c>
      <c r="B357" s="5">
        <v>350</v>
      </c>
      <c r="C357">
        <v>3325</v>
      </c>
      <c r="D357" t="s">
        <v>26645</v>
      </c>
      <c r="E357" t="s">
        <v>54</v>
      </c>
      <c r="F357" t="s">
        <v>81</v>
      </c>
      <c r="G357" t="s">
        <v>26646</v>
      </c>
      <c r="H357">
        <v>18.3</v>
      </c>
      <c r="I357">
        <v>0</v>
      </c>
      <c r="J357">
        <v>0</v>
      </c>
      <c r="K357">
        <v>0</v>
      </c>
      <c r="N357">
        <v>3</v>
      </c>
      <c r="O357">
        <v>3</v>
      </c>
      <c r="P357">
        <v>4</v>
      </c>
      <c r="Q357">
        <v>0</v>
      </c>
      <c r="R357">
        <v>25.3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H357">
        <v>25.3</v>
      </c>
    </row>
    <row r="358" spans="1:34" x14ac:dyDescent="0.3">
      <c r="A358" s="4">
        <v>397</v>
      </c>
      <c r="B358" s="5">
        <v>351</v>
      </c>
      <c r="C358">
        <v>5634</v>
      </c>
      <c r="D358" t="s">
        <v>5382</v>
      </c>
      <c r="E358" t="s">
        <v>188</v>
      </c>
      <c r="F358" t="s">
        <v>190</v>
      </c>
      <c r="G358" t="s">
        <v>26647</v>
      </c>
      <c r="H358">
        <v>19.18</v>
      </c>
      <c r="I358">
        <v>0</v>
      </c>
      <c r="J358">
        <v>0</v>
      </c>
      <c r="K358">
        <v>0</v>
      </c>
      <c r="O358">
        <v>0</v>
      </c>
      <c r="P358">
        <v>4</v>
      </c>
      <c r="Q358">
        <v>2</v>
      </c>
      <c r="R358">
        <v>25.18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H358">
        <v>25.18</v>
      </c>
    </row>
    <row r="359" spans="1:34" x14ac:dyDescent="0.3">
      <c r="A359" s="4">
        <v>398</v>
      </c>
      <c r="B359" s="5">
        <v>352</v>
      </c>
      <c r="C359">
        <v>10249</v>
      </c>
      <c r="D359" t="s">
        <v>7664</v>
      </c>
      <c r="E359" t="s">
        <v>26648</v>
      </c>
      <c r="F359" t="s">
        <v>626</v>
      </c>
      <c r="G359" t="s">
        <v>26649</v>
      </c>
      <c r="H359">
        <v>18.149999999999999</v>
      </c>
      <c r="I359">
        <v>0</v>
      </c>
      <c r="J359">
        <v>0</v>
      </c>
      <c r="K359">
        <v>0</v>
      </c>
      <c r="O359">
        <v>0</v>
      </c>
      <c r="P359">
        <v>4</v>
      </c>
      <c r="Q359">
        <v>0</v>
      </c>
      <c r="R359">
        <v>22.15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3</v>
      </c>
      <c r="AC359">
        <v>0</v>
      </c>
      <c r="AH359">
        <v>25.15</v>
      </c>
    </row>
    <row r="360" spans="1:34" x14ac:dyDescent="0.3">
      <c r="A360" s="4">
        <v>399</v>
      </c>
      <c r="B360" s="5">
        <v>353</v>
      </c>
      <c r="C360">
        <v>13176</v>
      </c>
      <c r="D360" t="s">
        <v>26650</v>
      </c>
      <c r="E360" t="s">
        <v>143</v>
      </c>
      <c r="F360" t="s">
        <v>91</v>
      </c>
      <c r="G360" t="s">
        <v>26651</v>
      </c>
      <c r="H360">
        <v>18.13</v>
      </c>
      <c r="I360">
        <v>0</v>
      </c>
      <c r="J360">
        <v>0</v>
      </c>
      <c r="K360">
        <v>0</v>
      </c>
      <c r="L360">
        <v>7</v>
      </c>
      <c r="O360">
        <v>7</v>
      </c>
      <c r="P360">
        <v>0</v>
      </c>
      <c r="Q360">
        <v>0</v>
      </c>
      <c r="R360">
        <v>25.13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H360">
        <v>25.13</v>
      </c>
    </row>
    <row r="361" spans="1:34" x14ac:dyDescent="0.3">
      <c r="A361" s="4">
        <v>400</v>
      </c>
      <c r="B361" s="5">
        <v>354</v>
      </c>
      <c r="C361">
        <v>4532</v>
      </c>
      <c r="D361" t="s">
        <v>26652</v>
      </c>
      <c r="E361" t="s">
        <v>283</v>
      </c>
      <c r="F361" t="s">
        <v>227</v>
      </c>
      <c r="G361" t="s">
        <v>26653</v>
      </c>
      <c r="H361">
        <v>18.13</v>
      </c>
      <c r="I361">
        <v>0</v>
      </c>
      <c r="J361">
        <v>0</v>
      </c>
      <c r="K361">
        <v>0</v>
      </c>
      <c r="N361">
        <v>3</v>
      </c>
      <c r="O361">
        <v>3</v>
      </c>
      <c r="P361">
        <v>4</v>
      </c>
      <c r="Q361">
        <v>0</v>
      </c>
      <c r="R361">
        <v>25.13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H361">
        <v>25.13</v>
      </c>
    </row>
    <row r="362" spans="1:34" x14ac:dyDescent="0.3">
      <c r="A362" s="4">
        <v>401</v>
      </c>
      <c r="B362" s="5">
        <v>355</v>
      </c>
      <c r="C362">
        <v>2157</v>
      </c>
      <c r="D362" t="s">
        <v>18593</v>
      </c>
      <c r="E362" t="s">
        <v>132</v>
      </c>
      <c r="F362" t="s">
        <v>17</v>
      </c>
      <c r="G362" t="s">
        <v>32080</v>
      </c>
      <c r="H362">
        <v>19.100000000000001</v>
      </c>
      <c r="I362">
        <v>0</v>
      </c>
      <c r="J362">
        <v>0</v>
      </c>
      <c r="K362">
        <v>0</v>
      </c>
      <c r="O362">
        <v>0</v>
      </c>
      <c r="P362">
        <v>0</v>
      </c>
      <c r="Q362">
        <v>0</v>
      </c>
      <c r="R362">
        <v>19.100000000000001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6</v>
      </c>
      <c r="AC362">
        <v>0</v>
      </c>
      <c r="AH362">
        <v>25.1</v>
      </c>
    </row>
    <row r="363" spans="1:34" x14ac:dyDescent="0.3">
      <c r="A363" s="4">
        <v>402</v>
      </c>
      <c r="B363" s="5">
        <v>356</v>
      </c>
      <c r="C363">
        <v>775</v>
      </c>
      <c r="D363" t="s">
        <v>1215</v>
      </c>
      <c r="E363" t="s">
        <v>825</v>
      </c>
      <c r="F363" t="s">
        <v>2225</v>
      </c>
      <c r="G363" t="s">
        <v>26654</v>
      </c>
      <c r="H363">
        <v>18.100000000000001</v>
      </c>
      <c r="I363">
        <v>0</v>
      </c>
      <c r="J363">
        <v>0</v>
      </c>
      <c r="K363">
        <v>0</v>
      </c>
      <c r="N363">
        <v>3</v>
      </c>
      <c r="O363">
        <v>3</v>
      </c>
      <c r="P363">
        <v>4</v>
      </c>
      <c r="Q363">
        <v>0</v>
      </c>
      <c r="R363">
        <v>25.1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H363">
        <v>25.1</v>
      </c>
    </row>
    <row r="364" spans="1:34" x14ac:dyDescent="0.3">
      <c r="A364" s="4">
        <v>403</v>
      </c>
      <c r="B364" s="5">
        <v>357</v>
      </c>
      <c r="C364">
        <v>6718</v>
      </c>
      <c r="D364" t="s">
        <v>26655</v>
      </c>
      <c r="E364" t="s">
        <v>26</v>
      </c>
      <c r="F364" t="s">
        <v>385</v>
      </c>
      <c r="G364" t="s">
        <v>26656</v>
      </c>
      <c r="H364">
        <v>18.079999999999998</v>
      </c>
      <c r="I364">
        <v>0</v>
      </c>
      <c r="J364">
        <v>0</v>
      </c>
      <c r="K364">
        <v>0</v>
      </c>
      <c r="N364">
        <v>3</v>
      </c>
      <c r="O364">
        <v>3</v>
      </c>
      <c r="P364">
        <v>4</v>
      </c>
      <c r="Q364">
        <v>0</v>
      </c>
      <c r="R364">
        <v>25.08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H364">
        <v>25.08</v>
      </c>
    </row>
    <row r="365" spans="1:34" x14ac:dyDescent="0.3">
      <c r="A365" s="4">
        <v>404</v>
      </c>
      <c r="B365" s="5">
        <v>358</v>
      </c>
      <c r="C365">
        <v>8619</v>
      </c>
      <c r="D365" t="s">
        <v>26657</v>
      </c>
      <c r="E365" t="s">
        <v>29</v>
      </c>
      <c r="F365" t="s">
        <v>587</v>
      </c>
      <c r="G365" t="s">
        <v>26658</v>
      </c>
      <c r="H365">
        <v>17.95</v>
      </c>
      <c r="I365">
        <v>0</v>
      </c>
      <c r="J365">
        <v>0</v>
      </c>
      <c r="K365">
        <v>0</v>
      </c>
      <c r="N365">
        <v>3</v>
      </c>
      <c r="O365">
        <v>3</v>
      </c>
      <c r="P365">
        <v>4</v>
      </c>
      <c r="Q365">
        <v>0</v>
      </c>
      <c r="R365">
        <v>24.95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H365">
        <v>24.95</v>
      </c>
    </row>
    <row r="366" spans="1:34" x14ac:dyDescent="0.3">
      <c r="A366" s="4">
        <v>405</v>
      </c>
      <c r="B366" s="5">
        <v>359</v>
      </c>
      <c r="C366">
        <v>10173</v>
      </c>
      <c r="D366" t="s">
        <v>26659</v>
      </c>
      <c r="E366" t="s">
        <v>935</v>
      </c>
      <c r="F366" t="s">
        <v>972</v>
      </c>
      <c r="G366" t="s">
        <v>26660</v>
      </c>
      <c r="H366">
        <v>17.850000000000001</v>
      </c>
      <c r="I366">
        <v>0</v>
      </c>
      <c r="J366">
        <v>0</v>
      </c>
      <c r="K366">
        <v>0</v>
      </c>
      <c r="L366">
        <v>7</v>
      </c>
      <c r="O366">
        <v>7</v>
      </c>
      <c r="P366">
        <v>0</v>
      </c>
      <c r="Q366">
        <v>0</v>
      </c>
      <c r="R366">
        <v>24.85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H366">
        <v>24.85</v>
      </c>
    </row>
    <row r="367" spans="1:34" x14ac:dyDescent="0.3">
      <c r="A367" s="4">
        <v>406</v>
      </c>
      <c r="B367" s="5">
        <v>360</v>
      </c>
      <c r="C367">
        <v>10804</v>
      </c>
      <c r="D367" t="s">
        <v>26661</v>
      </c>
      <c r="E367" t="s">
        <v>149</v>
      </c>
      <c r="F367" t="s">
        <v>238</v>
      </c>
      <c r="G367" t="s">
        <v>26662</v>
      </c>
      <c r="H367">
        <v>21.83</v>
      </c>
      <c r="I367">
        <v>0</v>
      </c>
      <c r="J367">
        <v>0</v>
      </c>
      <c r="K367">
        <v>0</v>
      </c>
      <c r="N367">
        <v>3</v>
      </c>
      <c r="O367">
        <v>3</v>
      </c>
      <c r="P367">
        <v>0</v>
      </c>
      <c r="Q367">
        <v>0</v>
      </c>
      <c r="R367">
        <v>24.83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H367">
        <v>24.83</v>
      </c>
    </row>
    <row r="368" spans="1:34" x14ac:dyDescent="0.3">
      <c r="A368" s="4">
        <v>407</v>
      </c>
      <c r="B368" s="5">
        <v>361</v>
      </c>
      <c r="C368">
        <v>10573</v>
      </c>
      <c r="D368" t="s">
        <v>26663</v>
      </c>
      <c r="E368" t="s">
        <v>97</v>
      </c>
      <c r="F368" t="s">
        <v>328</v>
      </c>
      <c r="G368" t="s">
        <v>26664</v>
      </c>
      <c r="H368">
        <v>19.68</v>
      </c>
      <c r="I368">
        <v>0</v>
      </c>
      <c r="J368">
        <v>0</v>
      </c>
      <c r="K368">
        <v>0</v>
      </c>
      <c r="M368">
        <v>5</v>
      </c>
      <c r="O368">
        <v>5</v>
      </c>
      <c r="P368">
        <v>0</v>
      </c>
      <c r="Q368">
        <v>0</v>
      </c>
      <c r="R368">
        <v>24.68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H368">
        <v>24.68</v>
      </c>
    </row>
    <row r="369" spans="1:34" x14ac:dyDescent="0.3">
      <c r="A369" s="4">
        <v>408</v>
      </c>
      <c r="B369" s="5">
        <v>362</v>
      </c>
      <c r="C369">
        <v>14828</v>
      </c>
      <c r="D369" t="s">
        <v>26665</v>
      </c>
      <c r="E369" t="s">
        <v>29</v>
      </c>
      <c r="F369" t="s">
        <v>5614</v>
      </c>
      <c r="G369" t="s">
        <v>26666</v>
      </c>
      <c r="H369">
        <v>19.55</v>
      </c>
      <c r="I369">
        <v>0</v>
      </c>
      <c r="J369">
        <v>0</v>
      </c>
      <c r="K369">
        <v>0</v>
      </c>
      <c r="M369">
        <v>5</v>
      </c>
      <c r="O369">
        <v>5</v>
      </c>
      <c r="P369">
        <v>0</v>
      </c>
      <c r="Q369">
        <v>0</v>
      </c>
      <c r="R369">
        <v>24.55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H369">
        <v>24.55</v>
      </c>
    </row>
    <row r="370" spans="1:34" x14ac:dyDescent="0.3">
      <c r="A370" s="4">
        <v>409</v>
      </c>
      <c r="B370" s="5">
        <v>363</v>
      </c>
      <c r="C370">
        <v>4282</v>
      </c>
      <c r="D370" t="s">
        <v>397</v>
      </c>
      <c r="E370" t="s">
        <v>283</v>
      </c>
      <c r="F370" t="s">
        <v>81</v>
      </c>
      <c r="G370" t="s">
        <v>26667</v>
      </c>
      <c r="H370">
        <v>21.5</v>
      </c>
      <c r="I370">
        <v>0</v>
      </c>
      <c r="J370">
        <v>0</v>
      </c>
      <c r="K370">
        <v>0</v>
      </c>
      <c r="N370">
        <v>3</v>
      </c>
      <c r="O370">
        <v>3</v>
      </c>
      <c r="P370">
        <v>0</v>
      </c>
      <c r="Q370">
        <v>0</v>
      </c>
      <c r="R370">
        <v>24.5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H370">
        <v>24.5</v>
      </c>
    </row>
    <row r="371" spans="1:34" x14ac:dyDescent="0.3">
      <c r="A371" s="4">
        <v>410</v>
      </c>
      <c r="B371" s="5">
        <v>364</v>
      </c>
      <c r="C371">
        <v>3636</v>
      </c>
      <c r="D371" t="s">
        <v>26668</v>
      </c>
      <c r="E371" t="s">
        <v>20504</v>
      </c>
      <c r="F371" t="s">
        <v>20</v>
      </c>
      <c r="G371" t="s">
        <v>26669</v>
      </c>
      <c r="H371">
        <v>19.5</v>
      </c>
      <c r="I371">
        <v>0</v>
      </c>
      <c r="J371">
        <v>0</v>
      </c>
      <c r="K371">
        <v>0</v>
      </c>
      <c r="M371">
        <v>5</v>
      </c>
      <c r="O371">
        <v>5</v>
      </c>
      <c r="P371">
        <v>0</v>
      </c>
      <c r="Q371">
        <v>0</v>
      </c>
      <c r="R371">
        <v>24.5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H371">
        <v>24.5</v>
      </c>
    </row>
    <row r="372" spans="1:34" x14ac:dyDescent="0.3">
      <c r="A372" s="4">
        <v>411</v>
      </c>
      <c r="B372" s="5">
        <v>365</v>
      </c>
      <c r="C372">
        <v>3796</v>
      </c>
      <c r="D372" t="s">
        <v>2033</v>
      </c>
      <c r="E372" t="s">
        <v>139</v>
      </c>
      <c r="F372" t="s">
        <v>17</v>
      </c>
      <c r="G372" t="s">
        <v>26670</v>
      </c>
      <c r="H372">
        <v>17.28</v>
      </c>
      <c r="I372">
        <v>0</v>
      </c>
      <c r="J372">
        <v>0</v>
      </c>
      <c r="K372">
        <v>0</v>
      </c>
      <c r="N372">
        <v>3</v>
      </c>
      <c r="O372">
        <v>3</v>
      </c>
      <c r="P372">
        <v>4</v>
      </c>
      <c r="Q372">
        <v>0</v>
      </c>
      <c r="R372">
        <v>24.28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H372">
        <v>24.28</v>
      </c>
    </row>
    <row r="373" spans="1:34" x14ac:dyDescent="0.3">
      <c r="A373" s="4">
        <v>412</v>
      </c>
      <c r="B373" s="5">
        <v>366</v>
      </c>
      <c r="C373">
        <v>10920</v>
      </c>
      <c r="D373" t="s">
        <v>26671</v>
      </c>
      <c r="E373" t="s">
        <v>7864</v>
      </c>
      <c r="F373" t="s">
        <v>361</v>
      </c>
      <c r="G373" t="s">
        <v>26672</v>
      </c>
      <c r="H373">
        <v>17.18</v>
      </c>
      <c r="I373">
        <v>0</v>
      </c>
      <c r="J373">
        <v>0</v>
      </c>
      <c r="K373">
        <v>0</v>
      </c>
      <c r="N373">
        <v>3</v>
      </c>
      <c r="O373">
        <v>3</v>
      </c>
      <c r="P373">
        <v>4</v>
      </c>
      <c r="Q373">
        <v>0</v>
      </c>
      <c r="R373">
        <v>24.18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H373">
        <v>24.18</v>
      </c>
    </row>
    <row r="374" spans="1:34" x14ac:dyDescent="0.3">
      <c r="A374" s="4">
        <v>413</v>
      </c>
      <c r="B374" s="5">
        <v>367</v>
      </c>
      <c r="C374">
        <v>14570</v>
      </c>
      <c r="D374" t="s">
        <v>26673</v>
      </c>
      <c r="E374" t="s">
        <v>158</v>
      </c>
      <c r="F374" t="s">
        <v>55</v>
      </c>
      <c r="G374" t="s">
        <v>26674</v>
      </c>
      <c r="H374">
        <v>21.1</v>
      </c>
      <c r="I374">
        <v>0</v>
      </c>
      <c r="J374">
        <v>0</v>
      </c>
      <c r="K374">
        <v>0</v>
      </c>
      <c r="N374">
        <v>3</v>
      </c>
      <c r="O374">
        <v>3</v>
      </c>
      <c r="P374">
        <v>0</v>
      </c>
      <c r="Q374">
        <v>0</v>
      </c>
      <c r="R374">
        <v>24.1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H374">
        <v>24.1</v>
      </c>
    </row>
    <row r="375" spans="1:34" x14ac:dyDescent="0.3">
      <c r="A375" s="4">
        <v>414</v>
      </c>
      <c r="B375" s="5">
        <v>368</v>
      </c>
      <c r="C375">
        <v>12663</v>
      </c>
      <c r="D375" t="s">
        <v>26675</v>
      </c>
      <c r="E375" t="s">
        <v>20</v>
      </c>
      <c r="F375" t="s">
        <v>892</v>
      </c>
      <c r="G375" t="s">
        <v>26676</v>
      </c>
      <c r="H375">
        <v>21.1</v>
      </c>
      <c r="I375">
        <v>0</v>
      </c>
      <c r="J375">
        <v>0</v>
      </c>
      <c r="K375">
        <v>0</v>
      </c>
      <c r="N375">
        <v>3</v>
      </c>
      <c r="O375">
        <v>3</v>
      </c>
      <c r="P375">
        <v>0</v>
      </c>
      <c r="Q375">
        <v>0</v>
      </c>
      <c r="R375">
        <v>24.1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H375">
        <v>24.1</v>
      </c>
    </row>
    <row r="376" spans="1:34" x14ac:dyDescent="0.3">
      <c r="A376" s="4">
        <v>415</v>
      </c>
      <c r="B376" s="5">
        <v>369</v>
      </c>
      <c r="C376">
        <v>13239</v>
      </c>
      <c r="D376" t="s">
        <v>26677</v>
      </c>
      <c r="E376" t="s">
        <v>29</v>
      </c>
      <c r="F376" t="s">
        <v>416</v>
      </c>
      <c r="G376" t="s">
        <v>26678</v>
      </c>
      <c r="H376">
        <v>17.98</v>
      </c>
      <c r="I376">
        <v>0</v>
      </c>
      <c r="J376">
        <v>0</v>
      </c>
      <c r="K376">
        <v>0</v>
      </c>
      <c r="O376">
        <v>0</v>
      </c>
      <c r="P376">
        <v>4</v>
      </c>
      <c r="Q376">
        <v>2</v>
      </c>
      <c r="R376">
        <v>23.98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H376">
        <v>23.98</v>
      </c>
    </row>
    <row r="377" spans="1:34" x14ac:dyDescent="0.3">
      <c r="A377" s="4">
        <v>416</v>
      </c>
      <c r="B377" s="5">
        <v>370</v>
      </c>
      <c r="C377">
        <v>8090</v>
      </c>
      <c r="D377" t="s">
        <v>26679</v>
      </c>
      <c r="E377" t="s">
        <v>10825</v>
      </c>
      <c r="F377" t="s">
        <v>136</v>
      </c>
      <c r="G377" t="s">
        <v>26680</v>
      </c>
      <c r="H377">
        <v>18.88</v>
      </c>
      <c r="I377">
        <v>0</v>
      </c>
      <c r="J377">
        <v>0</v>
      </c>
      <c r="K377">
        <v>0</v>
      </c>
      <c r="N377">
        <v>3</v>
      </c>
      <c r="O377">
        <v>3</v>
      </c>
      <c r="P377">
        <v>0</v>
      </c>
      <c r="Q377">
        <v>2</v>
      </c>
      <c r="R377">
        <v>23.88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H377">
        <v>23.88</v>
      </c>
    </row>
    <row r="378" spans="1:34" x14ac:dyDescent="0.3">
      <c r="A378" s="4">
        <v>417</v>
      </c>
      <c r="B378" s="5">
        <v>371</v>
      </c>
      <c r="C378">
        <v>13424</v>
      </c>
      <c r="D378" t="s">
        <v>2720</v>
      </c>
      <c r="E378" t="s">
        <v>1053</v>
      </c>
      <c r="F378" t="s">
        <v>167</v>
      </c>
      <c r="G378" t="s">
        <v>26681</v>
      </c>
      <c r="H378">
        <v>19.8</v>
      </c>
      <c r="I378">
        <v>0</v>
      </c>
      <c r="J378">
        <v>0</v>
      </c>
      <c r="K378">
        <v>0</v>
      </c>
      <c r="O378">
        <v>0</v>
      </c>
      <c r="P378">
        <v>4</v>
      </c>
      <c r="Q378">
        <v>0</v>
      </c>
      <c r="R378">
        <v>23.8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H378">
        <v>23.8</v>
      </c>
    </row>
    <row r="379" spans="1:34" x14ac:dyDescent="0.3">
      <c r="A379" s="4">
        <v>418</v>
      </c>
      <c r="B379" s="5">
        <v>372</v>
      </c>
      <c r="C379">
        <v>10224</v>
      </c>
      <c r="D379" t="s">
        <v>26682</v>
      </c>
      <c r="E379" t="s">
        <v>29</v>
      </c>
      <c r="F379" t="s">
        <v>62</v>
      </c>
      <c r="G379" t="s">
        <v>26683</v>
      </c>
      <c r="H379">
        <v>20.6</v>
      </c>
      <c r="I379">
        <v>0</v>
      </c>
      <c r="J379">
        <v>0</v>
      </c>
      <c r="K379">
        <v>0</v>
      </c>
      <c r="N379">
        <v>3</v>
      </c>
      <c r="O379">
        <v>3</v>
      </c>
      <c r="P379">
        <v>0</v>
      </c>
      <c r="Q379">
        <v>0</v>
      </c>
      <c r="R379">
        <v>23.6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H379">
        <v>23.6</v>
      </c>
    </row>
    <row r="380" spans="1:34" x14ac:dyDescent="0.3">
      <c r="A380" s="4">
        <v>419</v>
      </c>
      <c r="B380" s="5">
        <v>373</v>
      </c>
      <c r="C380">
        <v>2420</v>
      </c>
      <c r="D380" t="s">
        <v>26684</v>
      </c>
      <c r="E380" t="s">
        <v>188</v>
      </c>
      <c r="F380" t="s">
        <v>20</v>
      </c>
      <c r="G380" t="s">
        <v>26685</v>
      </c>
      <c r="H380">
        <v>18.55</v>
      </c>
      <c r="I380">
        <v>0</v>
      </c>
      <c r="J380">
        <v>0</v>
      </c>
      <c r="K380">
        <v>0</v>
      </c>
      <c r="N380">
        <v>3</v>
      </c>
      <c r="O380">
        <v>3</v>
      </c>
      <c r="P380">
        <v>0</v>
      </c>
      <c r="Q380">
        <v>2</v>
      </c>
      <c r="R380">
        <v>23.55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H380">
        <v>23.55</v>
      </c>
    </row>
    <row r="381" spans="1:34" x14ac:dyDescent="0.3">
      <c r="A381" s="4">
        <v>420</v>
      </c>
      <c r="B381" s="5">
        <v>374</v>
      </c>
      <c r="C381">
        <v>5385</v>
      </c>
      <c r="D381" t="s">
        <v>26686</v>
      </c>
      <c r="E381" t="s">
        <v>780</v>
      </c>
      <c r="F381" t="s">
        <v>91</v>
      </c>
      <c r="G381" t="s">
        <v>26687</v>
      </c>
      <c r="H381">
        <v>19.53</v>
      </c>
      <c r="I381">
        <v>0</v>
      </c>
      <c r="J381">
        <v>0</v>
      </c>
      <c r="K381">
        <v>0</v>
      </c>
      <c r="O381">
        <v>0</v>
      </c>
      <c r="P381">
        <v>4</v>
      </c>
      <c r="Q381">
        <v>0</v>
      </c>
      <c r="R381">
        <v>23.53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H381">
        <v>23.53</v>
      </c>
    </row>
    <row r="382" spans="1:34" x14ac:dyDescent="0.3">
      <c r="A382" s="4">
        <v>421</v>
      </c>
      <c r="B382" s="5">
        <v>375</v>
      </c>
      <c r="C382">
        <v>4962</v>
      </c>
      <c r="D382" t="s">
        <v>413</v>
      </c>
      <c r="E382" t="s">
        <v>100</v>
      </c>
      <c r="F382" t="s">
        <v>62</v>
      </c>
      <c r="G382" t="s">
        <v>26688</v>
      </c>
      <c r="H382">
        <v>19.399999999999999</v>
      </c>
      <c r="I382">
        <v>0</v>
      </c>
      <c r="J382">
        <v>0</v>
      </c>
      <c r="K382">
        <v>0</v>
      </c>
      <c r="O382">
        <v>0</v>
      </c>
      <c r="P382">
        <v>4</v>
      </c>
      <c r="Q382">
        <v>0</v>
      </c>
      <c r="R382">
        <v>23.4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H382">
        <v>23.4</v>
      </c>
    </row>
    <row r="383" spans="1:34" x14ac:dyDescent="0.3">
      <c r="A383" s="4">
        <v>422</v>
      </c>
      <c r="B383" s="5">
        <v>376</v>
      </c>
      <c r="C383">
        <v>1962</v>
      </c>
      <c r="D383" t="s">
        <v>26689</v>
      </c>
      <c r="E383" t="s">
        <v>188</v>
      </c>
      <c r="F383" t="s">
        <v>243</v>
      </c>
      <c r="G383" t="s">
        <v>26690</v>
      </c>
      <c r="H383">
        <v>19.329999999999998</v>
      </c>
      <c r="I383">
        <v>0</v>
      </c>
      <c r="J383">
        <v>0</v>
      </c>
      <c r="K383">
        <v>0</v>
      </c>
      <c r="O383">
        <v>0</v>
      </c>
      <c r="P383">
        <v>4</v>
      </c>
      <c r="Q383">
        <v>0</v>
      </c>
      <c r="R383">
        <v>23.33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H383">
        <v>23.33</v>
      </c>
    </row>
    <row r="384" spans="1:34" x14ac:dyDescent="0.3">
      <c r="A384" s="4">
        <v>423</v>
      </c>
      <c r="B384" s="5">
        <v>377</v>
      </c>
      <c r="C384">
        <v>12309</v>
      </c>
      <c r="D384" t="s">
        <v>26691</v>
      </c>
      <c r="E384" t="s">
        <v>41</v>
      </c>
      <c r="F384" t="s">
        <v>38</v>
      </c>
      <c r="G384" t="s">
        <v>26692</v>
      </c>
      <c r="H384">
        <v>20.28</v>
      </c>
      <c r="I384">
        <v>0</v>
      </c>
      <c r="J384">
        <v>0</v>
      </c>
      <c r="K384">
        <v>0</v>
      </c>
      <c r="N384">
        <v>3</v>
      </c>
      <c r="O384">
        <v>3</v>
      </c>
      <c r="P384">
        <v>0</v>
      </c>
      <c r="Q384">
        <v>0</v>
      </c>
      <c r="R384">
        <v>23.28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H384">
        <v>23.28</v>
      </c>
    </row>
    <row r="385" spans="1:34" x14ac:dyDescent="0.3">
      <c r="A385" s="4">
        <v>424</v>
      </c>
      <c r="B385" s="5">
        <v>378</v>
      </c>
      <c r="C385">
        <v>14083</v>
      </c>
      <c r="D385" t="s">
        <v>7569</v>
      </c>
      <c r="E385" t="s">
        <v>173</v>
      </c>
      <c r="F385" t="s">
        <v>136</v>
      </c>
      <c r="G385" t="s">
        <v>26693</v>
      </c>
      <c r="H385">
        <v>20.23</v>
      </c>
      <c r="I385">
        <v>0</v>
      </c>
      <c r="J385">
        <v>0</v>
      </c>
      <c r="K385">
        <v>0</v>
      </c>
      <c r="N385">
        <v>3</v>
      </c>
      <c r="O385">
        <v>3</v>
      </c>
      <c r="P385">
        <v>0</v>
      </c>
      <c r="Q385">
        <v>0</v>
      </c>
      <c r="R385">
        <v>23.23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H385">
        <v>23.23</v>
      </c>
    </row>
    <row r="386" spans="1:34" x14ac:dyDescent="0.3">
      <c r="A386" s="4">
        <v>425</v>
      </c>
      <c r="B386" s="5">
        <v>379</v>
      </c>
      <c r="C386">
        <v>15499</v>
      </c>
      <c r="D386" t="s">
        <v>26694</v>
      </c>
      <c r="E386" t="s">
        <v>54</v>
      </c>
      <c r="F386" t="s">
        <v>3121</v>
      </c>
      <c r="G386" t="s">
        <v>26695</v>
      </c>
      <c r="H386">
        <v>20.100000000000001</v>
      </c>
      <c r="I386">
        <v>0</v>
      </c>
      <c r="J386">
        <v>0</v>
      </c>
      <c r="K386">
        <v>0</v>
      </c>
      <c r="N386">
        <v>3</v>
      </c>
      <c r="O386">
        <v>3</v>
      </c>
      <c r="P386">
        <v>0</v>
      </c>
      <c r="Q386">
        <v>0</v>
      </c>
      <c r="R386">
        <v>23.1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H386">
        <v>23.1</v>
      </c>
    </row>
    <row r="387" spans="1:34" x14ac:dyDescent="0.3">
      <c r="A387" s="4">
        <v>426</v>
      </c>
      <c r="B387" s="5">
        <v>380</v>
      </c>
      <c r="C387">
        <v>14634</v>
      </c>
      <c r="D387" t="s">
        <v>2236</v>
      </c>
      <c r="E387" t="s">
        <v>2538</v>
      </c>
      <c r="F387" t="s">
        <v>5248</v>
      </c>
      <c r="G387" t="s">
        <v>26696</v>
      </c>
      <c r="H387">
        <v>20.05</v>
      </c>
      <c r="I387">
        <v>0</v>
      </c>
      <c r="J387">
        <v>0</v>
      </c>
      <c r="K387">
        <v>0</v>
      </c>
      <c r="N387">
        <v>3</v>
      </c>
      <c r="O387">
        <v>3</v>
      </c>
      <c r="P387">
        <v>0</v>
      </c>
      <c r="Q387">
        <v>0</v>
      </c>
      <c r="R387">
        <v>23.05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H387">
        <v>23.05</v>
      </c>
    </row>
    <row r="388" spans="1:34" x14ac:dyDescent="0.3">
      <c r="A388" s="4">
        <v>427</v>
      </c>
      <c r="B388" s="5">
        <v>381</v>
      </c>
      <c r="C388">
        <v>8539</v>
      </c>
      <c r="D388" t="s">
        <v>4536</v>
      </c>
      <c r="E388" t="s">
        <v>26</v>
      </c>
      <c r="F388" t="s">
        <v>91</v>
      </c>
      <c r="G388" t="s">
        <v>26697</v>
      </c>
      <c r="H388">
        <v>20</v>
      </c>
      <c r="I388">
        <v>0</v>
      </c>
      <c r="J388">
        <v>0</v>
      </c>
      <c r="K388">
        <v>0</v>
      </c>
      <c r="O388">
        <v>0</v>
      </c>
      <c r="P388">
        <v>0</v>
      </c>
      <c r="Q388">
        <v>0</v>
      </c>
      <c r="R388">
        <v>20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3</v>
      </c>
      <c r="AC388">
        <v>0</v>
      </c>
      <c r="AH388">
        <v>23</v>
      </c>
    </row>
    <row r="389" spans="1:34" x14ac:dyDescent="0.3">
      <c r="A389" s="4">
        <v>428</v>
      </c>
      <c r="B389" s="5">
        <v>382</v>
      </c>
      <c r="C389">
        <v>8485</v>
      </c>
      <c r="D389" t="s">
        <v>21064</v>
      </c>
      <c r="E389" t="s">
        <v>858</v>
      </c>
      <c r="F389" t="s">
        <v>91</v>
      </c>
      <c r="G389" t="s">
        <v>26698</v>
      </c>
      <c r="H389">
        <v>19</v>
      </c>
      <c r="I389">
        <v>0</v>
      </c>
      <c r="J389">
        <v>0</v>
      </c>
      <c r="K389">
        <v>0</v>
      </c>
      <c r="O389">
        <v>0</v>
      </c>
      <c r="P389">
        <v>4</v>
      </c>
      <c r="Q389">
        <v>0</v>
      </c>
      <c r="R389">
        <v>23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H389">
        <v>23</v>
      </c>
    </row>
    <row r="390" spans="1:34" x14ac:dyDescent="0.3">
      <c r="A390" s="4">
        <v>429</v>
      </c>
      <c r="B390" s="5">
        <v>383</v>
      </c>
      <c r="C390">
        <v>8216</v>
      </c>
      <c r="D390" t="s">
        <v>26699</v>
      </c>
      <c r="E390" t="s">
        <v>406</v>
      </c>
      <c r="F390" t="s">
        <v>328</v>
      </c>
      <c r="G390" t="s">
        <v>26700</v>
      </c>
      <c r="H390">
        <v>19.95</v>
      </c>
      <c r="I390">
        <v>0</v>
      </c>
      <c r="J390">
        <v>0</v>
      </c>
      <c r="K390">
        <v>0</v>
      </c>
      <c r="N390">
        <v>3</v>
      </c>
      <c r="O390">
        <v>3</v>
      </c>
      <c r="P390">
        <v>0</v>
      </c>
      <c r="Q390">
        <v>0</v>
      </c>
      <c r="R390">
        <v>22.95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H390">
        <v>22.95</v>
      </c>
    </row>
    <row r="391" spans="1:34" x14ac:dyDescent="0.3">
      <c r="A391" s="4">
        <v>430</v>
      </c>
      <c r="B391" s="5">
        <v>384</v>
      </c>
      <c r="C391">
        <v>8379</v>
      </c>
      <c r="D391" t="s">
        <v>26701</v>
      </c>
      <c r="E391" t="s">
        <v>26702</v>
      </c>
      <c r="F391" t="s">
        <v>442</v>
      </c>
      <c r="G391" t="s">
        <v>26703</v>
      </c>
      <c r="H391">
        <v>16.88</v>
      </c>
      <c r="I391">
        <v>0</v>
      </c>
      <c r="J391">
        <v>0</v>
      </c>
      <c r="K391">
        <v>0</v>
      </c>
      <c r="O391">
        <v>0</v>
      </c>
      <c r="P391">
        <v>4</v>
      </c>
      <c r="Q391">
        <v>2</v>
      </c>
      <c r="R391">
        <v>22.88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 t="s">
        <v>130</v>
      </c>
      <c r="AH391">
        <v>22.88</v>
      </c>
    </row>
    <row r="392" spans="1:34" x14ac:dyDescent="0.3">
      <c r="A392" s="4">
        <v>431</v>
      </c>
      <c r="B392" s="5">
        <v>385</v>
      </c>
      <c r="C392">
        <v>9558</v>
      </c>
      <c r="D392" t="s">
        <v>26704</v>
      </c>
      <c r="E392" t="s">
        <v>26</v>
      </c>
      <c r="F392" t="s">
        <v>328</v>
      </c>
      <c r="G392" t="s">
        <v>26705</v>
      </c>
      <c r="H392">
        <v>19.55</v>
      </c>
      <c r="I392">
        <v>0</v>
      </c>
      <c r="J392">
        <v>0</v>
      </c>
      <c r="K392">
        <v>0</v>
      </c>
      <c r="N392">
        <v>3</v>
      </c>
      <c r="O392">
        <v>3</v>
      </c>
      <c r="P392">
        <v>0</v>
      </c>
      <c r="Q392">
        <v>0</v>
      </c>
      <c r="R392">
        <v>22.55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H392">
        <v>22.55</v>
      </c>
    </row>
    <row r="393" spans="1:34" x14ac:dyDescent="0.3">
      <c r="A393" s="4">
        <v>432</v>
      </c>
      <c r="B393" s="5">
        <v>386</v>
      </c>
      <c r="C393">
        <v>12028</v>
      </c>
      <c r="D393" t="s">
        <v>3487</v>
      </c>
      <c r="E393" t="s">
        <v>22</v>
      </c>
      <c r="F393" t="s">
        <v>190</v>
      </c>
      <c r="G393" t="s">
        <v>26706</v>
      </c>
      <c r="H393">
        <v>18.98</v>
      </c>
      <c r="I393">
        <v>0</v>
      </c>
      <c r="J393">
        <v>0</v>
      </c>
      <c r="K393">
        <v>0</v>
      </c>
      <c r="N393">
        <v>3</v>
      </c>
      <c r="O393">
        <v>3</v>
      </c>
      <c r="P393">
        <v>0</v>
      </c>
      <c r="Q393">
        <v>0</v>
      </c>
      <c r="R393">
        <v>21.98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H393">
        <v>21.98</v>
      </c>
    </row>
    <row r="394" spans="1:34" x14ac:dyDescent="0.3">
      <c r="A394" s="4">
        <v>433</v>
      </c>
      <c r="B394" s="5">
        <v>387</v>
      </c>
      <c r="C394">
        <v>565</v>
      </c>
      <c r="D394" t="s">
        <v>14582</v>
      </c>
      <c r="E394" t="s">
        <v>749</v>
      </c>
      <c r="F394" t="s">
        <v>38</v>
      </c>
      <c r="G394" t="s">
        <v>26707</v>
      </c>
      <c r="H394">
        <v>16.95</v>
      </c>
      <c r="I394">
        <v>0</v>
      </c>
      <c r="J394">
        <v>0</v>
      </c>
      <c r="K394">
        <v>0</v>
      </c>
      <c r="N394">
        <v>3</v>
      </c>
      <c r="O394">
        <v>3</v>
      </c>
      <c r="P394">
        <v>0</v>
      </c>
      <c r="Q394">
        <v>2</v>
      </c>
      <c r="R394">
        <v>21.95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H394">
        <v>21.95</v>
      </c>
    </row>
    <row r="395" spans="1:34" x14ac:dyDescent="0.3">
      <c r="A395" s="4">
        <v>434</v>
      </c>
      <c r="B395" s="5">
        <v>388</v>
      </c>
      <c r="C395">
        <v>15052</v>
      </c>
      <c r="D395" t="s">
        <v>5483</v>
      </c>
      <c r="E395" t="s">
        <v>10121</v>
      </c>
      <c r="F395" t="s">
        <v>158</v>
      </c>
      <c r="G395" t="s">
        <v>26708</v>
      </c>
      <c r="H395">
        <v>17.850000000000001</v>
      </c>
      <c r="I395">
        <v>0</v>
      </c>
      <c r="J395">
        <v>0</v>
      </c>
      <c r="K395">
        <v>0</v>
      </c>
      <c r="O395">
        <v>0</v>
      </c>
      <c r="P395">
        <v>4</v>
      </c>
      <c r="Q395">
        <v>0</v>
      </c>
      <c r="R395">
        <v>21.85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H395">
        <v>21.85</v>
      </c>
    </row>
    <row r="396" spans="1:34" x14ac:dyDescent="0.3">
      <c r="A396" s="4">
        <v>435</v>
      </c>
      <c r="B396" s="5">
        <v>389</v>
      </c>
      <c r="C396">
        <v>6116</v>
      </c>
      <c r="D396" t="s">
        <v>26709</v>
      </c>
      <c r="E396" t="s">
        <v>265</v>
      </c>
      <c r="F396" t="s">
        <v>6216</v>
      </c>
      <c r="G396" t="s">
        <v>26710</v>
      </c>
      <c r="H396">
        <v>19.829999999999998</v>
      </c>
      <c r="I396">
        <v>0</v>
      </c>
      <c r="J396">
        <v>0</v>
      </c>
      <c r="K396">
        <v>0</v>
      </c>
      <c r="O396">
        <v>0</v>
      </c>
      <c r="P396">
        <v>0</v>
      </c>
      <c r="Q396">
        <v>2</v>
      </c>
      <c r="R396">
        <v>21.83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 t="s">
        <v>130</v>
      </c>
      <c r="AH396">
        <v>21.83</v>
      </c>
    </row>
    <row r="397" spans="1:34" x14ac:dyDescent="0.3">
      <c r="A397" s="4">
        <v>436</v>
      </c>
      <c r="B397" s="5">
        <v>390</v>
      </c>
      <c r="C397">
        <v>5454</v>
      </c>
      <c r="D397" t="s">
        <v>26711</v>
      </c>
      <c r="E397" t="s">
        <v>26712</v>
      </c>
      <c r="F397" t="s">
        <v>21641</v>
      </c>
      <c r="G397" t="s">
        <v>26713</v>
      </c>
      <c r="H397">
        <v>18.7</v>
      </c>
      <c r="I397">
        <v>0</v>
      </c>
      <c r="J397">
        <v>0</v>
      </c>
      <c r="K397">
        <v>0</v>
      </c>
      <c r="N397">
        <v>3</v>
      </c>
      <c r="O397">
        <v>3</v>
      </c>
      <c r="P397">
        <v>0</v>
      </c>
      <c r="Q397">
        <v>0</v>
      </c>
      <c r="R397">
        <v>21.7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H397">
        <v>21.7</v>
      </c>
    </row>
    <row r="398" spans="1:34" x14ac:dyDescent="0.3">
      <c r="A398" s="4">
        <v>437</v>
      </c>
      <c r="B398" s="5">
        <v>391</v>
      </c>
      <c r="C398">
        <v>1270</v>
      </c>
      <c r="D398" t="s">
        <v>26714</v>
      </c>
      <c r="E398" t="s">
        <v>406</v>
      </c>
      <c r="F398" t="s">
        <v>179</v>
      </c>
      <c r="G398" t="s">
        <v>26715</v>
      </c>
      <c r="H398">
        <v>17.68</v>
      </c>
      <c r="I398">
        <v>0</v>
      </c>
      <c r="J398">
        <v>0</v>
      </c>
      <c r="K398">
        <v>0</v>
      </c>
      <c r="O398">
        <v>0</v>
      </c>
      <c r="P398">
        <v>4</v>
      </c>
      <c r="Q398">
        <v>0</v>
      </c>
      <c r="R398">
        <v>21.68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H398">
        <v>21.68</v>
      </c>
    </row>
    <row r="399" spans="1:34" x14ac:dyDescent="0.3">
      <c r="A399" s="4">
        <v>438</v>
      </c>
      <c r="B399" s="5">
        <v>392</v>
      </c>
      <c r="C399">
        <v>2418</v>
      </c>
      <c r="D399" t="s">
        <v>363</v>
      </c>
      <c r="E399" t="s">
        <v>1659</v>
      </c>
      <c r="F399" t="s">
        <v>6216</v>
      </c>
      <c r="G399" t="s">
        <v>26716</v>
      </c>
      <c r="H399">
        <v>16.68</v>
      </c>
      <c r="I399">
        <v>0</v>
      </c>
      <c r="J399">
        <v>0</v>
      </c>
      <c r="K399">
        <v>0</v>
      </c>
      <c r="N399">
        <v>3</v>
      </c>
      <c r="O399">
        <v>3</v>
      </c>
      <c r="P399">
        <v>0</v>
      </c>
      <c r="Q399">
        <v>2</v>
      </c>
      <c r="R399">
        <v>21.68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H399">
        <v>21.68</v>
      </c>
    </row>
    <row r="400" spans="1:34" x14ac:dyDescent="0.3">
      <c r="A400" s="4">
        <v>439</v>
      </c>
      <c r="B400" s="5">
        <v>393</v>
      </c>
      <c r="C400">
        <v>14505</v>
      </c>
      <c r="D400" t="s">
        <v>26717</v>
      </c>
      <c r="E400" t="s">
        <v>286</v>
      </c>
      <c r="F400" t="s">
        <v>52</v>
      </c>
      <c r="G400" t="s">
        <v>26718</v>
      </c>
      <c r="H400">
        <v>18.600000000000001</v>
      </c>
      <c r="I400">
        <v>0</v>
      </c>
      <c r="J400">
        <v>0</v>
      </c>
      <c r="K400">
        <v>0</v>
      </c>
      <c r="N400">
        <v>3</v>
      </c>
      <c r="O400">
        <v>3</v>
      </c>
      <c r="P400">
        <v>0</v>
      </c>
      <c r="Q400">
        <v>0</v>
      </c>
      <c r="R400">
        <v>21.6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H400">
        <v>21.6</v>
      </c>
    </row>
    <row r="401" spans="1:34" x14ac:dyDescent="0.3">
      <c r="A401" s="4">
        <v>440</v>
      </c>
      <c r="B401" s="5">
        <v>394</v>
      </c>
      <c r="C401">
        <v>14242</v>
      </c>
      <c r="D401" t="s">
        <v>26719</v>
      </c>
      <c r="E401" t="s">
        <v>307</v>
      </c>
      <c r="F401" t="s">
        <v>626</v>
      </c>
      <c r="G401" t="s">
        <v>26720</v>
      </c>
      <c r="H401">
        <v>17.350000000000001</v>
      </c>
      <c r="I401">
        <v>0</v>
      </c>
      <c r="J401">
        <v>0</v>
      </c>
      <c r="K401">
        <v>0</v>
      </c>
      <c r="O401">
        <v>0</v>
      </c>
      <c r="P401">
        <v>4</v>
      </c>
      <c r="Q401">
        <v>0</v>
      </c>
      <c r="R401">
        <v>21.35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H401">
        <v>21.35</v>
      </c>
    </row>
    <row r="402" spans="1:34" x14ac:dyDescent="0.3">
      <c r="A402" s="4">
        <v>441</v>
      </c>
      <c r="B402" s="5">
        <v>395</v>
      </c>
      <c r="C402">
        <v>11888</v>
      </c>
      <c r="D402" t="s">
        <v>26721</v>
      </c>
      <c r="E402" t="s">
        <v>1806</v>
      </c>
      <c r="F402" t="s">
        <v>972</v>
      </c>
      <c r="G402" t="s">
        <v>26722</v>
      </c>
      <c r="H402">
        <v>16.3</v>
      </c>
      <c r="I402">
        <v>0</v>
      </c>
      <c r="J402">
        <v>0</v>
      </c>
      <c r="K402">
        <v>0</v>
      </c>
      <c r="N402">
        <v>3</v>
      </c>
      <c r="O402">
        <v>3</v>
      </c>
      <c r="P402">
        <v>0</v>
      </c>
      <c r="Q402">
        <v>2</v>
      </c>
      <c r="R402">
        <v>21.3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H402">
        <v>21.3</v>
      </c>
    </row>
    <row r="403" spans="1:34" x14ac:dyDescent="0.3">
      <c r="A403" s="4">
        <v>442</v>
      </c>
      <c r="B403" s="5">
        <v>396</v>
      </c>
      <c r="C403">
        <v>5281</v>
      </c>
      <c r="D403" t="s">
        <v>1088</v>
      </c>
      <c r="E403" t="s">
        <v>268</v>
      </c>
      <c r="F403" t="s">
        <v>136</v>
      </c>
      <c r="G403" t="s">
        <v>26723</v>
      </c>
      <c r="H403">
        <v>18.25</v>
      </c>
      <c r="I403">
        <v>0</v>
      </c>
      <c r="J403">
        <v>0</v>
      </c>
      <c r="K403">
        <v>0</v>
      </c>
      <c r="N403">
        <v>3</v>
      </c>
      <c r="O403">
        <v>3</v>
      </c>
      <c r="P403">
        <v>0</v>
      </c>
      <c r="Q403">
        <v>0</v>
      </c>
      <c r="R403">
        <v>21.25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H403">
        <v>21.25</v>
      </c>
    </row>
    <row r="404" spans="1:34" x14ac:dyDescent="0.3">
      <c r="A404" s="4">
        <v>443</v>
      </c>
      <c r="B404" s="5">
        <v>397</v>
      </c>
      <c r="C404">
        <v>6807</v>
      </c>
      <c r="D404" t="s">
        <v>26724</v>
      </c>
      <c r="E404" t="s">
        <v>29</v>
      </c>
      <c r="F404" t="s">
        <v>81</v>
      </c>
      <c r="G404" t="s">
        <v>26725</v>
      </c>
      <c r="H404">
        <v>17.079999999999998</v>
      </c>
      <c r="I404">
        <v>0</v>
      </c>
      <c r="J404">
        <v>0</v>
      </c>
      <c r="K404">
        <v>0</v>
      </c>
      <c r="O404">
        <v>0</v>
      </c>
      <c r="P404">
        <v>4</v>
      </c>
      <c r="Q404">
        <v>0</v>
      </c>
      <c r="R404">
        <v>21.08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H404">
        <v>21.08</v>
      </c>
    </row>
    <row r="405" spans="1:34" x14ac:dyDescent="0.3">
      <c r="A405" s="4">
        <v>444</v>
      </c>
      <c r="B405" s="5">
        <v>398</v>
      </c>
      <c r="C405">
        <v>7173</v>
      </c>
      <c r="D405" t="s">
        <v>26726</v>
      </c>
      <c r="E405" t="s">
        <v>26</v>
      </c>
      <c r="F405" t="s">
        <v>17</v>
      </c>
      <c r="G405" t="s">
        <v>26727</v>
      </c>
      <c r="H405">
        <v>18.03</v>
      </c>
      <c r="I405">
        <v>0</v>
      </c>
      <c r="J405">
        <v>0</v>
      </c>
      <c r="K405">
        <v>0</v>
      </c>
      <c r="N405">
        <v>3</v>
      </c>
      <c r="O405">
        <v>3</v>
      </c>
      <c r="P405">
        <v>0</v>
      </c>
      <c r="Q405">
        <v>0</v>
      </c>
      <c r="R405">
        <v>21.03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H405">
        <v>21.03</v>
      </c>
    </row>
    <row r="406" spans="1:34" x14ac:dyDescent="0.3">
      <c r="A406" s="4">
        <v>445</v>
      </c>
      <c r="B406" s="5">
        <v>399</v>
      </c>
      <c r="C406">
        <v>8621</v>
      </c>
      <c r="D406" t="s">
        <v>1654</v>
      </c>
      <c r="E406" t="s">
        <v>170</v>
      </c>
      <c r="F406" t="s">
        <v>652</v>
      </c>
      <c r="G406" t="s">
        <v>26728</v>
      </c>
      <c r="H406">
        <v>17.88</v>
      </c>
      <c r="I406">
        <v>0</v>
      </c>
      <c r="J406">
        <v>0</v>
      </c>
      <c r="K406">
        <v>0</v>
      </c>
      <c r="N406">
        <v>3</v>
      </c>
      <c r="O406">
        <v>3</v>
      </c>
      <c r="P406">
        <v>0</v>
      </c>
      <c r="Q406">
        <v>0</v>
      </c>
      <c r="R406">
        <v>20.88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 t="s">
        <v>130</v>
      </c>
      <c r="AH406">
        <v>20.88</v>
      </c>
    </row>
    <row r="407" spans="1:34" x14ac:dyDescent="0.3">
      <c r="A407" s="4">
        <v>446</v>
      </c>
      <c r="B407" s="5">
        <v>400</v>
      </c>
      <c r="C407">
        <v>5653</v>
      </c>
      <c r="D407" t="s">
        <v>20237</v>
      </c>
      <c r="E407" t="s">
        <v>26729</v>
      </c>
      <c r="F407" t="s">
        <v>26730</v>
      </c>
      <c r="G407" t="s">
        <v>26731</v>
      </c>
      <c r="H407">
        <v>17.850000000000001</v>
      </c>
      <c r="I407">
        <v>0</v>
      </c>
      <c r="J407">
        <v>0</v>
      </c>
      <c r="K407">
        <v>0</v>
      </c>
      <c r="O407">
        <v>0</v>
      </c>
      <c r="P407">
        <v>0</v>
      </c>
      <c r="Q407">
        <v>0</v>
      </c>
      <c r="R407">
        <v>17.850000000000001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3</v>
      </c>
      <c r="AC407">
        <v>0</v>
      </c>
      <c r="AH407">
        <v>20.85</v>
      </c>
    </row>
    <row r="408" spans="1:34" x14ac:dyDescent="0.3">
      <c r="A408" s="4">
        <v>447</v>
      </c>
      <c r="B408" s="5">
        <v>401</v>
      </c>
      <c r="C408">
        <v>11324</v>
      </c>
      <c r="D408" t="s">
        <v>26732</v>
      </c>
      <c r="E408" t="s">
        <v>935</v>
      </c>
      <c r="F408" t="s">
        <v>343</v>
      </c>
      <c r="G408" t="s">
        <v>26733</v>
      </c>
      <c r="H408">
        <v>17.78</v>
      </c>
      <c r="I408">
        <v>0</v>
      </c>
      <c r="J408">
        <v>0</v>
      </c>
      <c r="K408">
        <v>0</v>
      </c>
      <c r="N408">
        <v>3</v>
      </c>
      <c r="O408">
        <v>3</v>
      </c>
      <c r="P408">
        <v>0</v>
      </c>
      <c r="Q408">
        <v>0</v>
      </c>
      <c r="R408">
        <v>20.78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H408">
        <v>20.78</v>
      </c>
    </row>
    <row r="409" spans="1:34" x14ac:dyDescent="0.3">
      <c r="A409" s="4">
        <v>448</v>
      </c>
      <c r="B409" s="5">
        <v>402</v>
      </c>
      <c r="C409">
        <v>4289</v>
      </c>
      <c r="D409" t="s">
        <v>1133</v>
      </c>
      <c r="E409" t="s">
        <v>54</v>
      </c>
      <c r="F409" t="s">
        <v>972</v>
      </c>
      <c r="G409" t="s">
        <v>26734</v>
      </c>
      <c r="H409">
        <v>17.73</v>
      </c>
      <c r="I409">
        <v>0</v>
      </c>
      <c r="J409">
        <v>0</v>
      </c>
      <c r="K409">
        <v>0</v>
      </c>
      <c r="O409">
        <v>0</v>
      </c>
      <c r="P409">
        <v>0</v>
      </c>
      <c r="Q409">
        <v>0</v>
      </c>
      <c r="R409">
        <v>17.73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3</v>
      </c>
      <c r="AC409">
        <v>0</v>
      </c>
      <c r="AH409">
        <v>20.73</v>
      </c>
    </row>
    <row r="410" spans="1:34" x14ac:dyDescent="0.3">
      <c r="A410" s="4">
        <v>449</v>
      </c>
      <c r="B410" s="5">
        <v>403</v>
      </c>
      <c r="C410">
        <v>8607</v>
      </c>
      <c r="D410" t="s">
        <v>5892</v>
      </c>
      <c r="E410" t="s">
        <v>5893</v>
      </c>
      <c r="F410" t="s">
        <v>20</v>
      </c>
      <c r="G410" t="s">
        <v>5894</v>
      </c>
      <c r="H410">
        <v>18.7</v>
      </c>
      <c r="I410">
        <v>0</v>
      </c>
      <c r="J410">
        <v>0</v>
      </c>
      <c r="K410">
        <v>0</v>
      </c>
      <c r="O410">
        <v>0</v>
      </c>
      <c r="P410">
        <v>0</v>
      </c>
      <c r="Q410">
        <v>2</v>
      </c>
      <c r="R410">
        <v>20.7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H410">
        <v>20.7</v>
      </c>
    </row>
    <row r="411" spans="1:34" x14ac:dyDescent="0.3">
      <c r="A411" s="4">
        <v>450</v>
      </c>
      <c r="B411" s="5">
        <v>404</v>
      </c>
      <c r="C411">
        <v>3195</v>
      </c>
      <c r="D411" t="s">
        <v>26735</v>
      </c>
      <c r="E411" t="s">
        <v>25039</v>
      </c>
      <c r="F411" t="s">
        <v>55</v>
      </c>
      <c r="G411" t="s">
        <v>26736</v>
      </c>
      <c r="H411">
        <v>16.7</v>
      </c>
      <c r="I411">
        <v>0</v>
      </c>
      <c r="J411">
        <v>0</v>
      </c>
      <c r="K411">
        <v>0</v>
      </c>
      <c r="O411">
        <v>0</v>
      </c>
      <c r="P411">
        <v>4</v>
      </c>
      <c r="Q411">
        <v>0</v>
      </c>
      <c r="R411">
        <v>20.7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 t="s">
        <v>130</v>
      </c>
      <c r="AH411">
        <v>20.7</v>
      </c>
    </row>
    <row r="412" spans="1:34" x14ac:dyDescent="0.3">
      <c r="A412" s="4">
        <v>451</v>
      </c>
      <c r="B412" s="5">
        <v>405</v>
      </c>
      <c r="C412">
        <v>10907</v>
      </c>
      <c r="D412" t="s">
        <v>26737</v>
      </c>
      <c r="E412" t="s">
        <v>41</v>
      </c>
      <c r="F412" t="s">
        <v>416</v>
      </c>
      <c r="G412" t="s">
        <v>26738</v>
      </c>
      <c r="H412">
        <v>20.3</v>
      </c>
      <c r="I412">
        <v>0</v>
      </c>
      <c r="J412">
        <v>0</v>
      </c>
      <c r="K412">
        <v>0</v>
      </c>
      <c r="O412">
        <v>0</v>
      </c>
      <c r="P412">
        <v>0</v>
      </c>
      <c r="Q412">
        <v>0</v>
      </c>
      <c r="R412">
        <v>20.3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H412">
        <v>20.3</v>
      </c>
    </row>
    <row r="413" spans="1:34" x14ac:dyDescent="0.3">
      <c r="A413" s="4">
        <v>452</v>
      </c>
      <c r="B413" s="5">
        <v>406</v>
      </c>
      <c r="C413">
        <v>5358</v>
      </c>
      <c r="D413" t="s">
        <v>26739</v>
      </c>
      <c r="E413" t="s">
        <v>26740</v>
      </c>
      <c r="F413" t="s">
        <v>81</v>
      </c>
      <c r="G413" t="s">
        <v>26741</v>
      </c>
      <c r="H413">
        <v>17.2</v>
      </c>
      <c r="I413">
        <v>0</v>
      </c>
      <c r="J413">
        <v>0</v>
      </c>
      <c r="K413">
        <v>0</v>
      </c>
      <c r="N413">
        <v>3</v>
      </c>
      <c r="O413">
        <v>3</v>
      </c>
      <c r="P413">
        <v>0</v>
      </c>
      <c r="Q413">
        <v>0</v>
      </c>
      <c r="R413">
        <v>20.2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H413">
        <v>20.2</v>
      </c>
    </row>
    <row r="414" spans="1:34" x14ac:dyDescent="0.3">
      <c r="A414" s="4">
        <v>453</v>
      </c>
      <c r="B414" s="5">
        <v>407</v>
      </c>
      <c r="C414">
        <v>12709</v>
      </c>
      <c r="D414" t="s">
        <v>26742</v>
      </c>
      <c r="E414" t="s">
        <v>17</v>
      </c>
      <c r="F414" t="s">
        <v>190</v>
      </c>
      <c r="G414" t="s">
        <v>26743</v>
      </c>
      <c r="H414">
        <v>19.68</v>
      </c>
      <c r="I414">
        <v>0</v>
      </c>
      <c r="J414">
        <v>0</v>
      </c>
      <c r="K414">
        <v>0</v>
      </c>
      <c r="O414">
        <v>0</v>
      </c>
      <c r="P414">
        <v>0</v>
      </c>
      <c r="Q414">
        <v>0</v>
      </c>
      <c r="R414">
        <v>19.68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H414">
        <v>19.68</v>
      </c>
    </row>
    <row r="415" spans="1:34" x14ac:dyDescent="0.3">
      <c r="A415" s="4">
        <v>454</v>
      </c>
      <c r="B415" s="5">
        <v>408</v>
      </c>
      <c r="C415">
        <v>12359</v>
      </c>
      <c r="D415" t="s">
        <v>26744</v>
      </c>
      <c r="E415" t="s">
        <v>81</v>
      </c>
      <c r="F415" t="s">
        <v>136</v>
      </c>
      <c r="G415" t="s">
        <v>26745</v>
      </c>
      <c r="H415">
        <v>17.2</v>
      </c>
      <c r="I415">
        <v>0</v>
      </c>
      <c r="J415">
        <v>0</v>
      </c>
      <c r="K415">
        <v>0</v>
      </c>
      <c r="O415">
        <v>0</v>
      </c>
      <c r="P415">
        <v>0</v>
      </c>
      <c r="Q415">
        <v>2</v>
      </c>
      <c r="R415">
        <v>19.2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H415">
        <v>19.2</v>
      </c>
    </row>
    <row r="416" spans="1:34" x14ac:dyDescent="0.3">
      <c r="A416" s="4">
        <v>455</v>
      </c>
      <c r="B416" s="5">
        <v>409</v>
      </c>
      <c r="C416">
        <v>6164</v>
      </c>
      <c r="D416" t="s">
        <v>26746</v>
      </c>
      <c r="E416" t="s">
        <v>286</v>
      </c>
      <c r="F416" t="s">
        <v>20</v>
      </c>
      <c r="G416" t="s">
        <v>26747</v>
      </c>
      <c r="H416">
        <v>19.05</v>
      </c>
      <c r="I416">
        <v>0</v>
      </c>
      <c r="J416">
        <v>0</v>
      </c>
      <c r="K416">
        <v>0</v>
      </c>
      <c r="O416">
        <v>0</v>
      </c>
      <c r="P416">
        <v>0</v>
      </c>
      <c r="Q416">
        <v>0</v>
      </c>
      <c r="R416">
        <v>19.05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H416">
        <v>19.05</v>
      </c>
    </row>
    <row r="417" spans="1:34" x14ac:dyDescent="0.3">
      <c r="A417" s="4">
        <v>456</v>
      </c>
      <c r="B417" s="5">
        <v>410</v>
      </c>
      <c r="C417">
        <v>8259</v>
      </c>
      <c r="D417" t="s">
        <v>26748</v>
      </c>
      <c r="E417" t="s">
        <v>20</v>
      </c>
      <c r="F417" t="s">
        <v>136</v>
      </c>
      <c r="G417" t="s">
        <v>26749</v>
      </c>
      <c r="H417">
        <v>15.95</v>
      </c>
      <c r="I417">
        <v>0</v>
      </c>
      <c r="J417">
        <v>0</v>
      </c>
      <c r="K417">
        <v>0</v>
      </c>
      <c r="N417">
        <v>3</v>
      </c>
      <c r="O417">
        <v>3</v>
      </c>
      <c r="P417">
        <v>0</v>
      </c>
      <c r="Q417">
        <v>0</v>
      </c>
      <c r="R417">
        <v>18.95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H417">
        <v>18.95</v>
      </c>
    </row>
    <row r="418" spans="1:34" x14ac:dyDescent="0.3">
      <c r="A418" s="4">
        <v>457</v>
      </c>
      <c r="B418" s="5">
        <v>411</v>
      </c>
      <c r="C418">
        <v>5567</v>
      </c>
      <c r="D418" t="s">
        <v>25881</v>
      </c>
      <c r="E418" t="s">
        <v>17</v>
      </c>
      <c r="F418" t="s">
        <v>62</v>
      </c>
      <c r="G418" t="s">
        <v>26750</v>
      </c>
      <c r="H418">
        <v>18.93</v>
      </c>
      <c r="I418">
        <v>0</v>
      </c>
      <c r="J418">
        <v>0</v>
      </c>
      <c r="K418">
        <v>0</v>
      </c>
      <c r="O418">
        <v>0</v>
      </c>
      <c r="P418">
        <v>0</v>
      </c>
      <c r="Q418">
        <v>0</v>
      </c>
      <c r="R418">
        <v>18.93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H418">
        <v>18.93</v>
      </c>
    </row>
    <row r="419" spans="1:34" x14ac:dyDescent="0.3">
      <c r="A419" s="4">
        <v>458</v>
      </c>
      <c r="B419" s="5">
        <v>412</v>
      </c>
      <c r="C419">
        <v>9844</v>
      </c>
      <c r="D419" t="s">
        <v>26751</v>
      </c>
      <c r="E419" t="s">
        <v>26752</v>
      </c>
      <c r="F419" t="s">
        <v>20823</v>
      </c>
      <c r="G419" t="s">
        <v>26753</v>
      </c>
      <c r="H419">
        <v>18.55</v>
      </c>
      <c r="I419">
        <v>0</v>
      </c>
      <c r="J419">
        <v>0</v>
      </c>
      <c r="K419">
        <v>0</v>
      </c>
      <c r="O419">
        <v>0</v>
      </c>
      <c r="P419">
        <v>0</v>
      </c>
      <c r="Q419">
        <v>0</v>
      </c>
      <c r="R419">
        <v>18.55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H419">
        <v>18.55</v>
      </c>
    </row>
    <row r="420" spans="1:34" x14ac:dyDescent="0.3">
      <c r="A420" s="4">
        <v>459</v>
      </c>
      <c r="B420" s="5">
        <v>413</v>
      </c>
      <c r="C420">
        <v>10192</v>
      </c>
      <c r="D420" t="s">
        <v>7050</v>
      </c>
      <c r="E420" t="s">
        <v>182</v>
      </c>
      <c r="F420" t="s">
        <v>346</v>
      </c>
      <c r="G420" t="s">
        <v>26754</v>
      </c>
      <c r="H420">
        <v>12.5</v>
      </c>
      <c r="I420">
        <v>0</v>
      </c>
      <c r="J420">
        <v>0</v>
      </c>
      <c r="K420">
        <v>0</v>
      </c>
      <c r="N420">
        <v>6</v>
      </c>
      <c r="O420">
        <v>6</v>
      </c>
      <c r="P420">
        <v>0</v>
      </c>
      <c r="Q420">
        <v>0</v>
      </c>
      <c r="R420">
        <v>18.5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H420">
        <v>18.5</v>
      </c>
    </row>
    <row r="421" spans="1:34" x14ac:dyDescent="0.3">
      <c r="A421" s="4">
        <v>460</v>
      </c>
      <c r="B421" s="5">
        <v>414</v>
      </c>
      <c r="C421">
        <v>13926</v>
      </c>
      <c r="D421" t="s">
        <v>26755</v>
      </c>
      <c r="E421" t="s">
        <v>3331</v>
      </c>
      <c r="F421" t="s">
        <v>20</v>
      </c>
      <c r="G421" t="s">
        <v>26756</v>
      </c>
      <c r="H421">
        <v>17.73</v>
      </c>
      <c r="I421">
        <v>0</v>
      </c>
      <c r="J421">
        <v>0</v>
      </c>
      <c r="K421">
        <v>0</v>
      </c>
      <c r="O421">
        <v>0</v>
      </c>
      <c r="P421">
        <v>0</v>
      </c>
      <c r="Q421">
        <v>0</v>
      </c>
      <c r="R421">
        <v>17.73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H421">
        <v>17.73</v>
      </c>
    </row>
    <row r="422" spans="1:34" x14ac:dyDescent="0.3">
      <c r="A422" s="4">
        <v>461</v>
      </c>
      <c r="B422" s="5">
        <v>415</v>
      </c>
      <c r="C422">
        <v>12882</v>
      </c>
      <c r="D422" t="s">
        <v>26757</v>
      </c>
      <c r="E422" t="s">
        <v>38</v>
      </c>
      <c r="F422" t="s">
        <v>158</v>
      </c>
      <c r="G422" t="s">
        <v>26758</v>
      </c>
      <c r="H422">
        <v>17.7</v>
      </c>
      <c r="I422">
        <v>0</v>
      </c>
      <c r="J422">
        <v>0</v>
      </c>
      <c r="K422">
        <v>0</v>
      </c>
      <c r="O422">
        <v>0</v>
      </c>
      <c r="P422">
        <v>0</v>
      </c>
      <c r="Q422">
        <v>0</v>
      </c>
      <c r="R422">
        <v>17.7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H422">
        <v>17.7</v>
      </c>
    </row>
    <row r="423" spans="1:34" x14ac:dyDescent="0.3">
      <c r="A423" s="4">
        <v>462</v>
      </c>
      <c r="B423" s="5">
        <v>416</v>
      </c>
      <c r="C423">
        <v>14184</v>
      </c>
      <c r="D423" t="s">
        <v>26759</v>
      </c>
      <c r="E423" t="s">
        <v>22</v>
      </c>
      <c r="F423" t="s">
        <v>34</v>
      </c>
      <c r="G423" t="s">
        <v>26760</v>
      </c>
      <c r="H423">
        <v>17.649999999999999</v>
      </c>
      <c r="I423">
        <v>0</v>
      </c>
      <c r="J423">
        <v>0</v>
      </c>
      <c r="K423">
        <v>0</v>
      </c>
      <c r="O423">
        <v>0</v>
      </c>
      <c r="P423">
        <v>0</v>
      </c>
      <c r="Q423">
        <v>0</v>
      </c>
      <c r="R423">
        <v>17.649999999999999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H423">
        <v>17.649999999999999</v>
      </c>
    </row>
    <row r="424" spans="1:34" x14ac:dyDescent="0.3">
      <c r="A424" s="4">
        <v>463</v>
      </c>
      <c r="B424" s="5">
        <v>417</v>
      </c>
      <c r="C424">
        <v>10331</v>
      </c>
      <c r="D424" t="s">
        <v>26761</v>
      </c>
      <c r="E424" t="s">
        <v>149</v>
      </c>
      <c r="F424" t="s">
        <v>20</v>
      </c>
      <c r="G424" t="s">
        <v>26762</v>
      </c>
      <c r="H424">
        <v>12.5</v>
      </c>
      <c r="I424">
        <v>0</v>
      </c>
      <c r="J424">
        <v>0</v>
      </c>
      <c r="K424">
        <v>0</v>
      </c>
      <c r="M424">
        <v>5</v>
      </c>
      <c r="O424">
        <v>5</v>
      </c>
      <c r="P424">
        <v>0</v>
      </c>
      <c r="Q424">
        <v>0</v>
      </c>
      <c r="R424">
        <v>17.5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H424">
        <v>17.5</v>
      </c>
    </row>
    <row r="425" spans="1:34" x14ac:dyDescent="0.3">
      <c r="A425" s="4">
        <v>464</v>
      </c>
      <c r="B425" s="5">
        <v>418</v>
      </c>
      <c r="C425">
        <v>9613</v>
      </c>
      <c r="D425" t="s">
        <v>26763</v>
      </c>
      <c r="E425" t="s">
        <v>143</v>
      </c>
      <c r="F425" t="s">
        <v>26764</v>
      </c>
      <c r="G425" t="s">
        <v>26765</v>
      </c>
      <c r="H425">
        <v>15.95</v>
      </c>
      <c r="I425">
        <v>0</v>
      </c>
      <c r="J425">
        <v>0</v>
      </c>
      <c r="K425">
        <v>0</v>
      </c>
      <c r="O425">
        <v>0</v>
      </c>
      <c r="P425">
        <v>0</v>
      </c>
      <c r="Q425">
        <v>0</v>
      </c>
      <c r="R425">
        <v>15.95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H425">
        <v>15.95</v>
      </c>
    </row>
    <row r="427" spans="1:34" x14ac:dyDescent="0.3">
      <c r="A427" s="3" t="s">
        <v>8356</v>
      </c>
    </row>
    <row r="428" spans="1:34" x14ac:dyDescent="0.3">
      <c r="A428" s="3" t="s">
        <v>10724</v>
      </c>
    </row>
    <row r="429" spans="1:34" x14ac:dyDescent="0.3">
      <c r="A429" s="3" t="s">
        <v>10725</v>
      </c>
    </row>
    <row r="430" spans="1:34" x14ac:dyDescent="0.3">
      <c r="A430" s="3" t="s">
        <v>10726</v>
      </c>
    </row>
    <row r="431" spans="1:34" x14ac:dyDescent="0.3">
      <c r="A431" s="3" t="s">
        <v>10727</v>
      </c>
    </row>
    <row r="432" spans="1:34" x14ac:dyDescent="0.3">
      <c r="A432" s="3" t="s">
        <v>10728</v>
      </c>
    </row>
    <row r="433" spans="1:34" x14ac:dyDescent="0.3">
      <c r="A433" s="3" t="s">
        <v>10729</v>
      </c>
    </row>
    <row r="434" spans="1:34" x14ac:dyDescent="0.3">
      <c r="A434" s="3" t="s">
        <v>10730</v>
      </c>
    </row>
    <row r="435" spans="1:34" s="4" customFormat="1" x14ac:dyDescent="0.3">
      <c r="A435" s="3" t="s">
        <v>10731</v>
      </c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</row>
    <row r="436" spans="1:34" s="4" customFormat="1" x14ac:dyDescent="0.3">
      <c r="A436" s="3" t="s">
        <v>10732</v>
      </c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</row>
    <row r="437" spans="1:34" s="4" customFormat="1" x14ac:dyDescent="0.3">
      <c r="A437" s="3" t="s">
        <v>10733</v>
      </c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</row>
    <row r="438" spans="1:34" s="4" customFormat="1" x14ac:dyDescent="0.3">
      <c r="A438" s="3" t="s">
        <v>10734</v>
      </c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</row>
    <row r="439" spans="1:34" s="4" customFormat="1" x14ac:dyDescent="0.3">
      <c r="A439" s="3" t="s">
        <v>10735</v>
      </c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</row>
    <row r="440" spans="1:34" s="4" customFormat="1" x14ac:dyDescent="0.3">
      <c r="A440" s="3" t="s">
        <v>10736</v>
      </c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</row>
    <row r="441" spans="1:34" s="4" customFormat="1" x14ac:dyDescent="0.3">
      <c r="A441" s="3" t="s">
        <v>10737</v>
      </c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</row>
    <row r="442" spans="1:34" s="4" customFormat="1" x14ac:dyDescent="0.3">
      <c r="A442" s="3" t="s">
        <v>10738</v>
      </c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</row>
    <row r="443" spans="1:34" s="4" customFormat="1" x14ac:dyDescent="0.3">
      <c r="A443" s="3" t="s">
        <v>10739</v>
      </c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</row>
    <row r="444" spans="1:34" s="4" customFormat="1" x14ac:dyDescent="0.3">
      <c r="A444" s="3" t="s">
        <v>10740</v>
      </c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</row>
    <row r="445" spans="1:34" s="4" customFormat="1" x14ac:dyDescent="0.3">
      <c r="A445" s="3" t="s">
        <v>10741</v>
      </c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</row>
    <row r="446" spans="1:34" s="4" customFormat="1" x14ac:dyDescent="0.3">
      <c r="A446" s="3" t="s">
        <v>10742</v>
      </c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</row>
    <row r="447" spans="1:34" s="4" customFormat="1" x14ac:dyDescent="0.3">
      <c r="A447" s="3" t="s">
        <v>10743</v>
      </c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</row>
    <row r="448" spans="1:34" s="4" customFormat="1" x14ac:dyDescent="0.3">
      <c r="A448" s="3" t="s">
        <v>10744</v>
      </c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</row>
    <row r="449" spans="1:34" s="4" customFormat="1" x14ac:dyDescent="0.3">
      <c r="A449" s="3" t="s">
        <v>10745</v>
      </c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</row>
    <row r="450" spans="1:34" s="4" customFormat="1" x14ac:dyDescent="0.3">
      <c r="A450" s="3" t="s">
        <v>10746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</row>
    <row r="451" spans="1:34" s="4" customFormat="1" x14ac:dyDescent="0.3">
      <c r="A451" s="3" t="s">
        <v>10747</v>
      </c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</row>
    <row r="452" spans="1:34" s="4" customFormat="1" x14ac:dyDescent="0.3">
      <c r="A452" s="3" t="s">
        <v>10748</v>
      </c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</row>
    <row r="453" spans="1:34" s="4" customFormat="1" x14ac:dyDescent="0.3">
      <c r="A453" s="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</row>
    <row r="454" spans="1:34" s="4" customFormat="1" x14ac:dyDescent="0.3">
      <c r="A454" s="3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</row>
    <row r="455" spans="1:34" s="4" customFormat="1" x14ac:dyDescent="0.3">
      <c r="A455" s="3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Φύλλο16"/>
  <dimension ref="A1:AH2349"/>
  <sheetViews>
    <sheetView workbookViewId="0">
      <selection activeCell="A8" sqref="A8:AH2511"/>
    </sheetView>
  </sheetViews>
  <sheetFormatPr defaultRowHeight="14.4" x14ac:dyDescent="0.3"/>
  <cols>
    <col min="1" max="2" width="9.109375" style="4"/>
    <col min="3" max="3" width="6" customWidth="1"/>
    <col min="4" max="4" width="32.33203125" bestFit="1" customWidth="1"/>
    <col min="5" max="5" width="26.5546875" customWidth="1"/>
    <col min="6" max="6" width="28.88671875" bestFit="1" customWidth="1"/>
    <col min="7" max="7" width="10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26766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31</v>
      </c>
      <c r="B8" s="5">
        <v>1</v>
      </c>
      <c r="C8">
        <v>13391</v>
      </c>
      <c r="D8" t="s">
        <v>3200</v>
      </c>
      <c r="E8" t="s">
        <v>439</v>
      </c>
      <c r="F8" t="s">
        <v>81</v>
      </c>
      <c r="G8" t="s">
        <v>26778</v>
      </c>
      <c r="H8">
        <v>18.579999999999998</v>
      </c>
      <c r="I8">
        <v>0</v>
      </c>
      <c r="J8">
        <v>0</v>
      </c>
      <c r="K8">
        <v>0</v>
      </c>
      <c r="N8">
        <v>3</v>
      </c>
      <c r="O8">
        <v>3</v>
      </c>
      <c r="P8">
        <v>4</v>
      </c>
      <c r="Q8">
        <v>2</v>
      </c>
      <c r="R8">
        <v>27.58</v>
      </c>
      <c r="S8">
        <v>86</v>
      </c>
      <c r="T8">
        <v>86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86</v>
      </c>
      <c r="AB8">
        <v>6</v>
      </c>
      <c r="AC8">
        <v>0</v>
      </c>
      <c r="AD8" t="s">
        <v>130</v>
      </c>
      <c r="AF8" t="s">
        <v>130</v>
      </c>
      <c r="AH8">
        <v>119.58</v>
      </c>
    </row>
    <row r="9" spans="1:34" x14ac:dyDescent="0.3">
      <c r="A9" s="4">
        <v>61</v>
      </c>
      <c r="B9" s="5">
        <v>2</v>
      </c>
      <c r="C9">
        <v>7071</v>
      </c>
      <c r="D9" t="s">
        <v>18937</v>
      </c>
      <c r="E9" t="s">
        <v>29</v>
      </c>
      <c r="F9" t="s">
        <v>62</v>
      </c>
      <c r="G9" t="s">
        <v>26791</v>
      </c>
      <c r="H9">
        <v>17.28</v>
      </c>
      <c r="I9">
        <v>0</v>
      </c>
      <c r="J9">
        <v>0</v>
      </c>
      <c r="K9">
        <v>20</v>
      </c>
      <c r="N9">
        <v>3</v>
      </c>
      <c r="O9">
        <v>3</v>
      </c>
      <c r="P9">
        <v>4</v>
      </c>
      <c r="Q9">
        <v>2</v>
      </c>
      <c r="R9">
        <v>46.28</v>
      </c>
      <c r="S9">
        <v>59</v>
      </c>
      <c r="T9">
        <v>59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59</v>
      </c>
      <c r="AB9">
        <v>9</v>
      </c>
      <c r="AC9">
        <v>0</v>
      </c>
      <c r="AF9" t="s">
        <v>130</v>
      </c>
      <c r="AH9">
        <v>114.28</v>
      </c>
    </row>
    <row r="10" spans="1:34" x14ac:dyDescent="0.3">
      <c r="A10" s="4">
        <v>79</v>
      </c>
      <c r="B10" s="5">
        <v>3</v>
      </c>
      <c r="C10">
        <v>2226</v>
      </c>
      <c r="D10" t="s">
        <v>907</v>
      </c>
      <c r="E10" t="s">
        <v>13460</v>
      </c>
      <c r="F10" t="s">
        <v>136</v>
      </c>
      <c r="G10" t="s">
        <v>26801</v>
      </c>
      <c r="H10">
        <v>20.23</v>
      </c>
      <c r="I10">
        <v>0</v>
      </c>
      <c r="J10">
        <v>0</v>
      </c>
      <c r="K10">
        <v>20</v>
      </c>
      <c r="L10">
        <v>7</v>
      </c>
      <c r="O10">
        <v>7</v>
      </c>
      <c r="P10">
        <v>4</v>
      </c>
      <c r="Q10">
        <v>2</v>
      </c>
      <c r="R10">
        <v>53.23</v>
      </c>
      <c r="S10">
        <v>52</v>
      </c>
      <c r="T10">
        <v>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52</v>
      </c>
      <c r="AB10">
        <v>6</v>
      </c>
      <c r="AC10">
        <v>0</v>
      </c>
      <c r="AF10" t="s">
        <v>130</v>
      </c>
      <c r="AH10">
        <v>111.23</v>
      </c>
    </row>
    <row r="11" spans="1:34" x14ac:dyDescent="0.3">
      <c r="A11" s="4">
        <v>98</v>
      </c>
      <c r="B11" s="5">
        <v>4</v>
      </c>
      <c r="C11">
        <v>5330</v>
      </c>
      <c r="D11" t="s">
        <v>3340</v>
      </c>
      <c r="E11" t="s">
        <v>208</v>
      </c>
      <c r="F11" t="s">
        <v>2998</v>
      </c>
      <c r="G11" t="s">
        <v>26818</v>
      </c>
      <c r="H11">
        <v>17.13</v>
      </c>
      <c r="I11">
        <v>0</v>
      </c>
      <c r="J11">
        <v>0</v>
      </c>
      <c r="K11">
        <v>20</v>
      </c>
      <c r="L11">
        <v>7</v>
      </c>
      <c r="O11">
        <v>7</v>
      </c>
      <c r="P11">
        <v>4</v>
      </c>
      <c r="Q11">
        <v>2</v>
      </c>
      <c r="R11">
        <v>50.13</v>
      </c>
      <c r="S11">
        <v>59</v>
      </c>
      <c r="T11">
        <v>59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59</v>
      </c>
      <c r="AB11">
        <v>0</v>
      </c>
      <c r="AC11">
        <v>0</v>
      </c>
      <c r="AD11" t="s">
        <v>130</v>
      </c>
      <c r="AF11" t="s">
        <v>130</v>
      </c>
      <c r="AH11">
        <v>109.13</v>
      </c>
    </row>
    <row r="12" spans="1:34" x14ac:dyDescent="0.3">
      <c r="A12" s="4">
        <v>118</v>
      </c>
      <c r="B12" s="5">
        <v>5</v>
      </c>
      <c r="C12">
        <v>3209</v>
      </c>
      <c r="D12" t="s">
        <v>26835</v>
      </c>
      <c r="E12" t="s">
        <v>213</v>
      </c>
      <c r="F12" t="s">
        <v>62</v>
      </c>
      <c r="G12" t="s">
        <v>26836</v>
      </c>
      <c r="H12">
        <v>17</v>
      </c>
      <c r="I12">
        <v>0</v>
      </c>
      <c r="J12">
        <v>0</v>
      </c>
      <c r="K12">
        <v>20</v>
      </c>
      <c r="N12">
        <v>3</v>
      </c>
      <c r="O12">
        <v>3</v>
      </c>
      <c r="P12">
        <v>4</v>
      </c>
      <c r="Q12">
        <v>2</v>
      </c>
      <c r="R12">
        <v>46</v>
      </c>
      <c r="S12">
        <v>58</v>
      </c>
      <c r="T12">
        <v>58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58</v>
      </c>
      <c r="AB12">
        <v>3</v>
      </c>
      <c r="AC12">
        <v>0</v>
      </c>
      <c r="AF12" t="s">
        <v>130</v>
      </c>
      <c r="AH12">
        <v>107</v>
      </c>
    </row>
    <row r="13" spans="1:34" x14ac:dyDescent="0.3">
      <c r="A13" s="4">
        <v>129</v>
      </c>
      <c r="B13" s="5">
        <v>6</v>
      </c>
      <c r="C13">
        <v>11600</v>
      </c>
      <c r="D13" t="s">
        <v>1814</v>
      </c>
      <c r="E13" t="s">
        <v>97</v>
      </c>
      <c r="F13" t="s">
        <v>310</v>
      </c>
      <c r="G13" t="s">
        <v>26844</v>
      </c>
      <c r="H13">
        <v>16.7</v>
      </c>
      <c r="I13">
        <v>0</v>
      </c>
      <c r="J13">
        <v>0</v>
      </c>
      <c r="K13">
        <v>20</v>
      </c>
      <c r="N13">
        <v>3</v>
      </c>
      <c r="O13">
        <v>3</v>
      </c>
      <c r="P13">
        <v>4</v>
      </c>
      <c r="Q13">
        <v>0</v>
      </c>
      <c r="R13">
        <v>43.7</v>
      </c>
      <c r="S13">
        <v>59</v>
      </c>
      <c r="T13">
        <v>59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59</v>
      </c>
      <c r="AB13">
        <v>3</v>
      </c>
      <c r="AC13">
        <v>0</v>
      </c>
      <c r="AF13" t="s">
        <v>130</v>
      </c>
      <c r="AH13">
        <v>105.7</v>
      </c>
    </row>
    <row r="14" spans="1:34" x14ac:dyDescent="0.3">
      <c r="A14" s="4">
        <v>141</v>
      </c>
      <c r="B14" s="5">
        <v>7</v>
      </c>
      <c r="C14">
        <v>4500</v>
      </c>
      <c r="D14" t="s">
        <v>26862</v>
      </c>
      <c r="E14" t="s">
        <v>182</v>
      </c>
      <c r="F14" t="s">
        <v>81</v>
      </c>
      <c r="G14" t="s">
        <v>26863</v>
      </c>
      <c r="H14">
        <v>17.68</v>
      </c>
      <c r="I14">
        <v>7</v>
      </c>
      <c r="J14">
        <v>0</v>
      </c>
      <c r="K14">
        <v>28</v>
      </c>
      <c r="L14">
        <v>7</v>
      </c>
      <c r="O14">
        <v>7</v>
      </c>
      <c r="P14">
        <v>4</v>
      </c>
      <c r="Q14">
        <v>2</v>
      </c>
      <c r="R14">
        <v>65.680000000000007</v>
      </c>
      <c r="S14">
        <v>37</v>
      </c>
      <c r="T14">
        <v>37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37</v>
      </c>
      <c r="AB14">
        <v>0</v>
      </c>
      <c r="AC14">
        <v>0</v>
      </c>
      <c r="AD14" t="s">
        <v>130</v>
      </c>
      <c r="AF14" t="s">
        <v>130</v>
      </c>
      <c r="AH14">
        <v>102.68</v>
      </c>
    </row>
    <row r="15" spans="1:34" x14ac:dyDescent="0.3">
      <c r="A15" s="4">
        <v>150</v>
      </c>
      <c r="B15" s="5">
        <v>8</v>
      </c>
      <c r="C15">
        <v>8218</v>
      </c>
      <c r="D15" t="s">
        <v>26873</v>
      </c>
      <c r="E15" t="s">
        <v>328</v>
      </c>
      <c r="F15" t="s">
        <v>343</v>
      </c>
      <c r="G15" t="s">
        <v>26874</v>
      </c>
      <c r="H15">
        <v>18.63</v>
      </c>
      <c r="I15">
        <v>0</v>
      </c>
      <c r="J15">
        <v>0</v>
      </c>
      <c r="K15">
        <v>0</v>
      </c>
      <c r="L15">
        <v>7</v>
      </c>
      <c r="N15">
        <v>3</v>
      </c>
      <c r="O15">
        <v>10</v>
      </c>
      <c r="P15">
        <v>4</v>
      </c>
      <c r="Q15">
        <v>2</v>
      </c>
      <c r="R15">
        <v>34.630000000000003</v>
      </c>
      <c r="S15">
        <v>66</v>
      </c>
      <c r="T15">
        <v>66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66</v>
      </c>
      <c r="AB15">
        <v>0</v>
      </c>
      <c r="AC15">
        <v>0</v>
      </c>
      <c r="AD15" t="s">
        <v>130</v>
      </c>
      <c r="AF15" t="s">
        <v>130</v>
      </c>
      <c r="AH15">
        <v>100.63</v>
      </c>
    </row>
    <row r="16" spans="1:34" x14ac:dyDescent="0.3">
      <c r="A16" s="4">
        <v>154</v>
      </c>
      <c r="B16" s="5">
        <v>9</v>
      </c>
      <c r="C16">
        <v>11070</v>
      </c>
      <c r="D16" t="s">
        <v>26880</v>
      </c>
      <c r="E16" t="s">
        <v>208</v>
      </c>
      <c r="F16" t="s">
        <v>62</v>
      </c>
      <c r="G16" t="s">
        <v>26881</v>
      </c>
      <c r="H16">
        <v>15.25</v>
      </c>
      <c r="I16">
        <v>0</v>
      </c>
      <c r="J16">
        <v>0</v>
      </c>
      <c r="K16">
        <v>20</v>
      </c>
      <c r="L16">
        <v>7</v>
      </c>
      <c r="O16">
        <v>7</v>
      </c>
      <c r="P16">
        <v>4</v>
      </c>
      <c r="Q16">
        <v>2</v>
      </c>
      <c r="R16">
        <v>48.25</v>
      </c>
      <c r="S16">
        <v>46</v>
      </c>
      <c r="T16">
        <v>46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46</v>
      </c>
      <c r="AB16">
        <v>6</v>
      </c>
      <c r="AC16">
        <v>0</v>
      </c>
      <c r="AF16" t="s">
        <v>130</v>
      </c>
      <c r="AH16">
        <v>100.25</v>
      </c>
    </row>
    <row r="17" spans="1:34" x14ac:dyDescent="0.3">
      <c r="A17" s="4">
        <v>160</v>
      </c>
      <c r="B17" s="5">
        <v>10</v>
      </c>
      <c r="C17">
        <v>4518</v>
      </c>
      <c r="D17" t="s">
        <v>26889</v>
      </c>
      <c r="E17" t="s">
        <v>570</v>
      </c>
      <c r="F17" t="s">
        <v>136</v>
      </c>
      <c r="G17" t="s">
        <v>26890</v>
      </c>
      <c r="H17">
        <v>17.5</v>
      </c>
      <c r="I17">
        <v>7</v>
      </c>
      <c r="J17">
        <v>40</v>
      </c>
      <c r="K17">
        <v>28</v>
      </c>
      <c r="N17">
        <v>3</v>
      </c>
      <c r="O17">
        <v>3</v>
      </c>
      <c r="P17">
        <v>4</v>
      </c>
      <c r="Q17">
        <v>0</v>
      </c>
      <c r="R17">
        <v>99.5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F17" t="s">
        <v>130</v>
      </c>
      <c r="AH17">
        <v>99.5</v>
      </c>
    </row>
    <row r="18" spans="1:34" x14ac:dyDescent="0.3">
      <c r="A18" s="4">
        <v>162</v>
      </c>
      <c r="B18" s="5">
        <v>11</v>
      </c>
      <c r="C18">
        <v>197</v>
      </c>
      <c r="D18" t="s">
        <v>15450</v>
      </c>
      <c r="E18" t="s">
        <v>213</v>
      </c>
      <c r="F18" t="s">
        <v>9197</v>
      </c>
      <c r="G18" t="s">
        <v>26892</v>
      </c>
      <c r="H18">
        <v>16.28</v>
      </c>
      <c r="I18">
        <v>0</v>
      </c>
      <c r="J18">
        <v>0</v>
      </c>
      <c r="K18">
        <v>0</v>
      </c>
      <c r="N18">
        <v>3</v>
      </c>
      <c r="O18">
        <v>3</v>
      </c>
      <c r="P18">
        <v>4</v>
      </c>
      <c r="Q18">
        <v>2</v>
      </c>
      <c r="R18">
        <v>25.28</v>
      </c>
      <c r="S18">
        <v>71</v>
      </c>
      <c r="T18">
        <v>71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71</v>
      </c>
      <c r="AB18">
        <v>3</v>
      </c>
      <c r="AC18">
        <v>0</v>
      </c>
      <c r="AF18" t="s">
        <v>130</v>
      </c>
      <c r="AH18">
        <v>99.28</v>
      </c>
    </row>
    <row r="19" spans="1:34" x14ac:dyDescent="0.3">
      <c r="A19" s="4">
        <v>166</v>
      </c>
      <c r="B19" s="5">
        <v>12</v>
      </c>
      <c r="C19">
        <v>3551</v>
      </c>
      <c r="D19" t="s">
        <v>26898</v>
      </c>
      <c r="E19" t="s">
        <v>132</v>
      </c>
      <c r="F19" t="s">
        <v>81</v>
      </c>
      <c r="G19" t="s">
        <v>26899</v>
      </c>
      <c r="H19">
        <v>18.23</v>
      </c>
      <c r="I19">
        <v>0</v>
      </c>
      <c r="J19">
        <v>0</v>
      </c>
      <c r="K19">
        <v>20</v>
      </c>
      <c r="N19">
        <v>3</v>
      </c>
      <c r="O19">
        <v>3</v>
      </c>
      <c r="P19">
        <v>4</v>
      </c>
      <c r="Q19">
        <v>2</v>
      </c>
      <c r="R19">
        <v>47.23</v>
      </c>
      <c r="S19">
        <v>52</v>
      </c>
      <c r="T19">
        <v>52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52</v>
      </c>
      <c r="AB19">
        <v>0</v>
      </c>
      <c r="AC19">
        <v>0</v>
      </c>
      <c r="AF19" t="s">
        <v>130</v>
      </c>
      <c r="AH19">
        <v>99.23</v>
      </c>
    </row>
    <row r="20" spans="1:34" x14ac:dyDescent="0.3">
      <c r="A20" s="4">
        <v>167</v>
      </c>
      <c r="B20" s="5">
        <v>13</v>
      </c>
      <c r="C20">
        <v>827</v>
      </c>
      <c r="D20" t="s">
        <v>5487</v>
      </c>
      <c r="E20" t="s">
        <v>789</v>
      </c>
      <c r="F20" t="s">
        <v>190</v>
      </c>
      <c r="G20" t="s">
        <v>26900</v>
      </c>
      <c r="H20">
        <v>17.399999999999999</v>
      </c>
      <c r="I20">
        <v>0</v>
      </c>
      <c r="J20">
        <v>0</v>
      </c>
      <c r="K20">
        <v>0</v>
      </c>
      <c r="N20">
        <v>3</v>
      </c>
      <c r="O20">
        <v>3</v>
      </c>
      <c r="P20">
        <v>4</v>
      </c>
      <c r="Q20">
        <v>2</v>
      </c>
      <c r="R20">
        <v>26.4</v>
      </c>
      <c r="S20">
        <v>40</v>
      </c>
      <c r="T20">
        <v>40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40</v>
      </c>
      <c r="AB20">
        <v>3</v>
      </c>
      <c r="AC20">
        <v>29.6</v>
      </c>
      <c r="AD20" t="s">
        <v>130</v>
      </c>
      <c r="AF20" t="s">
        <v>130</v>
      </c>
      <c r="AH20">
        <v>99</v>
      </c>
    </row>
    <row r="21" spans="1:34" x14ac:dyDescent="0.3">
      <c r="A21" s="4">
        <v>171</v>
      </c>
      <c r="B21" s="5">
        <v>14</v>
      </c>
      <c r="C21">
        <v>1254</v>
      </c>
      <c r="D21" t="s">
        <v>1681</v>
      </c>
      <c r="E21" t="s">
        <v>26906</v>
      </c>
      <c r="F21" t="s">
        <v>1265</v>
      </c>
      <c r="G21" t="s">
        <v>26907</v>
      </c>
      <c r="H21">
        <v>18.45</v>
      </c>
      <c r="I21">
        <v>0</v>
      </c>
      <c r="J21">
        <v>0</v>
      </c>
      <c r="K21">
        <v>0</v>
      </c>
      <c r="N21">
        <v>3</v>
      </c>
      <c r="O21">
        <v>3</v>
      </c>
      <c r="P21">
        <v>4</v>
      </c>
      <c r="Q21">
        <v>2</v>
      </c>
      <c r="R21">
        <v>27.45</v>
      </c>
      <c r="S21">
        <v>65</v>
      </c>
      <c r="T21">
        <v>65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65</v>
      </c>
      <c r="AB21">
        <v>6</v>
      </c>
      <c r="AC21">
        <v>0</v>
      </c>
      <c r="AF21" t="s">
        <v>130</v>
      </c>
      <c r="AH21">
        <v>98.45</v>
      </c>
    </row>
    <row r="22" spans="1:34" x14ac:dyDescent="0.3">
      <c r="A22" s="4">
        <v>172</v>
      </c>
      <c r="B22" s="5">
        <v>15</v>
      </c>
      <c r="C22">
        <v>3220</v>
      </c>
      <c r="D22" t="s">
        <v>11802</v>
      </c>
      <c r="E22" t="s">
        <v>51</v>
      </c>
      <c r="F22" t="s">
        <v>17</v>
      </c>
      <c r="G22" t="s">
        <v>26908</v>
      </c>
      <c r="H22">
        <v>18.350000000000001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2</v>
      </c>
      <c r="R22">
        <v>51.35</v>
      </c>
      <c r="S22">
        <v>41</v>
      </c>
      <c r="T22">
        <v>41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41</v>
      </c>
      <c r="AB22">
        <v>6</v>
      </c>
      <c r="AC22">
        <v>0</v>
      </c>
      <c r="AF22" t="s">
        <v>130</v>
      </c>
      <c r="AH22">
        <v>98.35</v>
      </c>
    </row>
    <row r="23" spans="1:34" x14ac:dyDescent="0.3">
      <c r="A23" s="4">
        <v>173</v>
      </c>
      <c r="B23" s="5">
        <v>16</v>
      </c>
      <c r="C23">
        <v>4036</v>
      </c>
      <c r="D23" t="s">
        <v>26909</v>
      </c>
      <c r="E23" t="s">
        <v>178</v>
      </c>
      <c r="F23" t="s">
        <v>6071</v>
      </c>
      <c r="G23" t="s">
        <v>26910</v>
      </c>
      <c r="H23">
        <v>19.350000000000001</v>
      </c>
      <c r="I23">
        <v>0</v>
      </c>
      <c r="J23">
        <v>0</v>
      </c>
      <c r="K23">
        <v>20</v>
      </c>
      <c r="L23">
        <v>7</v>
      </c>
      <c r="O23">
        <v>7</v>
      </c>
      <c r="P23">
        <v>4</v>
      </c>
      <c r="Q23">
        <v>0</v>
      </c>
      <c r="R23">
        <v>50.35</v>
      </c>
      <c r="S23">
        <v>48</v>
      </c>
      <c r="T23">
        <v>48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48</v>
      </c>
      <c r="AB23">
        <v>0</v>
      </c>
      <c r="AC23">
        <v>0</v>
      </c>
      <c r="AF23" t="s">
        <v>130</v>
      </c>
      <c r="AH23">
        <v>98.35</v>
      </c>
    </row>
    <row r="24" spans="1:34" x14ac:dyDescent="0.3">
      <c r="A24" s="4">
        <v>175</v>
      </c>
      <c r="B24" s="5">
        <v>17</v>
      </c>
      <c r="C24">
        <v>13283</v>
      </c>
      <c r="D24" t="s">
        <v>5082</v>
      </c>
      <c r="E24" t="s">
        <v>1484</v>
      </c>
      <c r="F24" t="s">
        <v>117</v>
      </c>
      <c r="G24" t="s">
        <v>26913</v>
      </c>
      <c r="H24">
        <v>19.100000000000001</v>
      </c>
      <c r="I24">
        <v>0</v>
      </c>
      <c r="J24">
        <v>0</v>
      </c>
      <c r="K24">
        <v>20</v>
      </c>
      <c r="N24">
        <v>3</v>
      </c>
      <c r="O24">
        <v>3</v>
      </c>
      <c r="P24">
        <v>4</v>
      </c>
      <c r="Q24">
        <v>2</v>
      </c>
      <c r="R24">
        <v>48.1</v>
      </c>
      <c r="S24">
        <v>50</v>
      </c>
      <c r="T24">
        <v>50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50</v>
      </c>
      <c r="AB24">
        <v>0</v>
      </c>
      <c r="AC24">
        <v>0</v>
      </c>
      <c r="AF24" t="s">
        <v>130</v>
      </c>
      <c r="AH24">
        <v>98.1</v>
      </c>
    </row>
    <row r="25" spans="1:34" x14ac:dyDescent="0.3">
      <c r="A25" s="4">
        <v>176</v>
      </c>
      <c r="B25" s="5">
        <v>18</v>
      </c>
      <c r="C25">
        <v>10912</v>
      </c>
      <c r="D25" t="s">
        <v>12</v>
      </c>
      <c r="E25" t="s">
        <v>147</v>
      </c>
      <c r="F25" t="s">
        <v>26914</v>
      </c>
      <c r="G25" t="s">
        <v>26915</v>
      </c>
      <c r="H25">
        <v>16.829999999999998</v>
      </c>
      <c r="I25">
        <v>0</v>
      </c>
      <c r="J25">
        <v>0</v>
      </c>
      <c r="K25">
        <v>20</v>
      </c>
      <c r="N25">
        <v>3</v>
      </c>
      <c r="O25">
        <v>3</v>
      </c>
      <c r="P25">
        <v>4</v>
      </c>
      <c r="Q25">
        <v>2</v>
      </c>
      <c r="R25">
        <v>45.83</v>
      </c>
      <c r="S25">
        <v>52</v>
      </c>
      <c r="T25">
        <v>52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52</v>
      </c>
      <c r="AB25">
        <v>0</v>
      </c>
      <c r="AC25">
        <v>0</v>
      </c>
      <c r="AD25" t="s">
        <v>130</v>
      </c>
      <c r="AF25" t="s">
        <v>130</v>
      </c>
      <c r="AH25">
        <v>97.83</v>
      </c>
    </row>
    <row r="26" spans="1:34" x14ac:dyDescent="0.3">
      <c r="A26" s="4">
        <v>177</v>
      </c>
      <c r="B26" s="5">
        <v>19</v>
      </c>
      <c r="C26">
        <v>6997</v>
      </c>
      <c r="D26" t="s">
        <v>26916</v>
      </c>
      <c r="E26" t="s">
        <v>1511</v>
      </c>
      <c r="F26" t="s">
        <v>2595</v>
      </c>
      <c r="G26" t="s">
        <v>26917</v>
      </c>
      <c r="H26">
        <v>20.58</v>
      </c>
      <c r="I26">
        <v>0</v>
      </c>
      <c r="J26">
        <v>0</v>
      </c>
      <c r="K26">
        <v>20</v>
      </c>
      <c r="N26">
        <v>3</v>
      </c>
      <c r="O26">
        <v>3</v>
      </c>
      <c r="P26">
        <v>4</v>
      </c>
      <c r="Q26">
        <v>2</v>
      </c>
      <c r="R26">
        <v>49.58</v>
      </c>
      <c r="S26">
        <v>48</v>
      </c>
      <c r="T26">
        <v>48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48</v>
      </c>
      <c r="AB26">
        <v>0</v>
      </c>
      <c r="AC26">
        <v>0</v>
      </c>
      <c r="AF26" t="s">
        <v>130</v>
      </c>
      <c r="AH26">
        <v>97.58</v>
      </c>
    </row>
    <row r="27" spans="1:34" x14ac:dyDescent="0.3">
      <c r="A27" s="4">
        <v>179</v>
      </c>
      <c r="B27" s="5">
        <v>20</v>
      </c>
      <c r="C27">
        <v>10482</v>
      </c>
      <c r="D27" t="s">
        <v>6511</v>
      </c>
      <c r="E27" t="s">
        <v>166</v>
      </c>
      <c r="F27" t="s">
        <v>20</v>
      </c>
      <c r="G27" t="s">
        <v>26919</v>
      </c>
      <c r="H27">
        <v>18.93</v>
      </c>
      <c r="I27">
        <v>0</v>
      </c>
      <c r="J27">
        <v>0</v>
      </c>
      <c r="K27">
        <v>20</v>
      </c>
      <c r="N27">
        <v>6</v>
      </c>
      <c r="O27">
        <v>6</v>
      </c>
      <c r="P27">
        <v>4</v>
      </c>
      <c r="Q27">
        <v>2</v>
      </c>
      <c r="R27">
        <v>50.93</v>
      </c>
      <c r="S27">
        <v>43</v>
      </c>
      <c r="T27">
        <v>43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43</v>
      </c>
      <c r="AB27">
        <v>3</v>
      </c>
      <c r="AC27">
        <v>0</v>
      </c>
      <c r="AD27" t="s">
        <v>130</v>
      </c>
      <c r="AF27" t="s">
        <v>130</v>
      </c>
      <c r="AH27">
        <v>96.93</v>
      </c>
    </row>
    <row r="28" spans="1:34" x14ac:dyDescent="0.3">
      <c r="A28" s="4">
        <v>180</v>
      </c>
      <c r="B28" s="5">
        <v>21</v>
      </c>
      <c r="C28">
        <v>14978</v>
      </c>
      <c r="D28" t="s">
        <v>5483</v>
      </c>
      <c r="E28" t="s">
        <v>166</v>
      </c>
      <c r="F28" t="s">
        <v>68</v>
      </c>
      <c r="G28" t="s">
        <v>26920</v>
      </c>
      <c r="H28">
        <v>14.9</v>
      </c>
      <c r="I28">
        <v>0</v>
      </c>
      <c r="J28">
        <v>0</v>
      </c>
      <c r="K28">
        <v>20</v>
      </c>
      <c r="N28">
        <v>3</v>
      </c>
      <c r="O28">
        <v>3</v>
      </c>
      <c r="P28">
        <v>0</v>
      </c>
      <c r="Q28">
        <v>0</v>
      </c>
      <c r="R28">
        <v>37.9</v>
      </c>
      <c r="S28">
        <v>56</v>
      </c>
      <c r="T28">
        <v>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56</v>
      </c>
      <c r="AB28">
        <v>3</v>
      </c>
      <c r="AC28">
        <v>0</v>
      </c>
      <c r="AF28" t="s">
        <v>130</v>
      </c>
      <c r="AH28">
        <v>96.9</v>
      </c>
    </row>
    <row r="29" spans="1:34" x14ac:dyDescent="0.3">
      <c r="A29" s="4">
        <v>181</v>
      </c>
      <c r="B29" s="5">
        <v>22</v>
      </c>
      <c r="C29">
        <v>9115</v>
      </c>
      <c r="D29" t="s">
        <v>25023</v>
      </c>
      <c r="E29" t="s">
        <v>170</v>
      </c>
      <c r="F29" t="s">
        <v>17</v>
      </c>
      <c r="G29" t="s">
        <v>26921</v>
      </c>
      <c r="H29">
        <v>16.8</v>
      </c>
      <c r="I29">
        <v>0</v>
      </c>
      <c r="J29">
        <v>0</v>
      </c>
      <c r="K29">
        <v>20</v>
      </c>
      <c r="N29">
        <v>6</v>
      </c>
      <c r="O29">
        <v>6</v>
      </c>
      <c r="P29">
        <v>4</v>
      </c>
      <c r="Q29">
        <v>0</v>
      </c>
      <c r="R29">
        <v>46.8</v>
      </c>
      <c r="S29">
        <v>50</v>
      </c>
      <c r="T29">
        <v>50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50</v>
      </c>
      <c r="AB29">
        <v>0</v>
      </c>
      <c r="AC29">
        <v>0</v>
      </c>
      <c r="AD29" t="s">
        <v>130</v>
      </c>
      <c r="AF29" t="s">
        <v>130</v>
      </c>
      <c r="AH29">
        <v>96.8</v>
      </c>
    </row>
    <row r="30" spans="1:34" x14ac:dyDescent="0.3">
      <c r="A30" s="4">
        <v>183</v>
      </c>
      <c r="B30" s="5">
        <v>23</v>
      </c>
      <c r="C30">
        <v>10320</v>
      </c>
      <c r="D30" t="s">
        <v>26925</v>
      </c>
      <c r="E30" t="s">
        <v>26926</v>
      </c>
      <c r="F30" t="s">
        <v>26927</v>
      </c>
      <c r="G30" t="s">
        <v>26928</v>
      </c>
      <c r="H30">
        <v>16.75</v>
      </c>
      <c r="I30">
        <v>0</v>
      </c>
      <c r="J30">
        <v>0</v>
      </c>
      <c r="K30">
        <v>20</v>
      </c>
      <c r="L30">
        <v>7</v>
      </c>
      <c r="O30">
        <v>7</v>
      </c>
      <c r="P30">
        <v>4</v>
      </c>
      <c r="Q30">
        <v>2</v>
      </c>
      <c r="R30">
        <v>49.75</v>
      </c>
      <c r="S30">
        <v>47</v>
      </c>
      <c r="T30">
        <v>47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47</v>
      </c>
      <c r="AB30">
        <v>0</v>
      </c>
      <c r="AC30">
        <v>0</v>
      </c>
      <c r="AF30" t="s">
        <v>130</v>
      </c>
      <c r="AH30">
        <v>96.75</v>
      </c>
    </row>
    <row r="31" spans="1:34" x14ac:dyDescent="0.3">
      <c r="A31" s="4">
        <v>184</v>
      </c>
      <c r="B31" s="5">
        <v>24</v>
      </c>
      <c r="C31">
        <v>9630</v>
      </c>
      <c r="D31" t="s">
        <v>26929</v>
      </c>
      <c r="E31" t="s">
        <v>471</v>
      </c>
      <c r="F31" t="s">
        <v>30</v>
      </c>
      <c r="G31" t="s">
        <v>26930</v>
      </c>
      <c r="H31">
        <v>16.43</v>
      </c>
      <c r="I31">
        <v>0</v>
      </c>
      <c r="J31">
        <v>0</v>
      </c>
      <c r="K31">
        <v>20</v>
      </c>
      <c r="L31">
        <v>7</v>
      </c>
      <c r="O31">
        <v>7</v>
      </c>
      <c r="P31">
        <v>4</v>
      </c>
      <c r="Q31">
        <v>2</v>
      </c>
      <c r="R31">
        <v>49.43</v>
      </c>
      <c r="S31">
        <v>41</v>
      </c>
      <c r="T31">
        <v>41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41</v>
      </c>
      <c r="AB31">
        <v>6</v>
      </c>
      <c r="AC31">
        <v>0</v>
      </c>
      <c r="AF31" t="s">
        <v>130</v>
      </c>
      <c r="AH31">
        <v>96.43</v>
      </c>
    </row>
    <row r="32" spans="1:34" x14ac:dyDescent="0.3">
      <c r="A32" s="4">
        <v>185</v>
      </c>
      <c r="B32" s="5">
        <v>25</v>
      </c>
      <c r="C32">
        <v>13194</v>
      </c>
      <c r="D32" t="s">
        <v>6683</v>
      </c>
      <c r="E32" t="s">
        <v>132</v>
      </c>
      <c r="F32" t="s">
        <v>38</v>
      </c>
      <c r="G32" t="s">
        <v>26931</v>
      </c>
      <c r="H32">
        <v>18.3</v>
      </c>
      <c r="I32">
        <v>0</v>
      </c>
      <c r="J32">
        <v>0</v>
      </c>
      <c r="K32">
        <v>28</v>
      </c>
      <c r="L32">
        <v>7</v>
      </c>
      <c r="O32">
        <v>7</v>
      </c>
      <c r="P32">
        <v>4</v>
      </c>
      <c r="Q32">
        <v>2</v>
      </c>
      <c r="R32">
        <v>59.3</v>
      </c>
      <c r="S32">
        <v>37</v>
      </c>
      <c r="T32">
        <v>37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37</v>
      </c>
      <c r="AB32">
        <v>0</v>
      </c>
      <c r="AC32">
        <v>0</v>
      </c>
      <c r="AD32" t="s">
        <v>130</v>
      </c>
      <c r="AF32" t="s">
        <v>130</v>
      </c>
      <c r="AH32">
        <v>96.3</v>
      </c>
    </row>
    <row r="33" spans="1:34" x14ac:dyDescent="0.3">
      <c r="A33" s="4">
        <v>186</v>
      </c>
      <c r="B33" s="5">
        <v>26</v>
      </c>
      <c r="C33">
        <v>1824</v>
      </c>
      <c r="D33" t="s">
        <v>26932</v>
      </c>
      <c r="E33" t="s">
        <v>97</v>
      </c>
      <c r="F33" t="s">
        <v>488</v>
      </c>
      <c r="G33" t="s">
        <v>26933</v>
      </c>
      <c r="H33">
        <v>15.7</v>
      </c>
      <c r="I33">
        <v>0</v>
      </c>
      <c r="J33">
        <v>0</v>
      </c>
      <c r="K33">
        <v>20</v>
      </c>
      <c r="L33">
        <v>7</v>
      </c>
      <c r="O33">
        <v>7</v>
      </c>
      <c r="P33">
        <v>4</v>
      </c>
      <c r="Q33">
        <v>2</v>
      </c>
      <c r="R33">
        <v>48.7</v>
      </c>
      <c r="S33">
        <v>47</v>
      </c>
      <c r="T33">
        <v>47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47</v>
      </c>
      <c r="AB33">
        <v>0</v>
      </c>
      <c r="AC33">
        <v>0</v>
      </c>
      <c r="AF33" t="s">
        <v>130</v>
      </c>
      <c r="AH33">
        <v>95.7</v>
      </c>
    </row>
    <row r="34" spans="1:34" x14ac:dyDescent="0.3">
      <c r="A34" s="4">
        <v>188</v>
      </c>
      <c r="B34" s="5">
        <v>27</v>
      </c>
      <c r="C34">
        <v>191</v>
      </c>
      <c r="D34" t="s">
        <v>26934</v>
      </c>
      <c r="E34" t="s">
        <v>11316</v>
      </c>
      <c r="F34" t="s">
        <v>62</v>
      </c>
      <c r="G34" t="s">
        <v>26935</v>
      </c>
      <c r="H34">
        <v>17.329999999999998</v>
      </c>
      <c r="I34">
        <v>7</v>
      </c>
      <c r="J34">
        <v>0</v>
      </c>
      <c r="K34">
        <v>20</v>
      </c>
      <c r="N34">
        <v>3</v>
      </c>
      <c r="O34">
        <v>3</v>
      </c>
      <c r="P34">
        <v>4</v>
      </c>
      <c r="Q34">
        <v>2</v>
      </c>
      <c r="R34">
        <v>53.33</v>
      </c>
      <c r="S34">
        <v>42</v>
      </c>
      <c r="T34">
        <v>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42</v>
      </c>
      <c r="AB34">
        <v>0</v>
      </c>
      <c r="AC34">
        <v>0</v>
      </c>
      <c r="AD34" t="s">
        <v>130</v>
      </c>
      <c r="AF34" t="s">
        <v>130</v>
      </c>
      <c r="AH34">
        <v>95.33</v>
      </c>
    </row>
    <row r="35" spans="1:34" x14ac:dyDescent="0.3">
      <c r="A35" s="4">
        <v>189</v>
      </c>
      <c r="B35" s="5">
        <v>28</v>
      </c>
      <c r="C35">
        <v>7964</v>
      </c>
      <c r="D35" t="s">
        <v>26936</v>
      </c>
      <c r="E35" t="s">
        <v>62</v>
      </c>
      <c r="F35" t="s">
        <v>20</v>
      </c>
      <c r="G35" t="s">
        <v>26937</v>
      </c>
      <c r="H35">
        <v>16.25</v>
      </c>
      <c r="I35">
        <v>0</v>
      </c>
      <c r="J35">
        <v>0</v>
      </c>
      <c r="K35">
        <v>20</v>
      </c>
      <c r="O35">
        <v>0</v>
      </c>
      <c r="P35">
        <v>4</v>
      </c>
      <c r="Q35">
        <v>2</v>
      </c>
      <c r="R35">
        <v>42.25</v>
      </c>
      <c r="S35">
        <v>53</v>
      </c>
      <c r="T35">
        <v>53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53</v>
      </c>
      <c r="AB35">
        <v>0</v>
      </c>
      <c r="AC35">
        <v>0</v>
      </c>
      <c r="AF35" t="s">
        <v>130</v>
      </c>
      <c r="AH35">
        <v>95.25</v>
      </c>
    </row>
    <row r="36" spans="1:34" x14ac:dyDescent="0.3">
      <c r="A36" s="4">
        <v>190</v>
      </c>
      <c r="B36" s="5">
        <v>29</v>
      </c>
      <c r="C36">
        <v>10182</v>
      </c>
      <c r="D36" t="s">
        <v>26938</v>
      </c>
      <c r="E36" t="s">
        <v>2538</v>
      </c>
      <c r="F36" t="s">
        <v>17</v>
      </c>
      <c r="G36" t="s">
        <v>26939</v>
      </c>
      <c r="H36">
        <v>18.079999999999998</v>
      </c>
      <c r="I36">
        <v>0</v>
      </c>
      <c r="J36">
        <v>0</v>
      </c>
      <c r="K36">
        <v>20</v>
      </c>
      <c r="N36">
        <v>6</v>
      </c>
      <c r="O36">
        <v>6</v>
      </c>
      <c r="P36">
        <v>4</v>
      </c>
      <c r="Q36">
        <v>2</v>
      </c>
      <c r="R36">
        <v>50.08</v>
      </c>
      <c r="S36">
        <v>45</v>
      </c>
      <c r="T36">
        <v>45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45</v>
      </c>
      <c r="AB36">
        <v>0</v>
      </c>
      <c r="AC36">
        <v>0</v>
      </c>
      <c r="AD36" t="s">
        <v>130</v>
      </c>
      <c r="AF36" t="s">
        <v>130</v>
      </c>
      <c r="AH36">
        <v>95.08</v>
      </c>
    </row>
    <row r="37" spans="1:34" x14ac:dyDescent="0.3">
      <c r="A37" s="4">
        <v>191</v>
      </c>
      <c r="B37" s="5">
        <v>30</v>
      </c>
      <c r="C37">
        <v>11579</v>
      </c>
      <c r="D37" t="s">
        <v>577</v>
      </c>
      <c r="E37" t="s">
        <v>132</v>
      </c>
      <c r="F37" t="s">
        <v>55</v>
      </c>
      <c r="G37" t="s">
        <v>26940</v>
      </c>
      <c r="H37">
        <v>16.78</v>
      </c>
      <c r="I37">
        <v>0</v>
      </c>
      <c r="J37">
        <v>0</v>
      </c>
      <c r="K37">
        <v>20</v>
      </c>
      <c r="L37">
        <v>7</v>
      </c>
      <c r="O37">
        <v>7</v>
      </c>
      <c r="P37">
        <v>4</v>
      </c>
      <c r="Q37">
        <v>2</v>
      </c>
      <c r="R37">
        <v>49.78</v>
      </c>
      <c r="S37">
        <v>45</v>
      </c>
      <c r="T37">
        <v>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45</v>
      </c>
      <c r="AB37">
        <v>0</v>
      </c>
      <c r="AC37">
        <v>0</v>
      </c>
      <c r="AD37" t="s">
        <v>130</v>
      </c>
      <c r="AF37" t="s">
        <v>130</v>
      </c>
      <c r="AH37">
        <v>94.78</v>
      </c>
    </row>
    <row r="38" spans="1:34" x14ac:dyDescent="0.3">
      <c r="A38" s="4">
        <v>192</v>
      </c>
      <c r="B38" s="5">
        <v>31</v>
      </c>
      <c r="C38">
        <v>6790</v>
      </c>
      <c r="D38" t="s">
        <v>26941</v>
      </c>
      <c r="E38" t="s">
        <v>54</v>
      </c>
      <c r="F38" t="s">
        <v>81</v>
      </c>
      <c r="G38" t="s">
        <v>26942</v>
      </c>
      <c r="H38">
        <v>19.78</v>
      </c>
      <c r="I38">
        <v>0</v>
      </c>
      <c r="J38">
        <v>0</v>
      </c>
      <c r="K38">
        <v>20</v>
      </c>
      <c r="O38">
        <v>0</v>
      </c>
      <c r="P38">
        <v>4</v>
      </c>
      <c r="Q38">
        <v>2</v>
      </c>
      <c r="R38">
        <v>45.78</v>
      </c>
      <c r="S38">
        <v>49</v>
      </c>
      <c r="T38">
        <v>49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49</v>
      </c>
      <c r="AB38">
        <v>0</v>
      </c>
      <c r="AC38">
        <v>0</v>
      </c>
      <c r="AF38" t="s">
        <v>130</v>
      </c>
      <c r="AH38">
        <v>94.78</v>
      </c>
    </row>
    <row r="39" spans="1:34" x14ac:dyDescent="0.3">
      <c r="A39" s="4">
        <v>193</v>
      </c>
      <c r="B39" s="5">
        <v>32</v>
      </c>
      <c r="C39">
        <v>8745</v>
      </c>
      <c r="D39" t="s">
        <v>26943</v>
      </c>
      <c r="E39" t="s">
        <v>34</v>
      </c>
      <c r="F39" t="s">
        <v>1526</v>
      </c>
      <c r="G39" t="s">
        <v>26944</v>
      </c>
      <c r="H39">
        <v>15.63</v>
      </c>
      <c r="I39">
        <v>0</v>
      </c>
      <c r="J39">
        <v>0</v>
      </c>
      <c r="K39">
        <v>20</v>
      </c>
      <c r="N39">
        <v>3</v>
      </c>
      <c r="O39">
        <v>3</v>
      </c>
      <c r="P39">
        <v>4</v>
      </c>
      <c r="Q39">
        <v>0</v>
      </c>
      <c r="R39">
        <v>42.63</v>
      </c>
      <c r="S39">
        <v>52</v>
      </c>
      <c r="T39">
        <v>52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52</v>
      </c>
      <c r="AB39">
        <v>0</v>
      </c>
      <c r="AC39">
        <v>0</v>
      </c>
      <c r="AD39" t="s">
        <v>130</v>
      </c>
      <c r="AF39" t="s">
        <v>130</v>
      </c>
      <c r="AH39">
        <v>94.63</v>
      </c>
    </row>
    <row r="40" spans="1:34" x14ac:dyDescent="0.3">
      <c r="A40" s="4">
        <v>194</v>
      </c>
      <c r="B40" s="5">
        <v>33</v>
      </c>
      <c r="C40">
        <v>12450</v>
      </c>
      <c r="D40" t="s">
        <v>9310</v>
      </c>
      <c r="E40" t="s">
        <v>283</v>
      </c>
      <c r="F40" t="s">
        <v>136</v>
      </c>
      <c r="G40" t="s">
        <v>26945</v>
      </c>
      <c r="H40">
        <v>18.55</v>
      </c>
      <c r="I40">
        <v>0</v>
      </c>
      <c r="J40">
        <v>0</v>
      </c>
      <c r="K40">
        <v>20</v>
      </c>
      <c r="L40">
        <v>7</v>
      </c>
      <c r="O40">
        <v>7</v>
      </c>
      <c r="P40">
        <v>4</v>
      </c>
      <c r="Q40">
        <v>2</v>
      </c>
      <c r="R40">
        <v>51.55</v>
      </c>
      <c r="S40">
        <v>43</v>
      </c>
      <c r="T40">
        <v>43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43</v>
      </c>
      <c r="AB40">
        <v>0</v>
      </c>
      <c r="AC40">
        <v>0</v>
      </c>
      <c r="AD40" t="s">
        <v>130</v>
      </c>
      <c r="AF40" t="s">
        <v>130</v>
      </c>
      <c r="AH40">
        <v>94.55</v>
      </c>
    </row>
    <row r="41" spans="1:34" x14ac:dyDescent="0.3">
      <c r="A41" s="4">
        <v>195</v>
      </c>
      <c r="B41" s="5">
        <v>34</v>
      </c>
      <c r="C41">
        <v>4671</v>
      </c>
      <c r="D41" t="s">
        <v>26946</v>
      </c>
      <c r="E41" t="s">
        <v>117</v>
      </c>
      <c r="F41" t="s">
        <v>158</v>
      </c>
      <c r="G41" t="s">
        <v>26947</v>
      </c>
      <c r="H41">
        <v>18.5</v>
      </c>
      <c r="I41">
        <v>0</v>
      </c>
      <c r="J41">
        <v>0</v>
      </c>
      <c r="K41">
        <v>28</v>
      </c>
      <c r="N41">
        <v>3</v>
      </c>
      <c r="O41">
        <v>3</v>
      </c>
      <c r="P41">
        <v>4</v>
      </c>
      <c r="Q41">
        <v>2</v>
      </c>
      <c r="R41">
        <v>55.5</v>
      </c>
      <c r="S41">
        <v>39</v>
      </c>
      <c r="T41">
        <v>39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39</v>
      </c>
      <c r="AB41">
        <v>0</v>
      </c>
      <c r="AC41">
        <v>0</v>
      </c>
      <c r="AF41" t="s">
        <v>130</v>
      </c>
      <c r="AH41">
        <v>94.5</v>
      </c>
    </row>
    <row r="42" spans="1:34" x14ac:dyDescent="0.3">
      <c r="A42" s="4">
        <v>196</v>
      </c>
      <c r="B42" s="5">
        <v>35</v>
      </c>
      <c r="C42">
        <v>707</v>
      </c>
      <c r="D42" t="s">
        <v>21723</v>
      </c>
      <c r="E42" t="s">
        <v>29</v>
      </c>
      <c r="F42" t="s">
        <v>17</v>
      </c>
      <c r="G42" t="s">
        <v>26948</v>
      </c>
      <c r="H42">
        <v>18.350000000000001</v>
      </c>
      <c r="I42">
        <v>0</v>
      </c>
      <c r="J42">
        <v>0</v>
      </c>
      <c r="K42">
        <v>28</v>
      </c>
      <c r="L42">
        <v>7</v>
      </c>
      <c r="O42">
        <v>7</v>
      </c>
      <c r="P42">
        <v>4</v>
      </c>
      <c r="Q42">
        <v>0</v>
      </c>
      <c r="R42">
        <v>57.35</v>
      </c>
      <c r="S42">
        <v>37</v>
      </c>
      <c r="T42">
        <v>37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37</v>
      </c>
      <c r="AB42">
        <v>0</v>
      </c>
      <c r="AC42">
        <v>0</v>
      </c>
      <c r="AD42" t="s">
        <v>130</v>
      </c>
      <c r="AF42" t="s">
        <v>130</v>
      </c>
      <c r="AH42">
        <v>94.35</v>
      </c>
    </row>
    <row r="43" spans="1:34" x14ac:dyDescent="0.3">
      <c r="A43" s="4">
        <v>197</v>
      </c>
      <c r="B43" s="5">
        <v>36</v>
      </c>
      <c r="C43">
        <v>7387</v>
      </c>
      <c r="D43" t="s">
        <v>5160</v>
      </c>
      <c r="E43" t="s">
        <v>88</v>
      </c>
      <c r="F43" t="s">
        <v>55</v>
      </c>
      <c r="G43" t="s">
        <v>26949</v>
      </c>
      <c r="H43">
        <v>20.3</v>
      </c>
      <c r="I43">
        <v>0</v>
      </c>
      <c r="J43">
        <v>0</v>
      </c>
      <c r="K43">
        <v>28</v>
      </c>
      <c r="L43">
        <v>7</v>
      </c>
      <c r="O43">
        <v>7</v>
      </c>
      <c r="P43">
        <v>4</v>
      </c>
      <c r="Q43">
        <v>2</v>
      </c>
      <c r="R43">
        <v>61.3</v>
      </c>
      <c r="S43">
        <v>33</v>
      </c>
      <c r="T43">
        <v>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33</v>
      </c>
      <c r="AB43">
        <v>0</v>
      </c>
      <c r="AC43">
        <v>0</v>
      </c>
      <c r="AD43" t="s">
        <v>130</v>
      </c>
      <c r="AF43" t="s">
        <v>130</v>
      </c>
      <c r="AH43">
        <v>94.3</v>
      </c>
    </row>
    <row r="44" spans="1:34" x14ac:dyDescent="0.3">
      <c r="A44" s="4">
        <v>198</v>
      </c>
      <c r="B44" s="5">
        <v>37</v>
      </c>
      <c r="C44">
        <v>11297</v>
      </c>
      <c r="D44" t="s">
        <v>12725</v>
      </c>
      <c r="E44" t="s">
        <v>37</v>
      </c>
      <c r="F44" t="s">
        <v>652</v>
      </c>
      <c r="G44" t="s">
        <v>26950</v>
      </c>
      <c r="H44">
        <v>17.93</v>
      </c>
      <c r="I44">
        <v>0</v>
      </c>
      <c r="J44">
        <v>0</v>
      </c>
      <c r="K44">
        <v>20</v>
      </c>
      <c r="L44">
        <v>7</v>
      </c>
      <c r="O44">
        <v>7</v>
      </c>
      <c r="P44">
        <v>4</v>
      </c>
      <c r="Q44">
        <v>2</v>
      </c>
      <c r="R44">
        <v>50.93</v>
      </c>
      <c r="S44">
        <v>43</v>
      </c>
      <c r="T44">
        <v>43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43</v>
      </c>
      <c r="AB44">
        <v>0</v>
      </c>
      <c r="AC44">
        <v>0</v>
      </c>
      <c r="AF44" t="s">
        <v>130</v>
      </c>
      <c r="AH44">
        <v>93.93</v>
      </c>
    </row>
    <row r="45" spans="1:34" x14ac:dyDescent="0.3">
      <c r="A45" s="4">
        <v>199</v>
      </c>
      <c r="B45" s="5">
        <v>38</v>
      </c>
      <c r="C45">
        <v>405</v>
      </c>
      <c r="D45" t="s">
        <v>26951</v>
      </c>
      <c r="E45" t="s">
        <v>29</v>
      </c>
      <c r="F45" t="s">
        <v>2830</v>
      </c>
      <c r="G45">
        <v>815777</v>
      </c>
      <c r="H45">
        <v>17.75</v>
      </c>
      <c r="I45">
        <v>0</v>
      </c>
      <c r="J45">
        <v>0</v>
      </c>
      <c r="K45">
        <v>20</v>
      </c>
      <c r="M45">
        <v>5</v>
      </c>
      <c r="O45">
        <v>5</v>
      </c>
      <c r="P45">
        <v>4</v>
      </c>
      <c r="Q45">
        <v>2</v>
      </c>
      <c r="R45">
        <v>48.75</v>
      </c>
      <c r="S45">
        <v>36</v>
      </c>
      <c r="T45">
        <v>36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36</v>
      </c>
      <c r="AB45">
        <v>9</v>
      </c>
      <c r="AC45">
        <v>0</v>
      </c>
      <c r="AD45" t="s">
        <v>130</v>
      </c>
      <c r="AF45" t="s">
        <v>130</v>
      </c>
      <c r="AH45">
        <v>93.75</v>
      </c>
    </row>
    <row r="46" spans="1:34" x14ac:dyDescent="0.3">
      <c r="A46" s="4">
        <v>200</v>
      </c>
      <c r="B46" s="5">
        <v>39</v>
      </c>
      <c r="C46">
        <v>13191</v>
      </c>
      <c r="D46" t="s">
        <v>21341</v>
      </c>
      <c r="E46" t="s">
        <v>166</v>
      </c>
      <c r="F46" t="s">
        <v>17</v>
      </c>
      <c r="G46" t="s">
        <v>26952</v>
      </c>
      <c r="H46">
        <v>19.73</v>
      </c>
      <c r="I46">
        <v>7</v>
      </c>
      <c r="J46">
        <v>0</v>
      </c>
      <c r="K46">
        <v>20</v>
      </c>
      <c r="N46">
        <v>6</v>
      </c>
      <c r="O46">
        <v>6</v>
      </c>
      <c r="P46">
        <v>4</v>
      </c>
      <c r="Q46">
        <v>2</v>
      </c>
      <c r="R46">
        <v>58.73</v>
      </c>
      <c r="S46">
        <v>35</v>
      </c>
      <c r="T46">
        <v>35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35</v>
      </c>
      <c r="AB46">
        <v>0</v>
      </c>
      <c r="AC46">
        <v>0</v>
      </c>
      <c r="AD46" t="s">
        <v>130</v>
      </c>
      <c r="AF46" t="s">
        <v>130</v>
      </c>
      <c r="AH46">
        <v>93.73</v>
      </c>
    </row>
    <row r="47" spans="1:34" x14ac:dyDescent="0.3">
      <c r="A47" s="4">
        <v>201</v>
      </c>
      <c r="B47" s="5">
        <v>40</v>
      </c>
      <c r="C47">
        <v>5747</v>
      </c>
      <c r="D47" t="s">
        <v>26953</v>
      </c>
      <c r="E47" t="s">
        <v>147</v>
      </c>
      <c r="F47" t="s">
        <v>117</v>
      </c>
      <c r="G47" t="s">
        <v>26954</v>
      </c>
      <c r="H47">
        <v>19.350000000000001</v>
      </c>
      <c r="I47">
        <v>7</v>
      </c>
      <c r="J47">
        <v>0</v>
      </c>
      <c r="K47">
        <v>20</v>
      </c>
      <c r="L47">
        <v>7</v>
      </c>
      <c r="O47">
        <v>7</v>
      </c>
      <c r="P47">
        <v>4</v>
      </c>
      <c r="Q47">
        <v>2</v>
      </c>
      <c r="R47">
        <v>59.35</v>
      </c>
      <c r="S47">
        <v>34</v>
      </c>
      <c r="T47">
        <v>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34</v>
      </c>
      <c r="AB47">
        <v>0</v>
      </c>
      <c r="AC47">
        <v>0</v>
      </c>
      <c r="AF47" t="s">
        <v>130</v>
      </c>
      <c r="AH47">
        <v>93.35</v>
      </c>
    </row>
    <row r="48" spans="1:34" x14ac:dyDescent="0.3">
      <c r="A48" s="4">
        <v>202</v>
      </c>
      <c r="B48" s="5">
        <v>41</v>
      </c>
      <c r="C48">
        <v>6548</v>
      </c>
      <c r="D48" t="s">
        <v>26955</v>
      </c>
      <c r="E48" t="s">
        <v>100</v>
      </c>
      <c r="F48" t="s">
        <v>20</v>
      </c>
      <c r="G48" t="s">
        <v>26956</v>
      </c>
      <c r="H48">
        <v>21.2</v>
      </c>
      <c r="I48">
        <v>0</v>
      </c>
      <c r="J48">
        <v>0</v>
      </c>
      <c r="K48">
        <v>0</v>
      </c>
      <c r="L48">
        <v>7</v>
      </c>
      <c r="M48">
        <v>5</v>
      </c>
      <c r="O48">
        <v>12</v>
      </c>
      <c r="P48">
        <v>4</v>
      </c>
      <c r="Q48">
        <v>2</v>
      </c>
      <c r="R48">
        <v>39.200000000000003</v>
      </c>
      <c r="S48">
        <v>45</v>
      </c>
      <c r="T48">
        <v>45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45</v>
      </c>
      <c r="AB48">
        <v>9</v>
      </c>
      <c r="AC48">
        <v>0</v>
      </c>
      <c r="AF48" t="s">
        <v>130</v>
      </c>
      <c r="AH48">
        <v>93.2</v>
      </c>
    </row>
    <row r="49" spans="1:34" x14ac:dyDescent="0.3">
      <c r="A49" s="4">
        <v>203</v>
      </c>
      <c r="B49" s="5">
        <v>42</v>
      </c>
      <c r="C49">
        <v>7004</v>
      </c>
      <c r="D49" t="s">
        <v>3072</v>
      </c>
      <c r="E49" t="s">
        <v>1189</v>
      </c>
      <c r="F49" t="s">
        <v>117</v>
      </c>
      <c r="G49" t="s">
        <v>26957</v>
      </c>
      <c r="H49">
        <v>20.18</v>
      </c>
      <c r="I49">
        <v>0</v>
      </c>
      <c r="J49">
        <v>0</v>
      </c>
      <c r="K49">
        <v>20</v>
      </c>
      <c r="N49">
        <v>3</v>
      </c>
      <c r="O49">
        <v>3</v>
      </c>
      <c r="P49">
        <v>4</v>
      </c>
      <c r="Q49">
        <v>2</v>
      </c>
      <c r="R49">
        <v>49.18</v>
      </c>
      <c r="S49">
        <v>38</v>
      </c>
      <c r="T49">
        <v>38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38</v>
      </c>
      <c r="AB49">
        <v>6</v>
      </c>
      <c r="AC49">
        <v>0</v>
      </c>
      <c r="AF49" t="s">
        <v>130</v>
      </c>
      <c r="AH49">
        <v>93.18</v>
      </c>
    </row>
    <row r="50" spans="1:34" x14ac:dyDescent="0.3">
      <c r="A50" s="4">
        <v>204</v>
      </c>
      <c r="B50" s="5">
        <v>43</v>
      </c>
      <c r="C50">
        <v>6506</v>
      </c>
      <c r="D50" t="s">
        <v>1822</v>
      </c>
      <c r="E50" t="s">
        <v>33</v>
      </c>
      <c r="F50" t="s">
        <v>30</v>
      </c>
      <c r="G50" t="s">
        <v>26958</v>
      </c>
      <c r="H50">
        <v>19.13</v>
      </c>
      <c r="I50">
        <v>0</v>
      </c>
      <c r="J50">
        <v>0</v>
      </c>
      <c r="K50">
        <v>0</v>
      </c>
      <c r="L50">
        <v>7</v>
      </c>
      <c r="O50">
        <v>7</v>
      </c>
      <c r="P50">
        <v>4</v>
      </c>
      <c r="Q50">
        <v>2</v>
      </c>
      <c r="R50">
        <v>32.130000000000003</v>
      </c>
      <c r="S50">
        <v>61</v>
      </c>
      <c r="T50">
        <v>61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61</v>
      </c>
      <c r="AB50">
        <v>0</v>
      </c>
      <c r="AC50">
        <v>0</v>
      </c>
      <c r="AF50" t="s">
        <v>130</v>
      </c>
      <c r="AH50">
        <v>93.13</v>
      </c>
    </row>
    <row r="51" spans="1:34" x14ac:dyDescent="0.3">
      <c r="A51" s="4">
        <v>205</v>
      </c>
      <c r="B51" s="5">
        <v>44</v>
      </c>
      <c r="C51">
        <v>5668</v>
      </c>
      <c r="D51" t="s">
        <v>18293</v>
      </c>
      <c r="E51" t="s">
        <v>51</v>
      </c>
      <c r="F51" t="s">
        <v>17</v>
      </c>
      <c r="G51" t="s">
        <v>26959</v>
      </c>
      <c r="H51">
        <v>19.05</v>
      </c>
      <c r="I51">
        <v>0</v>
      </c>
      <c r="J51">
        <v>0</v>
      </c>
      <c r="K51">
        <v>20</v>
      </c>
      <c r="L51">
        <v>7</v>
      </c>
      <c r="N51">
        <v>3</v>
      </c>
      <c r="O51">
        <v>10</v>
      </c>
      <c r="P51">
        <v>4</v>
      </c>
      <c r="Q51">
        <v>2</v>
      </c>
      <c r="R51">
        <v>55.05</v>
      </c>
      <c r="S51">
        <v>35</v>
      </c>
      <c r="T51">
        <v>35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35</v>
      </c>
      <c r="AB51">
        <v>3</v>
      </c>
      <c r="AC51">
        <v>0</v>
      </c>
      <c r="AF51" t="s">
        <v>130</v>
      </c>
      <c r="AH51">
        <v>93.05</v>
      </c>
    </row>
    <row r="52" spans="1:34" x14ac:dyDescent="0.3">
      <c r="A52" s="4">
        <v>206</v>
      </c>
      <c r="B52" s="5">
        <v>45</v>
      </c>
      <c r="C52">
        <v>4254</v>
      </c>
      <c r="D52" t="s">
        <v>26960</v>
      </c>
      <c r="E52" t="s">
        <v>208</v>
      </c>
      <c r="F52" t="s">
        <v>238</v>
      </c>
      <c r="G52" t="s">
        <v>26961</v>
      </c>
      <c r="H52">
        <v>19.98</v>
      </c>
      <c r="I52">
        <v>0</v>
      </c>
      <c r="J52">
        <v>0</v>
      </c>
      <c r="K52">
        <v>20</v>
      </c>
      <c r="L52">
        <v>7</v>
      </c>
      <c r="O52">
        <v>7</v>
      </c>
      <c r="P52">
        <v>4</v>
      </c>
      <c r="Q52">
        <v>2</v>
      </c>
      <c r="R52">
        <v>52.98</v>
      </c>
      <c r="S52">
        <v>40</v>
      </c>
      <c r="T52">
        <v>40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40</v>
      </c>
      <c r="AB52">
        <v>0</v>
      </c>
      <c r="AC52">
        <v>0</v>
      </c>
      <c r="AD52" t="s">
        <v>130</v>
      </c>
      <c r="AF52" t="s">
        <v>130</v>
      </c>
      <c r="AH52">
        <v>92.98</v>
      </c>
    </row>
    <row r="53" spans="1:34" x14ac:dyDescent="0.3">
      <c r="A53" s="4">
        <v>207</v>
      </c>
      <c r="B53" s="5">
        <v>46</v>
      </c>
      <c r="C53">
        <v>4913</v>
      </c>
      <c r="D53" t="s">
        <v>4857</v>
      </c>
      <c r="E53" t="s">
        <v>188</v>
      </c>
      <c r="F53" t="s">
        <v>2408</v>
      </c>
      <c r="G53" t="s">
        <v>26962</v>
      </c>
      <c r="H53">
        <v>16.93</v>
      </c>
      <c r="I53">
        <v>0</v>
      </c>
      <c r="J53">
        <v>0</v>
      </c>
      <c r="K53">
        <v>20</v>
      </c>
      <c r="N53">
        <v>3</v>
      </c>
      <c r="O53">
        <v>3</v>
      </c>
      <c r="P53">
        <v>4</v>
      </c>
      <c r="Q53">
        <v>0</v>
      </c>
      <c r="R53">
        <v>43.93</v>
      </c>
      <c r="S53">
        <v>49</v>
      </c>
      <c r="T53">
        <v>49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49</v>
      </c>
      <c r="AB53">
        <v>0</v>
      </c>
      <c r="AC53">
        <v>0</v>
      </c>
      <c r="AD53" t="s">
        <v>130</v>
      </c>
      <c r="AF53" t="s">
        <v>130</v>
      </c>
      <c r="AH53">
        <v>92.93</v>
      </c>
    </row>
    <row r="54" spans="1:34" x14ac:dyDescent="0.3">
      <c r="A54" s="4">
        <v>208</v>
      </c>
      <c r="B54" s="5">
        <v>47</v>
      </c>
      <c r="C54">
        <v>3566</v>
      </c>
      <c r="D54" t="s">
        <v>1696</v>
      </c>
      <c r="E54" t="s">
        <v>170</v>
      </c>
      <c r="F54" t="s">
        <v>55</v>
      </c>
      <c r="G54" t="s">
        <v>26963</v>
      </c>
      <c r="H54">
        <v>16.88</v>
      </c>
      <c r="I54">
        <v>0</v>
      </c>
      <c r="J54">
        <v>0</v>
      </c>
      <c r="K54">
        <v>20</v>
      </c>
      <c r="N54">
        <v>3</v>
      </c>
      <c r="O54">
        <v>3</v>
      </c>
      <c r="P54">
        <v>4</v>
      </c>
      <c r="Q54">
        <v>2</v>
      </c>
      <c r="R54">
        <v>45.88</v>
      </c>
      <c r="S54">
        <v>41</v>
      </c>
      <c r="T54">
        <v>41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41</v>
      </c>
      <c r="AB54">
        <v>6</v>
      </c>
      <c r="AC54">
        <v>0</v>
      </c>
      <c r="AF54" t="s">
        <v>130</v>
      </c>
      <c r="AH54">
        <v>92.88</v>
      </c>
    </row>
    <row r="55" spans="1:34" x14ac:dyDescent="0.3">
      <c r="A55" s="4">
        <v>209</v>
      </c>
      <c r="B55" s="5">
        <v>48</v>
      </c>
      <c r="C55">
        <v>13141</v>
      </c>
      <c r="D55" t="s">
        <v>26964</v>
      </c>
      <c r="E55" t="s">
        <v>26965</v>
      </c>
      <c r="F55" t="s">
        <v>79</v>
      </c>
      <c r="G55" t="s">
        <v>26966</v>
      </c>
      <c r="H55">
        <v>18.329999999999998</v>
      </c>
      <c r="I55">
        <v>0</v>
      </c>
      <c r="J55">
        <v>0</v>
      </c>
      <c r="K55">
        <v>20</v>
      </c>
      <c r="M55">
        <v>5</v>
      </c>
      <c r="N55">
        <v>3</v>
      </c>
      <c r="O55">
        <v>8</v>
      </c>
      <c r="P55">
        <v>4</v>
      </c>
      <c r="Q55">
        <v>2</v>
      </c>
      <c r="R55">
        <v>52.33</v>
      </c>
      <c r="S55">
        <v>40</v>
      </c>
      <c r="T55">
        <v>40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40</v>
      </c>
      <c r="AB55">
        <v>0</v>
      </c>
      <c r="AC55">
        <v>0</v>
      </c>
      <c r="AD55" t="s">
        <v>130</v>
      </c>
      <c r="AE55" t="s">
        <v>130</v>
      </c>
      <c r="AF55" t="s">
        <v>130</v>
      </c>
      <c r="AH55">
        <v>92.33</v>
      </c>
    </row>
    <row r="56" spans="1:34" x14ac:dyDescent="0.3">
      <c r="A56" s="4">
        <v>210</v>
      </c>
      <c r="B56" s="5">
        <v>49</v>
      </c>
      <c r="C56">
        <v>741</v>
      </c>
      <c r="D56" t="s">
        <v>26284</v>
      </c>
      <c r="E56" t="s">
        <v>26967</v>
      </c>
      <c r="F56" t="s">
        <v>117</v>
      </c>
      <c r="G56" t="s">
        <v>26968</v>
      </c>
      <c r="H56">
        <v>19.28</v>
      </c>
      <c r="I56">
        <v>0</v>
      </c>
      <c r="J56">
        <v>0</v>
      </c>
      <c r="K56">
        <v>20</v>
      </c>
      <c r="N56">
        <v>3</v>
      </c>
      <c r="O56">
        <v>3</v>
      </c>
      <c r="P56">
        <v>4</v>
      </c>
      <c r="Q56">
        <v>2</v>
      </c>
      <c r="R56">
        <v>48.28</v>
      </c>
      <c r="S56">
        <v>44</v>
      </c>
      <c r="T56">
        <v>44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44</v>
      </c>
      <c r="AB56">
        <v>0</v>
      </c>
      <c r="AC56">
        <v>0</v>
      </c>
      <c r="AF56" t="s">
        <v>130</v>
      </c>
      <c r="AH56">
        <v>92.28</v>
      </c>
    </row>
    <row r="57" spans="1:34" x14ac:dyDescent="0.3">
      <c r="A57" s="4">
        <v>211</v>
      </c>
      <c r="B57" s="5">
        <v>50</v>
      </c>
      <c r="C57">
        <v>5521</v>
      </c>
      <c r="D57" t="s">
        <v>10860</v>
      </c>
      <c r="E57" t="s">
        <v>400</v>
      </c>
      <c r="F57" t="s">
        <v>1161</v>
      </c>
      <c r="G57" t="s">
        <v>26969</v>
      </c>
      <c r="H57">
        <v>18.2</v>
      </c>
      <c r="I57">
        <v>0</v>
      </c>
      <c r="J57">
        <v>0</v>
      </c>
      <c r="K57">
        <v>0</v>
      </c>
      <c r="N57">
        <v>3</v>
      </c>
      <c r="O57">
        <v>3</v>
      </c>
      <c r="P57">
        <v>4</v>
      </c>
      <c r="Q57">
        <v>2</v>
      </c>
      <c r="R57">
        <v>27.2</v>
      </c>
      <c r="S57">
        <v>47</v>
      </c>
      <c r="T57">
        <v>47</v>
      </c>
      <c r="U57">
        <v>9</v>
      </c>
      <c r="V57">
        <v>18</v>
      </c>
      <c r="W57">
        <v>0</v>
      </c>
      <c r="X57">
        <v>0</v>
      </c>
      <c r="Y57">
        <v>0</v>
      </c>
      <c r="Z57">
        <v>0</v>
      </c>
      <c r="AA57">
        <v>65</v>
      </c>
      <c r="AB57">
        <v>0</v>
      </c>
      <c r="AC57">
        <v>0</v>
      </c>
      <c r="AD57" t="s">
        <v>130</v>
      </c>
      <c r="AF57" t="s">
        <v>130</v>
      </c>
      <c r="AH57">
        <v>92.2</v>
      </c>
    </row>
    <row r="58" spans="1:34" x14ac:dyDescent="0.3">
      <c r="A58" s="4">
        <v>212</v>
      </c>
      <c r="B58" s="5">
        <v>51</v>
      </c>
      <c r="C58">
        <v>5514</v>
      </c>
      <c r="D58" t="s">
        <v>26970</v>
      </c>
      <c r="E58" t="s">
        <v>100</v>
      </c>
      <c r="F58" t="s">
        <v>1225</v>
      </c>
      <c r="G58" t="s">
        <v>26971</v>
      </c>
      <c r="H58">
        <v>19.03</v>
      </c>
      <c r="I58">
        <v>0</v>
      </c>
      <c r="J58">
        <v>0</v>
      </c>
      <c r="K58">
        <v>20</v>
      </c>
      <c r="N58">
        <v>3</v>
      </c>
      <c r="O58">
        <v>3</v>
      </c>
      <c r="P58">
        <v>4</v>
      </c>
      <c r="Q58">
        <v>0</v>
      </c>
      <c r="R58">
        <v>46.03</v>
      </c>
      <c r="S58">
        <v>43</v>
      </c>
      <c r="T58">
        <v>43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43</v>
      </c>
      <c r="AB58">
        <v>3</v>
      </c>
      <c r="AC58">
        <v>0</v>
      </c>
      <c r="AF58" t="s">
        <v>130</v>
      </c>
      <c r="AH58">
        <v>92.03</v>
      </c>
    </row>
    <row r="59" spans="1:34" x14ac:dyDescent="0.3">
      <c r="A59" s="4">
        <v>213</v>
      </c>
      <c r="B59" s="5">
        <v>52</v>
      </c>
      <c r="C59">
        <v>1526</v>
      </c>
      <c r="D59" t="s">
        <v>529</v>
      </c>
      <c r="E59" t="s">
        <v>166</v>
      </c>
      <c r="F59" t="s">
        <v>136</v>
      </c>
      <c r="G59" t="s">
        <v>26972</v>
      </c>
      <c r="H59">
        <v>17.8</v>
      </c>
      <c r="I59">
        <v>0</v>
      </c>
      <c r="J59">
        <v>0</v>
      </c>
      <c r="K59">
        <v>20</v>
      </c>
      <c r="L59">
        <v>7</v>
      </c>
      <c r="N59">
        <v>3</v>
      </c>
      <c r="O59">
        <v>10</v>
      </c>
      <c r="P59">
        <v>4</v>
      </c>
      <c r="Q59">
        <v>0</v>
      </c>
      <c r="R59">
        <v>51.8</v>
      </c>
      <c r="S59">
        <v>37</v>
      </c>
      <c r="T59">
        <v>37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37</v>
      </c>
      <c r="AB59">
        <v>3</v>
      </c>
      <c r="AC59">
        <v>0</v>
      </c>
      <c r="AF59" t="s">
        <v>130</v>
      </c>
      <c r="AH59">
        <v>91.8</v>
      </c>
    </row>
    <row r="60" spans="1:34" x14ac:dyDescent="0.3">
      <c r="A60" s="4">
        <v>214</v>
      </c>
      <c r="B60" s="5">
        <v>53</v>
      </c>
      <c r="C60">
        <v>9603</v>
      </c>
      <c r="D60" t="s">
        <v>4439</v>
      </c>
      <c r="E60" t="s">
        <v>188</v>
      </c>
      <c r="F60" t="s">
        <v>3516</v>
      </c>
      <c r="G60" t="s">
        <v>26973</v>
      </c>
      <c r="H60">
        <v>19.48</v>
      </c>
      <c r="I60">
        <v>7</v>
      </c>
      <c r="J60">
        <v>0</v>
      </c>
      <c r="K60">
        <v>0</v>
      </c>
      <c r="L60">
        <v>7</v>
      </c>
      <c r="O60">
        <v>7</v>
      </c>
      <c r="P60">
        <v>0</v>
      </c>
      <c r="Q60">
        <v>0</v>
      </c>
      <c r="R60">
        <v>33.479999999999997</v>
      </c>
      <c r="S60">
        <v>58</v>
      </c>
      <c r="T60">
        <v>58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58</v>
      </c>
      <c r="AB60">
        <v>0</v>
      </c>
      <c r="AC60">
        <v>0</v>
      </c>
      <c r="AF60" t="s">
        <v>130</v>
      </c>
      <c r="AH60">
        <v>91.48</v>
      </c>
    </row>
    <row r="61" spans="1:34" x14ac:dyDescent="0.3">
      <c r="A61" s="4">
        <v>215</v>
      </c>
      <c r="B61" s="5">
        <v>54</v>
      </c>
      <c r="C61">
        <v>3090</v>
      </c>
      <c r="D61" t="s">
        <v>26974</v>
      </c>
      <c r="E61" t="s">
        <v>652</v>
      </c>
      <c r="F61" t="s">
        <v>20</v>
      </c>
      <c r="G61" t="s">
        <v>26975</v>
      </c>
      <c r="H61">
        <v>15.15</v>
      </c>
      <c r="I61">
        <v>0</v>
      </c>
      <c r="J61">
        <v>0</v>
      </c>
      <c r="K61">
        <v>20</v>
      </c>
      <c r="N61">
        <v>3</v>
      </c>
      <c r="O61">
        <v>3</v>
      </c>
      <c r="P61">
        <v>4</v>
      </c>
      <c r="Q61">
        <v>2</v>
      </c>
      <c r="R61">
        <v>44.15</v>
      </c>
      <c r="S61">
        <v>47</v>
      </c>
      <c r="T61">
        <v>47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47</v>
      </c>
      <c r="AB61">
        <v>0</v>
      </c>
      <c r="AC61">
        <v>0</v>
      </c>
      <c r="AF61" t="s">
        <v>130</v>
      </c>
      <c r="AH61">
        <v>91.15</v>
      </c>
    </row>
    <row r="62" spans="1:34" x14ac:dyDescent="0.3">
      <c r="A62" s="4">
        <v>216</v>
      </c>
      <c r="B62" s="5">
        <v>55</v>
      </c>
      <c r="C62">
        <v>10736</v>
      </c>
      <c r="D62" t="s">
        <v>21462</v>
      </c>
      <c r="E62" t="s">
        <v>88</v>
      </c>
      <c r="F62" t="s">
        <v>892</v>
      </c>
      <c r="G62" t="s">
        <v>26976</v>
      </c>
      <c r="H62">
        <v>17.079999999999998</v>
      </c>
      <c r="I62">
        <v>0</v>
      </c>
      <c r="J62">
        <v>0</v>
      </c>
      <c r="K62">
        <v>20</v>
      </c>
      <c r="L62">
        <v>7</v>
      </c>
      <c r="O62">
        <v>7</v>
      </c>
      <c r="P62">
        <v>4</v>
      </c>
      <c r="Q62">
        <v>2</v>
      </c>
      <c r="R62">
        <v>50.08</v>
      </c>
      <c r="S62">
        <v>41</v>
      </c>
      <c r="T62">
        <v>41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41</v>
      </c>
      <c r="AB62">
        <v>0</v>
      </c>
      <c r="AC62">
        <v>0</v>
      </c>
      <c r="AD62" t="s">
        <v>130</v>
      </c>
      <c r="AF62" t="s">
        <v>130</v>
      </c>
      <c r="AH62">
        <v>91.08</v>
      </c>
    </row>
    <row r="63" spans="1:34" x14ac:dyDescent="0.3">
      <c r="A63" s="4">
        <v>217</v>
      </c>
      <c r="B63" s="5">
        <v>56</v>
      </c>
      <c r="C63">
        <v>10005</v>
      </c>
      <c r="D63" t="s">
        <v>16545</v>
      </c>
      <c r="E63" t="s">
        <v>132</v>
      </c>
      <c r="F63" t="s">
        <v>158</v>
      </c>
      <c r="G63" t="s">
        <v>26977</v>
      </c>
      <c r="H63">
        <v>18.95</v>
      </c>
      <c r="I63">
        <v>0</v>
      </c>
      <c r="J63">
        <v>0</v>
      </c>
      <c r="K63">
        <v>20</v>
      </c>
      <c r="L63">
        <v>7</v>
      </c>
      <c r="O63">
        <v>7</v>
      </c>
      <c r="P63">
        <v>4</v>
      </c>
      <c r="Q63">
        <v>2</v>
      </c>
      <c r="R63">
        <v>51.95</v>
      </c>
      <c r="S63">
        <v>30</v>
      </c>
      <c r="T63">
        <v>30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30</v>
      </c>
      <c r="AB63">
        <v>9</v>
      </c>
      <c r="AC63">
        <v>0</v>
      </c>
      <c r="AF63" t="s">
        <v>130</v>
      </c>
      <c r="AH63">
        <v>90.95</v>
      </c>
    </row>
    <row r="64" spans="1:34" x14ac:dyDescent="0.3">
      <c r="A64" s="4">
        <v>218</v>
      </c>
      <c r="B64" s="5">
        <v>57</v>
      </c>
      <c r="C64">
        <v>686</v>
      </c>
      <c r="D64" t="s">
        <v>26978</v>
      </c>
      <c r="E64" t="s">
        <v>33</v>
      </c>
      <c r="F64" t="s">
        <v>38</v>
      </c>
      <c r="G64" t="s">
        <v>26979</v>
      </c>
      <c r="H64">
        <v>21.88</v>
      </c>
      <c r="I64">
        <v>7</v>
      </c>
      <c r="J64">
        <v>0</v>
      </c>
      <c r="K64">
        <v>20</v>
      </c>
      <c r="N64">
        <v>3</v>
      </c>
      <c r="O64">
        <v>3</v>
      </c>
      <c r="P64">
        <v>4</v>
      </c>
      <c r="Q64">
        <v>0</v>
      </c>
      <c r="R64">
        <v>55.88</v>
      </c>
      <c r="S64">
        <v>29</v>
      </c>
      <c r="T64">
        <v>29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29</v>
      </c>
      <c r="AB64">
        <v>6</v>
      </c>
      <c r="AC64">
        <v>0</v>
      </c>
      <c r="AF64" t="s">
        <v>130</v>
      </c>
      <c r="AH64">
        <v>90.88</v>
      </c>
    </row>
    <row r="65" spans="1:34" x14ac:dyDescent="0.3">
      <c r="A65" s="4">
        <v>219</v>
      </c>
      <c r="B65" s="5">
        <v>58</v>
      </c>
      <c r="C65">
        <v>9690</v>
      </c>
      <c r="D65" t="s">
        <v>1822</v>
      </c>
      <c r="E65" t="s">
        <v>26980</v>
      </c>
      <c r="F65" t="s">
        <v>20</v>
      </c>
      <c r="G65" t="s">
        <v>26981</v>
      </c>
      <c r="H65">
        <v>17.68</v>
      </c>
      <c r="I65">
        <v>0</v>
      </c>
      <c r="J65">
        <v>0</v>
      </c>
      <c r="K65">
        <v>20</v>
      </c>
      <c r="N65">
        <v>3</v>
      </c>
      <c r="O65">
        <v>3</v>
      </c>
      <c r="P65">
        <v>4</v>
      </c>
      <c r="Q65">
        <v>2</v>
      </c>
      <c r="R65">
        <v>46.68</v>
      </c>
      <c r="S65">
        <v>44</v>
      </c>
      <c r="T65">
        <v>44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44</v>
      </c>
      <c r="AB65">
        <v>0</v>
      </c>
      <c r="AC65">
        <v>0</v>
      </c>
      <c r="AF65" t="s">
        <v>130</v>
      </c>
      <c r="AH65">
        <v>90.68</v>
      </c>
    </row>
    <row r="66" spans="1:34" x14ac:dyDescent="0.3">
      <c r="A66" s="4">
        <v>220</v>
      </c>
      <c r="B66" s="5">
        <v>59</v>
      </c>
      <c r="C66">
        <v>7425</v>
      </c>
      <c r="D66" t="s">
        <v>3033</v>
      </c>
      <c r="E66" t="s">
        <v>166</v>
      </c>
      <c r="F66" t="s">
        <v>20</v>
      </c>
      <c r="G66" t="s">
        <v>26982</v>
      </c>
      <c r="H66">
        <v>17.55</v>
      </c>
      <c r="I66">
        <v>0</v>
      </c>
      <c r="J66">
        <v>0</v>
      </c>
      <c r="K66">
        <v>20</v>
      </c>
      <c r="L66">
        <v>14</v>
      </c>
      <c r="O66">
        <v>14</v>
      </c>
      <c r="P66">
        <v>4</v>
      </c>
      <c r="Q66">
        <v>0</v>
      </c>
      <c r="R66">
        <v>55.55</v>
      </c>
      <c r="S66">
        <v>29</v>
      </c>
      <c r="T66">
        <v>29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29</v>
      </c>
      <c r="AB66">
        <v>6</v>
      </c>
      <c r="AC66">
        <v>0</v>
      </c>
      <c r="AF66" t="s">
        <v>130</v>
      </c>
      <c r="AH66">
        <v>90.55</v>
      </c>
    </row>
    <row r="67" spans="1:34" x14ac:dyDescent="0.3">
      <c r="A67" s="4">
        <v>221</v>
      </c>
      <c r="B67" s="5">
        <v>60</v>
      </c>
      <c r="C67">
        <v>4492</v>
      </c>
      <c r="D67" t="s">
        <v>3181</v>
      </c>
      <c r="E67" t="s">
        <v>110</v>
      </c>
      <c r="F67" t="s">
        <v>136</v>
      </c>
      <c r="G67" t="s">
        <v>26983</v>
      </c>
      <c r="H67">
        <v>16.53</v>
      </c>
      <c r="I67">
        <v>0</v>
      </c>
      <c r="J67">
        <v>0</v>
      </c>
      <c r="K67">
        <v>0</v>
      </c>
      <c r="L67">
        <v>7</v>
      </c>
      <c r="O67">
        <v>7</v>
      </c>
      <c r="P67">
        <v>4</v>
      </c>
      <c r="Q67">
        <v>2</v>
      </c>
      <c r="R67">
        <v>29.53</v>
      </c>
      <c r="S67">
        <v>61</v>
      </c>
      <c r="T67">
        <v>61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61</v>
      </c>
      <c r="AB67">
        <v>0</v>
      </c>
      <c r="AC67">
        <v>0</v>
      </c>
      <c r="AF67" t="s">
        <v>130</v>
      </c>
      <c r="AH67">
        <v>90.53</v>
      </c>
    </row>
    <row r="68" spans="1:34" x14ac:dyDescent="0.3">
      <c r="A68" s="4">
        <v>222</v>
      </c>
      <c r="B68" s="5">
        <v>61</v>
      </c>
      <c r="C68">
        <v>2932</v>
      </c>
      <c r="D68" t="s">
        <v>932</v>
      </c>
      <c r="E68" t="s">
        <v>54</v>
      </c>
      <c r="F68" t="s">
        <v>117</v>
      </c>
      <c r="G68" t="s">
        <v>26984</v>
      </c>
      <c r="H68">
        <v>21.4</v>
      </c>
      <c r="I68">
        <v>0</v>
      </c>
      <c r="J68">
        <v>0</v>
      </c>
      <c r="K68">
        <v>20</v>
      </c>
      <c r="L68">
        <v>7</v>
      </c>
      <c r="O68">
        <v>7</v>
      </c>
      <c r="P68">
        <v>4</v>
      </c>
      <c r="Q68">
        <v>2</v>
      </c>
      <c r="R68">
        <v>54.4</v>
      </c>
      <c r="S68">
        <v>36</v>
      </c>
      <c r="T68">
        <v>36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36</v>
      </c>
      <c r="AB68">
        <v>0</v>
      </c>
      <c r="AC68">
        <v>0</v>
      </c>
      <c r="AF68" t="s">
        <v>130</v>
      </c>
      <c r="AH68">
        <v>90.4</v>
      </c>
    </row>
    <row r="69" spans="1:34" x14ac:dyDescent="0.3">
      <c r="A69" s="4">
        <v>224</v>
      </c>
      <c r="B69" s="5">
        <v>62</v>
      </c>
      <c r="C69">
        <v>2414</v>
      </c>
      <c r="D69" t="s">
        <v>26985</v>
      </c>
      <c r="E69" t="s">
        <v>166</v>
      </c>
      <c r="F69" t="s">
        <v>167</v>
      </c>
      <c r="G69" t="s">
        <v>26986</v>
      </c>
      <c r="H69">
        <v>18.100000000000001</v>
      </c>
      <c r="I69">
        <v>0</v>
      </c>
      <c r="J69">
        <v>0</v>
      </c>
      <c r="K69">
        <v>20</v>
      </c>
      <c r="N69">
        <v>3</v>
      </c>
      <c r="O69">
        <v>3</v>
      </c>
      <c r="P69">
        <v>4</v>
      </c>
      <c r="Q69">
        <v>2</v>
      </c>
      <c r="R69">
        <v>47.1</v>
      </c>
      <c r="S69">
        <v>40</v>
      </c>
      <c r="T69">
        <v>40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40</v>
      </c>
      <c r="AB69">
        <v>3</v>
      </c>
      <c r="AC69">
        <v>0</v>
      </c>
      <c r="AF69" t="s">
        <v>130</v>
      </c>
      <c r="AH69">
        <v>90.1</v>
      </c>
    </row>
    <row r="70" spans="1:34" x14ac:dyDescent="0.3">
      <c r="A70" s="4">
        <v>225</v>
      </c>
      <c r="B70" s="5">
        <v>63</v>
      </c>
      <c r="C70">
        <v>4396</v>
      </c>
      <c r="D70" t="s">
        <v>2453</v>
      </c>
      <c r="E70" t="s">
        <v>41</v>
      </c>
      <c r="F70" t="s">
        <v>17</v>
      </c>
      <c r="G70" t="s">
        <v>26987</v>
      </c>
      <c r="H70">
        <v>16.75</v>
      </c>
      <c r="I70">
        <v>0</v>
      </c>
      <c r="J70">
        <v>0</v>
      </c>
      <c r="K70">
        <v>20</v>
      </c>
      <c r="N70">
        <v>3</v>
      </c>
      <c r="O70">
        <v>3</v>
      </c>
      <c r="P70">
        <v>4</v>
      </c>
      <c r="Q70">
        <v>2</v>
      </c>
      <c r="R70">
        <v>45.75</v>
      </c>
      <c r="S70">
        <v>44</v>
      </c>
      <c r="T70">
        <v>44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44</v>
      </c>
      <c r="AB70">
        <v>0</v>
      </c>
      <c r="AC70">
        <v>0</v>
      </c>
      <c r="AF70" t="s">
        <v>130</v>
      </c>
      <c r="AH70">
        <v>89.75</v>
      </c>
    </row>
    <row r="71" spans="1:34" x14ac:dyDescent="0.3">
      <c r="A71" s="4">
        <v>226</v>
      </c>
      <c r="B71" s="5">
        <v>64</v>
      </c>
      <c r="C71">
        <v>7022</v>
      </c>
      <c r="D71" t="s">
        <v>26988</v>
      </c>
      <c r="E71" t="s">
        <v>8622</v>
      </c>
      <c r="F71" t="s">
        <v>442</v>
      </c>
      <c r="G71" t="s">
        <v>26989</v>
      </c>
      <c r="H71">
        <v>18.7</v>
      </c>
      <c r="I71">
        <v>0</v>
      </c>
      <c r="J71">
        <v>0</v>
      </c>
      <c r="K71">
        <v>0</v>
      </c>
      <c r="L71">
        <v>7</v>
      </c>
      <c r="O71">
        <v>7</v>
      </c>
      <c r="P71">
        <v>4</v>
      </c>
      <c r="Q71">
        <v>2</v>
      </c>
      <c r="R71">
        <v>31.7</v>
      </c>
      <c r="S71">
        <v>52</v>
      </c>
      <c r="T71">
        <v>52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52</v>
      </c>
      <c r="AB71">
        <v>6</v>
      </c>
      <c r="AC71">
        <v>0</v>
      </c>
      <c r="AF71" t="s">
        <v>130</v>
      </c>
      <c r="AH71">
        <v>89.7</v>
      </c>
    </row>
    <row r="72" spans="1:34" x14ac:dyDescent="0.3">
      <c r="A72" s="4">
        <v>227</v>
      </c>
      <c r="B72" s="5">
        <v>65</v>
      </c>
      <c r="C72">
        <v>303</v>
      </c>
      <c r="D72" t="s">
        <v>2416</v>
      </c>
      <c r="E72" t="s">
        <v>26990</v>
      </c>
      <c r="F72" t="s">
        <v>892</v>
      </c>
      <c r="G72" t="s">
        <v>26991</v>
      </c>
      <c r="H72">
        <v>15.65</v>
      </c>
      <c r="I72">
        <v>0</v>
      </c>
      <c r="J72">
        <v>0</v>
      </c>
      <c r="K72">
        <v>0</v>
      </c>
      <c r="L72">
        <v>7</v>
      </c>
      <c r="O72">
        <v>7</v>
      </c>
      <c r="P72">
        <v>4</v>
      </c>
      <c r="Q72">
        <v>2</v>
      </c>
      <c r="R72">
        <v>28.65</v>
      </c>
      <c r="S72">
        <v>61</v>
      </c>
      <c r="T72">
        <v>61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61</v>
      </c>
      <c r="AB72">
        <v>0</v>
      </c>
      <c r="AC72">
        <v>0</v>
      </c>
      <c r="AD72" t="s">
        <v>130</v>
      </c>
      <c r="AF72" t="s">
        <v>130</v>
      </c>
      <c r="AH72">
        <v>89.65</v>
      </c>
    </row>
    <row r="73" spans="1:34" x14ac:dyDescent="0.3">
      <c r="A73" s="4">
        <v>228</v>
      </c>
      <c r="B73" s="5">
        <v>66</v>
      </c>
      <c r="C73">
        <v>13293</v>
      </c>
      <c r="D73" t="s">
        <v>26847</v>
      </c>
      <c r="E73" t="s">
        <v>6618</v>
      </c>
      <c r="F73" t="s">
        <v>38</v>
      </c>
      <c r="G73" t="s">
        <v>26992</v>
      </c>
      <c r="H73">
        <v>18.53</v>
      </c>
      <c r="I73">
        <v>0</v>
      </c>
      <c r="J73">
        <v>0</v>
      </c>
      <c r="K73">
        <v>0</v>
      </c>
      <c r="N73">
        <v>3</v>
      </c>
      <c r="O73">
        <v>3</v>
      </c>
      <c r="P73">
        <v>4</v>
      </c>
      <c r="Q73">
        <v>2</v>
      </c>
      <c r="R73">
        <v>27.53</v>
      </c>
      <c r="S73">
        <v>59</v>
      </c>
      <c r="T73">
        <v>59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59</v>
      </c>
      <c r="AB73">
        <v>3</v>
      </c>
      <c r="AC73">
        <v>0</v>
      </c>
      <c r="AF73" t="s">
        <v>130</v>
      </c>
      <c r="AH73">
        <v>89.53</v>
      </c>
    </row>
    <row r="74" spans="1:34" x14ac:dyDescent="0.3">
      <c r="A74" s="4">
        <v>229</v>
      </c>
      <c r="B74" s="5">
        <v>67</v>
      </c>
      <c r="C74">
        <v>1003</v>
      </c>
      <c r="D74" t="s">
        <v>26993</v>
      </c>
      <c r="E74" t="s">
        <v>37</v>
      </c>
      <c r="F74" t="s">
        <v>34</v>
      </c>
      <c r="G74" t="s">
        <v>26994</v>
      </c>
      <c r="H74">
        <v>16.03</v>
      </c>
      <c r="I74">
        <v>0</v>
      </c>
      <c r="J74">
        <v>0</v>
      </c>
      <c r="K74">
        <v>0</v>
      </c>
      <c r="N74">
        <v>3</v>
      </c>
      <c r="O74">
        <v>3</v>
      </c>
      <c r="P74">
        <v>4</v>
      </c>
      <c r="Q74">
        <v>0</v>
      </c>
      <c r="R74">
        <v>23.03</v>
      </c>
      <c r="S74">
        <v>66</v>
      </c>
      <c r="T74">
        <v>66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66</v>
      </c>
      <c r="AB74">
        <v>0</v>
      </c>
      <c r="AC74">
        <v>0</v>
      </c>
      <c r="AF74" t="s">
        <v>130</v>
      </c>
      <c r="AH74">
        <v>89.03</v>
      </c>
    </row>
    <row r="75" spans="1:34" x14ac:dyDescent="0.3">
      <c r="A75" s="4">
        <v>230</v>
      </c>
      <c r="B75" s="5">
        <v>68</v>
      </c>
      <c r="C75">
        <v>1779</v>
      </c>
      <c r="D75" t="s">
        <v>3344</v>
      </c>
      <c r="E75" t="s">
        <v>29</v>
      </c>
      <c r="F75" t="s">
        <v>20</v>
      </c>
      <c r="G75" t="s">
        <v>26995</v>
      </c>
      <c r="H75">
        <v>18</v>
      </c>
      <c r="I75">
        <v>0</v>
      </c>
      <c r="J75">
        <v>0</v>
      </c>
      <c r="K75">
        <v>20</v>
      </c>
      <c r="O75">
        <v>0</v>
      </c>
      <c r="P75">
        <v>4</v>
      </c>
      <c r="Q75">
        <v>2</v>
      </c>
      <c r="R75">
        <v>44</v>
      </c>
      <c r="S75">
        <v>45</v>
      </c>
      <c r="T75">
        <v>45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45</v>
      </c>
      <c r="AB75">
        <v>0</v>
      </c>
      <c r="AC75">
        <v>0</v>
      </c>
      <c r="AF75" t="s">
        <v>130</v>
      </c>
      <c r="AH75">
        <v>89</v>
      </c>
    </row>
    <row r="76" spans="1:34" x14ac:dyDescent="0.3">
      <c r="A76" s="4">
        <v>231</v>
      </c>
      <c r="B76" s="5">
        <v>69</v>
      </c>
      <c r="C76">
        <v>5853</v>
      </c>
      <c r="D76" t="s">
        <v>26996</v>
      </c>
      <c r="E76" t="s">
        <v>2150</v>
      </c>
      <c r="F76" t="s">
        <v>190</v>
      </c>
      <c r="G76" t="s">
        <v>26997</v>
      </c>
      <c r="H76">
        <v>17.8</v>
      </c>
      <c r="I76">
        <v>0</v>
      </c>
      <c r="J76">
        <v>0</v>
      </c>
      <c r="K76">
        <v>20</v>
      </c>
      <c r="L76">
        <v>7</v>
      </c>
      <c r="O76">
        <v>7</v>
      </c>
      <c r="P76">
        <v>4</v>
      </c>
      <c r="Q76">
        <v>2</v>
      </c>
      <c r="R76">
        <v>50.8</v>
      </c>
      <c r="S76">
        <v>38</v>
      </c>
      <c r="T76">
        <v>38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38</v>
      </c>
      <c r="AB76">
        <v>0</v>
      </c>
      <c r="AC76">
        <v>0</v>
      </c>
      <c r="AD76" t="s">
        <v>130</v>
      </c>
      <c r="AF76" t="s">
        <v>130</v>
      </c>
      <c r="AH76">
        <v>88.8</v>
      </c>
    </row>
    <row r="77" spans="1:34" x14ac:dyDescent="0.3">
      <c r="A77" s="4">
        <v>232</v>
      </c>
      <c r="B77" s="5">
        <v>70</v>
      </c>
      <c r="C77">
        <v>3295</v>
      </c>
      <c r="D77" t="s">
        <v>16037</v>
      </c>
      <c r="E77" t="s">
        <v>143</v>
      </c>
      <c r="F77" t="s">
        <v>14</v>
      </c>
      <c r="G77" t="s">
        <v>26998</v>
      </c>
      <c r="H77">
        <v>17.5</v>
      </c>
      <c r="I77">
        <v>0</v>
      </c>
      <c r="J77">
        <v>0</v>
      </c>
      <c r="K77">
        <v>28</v>
      </c>
      <c r="O77">
        <v>0</v>
      </c>
      <c r="P77">
        <v>4</v>
      </c>
      <c r="Q77">
        <v>2</v>
      </c>
      <c r="R77">
        <v>51.5</v>
      </c>
      <c r="S77">
        <v>28</v>
      </c>
      <c r="T77">
        <v>28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28</v>
      </c>
      <c r="AB77">
        <v>9</v>
      </c>
      <c r="AC77">
        <v>0</v>
      </c>
      <c r="AF77" t="s">
        <v>130</v>
      </c>
      <c r="AH77">
        <v>88.5</v>
      </c>
    </row>
    <row r="78" spans="1:34" x14ac:dyDescent="0.3">
      <c r="A78" s="4">
        <v>233</v>
      </c>
      <c r="B78" s="5">
        <v>71</v>
      </c>
      <c r="C78">
        <v>14701</v>
      </c>
      <c r="D78" t="s">
        <v>26999</v>
      </c>
      <c r="E78" t="s">
        <v>126</v>
      </c>
      <c r="F78" t="s">
        <v>2595</v>
      </c>
      <c r="G78" t="s">
        <v>27000</v>
      </c>
      <c r="H78">
        <v>19.23</v>
      </c>
      <c r="I78">
        <v>0</v>
      </c>
      <c r="J78">
        <v>0</v>
      </c>
      <c r="K78">
        <v>0</v>
      </c>
      <c r="L78">
        <v>7</v>
      </c>
      <c r="O78">
        <v>7</v>
      </c>
      <c r="P78">
        <v>4</v>
      </c>
      <c r="Q78">
        <v>0</v>
      </c>
      <c r="R78">
        <v>30.23</v>
      </c>
      <c r="S78">
        <v>52</v>
      </c>
      <c r="T78">
        <v>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52</v>
      </c>
      <c r="AB78">
        <v>6</v>
      </c>
      <c r="AC78">
        <v>0</v>
      </c>
      <c r="AD78" t="s">
        <v>130</v>
      </c>
      <c r="AF78" t="s">
        <v>130</v>
      </c>
      <c r="AH78">
        <v>88.23</v>
      </c>
    </row>
    <row r="79" spans="1:34" x14ac:dyDescent="0.3">
      <c r="A79" s="4">
        <v>235</v>
      </c>
      <c r="B79" s="5">
        <v>72</v>
      </c>
      <c r="C79">
        <v>5245</v>
      </c>
      <c r="D79" t="s">
        <v>9239</v>
      </c>
      <c r="E79" t="s">
        <v>166</v>
      </c>
      <c r="F79" t="s">
        <v>38</v>
      </c>
      <c r="G79" t="s">
        <v>27001</v>
      </c>
      <c r="H79">
        <v>20.05</v>
      </c>
      <c r="I79">
        <v>0</v>
      </c>
      <c r="J79">
        <v>0</v>
      </c>
      <c r="K79">
        <v>20</v>
      </c>
      <c r="M79">
        <v>5</v>
      </c>
      <c r="O79">
        <v>5</v>
      </c>
      <c r="P79">
        <v>4</v>
      </c>
      <c r="Q79">
        <v>2</v>
      </c>
      <c r="R79">
        <v>51.05</v>
      </c>
      <c r="S79">
        <v>37</v>
      </c>
      <c r="T79">
        <v>37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37</v>
      </c>
      <c r="AB79">
        <v>0</v>
      </c>
      <c r="AC79">
        <v>0</v>
      </c>
      <c r="AF79" t="s">
        <v>130</v>
      </c>
      <c r="AH79">
        <v>88.05</v>
      </c>
    </row>
    <row r="80" spans="1:34" x14ac:dyDescent="0.3">
      <c r="A80" s="4">
        <v>236</v>
      </c>
      <c r="B80" s="5">
        <v>73</v>
      </c>
      <c r="C80">
        <v>5082</v>
      </c>
      <c r="D80" t="s">
        <v>1530</v>
      </c>
      <c r="E80" t="s">
        <v>471</v>
      </c>
      <c r="F80" t="s">
        <v>91</v>
      </c>
      <c r="G80" t="s">
        <v>27002</v>
      </c>
      <c r="H80">
        <v>16.899999999999999</v>
      </c>
      <c r="I80">
        <v>0</v>
      </c>
      <c r="J80">
        <v>0</v>
      </c>
      <c r="K80">
        <v>20</v>
      </c>
      <c r="N80">
        <v>3</v>
      </c>
      <c r="O80">
        <v>3</v>
      </c>
      <c r="P80">
        <v>4</v>
      </c>
      <c r="Q80">
        <v>2</v>
      </c>
      <c r="R80">
        <v>45.9</v>
      </c>
      <c r="S80">
        <v>42</v>
      </c>
      <c r="T80">
        <v>42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42</v>
      </c>
      <c r="AB80">
        <v>0</v>
      </c>
      <c r="AC80">
        <v>0</v>
      </c>
      <c r="AD80" t="s">
        <v>130</v>
      </c>
      <c r="AF80" t="s">
        <v>130</v>
      </c>
      <c r="AH80">
        <v>87.9</v>
      </c>
    </row>
    <row r="81" spans="1:34" x14ac:dyDescent="0.3">
      <c r="A81" s="4">
        <v>237</v>
      </c>
      <c r="B81" s="5">
        <v>74</v>
      </c>
      <c r="C81">
        <v>7148</v>
      </c>
      <c r="D81" t="s">
        <v>4631</v>
      </c>
      <c r="E81" t="s">
        <v>342</v>
      </c>
      <c r="F81" t="s">
        <v>1460</v>
      </c>
      <c r="G81" t="s">
        <v>27003</v>
      </c>
      <c r="H81">
        <v>21.63</v>
      </c>
      <c r="I81">
        <v>0</v>
      </c>
      <c r="J81">
        <v>0</v>
      </c>
      <c r="K81">
        <v>20</v>
      </c>
      <c r="L81">
        <v>7</v>
      </c>
      <c r="O81">
        <v>7</v>
      </c>
      <c r="P81">
        <v>4</v>
      </c>
      <c r="Q81">
        <v>2</v>
      </c>
      <c r="R81">
        <v>54.63</v>
      </c>
      <c r="S81">
        <v>30</v>
      </c>
      <c r="T81">
        <v>30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30</v>
      </c>
      <c r="AB81">
        <v>3</v>
      </c>
      <c r="AC81">
        <v>0</v>
      </c>
      <c r="AF81" t="s">
        <v>130</v>
      </c>
      <c r="AH81">
        <v>87.63</v>
      </c>
    </row>
    <row r="82" spans="1:34" x14ac:dyDescent="0.3">
      <c r="A82" s="4">
        <v>238</v>
      </c>
      <c r="B82" s="5">
        <v>75</v>
      </c>
      <c r="C82">
        <v>1446</v>
      </c>
      <c r="D82" t="s">
        <v>5314</v>
      </c>
      <c r="E82" t="s">
        <v>110</v>
      </c>
      <c r="F82" t="s">
        <v>17</v>
      </c>
      <c r="G82" t="s">
        <v>27004</v>
      </c>
      <c r="H82">
        <v>18.850000000000001</v>
      </c>
      <c r="I82">
        <v>0</v>
      </c>
      <c r="J82">
        <v>0</v>
      </c>
      <c r="K82">
        <v>20</v>
      </c>
      <c r="L82">
        <v>7</v>
      </c>
      <c r="N82">
        <v>3</v>
      </c>
      <c r="O82">
        <v>10</v>
      </c>
      <c r="P82">
        <v>4</v>
      </c>
      <c r="Q82">
        <v>2</v>
      </c>
      <c r="R82">
        <v>54.85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3</v>
      </c>
      <c r="AC82">
        <v>29.6</v>
      </c>
      <c r="AF82" t="s">
        <v>130</v>
      </c>
      <c r="AH82">
        <v>87.45</v>
      </c>
    </row>
    <row r="83" spans="1:34" x14ac:dyDescent="0.3">
      <c r="A83" s="4">
        <v>239</v>
      </c>
      <c r="B83" s="5">
        <v>76</v>
      </c>
      <c r="C83">
        <v>10144</v>
      </c>
      <c r="D83" t="s">
        <v>27005</v>
      </c>
      <c r="E83" t="s">
        <v>25039</v>
      </c>
      <c r="F83" t="s">
        <v>117</v>
      </c>
      <c r="G83" t="s">
        <v>27006</v>
      </c>
      <c r="H83">
        <v>17.45</v>
      </c>
      <c r="I83">
        <v>0</v>
      </c>
      <c r="J83">
        <v>0</v>
      </c>
      <c r="K83">
        <v>0</v>
      </c>
      <c r="N83">
        <v>3</v>
      </c>
      <c r="O83">
        <v>3</v>
      </c>
      <c r="P83">
        <v>4</v>
      </c>
      <c r="Q83">
        <v>2</v>
      </c>
      <c r="R83">
        <v>26.45</v>
      </c>
      <c r="S83">
        <v>55</v>
      </c>
      <c r="T83">
        <v>55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55</v>
      </c>
      <c r="AB83">
        <v>6</v>
      </c>
      <c r="AC83">
        <v>0</v>
      </c>
      <c r="AF83" t="s">
        <v>130</v>
      </c>
      <c r="AH83">
        <v>87.45</v>
      </c>
    </row>
    <row r="84" spans="1:34" x14ac:dyDescent="0.3">
      <c r="A84" s="4">
        <v>240</v>
      </c>
      <c r="B84" s="5">
        <v>77</v>
      </c>
      <c r="C84">
        <v>92</v>
      </c>
      <c r="D84" t="s">
        <v>20576</v>
      </c>
      <c r="E84" t="s">
        <v>55</v>
      </c>
      <c r="F84" t="s">
        <v>158</v>
      </c>
      <c r="G84" t="s">
        <v>27007</v>
      </c>
      <c r="H84">
        <v>21.43</v>
      </c>
      <c r="I84">
        <v>7</v>
      </c>
      <c r="J84">
        <v>0</v>
      </c>
      <c r="K84">
        <v>28</v>
      </c>
      <c r="L84">
        <v>7</v>
      </c>
      <c r="O84">
        <v>7</v>
      </c>
      <c r="P84">
        <v>4</v>
      </c>
      <c r="Q84">
        <v>2</v>
      </c>
      <c r="R84">
        <v>69.430000000000007</v>
      </c>
      <c r="S84">
        <v>18</v>
      </c>
      <c r="T84">
        <v>18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18</v>
      </c>
      <c r="AB84">
        <v>0</v>
      </c>
      <c r="AC84">
        <v>0</v>
      </c>
      <c r="AF84" t="s">
        <v>130</v>
      </c>
      <c r="AH84">
        <v>87.43</v>
      </c>
    </row>
    <row r="85" spans="1:34" x14ac:dyDescent="0.3">
      <c r="A85" s="4">
        <v>241</v>
      </c>
      <c r="B85" s="5">
        <v>78</v>
      </c>
      <c r="C85">
        <v>1828</v>
      </c>
      <c r="D85" t="s">
        <v>27008</v>
      </c>
      <c r="E85" t="s">
        <v>110</v>
      </c>
      <c r="F85" t="s">
        <v>81</v>
      </c>
      <c r="G85" t="s">
        <v>27009</v>
      </c>
      <c r="H85">
        <v>17.149999999999999</v>
      </c>
      <c r="I85">
        <v>0</v>
      </c>
      <c r="J85">
        <v>0</v>
      </c>
      <c r="K85">
        <v>20</v>
      </c>
      <c r="L85">
        <v>7</v>
      </c>
      <c r="O85">
        <v>7</v>
      </c>
      <c r="P85">
        <v>4</v>
      </c>
      <c r="Q85">
        <v>2</v>
      </c>
      <c r="R85">
        <v>50.15</v>
      </c>
      <c r="S85">
        <v>37</v>
      </c>
      <c r="T85">
        <v>37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37</v>
      </c>
      <c r="AB85">
        <v>0</v>
      </c>
      <c r="AC85">
        <v>0</v>
      </c>
      <c r="AF85" t="s">
        <v>130</v>
      </c>
      <c r="AH85">
        <v>87.15</v>
      </c>
    </row>
    <row r="86" spans="1:34" x14ac:dyDescent="0.3">
      <c r="A86" s="4">
        <v>242</v>
      </c>
      <c r="B86" s="5">
        <v>79</v>
      </c>
      <c r="C86">
        <v>10028</v>
      </c>
      <c r="D86" t="s">
        <v>8800</v>
      </c>
      <c r="E86" t="s">
        <v>27010</v>
      </c>
      <c r="F86" t="s">
        <v>328</v>
      </c>
      <c r="G86" t="s">
        <v>27011</v>
      </c>
      <c r="H86">
        <v>19.13</v>
      </c>
      <c r="I86">
        <v>0</v>
      </c>
      <c r="J86">
        <v>0</v>
      </c>
      <c r="K86">
        <v>20</v>
      </c>
      <c r="L86">
        <v>7</v>
      </c>
      <c r="O86">
        <v>7</v>
      </c>
      <c r="P86">
        <v>4</v>
      </c>
      <c r="Q86">
        <v>2</v>
      </c>
      <c r="R86">
        <v>52.13</v>
      </c>
      <c r="S86">
        <v>35</v>
      </c>
      <c r="T86">
        <v>35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35</v>
      </c>
      <c r="AB86">
        <v>0</v>
      </c>
      <c r="AC86">
        <v>0</v>
      </c>
      <c r="AF86" t="s">
        <v>130</v>
      </c>
      <c r="AH86">
        <v>87.13</v>
      </c>
    </row>
    <row r="87" spans="1:34" x14ac:dyDescent="0.3">
      <c r="A87" s="4">
        <v>243</v>
      </c>
      <c r="B87" s="5">
        <v>80</v>
      </c>
      <c r="C87">
        <v>8711</v>
      </c>
      <c r="D87" t="s">
        <v>27012</v>
      </c>
      <c r="E87" t="s">
        <v>88</v>
      </c>
      <c r="F87" t="s">
        <v>179</v>
      </c>
      <c r="G87" t="s">
        <v>27013</v>
      </c>
      <c r="H87">
        <v>17.63</v>
      </c>
      <c r="I87">
        <v>0</v>
      </c>
      <c r="J87">
        <v>0</v>
      </c>
      <c r="K87">
        <v>0</v>
      </c>
      <c r="O87">
        <v>0</v>
      </c>
      <c r="P87">
        <v>4</v>
      </c>
      <c r="Q87">
        <v>2</v>
      </c>
      <c r="R87">
        <v>23.63</v>
      </c>
      <c r="S87">
        <v>60</v>
      </c>
      <c r="T87">
        <v>60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60</v>
      </c>
      <c r="AB87">
        <v>3</v>
      </c>
      <c r="AC87">
        <v>0</v>
      </c>
      <c r="AD87" t="s">
        <v>130</v>
      </c>
      <c r="AF87" t="s">
        <v>130</v>
      </c>
      <c r="AH87">
        <v>86.63</v>
      </c>
    </row>
    <row r="88" spans="1:34" x14ac:dyDescent="0.3">
      <c r="A88" s="4">
        <v>244</v>
      </c>
      <c r="B88" s="5">
        <v>81</v>
      </c>
      <c r="C88">
        <v>480</v>
      </c>
      <c r="D88" t="s">
        <v>2881</v>
      </c>
      <c r="E88" t="s">
        <v>22</v>
      </c>
      <c r="F88" t="s">
        <v>79</v>
      </c>
      <c r="G88" t="s">
        <v>27014</v>
      </c>
      <c r="H88">
        <v>19.63</v>
      </c>
      <c r="I88">
        <v>0</v>
      </c>
      <c r="J88">
        <v>0</v>
      </c>
      <c r="K88">
        <v>20</v>
      </c>
      <c r="M88">
        <v>5</v>
      </c>
      <c r="O88">
        <v>5</v>
      </c>
      <c r="P88">
        <v>4</v>
      </c>
      <c r="Q88">
        <v>2</v>
      </c>
      <c r="R88">
        <v>50.63</v>
      </c>
      <c r="S88">
        <v>36</v>
      </c>
      <c r="T88">
        <v>36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36</v>
      </c>
      <c r="AB88">
        <v>0</v>
      </c>
      <c r="AC88">
        <v>0</v>
      </c>
      <c r="AF88" t="s">
        <v>130</v>
      </c>
      <c r="AH88">
        <v>86.63</v>
      </c>
    </row>
    <row r="89" spans="1:34" x14ac:dyDescent="0.3">
      <c r="A89" s="4">
        <v>245</v>
      </c>
      <c r="B89" s="5">
        <v>82</v>
      </c>
      <c r="C89">
        <v>13764</v>
      </c>
      <c r="D89" t="s">
        <v>9376</v>
      </c>
      <c r="E89" t="s">
        <v>182</v>
      </c>
      <c r="F89" t="s">
        <v>38</v>
      </c>
      <c r="G89" t="s">
        <v>27015</v>
      </c>
      <c r="H89">
        <v>16.48</v>
      </c>
      <c r="I89">
        <v>0</v>
      </c>
      <c r="J89">
        <v>0</v>
      </c>
      <c r="K89">
        <v>20</v>
      </c>
      <c r="M89">
        <v>5</v>
      </c>
      <c r="O89">
        <v>5</v>
      </c>
      <c r="P89">
        <v>4</v>
      </c>
      <c r="Q89">
        <v>0</v>
      </c>
      <c r="R89">
        <v>45.48</v>
      </c>
      <c r="S89">
        <v>28</v>
      </c>
      <c r="T89">
        <v>28</v>
      </c>
      <c r="U89">
        <v>5</v>
      </c>
      <c r="V89">
        <v>10</v>
      </c>
      <c r="W89">
        <v>0</v>
      </c>
      <c r="X89">
        <v>0</v>
      </c>
      <c r="Y89">
        <v>0</v>
      </c>
      <c r="Z89">
        <v>0</v>
      </c>
      <c r="AA89">
        <v>38</v>
      </c>
      <c r="AB89">
        <v>3</v>
      </c>
      <c r="AC89">
        <v>0</v>
      </c>
      <c r="AF89" t="s">
        <v>130</v>
      </c>
      <c r="AH89">
        <v>86.48</v>
      </c>
    </row>
    <row r="90" spans="1:34" x14ac:dyDescent="0.3">
      <c r="A90" s="4">
        <v>246</v>
      </c>
      <c r="B90" s="5">
        <v>83</v>
      </c>
      <c r="C90">
        <v>6372</v>
      </c>
      <c r="D90" t="s">
        <v>15248</v>
      </c>
      <c r="E90" t="s">
        <v>41</v>
      </c>
      <c r="F90" t="s">
        <v>117</v>
      </c>
      <c r="G90" t="s">
        <v>27016</v>
      </c>
      <c r="H90">
        <v>16.399999999999999</v>
      </c>
      <c r="I90">
        <v>0</v>
      </c>
      <c r="J90">
        <v>0</v>
      </c>
      <c r="K90">
        <v>20</v>
      </c>
      <c r="N90">
        <v>3</v>
      </c>
      <c r="O90">
        <v>3</v>
      </c>
      <c r="P90">
        <v>4</v>
      </c>
      <c r="Q90">
        <v>2</v>
      </c>
      <c r="R90">
        <v>45.4</v>
      </c>
      <c r="S90">
        <v>41</v>
      </c>
      <c r="T90">
        <v>41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41</v>
      </c>
      <c r="AB90">
        <v>0</v>
      </c>
      <c r="AC90">
        <v>0</v>
      </c>
      <c r="AD90" t="s">
        <v>130</v>
      </c>
      <c r="AF90" t="s">
        <v>130</v>
      </c>
      <c r="AH90">
        <v>86.4</v>
      </c>
    </row>
    <row r="91" spans="1:34" x14ac:dyDescent="0.3">
      <c r="A91" s="4">
        <v>247</v>
      </c>
      <c r="B91" s="5">
        <v>84</v>
      </c>
      <c r="C91">
        <v>12776</v>
      </c>
      <c r="D91" t="s">
        <v>27017</v>
      </c>
      <c r="E91" t="s">
        <v>20</v>
      </c>
      <c r="F91" t="s">
        <v>34</v>
      </c>
      <c r="G91" t="s">
        <v>27018</v>
      </c>
      <c r="H91">
        <v>17.25</v>
      </c>
      <c r="I91">
        <v>0</v>
      </c>
      <c r="J91">
        <v>0</v>
      </c>
      <c r="K91">
        <v>20</v>
      </c>
      <c r="L91">
        <v>7</v>
      </c>
      <c r="O91">
        <v>7</v>
      </c>
      <c r="P91">
        <v>4</v>
      </c>
      <c r="Q91">
        <v>2</v>
      </c>
      <c r="R91">
        <v>50.25</v>
      </c>
      <c r="S91">
        <v>36</v>
      </c>
      <c r="T91">
        <v>36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36</v>
      </c>
      <c r="AB91">
        <v>0</v>
      </c>
      <c r="AC91">
        <v>0</v>
      </c>
      <c r="AF91" t="s">
        <v>130</v>
      </c>
      <c r="AH91">
        <v>86.25</v>
      </c>
    </row>
    <row r="92" spans="1:34" x14ac:dyDescent="0.3">
      <c r="A92" s="4">
        <v>248</v>
      </c>
      <c r="B92" s="5">
        <v>85</v>
      </c>
      <c r="C92">
        <v>11024</v>
      </c>
      <c r="D92" t="s">
        <v>317</v>
      </c>
      <c r="E92" t="s">
        <v>161</v>
      </c>
      <c r="F92" t="s">
        <v>79</v>
      </c>
      <c r="G92" t="s">
        <v>27019</v>
      </c>
      <c r="H92">
        <v>20.2</v>
      </c>
      <c r="I92">
        <v>0</v>
      </c>
      <c r="J92">
        <v>0</v>
      </c>
      <c r="K92">
        <v>28</v>
      </c>
      <c r="N92">
        <v>3</v>
      </c>
      <c r="O92">
        <v>3</v>
      </c>
      <c r="P92">
        <v>4</v>
      </c>
      <c r="Q92">
        <v>2</v>
      </c>
      <c r="R92">
        <v>57.2</v>
      </c>
      <c r="S92">
        <v>23</v>
      </c>
      <c r="T92">
        <v>23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23</v>
      </c>
      <c r="AB92">
        <v>6</v>
      </c>
      <c r="AC92">
        <v>0</v>
      </c>
      <c r="AF92" t="s">
        <v>130</v>
      </c>
      <c r="AH92">
        <v>86.2</v>
      </c>
    </row>
    <row r="93" spans="1:34" x14ac:dyDescent="0.3">
      <c r="A93" s="4">
        <v>249</v>
      </c>
      <c r="B93" s="5">
        <v>86</v>
      </c>
      <c r="C93">
        <v>2338</v>
      </c>
      <c r="D93" t="s">
        <v>3968</v>
      </c>
      <c r="E93" t="s">
        <v>550</v>
      </c>
      <c r="F93" t="s">
        <v>38</v>
      </c>
      <c r="G93" t="s">
        <v>27020</v>
      </c>
      <c r="H93">
        <v>20.149999999999999</v>
      </c>
      <c r="I93">
        <v>0</v>
      </c>
      <c r="J93">
        <v>0</v>
      </c>
      <c r="K93">
        <v>20</v>
      </c>
      <c r="N93">
        <v>3</v>
      </c>
      <c r="O93">
        <v>3</v>
      </c>
      <c r="P93">
        <v>4</v>
      </c>
      <c r="Q93">
        <v>2</v>
      </c>
      <c r="R93">
        <v>49.15</v>
      </c>
      <c r="S93">
        <v>31</v>
      </c>
      <c r="T93">
        <v>31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31</v>
      </c>
      <c r="AB93">
        <v>6</v>
      </c>
      <c r="AC93">
        <v>0</v>
      </c>
      <c r="AD93" t="s">
        <v>130</v>
      </c>
      <c r="AF93" t="s">
        <v>130</v>
      </c>
      <c r="AH93">
        <v>86.15</v>
      </c>
    </row>
    <row r="94" spans="1:34" x14ac:dyDescent="0.3">
      <c r="A94" s="4">
        <v>250</v>
      </c>
      <c r="B94" s="5">
        <v>87</v>
      </c>
      <c r="C94">
        <v>10881</v>
      </c>
      <c r="D94" t="s">
        <v>27021</v>
      </c>
      <c r="E94" t="s">
        <v>439</v>
      </c>
      <c r="F94" t="s">
        <v>9822</v>
      </c>
      <c r="G94" t="s">
        <v>27022</v>
      </c>
      <c r="H94">
        <v>16.13</v>
      </c>
      <c r="I94">
        <v>0</v>
      </c>
      <c r="J94">
        <v>0</v>
      </c>
      <c r="K94">
        <v>20</v>
      </c>
      <c r="L94">
        <v>7</v>
      </c>
      <c r="O94">
        <v>7</v>
      </c>
      <c r="P94">
        <v>4</v>
      </c>
      <c r="Q94">
        <v>2</v>
      </c>
      <c r="R94">
        <v>49.13</v>
      </c>
      <c r="S94">
        <v>37</v>
      </c>
      <c r="T94">
        <v>37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37</v>
      </c>
      <c r="AB94">
        <v>0</v>
      </c>
      <c r="AC94">
        <v>0</v>
      </c>
      <c r="AD94" t="s">
        <v>130</v>
      </c>
      <c r="AF94" t="s">
        <v>130</v>
      </c>
      <c r="AH94">
        <v>86.13</v>
      </c>
    </row>
    <row r="95" spans="1:34" x14ac:dyDescent="0.3">
      <c r="A95" s="4">
        <v>251</v>
      </c>
      <c r="B95" s="5">
        <v>88</v>
      </c>
      <c r="C95">
        <v>9020</v>
      </c>
      <c r="D95" t="s">
        <v>2304</v>
      </c>
      <c r="E95" t="s">
        <v>6225</v>
      </c>
      <c r="F95" t="s">
        <v>652</v>
      </c>
      <c r="G95" t="s">
        <v>27023</v>
      </c>
      <c r="H95">
        <v>16</v>
      </c>
      <c r="I95">
        <v>0</v>
      </c>
      <c r="J95">
        <v>0</v>
      </c>
      <c r="K95">
        <v>20</v>
      </c>
      <c r="L95">
        <v>7</v>
      </c>
      <c r="O95">
        <v>7</v>
      </c>
      <c r="P95">
        <v>4</v>
      </c>
      <c r="Q95">
        <v>2</v>
      </c>
      <c r="R95">
        <v>49</v>
      </c>
      <c r="S95">
        <v>34</v>
      </c>
      <c r="T95">
        <v>34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34</v>
      </c>
      <c r="AB95">
        <v>3</v>
      </c>
      <c r="AC95">
        <v>0</v>
      </c>
      <c r="AF95" t="s">
        <v>130</v>
      </c>
      <c r="AH95">
        <v>86</v>
      </c>
    </row>
    <row r="96" spans="1:34" x14ac:dyDescent="0.3">
      <c r="A96" s="4">
        <v>252</v>
      </c>
      <c r="B96" s="5">
        <v>89</v>
      </c>
      <c r="C96">
        <v>9965</v>
      </c>
      <c r="D96" t="s">
        <v>74</v>
      </c>
      <c r="E96" t="s">
        <v>29</v>
      </c>
      <c r="F96" t="s">
        <v>1023</v>
      </c>
      <c r="G96" t="s">
        <v>27024</v>
      </c>
      <c r="H96">
        <v>17.850000000000001</v>
      </c>
      <c r="I96">
        <v>0</v>
      </c>
      <c r="J96">
        <v>0</v>
      </c>
      <c r="K96">
        <v>20</v>
      </c>
      <c r="N96">
        <v>3</v>
      </c>
      <c r="O96">
        <v>3</v>
      </c>
      <c r="P96">
        <v>4</v>
      </c>
      <c r="Q96">
        <v>0</v>
      </c>
      <c r="R96">
        <v>44.85</v>
      </c>
      <c r="S96">
        <v>41</v>
      </c>
      <c r="T96">
        <v>41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41</v>
      </c>
      <c r="AB96">
        <v>0</v>
      </c>
      <c r="AC96">
        <v>0</v>
      </c>
      <c r="AD96" t="s">
        <v>130</v>
      </c>
      <c r="AF96" t="s">
        <v>130</v>
      </c>
      <c r="AH96">
        <v>85.85</v>
      </c>
    </row>
    <row r="97" spans="1:34" x14ac:dyDescent="0.3">
      <c r="A97" s="4">
        <v>253</v>
      </c>
      <c r="B97" s="5">
        <v>90</v>
      </c>
      <c r="C97">
        <v>560</v>
      </c>
      <c r="D97" t="s">
        <v>27025</v>
      </c>
      <c r="E97" t="s">
        <v>29</v>
      </c>
      <c r="F97" t="s">
        <v>243</v>
      </c>
      <c r="G97" t="s">
        <v>27026</v>
      </c>
      <c r="H97">
        <v>18.829999999999998</v>
      </c>
      <c r="I97">
        <v>0</v>
      </c>
      <c r="J97">
        <v>0</v>
      </c>
      <c r="K97">
        <v>28</v>
      </c>
      <c r="L97">
        <v>7</v>
      </c>
      <c r="O97">
        <v>7</v>
      </c>
      <c r="P97">
        <v>4</v>
      </c>
      <c r="Q97">
        <v>2</v>
      </c>
      <c r="R97">
        <v>59.83</v>
      </c>
      <c r="S97">
        <v>26</v>
      </c>
      <c r="T97">
        <v>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26</v>
      </c>
      <c r="AB97">
        <v>0</v>
      </c>
      <c r="AC97">
        <v>0</v>
      </c>
      <c r="AD97" t="s">
        <v>130</v>
      </c>
      <c r="AF97" t="s">
        <v>130</v>
      </c>
      <c r="AH97">
        <v>85.83</v>
      </c>
    </row>
    <row r="98" spans="1:34" x14ac:dyDescent="0.3">
      <c r="A98" s="4">
        <v>254</v>
      </c>
      <c r="B98" s="5">
        <v>91</v>
      </c>
      <c r="C98">
        <v>5676</v>
      </c>
      <c r="D98" t="s">
        <v>11909</v>
      </c>
      <c r="E98" t="s">
        <v>1140</v>
      </c>
      <c r="F98" t="s">
        <v>457</v>
      </c>
      <c r="G98" t="s">
        <v>11910</v>
      </c>
      <c r="H98">
        <v>20.7</v>
      </c>
      <c r="I98">
        <v>7</v>
      </c>
      <c r="J98">
        <v>0</v>
      </c>
      <c r="K98">
        <v>20</v>
      </c>
      <c r="L98">
        <v>7</v>
      </c>
      <c r="M98">
        <v>5</v>
      </c>
      <c r="O98">
        <v>12</v>
      </c>
      <c r="P98">
        <v>4</v>
      </c>
      <c r="Q98">
        <v>2</v>
      </c>
      <c r="R98">
        <v>65.7</v>
      </c>
      <c r="S98">
        <v>14</v>
      </c>
      <c r="T98">
        <v>14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14</v>
      </c>
      <c r="AB98">
        <v>6</v>
      </c>
      <c r="AC98">
        <v>0</v>
      </c>
      <c r="AF98" t="s">
        <v>130</v>
      </c>
      <c r="AH98">
        <v>85.7</v>
      </c>
    </row>
    <row r="99" spans="1:34" x14ac:dyDescent="0.3">
      <c r="A99" s="4">
        <v>255</v>
      </c>
      <c r="B99" s="5">
        <v>92</v>
      </c>
      <c r="C99">
        <v>6537</v>
      </c>
      <c r="D99" t="s">
        <v>3102</v>
      </c>
      <c r="E99" t="s">
        <v>29</v>
      </c>
      <c r="F99" t="s">
        <v>3121</v>
      </c>
      <c r="G99" t="s">
        <v>27027</v>
      </c>
      <c r="H99">
        <v>19.7</v>
      </c>
      <c r="I99">
        <v>0</v>
      </c>
      <c r="J99">
        <v>0</v>
      </c>
      <c r="K99">
        <v>20</v>
      </c>
      <c r="N99">
        <v>3</v>
      </c>
      <c r="O99">
        <v>3</v>
      </c>
      <c r="P99">
        <v>4</v>
      </c>
      <c r="Q99">
        <v>2</v>
      </c>
      <c r="R99">
        <v>48.7</v>
      </c>
      <c r="S99">
        <v>31</v>
      </c>
      <c r="T99">
        <v>31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31</v>
      </c>
      <c r="AB99">
        <v>6</v>
      </c>
      <c r="AC99">
        <v>0</v>
      </c>
      <c r="AD99" t="s">
        <v>130</v>
      </c>
      <c r="AF99" t="s">
        <v>130</v>
      </c>
      <c r="AH99">
        <v>85.7</v>
      </c>
    </row>
    <row r="100" spans="1:34" x14ac:dyDescent="0.3">
      <c r="A100" s="4">
        <v>256</v>
      </c>
      <c r="B100" s="5">
        <v>93</v>
      </c>
      <c r="C100">
        <v>1505</v>
      </c>
      <c r="D100" t="s">
        <v>577</v>
      </c>
      <c r="E100" t="s">
        <v>54</v>
      </c>
      <c r="F100" t="s">
        <v>17</v>
      </c>
      <c r="G100" t="s">
        <v>27028</v>
      </c>
      <c r="H100">
        <v>19.68</v>
      </c>
      <c r="I100">
        <v>0</v>
      </c>
      <c r="J100">
        <v>0</v>
      </c>
      <c r="K100">
        <v>20</v>
      </c>
      <c r="N100">
        <v>3</v>
      </c>
      <c r="O100">
        <v>3</v>
      </c>
      <c r="P100">
        <v>4</v>
      </c>
      <c r="Q100">
        <v>2</v>
      </c>
      <c r="R100">
        <v>48.68</v>
      </c>
      <c r="S100">
        <v>37</v>
      </c>
      <c r="T100">
        <v>37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37</v>
      </c>
      <c r="AB100">
        <v>0</v>
      </c>
      <c r="AC100">
        <v>0</v>
      </c>
      <c r="AD100" t="s">
        <v>130</v>
      </c>
      <c r="AF100" t="s">
        <v>130</v>
      </c>
      <c r="AH100">
        <v>85.68</v>
      </c>
    </row>
    <row r="101" spans="1:34" x14ac:dyDescent="0.3">
      <c r="A101" s="4">
        <v>257</v>
      </c>
      <c r="B101" s="5">
        <v>94</v>
      </c>
      <c r="C101">
        <v>177</v>
      </c>
      <c r="D101" t="s">
        <v>27029</v>
      </c>
      <c r="E101" t="s">
        <v>100</v>
      </c>
      <c r="F101" t="s">
        <v>17</v>
      </c>
      <c r="G101" t="s">
        <v>27030</v>
      </c>
      <c r="H101">
        <v>18.63</v>
      </c>
      <c r="I101">
        <v>0</v>
      </c>
      <c r="J101">
        <v>0</v>
      </c>
      <c r="K101">
        <v>20</v>
      </c>
      <c r="L101">
        <v>7</v>
      </c>
      <c r="O101">
        <v>7</v>
      </c>
      <c r="P101">
        <v>4</v>
      </c>
      <c r="Q101">
        <v>2</v>
      </c>
      <c r="R101">
        <v>51.63</v>
      </c>
      <c r="S101">
        <v>34</v>
      </c>
      <c r="T101">
        <v>34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34</v>
      </c>
      <c r="AB101">
        <v>0</v>
      </c>
      <c r="AC101">
        <v>0</v>
      </c>
      <c r="AF101" t="s">
        <v>130</v>
      </c>
      <c r="AH101">
        <v>85.63</v>
      </c>
    </row>
    <row r="102" spans="1:34" x14ac:dyDescent="0.3">
      <c r="A102" s="4">
        <v>258</v>
      </c>
      <c r="B102" s="5">
        <v>95</v>
      </c>
      <c r="C102">
        <v>6481</v>
      </c>
      <c r="D102" t="s">
        <v>1408</v>
      </c>
      <c r="E102" t="s">
        <v>41</v>
      </c>
      <c r="F102" t="s">
        <v>20</v>
      </c>
      <c r="G102" t="s">
        <v>27031</v>
      </c>
      <c r="H102">
        <v>18.43</v>
      </c>
      <c r="I102">
        <v>0</v>
      </c>
      <c r="J102">
        <v>0</v>
      </c>
      <c r="K102">
        <v>0</v>
      </c>
      <c r="N102">
        <v>3</v>
      </c>
      <c r="O102">
        <v>3</v>
      </c>
      <c r="P102">
        <v>4</v>
      </c>
      <c r="Q102">
        <v>2</v>
      </c>
      <c r="R102">
        <v>27.43</v>
      </c>
      <c r="S102">
        <v>24</v>
      </c>
      <c r="T102">
        <v>24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24</v>
      </c>
      <c r="AB102">
        <v>0</v>
      </c>
      <c r="AC102">
        <v>34</v>
      </c>
      <c r="AF102" t="s">
        <v>130</v>
      </c>
      <c r="AH102">
        <v>85.43</v>
      </c>
    </row>
    <row r="103" spans="1:34" x14ac:dyDescent="0.3">
      <c r="A103" s="4">
        <v>259</v>
      </c>
      <c r="B103" s="5">
        <v>96</v>
      </c>
      <c r="C103">
        <v>5984</v>
      </c>
      <c r="D103" t="s">
        <v>27032</v>
      </c>
      <c r="E103" t="s">
        <v>29</v>
      </c>
      <c r="F103" t="s">
        <v>158</v>
      </c>
      <c r="G103" t="s">
        <v>27033</v>
      </c>
      <c r="H103">
        <v>19.329999999999998</v>
      </c>
      <c r="I103">
        <v>7</v>
      </c>
      <c r="J103">
        <v>0</v>
      </c>
      <c r="K103">
        <v>20</v>
      </c>
      <c r="L103">
        <v>7</v>
      </c>
      <c r="N103">
        <v>3</v>
      </c>
      <c r="O103">
        <v>10</v>
      </c>
      <c r="P103">
        <v>4</v>
      </c>
      <c r="Q103">
        <v>2</v>
      </c>
      <c r="R103">
        <v>62.33</v>
      </c>
      <c r="S103">
        <v>23</v>
      </c>
      <c r="T103">
        <v>23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23</v>
      </c>
      <c r="AB103">
        <v>0</v>
      </c>
      <c r="AC103">
        <v>0</v>
      </c>
      <c r="AF103" t="s">
        <v>130</v>
      </c>
      <c r="AH103">
        <v>85.33</v>
      </c>
    </row>
    <row r="104" spans="1:34" x14ac:dyDescent="0.3">
      <c r="A104" s="4">
        <v>260</v>
      </c>
      <c r="B104" s="5">
        <v>97</v>
      </c>
      <c r="C104">
        <v>11075</v>
      </c>
      <c r="D104" t="s">
        <v>27034</v>
      </c>
      <c r="E104" t="s">
        <v>1280</v>
      </c>
      <c r="F104" t="s">
        <v>741</v>
      </c>
      <c r="G104" t="s">
        <v>27035</v>
      </c>
      <c r="H104">
        <v>19.25</v>
      </c>
      <c r="I104">
        <v>0</v>
      </c>
      <c r="J104">
        <v>0</v>
      </c>
      <c r="K104">
        <v>0</v>
      </c>
      <c r="N104">
        <v>3</v>
      </c>
      <c r="O104">
        <v>3</v>
      </c>
      <c r="P104">
        <v>4</v>
      </c>
      <c r="Q104">
        <v>2</v>
      </c>
      <c r="R104">
        <v>28.25</v>
      </c>
      <c r="S104">
        <v>54</v>
      </c>
      <c r="T104">
        <v>54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54</v>
      </c>
      <c r="AB104">
        <v>3</v>
      </c>
      <c r="AC104">
        <v>0</v>
      </c>
      <c r="AF104" t="s">
        <v>130</v>
      </c>
      <c r="AH104">
        <v>85.25</v>
      </c>
    </row>
    <row r="105" spans="1:34" x14ac:dyDescent="0.3">
      <c r="A105" s="4">
        <v>261</v>
      </c>
      <c r="B105" s="5">
        <v>98</v>
      </c>
      <c r="C105">
        <v>14220</v>
      </c>
      <c r="D105" t="s">
        <v>27036</v>
      </c>
      <c r="E105" t="s">
        <v>41</v>
      </c>
      <c r="F105" t="s">
        <v>3705</v>
      </c>
      <c r="G105" t="s">
        <v>27037</v>
      </c>
      <c r="H105">
        <v>20.18</v>
      </c>
      <c r="I105">
        <v>0</v>
      </c>
      <c r="J105">
        <v>0</v>
      </c>
      <c r="K105">
        <v>20</v>
      </c>
      <c r="L105">
        <v>7</v>
      </c>
      <c r="O105">
        <v>7</v>
      </c>
      <c r="P105">
        <v>4</v>
      </c>
      <c r="Q105">
        <v>0</v>
      </c>
      <c r="R105">
        <v>51.18</v>
      </c>
      <c r="S105">
        <v>0</v>
      </c>
      <c r="T105">
        <v>0</v>
      </c>
      <c r="U105">
        <v>17</v>
      </c>
      <c r="V105">
        <v>34</v>
      </c>
      <c r="W105">
        <v>0</v>
      </c>
      <c r="X105">
        <v>0</v>
      </c>
      <c r="Y105">
        <v>0</v>
      </c>
      <c r="Z105">
        <v>0</v>
      </c>
      <c r="AA105">
        <v>34</v>
      </c>
      <c r="AB105">
        <v>0</v>
      </c>
      <c r="AC105">
        <v>0</v>
      </c>
      <c r="AF105" t="s">
        <v>130</v>
      </c>
      <c r="AH105">
        <v>85.18</v>
      </c>
    </row>
    <row r="106" spans="1:34" x14ac:dyDescent="0.3">
      <c r="A106" s="4">
        <v>262</v>
      </c>
      <c r="B106" s="5">
        <v>99</v>
      </c>
      <c r="C106">
        <v>94</v>
      </c>
      <c r="D106" t="s">
        <v>10995</v>
      </c>
      <c r="E106" t="s">
        <v>9158</v>
      </c>
      <c r="F106" t="s">
        <v>52</v>
      </c>
      <c r="G106" t="s">
        <v>27038</v>
      </c>
      <c r="H106">
        <v>17.13</v>
      </c>
      <c r="I106">
        <v>0</v>
      </c>
      <c r="J106">
        <v>0</v>
      </c>
      <c r="K106">
        <v>20</v>
      </c>
      <c r="N106">
        <v>3</v>
      </c>
      <c r="O106">
        <v>3</v>
      </c>
      <c r="P106">
        <v>4</v>
      </c>
      <c r="Q106">
        <v>2</v>
      </c>
      <c r="R106">
        <v>46.13</v>
      </c>
      <c r="S106">
        <v>39</v>
      </c>
      <c r="T106">
        <v>39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39</v>
      </c>
      <c r="AB106">
        <v>0</v>
      </c>
      <c r="AC106">
        <v>0</v>
      </c>
      <c r="AF106" t="s">
        <v>130</v>
      </c>
      <c r="AH106">
        <v>85.13</v>
      </c>
    </row>
    <row r="107" spans="1:34" x14ac:dyDescent="0.3">
      <c r="A107" s="4">
        <v>263</v>
      </c>
      <c r="B107" s="5">
        <v>100</v>
      </c>
      <c r="C107">
        <v>4221</v>
      </c>
      <c r="D107" t="s">
        <v>2064</v>
      </c>
      <c r="E107" t="s">
        <v>88</v>
      </c>
      <c r="F107" t="s">
        <v>539</v>
      </c>
      <c r="G107" t="s">
        <v>27039</v>
      </c>
      <c r="H107">
        <v>18.05</v>
      </c>
      <c r="I107">
        <v>0</v>
      </c>
      <c r="J107">
        <v>0</v>
      </c>
      <c r="K107">
        <v>20</v>
      </c>
      <c r="L107">
        <v>7</v>
      </c>
      <c r="O107">
        <v>7</v>
      </c>
      <c r="P107">
        <v>4</v>
      </c>
      <c r="Q107">
        <v>2</v>
      </c>
      <c r="R107">
        <v>51.05</v>
      </c>
      <c r="S107">
        <v>34</v>
      </c>
      <c r="T107">
        <v>34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34</v>
      </c>
      <c r="AB107">
        <v>0</v>
      </c>
      <c r="AC107">
        <v>0</v>
      </c>
      <c r="AD107" t="s">
        <v>130</v>
      </c>
      <c r="AF107" t="s">
        <v>130</v>
      </c>
      <c r="AH107">
        <v>85.05</v>
      </c>
    </row>
    <row r="108" spans="1:34" x14ac:dyDescent="0.3">
      <c r="A108" s="4">
        <v>264</v>
      </c>
      <c r="B108" s="5">
        <v>101</v>
      </c>
      <c r="C108">
        <v>2988</v>
      </c>
      <c r="D108" t="s">
        <v>27040</v>
      </c>
      <c r="E108" t="s">
        <v>1652</v>
      </c>
      <c r="F108" t="s">
        <v>626</v>
      </c>
      <c r="G108" t="s">
        <v>27041</v>
      </c>
      <c r="H108">
        <v>16.850000000000001</v>
      </c>
      <c r="I108">
        <v>0</v>
      </c>
      <c r="J108">
        <v>0</v>
      </c>
      <c r="K108">
        <v>20</v>
      </c>
      <c r="M108">
        <v>5</v>
      </c>
      <c r="N108">
        <v>3</v>
      </c>
      <c r="O108">
        <v>8</v>
      </c>
      <c r="P108">
        <v>4</v>
      </c>
      <c r="Q108">
        <v>2</v>
      </c>
      <c r="R108">
        <v>50.85</v>
      </c>
      <c r="S108">
        <v>34</v>
      </c>
      <c r="T108">
        <v>34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34</v>
      </c>
      <c r="AB108">
        <v>0</v>
      </c>
      <c r="AC108">
        <v>0</v>
      </c>
      <c r="AF108" t="s">
        <v>130</v>
      </c>
      <c r="AH108">
        <v>84.85</v>
      </c>
    </row>
    <row r="109" spans="1:34" x14ac:dyDescent="0.3">
      <c r="A109" s="4">
        <v>265</v>
      </c>
      <c r="B109" s="5">
        <v>102</v>
      </c>
      <c r="C109">
        <v>7718</v>
      </c>
      <c r="D109" t="s">
        <v>7565</v>
      </c>
      <c r="E109" t="s">
        <v>29</v>
      </c>
      <c r="F109" t="s">
        <v>17</v>
      </c>
      <c r="G109" t="s">
        <v>27042</v>
      </c>
      <c r="H109">
        <v>16.829999999999998</v>
      </c>
      <c r="I109">
        <v>7</v>
      </c>
      <c r="J109">
        <v>0</v>
      </c>
      <c r="K109">
        <v>20</v>
      </c>
      <c r="L109">
        <v>14</v>
      </c>
      <c r="O109">
        <v>14</v>
      </c>
      <c r="P109">
        <v>4</v>
      </c>
      <c r="Q109">
        <v>2</v>
      </c>
      <c r="R109">
        <v>63.83</v>
      </c>
      <c r="S109">
        <v>12</v>
      </c>
      <c r="T109">
        <v>12</v>
      </c>
      <c r="U109">
        <v>0</v>
      </c>
      <c r="V109">
        <v>0</v>
      </c>
      <c r="W109">
        <v>6</v>
      </c>
      <c r="X109">
        <v>9</v>
      </c>
      <c r="Y109">
        <v>0</v>
      </c>
      <c r="Z109">
        <v>0</v>
      </c>
      <c r="AA109">
        <v>21</v>
      </c>
      <c r="AB109">
        <v>0</v>
      </c>
      <c r="AC109">
        <v>0</v>
      </c>
      <c r="AF109" t="s">
        <v>130</v>
      </c>
      <c r="AH109">
        <v>84.83</v>
      </c>
    </row>
    <row r="110" spans="1:34" x14ac:dyDescent="0.3">
      <c r="A110" s="4">
        <v>266</v>
      </c>
      <c r="B110" s="5">
        <v>103</v>
      </c>
      <c r="C110">
        <v>1279</v>
      </c>
      <c r="D110" t="s">
        <v>27043</v>
      </c>
      <c r="E110" t="s">
        <v>213</v>
      </c>
      <c r="F110" t="s">
        <v>171</v>
      </c>
      <c r="G110" t="s">
        <v>27044</v>
      </c>
      <c r="H110">
        <v>18.829999999999998</v>
      </c>
      <c r="I110">
        <v>0</v>
      </c>
      <c r="J110">
        <v>0</v>
      </c>
      <c r="K110">
        <v>20</v>
      </c>
      <c r="N110">
        <v>3</v>
      </c>
      <c r="O110">
        <v>3</v>
      </c>
      <c r="P110">
        <v>4</v>
      </c>
      <c r="Q110">
        <v>2</v>
      </c>
      <c r="R110">
        <v>47.83</v>
      </c>
      <c r="S110">
        <v>37</v>
      </c>
      <c r="T110">
        <v>37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37</v>
      </c>
      <c r="AB110">
        <v>0</v>
      </c>
      <c r="AC110">
        <v>0</v>
      </c>
      <c r="AF110" t="s">
        <v>130</v>
      </c>
      <c r="AH110">
        <v>84.83</v>
      </c>
    </row>
    <row r="111" spans="1:34" x14ac:dyDescent="0.3">
      <c r="A111" s="4">
        <v>267</v>
      </c>
      <c r="B111" s="5">
        <v>104</v>
      </c>
      <c r="C111">
        <v>3487</v>
      </c>
      <c r="D111" t="s">
        <v>2609</v>
      </c>
      <c r="E111" t="s">
        <v>88</v>
      </c>
      <c r="F111" t="s">
        <v>13246</v>
      </c>
      <c r="G111" t="s">
        <v>27045</v>
      </c>
      <c r="H111">
        <v>15.83</v>
      </c>
      <c r="I111">
        <v>0</v>
      </c>
      <c r="J111">
        <v>0</v>
      </c>
      <c r="K111">
        <v>20</v>
      </c>
      <c r="N111">
        <v>3</v>
      </c>
      <c r="O111">
        <v>3</v>
      </c>
      <c r="P111">
        <v>4</v>
      </c>
      <c r="Q111">
        <v>2</v>
      </c>
      <c r="R111">
        <v>44.83</v>
      </c>
      <c r="S111">
        <v>40</v>
      </c>
      <c r="T111">
        <v>40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40</v>
      </c>
      <c r="AB111">
        <v>0</v>
      </c>
      <c r="AC111">
        <v>0</v>
      </c>
      <c r="AD111" t="s">
        <v>130</v>
      </c>
      <c r="AF111" t="s">
        <v>130</v>
      </c>
      <c r="AH111">
        <v>84.83</v>
      </c>
    </row>
    <row r="112" spans="1:34" x14ac:dyDescent="0.3">
      <c r="A112" s="4">
        <v>268</v>
      </c>
      <c r="B112" s="5">
        <v>105</v>
      </c>
      <c r="C112">
        <v>1480</v>
      </c>
      <c r="D112" t="s">
        <v>27046</v>
      </c>
      <c r="E112" t="s">
        <v>100</v>
      </c>
      <c r="F112" t="s">
        <v>17</v>
      </c>
      <c r="G112" t="s">
        <v>27047</v>
      </c>
      <c r="H112">
        <v>18.75</v>
      </c>
      <c r="I112">
        <v>0</v>
      </c>
      <c r="J112">
        <v>0</v>
      </c>
      <c r="K112">
        <v>20</v>
      </c>
      <c r="N112">
        <v>3</v>
      </c>
      <c r="O112">
        <v>3</v>
      </c>
      <c r="P112">
        <v>4</v>
      </c>
      <c r="Q112">
        <v>2</v>
      </c>
      <c r="R112">
        <v>47.75</v>
      </c>
      <c r="S112">
        <v>34</v>
      </c>
      <c r="T112">
        <v>34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34</v>
      </c>
      <c r="AB112">
        <v>3</v>
      </c>
      <c r="AC112">
        <v>0</v>
      </c>
      <c r="AF112" t="s">
        <v>130</v>
      </c>
      <c r="AH112">
        <v>84.75</v>
      </c>
    </row>
    <row r="113" spans="1:34" x14ac:dyDescent="0.3">
      <c r="A113" s="4">
        <v>269</v>
      </c>
      <c r="B113" s="5">
        <v>106</v>
      </c>
      <c r="C113">
        <v>11874</v>
      </c>
      <c r="D113" t="s">
        <v>1015</v>
      </c>
      <c r="E113" t="s">
        <v>4935</v>
      </c>
      <c r="F113" t="s">
        <v>230</v>
      </c>
      <c r="G113" t="s">
        <v>27048</v>
      </c>
      <c r="H113">
        <v>17.75</v>
      </c>
      <c r="I113">
        <v>0</v>
      </c>
      <c r="J113">
        <v>0</v>
      </c>
      <c r="K113">
        <v>0</v>
      </c>
      <c r="N113">
        <v>3</v>
      </c>
      <c r="O113">
        <v>3</v>
      </c>
      <c r="P113">
        <v>4</v>
      </c>
      <c r="Q113">
        <v>2</v>
      </c>
      <c r="R113">
        <v>26.75</v>
      </c>
      <c r="S113">
        <v>55</v>
      </c>
      <c r="T113">
        <v>55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55</v>
      </c>
      <c r="AB113">
        <v>3</v>
      </c>
      <c r="AC113">
        <v>0</v>
      </c>
      <c r="AF113" t="s">
        <v>130</v>
      </c>
      <c r="AH113">
        <v>84.75</v>
      </c>
    </row>
    <row r="114" spans="1:34" x14ac:dyDescent="0.3">
      <c r="A114" s="4">
        <v>270</v>
      </c>
      <c r="B114" s="5">
        <v>107</v>
      </c>
      <c r="C114">
        <v>2228</v>
      </c>
      <c r="D114" t="s">
        <v>27049</v>
      </c>
      <c r="E114" t="s">
        <v>81</v>
      </c>
      <c r="F114" t="s">
        <v>259</v>
      </c>
      <c r="G114" t="s">
        <v>27050</v>
      </c>
      <c r="H114">
        <v>15.28</v>
      </c>
      <c r="I114">
        <v>0</v>
      </c>
      <c r="J114">
        <v>0</v>
      </c>
      <c r="K114">
        <v>28</v>
      </c>
      <c r="O114">
        <v>0</v>
      </c>
      <c r="P114">
        <v>4</v>
      </c>
      <c r="Q114">
        <v>2</v>
      </c>
      <c r="R114">
        <v>49.28</v>
      </c>
      <c r="S114">
        <v>35</v>
      </c>
      <c r="T114">
        <v>35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35</v>
      </c>
      <c r="AB114">
        <v>0</v>
      </c>
      <c r="AC114">
        <v>0</v>
      </c>
      <c r="AD114" t="s">
        <v>130</v>
      </c>
      <c r="AF114" t="s">
        <v>130</v>
      </c>
      <c r="AH114">
        <v>84.28</v>
      </c>
    </row>
    <row r="115" spans="1:34" x14ac:dyDescent="0.3">
      <c r="A115" s="4">
        <v>271</v>
      </c>
      <c r="B115" s="5">
        <v>108</v>
      </c>
      <c r="C115">
        <v>1305</v>
      </c>
      <c r="D115" t="s">
        <v>27051</v>
      </c>
      <c r="E115" t="s">
        <v>190</v>
      </c>
      <c r="F115" t="s">
        <v>385</v>
      </c>
      <c r="G115" t="s">
        <v>27052</v>
      </c>
      <c r="H115">
        <v>16.25</v>
      </c>
      <c r="I115">
        <v>0</v>
      </c>
      <c r="J115">
        <v>0</v>
      </c>
      <c r="K115">
        <v>20</v>
      </c>
      <c r="L115">
        <v>7</v>
      </c>
      <c r="O115">
        <v>7</v>
      </c>
      <c r="P115">
        <v>4</v>
      </c>
      <c r="Q115">
        <v>2</v>
      </c>
      <c r="R115">
        <v>49.25</v>
      </c>
      <c r="S115">
        <v>35</v>
      </c>
      <c r="T115">
        <v>35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35</v>
      </c>
      <c r="AB115">
        <v>0</v>
      </c>
      <c r="AC115">
        <v>0</v>
      </c>
      <c r="AF115" t="s">
        <v>130</v>
      </c>
      <c r="AH115">
        <v>84.25</v>
      </c>
    </row>
    <row r="116" spans="1:34" x14ac:dyDescent="0.3">
      <c r="A116" s="4">
        <v>272</v>
      </c>
      <c r="B116" s="5">
        <v>109</v>
      </c>
      <c r="C116">
        <v>229</v>
      </c>
      <c r="D116" t="s">
        <v>3035</v>
      </c>
      <c r="E116" t="s">
        <v>1189</v>
      </c>
      <c r="F116" t="s">
        <v>20</v>
      </c>
      <c r="G116" t="s">
        <v>27053</v>
      </c>
      <c r="H116">
        <v>18.23</v>
      </c>
      <c r="I116">
        <v>0</v>
      </c>
      <c r="J116">
        <v>0</v>
      </c>
      <c r="K116">
        <v>20</v>
      </c>
      <c r="L116">
        <v>7</v>
      </c>
      <c r="O116">
        <v>7</v>
      </c>
      <c r="P116">
        <v>4</v>
      </c>
      <c r="Q116">
        <v>2</v>
      </c>
      <c r="R116">
        <v>51.23</v>
      </c>
      <c r="S116">
        <v>33</v>
      </c>
      <c r="T116">
        <v>33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33</v>
      </c>
      <c r="AB116">
        <v>0</v>
      </c>
      <c r="AC116">
        <v>0</v>
      </c>
      <c r="AF116" t="s">
        <v>130</v>
      </c>
      <c r="AH116">
        <v>84.23</v>
      </c>
    </row>
    <row r="117" spans="1:34" x14ac:dyDescent="0.3">
      <c r="A117" s="4">
        <v>274</v>
      </c>
      <c r="B117" s="5">
        <v>110</v>
      </c>
      <c r="C117">
        <v>6694</v>
      </c>
      <c r="D117" t="s">
        <v>6879</v>
      </c>
      <c r="E117" t="s">
        <v>29</v>
      </c>
      <c r="F117" t="s">
        <v>124</v>
      </c>
      <c r="G117" t="s">
        <v>27054</v>
      </c>
      <c r="H117">
        <v>18.5</v>
      </c>
      <c r="I117">
        <v>0</v>
      </c>
      <c r="J117">
        <v>0</v>
      </c>
      <c r="K117">
        <v>20</v>
      </c>
      <c r="L117">
        <v>7</v>
      </c>
      <c r="O117">
        <v>7</v>
      </c>
      <c r="P117">
        <v>4</v>
      </c>
      <c r="Q117">
        <v>2</v>
      </c>
      <c r="R117">
        <v>51.5</v>
      </c>
      <c r="S117">
        <v>26</v>
      </c>
      <c r="T117">
        <v>26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26</v>
      </c>
      <c r="AB117">
        <v>6</v>
      </c>
      <c r="AC117">
        <v>0</v>
      </c>
      <c r="AF117" t="s">
        <v>130</v>
      </c>
      <c r="AH117">
        <v>83.5</v>
      </c>
    </row>
    <row r="118" spans="1:34" x14ac:dyDescent="0.3">
      <c r="A118" s="4">
        <v>275</v>
      </c>
      <c r="B118" s="5">
        <v>111</v>
      </c>
      <c r="C118">
        <v>4712</v>
      </c>
      <c r="D118" t="s">
        <v>1654</v>
      </c>
      <c r="E118" t="s">
        <v>166</v>
      </c>
      <c r="F118" t="s">
        <v>34</v>
      </c>
      <c r="G118" t="s">
        <v>27055</v>
      </c>
      <c r="H118">
        <v>19.399999999999999</v>
      </c>
      <c r="I118">
        <v>0</v>
      </c>
      <c r="J118">
        <v>0</v>
      </c>
      <c r="K118">
        <v>20</v>
      </c>
      <c r="N118">
        <v>3</v>
      </c>
      <c r="O118">
        <v>3</v>
      </c>
      <c r="P118">
        <v>4</v>
      </c>
      <c r="Q118">
        <v>2</v>
      </c>
      <c r="R118">
        <v>48.4</v>
      </c>
      <c r="S118">
        <v>35</v>
      </c>
      <c r="T118">
        <v>35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35</v>
      </c>
      <c r="AB118">
        <v>0</v>
      </c>
      <c r="AC118">
        <v>0</v>
      </c>
      <c r="AF118" t="s">
        <v>130</v>
      </c>
      <c r="AH118">
        <v>83.4</v>
      </c>
    </row>
    <row r="119" spans="1:34" x14ac:dyDescent="0.3">
      <c r="A119" s="4">
        <v>276</v>
      </c>
      <c r="B119" s="5">
        <v>112</v>
      </c>
      <c r="C119">
        <v>6950</v>
      </c>
      <c r="D119" t="s">
        <v>2335</v>
      </c>
      <c r="E119" t="s">
        <v>2795</v>
      </c>
      <c r="F119" t="s">
        <v>442</v>
      </c>
      <c r="G119" t="s">
        <v>27056</v>
      </c>
      <c r="H119">
        <v>18.329999999999998</v>
      </c>
      <c r="I119">
        <v>0</v>
      </c>
      <c r="J119">
        <v>0</v>
      </c>
      <c r="K119">
        <v>0</v>
      </c>
      <c r="N119">
        <v>3</v>
      </c>
      <c r="O119">
        <v>3</v>
      </c>
      <c r="P119">
        <v>4</v>
      </c>
      <c r="Q119">
        <v>2</v>
      </c>
      <c r="R119">
        <v>27.33</v>
      </c>
      <c r="S119">
        <v>53</v>
      </c>
      <c r="T119">
        <v>53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53</v>
      </c>
      <c r="AB119">
        <v>3</v>
      </c>
      <c r="AC119">
        <v>0</v>
      </c>
      <c r="AF119" t="s">
        <v>130</v>
      </c>
      <c r="AH119">
        <v>83.33</v>
      </c>
    </row>
    <row r="120" spans="1:34" x14ac:dyDescent="0.3">
      <c r="A120" s="4">
        <v>277</v>
      </c>
      <c r="B120" s="5">
        <v>113</v>
      </c>
      <c r="C120">
        <v>8747</v>
      </c>
      <c r="D120" t="s">
        <v>1287</v>
      </c>
      <c r="E120" t="s">
        <v>1997</v>
      </c>
      <c r="F120" t="s">
        <v>158</v>
      </c>
      <c r="G120" t="s">
        <v>27057</v>
      </c>
      <c r="H120">
        <v>16.25</v>
      </c>
      <c r="I120">
        <v>0</v>
      </c>
      <c r="J120">
        <v>0</v>
      </c>
      <c r="K120">
        <v>20</v>
      </c>
      <c r="L120">
        <v>7</v>
      </c>
      <c r="O120">
        <v>7</v>
      </c>
      <c r="P120">
        <v>4</v>
      </c>
      <c r="Q120">
        <v>2</v>
      </c>
      <c r="R120">
        <v>49.25</v>
      </c>
      <c r="S120">
        <v>34</v>
      </c>
      <c r="T120">
        <v>34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34</v>
      </c>
      <c r="AB120">
        <v>0</v>
      </c>
      <c r="AC120">
        <v>0</v>
      </c>
      <c r="AF120" t="s">
        <v>130</v>
      </c>
      <c r="AH120">
        <v>83.25</v>
      </c>
    </row>
    <row r="121" spans="1:34" x14ac:dyDescent="0.3">
      <c r="A121" s="4">
        <v>278</v>
      </c>
      <c r="B121" s="5">
        <v>114</v>
      </c>
      <c r="C121">
        <v>12344</v>
      </c>
      <c r="D121" t="s">
        <v>1701</v>
      </c>
      <c r="E121" t="s">
        <v>110</v>
      </c>
      <c r="F121" t="s">
        <v>227</v>
      </c>
      <c r="G121" t="s">
        <v>27058</v>
      </c>
      <c r="H121">
        <v>18.25</v>
      </c>
      <c r="I121">
        <v>0</v>
      </c>
      <c r="J121">
        <v>0</v>
      </c>
      <c r="K121">
        <v>0</v>
      </c>
      <c r="L121">
        <v>7</v>
      </c>
      <c r="O121">
        <v>7</v>
      </c>
      <c r="P121">
        <v>4</v>
      </c>
      <c r="Q121">
        <v>2</v>
      </c>
      <c r="R121">
        <v>31.25</v>
      </c>
      <c r="S121">
        <v>52</v>
      </c>
      <c r="T121">
        <v>52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52</v>
      </c>
      <c r="AB121">
        <v>0</v>
      </c>
      <c r="AC121">
        <v>0</v>
      </c>
      <c r="AF121" t="s">
        <v>130</v>
      </c>
      <c r="AH121">
        <v>83.25</v>
      </c>
    </row>
    <row r="122" spans="1:34" x14ac:dyDescent="0.3">
      <c r="A122" s="4">
        <v>279</v>
      </c>
      <c r="B122" s="5">
        <v>115</v>
      </c>
      <c r="C122">
        <v>3577</v>
      </c>
      <c r="D122" t="s">
        <v>1170</v>
      </c>
      <c r="E122" t="s">
        <v>29</v>
      </c>
      <c r="F122" t="s">
        <v>1023</v>
      </c>
      <c r="G122" t="s">
        <v>27059</v>
      </c>
      <c r="H122">
        <v>16.75</v>
      </c>
      <c r="I122">
        <v>0</v>
      </c>
      <c r="J122">
        <v>0</v>
      </c>
      <c r="K122">
        <v>20</v>
      </c>
      <c r="L122">
        <v>7</v>
      </c>
      <c r="O122">
        <v>7</v>
      </c>
      <c r="P122">
        <v>4</v>
      </c>
      <c r="Q122">
        <v>0</v>
      </c>
      <c r="R122">
        <v>47.75</v>
      </c>
      <c r="S122">
        <v>35</v>
      </c>
      <c r="T122">
        <v>35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35</v>
      </c>
      <c r="AB122">
        <v>0</v>
      </c>
      <c r="AC122">
        <v>0</v>
      </c>
      <c r="AF122" t="s">
        <v>130</v>
      </c>
      <c r="AH122">
        <v>82.75</v>
      </c>
    </row>
    <row r="123" spans="1:34" x14ac:dyDescent="0.3">
      <c r="A123" s="4">
        <v>280</v>
      </c>
      <c r="B123" s="5">
        <v>116</v>
      </c>
      <c r="C123">
        <v>8274</v>
      </c>
      <c r="D123" t="s">
        <v>27060</v>
      </c>
      <c r="E123" t="s">
        <v>3449</v>
      </c>
      <c r="F123" t="s">
        <v>117</v>
      </c>
      <c r="G123" t="s">
        <v>27061</v>
      </c>
      <c r="H123">
        <v>18.7</v>
      </c>
      <c r="I123">
        <v>0</v>
      </c>
      <c r="J123">
        <v>0</v>
      </c>
      <c r="K123">
        <v>28</v>
      </c>
      <c r="L123">
        <v>7</v>
      </c>
      <c r="O123">
        <v>7</v>
      </c>
      <c r="P123">
        <v>4</v>
      </c>
      <c r="Q123">
        <v>2</v>
      </c>
      <c r="R123">
        <v>59.7</v>
      </c>
      <c r="S123">
        <v>20</v>
      </c>
      <c r="T123">
        <v>20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20</v>
      </c>
      <c r="AB123">
        <v>3</v>
      </c>
      <c r="AC123">
        <v>0</v>
      </c>
      <c r="AD123" t="s">
        <v>130</v>
      </c>
      <c r="AF123" t="s">
        <v>130</v>
      </c>
      <c r="AH123">
        <v>82.7</v>
      </c>
    </row>
    <row r="124" spans="1:34" x14ac:dyDescent="0.3">
      <c r="A124" s="4">
        <v>281</v>
      </c>
      <c r="B124" s="5">
        <v>117</v>
      </c>
      <c r="C124">
        <v>2392</v>
      </c>
      <c r="D124" t="s">
        <v>27062</v>
      </c>
      <c r="E124" t="s">
        <v>16142</v>
      </c>
      <c r="F124" t="s">
        <v>17</v>
      </c>
      <c r="G124" t="s">
        <v>27063</v>
      </c>
      <c r="H124">
        <v>17.7</v>
      </c>
      <c r="I124">
        <v>0</v>
      </c>
      <c r="J124">
        <v>0</v>
      </c>
      <c r="K124">
        <v>28</v>
      </c>
      <c r="L124">
        <v>7</v>
      </c>
      <c r="O124">
        <v>7</v>
      </c>
      <c r="P124">
        <v>4</v>
      </c>
      <c r="Q124">
        <v>2</v>
      </c>
      <c r="R124">
        <v>58.7</v>
      </c>
      <c r="S124">
        <v>8</v>
      </c>
      <c r="T124">
        <v>8</v>
      </c>
      <c r="U124">
        <v>8</v>
      </c>
      <c r="V124">
        <v>16</v>
      </c>
      <c r="W124">
        <v>0</v>
      </c>
      <c r="X124">
        <v>0</v>
      </c>
      <c r="Y124">
        <v>0</v>
      </c>
      <c r="Z124">
        <v>0</v>
      </c>
      <c r="AA124">
        <v>24</v>
      </c>
      <c r="AB124">
        <v>0</v>
      </c>
      <c r="AC124">
        <v>0</v>
      </c>
      <c r="AD124" t="s">
        <v>130</v>
      </c>
      <c r="AF124" t="s">
        <v>130</v>
      </c>
      <c r="AH124">
        <v>82.7</v>
      </c>
    </row>
    <row r="125" spans="1:34" x14ac:dyDescent="0.3">
      <c r="A125" s="4">
        <v>282</v>
      </c>
      <c r="B125" s="5">
        <v>118</v>
      </c>
      <c r="C125">
        <v>13695</v>
      </c>
      <c r="D125" t="s">
        <v>2033</v>
      </c>
      <c r="E125" t="s">
        <v>54</v>
      </c>
      <c r="F125" t="s">
        <v>20</v>
      </c>
      <c r="G125" t="s">
        <v>27064</v>
      </c>
      <c r="H125">
        <v>18.53</v>
      </c>
      <c r="I125">
        <v>0</v>
      </c>
      <c r="J125">
        <v>0</v>
      </c>
      <c r="K125">
        <v>20</v>
      </c>
      <c r="L125">
        <v>7</v>
      </c>
      <c r="O125">
        <v>7</v>
      </c>
      <c r="P125">
        <v>4</v>
      </c>
      <c r="Q125">
        <v>2</v>
      </c>
      <c r="R125">
        <v>51.53</v>
      </c>
      <c r="S125">
        <v>28</v>
      </c>
      <c r="T125">
        <v>28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28</v>
      </c>
      <c r="AB125">
        <v>3</v>
      </c>
      <c r="AC125">
        <v>0</v>
      </c>
      <c r="AF125" t="s">
        <v>130</v>
      </c>
      <c r="AH125">
        <v>82.53</v>
      </c>
    </row>
    <row r="126" spans="1:34" x14ac:dyDescent="0.3">
      <c r="A126" s="4">
        <v>283</v>
      </c>
      <c r="B126" s="5">
        <v>119</v>
      </c>
      <c r="C126">
        <v>11570</v>
      </c>
      <c r="D126" t="s">
        <v>27065</v>
      </c>
      <c r="E126" t="s">
        <v>6299</v>
      </c>
      <c r="F126" t="s">
        <v>4176</v>
      </c>
      <c r="G126" t="s">
        <v>27066</v>
      </c>
      <c r="H126">
        <v>17.13</v>
      </c>
      <c r="I126">
        <v>0</v>
      </c>
      <c r="J126">
        <v>0</v>
      </c>
      <c r="K126">
        <v>20</v>
      </c>
      <c r="L126">
        <v>7</v>
      </c>
      <c r="M126">
        <v>5</v>
      </c>
      <c r="O126">
        <v>12</v>
      </c>
      <c r="P126">
        <v>4</v>
      </c>
      <c r="Q126">
        <v>2</v>
      </c>
      <c r="R126">
        <v>55.13</v>
      </c>
      <c r="S126">
        <v>18</v>
      </c>
      <c r="T126">
        <v>18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18</v>
      </c>
      <c r="AB126">
        <v>9</v>
      </c>
      <c r="AC126">
        <v>0</v>
      </c>
      <c r="AF126" t="s">
        <v>130</v>
      </c>
      <c r="AH126">
        <v>82.13</v>
      </c>
    </row>
    <row r="127" spans="1:34" x14ac:dyDescent="0.3">
      <c r="A127" s="4">
        <v>284</v>
      </c>
      <c r="B127" s="5">
        <v>120</v>
      </c>
      <c r="C127">
        <v>616</v>
      </c>
      <c r="D127" t="s">
        <v>27067</v>
      </c>
      <c r="E127" t="s">
        <v>27068</v>
      </c>
      <c r="F127" t="s">
        <v>34</v>
      </c>
      <c r="G127" t="s">
        <v>27069</v>
      </c>
      <c r="H127">
        <v>18.95</v>
      </c>
      <c r="I127">
        <v>0</v>
      </c>
      <c r="J127">
        <v>0</v>
      </c>
      <c r="K127">
        <v>20</v>
      </c>
      <c r="N127">
        <v>3</v>
      </c>
      <c r="O127">
        <v>3</v>
      </c>
      <c r="P127">
        <v>4</v>
      </c>
      <c r="Q127">
        <v>2</v>
      </c>
      <c r="R127">
        <v>47.95</v>
      </c>
      <c r="S127">
        <v>34</v>
      </c>
      <c r="T127">
        <v>34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34</v>
      </c>
      <c r="AB127">
        <v>0</v>
      </c>
      <c r="AC127">
        <v>0</v>
      </c>
      <c r="AD127" t="s">
        <v>130</v>
      </c>
      <c r="AF127" t="s">
        <v>130</v>
      </c>
      <c r="AH127">
        <v>81.95</v>
      </c>
    </row>
    <row r="128" spans="1:34" x14ac:dyDescent="0.3">
      <c r="A128" s="4">
        <v>285</v>
      </c>
      <c r="B128" s="5">
        <v>121</v>
      </c>
      <c r="C128">
        <v>4606</v>
      </c>
      <c r="D128" t="s">
        <v>3889</v>
      </c>
      <c r="E128" t="s">
        <v>208</v>
      </c>
      <c r="F128" t="s">
        <v>81</v>
      </c>
      <c r="G128" t="s">
        <v>27070</v>
      </c>
      <c r="H128">
        <v>18.7</v>
      </c>
      <c r="I128">
        <v>0</v>
      </c>
      <c r="J128">
        <v>0</v>
      </c>
      <c r="K128">
        <v>20</v>
      </c>
      <c r="N128">
        <v>3</v>
      </c>
      <c r="O128">
        <v>3</v>
      </c>
      <c r="P128">
        <v>4</v>
      </c>
      <c r="Q128">
        <v>2</v>
      </c>
      <c r="R128">
        <v>47.7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6</v>
      </c>
      <c r="AC128">
        <v>28</v>
      </c>
      <c r="AF128" t="s">
        <v>130</v>
      </c>
      <c r="AH128">
        <v>81.7</v>
      </c>
    </row>
    <row r="129" spans="1:34" x14ac:dyDescent="0.3">
      <c r="A129" s="4">
        <v>286</v>
      </c>
      <c r="B129" s="5">
        <v>122</v>
      </c>
      <c r="C129">
        <v>928</v>
      </c>
      <c r="D129" t="s">
        <v>27071</v>
      </c>
      <c r="E129" t="s">
        <v>560</v>
      </c>
      <c r="F129" t="s">
        <v>68</v>
      </c>
      <c r="G129" t="s">
        <v>27072</v>
      </c>
      <c r="H129">
        <v>18.5</v>
      </c>
      <c r="I129">
        <v>0</v>
      </c>
      <c r="J129">
        <v>0</v>
      </c>
      <c r="K129">
        <v>20</v>
      </c>
      <c r="N129">
        <v>3</v>
      </c>
      <c r="O129">
        <v>3</v>
      </c>
      <c r="P129">
        <v>4</v>
      </c>
      <c r="Q129">
        <v>2</v>
      </c>
      <c r="R129">
        <v>47.5</v>
      </c>
      <c r="S129">
        <v>28</v>
      </c>
      <c r="T129">
        <v>28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28</v>
      </c>
      <c r="AB129">
        <v>6</v>
      </c>
      <c r="AC129">
        <v>0</v>
      </c>
      <c r="AF129" t="s">
        <v>130</v>
      </c>
      <c r="AH129">
        <v>81.5</v>
      </c>
    </row>
    <row r="130" spans="1:34" x14ac:dyDescent="0.3">
      <c r="A130" s="4">
        <v>287</v>
      </c>
      <c r="B130" s="5">
        <v>123</v>
      </c>
      <c r="C130">
        <v>561</v>
      </c>
      <c r="D130" t="s">
        <v>1337</v>
      </c>
      <c r="E130" t="s">
        <v>110</v>
      </c>
      <c r="F130" t="s">
        <v>136</v>
      </c>
      <c r="G130" t="s">
        <v>27073</v>
      </c>
      <c r="H130">
        <v>16.5</v>
      </c>
      <c r="I130">
        <v>0</v>
      </c>
      <c r="J130">
        <v>0</v>
      </c>
      <c r="K130">
        <v>20</v>
      </c>
      <c r="N130">
        <v>3</v>
      </c>
      <c r="O130">
        <v>3</v>
      </c>
      <c r="P130">
        <v>4</v>
      </c>
      <c r="Q130">
        <v>2</v>
      </c>
      <c r="R130">
        <v>45.5</v>
      </c>
      <c r="S130">
        <v>36</v>
      </c>
      <c r="T130">
        <v>36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36</v>
      </c>
      <c r="AB130">
        <v>0</v>
      </c>
      <c r="AC130">
        <v>0</v>
      </c>
      <c r="AE130" t="s">
        <v>130</v>
      </c>
      <c r="AF130" t="s">
        <v>130</v>
      </c>
      <c r="AH130">
        <v>81.5</v>
      </c>
    </row>
    <row r="131" spans="1:34" x14ac:dyDescent="0.3">
      <c r="A131" s="4">
        <v>288</v>
      </c>
      <c r="B131" s="5">
        <v>124</v>
      </c>
      <c r="C131">
        <v>1138</v>
      </c>
      <c r="D131" t="s">
        <v>12262</v>
      </c>
      <c r="E131" t="s">
        <v>188</v>
      </c>
      <c r="F131" t="s">
        <v>38</v>
      </c>
      <c r="G131" t="s">
        <v>27074</v>
      </c>
      <c r="H131">
        <v>17.38</v>
      </c>
      <c r="I131">
        <v>0</v>
      </c>
      <c r="J131">
        <v>0</v>
      </c>
      <c r="K131">
        <v>20</v>
      </c>
      <c r="M131">
        <v>5</v>
      </c>
      <c r="O131">
        <v>5</v>
      </c>
      <c r="P131">
        <v>4</v>
      </c>
      <c r="Q131">
        <v>2</v>
      </c>
      <c r="R131">
        <v>48.38</v>
      </c>
      <c r="S131">
        <v>33</v>
      </c>
      <c r="T131">
        <v>33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33</v>
      </c>
      <c r="AB131">
        <v>0</v>
      </c>
      <c r="AC131">
        <v>0</v>
      </c>
      <c r="AF131" t="s">
        <v>130</v>
      </c>
      <c r="AH131">
        <v>81.38</v>
      </c>
    </row>
    <row r="132" spans="1:34" x14ac:dyDescent="0.3">
      <c r="A132" s="4">
        <v>289</v>
      </c>
      <c r="B132" s="5">
        <v>125</v>
      </c>
      <c r="C132">
        <v>11049</v>
      </c>
      <c r="D132" t="s">
        <v>20736</v>
      </c>
      <c r="E132" t="s">
        <v>20</v>
      </c>
      <c r="F132" t="s">
        <v>117</v>
      </c>
      <c r="G132" t="s">
        <v>27075</v>
      </c>
      <c r="H132">
        <v>20.83</v>
      </c>
      <c r="I132">
        <v>0</v>
      </c>
      <c r="J132">
        <v>0</v>
      </c>
      <c r="K132">
        <v>20</v>
      </c>
      <c r="L132">
        <v>7</v>
      </c>
      <c r="O132">
        <v>7</v>
      </c>
      <c r="P132">
        <v>4</v>
      </c>
      <c r="Q132">
        <v>2</v>
      </c>
      <c r="R132">
        <v>53.83</v>
      </c>
      <c r="S132">
        <v>27</v>
      </c>
      <c r="T132">
        <v>27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27</v>
      </c>
      <c r="AB132">
        <v>0</v>
      </c>
      <c r="AC132">
        <v>0</v>
      </c>
      <c r="AF132" t="s">
        <v>130</v>
      </c>
      <c r="AH132">
        <v>80.83</v>
      </c>
    </row>
    <row r="133" spans="1:34" x14ac:dyDescent="0.3">
      <c r="A133" s="4">
        <v>290</v>
      </c>
      <c r="B133" s="5">
        <v>126</v>
      </c>
      <c r="C133">
        <v>4267</v>
      </c>
      <c r="D133" t="s">
        <v>27076</v>
      </c>
      <c r="E133" t="s">
        <v>91</v>
      </c>
      <c r="F133" t="s">
        <v>38</v>
      </c>
      <c r="G133" t="s">
        <v>27077</v>
      </c>
      <c r="H133">
        <v>18.75</v>
      </c>
      <c r="I133">
        <v>0</v>
      </c>
      <c r="J133">
        <v>0</v>
      </c>
      <c r="K133">
        <v>28</v>
      </c>
      <c r="L133">
        <v>7</v>
      </c>
      <c r="N133">
        <v>3</v>
      </c>
      <c r="O133">
        <v>10</v>
      </c>
      <c r="P133">
        <v>4</v>
      </c>
      <c r="Q133">
        <v>2</v>
      </c>
      <c r="R133">
        <v>62.75</v>
      </c>
      <c r="S133">
        <v>18</v>
      </c>
      <c r="T133">
        <v>18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18</v>
      </c>
      <c r="AB133">
        <v>0</v>
      </c>
      <c r="AC133">
        <v>0</v>
      </c>
      <c r="AF133" t="s">
        <v>130</v>
      </c>
      <c r="AH133">
        <v>80.75</v>
      </c>
    </row>
    <row r="134" spans="1:34" x14ac:dyDescent="0.3">
      <c r="A134" s="4">
        <v>292</v>
      </c>
      <c r="B134" s="5">
        <v>127</v>
      </c>
      <c r="C134">
        <v>8402</v>
      </c>
      <c r="D134" t="s">
        <v>27078</v>
      </c>
      <c r="E134" t="s">
        <v>219</v>
      </c>
      <c r="F134" t="s">
        <v>1526</v>
      </c>
      <c r="G134" t="s">
        <v>27079</v>
      </c>
      <c r="H134">
        <v>18.649999999999999</v>
      </c>
      <c r="I134">
        <v>0</v>
      </c>
      <c r="J134">
        <v>0</v>
      </c>
      <c r="K134">
        <v>20</v>
      </c>
      <c r="O134">
        <v>0</v>
      </c>
      <c r="P134">
        <v>4</v>
      </c>
      <c r="Q134">
        <v>2</v>
      </c>
      <c r="R134">
        <v>44.65</v>
      </c>
      <c r="S134">
        <v>33</v>
      </c>
      <c r="T134">
        <v>33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33</v>
      </c>
      <c r="AB134">
        <v>3</v>
      </c>
      <c r="AC134">
        <v>0</v>
      </c>
      <c r="AF134" t="s">
        <v>130</v>
      </c>
      <c r="AH134">
        <v>80.650000000000006</v>
      </c>
    </row>
    <row r="135" spans="1:34" x14ac:dyDescent="0.3">
      <c r="A135" s="4">
        <v>293</v>
      </c>
      <c r="B135" s="5">
        <v>128</v>
      </c>
      <c r="C135">
        <v>6611</v>
      </c>
      <c r="D135" t="s">
        <v>27080</v>
      </c>
      <c r="E135" t="s">
        <v>27081</v>
      </c>
      <c r="F135" t="s">
        <v>124</v>
      </c>
      <c r="G135" t="s">
        <v>27082</v>
      </c>
      <c r="H135">
        <v>16.600000000000001</v>
      </c>
      <c r="I135">
        <v>0</v>
      </c>
      <c r="J135">
        <v>0</v>
      </c>
      <c r="K135">
        <v>20</v>
      </c>
      <c r="N135">
        <v>3</v>
      </c>
      <c r="O135">
        <v>3</v>
      </c>
      <c r="P135">
        <v>4</v>
      </c>
      <c r="Q135">
        <v>2</v>
      </c>
      <c r="R135">
        <v>45.6</v>
      </c>
      <c r="S135">
        <v>35</v>
      </c>
      <c r="T135">
        <v>35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35</v>
      </c>
      <c r="AB135">
        <v>0</v>
      </c>
      <c r="AC135">
        <v>0</v>
      </c>
      <c r="AD135" t="s">
        <v>130</v>
      </c>
      <c r="AF135" t="s">
        <v>130</v>
      </c>
      <c r="AH135">
        <v>80.599999999999994</v>
      </c>
    </row>
    <row r="136" spans="1:34" x14ac:dyDescent="0.3">
      <c r="A136" s="4">
        <v>294</v>
      </c>
      <c r="B136" s="5">
        <v>129</v>
      </c>
      <c r="C136">
        <v>5102</v>
      </c>
      <c r="D136" t="s">
        <v>6545</v>
      </c>
      <c r="E136" t="s">
        <v>1458</v>
      </c>
      <c r="F136" t="s">
        <v>58</v>
      </c>
      <c r="G136" t="s">
        <v>27083</v>
      </c>
      <c r="H136">
        <v>17.5</v>
      </c>
      <c r="I136">
        <v>0</v>
      </c>
      <c r="J136">
        <v>0</v>
      </c>
      <c r="K136">
        <v>0</v>
      </c>
      <c r="M136">
        <v>5</v>
      </c>
      <c r="O136">
        <v>5</v>
      </c>
      <c r="P136">
        <v>4</v>
      </c>
      <c r="Q136">
        <v>2</v>
      </c>
      <c r="R136">
        <v>28.5</v>
      </c>
      <c r="S136">
        <v>52</v>
      </c>
      <c r="T136">
        <v>52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52</v>
      </c>
      <c r="AB136">
        <v>0</v>
      </c>
      <c r="AC136">
        <v>0</v>
      </c>
      <c r="AD136" t="s">
        <v>130</v>
      </c>
      <c r="AF136" t="s">
        <v>130</v>
      </c>
      <c r="AH136">
        <v>80.5</v>
      </c>
    </row>
    <row r="137" spans="1:34" x14ac:dyDescent="0.3">
      <c r="A137" s="4">
        <v>295</v>
      </c>
      <c r="B137" s="5">
        <v>130</v>
      </c>
      <c r="C137">
        <v>5194</v>
      </c>
      <c r="D137" t="s">
        <v>27084</v>
      </c>
      <c r="E137" t="s">
        <v>2011</v>
      </c>
      <c r="F137" t="s">
        <v>17</v>
      </c>
      <c r="G137" t="s">
        <v>27085</v>
      </c>
      <c r="H137">
        <v>21.48</v>
      </c>
      <c r="I137">
        <v>0</v>
      </c>
      <c r="J137">
        <v>0</v>
      </c>
      <c r="K137">
        <v>20</v>
      </c>
      <c r="L137">
        <v>7</v>
      </c>
      <c r="O137">
        <v>7</v>
      </c>
      <c r="P137">
        <v>4</v>
      </c>
      <c r="Q137">
        <v>2</v>
      </c>
      <c r="R137">
        <v>54.48</v>
      </c>
      <c r="S137">
        <v>26</v>
      </c>
      <c r="T137">
        <v>26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26</v>
      </c>
      <c r="AB137">
        <v>0</v>
      </c>
      <c r="AC137">
        <v>0</v>
      </c>
      <c r="AD137" t="s">
        <v>130</v>
      </c>
      <c r="AF137" t="s">
        <v>130</v>
      </c>
      <c r="AH137">
        <v>80.48</v>
      </c>
    </row>
    <row r="138" spans="1:34" x14ac:dyDescent="0.3">
      <c r="A138" s="4">
        <v>297</v>
      </c>
      <c r="B138" s="5">
        <v>131</v>
      </c>
      <c r="C138">
        <v>3468</v>
      </c>
      <c r="D138" t="s">
        <v>5103</v>
      </c>
      <c r="E138" t="s">
        <v>29</v>
      </c>
      <c r="F138" t="s">
        <v>892</v>
      </c>
      <c r="G138" t="s">
        <v>27086</v>
      </c>
      <c r="H138">
        <v>19.38</v>
      </c>
      <c r="I138">
        <v>0</v>
      </c>
      <c r="J138">
        <v>0</v>
      </c>
      <c r="K138">
        <v>0</v>
      </c>
      <c r="L138">
        <v>7</v>
      </c>
      <c r="O138">
        <v>7</v>
      </c>
      <c r="P138">
        <v>4</v>
      </c>
      <c r="Q138">
        <v>2</v>
      </c>
      <c r="R138">
        <v>32.380000000000003</v>
      </c>
      <c r="S138">
        <v>48</v>
      </c>
      <c r="T138">
        <v>48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48</v>
      </c>
      <c r="AB138">
        <v>0</v>
      </c>
      <c r="AC138">
        <v>0</v>
      </c>
      <c r="AF138" t="s">
        <v>130</v>
      </c>
      <c r="AH138">
        <v>80.38</v>
      </c>
    </row>
    <row r="139" spans="1:34" x14ac:dyDescent="0.3">
      <c r="A139" s="4">
        <v>298</v>
      </c>
      <c r="B139" s="5">
        <v>132</v>
      </c>
      <c r="C139">
        <v>15465</v>
      </c>
      <c r="D139" t="s">
        <v>2174</v>
      </c>
      <c r="E139" t="s">
        <v>9010</v>
      </c>
      <c r="F139" t="s">
        <v>79</v>
      </c>
      <c r="G139" t="s">
        <v>27087</v>
      </c>
      <c r="H139">
        <v>20.05</v>
      </c>
      <c r="I139">
        <v>0</v>
      </c>
      <c r="J139">
        <v>0</v>
      </c>
      <c r="K139">
        <v>0</v>
      </c>
      <c r="L139">
        <v>7</v>
      </c>
      <c r="O139">
        <v>7</v>
      </c>
      <c r="P139">
        <v>4</v>
      </c>
      <c r="Q139">
        <v>2</v>
      </c>
      <c r="R139">
        <v>33.049999999999997</v>
      </c>
      <c r="S139">
        <v>44</v>
      </c>
      <c r="T139">
        <v>44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44</v>
      </c>
      <c r="AB139">
        <v>3</v>
      </c>
      <c r="AC139">
        <v>0</v>
      </c>
      <c r="AD139" t="s">
        <v>130</v>
      </c>
      <c r="AF139" t="s">
        <v>130</v>
      </c>
      <c r="AH139">
        <v>80.05</v>
      </c>
    </row>
    <row r="140" spans="1:34" x14ac:dyDescent="0.3">
      <c r="A140" s="4">
        <v>299</v>
      </c>
      <c r="B140" s="5">
        <v>133</v>
      </c>
      <c r="C140">
        <v>8919</v>
      </c>
      <c r="D140" t="s">
        <v>27088</v>
      </c>
      <c r="E140" t="s">
        <v>2150</v>
      </c>
      <c r="F140" t="s">
        <v>17</v>
      </c>
      <c r="G140" t="s">
        <v>27089</v>
      </c>
      <c r="H140">
        <v>20</v>
      </c>
      <c r="I140">
        <v>0</v>
      </c>
      <c r="J140">
        <v>0</v>
      </c>
      <c r="K140">
        <v>20</v>
      </c>
      <c r="L140">
        <v>14</v>
      </c>
      <c r="O140">
        <v>14</v>
      </c>
      <c r="P140">
        <v>4</v>
      </c>
      <c r="Q140">
        <v>2</v>
      </c>
      <c r="R140">
        <v>60</v>
      </c>
      <c r="S140">
        <v>20</v>
      </c>
      <c r="T140">
        <v>20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20</v>
      </c>
      <c r="AB140">
        <v>0</v>
      </c>
      <c r="AC140">
        <v>0</v>
      </c>
      <c r="AF140" t="s">
        <v>130</v>
      </c>
      <c r="AH140">
        <v>80</v>
      </c>
    </row>
    <row r="141" spans="1:34" x14ac:dyDescent="0.3">
      <c r="A141" s="4">
        <v>300</v>
      </c>
      <c r="B141" s="5">
        <v>134</v>
      </c>
      <c r="C141">
        <v>15556</v>
      </c>
      <c r="D141" t="s">
        <v>8522</v>
      </c>
      <c r="E141" t="s">
        <v>41</v>
      </c>
      <c r="F141" t="s">
        <v>23</v>
      </c>
      <c r="G141" t="s">
        <v>27090</v>
      </c>
      <c r="H141">
        <v>15.83</v>
      </c>
      <c r="I141">
        <v>0</v>
      </c>
      <c r="J141">
        <v>0</v>
      </c>
      <c r="K141">
        <v>0</v>
      </c>
      <c r="O141">
        <v>0</v>
      </c>
      <c r="P141">
        <v>4</v>
      </c>
      <c r="Q141">
        <v>2</v>
      </c>
      <c r="R141">
        <v>21.83</v>
      </c>
      <c r="S141">
        <v>52</v>
      </c>
      <c r="T141">
        <v>52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52</v>
      </c>
      <c r="AB141">
        <v>6</v>
      </c>
      <c r="AC141">
        <v>0</v>
      </c>
      <c r="AD141" t="s">
        <v>130</v>
      </c>
      <c r="AF141" t="s">
        <v>130</v>
      </c>
      <c r="AH141">
        <v>79.83</v>
      </c>
    </row>
    <row r="142" spans="1:34" x14ac:dyDescent="0.3">
      <c r="A142" s="4">
        <v>301</v>
      </c>
      <c r="B142" s="5">
        <v>135</v>
      </c>
      <c r="C142">
        <v>6509</v>
      </c>
      <c r="D142" t="s">
        <v>27091</v>
      </c>
      <c r="E142" t="s">
        <v>88</v>
      </c>
      <c r="F142" t="s">
        <v>38</v>
      </c>
      <c r="G142" t="s">
        <v>27092</v>
      </c>
      <c r="H142">
        <v>14.8</v>
      </c>
      <c r="I142">
        <v>0</v>
      </c>
      <c r="J142">
        <v>0</v>
      </c>
      <c r="K142">
        <v>20</v>
      </c>
      <c r="L142">
        <v>7</v>
      </c>
      <c r="N142">
        <v>3</v>
      </c>
      <c r="O142">
        <v>10</v>
      </c>
      <c r="P142">
        <v>4</v>
      </c>
      <c r="Q142">
        <v>2</v>
      </c>
      <c r="R142">
        <v>50.8</v>
      </c>
      <c r="S142">
        <v>26</v>
      </c>
      <c r="T142">
        <v>26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26</v>
      </c>
      <c r="AB142">
        <v>3</v>
      </c>
      <c r="AC142">
        <v>0</v>
      </c>
      <c r="AF142" t="s">
        <v>130</v>
      </c>
      <c r="AH142">
        <v>79.8</v>
      </c>
    </row>
    <row r="143" spans="1:34" x14ac:dyDescent="0.3">
      <c r="A143" s="4">
        <v>302</v>
      </c>
      <c r="B143" s="5">
        <v>136</v>
      </c>
      <c r="C143">
        <v>4368</v>
      </c>
      <c r="D143" t="s">
        <v>27093</v>
      </c>
      <c r="E143" t="s">
        <v>8113</v>
      </c>
      <c r="F143" t="s">
        <v>1367</v>
      </c>
      <c r="G143" t="s">
        <v>27094</v>
      </c>
      <c r="H143">
        <v>17.78</v>
      </c>
      <c r="I143">
        <v>0</v>
      </c>
      <c r="J143">
        <v>0</v>
      </c>
      <c r="K143">
        <v>20</v>
      </c>
      <c r="L143">
        <v>7</v>
      </c>
      <c r="O143">
        <v>7</v>
      </c>
      <c r="P143">
        <v>4</v>
      </c>
      <c r="Q143">
        <v>2</v>
      </c>
      <c r="R143">
        <v>50.78</v>
      </c>
      <c r="S143">
        <v>26</v>
      </c>
      <c r="T143">
        <v>26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26</v>
      </c>
      <c r="AB143">
        <v>3</v>
      </c>
      <c r="AC143">
        <v>0</v>
      </c>
      <c r="AF143" t="s">
        <v>130</v>
      </c>
      <c r="AH143">
        <v>79.78</v>
      </c>
    </row>
    <row r="144" spans="1:34" x14ac:dyDescent="0.3">
      <c r="A144" s="4">
        <v>303</v>
      </c>
      <c r="B144" s="5">
        <v>137</v>
      </c>
      <c r="C144">
        <v>9107</v>
      </c>
      <c r="D144" t="s">
        <v>5281</v>
      </c>
      <c r="E144" t="s">
        <v>161</v>
      </c>
      <c r="F144" t="s">
        <v>20</v>
      </c>
      <c r="G144" t="s">
        <v>27095</v>
      </c>
      <c r="H144">
        <v>15.63</v>
      </c>
      <c r="I144">
        <v>0</v>
      </c>
      <c r="J144">
        <v>0</v>
      </c>
      <c r="K144">
        <v>20</v>
      </c>
      <c r="N144">
        <v>6</v>
      </c>
      <c r="O144">
        <v>6</v>
      </c>
      <c r="P144">
        <v>4</v>
      </c>
      <c r="Q144">
        <v>2</v>
      </c>
      <c r="R144">
        <v>47.63</v>
      </c>
      <c r="S144">
        <v>26</v>
      </c>
      <c r="T144">
        <v>26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26</v>
      </c>
      <c r="AB144">
        <v>6</v>
      </c>
      <c r="AC144">
        <v>0</v>
      </c>
      <c r="AE144" t="s">
        <v>130</v>
      </c>
      <c r="AF144" t="s">
        <v>130</v>
      </c>
      <c r="AH144">
        <v>79.63</v>
      </c>
    </row>
    <row r="145" spans="1:34" x14ac:dyDescent="0.3">
      <c r="A145" s="4">
        <v>304</v>
      </c>
      <c r="B145" s="5">
        <v>138</v>
      </c>
      <c r="C145">
        <v>7200</v>
      </c>
      <c r="D145" t="s">
        <v>3716</v>
      </c>
      <c r="E145" t="s">
        <v>550</v>
      </c>
      <c r="F145" t="s">
        <v>117</v>
      </c>
      <c r="G145" t="s">
        <v>27096</v>
      </c>
      <c r="H145">
        <v>19.8</v>
      </c>
      <c r="I145">
        <v>0</v>
      </c>
      <c r="J145">
        <v>0</v>
      </c>
      <c r="K145">
        <v>20</v>
      </c>
      <c r="N145">
        <v>3</v>
      </c>
      <c r="O145">
        <v>3</v>
      </c>
      <c r="P145">
        <v>4</v>
      </c>
      <c r="Q145">
        <v>0</v>
      </c>
      <c r="R145">
        <v>46.8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6</v>
      </c>
      <c r="AC145">
        <v>26.8</v>
      </c>
      <c r="AF145" t="s">
        <v>130</v>
      </c>
      <c r="AH145">
        <v>79.599999999999994</v>
      </c>
    </row>
    <row r="146" spans="1:34" x14ac:dyDescent="0.3">
      <c r="A146" s="4">
        <v>305</v>
      </c>
      <c r="B146" s="5">
        <v>139</v>
      </c>
      <c r="C146">
        <v>1200</v>
      </c>
      <c r="D146" t="s">
        <v>27097</v>
      </c>
      <c r="E146" t="s">
        <v>4935</v>
      </c>
      <c r="F146" t="s">
        <v>68</v>
      </c>
      <c r="G146" t="s">
        <v>27098</v>
      </c>
      <c r="H146">
        <v>15.45</v>
      </c>
      <c r="I146">
        <v>0</v>
      </c>
      <c r="J146">
        <v>0</v>
      </c>
      <c r="K146">
        <v>20</v>
      </c>
      <c r="L146">
        <v>7</v>
      </c>
      <c r="O146">
        <v>7</v>
      </c>
      <c r="P146">
        <v>4</v>
      </c>
      <c r="Q146">
        <v>2</v>
      </c>
      <c r="R146">
        <v>48.45</v>
      </c>
      <c r="S146">
        <v>31</v>
      </c>
      <c r="T146">
        <v>31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31</v>
      </c>
      <c r="AB146">
        <v>0</v>
      </c>
      <c r="AC146">
        <v>0</v>
      </c>
      <c r="AF146" t="s">
        <v>130</v>
      </c>
      <c r="AH146">
        <v>79.45</v>
      </c>
    </row>
    <row r="147" spans="1:34" x14ac:dyDescent="0.3">
      <c r="A147" s="4">
        <v>306</v>
      </c>
      <c r="B147" s="5">
        <v>140</v>
      </c>
      <c r="C147">
        <v>8066</v>
      </c>
      <c r="D147" t="s">
        <v>27099</v>
      </c>
      <c r="E147" t="s">
        <v>1117</v>
      </c>
      <c r="F147" t="s">
        <v>442</v>
      </c>
      <c r="G147" t="s">
        <v>27100</v>
      </c>
      <c r="H147">
        <v>17.2</v>
      </c>
      <c r="I147">
        <v>0</v>
      </c>
      <c r="J147">
        <v>0</v>
      </c>
      <c r="K147">
        <v>20</v>
      </c>
      <c r="O147">
        <v>0</v>
      </c>
      <c r="P147">
        <v>0</v>
      </c>
      <c r="Q147">
        <v>2</v>
      </c>
      <c r="R147">
        <v>39.200000000000003</v>
      </c>
      <c r="S147">
        <v>37</v>
      </c>
      <c r="T147">
        <v>37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37</v>
      </c>
      <c r="AB147">
        <v>3</v>
      </c>
      <c r="AC147">
        <v>0</v>
      </c>
      <c r="AD147" t="s">
        <v>130</v>
      </c>
      <c r="AF147" t="s">
        <v>130</v>
      </c>
      <c r="AH147">
        <v>79.2</v>
      </c>
    </row>
    <row r="148" spans="1:34" x14ac:dyDescent="0.3">
      <c r="A148" s="4">
        <v>307</v>
      </c>
      <c r="B148" s="5">
        <v>141</v>
      </c>
      <c r="C148">
        <v>3965</v>
      </c>
      <c r="D148" t="s">
        <v>7029</v>
      </c>
      <c r="E148" t="s">
        <v>38</v>
      </c>
      <c r="F148" t="s">
        <v>1460</v>
      </c>
      <c r="G148" t="s">
        <v>27101</v>
      </c>
      <c r="H148">
        <v>20.18</v>
      </c>
      <c r="I148">
        <v>0</v>
      </c>
      <c r="J148">
        <v>0</v>
      </c>
      <c r="K148">
        <v>20</v>
      </c>
      <c r="L148">
        <v>7</v>
      </c>
      <c r="O148">
        <v>7</v>
      </c>
      <c r="P148">
        <v>4</v>
      </c>
      <c r="Q148">
        <v>2</v>
      </c>
      <c r="R148">
        <v>53.18</v>
      </c>
      <c r="S148">
        <v>26</v>
      </c>
      <c r="T148">
        <v>26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26</v>
      </c>
      <c r="AB148">
        <v>0</v>
      </c>
      <c r="AC148">
        <v>0</v>
      </c>
      <c r="AD148" t="s">
        <v>130</v>
      </c>
      <c r="AF148" t="s">
        <v>130</v>
      </c>
      <c r="AH148">
        <v>79.180000000000007</v>
      </c>
    </row>
    <row r="149" spans="1:34" x14ac:dyDescent="0.3">
      <c r="A149" s="4">
        <v>308</v>
      </c>
      <c r="B149" s="5">
        <v>142</v>
      </c>
      <c r="C149">
        <v>12542</v>
      </c>
      <c r="D149" t="s">
        <v>1530</v>
      </c>
      <c r="E149" t="s">
        <v>738</v>
      </c>
      <c r="F149" t="s">
        <v>38</v>
      </c>
      <c r="G149" t="s">
        <v>27102</v>
      </c>
      <c r="H149">
        <v>17.7</v>
      </c>
      <c r="I149">
        <v>0</v>
      </c>
      <c r="J149">
        <v>0</v>
      </c>
      <c r="K149">
        <v>20</v>
      </c>
      <c r="O149">
        <v>0</v>
      </c>
      <c r="P149">
        <v>4</v>
      </c>
      <c r="Q149">
        <v>2</v>
      </c>
      <c r="R149">
        <v>43.7</v>
      </c>
      <c r="S149">
        <v>35</v>
      </c>
      <c r="T149">
        <v>35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35</v>
      </c>
      <c r="AB149">
        <v>0</v>
      </c>
      <c r="AC149">
        <v>0</v>
      </c>
      <c r="AF149" t="s">
        <v>130</v>
      </c>
      <c r="AH149">
        <v>78.7</v>
      </c>
    </row>
    <row r="150" spans="1:34" x14ac:dyDescent="0.3">
      <c r="A150" s="4">
        <v>309</v>
      </c>
      <c r="B150" s="5">
        <v>143</v>
      </c>
      <c r="C150">
        <v>12521</v>
      </c>
      <c r="D150" t="s">
        <v>3011</v>
      </c>
      <c r="E150" t="s">
        <v>286</v>
      </c>
      <c r="F150" t="s">
        <v>117</v>
      </c>
      <c r="G150" t="s">
        <v>27103</v>
      </c>
      <c r="H150">
        <v>17.68</v>
      </c>
      <c r="I150">
        <v>0</v>
      </c>
      <c r="J150">
        <v>0</v>
      </c>
      <c r="K150">
        <v>20</v>
      </c>
      <c r="M150">
        <v>5</v>
      </c>
      <c r="O150">
        <v>5</v>
      </c>
      <c r="P150">
        <v>4</v>
      </c>
      <c r="Q150">
        <v>2</v>
      </c>
      <c r="R150">
        <v>48.68</v>
      </c>
      <c r="S150">
        <v>30</v>
      </c>
      <c r="T150">
        <v>30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30</v>
      </c>
      <c r="AB150">
        <v>0</v>
      </c>
      <c r="AC150">
        <v>0</v>
      </c>
      <c r="AD150" t="s">
        <v>130</v>
      </c>
      <c r="AF150" t="s">
        <v>130</v>
      </c>
      <c r="AH150">
        <v>78.680000000000007</v>
      </c>
    </row>
    <row r="151" spans="1:34" x14ac:dyDescent="0.3">
      <c r="A151" s="4">
        <v>310</v>
      </c>
      <c r="B151" s="5">
        <v>144</v>
      </c>
      <c r="C151">
        <v>8586</v>
      </c>
      <c r="D151" t="s">
        <v>27104</v>
      </c>
      <c r="E151" t="s">
        <v>789</v>
      </c>
      <c r="F151" t="s">
        <v>81</v>
      </c>
      <c r="G151" t="s">
        <v>27105</v>
      </c>
      <c r="H151">
        <v>18.63</v>
      </c>
      <c r="I151">
        <v>0</v>
      </c>
      <c r="J151">
        <v>0</v>
      </c>
      <c r="K151">
        <v>20</v>
      </c>
      <c r="L151">
        <v>7</v>
      </c>
      <c r="O151">
        <v>7</v>
      </c>
      <c r="P151">
        <v>4</v>
      </c>
      <c r="Q151">
        <v>2</v>
      </c>
      <c r="R151">
        <v>51.63</v>
      </c>
      <c r="S151">
        <v>25</v>
      </c>
      <c r="T151">
        <v>25</v>
      </c>
      <c r="U151">
        <v>1</v>
      </c>
      <c r="V151">
        <v>2</v>
      </c>
      <c r="W151">
        <v>0</v>
      </c>
      <c r="X151">
        <v>0</v>
      </c>
      <c r="Y151">
        <v>0</v>
      </c>
      <c r="Z151">
        <v>0</v>
      </c>
      <c r="AA151">
        <v>27</v>
      </c>
      <c r="AB151">
        <v>0</v>
      </c>
      <c r="AC151">
        <v>0</v>
      </c>
      <c r="AF151" t="s">
        <v>130</v>
      </c>
      <c r="AH151">
        <v>78.63</v>
      </c>
    </row>
    <row r="152" spans="1:34" x14ac:dyDescent="0.3">
      <c r="A152" s="4">
        <v>311</v>
      </c>
      <c r="B152" s="5">
        <v>145</v>
      </c>
      <c r="C152">
        <v>9856</v>
      </c>
      <c r="D152" t="s">
        <v>6054</v>
      </c>
      <c r="E152" t="s">
        <v>258</v>
      </c>
      <c r="F152" t="s">
        <v>17</v>
      </c>
      <c r="G152" t="s">
        <v>27106</v>
      </c>
      <c r="H152">
        <v>17.63</v>
      </c>
      <c r="I152">
        <v>0</v>
      </c>
      <c r="J152">
        <v>0</v>
      </c>
      <c r="K152">
        <v>20</v>
      </c>
      <c r="L152">
        <v>7</v>
      </c>
      <c r="O152">
        <v>7</v>
      </c>
      <c r="P152">
        <v>4</v>
      </c>
      <c r="Q152">
        <v>2</v>
      </c>
      <c r="R152">
        <v>50.63</v>
      </c>
      <c r="S152">
        <v>28</v>
      </c>
      <c r="T152">
        <v>28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28</v>
      </c>
      <c r="AB152">
        <v>0</v>
      </c>
      <c r="AC152">
        <v>0</v>
      </c>
      <c r="AD152" t="s">
        <v>130</v>
      </c>
      <c r="AF152" t="s">
        <v>130</v>
      </c>
      <c r="AH152">
        <v>78.63</v>
      </c>
    </row>
    <row r="153" spans="1:34" x14ac:dyDescent="0.3">
      <c r="A153" s="4">
        <v>312</v>
      </c>
      <c r="B153" s="5">
        <v>146</v>
      </c>
      <c r="C153">
        <v>175</v>
      </c>
      <c r="D153" t="s">
        <v>16824</v>
      </c>
      <c r="E153" t="s">
        <v>27107</v>
      </c>
      <c r="F153" t="s">
        <v>782</v>
      </c>
      <c r="G153" t="s">
        <v>27108</v>
      </c>
      <c r="H153">
        <v>20.53</v>
      </c>
      <c r="I153">
        <v>7</v>
      </c>
      <c r="J153">
        <v>0</v>
      </c>
      <c r="K153">
        <v>20</v>
      </c>
      <c r="L153">
        <v>7</v>
      </c>
      <c r="O153">
        <v>7</v>
      </c>
      <c r="P153">
        <v>4</v>
      </c>
      <c r="Q153">
        <v>2</v>
      </c>
      <c r="R153">
        <v>60.53</v>
      </c>
      <c r="S153">
        <v>18</v>
      </c>
      <c r="T153">
        <v>18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18</v>
      </c>
      <c r="AB153">
        <v>0</v>
      </c>
      <c r="AC153">
        <v>0</v>
      </c>
      <c r="AF153" t="s">
        <v>130</v>
      </c>
      <c r="AH153">
        <v>78.53</v>
      </c>
    </row>
    <row r="154" spans="1:34" x14ac:dyDescent="0.3">
      <c r="A154" s="4">
        <v>314</v>
      </c>
      <c r="B154" s="5">
        <v>147</v>
      </c>
      <c r="C154">
        <v>3790</v>
      </c>
      <c r="D154" t="s">
        <v>27109</v>
      </c>
      <c r="E154" t="s">
        <v>81</v>
      </c>
      <c r="F154" t="s">
        <v>20</v>
      </c>
      <c r="G154" t="s">
        <v>27110</v>
      </c>
      <c r="H154">
        <v>17.23</v>
      </c>
      <c r="I154">
        <v>0</v>
      </c>
      <c r="J154">
        <v>0</v>
      </c>
      <c r="K154">
        <v>28</v>
      </c>
      <c r="L154">
        <v>7</v>
      </c>
      <c r="O154">
        <v>7</v>
      </c>
      <c r="P154">
        <v>4</v>
      </c>
      <c r="Q154">
        <v>2</v>
      </c>
      <c r="R154">
        <v>58.23</v>
      </c>
      <c r="S154">
        <v>20</v>
      </c>
      <c r="T154">
        <v>20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20</v>
      </c>
      <c r="AB154">
        <v>0</v>
      </c>
      <c r="AC154">
        <v>0</v>
      </c>
      <c r="AD154" t="s">
        <v>130</v>
      </c>
      <c r="AF154" t="s">
        <v>130</v>
      </c>
      <c r="AH154">
        <v>78.23</v>
      </c>
    </row>
    <row r="155" spans="1:34" x14ac:dyDescent="0.3">
      <c r="A155" s="4">
        <v>315</v>
      </c>
      <c r="B155" s="5">
        <v>148</v>
      </c>
      <c r="C155">
        <v>1859</v>
      </c>
      <c r="D155" t="s">
        <v>27111</v>
      </c>
      <c r="E155" t="s">
        <v>4935</v>
      </c>
      <c r="F155" t="s">
        <v>124</v>
      </c>
      <c r="G155" t="s">
        <v>27112</v>
      </c>
      <c r="H155">
        <v>18.2</v>
      </c>
      <c r="I155">
        <v>0</v>
      </c>
      <c r="J155">
        <v>0</v>
      </c>
      <c r="K155">
        <v>20</v>
      </c>
      <c r="N155">
        <v>3</v>
      </c>
      <c r="O155">
        <v>3</v>
      </c>
      <c r="P155">
        <v>4</v>
      </c>
      <c r="Q155">
        <v>2</v>
      </c>
      <c r="R155">
        <v>47.2</v>
      </c>
      <c r="S155">
        <v>8</v>
      </c>
      <c r="T155">
        <v>8</v>
      </c>
      <c r="U155">
        <v>10</v>
      </c>
      <c r="V155">
        <v>20</v>
      </c>
      <c r="W155">
        <v>0</v>
      </c>
      <c r="X155">
        <v>0</v>
      </c>
      <c r="Y155">
        <v>0</v>
      </c>
      <c r="Z155">
        <v>0</v>
      </c>
      <c r="AA155">
        <v>28</v>
      </c>
      <c r="AB155">
        <v>3</v>
      </c>
      <c r="AC155">
        <v>0</v>
      </c>
      <c r="AF155" t="s">
        <v>130</v>
      </c>
      <c r="AH155">
        <v>78.2</v>
      </c>
    </row>
    <row r="156" spans="1:34" x14ac:dyDescent="0.3">
      <c r="A156" s="4">
        <v>316</v>
      </c>
      <c r="B156" s="5">
        <v>149</v>
      </c>
      <c r="C156">
        <v>10428</v>
      </c>
      <c r="D156" t="s">
        <v>15411</v>
      </c>
      <c r="E156" t="s">
        <v>235</v>
      </c>
      <c r="F156" t="s">
        <v>62</v>
      </c>
      <c r="G156" t="s">
        <v>27113</v>
      </c>
      <c r="H156">
        <v>18.2</v>
      </c>
      <c r="I156">
        <v>0</v>
      </c>
      <c r="J156">
        <v>0</v>
      </c>
      <c r="K156">
        <v>0</v>
      </c>
      <c r="L156">
        <v>7</v>
      </c>
      <c r="M156">
        <v>5</v>
      </c>
      <c r="O156">
        <v>12</v>
      </c>
      <c r="P156">
        <v>0</v>
      </c>
      <c r="Q156">
        <v>0</v>
      </c>
      <c r="R156">
        <v>30.2</v>
      </c>
      <c r="S156">
        <v>45</v>
      </c>
      <c r="T156">
        <v>45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45</v>
      </c>
      <c r="AB156">
        <v>3</v>
      </c>
      <c r="AC156">
        <v>0</v>
      </c>
      <c r="AF156" t="s">
        <v>130</v>
      </c>
      <c r="AH156">
        <v>78.2</v>
      </c>
    </row>
    <row r="157" spans="1:34" x14ac:dyDescent="0.3">
      <c r="A157" s="4">
        <v>317</v>
      </c>
      <c r="B157" s="5">
        <v>150</v>
      </c>
      <c r="C157">
        <v>14120</v>
      </c>
      <c r="D157" t="s">
        <v>27114</v>
      </c>
      <c r="E157" t="s">
        <v>342</v>
      </c>
      <c r="F157" t="s">
        <v>38</v>
      </c>
      <c r="G157" t="s">
        <v>27115</v>
      </c>
      <c r="H157">
        <v>17.93</v>
      </c>
      <c r="I157">
        <v>0</v>
      </c>
      <c r="J157">
        <v>0</v>
      </c>
      <c r="K157">
        <v>20</v>
      </c>
      <c r="N157">
        <v>3</v>
      </c>
      <c r="O157">
        <v>3</v>
      </c>
      <c r="P157">
        <v>4</v>
      </c>
      <c r="Q157">
        <v>2</v>
      </c>
      <c r="R157">
        <v>46.93</v>
      </c>
      <c r="S157">
        <v>8</v>
      </c>
      <c r="T157">
        <v>8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8</v>
      </c>
      <c r="AB157">
        <v>3</v>
      </c>
      <c r="AC157">
        <v>20</v>
      </c>
      <c r="AD157" t="s">
        <v>130</v>
      </c>
      <c r="AF157" t="s">
        <v>130</v>
      </c>
      <c r="AH157">
        <v>77.930000000000007</v>
      </c>
    </row>
    <row r="158" spans="1:34" x14ac:dyDescent="0.3">
      <c r="A158" s="4">
        <v>319</v>
      </c>
      <c r="B158" s="5">
        <v>151</v>
      </c>
      <c r="C158">
        <v>10036</v>
      </c>
      <c r="D158" t="s">
        <v>27116</v>
      </c>
      <c r="E158" t="s">
        <v>27117</v>
      </c>
      <c r="F158" t="s">
        <v>136</v>
      </c>
      <c r="G158" t="s">
        <v>27118</v>
      </c>
      <c r="H158">
        <v>18.899999999999999</v>
      </c>
      <c r="I158">
        <v>0</v>
      </c>
      <c r="J158">
        <v>0</v>
      </c>
      <c r="K158">
        <v>20</v>
      </c>
      <c r="M158">
        <v>5</v>
      </c>
      <c r="O158">
        <v>5</v>
      </c>
      <c r="P158">
        <v>4</v>
      </c>
      <c r="Q158">
        <v>2</v>
      </c>
      <c r="R158">
        <v>49.9</v>
      </c>
      <c r="S158">
        <v>28</v>
      </c>
      <c r="T158">
        <v>28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28</v>
      </c>
      <c r="AB158">
        <v>0</v>
      </c>
      <c r="AC158">
        <v>0</v>
      </c>
      <c r="AD158" t="s">
        <v>130</v>
      </c>
      <c r="AF158" t="s">
        <v>130</v>
      </c>
      <c r="AH158">
        <v>77.900000000000006</v>
      </c>
    </row>
    <row r="159" spans="1:34" x14ac:dyDescent="0.3">
      <c r="A159" s="4">
        <v>320</v>
      </c>
      <c r="B159" s="5">
        <v>152</v>
      </c>
      <c r="C159">
        <v>3301</v>
      </c>
      <c r="D159" t="s">
        <v>5382</v>
      </c>
      <c r="E159" t="s">
        <v>550</v>
      </c>
      <c r="F159" t="s">
        <v>17</v>
      </c>
      <c r="G159" t="s">
        <v>27119</v>
      </c>
      <c r="H159">
        <v>18.579999999999998</v>
      </c>
      <c r="I159">
        <v>0</v>
      </c>
      <c r="J159">
        <v>0</v>
      </c>
      <c r="K159">
        <v>20</v>
      </c>
      <c r="L159">
        <v>7</v>
      </c>
      <c r="O159">
        <v>7</v>
      </c>
      <c r="P159">
        <v>4</v>
      </c>
      <c r="Q159">
        <v>2</v>
      </c>
      <c r="R159">
        <v>51.58</v>
      </c>
      <c r="S159">
        <v>17</v>
      </c>
      <c r="T159">
        <v>17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17</v>
      </c>
      <c r="AB159">
        <v>9</v>
      </c>
      <c r="AC159">
        <v>0</v>
      </c>
      <c r="AD159" t="s">
        <v>130</v>
      </c>
      <c r="AF159" t="s">
        <v>130</v>
      </c>
      <c r="AH159">
        <v>77.58</v>
      </c>
    </row>
    <row r="160" spans="1:34" x14ac:dyDescent="0.3">
      <c r="A160" s="4">
        <v>321</v>
      </c>
      <c r="B160" s="5">
        <v>153</v>
      </c>
      <c r="C160">
        <v>12234</v>
      </c>
      <c r="D160" t="s">
        <v>27120</v>
      </c>
      <c r="E160" t="s">
        <v>1659</v>
      </c>
      <c r="F160" t="s">
        <v>190</v>
      </c>
      <c r="G160" t="s">
        <v>27121</v>
      </c>
      <c r="H160">
        <v>18.329999999999998</v>
      </c>
      <c r="I160">
        <v>0</v>
      </c>
      <c r="J160">
        <v>0</v>
      </c>
      <c r="K160">
        <v>0</v>
      </c>
      <c r="L160">
        <v>7</v>
      </c>
      <c r="N160">
        <v>3</v>
      </c>
      <c r="O160">
        <v>10</v>
      </c>
      <c r="P160">
        <v>4</v>
      </c>
      <c r="Q160">
        <v>2</v>
      </c>
      <c r="R160">
        <v>34.33</v>
      </c>
      <c r="S160">
        <v>43</v>
      </c>
      <c r="T160">
        <v>43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43</v>
      </c>
      <c r="AB160">
        <v>0</v>
      </c>
      <c r="AC160">
        <v>0</v>
      </c>
      <c r="AD160" t="s">
        <v>130</v>
      </c>
      <c r="AF160" t="s">
        <v>130</v>
      </c>
      <c r="AH160">
        <v>77.33</v>
      </c>
    </row>
    <row r="161" spans="1:34" x14ac:dyDescent="0.3">
      <c r="A161" s="4">
        <v>323</v>
      </c>
      <c r="B161" s="5">
        <v>154</v>
      </c>
      <c r="C161">
        <v>8093</v>
      </c>
      <c r="D161" t="s">
        <v>5130</v>
      </c>
      <c r="E161" t="s">
        <v>213</v>
      </c>
      <c r="F161" t="s">
        <v>27122</v>
      </c>
      <c r="G161" t="s">
        <v>27123</v>
      </c>
      <c r="H161">
        <v>17.13</v>
      </c>
      <c r="I161">
        <v>0</v>
      </c>
      <c r="J161">
        <v>0</v>
      </c>
      <c r="K161">
        <v>20</v>
      </c>
      <c r="L161">
        <v>7</v>
      </c>
      <c r="O161">
        <v>7</v>
      </c>
      <c r="P161">
        <v>4</v>
      </c>
      <c r="Q161">
        <v>2</v>
      </c>
      <c r="R161">
        <v>50.13</v>
      </c>
      <c r="S161">
        <v>27</v>
      </c>
      <c r="T161">
        <v>27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27</v>
      </c>
      <c r="AB161">
        <v>0</v>
      </c>
      <c r="AC161">
        <v>0</v>
      </c>
      <c r="AD161" t="s">
        <v>130</v>
      </c>
      <c r="AF161" t="s">
        <v>130</v>
      </c>
      <c r="AH161">
        <v>77.13</v>
      </c>
    </row>
    <row r="162" spans="1:34" x14ac:dyDescent="0.3">
      <c r="A162" s="4">
        <v>324</v>
      </c>
      <c r="B162" s="5">
        <v>155</v>
      </c>
      <c r="C162">
        <v>2623</v>
      </c>
      <c r="D162" t="s">
        <v>27124</v>
      </c>
      <c r="E162" t="s">
        <v>213</v>
      </c>
      <c r="F162" t="s">
        <v>6216</v>
      </c>
      <c r="G162" t="s">
        <v>27125</v>
      </c>
      <c r="H162">
        <v>21.05</v>
      </c>
      <c r="I162">
        <v>7</v>
      </c>
      <c r="J162">
        <v>0</v>
      </c>
      <c r="K162">
        <v>20</v>
      </c>
      <c r="M162">
        <v>5</v>
      </c>
      <c r="O162">
        <v>5</v>
      </c>
      <c r="P162">
        <v>4</v>
      </c>
      <c r="Q162">
        <v>2</v>
      </c>
      <c r="R162">
        <v>59.05</v>
      </c>
      <c r="S162">
        <v>18</v>
      </c>
      <c r="T162">
        <v>18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18</v>
      </c>
      <c r="AB162">
        <v>0</v>
      </c>
      <c r="AC162">
        <v>0</v>
      </c>
      <c r="AF162" t="s">
        <v>130</v>
      </c>
      <c r="AH162">
        <v>77.05</v>
      </c>
    </row>
    <row r="163" spans="1:34" x14ac:dyDescent="0.3">
      <c r="A163" s="4">
        <v>325</v>
      </c>
      <c r="B163" s="5">
        <v>156</v>
      </c>
      <c r="C163">
        <v>11879</v>
      </c>
      <c r="D163" t="s">
        <v>27126</v>
      </c>
      <c r="E163" t="s">
        <v>71</v>
      </c>
      <c r="F163" t="s">
        <v>68</v>
      </c>
      <c r="G163" t="s">
        <v>27127</v>
      </c>
      <c r="H163">
        <v>19.93</v>
      </c>
      <c r="I163">
        <v>0</v>
      </c>
      <c r="J163">
        <v>0</v>
      </c>
      <c r="K163">
        <v>28</v>
      </c>
      <c r="M163">
        <v>5</v>
      </c>
      <c r="O163">
        <v>5</v>
      </c>
      <c r="P163">
        <v>4</v>
      </c>
      <c r="Q163">
        <v>2</v>
      </c>
      <c r="R163">
        <v>58.93</v>
      </c>
      <c r="S163">
        <v>18</v>
      </c>
      <c r="T163">
        <v>18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18</v>
      </c>
      <c r="AB163">
        <v>0</v>
      </c>
      <c r="AC163">
        <v>0</v>
      </c>
      <c r="AD163" t="s">
        <v>130</v>
      </c>
      <c r="AE163" t="s">
        <v>130</v>
      </c>
      <c r="AF163" t="s">
        <v>130</v>
      </c>
      <c r="AH163">
        <v>76.930000000000007</v>
      </c>
    </row>
    <row r="164" spans="1:34" x14ac:dyDescent="0.3">
      <c r="A164" s="4">
        <v>326</v>
      </c>
      <c r="B164" s="5">
        <v>157</v>
      </c>
      <c r="C164">
        <v>11785</v>
      </c>
      <c r="D164" t="s">
        <v>14056</v>
      </c>
      <c r="E164" t="s">
        <v>27128</v>
      </c>
      <c r="F164" t="s">
        <v>9300</v>
      </c>
      <c r="G164" t="s">
        <v>27129</v>
      </c>
      <c r="H164">
        <v>18.93</v>
      </c>
      <c r="I164">
        <v>7</v>
      </c>
      <c r="J164">
        <v>0</v>
      </c>
      <c r="K164">
        <v>20</v>
      </c>
      <c r="L164">
        <v>7</v>
      </c>
      <c r="O164">
        <v>7</v>
      </c>
      <c r="P164">
        <v>4</v>
      </c>
      <c r="Q164">
        <v>2</v>
      </c>
      <c r="R164">
        <v>58.93</v>
      </c>
      <c r="S164">
        <v>18</v>
      </c>
      <c r="T164">
        <v>18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18</v>
      </c>
      <c r="AB164">
        <v>0</v>
      </c>
      <c r="AC164">
        <v>0</v>
      </c>
      <c r="AF164" t="s">
        <v>130</v>
      </c>
      <c r="AH164">
        <v>76.930000000000007</v>
      </c>
    </row>
    <row r="165" spans="1:34" x14ac:dyDescent="0.3">
      <c r="A165" s="4">
        <v>327</v>
      </c>
      <c r="B165" s="5">
        <v>158</v>
      </c>
      <c r="C165">
        <v>9336</v>
      </c>
      <c r="D165" t="s">
        <v>27130</v>
      </c>
      <c r="E165" t="s">
        <v>8216</v>
      </c>
      <c r="F165" t="s">
        <v>34</v>
      </c>
      <c r="G165" t="s">
        <v>27131</v>
      </c>
      <c r="H165">
        <v>19.850000000000001</v>
      </c>
      <c r="I165">
        <v>7</v>
      </c>
      <c r="J165">
        <v>0</v>
      </c>
      <c r="K165">
        <v>20</v>
      </c>
      <c r="N165">
        <v>3</v>
      </c>
      <c r="O165">
        <v>3</v>
      </c>
      <c r="P165">
        <v>4</v>
      </c>
      <c r="Q165">
        <v>0</v>
      </c>
      <c r="R165">
        <v>53.85</v>
      </c>
      <c r="S165">
        <v>23</v>
      </c>
      <c r="T165">
        <v>23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23</v>
      </c>
      <c r="AB165">
        <v>0</v>
      </c>
      <c r="AC165">
        <v>0</v>
      </c>
      <c r="AF165" t="s">
        <v>130</v>
      </c>
      <c r="AH165">
        <v>76.849999999999994</v>
      </c>
    </row>
    <row r="166" spans="1:34" x14ac:dyDescent="0.3">
      <c r="A166" s="4">
        <v>328</v>
      </c>
      <c r="B166" s="5">
        <v>159</v>
      </c>
      <c r="C166">
        <v>3724</v>
      </c>
      <c r="D166" t="s">
        <v>25173</v>
      </c>
      <c r="E166" t="s">
        <v>167</v>
      </c>
      <c r="F166" t="s">
        <v>20</v>
      </c>
      <c r="G166" t="s">
        <v>27132</v>
      </c>
      <c r="H166">
        <v>19.78</v>
      </c>
      <c r="I166">
        <v>0</v>
      </c>
      <c r="J166">
        <v>0</v>
      </c>
      <c r="K166">
        <v>20</v>
      </c>
      <c r="N166">
        <v>3</v>
      </c>
      <c r="O166">
        <v>3</v>
      </c>
      <c r="P166">
        <v>4</v>
      </c>
      <c r="Q166">
        <v>2</v>
      </c>
      <c r="R166">
        <v>48.78</v>
      </c>
      <c r="S166">
        <v>28</v>
      </c>
      <c r="T166">
        <v>28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28</v>
      </c>
      <c r="AB166">
        <v>0</v>
      </c>
      <c r="AC166">
        <v>0</v>
      </c>
      <c r="AD166" t="s">
        <v>130</v>
      </c>
      <c r="AF166" t="s">
        <v>130</v>
      </c>
      <c r="AH166">
        <v>76.78</v>
      </c>
    </row>
    <row r="167" spans="1:34" x14ac:dyDescent="0.3">
      <c r="A167" s="4">
        <v>329</v>
      </c>
      <c r="B167" s="5">
        <v>160</v>
      </c>
      <c r="C167">
        <v>9314</v>
      </c>
      <c r="D167" t="s">
        <v>27133</v>
      </c>
      <c r="E167" t="s">
        <v>8570</v>
      </c>
      <c r="F167" t="s">
        <v>62</v>
      </c>
      <c r="G167" t="s">
        <v>27134</v>
      </c>
      <c r="H167">
        <v>15.5</v>
      </c>
      <c r="I167">
        <v>0</v>
      </c>
      <c r="J167">
        <v>0</v>
      </c>
      <c r="K167">
        <v>20</v>
      </c>
      <c r="L167">
        <v>14</v>
      </c>
      <c r="O167">
        <v>14</v>
      </c>
      <c r="P167">
        <v>4</v>
      </c>
      <c r="Q167">
        <v>2</v>
      </c>
      <c r="R167">
        <v>55.5</v>
      </c>
      <c r="S167">
        <v>15</v>
      </c>
      <c r="T167">
        <v>15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15</v>
      </c>
      <c r="AB167">
        <v>6</v>
      </c>
      <c r="AC167">
        <v>0</v>
      </c>
      <c r="AF167" t="s">
        <v>130</v>
      </c>
      <c r="AH167">
        <v>76.5</v>
      </c>
    </row>
    <row r="168" spans="1:34" x14ac:dyDescent="0.3">
      <c r="A168" s="4">
        <v>330</v>
      </c>
      <c r="B168" s="5">
        <v>161</v>
      </c>
      <c r="C168">
        <v>1073</v>
      </c>
      <c r="D168" t="s">
        <v>27135</v>
      </c>
      <c r="E168" t="s">
        <v>749</v>
      </c>
      <c r="F168" t="s">
        <v>136</v>
      </c>
      <c r="G168" t="s">
        <v>27136</v>
      </c>
      <c r="H168">
        <v>17.5</v>
      </c>
      <c r="I168">
        <v>0</v>
      </c>
      <c r="J168">
        <v>0</v>
      </c>
      <c r="K168">
        <v>20</v>
      </c>
      <c r="L168">
        <v>7</v>
      </c>
      <c r="O168">
        <v>7</v>
      </c>
      <c r="P168">
        <v>4</v>
      </c>
      <c r="Q168">
        <v>0</v>
      </c>
      <c r="R168">
        <v>48.5</v>
      </c>
      <c r="S168">
        <v>28</v>
      </c>
      <c r="T168">
        <v>28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28</v>
      </c>
      <c r="AB168">
        <v>0</v>
      </c>
      <c r="AC168">
        <v>0</v>
      </c>
      <c r="AD168" t="s">
        <v>130</v>
      </c>
      <c r="AF168" t="s">
        <v>130</v>
      </c>
      <c r="AH168">
        <v>76.5</v>
      </c>
    </row>
    <row r="169" spans="1:34" x14ac:dyDescent="0.3">
      <c r="A169" s="4">
        <v>331</v>
      </c>
      <c r="B169" s="5">
        <v>162</v>
      </c>
      <c r="C169">
        <v>9197</v>
      </c>
      <c r="D169" t="s">
        <v>27137</v>
      </c>
      <c r="E169" t="s">
        <v>52</v>
      </c>
      <c r="F169" t="s">
        <v>328</v>
      </c>
      <c r="G169" t="s">
        <v>27138</v>
      </c>
      <c r="H169">
        <v>18.38</v>
      </c>
      <c r="I169">
        <v>0</v>
      </c>
      <c r="J169">
        <v>0</v>
      </c>
      <c r="K169">
        <v>28</v>
      </c>
      <c r="L169">
        <v>7</v>
      </c>
      <c r="N169">
        <v>3</v>
      </c>
      <c r="O169">
        <v>10</v>
      </c>
      <c r="P169">
        <v>4</v>
      </c>
      <c r="Q169">
        <v>2</v>
      </c>
      <c r="R169">
        <v>62.38</v>
      </c>
      <c r="S169">
        <v>14</v>
      </c>
      <c r="T169">
        <v>14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14</v>
      </c>
      <c r="AB169">
        <v>0</v>
      </c>
      <c r="AC169">
        <v>0</v>
      </c>
      <c r="AD169" t="s">
        <v>130</v>
      </c>
      <c r="AF169" t="s">
        <v>130</v>
      </c>
      <c r="AH169">
        <v>76.38</v>
      </c>
    </row>
    <row r="170" spans="1:34" x14ac:dyDescent="0.3">
      <c r="A170" s="4">
        <v>332</v>
      </c>
      <c r="B170" s="5">
        <v>163</v>
      </c>
      <c r="C170">
        <v>11950</v>
      </c>
      <c r="D170" t="s">
        <v>11633</v>
      </c>
      <c r="E170" t="s">
        <v>3302</v>
      </c>
      <c r="F170" t="s">
        <v>101</v>
      </c>
      <c r="G170" t="s">
        <v>27139</v>
      </c>
      <c r="H170">
        <v>18</v>
      </c>
      <c r="I170">
        <v>0</v>
      </c>
      <c r="J170">
        <v>0</v>
      </c>
      <c r="K170">
        <v>0</v>
      </c>
      <c r="N170">
        <v>3</v>
      </c>
      <c r="O170">
        <v>3</v>
      </c>
      <c r="P170">
        <v>4</v>
      </c>
      <c r="Q170">
        <v>2</v>
      </c>
      <c r="R170">
        <v>27</v>
      </c>
      <c r="S170">
        <v>37</v>
      </c>
      <c r="T170">
        <v>37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37</v>
      </c>
      <c r="AB170">
        <v>12</v>
      </c>
      <c r="AC170">
        <v>0</v>
      </c>
      <c r="AF170" t="s">
        <v>130</v>
      </c>
      <c r="AH170">
        <v>76</v>
      </c>
    </row>
    <row r="171" spans="1:34" x14ac:dyDescent="0.3">
      <c r="A171" s="4">
        <v>333</v>
      </c>
      <c r="B171" s="5">
        <v>164</v>
      </c>
      <c r="C171">
        <v>3259</v>
      </c>
      <c r="D171" t="s">
        <v>21703</v>
      </c>
      <c r="E171" t="s">
        <v>26</v>
      </c>
      <c r="F171" t="s">
        <v>17</v>
      </c>
      <c r="G171" t="s">
        <v>27140</v>
      </c>
      <c r="H171">
        <v>14.98</v>
      </c>
      <c r="I171">
        <v>0</v>
      </c>
      <c r="J171">
        <v>0</v>
      </c>
      <c r="K171">
        <v>20</v>
      </c>
      <c r="L171">
        <v>7</v>
      </c>
      <c r="O171">
        <v>7</v>
      </c>
      <c r="P171">
        <v>4</v>
      </c>
      <c r="Q171">
        <v>2</v>
      </c>
      <c r="R171">
        <v>47.98</v>
      </c>
      <c r="S171">
        <v>28</v>
      </c>
      <c r="T171">
        <v>28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28</v>
      </c>
      <c r="AB171">
        <v>0</v>
      </c>
      <c r="AC171">
        <v>0</v>
      </c>
      <c r="AD171" t="s">
        <v>130</v>
      </c>
      <c r="AF171" t="s">
        <v>130</v>
      </c>
      <c r="AH171">
        <v>75.98</v>
      </c>
    </row>
    <row r="172" spans="1:34" x14ac:dyDescent="0.3">
      <c r="A172" s="4">
        <v>334</v>
      </c>
      <c r="B172" s="5">
        <v>165</v>
      </c>
      <c r="C172">
        <v>2272</v>
      </c>
      <c r="D172" t="s">
        <v>27141</v>
      </c>
      <c r="E172" t="s">
        <v>570</v>
      </c>
      <c r="F172" t="s">
        <v>457</v>
      </c>
      <c r="G172" t="s">
        <v>27142</v>
      </c>
      <c r="H172">
        <v>17.850000000000001</v>
      </c>
      <c r="I172">
        <v>0</v>
      </c>
      <c r="J172">
        <v>0</v>
      </c>
      <c r="K172">
        <v>0</v>
      </c>
      <c r="M172">
        <v>5</v>
      </c>
      <c r="O172">
        <v>5</v>
      </c>
      <c r="P172">
        <v>4</v>
      </c>
      <c r="Q172">
        <v>2</v>
      </c>
      <c r="R172">
        <v>28.85</v>
      </c>
      <c r="S172">
        <v>44</v>
      </c>
      <c r="T172">
        <v>44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44</v>
      </c>
      <c r="AB172">
        <v>3</v>
      </c>
      <c r="AC172">
        <v>0</v>
      </c>
      <c r="AD172" t="s">
        <v>130</v>
      </c>
      <c r="AF172" t="s">
        <v>130</v>
      </c>
      <c r="AH172">
        <v>75.849999999999994</v>
      </c>
    </row>
    <row r="173" spans="1:34" x14ac:dyDescent="0.3">
      <c r="A173" s="4">
        <v>335</v>
      </c>
      <c r="B173" s="5">
        <v>166</v>
      </c>
      <c r="C173">
        <v>3346</v>
      </c>
      <c r="D173" t="s">
        <v>4968</v>
      </c>
      <c r="E173" t="s">
        <v>27143</v>
      </c>
      <c r="F173" t="s">
        <v>38</v>
      </c>
      <c r="G173" t="s">
        <v>27144</v>
      </c>
      <c r="H173">
        <v>15.78</v>
      </c>
      <c r="I173">
        <v>0</v>
      </c>
      <c r="J173">
        <v>0</v>
      </c>
      <c r="K173">
        <v>20</v>
      </c>
      <c r="N173">
        <v>3</v>
      </c>
      <c r="O173">
        <v>3</v>
      </c>
      <c r="P173">
        <v>4</v>
      </c>
      <c r="Q173">
        <v>2</v>
      </c>
      <c r="R173">
        <v>44.78</v>
      </c>
      <c r="S173">
        <v>31</v>
      </c>
      <c r="T173">
        <v>31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31</v>
      </c>
      <c r="AB173">
        <v>0</v>
      </c>
      <c r="AC173">
        <v>0</v>
      </c>
      <c r="AD173" t="s">
        <v>130</v>
      </c>
      <c r="AF173" t="s">
        <v>130</v>
      </c>
      <c r="AH173">
        <v>75.78</v>
      </c>
    </row>
    <row r="174" spans="1:34" x14ac:dyDescent="0.3">
      <c r="A174" s="4">
        <v>336</v>
      </c>
      <c r="B174" s="5">
        <v>167</v>
      </c>
      <c r="C174">
        <v>3059</v>
      </c>
      <c r="D174" t="s">
        <v>1425</v>
      </c>
      <c r="E174" t="s">
        <v>100</v>
      </c>
      <c r="F174" t="s">
        <v>17</v>
      </c>
      <c r="G174" t="s">
        <v>27145</v>
      </c>
      <c r="H174">
        <v>18.75</v>
      </c>
      <c r="I174">
        <v>0</v>
      </c>
      <c r="J174">
        <v>0</v>
      </c>
      <c r="K174">
        <v>20</v>
      </c>
      <c r="N174">
        <v>3</v>
      </c>
      <c r="O174">
        <v>3</v>
      </c>
      <c r="P174">
        <v>4</v>
      </c>
      <c r="Q174">
        <v>2</v>
      </c>
      <c r="R174">
        <v>47.75</v>
      </c>
      <c r="S174">
        <v>28</v>
      </c>
      <c r="T174">
        <v>28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28</v>
      </c>
      <c r="AB174">
        <v>0</v>
      </c>
      <c r="AC174">
        <v>0</v>
      </c>
      <c r="AF174" t="s">
        <v>130</v>
      </c>
      <c r="AH174">
        <v>75.75</v>
      </c>
    </row>
    <row r="175" spans="1:34" x14ac:dyDescent="0.3">
      <c r="A175" s="4">
        <v>337</v>
      </c>
      <c r="B175" s="5">
        <v>168</v>
      </c>
      <c r="C175">
        <v>10089</v>
      </c>
      <c r="D175" t="s">
        <v>27146</v>
      </c>
      <c r="E175" t="s">
        <v>20</v>
      </c>
      <c r="F175" t="s">
        <v>158</v>
      </c>
      <c r="G175" t="s">
        <v>27147</v>
      </c>
      <c r="H175">
        <v>19.829999999999998</v>
      </c>
      <c r="I175">
        <v>0</v>
      </c>
      <c r="J175">
        <v>0</v>
      </c>
      <c r="K175">
        <v>20</v>
      </c>
      <c r="O175">
        <v>0</v>
      </c>
      <c r="P175">
        <v>4</v>
      </c>
      <c r="Q175">
        <v>2</v>
      </c>
      <c r="R175">
        <v>45.83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3</v>
      </c>
      <c r="AC175">
        <v>26.8</v>
      </c>
      <c r="AF175" t="s">
        <v>130</v>
      </c>
      <c r="AH175">
        <v>75.63</v>
      </c>
    </row>
    <row r="176" spans="1:34" x14ac:dyDescent="0.3">
      <c r="A176" s="4">
        <v>338</v>
      </c>
      <c r="B176" s="5">
        <v>169</v>
      </c>
      <c r="C176">
        <v>4049</v>
      </c>
      <c r="D176" t="s">
        <v>6432</v>
      </c>
      <c r="E176" t="s">
        <v>115</v>
      </c>
      <c r="F176" t="s">
        <v>117</v>
      </c>
      <c r="G176" t="s">
        <v>27148</v>
      </c>
      <c r="H176">
        <v>18.63</v>
      </c>
      <c r="I176">
        <v>0</v>
      </c>
      <c r="J176">
        <v>0</v>
      </c>
      <c r="K176">
        <v>20</v>
      </c>
      <c r="L176">
        <v>7</v>
      </c>
      <c r="O176">
        <v>7</v>
      </c>
      <c r="P176">
        <v>4</v>
      </c>
      <c r="Q176">
        <v>2</v>
      </c>
      <c r="R176">
        <v>51.63</v>
      </c>
      <c r="S176">
        <v>18</v>
      </c>
      <c r="T176">
        <v>18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18</v>
      </c>
      <c r="AB176">
        <v>6</v>
      </c>
      <c r="AC176">
        <v>0</v>
      </c>
      <c r="AF176" t="s">
        <v>130</v>
      </c>
      <c r="AH176">
        <v>75.63</v>
      </c>
    </row>
    <row r="177" spans="1:34" x14ac:dyDescent="0.3">
      <c r="A177" s="4">
        <v>339</v>
      </c>
      <c r="B177" s="5">
        <v>170</v>
      </c>
      <c r="C177">
        <v>101</v>
      </c>
      <c r="D177" t="s">
        <v>27149</v>
      </c>
      <c r="E177" t="s">
        <v>41</v>
      </c>
      <c r="F177" t="s">
        <v>81</v>
      </c>
      <c r="G177" t="s">
        <v>27150</v>
      </c>
      <c r="H177">
        <v>18</v>
      </c>
      <c r="I177">
        <v>0</v>
      </c>
      <c r="J177">
        <v>0</v>
      </c>
      <c r="K177">
        <v>20</v>
      </c>
      <c r="L177">
        <v>7</v>
      </c>
      <c r="O177">
        <v>7</v>
      </c>
      <c r="P177">
        <v>4</v>
      </c>
      <c r="Q177">
        <v>2</v>
      </c>
      <c r="R177">
        <v>51</v>
      </c>
      <c r="S177">
        <v>18</v>
      </c>
      <c r="T177">
        <v>18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18</v>
      </c>
      <c r="AB177">
        <v>6</v>
      </c>
      <c r="AC177">
        <v>0</v>
      </c>
      <c r="AF177" t="s">
        <v>130</v>
      </c>
      <c r="AH177">
        <v>75</v>
      </c>
    </row>
    <row r="178" spans="1:34" x14ac:dyDescent="0.3">
      <c r="A178" s="4">
        <v>340</v>
      </c>
      <c r="B178" s="5">
        <v>171</v>
      </c>
      <c r="C178">
        <v>5164</v>
      </c>
      <c r="D178" t="s">
        <v>3295</v>
      </c>
      <c r="E178" t="s">
        <v>166</v>
      </c>
      <c r="F178" t="s">
        <v>38</v>
      </c>
      <c r="G178" t="s">
        <v>27151</v>
      </c>
      <c r="H178">
        <v>17.93</v>
      </c>
      <c r="I178">
        <v>0</v>
      </c>
      <c r="J178">
        <v>0</v>
      </c>
      <c r="K178">
        <v>20</v>
      </c>
      <c r="L178">
        <v>7</v>
      </c>
      <c r="O178">
        <v>7</v>
      </c>
      <c r="P178">
        <v>4</v>
      </c>
      <c r="Q178">
        <v>2</v>
      </c>
      <c r="R178">
        <v>50.93</v>
      </c>
      <c r="S178">
        <v>18</v>
      </c>
      <c r="T178">
        <v>18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18</v>
      </c>
      <c r="AB178">
        <v>6</v>
      </c>
      <c r="AC178">
        <v>0</v>
      </c>
      <c r="AF178" t="s">
        <v>130</v>
      </c>
      <c r="AH178">
        <v>74.930000000000007</v>
      </c>
    </row>
    <row r="179" spans="1:34" x14ac:dyDescent="0.3">
      <c r="A179" s="4">
        <v>341</v>
      </c>
      <c r="B179" s="5">
        <v>172</v>
      </c>
      <c r="C179">
        <v>10366</v>
      </c>
      <c r="D179" t="s">
        <v>27152</v>
      </c>
      <c r="E179" t="s">
        <v>132</v>
      </c>
      <c r="F179" t="s">
        <v>259</v>
      </c>
      <c r="G179" t="s">
        <v>27153</v>
      </c>
      <c r="H179">
        <v>17.850000000000001</v>
      </c>
      <c r="I179">
        <v>0</v>
      </c>
      <c r="J179">
        <v>0</v>
      </c>
      <c r="K179">
        <v>20</v>
      </c>
      <c r="N179">
        <v>3</v>
      </c>
      <c r="O179">
        <v>3</v>
      </c>
      <c r="P179">
        <v>4</v>
      </c>
      <c r="Q179">
        <v>2</v>
      </c>
      <c r="R179">
        <v>46.85</v>
      </c>
      <c r="S179">
        <v>28</v>
      </c>
      <c r="T179">
        <v>28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28</v>
      </c>
      <c r="AB179">
        <v>0</v>
      </c>
      <c r="AC179">
        <v>0</v>
      </c>
      <c r="AF179" t="s">
        <v>130</v>
      </c>
      <c r="AH179">
        <v>74.849999999999994</v>
      </c>
    </row>
    <row r="180" spans="1:34" x14ac:dyDescent="0.3">
      <c r="A180" s="4">
        <v>342</v>
      </c>
      <c r="B180" s="5">
        <v>173</v>
      </c>
      <c r="C180">
        <v>2632</v>
      </c>
      <c r="D180" t="s">
        <v>1590</v>
      </c>
      <c r="E180" t="s">
        <v>22</v>
      </c>
      <c r="F180" t="s">
        <v>136</v>
      </c>
      <c r="G180" t="s">
        <v>27154</v>
      </c>
      <c r="H180">
        <v>16.75</v>
      </c>
      <c r="I180">
        <v>0</v>
      </c>
      <c r="J180">
        <v>0</v>
      </c>
      <c r="K180">
        <v>0</v>
      </c>
      <c r="L180">
        <v>7</v>
      </c>
      <c r="O180">
        <v>7</v>
      </c>
      <c r="P180">
        <v>4</v>
      </c>
      <c r="Q180">
        <v>0</v>
      </c>
      <c r="R180">
        <v>27.75</v>
      </c>
      <c r="S180">
        <v>47</v>
      </c>
      <c r="T180">
        <v>47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47</v>
      </c>
      <c r="AB180">
        <v>0</v>
      </c>
      <c r="AC180">
        <v>0</v>
      </c>
      <c r="AF180" t="s">
        <v>130</v>
      </c>
      <c r="AH180">
        <v>74.75</v>
      </c>
    </row>
    <row r="181" spans="1:34" x14ac:dyDescent="0.3">
      <c r="A181" s="4">
        <v>343</v>
      </c>
      <c r="B181" s="5">
        <v>174</v>
      </c>
      <c r="C181">
        <v>3688</v>
      </c>
      <c r="D181" t="s">
        <v>27155</v>
      </c>
      <c r="E181" t="s">
        <v>139</v>
      </c>
      <c r="F181" t="s">
        <v>68</v>
      </c>
      <c r="G181" t="s">
        <v>27156</v>
      </c>
      <c r="H181">
        <v>17.53</v>
      </c>
      <c r="I181">
        <v>0</v>
      </c>
      <c r="J181">
        <v>0</v>
      </c>
      <c r="K181">
        <v>20</v>
      </c>
      <c r="N181">
        <v>3</v>
      </c>
      <c r="O181">
        <v>3</v>
      </c>
      <c r="P181">
        <v>4</v>
      </c>
      <c r="Q181">
        <v>2</v>
      </c>
      <c r="R181">
        <v>46.53</v>
      </c>
      <c r="S181">
        <v>28</v>
      </c>
      <c r="T181">
        <v>28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28</v>
      </c>
      <c r="AB181">
        <v>0</v>
      </c>
      <c r="AC181">
        <v>0</v>
      </c>
      <c r="AD181" t="s">
        <v>130</v>
      </c>
      <c r="AF181" t="s">
        <v>130</v>
      </c>
      <c r="AH181">
        <v>74.53</v>
      </c>
    </row>
    <row r="182" spans="1:34" x14ac:dyDescent="0.3">
      <c r="A182" s="4">
        <v>344</v>
      </c>
      <c r="B182" s="5">
        <v>175</v>
      </c>
      <c r="C182">
        <v>1465</v>
      </c>
      <c r="D182" t="s">
        <v>9245</v>
      </c>
      <c r="E182" t="s">
        <v>27157</v>
      </c>
      <c r="F182" t="s">
        <v>167</v>
      </c>
      <c r="G182" t="s">
        <v>27158</v>
      </c>
      <c r="H182">
        <v>19.43</v>
      </c>
      <c r="I182">
        <v>7</v>
      </c>
      <c r="J182">
        <v>0</v>
      </c>
      <c r="K182">
        <v>20</v>
      </c>
      <c r="L182">
        <v>7</v>
      </c>
      <c r="N182">
        <v>3</v>
      </c>
      <c r="O182">
        <v>10</v>
      </c>
      <c r="P182">
        <v>4</v>
      </c>
      <c r="Q182">
        <v>2</v>
      </c>
      <c r="R182">
        <v>62.43</v>
      </c>
      <c r="S182">
        <v>9</v>
      </c>
      <c r="T182">
        <v>9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9</v>
      </c>
      <c r="AB182">
        <v>3</v>
      </c>
      <c r="AC182">
        <v>0</v>
      </c>
      <c r="AF182" t="s">
        <v>130</v>
      </c>
      <c r="AH182">
        <v>74.430000000000007</v>
      </c>
    </row>
    <row r="183" spans="1:34" x14ac:dyDescent="0.3">
      <c r="A183" s="4">
        <v>345</v>
      </c>
      <c r="B183" s="5">
        <v>176</v>
      </c>
      <c r="C183">
        <v>2069</v>
      </c>
      <c r="D183" t="s">
        <v>27159</v>
      </c>
      <c r="E183" t="s">
        <v>54</v>
      </c>
      <c r="F183" t="s">
        <v>117</v>
      </c>
      <c r="G183" t="s">
        <v>27160</v>
      </c>
      <c r="H183">
        <v>18.25</v>
      </c>
      <c r="I183">
        <v>0</v>
      </c>
      <c r="J183">
        <v>0</v>
      </c>
      <c r="K183">
        <v>20</v>
      </c>
      <c r="L183">
        <v>7</v>
      </c>
      <c r="O183">
        <v>7</v>
      </c>
      <c r="P183">
        <v>4</v>
      </c>
      <c r="Q183">
        <v>2</v>
      </c>
      <c r="R183">
        <v>51.25</v>
      </c>
      <c r="S183">
        <v>17</v>
      </c>
      <c r="T183">
        <v>17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17</v>
      </c>
      <c r="AB183">
        <v>6</v>
      </c>
      <c r="AC183">
        <v>0</v>
      </c>
      <c r="AF183" t="s">
        <v>130</v>
      </c>
      <c r="AH183">
        <v>74.25</v>
      </c>
    </row>
    <row r="184" spans="1:34" x14ac:dyDescent="0.3">
      <c r="A184" s="4">
        <v>346</v>
      </c>
      <c r="B184" s="5">
        <v>177</v>
      </c>
      <c r="C184">
        <v>13313</v>
      </c>
      <c r="D184" t="s">
        <v>3657</v>
      </c>
      <c r="E184" t="s">
        <v>170</v>
      </c>
      <c r="F184" t="s">
        <v>626</v>
      </c>
      <c r="G184" t="s">
        <v>27161</v>
      </c>
      <c r="H184">
        <v>18.73</v>
      </c>
      <c r="I184">
        <v>0</v>
      </c>
      <c r="J184">
        <v>0</v>
      </c>
      <c r="K184">
        <v>0</v>
      </c>
      <c r="N184">
        <v>3</v>
      </c>
      <c r="O184">
        <v>3</v>
      </c>
      <c r="P184">
        <v>4</v>
      </c>
      <c r="Q184">
        <v>2</v>
      </c>
      <c r="R184">
        <v>27.73</v>
      </c>
      <c r="S184">
        <v>46</v>
      </c>
      <c r="T184">
        <v>46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46</v>
      </c>
      <c r="AB184">
        <v>0</v>
      </c>
      <c r="AC184">
        <v>0</v>
      </c>
      <c r="AF184" t="s">
        <v>130</v>
      </c>
      <c r="AH184">
        <v>73.73</v>
      </c>
    </row>
    <row r="185" spans="1:34" x14ac:dyDescent="0.3">
      <c r="A185" s="4">
        <v>347</v>
      </c>
      <c r="B185" s="5">
        <v>178</v>
      </c>
      <c r="C185">
        <v>2846</v>
      </c>
      <c r="D185" t="s">
        <v>1430</v>
      </c>
      <c r="E185" t="s">
        <v>5630</v>
      </c>
      <c r="F185" t="s">
        <v>30</v>
      </c>
      <c r="G185" t="s">
        <v>27162</v>
      </c>
      <c r="H185">
        <v>16.329999999999998</v>
      </c>
      <c r="I185">
        <v>0</v>
      </c>
      <c r="J185">
        <v>0</v>
      </c>
      <c r="K185">
        <v>20</v>
      </c>
      <c r="N185">
        <v>3</v>
      </c>
      <c r="O185">
        <v>3</v>
      </c>
      <c r="P185">
        <v>4</v>
      </c>
      <c r="Q185">
        <v>2</v>
      </c>
      <c r="R185">
        <v>45.33</v>
      </c>
      <c r="S185">
        <v>28</v>
      </c>
      <c r="T185">
        <v>28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28</v>
      </c>
      <c r="AB185">
        <v>0</v>
      </c>
      <c r="AC185">
        <v>0</v>
      </c>
      <c r="AF185" t="s">
        <v>130</v>
      </c>
      <c r="AH185">
        <v>73.33</v>
      </c>
    </row>
    <row r="186" spans="1:34" x14ac:dyDescent="0.3">
      <c r="A186" s="4">
        <v>348</v>
      </c>
      <c r="B186" s="5">
        <v>179</v>
      </c>
      <c r="C186">
        <v>3926</v>
      </c>
      <c r="D186" t="s">
        <v>27163</v>
      </c>
      <c r="E186" t="s">
        <v>789</v>
      </c>
      <c r="F186" t="s">
        <v>243</v>
      </c>
      <c r="G186" t="s">
        <v>27164</v>
      </c>
      <c r="H186">
        <v>20.3</v>
      </c>
      <c r="I186">
        <v>0</v>
      </c>
      <c r="J186">
        <v>0</v>
      </c>
      <c r="K186">
        <v>20</v>
      </c>
      <c r="L186">
        <v>7</v>
      </c>
      <c r="O186">
        <v>7</v>
      </c>
      <c r="P186">
        <v>4</v>
      </c>
      <c r="Q186">
        <v>2</v>
      </c>
      <c r="R186">
        <v>53.3</v>
      </c>
      <c r="S186">
        <v>17</v>
      </c>
      <c r="T186">
        <v>17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17</v>
      </c>
      <c r="AB186">
        <v>3</v>
      </c>
      <c r="AC186">
        <v>0</v>
      </c>
      <c r="AD186" t="s">
        <v>130</v>
      </c>
      <c r="AF186" t="s">
        <v>130</v>
      </c>
      <c r="AH186">
        <v>73.3</v>
      </c>
    </row>
    <row r="187" spans="1:34" x14ac:dyDescent="0.3">
      <c r="A187" s="4">
        <v>349</v>
      </c>
      <c r="B187" s="5">
        <v>180</v>
      </c>
      <c r="C187">
        <v>6883</v>
      </c>
      <c r="D187" t="s">
        <v>2043</v>
      </c>
      <c r="E187" t="s">
        <v>471</v>
      </c>
      <c r="F187" t="s">
        <v>17</v>
      </c>
      <c r="G187" t="s">
        <v>27165</v>
      </c>
      <c r="H187">
        <v>16.25</v>
      </c>
      <c r="I187">
        <v>7</v>
      </c>
      <c r="J187">
        <v>0</v>
      </c>
      <c r="K187">
        <v>20</v>
      </c>
      <c r="N187">
        <v>6</v>
      </c>
      <c r="O187">
        <v>6</v>
      </c>
      <c r="P187">
        <v>4</v>
      </c>
      <c r="Q187">
        <v>2</v>
      </c>
      <c r="R187">
        <v>55.25</v>
      </c>
      <c r="S187">
        <v>18</v>
      </c>
      <c r="T187">
        <v>18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18</v>
      </c>
      <c r="AB187">
        <v>0</v>
      </c>
      <c r="AC187">
        <v>0</v>
      </c>
      <c r="AF187" t="s">
        <v>130</v>
      </c>
      <c r="AH187">
        <v>73.25</v>
      </c>
    </row>
    <row r="188" spans="1:34" x14ac:dyDescent="0.3">
      <c r="A188" s="4">
        <v>350</v>
      </c>
      <c r="B188" s="5">
        <v>181</v>
      </c>
      <c r="C188">
        <v>2214</v>
      </c>
      <c r="D188" t="s">
        <v>25144</v>
      </c>
      <c r="E188" t="s">
        <v>8622</v>
      </c>
      <c r="F188" t="s">
        <v>20</v>
      </c>
      <c r="G188" t="s">
        <v>27166</v>
      </c>
      <c r="H188">
        <v>18.8</v>
      </c>
      <c r="I188">
        <v>0</v>
      </c>
      <c r="J188">
        <v>0</v>
      </c>
      <c r="K188">
        <v>20</v>
      </c>
      <c r="N188">
        <v>3</v>
      </c>
      <c r="O188">
        <v>3</v>
      </c>
      <c r="P188">
        <v>4</v>
      </c>
      <c r="Q188">
        <v>2</v>
      </c>
      <c r="R188">
        <v>47.8</v>
      </c>
      <c r="S188">
        <v>25</v>
      </c>
      <c r="T188">
        <v>25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25</v>
      </c>
      <c r="AB188">
        <v>0</v>
      </c>
      <c r="AC188">
        <v>0</v>
      </c>
      <c r="AF188" t="s">
        <v>130</v>
      </c>
      <c r="AH188">
        <v>72.8</v>
      </c>
    </row>
    <row r="189" spans="1:34" x14ac:dyDescent="0.3">
      <c r="A189" s="4">
        <v>351</v>
      </c>
      <c r="B189" s="5">
        <v>182</v>
      </c>
      <c r="C189">
        <v>1513</v>
      </c>
      <c r="D189" t="s">
        <v>16509</v>
      </c>
      <c r="E189" t="s">
        <v>20</v>
      </c>
      <c r="F189" t="s">
        <v>2561</v>
      </c>
      <c r="G189" t="s">
        <v>27167</v>
      </c>
      <c r="H189">
        <v>17.399999999999999</v>
      </c>
      <c r="I189">
        <v>0</v>
      </c>
      <c r="J189">
        <v>0</v>
      </c>
      <c r="K189">
        <v>0</v>
      </c>
      <c r="N189">
        <v>3</v>
      </c>
      <c r="O189">
        <v>3</v>
      </c>
      <c r="P189">
        <v>4</v>
      </c>
      <c r="Q189">
        <v>2</v>
      </c>
      <c r="R189">
        <v>26.4</v>
      </c>
      <c r="S189">
        <v>46</v>
      </c>
      <c r="T189">
        <v>46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46</v>
      </c>
      <c r="AB189">
        <v>0</v>
      </c>
      <c r="AC189">
        <v>0</v>
      </c>
      <c r="AF189" t="s">
        <v>130</v>
      </c>
      <c r="AH189">
        <v>72.400000000000006</v>
      </c>
    </row>
    <row r="190" spans="1:34" x14ac:dyDescent="0.3">
      <c r="A190" s="4">
        <v>352</v>
      </c>
      <c r="B190" s="5">
        <v>183</v>
      </c>
      <c r="C190">
        <v>12784</v>
      </c>
      <c r="D190" t="s">
        <v>27168</v>
      </c>
      <c r="E190" t="s">
        <v>33</v>
      </c>
      <c r="F190" t="s">
        <v>20</v>
      </c>
      <c r="G190" t="s">
        <v>27169</v>
      </c>
      <c r="H190">
        <v>17.13</v>
      </c>
      <c r="I190">
        <v>0</v>
      </c>
      <c r="J190">
        <v>0</v>
      </c>
      <c r="K190">
        <v>20</v>
      </c>
      <c r="L190">
        <v>7</v>
      </c>
      <c r="O190">
        <v>7</v>
      </c>
      <c r="P190">
        <v>4</v>
      </c>
      <c r="Q190">
        <v>2</v>
      </c>
      <c r="R190">
        <v>50.13</v>
      </c>
      <c r="S190">
        <v>19</v>
      </c>
      <c r="T190">
        <v>19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19</v>
      </c>
      <c r="AB190">
        <v>3</v>
      </c>
      <c r="AC190">
        <v>0</v>
      </c>
      <c r="AD190" t="s">
        <v>130</v>
      </c>
      <c r="AF190" t="s">
        <v>130</v>
      </c>
      <c r="AH190">
        <v>72.13</v>
      </c>
    </row>
    <row r="191" spans="1:34" x14ac:dyDescent="0.3">
      <c r="A191" s="4">
        <v>353</v>
      </c>
      <c r="B191" s="5">
        <v>184</v>
      </c>
      <c r="C191">
        <v>4381</v>
      </c>
      <c r="D191" t="s">
        <v>1170</v>
      </c>
      <c r="E191" t="s">
        <v>110</v>
      </c>
      <c r="F191" t="s">
        <v>20</v>
      </c>
      <c r="G191" t="s">
        <v>27170</v>
      </c>
      <c r="H191">
        <v>16.829999999999998</v>
      </c>
      <c r="I191">
        <v>0</v>
      </c>
      <c r="J191">
        <v>0</v>
      </c>
      <c r="K191">
        <v>20</v>
      </c>
      <c r="N191">
        <v>3</v>
      </c>
      <c r="O191">
        <v>3</v>
      </c>
      <c r="P191">
        <v>4</v>
      </c>
      <c r="Q191">
        <v>0</v>
      </c>
      <c r="R191">
        <v>43.83</v>
      </c>
      <c r="S191">
        <v>28</v>
      </c>
      <c r="T191">
        <v>28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28</v>
      </c>
      <c r="AB191">
        <v>0</v>
      </c>
      <c r="AC191">
        <v>0</v>
      </c>
      <c r="AD191" t="s">
        <v>130</v>
      </c>
      <c r="AF191" t="s">
        <v>130</v>
      </c>
      <c r="AH191">
        <v>71.83</v>
      </c>
    </row>
    <row r="192" spans="1:34" x14ac:dyDescent="0.3">
      <c r="A192" s="4">
        <v>354</v>
      </c>
      <c r="B192" s="5">
        <v>185</v>
      </c>
      <c r="C192">
        <v>2518</v>
      </c>
      <c r="D192" t="s">
        <v>27171</v>
      </c>
      <c r="E192" t="s">
        <v>27172</v>
      </c>
      <c r="F192" t="s">
        <v>20</v>
      </c>
      <c r="G192" t="s">
        <v>27173</v>
      </c>
      <c r="H192">
        <v>20.83</v>
      </c>
      <c r="I192">
        <v>0</v>
      </c>
      <c r="J192">
        <v>0</v>
      </c>
      <c r="K192">
        <v>0</v>
      </c>
      <c r="N192">
        <v>3</v>
      </c>
      <c r="O192">
        <v>3</v>
      </c>
      <c r="P192">
        <v>4</v>
      </c>
      <c r="Q192">
        <v>2</v>
      </c>
      <c r="R192">
        <v>29.83</v>
      </c>
      <c r="S192">
        <v>38</v>
      </c>
      <c r="T192">
        <v>38</v>
      </c>
      <c r="U192">
        <v>2</v>
      </c>
      <c r="V192">
        <v>4</v>
      </c>
      <c r="W192">
        <v>0</v>
      </c>
      <c r="X192">
        <v>0</v>
      </c>
      <c r="Y192">
        <v>0</v>
      </c>
      <c r="Z192">
        <v>0</v>
      </c>
      <c r="AA192">
        <v>42</v>
      </c>
      <c r="AB192">
        <v>0</v>
      </c>
      <c r="AC192">
        <v>0</v>
      </c>
      <c r="AF192" t="s">
        <v>130</v>
      </c>
      <c r="AH192">
        <v>71.83</v>
      </c>
    </row>
    <row r="193" spans="1:34" x14ac:dyDescent="0.3">
      <c r="A193" s="4">
        <v>355</v>
      </c>
      <c r="B193" s="5">
        <v>186</v>
      </c>
      <c r="C193">
        <v>2189</v>
      </c>
      <c r="D193" t="s">
        <v>22833</v>
      </c>
      <c r="E193" t="s">
        <v>115</v>
      </c>
      <c r="F193" t="s">
        <v>38</v>
      </c>
      <c r="G193" t="s">
        <v>27174</v>
      </c>
      <c r="H193">
        <v>19.7</v>
      </c>
      <c r="I193">
        <v>0</v>
      </c>
      <c r="J193">
        <v>0</v>
      </c>
      <c r="K193">
        <v>0</v>
      </c>
      <c r="L193">
        <v>7</v>
      </c>
      <c r="O193">
        <v>7</v>
      </c>
      <c r="P193">
        <v>4</v>
      </c>
      <c r="Q193">
        <v>2</v>
      </c>
      <c r="R193">
        <v>32.700000000000003</v>
      </c>
      <c r="S193">
        <v>36</v>
      </c>
      <c r="T193">
        <v>36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36</v>
      </c>
      <c r="AB193">
        <v>3</v>
      </c>
      <c r="AC193">
        <v>0</v>
      </c>
      <c r="AF193" t="s">
        <v>130</v>
      </c>
      <c r="AH193">
        <v>71.7</v>
      </c>
    </row>
    <row r="194" spans="1:34" x14ac:dyDescent="0.3">
      <c r="A194" s="4">
        <v>356</v>
      </c>
      <c r="B194" s="5">
        <v>187</v>
      </c>
      <c r="C194">
        <v>10350</v>
      </c>
      <c r="D194" t="s">
        <v>498</v>
      </c>
      <c r="E194" t="s">
        <v>170</v>
      </c>
      <c r="F194" t="s">
        <v>136</v>
      </c>
      <c r="G194" t="s">
        <v>27175</v>
      </c>
      <c r="H194">
        <v>18.68</v>
      </c>
      <c r="I194">
        <v>0</v>
      </c>
      <c r="J194">
        <v>0</v>
      </c>
      <c r="K194">
        <v>20</v>
      </c>
      <c r="N194">
        <v>3</v>
      </c>
      <c r="O194">
        <v>3</v>
      </c>
      <c r="P194">
        <v>4</v>
      </c>
      <c r="Q194">
        <v>0</v>
      </c>
      <c r="R194">
        <v>45.68</v>
      </c>
      <c r="S194">
        <v>26</v>
      </c>
      <c r="T194">
        <v>26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26</v>
      </c>
      <c r="AB194">
        <v>0</v>
      </c>
      <c r="AC194">
        <v>0</v>
      </c>
      <c r="AF194" t="s">
        <v>130</v>
      </c>
      <c r="AH194">
        <v>71.680000000000007</v>
      </c>
    </row>
    <row r="195" spans="1:34" x14ac:dyDescent="0.3">
      <c r="A195" s="4">
        <v>357</v>
      </c>
      <c r="B195" s="5">
        <v>188</v>
      </c>
      <c r="C195">
        <v>9293</v>
      </c>
      <c r="D195" t="s">
        <v>9931</v>
      </c>
      <c r="E195" t="s">
        <v>173</v>
      </c>
      <c r="F195" t="s">
        <v>30</v>
      </c>
      <c r="G195" t="s">
        <v>27176</v>
      </c>
      <c r="H195">
        <v>18.649999999999999</v>
      </c>
      <c r="I195">
        <v>0</v>
      </c>
      <c r="J195">
        <v>0</v>
      </c>
      <c r="K195">
        <v>20</v>
      </c>
      <c r="L195">
        <v>7</v>
      </c>
      <c r="N195">
        <v>3</v>
      </c>
      <c r="O195">
        <v>10</v>
      </c>
      <c r="P195">
        <v>4</v>
      </c>
      <c r="Q195">
        <v>2</v>
      </c>
      <c r="R195">
        <v>54.65</v>
      </c>
      <c r="S195">
        <v>17</v>
      </c>
      <c r="T195">
        <v>17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17</v>
      </c>
      <c r="AB195">
        <v>0</v>
      </c>
      <c r="AC195">
        <v>0</v>
      </c>
      <c r="AF195" t="s">
        <v>130</v>
      </c>
      <c r="AH195">
        <v>71.650000000000006</v>
      </c>
    </row>
    <row r="196" spans="1:34" x14ac:dyDescent="0.3">
      <c r="A196" s="4">
        <v>358</v>
      </c>
      <c r="B196" s="5">
        <v>189</v>
      </c>
      <c r="C196">
        <v>4187</v>
      </c>
      <c r="D196" t="s">
        <v>10773</v>
      </c>
      <c r="E196" t="s">
        <v>935</v>
      </c>
      <c r="F196" t="s">
        <v>17</v>
      </c>
      <c r="G196" t="s">
        <v>27177</v>
      </c>
      <c r="H196">
        <v>17.399999999999999</v>
      </c>
      <c r="I196">
        <v>0</v>
      </c>
      <c r="J196">
        <v>0</v>
      </c>
      <c r="K196">
        <v>20</v>
      </c>
      <c r="O196">
        <v>0</v>
      </c>
      <c r="P196">
        <v>4</v>
      </c>
      <c r="Q196">
        <v>2</v>
      </c>
      <c r="R196">
        <v>43.4</v>
      </c>
      <c r="S196">
        <v>25</v>
      </c>
      <c r="T196">
        <v>25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25</v>
      </c>
      <c r="AB196">
        <v>3</v>
      </c>
      <c r="AC196">
        <v>0</v>
      </c>
      <c r="AF196" t="s">
        <v>130</v>
      </c>
      <c r="AH196">
        <v>71.400000000000006</v>
      </c>
    </row>
    <row r="197" spans="1:34" x14ac:dyDescent="0.3">
      <c r="A197" s="4">
        <v>360</v>
      </c>
      <c r="B197" s="5">
        <v>190</v>
      </c>
      <c r="C197">
        <v>13676</v>
      </c>
      <c r="D197" t="s">
        <v>4803</v>
      </c>
      <c r="E197" t="s">
        <v>208</v>
      </c>
      <c r="F197" t="s">
        <v>230</v>
      </c>
      <c r="G197" t="s">
        <v>27178</v>
      </c>
      <c r="H197">
        <v>19</v>
      </c>
      <c r="I197">
        <v>7</v>
      </c>
      <c r="J197">
        <v>0</v>
      </c>
      <c r="K197">
        <v>20</v>
      </c>
      <c r="N197">
        <v>3</v>
      </c>
      <c r="O197">
        <v>3</v>
      </c>
      <c r="P197">
        <v>4</v>
      </c>
      <c r="Q197">
        <v>0</v>
      </c>
      <c r="R197">
        <v>53</v>
      </c>
      <c r="S197">
        <v>18</v>
      </c>
      <c r="T197">
        <v>18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18</v>
      </c>
      <c r="AB197">
        <v>0</v>
      </c>
      <c r="AC197">
        <v>0</v>
      </c>
      <c r="AF197" t="s">
        <v>130</v>
      </c>
      <c r="AH197">
        <v>71</v>
      </c>
    </row>
    <row r="198" spans="1:34" x14ac:dyDescent="0.3">
      <c r="A198" s="4">
        <v>361</v>
      </c>
      <c r="B198" s="5">
        <v>191</v>
      </c>
      <c r="C198">
        <v>4277</v>
      </c>
      <c r="D198" t="s">
        <v>27179</v>
      </c>
      <c r="E198" t="s">
        <v>268</v>
      </c>
      <c r="F198" t="s">
        <v>343</v>
      </c>
      <c r="G198" t="s">
        <v>27180</v>
      </c>
      <c r="H198">
        <v>17.98</v>
      </c>
      <c r="I198">
        <v>0</v>
      </c>
      <c r="J198">
        <v>0</v>
      </c>
      <c r="K198">
        <v>28</v>
      </c>
      <c r="N198">
        <v>3</v>
      </c>
      <c r="O198">
        <v>3</v>
      </c>
      <c r="P198">
        <v>4</v>
      </c>
      <c r="Q198">
        <v>2</v>
      </c>
      <c r="R198">
        <v>54.98</v>
      </c>
      <c r="S198">
        <v>16</v>
      </c>
      <c r="T198">
        <v>16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16</v>
      </c>
      <c r="AB198">
        <v>0</v>
      </c>
      <c r="AC198">
        <v>0</v>
      </c>
      <c r="AF198" t="s">
        <v>130</v>
      </c>
      <c r="AH198">
        <v>70.98</v>
      </c>
    </row>
    <row r="199" spans="1:34" x14ac:dyDescent="0.3">
      <c r="A199" s="4">
        <v>362</v>
      </c>
      <c r="B199" s="5">
        <v>192</v>
      </c>
      <c r="C199">
        <v>12328</v>
      </c>
      <c r="D199" t="s">
        <v>27181</v>
      </c>
      <c r="E199" t="s">
        <v>208</v>
      </c>
      <c r="F199" t="s">
        <v>2582</v>
      </c>
      <c r="G199" t="s">
        <v>27182</v>
      </c>
      <c r="H199">
        <v>17.93</v>
      </c>
      <c r="I199">
        <v>0</v>
      </c>
      <c r="J199">
        <v>0</v>
      </c>
      <c r="K199">
        <v>20</v>
      </c>
      <c r="N199">
        <v>3</v>
      </c>
      <c r="O199">
        <v>3</v>
      </c>
      <c r="P199">
        <v>4</v>
      </c>
      <c r="Q199">
        <v>2</v>
      </c>
      <c r="R199">
        <v>46.93</v>
      </c>
      <c r="S199">
        <v>18</v>
      </c>
      <c r="T199">
        <v>18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18</v>
      </c>
      <c r="AB199">
        <v>6</v>
      </c>
      <c r="AC199">
        <v>0</v>
      </c>
      <c r="AF199" t="s">
        <v>130</v>
      </c>
      <c r="AH199">
        <v>70.930000000000007</v>
      </c>
    </row>
    <row r="200" spans="1:34" x14ac:dyDescent="0.3">
      <c r="A200" s="4">
        <v>363</v>
      </c>
      <c r="B200" s="5">
        <v>193</v>
      </c>
      <c r="C200">
        <v>2353</v>
      </c>
      <c r="D200" t="s">
        <v>17144</v>
      </c>
      <c r="E200" t="s">
        <v>161</v>
      </c>
      <c r="F200" t="s">
        <v>136</v>
      </c>
      <c r="G200" t="s">
        <v>27183</v>
      </c>
      <c r="H200">
        <v>18.78</v>
      </c>
      <c r="I200">
        <v>0</v>
      </c>
      <c r="J200">
        <v>0</v>
      </c>
      <c r="K200">
        <v>20</v>
      </c>
      <c r="N200">
        <v>3</v>
      </c>
      <c r="O200">
        <v>3</v>
      </c>
      <c r="P200">
        <v>4</v>
      </c>
      <c r="Q200">
        <v>2</v>
      </c>
      <c r="R200">
        <v>47.78</v>
      </c>
      <c r="S200">
        <v>17</v>
      </c>
      <c r="T200">
        <v>17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17</v>
      </c>
      <c r="AB200">
        <v>6</v>
      </c>
      <c r="AC200">
        <v>0</v>
      </c>
      <c r="AF200" t="s">
        <v>130</v>
      </c>
      <c r="AH200">
        <v>70.78</v>
      </c>
    </row>
    <row r="201" spans="1:34" x14ac:dyDescent="0.3">
      <c r="A201" s="4">
        <v>364</v>
      </c>
      <c r="B201" s="5">
        <v>194</v>
      </c>
      <c r="C201">
        <v>3982</v>
      </c>
      <c r="D201" t="s">
        <v>7029</v>
      </c>
      <c r="E201" t="s">
        <v>81</v>
      </c>
      <c r="F201" t="s">
        <v>136</v>
      </c>
      <c r="G201" t="s">
        <v>27184</v>
      </c>
      <c r="H201">
        <v>16.55</v>
      </c>
      <c r="I201">
        <v>0</v>
      </c>
      <c r="J201">
        <v>0</v>
      </c>
      <c r="K201">
        <v>20</v>
      </c>
      <c r="L201">
        <v>7</v>
      </c>
      <c r="N201">
        <v>3</v>
      </c>
      <c r="O201">
        <v>10</v>
      </c>
      <c r="P201">
        <v>4</v>
      </c>
      <c r="Q201">
        <v>2</v>
      </c>
      <c r="R201">
        <v>52.55</v>
      </c>
      <c r="S201">
        <v>18</v>
      </c>
      <c r="T201">
        <v>18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18</v>
      </c>
      <c r="AB201">
        <v>0</v>
      </c>
      <c r="AC201">
        <v>0</v>
      </c>
      <c r="AF201" t="s">
        <v>130</v>
      </c>
      <c r="AH201">
        <v>70.55</v>
      </c>
    </row>
    <row r="202" spans="1:34" x14ac:dyDescent="0.3">
      <c r="A202" s="4">
        <v>365</v>
      </c>
      <c r="B202" s="5">
        <v>195</v>
      </c>
      <c r="C202">
        <v>12966</v>
      </c>
      <c r="D202" t="s">
        <v>27185</v>
      </c>
      <c r="E202" t="s">
        <v>29</v>
      </c>
      <c r="F202" t="s">
        <v>328</v>
      </c>
      <c r="G202" t="s">
        <v>27186</v>
      </c>
      <c r="H202">
        <v>19.5</v>
      </c>
      <c r="I202">
        <v>0</v>
      </c>
      <c r="J202">
        <v>0</v>
      </c>
      <c r="K202">
        <v>28</v>
      </c>
      <c r="L202">
        <v>7</v>
      </c>
      <c r="N202">
        <v>3</v>
      </c>
      <c r="O202">
        <v>10</v>
      </c>
      <c r="P202">
        <v>4</v>
      </c>
      <c r="Q202">
        <v>0</v>
      </c>
      <c r="R202">
        <v>61.5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9</v>
      </c>
      <c r="AC202">
        <v>0</v>
      </c>
      <c r="AF202" t="s">
        <v>130</v>
      </c>
      <c r="AH202">
        <v>70.5</v>
      </c>
    </row>
    <row r="203" spans="1:34" x14ac:dyDescent="0.3">
      <c r="A203" s="4">
        <v>366</v>
      </c>
      <c r="B203" s="5">
        <v>196</v>
      </c>
      <c r="C203">
        <v>4632</v>
      </c>
      <c r="D203" t="s">
        <v>2980</v>
      </c>
      <c r="E203" t="s">
        <v>8874</v>
      </c>
      <c r="F203" t="s">
        <v>190</v>
      </c>
      <c r="G203" t="s">
        <v>27187</v>
      </c>
      <c r="H203">
        <v>18.45</v>
      </c>
      <c r="I203">
        <v>0</v>
      </c>
      <c r="J203">
        <v>0</v>
      </c>
      <c r="K203">
        <v>20</v>
      </c>
      <c r="N203">
        <v>3</v>
      </c>
      <c r="O203">
        <v>3</v>
      </c>
      <c r="P203">
        <v>4</v>
      </c>
      <c r="Q203">
        <v>2</v>
      </c>
      <c r="R203">
        <v>47.45</v>
      </c>
      <c r="S203">
        <v>20</v>
      </c>
      <c r="T203">
        <v>20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20</v>
      </c>
      <c r="AB203">
        <v>3</v>
      </c>
      <c r="AC203">
        <v>0</v>
      </c>
      <c r="AD203" t="s">
        <v>130</v>
      </c>
      <c r="AF203" t="s">
        <v>130</v>
      </c>
      <c r="AH203">
        <v>70.45</v>
      </c>
    </row>
    <row r="204" spans="1:34" x14ac:dyDescent="0.3">
      <c r="A204" s="4">
        <v>367</v>
      </c>
      <c r="B204" s="5">
        <v>197</v>
      </c>
      <c r="C204">
        <v>4241</v>
      </c>
      <c r="D204" t="s">
        <v>17765</v>
      </c>
      <c r="E204" t="s">
        <v>110</v>
      </c>
      <c r="F204" t="s">
        <v>20</v>
      </c>
      <c r="G204" t="s">
        <v>27188</v>
      </c>
      <c r="H204">
        <v>19.43</v>
      </c>
      <c r="I204">
        <v>0</v>
      </c>
      <c r="J204">
        <v>0</v>
      </c>
      <c r="K204">
        <v>20</v>
      </c>
      <c r="L204">
        <v>7</v>
      </c>
      <c r="O204">
        <v>7</v>
      </c>
      <c r="P204">
        <v>4</v>
      </c>
      <c r="Q204">
        <v>2</v>
      </c>
      <c r="R204">
        <v>52.43</v>
      </c>
      <c r="S204">
        <v>18</v>
      </c>
      <c r="T204">
        <v>18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18</v>
      </c>
      <c r="AB204">
        <v>0</v>
      </c>
      <c r="AC204">
        <v>0</v>
      </c>
      <c r="AF204" t="s">
        <v>130</v>
      </c>
      <c r="AH204">
        <v>70.430000000000007</v>
      </c>
    </row>
    <row r="205" spans="1:34" x14ac:dyDescent="0.3">
      <c r="A205" s="4">
        <v>368</v>
      </c>
      <c r="B205" s="5">
        <v>198</v>
      </c>
      <c r="C205">
        <v>1261</v>
      </c>
      <c r="D205" t="s">
        <v>27189</v>
      </c>
      <c r="E205" t="s">
        <v>1413</v>
      </c>
      <c r="F205" t="s">
        <v>117</v>
      </c>
      <c r="G205" t="s">
        <v>27190</v>
      </c>
      <c r="H205">
        <v>18.23</v>
      </c>
      <c r="I205">
        <v>0</v>
      </c>
      <c r="J205">
        <v>0</v>
      </c>
      <c r="K205">
        <v>20</v>
      </c>
      <c r="L205">
        <v>7</v>
      </c>
      <c r="O205">
        <v>7</v>
      </c>
      <c r="P205">
        <v>4</v>
      </c>
      <c r="Q205">
        <v>2</v>
      </c>
      <c r="R205">
        <v>51.23</v>
      </c>
      <c r="S205">
        <v>19</v>
      </c>
      <c r="T205">
        <v>19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19</v>
      </c>
      <c r="AB205">
        <v>0</v>
      </c>
      <c r="AC205">
        <v>0</v>
      </c>
      <c r="AF205" t="s">
        <v>130</v>
      </c>
      <c r="AH205">
        <v>70.23</v>
      </c>
    </row>
    <row r="206" spans="1:34" x14ac:dyDescent="0.3">
      <c r="A206" s="4">
        <v>369</v>
      </c>
      <c r="B206" s="5">
        <v>199</v>
      </c>
      <c r="C206">
        <v>2156</v>
      </c>
      <c r="D206" t="s">
        <v>20269</v>
      </c>
      <c r="E206" t="s">
        <v>33</v>
      </c>
      <c r="F206" t="s">
        <v>466</v>
      </c>
      <c r="G206" t="s">
        <v>27191</v>
      </c>
      <c r="H206">
        <v>17.18</v>
      </c>
      <c r="I206">
        <v>0</v>
      </c>
      <c r="J206">
        <v>0</v>
      </c>
      <c r="K206">
        <v>20</v>
      </c>
      <c r="L206">
        <v>7</v>
      </c>
      <c r="O206">
        <v>7</v>
      </c>
      <c r="P206">
        <v>4</v>
      </c>
      <c r="Q206">
        <v>2</v>
      </c>
      <c r="R206">
        <v>50.18</v>
      </c>
      <c r="S206">
        <v>14</v>
      </c>
      <c r="T206">
        <v>14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14</v>
      </c>
      <c r="AB206">
        <v>6</v>
      </c>
      <c r="AC206">
        <v>0</v>
      </c>
      <c r="AF206" t="s">
        <v>130</v>
      </c>
      <c r="AH206">
        <v>70.180000000000007</v>
      </c>
    </row>
    <row r="207" spans="1:34" x14ac:dyDescent="0.3">
      <c r="A207" s="4">
        <v>370</v>
      </c>
      <c r="B207" s="5">
        <v>200</v>
      </c>
      <c r="C207">
        <v>12378</v>
      </c>
      <c r="D207" t="s">
        <v>27192</v>
      </c>
      <c r="E207" t="s">
        <v>816</v>
      </c>
      <c r="F207" t="s">
        <v>17</v>
      </c>
      <c r="G207" t="s">
        <v>27193</v>
      </c>
      <c r="H207">
        <v>16.03</v>
      </c>
      <c r="I207">
        <v>0</v>
      </c>
      <c r="J207">
        <v>0</v>
      </c>
      <c r="K207">
        <v>20</v>
      </c>
      <c r="L207">
        <v>7</v>
      </c>
      <c r="O207">
        <v>7</v>
      </c>
      <c r="P207">
        <v>0</v>
      </c>
      <c r="Q207">
        <v>0</v>
      </c>
      <c r="R207">
        <v>43.03</v>
      </c>
      <c r="S207">
        <v>27</v>
      </c>
      <c r="T207">
        <v>27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27</v>
      </c>
      <c r="AB207">
        <v>0</v>
      </c>
      <c r="AC207">
        <v>0</v>
      </c>
      <c r="AD207" t="s">
        <v>130</v>
      </c>
      <c r="AF207" t="s">
        <v>130</v>
      </c>
      <c r="AH207">
        <v>70.03</v>
      </c>
    </row>
    <row r="208" spans="1:34" x14ac:dyDescent="0.3">
      <c r="A208" s="4">
        <v>371</v>
      </c>
      <c r="B208" s="5">
        <v>201</v>
      </c>
      <c r="C208">
        <v>3192</v>
      </c>
      <c r="D208" t="s">
        <v>7670</v>
      </c>
      <c r="E208" t="s">
        <v>27194</v>
      </c>
      <c r="F208" t="s">
        <v>20</v>
      </c>
      <c r="G208" t="s">
        <v>27195</v>
      </c>
      <c r="H208">
        <v>20</v>
      </c>
      <c r="I208">
        <v>0</v>
      </c>
      <c r="J208">
        <v>0</v>
      </c>
      <c r="K208">
        <v>0</v>
      </c>
      <c r="N208">
        <v>3</v>
      </c>
      <c r="O208">
        <v>3</v>
      </c>
      <c r="P208">
        <v>4</v>
      </c>
      <c r="Q208">
        <v>2</v>
      </c>
      <c r="R208">
        <v>29</v>
      </c>
      <c r="S208">
        <v>41</v>
      </c>
      <c r="T208">
        <v>41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41</v>
      </c>
      <c r="AB208">
        <v>0</v>
      </c>
      <c r="AC208">
        <v>0</v>
      </c>
      <c r="AF208" t="s">
        <v>130</v>
      </c>
      <c r="AH208">
        <v>70</v>
      </c>
    </row>
    <row r="209" spans="1:34" x14ac:dyDescent="0.3">
      <c r="A209" s="4">
        <v>372</v>
      </c>
      <c r="B209" s="5">
        <v>202</v>
      </c>
      <c r="C209">
        <v>13525</v>
      </c>
      <c r="D209" t="s">
        <v>12506</v>
      </c>
      <c r="E209" t="s">
        <v>29</v>
      </c>
      <c r="F209" t="s">
        <v>782</v>
      </c>
      <c r="G209" t="s">
        <v>27196</v>
      </c>
      <c r="H209">
        <v>16.75</v>
      </c>
      <c r="I209">
        <v>0</v>
      </c>
      <c r="J209">
        <v>0</v>
      </c>
      <c r="K209">
        <v>0</v>
      </c>
      <c r="M209">
        <v>5</v>
      </c>
      <c r="O209">
        <v>5</v>
      </c>
      <c r="P209">
        <v>4</v>
      </c>
      <c r="Q209">
        <v>2</v>
      </c>
      <c r="R209">
        <v>27.75</v>
      </c>
      <c r="S209">
        <v>18</v>
      </c>
      <c r="T209">
        <v>18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18</v>
      </c>
      <c r="AB209">
        <v>3</v>
      </c>
      <c r="AC209">
        <v>21.2</v>
      </c>
      <c r="AF209" t="s">
        <v>130</v>
      </c>
      <c r="AH209">
        <v>69.95</v>
      </c>
    </row>
    <row r="210" spans="1:34" x14ac:dyDescent="0.3">
      <c r="A210" s="4">
        <v>373</v>
      </c>
      <c r="B210" s="5">
        <v>203</v>
      </c>
      <c r="C210">
        <v>10180</v>
      </c>
      <c r="D210" t="s">
        <v>27197</v>
      </c>
      <c r="E210" t="s">
        <v>27198</v>
      </c>
      <c r="F210" t="s">
        <v>243</v>
      </c>
      <c r="G210" t="s">
        <v>27199</v>
      </c>
      <c r="H210">
        <v>19.8</v>
      </c>
      <c r="I210">
        <v>0</v>
      </c>
      <c r="J210">
        <v>0</v>
      </c>
      <c r="K210">
        <v>20</v>
      </c>
      <c r="L210">
        <v>7</v>
      </c>
      <c r="O210">
        <v>7</v>
      </c>
      <c r="P210">
        <v>4</v>
      </c>
      <c r="Q210">
        <v>2</v>
      </c>
      <c r="R210">
        <v>52.8</v>
      </c>
      <c r="S210">
        <v>17</v>
      </c>
      <c r="T210">
        <v>17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17</v>
      </c>
      <c r="AB210">
        <v>0</v>
      </c>
      <c r="AC210">
        <v>0</v>
      </c>
      <c r="AD210" t="s">
        <v>130</v>
      </c>
      <c r="AF210" t="s">
        <v>130</v>
      </c>
      <c r="AH210">
        <v>69.8</v>
      </c>
    </row>
    <row r="211" spans="1:34" x14ac:dyDescent="0.3">
      <c r="A211" s="4">
        <v>374</v>
      </c>
      <c r="B211" s="5">
        <v>204</v>
      </c>
      <c r="C211">
        <v>12288</v>
      </c>
      <c r="D211" t="s">
        <v>27200</v>
      </c>
      <c r="E211" t="s">
        <v>100</v>
      </c>
      <c r="F211" t="s">
        <v>81</v>
      </c>
      <c r="G211" t="s">
        <v>27201</v>
      </c>
      <c r="H211">
        <v>18.78</v>
      </c>
      <c r="I211">
        <v>0</v>
      </c>
      <c r="J211">
        <v>0</v>
      </c>
      <c r="K211">
        <v>0</v>
      </c>
      <c r="L211">
        <v>7</v>
      </c>
      <c r="N211">
        <v>3</v>
      </c>
      <c r="O211">
        <v>10</v>
      </c>
      <c r="P211">
        <v>4</v>
      </c>
      <c r="Q211">
        <v>2</v>
      </c>
      <c r="R211">
        <v>34.78</v>
      </c>
      <c r="S211">
        <v>35</v>
      </c>
      <c r="T211">
        <v>35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35</v>
      </c>
      <c r="AB211">
        <v>0</v>
      </c>
      <c r="AC211">
        <v>0</v>
      </c>
      <c r="AF211" t="s">
        <v>130</v>
      </c>
      <c r="AH211">
        <v>69.78</v>
      </c>
    </row>
    <row r="212" spans="1:34" x14ac:dyDescent="0.3">
      <c r="A212" s="4">
        <v>375</v>
      </c>
      <c r="B212" s="5">
        <v>205</v>
      </c>
      <c r="C212">
        <v>7248</v>
      </c>
      <c r="D212" t="s">
        <v>27202</v>
      </c>
      <c r="E212" t="s">
        <v>170</v>
      </c>
      <c r="F212" t="s">
        <v>20</v>
      </c>
      <c r="G212" t="s">
        <v>27203</v>
      </c>
      <c r="H212">
        <v>18.649999999999999</v>
      </c>
      <c r="I212">
        <v>0</v>
      </c>
      <c r="J212">
        <v>0</v>
      </c>
      <c r="K212">
        <v>20</v>
      </c>
      <c r="L212">
        <v>7</v>
      </c>
      <c r="O212">
        <v>7</v>
      </c>
      <c r="P212">
        <v>4</v>
      </c>
      <c r="Q212">
        <v>2</v>
      </c>
      <c r="R212">
        <v>51.65</v>
      </c>
      <c r="S212">
        <v>18</v>
      </c>
      <c r="T212">
        <v>18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18</v>
      </c>
      <c r="AB212">
        <v>0</v>
      </c>
      <c r="AC212">
        <v>0</v>
      </c>
      <c r="AF212" t="s">
        <v>130</v>
      </c>
      <c r="AH212">
        <v>69.650000000000006</v>
      </c>
    </row>
    <row r="213" spans="1:34" x14ac:dyDescent="0.3">
      <c r="A213" s="4">
        <v>376</v>
      </c>
      <c r="B213" s="5">
        <v>206</v>
      </c>
      <c r="C213">
        <v>6038</v>
      </c>
      <c r="D213" t="s">
        <v>9319</v>
      </c>
      <c r="E213" t="s">
        <v>789</v>
      </c>
      <c r="F213" t="s">
        <v>68</v>
      </c>
      <c r="G213" t="s">
        <v>27204</v>
      </c>
      <c r="H213">
        <v>18.63</v>
      </c>
      <c r="I213">
        <v>0</v>
      </c>
      <c r="J213">
        <v>0</v>
      </c>
      <c r="K213">
        <v>20</v>
      </c>
      <c r="N213">
        <v>3</v>
      </c>
      <c r="O213">
        <v>3</v>
      </c>
      <c r="P213">
        <v>4</v>
      </c>
      <c r="Q213">
        <v>2</v>
      </c>
      <c r="R213">
        <v>47.63</v>
      </c>
      <c r="S213">
        <v>22</v>
      </c>
      <c r="T213">
        <v>22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22</v>
      </c>
      <c r="AB213">
        <v>0</v>
      </c>
      <c r="AC213">
        <v>0</v>
      </c>
      <c r="AF213" t="s">
        <v>130</v>
      </c>
      <c r="AH213">
        <v>69.63</v>
      </c>
    </row>
    <row r="214" spans="1:34" x14ac:dyDescent="0.3">
      <c r="A214" s="4">
        <v>377</v>
      </c>
      <c r="B214" s="5">
        <v>207</v>
      </c>
      <c r="C214">
        <v>10411</v>
      </c>
      <c r="D214" t="s">
        <v>27205</v>
      </c>
      <c r="E214" t="s">
        <v>1576</v>
      </c>
      <c r="F214" t="s">
        <v>62</v>
      </c>
      <c r="G214" t="s">
        <v>27206</v>
      </c>
      <c r="H214">
        <v>16.63</v>
      </c>
      <c r="I214">
        <v>0</v>
      </c>
      <c r="J214">
        <v>0</v>
      </c>
      <c r="K214">
        <v>20</v>
      </c>
      <c r="L214">
        <v>7</v>
      </c>
      <c r="O214">
        <v>7</v>
      </c>
      <c r="P214">
        <v>4</v>
      </c>
      <c r="Q214">
        <v>0</v>
      </c>
      <c r="R214">
        <v>47.63</v>
      </c>
      <c r="S214">
        <v>22</v>
      </c>
      <c r="T214">
        <v>22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22</v>
      </c>
      <c r="AB214">
        <v>0</v>
      </c>
      <c r="AC214">
        <v>0</v>
      </c>
      <c r="AF214" t="s">
        <v>130</v>
      </c>
      <c r="AH214">
        <v>69.63</v>
      </c>
    </row>
    <row r="215" spans="1:34" x14ac:dyDescent="0.3">
      <c r="A215" s="4">
        <v>378</v>
      </c>
      <c r="B215" s="5">
        <v>208</v>
      </c>
      <c r="C215">
        <v>5067</v>
      </c>
      <c r="D215" t="s">
        <v>27207</v>
      </c>
      <c r="E215" t="s">
        <v>54</v>
      </c>
      <c r="F215" t="s">
        <v>801</v>
      </c>
      <c r="G215" t="s">
        <v>27208</v>
      </c>
      <c r="H215">
        <v>18.579999999999998</v>
      </c>
      <c r="I215">
        <v>0</v>
      </c>
      <c r="J215">
        <v>0</v>
      </c>
      <c r="K215">
        <v>20</v>
      </c>
      <c r="L215">
        <v>7</v>
      </c>
      <c r="O215">
        <v>7</v>
      </c>
      <c r="P215">
        <v>4</v>
      </c>
      <c r="Q215">
        <v>2</v>
      </c>
      <c r="R215">
        <v>51.58</v>
      </c>
      <c r="S215">
        <v>18</v>
      </c>
      <c r="T215">
        <v>18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18</v>
      </c>
      <c r="AB215">
        <v>0</v>
      </c>
      <c r="AC215">
        <v>0</v>
      </c>
      <c r="AD215" t="s">
        <v>130</v>
      </c>
      <c r="AF215" t="s">
        <v>130</v>
      </c>
      <c r="AH215">
        <v>69.58</v>
      </c>
    </row>
    <row r="216" spans="1:34" x14ac:dyDescent="0.3">
      <c r="A216" s="4">
        <v>379</v>
      </c>
      <c r="B216" s="5">
        <v>209</v>
      </c>
      <c r="C216">
        <v>4989</v>
      </c>
      <c r="D216" t="s">
        <v>1907</v>
      </c>
      <c r="E216" t="s">
        <v>170</v>
      </c>
      <c r="F216" t="s">
        <v>5304</v>
      </c>
      <c r="G216" t="s">
        <v>27209</v>
      </c>
      <c r="H216">
        <v>18.55</v>
      </c>
      <c r="I216">
        <v>0</v>
      </c>
      <c r="J216">
        <v>0</v>
      </c>
      <c r="K216">
        <v>20</v>
      </c>
      <c r="L216">
        <v>7</v>
      </c>
      <c r="O216">
        <v>7</v>
      </c>
      <c r="P216">
        <v>4</v>
      </c>
      <c r="Q216">
        <v>2</v>
      </c>
      <c r="R216">
        <v>51.55</v>
      </c>
      <c r="S216">
        <v>18</v>
      </c>
      <c r="T216">
        <v>18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18</v>
      </c>
      <c r="AB216">
        <v>0</v>
      </c>
      <c r="AC216">
        <v>0</v>
      </c>
      <c r="AF216" t="s">
        <v>130</v>
      </c>
      <c r="AH216">
        <v>69.55</v>
      </c>
    </row>
    <row r="217" spans="1:34" x14ac:dyDescent="0.3">
      <c r="A217" s="4">
        <v>380</v>
      </c>
      <c r="B217" s="5">
        <v>210</v>
      </c>
      <c r="C217">
        <v>3362</v>
      </c>
      <c r="D217" t="s">
        <v>27210</v>
      </c>
      <c r="E217" t="s">
        <v>27211</v>
      </c>
      <c r="F217" t="s">
        <v>243</v>
      </c>
      <c r="G217" t="s">
        <v>27212</v>
      </c>
      <c r="H217">
        <v>18.5</v>
      </c>
      <c r="I217">
        <v>0</v>
      </c>
      <c r="J217">
        <v>0</v>
      </c>
      <c r="K217">
        <v>20</v>
      </c>
      <c r="L217">
        <v>7</v>
      </c>
      <c r="O217">
        <v>7</v>
      </c>
      <c r="P217">
        <v>4</v>
      </c>
      <c r="Q217">
        <v>2</v>
      </c>
      <c r="R217">
        <v>51.5</v>
      </c>
      <c r="S217">
        <v>18</v>
      </c>
      <c r="T217">
        <v>18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18</v>
      </c>
      <c r="AB217">
        <v>0</v>
      </c>
      <c r="AC217">
        <v>0</v>
      </c>
      <c r="AF217" t="s">
        <v>130</v>
      </c>
      <c r="AH217">
        <v>69.5</v>
      </c>
    </row>
    <row r="218" spans="1:34" x14ac:dyDescent="0.3">
      <c r="A218" s="4">
        <v>381</v>
      </c>
      <c r="B218" s="5">
        <v>211</v>
      </c>
      <c r="C218">
        <v>2179</v>
      </c>
      <c r="D218" t="s">
        <v>13197</v>
      </c>
      <c r="E218" t="s">
        <v>161</v>
      </c>
      <c r="F218" t="s">
        <v>62</v>
      </c>
      <c r="G218" t="s">
        <v>27213</v>
      </c>
      <c r="H218">
        <v>18.5</v>
      </c>
      <c r="I218">
        <v>0</v>
      </c>
      <c r="J218">
        <v>0</v>
      </c>
      <c r="K218">
        <v>20</v>
      </c>
      <c r="N218">
        <v>3</v>
      </c>
      <c r="O218">
        <v>3</v>
      </c>
      <c r="P218">
        <v>4</v>
      </c>
      <c r="Q218">
        <v>2</v>
      </c>
      <c r="R218">
        <v>47.5</v>
      </c>
      <c r="S218">
        <v>22</v>
      </c>
      <c r="T218">
        <v>22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22</v>
      </c>
      <c r="AB218">
        <v>0</v>
      </c>
      <c r="AC218">
        <v>0</v>
      </c>
      <c r="AF218" t="s">
        <v>130</v>
      </c>
      <c r="AH218">
        <v>69.5</v>
      </c>
    </row>
    <row r="219" spans="1:34" x14ac:dyDescent="0.3">
      <c r="A219" s="4">
        <v>382</v>
      </c>
      <c r="B219" s="5">
        <v>212</v>
      </c>
      <c r="C219">
        <v>7980</v>
      </c>
      <c r="D219" t="s">
        <v>27214</v>
      </c>
      <c r="E219" t="s">
        <v>188</v>
      </c>
      <c r="F219" t="s">
        <v>190</v>
      </c>
      <c r="G219" t="s">
        <v>27215</v>
      </c>
      <c r="H219">
        <v>17.48</v>
      </c>
      <c r="I219">
        <v>0</v>
      </c>
      <c r="J219">
        <v>0</v>
      </c>
      <c r="K219">
        <v>0</v>
      </c>
      <c r="L219">
        <v>7</v>
      </c>
      <c r="O219">
        <v>7</v>
      </c>
      <c r="P219">
        <v>4</v>
      </c>
      <c r="Q219">
        <v>2</v>
      </c>
      <c r="R219">
        <v>30.48</v>
      </c>
      <c r="S219">
        <v>33</v>
      </c>
      <c r="T219">
        <v>33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33</v>
      </c>
      <c r="AB219">
        <v>6</v>
      </c>
      <c r="AC219">
        <v>0</v>
      </c>
      <c r="AD219" t="s">
        <v>130</v>
      </c>
      <c r="AF219" t="s">
        <v>130</v>
      </c>
      <c r="AH219">
        <v>69.48</v>
      </c>
    </row>
    <row r="220" spans="1:34" x14ac:dyDescent="0.3">
      <c r="A220" s="4">
        <v>383</v>
      </c>
      <c r="B220" s="5">
        <v>213</v>
      </c>
      <c r="C220">
        <v>9517</v>
      </c>
      <c r="D220" t="s">
        <v>181</v>
      </c>
      <c r="E220" t="s">
        <v>33</v>
      </c>
      <c r="F220" t="s">
        <v>81</v>
      </c>
      <c r="G220" t="s">
        <v>27216</v>
      </c>
      <c r="H220">
        <v>18.329999999999998</v>
      </c>
      <c r="I220">
        <v>0</v>
      </c>
      <c r="J220">
        <v>0</v>
      </c>
      <c r="K220">
        <v>0</v>
      </c>
      <c r="N220">
        <v>3</v>
      </c>
      <c r="O220">
        <v>3</v>
      </c>
      <c r="P220">
        <v>4</v>
      </c>
      <c r="Q220">
        <v>2</v>
      </c>
      <c r="R220">
        <v>27.33</v>
      </c>
      <c r="S220">
        <v>42</v>
      </c>
      <c r="T220">
        <v>42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42</v>
      </c>
      <c r="AB220">
        <v>0</v>
      </c>
      <c r="AC220">
        <v>0</v>
      </c>
      <c r="AF220" t="s">
        <v>130</v>
      </c>
      <c r="AH220">
        <v>69.33</v>
      </c>
    </row>
    <row r="221" spans="1:34" x14ac:dyDescent="0.3">
      <c r="A221" s="4">
        <v>384</v>
      </c>
      <c r="B221" s="5">
        <v>214</v>
      </c>
      <c r="C221">
        <v>8996</v>
      </c>
      <c r="D221" t="s">
        <v>27217</v>
      </c>
      <c r="E221" t="s">
        <v>22</v>
      </c>
      <c r="F221" t="s">
        <v>17</v>
      </c>
      <c r="G221" t="s">
        <v>27218</v>
      </c>
      <c r="H221">
        <v>16.079999999999998</v>
      </c>
      <c r="I221">
        <v>0</v>
      </c>
      <c r="J221">
        <v>0</v>
      </c>
      <c r="K221">
        <v>0</v>
      </c>
      <c r="L221">
        <v>7</v>
      </c>
      <c r="N221">
        <v>3</v>
      </c>
      <c r="O221">
        <v>10</v>
      </c>
      <c r="P221">
        <v>4</v>
      </c>
      <c r="Q221">
        <v>2</v>
      </c>
      <c r="R221">
        <v>32.08</v>
      </c>
      <c r="S221">
        <v>34</v>
      </c>
      <c r="T221">
        <v>34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34</v>
      </c>
      <c r="AB221">
        <v>3</v>
      </c>
      <c r="AC221">
        <v>0</v>
      </c>
      <c r="AF221" t="s">
        <v>130</v>
      </c>
      <c r="AH221">
        <v>69.08</v>
      </c>
    </row>
    <row r="222" spans="1:34" x14ac:dyDescent="0.3">
      <c r="A222" s="4">
        <v>385</v>
      </c>
      <c r="B222" s="5">
        <v>215</v>
      </c>
      <c r="C222">
        <v>9761</v>
      </c>
      <c r="D222" t="s">
        <v>27219</v>
      </c>
      <c r="E222" t="s">
        <v>550</v>
      </c>
      <c r="F222" t="s">
        <v>136</v>
      </c>
      <c r="G222" t="s">
        <v>27220</v>
      </c>
      <c r="H222">
        <v>15.83</v>
      </c>
      <c r="I222">
        <v>0</v>
      </c>
      <c r="J222">
        <v>0</v>
      </c>
      <c r="K222">
        <v>20</v>
      </c>
      <c r="N222">
        <v>3</v>
      </c>
      <c r="O222">
        <v>3</v>
      </c>
      <c r="P222">
        <v>4</v>
      </c>
      <c r="Q222">
        <v>2</v>
      </c>
      <c r="R222">
        <v>44.83</v>
      </c>
      <c r="S222">
        <v>24</v>
      </c>
      <c r="T222">
        <v>24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24</v>
      </c>
      <c r="AB222">
        <v>0</v>
      </c>
      <c r="AC222">
        <v>0</v>
      </c>
      <c r="AD222" t="s">
        <v>130</v>
      </c>
      <c r="AF222" t="s">
        <v>130</v>
      </c>
      <c r="AH222">
        <v>68.83</v>
      </c>
    </row>
    <row r="223" spans="1:34" x14ac:dyDescent="0.3">
      <c r="A223" s="4">
        <v>386</v>
      </c>
      <c r="B223" s="5">
        <v>216</v>
      </c>
      <c r="C223">
        <v>11621</v>
      </c>
      <c r="D223" t="s">
        <v>27221</v>
      </c>
      <c r="E223" t="s">
        <v>27222</v>
      </c>
      <c r="F223" t="s">
        <v>570</v>
      </c>
      <c r="G223" t="s">
        <v>27223</v>
      </c>
      <c r="H223">
        <v>23.65</v>
      </c>
      <c r="I223">
        <v>0</v>
      </c>
      <c r="J223">
        <v>0</v>
      </c>
      <c r="K223">
        <v>20</v>
      </c>
      <c r="N223">
        <v>3</v>
      </c>
      <c r="O223">
        <v>3</v>
      </c>
      <c r="P223">
        <v>4</v>
      </c>
      <c r="Q223">
        <v>2</v>
      </c>
      <c r="R223">
        <v>52.65</v>
      </c>
      <c r="S223">
        <v>16</v>
      </c>
      <c r="T223">
        <v>16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16</v>
      </c>
      <c r="AB223">
        <v>0</v>
      </c>
      <c r="AC223">
        <v>0</v>
      </c>
      <c r="AF223" t="s">
        <v>130</v>
      </c>
      <c r="AH223">
        <v>68.650000000000006</v>
      </c>
    </row>
    <row r="224" spans="1:34" x14ac:dyDescent="0.3">
      <c r="A224" s="4">
        <v>387</v>
      </c>
      <c r="B224" s="5">
        <v>217</v>
      </c>
      <c r="C224">
        <v>11415</v>
      </c>
      <c r="D224" t="s">
        <v>3000</v>
      </c>
      <c r="E224" t="s">
        <v>1155</v>
      </c>
      <c r="F224" t="s">
        <v>521</v>
      </c>
      <c r="G224" t="s">
        <v>27224</v>
      </c>
      <c r="H224">
        <v>18.55</v>
      </c>
      <c r="I224">
        <v>0</v>
      </c>
      <c r="J224">
        <v>0</v>
      </c>
      <c r="K224">
        <v>0</v>
      </c>
      <c r="N224">
        <v>3</v>
      </c>
      <c r="O224">
        <v>3</v>
      </c>
      <c r="P224">
        <v>4</v>
      </c>
      <c r="Q224">
        <v>2</v>
      </c>
      <c r="R224">
        <v>27.55</v>
      </c>
      <c r="S224">
        <v>18</v>
      </c>
      <c r="T224">
        <v>18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18</v>
      </c>
      <c r="AB224">
        <v>3</v>
      </c>
      <c r="AC224">
        <v>20</v>
      </c>
      <c r="AF224" t="s">
        <v>130</v>
      </c>
      <c r="AH224">
        <v>68.55</v>
      </c>
    </row>
    <row r="225" spans="1:34" x14ac:dyDescent="0.3">
      <c r="A225" s="4">
        <v>388</v>
      </c>
      <c r="B225" s="5">
        <v>218</v>
      </c>
      <c r="C225">
        <v>4409</v>
      </c>
      <c r="D225" t="s">
        <v>27225</v>
      </c>
      <c r="E225" t="s">
        <v>29</v>
      </c>
      <c r="F225" t="s">
        <v>591</v>
      </c>
      <c r="G225" t="s">
        <v>27226</v>
      </c>
      <c r="H225">
        <v>17.55</v>
      </c>
      <c r="I225">
        <v>0</v>
      </c>
      <c r="J225">
        <v>0</v>
      </c>
      <c r="K225">
        <v>20</v>
      </c>
      <c r="L225">
        <v>7</v>
      </c>
      <c r="O225">
        <v>7</v>
      </c>
      <c r="P225">
        <v>4</v>
      </c>
      <c r="Q225">
        <v>2</v>
      </c>
      <c r="R225">
        <v>50.55</v>
      </c>
      <c r="S225">
        <v>18</v>
      </c>
      <c r="T225">
        <v>18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18</v>
      </c>
      <c r="AB225">
        <v>0</v>
      </c>
      <c r="AC225">
        <v>0</v>
      </c>
      <c r="AD225" t="s">
        <v>130</v>
      </c>
      <c r="AF225" t="s">
        <v>130</v>
      </c>
      <c r="AH225">
        <v>68.55</v>
      </c>
    </row>
    <row r="226" spans="1:34" x14ac:dyDescent="0.3">
      <c r="A226" s="4">
        <v>389</v>
      </c>
      <c r="B226" s="5">
        <v>219</v>
      </c>
      <c r="C226">
        <v>2299</v>
      </c>
      <c r="D226" t="s">
        <v>20956</v>
      </c>
      <c r="E226" t="s">
        <v>143</v>
      </c>
      <c r="F226" t="s">
        <v>1023</v>
      </c>
      <c r="G226" t="s">
        <v>27227</v>
      </c>
      <c r="H226">
        <v>19.25</v>
      </c>
      <c r="I226">
        <v>0</v>
      </c>
      <c r="J226">
        <v>0</v>
      </c>
      <c r="K226">
        <v>0</v>
      </c>
      <c r="L226">
        <v>7</v>
      </c>
      <c r="O226">
        <v>7</v>
      </c>
      <c r="P226">
        <v>4</v>
      </c>
      <c r="Q226">
        <v>0</v>
      </c>
      <c r="R226">
        <v>30.25</v>
      </c>
      <c r="S226">
        <v>35</v>
      </c>
      <c r="T226">
        <v>35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35</v>
      </c>
      <c r="AB226">
        <v>3</v>
      </c>
      <c r="AC226">
        <v>0</v>
      </c>
      <c r="AD226" t="s">
        <v>130</v>
      </c>
      <c r="AF226" t="s">
        <v>130</v>
      </c>
      <c r="AH226">
        <v>68.25</v>
      </c>
    </row>
    <row r="227" spans="1:34" x14ac:dyDescent="0.3">
      <c r="A227" s="4">
        <v>390</v>
      </c>
      <c r="B227" s="5">
        <v>220</v>
      </c>
      <c r="C227">
        <v>6559</v>
      </c>
      <c r="D227" t="s">
        <v>27228</v>
      </c>
      <c r="E227" t="s">
        <v>147</v>
      </c>
      <c r="F227" t="s">
        <v>81</v>
      </c>
      <c r="G227" t="s">
        <v>27229</v>
      </c>
      <c r="H227">
        <v>16.93</v>
      </c>
      <c r="I227">
        <v>0</v>
      </c>
      <c r="J227">
        <v>0</v>
      </c>
      <c r="K227">
        <v>20</v>
      </c>
      <c r="L227">
        <v>7</v>
      </c>
      <c r="O227">
        <v>7</v>
      </c>
      <c r="P227">
        <v>4</v>
      </c>
      <c r="Q227">
        <v>2</v>
      </c>
      <c r="R227">
        <v>49.93</v>
      </c>
      <c r="S227">
        <v>18</v>
      </c>
      <c r="T227">
        <v>18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18</v>
      </c>
      <c r="AB227">
        <v>0</v>
      </c>
      <c r="AC227">
        <v>0</v>
      </c>
      <c r="AF227" t="s">
        <v>130</v>
      </c>
      <c r="AH227">
        <v>67.930000000000007</v>
      </c>
    </row>
    <row r="228" spans="1:34" x14ac:dyDescent="0.3">
      <c r="A228" s="4">
        <v>391</v>
      </c>
      <c r="B228" s="5">
        <v>221</v>
      </c>
      <c r="C228">
        <v>652</v>
      </c>
      <c r="D228" t="s">
        <v>27230</v>
      </c>
      <c r="E228" t="s">
        <v>26</v>
      </c>
      <c r="F228" t="s">
        <v>27231</v>
      </c>
      <c r="G228" t="s">
        <v>27232</v>
      </c>
      <c r="H228">
        <v>18.829999999999998</v>
      </c>
      <c r="I228">
        <v>0</v>
      </c>
      <c r="J228">
        <v>0</v>
      </c>
      <c r="K228">
        <v>20</v>
      </c>
      <c r="L228">
        <v>7</v>
      </c>
      <c r="O228">
        <v>7</v>
      </c>
      <c r="P228">
        <v>4</v>
      </c>
      <c r="Q228">
        <v>2</v>
      </c>
      <c r="R228">
        <v>51.83</v>
      </c>
      <c r="S228">
        <v>16</v>
      </c>
      <c r="T228">
        <v>16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16</v>
      </c>
      <c r="AB228">
        <v>0</v>
      </c>
      <c r="AC228">
        <v>0</v>
      </c>
      <c r="AF228" t="s">
        <v>130</v>
      </c>
      <c r="AH228">
        <v>67.83</v>
      </c>
    </row>
    <row r="229" spans="1:34" x14ac:dyDescent="0.3">
      <c r="A229" s="4">
        <v>392</v>
      </c>
      <c r="B229" s="5">
        <v>222</v>
      </c>
      <c r="C229">
        <v>2126</v>
      </c>
      <c r="D229" t="s">
        <v>27233</v>
      </c>
      <c r="E229" t="s">
        <v>27234</v>
      </c>
      <c r="F229" t="s">
        <v>158</v>
      </c>
      <c r="G229" t="s">
        <v>27235</v>
      </c>
      <c r="H229">
        <v>17.8</v>
      </c>
      <c r="I229">
        <v>0</v>
      </c>
      <c r="J229">
        <v>0</v>
      </c>
      <c r="K229">
        <v>20</v>
      </c>
      <c r="N229">
        <v>3</v>
      </c>
      <c r="O229">
        <v>3</v>
      </c>
      <c r="P229">
        <v>4</v>
      </c>
      <c r="Q229">
        <v>2</v>
      </c>
      <c r="R229">
        <v>46.8</v>
      </c>
      <c r="S229">
        <v>18</v>
      </c>
      <c r="T229">
        <v>18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18</v>
      </c>
      <c r="AB229">
        <v>3</v>
      </c>
      <c r="AC229">
        <v>0</v>
      </c>
      <c r="AF229" t="s">
        <v>130</v>
      </c>
      <c r="AH229">
        <v>67.8</v>
      </c>
    </row>
    <row r="230" spans="1:34" x14ac:dyDescent="0.3">
      <c r="A230" s="4">
        <v>393</v>
      </c>
      <c r="B230" s="5">
        <v>223</v>
      </c>
      <c r="C230">
        <v>2328</v>
      </c>
      <c r="D230" t="s">
        <v>1344</v>
      </c>
      <c r="E230" t="s">
        <v>6121</v>
      </c>
      <c r="F230" t="s">
        <v>38</v>
      </c>
      <c r="G230" t="s">
        <v>27236</v>
      </c>
      <c r="H230">
        <v>16.8</v>
      </c>
      <c r="I230">
        <v>0</v>
      </c>
      <c r="J230">
        <v>0</v>
      </c>
      <c r="K230">
        <v>20</v>
      </c>
      <c r="L230">
        <v>7</v>
      </c>
      <c r="O230">
        <v>7</v>
      </c>
      <c r="P230">
        <v>4</v>
      </c>
      <c r="Q230">
        <v>2</v>
      </c>
      <c r="R230">
        <v>49.8</v>
      </c>
      <c r="S230">
        <v>18</v>
      </c>
      <c r="T230">
        <v>18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18</v>
      </c>
      <c r="AB230">
        <v>0</v>
      </c>
      <c r="AC230">
        <v>0</v>
      </c>
      <c r="AF230" t="s">
        <v>130</v>
      </c>
      <c r="AH230">
        <v>67.8</v>
      </c>
    </row>
    <row r="231" spans="1:34" x14ac:dyDescent="0.3">
      <c r="A231" s="4">
        <v>394</v>
      </c>
      <c r="B231" s="5">
        <v>224</v>
      </c>
      <c r="C231">
        <v>1244</v>
      </c>
      <c r="D231" t="s">
        <v>27237</v>
      </c>
      <c r="E231" t="s">
        <v>550</v>
      </c>
      <c r="F231" t="s">
        <v>190</v>
      </c>
      <c r="G231" t="s">
        <v>27238</v>
      </c>
      <c r="H231">
        <v>17.7</v>
      </c>
      <c r="I231">
        <v>0</v>
      </c>
      <c r="J231">
        <v>0</v>
      </c>
      <c r="K231">
        <v>20</v>
      </c>
      <c r="N231">
        <v>3</v>
      </c>
      <c r="O231">
        <v>3</v>
      </c>
      <c r="P231">
        <v>4</v>
      </c>
      <c r="Q231">
        <v>0</v>
      </c>
      <c r="R231">
        <v>44.7</v>
      </c>
      <c r="S231">
        <v>17</v>
      </c>
      <c r="T231">
        <v>17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17</v>
      </c>
      <c r="AB231">
        <v>6</v>
      </c>
      <c r="AC231">
        <v>0</v>
      </c>
      <c r="AF231" t="s">
        <v>130</v>
      </c>
      <c r="AH231">
        <v>67.7</v>
      </c>
    </row>
    <row r="232" spans="1:34" x14ac:dyDescent="0.3">
      <c r="A232" s="4">
        <v>395</v>
      </c>
      <c r="B232" s="5">
        <v>225</v>
      </c>
      <c r="C232">
        <v>4165</v>
      </c>
      <c r="D232" t="s">
        <v>1654</v>
      </c>
      <c r="E232" t="s">
        <v>182</v>
      </c>
      <c r="F232" t="s">
        <v>17</v>
      </c>
      <c r="G232" t="s">
        <v>27239</v>
      </c>
      <c r="H232">
        <v>16.649999999999999</v>
      </c>
      <c r="I232">
        <v>0</v>
      </c>
      <c r="J232">
        <v>0</v>
      </c>
      <c r="K232">
        <v>20</v>
      </c>
      <c r="L232">
        <v>7</v>
      </c>
      <c r="O232">
        <v>7</v>
      </c>
      <c r="P232">
        <v>4</v>
      </c>
      <c r="Q232">
        <v>2</v>
      </c>
      <c r="R232">
        <v>49.65</v>
      </c>
      <c r="S232">
        <v>18</v>
      </c>
      <c r="T232">
        <v>18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18</v>
      </c>
      <c r="AB232">
        <v>0</v>
      </c>
      <c r="AC232">
        <v>0</v>
      </c>
      <c r="AF232" t="s">
        <v>130</v>
      </c>
      <c r="AH232">
        <v>67.650000000000006</v>
      </c>
    </row>
    <row r="233" spans="1:34" x14ac:dyDescent="0.3">
      <c r="A233" s="4">
        <v>396</v>
      </c>
      <c r="B233" s="5">
        <v>226</v>
      </c>
      <c r="C233">
        <v>10048</v>
      </c>
      <c r="D233" t="s">
        <v>1127</v>
      </c>
      <c r="E233" t="s">
        <v>51</v>
      </c>
      <c r="F233" t="s">
        <v>38</v>
      </c>
      <c r="G233" t="s">
        <v>27240</v>
      </c>
      <c r="H233">
        <v>17.600000000000001</v>
      </c>
      <c r="I233">
        <v>0</v>
      </c>
      <c r="J233">
        <v>0</v>
      </c>
      <c r="K233">
        <v>0</v>
      </c>
      <c r="L233">
        <v>7</v>
      </c>
      <c r="O233">
        <v>7</v>
      </c>
      <c r="P233">
        <v>4</v>
      </c>
      <c r="Q233">
        <v>2</v>
      </c>
      <c r="R233">
        <v>30.6</v>
      </c>
      <c r="S233">
        <v>37</v>
      </c>
      <c r="T233">
        <v>37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37</v>
      </c>
      <c r="AB233">
        <v>0</v>
      </c>
      <c r="AC233">
        <v>0</v>
      </c>
      <c r="AF233" t="s">
        <v>130</v>
      </c>
      <c r="AH233">
        <v>67.599999999999994</v>
      </c>
    </row>
    <row r="234" spans="1:34" x14ac:dyDescent="0.3">
      <c r="A234" s="4">
        <v>397</v>
      </c>
      <c r="B234" s="5">
        <v>227</v>
      </c>
      <c r="C234">
        <v>3183</v>
      </c>
      <c r="D234" t="s">
        <v>3179</v>
      </c>
      <c r="E234" t="s">
        <v>22</v>
      </c>
      <c r="F234" t="s">
        <v>30</v>
      </c>
      <c r="G234" t="s">
        <v>11898</v>
      </c>
      <c r="H234">
        <v>19.2</v>
      </c>
      <c r="I234">
        <v>7</v>
      </c>
      <c r="J234">
        <v>0</v>
      </c>
      <c r="K234">
        <v>28</v>
      </c>
      <c r="L234">
        <v>7</v>
      </c>
      <c r="O234">
        <v>7</v>
      </c>
      <c r="P234">
        <v>4</v>
      </c>
      <c r="Q234">
        <v>2</v>
      </c>
      <c r="R234">
        <v>67.2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F234" t="s">
        <v>130</v>
      </c>
      <c r="AH234">
        <v>67.2</v>
      </c>
    </row>
    <row r="235" spans="1:34" x14ac:dyDescent="0.3">
      <c r="A235" s="4">
        <v>398</v>
      </c>
      <c r="B235" s="5">
        <v>228</v>
      </c>
      <c r="C235">
        <v>8750</v>
      </c>
      <c r="D235" t="s">
        <v>27241</v>
      </c>
      <c r="E235" t="s">
        <v>1280</v>
      </c>
      <c r="F235" t="s">
        <v>227</v>
      </c>
      <c r="G235" t="s">
        <v>27242</v>
      </c>
      <c r="H235">
        <v>18.100000000000001</v>
      </c>
      <c r="I235">
        <v>0</v>
      </c>
      <c r="J235">
        <v>0</v>
      </c>
      <c r="K235">
        <v>20</v>
      </c>
      <c r="L235">
        <v>7</v>
      </c>
      <c r="O235">
        <v>7</v>
      </c>
      <c r="P235">
        <v>4</v>
      </c>
      <c r="Q235">
        <v>0</v>
      </c>
      <c r="R235">
        <v>49.1</v>
      </c>
      <c r="S235">
        <v>18</v>
      </c>
      <c r="T235">
        <v>18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18</v>
      </c>
      <c r="AB235">
        <v>0</v>
      </c>
      <c r="AC235">
        <v>0</v>
      </c>
      <c r="AF235" t="s">
        <v>130</v>
      </c>
      <c r="AH235">
        <v>67.099999999999994</v>
      </c>
    </row>
    <row r="236" spans="1:34" x14ac:dyDescent="0.3">
      <c r="A236" s="4">
        <v>399</v>
      </c>
      <c r="B236" s="5">
        <v>229</v>
      </c>
      <c r="C236">
        <v>784</v>
      </c>
      <c r="D236" t="s">
        <v>784</v>
      </c>
      <c r="E236" t="s">
        <v>166</v>
      </c>
      <c r="F236" t="s">
        <v>81</v>
      </c>
      <c r="G236" t="s">
        <v>27243</v>
      </c>
      <c r="H236">
        <v>18</v>
      </c>
      <c r="I236">
        <v>0</v>
      </c>
      <c r="J236">
        <v>0</v>
      </c>
      <c r="K236">
        <v>20</v>
      </c>
      <c r="O236">
        <v>0</v>
      </c>
      <c r="P236">
        <v>4</v>
      </c>
      <c r="Q236">
        <v>2</v>
      </c>
      <c r="R236">
        <v>44</v>
      </c>
      <c r="S236">
        <v>17</v>
      </c>
      <c r="T236">
        <v>17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17</v>
      </c>
      <c r="AB236">
        <v>6</v>
      </c>
      <c r="AC236">
        <v>0</v>
      </c>
      <c r="AD236" t="s">
        <v>130</v>
      </c>
      <c r="AF236" t="s">
        <v>130</v>
      </c>
      <c r="AH236">
        <v>67</v>
      </c>
    </row>
    <row r="237" spans="1:34" x14ac:dyDescent="0.3">
      <c r="A237" s="4">
        <v>400</v>
      </c>
      <c r="B237" s="5">
        <v>230</v>
      </c>
      <c r="C237">
        <v>2395</v>
      </c>
      <c r="D237" t="s">
        <v>27244</v>
      </c>
      <c r="E237" t="s">
        <v>27245</v>
      </c>
      <c r="F237" t="s">
        <v>346</v>
      </c>
      <c r="G237" t="s">
        <v>27246</v>
      </c>
      <c r="H237">
        <v>20.95</v>
      </c>
      <c r="I237">
        <v>7</v>
      </c>
      <c r="J237">
        <v>0</v>
      </c>
      <c r="K237">
        <v>20</v>
      </c>
      <c r="L237">
        <v>7</v>
      </c>
      <c r="O237">
        <v>7</v>
      </c>
      <c r="P237">
        <v>4</v>
      </c>
      <c r="Q237">
        <v>2</v>
      </c>
      <c r="R237">
        <v>60.95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6</v>
      </c>
      <c r="AC237">
        <v>0</v>
      </c>
      <c r="AF237" t="s">
        <v>130</v>
      </c>
      <c r="AH237">
        <v>66.95</v>
      </c>
    </row>
    <row r="238" spans="1:34" x14ac:dyDescent="0.3">
      <c r="A238" s="4">
        <v>401</v>
      </c>
      <c r="B238" s="5">
        <v>231</v>
      </c>
      <c r="C238">
        <v>12330</v>
      </c>
      <c r="D238" t="s">
        <v>27247</v>
      </c>
      <c r="E238" t="s">
        <v>1474</v>
      </c>
      <c r="F238" t="s">
        <v>20</v>
      </c>
      <c r="G238" t="s">
        <v>27248</v>
      </c>
      <c r="H238">
        <v>19.899999999999999</v>
      </c>
      <c r="I238">
        <v>0</v>
      </c>
      <c r="J238">
        <v>0</v>
      </c>
      <c r="K238">
        <v>20</v>
      </c>
      <c r="N238">
        <v>3</v>
      </c>
      <c r="O238">
        <v>3</v>
      </c>
      <c r="P238">
        <v>4</v>
      </c>
      <c r="Q238">
        <v>2</v>
      </c>
      <c r="R238">
        <v>48.9</v>
      </c>
      <c r="S238">
        <v>18</v>
      </c>
      <c r="T238">
        <v>18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18</v>
      </c>
      <c r="AB238">
        <v>0</v>
      </c>
      <c r="AC238">
        <v>0</v>
      </c>
      <c r="AF238" t="s">
        <v>130</v>
      </c>
      <c r="AH238">
        <v>66.900000000000006</v>
      </c>
    </row>
    <row r="239" spans="1:34" x14ac:dyDescent="0.3">
      <c r="A239" s="4">
        <v>402</v>
      </c>
      <c r="B239" s="5">
        <v>232</v>
      </c>
      <c r="C239">
        <v>8135</v>
      </c>
      <c r="D239" t="s">
        <v>11016</v>
      </c>
      <c r="E239" t="s">
        <v>33</v>
      </c>
      <c r="F239" t="s">
        <v>20</v>
      </c>
      <c r="G239" t="s">
        <v>27249</v>
      </c>
      <c r="H239">
        <v>17.73</v>
      </c>
      <c r="I239">
        <v>0</v>
      </c>
      <c r="J239">
        <v>0</v>
      </c>
      <c r="K239">
        <v>0</v>
      </c>
      <c r="L239">
        <v>7</v>
      </c>
      <c r="O239">
        <v>7</v>
      </c>
      <c r="P239">
        <v>4</v>
      </c>
      <c r="Q239">
        <v>2</v>
      </c>
      <c r="R239">
        <v>30.73</v>
      </c>
      <c r="S239">
        <v>13</v>
      </c>
      <c r="T239">
        <v>13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13</v>
      </c>
      <c r="AB239">
        <v>3</v>
      </c>
      <c r="AC239">
        <v>20</v>
      </c>
      <c r="AF239" t="s">
        <v>130</v>
      </c>
      <c r="AH239">
        <v>66.73</v>
      </c>
    </row>
    <row r="240" spans="1:34" x14ac:dyDescent="0.3">
      <c r="A240" s="4">
        <v>403</v>
      </c>
      <c r="B240" s="5">
        <v>233</v>
      </c>
      <c r="C240">
        <v>5408</v>
      </c>
      <c r="D240" t="s">
        <v>15561</v>
      </c>
      <c r="E240" t="s">
        <v>27250</v>
      </c>
      <c r="F240" t="s">
        <v>20589</v>
      </c>
      <c r="G240" t="s">
        <v>27251</v>
      </c>
      <c r="H240">
        <v>16.63</v>
      </c>
      <c r="I240">
        <v>0</v>
      </c>
      <c r="J240">
        <v>0</v>
      </c>
      <c r="K240">
        <v>0</v>
      </c>
      <c r="N240">
        <v>3</v>
      </c>
      <c r="O240">
        <v>3</v>
      </c>
      <c r="P240">
        <v>4</v>
      </c>
      <c r="Q240">
        <v>2</v>
      </c>
      <c r="R240">
        <v>25.63</v>
      </c>
      <c r="S240">
        <v>35</v>
      </c>
      <c r="T240">
        <v>35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35</v>
      </c>
      <c r="AB240">
        <v>6</v>
      </c>
      <c r="AC240">
        <v>0</v>
      </c>
      <c r="AD240" t="s">
        <v>130</v>
      </c>
      <c r="AF240" t="s">
        <v>130</v>
      </c>
      <c r="AH240">
        <v>66.63</v>
      </c>
    </row>
    <row r="241" spans="1:34" x14ac:dyDescent="0.3">
      <c r="A241" s="4">
        <v>404</v>
      </c>
      <c r="B241" s="5">
        <v>234</v>
      </c>
      <c r="C241">
        <v>8210</v>
      </c>
      <c r="D241" t="s">
        <v>27252</v>
      </c>
      <c r="E241" t="s">
        <v>29</v>
      </c>
      <c r="F241" t="s">
        <v>17</v>
      </c>
      <c r="G241" t="s">
        <v>27253</v>
      </c>
      <c r="H241">
        <v>15.53</v>
      </c>
      <c r="I241">
        <v>0</v>
      </c>
      <c r="J241">
        <v>0</v>
      </c>
      <c r="K241">
        <v>20</v>
      </c>
      <c r="L241">
        <v>7</v>
      </c>
      <c r="O241">
        <v>7</v>
      </c>
      <c r="P241">
        <v>4</v>
      </c>
      <c r="Q241">
        <v>2</v>
      </c>
      <c r="R241">
        <v>48.53</v>
      </c>
      <c r="S241">
        <v>18</v>
      </c>
      <c r="T241">
        <v>18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18</v>
      </c>
      <c r="AB241">
        <v>0</v>
      </c>
      <c r="AC241">
        <v>0</v>
      </c>
      <c r="AF241" t="s">
        <v>130</v>
      </c>
      <c r="AH241">
        <v>66.53</v>
      </c>
    </row>
    <row r="242" spans="1:34" x14ac:dyDescent="0.3">
      <c r="A242" s="4">
        <v>405</v>
      </c>
      <c r="B242" s="5">
        <v>235</v>
      </c>
      <c r="C242">
        <v>9964</v>
      </c>
      <c r="D242" t="s">
        <v>27254</v>
      </c>
      <c r="E242" t="s">
        <v>117</v>
      </c>
      <c r="F242" t="s">
        <v>38</v>
      </c>
      <c r="G242" t="s">
        <v>27255</v>
      </c>
      <c r="H242">
        <v>18.350000000000001</v>
      </c>
      <c r="I242">
        <v>0</v>
      </c>
      <c r="J242">
        <v>0</v>
      </c>
      <c r="K242">
        <v>28</v>
      </c>
      <c r="L242">
        <v>7</v>
      </c>
      <c r="O242">
        <v>7</v>
      </c>
      <c r="P242">
        <v>4</v>
      </c>
      <c r="Q242">
        <v>0</v>
      </c>
      <c r="R242">
        <v>57.35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9</v>
      </c>
      <c r="AC242">
        <v>0</v>
      </c>
      <c r="AF242" t="s">
        <v>130</v>
      </c>
      <c r="AH242">
        <v>66.349999999999994</v>
      </c>
    </row>
    <row r="243" spans="1:34" x14ac:dyDescent="0.3">
      <c r="A243" s="4">
        <v>406</v>
      </c>
      <c r="B243" s="5">
        <v>236</v>
      </c>
      <c r="C243">
        <v>8227</v>
      </c>
      <c r="D243" t="s">
        <v>19621</v>
      </c>
      <c r="E243" t="s">
        <v>149</v>
      </c>
      <c r="F243" t="s">
        <v>4176</v>
      </c>
      <c r="G243" t="s">
        <v>27256</v>
      </c>
      <c r="H243">
        <v>16.03</v>
      </c>
      <c r="I243">
        <v>0</v>
      </c>
      <c r="J243">
        <v>0</v>
      </c>
      <c r="K243">
        <v>20</v>
      </c>
      <c r="L243">
        <v>7</v>
      </c>
      <c r="O243">
        <v>7</v>
      </c>
      <c r="P243">
        <v>4</v>
      </c>
      <c r="Q243">
        <v>2</v>
      </c>
      <c r="R243">
        <v>49.03</v>
      </c>
      <c r="S243">
        <v>11</v>
      </c>
      <c r="T243">
        <v>11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11</v>
      </c>
      <c r="AB243">
        <v>6</v>
      </c>
      <c r="AC243">
        <v>0</v>
      </c>
      <c r="AD243" t="s">
        <v>130</v>
      </c>
      <c r="AF243" t="s">
        <v>130</v>
      </c>
      <c r="AH243">
        <v>66.03</v>
      </c>
    </row>
    <row r="244" spans="1:34" x14ac:dyDescent="0.3">
      <c r="A244" s="4">
        <v>407</v>
      </c>
      <c r="B244" s="5">
        <v>237</v>
      </c>
      <c r="C244">
        <v>627</v>
      </c>
      <c r="D244" t="s">
        <v>577</v>
      </c>
      <c r="E244" t="s">
        <v>594</v>
      </c>
      <c r="F244" t="s">
        <v>1399</v>
      </c>
      <c r="G244" t="s">
        <v>27257</v>
      </c>
      <c r="H244">
        <v>15.9</v>
      </c>
      <c r="I244">
        <v>7</v>
      </c>
      <c r="J244">
        <v>0</v>
      </c>
      <c r="K244">
        <v>0</v>
      </c>
      <c r="N244">
        <v>3</v>
      </c>
      <c r="O244">
        <v>3</v>
      </c>
      <c r="P244">
        <v>4</v>
      </c>
      <c r="Q244">
        <v>2</v>
      </c>
      <c r="R244">
        <v>31.9</v>
      </c>
      <c r="S244">
        <v>28</v>
      </c>
      <c r="T244">
        <v>28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28</v>
      </c>
      <c r="AB244">
        <v>6</v>
      </c>
      <c r="AC244">
        <v>0</v>
      </c>
      <c r="AF244" t="s">
        <v>130</v>
      </c>
      <c r="AH244">
        <v>65.900000000000006</v>
      </c>
    </row>
    <row r="245" spans="1:34" x14ac:dyDescent="0.3">
      <c r="A245" s="4">
        <v>408</v>
      </c>
      <c r="B245" s="5">
        <v>238</v>
      </c>
      <c r="C245">
        <v>13533</v>
      </c>
      <c r="D245" t="s">
        <v>1565</v>
      </c>
      <c r="E245" t="s">
        <v>54</v>
      </c>
      <c r="F245" t="s">
        <v>20</v>
      </c>
      <c r="G245" t="s">
        <v>27258</v>
      </c>
      <c r="H245">
        <v>17.850000000000001</v>
      </c>
      <c r="I245">
        <v>0</v>
      </c>
      <c r="J245">
        <v>0</v>
      </c>
      <c r="K245">
        <v>0</v>
      </c>
      <c r="L245">
        <v>7</v>
      </c>
      <c r="O245">
        <v>7</v>
      </c>
      <c r="P245">
        <v>4</v>
      </c>
      <c r="Q245">
        <v>2</v>
      </c>
      <c r="R245">
        <v>30.85</v>
      </c>
      <c r="S245">
        <v>35</v>
      </c>
      <c r="T245">
        <v>35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35</v>
      </c>
      <c r="AB245">
        <v>0</v>
      </c>
      <c r="AC245">
        <v>0</v>
      </c>
      <c r="AF245" t="s">
        <v>130</v>
      </c>
      <c r="AH245">
        <v>65.849999999999994</v>
      </c>
    </row>
    <row r="246" spans="1:34" x14ac:dyDescent="0.3">
      <c r="A246" s="4">
        <v>409</v>
      </c>
      <c r="B246" s="5">
        <v>239</v>
      </c>
      <c r="C246">
        <v>14316</v>
      </c>
      <c r="D246" t="s">
        <v>1907</v>
      </c>
      <c r="E246" t="s">
        <v>166</v>
      </c>
      <c r="F246" t="s">
        <v>652</v>
      </c>
      <c r="G246" t="s">
        <v>27259</v>
      </c>
      <c r="H246">
        <v>15.83</v>
      </c>
      <c r="I246">
        <v>0</v>
      </c>
      <c r="J246">
        <v>0</v>
      </c>
      <c r="K246">
        <v>0</v>
      </c>
      <c r="N246">
        <v>3</v>
      </c>
      <c r="O246">
        <v>3</v>
      </c>
      <c r="P246">
        <v>4</v>
      </c>
      <c r="Q246">
        <v>2</v>
      </c>
      <c r="R246">
        <v>24.83</v>
      </c>
      <c r="S246">
        <v>18</v>
      </c>
      <c r="T246">
        <v>18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18</v>
      </c>
      <c r="AB246">
        <v>3</v>
      </c>
      <c r="AC246">
        <v>20</v>
      </c>
      <c r="AF246" t="s">
        <v>130</v>
      </c>
      <c r="AH246">
        <v>65.83</v>
      </c>
    </row>
    <row r="247" spans="1:34" x14ac:dyDescent="0.3">
      <c r="A247" s="4">
        <v>410</v>
      </c>
      <c r="B247" s="5">
        <v>240</v>
      </c>
      <c r="C247">
        <v>4792</v>
      </c>
      <c r="D247" t="s">
        <v>8679</v>
      </c>
      <c r="E247" t="s">
        <v>120</v>
      </c>
      <c r="F247" t="s">
        <v>14</v>
      </c>
      <c r="G247" t="s">
        <v>27260</v>
      </c>
      <c r="H247">
        <v>21.83</v>
      </c>
      <c r="I247">
        <v>7</v>
      </c>
      <c r="J247">
        <v>0</v>
      </c>
      <c r="K247">
        <v>20</v>
      </c>
      <c r="L247">
        <v>7</v>
      </c>
      <c r="N247">
        <v>3</v>
      </c>
      <c r="O247">
        <v>10</v>
      </c>
      <c r="P247">
        <v>4</v>
      </c>
      <c r="Q247">
        <v>0</v>
      </c>
      <c r="R247">
        <v>62.83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3</v>
      </c>
      <c r="AC247">
        <v>0</v>
      </c>
      <c r="AF247" t="s">
        <v>130</v>
      </c>
      <c r="AH247">
        <v>65.83</v>
      </c>
    </row>
    <row r="248" spans="1:34" x14ac:dyDescent="0.3">
      <c r="A248" s="4">
        <v>411</v>
      </c>
      <c r="B248" s="5">
        <v>241</v>
      </c>
      <c r="C248">
        <v>3165</v>
      </c>
      <c r="D248" t="s">
        <v>27261</v>
      </c>
      <c r="E248" t="s">
        <v>268</v>
      </c>
      <c r="F248" t="s">
        <v>4088</v>
      </c>
      <c r="G248" t="s">
        <v>27262</v>
      </c>
      <c r="H248">
        <v>16.75</v>
      </c>
      <c r="I248">
        <v>0</v>
      </c>
      <c r="J248">
        <v>0</v>
      </c>
      <c r="K248">
        <v>0</v>
      </c>
      <c r="O248">
        <v>0</v>
      </c>
      <c r="P248">
        <v>4</v>
      </c>
      <c r="Q248">
        <v>2</v>
      </c>
      <c r="R248">
        <v>22.75</v>
      </c>
      <c r="S248">
        <v>43</v>
      </c>
      <c r="T248">
        <v>43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43</v>
      </c>
      <c r="AB248">
        <v>0</v>
      </c>
      <c r="AC248">
        <v>0</v>
      </c>
      <c r="AF248" t="s">
        <v>130</v>
      </c>
      <c r="AH248">
        <v>65.75</v>
      </c>
    </row>
    <row r="249" spans="1:34" x14ac:dyDescent="0.3">
      <c r="A249" s="4">
        <v>412</v>
      </c>
      <c r="B249" s="5">
        <v>242</v>
      </c>
      <c r="C249">
        <v>8452</v>
      </c>
      <c r="D249" t="s">
        <v>27263</v>
      </c>
      <c r="E249" t="s">
        <v>166</v>
      </c>
      <c r="F249" t="s">
        <v>158</v>
      </c>
      <c r="G249" t="s">
        <v>27264</v>
      </c>
      <c r="H249">
        <v>19.53</v>
      </c>
      <c r="I249">
        <v>0</v>
      </c>
      <c r="J249">
        <v>0</v>
      </c>
      <c r="K249">
        <v>20</v>
      </c>
      <c r="M249">
        <v>5</v>
      </c>
      <c r="O249">
        <v>5</v>
      </c>
      <c r="P249">
        <v>4</v>
      </c>
      <c r="Q249">
        <v>0</v>
      </c>
      <c r="R249">
        <v>48.53</v>
      </c>
      <c r="S249">
        <v>17</v>
      </c>
      <c r="T249">
        <v>17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17</v>
      </c>
      <c r="AB249">
        <v>0</v>
      </c>
      <c r="AC249">
        <v>0</v>
      </c>
      <c r="AD249" t="s">
        <v>130</v>
      </c>
      <c r="AF249" t="s">
        <v>130</v>
      </c>
      <c r="AH249">
        <v>65.53</v>
      </c>
    </row>
    <row r="250" spans="1:34" x14ac:dyDescent="0.3">
      <c r="A250" s="4">
        <v>413</v>
      </c>
      <c r="B250" s="5">
        <v>243</v>
      </c>
      <c r="C250">
        <v>10015</v>
      </c>
      <c r="D250" t="s">
        <v>8524</v>
      </c>
      <c r="E250" t="s">
        <v>4088</v>
      </c>
      <c r="F250" t="s">
        <v>52</v>
      </c>
      <c r="G250" t="s">
        <v>27265</v>
      </c>
      <c r="H250">
        <v>16.5</v>
      </c>
      <c r="I250">
        <v>0</v>
      </c>
      <c r="J250">
        <v>0</v>
      </c>
      <c r="K250">
        <v>20</v>
      </c>
      <c r="L250">
        <v>7</v>
      </c>
      <c r="O250">
        <v>7</v>
      </c>
      <c r="P250">
        <v>4</v>
      </c>
      <c r="Q250">
        <v>0</v>
      </c>
      <c r="R250">
        <v>47.5</v>
      </c>
      <c r="S250">
        <v>18</v>
      </c>
      <c r="T250">
        <v>18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18</v>
      </c>
      <c r="AB250">
        <v>0</v>
      </c>
      <c r="AC250">
        <v>0</v>
      </c>
      <c r="AF250" t="s">
        <v>130</v>
      </c>
      <c r="AH250">
        <v>65.5</v>
      </c>
    </row>
    <row r="251" spans="1:34" x14ac:dyDescent="0.3">
      <c r="A251" s="4">
        <v>414</v>
      </c>
      <c r="B251" s="5">
        <v>244</v>
      </c>
      <c r="C251">
        <v>3829</v>
      </c>
      <c r="D251" t="s">
        <v>16589</v>
      </c>
      <c r="E251" t="s">
        <v>789</v>
      </c>
      <c r="F251" t="s">
        <v>81</v>
      </c>
      <c r="G251" t="s">
        <v>27266</v>
      </c>
      <c r="H251">
        <v>18.45</v>
      </c>
      <c r="I251">
        <v>0</v>
      </c>
      <c r="J251">
        <v>0</v>
      </c>
      <c r="K251">
        <v>0</v>
      </c>
      <c r="N251">
        <v>3</v>
      </c>
      <c r="O251">
        <v>3</v>
      </c>
      <c r="P251">
        <v>4</v>
      </c>
      <c r="Q251">
        <v>2</v>
      </c>
      <c r="R251">
        <v>27.45</v>
      </c>
      <c r="S251">
        <v>32</v>
      </c>
      <c r="T251">
        <v>32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32</v>
      </c>
      <c r="AB251">
        <v>6</v>
      </c>
      <c r="AC251">
        <v>0</v>
      </c>
      <c r="AD251" t="s">
        <v>130</v>
      </c>
      <c r="AF251" t="s">
        <v>130</v>
      </c>
      <c r="AH251">
        <v>65.45</v>
      </c>
    </row>
    <row r="252" spans="1:34" x14ac:dyDescent="0.3">
      <c r="A252" s="4">
        <v>415</v>
      </c>
      <c r="B252" s="5">
        <v>245</v>
      </c>
      <c r="C252">
        <v>5394</v>
      </c>
      <c r="D252" t="s">
        <v>27267</v>
      </c>
      <c r="E252" t="s">
        <v>29</v>
      </c>
      <c r="F252" t="s">
        <v>20</v>
      </c>
      <c r="G252" t="s">
        <v>27268</v>
      </c>
      <c r="H252">
        <v>16.149999999999999</v>
      </c>
      <c r="I252">
        <v>0</v>
      </c>
      <c r="J252">
        <v>0</v>
      </c>
      <c r="K252">
        <v>20</v>
      </c>
      <c r="L252">
        <v>14</v>
      </c>
      <c r="O252">
        <v>14</v>
      </c>
      <c r="P252">
        <v>4</v>
      </c>
      <c r="Q252">
        <v>2</v>
      </c>
      <c r="R252">
        <v>56.15</v>
      </c>
      <c r="S252">
        <v>9</v>
      </c>
      <c r="T252">
        <v>9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9</v>
      </c>
      <c r="AB252">
        <v>0</v>
      </c>
      <c r="AC252">
        <v>0</v>
      </c>
      <c r="AD252" t="s">
        <v>130</v>
      </c>
      <c r="AF252" t="s">
        <v>130</v>
      </c>
      <c r="AH252">
        <v>65.150000000000006</v>
      </c>
    </row>
    <row r="253" spans="1:34" x14ac:dyDescent="0.3">
      <c r="A253" s="4">
        <v>416</v>
      </c>
      <c r="B253" s="5">
        <v>246</v>
      </c>
      <c r="C253">
        <v>13330</v>
      </c>
      <c r="D253" t="s">
        <v>27269</v>
      </c>
      <c r="E253" t="s">
        <v>27270</v>
      </c>
      <c r="F253" t="s">
        <v>17</v>
      </c>
      <c r="G253" t="s">
        <v>27271</v>
      </c>
      <c r="H253">
        <v>18.149999999999999</v>
      </c>
      <c r="I253">
        <v>0</v>
      </c>
      <c r="J253">
        <v>0</v>
      </c>
      <c r="K253">
        <v>0</v>
      </c>
      <c r="L253">
        <v>7</v>
      </c>
      <c r="N253">
        <v>3</v>
      </c>
      <c r="O253">
        <v>10</v>
      </c>
      <c r="P253">
        <v>4</v>
      </c>
      <c r="Q253">
        <v>0</v>
      </c>
      <c r="R253">
        <v>32.15</v>
      </c>
      <c r="S253">
        <v>33</v>
      </c>
      <c r="T253">
        <v>33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33</v>
      </c>
      <c r="AB253">
        <v>0</v>
      </c>
      <c r="AC253">
        <v>0</v>
      </c>
      <c r="AD253" t="s">
        <v>130</v>
      </c>
      <c r="AF253" t="s">
        <v>130</v>
      </c>
      <c r="AH253">
        <v>65.150000000000006</v>
      </c>
    </row>
    <row r="254" spans="1:34" x14ac:dyDescent="0.3">
      <c r="A254" s="4">
        <v>417</v>
      </c>
      <c r="B254" s="5">
        <v>247</v>
      </c>
      <c r="C254">
        <v>2999</v>
      </c>
      <c r="D254" t="s">
        <v>1115</v>
      </c>
      <c r="E254" t="s">
        <v>789</v>
      </c>
      <c r="F254" t="s">
        <v>136</v>
      </c>
      <c r="G254" t="s">
        <v>27272</v>
      </c>
      <c r="H254">
        <v>17.13</v>
      </c>
      <c r="I254">
        <v>0</v>
      </c>
      <c r="J254">
        <v>0</v>
      </c>
      <c r="K254">
        <v>20</v>
      </c>
      <c r="N254">
        <v>3</v>
      </c>
      <c r="O254">
        <v>3</v>
      </c>
      <c r="P254">
        <v>4</v>
      </c>
      <c r="Q254">
        <v>0</v>
      </c>
      <c r="R254">
        <v>44.13</v>
      </c>
      <c r="S254">
        <v>18</v>
      </c>
      <c r="T254">
        <v>18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18</v>
      </c>
      <c r="AB254">
        <v>3</v>
      </c>
      <c r="AC254">
        <v>0</v>
      </c>
      <c r="AD254" t="s">
        <v>130</v>
      </c>
      <c r="AF254" t="s">
        <v>130</v>
      </c>
      <c r="AH254">
        <v>65.13</v>
      </c>
    </row>
    <row r="255" spans="1:34" x14ac:dyDescent="0.3">
      <c r="A255" s="4">
        <v>418</v>
      </c>
      <c r="B255" s="5">
        <v>248</v>
      </c>
      <c r="C255">
        <v>13541</v>
      </c>
      <c r="D255" t="s">
        <v>27273</v>
      </c>
      <c r="E255" t="s">
        <v>33</v>
      </c>
      <c r="F255" t="s">
        <v>343</v>
      </c>
      <c r="G255" t="s">
        <v>27274</v>
      </c>
      <c r="H255">
        <v>17.079999999999998</v>
      </c>
      <c r="I255">
        <v>7</v>
      </c>
      <c r="J255">
        <v>0</v>
      </c>
      <c r="K255">
        <v>0</v>
      </c>
      <c r="L255">
        <v>7</v>
      </c>
      <c r="N255">
        <v>3</v>
      </c>
      <c r="O255">
        <v>10</v>
      </c>
      <c r="P255">
        <v>4</v>
      </c>
      <c r="Q255">
        <v>0</v>
      </c>
      <c r="R255">
        <v>38.08</v>
      </c>
      <c r="S255">
        <v>27</v>
      </c>
      <c r="T255">
        <v>27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27</v>
      </c>
      <c r="AB255">
        <v>0</v>
      </c>
      <c r="AC255">
        <v>0</v>
      </c>
      <c r="AF255" t="s">
        <v>130</v>
      </c>
      <c r="AH255">
        <v>65.08</v>
      </c>
    </row>
    <row r="256" spans="1:34" x14ac:dyDescent="0.3">
      <c r="A256" s="4">
        <v>420</v>
      </c>
      <c r="B256" s="5">
        <v>249</v>
      </c>
      <c r="C256">
        <v>3157</v>
      </c>
      <c r="D256" t="s">
        <v>27275</v>
      </c>
      <c r="E256" t="s">
        <v>54</v>
      </c>
      <c r="F256" t="s">
        <v>38</v>
      </c>
      <c r="G256" t="s">
        <v>27276</v>
      </c>
      <c r="H256">
        <v>18.03</v>
      </c>
      <c r="I256">
        <v>0</v>
      </c>
      <c r="J256">
        <v>0</v>
      </c>
      <c r="K256">
        <v>20</v>
      </c>
      <c r="L256">
        <v>7</v>
      </c>
      <c r="O256">
        <v>7</v>
      </c>
      <c r="P256">
        <v>4</v>
      </c>
      <c r="Q256">
        <v>2</v>
      </c>
      <c r="R256">
        <v>51.03</v>
      </c>
      <c r="S256">
        <v>8</v>
      </c>
      <c r="T256">
        <v>8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8</v>
      </c>
      <c r="AB256">
        <v>6</v>
      </c>
      <c r="AC256">
        <v>0</v>
      </c>
      <c r="AF256" t="s">
        <v>130</v>
      </c>
      <c r="AH256">
        <v>65.03</v>
      </c>
    </row>
    <row r="257" spans="1:34" x14ac:dyDescent="0.3">
      <c r="A257" s="4">
        <v>422</v>
      </c>
      <c r="B257" s="5">
        <v>250</v>
      </c>
      <c r="C257">
        <v>5923</v>
      </c>
      <c r="D257" t="s">
        <v>824</v>
      </c>
      <c r="E257" t="s">
        <v>166</v>
      </c>
      <c r="F257" t="s">
        <v>62</v>
      </c>
      <c r="G257" t="s">
        <v>27277</v>
      </c>
      <c r="H257">
        <v>16.93</v>
      </c>
      <c r="I257">
        <v>7</v>
      </c>
      <c r="J257">
        <v>0</v>
      </c>
      <c r="K257">
        <v>20</v>
      </c>
      <c r="L257">
        <v>7</v>
      </c>
      <c r="O257">
        <v>7</v>
      </c>
      <c r="P257">
        <v>0</v>
      </c>
      <c r="Q257">
        <v>2</v>
      </c>
      <c r="R257">
        <v>52.93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12</v>
      </c>
      <c r="AC257">
        <v>0</v>
      </c>
      <c r="AD257" t="s">
        <v>130</v>
      </c>
      <c r="AF257" t="s">
        <v>130</v>
      </c>
      <c r="AH257">
        <v>64.930000000000007</v>
      </c>
    </row>
    <row r="258" spans="1:34" x14ac:dyDescent="0.3">
      <c r="A258" s="4">
        <v>423</v>
      </c>
      <c r="B258" s="5">
        <v>251</v>
      </c>
      <c r="C258">
        <v>8914</v>
      </c>
      <c r="D258" t="s">
        <v>27278</v>
      </c>
      <c r="E258" t="s">
        <v>12921</v>
      </c>
      <c r="F258" t="s">
        <v>17</v>
      </c>
      <c r="G258" t="s">
        <v>27279</v>
      </c>
      <c r="H258">
        <v>18.7</v>
      </c>
      <c r="I258">
        <v>0</v>
      </c>
      <c r="J258">
        <v>0</v>
      </c>
      <c r="K258">
        <v>20</v>
      </c>
      <c r="L258">
        <v>14</v>
      </c>
      <c r="O258">
        <v>14</v>
      </c>
      <c r="P258">
        <v>4</v>
      </c>
      <c r="Q258">
        <v>2</v>
      </c>
      <c r="R258">
        <v>58.7</v>
      </c>
      <c r="S258">
        <v>6</v>
      </c>
      <c r="T258">
        <v>6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6</v>
      </c>
      <c r="AB258">
        <v>0</v>
      </c>
      <c r="AC258">
        <v>0</v>
      </c>
      <c r="AF258" t="s">
        <v>130</v>
      </c>
      <c r="AH258">
        <v>64.7</v>
      </c>
    </row>
    <row r="259" spans="1:34" x14ac:dyDescent="0.3">
      <c r="A259" s="4">
        <v>424</v>
      </c>
      <c r="B259" s="5">
        <v>252</v>
      </c>
      <c r="C259">
        <v>10515</v>
      </c>
      <c r="D259" t="s">
        <v>27280</v>
      </c>
      <c r="E259" t="s">
        <v>27281</v>
      </c>
      <c r="F259" t="s">
        <v>68</v>
      </c>
      <c r="G259" t="s">
        <v>27282</v>
      </c>
      <c r="H259">
        <v>18.600000000000001</v>
      </c>
      <c r="I259">
        <v>0</v>
      </c>
      <c r="J259">
        <v>0</v>
      </c>
      <c r="K259">
        <v>0</v>
      </c>
      <c r="L259">
        <v>7</v>
      </c>
      <c r="O259">
        <v>7</v>
      </c>
      <c r="P259">
        <v>4</v>
      </c>
      <c r="Q259">
        <v>2</v>
      </c>
      <c r="R259">
        <v>31.6</v>
      </c>
      <c r="S259">
        <v>33</v>
      </c>
      <c r="T259">
        <v>33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33</v>
      </c>
      <c r="AB259">
        <v>0</v>
      </c>
      <c r="AC259">
        <v>0</v>
      </c>
      <c r="AF259" t="s">
        <v>130</v>
      </c>
      <c r="AH259">
        <v>64.599999999999994</v>
      </c>
    </row>
    <row r="260" spans="1:34" x14ac:dyDescent="0.3">
      <c r="A260" s="4">
        <v>425</v>
      </c>
      <c r="B260" s="5">
        <v>253</v>
      </c>
      <c r="C260">
        <v>7036</v>
      </c>
      <c r="D260" t="s">
        <v>5227</v>
      </c>
      <c r="E260" t="s">
        <v>29</v>
      </c>
      <c r="F260" t="s">
        <v>81</v>
      </c>
      <c r="G260" t="s">
        <v>27283</v>
      </c>
      <c r="H260">
        <v>19.350000000000001</v>
      </c>
      <c r="I260">
        <v>0</v>
      </c>
      <c r="J260">
        <v>0</v>
      </c>
      <c r="K260">
        <v>20</v>
      </c>
      <c r="L260">
        <v>7</v>
      </c>
      <c r="O260">
        <v>7</v>
      </c>
      <c r="P260">
        <v>4</v>
      </c>
      <c r="Q260">
        <v>2</v>
      </c>
      <c r="R260">
        <v>52.35</v>
      </c>
      <c r="S260">
        <v>9</v>
      </c>
      <c r="T260">
        <v>9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9</v>
      </c>
      <c r="AB260">
        <v>3</v>
      </c>
      <c r="AC260">
        <v>0</v>
      </c>
      <c r="AF260" t="s">
        <v>130</v>
      </c>
      <c r="AH260">
        <v>64.349999999999994</v>
      </c>
    </row>
    <row r="261" spans="1:34" x14ac:dyDescent="0.3">
      <c r="A261" s="4">
        <v>426</v>
      </c>
      <c r="B261" s="5">
        <v>254</v>
      </c>
      <c r="C261">
        <v>660</v>
      </c>
      <c r="D261" t="s">
        <v>27284</v>
      </c>
      <c r="E261" t="s">
        <v>88</v>
      </c>
      <c r="F261" t="s">
        <v>30</v>
      </c>
      <c r="G261" t="s">
        <v>27285</v>
      </c>
      <c r="H261">
        <v>18.329999999999998</v>
      </c>
      <c r="I261">
        <v>0</v>
      </c>
      <c r="J261">
        <v>0</v>
      </c>
      <c r="K261">
        <v>20</v>
      </c>
      <c r="N261">
        <v>3</v>
      </c>
      <c r="O261">
        <v>3</v>
      </c>
      <c r="P261">
        <v>4</v>
      </c>
      <c r="Q261">
        <v>2</v>
      </c>
      <c r="R261">
        <v>47.33</v>
      </c>
      <c r="S261">
        <v>14</v>
      </c>
      <c r="T261">
        <v>14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14</v>
      </c>
      <c r="AB261">
        <v>3</v>
      </c>
      <c r="AC261">
        <v>0</v>
      </c>
      <c r="AF261" t="s">
        <v>130</v>
      </c>
      <c r="AH261">
        <v>64.33</v>
      </c>
    </row>
    <row r="262" spans="1:34" x14ac:dyDescent="0.3">
      <c r="A262" s="4">
        <v>427</v>
      </c>
      <c r="B262" s="5">
        <v>255</v>
      </c>
      <c r="C262">
        <v>12408</v>
      </c>
      <c r="D262" t="s">
        <v>27286</v>
      </c>
      <c r="E262" t="s">
        <v>33</v>
      </c>
      <c r="F262" t="s">
        <v>68</v>
      </c>
      <c r="G262" t="s">
        <v>27287</v>
      </c>
      <c r="H262">
        <v>20.28</v>
      </c>
      <c r="I262">
        <v>7</v>
      </c>
      <c r="J262">
        <v>0</v>
      </c>
      <c r="K262">
        <v>28</v>
      </c>
      <c r="N262">
        <v>3</v>
      </c>
      <c r="O262">
        <v>3</v>
      </c>
      <c r="P262">
        <v>4</v>
      </c>
      <c r="Q262">
        <v>2</v>
      </c>
      <c r="R262">
        <v>64.28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F262" t="s">
        <v>130</v>
      </c>
      <c r="AH262">
        <v>64.28</v>
      </c>
    </row>
    <row r="263" spans="1:34" x14ac:dyDescent="0.3">
      <c r="A263" s="4">
        <v>428</v>
      </c>
      <c r="B263" s="5">
        <v>256</v>
      </c>
      <c r="C263">
        <v>7468</v>
      </c>
      <c r="D263" t="s">
        <v>11496</v>
      </c>
      <c r="E263" t="s">
        <v>54</v>
      </c>
      <c r="F263" t="s">
        <v>17</v>
      </c>
      <c r="G263" t="s">
        <v>27288</v>
      </c>
      <c r="H263">
        <v>18.25</v>
      </c>
      <c r="I263">
        <v>0</v>
      </c>
      <c r="J263">
        <v>0</v>
      </c>
      <c r="K263">
        <v>20</v>
      </c>
      <c r="N263">
        <v>3</v>
      </c>
      <c r="O263">
        <v>3</v>
      </c>
      <c r="P263">
        <v>4</v>
      </c>
      <c r="Q263">
        <v>2</v>
      </c>
      <c r="R263">
        <v>47.25</v>
      </c>
      <c r="S263">
        <v>17</v>
      </c>
      <c r="T263">
        <v>17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17</v>
      </c>
      <c r="AB263">
        <v>0</v>
      </c>
      <c r="AC263">
        <v>0</v>
      </c>
      <c r="AF263" t="s">
        <v>130</v>
      </c>
      <c r="AH263">
        <v>64.25</v>
      </c>
    </row>
    <row r="264" spans="1:34" x14ac:dyDescent="0.3">
      <c r="A264" s="4">
        <v>429</v>
      </c>
      <c r="B264" s="5">
        <v>257</v>
      </c>
      <c r="C264">
        <v>7035</v>
      </c>
      <c r="D264" t="s">
        <v>18786</v>
      </c>
      <c r="E264" t="s">
        <v>10934</v>
      </c>
      <c r="F264" t="s">
        <v>17</v>
      </c>
      <c r="G264" t="s">
        <v>27289</v>
      </c>
      <c r="H264">
        <v>19.25</v>
      </c>
      <c r="I264">
        <v>0</v>
      </c>
      <c r="J264">
        <v>0</v>
      </c>
      <c r="K264">
        <v>20</v>
      </c>
      <c r="N264">
        <v>3</v>
      </c>
      <c r="O264">
        <v>3</v>
      </c>
      <c r="P264">
        <v>4</v>
      </c>
      <c r="Q264">
        <v>0</v>
      </c>
      <c r="R264">
        <v>46.25</v>
      </c>
      <c r="S264">
        <v>18</v>
      </c>
      <c r="T264">
        <v>18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18</v>
      </c>
      <c r="AB264">
        <v>0</v>
      </c>
      <c r="AC264">
        <v>0</v>
      </c>
      <c r="AF264" t="s">
        <v>130</v>
      </c>
      <c r="AH264">
        <v>64.25</v>
      </c>
    </row>
    <row r="265" spans="1:34" x14ac:dyDescent="0.3">
      <c r="A265" s="4">
        <v>430</v>
      </c>
      <c r="B265" s="5">
        <v>258</v>
      </c>
      <c r="C265">
        <v>302</v>
      </c>
      <c r="D265" t="s">
        <v>2132</v>
      </c>
      <c r="E265" t="s">
        <v>88</v>
      </c>
      <c r="F265" t="s">
        <v>81</v>
      </c>
      <c r="G265" t="s">
        <v>27290</v>
      </c>
      <c r="H265">
        <v>18.23</v>
      </c>
      <c r="I265">
        <v>0</v>
      </c>
      <c r="J265">
        <v>0</v>
      </c>
      <c r="K265">
        <v>20</v>
      </c>
      <c r="N265">
        <v>3</v>
      </c>
      <c r="O265">
        <v>3</v>
      </c>
      <c r="P265">
        <v>4</v>
      </c>
      <c r="Q265">
        <v>2</v>
      </c>
      <c r="R265">
        <v>47.23</v>
      </c>
      <c r="S265">
        <v>17</v>
      </c>
      <c r="T265">
        <v>17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17</v>
      </c>
      <c r="AB265">
        <v>0</v>
      </c>
      <c r="AC265">
        <v>0</v>
      </c>
      <c r="AF265" t="s">
        <v>130</v>
      </c>
      <c r="AH265">
        <v>64.23</v>
      </c>
    </row>
    <row r="266" spans="1:34" x14ac:dyDescent="0.3">
      <c r="A266" s="4">
        <v>431</v>
      </c>
      <c r="B266" s="5">
        <v>259</v>
      </c>
      <c r="C266">
        <v>4892</v>
      </c>
      <c r="D266" t="s">
        <v>27291</v>
      </c>
      <c r="E266" t="s">
        <v>110</v>
      </c>
      <c r="F266" t="s">
        <v>17</v>
      </c>
      <c r="G266" t="s">
        <v>27292</v>
      </c>
      <c r="H266">
        <v>16.93</v>
      </c>
      <c r="I266">
        <v>0</v>
      </c>
      <c r="J266">
        <v>0</v>
      </c>
      <c r="K266">
        <v>20</v>
      </c>
      <c r="L266">
        <v>7</v>
      </c>
      <c r="O266">
        <v>7</v>
      </c>
      <c r="P266">
        <v>4</v>
      </c>
      <c r="Q266">
        <v>2</v>
      </c>
      <c r="R266">
        <v>49.93</v>
      </c>
      <c r="S266">
        <v>11</v>
      </c>
      <c r="T266">
        <v>11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11</v>
      </c>
      <c r="AB266">
        <v>3</v>
      </c>
      <c r="AC266">
        <v>0</v>
      </c>
      <c r="AD266" t="s">
        <v>130</v>
      </c>
      <c r="AF266" t="s">
        <v>130</v>
      </c>
      <c r="AH266">
        <v>63.93</v>
      </c>
    </row>
    <row r="267" spans="1:34" x14ac:dyDescent="0.3">
      <c r="A267" s="4">
        <v>432</v>
      </c>
      <c r="B267" s="5">
        <v>260</v>
      </c>
      <c r="C267">
        <v>5485</v>
      </c>
      <c r="D267" t="s">
        <v>27293</v>
      </c>
      <c r="E267" t="s">
        <v>2595</v>
      </c>
      <c r="F267" t="s">
        <v>193</v>
      </c>
      <c r="G267" t="s">
        <v>27294</v>
      </c>
      <c r="H267">
        <v>16.8</v>
      </c>
      <c r="I267">
        <v>0</v>
      </c>
      <c r="J267">
        <v>0</v>
      </c>
      <c r="K267">
        <v>20</v>
      </c>
      <c r="L267">
        <v>7</v>
      </c>
      <c r="O267">
        <v>7</v>
      </c>
      <c r="P267">
        <v>4</v>
      </c>
      <c r="Q267">
        <v>2</v>
      </c>
      <c r="R267">
        <v>49.8</v>
      </c>
      <c r="S267">
        <v>14</v>
      </c>
      <c r="T267">
        <v>14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14</v>
      </c>
      <c r="AB267">
        <v>0</v>
      </c>
      <c r="AC267">
        <v>0</v>
      </c>
      <c r="AF267" t="s">
        <v>130</v>
      </c>
      <c r="AH267">
        <v>63.8</v>
      </c>
    </row>
    <row r="268" spans="1:34" x14ac:dyDescent="0.3">
      <c r="A268" s="4">
        <v>433</v>
      </c>
      <c r="B268" s="5">
        <v>261</v>
      </c>
      <c r="C268">
        <v>10282</v>
      </c>
      <c r="D268" t="s">
        <v>7020</v>
      </c>
      <c r="E268" t="s">
        <v>110</v>
      </c>
      <c r="F268" t="s">
        <v>230</v>
      </c>
      <c r="G268" t="s">
        <v>27295</v>
      </c>
      <c r="H268">
        <v>17.75</v>
      </c>
      <c r="I268">
        <v>0</v>
      </c>
      <c r="J268">
        <v>0</v>
      </c>
      <c r="K268">
        <v>20</v>
      </c>
      <c r="L268">
        <v>7</v>
      </c>
      <c r="M268">
        <v>5</v>
      </c>
      <c r="O268">
        <v>12</v>
      </c>
      <c r="P268">
        <v>4</v>
      </c>
      <c r="Q268">
        <v>2</v>
      </c>
      <c r="R268">
        <v>55.75</v>
      </c>
      <c r="S268">
        <v>8</v>
      </c>
      <c r="T268">
        <v>8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8</v>
      </c>
      <c r="AB268">
        <v>0</v>
      </c>
      <c r="AC268">
        <v>0</v>
      </c>
      <c r="AF268" t="s">
        <v>130</v>
      </c>
      <c r="AH268">
        <v>63.75</v>
      </c>
    </row>
    <row r="269" spans="1:34" x14ac:dyDescent="0.3">
      <c r="A269" s="4">
        <v>434</v>
      </c>
      <c r="B269" s="5">
        <v>262</v>
      </c>
      <c r="C269">
        <v>4716</v>
      </c>
      <c r="D269" t="s">
        <v>27296</v>
      </c>
      <c r="E269" t="s">
        <v>37</v>
      </c>
      <c r="F269" t="s">
        <v>238</v>
      </c>
      <c r="G269" t="s">
        <v>27297</v>
      </c>
      <c r="H269">
        <v>17.73</v>
      </c>
      <c r="I269">
        <v>0</v>
      </c>
      <c r="J269">
        <v>0</v>
      </c>
      <c r="K269">
        <v>0</v>
      </c>
      <c r="L269">
        <v>7</v>
      </c>
      <c r="O269">
        <v>7</v>
      </c>
      <c r="P269">
        <v>4</v>
      </c>
      <c r="Q269">
        <v>2</v>
      </c>
      <c r="R269">
        <v>30.73</v>
      </c>
      <c r="S269">
        <v>30</v>
      </c>
      <c r="T269">
        <v>30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30</v>
      </c>
      <c r="AB269">
        <v>3</v>
      </c>
      <c r="AC269">
        <v>0</v>
      </c>
      <c r="AF269" t="s">
        <v>130</v>
      </c>
      <c r="AH269">
        <v>63.73</v>
      </c>
    </row>
    <row r="270" spans="1:34" x14ac:dyDescent="0.3">
      <c r="A270" s="4">
        <v>435</v>
      </c>
      <c r="B270" s="5">
        <v>263</v>
      </c>
      <c r="C270">
        <v>11133</v>
      </c>
      <c r="D270" t="s">
        <v>5911</v>
      </c>
      <c r="E270" t="s">
        <v>283</v>
      </c>
      <c r="F270" t="s">
        <v>243</v>
      </c>
      <c r="G270" t="s">
        <v>27298</v>
      </c>
      <c r="H270">
        <v>18.7</v>
      </c>
      <c r="I270">
        <v>0</v>
      </c>
      <c r="J270">
        <v>0</v>
      </c>
      <c r="K270">
        <v>0</v>
      </c>
      <c r="L270">
        <v>7</v>
      </c>
      <c r="O270">
        <v>7</v>
      </c>
      <c r="P270">
        <v>4</v>
      </c>
      <c r="Q270">
        <v>2</v>
      </c>
      <c r="R270">
        <v>31.7</v>
      </c>
      <c r="S270">
        <v>29</v>
      </c>
      <c r="T270">
        <v>29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29</v>
      </c>
      <c r="AB270">
        <v>3</v>
      </c>
      <c r="AC270">
        <v>0</v>
      </c>
      <c r="AF270" t="s">
        <v>130</v>
      </c>
      <c r="AH270">
        <v>63.7</v>
      </c>
    </row>
    <row r="271" spans="1:34" x14ac:dyDescent="0.3">
      <c r="A271" s="4">
        <v>437</v>
      </c>
      <c r="B271" s="5">
        <v>264</v>
      </c>
      <c r="C271">
        <v>5794</v>
      </c>
      <c r="D271" t="s">
        <v>27300</v>
      </c>
      <c r="E271" t="s">
        <v>188</v>
      </c>
      <c r="F271" t="s">
        <v>136</v>
      </c>
      <c r="G271" t="s">
        <v>27301</v>
      </c>
      <c r="H271">
        <v>16.53</v>
      </c>
      <c r="I271">
        <v>0</v>
      </c>
      <c r="J271">
        <v>0</v>
      </c>
      <c r="K271">
        <v>20</v>
      </c>
      <c r="M271">
        <v>5</v>
      </c>
      <c r="O271">
        <v>5</v>
      </c>
      <c r="P271">
        <v>4</v>
      </c>
      <c r="Q271">
        <v>2</v>
      </c>
      <c r="R271">
        <v>47.53</v>
      </c>
      <c r="S271">
        <v>16</v>
      </c>
      <c r="T271">
        <v>16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16</v>
      </c>
      <c r="AB271">
        <v>0</v>
      </c>
      <c r="AC271">
        <v>0</v>
      </c>
      <c r="AF271" t="s">
        <v>130</v>
      </c>
      <c r="AH271">
        <v>63.53</v>
      </c>
    </row>
    <row r="272" spans="1:34" x14ac:dyDescent="0.3">
      <c r="A272" s="4">
        <v>438</v>
      </c>
      <c r="B272" s="5">
        <v>265</v>
      </c>
      <c r="C272">
        <v>9160</v>
      </c>
      <c r="D272" t="s">
        <v>14762</v>
      </c>
      <c r="E272" t="s">
        <v>14</v>
      </c>
      <c r="F272" t="s">
        <v>167</v>
      </c>
      <c r="G272" t="s">
        <v>27302</v>
      </c>
      <c r="H272">
        <v>17.5</v>
      </c>
      <c r="I272">
        <v>0</v>
      </c>
      <c r="J272">
        <v>0</v>
      </c>
      <c r="K272">
        <v>20</v>
      </c>
      <c r="O272">
        <v>0</v>
      </c>
      <c r="P272">
        <v>4</v>
      </c>
      <c r="Q272">
        <v>2</v>
      </c>
      <c r="R272">
        <v>43.5</v>
      </c>
      <c r="S272">
        <v>14</v>
      </c>
      <c r="T272">
        <v>14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14</v>
      </c>
      <c r="AB272">
        <v>6</v>
      </c>
      <c r="AC272">
        <v>0</v>
      </c>
      <c r="AF272" t="s">
        <v>130</v>
      </c>
      <c r="AH272">
        <v>63.5</v>
      </c>
    </row>
    <row r="273" spans="1:34" x14ac:dyDescent="0.3">
      <c r="A273" s="4">
        <v>439</v>
      </c>
      <c r="B273" s="5">
        <v>266</v>
      </c>
      <c r="C273">
        <v>1635</v>
      </c>
      <c r="D273" t="s">
        <v>11974</v>
      </c>
      <c r="E273" t="s">
        <v>41</v>
      </c>
      <c r="F273" t="s">
        <v>30</v>
      </c>
      <c r="G273" t="s">
        <v>27303</v>
      </c>
      <c r="H273">
        <v>19.3</v>
      </c>
      <c r="I273">
        <v>7</v>
      </c>
      <c r="J273">
        <v>0</v>
      </c>
      <c r="K273">
        <v>20</v>
      </c>
      <c r="L273">
        <v>7</v>
      </c>
      <c r="N273">
        <v>3</v>
      </c>
      <c r="O273">
        <v>10</v>
      </c>
      <c r="P273">
        <v>4</v>
      </c>
      <c r="Q273">
        <v>2</v>
      </c>
      <c r="R273">
        <v>62.3</v>
      </c>
      <c r="S273">
        <v>1</v>
      </c>
      <c r="T273">
        <v>1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1</v>
      </c>
      <c r="AB273">
        <v>0</v>
      </c>
      <c r="AC273">
        <v>0</v>
      </c>
      <c r="AF273" t="s">
        <v>130</v>
      </c>
      <c r="AH273">
        <v>63.3</v>
      </c>
    </row>
    <row r="274" spans="1:34" x14ac:dyDescent="0.3">
      <c r="A274" s="4">
        <v>440</v>
      </c>
      <c r="B274" s="5">
        <v>267</v>
      </c>
      <c r="C274">
        <v>8936</v>
      </c>
      <c r="D274" t="s">
        <v>27304</v>
      </c>
      <c r="E274" t="s">
        <v>563</v>
      </c>
      <c r="F274" t="s">
        <v>30</v>
      </c>
      <c r="G274" t="s">
        <v>27305</v>
      </c>
      <c r="H274">
        <v>15.28</v>
      </c>
      <c r="I274">
        <v>0</v>
      </c>
      <c r="J274">
        <v>0</v>
      </c>
      <c r="K274">
        <v>20</v>
      </c>
      <c r="N274">
        <v>3</v>
      </c>
      <c r="O274">
        <v>3</v>
      </c>
      <c r="P274">
        <v>4</v>
      </c>
      <c r="Q274">
        <v>2</v>
      </c>
      <c r="R274">
        <v>44.28</v>
      </c>
      <c r="S274">
        <v>16</v>
      </c>
      <c r="T274">
        <v>16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16</v>
      </c>
      <c r="AB274">
        <v>3</v>
      </c>
      <c r="AC274">
        <v>0</v>
      </c>
      <c r="AF274" t="s">
        <v>130</v>
      </c>
      <c r="AH274">
        <v>63.28</v>
      </c>
    </row>
    <row r="275" spans="1:34" x14ac:dyDescent="0.3">
      <c r="A275" s="4">
        <v>441</v>
      </c>
      <c r="B275" s="5">
        <v>268</v>
      </c>
      <c r="C275">
        <v>8457</v>
      </c>
      <c r="D275" t="s">
        <v>26877</v>
      </c>
      <c r="E275" t="s">
        <v>54</v>
      </c>
      <c r="F275" t="s">
        <v>38</v>
      </c>
      <c r="G275" t="s">
        <v>27306</v>
      </c>
      <c r="H275">
        <v>16.25</v>
      </c>
      <c r="I275">
        <v>0</v>
      </c>
      <c r="J275">
        <v>0</v>
      </c>
      <c r="K275">
        <v>20</v>
      </c>
      <c r="N275">
        <v>3</v>
      </c>
      <c r="O275">
        <v>3</v>
      </c>
      <c r="P275">
        <v>4</v>
      </c>
      <c r="Q275">
        <v>0</v>
      </c>
      <c r="R275">
        <v>43.25</v>
      </c>
      <c r="S275">
        <v>17</v>
      </c>
      <c r="T275">
        <v>17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17</v>
      </c>
      <c r="AB275">
        <v>3</v>
      </c>
      <c r="AC275">
        <v>0</v>
      </c>
      <c r="AD275" t="s">
        <v>130</v>
      </c>
      <c r="AF275" t="s">
        <v>130</v>
      </c>
      <c r="AH275">
        <v>63.25</v>
      </c>
    </row>
    <row r="276" spans="1:34" x14ac:dyDescent="0.3">
      <c r="A276" s="4">
        <v>442</v>
      </c>
      <c r="B276" s="5">
        <v>269</v>
      </c>
      <c r="C276">
        <v>1437</v>
      </c>
      <c r="D276" t="s">
        <v>389</v>
      </c>
      <c r="E276" t="s">
        <v>1280</v>
      </c>
      <c r="F276" t="s">
        <v>38</v>
      </c>
      <c r="G276" t="s">
        <v>27307</v>
      </c>
      <c r="H276">
        <v>19.25</v>
      </c>
      <c r="I276">
        <v>0</v>
      </c>
      <c r="J276">
        <v>0</v>
      </c>
      <c r="K276">
        <v>0</v>
      </c>
      <c r="N276">
        <v>3</v>
      </c>
      <c r="O276">
        <v>3</v>
      </c>
      <c r="P276">
        <v>4</v>
      </c>
      <c r="Q276">
        <v>2</v>
      </c>
      <c r="R276">
        <v>28.25</v>
      </c>
      <c r="S276">
        <v>35</v>
      </c>
      <c r="T276">
        <v>35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35</v>
      </c>
      <c r="AB276">
        <v>0</v>
      </c>
      <c r="AC276">
        <v>0</v>
      </c>
      <c r="AD276" t="s">
        <v>130</v>
      </c>
      <c r="AF276" t="s">
        <v>130</v>
      </c>
      <c r="AH276">
        <v>63.25</v>
      </c>
    </row>
    <row r="277" spans="1:34" x14ac:dyDescent="0.3">
      <c r="A277" s="4">
        <v>443</v>
      </c>
      <c r="B277" s="5">
        <v>270</v>
      </c>
      <c r="C277">
        <v>13045</v>
      </c>
      <c r="D277" t="s">
        <v>27308</v>
      </c>
      <c r="E277" t="s">
        <v>71</v>
      </c>
      <c r="F277" t="s">
        <v>5851</v>
      </c>
      <c r="G277" t="s">
        <v>27309</v>
      </c>
      <c r="H277">
        <v>17.149999999999999</v>
      </c>
      <c r="I277">
        <v>0</v>
      </c>
      <c r="J277">
        <v>0</v>
      </c>
      <c r="K277">
        <v>20</v>
      </c>
      <c r="L277">
        <v>7</v>
      </c>
      <c r="O277">
        <v>7</v>
      </c>
      <c r="P277">
        <v>4</v>
      </c>
      <c r="Q277">
        <v>2</v>
      </c>
      <c r="R277">
        <v>50.15</v>
      </c>
      <c r="S277">
        <v>10</v>
      </c>
      <c r="T277">
        <v>10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10</v>
      </c>
      <c r="AB277">
        <v>3</v>
      </c>
      <c r="AC277">
        <v>0</v>
      </c>
      <c r="AF277" t="s">
        <v>130</v>
      </c>
      <c r="AH277">
        <v>63.15</v>
      </c>
    </row>
    <row r="278" spans="1:34" x14ac:dyDescent="0.3">
      <c r="A278" s="4">
        <v>444</v>
      </c>
      <c r="B278" s="5">
        <v>271</v>
      </c>
      <c r="C278">
        <v>7966</v>
      </c>
      <c r="D278" t="s">
        <v>27310</v>
      </c>
      <c r="E278" t="s">
        <v>149</v>
      </c>
      <c r="F278" t="s">
        <v>136</v>
      </c>
      <c r="G278" t="s">
        <v>27311</v>
      </c>
      <c r="H278">
        <v>17.13</v>
      </c>
      <c r="I278">
        <v>0</v>
      </c>
      <c r="J278">
        <v>0</v>
      </c>
      <c r="K278">
        <v>20</v>
      </c>
      <c r="N278">
        <v>3</v>
      </c>
      <c r="O278">
        <v>3</v>
      </c>
      <c r="P278">
        <v>4</v>
      </c>
      <c r="Q278">
        <v>2</v>
      </c>
      <c r="R278">
        <v>46.13</v>
      </c>
      <c r="S278">
        <v>14</v>
      </c>
      <c r="T278">
        <v>14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14</v>
      </c>
      <c r="AB278">
        <v>3</v>
      </c>
      <c r="AC278">
        <v>0</v>
      </c>
      <c r="AF278" t="s">
        <v>130</v>
      </c>
      <c r="AH278">
        <v>63.13</v>
      </c>
    </row>
    <row r="279" spans="1:34" x14ac:dyDescent="0.3">
      <c r="A279" s="4">
        <v>445</v>
      </c>
      <c r="B279" s="5">
        <v>272</v>
      </c>
      <c r="C279">
        <v>4909</v>
      </c>
      <c r="D279" t="s">
        <v>2318</v>
      </c>
      <c r="E279" t="s">
        <v>7550</v>
      </c>
      <c r="F279" t="s">
        <v>1460</v>
      </c>
      <c r="G279" t="s">
        <v>27312</v>
      </c>
      <c r="H279">
        <v>18.95</v>
      </c>
      <c r="I279">
        <v>0</v>
      </c>
      <c r="J279">
        <v>0</v>
      </c>
      <c r="K279">
        <v>20</v>
      </c>
      <c r="M279">
        <v>5</v>
      </c>
      <c r="O279">
        <v>5</v>
      </c>
      <c r="P279">
        <v>4</v>
      </c>
      <c r="Q279">
        <v>2</v>
      </c>
      <c r="R279">
        <v>49.95</v>
      </c>
      <c r="S279">
        <v>13</v>
      </c>
      <c r="T279">
        <v>13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13</v>
      </c>
      <c r="AB279">
        <v>0</v>
      </c>
      <c r="AC279">
        <v>0</v>
      </c>
      <c r="AD279" t="s">
        <v>130</v>
      </c>
      <c r="AF279" t="s">
        <v>130</v>
      </c>
      <c r="AH279">
        <v>62.95</v>
      </c>
    </row>
    <row r="280" spans="1:34" x14ac:dyDescent="0.3">
      <c r="A280" s="4">
        <v>446</v>
      </c>
      <c r="B280" s="5">
        <v>273</v>
      </c>
      <c r="C280">
        <v>9179</v>
      </c>
      <c r="D280" t="s">
        <v>27313</v>
      </c>
      <c r="E280" t="s">
        <v>97</v>
      </c>
      <c r="F280" t="s">
        <v>385</v>
      </c>
      <c r="G280" t="s">
        <v>27314</v>
      </c>
      <c r="H280">
        <v>20.83</v>
      </c>
      <c r="I280">
        <v>0</v>
      </c>
      <c r="J280">
        <v>0</v>
      </c>
      <c r="K280">
        <v>20</v>
      </c>
      <c r="L280">
        <v>7</v>
      </c>
      <c r="O280">
        <v>7</v>
      </c>
      <c r="P280">
        <v>4</v>
      </c>
      <c r="Q280">
        <v>2</v>
      </c>
      <c r="R280">
        <v>53.83</v>
      </c>
      <c r="S280">
        <v>6</v>
      </c>
      <c r="T280">
        <v>6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6</v>
      </c>
      <c r="AB280">
        <v>3</v>
      </c>
      <c r="AC280">
        <v>0</v>
      </c>
      <c r="AD280" t="s">
        <v>130</v>
      </c>
      <c r="AF280" t="s">
        <v>130</v>
      </c>
      <c r="AH280">
        <v>62.83</v>
      </c>
    </row>
    <row r="281" spans="1:34" x14ac:dyDescent="0.3">
      <c r="A281" s="4">
        <v>447</v>
      </c>
      <c r="B281" s="5">
        <v>274</v>
      </c>
      <c r="C281">
        <v>1215</v>
      </c>
      <c r="D281" t="s">
        <v>27315</v>
      </c>
      <c r="E281" t="s">
        <v>8702</v>
      </c>
      <c r="F281" t="s">
        <v>136</v>
      </c>
      <c r="G281" t="s">
        <v>27316</v>
      </c>
      <c r="H281">
        <v>19.75</v>
      </c>
      <c r="I281">
        <v>0</v>
      </c>
      <c r="J281">
        <v>0</v>
      </c>
      <c r="K281">
        <v>28</v>
      </c>
      <c r="N281">
        <v>3</v>
      </c>
      <c r="O281">
        <v>3</v>
      </c>
      <c r="P281">
        <v>4</v>
      </c>
      <c r="Q281">
        <v>2</v>
      </c>
      <c r="R281">
        <v>56.75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6</v>
      </c>
      <c r="AC281">
        <v>0</v>
      </c>
      <c r="AF281" t="s">
        <v>130</v>
      </c>
      <c r="AH281">
        <v>62.75</v>
      </c>
    </row>
    <row r="282" spans="1:34" x14ac:dyDescent="0.3">
      <c r="A282" s="4">
        <v>448</v>
      </c>
      <c r="B282" s="5">
        <v>275</v>
      </c>
      <c r="C282">
        <v>10750</v>
      </c>
      <c r="D282" t="s">
        <v>18447</v>
      </c>
      <c r="E282" t="s">
        <v>27317</v>
      </c>
      <c r="F282" t="s">
        <v>27318</v>
      </c>
      <c r="G282" t="s">
        <v>27319</v>
      </c>
      <c r="H282">
        <v>19.649999999999999</v>
      </c>
      <c r="I282">
        <v>0</v>
      </c>
      <c r="J282">
        <v>0</v>
      </c>
      <c r="K282">
        <v>0</v>
      </c>
      <c r="L282">
        <v>7</v>
      </c>
      <c r="O282">
        <v>7</v>
      </c>
      <c r="P282">
        <v>4</v>
      </c>
      <c r="Q282">
        <v>2</v>
      </c>
      <c r="R282">
        <v>32.65</v>
      </c>
      <c r="S282">
        <v>27</v>
      </c>
      <c r="T282">
        <v>27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27</v>
      </c>
      <c r="AB282">
        <v>3</v>
      </c>
      <c r="AC282">
        <v>0</v>
      </c>
      <c r="AF282" t="s">
        <v>130</v>
      </c>
      <c r="AH282">
        <v>62.65</v>
      </c>
    </row>
    <row r="283" spans="1:34" x14ac:dyDescent="0.3">
      <c r="A283" s="4">
        <v>449</v>
      </c>
      <c r="B283" s="5">
        <v>276</v>
      </c>
      <c r="C283">
        <v>1625</v>
      </c>
      <c r="D283" t="s">
        <v>27320</v>
      </c>
      <c r="E283" t="s">
        <v>208</v>
      </c>
      <c r="F283" t="s">
        <v>68</v>
      </c>
      <c r="G283" t="s">
        <v>27321</v>
      </c>
      <c r="H283">
        <v>15.65</v>
      </c>
      <c r="I283">
        <v>0</v>
      </c>
      <c r="J283">
        <v>0</v>
      </c>
      <c r="K283">
        <v>20</v>
      </c>
      <c r="N283">
        <v>3</v>
      </c>
      <c r="O283">
        <v>3</v>
      </c>
      <c r="P283">
        <v>4</v>
      </c>
      <c r="Q283">
        <v>2</v>
      </c>
      <c r="R283">
        <v>44.65</v>
      </c>
      <c r="S283">
        <v>18</v>
      </c>
      <c r="T283">
        <v>18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18</v>
      </c>
      <c r="AB283">
        <v>0</v>
      </c>
      <c r="AC283">
        <v>0</v>
      </c>
      <c r="AF283" t="s">
        <v>130</v>
      </c>
      <c r="AH283">
        <v>62.65</v>
      </c>
    </row>
    <row r="284" spans="1:34" x14ac:dyDescent="0.3">
      <c r="A284" s="4">
        <v>450</v>
      </c>
      <c r="B284" s="5">
        <v>277</v>
      </c>
      <c r="C284">
        <v>1989</v>
      </c>
      <c r="D284" t="s">
        <v>2989</v>
      </c>
      <c r="E284" t="s">
        <v>342</v>
      </c>
      <c r="F284" t="s">
        <v>20</v>
      </c>
      <c r="G284" t="s">
        <v>27322</v>
      </c>
      <c r="H284">
        <v>19.63</v>
      </c>
      <c r="I284">
        <v>0</v>
      </c>
      <c r="J284">
        <v>0</v>
      </c>
      <c r="K284">
        <v>20</v>
      </c>
      <c r="O284">
        <v>0</v>
      </c>
      <c r="P284">
        <v>4</v>
      </c>
      <c r="Q284">
        <v>2</v>
      </c>
      <c r="R284">
        <v>45.63</v>
      </c>
      <c r="S284">
        <v>17</v>
      </c>
      <c r="T284">
        <v>17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17</v>
      </c>
      <c r="AB284">
        <v>0</v>
      </c>
      <c r="AC284">
        <v>0</v>
      </c>
      <c r="AD284" t="s">
        <v>130</v>
      </c>
      <c r="AF284" t="s">
        <v>130</v>
      </c>
      <c r="AH284">
        <v>62.63</v>
      </c>
    </row>
    <row r="285" spans="1:34" x14ac:dyDescent="0.3">
      <c r="A285" s="4">
        <v>451</v>
      </c>
      <c r="B285" s="5">
        <v>278</v>
      </c>
      <c r="C285">
        <v>2862</v>
      </c>
      <c r="D285" t="s">
        <v>16179</v>
      </c>
      <c r="E285" t="s">
        <v>10969</v>
      </c>
      <c r="F285" t="s">
        <v>190</v>
      </c>
      <c r="G285" t="s">
        <v>27323</v>
      </c>
      <c r="H285">
        <v>17.48</v>
      </c>
      <c r="I285">
        <v>0</v>
      </c>
      <c r="J285">
        <v>0</v>
      </c>
      <c r="K285">
        <v>0</v>
      </c>
      <c r="N285">
        <v>3</v>
      </c>
      <c r="O285">
        <v>3</v>
      </c>
      <c r="P285">
        <v>4</v>
      </c>
      <c r="Q285">
        <v>2</v>
      </c>
      <c r="R285">
        <v>26.48</v>
      </c>
      <c r="S285">
        <v>36</v>
      </c>
      <c r="T285">
        <v>36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36</v>
      </c>
      <c r="AB285">
        <v>0</v>
      </c>
      <c r="AC285">
        <v>0</v>
      </c>
      <c r="AF285" t="s">
        <v>130</v>
      </c>
      <c r="AH285">
        <v>62.48</v>
      </c>
    </row>
    <row r="286" spans="1:34" x14ac:dyDescent="0.3">
      <c r="A286" s="4">
        <v>453</v>
      </c>
      <c r="B286" s="5">
        <v>279</v>
      </c>
      <c r="C286">
        <v>3018</v>
      </c>
      <c r="D286" t="s">
        <v>27324</v>
      </c>
      <c r="E286" t="s">
        <v>20</v>
      </c>
      <c r="F286" t="s">
        <v>81</v>
      </c>
      <c r="G286" t="s">
        <v>27325</v>
      </c>
      <c r="H286">
        <v>18.399999999999999</v>
      </c>
      <c r="I286">
        <v>0</v>
      </c>
      <c r="J286">
        <v>0</v>
      </c>
      <c r="K286">
        <v>0</v>
      </c>
      <c r="N286">
        <v>3</v>
      </c>
      <c r="O286">
        <v>3</v>
      </c>
      <c r="P286">
        <v>4</v>
      </c>
      <c r="Q286">
        <v>0</v>
      </c>
      <c r="R286">
        <v>25.4</v>
      </c>
      <c r="S286">
        <v>37</v>
      </c>
      <c r="T286">
        <v>37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37</v>
      </c>
      <c r="AB286">
        <v>0</v>
      </c>
      <c r="AC286">
        <v>0</v>
      </c>
      <c r="AF286" t="s">
        <v>130</v>
      </c>
      <c r="AH286">
        <v>62.4</v>
      </c>
    </row>
    <row r="287" spans="1:34" x14ac:dyDescent="0.3">
      <c r="A287" s="4">
        <v>454</v>
      </c>
      <c r="B287" s="5">
        <v>280</v>
      </c>
      <c r="C287">
        <v>10696</v>
      </c>
      <c r="D287" t="s">
        <v>3454</v>
      </c>
      <c r="E287" t="s">
        <v>10767</v>
      </c>
      <c r="F287" t="s">
        <v>819</v>
      </c>
      <c r="G287" t="s">
        <v>27326</v>
      </c>
      <c r="H287">
        <v>22.28</v>
      </c>
      <c r="I287">
        <v>7</v>
      </c>
      <c r="J287">
        <v>0</v>
      </c>
      <c r="K287">
        <v>20</v>
      </c>
      <c r="L287">
        <v>7</v>
      </c>
      <c r="O287">
        <v>7</v>
      </c>
      <c r="P287">
        <v>4</v>
      </c>
      <c r="Q287">
        <v>2</v>
      </c>
      <c r="R287">
        <v>62.28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F287" t="s">
        <v>130</v>
      </c>
      <c r="AH287">
        <v>62.28</v>
      </c>
    </row>
    <row r="288" spans="1:34" x14ac:dyDescent="0.3">
      <c r="A288" s="4">
        <v>455</v>
      </c>
      <c r="B288" s="5">
        <v>281</v>
      </c>
      <c r="C288">
        <v>972</v>
      </c>
      <c r="D288" t="s">
        <v>26040</v>
      </c>
      <c r="E288" t="s">
        <v>27327</v>
      </c>
      <c r="F288" t="s">
        <v>38</v>
      </c>
      <c r="G288" t="s">
        <v>27328</v>
      </c>
      <c r="H288">
        <v>18.2</v>
      </c>
      <c r="I288">
        <v>0</v>
      </c>
      <c r="J288">
        <v>0</v>
      </c>
      <c r="K288">
        <v>20</v>
      </c>
      <c r="N288">
        <v>3</v>
      </c>
      <c r="O288">
        <v>3</v>
      </c>
      <c r="P288">
        <v>4</v>
      </c>
      <c r="Q288">
        <v>0</v>
      </c>
      <c r="R288">
        <v>45.2</v>
      </c>
      <c r="S288">
        <v>17</v>
      </c>
      <c r="T288">
        <v>17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17</v>
      </c>
      <c r="AB288">
        <v>0</v>
      </c>
      <c r="AC288">
        <v>0</v>
      </c>
      <c r="AD288" t="s">
        <v>130</v>
      </c>
      <c r="AF288" t="s">
        <v>130</v>
      </c>
      <c r="AH288">
        <v>62.2</v>
      </c>
    </row>
    <row r="289" spans="1:34" x14ac:dyDescent="0.3">
      <c r="A289" s="4">
        <v>456</v>
      </c>
      <c r="B289" s="5">
        <v>282</v>
      </c>
      <c r="C289">
        <v>2478</v>
      </c>
      <c r="D289" t="s">
        <v>3200</v>
      </c>
      <c r="E289" t="s">
        <v>147</v>
      </c>
      <c r="F289" t="s">
        <v>68</v>
      </c>
      <c r="G289" t="s">
        <v>27329</v>
      </c>
      <c r="H289">
        <v>15.9</v>
      </c>
      <c r="I289">
        <v>0</v>
      </c>
      <c r="J289">
        <v>0</v>
      </c>
      <c r="K289">
        <v>20</v>
      </c>
      <c r="L289">
        <v>7</v>
      </c>
      <c r="O289">
        <v>7</v>
      </c>
      <c r="P289">
        <v>4</v>
      </c>
      <c r="Q289">
        <v>2</v>
      </c>
      <c r="R289">
        <v>48.9</v>
      </c>
      <c r="S289">
        <v>10</v>
      </c>
      <c r="T289">
        <v>10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10</v>
      </c>
      <c r="AB289">
        <v>3</v>
      </c>
      <c r="AC289">
        <v>0</v>
      </c>
      <c r="AD289" t="s">
        <v>130</v>
      </c>
      <c r="AF289" t="s">
        <v>130</v>
      </c>
      <c r="AH289">
        <v>61.9</v>
      </c>
    </row>
    <row r="290" spans="1:34" x14ac:dyDescent="0.3">
      <c r="A290" s="4">
        <v>457</v>
      </c>
      <c r="B290" s="5">
        <v>283</v>
      </c>
      <c r="C290">
        <v>12746</v>
      </c>
      <c r="D290" t="s">
        <v>1613</v>
      </c>
      <c r="E290" t="s">
        <v>29</v>
      </c>
      <c r="F290" t="s">
        <v>801</v>
      </c>
      <c r="G290" t="s">
        <v>27330</v>
      </c>
      <c r="H290">
        <v>18.850000000000001</v>
      </c>
      <c r="I290">
        <v>7</v>
      </c>
      <c r="J290">
        <v>0</v>
      </c>
      <c r="K290">
        <v>20</v>
      </c>
      <c r="L290">
        <v>7</v>
      </c>
      <c r="O290">
        <v>7</v>
      </c>
      <c r="P290">
        <v>4</v>
      </c>
      <c r="Q290">
        <v>2</v>
      </c>
      <c r="R290">
        <v>58.85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3</v>
      </c>
      <c r="AC290">
        <v>0</v>
      </c>
      <c r="AF290" t="s">
        <v>130</v>
      </c>
      <c r="AH290">
        <v>61.85</v>
      </c>
    </row>
    <row r="291" spans="1:34" x14ac:dyDescent="0.3">
      <c r="A291" s="4">
        <v>458</v>
      </c>
      <c r="B291" s="5">
        <v>284</v>
      </c>
      <c r="C291">
        <v>3748</v>
      </c>
      <c r="D291" t="s">
        <v>18764</v>
      </c>
      <c r="E291" t="s">
        <v>3025</v>
      </c>
      <c r="F291" t="s">
        <v>38</v>
      </c>
      <c r="G291" t="s">
        <v>27331</v>
      </c>
      <c r="H291">
        <v>19.43</v>
      </c>
      <c r="I291">
        <v>7</v>
      </c>
      <c r="J291">
        <v>0</v>
      </c>
      <c r="K291">
        <v>20</v>
      </c>
      <c r="N291">
        <v>3</v>
      </c>
      <c r="O291">
        <v>3</v>
      </c>
      <c r="P291">
        <v>4</v>
      </c>
      <c r="Q291">
        <v>2</v>
      </c>
      <c r="R291">
        <v>55.43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6</v>
      </c>
      <c r="AC291">
        <v>0</v>
      </c>
      <c r="AF291" t="s">
        <v>130</v>
      </c>
      <c r="AH291">
        <v>61.43</v>
      </c>
    </row>
    <row r="292" spans="1:34" x14ac:dyDescent="0.3">
      <c r="A292" s="4">
        <v>459</v>
      </c>
      <c r="B292" s="5">
        <v>285</v>
      </c>
      <c r="C292">
        <v>1518</v>
      </c>
      <c r="D292" t="s">
        <v>27332</v>
      </c>
      <c r="E292" t="s">
        <v>132</v>
      </c>
      <c r="F292" t="s">
        <v>81</v>
      </c>
      <c r="G292" t="s">
        <v>27333</v>
      </c>
      <c r="H292">
        <v>17.43</v>
      </c>
      <c r="I292">
        <v>0</v>
      </c>
      <c r="J292">
        <v>0</v>
      </c>
      <c r="K292">
        <v>20</v>
      </c>
      <c r="O292">
        <v>0</v>
      </c>
      <c r="P292">
        <v>4</v>
      </c>
      <c r="Q292">
        <v>2</v>
      </c>
      <c r="R292">
        <v>43.43</v>
      </c>
      <c r="S292">
        <v>18</v>
      </c>
      <c r="T292">
        <v>18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18</v>
      </c>
      <c r="AB292">
        <v>0</v>
      </c>
      <c r="AC292">
        <v>0</v>
      </c>
      <c r="AD292" t="s">
        <v>130</v>
      </c>
      <c r="AF292" t="s">
        <v>130</v>
      </c>
      <c r="AH292">
        <v>61.43</v>
      </c>
    </row>
    <row r="293" spans="1:34" x14ac:dyDescent="0.3">
      <c r="A293" s="4">
        <v>460</v>
      </c>
      <c r="B293" s="5">
        <v>286</v>
      </c>
      <c r="C293">
        <v>2741</v>
      </c>
      <c r="D293" t="s">
        <v>27334</v>
      </c>
      <c r="E293" t="s">
        <v>7576</v>
      </c>
      <c r="F293" t="s">
        <v>68</v>
      </c>
      <c r="G293" t="s">
        <v>27335</v>
      </c>
      <c r="H293">
        <v>19.399999999999999</v>
      </c>
      <c r="I293">
        <v>7</v>
      </c>
      <c r="J293">
        <v>0</v>
      </c>
      <c r="K293">
        <v>20</v>
      </c>
      <c r="M293">
        <v>5</v>
      </c>
      <c r="O293">
        <v>5</v>
      </c>
      <c r="P293">
        <v>4</v>
      </c>
      <c r="Q293">
        <v>0</v>
      </c>
      <c r="R293">
        <v>55.4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6</v>
      </c>
      <c r="AC293">
        <v>0</v>
      </c>
      <c r="AF293" t="s">
        <v>130</v>
      </c>
      <c r="AH293">
        <v>61.4</v>
      </c>
    </row>
    <row r="294" spans="1:34" x14ac:dyDescent="0.3">
      <c r="A294" s="4">
        <v>461</v>
      </c>
      <c r="B294" s="5">
        <v>287</v>
      </c>
      <c r="C294">
        <v>76</v>
      </c>
      <c r="D294" t="s">
        <v>27336</v>
      </c>
      <c r="E294" t="s">
        <v>20</v>
      </c>
      <c r="F294" t="s">
        <v>117</v>
      </c>
      <c r="G294" t="s">
        <v>27337</v>
      </c>
      <c r="H294">
        <v>17.38</v>
      </c>
      <c r="I294">
        <v>0</v>
      </c>
      <c r="J294">
        <v>0</v>
      </c>
      <c r="K294">
        <v>0</v>
      </c>
      <c r="L294">
        <v>7</v>
      </c>
      <c r="N294">
        <v>3</v>
      </c>
      <c r="O294">
        <v>10</v>
      </c>
      <c r="P294">
        <v>4</v>
      </c>
      <c r="Q294">
        <v>2</v>
      </c>
      <c r="R294">
        <v>33.380000000000003</v>
      </c>
      <c r="S294">
        <v>28</v>
      </c>
      <c r="T294">
        <v>28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28</v>
      </c>
      <c r="AB294">
        <v>0</v>
      </c>
      <c r="AC294">
        <v>0</v>
      </c>
      <c r="AF294" t="s">
        <v>130</v>
      </c>
      <c r="AH294">
        <v>61.38</v>
      </c>
    </row>
    <row r="295" spans="1:34" x14ac:dyDescent="0.3">
      <c r="A295" s="4">
        <v>462</v>
      </c>
      <c r="B295" s="5">
        <v>288</v>
      </c>
      <c r="C295">
        <v>367</v>
      </c>
      <c r="D295" t="s">
        <v>27338</v>
      </c>
      <c r="E295" t="s">
        <v>27339</v>
      </c>
      <c r="F295" t="s">
        <v>81</v>
      </c>
      <c r="G295" t="s">
        <v>27340</v>
      </c>
      <c r="H295">
        <v>19.350000000000001</v>
      </c>
      <c r="I295">
        <v>0</v>
      </c>
      <c r="J295">
        <v>0</v>
      </c>
      <c r="K295">
        <v>0</v>
      </c>
      <c r="L295">
        <v>7</v>
      </c>
      <c r="O295">
        <v>7</v>
      </c>
      <c r="P295">
        <v>4</v>
      </c>
      <c r="Q295">
        <v>2</v>
      </c>
      <c r="R295">
        <v>32.35</v>
      </c>
      <c r="S295">
        <v>26</v>
      </c>
      <c r="T295">
        <v>26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26</v>
      </c>
      <c r="AB295">
        <v>3</v>
      </c>
      <c r="AC295">
        <v>0</v>
      </c>
      <c r="AF295" t="s">
        <v>130</v>
      </c>
      <c r="AH295">
        <v>61.35</v>
      </c>
    </row>
    <row r="296" spans="1:34" x14ac:dyDescent="0.3">
      <c r="A296" s="4">
        <v>463</v>
      </c>
      <c r="B296" s="5">
        <v>289</v>
      </c>
      <c r="C296">
        <v>9035</v>
      </c>
      <c r="D296" t="s">
        <v>27341</v>
      </c>
      <c r="E296" t="s">
        <v>29</v>
      </c>
      <c r="F296" t="s">
        <v>214</v>
      </c>
      <c r="G296" t="s">
        <v>27342</v>
      </c>
      <c r="H296">
        <v>21.33</v>
      </c>
      <c r="I296">
        <v>7</v>
      </c>
      <c r="J296">
        <v>0</v>
      </c>
      <c r="K296">
        <v>20</v>
      </c>
      <c r="L296">
        <v>7</v>
      </c>
      <c r="O296">
        <v>7</v>
      </c>
      <c r="P296">
        <v>4</v>
      </c>
      <c r="Q296">
        <v>2</v>
      </c>
      <c r="R296">
        <v>61.33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F296" t="s">
        <v>130</v>
      </c>
      <c r="AH296">
        <v>61.33</v>
      </c>
    </row>
    <row r="297" spans="1:34" x14ac:dyDescent="0.3">
      <c r="A297" s="4">
        <v>465</v>
      </c>
      <c r="B297" s="5">
        <v>290</v>
      </c>
      <c r="C297">
        <v>7416</v>
      </c>
      <c r="D297" t="s">
        <v>27343</v>
      </c>
      <c r="E297" t="s">
        <v>161</v>
      </c>
      <c r="F297" t="s">
        <v>117</v>
      </c>
      <c r="G297" t="s">
        <v>27344</v>
      </c>
      <c r="H297">
        <v>19.3</v>
      </c>
      <c r="I297">
        <v>7</v>
      </c>
      <c r="J297">
        <v>0</v>
      </c>
      <c r="K297">
        <v>20</v>
      </c>
      <c r="N297">
        <v>3</v>
      </c>
      <c r="O297">
        <v>3</v>
      </c>
      <c r="P297">
        <v>4</v>
      </c>
      <c r="Q297">
        <v>2</v>
      </c>
      <c r="R297">
        <v>55.3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6</v>
      </c>
      <c r="AC297">
        <v>0</v>
      </c>
      <c r="AF297" t="s">
        <v>130</v>
      </c>
      <c r="AH297">
        <v>61.3</v>
      </c>
    </row>
    <row r="298" spans="1:34" x14ac:dyDescent="0.3">
      <c r="A298" s="4">
        <v>466</v>
      </c>
      <c r="B298" s="5">
        <v>291</v>
      </c>
      <c r="C298">
        <v>10644</v>
      </c>
      <c r="D298" t="s">
        <v>3889</v>
      </c>
      <c r="E298" t="s">
        <v>29</v>
      </c>
      <c r="F298" t="s">
        <v>17</v>
      </c>
      <c r="G298" t="s">
        <v>27345</v>
      </c>
      <c r="H298">
        <v>18.3</v>
      </c>
      <c r="I298">
        <v>0</v>
      </c>
      <c r="J298">
        <v>0</v>
      </c>
      <c r="K298">
        <v>0</v>
      </c>
      <c r="N298">
        <v>3</v>
      </c>
      <c r="O298">
        <v>3</v>
      </c>
      <c r="P298">
        <v>4</v>
      </c>
      <c r="Q298">
        <v>2</v>
      </c>
      <c r="R298">
        <v>27.3</v>
      </c>
      <c r="S298">
        <v>31</v>
      </c>
      <c r="T298">
        <v>31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31</v>
      </c>
      <c r="AB298">
        <v>3</v>
      </c>
      <c r="AC298">
        <v>0</v>
      </c>
      <c r="AF298" t="s">
        <v>130</v>
      </c>
      <c r="AH298">
        <v>61.3</v>
      </c>
    </row>
    <row r="299" spans="1:34" x14ac:dyDescent="0.3">
      <c r="A299" s="4">
        <v>467</v>
      </c>
      <c r="B299" s="5">
        <v>292</v>
      </c>
      <c r="C299">
        <v>9943</v>
      </c>
      <c r="D299" t="s">
        <v>33</v>
      </c>
      <c r="E299" t="s">
        <v>181</v>
      </c>
      <c r="F299" t="s">
        <v>62</v>
      </c>
      <c r="G299" t="s">
        <v>27346</v>
      </c>
      <c r="H299">
        <v>19.23</v>
      </c>
      <c r="I299">
        <v>0</v>
      </c>
      <c r="J299">
        <v>0</v>
      </c>
      <c r="K299">
        <v>0</v>
      </c>
      <c r="O299">
        <v>0</v>
      </c>
      <c r="P299">
        <v>4</v>
      </c>
      <c r="Q299">
        <v>2</v>
      </c>
      <c r="R299">
        <v>25.23</v>
      </c>
      <c r="S299">
        <v>36</v>
      </c>
      <c r="T299">
        <v>36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36</v>
      </c>
      <c r="AB299">
        <v>0</v>
      </c>
      <c r="AC299">
        <v>0</v>
      </c>
      <c r="AF299" t="s">
        <v>130</v>
      </c>
      <c r="AH299">
        <v>61.23</v>
      </c>
    </row>
    <row r="300" spans="1:34" x14ac:dyDescent="0.3">
      <c r="A300" s="4">
        <v>468</v>
      </c>
      <c r="B300" s="5">
        <v>293</v>
      </c>
      <c r="C300">
        <v>11608</v>
      </c>
      <c r="D300" t="s">
        <v>27347</v>
      </c>
      <c r="E300" t="s">
        <v>8216</v>
      </c>
      <c r="F300" t="s">
        <v>124</v>
      </c>
      <c r="G300" t="s">
        <v>27348</v>
      </c>
      <c r="H300">
        <v>17.18</v>
      </c>
      <c r="I300">
        <v>0</v>
      </c>
      <c r="J300">
        <v>0</v>
      </c>
      <c r="K300">
        <v>0</v>
      </c>
      <c r="L300">
        <v>7</v>
      </c>
      <c r="O300">
        <v>7</v>
      </c>
      <c r="P300">
        <v>4</v>
      </c>
      <c r="Q300">
        <v>2</v>
      </c>
      <c r="R300">
        <v>30.18</v>
      </c>
      <c r="S300">
        <v>28</v>
      </c>
      <c r="T300">
        <v>28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28</v>
      </c>
      <c r="AB300">
        <v>3</v>
      </c>
      <c r="AC300">
        <v>0</v>
      </c>
      <c r="AF300" t="s">
        <v>130</v>
      </c>
      <c r="AH300">
        <v>61.18</v>
      </c>
    </row>
    <row r="301" spans="1:34" x14ac:dyDescent="0.3">
      <c r="A301" s="4">
        <v>469</v>
      </c>
      <c r="B301" s="5">
        <v>294</v>
      </c>
      <c r="C301">
        <v>6723</v>
      </c>
      <c r="D301" t="s">
        <v>18764</v>
      </c>
      <c r="E301" t="s">
        <v>161</v>
      </c>
      <c r="F301" t="s">
        <v>124</v>
      </c>
      <c r="G301" t="s">
        <v>27349</v>
      </c>
      <c r="H301">
        <v>19.100000000000001</v>
      </c>
      <c r="I301">
        <v>0</v>
      </c>
      <c r="J301">
        <v>0</v>
      </c>
      <c r="K301">
        <v>0</v>
      </c>
      <c r="L301">
        <v>7</v>
      </c>
      <c r="O301">
        <v>7</v>
      </c>
      <c r="P301">
        <v>4</v>
      </c>
      <c r="Q301">
        <v>2</v>
      </c>
      <c r="R301">
        <v>32.1</v>
      </c>
      <c r="S301">
        <v>29</v>
      </c>
      <c r="T301">
        <v>29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29</v>
      </c>
      <c r="AB301">
        <v>0</v>
      </c>
      <c r="AC301">
        <v>0</v>
      </c>
      <c r="AE301" t="s">
        <v>130</v>
      </c>
      <c r="AF301" t="s">
        <v>130</v>
      </c>
      <c r="AH301">
        <v>61.1</v>
      </c>
    </row>
    <row r="302" spans="1:34" x14ac:dyDescent="0.3">
      <c r="A302" s="4">
        <v>470</v>
      </c>
      <c r="B302" s="5">
        <v>295</v>
      </c>
      <c r="C302">
        <v>2132</v>
      </c>
      <c r="D302" t="s">
        <v>4757</v>
      </c>
      <c r="E302" t="s">
        <v>161</v>
      </c>
      <c r="F302" t="s">
        <v>17</v>
      </c>
      <c r="G302" t="s">
        <v>27350</v>
      </c>
      <c r="H302">
        <v>18.899999999999999</v>
      </c>
      <c r="I302">
        <v>0</v>
      </c>
      <c r="J302">
        <v>0</v>
      </c>
      <c r="K302">
        <v>20</v>
      </c>
      <c r="L302">
        <v>7</v>
      </c>
      <c r="O302">
        <v>7</v>
      </c>
      <c r="P302">
        <v>4</v>
      </c>
      <c r="Q302">
        <v>2</v>
      </c>
      <c r="R302">
        <v>51.9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9</v>
      </c>
      <c r="AC302">
        <v>0</v>
      </c>
      <c r="AD302" t="s">
        <v>130</v>
      </c>
      <c r="AE302" t="s">
        <v>130</v>
      </c>
      <c r="AF302" t="s">
        <v>130</v>
      </c>
      <c r="AH302">
        <v>60.9</v>
      </c>
    </row>
    <row r="303" spans="1:34" x14ac:dyDescent="0.3">
      <c r="A303" s="4">
        <v>471</v>
      </c>
      <c r="B303" s="5">
        <v>296</v>
      </c>
      <c r="C303">
        <v>10853</v>
      </c>
      <c r="D303" t="s">
        <v>26851</v>
      </c>
      <c r="E303" t="s">
        <v>161</v>
      </c>
      <c r="F303" t="s">
        <v>385</v>
      </c>
      <c r="G303" t="s">
        <v>27351</v>
      </c>
      <c r="H303">
        <v>16.8</v>
      </c>
      <c r="I303">
        <v>0</v>
      </c>
      <c r="J303">
        <v>0</v>
      </c>
      <c r="K303">
        <v>20</v>
      </c>
      <c r="N303">
        <v>3</v>
      </c>
      <c r="O303">
        <v>3</v>
      </c>
      <c r="P303">
        <v>4</v>
      </c>
      <c r="Q303">
        <v>0</v>
      </c>
      <c r="R303">
        <v>43.8</v>
      </c>
      <c r="S303">
        <v>14</v>
      </c>
      <c r="T303">
        <v>14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14</v>
      </c>
      <c r="AB303">
        <v>3</v>
      </c>
      <c r="AC303">
        <v>0</v>
      </c>
      <c r="AF303" t="s">
        <v>130</v>
      </c>
      <c r="AH303">
        <v>60.8</v>
      </c>
    </row>
    <row r="304" spans="1:34" x14ac:dyDescent="0.3">
      <c r="A304" s="4">
        <v>472</v>
      </c>
      <c r="B304" s="5">
        <v>297</v>
      </c>
      <c r="C304">
        <v>13484</v>
      </c>
      <c r="D304" t="s">
        <v>2685</v>
      </c>
      <c r="E304" t="s">
        <v>54</v>
      </c>
      <c r="F304" t="s">
        <v>238</v>
      </c>
      <c r="G304" t="s">
        <v>27352</v>
      </c>
      <c r="H304">
        <v>21.68</v>
      </c>
      <c r="I304">
        <v>7</v>
      </c>
      <c r="J304">
        <v>0</v>
      </c>
      <c r="K304">
        <v>0</v>
      </c>
      <c r="M304">
        <v>5</v>
      </c>
      <c r="N304">
        <v>3</v>
      </c>
      <c r="O304">
        <v>8</v>
      </c>
      <c r="P304">
        <v>4</v>
      </c>
      <c r="Q304">
        <v>2</v>
      </c>
      <c r="R304">
        <v>42.68</v>
      </c>
      <c r="S304">
        <v>18</v>
      </c>
      <c r="T304">
        <v>18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18</v>
      </c>
      <c r="AB304">
        <v>0</v>
      </c>
      <c r="AC304">
        <v>0</v>
      </c>
      <c r="AF304" t="s">
        <v>130</v>
      </c>
      <c r="AH304">
        <v>60.68</v>
      </c>
    </row>
    <row r="305" spans="1:34" x14ac:dyDescent="0.3">
      <c r="A305" s="4">
        <v>473</v>
      </c>
      <c r="B305" s="5">
        <v>298</v>
      </c>
      <c r="C305">
        <v>596</v>
      </c>
      <c r="D305" t="s">
        <v>2342</v>
      </c>
      <c r="E305" t="s">
        <v>26</v>
      </c>
      <c r="F305" t="s">
        <v>38</v>
      </c>
      <c r="G305" t="s">
        <v>27353</v>
      </c>
      <c r="H305">
        <v>17.649999999999999</v>
      </c>
      <c r="I305">
        <v>0</v>
      </c>
      <c r="J305">
        <v>0</v>
      </c>
      <c r="K305">
        <v>0</v>
      </c>
      <c r="N305">
        <v>3</v>
      </c>
      <c r="O305">
        <v>3</v>
      </c>
      <c r="P305">
        <v>4</v>
      </c>
      <c r="Q305">
        <v>0</v>
      </c>
      <c r="R305">
        <v>24.65</v>
      </c>
      <c r="S305">
        <v>36</v>
      </c>
      <c r="T305">
        <v>36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36</v>
      </c>
      <c r="AB305">
        <v>0</v>
      </c>
      <c r="AC305">
        <v>0</v>
      </c>
      <c r="AD305" t="s">
        <v>130</v>
      </c>
      <c r="AF305" t="s">
        <v>130</v>
      </c>
      <c r="AH305">
        <v>60.65</v>
      </c>
    </row>
    <row r="306" spans="1:34" x14ac:dyDescent="0.3">
      <c r="A306" s="4">
        <v>474</v>
      </c>
      <c r="B306" s="5">
        <v>299</v>
      </c>
      <c r="C306">
        <v>1037</v>
      </c>
      <c r="D306" t="s">
        <v>6432</v>
      </c>
      <c r="E306" t="s">
        <v>29</v>
      </c>
      <c r="F306" t="s">
        <v>81</v>
      </c>
      <c r="G306" t="s">
        <v>27354</v>
      </c>
      <c r="H306">
        <v>17.5</v>
      </c>
      <c r="I306">
        <v>0</v>
      </c>
      <c r="J306">
        <v>0</v>
      </c>
      <c r="K306">
        <v>20</v>
      </c>
      <c r="L306">
        <v>7</v>
      </c>
      <c r="O306">
        <v>7</v>
      </c>
      <c r="P306">
        <v>4</v>
      </c>
      <c r="Q306">
        <v>2</v>
      </c>
      <c r="R306">
        <v>50.5</v>
      </c>
      <c r="S306">
        <v>7</v>
      </c>
      <c r="T306">
        <v>7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7</v>
      </c>
      <c r="AB306">
        <v>3</v>
      </c>
      <c r="AC306">
        <v>0</v>
      </c>
      <c r="AF306" t="s">
        <v>130</v>
      </c>
      <c r="AH306">
        <v>60.5</v>
      </c>
    </row>
    <row r="307" spans="1:34" x14ac:dyDescent="0.3">
      <c r="A307" s="4">
        <v>475</v>
      </c>
      <c r="B307" s="5">
        <v>300</v>
      </c>
      <c r="C307">
        <v>11648</v>
      </c>
      <c r="D307" t="s">
        <v>5954</v>
      </c>
      <c r="E307" t="s">
        <v>27355</v>
      </c>
      <c r="F307" t="s">
        <v>1581</v>
      </c>
      <c r="G307" t="s">
        <v>27356</v>
      </c>
      <c r="H307">
        <v>21.13</v>
      </c>
      <c r="I307">
        <v>7</v>
      </c>
      <c r="J307">
        <v>0</v>
      </c>
      <c r="K307">
        <v>20</v>
      </c>
      <c r="N307">
        <v>3</v>
      </c>
      <c r="O307">
        <v>3</v>
      </c>
      <c r="P307">
        <v>4</v>
      </c>
      <c r="Q307">
        <v>2</v>
      </c>
      <c r="R307">
        <v>57.13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3</v>
      </c>
      <c r="AC307">
        <v>0</v>
      </c>
      <c r="AF307" t="s">
        <v>130</v>
      </c>
      <c r="AH307">
        <v>60.13</v>
      </c>
    </row>
    <row r="308" spans="1:34" x14ac:dyDescent="0.3">
      <c r="A308" s="4">
        <v>476</v>
      </c>
      <c r="B308" s="5">
        <v>301</v>
      </c>
      <c r="C308">
        <v>10218</v>
      </c>
      <c r="D308" t="s">
        <v>27357</v>
      </c>
      <c r="E308" t="s">
        <v>27358</v>
      </c>
      <c r="F308" t="s">
        <v>10751</v>
      </c>
      <c r="G308" t="s">
        <v>27359</v>
      </c>
      <c r="H308">
        <v>18.05</v>
      </c>
      <c r="I308">
        <v>7</v>
      </c>
      <c r="J308">
        <v>0</v>
      </c>
      <c r="K308">
        <v>0</v>
      </c>
      <c r="M308">
        <v>5</v>
      </c>
      <c r="O308">
        <v>5</v>
      </c>
      <c r="P308">
        <v>4</v>
      </c>
      <c r="Q308">
        <v>2</v>
      </c>
      <c r="R308">
        <v>36.049999999999997</v>
      </c>
      <c r="S308">
        <v>18</v>
      </c>
      <c r="T308">
        <v>18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18</v>
      </c>
      <c r="AB308">
        <v>6</v>
      </c>
      <c r="AC308">
        <v>0</v>
      </c>
      <c r="AF308" t="s">
        <v>130</v>
      </c>
      <c r="AH308">
        <v>60.05</v>
      </c>
    </row>
    <row r="309" spans="1:34" x14ac:dyDescent="0.3">
      <c r="A309" s="4">
        <v>477</v>
      </c>
      <c r="B309" s="5">
        <v>302</v>
      </c>
      <c r="C309">
        <v>6937</v>
      </c>
      <c r="D309" t="s">
        <v>27267</v>
      </c>
      <c r="E309" t="s">
        <v>1997</v>
      </c>
      <c r="F309" t="s">
        <v>1023</v>
      </c>
      <c r="G309" t="s">
        <v>27360</v>
      </c>
      <c r="H309">
        <v>19.95</v>
      </c>
      <c r="I309">
        <v>7</v>
      </c>
      <c r="J309">
        <v>0</v>
      </c>
      <c r="K309">
        <v>20</v>
      </c>
      <c r="L309">
        <v>7</v>
      </c>
      <c r="O309">
        <v>7</v>
      </c>
      <c r="P309">
        <v>4</v>
      </c>
      <c r="Q309">
        <v>2</v>
      </c>
      <c r="R309">
        <v>59.95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 t="s">
        <v>130</v>
      </c>
      <c r="AF309" t="s">
        <v>130</v>
      </c>
      <c r="AH309">
        <v>59.95</v>
      </c>
    </row>
    <row r="310" spans="1:34" x14ac:dyDescent="0.3">
      <c r="A310" s="4">
        <v>478</v>
      </c>
      <c r="B310" s="5">
        <v>303</v>
      </c>
      <c r="C310">
        <v>4338</v>
      </c>
      <c r="D310" t="s">
        <v>27361</v>
      </c>
      <c r="E310" t="s">
        <v>23623</v>
      </c>
      <c r="F310" t="s">
        <v>91</v>
      </c>
      <c r="G310" t="s">
        <v>27362</v>
      </c>
      <c r="H310">
        <v>17.78</v>
      </c>
      <c r="I310">
        <v>0</v>
      </c>
      <c r="J310">
        <v>0</v>
      </c>
      <c r="K310">
        <v>28</v>
      </c>
      <c r="L310">
        <v>7</v>
      </c>
      <c r="N310">
        <v>3</v>
      </c>
      <c r="O310">
        <v>10</v>
      </c>
      <c r="P310">
        <v>4</v>
      </c>
      <c r="Q310">
        <v>0</v>
      </c>
      <c r="R310">
        <v>59.78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F310" t="s">
        <v>130</v>
      </c>
      <c r="AH310">
        <v>59.78</v>
      </c>
    </row>
    <row r="311" spans="1:34" x14ac:dyDescent="0.3">
      <c r="A311" s="4">
        <v>479</v>
      </c>
      <c r="B311" s="5">
        <v>304</v>
      </c>
      <c r="C311">
        <v>2186</v>
      </c>
      <c r="D311" t="s">
        <v>18800</v>
      </c>
      <c r="E311" t="s">
        <v>143</v>
      </c>
      <c r="F311" t="s">
        <v>649</v>
      </c>
      <c r="G311" t="s">
        <v>27363</v>
      </c>
      <c r="H311">
        <v>18.600000000000001</v>
      </c>
      <c r="I311">
        <v>0</v>
      </c>
      <c r="J311">
        <v>0</v>
      </c>
      <c r="K311">
        <v>20</v>
      </c>
      <c r="L311">
        <v>7</v>
      </c>
      <c r="O311">
        <v>7</v>
      </c>
      <c r="P311">
        <v>4</v>
      </c>
      <c r="Q311">
        <v>2</v>
      </c>
      <c r="R311">
        <v>51.6</v>
      </c>
      <c r="S311">
        <v>8</v>
      </c>
      <c r="T311">
        <v>8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8</v>
      </c>
      <c r="AB311">
        <v>0</v>
      </c>
      <c r="AC311">
        <v>0</v>
      </c>
      <c r="AD311" t="s">
        <v>130</v>
      </c>
      <c r="AF311" t="s">
        <v>130</v>
      </c>
      <c r="AH311">
        <v>59.6</v>
      </c>
    </row>
    <row r="312" spans="1:34" x14ac:dyDescent="0.3">
      <c r="A312" s="4">
        <v>480</v>
      </c>
      <c r="B312" s="5">
        <v>305</v>
      </c>
      <c r="C312">
        <v>13139</v>
      </c>
      <c r="D312" t="s">
        <v>645</v>
      </c>
      <c r="E312" t="s">
        <v>100</v>
      </c>
      <c r="F312" t="s">
        <v>587</v>
      </c>
      <c r="G312" t="s">
        <v>27364</v>
      </c>
      <c r="H312">
        <v>17.5</v>
      </c>
      <c r="I312">
        <v>0</v>
      </c>
      <c r="J312">
        <v>0</v>
      </c>
      <c r="K312">
        <v>20</v>
      </c>
      <c r="L312">
        <v>7</v>
      </c>
      <c r="O312">
        <v>7</v>
      </c>
      <c r="P312">
        <v>4</v>
      </c>
      <c r="Q312">
        <v>2</v>
      </c>
      <c r="R312">
        <v>50.5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9</v>
      </c>
      <c r="AC312">
        <v>0</v>
      </c>
      <c r="AF312" t="s">
        <v>130</v>
      </c>
      <c r="AH312">
        <v>59.5</v>
      </c>
    </row>
    <row r="313" spans="1:34" x14ac:dyDescent="0.3">
      <c r="A313" s="4">
        <v>481</v>
      </c>
      <c r="B313" s="5">
        <v>306</v>
      </c>
      <c r="C313">
        <v>7300</v>
      </c>
      <c r="D313" t="s">
        <v>2008</v>
      </c>
      <c r="E313" t="s">
        <v>825</v>
      </c>
      <c r="F313" t="s">
        <v>346</v>
      </c>
      <c r="G313" t="s">
        <v>27365</v>
      </c>
      <c r="H313">
        <v>19.43</v>
      </c>
      <c r="I313">
        <v>0</v>
      </c>
      <c r="J313">
        <v>0</v>
      </c>
      <c r="K313">
        <v>0</v>
      </c>
      <c r="L313">
        <v>7</v>
      </c>
      <c r="O313">
        <v>7</v>
      </c>
      <c r="P313">
        <v>4</v>
      </c>
      <c r="Q313">
        <v>2</v>
      </c>
      <c r="R313">
        <v>32.43</v>
      </c>
      <c r="S313">
        <v>27</v>
      </c>
      <c r="T313">
        <v>27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27</v>
      </c>
      <c r="AB313">
        <v>0</v>
      </c>
      <c r="AC313">
        <v>0</v>
      </c>
      <c r="AF313" t="s">
        <v>130</v>
      </c>
      <c r="AH313">
        <v>59.43</v>
      </c>
    </row>
    <row r="314" spans="1:34" x14ac:dyDescent="0.3">
      <c r="A314" s="4">
        <v>482</v>
      </c>
      <c r="B314" s="5">
        <v>307</v>
      </c>
      <c r="C314">
        <v>9490</v>
      </c>
      <c r="D314" t="s">
        <v>26190</v>
      </c>
      <c r="E314" t="s">
        <v>208</v>
      </c>
      <c r="F314" t="s">
        <v>20</v>
      </c>
      <c r="G314" t="s">
        <v>27366</v>
      </c>
      <c r="H314">
        <v>19.43</v>
      </c>
      <c r="I314">
        <v>0</v>
      </c>
      <c r="J314">
        <v>0</v>
      </c>
      <c r="K314">
        <v>0</v>
      </c>
      <c r="N314">
        <v>3</v>
      </c>
      <c r="O314">
        <v>3</v>
      </c>
      <c r="P314">
        <v>4</v>
      </c>
      <c r="Q314">
        <v>2</v>
      </c>
      <c r="R314">
        <v>28.43</v>
      </c>
      <c r="S314">
        <v>31</v>
      </c>
      <c r="T314">
        <v>31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31</v>
      </c>
      <c r="AB314">
        <v>0</v>
      </c>
      <c r="AC314">
        <v>0</v>
      </c>
      <c r="AF314" t="s">
        <v>130</v>
      </c>
      <c r="AH314">
        <v>59.43</v>
      </c>
    </row>
    <row r="315" spans="1:34" x14ac:dyDescent="0.3">
      <c r="A315" s="4">
        <v>483</v>
      </c>
      <c r="B315" s="5">
        <v>308</v>
      </c>
      <c r="C315">
        <v>7115</v>
      </c>
      <c r="D315" t="s">
        <v>4597</v>
      </c>
      <c r="E315" t="s">
        <v>208</v>
      </c>
      <c r="F315" t="s">
        <v>62</v>
      </c>
      <c r="G315">
        <v>1070272</v>
      </c>
      <c r="H315">
        <v>20.38</v>
      </c>
      <c r="I315">
        <v>0</v>
      </c>
      <c r="J315">
        <v>0</v>
      </c>
      <c r="K315">
        <v>28</v>
      </c>
      <c r="L315">
        <v>7</v>
      </c>
      <c r="O315">
        <v>7</v>
      </c>
      <c r="P315">
        <v>4</v>
      </c>
      <c r="Q315">
        <v>0</v>
      </c>
      <c r="R315">
        <v>59.38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F315" t="s">
        <v>130</v>
      </c>
      <c r="AH315">
        <v>59.38</v>
      </c>
    </row>
    <row r="316" spans="1:34" x14ac:dyDescent="0.3">
      <c r="A316" s="4">
        <v>484</v>
      </c>
      <c r="B316" s="5">
        <v>309</v>
      </c>
      <c r="C316">
        <v>172</v>
      </c>
      <c r="D316" t="s">
        <v>7118</v>
      </c>
      <c r="E316" t="s">
        <v>265</v>
      </c>
      <c r="F316" t="s">
        <v>81</v>
      </c>
      <c r="G316" t="s">
        <v>27367</v>
      </c>
      <c r="H316">
        <v>17.28</v>
      </c>
      <c r="I316">
        <v>0</v>
      </c>
      <c r="J316">
        <v>0</v>
      </c>
      <c r="K316">
        <v>0</v>
      </c>
      <c r="L316">
        <v>7</v>
      </c>
      <c r="O316">
        <v>7</v>
      </c>
      <c r="P316">
        <v>4</v>
      </c>
      <c r="Q316">
        <v>2</v>
      </c>
      <c r="R316">
        <v>30.28</v>
      </c>
      <c r="S316">
        <v>29</v>
      </c>
      <c r="T316">
        <v>29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29</v>
      </c>
      <c r="AB316">
        <v>0</v>
      </c>
      <c r="AC316">
        <v>0</v>
      </c>
      <c r="AF316" t="s">
        <v>130</v>
      </c>
      <c r="AH316">
        <v>59.28</v>
      </c>
    </row>
    <row r="317" spans="1:34" x14ac:dyDescent="0.3">
      <c r="A317" s="4">
        <v>485</v>
      </c>
      <c r="B317" s="5">
        <v>310</v>
      </c>
      <c r="C317">
        <v>6771</v>
      </c>
      <c r="D317" t="s">
        <v>1436</v>
      </c>
      <c r="E317" t="s">
        <v>41</v>
      </c>
      <c r="F317" t="s">
        <v>38</v>
      </c>
      <c r="G317" t="s">
        <v>27368</v>
      </c>
      <c r="H317">
        <v>19.2</v>
      </c>
      <c r="I317">
        <v>0</v>
      </c>
      <c r="J317">
        <v>0</v>
      </c>
      <c r="K317">
        <v>20</v>
      </c>
      <c r="L317">
        <v>7</v>
      </c>
      <c r="N317">
        <v>3</v>
      </c>
      <c r="O317">
        <v>10</v>
      </c>
      <c r="P317">
        <v>4</v>
      </c>
      <c r="Q317">
        <v>0</v>
      </c>
      <c r="R317">
        <v>53.2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6</v>
      </c>
      <c r="AC317">
        <v>0</v>
      </c>
      <c r="AD317" t="s">
        <v>130</v>
      </c>
      <c r="AF317" t="s">
        <v>130</v>
      </c>
      <c r="AH317">
        <v>59.2</v>
      </c>
    </row>
    <row r="318" spans="1:34" x14ac:dyDescent="0.3">
      <c r="A318" s="4">
        <v>486</v>
      </c>
      <c r="B318" s="5">
        <v>311</v>
      </c>
      <c r="C318">
        <v>1047</v>
      </c>
      <c r="D318" t="s">
        <v>27369</v>
      </c>
      <c r="E318" t="s">
        <v>161</v>
      </c>
      <c r="F318" t="s">
        <v>243</v>
      </c>
      <c r="G318" t="s">
        <v>27370</v>
      </c>
      <c r="H318">
        <v>16.13</v>
      </c>
      <c r="I318">
        <v>0</v>
      </c>
      <c r="J318">
        <v>0</v>
      </c>
      <c r="K318">
        <v>0</v>
      </c>
      <c r="L318">
        <v>7</v>
      </c>
      <c r="O318">
        <v>7</v>
      </c>
      <c r="P318">
        <v>4</v>
      </c>
      <c r="Q318">
        <v>2</v>
      </c>
      <c r="R318">
        <v>29.13</v>
      </c>
      <c r="S318">
        <v>24</v>
      </c>
      <c r="T318">
        <v>24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24</v>
      </c>
      <c r="AB318">
        <v>6</v>
      </c>
      <c r="AC318">
        <v>0</v>
      </c>
      <c r="AF318" t="s">
        <v>130</v>
      </c>
      <c r="AH318">
        <v>59.13</v>
      </c>
    </row>
    <row r="319" spans="1:34" x14ac:dyDescent="0.3">
      <c r="A319" s="4">
        <v>487</v>
      </c>
      <c r="B319" s="5">
        <v>312</v>
      </c>
      <c r="C319">
        <v>7224</v>
      </c>
      <c r="D319" t="s">
        <v>198</v>
      </c>
      <c r="E319" t="s">
        <v>33</v>
      </c>
      <c r="F319" t="s">
        <v>30</v>
      </c>
      <c r="G319" t="s">
        <v>27371</v>
      </c>
      <c r="H319">
        <v>19</v>
      </c>
      <c r="I319">
        <v>0</v>
      </c>
      <c r="J319">
        <v>0</v>
      </c>
      <c r="K319">
        <v>20</v>
      </c>
      <c r="N319">
        <v>3</v>
      </c>
      <c r="O319">
        <v>3</v>
      </c>
      <c r="P319">
        <v>4</v>
      </c>
      <c r="Q319">
        <v>2</v>
      </c>
      <c r="R319">
        <v>48</v>
      </c>
      <c r="S319">
        <v>8</v>
      </c>
      <c r="T319">
        <v>8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8</v>
      </c>
      <c r="AB319">
        <v>3</v>
      </c>
      <c r="AC319">
        <v>0</v>
      </c>
      <c r="AD319" t="s">
        <v>130</v>
      </c>
      <c r="AF319" t="s">
        <v>130</v>
      </c>
      <c r="AH319">
        <v>59</v>
      </c>
    </row>
    <row r="320" spans="1:34" x14ac:dyDescent="0.3">
      <c r="A320" s="4">
        <v>488</v>
      </c>
      <c r="B320" s="5">
        <v>313</v>
      </c>
      <c r="C320">
        <v>289</v>
      </c>
      <c r="D320" t="s">
        <v>3200</v>
      </c>
      <c r="E320" t="s">
        <v>789</v>
      </c>
      <c r="F320" t="s">
        <v>927</v>
      </c>
      <c r="G320" t="s">
        <v>27372</v>
      </c>
      <c r="H320">
        <v>17.899999999999999</v>
      </c>
      <c r="I320">
        <v>0</v>
      </c>
      <c r="J320">
        <v>0</v>
      </c>
      <c r="K320">
        <v>0</v>
      </c>
      <c r="L320">
        <v>7</v>
      </c>
      <c r="N320">
        <v>3</v>
      </c>
      <c r="O320">
        <v>10</v>
      </c>
      <c r="P320">
        <v>4</v>
      </c>
      <c r="Q320">
        <v>2</v>
      </c>
      <c r="R320">
        <v>33.9</v>
      </c>
      <c r="S320">
        <v>25</v>
      </c>
      <c r="T320">
        <v>25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25</v>
      </c>
      <c r="AB320">
        <v>0</v>
      </c>
      <c r="AC320">
        <v>0</v>
      </c>
      <c r="AF320" t="s">
        <v>130</v>
      </c>
      <c r="AH320">
        <v>58.9</v>
      </c>
    </row>
    <row r="321" spans="1:34" x14ac:dyDescent="0.3">
      <c r="A321" s="4">
        <v>489</v>
      </c>
      <c r="B321" s="5">
        <v>314</v>
      </c>
      <c r="C321">
        <v>14189</v>
      </c>
      <c r="D321" t="s">
        <v>2647</v>
      </c>
      <c r="E321" t="s">
        <v>27373</v>
      </c>
      <c r="F321" t="s">
        <v>38</v>
      </c>
      <c r="G321" t="s">
        <v>27374</v>
      </c>
      <c r="H321">
        <v>17.43</v>
      </c>
      <c r="I321">
        <v>7</v>
      </c>
      <c r="J321">
        <v>0</v>
      </c>
      <c r="K321">
        <v>20</v>
      </c>
      <c r="L321">
        <v>7</v>
      </c>
      <c r="O321">
        <v>7</v>
      </c>
      <c r="P321">
        <v>4</v>
      </c>
      <c r="Q321">
        <v>0</v>
      </c>
      <c r="R321">
        <v>55.43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3</v>
      </c>
      <c r="AC321">
        <v>0</v>
      </c>
      <c r="AF321" t="s">
        <v>130</v>
      </c>
      <c r="AH321">
        <v>58.43</v>
      </c>
    </row>
    <row r="322" spans="1:34" x14ac:dyDescent="0.3">
      <c r="A322" s="4">
        <v>490</v>
      </c>
      <c r="B322" s="5">
        <v>315</v>
      </c>
      <c r="C322">
        <v>876</v>
      </c>
      <c r="D322" t="s">
        <v>60</v>
      </c>
      <c r="E322" t="s">
        <v>173</v>
      </c>
      <c r="F322" t="s">
        <v>442</v>
      </c>
      <c r="G322" t="s">
        <v>27375</v>
      </c>
      <c r="H322">
        <v>17.43</v>
      </c>
      <c r="I322">
        <v>0</v>
      </c>
      <c r="J322">
        <v>0</v>
      </c>
      <c r="K322">
        <v>0</v>
      </c>
      <c r="N322">
        <v>3</v>
      </c>
      <c r="O322">
        <v>3</v>
      </c>
      <c r="P322">
        <v>4</v>
      </c>
      <c r="Q322">
        <v>0</v>
      </c>
      <c r="R322">
        <v>24.43</v>
      </c>
      <c r="S322">
        <v>31</v>
      </c>
      <c r="T322">
        <v>31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31</v>
      </c>
      <c r="AB322">
        <v>3</v>
      </c>
      <c r="AC322">
        <v>0</v>
      </c>
      <c r="AD322" t="s">
        <v>130</v>
      </c>
      <c r="AF322" t="s">
        <v>130</v>
      </c>
      <c r="AH322">
        <v>58.43</v>
      </c>
    </row>
    <row r="323" spans="1:34" x14ac:dyDescent="0.3">
      <c r="A323" s="4">
        <v>491</v>
      </c>
      <c r="B323" s="5">
        <v>316</v>
      </c>
      <c r="C323">
        <v>2679</v>
      </c>
      <c r="D323" t="s">
        <v>27376</v>
      </c>
      <c r="E323" t="s">
        <v>27377</v>
      </c>
      <c r="F323" t="s">
        <v>7576</v>
      </c>
      <c r="G323" t="s">
        <v>27378</v>
      </c>
      <c r="H323">
        <v>17.25</v>
      </c>
      <c r="I323">
        <v>0</v>
      </c>
      <c r="J323">
        <v>0</v>
      </c>
      <c r="K323">
        <v>20</v>
      </c>
      <c r="L323">
        <v>7</v>
      </c>
      <c r="O323">
        <v>7</v>
      </c>
      <c r="P323">
        <v>4</v>
      </c>
      <c r="Q323">
        <v>2</v>
      </c>
      <c r="R323">
        <v>50.25</v>
      </c>
      <c r="S323">
        <v>8</v>
      </c>
      <c r="T323">
        <v>8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8</v>
      </c>
      <c r="AB323">
        <v>0</v>
      </c>
      <c r="AC323">
        <v>0</v>
      </c>
      <c r="AF323" t="s">
        <v>130</v>
      </c>
      <c r="AH323">
        <v>58.25</v>
      </c>
    </row>
    <row r="324" spans="1:34" x14ac:dyDescent="0.3">
      <c r="A324" s="4">
        <v>492</v>
      </c>
      <c r="B324" s="5">
        <v>317</v>
      </c>
      <c r="C324">
        <v>2969</v>
      </c>
      <c r="D324" t="s">
        <v>27379</v>
      </c>
      <c r="E324" t="s">
        <v>27380</v>
      </c>
      <c r="F324" t="s">
        <v>55</v>
      </c>
      <c r="G324" t="s">
        <v>27381</v>
      </c>
      <c r="H324">
        <v>18.25</v>
      </c>
      <c r="I324">
        <v>0</v>
      </c>
      <c r="J324">
        <v>0</v>
      </c>
      <c r="K324">
        <v>0</v>
      </c>
      <c r="N324">
        <v>3</v>
      </c>
      <c r="O324">
        <v>3</v>
      </c>
      <c r="P324">
        <v>4</v>
      </c>
      <c r="Q324">
        <v>0</v>
      </c>
      <c r="R324">
        <v>25.25</v>
      </c>
      <c r="S324">
        <v>33</v>
      </c>
      <c r="T324">
        <v>33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33</v>
      </c>
      <c r="AB324">
        <v>0</v>
      </c>
      <c r="AC324">
        <v>0</v>
      </c>
      <c r="AF324" t="s">
        <v>130</v>
      </c>
      <c r="AH324">
        <v>58.25</v>
      </c>
    </row>
    <row r="325" spans="1:34" x14ac:dyDescent="0.3">
      <c r="A325" s="4">
        <v>493</v>
      </c>
      <c r="B325" s="5">
        <v>318</v>
      </c>
      <c r="C325">
        <v>10519</v>
      </c>
      <c r="D325" t="s">
        <v>27382</v>
      </c>
      <c r="E325" t="s">
        <v>54</v>
      </c>
      <c r="F325" t="s">
        <v>14</v>
      </c>
      <c r="G325" t="s">
        <v>27383</v>
      </c>
      <c r="H325">
        <v>19.18</v>
      </c>
      <c r="I325">
        <v>0</v>
      </c>
      <c r="J325">
        <v>0</v>
      </c>
      <c r="K325">
        <v>20</v>
      </c>
      <c r="L325">
        <v>7</v>
      </c>
      <c r="O325">
        <v>7</v>
      </c>
      <c r="P325">
        <v>4</v>
      </c>
      <c r="Q325">
        <v>2</v>
      </c>
      <c r="R325">
        <v>52.18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6</v>
      </c>
      <c r="AC325">
        <v>0</v>
      </c>
      <c r="AF325" t="s">
        <v>130</v>
      </c>
      <c r="AH325">
        <v>58.18</v>
      </c>
    </row>
    <row r="326" spans="1:34" x14ac:dyDescent="0.3">
      <c r="A326" s="4">
        <v>494</v>
      </c>
      <c r="B326" s="5">
        <v>319</v>
      </c>
      <c r="C326">
        <v>2681</v>
      </c>
      <c r="D326" t="s">
        <v>27343</v>
      </c>
      <c r="E326" t="s">
        <v>166</v>
      </c>
      <c r="F326" t="s">
        <v>117</v>
      </c>
      <c r="G326" t="s">
        <v>27384</v>
      </c>
      <c r="H326">
        <v>18.03</v>
      </c>
      <c r="I326">
        <v>7</v>
      </c>
      <c r="J326">
        <v>0</v>
      </c>
      <c r="K326">
        <v>20</v>
      </c>
      <c r="L326">
        <v>7</v>
      </c>
      <c r="O326">
        <v>7</v>
      </c>
      <c r="P326">
        <v>4</v>
      </c>
      <c r="Q326">
        <v>2</v>
      </c>
      <c r="R326">
        <v>58.03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F326" t="s">
        <v>130</v>
      </c>
      <c r="AH326">
        <v>58.03</v>
      </c>
    </row>
    <row r="327" spans="1:34" x14ac:dyDescent="0.3">
      <c r="A327" s="4">
        <v>495</v>
      </c>
      <c r="B327" s="5">
        <v>320</v>
      </c>
      <c r="C327">
        <v>10857</v>
      </c>
      <c r="D327" t="s">
        <v>27385</v>
      </c>
      <c r="E327" t="s">
        <v>471</v>
      </c>
      <c r="F327" t="s">
        <v>68</v>
      </c>
      <c r="G327" t="s">
        <v>27386</v>
      </c>
      <c r="H327">
        <v>17.03</v>
      </c>
      <c r="I327">
        <v>0</v>
      </c>
      <c r="J327">
        <v>0</v>
      </c>
      <c r="K327">
        <v>20</v>
      </c>
      <c r="L327">
        <v>7</v>
      </c>
      <c r="O327">
        <v>7</v>
      </c>
      <c r="P327">
        <v>4</v>
      </c>
      <c r="Q327">
        <v>0</v>
      </c>
      <c r="R327">
        <v>48.03</v>
      </c>
      <c r="S327">
        <v>10</v>
      </c>
      <c r="T327">
        <v>10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10</v>
      </c>
      <c r="AB327">
        <v>0</v>
      </c>
      <c r="AC327">
        <v>0</v>
      </c>
      <c r="AF327" t="s">
        <v>130</v>
      </c>
      <c r="AH327">
        <v>58.03</v>
      </c>
    </row>
    <row r="328" spans="1:34" x14ac:dyDescent="0.3">
      <c r="A328" s="4">
        <v>496</v>
      </c>
      <c r="B328" s="5">
        <v>321</v>
      </c>
      <c r="C328">
        <v>10670</v>
      </c>
      <c r="D328" t="s">
        <v>2400</v>
      </c>
      <c r="E328" t="s">
        <v>6225</v>
      </c>
      <c r="F328" t="s">
        <v>230</v>
      </c>
      <c r="G328" t="s">
        <v>27387</v>
      </c>
      <c r="H328">
        <v>16.899999999999999</v>
      </c>
      <c r="I328">
        <v>0</v>
      </c>
      <c r="J328">
        <v>0</v>
      </c>
      <c r="K328">
        <v>20</v>
      </c>
      <c r="O328">
        <v>0</v>
      </c>
      <c r="P328">
        <v>4</v>
      </c>
      <c r="Q328">
        <v>0</v>
      </c>
      <c r="R328">
        <v>40.9</v>
      </c>
      <c r="S328">
        <v>17</v>
      </c>
      <c r="T328">
        <v>17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17</v>
      </c>
      <c r="AB328">
        <v>0</v>
      </c>
      <c r="AC328">
        <v>0</v>
      </c>
      <c r="AF328" t="s">
        <v>130</v>
      </c>
      <c r="AH328">
        <v>57.9</v>
      </c>
    </row>
    <row r="329" spans="1:34" x14ac:dyDescent="0.3">
      <c r="A329" s="4">
        <v>497</v>
      </c>
      <c r="B329" s="5">
        <v>322</v>
      </c>
      <c r="C329">
        <v>14967</v>
      </c>
      <c r="D329" t="s">
        <v>27388</v>
      </c>
      <c r="E329" t="s">
        <v>1659</v>
      </c>
      <c r="F329" t="s">
        <v>17</v>
      </c>
      <c r="G329" t="s">
        <v>27389</v>
      </c>
      <c r="H329">
        <v>18.88</v>
      </c>
      <c r="I329">
        <v>0</v>
      </c>
      <c r="J329">
        <v>0</v>
      </c>
      <c r="K329">
        <v>0</v>
      </c>
      <c r="N329">
        <v>3</v>
      </c>
      <c r="O329">
        <v>3</v>
      </c>
      <c r="P329">
        <v>4</v>
      </c>
      <c r="Q329">
        <v>2</v>
      </c>
      <c r="R329">
        <v>27.88</v>
      </c>
      <c r="S329">
        <v>27</v>
      </c>
      <c r="T329">
        <v>27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27</v>
      </c>
      <c r="AB329">
        <v>3</v>
      </c>
      <c r="AC329">
        <v>0</v>
      </c>
      <c r="AF329" t="s">
        <v>130</v>
      </c>
      <c r="AH329">
        <v>57.88</v>
      </c>
    </row>
    <row r="330" spans="1:34" x14ac:dyDescent="0.3">
      <c r="A330" s="4">
        <v>498</v>
      </c>
      <c r="B330" s="5">
        <v>323</v>
      </c>
      <c r="C330">
        <v>13603</v>
      </c>
      <c r="D330" t="s">
        <v>27390</v>
      </c>
      <c r="E330" t="s">
        <v>9456</v>
      </c>
      <c r="F330" t="s">
        <v>20</v>
      </c>
      <c r="G330" t="s">
        <v>27391</v>
      </c>
      <c r="H330">
        <v>16.78</v>
      </c>
      <c r="I330">
        <v>0</v>
      </c>
      <c r="J330">
        <v>0</v>
      </c>
      <c r="K330">
        <v>28</v>
      </c>
      <c r="N330">
        <v>6</v>
      </c>
      <c r="O330">
        <v>6</v>
      </c>
      <c r="P330">
        <v>4</v>
      </c>
      <c r="Q330">
        <v>0</v>
      </c>
      <c r="R330">
        <v>54.78</v>
      </c>
      <c r="S330">
        <v>3</v>
      </c>
      <c r="T330">
        <v>3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3</v>
      </c>
      <c r="AB330">
        <v>0</v>
      </c>
      <c r="AC330">
        <v>0</v>
      </c>
      <c r="AD330" t="s">
        <v>130</v>
      </c>
      <c r="AF330" t="s">
        <v>130</v>
      </c>
      <c r="AH330">
        <v>57.78</v>
      </c>
    </row>
    <row r="331" spans="1:34" x14ac:dyDescent="0.3">
      <c r="A331" s="4">
        <v>499</v>
      </c>
      <c r="B331" s="5">
        <v>324</v>
      </c>
      <c r="C331">
        <v>13693</v>
      </c>
      <c r="D331" t="s">
        <v>27392</v>
      </c>
      <c r="E331" t="s">
        <v>17</v>
      </c>
      <c r="F331" t="s">
        <v>38</v>
      </c>
      <c r="G331" t="s">
        <v>27393</v>
      </c>
      <c r="H331">
        <v>17.95</v>
      </c>
      <c r="I331">
        <v>0</v>
      </c>
      <c r="J331">
        <v>0</v>
      </c>
      <c r="K331">
        <v>0</v>
      </c>
      <c r="N331">
        <v>3</v>
      </c>
      <c r="O331">
        <v>3</v>
      </c>
      <c r="P331">
        <v>4</v>
      </c>
      <c r="Q331">
        <v>0</v>
      </c>
      <c r="R331">
        <v>24.95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6</v>
      </c>
      <c r="AC331">
        <v>26.8</v>
      </c>
      <c r="AD331" t="s">
        <v>130</v>
      </c>
      <c r="AF331" t="s">
        <v>130</v>
      </c>
      <c r="AH331">
        <v>57.75</v>
      </c>
    </row>
    <row r="332" spans="1:34" x14ac:dyDescent="0.3">
      <c r="A332" s="4">
        <v>500</v>
      </c>
      <c r="B332" s="5">
        <v>325</v>
      </c>
      <c r="C332">
        <v>902</v>
      </c>
      <c r="D332" t="s">
        <v>3963</v>
      </c>
      <c r="E332" t="s">
        <v>10969</v>
      </c>
      <c r="F332" t="s">
        <v>17</v>
      </c>
      <c r="G332" t="s">
        <v>27394</v>
      </c>
      <c r="H332">
        <v>15.63</v>
      </c>
      <c r="I332">
        <v>0</v>
      </c>
      <c r="J332">
        <v>0</v>
      </c>
      <c r="K332">
        <v>0</v>
      </c>
      <c r="N332">
        <v>3</v>
      </c>
      <c r="O332">
        <v>3</v>
      </c>
      <c r="P332">
        <v>4</v>
      </c>
      <c r="Q332">
        <v>2</v>
      </c>
      <c r="R332">
        <v>24.63</v>
      </c>
      <c r="S332">
        <v>27</v>
      </c>
      <c r="T332">
        <v>27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27</v>
      </c>
      <c r="AB332">
        <v>6</v>
      </c>
      <c r="AC332">
        <v>0</v>
      </c>
      <c r="AF332" t="s">
        <v>130</v>
      </c>
      <c r="AH332">
        <v>57.63</v>
      </c>
    </row>
    <row r="333" spans="1:34" x14ac:dyDescent="0.3">
      <c r="A333" s="4">
        <v>501</v>
      </c>
      <c r="B333" s="5">
        <v>326</v>
      </c>
      <c r="C333">
        <v>13464</v>
      </c>
      <c r="D333" t="s">
        <v>1304</v>
      </c>
      <c r="E333" t="s">
        <v>789</v>
      </c>
      <c r="F333" t="s">
        <v>81</v>
      </c>
      <c r="G333" t="s">
        <v>27395</v>
      </c>
      <c r="H333">
        <v>18.63</v>
      </c>
      <c r="I333">
        <v>0</v>
      </c>
      <c r="J333">
        <v>0</v>
      </c>
      <c r="K333">
        <v>0</v>
      </c>
      <c r="O333">
        <v>0</v>
      </c>
      <c r="P333">
        <v>4</v>
      </c>
      <c r="Q333">
        <v>2</v>
      </c>
      <c r="R333">
        <v>24.63</v>
      </c>
      <c r="S333">
        <v>33</v>
      </c>
      <c r="T333">
        <v>33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33</v>
      </c>
      <c r="AB333">
        <v>0</v>
      </c>
      <c r="AC333">
        <v>0</v>
      </c>
      <c r="AF333" t="s">
        <v>130</v>
      </c>
      <c r="AH333">
        <v>57.63</v>
      </c>
    </row>
    <row r="334" spans="1:34" x14ac:dyDescent="0.3">
      <c r="A334" s="4">
        <v>502</v>
      </c>
      <c r="B334" s="5">
        <v>327</v>
      </c>
      <c r="C334">
        <v>2044</v>
      </c>
      <c r="D334" t="s">
        <v>9746</v>
      </c>
      <c r="E334" t="s">
        <v>439</v>
      </c>
      <c r="F334" t="s">
        <v>20</v>
      </c>
      <c r="G334" t="s">
        <v>27396</v>
      </c>
      <c r="H334">
        <v>18.55</v>
      </c>
      <c r="I334">
        <v>0</v>
      </c>
      <c r="J334">
        <v>0</v>
      </c>
      <c r="K334">
        <v>20</v>
      </c>
      <c r="L334">
        <v>7</v>
      </c>
      <c r="O334">
        <v>7</v>
      </c>
      <c r="P334">
        <v>4</v>
      </c>
      <c r="Q334">
        <v>2</v>
      </c>
      <c r="R334">
        <v>51.55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6</v>
      </c>
      <c r="AC334">
        <v>0</v>
      </c>
      <c r="AF334" t="s">
        <v>130</v>
      </c>
      <c r="AH334">
        <v>57.55</v>
      </c>
    </row>
    <row r="335" spans="1:34" x14ac:dyDescent="0.3">
      <c r="A335" s="4">
        <v>503</v>
      </c>
      <c r="B335" s="5">
        <v>328</v>
      </c>
      <c r="C335">
        <v>2238</v>
      </c>
      <c r="D335" t="s">
        <v>3806</v>
      </c>
      <c r="E335" t="s">
        <v>550</v>
      </c>
      <c r="F335" t="s">
        <v>81</v>
      </c>
      <c r="G335" t="s">
        <v>27397</v>
      </c>
      <c r="H335">
        <v>18.350000000000001</v>
      </c>
      <c r="I335">
        <v>0</v>
      </c>
      <c r="J335">
        <v>0</v>
      </c>
      <c r="K335">
        <v>20</v>
      </c>
      <c r="L335">
        <v>7</v>
      </c>
      <c r="O335">
        <v>7</v>
      </c>
      <c r="P335">
        <v>4</v>
      </c>
      <c r="Q335">
        <v>2</v>
      </c>
      <c r="R335">
        <v>51.35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6</v>
      </c>
      <c r="AC335">
        <v>0</v>
      </c>
      <c r="AF335" t="s">
        <v>130</v>
      </c>
      <c r="AH335">
        <v>57.35</v>
      </c>
    </row>
    <row r="336" spans="1:34" x14ac:dyDescent="0.3">
      <c r="A336" s="4">
        <v>504</v>
      </c>
      <c r="B336" s="5">
        <v>329</v>
      </c>
      <c r="C336">
        <v>9980</v>
      </c>
      <c r="D336" t="s">
        <v>1425</v>
      </c>
      <c r="E336" t="s">
        <v>170</v>
      </c>
      <c r="F336" t="s">
        <v>136</v>
      </c>
      <c r="G336" t="s">
        <v>27398</v>
      </c>
      <c r="H336">
        <v>17.350000000000001</v>
      </c>
      <c r="I336">
        <v>0</v>
      </c>
      <c r="J336">
        <v>0</v>
      </c>
      <c r="K336">
        <v>20</v>
      </c>
      <c r="O336">
        <v>0</v>
      </c>
      <c r="P336">
        <v>4</v>
      </c>
      <c r="Q336">
        <v>0</v>
      </c>
      <c r="R336">
        <v>41.35</v>
      </c>
      <c r="S336">
        <v>16</v>
      </c>
      <c r="T336">
        <v>16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16</v>
      </c>
      <c r="AB336">
        <v>0</v>
      </c>
      <c r="AC336">
        <v>0</v>
      </c>
      <c r="AF336" t="s">
        <v>130</v>
      </c>
      <c r="AH336">
        <v>57.35</v>
      </c>
    </row>
    <row r="337" spans="1:34" x14ac:dyDescent="0.3">
      <c r="A337" s="4">
        <v>505</v>
      </c>
      <c r="B337" s="5">
        <v>330</v>
      </c>
      <c r="C337">
        <v>2282</v>
      </c>
      <c r="D337" t="s">
        <v>1515</v>
      </c>
      <c r="E337" t="s">
        <v>255</v>
      </c>
      <c r="F337" t="s">
        <v>91</v>
      </c>
      <c r="G337" t="s">
        <v>1516</v>
      </c>
      <c r="H337">
        <v>16.329999999999998</v>
      </c>
      <c r="I337">
        <v>0</v>
      </c>
      <c r="J337">
        <v>0</v>
      </c>
      <c r="K337">
        <v>0</v>
      </c>
      <c r="N337">
        <v>3</v>
      </c>
      <c r="O337">
        <v>3</v>
      </c>
      <c r="P337">
        <v>4</v>
      </c>
      <c r="Q337">
        <v>2</v>
      </c>
      <c r="R337">
        <v>25.33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32</v>
      </c>
      <c r="AF337" t="s">
        <v>130</v>
      </c>
      <c r="AH337">
        <v>57.33</v>
      </c>
    </row>
    <row r="338" spans="1:34" x14ac:dyDescent="0.3">
      <c r="A338" s="4">
        <v>506</v>
      </c>
      <c r="B338" s="5">
        <v>331</v>
      </c>
      <c r="C338">
        <v>9999</v>
      </c>
      <c r="D338" t="s">
        <v>27399</v>
      </c>
      <c r="E338" t="s">
        <v>110</v>
      </c>
      <c r="F338" t="s">
        <v>38</v>
      </c>
      <c r="G338" t="s">
        <v>27400</v>
      </c>
      <c r="H338">
        <v>19.28</v>
      </c>
      <c r="I338">
        <v>7</v>
      </c>
      <c r="J338">
        <v>0</v>
      </c>
      <c r="K338">
        <v>0</v>
      </c>
      <c r="L338">
        <v>7</v>
      </c>
      <c r="O338">
        <v>7</v>
      </c>
      <c r="P338">
        <v>4</v>
      </c>
      <c r="Q338">
        <v>2</v>
      </c>
      <c r="R338">
        <v>39.28</v>
      </c>
      <c r="S338">
        <v>18</v>
      </c>
      <c r="T338">
        <v>18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18</v>
      </c>
      <c r="AB338">
        <v>0</v>
      </c>
      <c r="AC338">
        <v>0</v>
      </c>
      <c r="AF338" t="s">
        <v>130</v>
      </c>
      <c r="AH338">
        <v>57.28</v>
      </c>
    </row>
    <row r="339" spans="1:34" x14ac:dyDescent="0.3">
      <c r="A339" s="4">
        <v>507</v>
      </c>
      <c r="B339" s="5">
        <v>332</v>
      </c>
      <c r="C339">
        <v>15410</v>
      </c>
      <c r="D339" t="s">
        <v>27401</v>
      </c>
      <c r="E339" t="s">
        <v>41</v>
      </c>
      <c r="F339" t="s">
        <v>1526</v>
      </c>
      <c r="G339" t="s">
        <v>27402</v>
      </c>
      <c r="H339">
        <v>17.93</v>
      </c>
      <c r="I339">
        <v>7</v>
      </c>
      <c r="J339">
        <v>0</v>
      </c>
      <c r="K339">
        <v>0</v>
      </c>
      <c r="N339">
        <v>3</v>
      </c>
      <c r="O339">
        <v>3</v>
      </c>
      <c r="P339">
        <v>4</v>
      </c>
      <c r="Q339">
        <v>2</v>
      </c>
      <c r="R339">
        <v>33.93</v>
      </c>
      <c r="S339">
        <v>23</v>
      </c>
      <c r="T339">
        <v>23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23</v>
      </c>
      <c r="AB339">
        <v>0</v>
      </c>
      <c r="AC339">
        <v>0</v>
      </c>
      <c r="AD339" t="s">
        <v>130</v>
      </c>
      <c r="AF339" t="s">
        <v>130</v>
      </c>
      <c r="AH339">
        <v>56.93</v>
      </c>
    </row>
    <row r="340" spans="1:34" x14ac:dyDescent="0.3">
      <c r="A340" s="4">
        <v>508</v>
      </c>
      <c r="B340" s="5">
        <v>333</v>
      </c>
      <c r="C340">
        <v>6526</v>
      </c>
      <c r="D340" t="s">
        <v>12972</v>
      </c>
      <c r="E340" t="s">
        <v>188</v>
      </c>
      <c r="F340" t="s">
        <v>81</v>
      </c>
      <c r="G340" t="s">
        <v>27403</v>
      </c>
      <c r="H340">
        <v>16.93</v>
      </c>
      <c r="I340">
        <v>0</v>
      </c>
      <c r="J340">
        <v>0</v>
      </c>
      <c r="K340">
        <v>0</v>
      </c>
      <c r="L340">
        <v>7</v>
      </c>
      <c r="N340">
        <v>3</v>
      </c>
      <c r="O340">
        <v>10</v>
      </c>
      <c r="P340">
        <v>4</v>
      </c>
      <c r="Q340">
        <v>2</v>
      </c>
      <c r="R340">
        <v>32.93</v>
      </c>
      <c r="S340">
        <v>24</v>
      </c>
      <c r="T340">
        <v>24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24</v>
      </c>
      <c r="AB340">
        <v>0</v>
      </c>
      <c r="AC340">
        <v>0</v>
      </c>
      <c r="AF340" t="s">
        <v>130</v>
      </c>
      <c r="AH340">
        <v>56.93</v>
      </c>
    </row>
    <row r="341" spans="1:34" x14ac:dyDescent="0.3">
      <c r="A341" s="4">
        <v>509</v>
      </c>
      <c r="B341" s="5">
        <v>334</v>
      </c>
      <c r="C341">
        <v>13070</v>
      </c>
      <c r="D341" t="s">
        <v>27404</v>
      </c>
      <c r="E341" t="s">
        <v>88</v>
      </c>
      <c r="F341" t="s">
        <v>117</v>
      </c>
      <c r="G341" t="s">
        <v>27405</v>
      </c>
      <c r="H341">
        <v>20.78</v>
      </c>
      <c r="I341">
        <v>0</v>
      </c>
      <c r="J341">
        <v>0</v>
      </c>
      <c r="K341">
        <v>20</v>
      </c>
      <c r="N341">
        <v>6</v>
      </c>
      <c r="O341">
        <v>6</v>
      </c>
      <c r="P341">
        <v>4</v>
      </c>
      <c r="Q341">
        <v>0</v>
      </c>
      <c r="R341">
        <v>50.78</v>
      </c>
      <c r="S341">
        <v>6</v>
      </c>
      <c r="T341">
        <v>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6</v>
      </c>
      <c r="AB341">
        <v>0</v>
      </c>
      <c r="AC341">
        <v>0</v>
      </c>
      <c r="AF341" t="s">
        <v>130</v>
      </c>
      <c r="AH341">
        <v>56.78</v>
      </c>
    </row>
    <row r="342" spans="1:34" x14ac:dyDescent="0.3">
      <c r="A342" s="4">
        <v>510</v>
      </c>
      <c r="B342" s="5">
        <v>335</v>
      </c>
      <c r="C342">
        <v>4153</v>
      </c>
      <c r="D342" t="s">
        <v>27406</v>
      </c>
      <c r="E342" t="s">
        <v>219</v>
      </c>
      <c r="F342" t="s">
        <v>124</v>
      </c>
      <c r="G342" t="s">
        <v>27407</v>
      </c>
      <c r="H342">
        <v>17.68</v>
      </c>
      <c r="I342">
        <v>0</v>
      </c>
      <c r="J342">
        <v>0</v>
      </c>
      <c r="K342">
        <v>20</v>
      </c>
      <c r="L342">
        <v>7</v>
      </c>
      <c r="O342">
        <v>7</v>
      </c>
      <c r="P342">
        <v>4</v>
      </c>
      <c r="Q342">
        <v>2</v>
      </c>
      <c r="R342">
        <v>50.68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6</v>
      </c>
      <c r="AC342">
        <v>0</v>
      </c>
      <c r="AF342" t="s">
        <v>130</v>
      </c>
      <c r="AH342">
        <v>56.68</v>
      </c>
    </row>
    <row r="343" spans="1:34" x14ac:dyDescent="0.3">
      <c r="A343" s="4">
        <v>511</v>
      </c>
      <c r="B343" s="5">
        <v>336</v>
      </c>
      <c r="C343">
        <v>505</v>
      </c>
      <c r="D343" t="s">
        <v>2695</v>
      </c>
      <c r="E343" t="s">
        <v>8150</v>
      </c>
      <c r="F343" t="s">
        <v>17</v>
      </c>
      <c r="G343" t="s">
        <v>27408</v>
      </c>
      <c r="H343">
        <v>18.649999999999999</v>
      </c>
      <c r="I343">
        <v>0</v>
      </c>
      <c r="J343">
        <v>0</v>
      </c>
      <c r="K343">
        <v>0</v>
      </c>
      <c r="N343">
        <v>3</v>
      </c>
      <c r="O343">
        <v>3</v>
      </c>
      <c r="P343">
        <v>4</v>
      </c>
      <c r="Q343">
        <v>2</v>
      </c>
      <c r="R343">
        <v>27.65</v>
      </c>
      <c r="S343">
        <v>26</v>
      </c>
      <c r="T343">
        <v>26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26</v>
      </c>
      <c r="AB343">
        <v>3</v>
      </c>
      <c r="AC343">
        <v>0</v>
      </c>
      <c r="AE343" t="s">
        <v>130</v>
      </c>
      <c r="AF343" t="s">
        <v>130</v>
      </c>
      <c r="AH343">
        <v>56.65</v>
      </c>
    </row>
    <row r="344" spans="1:34" x14ac:dyDescent="0.3">
      <c r="A344" s="4">
        <v>512</v>
      </c>
      <c r="B344" s="5">
        <v>337</v>
      </c>
      <c r="C344">
        <v>12264</v>
      </c>
      <c r="D344" t="s">
        <v>27409</v>
      </c>
      <c r="E344" t="s">
        <v>1371</v>
      </c>
      <c r="F344" t="s">
        <v>393</v>
      </c>
      <c r="G344" t="s">
        <v>27410</v>
      </c>
      <c r="H344">
        <v>19.600000000000001</v>
      </c>
      <c r="I344">
        <v>0</v>
      </c>
      <c r="J344">
        <v>0</v>
      </c>
      <c r="K344">
        <v>20</v>
      </c>
      <c r="L344">
        <v>7</v>
      </c>
      <c r="O344">
        <v>7</v>
      </c>
      <c r="P344">
        <v>4</v>
      </c>
      <c r="Q344">
        <v>2</v>
      </c>
      <c r="R344">
        <v>52.6</v>
      </c>
      <c r="S344">
        <v>1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1</v>
      </c>
      <c r="AB344">
        <v>3</v>
      </c>
      <c r="AC344">
        <v>0</v>
      </c>
      <c r="AF344" t="s">
        <v>130</v>
      </c>
      <c r="AH344">
        <v>56.6</v>
      </c>
    </row>
    <row r="345" spans="1:34" x14ac:dyDescent="0.3">
      <c r="A345" s="4">
        <v>513</v>
      </c>
      <c r="B345" s="5">
        <v>338</v>
      </c>
      <c r="C345">
        <v>9994</v>
      </c>
      <c r="D345" t="s">
        <v>27411</v>
      </c>
      <c r="E345" t="s">
        <v>1117</v>
      </c>
      <c r="F345" t="s">
        <v>442</v>
      </c>
      <c r="G345" t="s">
        <v>27412</v>
      </c>
      <c r="H345">
        <v>18.55</v>
      </c>
      <c r="I345">
        <v>0</v>
      </c>
      <c r="J345">
        <v>0</v>
      </c>
      <c r="K345">
        <v>20</v>
      </c>
      <c r="N345">
        <v>3</v>
      </c>
      <c r="O345">
        <v>3</v>
      </c>
      <c r="P345">
        <v>4</v>
      </c>
      <c r="Q345">
        <v>2</v>
      </c>
      <c r="R345">
        <v>47.55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9</v>
      </c>
      <c r="AC345">
        <v>0</v>
      </c>
      <c r="AF345" t="s">
        <v>130</v>
      </c>
      <c r="AH345">
        <v>56.55</v>
      </c>
    </row>
    <row r="346" spans="1:34" x14ac:dyDescent="0.3">
      <c r="A346" s="4">
        <v>514</v>
      </c>
      <c r="B346" s="5">
        <v>339</v>
      </c>
      <c r="C346">
        <v>4538</v>
      </c>
      <c r="D346" t="s">
        <v>3585</v>
      </c>
      <c r="E346" t="s">
        <v>166</v>
      </c>
      <c r="F346" t="s">
        <v>136</v>
      </c>
      <c r="G346" t="s">
        <v>27413</v>
      </c>
      <c r="H346">
        <v>18.600000000000001</v>
      </c>
      <c r="I346">
        <v>0</v>
      </c>
      <c r="J346">
        <v>0</v>
      </c>
      <c r="K346">
        <v>0</v>
      </c>
      <c r="M346">
        <v>5</v>
      </c>
      <c r="O346">
        <v>5</v>
      </c>
      <c r="P346">
        <v>4</v>
      </c>
      <c r="Q346">
        <v>2</v>
      </c>
      <c r="R346">
        <v>29.6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26.8</v>
      </c>
      <c r="AF346" t="s">
        <v>130</v>
      </c>
      <c r="AH346">
        <v>56.4</v>
      </c>
    </row>
    <row r="347" spans="1:34" x14ac:dyDescent="0.3">
      <c r="A347" s="4">
        <v>515</v>
      </c>
      <c r="B347" s="5">
        <v>340</v>
      </c>
      <c r="C347">
        <v>14034</v>
      </c>
      <c r="D347" t="s">
        <v>18933</v>
      </c>
      <c r="E347" t="s">
        <v>5311</v>
      </c>
      <c r="F347" t="s">
        <v>310</v>
      </c>
      <c r="G347" t="s">
        <v>27414</v>
      </c>
      <c r="H347">
        <v>17.3</v>
      </c>
      <c r="I347">
        <v>0</v>
      </c>
      <c r="J347">
        <v>0</v>
      </c>
      <c r="K347">
        <v>0</v>
      </c>
      <c r="L347">
        <v>7</v>
      </c>
      <c r="O347">
        <v>7</v>
      </c>
      <c r="P347">
        <v>4</v>
      </c>
      <c r="Q347">
        <v>2</v>
      </c>
      <c r="R347">
        <v>30.3</v>
      </c>
      <c r="S347">
        <v>23</v>
      </c>
      <c r="T347">
        <v>23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23</v>
      </c>
      <c r="AB347">
        <v>3</v>
      </c>
      <c r="AC347">
        <v>0</v>
      </c>
      <c r="AF347" t="s">
        <v>130</v>
      </c>
      <c r="AH347">
        <v>56.3</v>
      </c>
    </row>
    <row r="348" spans="1:34" x14ac:dyDescent="0.3">
      <c r="A348" s="4">
        <v>516</v>
      </c>
      <c r="B348" s="5">
        <v>341</v>
      </c>
      <c r="C348">
        <v>5252</v>
      </c>
      <c r="D348" t="s">
        <v>10502</v>
      </c>
      <c r="E348" t="s">
        <v>88</v>
      </c>
      <c r="F348" t="s">
        <v>91</v>
      </c>
      <c r="G348" t="s">
        <v>27415</v>
      </c>
      <c r="H348">
        <v>18.18</v>
      </c>
      <c r="I348">
        <v>0</v>
      </c>
      <c r="J348">
        <v>0</v>
      </c>
      <c r="K348">
        <v>0</v>
      </c>
      <c r="L348">
        <v>7</v>
      </c>
      <c r="O348">
        <v>7</v>
      </c>
      <c r="P348">
        <v>4</v>
      </c>
      <c r="Q348">
        <v>2</v>
      </c>
      <c r="R348">
        <v>31.18</v>
      </c>
      <c r="S348">
        <v>22</v>
      </c>
      <c r="T348">
        <v>22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22</v>
      </c>
      <c r="AB348">
        <v>3</v>
      </c>
      <c r="AC348">
        <v>0</v>
      </c>
      <c r="AF348" t="s">
        <v>130</v>
      </c>
      <c r="AH348">
        <v>56.18</v>
      </c>
    </row>
    <row r="349" spans="1:34" x14ac:dyDescent="0.3">
      <c r="A349" s="4">
        <v>517</v>
      </c>
      <c r="B349" s="5">
        <v>342</v>
      </c>
      <c r="C349">
        <v>7038</v>
      </c>
      <c r="D349" t="s">
        <v>181</v>
      </c>
      <c r="E349" t="s">
        <v>471</v>
      </c>
      <c r="F349" t="s">
        <v>2017</v>
      </c>
      <c r="G349" t="s">
        <v>27416</v>
      </c>
      <c r="H349">
        <v>19.100000000000001</v>
      </c>
      <c r="I349">
        <v>0</v>
      </c>
      <c r="J349">
        <v>0</v>
      </c>
      <c r="K349">
        <v>20</v>
      </c>
      <c r="L349">
        <v>7</v>
      </c>
      <c r="O349">
        <v>7</v>
      </c>
      <c r="P349">
        <v>4</v>
      </c>
      <c r="Q349">
        <v>2</v>
      </c>
      <c r="R349">
        <v>52.1</v>
      </c>
      <c r="S349">
        <v>4</v>
      </c>
      <c r="T349">
        <v>4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4</v>
      </c>
      <c r="AB349">
        <v>0</v>
      </c>
      <c r="AC349">
        <v>0</v>
      </c>
      <c r="AD349" t="s">
        <v>130</v>
      </c>
      <c r="AF349" t="s">
        <v>130</v>
      </c>
      <c r="AH349">
        <v>56.1</v>
      </c>
    </row>
    <row r="350" spans="1:34" x14ac:dyDescent="0.3">
      <c r="A350" s="4">
        <v>518</v>
      </c>
      <c r="B350" s="5">
        <v>343</v>
      </c>
      <c r="C350">
        <v>1476</v>
      </c>
      <c r="D350" t="s">
        <v>27417</v>
      </c>
      <c r="E350" t="s">
        <v>149</v>
      </c>
      <c r="F350" t="s">
        <v>17</v>
      </c>
      <c r="G350" t="s">
        <v>27418</v>
      </c>
      <c r="H350">
        <v>17</v>
      </c>
      <c r="I350">
        <v>0</v>
      </c>
      <c r="J350">
        <v>0</v>
      </c>
      <c r="K350">
        <v>20</v>
      </c>
      <c r="L350">
        <v>7</v>
      </c>
      <c r="O350">
        <v>7</v>
      </c>
      <c r="P350">
        <v>4</v>
      </c>
      <c r="Q350">
        <v>2</v>
      </c>
      <c r="R350">
        <v>50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6</v>
      </c>
      <c r="AC350">
        <v>0</v>
      </c>
      <c r="AF350" t="s">
        <v>130</v>
      </c>
      <c r="AH350">
        <v>56</v>
      </c>
    </row>
    <row r="351" spans="1:34" x14ac:dyDescent="0.3">
      <c r="A351" s="4">
        <v>519</v>
      </c>
      <c r="B351" s="5">
        <v>344</v>
      </c>
      <c r="C351">
        <v>4037</v>
      </c>
      <c r="D351" t="s">
        <v>6237</v>
      </c>
      <c r="E351" t="s">
        <v>161</v>
      </c>
      <c r="F351" t="s">
        <v>38</v>
      </c>
      <c r="G351" t="s">
        <v>27419</v>
      </c>
      <c r="H351">
        <v>18.98</v>
      </c>
      <c r="I351">
        <v>0</v>
      </c>
      <c r="J351">
        <v>0</v>
      </c>
      <c r="K351">
        <v>20</v>
      </c>
      <c r="L351">
        <v>7</v>
      </c>
      <c r="O351">
        <v>7</v>
      </c>
      <c r="P351">
        <v>4</v>
      </c>
      <c r="Q351">
        <v>0</v>
      </c>
      <c r="R351">
        <v>49.98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6</v>
      </c>
      <c r="AC351">
        <v>0</v>
      </c>
      <c r="AF351" t="s">
        <v>130</v>
      </c>
      <c r="AH351">
        <v>55.98</v>
      </c>
    </row>
    <row r="352" spans="1:34" x14ac:dyDescent="0.3">
      <c r="A352" s="4">
        <v>520</v>
      </c>
      <c r="B352" s="5">
        <v>345</v>
      </c>
      <c r="C352">
        <v>2864</v>
      </c>
      <c r="D352" t="s">
        <v>743</v>
      </c>
      <c r="E352" t="s">
        <v>8622</v>
      </c>
      <c r="F352" t="s">
        <v>38</v>
      </c>
      <c r="G352" t="s">
        <v>27420</v>
      </c>
      <c r="H352">
        <v>16.98</v>
      </c>
      <c r="I352">
        <v>0</v>
      </c>
      <c r="J352">
        <v>0</v>
      </c>
      <c r="K352">
        <v>0</v>
      </c>
      <c r="N352">
        <v>3</v>
      </c>
      <c r="O352">
        <v>3</v>
      </c>
      <c r="P352">
        <v>4</v>
      </c>
      <c r="Q352">
        <v>2</v>
      </c>
      <c r="R352">
        <v>25.98</v>
      </c>
      <c r="S352">
        <v>27</v>
      </c>
      <c r="T352">
        <v>27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27</v>
      </c>
      <c r="AB352">
        <v>3</v>
      </c>
      <c r="AC352">
        <v>0</v>
      </c>
      <c r="AF352" t="s">
        <v>130</v>
      </c>
      <c r="AH352">
        <v>55.98</v>
      </c>
    </row>
    <row r="353" spans="1:34" x14ac:dyDescent="0.3">
      <c r="A353" s="4">
        <v>521</v>
      </c>
      <c r="B353" s="5">
        <v>346</v>
      </c>
      <c r="C353">
        <v>5647</v>
      </c>
      <c r="D353" t="s">
        <v>27421</v>
      </c>
      <c r="E353" t="s">
        <v>560</v>
      </c>
      <c r="F353" t="s">
        <v>136</v>
      </c>
      <c r="G353" t="s">
        <v>27422</v>
      </c>
      <c r="H353">
        <v>16.95</v>
      </c>
      <c r="I353">
        <v>0</v>
      </c>
      <c r="J353">
        <v>0</v>
      </c>
      <c r="K353">
        <v>0</v>
      </c>
      <c r="N353">
        <v>3</v>
      </c>
      <c r="O353">
        <v>3</v>
      </c>
      <c r="P353">
        <v>4</v>
      </c>
      <c r="Q353">
        <v>2</v>
      </c>
      <c r="R353">
        <v>25.95</v>
      </c>
      <c r="S353">
        <v>30</v>
      </c>
      <c r="T353">
        <v>30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30</v>
      </c>
      <c r="AB353">
        <v>0</v>
      </c>
      <c r="AC353">
        <v>0</v>
      </c>
      <c r="AD353" t="s">
        <v>130</v>
      </c>
      <c r="AF353" t="s">
        <v>130</v>
      </c>
      <c r="AH353">
        <v>55.95</v>
      </c>
    </row>
    <row r="354" spans="1:34" x14ac:dyDescent="0.3">
      <c r="A354" s="4">
        <v>522</v>
      </c>
      <c r="B354" s="5">
        <v>347</v>
      </c>
      <c r="C354">
        <v>8583</v>
      </c>
      <c r="D354" t="s">
        <v>5483</v>
      </c>
      <c r="E354" t="s">
        <v>26</v>
      </c>
      <c r="F354" t="s">
        <v>38</v>
      </c>
      <c r="G354" t="s">
        <v>27423</v>
      </c>
      <c r="H354">
        <v>18.88</v>
      </c>
      <c r="I354">
        <v>0</v>
      </c>
      <c r="J354">
        <v>0</v>
      </c>
      <c r="K354">
        <v>20</v>
      </c>
      <c r="L354">
        <v>7</v>
      </c>
      <c r="O354">
        <v>7</v>
      </c>
      <c r="P354">
        <v>4</v>
      </c>
      <c r="Q354">
        <v>2</v>
      </c>
      <c r="R354">
        <v>51.88</v>
      </c>
      <c r="S354">
        <v>4</v>
      </c>
      <c r="T354">
        <v>4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4</v>
      </c>
      <c r="AB354">
        <v>0</v>
      </c>
      <c r="AC354">
        <v>0</v>
      </c>
      <c r="AD354" t="s">
        <v>130</v>
      </c>
      <c r="AF354" t="s">
        <v>130</v>
      </c>
      <c r="AH354">
        <v>55.88</v>
      </c>
    </row>
    <row r="355" spans="1:34" x14ac:dyDescent="0.3">
      <c r="A355" s="4">
        <v>523</v>
      </c>
      <c r="B355" s="5">
        <v>348</v>
      </c>
      <c r="C355">
        <v>7890</v>
      </c>
      <c r="D355" t="s">
        <v>27424</v>
      </c>
      <c r="E355" t="s">
        <v>29</v>
      </c>
      <c r="F355" t="s">
        <v>3854</v>
      </c>
      <c r="G355" t="s">
        <v>27425</v>
      </c>
      <c r="H355">
        <v>18.55</v>
      </c>
      <c r="I355">
        <v>0</v>
      </c>
      <c r="J355">
        <v>0</v>
      </c>
      <c r="K355">
        <v>20</v>
      </c>
      <c r="N355">
        <v>3</v>
      </c>
      <c r="O355">
        <v>3</v>
      </c>
      <c r="P355">
        <v>4</v>
      </c>
      <c r="Q355">
        <v>2</v>
      </c>
      <c r="R355">
        <v>47.55</v>
      </c>
      <c r="S355">
        <v>8</v>
      </c>
      <c r="T355">
        <v>8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8</v>
      </c>
      <c r="AB355">
        <v>0</v>
      </c>
      <c r="AC355">
        <v>0</v>
      </c>
      <c r="AF355" t="s">
        <v>130</v>
      </c>
      <c r="AH355">
        <v>55.55</v>
      </c>
    </row>
    <row r="356" spans="1:34" x14ac:dyDescent="0.3">
      <c r="A356" s="4">
        <v>524</v>
      </c>
      <c r="B356" s="5">
        <v>349</v>
      </c>
      <c r="C356">
        <v>6465</v>
      </c>
      <c r="D356" t="s">
        <v>27426</v>
      </c>
      <c r="E356" t="s">
        <v>161</v>
      </c>
      <c r="F356" t="s">
        <v>20</v>
      </c>
      <c r="G356" t="s">
        <v>27427</v>
      </c>
      <c r="H356">
        <v>19.5</v>
      </c>
      <c r="I356">
        <v>0</v>
      </c>
      <c r="J356">
        <v>0</v>
      </c>
      <c r="K356">
        <v>20</v>
      </c>
      <c r="L356">
        <v>7</v>
      </c>
      <c r="O356">
        <v>7</v>
      </c>
      <c r="P356">
        <v>4</v>
      </c>
      <c r="Q356">
        <v>2</v>
      </c>
      <c r="R356">
        <v>52.5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3</v>
      </c>
      <c r="AC356">
        <v>0</v>
      </c>
      <c r="AF356" t="s">
        <v>130</v>
      </c>
      <c r="AH356">
        <v>55.5</v>
      </c>
    </row>
    <row r="357" spans="1:34" x14ac:dyDescent="0.3">
      <c r="A357" s="4">
        <v>525</v>
      </c>
      <c r="B357" s="5">
        <v>350</v>
      </c>
      <c r="C357">
        <v>4753</v>
      </c>
      <c r="D357" t="s">
        <v>1299</v>
      </c>
      <c r="E357" t="s">
        <v>471</v>
      </c>
      <c r="F357" t="s">
        <v>38</v>
      </c>
      <c r="G357" t="s">
        <v>27428</v>
      </c>
      <c r="H357">
        <v>15.45</v>
      </c>
      <c r="I357">
        <v>0</v>
      </c>
      <c r="J357">
        <v>0</v>
      </c>
      <c r="K357">
        <v>20</v>
      </c>
      <c r="L357">
        <v>14</v>
      </c>
      <c r="O357">
        <v>14</v>
      </c>
      <c r="P357">
        <v>4</v>
      </c>
      <c r="Q357">
        <v>2</v>
      </c>
      <c r="R357">
        <v>55.45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F357" t="s">
        <v>130</v>
      </c>
      <c r="AH357">
        <v>55.45</v>
      </c>
    </row>
    <row r="358" spans="1:34" x14ac:dyDescent="0.3">
      <c r="A358" s="4">
        <v>526</v>
      </c>
      <c r="B358" s="5">
        <v>351</v>
      </c>
      <c r="C358">
        <v>13442</v>
      </c>
      <c r="D358" t="s">
        <v>27429</v>
      </c>
      <c r="E358" t="s">
        <v>789</v>
      </c>
      <c r="F358" t="s">
        <v>2998</v>
      </c>
      <c r="G358" t="s">
        <v>27430</v>
      </c>
      <c r="H358">
        <v>17.98</v>
      </c>
      <c r="I358">
        <v>0</v>
      </c>
      <c r="J358">
        <v>0</v>
      </c>
      <c r="K358">
        <v>20</v>
      </c>
      <c r="L358">
        <v>7</v>
      </c>
      <c r="O358">
        <v>7</v>
      </c>
      <c r="P358">
        <v>4</v>
      </c>
      <c r="Q358">
        <v>0</v>
      </c>
      <c r="R358">
        <v>48.98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6</v>
      </c>
      <c r="AC358">
        <v>0</v>
      </c>
      <c r="AF358" t="s">
        <v>130</v>
      </c>
      <c r="AH358">
        <v>54.98</v>
      </c>
    </row>
    <row r="359" spans="1:34" x14ac:dyDescent="0.3">
      <c r="A359" s="4">
        <v>527</v>
      </c>
      <c r="B359" s="5">
        <v>352</v>
      </c>
      <c r="C359">
        <v>8321</v>
      </c>
      <c r="D359" t="s">
        <v>2554</v>
      </c>
      <c r="E359" t="s">
        <v>166</v>
      </c>
      <c r="F359" t="s">
        <v>17</v>
      </c>
      <c r="G359" t="s">
        <v>27431</v>
      </c>
      <c r="H359">
        <v>19.93</v>
      </c>
      <c r="I359">
        <v>0</v>
      </c>
      <c r="J359">
        <v>0</v>
      </c>
      <c r="K359">
        <v>20</v>
      </c>
      <c r="N359">
        <v>3</v>
      </c>
      <c r="O359">
        <v>3</v>
      </c>
      <c r="P359">
        <v>4</v>
      </c>
      <c r="Q359">
        <v>2</v>
      </c>
      <c r="R359">
        <v>48.93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6</v>
      </c>
      <c r="AC359">
        <v>0</v>
      </c>
      <c r="AF359" t="s">
        <v>130</v>
      </c>
      <c r="AH359">
        <v>54.93</v>
      </c>
    </row>
    <row r="360" spans="1:34" x14ac:dyDescent="0.3">
      <c r="A360" s="4">
        <v>528</v>
      </c>
      <c r="B360" s="5">
        <v>353</v>
      </c>
      <c r="C360">
        <v>5211</v>
      </c>
      <c r="D360" t="s">
        <v>18841</v>
      </c>
      <c r="E360" t="s">
        <v>88</v>
      </c>
      <c r="F360" t="s">
        <v>38</v>
      </c>
      <c r="G360" t="s">
        <v>27432</v>
      </c>
      <c r="H360">
        <v>17.600000000000001</v>
      </c>
      <c r="I360">
        <v>0</v>
      </c>
      <c r="J360">
        <v>0</v>
      </c>
      <c r="K360">
        <v>0</v>
      </c>
      <c r="N360">
        <v>3</v>
      </c>
      <c r="O360">
        <v>3</v>
      </c>
      <c r="P360">
        <v>4</v>
      </c>
      <c r="Q360">
        <v>2</v>
      </c>
      <c r="R360">
        <v>26.6</v>
      </c>
      <c r="S360">
        <v>28</v>
      </c>
      <c r="T360">
        <v>28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28</v>
      </c>
      <c r="AB360">
        <v>0</v>
      </c>
      <c r="AC360">
        <v>0</v>
      </c>
      <c r="AD360" t="s">
        <v>130</v>
      </c>
      <c r="AF360" t="s">
        <v>130</v>
      </c>
      <c r="AH360">
        <v>54.6</v>
      </c>
    </row>
    <row r="361" spans="1:34" x14ac:dyDescent="0.3">
      <c r="A361" s="4">
        <v>529</v>
      </c>
      <c r="B361" s="5">
        <v>354</v>
      </c>
      <c r="C361">
        <v>8477</v>
      </c>
      <c r="D361" t="s">
        <v>2486</v>
      </c>
      <c r="E361" t="s">
        <v>188</v>
      </c>
      <c r="F361" t="s">
        <v>68</v>
      </c>
      <c r="G361" t="s">
        <v>27433</v>
      </c>
      <c r="H361">
        <v>17.45</v>
      </c>
      <c r="I361">
        <v>7</v>
      </c>
      <c r="J361">
        <v>0</v>
      </c>
      <c r="K361">
        <v>20</v>
      </c>
      <c r="N361">
        <v>3</v>
      </c>
      <c r="O361">
        <v>3</v>
      </c>
      <c r="P361">
        <v>4</v>
      </c>
      <c r="Q361">
        <v>0</v>
      </c>
      <c r="R361">
        <v>51.45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3</v>
      </c>
      <c r="AC361">
        <v>0</v>
      </c>
      <c r="AD361" t="s">
        <v>130</v>
      </c>
      <c r="AF361" t="s">
        <v>130</v>
      </c>
      <c r="AH361">
        <v>54.45</v>
      </c>
    </row>
    <row r="362" spans="1:34" x14ac:dyDescent="0.3">
      <c r="A362" s="4">
        <v>530</v>
      </c>
      <c r="B362" s="5">
        <v>355</v>
      </c>
      <c r="C362">
        <v>14030</v>
      </c>
      <c r="D362" t="s">
        <v>181</v>
      </c>
      <c r="E362" t="s">
        <v>149</v>
      </c>
      <c r="F362" t="s">
        <v>328</v>
      </c>
      <c r="G362" t="s">
        <v>27434</v>
      </c>
      <c r="H362">
        <v>17.38</v>
      </c>
      <c r="I362">
        <v>0</v>
      </c>
      <c r="J362">
        <v>0</v>
      </c>
      <c r="K362">
        <v>0</v>
      </c>
      <c r="N362">
        <v>3</v>
      </c>
      <c r="O362">
        <v>3</v>
      </c>
      <c r="P362">
        <v>4</v>
      </c>
      <c r="Q362">
        <v>2</v>
      </c>
      <c r="R362">
        <v>26.38</v>
      </c>
      <c r="S362">
        <v>28</v>
      </c>
      <c r="T362">
        <v>28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28</v>
      </c>
      <c r="AB362">
        <v>0</v>
      </c>
      <c r="AC362">
        <v>0</v>
      </c>
      <c r="AF362" t="s">
        <v>130</v>
      </c>
      <c r="AH362">
        <v>54.38</v>
      </c>
    </row>
    <row r="363" spans="1:34" x14ac:dyDescent="0.3">
      <c r="A363" s="4">
        <v>531</v>
      </c>
      <c r="B363" s="5">
        <v>356</v>
      </c>
      <c r="C363">
        <v>67</v>
      </c>
      <c r="D363" t="s">
        <v>27435</v>
      </c>
      <c r="E363" t="s">
        <v>406</v>
      </c>
      <c r="F363" t="s">
        <v>81</v>
      </c>
      <c r="G363" t="s">
        <v>27436</v>
      </c>
      <c r="H363">
        <v>17.350000000000001</v>
      </c>
      <c r="I363">
        <v>0</v>
      </c>
      <c r="J363">
        <v>0</v>
      </c>
      <c r="K363">
        <v>20</v>
      </c>
      <c r="N363">
        <v>3</v>
      </c>
      <c r="O363">
        <v>3</v>
      </c>
      <c r="P363">
        <v>4</v>
      </c>
      <c r="Q363">
        <v>2</v>
      </c>
      <c r="R363">
        <v>46.35</v>
      </c>
      <c r="S363">
        <v>8</v>
      </c>
      <c r="T363">
        <v>8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8</v>
      </c>
      <c r="AB363">
        <v>0</v>
      </c>
      <c r="AC363">
        <v>0</v>
      </c>
      <c r="AD363" t="s">
        <v>130</v>
      </c>
      <c r="AF363" t="s">
        <v>130</v>
      </c>
      <c r="AH363">
        <v>54.35</v>
      </c>
    </row>
    <row r="364" spans="1:34" x14ac:dyDescent="0.3">
      <c r="A364" s="4">
        <v>532</v>
      </c>
      <c r="B364" s="5">
        <v>357</v>
      </c>
      <c r="C364">
        <v>13716</v>
      </c>
      <c r="D364" t="s">
        <v>67</v>
      </c>
      <c r="E364" t="s">
        <v>29</v>
      </c>
      <c r="F364" t="s">
        <v>10326</v>
      </c>
      <c r="G364" t="s">
        <v>27437</v>
      </c>
      <c r="H364">
        <v>18.3</v>
      </c>
      <c r="I364">
        <v>7</v>
      </c>
      <c r="J364">
        <v>0</v>
      </c>
      <c r="K364">
        <v>20</v>
      </c>
      <c r="N364">
        <v>3</v>
      </c>
      <c r="O364">
        <v>3</v>
      </c>
      <c r="P364">
        <v>0</v>
      </c>
      <c r="Q364">
        <v>0</v>
      </c>
      <c r="R364">
        <v>48.3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6</v>
      </c>
      <c r="AC364">
        <v>0</v>
      </c>
      <c r="AF364" t="s">
        <v>130</v>
      </c>
      <c r="AH364">
        <v>54.3</v>
      </c>
    </row>
    <row r="365" spans="1:34" x14ac:dyDescent="0.3">
      <c r="A365" s="4">
        <v>533</v>
      </c>
      <c r="B365" s="5">
        <v>358</v>
      </c>
      <c r="C365">
        <v>2718</v>
      </c>
      <c r="D365" t="s">
        <v>27438</v>
      </c>
      <c r="E365" t="s">
        <v>27439</v>
      </c>
      <c r="F365" t="s">
        <v>38</v>
      </c>
      <c r="G365" t="s">
        <v>27440</v>
      </c>
      <c r="H365">
        <v>21.28</v>
      </c>
      <c r="I365">
        <v>0</v>
      </c>
      <c r="J365">
        <v>0</v>
      </c>
      <c r="K365">
        <v>20</v>
      </c>
      <c r="L365">
        <v>7</v>
      </c>
      <c r="O365">
        <v>7</v>
      </c>
      <c r="P365">
        <v>4</v>
      </c>
      <c r="Q365">
        <v>2</v>
      </c>
      <c r="R365">
        <v>54.28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F365" t="s">
        <v>130</v>
      </c>
      <c r="AH365">
        <v>54.28</v>
      </c>
    </row>
    <row r="366" spans="1:34" x14ac:dyDescent="0.3">
      <c r="A366" s="4">
        <v>534</v>
      </c>
      <c r="B366" s="5">
        <v>359</v>
      </c>
      <c r="C366">
        <v>8812</v>
      </c>
      <c r="D366" t="s">
        <v>2008</v>
      </c>
      <c r="E366" t="s">
        <v>29</v>
      </c>
      <c r="F366" t="s">
        <v>81</v>
      </c>
      <c r="G366" t="s">
        <v>27441</v>
      </c>
      <c r="H366">
        <v>18.079999999999998</v>
      </c>
      <c r="I366">
        <v>0</v>
      </c>
      <c r="J366">
        <v>0</v>
      </c>
      <c r="K366">
        <v>0</v>
      </c>
      <c r="N366">
        <v>3</v>
      </c>
      <c r="O366">
        <v>3</v>
      </c>
      <c r="P366">
        <v>4</v>
      </c>
      <c r="Q366">
        <v>2</v>
      </c>
      <c r="R366">
        <v>27.08</v>
      </c>
      <c r="S366">
        <v>27</v>
      </c>
      <c r="T366">
        <v>27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27</v>
      </c>
      <c r="AB366">
        <v>0</v>
      </c>
      <c r="AC366">
        <v>0</v>
      </c>
      <c r="AD366" t="s">
        <v>130</v>
      </c>
      <c r="AF366" t="s">
        <v>130</v>
      </c>
      <c r="AH366">
        <v>54.08</v>
      </c>
    </row>
    <row r="367" spans="1:34" x14ac:dyDescent="0.3">
      <c r="A367" s="4">
        <v>535</v>
      </c>
      <c r="B367" s="5">
        <v>360</v>
      </c>
      <c r="C367">
        <v>11744</v>
      </c>
      <c r="D367" t="s">
        <v>23876</v>
      </c>
      <c r="E367" t="s">
        <v>27442</v>
      </c>
      <c r="F367" t="s">
        <v>652</v>
      </c>
      <c r="G367" t="s">
        <v>27443</v>
      </c>
      <c r="H367">
        <v>19.850000000000001</v>
      </c>
      <c r="I367">
        <v>0</v>
      </c>
      <c r="J367">
        <v>0</v>
      </c>
      <c r="K367">
        <v>20</v>
      </c>
      <c r="O367">
        <v>0</v>
      </c>
      <c r="P367">
        <v>4</v>
      </c>
      <c r="Q367">
        <v>2</v>
      </c>
      <c r="R367">
        <v>45.85</v>
      </c>
      <c r="S367">
        <v>8</v>
      </c>
      <c r="T367">
        <v>8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8</v>
      </c>
      <c r="AB367">
        <v>0</v>
      </c>
      <c r="AC367">
        <v>0</v>
      </c>
      <c r="AD367" t="s">
        <v>130</v>
      </c>
      <c r="AF367" t="s">
        <v>130</v>
      </c>
      <c r="AH367">
        <v>53.85</v>
      </c>
    </row>
    <row r="368" spans="1:34" x14ac:dyDescent="0.3">
      <c r="A368" s="4">
        <v>536</v>
      </c>
      <c r="B368" s="5">
        <v>361</v>
      </c>
      <c r="C368">
        <v>9668</v>
      </c>
      <c r="D368" t="s">
        <v>27444</v>
      </c>
      <c r="E368" t="s">
        <v>29</v>
      </c>
      <c r="F368" t="s">
        <v>38</v>
      </c>
      <c r="G368" t="s">
        <v>27445</v>
      </c>
      <c r="H368">
        <v>17.7</v>
      </c>
      <c r="I368">
        <v>0</v>
      </c>
      <c r="J368">
        <v>0</v>
      </c>
      <c r="K368">
        <v>0</v>
      </c>
      <c r="L368">
        <v>7</v>
      </c>
      <c r="O368">
        <v>7</v>
      </c>
      <c r="P368">
        <v>4</v>
      </c>
      <c r="Q368">
        <v>2</v>
      </c>
      <c r="R368">
        <v>30.7</v>
      </c>
      <c r="S368">
        <v>17</v>
      </c>
      <c r="T368">
        <v>17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17</v>
      </c>
      <c r="AB368">
        <v>6</v>
      </c>
      <c r="AC368">
        <v>0</v>
      </c>
      <c r="AD368" t="s">
        <v>130</v>
      </c>
      <c r="AF368" t="s">
        <v>130</v>
      </c>
      <c r="AH368">
        <v>53.7</v>
      </c>
    </row>
    <row r="369" spans="1:34" x14ac:dyDescent="0.3">
      <c r="A369" s="4">
        <v>537</v>
      </c>
      <c r="B369" s="5">
        <v>362</v>
      </c>
      <c r="C369">
        <v>4859</v>
      </c>
      <c r="D369" t="s">
        <v>27446</v>
      </c>
      <c r="E369" t="s">
        <v>406</v>
      </c>
      <c r="F369" t="s">
        <v>136</v>
      </c>
      <c r="G369" t="s">
        <v>27447</v>
      </c>
      <c r="H369">
        <v>18.7</v>
      </c>
      <c r="I369">
        <v>0</v>
      </c>
      <c r="J369">
        <v>0</v>
      </c>
      <c r="K369">
        <v>0</v>
      </c>
      <c r="L369">
        <v>7</v>
      </c>
      <c r="O369">
        <v>7</v>
      </c>
      <c r="P369">
        <v>4</v>
      </c>
      <c r="Q369">
        <v>2</v>
      </c>
      <c r="R369">
        <v>31.7</v>
      </c>
      <c r="S369">
        <v>22</v>
      </c>
      <c r="T369">
        <v>22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22</v>
      </c>
      <c r="AB369">
        <v>0</v>
      </c>
      <c r="AC369">
        <v>0</v>
      </c>
      <c r="AF369" t="s">
        <v>130</v>
      </c>
      <c r="AH369">
        <v>53.7</v>
      </c>
    </row>
    <row r="370" spans="1:34" x14ac:dyDescent="0.3">
      <c r="A370" s="4">
        <v>538</v>
      </c>
      <c r="B370" s="5">
        <v>363</v>
      </c>
      <c r="C370">
        <v>6466</v>
      </c>
      <c r="D370" t="s">
        <v>27448</v>
      </c>
      <c r="E370" t="s">
        <v>1367</v>
      </c>
      <c r="F370" t="s">
        <v>20</v>
      </c>
      <c r="G370" t="s">
        <v>27449</v>
      </c>
      <c r="H370">
        <v>17.649999999999999</v>
      </c>
      <c r="I370">
        <v>0</v>
      </c>
      <c r="J370">
        <v>0</v>
      </c>
      <c r="K370">
        <v>0</v>
      </c>
      <c r="N370">
        <v>3</v>
      </c>
      <c r="O370">
        <v>3</v>
      </c>
      <c r="P370">
        <v>4</v>
      </c>
      <c r="Q370">
        <v>2</v>
      </c>
      <c r="R370">
        <v>26.65</v>
      </c>
      <c r="S370">
        <v>27</v>
      </c>
      <c r="T370">
        <v>27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27</v>
      </c>
      <c r="AB370">
        <v>0</v>
      </c>
      <c r="AC370">
        <v>0</v>
      </c>
      <c r="AE370" t="s">
        <v>130</v>
      </c>
      <c r="AF370" t="s">
        <v>130</v>
      </c>
      <c r="AH370">
        <v>53.65</v>
      </c>
    </row>
    <row r="371" spans="1:34" x14ac:dyDescent="0.3">
      <c r="A371" s="4">
        <v>539</v>
      </c>
      <c r="B371" s="5">
        <v>364</v>
      </c>
      <c r="C371">
        <v>3381</v>
      </c>
      <c r="D371" t="s">
        <v>1669</v>
      </c>
      <c r="E371" t="s">
        <v>54</v>
      </c>
      <c r="F371" t="s">
        <v>27450</v>
      </c>
      <c r="G371" t="s">
        <v>27451</v>
      </c>
      <c r="H371">
        <v>18.55</v>
      </c>
      <c r="I371">
        <v>0</v>
      </c>
      <c r="J371">
        <v>0</v>
      </c>
      <c r="K371">
        <v>20</v>
      </c>
      <c r="N371">
        <v>3</v>
      </c>
      <c r="O371">
        <v>3</v>
      </c>
      <c r="P371">
        <v>4</v>
      </c>
      <c r="Q371">
        <v>2</v>
      </c>
      <c r="R371">
        <v>47.55</v>
      </c>
      <c r="S371">
        <v>6</v>
      </c>
      <c r="T371">
        <v>6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6</v>
      </c>
      <c r="AB371">
        <v>0</v>
      </c>
      <c r="AC371">
        <v>0</v>
      </c>
      <c r="AF371" t="s">
        <v>130</v>
      </c>
      <c r="AH371">
        <v>53.55</v>
      </c>
    </row>
    <row r="372" spans="1:34" x14ac:dyDescent="0.3">
      <c r="A372" s="4">
        <v>540</v>
      </c>
      <c r="B372" s="5">
        <v>365</v>
      </c>
      <c r="C372">
        <v>7277</v>
      </c>
      <c r="D372" t="s">
        <v>8964</v>
      </c>
      <c r="E372" t="s">
        <v>29</v>
      </c>
      <c r="F372" t="s">
        <v>136</v>
      </c>
      <c r="G372" t="s">
        <v>27452</v>
      </c>
      <c r="H372">
        <v>19.5</v>
      </c>
      <c r="I372">
        <v>0</v>
      </c>
      <c r="J372">
        <v>0</v>
      </c>
      <c r="K372">
        <v>0</v>
      </c>
      <c r="L372">
        <v>7</v>
      </c>
      <c r="O372">
        <v>7</v>
      </c>
      <c r="P372">
        <v>4</v>
      </c>
      <c r="Q372">
        <v>0</v>
      </c>
      <c r="R372">
        <v>30.5</v>
      </c>
      <c r="S372">
        <v>17</v>
      </c>
      <c r="T372">
        <v>17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17</v>
      </c>
      <c r="AB372">
        <v>6</v>
      </c>
      <c r="AC372">
        <v>0</v>
      </c>
      <c r="AF372" t="s">
        <v>130</v>
      </c>
      <c r="AH372">
        <v>53.5</v>
      </c>
    </row>
    <row r="373" spans="1:34" x14ac:dyDescent="0.3">
      <c r="A373" s="4">
        <v>541</v>
      </c>
      <c r="B373" s="5">
        <v>366</v>
      </c>
      <c r="C373">
        <v>11449</v>
      </c>
      <c r="D373" t="s">
        <v>3027</v>
      </c>
      <c r="E373" t="s">
        <v>29</v>
      </c>
      <c r="F373" t="s">
        <v>167</v>
      </c>
      <c r="G373" t="s">
        <v>27453</v>
      </c>
      <c r="H373">
        <v>18.48</v>
      </c>
      <c r="I373">
        <v>0</v>
      </c>
      <c r="J373">
        <v>0</v>
      </c>
      <c r="K373">
        <v>20</v>
      </c>
      <c r="N373">
        <v>3</v>
      </c>
      <c r="O373">
        <v>3</v>
      </c>
      <c r="P373">
        <v>4</v>
      </c>
      <c r="Q373">
        <v>2</v>
      </c>
      <c r="R373">
        <v>47.48</v>
      </c>
      <c r="S373">
        <v>3</v>
      </c>
      <c r="T373">
        <v>3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3</v>
      </c>
      <c r="AB373">
        <v>3</v>
      </c>
      <c r="AC373">
        <v>0</v>
      </c>
      <c r="AF373" t="s">
        <v>130</v>
      </c>
      <c r="AH373">
        <v>53.48</v>
      </c>
    </row>
    <row r="374" spans="1:34" x14ac:dyDescent="0.3">
      <c r="A374" s="4">
        <v>542</v>
      </c>
      <c r="B374" s="5">
        <v>367</v>
      </c>
      <c r="C374">
        <v>13049</v>
      </c>
      <c r="D374" t="s">
        <v>565</v>
      </c>
      <c r="E374" t="s">
        <v>41</v>
      </c>
      <c r="F374" t="s">
        <v>117</v>
      </c>
      <c r="G374" t="s">
        <v>27454</v>
      </c>
      <c r="H374">
        <v>17.48</v>
      </c>
      <c r="I374">
        <v>0</v>
      </c>
      <c r="J374">
        <v>0</v>
      </c>
      <c r="K374">
        <v>0</v>
      </c>
      <c r="N374">
        <v>3</v>
      </c>
      <c r="O374">
        <v>3</v>
      </c>
      <c r="P374">
        <v>4</v>
      </c>
      <c r="Q374">
        <v>0</v>
      </c>
      <c r="R374">
        <v>24.48</v>
      </c>
      <c r="S374">
        <v>26</v>
      </c>
      <c r="T374">
        <v>26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26</v>
      </c>
      <c r="AB374">
        <v>3</v>
      </c>
      <c r="AC374">
        <v>0</v>
      </c>
      <c r="AF374" t="s">
        <v>130</v>
      </c>
      <c r="AH374">
        <v>53.48</v>
      </c>
    </row>
    <row r="375" spans="1:34" x14ac:dyDescent="0.3">
      <c r="A375" s="4">
        <v>543</v>
      </c>
      <c r="B375" s="5">
        <v>368</v>
      </c>
      <c r="C375">
        <v>2667</v>
      </c>
      <c r="D375" t="s">
        <v>357</v>
      </c>
      <c r="E375" t="s">
        <v>1659</v>
      </c>
      <c r="F375" t="s">
        <v>361</v>
      </c>
      <c r="G375" t="s">
        <v>27455</v>
      </c>
      <c r="H375">
        <v>18.45</v>
      </c>
      <c r="I375">
        <v>0</v>
      </c>
      <c r="J375">
        <v>0</v>
      </c>
      <c r="K375">
        <v>20</v>
      </c>
      <c r="N375">
        <v>3</v>
      </c>
      <c r="O375">
        <v>3</v>
      </c>
      <c r="P375">
        <v>4</v>
      </c>
      <c r="Q375">
        <v>2</v>
      </c>
      <c r="R375">
        <v>47.45</v>
      </c>
      <c r="S375">
        <v>6</v>
      </c>
      <c r="T375">
        <v>6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6</v>
      </c>
      <c r="AB375">
        <v>0</v>
      </c>
      <c r="AC375">
        <v>0</v>
      </c>
      <c r="AF375" t="s">
        <v>130</v>
      </c>
      <c r="AH375">
        <v>53.45</v>
      </c>
    </row>
    <row r="376" spans="1:34" x14ac:dyDescent="0.3">
      <c r="A376" s="4">
        <v>544</v>
      </c>
      <c r="B376" s="5">
        <v>369</v>
      </c>
      <c r="C376">
        <v>8665</v>
      </c>
      <c r="D376" t="s">
        <v>11281</v>
      </c>
      <c r="E376" t="s">
        <v>400</v>
      </c>
      <c r="F376" t="s">
        <v>62</v>
      </c>
      <c r="G376" t="s">
        <v>27456</v>
      </c>
      <c r="H376">
        <v>18.43</v>
      </c>
      <c r="I376">
        <v>0</v>
      </c>
      <c r="J376">
        <v>0</v>
      </c>
      <c r="K376">
        <v>0</v>
      </c>
      <c r="N376">
        <v>3</v>
      </c>
      <c r="O376">
        <v>3</v>
      </c>
      <c r="P376">
        <v>4</v>
      </c>
      <c r="Q376">
        <v>2</v>
      </c>
      <c r="R376">
        <v>27.43</v>
      </c>
      <c r="S376">
        <v>20</v>
      </c>
      <c r="T376">
        <v>20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20</v>
      </c>
      <c r="AB376">
        <v>6</v>
      </c>
      <c r="AC376">
        <v>0</v>
      </c>
      <c r="AF376" t="s">
        <v>130</v>
      </c>
      <c r="AH376">
        <v>53.43</v>
      </c>
    </row>
    <row r="377" spans="1:34" x14ac:dyDescent="0.3">
      <c r="A377" s="4">
        <v>545</v>
      </c>
      <c r="B377" s="5">
        <v>370</v>
      </c>
      <c r="C377">
        <v>13352</v>
      </c>
      <c r="D377" t="s">
        <v>16657</v>
      </c>
      <c r="E377" t="s">
        <v>166</v>
      </c>
      <c r="F377" t="s">
        <v>68</v>
      </c>
      <c r="G377" t="s">
        <v>27457</v>
      </c>
      <c r="H377">
        <v>17.38</v>
      </c>
      <c r="I377">
        <v>0</v>
      </c>
      <c r="J377">
        <v>0</v>
      </c>
      <c r="K377">
        <v>0</v>
      </c>
      <c r="M377">
        <v>5</v>
      </c>
      <c r="O377">
        <v>5</v>
      </c>
      <c r="P377">
        <v>4</v>
      </c>
      <c r="Q377">
        <v>2</v>
      </c>
      <c r="R377">
        <v>28.38</v>
      </c>
      <c r="S377">
        <v>13</v>
      </c>
      <c r="T377">
        <v>13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13</v>
      </c>
      <c r="AB377">
        <v>12</v>
      </c>
      <c r="AC377">
        <v>0</v>
      </c>
      <c r="AF377" t="s">
        <v>130</v>
      </c>
      <c r="AH377">
        <v>53.38</v>
      </c>
    </row>
    <row r="378" spans="1:34" x14ac:dyDescent="0.3">
      <c r="A378" s="4">
        <v>546</v>
      </c>
      <c r="B378" s="5">
        <v>371</v>
      </c>
      <c r="C378">
        <v>3626</v>
      </c>
      <c r="D378" t="s">
        <v>2227</v>
      </c>
      <c r="E378" t="s">
        <v>258</v>
      </c>
      <c r="F378" t="s">
        <v>17</v>
      </c>
      <c r="G378" t="s">
        <v>27458</v>
      </c>
      <c r="H378">
        <v>20.350000000000001</v>
      </c>
      <c r="I378">
        <v>0</v>
      </c>
      <c r="J378">
        <v>0</v>
      </c>
      <c r="K378">
        <v>20</v>
      </c>
      <c r="L378">
        <v>7</v>
      </c>
      <c r="O378">
        <v>7</v>
      </c>
      <c r="P378">
        <v>4</v>
      </c>
      <c r="Q378">
        <v>2</v>
      </c>
      <c r="R378">
        <v>53.35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 t="s">
        <v>130</v>
      </c>
      <c r="AF378" t="s">
        <v>130</v>
      </c>
      <c r="AH378">
        <v>53.35</v>
      </c>
    </row>
    <row r="379" spans="1:34" x14ac:dyDescent="0.3">
      <c r="A379" s="4">
        <v>547</v>
      </c>
      <c r="B379" s="5">
        <v>372</v>
      </c>
      <c r="C379">
        <v>12883</v>
      </c>
      <c r="D379" t="s">
        <v>731</v>
      </c>
      <c r="E379" t="s">
        <v>29</v>
      </c>
      <c r="F379" t="s">
        <v>38</v>
      </c>
      <c r="G379" t="s">
        <v>27459</v>
      </c>
      <c r="H379">
        <v>20.329999999999998</v>
      </c>
      <c r="I379">
        <v>0</v>
      </c>
      <c r="J379">
        <v>0</v>
      </c>
      <c r="K379">
        <v>20</v>
      </c>
      <c r="L379">
        <v>7</v>
      </c>
      <c r="O379">
        <v>7</v>
      </c>
      <c r="P379">
        <v>4</v>
      </c>
      <c r="Q379">
        <v>2</v>
      </c>
      <c r="R379">
        <v>53.33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F379" t="s">
        <v>130</v>
      </c>
      <c r="AH379">
        <v>53.33</v>
      </c>
    </row>
    <row r="380" spans="1:34" x14ac:dyDescent="0.3">
      <c r="A380" s="4">
        <v>549</v>
      </c>
      <c r="B380" s="5">
        <v>373</v>
      </c>
      <c r="C380">
        <v>246</v>
      </c>
      <c r="D380" t="s">
        <v>27460</v>
      </c>
      <c r="E380" t="s">
        <v>424</v>
      </c>
      <c r="F380" t="s">
        <v>1023</v>
      </c>
      <c r="G380" t="s">
        <v>27461</v>
      </c>
      <c r="H380">
        <v>19.100000000000001</v>
      </c>
      <c r="I380">
        <v>0</v>
      </c>
      <c r="J380">
        <v>0</v>
      </c>
      <c r="K380">
        <v>20</v>
      </c>
      <c r="L380">
        <v>7</v>
      </c>
      <c r="N380">
        <v>3</v>
      </c>
      <c r="O380">
        <v>10</v>
      </c>
      <c r="P380">
        <v>0</v>
      </c>
      <c r="Q380">
        <v>2</v>
      </c>
      <c r="R380">
        <v>51.1</v>
      </c>
      <c r="S380">
        <v>2</v>
      </c>
      <c r="T380">
        <v>2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2</v>
      </c>
      <c r="AB380">
        <v>0</v>
      </c>
      <c r="AC380">
        <v>0</v>
      </c>
      <c r="AD380" t="s">
        <v>130</v>
      </c>
      <c r="AF380" t="s">
        <v>130</v>
      </c>
      <c r="AH380">
        <v>53.1</v>
      </c>
    </row>
    <row r="381" spans="1:34" x14ac:dyDescent="0.3">
      <c r="A381" s="4">
        <v>550</v>
      </c>
      <c r="B381" s="5">
        <v>374</v>
      </c>
      <c r="C381">
        <v>6724</v>
      </c>
      <c r="D381" t="s">
        <v>6521</v>
      </c>
      <c r="E381" t="s">
        <v>132</v>
      </c>
      <c r="F381" t="s">
        <v>20</v>
      </c>
      <c r="G381" t="s">
        <v>27462</v>
      </c>
      <c r="H381">
        <v>16.98</v>
      </c>
      <c r="I381">
        <v>0</v>
      </c>
      <c r="J381">
        <v>0</v>
      </c>
      <c r="K381">
        <v>20</v>
      </c>
      <c r="N381">
        <v>3</v>
      </c>
      <c r="O381">
        <v>3</v>
      </c>
      <c r="P381">
        <v>4</v>
      </c>
      <c r="Q381">
        <v>0</v>
      </c>
      <c r="R381">
        <v>43.98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9</v>
      </c>
      <c r="AC381">
        <v>0</v>
      </c>
      <c r="AF381" t="s">
        <v>130</v>
      </c>
      <c r="AH381">
        <v>52.98</v>
      </c>
    </row>
    <row r="382" spans="1:34" x14ac:dyDescent="0.3">
      <c r="A382" s="4">
        <v>551</v>
      </c>
      <c r="B382" s="5">
        <v>375</v>
      </c>
      <c r="C382">
        <v>3870</v>
      </c>
      <c r="D382" t="s">
        <v>7685</v>
      </c>
      <c r="E382" t="s">
        <v>41</v>
      </c>
      <c r="F382" t="s">
        <v>30</v>
      </c>
      <c r="G382" t="s">
        <v>27463</v>
      </c>
      <c r="H382">
        <v>17.88</v>
      </c>
      <c r="I382">
        <v>0</v>
      </c>
      <c r="J382">
        <v>0</v>
      </c>
      <c r="K382">
        <v>0</v>
      </c>
      <c r="O382">
        <v>0</v>
      </c>
      <c r="P382">
        <v>4</v>
      </c>
      <c r="Q382">
        <v>2</v>
      </c>
      <c r="R382">
        <v>23.88</v>
      </c>
      <c r="S382">
        <v>26</v>
      </c>
      <c r="T382">
        <v>26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26</v>
      </c>
      <c r="AB382">
        <v>3</v>
      </c>
      <c r="AC382">
        <v>0</v>
      </c>
      <c r="AD382" t="s">
        <v>130</v>
      </c>
      <c r="AF382" t="s">
        <v>130</v>
      </c>
      <c r="AH382">
        <v>52.88</v>
      </c>
    </row>
    <row r="383" spans="1:34" x14ac:dyDescent="0.3">
      <c r="A383" s="4">
        <v>552</v>
      </c>
      <c r="B383" s="5">
        <v>376</v>
      </c>
      <c r="C383">
        <v>2400</v>
      </c>
      <c r="D383" t="s">
        <v>27401</v>
      </c>
      <c r="E383" t="s">
        <v>27464</v>
      </c>
      <c r="F383" t="s">
        <v>58</v>
      </c>
      <c r="G383" t="s">
        <v>27465</v>
      </c>
      <c r="H383">
        <v>16.73</v>
      </c>
      <c r="I383">
        <v>7</v>
      </c>
      <c r="J383">
        <v>0</v>
      </c>
      <c r="K383">
        <v>20</v>
      </c>
      <c r="N383">
        <v>3</v>
      </c>
      <c r="O383">
        <v>3</v>
      </c>
      <c r="P383">
        <v>4</v>
      </c>
      <c r="Q383">
        <v>2</v>
      </c>
      <c r="R383">
        <v>52.73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F383" t="s">
        <v>130</v>
      </c>
      <c r="AH383">
        <v>52.73</v>
      </c>
    </row>
    <row r="384" spans="1:34" x14ac:dyDescent="0.3">
      <c r="A384" s="4">
        <v>553</v>
      </c>
      <c r="B384" s="5">
        <v>377</v>
      </c>
      <c r="C384">
        <v>9577</v>
      </c>
      <c r="D384" t="s">
        <v>2154</v>
      </c>
      <c r="E384" t="s">
        <v>789</v>
      </c>
      <c r="F384" t="s">
        <v>21413</v>
      </c>
      <c r="G384" t="s">
        <v>27466</v>
      </c>
      <c r="H384">
        <v>19.579999999999998</v>
      </c>
      <c r="I384">
        <v>0</v>
      </c>
      <c r="J384">
        <v>0</v>
      </c>
      <c r="K384">
        <v>20</v>
      </c>
      <c r="L384">
        <v>7</v>
      </c>
      <c r="O384">
        <v>7</v>
      </c>
      <c r="P384">
        <v>4</v>
      </c>
      <c r="Q384">
        <v>2</v>
      </c>
      <c r="R384">
        <v>52.58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F384" t="s">
        <v>130</v>
      </c>
      <c r="AH384">
        <v>52.58</v>
      </c>
    </row>
    <row r="385" spans="1:34" x14ac:dyDescent="0.3">
      <c r="A385" s="4">
        <v>554</v>
      </c>
      <c r="B385" s="5">
        <v>378</v>
      </c>
      <c r="C385">
        <v>6322</v>
      </c>
      <c r="D385" t="s">
        <v>16184</v>
      </c>
      <c r="E385" t="s">
        <v>110</v>
      </c>
      <c r="F385" t="s">
        <v>20</v>
      </c>
      <c r="G385" t="s">
        <v>27467</v>
      </c>
      <c r="H385">
        <v>19.55</v>
      </c>
      <c r="I385">
        <v>0</v>
      </c>
      <c r="J385">
        <v>0</v>
      </c>
      <c r="K385">
        <v>0</v>
      </c>
      <c r="O385">
        <v>0</v>
      </c>
      <c r="P385">
        <v>4</v>
      </c>
      <c r="Q385">
        <v>2</v>
      </c>
      <c r="R385">
        <v>25.55</v>
      </c>
      <c r="S385">
        <v>27</v>
      </c>
      <c r="T385">
        <v>27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27</v>
      </c>
      <c r="AB385">
        <v>0</v>
      </c>
      <c r="AC385">
        <v>0</v>
      </c>
      <c r="AF385" t="s">
        <v>130</v>
      </c>
      <c r="AH385">
        <v>52.55</v>
      </c>
    </row>
    <row r="386" spans="1:34" x14ac:dyDescent="0.3">
      <c r="A386" s="4">
        <v>555</v>
      </c>
      <c r="B386" s="5">
        <v>379</v>
      </c>
      <c r="C386">
        <v>4507</v>
      </c>
      <c r="D386" t="s">
        <v>27468</v>
      </c>
      <c r="E386" t="s">
        <v>22</v>
      </c>
      <c r="F386" t="s">
        <v>741</v>
      </c>
      <c r="G386" t="s">
        <v>27469</v>
      </c>
      <c r="H386">
        <v>17.53</v>
      </c>
      <c r="I386">
        <v>0</v>
      </c>
      <c r="J386">
        <v>0</v>
      </c>
      <c r="K386">
        <v>20</v>
      </c>
      <c r="N386">
        <v>3</v>
      </c>
      <c r="O386">
        <v>3</v>
      </c>
      <c r="P386">
        <v>4</v>
      </c>
      <c r="Q386">
        <v>2</v>
      </c>
      <c r="R386">
        <v>46.53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6</v>
      </c>
      <c r="AC386">
        <v>0</v>
      </c>
      <c r="AD386" t="s">
        <v>130</v>
      </c>
      <c r="AF386" t="s">
        <v>130</v>
      </c>
      <c r="AH386">
        <v>52.53</v>
      </c>
    </row>
    <row r="387" spans="1:34" x14ac:dyDescent="0.3">
      <c r="A387" s="4">
        <v>556</v>
      </c>
      <c r="B387" s="5">
        <v>380</v>
      </c>
      <c r="C387">
        <v>14856</v>
      </c>
      <c r="D387" t="s">
        <v>27470</v>
      </c>
      <c r="E387" t="s">
        <v>110</v>
      </c>
      <c r="F387" t="s">
        <v>193</v>
      </c>
      <c r="G387" t="s">
        <v>27471</v>
      </c>
      <c r="H387">
        <v>14.4</v>
      </c>
      <c r="I387">
        <v>7</v>
      </c>
      <c r="J387">
        <v>0</v>
      </c>
      <c r="K387">
        <v>0</v>
      </c>
      <c r="N387">
        <v>3</v>
      </c>
      <c r="O387">
        <v>3</v>
      </c>
      <c r="P387">
        <v>4</v>
      </c>
      <c r="Q387">
        <v>2</v>
      </c>
      <c r="R387">
        <v>30.4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22</v>
      </c>
      <c r="AF387" t="s">
        <v>130</v>
      </c>
      <c r="AH387">
        <v>52.4</v>
      </c>
    </row>
    <row r="388" spans="1:34" x14ac:dyDescent="0.3">
      <c r="A388" s="4">
        <v>557</v>
      </c>
      <c r="B388" s="5">
        <v>381</v>
      </c>
      <c r="C388">
        <v>3311</v>
      </c>
      <c r="D388" t="s">
        <v>27472</v>
      </c>
      <c r="E388" t="s">
        <v>27473</v>
      </c>
      <c r="F388" t="s">
        <v>136</v>
      </c>
      <c r="G388" t="s">
        <v>27474</v>
      </c>
      <c r="H388">
        <v>19.38</v>
      </c>
      <c r="I388">
        <v>0</v>
      </c>
      <c r="J388">
        <v>0</v>
      </c>
      <c r="K388">
        <v>20</v>
      </c>
      <c r="L388">
        <v>7</v>
      </c>
      <c r="O388">
        <v>7</v>
      </c>
      <c r="P388">
        <v>4</v>
      </c>
      <c r="Q388">
        <v>2</v>
      </c>
      <c r="R388">
        <v>52.38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 t="s">
        <v>130</v>
      </c>
      <c r="AF388" t="s">
        <v>130</v>
      </c>
      <c r="AH388">
        <v>52.38</v>
      </c>
    </row>
    <row r="389" spans="1:34" x14ac:dyDescent="0.3">
      <c r="A389" s="4">
        <v>558</v>
      </c>
      <c r="B389" s="5">
        <v>382</v>
      </c>
      <c r="C389">
        <v>450</v>
      </c>
      <c r="D389" t="s">
        <v>27475</v>
      </c>
      <c r="E389" t="s">
        <v>29</v>
      </c>
      <c r="F389" t="s">
        <v>1000</v>
      </c>
      <c r="G389" t="s">
        <v>27476</v>
      </c>
      <c r="H389">
        <v>19.3</v>
      </c>
      <c r="I389">
        <v>0</v>
      </c>
      <c r="J389">
        <v>0</v>
      </c>
      <c r="K389">
        <v>20</v>
      </c>
      <c r="L389">
        <v>7</v>
      </c>
      <c r="O389">
        <v>7</v>
      </c>
      <c r="P389">
        <v>4</v>
      </c>
      <c r="Q389">
        <v>2</v>
      </c>
      <c r="R389">
        <v>52.3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F389" t="s">
        <v>130</v>
      </c>
      <c r="AH389">
        <v>52.3</v>
      </c>
    </row>
    <row r="390" spans="1:34" x14ac:dyDescent="0.3">
      <c r="A390" s="4">
        <v>559</v>
      </c>
      <c r="B390" s="5">
        <v>383</v>
      </c>
      <c r="C390">
        <v>8114</v>
      </c>
      <c r="D390" t="s">
        <v>27477</v>
      </c>
      <c r="E390" t="s">
        <v>1659</v>
      </c>
      <c r="F390" t="s">
        <v>20</v>
      </c>
      <c r="G390" t="s">
        <v>27478</v>
      </c>
      <c r="H390">
        <v>17.28</v>
      </c>
      <c r="I390">
        <v>0</v>
      </c>
      <c r="J390">
        <v>0</v>
      </c>
      <c r="K390">
        <v>20</v>
      </c>
      <c r="N390">
        <v>3</v>
      </c>
      <c r="O390">
        <v>3</v>
      </c>
      <c r="P390">
        <v>4</v>
      </c>
      <c r="Q390">
        <v>2</v>
      </c>
      <c r="R390">
        <v>46.28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6</v>
      </c>
      <c r="AC390">
        <v>0</v>
      </c>
      <c r="AF390" t="s">
        <v>130</v>
      </c>
      <c r="AH390">
        <v>52.28</v>
      </c>
    </row>
    <row r="391" spans="1:34" x14ac:dyDescent="0.3">
      <c r="A391" s="4">
        <v>560</v>
      </c>
      <c r="B391" s="5">
        <v>384</v>
      </c>
      <c r="C391">
        <v>4046</v>
      </c>
      <c r="D391" t="s">
        <v>12040</v>
      </c>
      <c r="E391" t="s">
        <v>41</v>
      </c>
      <c r="F391" t="s">
        <v>5060</v>
      </c>
      <c r="G391" t="s">
        <v>27479</v>
      </c>
      <c r="H391">
        <v>19.149999999999999</v>
      </c>
      <c r="I391">
        <v>0</v>
      </c>
      <c r="J391">
        <v>0</v>
      </c>
      <c r="K391">
        <v>20</v>
      </c>
      <c r="N391">
        <v>3</v>
      </c>
      <c r="O391">
        <v>3</v>
      </c>
      <c r="P391">
        <v>4</v>
      </c>
      <c r="Q391">
        <v>0</v>
      </c>
      <c r="R391">
        <v>46.15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6</v>
      </c>
      <c r="AC391">
        <v>0</v>
      </c>
      <c r="AF391" t="s">
        <v>130</v>
      </c>
      <c r="AH391">
        <v>52.15</v>
      </c>
    </row>
    <row r="392" spans="1:34" x14ac:dyDescent="0.3">
      <c r="A392" s="4">
        <v>561</v>
      </c>
      <c r="B392" s="5">
        <v>385</v>
      </c>
      <c r="C392">
        <v>12366</v>
      </c>
      <c r="D392" t="s">
        <v>27480</v>
      </c>
      <c r="E392" t="s">
        <v>320</v>
      </c>
      <c r="F392" t="s">
        <v>38</v>
      </c>
      <c r="G392" t="s">
        <v>27481</v>
      </c>
      <c r="H392">
        <v>18.13</v>
      </c>
      <c r="I392">
        <v>0</v>
      </c>
      <c r="J392">
        <v>0</v>
      </c>
      <c r="K392">
        <v>0</v>
      </c>
      <c r="L392">
        <v>7</v>
      </c>
      <c r="O392">
        <v>7</v>
      </c>
      <c r="P392">
        <v>4</v>
      </c>
      <c r="Q392">
        <v>2</v>
      </c>
      <c r="R392">
        <v>31.13</v>
      </c>
      <c r="S392">
        <v>15</v>
      </c>
      <c r="T392">
        <v>15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15</v>
      </c>
      <c r="AB392">
        <v>6</v>
      </c>
      <c r="AC392">
        <v>0</v>
      </c>
      <c r="AD392" t="s">
        <v>130</v>
      </c>
      <c r="AF392" t="s">
        <v>130</v>
      </c>
      <c r="AH392">
        <v>52.13</v>
      </c>
    </row>
    <row r="393" spans="1:34" x14ac:dyDescent="0.3">
      <c r="A393" s="4">
        <v>562</v>
      </c>
      <c r="B393" s="5">
        <v>386</v>
      </c>
      <c r="C393">
        <v>5652</v>
      </c>
      <c r="D393" t="s">
        <v>2113</v>
      </c>
      <c r="E393" t="s">
        <v>126</v>
      </c>
      <c r="F393" t="s">
        <v>91</v>
      </c>
      <c r="G393" t="s">
        <v>27482</v>
      </c>
      <c r="H393">
        <v>19.05</v>
      </c>
      <c r="I393">
        <v>0</v>
      </c>
      <c r="J393">
        <v>0</v>
      </c>
      <c r="K393">
        <v>20</v>
      </c>
      <c r="N393">
        <v>3</v>
      </c>
      <c r="O393">
        <v>3</v>
      </c>
      <c r="P393">
        <v>4</v>
      </c>
      <c r="Q393">
        <v>0</v>
      </c>
      <c r="R393">
        <v>46.05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6</v>
      </c>
      <c r="AC393">
        <v>0</v>
      </c>
      <c r="AD393" t="s">
        <v>130</v>
      </c>
      <c r="AF393" t="s">
        <v>130</v>
      </c>
      <c r="AH393">
        <v>52.05</v>
      </c>
    </row>
    <row r="394" spans="1:34" x14ac:dyDescent="0.3">
      <c r="A394" s="4">
        <v>563</v>
      </c>
      <c r="B394" s="5">
        <v>387</v>
      </c>
      <c r="C394">
        <v>13235</v>
      </c>
      <c r="D394" t="s">
        <v>24937</v>
      </c>
      <c r="E394" t="s">
        <v>27483</v>
      </c>
      <c r="F394" t="s">
        <v>167</v>
      </c>
      <c r="G394" t="s">
        <v>27484</v>
      </c>
      <c r="H394">
        <v>18</v>
      </c>
      <c r="I394">
        <v>0</v>
      </c>
      <c r="J394">
        <v>0</v>
      </c>
      <c r="K394">
        <v>20</v>
      </c>
      <c r="L394">
        <v>7</v>
      </c>
      <c r="O394">
        <v>7</v>
      </c>
      <c r="P394">
        <v>4</v>
      </c>
      <c r="Q394">
        <v>0</v>
      </c>
      <c r="R394">
        <v>49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3</v>
      </c>
      <c r="AC394">
        <v>0</v>
      </c>
      <c r="AF394" t="s">
        <v>130</v>
      </c>
      <c r="AH394">
        <v>52</v>
      </c>
    </row>
    <row r="395" spans="1:34" x14ac:dyDescent="0.3">
      <c r="A395" s="4">
        <v>564</v>
      </c>
      <c r="B395" s="5">
        <v>388</v>
      </c>
      <c r="C395">
        <v>12389</v>
      </c>
      <c r="D395" t="s">
        <v>11802</v>
      </c>
      <c r="E395" t="s">
        <v>188</v>
      </c>
      <c r="F395" t="s">
        <v>81</v>
      </c>
      <c r="G395" t="s">
        <v>27485</v>
      </c>
      <c r="H395">
        <v>19</v>
      </c>
      <c r="I395">
        <v>0</v>
      </c>
      <c r="J395">
        <v>0</v>
      </c>
      <c r="K395">
        <v>20</v>
      </c>
      <c r="L395">
        <v>7</v>
      </c>
      <c r="O395">
        <v>7</v>
      </c>
      <c r="P395">
        <v>4</v>
      </c>
      <c r="Q395">
        <v>2</v>
      </c>
      <c r="R395">
        <v>52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F395" t="s">
        <v>130</v>
      </c>
      <c r="AH395">
        <v>52</v>
      </c>
    </row>
    <row r="396" spans="1:34" x14ac:dyDescent="0.3">
      <c r="A396" s="4">
        <v>565</v>
      </c>
      <c r="B396" s="5">
        <v>389</v>
      </c>
      <c r="C396">
        <v>3897</v>
      </c>
      <c r="D396" t="s">
        <v>5849</v>
      </c>
      <c r="E396" t="s">
        <v>219</v>
      </c>
      <c r="F396" t="s">
        <v>20</v>
      </c>
      <c r="G396" t="s">
        <v>27486</v>
      </c>
      <c r="H396">
        <v>17</v>
      </c>
      <c r="I396">
        <v>0</v>
      </c>
      <c r="J396">
        <v>0</v>
      </c>
      <c r="K396">
        <v>20</v>
      </c>
      <c r="L396">
        <v>7</v>
      </c>
      <c r="O396">
        <v>7</v>
      </c>
      <c r="P396">
        <v>4</v>
      </c>
      <c r="Q396">
        <v>2</v>
      </c>
      <c r="R396">
        <v>50</v>
      </c>
      <c r="S396">
        <v>2</v>
      </c>
      <c r="T396">
        <v>2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2</v>
      </c>
      <c r="AB396">
        <v>0</v>
      </c>
      <c r="AC396">
        <v>0</v>
      </c>
      <c r="AF396" t="s">
        <v>130</v>
      </c>
      <c r="AH396">
        <v>52</v>
      </c>
    </row>
    <row r="397" spans="1:34" x14ac:dyDescent="0.3">
      <c r="A397" s="4">
        <v>566</v>
      </c>
      <c r="B397" s="5">
        <v>390</v>
      </c>
      <c r="C397">
        <v>1697</v>
      </c>
      <c r="D397" t="s">
        <v>27487</v>
      </c>
      <c r="E397" t="s">
        <v>27488</v>
      </c>
      <c r="F397" t="s">
        <v>652</v>
      </c>
      <c r="G397" t="s">
        <v>27489</v>
      </c>
      <c r="H397">
        <v>18.95</v>
      </c>
      <c r="I397">
        <v>0</v>
      </c>
      <c r="J397">
        <v>0</v>
      </c>
      <c r="K397">
        <v>0</v>
      </c>
      <c r="L397">
        <v>7</v>
      </c>
      <c r="N397">
        <v>3</v>
      </c>
      <c r="O397">
        <v>10</v>
      </c>
      <c r="P397">
        <v>4</v>
      </c>
      <c r="Q397">
        <v>2</v>
      </c>
      <c r="R397">
        <v>34.950000000000003</v>
      </c>
      <c r="S397">
        <v>17</v>
      </c>
      <c r="T397">
        <v>17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17</v>
      </c>
      <c r="AB397">
        <v>0</v>
      </c>
      <c r="AC397">
        <v>0</v>
      </c>
      <c r="AF397" t="s">
        <v>130</v>
      </c>
      <c r="AH397">
        <v>51.95</v>
      </c>
    </row>
    <row r="398" spans="1:34" x14ac:dyDescent="0.3">
      <c r="A398" s="4">
        <v>567</v>
      </c>
      <c r="B398" s="5">
        <v>391</v>
      </c>
      <c r="C398">
        <v>9732</v>
      </c>
      <c r="D398" t="s">
        <v>12030</v>
      </c>
      <c r="E398" t="s">
        <v>22</v>
      </c>
      <c r="F398" t="s">
        <v>892</v>
      </c>
      <c r="G398" t="s">
        <v>27490</v>
      </c>
      <c r="H398">
        <v>17.850000000000001</v>
      </c>
      <c r="I398">
        <v>0</v>
      </c>
      <c r="J398">
        <v>0</v>
      </c>
      <c r="K398">
        <v>20</v>
      </c>
      <c r="N398">
        <v>3</v>
      </c>
      <c r="O398">
        <v>3</v>
      </c>
      <c r="P398">
        <v>4</v>
      </c>
      <c r="Q398">
        <v>2</v>
      </c>
      <c r="R398">
        <v>46.85</v>
      </c>
      <c r="S398">
        <v>5</v>
      </c>
      <c r="T398">
        <v>5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5</v>
      </c>
      <c r="AB398">
        <v>0</v>
      </c>
      <c r="AC398">
        <v>0</v>
      </c>
      <c r="AF398" t="s">
        <v>130</v>
      </c>
      <c r="AH398">
        <v>51.85</v>
      </c>
    </row>
    <row r="399" spans="1:34" x14ac:dyDescent="0.3">
      <c r="A399" s="4">
        <v>568</v>
      </c>
      <c r="B399" s="5">
        <v>392</v>
      </c>
      <c r="C399">
        <v>8518</v>
      </c>
      <c r="D399" t="s">
        <v>27491</v>
      </c>
      <c r="E399" t="s">
        <v>147</v>
      </c>
      <c r="F399" t="s">
        <v>17</v>
      </c>
      <c r="G399" t="s">
        <v>27492</v>
      </c>
      <c r="H399">
        <v>18.829999999999998</v>
      </c>
      <c r="I399">
        <v>0</v>
      </c>
      <c r="J399">
        <v>0</v>
      </c>
      <c r="K399">
        <v>0</v>
      </c>
      <c r="N399">
        <v>3</v>
      </c>
      <c r="O399">
        <v>3</v>
      </c>
      <c r="P399">
        <v>4</v>
      </c>
      <c r="Q399">
        <v>2</v>
      </c>
      <c r="R399">
        <v>27.83</v>
      </c>
      <c r="S399">
        <v>18</v>
      </c>
      <c r="T399">
        <v>18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18</v>
      </c>
      <c r="AB399">
        <v>6</v>
      </c>
      <c r="AC399">
        <v>0</v>
      </c>
      <c r="AF399" t="s">
        <v>130</v>
      </c>
      <c r="AH399">
        <v>51.83</v>
      </c>
    </row>
    <row r="400" spans="1:34" x14ac:dyDescent="0.3">
      <c r="A400" s="4">
        <v>569</v>
      </c>
      <c r="B400" s="5">
        <v>393</v>
      </c>
      <c r="C400">
        <v>12446</v>
      </c>
      <c r="D400" t="s">
        <v>27493</v>
      </c>
      <c r="E400" t="s">
        <v>54</v>
      </c>
      <c r="F400" t="s">
        <v>14</v>
      </c>
      <c r="G400" t="s">
        <v>27494</v>
      </c>
      <c r="H400">
        <v>18.8</v>
      </c>
      <c r="I400">
        <v>0</v>
      </c>
      <c r="J400">
        <v>0</v>
      </c>
      <c r="K400">
        <v>20</v>
      </c>
      <c r="N400">
        <v>3</v>
      </c>
      <c r="O400">
        <v>3</v>
      </c>
      <c r="P400">
        <v>4</v>
      </c>
      <c r="Q400">
        <v>0</v>
      </c>
      <c r="R400">
        <v>45.8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6</v>
      </c>
      <c r="AC400">
        <v>0</v>
      </c>
      <c r="AF400" t="s">
        <v>130</v>
      </c>
      <c r="AH400">
        <v>51.8</v>
      </c>
    </row>
    <row r="401" spans="1:34" x14ac:dyDescent="0.3">
      <c r="A401" s="4">
        <v>570</v>
      </c>
      <c r="B401" s="5">
        <v>394</v>
      </c>
      <c r="C401">
        <v>6503</v>
      </c>
      <c r="D401" t="s">
        <v>27495</v>
      </c>
      <c r="E401" t="s">
        <v>1989</v>
      </c>
      <c r="F401" t="s">
        <v>750</v>
      </c>
      <c r="G401" t="s">
        <v>27496</v>
      </c>
      <c r="H401">
        <v>14.8</v>
      </c>
      <c r="I401">
        <v>0</v>
      </c>
      <c r="J401">
        <v>0</v>
      </c>
      <c r="K401">
        <v>20</v>
      </c>
      <c r="M401">
        <v>5</v>
      </c>
      <c r="O401">
        <v>5</v>
      </c>
      <c r="P401">
        <v>4</v>
      </c>
      <c r="Q401">
        <v>2</v>
      </c>
      <c r="R401">
        <v>45.8</v>
      </c>
      <c r="S401">
        <v>6</v>
      </c>
      <c r="T401">
        <v>6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6</v>
      </c>
      <c r="AB401">
        <v>0</v>
      </c>
      <c r="AC401">
        <v>0</v>
      </c>
      <c r="AD401" t="s">
        <v>130</v>
      </c>
      <c r="AF401" t="s">
        <v>130</v>
      </c>
      <c r="AH401">
        <v>51.8</v>
      </c>
    </row>
    <row r="402" spans="1:34" x14ac:dyDescent="0.3">
      <c r="A402" s="4">
        <v>571</v>
      </c>
      <c r="B402" s="5">
        <v>395</v>
      </c>
      <c r="C402">
        <v>2055</v>
      </c>
      <c r="D402" t="s">
        <v>27497</v>
      </c>
      <c r="E402" t="s">
        <v>17</v>
      </c>
      <c r="F402" t="s">
        <v>27498</v>
      </c>
      <c r="G402" t="s">
        <v>27499</v>
      </c>
      <c r="H402">
        <v>18.75</v>
      </c>
      <c r="I402">
        <v>0</v>
      </c>
      <c r="J402">
        <v>0</v>
      </c>
      <c r="K402">
        <v>20</v>
      </c>
      <c r="L402">
        <v>7</v>
      </c>
      <c r="O402">
        <v>7</v>
      </c>
      <c r="P402">
        <v>4</v>
      </c>
      <c r="Q402">
        <v>2</v>
      </c>
      <c r="R402">
        <v>51.75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F402" t="s">
        <v>130</v>
      </c>
      <c r="AH402">
        <v>51.75</v>
      </c>
    </row>
    <row r="403" spans="1:34" x14ac:dyDescent="0.3">
      <c r="A403" s="4">
        <v>572</v>
      </c>
      <c r="B403" s="5">
        <v>396</v>
      </c>
      <c r="C403">
        <v>73</v>
      </c>
      <c r="D403" t="s">
        <v>27500</v>
      </c>
      <c r="E403" t="s">
        <v>29</v>
      </c>
      <c r="F403" t="s">
        <v>136</v>
      </c>
      <c r="G403" t="s">
        <v>27501</v>
      </c>
      <c r="H403">
        <v>15.48</v>
      </c>
      <c r="I403">
        <v>0</v>
      </c>
      <c r="J403">
        <v>0</v>
      </c>
      <c r="K403">
        <v>20</v>
      </c>
      <c r="L403">
        <v>7</v>
      </c>
      <c r="O403">
        <v>7</v>
      </c>
      <c r="P403">
        <v>4</v>
      </c>
      <c r="Q403">
        <v>2</v>
      </c>
      <c r="R403">
        <v>48.48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3</v>
      </c>
      <c r="AC403">
        <v>0</v>
      </c>
      <c r="AF403" t="s">
        <v>130</v>
      </c>
      <c r="AH403">
        <v>51.48</v>
      </c>
    </row>
    <row r="404" spans="1:34" x14ac:dyDescent="0.3">
      <c r="A404" s="4">
        <v>573</v>
      </c>
      <c r="B404" s="5">
        <v>397</v>
      </c>
      <c r="C404">
        <v>9408</v>
      </c>
      <c r="D404" t="s">
        <v>27502</v>
      </c>
      <c r="E404" t="s">
        <v>100</v>
      </c>
      <c r="F404" t="s">
        <v>30</v>
      </c>
      <c r="G404" t="s">
        <v>27503</v>
      </c>
      <c r="H404">
        <v>17.43</v>
      </c>
      <c r="I404">
        <v>0</v>
      </c>
      <c r="J404">
        <v>0</v>
      </c>
      <c r="K404">
        <v>0</v>
      </c>
      <c r="O404">
        <v>0</v>
      </c>
      <c r="P404">
        <v>4</v>
      </c>
      <c r="Q404">
        <v>2</v>
      </c>
      <c r="R404">
        <v>23.43</v>
      </c>
      <c r="S404">
        <v>28</v>
      </c>
      <c r="T404">
        <v>28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28</v>
      </c>
      <c r="AB404">
        <v>0</v>
      </c>
      <c r="AC404">
        <v>0</v>
      </c>
      <c r="AD404" t="s">
        <v>130</v>
      </c>
      <c r="AF404" t="s">
        <v>130</v>
      </c>
      <c r="AH404">
        <v>51.43</v>
      </c>
    </row>
    <row r="405" spans="1:34" x14ac:dyDescent="0.3">
      <c r="A405" s="4">
        <v>574</v>
      </c>
      <c r="B405" s="5">
        <v>398</v>
      </c>
      <c r="C405">
        <v>2063</v>
      </c>
      <c r="D405" t="s">
        <v>27504</v>
      </c>
      <c r="E405" t="s">
        <v>27505</v>
      </c>
      <c r="F405" t="s">
        <v>4546</v>
      </c>
      <c r="G405" t="s">
        <v>27506</v>
      </c>
      <c r="H405">
        <v>18.25</v>
      </c>
      <c r="I405">
        <v>0</v>
      </c>
      <c r="J405">
        <v>0</v>
      </c>
      <c r="K405">
        <v>20</v>
      </c>
      <c r="L405">
        <v>7</v>
      </c>
      <c r="O405">
        <v>7</v>
      </c>
      <c r="P405">
        <v>4</v>
      </c>
      <c r="Q405">
        <v>2</v>
      </c>
      <c r="R405">
        <v>51.25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F405" t="s">
        <v>130</v>
      </c>
      <c r="AH405">
        <v>51.25</v>
      </c>
    </row>
    <row r="406" spans="1:34" x14ac:dyDescent="0.3">
      <c r="A406" s="4">
        <v>575</v>
      </c>
      <c r="B406" s="5">
        <v>399</v>
      </c>
      <c r="C406">
        <v>12934</v>
      </c>
      <c r="D406" t="s">
        <v>27507</v>
      </c>
      <c r="E406" t="s">
        <v>8104</v>
      </c>
      <c r="F406" t="s">
        <v>81</v>
      </c>
      <c r="G406" t="s">
        <v>27508</v>
      </c>
      <c r="H406">
        <v>18.2</v>
      </c>
      <c r="I406">
        <v>0</v>
      </c>
      <c r="J406">
        <v>0</v>
      </c>
      <c r="K406">
        <v>20</v>
      </c>
      <c r="L406">
        <v>7</v>
      </c>
      <c r="O406">
        <v>7</v>
      </c>
      <c r="P406">
        <v>4</v>
      </c>
      <c r="Q406">
        <v>2</v>
      </c>
      <c r="R406">
        <v>51.2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 t="s">
        <v>130</v>
      </c>
      <c r="AF406" t="s">
        <v>130</v>
      </c>
      <c r="AH406">
        <v>51.2</v>
      </c>
    </row>
    <row r="407" spans="1:34" x14ac:dyDescent="0.3">
      <c r="A407" s="4">
        <v>576</v>
      </c>
      <c r="B407" s="5">
        <v>400</v>
      </c>
      <c r="C407">
        <v>7585</v>
      </c>
      <c r="D407" t="s">
        <v>27509</v>
      </c>
      <c r="E407" t="s">
        <v>27510</v>
      </c>
      <c r="F407" t="s">
        <v>17</v>
      </c>
      <c r="G407" t="s">
        <v>27511</v>
      </c>
      <c r="H407">
        <v>19</v>
      </c>
      <c r="I407">
        <v>0</v>
      </c>
      <c r="J407">
        <v>0</v>
      </c>
      <c r="K407">
        <v>20</v>
      </c>
      <c r="N407">
        <v>3</v>
      </c>
      <c r="O407">
        <v>3</v>
      </c>
      <c r="P407">
        <v>4</v>
      </c>
      <c r="Q407">
        <v>2</v>
      </c>
      <c r="R407">
        <v>48</v>
      </c>
      <c r="S407">
        <v>3</v>
      </c>
      <c r="T407">
        <v>3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3</v>
      </c>
      <c r="AB407">
        <v>0</v>
      </c>
      <c r="AC407">
        <v>0</v>
      </c>
      <c r="AF407" t="s">
        <v>130</v>
      </c>
      <c r="AH407">
        <v>51</v>
      </c>
    </row>
    <row r="408" spans="1:34" x14ac:dyDescent="0.3">
      <c r="A408" s="4">
        <v>577</v>
      </c>
      <c r="B408" s="5">
        <v>401</v>
      </c>
      <c r="C408">
        <v>12786</v>
      </c>
      <c r="D408" t="s">
        <v>27512</v>
      </c>
      <c r="E408" t="s">
        <v>349</v>
      </c>
      <c r="F408" t="s">
        <v>343</v>
      </c>
      <c r="G408" t="s">
        <v>27513</v>
      </c>
      <c r="H408">
        <v>18.93</v>
      </c>
      <c r="I408">
        <v>0</v>
      </c>
      <c r="J408">
        <v>0</v>
      </c>
      <c r="K408">
        <v>28</v>
      </c>
      <c r="O408">
        <v>0</v>
      </c>
      <c r="P408">
        <v>4</v>
      </c>
      <c r="Q408">
        <v>0</v>
      </c>
      <c r="R408">
        <v>50.93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F408" t="s">
        <v>130</v>
      </c>
      <c r="AH408">
        <v>50.93</v>
      </c>
    </row>
    <row r="409" spans="1:34" x14ac:dyDescent="0.3">
      <c r="A409" s="4">
        <v>578</v>
      </c>
      <c r="B409" s="5">
        <v>402</v>
      </c>
      <c r="C409">
        <v>6195</v>
      </c>
      <c r="D409" t="s">
        <v>27514</v>
      </c>
      <c r="E409" t="s">
        <v>230</v>
      </c>
      <c r="F409" t="s">
        <v>81</v>
      </c>
      <c r="G409" t="s">
        <v>27515</v>
      </c>
      <c r="H409">
        <v>17.88</v>
      </c>
      <c r="I409">
        <v>0</v>
      </c>
      <c r="J409">
        <v>0</v>
      </c>
      <c r="K409">
        <v>20</v>
      </c>
      <c r="L409">
        <v>7</v>
      </c>
      <c r="O409">
        <v>7</v>
      </c>
      <c r="P409">
        <v>4</v>
      </c>
      <c r="Q409">
        <v>2</v>
      </c>
      <c r="R409">
        <v>50.88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F409" t="s">
        <v>130</v>
      </c>
      <c r="AH409">
        <v>50.88</v>
      </c>
    </row>
    <row r="410" spans="1:34" x14ac:dyDescent="0.3">
      <c r="A410" s="4">
        <v>579</v>
      </c>
      <c r="B410" s="5">
        <v>403</v>
      </c>
      <c r="C410">
        <v>1628</v>
      </c>
      <c r="D410" t="s">
        <v>27516</v>
      </c>
      <c r="E410" t="s">
        <v>328</v>
      </c>
      <c r="F410" t="s">
        <v>81</v>
      </c>
      <c r="G410" t="s">
        <v>27517</v>
      </c>
      <c r="H410">
        <v>18.829999999999998</v>
      </c>
      <c r="I410">
        <v>0</v>
      </c>
      <c r="J410">
        <v>0</v>
      </c>
      <c r="K410">
        <v>0</v>
      </c>
      <c r="O410">
        <v>0</v>
      </c>
      <c r="P410">
        <v>4</v>
      </c>
      <c r="Q410">
        <v>2</v>
      </c>
      <c r="R410">
        <v>24.83</v>
      </c>
      <c r="S410">
        <v>26</v>
      </c>
      <c r="T410">
        <v>26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26</v>
      </c>
      <c r="AB410">
        <v>0</v>
      </c>
      <c r="AC410">
        <v>0</v>
      </c>
      <c r="AF410" t="s">
        <v>130</v>
      </c>
      <c r="AH410">
        <v>50.83</v>
      </c>
    </row>
    <row r="411" spans="1:34" x14ac:dyDescent="0.3">
      <c r="A411" s="4">
        <v>580</v>
      </c>
      <c r="B411" s="5">
        <v>404</v>
      </c>
      <c r="C411">
        <v>9842</v>
      </c>
      <c r="D411" t="s">
        <v>27518</v>
      </c>
      <c r="E411" t="s">
        <v>55</v>
      </c>
      <c r="F411" t="s">
        <v>38</v>
      </c>
      <c r="G411" t="s">
        <v>27519</v>
      </c>
      <c r="H411">
        <v>15.73</v>
      </c>
      <c r="I411">
        <v>0</v>
      </c>
      <c r="J411">
        <v>0</v>
      </c>
      <c r="K411">
        <v>20</v>
      </c>
      <c r="O411">
        <v>0</v>
      </c>
      <c r="P411">
        <v>4</v>
      </c>
      <c r="Q411">
        <v>2</v>
      </c>
      <c r="R411">
        <v>41.73</v>
      </c>
      <c r="S411">
        <v>9</v>
      </c>
      <c r="T411">
        <v>9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9</v>
      </c>
      <c r="AB411">
        <v>0</v>
      </c>
      <c r="AC411">
        <v>0</v>
      </c>
      <c r="AF411" t="s">
        <v>130</v>
      </c>
      <c r="AH411">
        <v>50.73</v>
      </c>
    </row>
    <row r="412" spans="1:34" x14ac:dyDescent="0.3">
      <c r="A412" s="4">
        <v>581</v>
      </c>
      <c r="B412" s="5">
        <v>405</v>
      </c>
      <c r="C412">
        <v>12265</v>
      </c>
      <c r="D412" t="s">
        <v>25256</v>
      </c>
      <c r="E412" t="s">
        <v>1474</v>
      </c>
      <c r="F412" t="s">
        <v>167</v>
      </c>
      <c r="G412">
        <v>89500</v>
      </c>
      <c r="H412">
        <v>19.600000000000001</v>
      </c>
      <c r="I412">
        <v>0</v>
      </c>
      <c r="J412">
        <v>0</v>
      </c>
      <c r="K412">
        <v>20</v>
      </c>
      <c r="L412">
        <v>7</v>
      </c>
      <c r="O412">
        <v>7</v>
      </c>
      <c r="P412">
        <v>4</v>
      </c>
      <c r="Q412">
        <v>0</v>
      </c>
      <c r="R412">
        <v>50.6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F412" t="s">
        <v>130</v>
      </c>
      <c r="AH412">
        <v>50.6</v>
      </c>
    </row>
    <row r="413" spans="1:34" x14ac:dyDescent="0.3">
      <c r="A413" s="4">
        <v>582</v>
      </c>
      <c r="B413" s="5">
        <v>406</v>
      </c>
      <c r="C413">
        <v>10878</v>
      </c>
      <c r="D413" t="s">
        <v>2036</v>
      </c>
      <c r="E413" t="s">
        <v>479</v>
      </c>
      <c r="F413" t="s">
        <v>68</v>
      </c>
      <c r="G413" t="s">
        <v>27520</v>
      </c>
      <c r="H413">
        <v>17.579999999999998</v>
      </c>
      <c r="I413">
        <v>0</v>
      </c>
      <c r="J413">
        <v>0</v>
      </c>
      <c r="K413">
        <v>0</v>
      </c>
      <c r="O413">
        <v>0</v>
      </c>
      <c r="P413">
        <v>4</v>
      </c>
      <c r="Q413">
        <v>2</v>
      </c>
      <c r="R413">
        <v>23.58</v>
      </c>
      <c r="S413">
        <v>27</v>
      </c>
      <c r="T413">
        <v>27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27</v>
      </c>
      <c r="AB413">
        <v>0</v>
      </c>
      <c r="AC413">
        <v>0</v>
      </c>
      <c r="AF413" t="s">
        <v>130</v>
      </c>
      <c r="AH413">
        <v>50.58</v>
      </c>
    </row>
    <row r="414" spans="1:34" x14ac:dyDescent="0.3">
      <c r="A414" s="4">
        <v>583</v>
      </c>
      <c r="B414" s="5">
        <v>407</v>
      </c>
      <c r="C414">
        <v>1877</v>
      </c>
      <c r="D414" t="s">
        <v>27521</v>
      </c>
      <c r="E414" t="s">
        <v>471</v>
      </c>
      <c r="F414" t="s">
        <v>136</v>
      </c>
      <c r="G414" t="s">
        <v>27522</v>
      </c>
      <c r="H414">
        <v>17.55</v>
      </c>
      <c r="I414">
        <v>0</v>
      </c>
      <c r="J414">
        <v>0</v>
      </c>
      <c r="K414">
        <v>20</v>
      </c>
      <c r="L414">
        <v>7</v>
      </c>
      <c r="O414">
        <v>7</v>
      </c>
      <c r="P414">
        <v>4</v>
      </c>
      <c r="Q414">
        <v>2</v>
      </c>
      <c r="R414">
        <v>50.55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F414" t="s">
        <v>130</v>
      </c>
      <c r="AH414">
        <v>50.55</v>
      </c>
    </row>
    <row r="415" spans="1:34" x14ac:dyDescent="0.3">
      <c r="A415" s="4">
        <v>584</v>
      </c>
      <c r="B415" s="5">
        <v>408</v>
      </c>
      <c r="C415">
        <v>5565</v>
      </c>
      <c r="D415" t="s">
        <v>1304</v>
      </c>
      <c r="E415" t="s">
        <v>157</v>
      </c>
      <c r="F415" t="s">
        <v>230</v>
      </c>
      <c r="G415" t="s">
        <v>27523</v>
      </c>
      <c r="H415">
        <v>19.43</v>
      </c>
      <c r="I415">
        <v>0</v>
      </c>
      <c r="J415">
        <v>0</v>
      </c>
      <c r="K415">
        <v>20</v>
      </c>
      <c r="L415">
        <v>7</v>
      </c>
      <c r="O415">
        <v>7</v>
      </c>
      <c r="P415">
        <v>4</v>
      </c>
      <c r="Q415">
        <v>0</v>
      </c>
      <c r="R415">
        <v>50.43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F415" t="s">
        <v>130</v>
      </c>
      <c r="AH415">
        <v>50.43</v>
      </c>
    </row>
    <row r="416" spans="1:34" x14ac:dyDescent="0.3">
      <c r="A416" s="4">
        <v>585</v>
      </c>
      <c r="B416" s="5">
        <v>409</v>
      </c>
      <c r="C416">
        <v>8009</v>
      </c>
      <c r="D416" t="s">
        <v>27524</v>
      </c>
      <c r="E416" t="s">
        <v>27525</v>
      </c>
      <c r="F416" t="s">
        <v>81</v>
      </c>
      <c r="G416" t="s">
        <v>27526</v>
      </c>
      <c r="H416">
        <v>19.43</v>
      </c>
      <c r="I416">
        <v>0</v>
      </c>
      <c r="J416">
        <v>0</v>
      </c>
      <c r="K416">
        <v>0</v>
      </c>
      <c r="L416">
        <v>7</v>
      </c>
      <c r="O416">
        <v>7</v>
      </c>
      <c r="P416">
        <v>4</v>
      </c>
      <c r="Q416">
        <v>2</v>
      </c>
      <c r="R416">
        <v>32.43</v>
      </c>
      <c r="S416">
        <v>18</v>
      </c>
      <c r="T416">
        <v>18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18</v>
      </c>
      <c r="AB416">
        <v>0</v>
      </c>
      <c r="AC416">
        <v>0</v>
      </c>
      <c r="AF416" t="s">
        <v>130</v>
      </c>
      <c r="AH416">
        <v>50.43</v>
      </c>
    </row>
    <row r="417" spans="1:34" x14ac:dyDescent="0.3">
      <c r="A417" s="4">
        <v>586</v>
      </c>
      <c r="B417" s="5">
        <v>410</v>
      </c>
      <c r="C417">
        <v>6889</v>
      </c>
      <c r="D417" t="s">
        <v>27527</v>
      </c>
      <c r="E417" t="s">
        <v>29</v>
      </c>
      <c r="F417" t="s">
        <v>570</v>
      </c>
      <c r="G417" t="s">
        <v>27528</v>
      </c>
      <c r="H417">
        <v>17.25</v>
      </c>
      <c r="I417">
        <v>0</v>
      </c>
      <c r="J417">
        <v>0</v>
      </c>
      <c r="K417">
        <v>20</v>
      </c>
      <c r="N417">
        <v>3</v>
      </c>
      <c r="O417">
        <v>3</v>
      </c>
      <c r="P417">
        <v>4</v>
      </c>
      <c r="Q417">
        <v>0</v>
      </c>
      <c r="R417">
        <v>44.25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6</v>
      </c>
      <c r="AC417">
        <v>0</v>
      </c>
      <c r="AD417" t="s">
        <v>130</v>
      </c>
      <c r="AF417" t="s">
        <v>130</v>
      </c>
      <c r="AH417">
        <v>50.25</v>
      </c>
    </row>
    <row r="418" spans="1:34" x14ac:dyDescent="0.3">
      <c r="A418" s="4">
        <v>587</v>
      </c>
      <c r="B418" s="5">
        <v>411</v>
      </c>
      <c r="C418">
        <v>10985</v>
      </c>
      <c r="D418" t="s">
        <v>181</v>
      </c>
      <c r="E418" t="s">
        <v>41</v>
      </c>
      <c r="F418" t="s">
        <v>2408</v>
      </c>
      <c r="G418" t="s">
        <v>27529</v>
      </c>
      <c r="H418">
        <v>15.23</v>
      </c>
      <c r="I418">
        <v>0</v>
      </c>
      <c r="J418">
        <v>0</v>
      </c>
      <c r="K418">
        <v>20</v>
      </c>
      <c r="N418">
        <v>3</v>
      </c>
      <c r="O418">
        <v>3</v>
      </c>
      <c r="P418">
        <v>4</v>
      </c>
      <c r="Q418">
        <v>2</v>
      </c>
      <c r="R418">
        <v>44.23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6</v>
      </c>
      <c r="AC418">
        <v>0</v>
      </c>
      <c r="AE418" t="s">
        <v>130</v>
      </c>
      <c r="AF418" t="s">
        <v>130</v>
      </c>
      <c r="AH418">
        <v>50.23</v>
      </c>
    </row>
    <row r="419" spans="1:34" x14ac:dyDescent="0.3">
      <c r="A419" s="4">
        <v>588</v>
      </c>
      <c r="B419" s="5">
        <v>412</v>
      </c>
      <c r="C419">
        <v>6874</v>
      </c>
      <c r="D419" t="s">
        <v>27530</v>
      </c>
      <c r="E419" t="s">
        <v>894</v>
      </c>
      <c r="F419" t="s">
        <v>17</v>
      </c>
      <c r="G419" t="s">
        <v>27531</v>
      </c>
      <c r="H419">
        <v>17.149999999999999</v>
      </c>
      <c r="I419">
        <v>0</v>
      </c>
      <c r="J419">
        <v>0</v>
      </c>
      <c r="K419">
        <v>20</v>
      </c>
      <c r="L419">
        <v>7</v>
      </c>
      <c r="O419">
        <v>7</v>
      </c>
      <c r="P419">
        <v>4</v>
      </c>
      <c r="Q419">
        <v>2</v>
      </c>
      <c r="R419">
        <v>50.15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F419" t="s">
        <v>130</v>
      </c>
      <c r="AH419">
        <v>50.15</v>
      </c>
    </row>
    <row r="420" spans="1:34" x14ac:dyDescent="0.3">
      <c r="A420" s="4">
        <v>589</v>
      </c>
      <c r="B420" s="5">
        <v>413</v>
      </c>
      <c r="C420">
        <v>9663</v>
      </c>
      <c r="D420" t="s">
        <v>27532</v>
      </c>
      <c r="E420" t="s">
        <v>8150</v>
      </c>
      <c r="F420" t="s">
        <v>38</v>
      </c>
      <c r="G420" t="s">
        <v>27533</v>
      </c>
      <c r="H420">
        <v>18.079999999999998</v>
      </c>
      <c r="I420">
        <v>0</v>
      </c>
      <c r="J420">
        <v>0</v>
      </c>
      <c r="K420">
        <v>20</v>
      </c>
      <c r="M420">
        <v>5</v>
      </c>
      <c r="O420">
        <v>5</v>
      </c>
      <c r="P420">
        <v>4</v>
      </c>
      <c r="Q420">
        <v>0</v>
      </c>
      <c r="R420">
        <v>47.08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3</v>
      </c>
      <c r="AC420">
        <v>0</v>
      </c>
      <c r="AF420" t="s">
        <v>130</v>
      </c>
      <c r="AH420">
        <v>50.08</v>
      </c>
    </row>
    <row r="421" spans="1:34" x14ac:dyDescent="0.3">
      <c r="A421" s="4">
        <v>590</v>
      </c>
      <c r="B421" s="5">
        <v>414</v>
      </c>
      <c r="C421">
        <v>5927</v>
      </c>
      <c r="D421" t="s">
        <v>3570</v>
      </c>
      <c r="E421" t="s">
        <v>62</v>
      </c>
      <c r="F421" t="s">
        <v>343</v>
      </c>
      <c r="G421" t="s">
        <v>27534</v>
      </c>
      <c r="H421">
        <v>18.05</v>
      </c>
      <c r="I421">
        <v>0</v>
      </c>
      <c r="J421">
        <v>0</v>
      </c>
      <c r="K421">
        <v>0</v>
      </c>
      <c r="N421">
        <v>3</v>
      </c>
      <c r="O421">
        <v>3</v>
      </c>
      <c r="P421">
        <v>4</v>
      </c>
      <c r="Q421">
        <v>0</v>
      </c>
      <c r="R421">
        <v>25.05</v>
      </c>
      <c r="S421">
        <v>25</v>
      </c>
      <c r="T421">
        <v>25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25</v>
      </c>
      <c r="AB421">
        <v>0</v>
      </c>
      <c r="AC421">
        <v>0</v>
      </c>
      <c r="AF421" t="s">
        <v>130</v>
      </c>
      <c r="AH421">
        <v>50.05</v>
      </c>
    </row>
    <row r="422" spans="1:34" x14ac:dyDescent="0.3">
      <c r="A422" s="4">
        <v>591</v>
      </c>
      <c r="B422" s="5">
        <v>415</v>
      </c>
      <c r="C422">
        <v>4405</v>
      </c>
      <c r="D422" t="s">
        <v>12866</v>
      </c>
      <c r="E422" t="s">
        <v>406</v>
      </c>
      <c r="F422" t="s">
        <v>38</v>
      </c>
      <c r="G422" t="s">
        <v>27535</v>
      </c>
      <c r="H422">
        <v>18</v>
      </c>
      <c r="I422">
        <v>0</v>
      </c>
      <c r="J422">
        <v>0</v>
      </c>
      <c r="K422">
        <v>0</v>
      </c>
      <c r="M422">
        <v>5</v>
      </c>
      <c r="O422">
        <v>5</v>
      </c>
      <c r="P422">
        <v>4</v>
      </c>
      <c r="Q422">
        <v>2</v>
      </c>
      <c r="R422">
        <v>29</v>
      </c>
      <c r="S422">
        <v>18</v>
      </c>
      <c r="T422">
        <v>18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18</v>
      </c>
      <c r="AB422">
        <v>3</v>
      </c>
      <c r="AC422">
        <v>0</v>
      </c>
      <c r="AF422" t="s">
        <v>130</v>
      </c>
      <c r="AH422">
        <v>50</v>
      </c>
    </row>
    <row r="423" spans="1:34" x14ac:dyDescent="0.3">
      <c r="A423" s="4">
        <v>592</v>
      </c>
      <c r="B423" s="5">
        <v>416</v>
      </c>
      <c r="C423">
        <v>2758</v>
      </c>
      <c r="D423" t="s">
        <v>2043</v>
      </c>
      <c r="E423" t="s">
        <v>132</v>
      </c>
      <c r="F423" t="s">
        <v>20</v>
      </c>
      <c r="G423" t="s">
        <v>27536</v>
      </c>
      <c r="H423">
        <v>19.95</v>
      </c>
      <c r="I423">
        <v>0</v>
      </c>
      <c r="J423">
        <v>0</v>
      </c>
      <c r="K423">
        <v>20</v>
      </c>
      <c r="N423">
        <v>3</v>
      </c>
      <c r="O423">
        <v>3</v>
      </c>
      <c r="P423">
        <v>4</v>
      </c>
      <c r="Q423">
        <v>0</v>
      </c>
      <c r="R423">
        <v>46.95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3</v>
      </c>
      <c r="AC423">
        <v>0</v>
      </c>
      <c r="AF423" t="s">
        <v>130</v>
      </c>
      <c r="AH423">
        <v>49.95</v>
      </c>
    </row>
    <row r="424" spans="1:34" x14ac:dyDescent="0.3">
      <c r="A424" s="4">
        <v>593</v>
      </c>
      <c r="B424" s="5">
        <v>417</v>
      </c>
      <c r="C424">
        <v>1335</v>
      </c>
      <c r="D424" t="s">
        <v>27537</v>
      </c>
      <c r="E424" t="s">
        <v>27538</v>
      </c>
      <c r="F424" t="s">
        <v>17</v>
      </c>
      <c r="G424" t="s">
        <v>27539</v>
      </c>
      <c r="H424">
        <v>16.93</v>
      </c>
      <c r="I424">
        <v>0</v>
      </c>
      <c r="J424">
        <v>0</v>
      </c>
      <c r="K424">
        <v>0</v>
      </c>
      <c r="N424">
        <v>3</v>
      </c>
      <c r="O424">
        <v>3</v>
      </c>
      <c r="P424">
        <v>4</v>
      </c>
      <c r="Q424">
        <v>2</v>
      </c>
      <c r="R424">
        <v>25.93</v>
      </c>
      <c r="S424">
        <v>18</v>
      </c>
      <c r="T424">
        <v>18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18</v>
      </c>
      <c r="AB424">
        <v>6</v>
      </c>
      <c r="AC424">
        <v>0</v>
      </c>
      <c r="AD424" t="s">
        <v>130</v>
      </c>
      <c r="AF424" t="s">
        <v>130</v>
      </c>
      <c r="AH424">
        <v>49.93</v>
      </c>
    </row>
    <row r="425" spans="1:34" x14ac:dyDescent="0.3">
      <c r="A425" s="4">
        <v>594</v>
      </c>
      <c r="B425" s="5">
        <v>418</v>
      </c>
      <c r="C425">
        <v>10599</v>
      </c>
      <c r="D425" t="s">
        <v>27540</v>
      </c>
      <c r="E425" t="s">
        <v>27541</v>
      </c>
      <c r="F425" t="s">
        <v>34</v>
      </c>
      <c r="G425" t="s">
        <v>27542</v>
      </c>
      <c r="H425">
        <v>15.93</v>
      </c>
      <c r="I425">
        <v>0</v>
      </c>
      <c r="J425">
        <v>0</v>
      </c>
      <c r="K425">
        <v>20</v>
      </c>
      <c r="M425">
        <v>5</v>
      </c>
      <c r="O425">
        <v>5</v>
      </c>
      <c r="P425">
        <v>4</v>
      </c>
      <c r="Q425">
        <v>2</v>
      </c>
      <c r="R425">
        <v>46.93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3</v>
      </c>
      <c r="AC425">
        <v>0</v>
      </c>
      <c r="AF425" t="s">
        <v>130</v>
      </c>
      <c r="AH425">
        <v>49.93</v>
      </c>
    </row>
    <row r="426" spans="1:34" x14ac:dyDescent="0.3">
      <c r="A426" s="4">
        <v>595</v>
      </c>
      <c r="B426" s="5">
        <v>419</v>
      </c>
      <c r="C426">
        <v>4799</v>
      </c>
      <c r="D426" t="s">
        <v>1078</v>
      </c>
      <c r="E426" t="s">
        <v>1694</v>
      </c>
      <c r="F426" t="s">
        <v>2442</v>
      </c>
      <c r="G426" t="s">
        <v>27543</v>
      </c>
      <c r="H426">
        <v>17.850000000000001</v>
      </c>
      <c r="I426">
        <v>0</v>
      </c>
      <c r="J426">
        <v>0</v>
      </c>
      <c r="K426">
        <v>20</v>
      </c>
      <c r="O426">
        <v>0</v>
      </c>
      <c r="P426">
        <v>4</v>
      </c>
      <c r="Q426">
        <v>2</v>
      </c>
      <c r="R426">
        <v>43.85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6</v>
      </c>
      <c r="AC426">
        <v>0</v>
      </c>
      <c r="AF426" t="s">
        <v>130</v>
      </c>
      <c r="AH426">
        <v>49.85</v>
      </c>
    </row>
    <row r="427" spans="1:34" x14ac:dyDescent="0.3">
      <c r="A427" s="4">
        <v>596</v>
      </c>
      <c r="B427" s="5">
        <v>420</v>
      </c>
      <c r="C427">
        <v>8236</v>
      </c>
      <c r="D427" t="s">
        <v>4175</v>
      </c>
      <c r="E427" t="s">
        <v>26</v>
      </c>
      <c r="F427" t="s">
        <v>117</v>
      </c>
      <c r="G427" t="s">
        <v>27544</v>
      </c>
      <c r="H427">
        <v>17.850000000000001</v>
      </c>
      <c r="I427">
        <v>0</v>
      </c>
      <c r="J427">
        <v>0</v>
      </c>
      <c r="K427">
        <v>0</v>
      </c>
      <c r="L427">
        <v>7</v>
      </c>
      <c r="O427">
        <v>7</v>
      </c>
      <c r="P427">
        <v>4</v>
      </c>
      <c r="Q427">
        <v>2</v>
      </c>
      <c r="R427">
        <v>30.85</v>
      </c>
      <c r="S427">
        <v>13</v>
      </c>
      <c r="T427">
        <v>13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13</v>
      </c>
      <c r="AB427">
        <v>6</v>
      </c>
      <c r="AC427">
        <v>0</v>
      </c>
      <c r="AF427" t="s">
        <v>130</v>
      </c>
      <c r="AH427">
        <v>49.85</v>
      </c>
    </row>
    <row r="428" spans="1:34" x14ac:dyDescent="0.3">
      <c r="A428" s="4">
        <v>597</v>
      </c>
      <c r="B428" s="5">
        <v>421</v>
      </c>
      <c r="C428">
        <v>5594</v>
      </c>
      <c r="D428" t="s">
        <v>27545</v>
      </c>
      <c r="E428" t="s">
        <v>29</v>
      </c>
      <c r="F428" t="s">
        <v>124</v>
      </c>
      <c r="G428" t="s">
        <v>27546</v>
      </c>
      <c r="H428">
        <v>20.75</v>
      </c>
      <c r="I428">
        <v>0</v>
      </c>
      <c r="J428">
        <v>0</v>
      </c>
      <c r="K428">
        <v>0</v>
      </c>
      <c r="N428">
        <v>3</v>
      </c>
      <c r="O428">
        <v>3</v>
      </c>
      <c r="P428">
        <v>4</v>
      </c>
      <c r="Q428">
        <v>2</v>
      </c>
      <c r="R428">
        <v>29.75</v>
      </c>
      <c r="S428">
        <v>20</v>
      </c>
      <c r="T428">
        <v>20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20</v>
      </c>
      <c r="AB428">
        <v>0</v>
      </c>
      <c r="AC428">
        <v>0</v>
      </c>
      <c r="AF428" t="s">
        <v>130</v>
      </c>
      <c r="AH428">
        <v>49.75</v>
      </c>
    </row>
    <row r="429" spans="1:34" x14ac:dyDescent="0.3">
      <c r="A429" s="4">
        <v>598</v>
      </c>
      <c r="B429" s="5">
        <v>422</v>
      </c>
      <c r="C429">
        <v>12718</v>
      </c>
      <c r="D429" t="s">
        <v>27547</v>
      </c>
      <c r="E429" t="s">
        <v>22258</v>
      </c>
      <c r="F429" t="s">
        <v>30</v>
      </c>
      <c r="G429" t="s">
        <v>27548</v>
      </c>
      <c r="H429">
        <v>19.73</v>
      </c>
      <c r="I429">
        <v>0</v>
      </c>
      <c r="J429">
        <v>0</v>
      </c>
      <c r="K429">
        <v>20</v>
      </c>
      <c r="N429">
        <v>3</v>
      </c>
      <c r="O429">
        <v>3</v>
      </c>
      <c r="P429">
        <v>4</v>
      </c>
      <c r="Q429">
        <v>0</v>
      </c>
      <c r="R429">
        <v>46.73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3</v>
      </c>
      <c r="AC429">
        <v>0</v>
      </c>
      <c r="AF429" t="s">
        <v>130</v>
      </c>
      <c r="AH429">
        <v>49.73</v>
      </c>
    </row>
    <row r="430" spans="1:34" x14ac:dyDescent="0.3">
      <c r="A430" s="4">
        <v>599</v>
      </c>
      <c r="B430" s="5">
        <v>423</v>
      </c>
      <c r="C430">
        <v>9520</v>
      </c>
      <c r="D430" t="s">
        <v>604</v>
      </c>
      <c r="E430" t="s">
        <v>173</v>
      </c>
      <c r="F430" t="s">
        <v>20</v>
      </c>
      <c r="G430" t="s">
        <v>27549</v>
      </c>
      <c r="H430">
        <v>20.7</v>
      </c>
      <c r="I430">
        <v>0</v>
      </c>
      <c r="J430">
        <v>0</v>
      </c>
      <c r="K430">
        <v>0</v>
      </c>
      <c r="M430">
        <v>5</v>
      </c>
      <c r="O430">
        <v>5</v>
      </c>
      <c r="P430">
        <v>4</v>
      </c>
      <c r="Q430">
        <v>2</v>
      </c>
      <c r="R430">
        <v>31.7</v>
      </c>
      <c r="S430">
        <v>18</v>
      </c>
      <c r="T430">
        <v>18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18</v>
      </c>
      <c r="AB430">
        <v>0</v>
      </c>
      <c r="AC430">
        <v>0</v>
      </c>
      <c r="AF430" t="s">
        <v>130</v>
      </c>
      <c r="AH430">
        <v>49.7</v>
      </c>
    </row>
    <row r="431" spans="1:34" x14ac:dyDescent="0.3">
      <c r="A431" s="4">
        <v>600</v>
      </c>
      <c r="B431" s="5">
        <v>424</v>
      </c>
      <c r="C431">
        <v>4687</v>
      </c>
      <c r="D431" t="s">
        <v>27550</v>
      </c>
      <c r="E431" t="s">
        <v>255</v>
      </c>
      <c r="F431" t="s">
        <v>68</v>
      </c>
      <c r="G431" t="s">
        <v>27551</v>
      </c>
      <c r="H431">
        <v>16.68</v>
      </c>
      <c r="I431">
        <v>0</v>
      </c>
      <c r="J431">
        <v>0</v>
      </c>
      <c r="K431">
        <v>20</v>
      </c>
      <c r="N431">
        <v>3</v>
      </c>
      <c r="O431">
        <v>3</v>
      </c>
      <c r="P431">
        <v>4</v>
      </c>
      <c r="Q431">
        <v>0</v>
      </c>
      <c r="R431">
        <v>43.68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6</v>
      </c>
      <c r="AC431">
        <v>0</v>
      </c>
      <c r="AD431" t="s">
        <v>130</v>
      </c>
      <c r="AF431" t="s">
        <v>130</v>
      </c>
      <c r="AH431">
        <v>49.68</v>
      </c>
    </row>
    <row r="432" spans="1:34" x14ac:dyDescent="0.3">
      <c r="A432" s="4">
        <v>601</v>
      </c>
      <c r="B432" s="5">
        <v>425</v>
      </c>
      <c r="C432">
        <v>11073</v>
      </c>
      <c r="D432" t="s">
        <v>27552</v>
      </c>
      <c r="E432" t="s">
        <v>268</v>
      </c>
      <c r="F432" t="s">
        <v>17</v>
      </c>
      <c r="G432" t="s">
        <v>27553</v>
      </c>
      <c r="H432">
        <v>19.53</v>
      </c>
      <c r="I432">
        <v>0</v>
      </c>
      <c r="J432">
        <v>0</v>
      </c>
      <c r="K432">
        <v>0</v>
      </c>
      <c r="N432">
        <v>3</v>
      </c>
      <c r="O432">
        <v>3</v>
      </c>
      <c r="P432">
        <v>4</v>
      </c>
      <c r="Q432">
        <v>2</v>
      </c>
      <c r="R432">
        <v>28.53</v>
      </c>
      <c r="S432">
        <v>18</v>
      </c>
      <c r="T432">
        <v>18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18</v>
      </c>
      <c r="AB432">
        <v>3</v>
      </c>
      <c r="AC432">
        <v>0</v>
      </c>
      <c r="AF432" t="s">
        <v>130</v>
      </c>
      <c r="AH432">
        <v>49.53</v>
      </c>
    </row>
    <row r="433" spans="1:34" x14ac:dyDescent="0.3">
      <c r="A433" s="4">
        <v>602</v>
      </c>
      <c r="B433" s="5">
        <v>426</v>
      </c>
      <c r="C433">
        <v>9936</v>
      </c>
      <c r="D433" t="s">
        <v>27554</v>
      </c>
      <c r="E433" t="s">
        <v>27555</v>
      </c>
      <c r="F433" t="s">
        <v>167</v>
      </c>
      <c r="G433" t="s">
        <v>27556</v>
      </c>
      <c r="H433">
        <v>17.399999999999999</v>
      </c>
      <c r="I433">
        <v>0</v>
      </c>
      <c r="J433">
        <v>0</v>
      </c>
      <c r="K433">
        <v>0</v>
      </c>
      <c r="M433">
        <v>5</v>
      </c>
      <c r="O433">
        <v>5</v>
      </c>
      <c r="P433">
        <v>4</v>
      </c>
      <c r="Q433">
        <v>2</v>
      </c>
      <c r="R433">
        <v>28.4</v>
      </c>
      <c r="S433">
        <v>18</v>
      </c>
      <c r="T433">
        <v>18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18</v>
      </c>
      <c r="AB433">
        <v>3</v>
      </c>
      <c r="AC433">
        <v>0</v>
      </c>
      <c r="AF433" t="s">
        <v>130</v>
      </c>
      <c r="AH433">
        <v>49.4</v>
      </c>
    </row>
    <row r="434" spans="1:34" x14ac:dyDescent="0.3">
      <c r="A434" s="4">
        <v>603</v>
      </c>
      <c r="B434" s="5">
        <v>427</v>
      </c>
      <c r="C434">
        <v>13184</v>
      </c>
      <c r="D434" t="s">
        <v>27557</v>
      </c>
      <c r="E434" t="s">
        <v>789</v>
      </c>
      <c r="F434" t="s">
        <v>58</v>
      </c>
      <c r="G434" t="s">
        <v>27558</v>
      </c>
      <c r="H434">
        <v>18.399999999999999</v>
      </c>
      <c r="I434">
        <v>7</v>
      </c>
      <c r="J434">
        <v>0</v>
      </c>
      <c r="K434">
        <v>20</v>
      </c>
      <c r="O434">
        <v>0</v>
      </c>
      <c r="P434">
        <v>4</v>
      </c>
      <c r="Q434">
        <v>0</v>
      </c>
      <c r="R434">
        <v>49.4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F434" t="s">
        <v>130</v>
      </c>
      <c r="AH434">
        <v>49.4</v>
      </c>
    </row>
    <row r="435" spans="1:34" x14ac:dyDescent="0.3">
      <c r="A435" s="4">
        <v>604</v>
      </c>
      <c r="B435" s="5">
        <v>428</v>
      </c>
      <c r="C435">
        <v>7215</v>
      </c>
      <c r="D435" t="s">
        <v>27559</v>
      </c>
      <c r="E435" t="s">
        <v>41</v>
      </c>
      <c r="F435" t="s">
        <v>136</v>
      </c>
      <c r="G435" t="s">
        <v>27560</v>
      </c>
      <c r="H435">
        <v>18.3</v>
      </c>
      <c r="I435">
        <v>0</v>
      </c>
      <c r="J435">
        <v>0</v>
      </c>
      <c r="K435">
        <v>20</v>
      </c>
      <c r="L435">
        <v>7</v>
      </c>
      <c r="O435">
        <v>7</v>
      </c>
      <c r="P435">
        <v>4</v>
      </c>
      <c r="Q435">
        <v>0</v>
      </c>
      <c r="R435">
        <v>49.3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 t="s">
        <v>130</v>
      </c>
      <c r="AF435" t="s">
        <v>130</v>
      </c>
      <c r="AH435">
        <v>49.3</v>
      </c>
    </row>
    <row r="436" spans="1:34" x14ac:dyDescent="0.3">
      <c r="A436" s="4">
        <v>605</v>
      </c>
      <c r="B436" s="5">
        <v>429</v>
      </c>
      <c r="C436">
        <v>7177</v>
      </c>
      <c r="D436" t="s">
        <v>5112</v>
      </c>
      <c r="E436" t="s">
        <v>213</v>
      </c>
      <c r="F436" t="s">
        <v>81</v>
      </c>
      <c r="G436" t="s">
        <v>27561</v>
      </c>
      <c r="H436">
        <v>18.2</v>
      </c>
      <c r="I436">
        <v>7</v>
      </c>
      <c r="J436">
        <v>0</v>
      </c>
      <c r="K436">
        <v>0</v>
      </c>
      <c r="L436">
        <v>7</v>
      </c>
      <c r="O436">
        <v>7</v>
      </c>
      <c r="P436">
        <v>4</v>
      </c>
      <c r="Q436">
        <v>2</v>
      </c>
      <c r="R436">
        <v>38.200000000000003</v>
      </c>
      <c r="S436">
        <v>5</v>
      </c>
      <c r="T436">
        <v>5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5</v>
      </c>
      <c r="AB436">
        <v>6</v>
      </c>
      <c r="AC436">
        <v>0</v>
      </c>
      <c r="AF436" t="s">
        <v>130</v>
      </c>
      <c r="AH436">
        <v>49.2</v>
      </c>
    </row>
    <row r="437" spans="1:34" x14ac:dyDescent="0.3">
      <c r="A437" s="4">
        <v>606</v>
      </c>
      <c r="B437" s="5">
        <v>430</v>
      </c>
      <c r="C437">
        <v>12086</v>
      </c>
      <c r="D437" t="s">
        <v>27562</v>
      </c>
      <c r="E437" t="s">
        <v>41</v>
      </c>
      <c r="F437" t="s">
        <v>136</v>
      </c>
      <c r="G437" t="s">
        <v>27563</v>
      </c>
      <c r="H437">
        <v>19.149999999999999</v>
      </c>
      <c r="I437">
        <v>0</v>
      </c>
      <c r="J437">
        <v>0</v>
      </c>
      <c r="K437">
        <v>20</v>
      </c>
      <c r="N437">
        <v>3</v>
      </c>
      <c r="O437">
        <v>3</v>
      </c>
      <c r="P437">
        <v>4</v>
      </c>
      <c r="Q437">
        <v>0</v>
      </c>
      <c r="R437">
        <v>46.15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3</v>
      </c>
      <c r="AC437">
        <v>0</v>
      </c>
      <c r="AF437" t="s">
        <v>130</v>
      </c>
      <c r="AH437">
        <v>49.15</v>
      </c>
    </row>
    <row r="438" spans="1:34" x14ac:dyDescent="0.3">
      <c r="A438" s="4">
        <v>607</v>
      </c>
      <c r="B438" s="5">
        <v>431</v>
      </c>
      <c r="C438">
        <v>11518</v>
      </c>
      <c r="D438" t="s">
        <v>2484</v>
      </c>
      <c r="E438" t="s">
        <v>100</v>
      </c>
      <c r="F438" t="s">
        <v>30</v>
      </c>
      <c r="G438" t="s">
        <v>27564</v>
      </c>
      <c r="H438">
        <v>20.13</v>
      </c>
      <c r="I438">
        <v>0</v>
      </c>
      <c r="J438">
        <v>0</v>
      </c>
      <c r="K438">
        <v>20</v>
      </c>
      <c r="O438">
        <v>0</v>
      </c>
      <c r="P438">
        <v>4</v>
      </c>
      <c r="Q438">
        <v>2</v>
      </c>
      <c r="R438">
        <v>46.13</v>
      </c>
      <c r="S438">
        <v>3</v>
      </c>
      <c r="T438">
        <v>3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3</v>
      </c>
      <c r="AB438">
        <v>0</v>
      </c>
      <c r="AC438">
        <v>0</v>
      </c>
      <c r="AF438" t="s">
        <v>130</v>
      </c>
      <c r="AH438">
        <v>49.13</v>
      </c>
    </row>
    <row r="439" spans="1:34" x14ac:dyDescent="0.3">
      <c r="A439" s="4">
        <v>608</v>
      </c>
      <c r="B439" s="5">
        <v>432</v>
      </c>
      <c r="C439">
        <v>13340</v>
      </c>
      <c r="D439" t="s">
        <v>1624</v>
      </c>
      <c r="E439" t="s">
        <v>208</v>
      </c>
      <c r="F439" t="s">
        <v>1161</v>
      </c>
      <c r="G439" t="s">
        <v>27565</v>
      </c>
      <c r="H439">
        <v>18.100000000000001</v>
      </c>
      <c r="I439">
        <v>0</v>
      </c>
      <c r="J439">
        <v>0</v>
      </c>
      <c r="K439">
        <v>0</v>
      </c>
      <c r="N439">
        <v>3</v>
      </c>
      <c r="O439">
        <v>3</v>
      </c>
      <c r="P439">
        <v>4</v>
      </c>
      <c r="Q439">
        <v>2</v>
      </c>
      <c r="R439">
        <v>27.1</v>
      </c>
      <c r="S439">
        <v>22</v>
      </c>
      <c r="T439">
        <v>22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22</v>
      </c>
      <c r="AB439">
        <v>0</v>
      </c>
      <c r="AC439">
        <v>0</v>
      </c>
      <c r="AF439" t="s">
        <v>130</v>
      </c>
      <c r="AH439">
        <v>49.1</v>
      </c>
    </row>
    <row r="440" spans="1:34" x14ac:dyDescent="0.3">
      <c r="A440" s="4">
        <v>609</v>
      </c>
      <c r="B440" s="5">
        <v>433</v>
      </c>
      <c r="C440">
        <v>6191</v>
      </c>
      <c r="D440" t="s">
        <v>27566</v>
      </c>
      <c r="E440" t="s">
        <v>38</v>
      </c>
      <c r="F440" t="s">
        <v>17</v>
      </c>
      <c r="G440" t="s">
        <v>27567</v>
      </c>
      <c r="H440">
        <v>18.03</v>
      </c>
      <c r="I440">
        <v>0</v>
      </c>
      <c r="J440">
        <v>0</v>
      </c>
      <c r="K440">
        <v>20</v>
      </c>
      <c r="L440">
        <v>7</v>
      </c>
      <c r="O440">
        <v>7</v>
      </c>
      <c r="P440">
        <v>4</v>
      </c>
      <c r="Q440">
        <v>0</v>
      </c>
      <c r="R440">
        <v>49.03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F440" t="s">
        <v>130</v>
      </c>
      <c r="AH440">
        <v>49.03</v>
      </c>
    </row>
    <row r="441" spans="1:34" x14ac:dyDescent="0.3">
      <c r="A441" s="4">
        <v>610</v>
      </c>
      <c r="B441" s="5">
        <v>434</v>
      </c>
      <c r="C441">
        <v>6715</v>
      </c>
      <c r="D441" t="s">
        <v>27568</v>
      </c>
      <c r="E441" t="s">
        <v>190</v>
      </c>
      <c r="F441" t="s">
        <v>17</v>
      </c>
      <c r="G441" t="s">
        <v>27569</v>
      </c>
      <c r="H441">
        <v>19.95</v>
      </c>
      <c r="I441">
        <v>0</v>
      </c>
      <c r="J441">
        <v>0</v>
      </c>
      <c r="K441">
        <v>20</v>
      </c>
      <c r="N441">
        <v>3</v>
      </c>
      <c r="O441">
        <v>3</v>
      </c>
      <c r="P441">
        <v>4</v>
      </c>
      <c r="Q441">
        <v>2</v>
      </c>
      <c r="R441">
        <v>48.95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F441" t="s">
        <v>130</v>
      </c>
      <c r="AH441">
        <v>48.95</v>
      </c>
    </row>
    <row r="442" spans="1:34" x14ac:dyDescent="0.3">
      <c r="A442" s="4">
        <v>611</v>
      </c>
      <c r="B442" s="5">
        <v>435</v>
      </c>
      <c r="C442">
        <v>5168</v>
      </c>
      <c r="D442" t="s">
        <v>18037</v>
      </c>
      <c r="E442" t="s">
        <v>51</v>
      </c>
      <c r="F442" t="s">
        <v>30</v>
      </c>
      <c r="G442" t="s">
        <v>27570</v>
      </c>
      <c r="H442">
        <v>17.850000000000001</v>
      </c>
      <c r="I442">
        <v>0</v>
      </c>
      <c r="J442">
        <v>0</v>
      </c>
      <c r="K442">
        <v>0</v>
      </c>
      <c r="L442">
        <v>7</v>
      </c>
      <c r="O442">
        <v>7</v>
      </c>
      <c r="P442">
        <v>4</v>
      </c>
      <c r="Q442">
        <v>2</v>
      </c>
      <c r="R442">
        <v>30.85</v>
      </c>
      <c r="S442">
        <v>18</v>
      </c>
      <c r="T442">
        <v>18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18</v>
      </c>
      <c r="AB442">
        <v>0</v>
      </c>
      <c r="AC442">
        <v>0</v>
      </c>
      <c r="AF442" t="s">
        <v>130</v>
      </c>
      <c r="AH442">
        <v>48.85</v>
      </c>
    </row>
    <row r="443" spans="1:34" x14ac:dyDescent="0.3">
      <c r="A443" s="4">
        <v>612</v>
      </c>
      <c r="B443" s="5">
        <v>436</v>
      </c>
      <c r="C443">
        <v>5335</v>
      </c>
      <c r="D443" t="s">
        <v>13630</v>
      </c>
      <c r="E443" t="s">
        <v>29</v>
      </c>
      <c r="F443" t="s">
        <v>27571</v>
      </c>
      <c r="G443" t="s">
        <v>27572</v>
      </c>
      <c r="H443">
        <v>16.829999999999998</v>
      </c>
      <c r="I443">
        <v>0</v>
      </c>
      <c r="J443">
        <v>0</v>
      </c>
      <c r="K443">
        <v>0</v>
      </c>
      <c r="N443">
        <v>3</v>
      </c>
      <c r="O443">
        <v>3</v>
      </c>
      <c r="P443">
        <v>4</v>
      </c>
      <c r="Q443">
        <v>2</v>
      </c>
      <c r="R443">
        <v>25.83</v>
      </c>
      <c r="S443">
        <v>17</v>
      </c>
      <c r="T443">
        <v>17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17</v>
      </c>
      <c r="AB443">
        <v>6</v>
      </c>
      <c r="AC443">
        <v>0</v>
      </c>
      <c r="AF443" t="s">
        <v>130</v>
      </c>
      <c r="AH443">
        <v>48.83</v>
      </c>
    </row>
    <row r="444" spans="1:34" x14ac:dyDescent="0.3">
      <c r="A444" s="4">
        <v>613</v>
      </c>
      <c r="B444" s="5">
        <v>437</v>
      </c>
      <c r="C444">
        <v>4175</v>
      </c>
      <c r="D444" t="s">
        <v>27573</v>
      </c>
      <c r="E444" t="s">
        <v>29</v>
      </c>
      <c r="F444" t="s">
        <v>1460</v>
      </c>
      <c r="G444" t="s">
        <v>27574</v>
      </c>
      <c r="H444">
        <v>19.829999999999998</v>
      </c>
      <c r="I444">
        <v>0</v>
      </c>
      <c r="J444">
        <v>0</v>
      </c>
      <c r="K444">
        <v>20</v>
      </c>
      <c r="L444">
        <v>7</v>
      </c>
      <c r="O444">
        <v>7</v>
      </c>
      <c r="P444">
        <v>0</v>
      </c>
      <c r="Q444">
        <v>2</v>
      </c>
      <c r="R444">
        <v>48.83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F444" t="s">
        <v>130</v>
      </c>
      <c r="AH444">
        <v>48.83</v>
      </c>
    </row>
    <row r="445" spans="1:34" x14ac:dyDescent="0.3">
      <c r="A445" s="4">
        <v>614</v>
      </c>
      <c r="B445" s="5">
        <v>438</v>
      </c>
      <c r="C445">
        <v>9225</v>
      </c>
      <c r="D445" t="s">
        <v>1296</v>
      </c>
      <c r="E445" t="s">
        <v>283</v>
      </c>
      <c r="F445" t="s">
        <v>34</v>
      </c>
      <c r="G445" t="s">
        <v>27575</v>
      </c>
      <c r="H445">
        <v>18.78</v>
      </c>
      <c r="I445">
        <v>0</v>
      </c>
      <c r="J445">
        <v>0</v>
      </c>
      <c r="K445">
        <v>20</v>
      </c>
      <c r="N445">
        <v>6</v>
      </c>
      <c r="O445">
        <v>6</v>
      </c>
      <c r="P445">
        <v>4</v>
      </c>
      <c r="Q445">
        <v>0</v>
      </c>
      <c r="R445">
        <v>48.78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F445" t="s">
        <v>130</v>
      </c>
      <c r="AH445">
        <v>48.78</v>
      </c>
    </row>
    <row r="446" spans="1:34" x14ac:dyDescent="0.3">
      <c r="A446" s="4">
        <v>615</v>
      </c>
      <c r="B446" s="5">
        <v>439</v>
      </c>
      <c r="C446">
        <v>10201</v>
      </c>
      <c r="D446" t="s">
        <v>27576</v>
      </c>
      <c r="E446" t="s">
        <v>550</v>
      </c>
      <c r="F446" t="s">
        <v>243</v>
      </c>
      <c r="G446" t="s">
        <v>27577</v>
      </c>
      <c r="H446">
        <v>16.75</v>
      </c>
      <c r="I446">
        <v>0</v>
      </c>
      <c r="J446">
        <v>0</v>
      </c>
      <c r="K446">
        <v>0</v>
      </c>
      <c r="M446">
        <v>5</v>
      </c>
      <c r="O446">
        <v>5</v>
      </c>
      <c r="P446">
        <v>4</v>
      </c>
      <c r="Q446">
        <v>2</v>
      </c>
      <c r="R446">
        <v>27.75</v>
      </c>
      <c r="S446">
        <v>18</v>
      </c>
      <c r="T446">
        <v>18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18</v>
      </c>
      <c r="AB446">
        <v>3</v>
      </c>
      <c r="AC446">
        <v>0</v>
      </c>
      <c r="AD446" t="s">
        <v>130</v>
      </c>
      <c r="AF446" t="s">
        <v>130</v>
      </c>
      <c r="AH446">
        <v>48.75</v>
      </c>
    </row>
    <row r="447" spans="1:34" x14ac:dyDescent="0.3">
      <c r="A447" s="4">
        <v>616</v>
      </c>
      <c r="B447" s="5">
        <v>440</v>
      </c>
      <c r="C447">
        <v>1122</v>
      </c>
      <c r="D447" t="s">
        <v>1419</v>
      </c>
      <c r="E447" t="s">
        <v>41</v>
      </c>
      <c r="F447" t="s">
        <v>91</v>
      </c>
      <c r="G447" t="s">
        <v>27578</v>
      </c>
      <c r="H447">
        <v>17.73</v>
      </c>
      <c r="I447">
        <v>0</v>
      </c>
      <c r="J447">
        <v>0</v>
      </c>
      <c r="K447">
        <v>0</v>
      </c>
      <c r="O447">
        <v>0</v>
      </c>
      <c r="P447">
        <v>4</v>
      </c>
      <c r="Q447">
        <v>2</v>
      </c>
      <c r="R447">
        <v>23.73</v>
      </c>
      <c r="S447">
        <v>19</v>
      </c>
      <c r="T447">
        <v>19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19</v>
      </c>
      <c r="AB447">
        <v>6</v>
      </c>
      <c r="AC447">
        <v>0</v>
      </c>
      <c r="AF447" t="s">
        <v>130</v>
      </c>
      <c r="AH447">
        <v>48.73</v>
      </c>
    </row>
    <row r="448" spans="1:34" x14ac:dyDescent="0.3">
      <c r="A448" s="4">
        <v>617</v>
      </c>
      <c r="B448" s="5">
        <v>441</v>
      </c>
      <c r="C448">
        <v>12668</v>
      </c>
      <c r="D448" t="s">
        <v>27579</v>
      </c>
      <c r="E448" t="s">
        <v>1576</v>
      </c>
      <c r="F448" t="s">
        <v>38</v>
      </c>
      <c r="G448" t="s">
        <v>27580</v>
      </c>
      <c r="H448">
        <v>17.73</v>
      </c>
      <c r="I448">
        <v>0</v>
      </c>
      <c r="J448">
        <v>0</v>
      </c>
      <c r="K448">
        <v>20</v>
      </c>
      <c r="L448">
        <v>7</v>
      </c>
      <c r="O448">
        <v>7</v>
      </c>
      <c r="P448">
        <v>4</v>
      </c>
      <c r="Q448">
        <v>0</v>
      </c>
      <c r="R448">
        <v>48.73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 t="s">
        <v>130</v>
      </c>
      <c r="AF448" t="s">
        <v>130</v>
      </c>
      <c r="AH448">
        <v>48.73</v>
      </c>
    </row>
    <row r="449" spans="1:34" x14ac:dyDescent="0.3">
      <c r="A449" s="4">
        <v>618</v>
      </c>
      <c r="B449" s="5">
        <v>442</v>
      </c>
      <c r="C449">
        <v>10339</v>
      </c>
      <c r="D449" t="s">
        <v>27581</v>
      </c>
      <c r="E449" t="s">
        <v>27582</v>
      </c>
      <c r="F449" t="s">
        <v>570</v>
      </c>
      <c r="G449" t="s">
        <v>27583</v>
      </c>
      <c r="H449">
        <v>17.649999999999999</v>
      </c>
      <c r="I449">
        <v>0</v>
      </c>
      <c r="J449">
        <v>0</v>
      </c>
      <c r="K449">
        <v>20</v>
      </c>
      <c r="M449">
        <v>5</v>
      </c>
      <c r="O449">
        <v>5</v>
      </c>
      <c r="P449">
        <v>4</v>
      </c>
      <c r="Q449">
        <v>2</v>
      </c>
      <c r="R449">
        <v>48.65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F449" t="s">
        <v>130</v>
      </c>
      <c r="AH449">
        <v>48.65</v>
      </c>
    </row>
    <row r="450" spans="1:34" x14ac:dyDescent="0.3">
      <c r="A450" s="4">
        <v>619</v>
      </c>
      <c r="B450" s="5">
        <v>443</v>
      </c>
      <c r="C450">
        <v>6184</v>
      </c>
      <c r="D450" t="s">
        <v>3454</v>
      </c>
      <c r="E450" t="s">
        <v>22</v>
      </c>
      <c r="F450" t="s">
        <v>17</v>
      </c>
      <c r="G450" t="s">
        <v>27584</v>
      </c>
      <c r="H450">
        <v>17.600000000000001</v>
      </c>
      <c r="I450">
        <v>0</v>
      </c>
      <c r="J450">
        <v>0</v>
      </c>
      <c r="K450">
        <v>20</v>
      </c>
      <c r="L450">
        <v>7</v>
      </c>
      <c r="O450">
        <v>7</v>
      </c>
      <c r="P450">
        <v>4</v>
      </c>
      <c r="Q450">
        <v>0</v>
      </c>
      <c r="R450">
        <v>48.6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 t="s">
        <v>130</v>
      </c>
      <c r="AF450" t="s">
        <v>130</v>
      </c>
      <c r="AH450">
        <v>48.6</v>
      </c>
    </row>
    <row r="451" spans="1:34" x14ac:dyDescent="0.3">
      <c r="A451" s="4">
        <v>620</v>
      </c>
      <c r="B451" s="5">
        <v>444</v>
      </c>
      <c r="C451">
        <v>1362</v>
      </c>
      <c r="D451" t="s">
        <v>27585</v>
      </c>
      <c r="E451" t="s">
        <v>54</v>
      </c>
      <c r="F451" t="s">
        <v>117</v>
      </c>
      <c r="G451" t="s">
        <v>27586</v>
      </c>
      <c r="H451">
        <v>18.5</v>
      </c>
      <c r="I451">
        <v>0</v>
      </c>
      <c r="J451">
        <v>0</v>
      </c>
      <c r="K451">
        <v>20</v>
      </c>
      <c r="N451">
        <v>3</v>
      </c>
      <c r="O451">
        <v>3</v>
      </c>
      <c r="P451">
        <v>4</v>
      </c>
      <c r="Q451">
        <v>0</v>
      </c>
      <c r="R451">
        <v>45.5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3</v>
      </c>
      <c r="AC451">
        <v>0</v>
      </c>
      <c r="AF451" t="s">
        <v>130</v>
      </c>
      <c r="AH451">
        <v>48.5</v>
      </c>
    </row>
    <row r="452" spans="1:34" x14ac:dyDescent="0.3">
      <c r="A452" s="4">
        <v>621</v>
      </c>
      <c r="B452" s="5">
        <v>445</v>
      </c>
      <c r="C452">
        <v>8878</v>
      </c>
      <c r="D452" t="s">
        <v>27587</v>
      </c>
      <c r="E452" t="s">
        <v>88</v>
      </c>
      <c r="F452" t="s">
        <v>343</v>
      </c>
      <c r="G452" t="s">
        <v>27588</v>
      </c>
      <c r="H452">
        <v>19.48</v>
      </c>
      <c r="I452">
        <v>0</v>
      </c>
      <c r="J452">
        <v>0</v>
      </c>
      <c r="K452">
        <v>0</v>
      </c>
      <c r="M452">
        <v>5</v>
      </c>
      <c r="O452">
        <v>5</v>
      </c>
      <c r="P452">
        <v>4</v>
      </c>
      <c r="Q452">
        <v>2</v>
      </c>
      <c r="R452">
        <v>30.48</v>
      </c>
      <c r="S452">
        <v>18</v>
      </c>
      <c r="T452">
        <v>18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18</v>
      </c>
      <c r="AB452">
        <v>0</v>
      </c>
      <c r="AC452">
        <v>0</v>
      </c>
      <c r="AE452" t="s">
        <v>130</v>
      </c>
      <c r="AF452" t="s">
        <v>130</v>
      </c>
      <c r="AH452">
        <v>48.48</v>
      </c>
    </row>
    <row r="453" spans="1:34" x14ac:dyDescent="0.3">
      <c r="A453" s="4">
        <v>622</v>
      </c>
      <c r="B453" s="5">
        <v>446</v>
      </c>
      <c r="C453">
        <v>11669</v>
      </c>
      <c r="D453" t="s">
        <v>2377</v>
      </c>
      <c r="E453" t="s">
        <v>22</v>
      </c>
      <c r="F453" t="s">
        <v>2595</v>
      </c>
      <c r="G453" t="s">
        <v>27589</v>
      </c>
      <c r="H453">
        <v>18.45</v>
      </c>
      <c r="I453">
        <v>0</v>
      </c>
      <c r="J453">
        <v>0</v>
      </c>
      <c r="K453">
        <v>20</v>
      </c>
      <c r="N453">
        <v>6</v>
      </c>
      <c r="O453">
        <v>6</v>
      </c>
      <c r="P453">
        <v>4</v>
      </c>
      <c r="Q453">
        <v>0</v>
      </c>
      <c r="R453">
        <v>48.45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 t="s">
        <v>130</v>
      </c>
      <c r="AF453" t="s">
        <v>130</v>
      </c>
      <c r="AH453">
        <v>48.45</v>
      </c>
    </row>
    <row r="454" spans="1:34" x14ac:dyDescent="0.3">
      <c r="A454" s="4">
        <v>623</v>
      </c>
      <c r="B454" s="5">
        <v>447</v>
      </c>
      <c r="C454">
        <v>12509</v>
      </c>
      <c r="D454" t="s">
        <v>4637</v>
      </c>
      <c r="E454" t="s">
        <v>349</v>
      </c>
      <c r="F454" t="s">
        <v>328</v>
      </c>
      <c r="G454" t="s">
        <v>27590</v>
      </c>
      <c r="H454">
        <v>17.5</v>
      </c>
      <c r="I454">
        <v>0</v>
      </c>
      <c r="J454">
        <v>0</v>
      </c>
      <c r="K454">
        <v>0</v>
      </c>
      <c r="O454">
        <v>0</v>
      </c>
      <c r="P454">
        <v>4</v>
      </c>
      <c r="Q454">
        <v>0</v>
      </c>
      <c r="R454">
        <v>21.5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26.8</v>
      </c>
      <c r="AF454" t="s">
        <v>130</v>
      </c>
      <c r="AH454">
        <v>48.3</v>
      </c>
    </row>
    <row r="455" spans="1:34" x14ac:dyDescent="0.3">
      <c r="A455" s="4">
        <v>624</v>
      </c>
      <c r="B455" s="5">
        <v>448</v>
      </c>
      <c r="C455">
        <v>7950</v>
      </c>
      <c r="D455" t="s">
        <v>27591</v>
      </c>
      <c r="E455" t="s">
        <v>258</v>
      </c>
      <c r="F455" t="s">
        <v>167</v>
      </c>
      <c r="G455" t="s">
        <v>27592</v>
      </c>
      <c r="H455">
        <v>19.18</v>
      </c>
      <c r="I455">
        <v>0</v>
      </c>
      <c r="J455">
        <v>0</v>
      </c>
      <c r="K455">
        <v>20</v>
      </c>
      <c r="N455">
        <v>3</v>
      </c>
      <c r="O455">
        <v>3</v>
      </c>
      <c r="P455">
        <v>4</v>
      </c>
      <c r="Q455">
        <v>2</v>
      </c>
      <c r="R455">
        <v>48.18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F455" t="s">
        <v>130</v>
      </c>
      <c r="AH455">
        <v>48.18</v>
      </c>
    </row>
    <row r="456" spans="1:34" x14ac:dyDescent="0.3">
      <c r="A456" s="4">
        <v>625</v>
      </c>
      <c r="B456" s="5">
        <v>449</v>
      </c>
      <c r="C456">
        <v>796</v>
      </c>
      <c r="D456" t="s">
        <v>27593</v>
      </c>
      <c r="E456" t="s">
        <v>81</v>
      </c>
      <c r="F456" t="s">
        <v>38</v>
      </c>
      <c r="G456" t="s">
        <v>27594</v>
      </c>
      <c r="H456">
        <v>17.13</v>
      </c>
      <c r="I456">
        <v>0</v>
      </c>
      <c r="J456">
        <v>0</v>
      </c>
      <c r="K456">
        <v>20</v>
      </c>
      <c r="L456">
        <v>7</v>
      </c>
      <c r="O456">
        <v>7</v>
      </c>
      <c r="P456">
        <v>4</v>
      </c>
      <c r="Q456">
        <v>0</v>
      </c>
      <c r="R456">
        <v>48.13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F456" t="s">
        <v>130</v>
      </c>
      <c r="AH456">
        <v>48.13</v>
      </c>
    </row>
    <row r="457" spans="1:34" x14ac:dyDescent="0.3">
      <c r="A457" s="4">
        <v>626</v>
      </c>
      <c r="B457" s="5">
        <v>450</v>
      </c>
      <c r="C457">
        <v>7098</v>
      </c>
      <c r="D457" t="s">
        <v>8800</v>
      </c>
      <c r="E457" t="s">
        <v>406</v>
      </c>
      <c r="F457" t="s">
        <v>62</v>
      </c>
      <c r="G457" t="s">
        <v>27595</v>
      </c>
      <c r="H457">
        <v>20.13</v>
      </c>
      <c r="I457">
        <v>0</v>
      </c>
      <c r="J457">
        <v>0</v>
      </c>
      <c r="K457">
        <v>0</v>
      </c>
      <c r="M457">
        <v>5</v>
      </c>
      <c r="O457">
        <v>5</v>
      </c>
      <c r="P457">
        <v>4</v>
      </c>
      <c r="Q457">
        <v>2</v>
      </c>
      <c r="R457">
        <v>31.13</v>
      </c>
      <c r="S457">
        <v>17</v>
      </c>
      <c r="T457">
        <v>17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17</v>
      </c>
      <c r="AB457">
        <v>0</v>
      </c>
      <c r="AC457">
        <v>0</v>
      </c>
      <c r="AD457" t="s">
        <v>130</v>
      </c>
      <c r="AF457" t="s">
        <v>130</v>
      </c>
      <c r="AH457">
        <v>48.13</v>
      </c>
    </row>
    <row r="458" spans="1:34" x14ac:dyDescent="0.3">
      <c r="A458" s="4">
        <v>627</v>
      </c>
      <c r="B458" s="5">
        <v>451</v>
      </c>
      <c r="C458">
        <v>12384</v>
      </c>
      <c r="D458" t="s">
        <v>23171</v>
      </c>
      <c r="E458" t="s">
        <v>100</v>
      </c>
      <c r="F458" t="s">
        <v>20</v>
      </c>
      <c r="G458" t="s">
        <v>27596</v>
      </c>
      <c r="H458">
        <v>17.95</v>
      </c>
      <c r="I458">
        <v>0</v>
      </c>
      <c r="J458">
        <v>0</v>
      </c>
      <c r="K458">
        <v>0</v>
      </c>
      <c r="N458">
        <v>3</v>
      </c>
      <c r="O458">
        <v>3</v>
      </c>
      <c r="P458">
        <v>4</v>
      </c>
      <c r="Q458">
        <v>0</v>
      </c>
      <c r="R458">
        <v>24.95</v>
      </c>
      <c r="S458">
        <v>17</v>
      </c>
      <c r="T458">
        <v>17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17</v>
      </c>
      <c r="AB458">
        <v>6</v>
      </c>
      <c r="AC458">
        <v>0</v>
      </c>
      <c r="AF458" t="s">
        <v>130</v>
      </c>
      <c r="AH458">
        <v>47.95</v>
      </c>
    </row>
    <row r="459" spans="1:34" x14ac:dyDescent="0.3">
      <c r="A459" s="4">
        <v>628</v>
      </c>
      <c r="B459" s="5">
        <v>452</v>
      </c>
      <c r="C459">
        <v>1386</v>
      </c>
      <c r="D459" t="s">
        <v>2460</v>
      </c>
      <c r="E459" t="s">
        <v>37</v>
      </c>
      <c r="F459" t="s">
        <v>2802</v>
      </c>
      <c r="G459" t="s">
        <v>27597</v>
      </c>
      <c r="H459">
        <v>17.899999999999999</v>
      </c>
      <c r="I459">
        <v>0</v>
      </c>
      <c r="J459">
        <v>0</v>
      </c>
      <c r="K459">
        <v>0</v>
      </c>
      <c r="N459">
        <v>3</v>
      </c>
      <c r="O459">
        <v>3</v>
      </c>
      <c r="P459">
        <v>4</v>
      </c>
      <c r="Q459">
        <v>2</v>
      </c>
      <c r="R459">
        <v>26.9</v>
      </c>
      <c r="S459">
        <v>18</v>
      </c>
      <c r="T459">
        <v>18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18</v>
      </c>
      <c r="AB459">
        <v>3</v>
      </c>
      <c r="AC459">
        <v>0</v>
      </c>
      <c r="AF459" t="s">
        <v>130</v>
      </c>
      <c r="AH459">
        <v>47.9</v>
      </c>
    </row>
    <row r="460" spans="1:34" x14ac:dyDescent="0.3">
      <c r="A460" s="4">
        <v>629</v>
      </c>
      <c r="B460" s="5">
        <v>453</v>
      </c>
      <c r="C460">
        <v>4588</v>
      </c>
      <c r="D460" t="s">
        <v>27598</v>
      </c>
      <c r="E460" t="s">
        <v>219</v>
      </c>
      <c r="F460" t="s">
        <v>38</v>
      </c>
      <c r="G460" t="s">
        <v>27599</v>
      </c>
      <c r="H460">
        <v>17.73</v>
      </c>
      <c r="I460">
        <v>0</v>
      </c>
      <c r="J460">
        <v>0</v>
      </c>
      <c r="K460">
        <v>0</v>
      </c>
      <c r="N460">
        <v>3</v>
      </c>
      <c r="O460">
        <v>3</v>
      </c>
      <c r="P460">
        <v>4</v>
      </c>
      <c r="Q460">
        <v>2</v>
      </c>
      <c r="R460">
        <v>26.73</v>
      </c>
      <c r="S460">
        <v>18</v>
      </c>
      <c r="T460">
        <v>18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18</v>
      </c>
      <c r="AB460">
        <v>3</v>
      </c>
      <c r="AC460">
        <v>0</v>
      </c>
      <c r="AF460" t="s">
        <v>130</v>
      </c>
      <c r="AH460">
        <v>47.73</v>
      </c>
    </row>
    <row r="461" spans="1:34" x14ac:dyDescent="0.3">
      <c r="A461" s="4">
        <v>630</v>
      </c>
      <c r="B461" s="5">
        <v>454</v>
      </c>
      <c r="C461">
        <v>11345</v>
      </c>
      <c r="D461" t="s">
        <v>27600</v>
      </c>
      <c r="E461" t="s">
        <v>283</v>
      </c>
      <c r="F461" t="s">
        <v>38</v>
      </c>
      <c r="G461" t="s">
        <v>27601</v>
      </c>
      <c r="H461">
        <v>18.63</v>
      </c>
      <c r="I461">
        <v>0</v>
      </c>
      <c r="J461">
        <v>0</v>
      </c>
      <c r="K461">
        <v>20</v>
      </c>
      <c r="N461">
        <v>3</v>
      </c>
      <c r="O461">
        <v>3</v>
      </c>
      <c r="P461">
        <v>4</v>
      </c>
      <c r="Q461">
        <v>2</v>
      </c>
      <c r="R461">
        <v>47.63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F461" t="s">
        <v>130</v>
      </c>
      <c r="AH461">
        <v>47.63</v>
      </c>
    </row>
    <row r="462" spans="1:34" x14ac:dyDescent="0.3">
      <c r="A462" s="4">
        <v>631</v>
      </c>
      <c r="B462" s="5">
        <v>455</v>
      </c>
      <c r="C462">
        <v>9743</v>
      </c>
      <c r="D462" t="s">
        <v>3747</v>
      </c>
      <c r="E462" t="s">
        <v>88</v>
      </c>
      <c r="F462" t="s">
        <v>892</v>
      </c>
      <c r="G462" t="s">
        <v>27602</v>
      </c>
      <c r="H462">
        <v>18.48</v>
      </c>
      <c r="I462">
        <v>0</v>
      </c>
      <c r="J462">
        <v>0</v>
      </c>
      <c r="K462">
        <v>0</v>
      </c>
      <c r="N462">
        <v>3</v>
      </c>
      <c r="O462">
        <v>3</v>
      </c>
      <c r="P462">
        <v>4</v>
      </c>
      <c r="Q462">
        <v>2</v>
      </c>
      <c r="R462">
        <v>27.48</v>
      </c>
      <c r="S462">
        <v>17</v>
      </c>
      <c r="T462">
        <v>17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17</v>
      </c>
      <c r="AB462">
        <v>3</v>
      </c>
      <c r="AC462">
        <v>0</v>
      </c>
      <c r="AF462" t="s">
        <v>130</v>
      </c>
      <c r="AH462">
        <v>47.48</v>
      </c>
    </row>
    <row r="463" spans="1:34" x14ac:dyDescent="0.3">
      <c r="A463" s="4">
        <v>632</v>
      </c>
      <c r="B463" s="5">
        <v>456</v>
      </c>
      <c r="C463">
        <v>14398</v>
      </c>
      <c r="D463" t="s">
        <v>27603</v>
      </c>
      <c r="E463" t="s">
        <v>29</v>
      </c>
      <c r="F463" t="s">
        <v>38</v>
      </c>
      <c r="G463" t="s">
        <v>27604</v>
      </c>
      <c r="H463">
        <v>20.399999999999999</v>
      </c>
      <c r="I463">
        <v>0</v>
      </c>
      <c r="J463">
        <v>0</v>
      </c>
      <c r="K463">
        <v>20</v>
      </c>
      <c r="O463">
        <v>0</v>
      </c>
      <c r="P463">
        <v>4</v>
      </c>
      <c r="Q463">
        <v>0</v>
      </c>
      <c r="R463">
        <v>44.4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3</v>
      </c>
      <c r="AC463">
        <v>0</v>
      </c>
      <c r="AF463" t="s">
        <v>130</v>
      </c>
      <c r="AH463">
        <v>47.4</v>
      </c>
    </row>
    <row r="464" spans="1:34" x14ac:dyDescent="0.3">
      <c r="A464" s="4">
        <v>633</v>
      </c>
      <c r="B464" s="5">
        <v>457</v>
      </c>
      <c r="C464">
        <v>4208</v>
      </c>
      <c r="D464" t="s">
        <v>27605</v>
      </c>
      <c r="E464" t="s">
        <v>20</v>
      </c>
      <c r="F464" t="s">
        <v>782</v>
      </c>
      <c r="G464" t="s">
        <v>27606</v>
      </c>
      <c r="H464">
        <v>18.28</v>
      </c>
      <c r="I464">
        <v>0</v>
      </c>
      <c r="J464">
        <v>0</v>
      </c>
      <c r="K464">
        <v>0</v>
      </c>
      <c r="N464">
        <v>3</v>
      </c>
      <c r="O464">
        <v>3</v>
      </c>
      <c r="P464">
        <v>4</v>
      </c>
      <c r="Q464">
        <v>2</v>
      </c>
      <c r="R464">
        <v>27.28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20</v>
      </c>
      <c r="AF464" t="s">
        <v>130</v>
      </c>
      <c r="AH464">
        <v>47.28</v>
      </c>
    </row>
    <row r="465" spans="1:34" x14ac:dyDescent="0.3">
      <c r="A465" s="4">
        <v>634</v>
      </c>
      <c r="B465" s="5">
        <v>458</v>
      </c>
      <c r="C465">
        <v>14592</v>
      </c>
      <c r="D465" t="s">
        <v>27607</v>
      </c>
      <c r="E465" t="s">
        <v>166</v>
      </c>
      <c r="F465" t="s">
        <v>167</v>
      </c>
      <c r="G465" t="s">
        <v>27608</v>
      </c>
      <c r="H465">
        <v>17.23</v>
      </c>
      <c r="I465">
        <v>0</v>
      </c>
      <c r="J465">
        <v>0</v>
      </c>
      <c r="K465">
        <v>0</v>
      </c>
      <c r="L465">
        <v>7</v>
      </c>
      <c r="O465">
        <v>7</v>
      </c>
      <c r="P465">
        <v>4</v>
      </c>
      <c r="Q465">
        <v>2</v>
      </c>
      <c r="R465">
        <v>30.23</v>
      </c>
      <c r="S465">
        <v>17</v>
      </c>
      <c r="T465">
        <v>17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17</v>
      </c>
      <c r="AB465">
        <v>0</v>
      </c>
      <c r="AC465">
        <v>0</v>
      </c>
      <c r="AF465" t="s">
        <v>130</v>
      </c>
      <c r="AH465">
        <v>47.23</v>
      </c>
    </row>
    <row r="466" spans="1:34" x14ac:dyDescent="0.3">
      <c r="A466" s="4">
        <v>635</v>
      </c>
      <c r="B466" s="5">
        <v>459</v>
      </c>
      <c r="C466">
        <v>273</v>
      </c>
      <c r="D466" t="s">
        <v>11708</v>
      </c>
      <c r="E466" t="s">
        <v>29</v>
      </c>
      <c r="F466" t="s">
        <v>38</v>
      </c>
      <c r="G466" t="s">
        <v>27609</v>
      </c>
      <c r="H466">
        <v>20.2</v>
      </c>
      <c r="I466">
        <v>0</v>
      </c>
      <c r="J466">
        <v>0</v>
      </c>
      <c r="K466">
        <v>20</v>
      </c>
      <c r="N466">
        <v>3</v>
      </c>
      <c r="O466">
        <v>3</v>
      </c>
      <c r="P466">
        <v>4</v>
      </c>
      <c r="Q466">
        <v>0</v>
      </c>
      <c r="R466">
        <v>47.2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F466" t="s">
        <v>130</v>
      </c>
      <c r="AH466">
        <v>47.2</v>
      </c>
    </row>
    <row r="467" spans="1:34" x14ac:dyDescent="0.3">
      <c r="A467" s="4">
        <v>636</v>
      </c>
      <c r="B467" s="5">
        <v>460</v>
      </c>
      <c r="C467">
        <v>4650</v>
      </c>
      <c r="D467" t="s">
        <v>27610</v>
      </c>
      <c r="E467" t="s">
        <v>289</v>
      </c>
      <c r="F467" t="s">
        <v>38</v>
      </c>
      <c r="G467" t="s">
        <v>27611</v>
      </c>
      <c r="H467">
        <v>18.2</v>
      </c>
      <c r="I467">
        <v>0</v>
      </c>
      <c r="J467">
        <v>0</v>
      </c>
      <c r="K467">
        <v>0</v>
      </c>
      <c r="M467">
        <v>5</v>
      </c>
      <c r="O467">
        <v>5</v>
      </c>
      <c r="P467">
        <v>4</v>
      </c>
      <c r="Q467">
        <v>2</v>
      </c>
      <c r="R467">
        <v>29.2</v>
      </c>
      <c r="S467">
        <v>18</v>
      </c>
      <c r="T467">
        <v>18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18</v>
      </c>
      <c r="AB467">
        <v>0</v>
      </c>
      <c r="AC467">
        <v>0</v>
      </c>
      <c r="AF467" t="s">
        <v>130</v>
      </c>
      <c r="AH467">
        <v>47.2</v>
      </c>
    </row>
    <row r="468" spans="1:34" x14ac:dyDescent="0.3">
      <c r="A468" s="4">
        <v>637</v>
      </c>
      <c r="B468" s="5">
        <v>461</v>
      </c>
      <c r="C468">
        <v>9127</v>
      </c>
      <c r="D468" t="s">
        <v>28</v>
      </c>
      <c r="E468" t="s">
        <v>2538</v>
      </c>
      <c r="F468" t="s">
        <v>68</v>
      </c>
      <c r="G468" t="s">
        <v>27612</v>
      </c>
      <c r="H468">
        <v>18.100000000000001</v>
      </c>
      <c r="I468">
        <v>0</v>
      </c>
      <c r="J468">
        <v>0</v>
      </c>
      <c r="K468">
        <v>20</v>
      </c>
      <c r="N468">
        <v>3</v>
      </c>
      <c r="O468">
        <v>3</v>
      </c>
      <c r="P468">
        <v>4</v>
      </c>
      <c r="Q468">
        <v>2</v>
      </c>
      <c r="R468">
        <v>47.1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F468" t="s">
        <v>130</v>
      </c>
      <c r="AH468">
        <v>47.1</v>
      </c>
    </row>
    <row r="469" spans="1:34" x14ac:dyDescent="0.3">
      <c r="A469" s="4">
        <v>638</v>
      </c>
      <c r="B469" s="5">
        <v>462</v>
      </c>
      <c r="C469">
        <v>5237</v>
      </c>
      <c r="D469" t="s">
        <v>2389</v>
      </c>
      <c r="E469" t="s">
        <v>471</v>
      </c>
      <c r="F469" t="s">
        <v>27613</v>
      </c>
      <c r="G469" t="s">
        <v>27614</v>
      </c>
      <c r="H469">
        <v>22.05</v>
      </c>
      <c r="I469">
        <v>7</v>
      </c>
      <c r="J469">
        <v>0</v>
      </c>
      <c r="K469">
        <v>0</v>
      </c>
      <c r="L469">
        <v>14</v>
      </c>
      <c r="O469">
        <v>14</v>
      </c>
      <c r="P469">
        <v>4</v>
      </c>
      <c r="Q469">
        <v>0</v>
      </c>
      <c r="R469">
        <v>47.05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F469" t="s">
        <v>130</v>
      </c>
      <c r="AH469">
        <v>47.05</v>
      </c>
    </row>
    <row r="470" spans="1:34" x14ac:dyDescent="0.3">
      <c r="A470" s="4">
        <v>639</v>
      </c>
      <c r="B470" s="5">
        <v>463</v>
      </c>
      <c r="C470">
        <v>9457</v>
      </c>
      <c r="D470" t="s">
        <v>3340</v>
      </c>
      <c r="E470" t="s">
        <v>188</v>
      </c>
      <c r="F470" t="s">
        <v>38</v>
      </c>
      <c r="G470" t="s">
        <v>27615</v>
      </c>
      <c r="H470">
        <v>18</v>
      </c>
      <c r="I470">
        <v>0</v>
      </c>
      <c r="J470">
        <v>0</v>
      </c>
      <c r="K470">
        <v>20</v>
      </c>
      <c r="O470">
        <v>0</v>
      </c>
      <c r="P470">
        <v>4</v>
      </c>
      <c r="Q470">
        <v>2</v>
      </c>
      <c r="R470">
        <v>44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3</v>
      </c>
      <c r="AC470">
        <v>0</v>
      </c>
      <c r="AF470" t="s">
        <v>130</v>
      </c>
      <c r="AH470">
        <v>47</v>
      </c>
    </row>
    <row r="471" spans="1:34" x14ac:dyDescent="0.3">
      <c r="A471" s="4">
        <v>640</v>
      </c>
      <c r="B471" s="5">
        <v>464</v>
      </c>
      <c r="C471">
        <v>5095</v>
      </c>
      <c r="D471" t="s">
        <v>13736</v>
      </c>
      <c r="E471" t="s">
        <v>22</v>
      </c>
      <c r="F471" t="s">
        <v>1121</v>
      </c>
      <c r="G471" t="s">
        <v>27616</v>
      </c>
      <c r="H471">
        <v>17</v>
      </c>
      <c r="I471">
        <v>0</v>
      </c>
      <c r="J471">
        <v>0</v>
      </c>
      <c r="K471">
        <v>0</v>
      </c>
      <c r="N471">
        <v>3</v>
      </c>
      <c r="O471">
        <v>3</v>
      </c>
      <c r="P471">
        <v>4</v>
      </c>
      <c r="Q471">
        <v>2</v>
      </c>
      <c r="R471">
        <v>26</v>
      </c>
      <c r="S471">
        <v>18</v>
      </c>
      <c r="T471">
        <v>18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18</v>
      </c>
      <c r="AB471">
        <v>3</v>
      </c>
      <c r="AC471">
        <v>0</v>
      </c>
      <c r="AD471" t="s">
        <v>130</v>
      </c>
      <c r="AF471" t="s">
        <v>130</v>
      </c>
      <c r="AH471">
        <v>47</v>
      </c>
    </row>
    <row r="472" spans="1:34" x14ac:dyDescent="0.3">
      <c r="A472" s="4">
        <v>641</v>
      </c>
      <c r="B472" s="5">
        <v>465</v>
      </c>
      <c r="C472">
        <v>7753</v>
      </c>
      <c r="D472" t="s">
        <v>27617</v>
      </c>
      <c r="E472" t="s">
        <v>11601</v>
      </c>
      <c r="F472" t="s">
        <v>17</v>
      </c>
      <c r="G472" t="s">
        <v>27618</v>
      </c>
      <c r="H472">
        <v>17.88</v>
      </c>
      <c r="I472">
        <v>0</v>
      </c>
      <c r="J472">
        <v>0</v>
      </c>
      <c r="K472">
        <v>0</v>
      </c>
      <c r="N472">
        <v>3</v>
      </c>
      <c r="O472">
        <v>3</v>
      </c>
      <c r="P472">
        <v>4</v>
      </c>
      <c r="Q472">
        <v>2</v>
      </c>
      <c r="R472">
        <v>26.88</v>
      </c>
      <c r="S472">
        <v>20</v>
      </c>
      <c r="T472">
        <v>20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20</v>
      </c>
      <c r="AB472">
        <v>0</v>
      </c>
      <c r="AC472">
        <v>0</v>
      </c>
      <c r="AD472" t="s">
        <v>130</v>
      </c>
      <c r="AF472" t="s">
        <v>130</v>
      </c>
      <c r="AH472">
        <v>46.88</v>
      </c>
    </row>
    <row r="473" spans="1:34" x14ac:dyDescent="0.3">
      <c r="A473" s="4">
        <v>642</v>
      </c>
      <c r="B473" s="5">
        <v>466</v>
      </c>
      <c r="C473">
        <v>1115</v>
      </c>
      <c r="D473" t="s">
        <v>27619</v>
      </c>
      <c r="E473" t="s">
        <v>29</v>
      </c>
      <c r="F473" t="s">
        <v>243</v>
      </c>
      <c r="G473" t="s">
        <v>27620</v>
      </c>
      <c r="H473">
        <v>15.65</v>
      </c>
      <c r="I473">
        <v>0</v>
      </c>
      <c r="J473">
        <v>0</v>
      </c>
      <c r="K473">
        <v>0</v>
      </c>
      <c r="N473">
        <v>3</v>
      </c>
      <c r="O473">
        <v>3</v>
      </c>
      <c r="P473">
        <v>4</v>
      </c>
      <c r="Q473">
        <v>2</v>
      </c>
      <c r="R473">
        <v>24.65</v>
      </c>
      <c r="S473">
        <v>16</v>
      </c>
      <c r="T473">
        <v>16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16</v>
      </c>
      <c r="AB473">
        <v>6</v>
      </c>
      <c r="AC473">
        <v>0</v>
      </c>
      <c r="AF473" t="s">
        <v>130</v>
      </c>
      <c r="AH473">
        <v>46.65</v>
      </c>
    </row>
    <row r="474" spans="1:34" x14ac:dyDescent="0.3">
      <c r="A474" s="4">
        <v>643</v>
      </c>
      <c r="B474" s="5">
        <v>467</v>
      </c>
      <c r="C474">
        <v>5515</v>
      </c>
      <c r="D474" t="s">
        <v>27621</v>
      </c>
      <c r="E474" t="s">
        <v>550</v>
      </c>
      <c r="F474" t="s">
        <v>27622</v>
      </c>
      <c r="G474" t="s">
        <v>27623</v>
      </c>
      <c r="H474">
        <v>15.58</v>
      </c>
      <c r="I474">
        <v>0</v>
      </c>
      <c r="J474">
        <v>0</v>
      </c>
      <c r="K474">
        <v>0</v>
      </c>
      <c r="O474">
        <v>0</v>
      </c>
      <c r="P474">
        <v>4</v>
      </c>
      <c r="Q474">
        <v>2</v>
      </c>
      <c r="R474">
        <v>21.58</v>
      </c>
      <c r="S474">
        <v>9</v>
      </c>
      <c r="T474">
        <v>9</v>
      </c>
      <c r="U474">
        <v>0</v>
      </c>
      <c r="V474">
        <v>0</v>
      </c>
      <c r="W474">
        <v>7</v>
      </c>
      <c r="X474">
        <v>10</v>
      </c>
      <c r="Y474">
        <v>0</v>
      </c>
      <c r="Z474">
        <v>0</v>
      </c>
      <c r="AA474">
        <v>19</v>
      </c>
      <c r="AB474">
        <v>6</v>
      </c>
      <c r="AC474">
        <v>0</v>
      </c>
      <c r="AD474" t="s">
        <v>130</v>
      </c>
      <c r="AF474" t="s">
        <v>130</v>
      </c>
      <c r="AH474">
        <v>46.58</v>
      </c>
    </row>
    <row r="475" spans="1:34" x14ac:dyDescent="0.3">
      <c r="A475" s="4">
        <v>644</v>
      </c>
      <c r="B475" s="5">
        <v>468</v>
      </c>
      <c r="C475">
        <v>10886</v>
      </c>
      <c r="D475" t="s">
        <v>20269</v>
      </c>
      <c r="E475" t="s">
        <v>149</v>
      </c>
      <c r="F475" t="s">
        <v>649</v>
      </c>
      <c r="G475" t="s">
        <v>27624</v>
      </c>
      <c r="H475">
        <v>17.53</v>
      </c>
      <c r="I475">
        <v>0</v>
      </c>
      <c r="J475">
        <v>0</v>
      </c>
      <c r="K475">
        <v>0</v>
      </c>
      <c r="L475">
        <v>7</v>
      </c>
      <c r="O475">
        <v>7</v>
      </c>
      <c r="P475">
        <v>4</v>
      </c>
      <c r="Q475">
        <v>0</v>
      </c>
      <c r="R475">
        <v>28.53</v>
      </c>
      <c r="S475">
        <v>18</v>
      </c>
      <c r="T475">
        <v>18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18</v>
      </c>
      <c r="AB475">
        <v>0</v>
      </c>
      <c r="AC475">
        <v>0</v>
      </c>
      <c r="AF475" t="s">
        <v>130</v>
      </c>
      <c r="AH475">
        <v>46.53</v>
      </c>
    </row>
    <row r="476" spans="1:34" x14ac:dyDescent="0.3">
      <c r="A476" s="4">
        <v>645</v>
      </c>
      <c r="B476" s="5">
        <v>469</v>
      </c>
      <c r="C476">
        <v>238</v>
      </c>
      <c r="D476" t="s">
        <v>27625</v>
      </c>
      <c r="E476" t="s">
        <v>692</v>
      </c>
      <c r="F476" t="s">
        <v>17</v>
      </c>
      <c r="G476" t="s">
        <v>27626</v>
      </c>
      <c r="H476">
        <v>19.5</v>
      </c>
      <c r="I476">
        <v>0</v>
      </c>
      <c r="J476">
        <v>0</v>
      </c>
      <c r="K476">
        <v>20</v>
      </c>
      <c r="N476">
        <v>3</v>
      </c>
      <c r="O476">
        <v>3</v>
      </c>
      <c r="P476">
        <v>4</v>
      </c>
      <c r="Q476">
        <v>0</v>
      </c>
      <c r="R476">
        <v>46.5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F476" t="s">
        <v>130</v>
      </c>
      <c r="AH476">
        <v>46.5</v>
      </c>
    </row>
    <row r="477" spans="1:34" x14ac:dyDescent="0.3">
      <c r="A477" s="4">
        <v>646</v>
      </c>
      <c r="B477" s="5">
        <v>470</v>
      </c>
      <c r="C477">
        <v>6438</v>
      </c>
      <c r="D477" t="s">
        <v>27627</v>
      </c>
      <c r="E477" t="s">
        <v>33</v>
      </c>
      <c r="F477" t="s">
        <v>17</v>
      </c>
      <c r="G477" t="s">
        <v>27628</v>
      </c>
      <c r="H477">
        <v>20.43</v>
      </c>
      <c r="I477">
        <v>7</v>
      </c>
      <c r="J477">
        <v>0</v>
      </c>
      <c r="K477">
        <v>0</v>
      </c>
      <c r="N477">
        <v>3</v>
      </c>
      <c r="O477">
        <v>3</v>
      </c>
      <c r="P477">
        <v>4</v>
      </c>
      <c r="Q477">
        <v>2</v>
      </c>
      <c r="R477">
        <v>36.43</v>
      </c>
      <c r="S477">
        <v>10</v>
      </c>
      <c r="T477">
        <v>10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10</v>
      </c>
      <c r="AB477">
        <v>0</v>
      </c>
      <c r="AC477">
        <v>0</v>
      </c>
      <c r="AF477" t="s">
        <v>130</v>
      </c>
      <c r="AH477">
        <v>46.43</v>
      </c>
    </row>
    <row r="478" spans="1:34" x14ac:dyDescent="0.3">
      <c r="A478" s="4">
        <v>647</v>
      </c>
      <c r="B478" s="5">
        <v>471</v>
      </c>
      <c r="C478">
        <v>11424</v>
      </c>
      <c r="D478" t="s">
        <v>27629</v>
      </c>
      <c r="E478" t="s">
        <v>208</v>
      </c>
      <c r="F478" t="s">
        <v>243</v>
      </c>
      <c r="G478" t="s">
        <v>27630</v>
      </c>
      <c r="H478">
        <v>20.38</v>
      </c>
      <c r="I478">
        <v>0</v>
      </c>
      <c r="J478">
        <v>0</v>
      </c>
      <c r="K478">
        <v>0</v>
      </c>
      <c r="N478">
        <v>3</v>
      </c>
      <c r="O478">
        <v>3</v>
      </c>
      <c r="P478">
        <v>4</v>
      </c>
      <c r="Q478">
        <v>2</v>
      </c>
      <c r="R478">
        <v>29.38</v>
      </c>
      <c r="S478">
        <v>17</v>
      </c>
      <c r="T478">
        <v>17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17</v>
      </c>
      <c r="AB478">
        <v>0</v>
      </c>
      <c r="AC478">
        <v>0</v>
      </c>
      <c r="AD478" t="s">
        <v>130</v>
      </c>
      <c r="AF478" t="s">
        <v>130</v>
      </c>
      <c r="AH478">
        <v>46.38</v>
      </c>
    </row>
    <row r="479" spans="1:34" x14ac:dyDescent="0.3">
      <c r="A479" s="4">
        <v>648</v>
      </c>
      <c r="B479" s="5">
        <v>472</v>
      </c>
      <c r="C479">
        <v>5955</v>
      </c>
      <c r="D479" t="s">
        <v>3075</v>
      </c>
      <c r="E479" t="s">
        <v>97</v>
      </c>
      <c r="F479" t="s">
        <v>2598</v>
      </c>
      <c r="G479" t="s">
        <v>27631</v>
      </c>
      <c r="H479">
        <v>19.25</v>
      </c>
      <c r="I479">
        <v>0</v>
      </c>
      <c r="J479">
        <v>0</v>
      </c>
      <c r="K479">
        <v>20</v>
      </c>
      <c r="N479">
        <v>3</v>
      </c>
      <c r="O479">
        <v>3</v>
      </c>
      <c r="P479">
        <v>4</v>
      </c>
      <c r="Q479">
        <v>0</v>
      </c>
      <c r="R479">
        <v>46.25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F479" t="s">
        <v>130</v>
      </c>
      <c r="AH479">
        <v>46.25</v>
      </c>
    </row>
    <row r="480" spans="1:34" x14ac:dyDescent="0.3">
      <c r="A480" s="4">
        <v>649</v>
      </c>
      <c r="B480" s="5">
        <v>473</v>
      </c>
      <c r="C480">
        <v>7893</v>
      </c>
      <c r="D480" t="s">
        <v>19238</v>
      </c>
      <c r="E480" t="s">
        <v>110</v>
      </c>
      <c r="F480" t="s">
        <v>91</v>
      </c>
      <c r="G480" t="s">
        <v>27632</v>
      </c>
      <c r="H480">
        <v>20.18</v>
      </c>
      <c r="I480">
        <v>0</v>
      </c>
      <c r="J480">
        <v>0</v>
      </c>
      <c r="K480">
        <v>0</v>
      </c>
      <c r="L480">
        <v>7</v>
      </c>
      <c r="O480">
        <v>7</v>
      </c>
      <c r="P480">
        <v>4</v>
      </c>
      <c r="Q480">
        <v>2</v>
      </c>
      <c r="R480">
        <v>33.18</v>
      </c>
      <c r="S480">
        <v>13</v>
      </c>
      <c r="T480">
        <v>13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13</v>
      </c>
      <c r="AB480">
        <v>0</v>
      </c>
      <c r="AC480">
        <v>0</v>
      </c>
      <c r="AD480" t="s">
        <v>130</v>
      </c>
      <c r="AF480" t="s">
        <v>130</v>
      </c>
      <c r="AH480">
        <v>46.18</v>
      </c>
    </row>
    <row r="481" spans="1:34" x14ac:dyDescent="0.3">
      <c r="A481" s="4">
        <v>650</v>
      </c>
      <c r="B481" s="5">
        <v>474</v>
      </c>
      <c r="C481">
        <v>4211</v>
      </c>
      <c r="D481" t="s">
        <v>8176</v>
      </c>
      <c r="E481" t="s">
        <v>652</v>
      </c>
      <c r="F481" t="s">
        <v>136</v>
      </c>
      <c r="G481" t="s">
        <v>27633</v>
      </c>
      <c r="H481">
        <v>17.149999999999999</v>
      </c>
      <c r="I481">
        <v>0</v>
      </c>
      <c r="J481">
        <v>0</v>
      </c>
      <c r="K481">
        <v>0</v>
      </c>
      <c r="M481">
        <v>5</v>
      </c>
      <c r="O481">
        <v>5</v>
      </c>
      <c r="P481">
        <v>4</v>
      </c>
      <c r="Q481">
        <v>2</v>
      </c>
      <c r="R481">
        <v>28.15</v>
      </c>
      <c r="S481">
        <v>18</v>
      </c>
      <c r="T481">
        <v>18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18</v>
      </c>
      <c r="AB481">
        <v>0</v>
      </c>
      <c r="AC481">
        <v>0</v>
      </c>
      <c r="AD481" t="s">
        <v>130</v>
      </c>
      <c r="AF481" t="s">
        <v>130</v>
      </c>
      <c r="AH481">
        <v>46.15</v>
      </c>
    </row>
    <row r="482" spans="1:34" x14ac:dyDescent="0.3">
      <c r="A482" s="4">
        <v>651</v>
      </c>
      <c r="B482" s="5">
        <v>475</v>
      </c>
      <c r="C482">
        <v>403</v>
      </c>
      <c r="D482" t="s">
        <v>27634</v>
      </c>
      <c r="E482" t="s">
        <v>100</v>
      </c>
      <c r="F482" t="s">
        <v>38</v>
      </c>
      <c r="G482" t="s">
        <v>27635</v>
      </c>
      <c r="H482">
        <v>19</v>
      </c>
      <c r="I482">
        <v>0</v>
      </c>
      <c r="J482">
        <v>0</v>
      </c>
      <c r="K482">
        <v>20</v>
      </c>
      <c r="N482">
        <v>3</v>
      </c>
      <c r="O482">
        <v>3</v>
      </c>
      <c r="P482">
        <v>4</v>
      </c>
      <c r="Q482">
        <v>0</v>
      </c>
      <c r="R482">
        <v>46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F482" t="s">
        <v>130</v>
      </c>
      <c r="AH482">
        <v>46</v>
      </c>
    </row>
    <row r="483" spans="1:34" x14ac:dyDescent="0.3">
      <c r="A483" s="4">
        <v>652</v>
      </c>
      <c r="B483" s="5">
        <v>476</v>
      </c>
      <c r="C483">
        <v>725</v>
      </c>
      <c r="D483" t="s">
        <v>24139</v>
      </c>
      <c r="E483" t="s">
        <v>471</v>
      </c>
      <c r="F483" t="s">
        <v>17</v>
      </c>
      <c r="G483" t="s">
        <v>27636</v>
      </c>
      <c r="H483">
        <v>18.98</v>
      </c>
      <c r="I483">
        <v>0</v>
      </c>
      <c r="J483">
        <v>0</v>
      </c>
      <c r="K483">
        <v>20</v>
      </c>
      <c r="O483">
        <v>0</v>
      </c>
      <c r="P483">
        <v>4</v>
      </c>
      <c r="Q483">
        <v>0</v>
      </c>
      <c r="R483">
        <v>42.98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3</v>
      </c>
      <c r="AC483">
        <v>0</v>
      </c>
      <c r="AF483" t="s">
        <v>130</v>
      </c>
      <c r="AH483">
        <v>45.98</v>
      </c>
    </row>
    <row r="484" spans="1:34" x14ac:dyDescent="0.3">
      <c r="A484" s="4">
        <v>653</v>
      </c>
      <c r="B484" s="5">
        <v>477</v>
      </c>
      <c r="C484">
        <v>188</v>
      </c>
      <c r="D484" t="s">
        <v>4682</v>
      </c>
      <c r="E484" t="s">
        <v>178</v>
      </c>
      <c r="F484" t="s">
        <v>20</v>
      </c>
      <c r="G484" t="s">
        <v>27637</v>
      </c>
      <c r="H484">
        <v>19.899999999999999</v>
      </c>
      <c r="I484">
        <v>7</v>
      </c>
      <c r="J484">
        <v>0</v>
      </c>
      <c r="K484">
        <v>0</v>
      </c>
      <c r="L484">
        <v>7</v>
      </c>
      <c r="N484">
        <v>3</v>
      </c>
      <c r="O484">
        <v>10</v>
      </c>
      <c r="P484">
        <v>4</v>
      </c>
      <c r="Q484">
        <v>2</v>
      </c>
      <c r="R484">
        <v>42.9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3</v>
      </c>
      <c r="AC484">
        <v>0</v>
      </c>
      <c r="AF484" t="s">
        <v>130</v>
      </c>
      <c r="AH484">
        <v>45.9</v>
      </c>
    </row>
    <row r="485" spans="1:34" x14ac:dyDescent="0.3">
      <c r="A485" s="4">
        <v>654</v>
      </c>
      <c r="B485" s="5">
        <v>478</v>
      </c>
      <c r="C485">
        <v>10268</v>
      </c>
      <c r="D485" t="s">
        <v>27638</v>
      </c>
      <c r="E485" t="s">
        <v>55</v>
      </c>
      <c r="F485" t="s">
        <v>136</v>
      </c>
      <c r="G485" t="s">
        <v>27639</v>
      </c>
      <c r="H485">
        <v>18.8</v>
      </c>
      <c r="I485">
        <v>0</v>
      </c>
      <c r="J485">
        <v>0</v>
      </c>
      <c r="K485">
        <v>20</v>
      </c>
      <c r="N485">
        <v>3</v>
      </c>
      <c r="O485">
        <v>3</v>
      </c>
      <c r="P485">
        <v>4</v>
      </c>
      <c r="Q485">
        <v>0</v>
      </c>
      <c r="R485">
        <v>45.8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F485" t="s">
        <v>130</v>
      </c>
      <c r="AH485">
        <v>45.8</v>
      </c>
    </row>
    <row r="486" spans="1:34" x14ac:dyDescent="0.3">
      <c r="A486" s="4">
        <v>655</v>
      </c>
      <c r="B486" s="5">
        <v>479</v>
      </c>
      <c r="C486">
        <v>1238</v>
      </c>
      <c r="D486" t="s">
        <v>2342</v>
      </c>
      <c r="E486" t="s">
        <v>1280</v>
      </c>
      <c r="F486" t="s">
        <v>416</v>
      </c>
      <c r="G486" t="s">
        <v>27640</v>
      </c>
      <c r="H486">
        <v>18.75</v>
      </c>
      <c r="I486">
        <v>0</v>
      </c>
      <c r="J486">
        <v>0</v>
      </c>
      <c r="K486">
        <v>20</v>
      </c>
      <c r="N486">
        <v>3</v>
      </c>
      <c r="O486">
        <v>3</v>
      </c>
      <c r="P486">
        <v>4</v>
      </c>
      <c r="Q486">
        <v>0</v>
      </c>
      <c r="R486">
        <v>45.75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F486" t="s">
        <v>130</v>
      </c>
      <c r="AH486">
        <v>45.75</v>
      </c>
    </row>
    <row r="487" spans="1:34" x14ac:dyDescent="0.3">
      <c r="A487" s="4">
        <v>656</v>
      </c>
      <c r="B487" s="5">
        <v>480</v>
      </c>
      <c r="C487">
        <v>1427</v>
      </c>
      <c r="D487" t="s">
        <v>3340</v>
      </c>
      <c r="E487" t="s">
        <v>29</v>
      </c>
      <c r="F487" t="s">
        <v>587</v>
      </c>
      <c r="G487" t="s">
        <v>27641</v>
      </c>
      <c r="H487">
        <v>16.649999999999999</v>
      </c>
      <c r="I487">
        <v>0</v>
      </c>
      <c r="J487">
        <v>0</v>
      </c>
      <c r="K487">
        <v>0</v>
      </c>
      <c r="N487">
        <v>3</v>
      </c>
      <c r="O487">
        <v>3</v>
      </c>
      <c r="P487">
        <v>4</v>
      </c>
      <c r="Q487">
        <v>2</v>
      </c>
      <c r="R487">
        <v>25.65</v>
      </c>
      <c r="S487">
        <v>14</v>
      </c>
      <c r="T487">
        <v>14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14</v>
      </c>
      <c r="AB487">
        <v>6</v>
      </c>
      <c r="AC487">
        <v>0</v>
      </c>
      <c r="AF487" t="s">
        <v>130</v>
      </c>
      <c r="AH487">
        <v>45.65</v>
      </c>
    </row>
    <row r="488" spans="1:34" x14ac:dyDescent="0.3">
      <c r="A488" s="4">
        <v>657</v>
      </c>
      <c r="B488" s="5">
        <v>481</v>
      </c>
      <c r="C488">
        <v>5070</v>
      </c>
      <c r="D488" t="s">
        <v>2416</v>
      </c>
      <c r="E488" t="s">
        <v>124</v>
      </c>
      <c r="F488" t="s">
        <v>158</v>
      </c>
      <c r="G488" t="s">
        <v>27642</v>
      </c>
      <c r="H488">
        <v>18.579999999999998</v>
      </c>
      <c r="I488">
        <v>0</v>
      </c>
      <c r="J488">
        <v>0</v>
      </c>
      <c r="K488">
        <v>20</v>
      </c>
      <c r="N488">
        <v>3</v>
      </c>
      <c r="O488">
        <v>3</v>
      </c>
      <c r="P488">
        <v>4</v>
      </c>
      <c r="Q488">
        <v>0</v>
      </c>
      <c r="R488">
        <v>45.58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F488" t="s">
        <v>130</v>
      </c>
      <c r="AH488">
        <v>45.58</v>
      </c>
    </row>
    <row r="489" spans="1:34" x14ac:dyDescent="0.3">
      <c r="A489" s="4">
        <v>658</v>
      </c>
      <c r="B489" s="5">
        <v>482</v>
      </c>
      <c r="C489">
        <v>14164</v>
      </c>
      <c r="D489" t="s">
        <v>27643</v>
      </c>
      <c r="E489" t="s">
        <v>22</v>
      </c>
      <c r="F489" t="s">
        <v>38</v>
      </c>
      <c r="G489" t="s">
        <v>27644</v>
      </c>
      <c r="H489">
        <v>20.55</v>
      </c>
      <c r="I489">
        <v>0</v>
      </c>
      <c r="J489">
        <v>0</v>
      </c>
      <c r="K489">
        <v>0</v>
      </c>
      <c r="N489">
        <v>3</v>
      </c>
      <c r="O489">
        <v>3</v>
      </c>
      <c r="P489">
        <v>4</v>
      </c>
      <c r="Q489">
        <v>0</v>
      </c>
      <c r="R489">
        <v>27.55</v>
      </c>
      <c r="S489">
        <v>9</v>
      </c>
      <c r="T489">
        <v>9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9</v>
      </c>
      <c r="AB489">
        <v>9</v>
      </c>
      <c r="AC489">
        <v>0</v>
      </c>
      <c r="AF489" t="s">
        <v>130</v>
      </c>
      <c r="AH489">
        <v>45.55</v>
      </c>
    </row>
    <row r="490" spans="1:34" x14ac:dyDescent="0.3">
      <c r="A490" s="4">
        <v>659</v>
      </c>
      <c r="B490" s="5">
        <v>483</v>
      </c>
      <c r="C490">
        <v>12454</v>
      </c>
      <c r="D490" t="s">
        <v>27645</v>
      </c>
      <c r="E490" t="s">
        <v>161</v>
      </c>
      <c r="F490" t="s">
        <v>20</v>
      </c>
      <c r="G490" t="s">
        <v>27646</v>
      </c>
      <c r="H490">
        <v>15.5</v>
      </c>
      <c r="I490">
        <v>7</v>
      </c>
      <c r="J490">
        <v>0</v>
      </c>
      <c r="K490">
        <v>0</v>
      </c>
      <c r="N490">
        <v>3</v>
      </c>
      <c r="O490">
        <v>3</v>
      </c>
      <c r="P490">
        <v>4</v>
      </c>
      <c r="Q490">
        <v>0</v>
      </c>
      <c r="R490">
        <v>29.5</v>
      </c>
      <c r="S490">
        <v>7</v>
      </c>
      <c r="T490">
        <v>7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7</v>
      </c>
      <c r="AB490">
        <v>9</v>
      </c>
      <c r="AC490">
        <v>0</v>
      </c>
      <c r="AF490" t="s">
        <v>130</v>
      </c>
      <c r="AH490">
        <v>45.5</v>
      </c>
    </row>
    <row r="491" spans="1:34" x14ac:dyDescent="0.3">
      <c r="A491" s="4">
        <v>660</v>
      </c>
      <c r="B491" s="5">
        <v>484</v>
      </c>
      <c r="C491">
        <v>3004</v>
      </c>
      <c r="D491" t="s">
        <v>4679</v>
      </c>
      <c r="E491" t="s">
        <v>935</v>
      </c>
      <c r="F491" t="s">
        <v>20</v>
      </c>
      <c r="G491" t="s">
        <v>27647</v>
      </c>
      <c r="H491">
        <v>18.48</v>
      </c>
      <c r="I491">
        <v>0</v>
      </c>
      <c r="J491">
        <v>0</v>
      </c>
      <c r="K491">
        <v>0</v>
      </c>
      <c r="L491">
        <v>7</v>
      </c>
      <c r="O491">
        <v>7</v>
      </c>
      <c r="P491">
        <v>4</v>
      </c>
      <c r="Q491">
        <v>2</v>
      </c>
      <c r="R491">
        <v>31.48</v>
      </c>
      <c r="S491">
        <v>14</v>
      </c>
      <c r="T491">
        <v>14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14</v>
      </c>
      <c r="AB491">
        <v>0</v>
      </c>
      <c r="AC491">
        <v>0</v>
      </c>
      <c r="AD491" t="s">
        <v>130</v>
      </c>
      <c r="AF491" t="s">
        <v>130</v>
      </c>
      <c r="AH491">
        <v>45.48</v>
      </c>
    </row>
    <row r="492" spans="1:34" x14ac:dyDescent="0.3">
      <c r="A492" s="4">
        <v>661</v>
      </c>
      <c r="B492" s="5">
        <v>485</v>
      </c>
      <c r="C492">
        <v>12488</v>
      </c>
      <c r="D492" t="s">
        <v>27648</v>
      </c>
      <c r="E492" t="s">
        <v>26</v>
      </c>
      <c r="F492" t="s">
        <v>20</v>
      </c>
      <c r="G492" t="s">
        <v>27649</v>
      </c>
      <c r="H492">
        <v>17.38</v>
      </c>
      <c r="I492">
        <v>0</v>
      </c>
      <c r="J492">
        <v>0</v>
      </c>
      <c r="K492">
        <v>0</v>
      </c>
      <c r="L492">
        <v>7</v>
      </c>
      <c r="O492">
        <v>7</v>
      </c>
      <c r="P492">
        <v>4</v>
      </c>
      <c r="Q492">
        <v>0</v>
      </c>
      <c r="R492">
        <v>28.38</v>
      </c>
      <c r="S492">
        <v>17</v>
      </c>
      <c r="T492">
        <v>17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17</v>
      </c>
      <c r="AB492">
        <v>0</v>
      </c>
      <c r="AC492">
        <v>0</v>
      </c>
      <c r="AF492" t="s">
        <v>130</v>
      </c>
      <c r="AH492">
        <v>45.38</v>
      </c>
    </row>
    <row r="493" spans="1:34" x14ac:dyDescent="0.3">
      <c r="A493" s="4">
        <v>662</v>
      </c>
      <c r="B493" s="5">
        <v>486</v>
      </c>
      <c r="C493">
        <v>5672</v>
      </c>
      <c r="D493" t="s">
        <v>20859</v>
      </c>
      <c r="E493" t="s">
        <v>208</v>
      </c>
      <c r="F493" t="s">
        <v>136</v>
      </c>
      <c r="G493" t="s">
        <v>27650</v>
      </c>
      <c r="H493">
        <v>19.329999999999998</v>
      </c>
      <c r="I493">
        <v>0</v>
      </c>
      <c r="J493">
        <v>0</v>
      </c>
      <c r="K493">
        <v>0</v>
      </c>
      <c r="M493">
        <v>5</v>
      </c>
      <c r="O493">
        <v>5</v>
      </c>
      <c r="P493">
        <v>4</v>
      </c>
      <c r="Q493">
        <v>2</v>
      </c>
      <c r="R493">
        <v>30.33</v>
      </c>
      <c r="S493">
        <v>15</v>
      </c>
      <c r="T493">
        <v>15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15</v>
      </c>
      <c r="AB493">
        <v>0</v>
      </c>
      <c r="AC493">
        <v>0</v>
      </c>
      <c r="AF493" t="s">
        <v>130</v>
      </c>
      <c r="AH493">
        <v>45.33</v>
      </c>
    </row>
    <row r="494" spans="1:34" x14ac:dyDescent="0.3">
      <c r="A494" s="4">
        <v>663</v>
      </c>
      <c r="B494" s="5">
        <v>487</v>
      </c>
      <c r="C494">
        <v>256</v>
      </c>
      <c r="D494" t="s">
        <v>604</v>
      </c>
      <c r="E494" t="s">
        <v>265</v>
      </c>
      <c r="F494" t="s">
        <v>62</v>
      </c>
      <c r="G494" t="s">
        <v>27651</v>
      </c>
      <c r="H494">
        <v>21.3</v>
      </c>
      <c r="I494">
        <v>7</v>
      </c>
      <c r="J494">
        <v>0</v>
      </c>
      <c r="K494">
        <v>0</v>
      </c>
      <c r="L494">
        <v>7</v>
      </c>
      <c r="O494">
        <v>7</v>
      </c>
      <c r="P494">
        <v>4</v>
      </c>
      <c r="Q494">
        <v>0</v>
      </c>
      <c r="R494">
        <v>39.299999999999997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6</v>
      </c>
      <c r="AC494">
        <v>0</v>
      </c>
      <c r="AF494" t="s">
        <v>130</v>
      </c>
      <c r="AH494">
        <v>45.3</v>
      </c>
    </row>
    <row r="495" spans="1:34" x14ac:dyDescent="0.3">
      <c r="A495" s="4">
        <v>664</v>
      </c>
      <c r="B495" s="5">
        <v>488</v>
      </c>
      <c r="C495">
        <v>6955</v>
      </c>
      <c r="D495" t="s">
        <v>4597</v>
      </c>
      <c r="E495" t="s">
        <v>789</v>
      </c>
      <c r="F495" t="s">
        <v>117</v>
      </c>
      <c r="G495" t="s">
        <v>27652</v>
      </c>
      <c r="H495">
        <v>17.2</v>
      </c>
      <c r="I495">
        <v>0</v>
      </c>
      <c r="J495">
        <v>0</v>
      </c>
      <c r="K495">
        <v>0</v>
      </c>
      <c r="N495">
        <v>3</v>
      </c>
      <c r="O495">
        <v>3</v>
      </c>
      <c r="P495">
        <v>4</v>
      </c>
      <c r="Q495">
        <v>2</v>
      </c>
      <c r="R495">
        <v>26.2</v>
      </c>
      <c r="S495">
        <v>16</v>
      </c>
      <c r="T495">
        <v>16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16</v>
      </c>
      <c r="AB495">
        <v>3</v>
      </c>
      <c r="AC495">
        <v>0</v>
      </c>
      <c r="AD495" t="s">
        <v>130</v>
      </c>
      <c r="AF495" t="s">
        <v>130</v>
      </c>
      <c r="AH495">
        <v>45.2</v>
      </c>
    </row>
    <row r="496" spans="1:34" x14ac:dyDescent="0.3">
      <c r="A496" s="4">
        <v>665</v>
      </c>
      <c r="B496" s="5">
        <v>489</v>
      </c>
      <c r="C496">
        <v>422</v>
      </c>
      <c r="D496" t="s">
        <v>27653</v>
      </c>
      <c r="E496" t="s">
        <v>1743</v>
      </c>
      <c r="F496" t="s">
        <v>649</v>
      </c>
      <c r="G496" t="s">
        <v>27654</v>
      </c>
      <c r="H496">
        <v>22.15</v>
      </c>
      <c r="I496">
        <v>7</v>
      </c>
      <c r="J496">
        <v>0</v>
      </c>
      <c r="K496">
        <v>0</v>
      </c>
      <c r="L496">
        <v>7</v>
      </c>
      <c r="N496">
        <v>3</v>
      </c>
      <c r="O496">
        <v>10</v>
      </c>
      <c r="P496">
        <v>4</v>
      </c>
      <c r="Q496">
        <v>2</v>
      </c>
      <c r="R496">
        <v>45.15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F496" t="s">
        <v>130</v>
      </c>
      <c r="AH496">
        <v>45.15</v>
      </c>
    </row>
    <row r="497" spans="1:34" x14ac:dyDescent="0.3">
      <c r="A497" s="4">
        <v>666</v>
      </c>
      <c r="B497" s="5">
        <v>490</v>
      </c>
      <c r="C497">
        <v>1814</v>
      </c>
      <c r="D497" t="s">
        <v>3401</v>
      </c>
      <c r="E497" t="s">
        <v>27655</v>
      </c>
      <c r="F497" t="s">
        <v>62</v>
      </c>
      <c r="G497" t="s">
        <v>27656</v>
      </c>
      <c r="H497">
        <v>17.98</v>
      </c>
      <c r="I497">
        <v>0</v>
      </c>
      <c r="J497">
        <v>0</v>
      </c>
      <c r="K497">
        <v>0</v>
      </c>
      <c r="N497">
        <v>3</v>
      </c>
      <c r="O497">
        <v>3</v>
      </c>
      <c r="P497">
        <v>4</v>
      </c>
      <c r="Q497">
        <v>2</v>
      </c>
      <c r="R497">
        <v>26.98</v>
      </c>
      <c r="S497">
        <v>18</v>
      </c>
      <c r="T497">
        <v>18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18</v>
      </c>
      <c r="AB497">
        <v>0</v>
      </c>
      <c r="AC497">
        <v>0</v>
      </c>
      <c r="AD497" t="s">
        <v>130</v>
      </c>
      <c r="AF497" t="s">
        <v>130</v>
      </c>
      <c r="AH497">
        <v>44.98</v>
      </c>
    </row>
    <row r="498" spans="1:34" x14ac:dyDescent="0.3">
      <c r="A498" s="4">
        <v>667</v>
      </c>
      <c r="B498" s="5">
        <v>491</v>
      </c>
      <c r="C498">
        <v>9149</v>
      </c>
      <c r="D498" t="s">
        <v>27657</v>
      </c>
      <c r="E498" t="s">
        <v>132</v>
      </c>
      <c r="F498" t="s">
        <v>27658</v>
      </c>
      <c r="G498" t="s">
        <v>27659</v>
      </c>
      <c r="H498">
        <v>17.8</v>
      </c>
      <c r="I498">
        <v>0</v>
      </c>
      <c r="J498">
        <v>0</v>
      </c>
      <c r="K498">
        <v>0</v>
      </c>
      <c r="N498">
        <v>3</v>
      </c>
      <c r="O498">
        <v>3</v>
      </c>
      <c r="P498">
        <v>4</v>
      </c>
      <c r="Q498">
        <v>2</v>
      </c>
      <c r="R498">
        <v>26.8</v>
      </c>
      <c r="S498">
        <v>18</v>
      </c>
      <c r="T498">
        <v>18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18</v>
      </c>
      <c r="AB498">
        <v>0</v>
      </c>
      <c r="AC498">
        <v>0</v>
      </c>
      <c r="AF498" t="s">
        <v>130</v>
      </c>
      <c r="AH498">
        <v>44.8</v>
      </c>
    </row>
    <row r="499" spans="1:34" x14ac:dyDescent="0.3">
      <c r="A499" s="4">
        <v>668</v>
      </c>
      <c r="B499" s="5">
        <v>492</v>
      </c>
      <c r="C499">
        <v>3624</v>
      </c>
      <c r="D499" t="s">
        <v>27660</v>
      </c>
      <c r="E499" t="s">
        <v>166</v>
      </c>
      <c r="F499" t="s">
        <v>38</v>
      </c>
      <c r="G499" t="s">
        <v>27661</v>
      </c>
      <c r="H499">
        <v>17.75</v>
      </c>
      <c r="I499">
        <v>0</v>
      </c>
      <c r="J499">
        <v>0</v>
      </c>
      <c r="K499">
        <v>0</v>
      </c>
      <c r="N499">
        <v>3</v>
      </c>
      <c r="O499">
        <v>3</v>
      </c>
      <c r="P499">
        <v>4</v>
      </c>
      <c r="Q499">
        <v>2</v>
      </c>
      <c r="R499">
        <v>26.75</v>
      </c>
      <c r="S499">
        <v>18</v>
      </c>
      <c r="T499">
        <v>18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18</v>
      </c>
      <c r="AB499">
        <v>0</v>
      </c>
      <c r="AC499">
        <v>0</v>
      </c>
      <c r="AF499" t="s">
        <v>130</v>
      </c>
      <c r="AH499">
        <v>44.75</v>
      </c>
    </row>
    <row r="500" spans="1:34" x14ac:dyDescent="0.3">
      <c r="A500" s="4">
        <v>669</v>
      </c>
      <c r="B500" s="5">
        <v>493</v>
      </c>
      <c r="C500">
        <v>6740</v>
      </c>
      <c r="D500" t="s">
        <v>25778</v>
      </c>
      <c r="E500" t="s">
        <v>161</v>
      </c>
      <c r="F500" t="s">
        <v>1806</v>
      </c>
      <c r="G500" t="s">
        <v>27662</v>
      </c>
      <c r="H500">
        <v>17.7</v>
      </c>
      <c r="I500">
        <v>0</v>
      </c>
      <c r="J500">
        <v>0</v>
      </c>
      <c r="K500">
        <v>0</v>
      </c>
      <c r="N500">
        <v>3</v>
      </c>
      <c r="O500">
        <v>3</v>
      </c>
      <c r="P500">
        <v>4</v>
      </c>
      <c r="Q500">
        <v>2</v>
      </c>
      <c r="R500">
        <v>26.7</v>
      </c>
      <c r="S500">
        <v>18</v>
      </c>
      <c r="T500">
        <v>18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18</v>
      </c>
      <c r="AB500">
        <v>0</v>
      </c>
      <c r="AC500">
        <v>0</v>
      </c>
      <c r="AF500" t="s">
        <v>130</v>
      </c>
      <c r="AH500">
        <v>44.7</v>
      </c>
    </row>
    <row r="501" spans="1:34" x14ac:dyDescent="0.3">
      <c r="A501" s="4">
        <v>670</v>
      </c>
      <c r="B501" s="5">
        <v>494</v>
      </c>
      <c r="C501">
        <v>13226</v>
      </c>
      <c r="D501" t="s">
        <v>8448</v>
      </c>
      <c r="E501" t="s">
        <v>22</v>
      </c>
      <c r="F501" t="s">
        <v>17</v>
      </c>
      <c r="G501" t="s">
        <v>27663</v>
      </c>
      <c r="H501">
        <v>18.649999999999999</v>
      </c>
      <c r="I501">
        <v>0</v>
      </c>
      <c r="J501">
        <v>0</v>
      </c>
      <c r="K501">
        <v>0</v>
      </c>
      <c r="N501">
        <v>3</v>
      </c>
      <c r="O501">
        <v>3</v>
      </c>
      <c r="P501">
        <v>4</v>
      </c>
      <c r="Q501">
        <v>2</v>
      </c>
      <c r="R501">
        <v>27.65</v>
      </c>
      <c r="S501">
        <v>14</v>
      </c>
      <c r="T501">
        <v>14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14</v>
      </c>
      <c r="AB501">
        <v>3</v>
      </c>
      <c r="AC501">
        <v>0</v>
      </c>
      <c r="AF501" t="s">
        <v>130</v>
      </c>
      <c r="AH501">
        <v>44.65</v>
      </c>
    </row>
    <row r="502" spans="1:34" x14ac:dyDescent="0.3">
      <c r="A502" s="4">
        <v>671</v>
      </c>
      <c r="B502" s="5">
        <v>495</v>
      </c>
      <c r="C502">
        <v>9578</v>
      </c>
      <c r="D502" t="s">
        <v>27664</v>
      </c>
      <c r="E502" t="s">
        <v>149</v>
      </c>
      <c r="F502" t="s">
        <v>20</v>
      </c>
      <c r="G502" t="s">
        <v>27665</v>
      </c>
      <c r="H502">
        <v>18.649999999999999</v>
      </c>
      <c r="I502">
        <v>0</v>
      </c>
      <c r="J502">
        <v>0</v>
      </c>
      <c r="K502">
        <v>0</v>
      </c>
      <c r="N502">
        <v>3</v>
      </c>
      <c r="O502">
        <v>3</v>
      </c>
      <c r="P502">
        <v>4</v>
      </c>
      <c r="Q502">
        <v>2</v>
      </c>
      <c r="R502">
        <v>27.65</v>
      </c>
      <c r="S502">
        <v>17</v>
      </c>
      <c r="T502">
        <v>17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17</v>
      </c>
      <c r="AB502">
        <v>0</v>
      </c>
      <c r="AC502">
        <v>0</v>
      </c>
      <c r="AF502" t="s">
        <v>130</v>
      </c>
      <c r="AH502">
        <v>44.65</v>
      </c>
    </row>
    <row r="503" spans="1:34" x14ac:dyDescent="0.3">
      <c r="A503" s="4">
        <v>672</v>
      </c>
      <c r="B503" s="5">
        <v>496</v>
      </c>
      <c r="C503">
        <v>7784</v>
      </c>
      <c r="D503" t="s">
        <v>12367</v>
      </c>
      <c r="E503" t="s">
        <v>29</v>
      </c>
      <c r="F503" t="s">
        <v>17</v>
      </c>
      <c r="G503" t="s">
        <v>27666</v>
      </c>
      <c r="H503">
        <v>17.63</v>
      </c>
      <c r="I503">
        <v>0</v>
      </c>
      <c r="J503">
        <v>0</v>
      </c>
      <c r="K503">
        <v>0</v>
      </c>
      <c r="N503">
        <v>3</v>
      </c>
      <c r="O503">
        <v>3</v>
      </c>
      <c r="P503">
        <v>4</v>
      </c>
      <c r="Q503">
        <v>2</v>
      </c>
      <c r="R503">
        <v>26.63</v>
      </c>
      <c r="S503">
        <v>18</v>
      </c>
      <c r="T503">
        <v>18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18</v>
      </c>
      <c r="AB503">
        <v>0</v>
      </c>
      <c r="AC503">
        <v>0</v>
      </c>
      <c r="AD503" t="s">
        <v>130</v>
      </c>
      <c r="AF503" t="s">
        <v>130</v>
      </c>
      <c r="AH503">
        <v>44.63</v>
      </c>
    </row>
    <row r="504" spans="1:34" x14ac:dyDescent="0.3">
      <c r="A504" s="4">
        <v>673</v>
      </c>
      <c r="B504" s="5">
        <v>497</v>
      </c>
      <c r="C504">
        <v>9548</v>
      </c>
      <c r="D504" t="s">
        <v>10107</v>
      </c>
      <c r="E504" t="s">
        <v>27667</v>
      </c>
      <c r="F504" t="s">
        <v>30</v>
      </c>
      <c r="G504" t="s">
        <v>27668</v>
      </c>
      <c r="H504">
        <v>17.55</v>
      </c>
      <c r="I504">
        <v>0</v>
      </c>
      <c r="J504">
        <v>0</v>
      </c>
      <c r="K504">
        <v>20</v>
      </c>
      <c r="N504">
        <v>3</v>
      </c>
      <c r="O504">
        <v>3</v>
      </c>
      <c r="P504">
        <v>4</v>
      </c>
      <c r="Q504">
        <v>0</v>
      </c>
      <c r="R504">
        <v>44.55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F504" t="s">
        <v>130</v>
      </c>
      <c r="AH504">
        <v>44.55</v>
      </c>
    </row>
    <row r="505" spans="1:34" x14ac:dyDescent="0.3">
      <c r="A505" s="4">
        <v>674</v>
      </c>
      <c r="B505" s="5">
        <v>498</v>
      </c>
      <c r="C505">
        <v>13521</v>
      </c>
      <c r="D505" t="s">
        <v>27669</v>
      </c>
      <c r="E505" t="s">
        <v>166</v>
      </c>
      <c r="F505" t="s">
        <v>117</v>
      </c>
      <c r="G505" t="s">
        <v>27670</v>
      </c>
      <c r="H505">
        <v>14.5</v>
      </c>
      <c r="I505">
        <v>0</v>
      </c>
      <c r="J505">
        <v>0</v>
      </c>
      <c r="K505">
        <v>20</v>
      </c>
      <c r="N505">
        <v>3</v>
      </c>
      <c r="O505">
        <v>3</v>
      </c>
      <c r="P505">
        <v>4</v>
      </c>
      <c r="Q505">
        <v>0</v>
      </c>
      <c r="R505">
        <v>41.5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3</v>
      </c>
      <c r="AC505">
        <v>0</v>
      </c>
      <c r="AF505" t="s">
        <v>130</v>
      </c>
      <c r="AH505">
        <v>44.5</v>
      </c>
    </row>
    <row r="506" spans="1:34" x14ac:dyDescent="0.3">
      <c r="A506" s="4">
        <v>675</v>
      </c>
      <c r="B506" s="5">
        <v>499</v>
      </c>
      <c r="C506">
        <v>12567</v>
      </c>
      <c r="D506" t="s">
        <v>2772</v>
      </c>
      <c r="E506" t="s">
        <v>29</v>
      </c>
      <c r="F506" t="s">
        <v>328</v>
      </c>
      <c r="G506" t="s">
        <v>27671</v>
      </c>
      <c r="H506">
        <v>16.5</v>
      </c>
      <c r="I506">
        <v>0</v>
      </c>
      <c r="J506">
        <v>0</v>
      </c>
      <c r="K506">
        <v>0</v>
      </c>
      <c r="O506">
        <v>0</v>
      </c>
      <c r="P506">
        <v>4</v>
      </c>
      <c r="Q506">
        <v>2</v>
      </c>
      <c r="R506">
        <v>22.5</v>
      </c>
      <c r="S506">
        <v>22</v>
      </c>
      <c r="T506">
        <v>22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22</v>
      </c>
      <c r="AB506">
        <v>0</v>
      </c>
      <c r="AC506">
        <v>0</v>
      </c>
      <c r="AD506" t="s">
        <v>130</v>
      </c>
      <c r="AF506" t="s">
        <v>130</v>
      </c>
      <c r="AH506">
        <v>44.5</v>
      </c>
    </row>
    <row r="507" spans="1:34" x14ac:dyDescent="0.3">
      <c r="A507" s="4">
        <v>676</v>
      </c>
      <c r="B507" s="5">
        <v>500</v>
      </c>
      <c r="C507">
        <v>8487</v>
      </c>
      <c r="D507" t="s">
        <v>27672</v>
      </c>
      <c r="E507" t="s">
        <v>1652</v>
      </c>
      <c r="F507" t="s">
        <v>20</v>
      </c>
      <c r="G507" t="s">
        <v>27673</v>
      </c>
      <c r="H507">
        <v>17.329999999999998</v>
      </c>
      <c r="I507">
        <v>0</v>
      </c>
      <c r="J507">
        <v>0</v>
      </c>
      <c r="K507">
        <v>0</v>
      </c>
      <c r="N507">
        <v>3</v>
      </c>
      <c r="O507">
        <v>3</v>
      </c>
      <c r="P507">
        <v>4</v>
      </c>
      <c r="Q507">
        <v>2</v>
      </c>
      <c r="R507">
        <v>26.33</v>
      </c>
      <c r="S507">
        <v>18</v>
      </c>
      <c r="T507">
        <v>18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18</v>
      </c>
      <c r="AB507">
        <v>0</v>
      </c>
      <c r="AC507">
        <v>0</v>
      </c>
      <c r="AD507" t="s">
        <v>130</v>
      </c>
      <c r="AF507" t="s">
        <v>130</v>
      </c>
      <c r="AH507">
        <v>44.33</v>
      </c>
    </row>
    <row r="508" spans="1:34" x14ac:dyDescent="0.3">
      <c r="A508" s="4">
        <v>677</v>
      </c>
      <c r="B508" s="5">
        <v>501</v>
      </c>
      <c r="C508">
        <v>7180</v>
      </c>
      <c r="D508" t="s">
        <v>27674</v>
      </c>
      <c r="E508" t="s">
        <v>33</v>
      </c>
      <c r="F508" t="s">
        <v>385</v>
      </c>
      <c r="G508" t="s">
        <v>27675</v>
      </c>
      <c r="H508">
        <v>18.079999999999998</v>
      </c>
      <c r="I508">
        <v>0</v>
      </c>
      <c r="J508">
        <v>0</v>
      </c>
      <c r="K508">
        <v>0</v>
      </c>
      <c r="M508">
        <v>5</v>
      </c>
      <c r="O508">
        <v>5</v>
      </c>
      <c r="P508">
        <v>4</v>
      </c>
      <c r="Q508">
        <v>0</v>
      </c>
      <c r="R508">
        <v>27.08</v>
      </c>
      <c r="S508">
        <v>17</v>
      </c>
      <c r="T508">
        <v>17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17</v>
      </c>
      <c r="AB508">
        <v>0</v>
      </c>
      <c r="AC508">
        <v>0</v>
      </c>
      <c r="AD508" t="s">
        <v>130</v>
      </c>
      <c r="AF508" t="s">
        <v>130</v>
      </c>
      <c r="AH508">
        <v>44.08</v>
      </c>
    </row>
    <row r="509" spans="1:34" x14ac:dyDescent="0.3">
      <c r="A509" s="4">
        <v>678</v>
      </c>
      <c r="B509" s="5">
        <v>502</v>
      </c>
      <c r="C509">
        <v>14416</v>
      </c>
      <c r="D509" t="s">
        <v>11498</v>
      </c>
      <c r="E509" t="s">
        <v>744</v>
      </c>
      <c r="F509" t="s">
        <v>52</v>
      </c>
      <c r="G509" t="s">
        <v>27676</v>
      </c>
      <c r="H509">
        <v>16.98</v>
      </c>
      <c r="I509">
        <v>0</v>
      </c>
      <c r="J509">
        <v>0</v>
      </c>
      <c r="K509">
        <v>20</v>
      </c>
      <c r="N509">
        <v>3</v>
      </c>
      <c r="O509">
        <v>3</v>
      </c>
      <c r="P509">
        <v>4</v>
      </c>
      <c r="Q509">
        <v>0</v>
      </c>
      <c r="R509">
        <v>43.98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 t="s">
        <v>130</v>
      </c>
      <c r="AF509" t="s">
        <v>130</v>
      </c>
      <c r="AH509">
        <v>43.98</v>
      </c>
    </row>
    <row r="510" spans="1:34" x14ac:dyDescent="0.3">
      <c r="A510" s="4">
        <v>679</v>
      </c>
      <c r="B510" s="5">
        <v>503</v>
      </c>
      <c r="C510">
        <v>7276</v>
      </c>
      <c r="D510" t="s">
        <v>27677</v>
      </c>
      <c r="E510" t="s">
        <v>166</v>
      </c>
      <c r="F510" t="s">
        <v>328</v>
      </c>
      <c r="G510" t="s">
        <v>27678</v>
      </c>
      <c r="H510">
        <v>16.78</v>
      </c>
      <c r="I510">
        <v>0</v>
      </c>
      <c r="J510">
        <v>0</v>
      </c>
      <c r="K510">
        <v>20</v>
      </c>
      <c r="N510">
        <v>3</v>
      </c>
      <c r="O510">
        <v>3</v>
      </c>
      <c r="P510">
        <v>4</v>
      </c>
      <c r="Q510">
        <v>0</v>
      </c>
      <c r="R510">
        <v>43.78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 t="s">
        <v>130</v>
      </c>
      <c r="AF510" t="s">
        <v>130</v>
      </c>
      <c r="AH510">
        <v>43.78</v>
      </c>
    </row>
    <row r="511" spans="1:34" x14ac:dyDescent="0.3">
      <c r="A511" s="4">
        <v>680</v>
      </c>
      <c r="B511" s="5">
        <v>504</v>
      </c>
      <c r="C511">
        <v>6984</v>
      </c>
      <c r="D511" t="s">
        <v>27679</v>
      </c>
      <c r="E511" t="s">
        <v>1694</v>
      </c>
      <c r="F511" t="s">
        <v>375</v>
      </c>
      <c r="G511" t="s">
        <v>27680</v>
      </c>
      <c r="H511">
        <v>19.649999999999999</v>
      </c>
      <c r="I511">
        <v>7</v>
      </c>
      <c r="J511">
        <v>0</v>
      </c>
      <c r="K511">
        <v>0</v>
      </c>
      <c r="L511">
        <v>7</v>
      </c>
      <c r="N511">
        <v>3</v>
      </c>
      <c r="O511">
        <v>10</v>
      </c>
      <c r="P511">
        <v>4</v>
      </c>
      <c r="Q511">
        <v>0</v>
      </c>
      <c r="R511">
        <v>40.65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3</v>
      </c>
      <c r="AC511">
        <v>0</v>
      </c>
      <c r="AF511" t="s">
        <v>130</v>
      </c>
      <c r="AH511">
        <v>43.65</v>
      </c>
    </row>
    <row r="512" spans="1:34" x14ac:dyDescent="0.3">
      <c r="A512" s="4">
        <v>681</v>
      </c>
      <c r="B512" s="5">
        <v>505</v>
      </c>
      <c r="C512">
        <v>7410</v>
      </c>
      <c r="D512" t="s">
        <v>2254</v>
      </c>
      <c r="E512" t="s">
        <v>283</v>
      </c>
      <c r="F512" t="s">
        <v>17</v>
      </c>
      <c r="G512" t="s">
        <v>27681</v>
      </c>
      <c r="H512">
        <v>16.649999999999999</v>
      </c>
      <c r="I512">
        <v>0</v>
      </c>
      <c r="J512">
        <v>0</v>
      </c>
      <c r="K512">
        <v>20</v>
      </c>
      <c r="N512">
        <v>3</v>
      </c>
      <c r="O512">
        <v>3</v>
      </c>
      <c r="P512">
        <v>4</v>
      </c>
      <c r="Q512">
        <v>0</v>
      </c>
      <c r="R512">
        <v>43.65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F512" t="s">
        <v>130</v>
      </c>
      <c r="AH512">
        <v>43.65</v>
      </c>
    </row>
    <row r="513" spans="1:34" x14ac:dyDescent="0.3">
      <c r="A513" s="4">
        <v>682</v>
      </c>
      <c r="B513" s="5">
        <v>506</v>
      </c>
      <c r="C513">
        <v>2834</v>
      </c>
      <c r="D513" t="s">
        <v>47</v>
      </c>
      <c r="E513" t="s">
        <v>27682</v>
      </c>
      <c r="F513" t="s">
        <v>38</v>
      </c>
      <c r="G513" t="s">
        <v>27683</v>
      </c>
      <c r="H513">
        <v>16.43</v>
      </c>
      <c r="I513">
        <v>0</v>
      </c>
      <c r="J513">
        <v>0</v>
      </c>
      <c r="K513">
        <v>0</v>
      </c>
      <c r="N513">
        <v>3</v>
      </c>
      <c r="O513">
        <v>3</v>
      </c>
      <c r="P513">
        <v>4</v>
      </c>
      <c r="Q513">
        <v>2</v>
      </c>
      <c r="R513">
        <v>25.43</v>
      </c>
      <c r="S513">
        <v>18</v>
      </c>
      <c r="T513">
        <v>18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18</v>
      </c>
      <c r="AB513">
        <v>0</v>
      </c>
      <c r="AC513">
        <v>0</v>
      </c>
      <c r="AD513" t="s">
        <v>130</v>
      </c>
      <c r="AF513" t="s">
        <v>130</v>
      </c>
      <c r="AH513">
        <v>43.43</v>
      </c>
    </row>
    <row r="514" spans="1:34" x14ac:dyDescent="0.3">
      <c r="A514" s="4">
        <v>683</v>
      </c>
      <c r="B514" s="5">
        <v>507</v>
      </c>
      <c r="C514">
        <v>10323</v>
      </c>
      <c r="D514" t="s">
        <v>2941</v>
      </c>
      <c r="E514" t="s">
        <v>22</v>
      </c>
      <c r="F514" t="s">
        <v>68</v>
      </c>
      <c r="G514" t="s">
        <v>3653</v>
      </c>
      <c r="H514">
        <v>16.38</v>
      </c>
      <c r="I514">
        <v>0</v>
      </c>
      <c r="J514">
        <v>0</v>
      </c>
      <c r="K514">
        <v>0</v>
      </c>
      <c r="N514">
        <v>3</v>
      </c>
      <c r="O514">
        <v>3</v>
      </c>
      <c r="P514">
        <v>4</v>
      </c>
      <c r="Q514">
        <v>0</v>
      </c>
      <c r="R514">
        <v>23.38</v>
      </c>
      <c r="S514">
        <v>17</v>
      </c>
      <c r="T514">
        <v>17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17</v>
      </c>
      <c r="AB514">
        <v>3</v>
      </c>
      <c r="AC514">
        <v>0</v>
      </c>
      <c r="AD514" t="s">
        <v>130</v>
      </c>
      <c r="AF514" t="s">
        <v>130</v>
      </c>
      <c r="AH514">
        <v>43.38</v>
      </c>
    </row>
    <row r="515" spans="1:34" x14ac:dyDescent="0.3">
      <c r="A515" s="4">
        <v>684</v>
      </c>
      <c r="B515" s="5">
        <v>508</v>
      </c>
      <c r="C515">
        <v>2110</v>
      </c>
      <c r="D515" t="s">
        <v>27684</v>
      </c>
      <c r="E515" t="s">
        <v>167</v>
      </c>
      <c r="F515" t="s">
        <v>2582</v>
      </c>
      <c r="G515" t="s">
        <v>27685</v>
      </c>
      <c r="H515">
        <v>16.13</v>
      </c>
      <c r="I515">
        <v>0</v>
      </c>
      <c r="J515">
        <v>0</v>
      </c>
      <c r="K515">
        <v>0</v>
      </c>
      <c r="N515">
        <v>3</v>
      </c>
      <c r="O515">
        <v>3</v>
      </c>
      <c r="P515">
        <v>4</v>
      </c>
      <c r="Q515">
        <v>2</v>
      </c>
      <c r="R515">
        <v>25.13</v>
      </c>
      <c r="S515">
        <v>18</v>
      </c>
      <c r="T515">
        <v>18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18</v>
      </c>
      <c r="AB515">
        <v>0</v>
      </c>
      <c r="AC515">
        <v>0</v>
      </c>
      <c r="AE515" t="s">
        <v>130</v>
      </c>
      <c r="AF515" t="s">
        <v>130</v>
      </c>
      <c r="AH515">
        <v>43.13</v>
      </c>
    </row>
    <row r="516" spans="1:34" x14ac:dyDescent="0.3">
      <c r="A516" s="4">
        <v>685</v>
      </c>
      <c r="B516" s="5">
        <v>509</v>
      </c>
      <c r="C516">
        <v>15190</v>
      </c>
      <c r="D516" t="s">
        <v>12999</v>
      </c>
      <c r="E516" t="s">
        <v>54</v>
      </c>
      <c r="F516" t="s">
        <v>416</v>
      </c>
      <c r="G516" t="s">
        <v>27686</v>
      </c>
      <c r="H516">
        <v>18</v>
      </c>
      <c r="I516">
        <v>0</v>
      </c>
      <c r="J516">
        <v>0</v>
      </c>
      <c r="K516">
        <v>0</v>
      </c>
      <c r="L516">
        <v>7</v>
      </c>
      <c r="O516">
        <v>7</v>
      </c>
      <c r="P516">
        <v>4</v>
      </c>
      <c r="Q516">
        <v>2</v>
      </c>
      <c r="R516">
        <v>31</v>
      </c>
      <c r="S516">
        <v>12</v>
      </c>
      <c r="T516">
        <v>12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12</v>
      </c>
      <c r="AB516">
        <v>0</v>
      </c>
      <c r="AC516">
        <v>0</v>
      </c>
      <c r="AF516" t="s">
        <v>130</v>
      </c>
      <c r="AH516">
        <v>43</v>
      </c>
    </row>
    <row r="517" spans="1:34" x14ac:dyDescent="0.3">
      <c r="A517" s="4">
        <v>686</v>
      </c>
      <c r="B517" s="5">
        <v>510</v>
      </c>
      <c r="C517">
        <v>8308</v>
      </c>
      <c r="D517" t="s">
        <v>18484</v>
      </c>
      <c r="E517" t="s">
        <v>54</v>
      </c>
      <c r="F517" t="s">
        <v>38</v>
      </c>
      <c r="G517" t="s">
        <v>27687</v>
      </c>
      <c r="H517">
        <v>16.899999999999999</v>
      </c>
      <c r="I517">
        <v>0</v>
      </c>
      <c r="J517">
        <v>0</v>
      </c>
      <c r="K517">
        <v>0</v>
      </c>
      <c r="N517">
        <v>3</v>
      </c>
      <c r="O517">
        <v>3</v>
      </c>
      <c r="P517">
        <v>4</v>
      </c>
      <c r="Q517">
        <v>2</v>
      </c>
      <c r="R517">
        <v>25.9</v>
      </c>
      <c r="S517">
        <v>11</v>
      </c>
      <c r="T517">
        <v>11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11</v>
      </c>
      <c r="AB517">
        <v>6</v>
      </c>
      <c r="AC517">
        <v>0</v>
      </c>
      <c r="AF517" t="s">
        <v>130</v>
      </c>
      <c r="AH517">
        <v>42.9</v>
      </c>
    </row>
    <row r="518" spans="1:34" x14ac:dyDescent="0.3">
      <c r="A518" s="4">
        <v>687</v>
      </c>
      <c r="B518" s="5">
        <v>511</v>
      </c>
      <c r="C518">
        <v>5877</v>
      </c>
      <c r="D518" t="s">
        <v>27688</v>
      </c>
      <c r="E518" t="s">
        <v>54</v>
      </c>
      <c r="F518" t="s">
        <v>136</v>
      </c>
      <c r="G518" t="s">
        <v>27689</v>
      </c>
      <c r="H518">
        <v>17.7</v>
      </c>
      <c r="I518">
        <v>0</v>
      </c>
      <c r="J518">
        <v>0</v>
      </c>
      <c r="K518">
        <v>0</v>
      </c>
      <c r="N518">
        <v>3</v>
      </c>
      <c r="O518">
        <v>3</v>
      </c>
      <c r="P518">
        <v>4</v>
      </c>
      <c r="Q518">
        <v>0</v>
      </c>
      <c r="R518">
        <v>24.7</v>
      </c>
      <c r="S518">
        <v>18</v>
      </c>
      <c r="T518">
        <v>18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18</v>
      </c>
      <c r="AB518">
        <v>0</v>
      </c>
      <c r="AC518">
        <v>0</v>
      </c>
      <c r="AD518" t="s">
        <v>130</v>
      </c>
      <c r="AF518" t="s">
        <v>130</v>
      </c>
      <c r="AH518">
        <v>42.7</v>
      </c>
    </row>
    <row r="519" spans="1:34" x14ac:dyDescent="0.3">
      <c r="A519" s="4">
        <v>688</v>
      </c>
      <c r="B519" s="5">
        <v>512</v>
      </c>
      <c r="C519">
        <v>15526</v>
      </c>
      <c r="D519" t="s">
        <v>25420</v>
      </c>
      <c r="E519" t="s">
        <v>147</v>
      </c>
      <c r="F519" t="s">
        <v>570</v>
      </c>
      <c r="G519" t="s">
        <v>27690</v>
      </c>
      <c r="H519">
        <v>20.6</v>
      </c>
      <c r="I519">
        <v>7</v>
      </c>
      <c r="J519">
        <v>0</v>
      </c>
      <c r="K519">
        <v>0</v>
      </c>
      <c r="M519">
        <v>5</v>
      </c>
      <c r="O519">
        <v>5</v>
      </c>
      <c r="P519">
        <v>4</v>
      </c>
      <c r="Q519">
        <v>0</v>
      </c>
      <c r="R519">
        <v>36.6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6</v>
      </c>
      <c r="AC519">
        <v>0</v>
      </c>
      <c r="AF519" t="s">
        <v>130</v>
      </c>
      <c r="AH519">
        <v>42.6</v>
      </c>
    </row>
    <row r="520" spans="1:34" x14ac:dyDescent="0.3">
      <c r="A520" s="4">
        <v>689</v>
      </c>
      <c r="B520" s="5">
        <v>513</v>
      </c>
      <c r="C520">
        <v>12614</v>
      </c>
      <c r="D520" t="s">
        <v>27691</v>
      </c>
      <c r="E520" t="s">
        <v>188</v>
      </c>
      <c r="F520" t="s">
        <v>68</v>
      </c>
      <c r="G520" t="s">
        <v>27692</v>
      </c>
      <c r="H520">
        <v>19.38</v>
      </c>
      <c r="I520">
        <v>0</v>
      </c>
      <c r="J520">
        <v>0</v>
      </c>
      <c r="K520">
        <v>0</v>
      </c>
      <c r="N520">
        <v>3</v>
      </c>
      <c r="O520">
        <v>3</v>
      </c>
      <c r="P520">
        <v>4</v>
      </c>
      <c r="Q520">
        <v>2</v>
      </c>
      <c r="R520">
        <v>28.38</v>
      </c>
      <c r="S520">
        <v>14</v>
      </c>
      <c r="T520">
        <v>14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14</v>
      </c>
      <c r="AB520">
        <v>0</v>
      </c>
      <c r="AC520">
        <v>0</v>
      </c>
      <c r="AF520" t="s">
        <v>130</v>
      </c>
      <c r="AH520">
        <v>42.38</v>
      </c>
    </row>
    <row r="521" spans="1:34" x14ac:dyDescent="0.3">
      <c r="A521" s="4">
        <v>690</v>
      </c>
      <c r="B521" s="5">
        <v>514</v>
      </c>
      <c r="C521">
        <v>12676</v>
      </c>
      <c r="D521" t="s">
        <v>27693</v>
      </c>
      <c r="E521" t="s">
        <v>81</v>
      </c>
      <c r="F521" t="s">
        <v>167</v>
      </c>
      <c r="G521" t="s">
        <v>27694</v>
      </c>
      <c r="H521">
        <v>18.329999999999998</v>
      </c>
      <c r="I521">
        <v>0</v>
      </c>
      <c r="J521">
        <v>0</v>
      </c>
      <c r="K521">
        <v>0</v>
      </c>
      <c r="O521">
        <v>0</v>
      </c>
      <c r="P521">
        <v>4</v>
      </c>
      <c r="Q521">
        <v>2</v>
      </c>
      <c r="R521">
        <v>24.33</v>
      </c>
      <c r="S521">
        <v>18</v>
      </c>
      <c r="T521">
        <v>18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18</v>
      </c>
      <c r="AB521">
        <v>0</v>
      </c>
      <c r="AC521">
        <v>0</v>
      </c>
      <c r="AF521" t="s">
        <v>130</v>
      </c>
      <c r="AH521">
        <v>42.33</v>
      </c>
    </row>
    <row r="522" spans="1:34" x14ac:dyDescent="0.3">
      <c r="A522" s="4">
        <v>691</v>
      </c>
      <c r="B522" s="5">
        <v>515</v>
      </c>
      <c r="C522">
        <v>11712</v>
      </c>
      <c r="D522" t="s">
        <v>27695</v>
      </c>
      <c r="E522" t="s">
        <v>54</v>
      </c>
      <c r="F522" t="s">
        <v>381</v>
      </c>
      <c r="G522" t="s">
        <v>27696</v>
      </c>
      <c r="H522">
        <v>17.98</v>
      </c>
      <c r="I522">
        <v>0</v>
      </c>
      <c r="J522">
        <v>0</v>
      </c>
      <c r="K522">
        <v>0</v>
      </c>
      <c r="N522">
        <v>3</v>
      </c>
      <c r="O522">
        <v>3</v>
      </c>
      <c r="P522">
        <v>4</v>
      </c>
      <c r="Q522">
        <v>2</v>
      </c>
      <c r="R522">
        <v>26.98</v>
      </c>
      <c r="S522">
        <v>15</v>
      </c>
      <c r="T522">
        <v>15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15</v>
      </c>
      <c r="AB522">
        <v>0</v>
      </c>
      <c r="AC522">
        <v>0</v>
      </c>
      <c r="AF522" t="s">
        <v>130</v>
      </c>
      <c r="AH522">
        <v>41.98</v>
      </c>
    </row>
    <row r="523" spans="1:34" x14ac:dyDescent="0.3">
      <c r="A523" s="4">
        <v>692</v>
      </c>
      <c r="B523" s="5">
        <v>516</v>
      </c>
      <c r="C523">
        <v>9093</v>
      </c>
      <c r="D523" t="s">
        <v>20956</v>
      </c>
      <c r="E523" t="s">
        <v>1728</v>
      </c>
      <c r="F523" t="s">
        <v>17</v>
      </c>
      <c r="G523" t="s">
        <v>27697</v>
      </c>
      <c r="H523">
        <v>19.899999999999999</v>
      </c>
      <c r="I523">
        <v>0</v>
      </c>
      <c r="J523">
        <v>0</v>
      </c>
      <c r="K523">
        <v>0</v>
      </c>
      <c r="L523">
        <v>7</v>
      </c>
      <c r="M523">
        <v>5</v>
      </c>
      <c r="O523">
        <v>12</v>
      </c>
      <c r="P523">
        <v>4</v>
      </c>
      <c r="Q523">
        <v>0</v>
      </c>
      <c r="R523">
        <v>35.9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6</v>
      </c>
      <c r="AC523">
        <v>0</v>
      </c>
      <c r="AF523" t="s">
        <v>130</v>
      </c>
      <c r="AH523">
        <v>41.9</v>
      </c>
    </row>
    <row r="524" spans="1:34" x14ac:dyDescent="0.3">
      <c r="A524" s="4">
        <v>693</v>
      </c>
      <c r="B524" s="5">
        <v>517</v>
      </c>
      <c r="C524">
        <v>13314</v>
      </c>
      <c r="D524" t="s">
        <v>15100</v>
      </c>
      <c r="E524" t="s">
        <v>37</v>
      </c>
      <c r="F524" t="s">
        <v>38</v>
      </c>
      <c r="G524" t="s">
        <v>27698</v>
      </c>
      <c r="H524">
        <v>17.850000000000001</v>
      </c>
      <c r="I524">
        <v>0</v>
      </c>
      <c r="J524">
        <v>0</v>
      </c>
      <c r="K524">
        <v>20</v>
      </c>
      <c r="O524">
        <v>0</v>
      </c>
      <c r="P524">
        <v>4</v>
      </c>
      <c r="Q524">
        <v>0</v>
      </c>
      <c r="R524">
        <v>41.85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F524" t="s">
        <v>130</v>
      </c>
      <c r="AH524">
        <v>41.85</v>
      </c>
    </row>
    <row r="525" spans="1:34" x14ac:dyDescent="0.3">
      <c r="A525" s="4">
        <v>694</v>
      </c>
      <c r="B525" s="5">
        <v>518</v>
      </c>
      <c r="C525">
        <v>2931</v>
      </c>
      <c r="D525" t="s">
        <v>2635</v>
      </c>
      <c r="E525" t="s">
        <v>33</v>
      </c>
      <c r="F525" t="s">
        <v>158</v>
      </c>
      <c r="G525" t="s">
        <v>27699</v>
      </c>
      <c r="H525">
        <v>19.579999999999998</v>
      </c>
      <c r="I525">
        <v>0</v>
      </c>
      <c r="J525">
        <v>0</v>
      </c>
      <c r="K525">
        <v>0</v>
      </c>
      <c r="N525">
        <v>3</v>
      </c>
      <c r="O525">
        <v>3</v>
      </c>
      <c r="P525">
        <v>4</v>
      </c>
      <c r="Q525">
        <v>0</v>
      </c>
      <c r="R525">
        <v>26.58</v>
      </c>
      <c r="S525">
        <v>9</v>
      </c>
      <c r="T525">
        <v>9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9</v>
      </c>
      <c r="AB525">
        <v>6</v>
      </c>
      <c r="AC525">
        <v>0</v>
      </c>
      <c r="AF525" t="s">
        <v>130</v>
      </c>
      <c r="AH525">
        <v>41.58</v>
      </c>
    </row>
    <row r="526" spans="1:34" x14ac:dyDescent="0.3">
      <c r="A526" s="4">
        <v>695</v>
      </c>
      <c r="B526" s="5">
        <v>519</v>
      </c>
      <c r="C526">
        <v>9584</v>
      </c>
      <c r="D526" t="s">
        <v>27700</v>
      </c>
      <c r="E526" t="s">
        <v>1728</v>
      </c>
      <c r="F526" t="s">
        <v>328</v>
      </c>
      <c r="G526" t="s">
        <v>27701</v>
      </c>
      <c r="H526">
        <v>19.079999999999998</v>
      </c>
      <c r="I526">
        <v>0</v>
      </c>
      <c r="J526">
        <v>0</v>
      </c>
      <c r="K526">
        <v>0</v>
      </c>
      <c r="O526">
        <v>0</v>
      </c>
      <c r="P526">
        <v>4</v>
      </c>
      <c r="Q526">
        <v>2</v>
      </c>
      <c r="R526">
        <v>25.08</v>
      </c>
      <c r="S526">
        <v>16</v>
      </c>
      <c r="T526">
        <v>16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16</v>
      </c>
      <c r="AB526">
        <v>0</v>
      </c>
      <c r="AC526">
        <v>0</v>
      </c>
      <c r="AD526" t="s">
        <v>130</v>
      </c>
      <c r="AF526" t="s">
        <v>130</v>
      </c>
      <c r="AH526">
        <v>41.08</v>
      </c>
    </row>
    <row r="527" spans="1:34" x14ac:dyDescent="0.3">
      <c r="A527" s="4">
        <v>696</v>
      </c>
      <c r="B527" s="5">
        <v>520</v>
      </c>
      <c r="C527">
        <v>13250</v>
      </c>
      <c r="D527" t="s">
        <v>27702</v>
      </c>
      <c r="E527" t="s">
        <v>550</v>
      </c>
      <c r="F527" t="s">
        <v>17</v>
      </c>
      <c r="G527" t="s">
        <v>27703</v>
      </c>
      <c r="H527">
        <v>15</v>
      </c>
      <c r="I527">
        <v>0</v>
      </c>
      <c r="J527">
        <v>0</v>
      </c>
      <c r="K527">
        <v>0</v>
      </c>
      <c r="M527">
        <v>5</v>
      </c>
      <c r="O527">
        <v>5</v>
      </c>
      <c r="P527">
        <v>4</v>
      </c>
      <c r="Q527">
        <v>2</v>
      </c>
      <c r="R527">
        <v>26</v>
      </c>
      <c r="S527">
        <v>15</v>
      </c>
      <c r="T527">
        <v>15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15</v>
      </c>
      <c r="AB527">
        <v>0</v>
      </c>
      <c r="AC527">
        <v>0</v>
      </c>
      <c r="AF527" t="s">
        <v>130</v>
      </c>
      <c r="AH527">
        <v>41</v>
      </c>
    </row>
    <row r="528" spans="1:34" x14ac:dyDescent="0.3">
      <c r="A528" s="4">
        <v>697</v>
      </c>
      <c r="B528" s="5">
        <v>521</v>
      </c>
      <c r="C528">
        <v>4126</v>
      </c>
      <c r="D528" t="s">
        <v>6215</v>
      </c>
      <c r="E528" t="s">
        <v>7864</v>
      </c>
      <c r="F528" t="s">
        <v>539</v>
      </c>
      <c r="G528" t="s">
        <v>27704</v>
      </c>
      <c r="H528">
        <v>20.65</v>
      </c>
      <c r="I528">
        <v>7</v>
      </c>
      <c r="J528">
        <v>0</v>
      </c>
      <c r="K528">
        <v>0</v>
      </c>
      <c r="L528">
        <v>7</v>
      </c>
      <c r="O528">
        <v>7</v>
      </c>
      <c r="P528">
        <v>4</v>
      </c>
      <c r="Q528">
        <v>2</v>
      </c>
      <c r="R528">
        <v>40.65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F528" t="s">
        <v>130</v>
      </c>
      <c r="AH528">
        <v>40.65</v>
      </c>
    </row>
    <row r="529" spans="1:34" x14ac:dyDescent="0.3">
      <c r="A529" s="4">
        <v>698</v>
      </c>
      <c r="B529" s="5">
        <v>522</v>
      </c>
      <c r="C529">
        <v>12524</v>
      </c>
      <c r="D529" t="s">
        <v>27705</v>
      </c>
      <c r="E529" t="s">
        <v>283</v>
      </c>
      <c r="F529" t="s">
        <v>385</v>
      </c>
      <c r="G529" t="s">
        <v>27706</v>
      </c>
      <c r="H529">
        <v>14.65</v>
      </c>
      <c r="I529">
        <v>0</v>
      </c>
      <c r="J529">
        <v>0</v>
      </c>
      <c r="K529">
        <v>20</v>
      </c>
      <c r="O529">
        <v>0</v>
      </c>
      <c r="P529">
        <v>4</v>
      </c>
      <c r="Q529">
        <v>2</v>
      </c>
      <c r="R529">
        <v>40.65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F529" t="s">
        <v>130</v>
      </c>
      <c r="AH529">
        <v>40.65</v>
      </c>
    </row>
    <row r="530" spans="1:34" x14ac:dyDescent="0.3">
      <c r="A530" s="4">
        <v>699</v>
      </c>
      <c r="B530" s="5">
        <v>523</v>
      </c>
      <c r="C530">
        <v>12031</v>
      </c>
      <c r="D530" t="s">
        <v>671</v>
      </c>
      <c r="E530" t="s">
        <v>41</v>
      </c>
      <c r="F530" t="s">
        <v>1450</v>
      </c>
      <c r="G530" t="s">
        <v>27707</v>
      </c>
      <c r="H530">
        <v>15.65</v>
      </c>
      <c r="I530">
        <v>0</v>
      </c>
      <c r="J530">
        <v>0</v>
      </c>
      <c r="K530">
        <v>0</v>
      </c>
      <c r="N530">
        <v>3</v>
      </c>
      <c r="O530">
        <v>3</v>
      </c>
      <c r="P530">
        <v>4</v>
      </c>
      <c r="Q530">
        <v>0</v>
      </c>
      <c r="R530">
        <v>22.65</v>
      </c>
      <c r="S530">
        <v>18</v>
      </c>
      <c r="T530">
        <v>18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18</v>
      </c>
      <c r="AB530">
        <v>0</v>
      </c>
      <c r="AC530">
        <v>0</v>
      </c>
      <c r="AD530" t="s">
        <v>130</v>
      </c>
      <c r="AF530" t="s">
        <v>130</v>
      </c>
      <c r="AH530">
        <v>40.65</v>
      </c>
    </row>
    <row r="531" spans="1:34" x14ac:dyDescent="0.3">
      <c r="A531" s="4">
        <v>700</v>
      </c>
      <c r="B531" s="5">
        <v>524</v>
      </c>
      <c r="C531">
        <v>10890</v>
      </c>
      <c r="D531" t="s">
        <v>26209</v>
      </c>
      <c r="E531" t="s">
        <v>27708</v>
      </c>
      <c r="F531" t="s">
        <v>4808</v>
      </c>
      <c r="G531" t="s">
        <v>27709</v>
      </c>
      <c r="H531">
        <v>17.45</v>
      </c>
      <c r="I531">
        <v>0</v>
      </c>
      <c r="J531">
        <v>0</v>
      </c>
      <c r="K531">
        <v>0</v>
      </c>
      <c r="O531">
        <v>0</v>
      </c>
      <c r="P531">
        <v>4</v>
      </c>
      <c r="Q531">
        <v>2</v>
      </c>
      <c r="R531">
        <v>23.45</v>
      </c>
      <c r="S531">
        <v>17</v>
      </c>
      <c r="T531">
        <v>17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17</v>
      </c>
      <c r="AB531">
        <v>0</v>
      </c>
      <c r="AC531">
        <v>0</v>
      </c>
      <c r="AF531" t="s">
        <v>130</v>
      </c>
      <c r="AH531">
        <v>40.450000000000003</v>
      </c>
    </row>
    <row r="532" spans="1:34" x14ac:dyDescent="0.3">
      <c r="A532" s="4">
        <v>701</v>
      </c>
      <c r="B532" s="5">
        <v>525</v>
      </c>
      <c r="C532">
        <v>10389</v>
      </c>
      <c r="D532" t="s">
        <v>27710</v>
      </c>
      <c r="E532" t="s">
        <v>789</v>
      </c>
      <c r="F532" t="s">
        <v>17</v>
      </c>
      <c r="G532" t="s">
        <v>27711</v>
      </c>
      <c r="H532">
        <v>20.399999999999999</v>
      </c>
      <c r="I532">
        <v>7</v>
      </c>
      <c r="J532">
        <v>0</v>
      </c>
      <c r="K532">
        <v>0</v>
      </c>
      <c r="L532">
        <v>7</v>
      </c>
      <c r="O532">
        <v>7</v>
      </c>
      <c r="P532">
        <v>4</v>
      </c>
      <c r="Q532">
        <v>2</v>
      </c>
      <c r="R532">
        <v>40.4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F532" t="s">
        <v>130</v>
      </c>
      <c r="AH532">
        <v>40.4</v>
      </c>
    </row>
    <row r="533" spans="1:34" x14ac:dyDescent="0.3">
      <c r="A533" s="4">
        <v>702</v>
      </c>
      <c r="B533" s="5">
        <v>526</v>
      </c>
      <c r="C533">
        <v>5230</v>
      </c>
      <c r="D533" t="s">
        <v>27712</v>
      </c>
      <c r="E533" t="s">
        <v>41</v>
      </c>
      <c r="F533" t="s">
        <v>124</v>
      </c>
      <c r="G533" t="s">
        <v>27713</v>
      </c>
      <c r="H533">
        <v>16.25</v>
      </c>
      <c r="I533">
        <v>0</v>
      </c>
      <c r="J533">
        <v>0</v>
      </c>
      <c r="K533">
        <v>0</v>
      </c>
      <c r="O533">
        <v>0</v>
      </c>
      <c r="P533">
        <v>4</v>
      </c>
      <c r="Q533">
        <v>2</v>
      </c>
      <c r="R533">
        <v>22.25</v>
      </c>
      <c r="S533">
        <v>18</v>
      </c>
      <c r="T533">
        <v>18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18</v>
      </c>
      <c r="AB533">
        <v>0</v>
      </c>
      <c r="AC533">
        <v>0</v>
      </c>
      <c r="AF533" t="s">
        <v>130</v>
      </c>
      <c r="AH533">
        <v>40.25</v>
      </c>
    </row>
    <row r="534" spans="1:34" x14ac:dyDescent="0.3">
      <c r="A534" s="4">
        <v>703</v>
      </c>
      <c r="B534" s="5">
        <v>527</v>
      </c>
      <c r="C534">
        <v>7518</v>
      </c>
      <c r="D534" t="s">
        <v>27714</v>
      </c>
      <c r="E534" t="s">
        <v>286</v>
      </c>
      <c r="F534" t="s">
        <v>68</v>
      </c>
      <c r="G534" t="s">
        <v>27715</v>
      </c>
      <c r="H534">
        <v>17.100000000000001</v>
      </c>
      <c r="I534">
        <v>0</v>
      </c>
      <c r="J534">
        <v>0</v>
      </c>
      <c r="K534">
        <v>0</v>
      </c>
      <c r="N534">
        <v>3</v>
      </c>
      <c r="O534">
        <v>3</v>
      </c>
      <c r="P534">
        <v>4</v>
      </c>
      <c r="Q534">
        <v>2</v>
      </c>
      <c r="R534">
        <v>26.1</v>
      </c>
      <c r="S534">
        <v>8</v>
      </c>
      <c r="T534">
        <v>8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8</v>
      </c>
      <c r="AB534">
        <v>6</v>
      </c>
      <c r="AC534">
        <v>0</v>
      </c>
      <c r="AF534" t="s">
        <v>130</v>
      </c>
      <c r="AH534">
        <v>40.1</v>
      </c>
    </row>
    <row r="535" spans="1:34" x14ac:dyDescent="0.3">
      <c r="A535" s="4">
        <v>704</v>
      </c>
      <c r="B535" s="5">
        <v>528</v>
      </c>
      <c r="C535">
        <v>6863</v>
      </c>
      <c r="D535" t="s">
        <v>18598</v>
      </c>
      <c r="E535" t="s">
        <v>166</v>
      </c>
      <c r="F535" t="s">
        <v>27716</v>
      </c>
      <c r="G535" t="s">
        <v>27717</v>
      </c>
      <c r="H535">
        <v>22</v>
      </c>
      <c r="I535">
        <v>7</v>
      </c>
      <c r="J535">
        <v>0</v>
      </c>
      <c r="K535">
        <v>0</v>
      </c>
      <c r="L535">
        <v>7</v>
      </c>
      <c r="O535">
        <v>7</v>
      </c>
      <c r="P535">
        <v>4</v>
      </c>
      <c r="Q535">
        <v>0</v>
      </c>
      <c r="R535">
        <v>40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F535" t="s">
        <v>130</v>
      </c>
      <c r="AH535">
        <v>40</v>
      </c>
    </row>
    <row r="536" spans="1:34" x14ac:dyDescent="0.3">
      <c r="A536" s="4">
        <v>705</v>
      </c>
      <c r="B536" s="5">
        <v>529</v>
      </c>
      <c r="C536">
        <v>15533</v>
      </c>
      <c r="D536" t="s">
        <v>27718</v>
      </c>
      <c r="E536" t="s">
        <v>173</v>
      </c>
      <c r="F536" t="s">
        <v>81</v>
      </c>
      <c r="G536" t="s">
        <v>27719</v>
      </c>
      <c r="H536">
        <v>19.649999999999999</v>
      </c>
      <c r="I536">
        <v>7</v>
      </c>
      <c r="J536">
        <v>0</v>
      </c>
      <c r="K536">
        <v>0</v>
      </c>
      <c r="L536">
        <v>7</v>
      </c>
      <c r="O536">
        <v>7</v>
      </c>
      <c r="P536">
        <v>4</v>
      </c>
      <c r="Q536">
        <v>2</v>
      </c>
      <c r="R536">
        <v>39.65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F536" t="s">
        <v>130</v>
      </c>
      <c r="AH536">
        <v>39.65</v>
      </c>
    </row>
    <row r="537" spans="1:34" x14ac:dyDescent="0.3">
      <c r="A537" s="4">
        <v>706</v>
      </c>
      <c r="B537" s="5">
        <v>530</v>
      </c>
      <c r="C537">
        <v>14211</v>
      </c>
      <c r="D537" t="s">
        <v>27720</v>
      </c>
      <c r="E537" t="s">
        <v>268</v>
      </c>
      <c r="F537" t="s">
        <v>158</v>
      </c>
      <c r="G537" t="s">
        <v>27721</v>
      </c>
      <c r="H537">
        <v>20.65</v>
      </c>
      <c r="I537">
        <v>0</v>
      </c>
      <c r="J537">
        <v>0</v>
      </c>
      <c r="K537">
        <v>0</v>
      </c>
      <c r="N537">
        <v>3</v>
      </c>
      <c r="O537">
        <v>3</v>
      </c>
      <c r="P537">
        <v>4</v>
      </c>
      <c r="Q537">
        <v>2</v>
      </c>
      <c r="R537">
        <v>29.65</v>
      </c>
      <c r="S537">
        <v>10</v>
      </c>
      <c r="T537">
        <v>10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10</v>
      </c>
      <c r="AB537">
        <v>0</v>
      </c>
      <c r="AC537">
        <v>0</v>
      </c>
      <c r="AD537" t="s">
        <v>130</v>
      </c>
      <c r="AF537" t="s">
        <v>130</v>
      </c>
      <c r="AH537">
        <v>39.65</v>
      </c>
    </row>
    <row r="538" spans="1:34" x14ac:dyDescent="0.3">
      <c r="A538" s="4">
        <v>707</v>
      </c>
      <c r="B538" s="5">
        <v>531</v>
      </c>
      <c r="C538">
        <v>10768</v>
      </c>
      <c r="D538" t="s">
        <v>27722</v>
      </c>
      <c r="E538" t="s">
        <v>33</v>
      </c>
      <c r="F538" t="s">
        <v>12611</v>
      </c>
      <c r="G538" t="s">
        <v>27723</v>
      </c>
      <c r="H538">
        <v>15.58</v>
      </c>
      <c r="I538">
        <v>0</v>
      </c>
      <c r="J538">
        <v>0</v>
      </c>
      <c r="K538">
        <v>0</v>
      </c>
      <c r="N538">
        <v>3</v>
      </c>
      <c r="O538">
        <v>3</v>
      </c>
      <c r="P538">
        <v>4</v>
      </c>
      <c r="Q538">
        <v>0</v>
      </c>
      <c r="R538">
        <v>22.58</v>
      </c>
      <c r="S538">
        <v>17</v>
      </c>
      <c r="T538">
        <v>17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17</v>
      </c>
      <c r="AB538">
        <v>0</v>
      </c>
      <c r="AC538">
        <v>0</v>
      </c>
      <c r="AD538" t="s">
        <v>130</v>
      </c>
      <c r="AF538" t="s">
        <v>130</v>
      </c>
      <c r="AH538">
        <v>39.58</v>
      </c>
    </row>
    <row r="539" spans="1:34" x14ac:dyDescent="0.3">
      <c r="A539" s="4">
        <v>708</v>
      </c>
      <c r="B539" s="5">
        <v>532</v>
      </c>
      <c r="C539">
        <v>6431</v>
      </c>
      <c r="D539" t="s">
        <v>27724</v>
      </c>
      <c r="E539" t="s">
        <v>2372</v>
      </c>
      <c r="F539" t="s">
        <v>17</v>
      </c>
      <c r="G539" t="s">
        <v>27725</v>
      </c>
      <c r="H539">
        <v>21.55</v>
      </c>
      <c r="I539">
        <v>7</v>
      </c>
      <c r="J539">
        <v>0</v>
      </c>
      <c r="K539">
        <v>0</v>
      </c>
      <c r="L539">
        <v>7</v>
      </c>
      <c r="O539">
        <v>7</v>
      </c>
      <c r="P539">
        <v>4</v>
      </c>
      <c r="Q539">
        <v>0</v>
      </c>
      <c r="R539">
        <v>39.549999999999997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F539" t="s">
        <v>130</v>
      </c>
      <c r="AH539">
        <v>39.549999999999997</v>
      </c>
    </row>
    <row r="540" spans="1:34" x14ac:dyDescent="0.3">
      <c r="A540" s="4">
        <v>709</v>
      </c>
      <c r="B540" s="5">
        <v>533</v>
      </c>
      <c r="C540">
        <v>15123</v>
      </c>
      <c r="D540" t="s">
        <v>27726</v>
      </c>
      <c r="E540" t="s">
        <v>27727</v>
      </c>
      <c r="F540" t="s">
        <v>27728</v>
      </c>
      <c r="G540" t="s">
        <v>27729</v>
      </c>
      <c r="H540">
        <v>16.53</v>
      </c>
      <c r="I540">
        <v>0</v>
      </c>
      <c r="J540">
        <v>0</v>
      </c>
      <c r="K540">
        <v>20</v>
      </c>
      <c r="N540">
        <v>3</v>
      </c>
      <c r="O540">
        <v>3</v>
      </c>
      <c r="P540">
        <v>0</v>
      </c>
      <c r="Q540">
        <v>0</v>
      </c>
      <c r="R540">
        <v>39.53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F540" t="s">
        <v>130</v>
      </c>
      <c r="AH540">
        <v>39.53</v>
      </c>
    </row>
    <row r="541" spans="1:34" x14ac:dyDescent="0.3">
      <c r="A541" s="4">
        <v>710</v>
      </c>
      <c r="B541" s="5">
        <v>534</v>
      </c>
      <c r="C541">
        <v>3314</v>
      </c>
      <c r="D541" t="s">
        <v>348</v>
      </c>
      <c r="E541" t="s">
        <v>4362</v>
      </c>
      <c r="F541" t="s">
        <v>136</v>
      </c>
      <c r="G541" t="s">
        <v>27730</v>
      </c>
      <c r="H541">
        <v>19.38</v>
      </c>
      <c r="I541">
        <v>7</v>
      </c>
      <c r="J541">
        <v>0</v>
      </c>
      <c r="K541">
        <v>0</v>
      </c>
      <c r="L541">
        <v>7</v>
      </c>
      <c r="O541">
        <v>7</v>
      </c>
      <c r="P541">
        <v>4</v>
      </c>
      <c r="Q541">
        <v>2</v>
      </c>
      <c r="R541">
        <v>39.380000000000003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F541" t="s">
        <v>130</v>
      </c>
      <c r="AH541">
        <v>39.380000000000003</v>
      </c>
    </row>
    <row r="542" spans="1:34" x14ac:dyDescent="0.3">
      <c r="A542" s="4">
        <v>711</v>
      </c>
      <c r="B542" s="5">
        <v>535</v>
      </c>
      <c r="C542">
        <v>2614</v>
      </c>
      <c r="D542" t="s">
        <v>12288</v>
      </c>
      <c r="E542" t="s">
        <v>255</v>
      </c>
      <c r="F542" t="s">
        <v>243</v>
      </c>
      <c r="G542" t="s">
        <v>12289</v>
      </c>
      <c r="H542">
        <v>19</v>
      </c>
      <c r="I542">
        <v>7</v>
      </c>
      <c r="J542">
        <v>0</v>
      </c>
      <c r="K542">
        <v>0</v>
      </c>
      <c r="L542">
        <v>7</v>
      </c>
      <c r="O542">
        <v>7</v>
      </c>
      <c r="P542">
        <v>4</v>
      </c>
      <c r="Q542">
        <v>2</v>
      </c>
      <c r="R542">
        <v>39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F542" t="s">
        <v>130</v>
      </c>
      <c r="AH542">
        <v>39</v>
      </c>
    </row>
    <row r="543" spans="1:34" x14ac:dyDescent="0.3">
      <c r="A543" s="4">
        <v>712</v>
      </c>
      <c r="B543" s="5">
        <v>536</v>
      </c>
      <c r="C543">
        <v>9061</v>
      </c>
      <c r="D543" t="s">
        <v>27731</v>
      </c>
      <c r="E543" t="s">
        <v>29</v>
      </c>
      <c r="F543" t="s">
        <v>62</v>
      </c>
      <c r="G543" t="s">
        <v>27732</v>
      </c>
      <c r="H543">
        <v>16.95</v>
      </c>
      <c r="I543">
        <v>0</v>
      </c>
      <c r="J543">
        <v>0</v>
      </c>
      <c r="K543">
        <v>0</v>
      </c>
      <c r="O543">
        <v>0</v>
      </c>
      <c r="P543">
        <v>4</v>
      </c>
      <c r="Q543">
        <v>2</v>
      </c>
      <c r="R543">
        <v>22.95</v>
      </c>
      <c r="S543">
        <v>13</v>
      </c>
      <c r="T543">
        <v>13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13</v>
      </c>
      <c r="AB543">
        <v>3</v>
      </c>
      <c r="AC543">
        <v>0</v>
      </c>
      <c r="AF543" t="s">
        <v>130</v>
      </c>
      <c r="AH543">
        <v>38.950000000000003</v>
      </c>
    </row>
    <row r="544" spans="1:34" x14ac:dyDescent="0.3">
      <c r="A544" s="4">
        <v>713</v>
      </c>
      <c r="B544" s="5">
        <v>537</v>
      </c>
      <c r="C544">
        <v>6739</v>
      </c>
      <c r="D544" t="s">
        <v>12219</v>
      </c>
      <c r="E544" t="s">
        <v>27733</v>
      </c>
      <c r="F544" t="s">
        <v>79</v>
      </c>
      <c r="G544" t="s">
        <v>27734</v>
      </c>
      <c r="H544">
        <v>19.78</v>
      </c>
      <c r="I544">
        <v>0</v>
      </c>
      <c r="J544">
        <v>0</v>
      </c>
      <c r="K544">
        <v>0</v>
      </c>
      <c r="M544">
        <v>5</v>
      </c>
      <c r="O544">
        <v>5</v>
      </c>
      <c r="P544">
        <v>4</v>
      </c>
      <c r="Q544">
        <v>2</v>
      </c>
      <c r="R544">
        <v>30.78</v>
      </c>
      <c r="S544">
        <v>8</v>
      </c>
      <c r="T544">
        <v>8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8</v>
      </c>
      <c r="AB544">
        <v>0</v>
      </c>
      <c r="AC544">
        <v>0</v>
      </c>
      <c r="AE544" t="s">
        <v>130</v>
      </c>
      <c r="AF544" t="s">
        <v>130</v>
      </c>
      <c r="AH544">
        <v>38.78</v>
      </c>
    </row>
    <row r="545" spans="1:34" x14ac:dyDescent="0.3">
      <c r="A545" s="4">
        <v>714</v>
      </c>
      <c r="B545" s="5">
        <v>538</v>
      </c>
      <c r="C545">
        <v>591</v>
      </c>
      <c r="D545" t="s">
        <v>27735</v>
      </c>
      <c r="E545" t="s">
        <v>22</v>
      </c>
      <c r="F545" t="s">
        <v>243</v>
      </c>
      <c r="G545" t="s">
        <v>27736</v>
      </c>
      <c r="H545">
        <v>19.55</v>
      </c>
      <c r="I545">
        <v>0</v>
      </c>
      <c r="J545">
        <v>0</v>
      </c>
      <c r="K545">
        <v>0</v>
      </c>
      <c r="L545">
        <v>7</v>
      </c>
      <c r="O545">
        <v>7</v>
      </c>
      <c r="P545">
        <v>4</v>
      </c>
      <c r="Q545">
        <v>2</v>
      </c>
      <c r="R545">
        <v>32.549999999999997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6</v>
      </c>
      <c r="AC545">
        <v>0</v>
      </c>
      <c r="AD545" t="s">
        <v>130</v>
      </c>
      <c r="AF545" t="s">
        <v>130</v>
      </c>
      <c r="AH545">
        <v>38.549999999999997</v>
      </c>
    </row>
    <row r="546" spans="1:34" x14ac:dyDescent="0.3">
      <c r="A546" s="4">
        <v>715</v>
      </c>
      <c r="B546" s="5">
        <v>539</v>
      </c>
      <c r="C546">
        <v>2002</v>
      </c>
      <c r="D546" t="s">
        <v>27737</v>
      </c>
      <c r="E546" t="s">
        <v>143</v>
      </c>
      <c r="F546" t="s">
        <v>539</v>
      </c>
      <c r="G546" t="s">
        <v>27738</v>
      </c>
      <c r="H546">
        <v>18.5</v>
      </c>
      <c r="I546">
        <v>7</v>
      </c>
      <c r="J546">
        <v>0</v>
      </c>
      <c r="K546">
        <v>0</v>
      </c>
      <c r="N546">
        <v>3</v>
      </c>
      <c r="O546">
        <v>3</v>
      </c>
      <c r="P546">
        <v>4</v>
      </c>
      <c r="Q546">
        <v>0</v>
      </c>
      <c r="R546">
        <v>32.5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6</v>
      </c>
      <c r="AC546">
        <v>0</v>
      </c>
      <c r="AF546" t="s">
        <v>130</v>
      </c>
      <c r="AH546">
        <v>38.5</v>
      </c>
    </row>
    <row r="547" spans="1:34" x14ac:dyDescent="0.3">
      <c r="A547" s="4">
        <v>716</v>
      </c>
      <c r="B547" s="5">
        <v>540</v>
      </c>
      <c r="C547">
        <v>13455</v>
      </c>
      <c r="D547" t="s">
        <v>3232</v>
      </c>
      <c r="E547" t="s">
        <v>27739</v>
      </c>
      <c r="F547" t="s">
        <v>117</v>
      </c>
      <c r="G547" t="s">
        <v>27740</v>
      </c>
      <c r="H547">
        <v>18.48</v>
      </c>
      <c r="I547">
        <v>0</v>
      </c>
      <c r="J547">
        <v>0</v>
      </c>
      <c r="K547">
        <v>0</v>
      </c>
      <c r="N547">
        <v>3</v>
      </c>
      <c r="O547">
        <v>3</v>
      </c>
      <c r="P547">
        <v>4</v>
      </c>
      <c r="Q547">
        <v>0</v>
      </c>
      <c r="R547">
        <v>25.48</v>
      </c>
      <c r="S547">
        <v>10</v>
      </c>
      <c r="T547">
        <v>10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10</v>
      </c>
      <c r="AB547">
        <v>3</v>
      </c>
      <c r="AC547">
        <v>0</v>
      </c>
      <c r="AD547" t="s">
        <v>130</v>
      </c>
      <c r="AE547" t="s">
        <v>130</v>
      </c>
      <c r="AF547" t="s">
        <v>130</v>
      </c>
      <c r="AH547">
        <v>38.479999999999997</v>
      </c>
    </row>
    <row r="548" spans="1:34" x14ac:dyDescent="0.3">
      <c r="A548" s="4">
        <v>717</v>
      </c>
      <c r="B548" s="5">
        <v>541</v>
      </c>
      <c r="C548">
        <v>4268</v>
      </c>
      <c r="D548" t="s">
        <v>27741</v>
      </c>
      <c r="E548" t="s">
        <v>166</v>
      </c>
      <c r="F548" t="s">
        <v>136</v>
      </c>
      <c r="G548" t="s">
        <v>27742</v>
      </c>
      <c r="H548">
        <v>17.399999999999999</v>
      </c>
      <c r="I548">
        <v>0</v>
      </c>
      <c r="J548">
        <v>0</v>
      </c>
      <c r="K548">
        <v>0</v>
      </c>
      <c r="L548">
        <v>7</v>
      </c>
      <c r="O548">
        <v>7</v>
      </c>
      <c r="P548">
        <v>4</v>
      </c>
      <c r="Q548">
        <v>2</v>
      </c>
      <c r="R548">
        <v>30.4</v>
      </c>
      <c r="S548">
        <v>8</v>
      </c>
      <c r="T548">
        <v>8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8</v>
      </c>
      <c r="AB548">
        <v>0</v>
      </c>
      <c r="AC548">
        <v>0</v>
      </c>
      <c r="AF548" t="s">
        <v>130</v>
      </c>
      <c r="AH548">
        <v>38.4</v>
      </c>
    </row>
    <row r="549" spans="1:34" x14ac:dyDescent="0.3">
      <c r="A549" s="4">
        <v>718</v>
      </c>
      <c r="B549" s="5">
        <v>542</v>
      </c>
      <c r="C549">
        <v>6350</v>
      </c>
      <c r="D549" t="s">
        <v>788</v>
      </c>
      <c r="E549" t="s">
        <v>4774</v>
      </c>
      <c r="F549" t="s">
        <v>1225</v>
      </c>
      <c r="G549" t="s">
        <v>27743</v>
      </c>
      <c r="H549">
        <v>18.93</v>
      </c>
      <c r="I549">
        <v>0</v>
      </c>
      <c r="J549">
        <v>0</v>
      </c>
      <c r="K549">
        <v>0</v>
      </c>
      <c r="L549">
        <v>7</v>
      </c>
      <c r="O549">
        <v>7</v>
      </c>
      <c r="P549">
        <v>4</v>
      </c>
      <c r="Q549">
        <v>2</v>
      </c>
      <c r="R549">
        <v>31.93</v>
      </c>
      <c r="S549">
        <v>6</v>
      </c>
      <c r="T549">
        <v>6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6</v>
      </c>
      <c r="AB549">
        <v>0</v>
      </c>
      <c r="AC549">
        <v>0</v>
      </c>
      <c r="AD549" t="s">
        <v>130</v>
      </c>
      <c r="AF549" t="s">
        <v>130</v>
      </c>
      <c r="AH549">
        <v>37.93</v>
      </c>
    </row>
    <row r="550" spans="1:34" x14ac:dyDescent="0.3">
      <c r="A550" s="4">
        <v>719</v>
      </c>
      <c r="B550" s="5">
        <v>543</v>
      </c>
      <c r="C550">
        <v>8292</v>
      </c>
      <c r="D550" t="s">
        <v>16260</v>
      </c>
      <c r="E550" t="s">
        <v>2643</v>
      </c>
      <c r="F550" t="s">
        <v>17</v>
      </c>
      <c r="G550" t="s">
        <v>27744</v>
      </c>
      <c r="H550">
        <v>16.899999999999999</v>
      </c>
      <c r="I550">
        <v>0</v>
      </c>
      <c r="J550">
        <v>0</v>
      </c>
      <c r="K550">
        <v>0</v>
      </c>
      <c r="M550">
        <v>5</v>
      </c>
      <c r="O550">
        <v>5</v>
      </c>
      <c r="P550">
        <v>4</v>
      </c>
      <c r="Q550">
        <v>2</v>
      </c>
      <c r="R550">
        <v>27.9</v>
      </c>
      <c r="S550">
        <v>4</v>
      </c>
      <c r="T550">
        <v>4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4</v>
      </c>
      <c r="AB550">
        <v>6</v>
      </c>
      <c r="AC550">
        <v>0</v>
      </c>
      <c r="AD550" t="s">
        <v>130</v>
      </c>
      <c r="AF550" t="s">
        <v>130</v>
      </c>
      <c r="AH550">
        <v>37.9</v>
      </c>
    </row>
    <row r="551" spans="1:34" x14ac:dyDescent="0.3">
      <c r="A551" s="4">
        <v>720</v>
      </c>
      <c r="B551" s="5">
        <v>544</v>
      </c>
      <c r="C551">
        <v>10671</v>
      </c>
      <c r="D551" t="s">
        <v>21851</v>
      </c>
      <c r="E551" t="s">
        <v>213</v>
      </c>
      <c r="F551" t="s">
        <v>62</v>
      </c>
      <c r="G551" t="s">
        <v>27745</v>
      </c>
      <c r="H551">
        <v>17.73</v>
      </c>
      <c r="I551">
        <v>7</v>
      </c>
      <c r="J551">
        <v>0</v>
      </c>
      <c r="K551">
        <v>0</v>
      </c>
      <c r="L551">
        <v>7</v>
      </c>
      <c r="O551">
        <v>7</v>
      </c>
      <c r="P551">
        <v>4</v>
      </c>
      <c r="Q551">
        <v>2</v>
      </c>
      <c r="R551">
        <v>37.729999999999997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 t="s">
        <v>130</v>
      </c>
      <c r="AF551" t="s">
        <v>130</v>
      </c>
      <c r="AH551">
        <v>37.729999999999997</v>
      </c>
    </row>
    <row r="552" spans="1:34" x14ac:dyDescent="0.3">
      <c r="A552" s="4">
        <v>721</v>
      </c>
      <c r="B552" s="5">
        <v>545</v>
      </c>
      <c r="C552">
        <v>15483</v>
      </c>
      <c r="D552" t="s">
        <v>27746</v>
      </c>
      <c r="E552" t="s">
        <v>68</v>
      </c>
      <c r="F552" t="s">
        <v>1265</v>
      </c>
      <c r="G552" t="s">
        <v>27747</v>
      </c>
      <c r="H552">
        <v>17.68</v>
      </c>
      <c r="I552">
        <v>7</v>
      </c>
      <c r="J552">
        <v>0</v>
      </c>
      <c r="K552">
        <v>0</v>
      </c>
      <c r="L552">
        <v>7</v>
      </c>
      <c r="O552">
        <v>7</v>
      </c>
      <c r="P552">
        <v>4</v>
      </c>
      <c r="Q552">
        <v>2</v>
      </c>
      <c r="R552">
        <v>37.68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F552" t="s">
        <v>130</v>
      </c>
      <c r="AH552">
        <v>37.68</v>
      </c>
    </row>
    <row r="553" spans="1:34" x14ac:dyDescent="0.3">
      <c r="A553" s="4">
        <v>722</v>
      </c>
      <c r="B553" s="5">
        <v>546</v>
      </c>
      <c r="C553">
        <v>4943</v>
      </c>
      <c r="D553" t="s">
        <v>1707</v>
      </c>
      <c r="E553" t="s">
        <v>41</v>
      </c>
      <c r="F553" t="s">
        <v>782</v>
      </c>
      <c r="G553" t="s">
        <v>27748</v>
      </c>
      <c r="H553">
        <v>17.43</v>
      </c>
      <c r="I553">
        <v>0</v>
      </c>
      <c r="J553">
        <v>0</v>
      </c>
      <c r="K553">
        <v>0</v>
      </c>
      <c r="N553">
        <v>3</v>
      </c>
      <c r="O553">
        <v>3</v>
      </c>
      <c r="P553">
        <v>4</v>
      </c>
      <c r="Q553">
        <v>2</v>
      </c>
      <c r="R553">
        <v>26.43</v>
      </c>
      <c r="S553">
        <v>8</v>
      </c>
      <c r="T553">
        <v>8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8</v>
      </c>
      <c r="AB553">
        <v>3</v>
      </c>
      <c r="AC553">
        <v>0</v>
      </c>
      <c r="AF553" t="s">
        <v>130</v>
      </c>
      <c r="AH553">
        <v>37.43</v>
      </c>
    </row>
    <row r="554" spans="1:34" x14ac:dyDescent="0.3">
      <c r="A554" s="4">
        <v>723</v>
      </c>
      <c r="B554" s="5">
        <v>547</v>
      </c>
      <c r="C554">
        <v>6312</v>
      </c>
      <c r="D554" t="s">
        <v>127</v>
      </c>
      <c r="E554" t="s">
        <v>128</v>
      </c>
      <c r="F554" t="s">
        <v>17</v>
      </c>
      <c r="G554" t="s">
        <v>129</v>
      </c>
      <c r="H554">
        <v>18.25</v>
      </c>
      <c r="I554">
        <v>0</v>
      </c>
      <c r="J554">
        <v>0</v>
      </c>
      <c r="K554">
        <v>0</v>
      </c>
      <c r="L554">
        <v>7</v>
      </c>
      <c r="N554">
        <v>3</v>
      </c>
      <c r="O554">
        <v>10</v>
      </c>
      <c r="P554">
        <v>4</v>
      </c>
      <c r="Q554">
        <v>2</v>
      </c>
      <c r="R554">
        <v>34.25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</v>
      </c>
      <c r="AC554">
        <v>0</v>
      </c>
      <c r="AD554" t="s">
        <v>130</v>
      </c>
      <c r="AE554" t="s">
        <v>130</v>
      </c>
      <c r="AF554" t="s">
        <v>130</v>
      </c>
      <c r="AH554">
        <v>37.25</v>
      </c>
    </row>
    <row r="555" spans="1:34" x14ac:dyDescent="0.3">
      <c r="A555" s="4">
        <v>724</v>
      </c>
      <c r="B555" s="5">
        <v>548</v>
      </c>
      <c r="C555">
        <v>9431</v>
      </c>
      <c r="D555" t="s">
        <v>2182</v>
      </c>
      <c r="E555" t="s">
        <v>1997</v>
      </c>
      <c r="F555" t="s">
        <v>801</v>
      </c>
      <c r="G555" t="s">
        <v>27749</v>
      </c>
      <c r="H555">
        <v>15.23</v>
      </c>
      <c r="I555">
        <v>7</v>
      </c>
      <c r="J555">
        <v>0</v>
      </c>
      <c r="K555">
        <v>0</v>
      </c>
      <c r="N555">
        <v>3</v>
      </c>
      <c r="O555">
        <v>3</v>
      </c>
      <c r="P555">
        <v>4</v>
      </c>
      <c r="Q555">
        <v>2</v>
      </c>
      <c r="R555">
        <v>31.23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6</v>
      </c>
      <c r="AC555">
        <v>0</v>
      </c>
      <c r="AF555" t="s">
        <v>130</v>
      </c>
      <c r="AH555">
        <v>37.229999999999997</v>
      </c>
    </row>
    <row r="556" spans="1:34" x14ac:dyDescent="0.3">
      <c r="A556" s="4">
        <v>725</v>
      </c>
      <c r="B556" s="5">
        <v>549</v>
      </c>
      <c r="C556">
        <v>13893</v>
      </c>
      <c r="D556" t="s">
        <v>27304</v>
      </c>
      <c r="E556" t="s">
        <v>29</v>
      </c>
      <c r="F556" t="s">
        <v>20</v>
      </c>
      <c r="G556" t="s">
        <v>27750</v>
      </c>
      <c r="H556">
        <v>17.100000000000001</v>
      </c>
      <c r="I556">
        <v>0</v>
      </c>
      <c r="J556">
        <v>0</v>
      </c>
      <c r="K556">
        <v>0</v>
      </c>
      <c r="L556">
        <v>7</v>
      </c>
      <c r="O556">
        <v>7</v>
      </c>
      <c r="P556">
        <v>4</v>
      </c>
      <c r="Q556">
        <v>0</v>
      </c>
      <c r="R556">
        <v>28.1</v>
      </c>
      <c r="S556">
        <v>9</v>
      </c>
      <c r="T556">
        <v>9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9</v>
      </c>
      <c r="AB556">
        <v>0</v>
      </c>
      <c r="AC556">
        <v>0</v>
      </c>
      <c r="AF556" t="s">
        <v>130</v>
      </c>
      <c r="AH556">
        <v>37.1</v>
      </c>
    </row>
    <row r="557" spans="1:34" x14ac:dyDescent="0.3">
      <c r="A557" s="4">
        <v>726</v>
      </c>
      <c r="B557" s="5">
        <v>550</v>
      </c>
      <c r="C557">
        <v>2379</v>
      </c>
      <c r="D557" t="s">
        <v>10051</v>
      </c>
      <c r="E557" t="s">
        <v>166</v>
      </c>
      <c r="F557" t="s">
        <v>17</v>
      </c>
      <c r="G557" t="s">
        <v>27751</v>
      </c>
      <c r="H557">
        <v>17.98</v>
      </c>
      <c r="I557">
        <v>0</v>
      </c>
      <c r="J557">
        <v>0</v>
      </c>
      <c r="K557">
        <v>0</v>
      </c>
      <c r="L557">
        <v>7</v>
      </c>
      <c r="N557">
        <v>3</v>
      </c>
      <c r="O557">
        <v>10</v>
      </c>
      <c r="P557">
        <v>4</v>
      </c>
      <c r="Q557">
        <v>2</v>
      </c>
      <c r="R557">
        <v>33.979999999999997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3</v>
      </c>
      <c r="AC557">
        <v>0</v>
      </c>
      <c r="AD557" t="s">
        <v>130</v>
      </c>
      <c r="AF557" t="s">
        <v>130</v>
      </c>
      <c r="AH557">
        <v>36.979999999999997</v>
      </c>
    </row>
    <row r="558" spans="1:34" x14ac:dyDescent="0.3">
      <c r="A558" s="4">
        <v>727</v>
      </c>
      <c r="B558" s="5">
        <v>551</v>
      </c>
      <c r="C558">
        <v>6862</v>
      </c>
      <c r="D558" t="s">
        <v>27752</v>
      </c>
      <c r="E558" t="s">
        <v>37</v>
      </c>
      <c r="F558" t="s">
        <v>158</v>
      </c>
      <c r="G558" t="s">
        <v>27753</v>
      </c>
      <c r="H558">
        <v>16.98</v>
      </c>
      <c r="I558">
        <v>0</v>
      </c>
      <c r="J558">
        <v>0</v>
      </c>
      <c r="K558">
        <v>0</v>
      </c>
      <c r="N558">
        <v>3</v>
      </c>
      <c r="O558">
        <v>3</v>
      </c>
      <c r="P558">
        <v>4</v>
      </c>
      <c r="Q558">
        <v>2</v>
      </c>
      <c r="R558">
        <v>25.98</v>
      </c>
      <c r="S558">
        <v>8</v>
      </c>
      <c r="T558">
        <v>8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8</v>
      </c>
      <c r="AB558">
        <v>3</v>
      </c>
      <c r="AC558">
        <v>0</v>
      </c>
      <c r="AF558" t="s">
        <v>130</v>
      </c>
      <c r="AH558">
        <v>36.979999999999997</v>
      </c>
    </row>
    <row r="559" spans="1:34" x14ac:dyDescent="0.3">
      <c r="A559" s="4">
        <v>728</v>
      </c>
      <c r="B559" s="5">
        <v>552</v>
      </c>
      <c r="C559">
        <v>9750</v>
      </c>
      <c r="D559" t="s">
        <v>27754</v>
      </c>
      <c r="E559" t="s">
        <v>575</v>
      </c>
      <c r="F559" t="s">
        <v>34</v>
      </c>
      <c r="G559" t="s">
        <v>27755</v>
      </c>
      <c r="H559">
        <v>15.98</v>
      </c>
      <c r="I559">
        <v>0</v>
      </c>
      <c r="J559">
        <v>0</v>
      </c>
      <c r="K559">
        <v>0</v>
      </c>
      <c r="M559">
        <v>5</v>
      </c>
      <c r="N559">
        <v>3</v>
      </c>
      <c r="O559">
        <v>8</v>
      </c>
      <c r="P559">
        <v>4</v>
      </c>
      <c r="Q559">
        <v>0</v>
      </c>
      <c r="R559">
        <v>27.98</v>
      </c>
      <c r="S559">
        <v>9</v>
      </c>
      <c r="T559">
        <v>9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9</v>
      </c>
      <c r="AB559">
        <v>0</v>
      </c>
      <c r="AC559">
        <v>0</v>
      </c>
      <c r="AF559" t="s">
        <v>130</v>
      </c>
      <c r="AH559">
        <v>36.979999999999997</v>
      </c>
    </row>
    <row r="560" spans="1:34" x14ac:dyDescent="0.3">
      <c r="A560" s="4">
        <v>729</v>
      </c>
      <c r="B560" s="5">
        <v>553</v>
      </c>
      <c r="C560">
        <v>13098</v>
      </c>
      <c r="D560" t="s">
        <v>12436</v>
      </c>
      <c r="E560" t="s">
        <v>22</v>
      </c>
      <c r="F560" t="s">
        <v>328</v>
      </c>
      <c r="G560" t="s">
        <v>12437</v>
      </c>
      <c r="H560">
        <v>18.95</v>
      </c>
      <c r="I560">
        <v>7</v>
      </c>
      <c r="J560">
        <v>0</v>
      </c>
      <c r="K560">
        <v>0</v>
      </c>
      <c r="L560">
        <v>7</v>
      </c>
      <c r="O560">
        <v>7</v>
      </c>
      <c r="P560">
        <v>4</v>
      </c>
      <c r="Q560">
        <v>0</v>
      </c>
      <c r="R560">
        <v>36.950000000000003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F560" t="s">
        <v>130</v>
      </c>
      <c r="AH560">
        <v>36.950000000000003</v>
      </c>
    </row>
    <row r="561" spans="1:34" x14ac:dyDescent="0.3">
      <c r="A561" s="4">
        <v>730</v>
      </c>
      <c r="B561" s="5">
        <v>554</v>
      </c>
      <c r="C561">
        <v>2050</v>
      </c>
      <c r="D561" t="s">
        <v>27756</v>
      </c>
      <c r="E561" t="s">
        <v>173</v>
      </c>
      <c r="F561" t="s">
        <v>328</v>
      </c>
      <c r="G561" t="s">
        <v>27757</v>
      </c>
      <c r="H561">
        <v>18.7</v>
      </c>
      <c r="I561">
        <v>7</v>
      </c>
      <c r="J561">
        <v>0</v>
      </c>
      <c r="K561">
        <v>0</v>
      </c>
      <c r="M561">
        <v>5</v>
      </c>
      <c r="O561">
        <v>5</v>
      </c>
      <c r="P561">
        <v>4</v>
      </c>
      <c r="Q561">
        <v>2</v>
      </c>
      <c r="R561">
        <v>36.700000000000003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F561" t="s">
        <v>130</v>
      </c>
      <c r="AH561">
        <v>36.700000000000003</v>
      </c>
    </row>
    <row r="562" spans="1:34" x14ac:dyDescent="0.3">
      <c r="A562" s="4">
        <v>731</v>
      </c>
      <c r="B562" s="5">
        <v>555</v>
      </c>
      <c r="C562">
        <v>547</v>
      </c>
      <c r="D562" t="s">
        <v>3824</v>
      </c>
      <c r="E562" t="s">
        <v>41</v>
      </c>
      <c r="F562" t="s">
        <v>158</v>
      </c>
      <c r="G562" t="s">
        <v>27758</v>
      </c>
      <c r="H562">
        <v>19.649999999999999</v>
      </c>
      <c r="I562">
        <v>7</v>
      </c>
      <c r="J562">
        <v>0</v>
      </c>
      <c r="K562">
        <v>0</v>
      </c>
      <c r="O562">
        <v>0</v>
      </c>
      <c r="P562">
        <v>0</v>
      </c>
      <c r="Q562">
        <v>2</v>
      </c>
      <c r="R562">
        <v>28.65</v>
      </c>
      <c r="S562">
        <v>8</v>
      </c>
      <c r="T562">
        <v>8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8</v>
      </c>
      <c r="AB562">
        <v>0</v>
      </c>
      <c r="AC562">
        <v>0</v>
      </c>
      <c r="AF562" t="s">
        <v>130</v>
      </c>
      <c r="AH562">
        <v>36.65</v>
      </c>
    </row>
    <row r="563" spans="1:34" x14ac:dyDescent="0.3">
      <c r="A563" s="4">
        <v>732</v>
      </c>
      <c r="B563" s="5">
        <v>556</v>
      </c>
      <c r="C563">
        <v>7270</v>
      </c>
      <c r="D563" t="s">
        <v>3585</v>
      </c>
      <c r="E563" t="s">
        <v>1016</v>
      </c>
      <c r="F563" t="s">
        <v>136</v>
      </c>
      <c r="G563" t="s">
        <v>27759</v>
      </c>
      <c r="H563">
        <v>18.48</v>
      </c>
      <c r="I563">
        <v>0</v>
      </c>
      <c r="J563">
        <v>0</v>
      </c>
      <c r="K563">
        <v>0</v>
      </c>
      <c r="N563">
        <v>3</v>
      </c>
      <c r="O563">
        <v>3</v>
      </c>
      <c r="P563">
        <v>4</v>
      </c>
      <c r="Q563">
        <v>0</v>
      </c>
      <c r="R563">
        <v>25.48</v>
      </c>
      <c r="S563">
        <v>11</v>
      </c>
      <c r="T563">
        <v>11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11</v>
      </c>
      <c r="AB563">
        <v>0</v>
      </c>
      <c r="AC563">
        <v>0</v>
      </c>
      <c r="AD563" t="s">
        <v>130</v>
      </c>
      <c r="AF563" t="s">
        <v>130</v>
      </c>
      <c r="AH563">
        <v>36.479999999999997</v>
      </c>
    </row>
    <row r="564" spans="1:34" x14ac:dyDescent="0.3">
      <c r="A564" s="4">
        <v>733</v>
      </c>
      <c r="B564" s="5">
        <v>557</v>
      </c>
      <c r="C564">
        <v>5808</v>
      </c>
      <c r="D564" t="s">
        <v>18437</v>
      </c>
      <c r="E564" t="s">
        <v>37</v>
      </c>
      <c r="F564" t="s">
        <v>17</v>
      </c>
      <c r="G564" t="s">
        <v>27760</v>
      </c>
      <c r="H564">
        <v>21.33</v>
      </c>
      <c r="I564">
        <v>0</v>
      </c>
      <c r="J564">
        <v>0</v>
      </c>
      <c r="K564">
        <v>0</v>
      </c>
      <c r="N564">
        <v>3</v>
      </c>
      <c r="O564">
        <v>3</v>
      </c>
      <c r="P564">
        <v>4</v>
      </c>
      <c r="Q564">
        <v>2</v>
      </c>
      <c r="R564">
        <v>30.33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6</v>
      </c>
      <c r="AC564">
        <v>0</v>
      </c>
      <c r="AF564" t="s">
        <v>130</v>
      </c>
      <c r="AH564">
        <v>36.33</v>
      </c>
    </row>
    <row r="565" spans="1:34" x14ac:dyDescent="0.3">
      <c r="A565" s="4">
        <v>734</v>
      </c>
      <c r="B565" s="5">
        <v>558</v>
      </c>
      <c r="C565">
        <v>12223</v>
      </c>
      <c r="D565" t="s">
        <v>27761</v>
      </c>
      <c r="E565" t="s">
        <v>170</v>
      </c>
      <c r="F565" t="s">
        <v>17</v>
      </c>
      <c r="G565" t="s">
        <v>27762</v>
      </c>
      <c r="H565">
        <v>16.3</v>
      </c>
      <c r="I565">
        <v>0</v>
      </c>
      <c r="J565">
        <v>0</v>
      </c>
      <c r="K565">
        <v>0</v>
      </c>
      <c r="N565">
        <v>3</v>
      </c>
      <c r="O565">
        <v>3</v>
      </c>
      <c r="P565">
        <v>4</v>
      </c>
      <c r="Q565">
        <v>0</v>
      </c>
      <c r="R565">
        <v>23.3</v>
      </c>
      <c r="S565">
        <v>13</v>
      </c>
      <c r="T565">
        <v>13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13</v>
      </c>
      <c r="AB565">
        <v>0</v>
      </c>
      <c r="AC565">
        <v>0</v>
      </c>
      <c r="AF565" t="s">
        <v>130</v>
      </c>
      <c r="AH565">
        <v>36.299999999999997</v>
      </c>
    </row>
    <row r="566" spans="1:34" x14ac:dyDescent="0.3">
      <c r="A566" s="4">
        <v>735</v>
      </c>
      <c r="B566" s="5">
        <v>559</v>
      </c>
      <c r="C566">
        <v>2098</v>
      </c>
      <c r="D566" t="s">
        <v>27763</v>
      </c>
      <c r="E566" t="s">
        <v>79</v>
      </c>
      <c r="F566" t="s">
        <v>20</v>
      </c>
      <c r="G566" t="s">
        <v>27764</v>
      </c>
      <c r="H566">
        <v>18.73</v>
      </c>
      <c r="I566">
        <v>7</v>
      </c>
      <c r="J566">
        <v>0</v>
      </c>
      <c r="K566">
        <v>0</v>
      </c>
      <c r="O566">
        <v>0</v>
      </c>
      <c r="P566">
        <v>4</v>
      </c>
      <c r="Q566">
        <v>0</v>
      </c>
      <c r="R566">
        <v>29.73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6</v>
      </c>
      <c r="AC566">
        <v>0</v>
      </c>
      <c r="AF566" t="s">
        <v>130</v>
      </c>
      <c r="AH566">
        <v>35.729999999999997</v>
      </c>
    </row>
    <row r="567" spans="1:34" x14ac:dyDescent="0.3">
      <c r="A567" s="4">
        <v>736</v>
      </c>
      <c r="B567" s="5">
        <v>560</v>
      </c>
      <c r="C567">
        <v>14632</v>
      </c>
      <c r="D567" t="s">
        <v>27765</v>
      </c>
      <c r="E567" t="s">
        <v>1053</v>
      </c>
      <c r="F567" t="s">
        <v>81</v>
      </c>
      <c r="G567" t="s">
        <v>27766</v>
      </c>
      <c r="H567">
        <v>18.68</v>
      </c>
      <c r="I567">
        <v>7</v>
      </c>
      <c r="J567">
        <v>0</v>
      </c>
      <c r="K567">
        <v>0</v>
      </c>
      <c r="N567">
        <v>3</v>
      </c>
      <c r="O567">
        <v>3</v>
      </c>
      <c r="P567">
        <v>4</v>
      </c>
      <c r="Q567">
        <v>0</v>
      </c>
      <c r="R567">
        <v>32.68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3</v>
      </c>
      <c r="AC567">
        <v>0</v>
      </c>
      <c r="AF567" t="s">
        <v>130</v>
      </c>
      <c r="AH567">
        <v>35.68</v>
      </c>
    </row>
    <row r="568" spans="1:34" x14ac:dyDescent="0.3">
      <c r="A568" s="4">
        <v>737</v>
      </c>
      <c r="B568" s="5">
        <v>561</v>
      </c>
      <c r="C568">
        <v>890</v>
      </c>
      <c r="D568" t="s">
        <v>6215</v>
      </c>
      <c r="E568" t="s">
        <v>132</v>
      </c>
      <c r="F568" t="s">
        <v>20</v>
      </c>
      <c r="G568" t="s">
        <v>27767</v>
      </c>
      <c r="H568">
        <v>19.63</v>
      </c>
      <c r="I568">
        <v>7</v>
      </c>
      <c r="J568">
        <v>0</v>
      </c>
      <c r="K568">
        <v>0</v>
      </c>
      <c r="N568">
        <v>3</v>
      </c>
      <c r="O568">
        <v>3</v>
      </c>
      <c r="P568">
        <v>4</v>
      </c>
      <c r="Q568">
        <v>2</v>
      </c>
      <c r="R568">
        <v>35.630000000000003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F568" t="s">
        <v>130</v>
      </c>
      <c r="AH568">
        <v>35.630000000000003</v>
      </c>
    </row>
    <row r="569" spans="1:34" x14ac:dyDescent="0.3">
      <c r="A569" s="4">
        <v>738</v>
      </c>
      <c r="B569" s="5">
        <v>562</v>
      </c>
      <c r="C569">
        <v>4875</v>
      </c>
      <c r="D569" t="s">
        <v>27768</v>
      </c>
      <c r="E569" t="s">
        <v>268</v>
      </c>
      <c r="F569" t="s">
        <v>91</v>
      </c>
      <c r="G569" t="s">
        <v>27769</v>
      </c>
      <c r="H569">
        <v>15.6</v>
      </c>
      <c r="I569">
        <v>0</v>
      </c>
      <c r="J569">
        <v>0</v>
      </c>
      <c r="K569">
        <v>0</v>
      </c>
      <c r="O569">
        <v>0</v>
      </c>
      <c r="P569">
        <v>0</v>
      </c>
      <c r="Q569">
        <v>0</v>
      </c>
      <c r="R569">
        <v>15.6</v>
      </c>
      <c r="S569">
        <v>17</v>
      </c>
      <c r="T569">
        <v>17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17</v>
      </c>
      <c r="AB569">
        <v>3</v>
      </c>
      <c r="AC569">
        <v>0</v>
      </c>
      <c r="AF569" t="s">
        <v>130</v>
      </c>
      <c r="AH569">
        <v>35.6</v>
      </c>
    </row>
    <row r="570" spans="1:34" x14ac:dyDescent="0.3">
      <c r="A570" s="4">
        <v>739</v>
      </c>
      <c r="B570" s="5">
        <v>563</v>
      </c>
      <c r="C570">
        <v>13335</v>
      </c>
      <c r="D570" t="s">
        <v>27770</v>
      </c>
      <c r="E570" t="s">
        <v>1484</v>
      </c>
      <c r="F570" t="s">
        <v>17</v>
      </c>
      <c r="G570" t="s">
        <v>27771</v>
      </c>
      <c r="H570">
        <v>18.48</v>
      </c>
      <c r="I570">
        <v>0</v>
      </c>
      <c r="J570">
        <v>0</v>
      </c>
      <c r="K570">
        <v>0</v>
      </c>
      <c r="N570">
        <v>3</v>
      </c>
      <c r="O570">
        <v>3</v>
      </c>
      <c r="P570">
        <v>4</v>
      </c>
      <c r="Q570">
        <v>2</v>
      </c>
      <c r="R570">
        <v>27.48</v>
      </c>
      <c r="S570">
        <v>8</v>
      </c>
      <c r="T570">
        <v>8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8</v>
      </c>
      <c r="AB570">
        <v>0</v>
      </c>
      <c r="AC570">
        <v>0</v>
      </c>
      <c r="AF570" t="s">
        <v>130</v>
      </c>
      <c r="AH570">
        <v>35.479999999999997</v>
      </c>
    </row>
    <row r="571" spans="1:34" x14ac:dyDescent="0.3">
      <c r="A571" s="4">
        <v>740</v>
      </c>
      <c r="B571" s="5">
        <v>564</v>
      </c>
      <c r="C571">
        <v>5582</v>
      </c>
      <c r="D571" t="s">
        <v>5640</v>
      </c>
      <c r="E571" t="s">
        <v>100</v>
      </c>
      <c r="F571" t="s">
        <v>27772</v>
      </c>
      <c r="G571" t="s">
        <v>27773</v>
      </c>
      <c r="H571">
        <v>16.28</v>
      </c>
      <c r="I571">
        <v>0</v>
      </c>
      <c r="J571">
        <v>0</v>
      </c>
      <c r="K571">
        <v>0</v>
      </c>
      <c r="L571">
        <v>7</v>
      </c>
      <c r="O571">
        <v>7</v>
      </c>
      <c r="P571">
        <v>4</v>
      </c>
      <c r="Q571">
        <v>2</v>
      </c>
      <c r="R571">
        <v>29.28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6</v>
      </c>
      <c r="AC571">
        <v>0</v>
      </c>
      <c r="AF571" t="s">
        <v>130</v>
      </c>
      <c r="AH571">
        <v>35.28</v>
      </c>
    </row>
    <row r="572" spans="1:34" x14ac:dyDescent="0.3">
      <c r="A572" s="4">
        <v>741</v>
      </c>
      <c r="B572" s="5">
        <v>565</v>
      </c>
      <c r="C572">
        <v>1556</v>
      </c>
      <c r="D572" t="s">
        <v>27774</v>
      </c>
      <c r="E572" t="s">
        <v>782</v>
      </c>
      <c r="F572" t="s">
        <v>136</v>
      </c>
      <c r="G572" t="s">
        <v>27775</v>
      </c>
      <c r="H572">
        <v>19.28</v>
      </c>
      <c r="I572">
        <v>7</v>
      </c>
      <c r="J572">
        <v>0</v>
      </c>
      <c r="K572">
        <v>0</v>
      </c>
      <c r="N572">
        <v>3</v>
      </c>
      <c r="O572">
        <v>3</v>
      </c>
      <c r="P572">
        <v>4</v>
      </c>
      <c r="Q572">
        <v>2</v>
      </c>
      <c r="R572">
        <v>35.28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F572" t="s">
        <v>130</v>
      </c>
      <c r="AH572">
        <v>35.28</v>
      </c>
    </row>
    <row r="573" spans="1:34" x14ac:dyDescent="0.3">
      <c r="A573" s="4">
        <v>742</v>
      </c>
      <c r="B573" s="5">
        <v>566</v>
      </c>
      <c r="C573">
        <v>9699</v>
      </c>
      <c r="D573" t="s">
        <v>784</v>
      </c>
      <c r="E573" t="s">
        <v>825</v>
      </c>
      <c r="F573" t="s">
        <v>117</v>
      </c>
      <c r="G573" t="s">
        <v>27776</v>
      </c>
      <c r="H573">
        <v>19.2</v>
      </c>
      <c r="I573">
        <v>0</v>
      </c>
      <c r="J573">
        <v>0</v>
      </c>
      <c r="K573">
        <v>0</v>
      </c>
      <c r="L573">
        <v>7</v>
      </c>
      <c r="N573">
        <v>3</v>
      </c>
      <c r="O573">
        <v>10</v>
      </c>
      <c r="P573">
        <v>4</v>
      </c>
      <c r="Q573">
        <v>2</v>
      </c>
      <c r="R573">
        <v>35.200000000000003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F573" t="s">
        <v>130</v>
      </c>
      <c r="AH573">
        <v>35.200000000000003</v>
      </c>
    </row>
    <row r="574" spans="1:34" x14ac:dyDescent="0.3">
      <c r="A574" s="4">
        <v>743</v>
      </c>
      <c r="B574" s="5">
        <v>567</v>
      </c>
      <c r="C574">
        <v>3002</v>
      </c>
      <c r="D574" t="s">
        <v>27777</v>
      </c>
      <c r="E574" t="s">
        <v>2758</v>
      </c>
      <c r="F574" t="s">
        <v>442</v>
      </c>
      <c r="G574" t="s">
        <v>27778</v>
      </c>
      <c r="H574">
        <v>18.100000000000001</v>
      </c>
      <c r="I574">
        <v>0</v>
      </c>
      <c r="J574">
        <v>0</v>
      </c>
      <c r="K574">
        <v>0</v>
      </c>
      <c r="N574">
        <v>3</v>
      </c>
      <c r="O574">
        <v>3</v>
      </c>
      <c r="P574">
        <v>4</v>
      </c>
      <c r="Q574">
        <v>2</v>
      </c>
      <c r="R574">
        <v>27.1</v>
      </c>
      <c r="S574">
        <v>8</v>
      </c>
      <c r="T574">
        <v>8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8</v>
      </c>
      <c r="AB574">
        <v>0</v>
      </c>
      <c r="AC574">
        <v>0</v>
      </c>
      <c r="AF574" t="s">
        <v>130</v>
      </c>
      <c r="AH574">
        <v>35.1</v>
      </c>
    </row>
    <row r="575" spans="1:34" x14ac:dyDescent="0.3">
      <c r="A575" s="4">
        <v>744</v>
      </c>
      <c r="B575" s="5">
        <v>568</v>
      </c>
      <c r="C575">
        <v>3039</v>
      </c>
      <c r="D575" t="s">
        <v>3340</v>
      </c>
      <c r="E575" t="s">
        <v>1975</v>
      </c>
      <c r="F575" t="s">
        <v>1161</v>
      </c>
      <c r="G575" t="s">
        <v>27779</v>
      </c>
      <c r="H575">
        <v>18.98</v>
      </c>
      <c r="I575">
        <v>0</v>
      </c>
      <c r="J575">
        <v>0</v>
      </c>
      <c r="K575">
        <v>0</v>
      </c>
      <c r="L575">
        <v>7</v>
      </c>
      <c r="O575">
        <v>7</v>
      </c>
      <c r="P575">
        <v>4</v>
      </c>
      <c r="Q575">
        <v>2</v>
      </c>
      <c r="R575">
        <v>31.98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3</v>
      </c>
      <c r="AC575">
        <v>0</v>
      </c>
      <c r="AF575" t="s">
        <v>130</v>
      </c>
      <c r="AH575">
        <v>34.979999999999997</v>
      </c>
    </row>
    <row r="576" spans="1:34" x14ac:dyDescent="0.3">
      <c r="A576" s="4">
        <v>745</v>
      </c>
      <c r="B576" s="5">
        <v>569</v>
      </c>
      <c r="C576">
        <v>3563</v>
      </c>
      <c r="D576" t="s">
        <v>9225</v>
      </c>
      <c r="E576" t="s">
        <v>29</v>
      </c>
      <c r="F576" t="s">
        <v>17</v>
      </c>
      <c r="G576" t="s">
        <v>27780</v>
      </c>
      <c r="H576">
        <v>20.85</v>
      </c>
      <c r="I576">
        <v>0</v>
      </c>
      <c r="J576">
        <v>0</v>
      </c>
      <c r="K576">
        <v>0</v>
      </c>
      <c r="L576">
        <v>7</v>
      </c>
      <c r="O576">
        <v>7</v>
      </c>
      <c r="P576">
        <v>4</v>
      </c>
      <c r="Q576">
        <v>0</v>
      </c>
      <c r="R576">
        <v>31.85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3</v>
      </c>
      <c r="AC576">
        <v>0</v>
      </c>
      <c r="AF576" t="s">
        <v>130</v>
      </c>
      <c r="AH576">
        <v>34.85</v>
      </c>
    </row>
    <row r="577" spans="1:34" x14ac:dyDescent="0.3">
      <c r="A577" s="4">
        <v>746</v>
      </c>
      <c r="B577" s="5">
        <v>570</v>
      </c>
      <c r="C577">
        <v>8708</v>
      </c>
      <c r="D577" t="s">
        <v>11360</v>
      </c>
      <c r="E577" t="s">
        <v>110</v>
      </c>
      <c r="F577" t="s">
        <v>158</v>
      </c>
      <c r="G577" t="s">
        <v>27781</v>
      </c>
      <c r="H577">
        <v>18.850000000000001</v>
      </c>
      <c r="I577">
        <v>0</v>
      </c>
      <c r="J577">
        <v>0</v>
      </c>
      <c r="K577">
        <v>0</v>
      </c>
      <c r="L577">
        <v>7</v>
      </c>
      <c r="O577">
        <v>7</v>
      </c>
      <c r="P577">
        <v>4</v>
      </c>
      <c r="Q577">
        <v>2</v>
      </c>
      <c r="R577">
        <v>31.85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3</v>
      </c>
      <c r="AC577">
        <v>0</v>
      </c>
      <c r="AD577" t="s">
        <v>130</v>
      </c>
      <c r="AF577" t="s">
        <v>130</v>
      </c>
      <c r="AH577">
        <v>34.85</v>
      </c>
    </row>
    <row r="578" spans="1:34" x14ac:dyDescent="0.3">
      <c r="A578" s="4">
        <v>747</v>
      </c>
      <c r="B578" s="5">
        <v>571</v>
      </c>
      <c r="C578">
        <v>3077</v>
      </c>
      <c r="D578" t="s">
        <v>1250</v>
      </c>
      <c r="E578" t="s">
        <v>110</v>
      </c>
      <c r="F578" t="s">
        <v>17</v>
      </c>
      <c r="G578" t="s">
        <v>27782</v>
      </c>
      <c r="H578">
        <v>17.75</v>
      </c>
      <c r="I578">
        <v>0</v>
      </c>
      <c r="J578">
        <v>0</v>
      </c>
      <c r="K578">
        <v>0</v>
      </c>
      <c r="L578">
        <v>7</v>
      </c>
      <c r="O578">
        <v>7</v>
      </c>
      <c r="P578">
        <v>4</v>
      </c>
      <c r="Q578">
        <v>0</v>
      </c>
      <c r="R578">
        <v>28.75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6</v>
      </c>
      <c r="AC578">
        <v>0</v>
      </c>
      <c r="AF578" t="s">
        <v>130</v>
      </c>
      <c r="AH578">
        <v>34.75</v>
      </c>
    </row>
    <row r="579" spans="1:34" x14ac:dyDescent="0.3">
      <c r="A579" s="4">
        <v>748</v>
      </c>
      <c r="B579" s="5">
        <v>572</v>
      </c>
      <c r="C579">
        <v>1343</v>
      </c>
      <c r="D579" t="s">
        <v>27783</v>
      </c>
      <c r="E579" t="s">
        <v>328</v>
      </c>
      <c r="F579" t="s">
        <v>1023</v>
      </c>
      <c r="G579" t="s">
        <v>27784</v>
      </c>
      <c r="H579">
        <v>18.75</v>
      </c>
      <c r="I579">
        <v>0</v>
      </c>
      <c r="J579">
        <v>0</v>
      </c>
      <c r="K579">
        <v>0</v>
      </c>
      <c r="N579">
        <v>3</v>
      </c>
      <c r="O579">
        <v>3</v>
      </c>
      <c r="P579">
        <v>4</v>
      </c>
      <c r="Q579">
        <v>2</v>
      </c>
      <c r="R579">
        <v>27.75</v>
      </c>
      <c r="S579">
        <v>7</v>
      </c>
      <c r="T579">
        <v>7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7</v>
      </c>
      <c r="AB579">
        <v>0</v>
      </c>
      <c r="AC579">
        <v>0</v>
      </c>
      <c r="AD579" t="s">
        <v>130</v>
      </c>
      <c r="AF579" t="s">
        <v>130</v>
      </c>
      <c r="AH579">
        <v>34.75</v>
      </c>
    </row>
    <row r="580" spans="1:34" x14ac:dyDescent="0.3">
      <c r="A580" s="4">
        <v>749</v>
      </c>
      <c r="B580" s="5">
        <v>573</v>
      </c>
      <c r="C580">
        <v>15319</v>
      </c>
      <c r="D580" t="s">
        <v>19861</v>
      </c>
      <c r="E580" t="s">
        <v>126</v>
      </c>
      <c r="F580" t="s">
        <v>38</v>
      </c>
      <c r="G580" t="s">
        <v>27785</v>
      </c>
      <c r="H580">
        <v>18.7</v>
      </c>
      <c r="I580">
        <v>0</v>
      </c>
      <c r="J580">
        <v>0</v>
      </c>
      <c r="K580">
        <v>0</v>
      </c>
      <c r="N580">
        <v>3</v>
      </c>
      <c r="O580">
        <v>3</v>
      </c>
      <c r="P580">
        <v>4</v>
      </c>
      <c r="Q580">
        <v>2</v>
      </c>
      <c r="R580">
        <v>27.7</v>
      </c>
      <c r="S580">
        <v>4</v>
      </c>
      <c r="T580">
        <v>4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4</v>
      </c>
      <c r="AB580">
        <v>3</v>
      </c>
      <c r="AC580">
        <v>0</v>
      </c>
      <c r="AF580" t="s">
        <v>130</v>
      </c>
      <c r="AH580">
        <v>34.700000000000003</v>
      </c>
    </row>
    <row r="581" spans="1:34" x14ac:dyDescent="0.3">
      <c r="A581" s="4">
        <v>750</v>
      </c>
      <c r="B581" s="5">
        <v>574</v>
      </c>
      <c r="C581">
        <v>10275</v>
      </c>
      <c r="D581" t="s">
        <v>27786</v>
      </c>
      <c r="E581" t="s">
        <v>88</v>
      </c>
      <c r="F581" t="s">
        <v>167</v>
      </c>
      <c r="G581" t="s">
        <v>27787</v>
      </c>
      <c r="H581">
        <v>18.53</v>
      </c>
      <c r="I581">
        <v>0</v>
      </c>
      <c r="J581">
        <v>0</v>
      </c>
      <c r="K581">
        <v>0</v>
      </c>
      <c r="L581">
        <v>7</v>
      </c>
      <c r="O581">
        <v>7</v>
      </c>
      <c r="P581">
        <v>4</v>
      </c>
      <c r="Q581">
        <v>2</v>
      </c>
      <c r="R581">
        <v>31.53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3</v>
      </c>
      <c r="AC581">
        <v>0</v>
      </c>
      <c r="AD581" t="s">
        <v>130</v>
      </c>
      <c r="AF581" t="s">
        <v>130</v>
      </c>
      <c r="AH581">
        <v>34.53</v>
      </c>
    </row>
    <row r="582" spans="1:34" x14ac:dyDescent="0.3">
      <c r="A582" s="4">
        <v>751</v>
      </c>
      <c r="B582" s="5">
        <v>575</v>
      </c>
      <c r="C582">
        <v>9099</v>
      </c>
      <c r="D582" t="s">
        <v>47</v>
      </c>
      <c r="E582" t="s">
        <v>697</v>
      </c>
      <c r="F582" t="s">
        <v>30</v>
      </c>
      <c r="G582" t="s">
        <v>27788</v>
      </c>
      <c r="H582">
        <v>19.5</v>
      </c>
      <c r="I582">
        <v>0</v>
      </c>
      <c r="J582">
        <v>0</v>
      </c>
      <c r="K582">
        <v>0</v>
      </c>
      <c r="N582">
        <v>3</v>
      </c>
      <c r="O582">
        <v>3</v>
      </c>
      <c r="P582">
        <v>4</v>
      </c>
      <c r="Q582">
        <v>2</v>
      </c>
      <c r="R582">
        <v>28.5</v>
      </c>
      <c r="S582">
        <v>6</v>
      </c>
      <c r="T582">
        <v>6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6</v>
      </c>
      <c r="AB582">
        <v>0</v>
      </c>
      <c r="AC582">
        <v>0</v>
      </c>
      <c r="AD582" t="s">
        <v>130</v>
      </c>
      <c r="AF582" t="s">
        <v>130</v>
      </c>
      <c r="AH582">
        <v>34.5</v>
      </c>
    </row>
    <row r="583" spans="1:34" x14ac:dyDescent="0.3">
      <c r="A583" s="4">
        <v>752</v>
      </c>
      <c r="B583" s="5">
        <v>576</v>
      </c>
      <c r="C583">
        <v>8354</v>
      </c>
      <c r="D583" t="s">
        <v>7206</v>
      </c>
      <c r="E583" t="s">
        <v>1926</v>
      </c>
      <c r="F583" t="s">
        <v>1023</v>
      </c>
      <c r="G583" t="s">
        <v>27789</v>
      </c>
      <c r="H583">
        <v>18.25</v>
      </c>
      <c r="I583">
        <v>0</v>
      </c>
      <c r="J583">
        <v>0</v>
      </c>
      <c r="K583">
        <v>0</v>
      </c>
      <c r="L583">
        <v>7</v>
      </c>
      <c r="O583">
        <v>7</v>
      </c>
      <c r="P583">
        <v>4</v>
      </c>
      <c r="Q583">
        <v>2</v>
      </c>
      <c r="R583">
        <v>31.25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3</v>
      </c>
      <c r="AC583">
        <v>0</v>
      </c>
      <c r="AF583" t="s">
        <v>130</v>
      </c>
      <c r="AH583">
        <v>34.25</v>
      </c>
    </row>
    <row r="584" spans="1:34" x14ac:dyDescent="0.3">
      <c r="A584" s="4">
        <v>753</v>
      </c>
      <c r="B584" s="5">
        <v>577</v>
      </c>
      <c r="C584">
        <v>4225</v>
      </c>
      <c r="D584" t="s">
        <v>27790</v>
      </c>
      <c r="E584" t="s">
        <v>454</v>
      </c>
      <c r="F584" t="s">
        <v>6216</v>
      </c>
      <c r="G584" t="s">
        <v>27791</v>
      </c>
      <c r="H584">
        <v>19.23</v>
      </c>
      <c r="I584">
        <v>0</v>
      </c>
      <c r="J584">
        <v>0</v>
      </c>
      <c r="K584">
        <v>0</v>
      </c>
      <c r="N584">
        <v>3</v>
      </c>
      <c r="O584">
        <v>3</v>
      </c>
      <c r="P584">
        <v>4</v>
      </c>
      <c r="Q584">
        <v>0</v>
      </c>
      <c r="R584">
        <v>26.23</v>
      </c>
      <c r="S584">
        <v>8</v>
      </c>
      <c r="T584">
        <v>8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8</v>
      </c>
      <c r="AB584">
        <v>0</v>
      </c>
      <c r="AC584">
        <v>0</v>
      </c>
      <c r="AF584" t="s">
        <v>130</v>
      </c>
      <c r="AH584">
        <v>34.229999999999997</v>
      </c>
    </row>
    <row r="585" spans="1:34" x14ac:dyDescent="0.3">
      <c r="A585" s="4">
        <v>754</v>
      </c>
      <c r="B585" s="5">
        <v>578</v>
      </c>
      <c r="C585">
        <v>8363</v>
      </c>
      <c r="D585" t="s">
        <v>27792</v>
      </c>
      <c r="E585" t="s">
        <v>219</v>
      </c>
      <c r="F585" t="s">
        <v>117</v>
      </c>
      <c r="G585" t="s">
        <v>27793</v>
      </c>
      <c r="H585">
        <v>19.23</v>
      </c>
      <c r="I585">
        <v>0</v>
      </c>
      <c r="J585">
        <v>0</v>
      </c>
      <c r="K585">
        <v>0</v>
      </c>
      <c r="L585">
        <v>7</v>
      </c>
      <c r="O585">
        <v>7</v>
      </c>
      <c r="P585">
        <v>0</v>
      </c>
      <c r="Q585">
        <v>0</v>
      </c>
      <c r="R585">
        <v>26.23</v>
      </c>
      <c r="S585">
        <v>8</v>
      </c>
      <c r="T585">
        <v>8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8</v>
      </c>
      <c r="AB585">
        <v>0</v>
      </c>
      <c r="AC585">
        <v>0</v>
      </c>
      <c r="AF585" t="s">
        <v>130</v>
      </c>
      <c r="AH585">
        <v>34.229999999999997</v>
      </c>
    </row>
    <row r="586" spans="1:34" x14ac:dyDescent="0.3">
      <c r="A586" s="4">
        <v>755</v>
      </c>
      <c r="B586" s="5">
        <v>579</v>
      </c>
      <c r="C586">
        <v>13286</v>
      </c>
      <c r="D586" t="s">
        <v>27794</v>
      </c>
      <c r="E586" t="s">
        <v>182</v>
      </c>
      <c r="F586" t="s">
        <v>91</v>
      </c>
      <c r="G586" t="s">
        <v>27795</v>
      </c>
      <c r="H586">
        <v>17.98</v>
      </c>
      <c r="I586">
        <v>7</v>
      </c>
      <c r="J586">
        <v>0</v>
      </c>
      <c r="K586">
        <v>0</v>
      </c>
      <c r="O586">
        <v>0</v>
      </c>
      <c r="P586">
        <v>4</v>
      </c>
      <c r="Q586">
        <v>2</v>
      </c>
      <c r="R586">
        <v>30.98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3</v>
      </c>
      <c r="AC586">
        <v>0</v>
      </c>
      <c r="AF586" t="s">
        <v>130</v>
      </c>
      <c r="AH586">
        <v>33.979999999999997</v>
      </c>
    </row>
    <row r="587" spans="1:34" x14ac:dyDescent="0.3">
      <c r="A587" s="4">
        <v>756</v>
      </c>
      <c r="B587" s="5">
        <v>580</v>
      </c>
      <c r="C587">
        <v>4061</v>
      </c>
      <c r="D587" t="s">
        <v>14600</v>
      </c>
      <c r="E587" t="s">
        <v>27796</v>
      </c>
      <c r="F587" t="s">
        <v>1854</v>
      </c>
      <c r="G587" t="s">
        <v>27797</v>
      </c>
      <c r="H587">
        <v>17.98</v>
      </c>
      <c r="I587">
        <v>0</v>
      </c>
      <c r="J587">
        <v>0</v>
      </c>
      <c r="K587">
        <v>0</v>
      </c>
      <c r="N587">
        <v>3</v>
      </c>
      <c r="O587">
        <v>3</v>
      </c>
      <c r="P587">
        <v>4</v>
      </c>
      <c r="Q587">
        <v>2</v>
      </c>
      <c r="R587">
        <v>26.98</v>
      </c>
      <c r="S587">
        <v>7</v>
      </c>
      <c r="T587">
        <v>7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7</v>
      </c>
      <c r="AB587">
        <v>0</v>
      </c>
      <c r="AC587">
        <v>0</v>
      </c>
      <c r="AF587" t="s">
        <v>130</v>
      </c>
      <c r="AH587">
        <v>33.979999999999997</v>
      </c>
    </row>
    <row r="588" spans="1:34" x14ac:dyDescent="0.3">
      <c r="A588" s="4">
        <v>757</v>
      </c>
      <c r="B588" s="5">
        <v>581</v>
      </c>
      <c r="C588">
        <v>8846</v>
      </c>
      <c r="D588" t="s">
        <v>1029</v>
      </c>
      <c r="E588" t="s">
        <v>26</v>
      </c>
      <c r="F588" t="s">
        <v>20</v>
      </c>
      <c r="G588" t="s">
        <v>27798</v>
      </c>
      <c r="H588">
        <v>16.93</v>
      </c>
      <c r="I588">
        <v>0</v>
      </c>
      <c r="J588">
        <v>0</v>
      </c>
      <c r="K588">
        <v>0</v>
      </c>
      <c r="L588">
        <v>7</v>
      </c>
      <c r="O588">
        <v>7</v>
      </c>
      <c r="P588">
        <v>4</v>
      </c>
      <c r="Q588">
        <v>2</v>
      </c>
      <c r="R588">
        <v>29.93</v>
      </c>
      <c r="S588">
        <v>4</v>
      </c>
      <c r="T588">
        <v>4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4</v>
      </c>
      <c r="AB588">
        <v>0</v>
      </c>
      <c r="AC588">
        <v>0</v>
      </c>
      <c r="AF588" t="s">
        <v>130</v>
      </c>
      <c r="AH588">
        <v>33.93</v>
      </c>
    </row>
    <row r="589" spans="1:34" x14ac:dyDescent="0.3">
      <c r="A589" s="4">
        <v>758</v>
      </c>
      <c r="B589" s="5">
        <v>582</v>
      </c>
      <c r="C589">
        <v>11081</v>
      </c>
      <c r="D589" t="s">
        <v>27799</v>
      </c>
      <c r="E589" t="s">
        <v>29</v>
      </c>
      <c r="F589" t="s">
        <v>81</v>
      </c>
      <c r="G589" t="s">
        <v>27800</v>
      </c>
      <c r="H589">
        <v>18.850000000000001</v>
      </c>
      <c r="I589">
        <v>0</v>
      </c>
      <c r="J589">
        <v>0</v>
      </c>
      <c r="K589">
        <v>0</v>
      </c>
      <c r="N589">
        <v>3</v>
      </c>
      <c r="O589">
        <v>3</v>
      </c>
      <c r="P589">
        <v>4</v>
      </c>
      <c r="Q589">
        <v>2</v>
      </c>
      <c r="R589">
        <v>27.85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6</v>
      </c>
      <c r="AC589">
        <v>0</v>
      </c>
      <c r="AF589" t="s">
        <v>130</v>
      </c>
      <c r="AH589">
        <v>33.85</v>
      </c>
    </row>
    <row r="590" spans="1:34" x14ac:dyDescent="0.3">
      <c r="A590" s="4">
        <v>759</v>
      </c>
      <c r="B590" s="5">
        <v>583</v>
      </c>
      <c r="C590">
        <v>6251</v>
      </c>
      <c r="D590" t="s">
        <v>27801</v>
      </c>
      <c r="E590" t="s">
        <v>188</v>
      </c>
      <c r="F590" t="s">
        <v>972</v>
      </c>
      <c r="G590" t="s">
        <v>27802</v>
      </c>
      <c r="H590">
        <v>18.399999999999999</v>
      </c>
      <c r="I590">
        <v>0</v>
      </c>
      <c r="J590">
        <v>0</v>
      </c>
      <c r="K590">
        <v>0</v>
      </c>
      <c r="N590">
        <v>3</v>
      </c>
      <c r="O590">
        <v>3</v>
      </c>
      <c r="P590">
        <v>4</v>
      </c>
      <c r="Q590">
        <v>2</v>
      </c>
      <c r="R590">
        <v>27.4</v>
      </c>
      <c r="S590">
        <v>6</v>
      </c>
      <c r="T590">
        <v>6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6</v>
      </c>
      <c r="AB590">
        <v>0</v>
      </c>
      <c r="AC590">
        <v>0</v>
      </c>
      <c r="AF590" t="s">
        <v>130</v>
      </c>
      <c r="AH590">
        <v>33.4</v>
      </c>
    </row>
    <row r="591" spans="1:34" x14ac:dyDescent="0.3">
      <c r="A591" s="4">
        <v>760</v>
      </c>
      <c r="B591" s="5">
        <v>584</v>
      </c>
      <c r="C591">
        <v>3835</v>
      </c>
      <c r="D591" t="s">
        <v>27803</v>
      </c>
      <c r="E591" t="s">
        <v>33</v>
      </c>
      <c r="F591" t="s">
        <v>27804</v>
      </c>
      <c r="G591" t="s">
        <v>27805</v>
      </c>
      <c r="H591">
        <v>18.329999999999998</v>
      </c>
      <c r="I591">
        <v>0</v>
      </c>
      <c r="J591">
        <v>0</v>
      </c>
      <c r="K591">
        <v>0</v>
      </c>
      <c r="N591">
        <v>3</v>
      </c>
      <c r="O591">
        <v>3</v>
      </c>
      <c r="P591">
        <v>4</v>
      </c>
      <c r="Q591">
        <v>2</v>
      </c>
      <c r="R591">
        <v>27.33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6</v>
      </c>
      <c r="AC591">
        <v>0</v>
      </c>
      <c r="AF591" t="s">
        <v>130</v>
      </c>
      <c r="AH591">
        <v>33.33</v>
      </c>
    </row>
    <row r="592" spans="1:34" x14ac:dyDescent="0.3">
      <c r="A592" s="4">
        <v>761</v>
      </c>
      <c r="B592" s="5">
        <v>585</v>
      </c>
      <c r="C592">
        <v>7776</v>
      </c>
      <c r="D592" t="s">
        <v>1822</v>
      </c>
      <c r="E592" t="s">
        <v>1576</v>
      </c>
      <c r="F592" t="s">
        <v>38</v>
      </c>
      <c r="G592" t="s">
        <v>27806</v>
      </c>
      <c r="H592">
        <v>18.18</v>
      </c>
      <c r="I592">
        <v>0</v>
      </c>
      <c r="J592">
        <v>0</v>
      </c>
      <c r="K592">
        <v>0</v>
      </c>
      <c r="O592">
        <v>0</v>
      </c>
      <c r="P592">
        <v>4</v>
      </c>
      <c r="Q592">
        <v>2</v>
      </c>
      <c r="R592">
        <v>24.18</v>
      </c>
      <c r="S592">
        <v>6</v>
      </c>
      <c r="T592">
        <v>6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6</v>
      </c>
      <c r="AB592">
        <v>3</v>
      </c>
      <c r="AC592">
        <v>0</v>
      </c>
      <c r="AF592" t="s">
        <v>130</v>
      </c>
      <c r="AH592">
        <v>33.18</v>
      </c>
    </row>
    <row r="593" spans="1:34" x14ac:dyDescent="0.3">
      <c r="A593" s="4">
        <v>762</v>
      </c>
      <c r="B593" s="5">
        <v>586</v>
      </c>
      <c r="C593">
        <v>13529</v>
      </c>
      <c r="D593" t="s">
        <v>27807</v>
      </c>
      <c r="E593" t="s">
        <v>4239</v>
      </c>
      <c r="F593" t="s">
        <v>346</v>
      </c>
      <c r="G593" t="s">
        <v>27808</v>
      </c>
      <c r="H593">
        <v>19.78</v>
      </c>
      <c r="I593">
        <v>0</v>
      </c>
      <c r="J593">
        <v>0</v>
      </c>
      <c r="K593">
        <v>0</v>
      </c>
      <c r="L593">
        <v>7</v>
      </c>
      <c r="O593">
        <v>7</v>
      </c>
      <c r="P593">
        <v>4</v>
      </c>
      <c r="Q593">
        <v>2</v>
      </c>
      <c r="R593">
        <v>32.78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F593" t="s">
        <v>130</v>
      </c>
      <c r="AH593">
        <v>32.78</v>
      </c>
    </row>
    <row r="594" spans="1:34" x14ac:dyDescent="0.3">
      <c r="A594" s="4">
        <v>763</v>
      </c>
      <c r="B594" s="5">
        <v>587</v>
      </c>
      <c r="C594">
        <v>8833</v>
      </c>
      <c r="D594" t="s">
        <v>14455</v>
      </c>
      <c r="E594" t="s">
        <v>372</v>
      </c>
      <c r="F594" t="s">
        <v>14</v>
      </c>
      <c r="G594" t="s">
        <v>27809</v>
      </c>
      <c r="H594">
        <v>17.68</v>
      </c>
      <c r="I594">
        <v>0</v>
      </c>
      <c r="J594">
        <v>0</v>
      </c>
      <c r="K594">
        <v>0</v>
      </c>
      <c r="O594">
        <v>0</v>
      </c>
      <c r="P594">
        <v>4</v>
      </c>
      <c r="Q594">
        <v>2</v>
      </c>
      <c r="R594">
        <v>23.68</v>
      </c>
      <c r="S594">
        <v>6</v>
      </c>
      <c r="T594">
        <v>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6</v>
      </c>
      <c r="AB594">
        <v>3</v>
      </c>
      <c r="AC594">
        <v>0</v>
      </c>
      <c r="AF594" t="s">
        <v>130</v>
      </c>
      <c r="AH594">
        <v>32.68</v>
      </c>
    </row>
    <row r="595" spans="1:34" x14ac:dyDescent="0.3">
      <c r="A595" s="4">
        <v>764</v>
      </c>
      <c r="B595" s="5">
        <v>588</v>
      </c>
      <c r="C595">
        <v>1964</v>
      </c>
      <c r="D595" t="s">
        <v>26378</v>
      </c>
      <c r="E595" t="s">
        <v>406</v>
      </c>
      <c r="F595" t="s">
        <v>20</v>
      </c>
      <c r="G595" t="s">
        <v>27810</v>
      </c>
      <c r="H595">
        <v>18.68</v>
      </c>
      <c r="I595">
        <v>7</v>
      </c>
      <c r="J595">
        <v>0</v>
      </c>
      <c r="K595">
        <v>0</v>
      </c>
      <c r="N595">
        <v>3</v>
      </c>
      <c r="O595">
        <v>3</v>
      </c>
      <c r="P595">
        <v>4</v>
      </c>
      <c r="Q595">
        <v>0</v>
      </c>
      <c r="R595">
        <v>32.68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F595" t="s">
        <v>130</v>
      </c>
      <c r="AH595">
        <v>32.68</v>
      </c>
    </row>
    <row r="596" spans="1:34" x14ac:dyDescent="0.3">
      <c r="A596" s="4">
        <v>765</v>
      </c>
      <c r="B596" s="5">
        <v>589</v>
      </c>
      <c r="C596">
        <v>8952</v>
      </c>
      <c r="D596" t="s">
        <v>2236</v>
      </c>
      <c r="E596" t="s">
        <v>837</v>
      </c>
      <c r="F596" t="s">
        <v>91</v>
      </c>
      <c r="G596" t="s">
        <v>27811</v>
      </c>
      <c r="H596">
        <v>19.55</v>
      </c>
      <c r="I596">
        <v>0</v>
      </c>
      <c r="J596">
        <v>0</v>
      </c>
      <c r="K596">
        <v>0</v>
      </c>
      <c r="N596">
        <v>3</v>
      </c>
      <c r="O596">
        <v>3</v>
      </c>
      <c r="P596">
        <v>4</v>
      </c>
      <c r="Q596">
        <v>0</v>
      </c>
      <c r="R596">
        <v>26.55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6</v>
      </c>
      <c r="AC596">
        <v>0</v>
      </c>
      <c r="AF596" t="s">
        <v>130</v>
      </c>
      <c r="AH596">
        <v>32.549999999999997</v>
      </c>
    </row>
    <row r="597" spans="1:34" x14ac:dyDescent="0.3">
      <c r="A597" s="4">
        <v>766</v>
      </c>
      <c r="B597" s="5">
        <v>590</v>
      </c>
      <c r="C597">
        <v>2654</v>
      </c>
      <c r="D597" t="s">
        <v>1419</v>
      </c>
      <c r="E597" t="s">
        <v>858</v>
      </c>
      <c r="F597" t="s">
        <v>81</v>
      </c>
      <c r="G597" t="s">
        <v>27812</v>
      </c>
      <c r="H597">
        <v>20.53</v>
      </c>
      <c r="I597">
        <v>7</v>
      </c>
      <c r="J597">
        <v>0</v>
      </c>
      <c r="K597">
        <v>0</v>
      </c>
      <c r="N597">
        <v>3</v>
      </c>
      <c r="O597">
        <v>3</v>
      </c>
      <c r="P597">
        <v>0</v>
      </c>
      <c r="Q597">
        <v>2</v>
      </c>
      <c r="R597">
        <v>32.53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F597" t="s">
        <v>130</v>
      </c>
      <c r="AH597">
        <v>32.53</v>
      </c>
    </row>
    <row r="598" spans="1:34" x14ac:dyDescent="0.3">
      <c r="A598" s="4">
        <v>767</v>
      </c>
      <c r="B598" s="5">
        <v>591</v>
      </c>
      <c r="C598">
        <v>11115</v>
      </c>
      <c r="D598" t="s">
        <v>27813</v>
      </c>
      <c r="E598" t="s">
        <v>81</v>
      </c>
      <c r="F598" t="s">
        <v>17</v>
      </c>
      <c r="G598" t="s">
        <v>27814</v>
      </c>
      <c r="H598">
        <v>17.5</v>
      </c>
      <c r="I598">
        <v>0</v>
      </c>
      <c r="J598">
        <v>0</v>
      </c>
      <c r="K598">
        <v>0</v>
      </c>
      <c r="N598">
        <v>3</v>
      </c>
      <c r="O598">
        <v>3</v>
      </c>
      <c r="P598">
        <v>4</v>
      </c>
      <c r="Q598">
        <v>2</v>
      </c>
      <c r="R598">
        <v>26.5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6</v>
      </c>
      <c r="AC598">
        <v>0</v>
      </c>
      <c r="AF598" t="s">
        <v>130</v>
      </c>
      <c r="AH598">
        <v>32.5</v>
      </c>
    </row>
    <row r="599" spans="1:34" x14ac:dyDescent="0.3">
      <c r="A599" s="4">
        <v>768</v>
      </c>
      <c r="B599" s="5">
        <v>592</v>
      </c>
      <c r="C599">
        <v>13306</v>
      </c>
      <c r="D599" t="s">
        <v>387</v>
      </c>
      <c r="E599" t="s">
        <v>29</v>
      </c>
      <c r="F599" t="s">
        <v>38</v>
      </c>
      <c r="G599" t="s">
        <v>27815</v>
      </c>
      <c r="H599">
        <v>19.5</v>
      </c>
      <c r="I599">
        <v>0</v>
      </c>
      <c r="J599">
        <v>0</v>
      </c>
      <c r="K599">
        <v>0</v>
      </c>
      <c r="L599">
        <v>7</v>
      </c>
      <c r="O599">
        <v>7</v>
      </c>
      <c r="P599">
        <v>4</v>
      </c>
      <c r="Q599">
        <v>2</v>
      </c>
      <c r="R599">
        <v>32.5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F599" t="s">
        <v>130</v>
      </c>
      <c r="AH599">
        <v>32.5</v>
      </c>
    </row>
    <row r="600" spans="1:34" x14ac:dyDescent="0.3">
      <c r="A600" s="4">
        <v>769</v>
      </c>
      <c r="B600" s="5">
        <v>593</v>
      </c>
      <c r="C600">
        <v>7681</v>
      </c>
      <c r="D600" t="s">
        <v>27816</v>
      </c>
      <c r="E600" t="s">
        <v>550</v>
      </c>
      <c r="F600" t="s">
        <v>2333</v>
      </c>
      <c r="G600" t="s">
        <v>27817</v>
      </c>
      <c r="H600">
        <v>19.38</v>
      </c>
      <c r="I600">
        <v>0</v>
      </c>
      <c r="J600">
        <v>0</v>
      </c>
      <c r="K600">
        <v>0</v>
      </c>
      <c r="L600">
        <v>7</v>
      </c>
      <c r="O600">
        <v>7</v>
      </c>
      <c r="P600">
        <v>4</v>
      </c>
      <c r="Q600">
        <v>2</v>
      </c>
      <c r="R600">
        <v>32.380000000000003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F600" t="s">
        <v>130</v>
      </c>
      <c r="AH600">
        <v>32.380000000000003</v>
      </c>
    </row>
    <row r="601" spans="1:34" x14ac:dyDescent="0.3">
      <c r="A601" s="4">
        <v>770</v>
      </c>
      <c r="B601" s="5">
        <v>594</v>
      </c>
      <c r="C601">
        <v>6127</v>
      </c>
      <c r="D601" t="s">
        <v>2453</v>
      </c>
      <c r="E601" t="s">
        <v>188</v>
      </c>
      <c r="F601" t="s">
        <v>124</v>
      </c>
      <c r="G601" t="s">
        <v>27818</v>
      </c>
      <c r="H601">
        <v>18.25</v>
      </c>
      <c r="I601">
        <v>0</v>
      </c>
      <c r="J601">
        <v>0</v>
      </c>
      <c r="K601">
        <v>0</v>
      </c>
      <c r="M601">
        <v>5</v>
      </c>
      <c r="O601">
        <v>5</v>
      </c>
      <c r="P601">
        <v>4</v>
      </c>
      <c r="Q601">
        <v>0</v>
      </c>
      <c r="R601">
        <v>27.25</v>
      </c>
      <c r="S601">
        <v>5</v>
      </c>
      <c r="T601">
        <v>5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5</v>
      </c>
      <c r="AB601">
        <v>0</v>
      </c>
      <c r="AC601">
        <v>0</v>
      </c>
      <c r="AF601" t="s">
        <v>130</v>
      </c>
      <c r="AH601">
        <v>32.25</v>
      </c>
    </row>
    <row r="602" spans="1:34" x14ac:dyDescent="0.3">
      <c r="A602" s="4">
        <v>771</v>
      </c>
      <c r="B602" s="5">
        <v>595</v>
      </c>
      <c r="C602">
        <v>4510</v>
      </c>
      <c r="D602" t="s">
        <v>27819</v>
      </c>
      <c r="E602" t="s">
        <v>869</v>
      </c>
      <c r="F602" t="s">
        <v>117</v>
      </c>
      <c r="G602" t="s">
        <v>27820</v>
      </c>
      <c r="H602">
        <v>16.13</v>
      </c>
      <c r="I602">
        <v>0</v>
      </c>
      <c r="J602">
        <v>0</v>
      </c>
      <c r="K602">
        <v>0</v>
      </c>
      <c r="L602">
        <v>7</v>
      </c>
      <c r="O602">
        <v>7</v>
      </c>
      <c r="P602">
        <v>4</v>
      </c>
      <c r="Q602">
        <v>2</v>
      </c>
      <c r="R602">
        <v>29.13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3</v>
      </c>
      <c r="AC602">
        <v>0</v>
      </c>
      <c r="AF602" t="s">
        <v>130</v>
      </c>
      <c r="AH602">
        <v>32.130000000000003</v>
      </c>
    </row>
    <row r="603" spans="1:34" x14ac:dyDescent="0.3">
      <c r="A603" s="4">
        <v>772</v>
      </c>
      <c r="B603" s="5">
        <v>596</v>
      </c>
      <c r="C603">
        <v>1221</v>
      </c>
      <c r="D603" t="s">
        <v>1746</v>
      </c>
      <c r="E603" t="s">
        <v>471</v>
      </c>
      <c r="F603" t="s">
        <v>20</v>
      </c>
      <c r="G603" t="s">
        <v>27821</v>
      </c>
      <c r="H603">
        <v>18.079999999999998</v>
      </c>
      <c r="I603">
        <v>0</v>
      </c>
      <c r="J603">
        <v>0</v>
      </c>
      <c r="K603">
        <v>0</v>
      </c>
      <c r="L603">
        <v>7</v>
      </c>
      <c r="N603">
        <v>3</v>
      </c>
      <c r="O603">
        <v>10</v>
      </c>
      <c r="P603">
        <v>4</v>
      </c>
      <c r="Q603">
        <v>0</v>
      </c>
      <c r="R603">
        <v>32.08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F603" t="s">
        <v>130</v>
      </c>
      <c r="AH603">
        <v>32.08</v>
      </c>
    </row>
    <row r="604" spans="1:34" x14ac:dyDescent="0.3">
      <c r="A604" s="4">
        <v>773</v>
      </c>
      <c r="B604" s="5">
        <v>597</v>
      </c>
      <c r="C604">
        <v>1733</v>
      </c>
      <c r="D604" t="s">
        <v>27822</v>
      </c>
      <c r="E604" t="s">
        <v>29</v>
      </c>
      <c r="F604" t="s">
        <v>17</v>
      </c>
      <c r="G604" t="s">
        <v>27823</v>
      </c>
      <c r="H604">
        <v>19.03</v>
      </c>
      <c r="I604">
        <v>0</v>
      </c>
      <c r="J604">
        <v>0</v>
      </c>
      <c r="K604">
        <v>0</v>
      </c>
      <c r="L604">
        <v>7</v>
      </c>
      <c r="O604">
        <v>7</v>
      </c>
      <c r="P604">
        <v>4</v>
      </c>
      <c r="Q604">
        <v>2</v>
      </c>
      <c r="R604">
        <v>32.03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 t="s">
        <v>130</v>
      </c>
      <c r="AF604" t="s">
        <v>130</v>
      </c>
      <c r="AH604">
        <v>32.03</v>
      </c>
    </row>
    <row r="605" spans="1:34" x14ac:dyDescent="0.3">
      <c r="A605" s="4">
        <v>774</v>
      </c>
      <c r="B605" s="5">
        <v>598</v>
      </c>
      <c r="C605">
        <v>3222</v>
      </c>
      <c r="D605" t="s">
        <v>2757</v>
      </c>
      <c r="E605" t="s">
        <v>454</v>
      </c>
      <c r="F605" t="s">
        <v>136</v>
      </c>
      <c r="G605" t="s">
        <v>27824</v>
      </c>
      <c r="H605">
        <v>16.8</v>
      </c>
      <c r="I605">
        <v>0</v>
      </c>
      <c r="J605">
        <v>0</v>
      </c>
      <c r="K605">
        <v>0</v>
      </c>
      <c r="N605">
        <v>6</v>
      </c>
      <c r="O605">
        <v>6</v>
      </c>
      <c r="P605">
        <v>4</v>
      </c>
      <c r="Q605">
        <v>2</v>
      </c>
      <c r="R605">
        <v>28.8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3</v>
      </c>
      <c r="AC605">
        <v>0</v>
      </c>
      <c r="AF605" t="s">
        <v>130</v>
      </c>
      <c r="AH605">
        <v>31.8</v>
      </c>
    </row>
    <row r="606" spans="1:34" x14ac:dyDescent="0.3">
      <c r="A606" s="4">
        <v>775</v>
      </c>
      <c r="B606" s="5">
        <v>599</v>
      </c>
      <c r="C606">
        <v>9015</v>
      </c>
      <c r="D606" t="s">
        <v>181</v>
      </c>
      <c r="E606" t="s">
        <v>648</v>
      </c>
      <c r="F606" t="s">
        <v>136</v>
      </c>
      <c r="G606" t="s">
        <v>27825</v>
      </c>
      <c r="H606">
        <v>17.75</v>
      </c>
      <c r="I606">
        <v>0</v>
      </c>
      <c r="J606">
        <v>0</v>
      </c>
      <c r="K606">
        <v>0</v>
      </c>
      <c r="M606">
        <v>5</v>
      </c>
      <c r="N606">
        <v>3</v>
      </c>
      <c r="O606">
        <v>8</v>
      </c>
      <c r="P606">
        <v>4</v>
      </c>
      <c r="Q606">
        <v>2</v>
      </c>
      <c r="R606">
        <v>31.75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F606" t="s">
        <v>130</v>
      </c>
      <c r="AH606">
        <v>31.75</v>
      </c>
    </row>
    <row r="607" spans="1:34" x14ac:dyDescent="0.3">
      <c r="A607" s="4">
        <v>776</v>
      </c>
      <c r="B607" s="5">
        <v>600</v>
      </c>
      <c r="C607">
        <v>6055</v>
      </c>
      <c r="D607" t="s">
        <v>27826</v>
      </c>
      <c r="E607" t="s">
        <v>54</v>
      </c>
      <c r="F607" t="s">
        <v>2442</v>
      </c>
      <c r="G607" t="s">
        <v>27827</v>
      </c>
      <c r="H607">
        <v>19.649999999999999</v>
      </c>
      <c r="I607">
        <v>0</v>
      </c>
      <c r="J607">
        <v>0</v>
      </c>
      <c r="K607">
        <v>0</v>
      </c>
      <c r="N607">
        <v>3</v>
      </c>
      <c r="O607">
        <v>3</v>
      </c>
      <c r="P607">
        <v>4</v>
      </c>
      <c r="Q607">
        <v>2</v>
      </c>
      <c r="R607">
        <v>28.65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3</v>
      </c>
      <c r="AC607">
        <v>0</v>
      </c>
      <c r="AF607" t="s">
        <v>130</v>
      </c>
      <c r="AH607">
        <v>31.65</v>
      </c>
    </row>
    <row r="608" spans="1:34" x14ac:dyDescent="0.3">
      <c r="A608" s="4">
        <v>777</v>
      </c>
      <c r="B608" s="5">
        <v>601</v>
      </c>
      <c r="C608">
        <v>7807</v>
      </c>
      <c r="D608" t="s">
        <v>27828</v>
      </c>
      <c r="E608" t="s">
        <v>550</v>
      </c>
      <c r="F608" t="s">
        <v>55</v>
      </c>
      <c r="G608" t="s">
        <v>27829</v>
      </c>
      <c r="H608">
        <v>18.63</v>
      </c>
      <c r="I608">
        <v>0</v>
      </c>
      <c r="J608">
        <v>0</v>
      </c>
      <c r="K608">
        <v>0</v>
      </c>
      <c r="N608">
        <v>3</v>
      </c>
      <c r="O608">
        <v>3</v>
      </c>
      <c r="P608">
        <v>4</v>
      </c>
      <c r="Q608">
        <v>0</v>
      </c>
      <c r="R608">
        <v>25.63</v>
      </c>
      <c r="S608">
        <v>3</v>
      </c>
      <c r="T608">
        <v>3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3</v>
      </c>
      <c r="AB608">
        <v>3</v>
      </c>
      <c r="AC608">
        <v>0</v>
      </c>
      <c r="AD608" t="s">
        <v>130</v>
      </c>
      <c r="AF608" t="s">
        <v>130</v>
      </c>
      <c r="AH608">
        <v>31.63</v>
      </c>
    </row>
    <row r="609" spans="1:34" x14ac:dyDescent="0.3">
      <c r="A609" s="4">
        <v>778</v>
      </c>
      <c r="B609" s="5">
        <v>602</v>
      </c>
      <c r="C609">
        <v>11261</v>
      </c>
      <c r="D609" t="s">
        <v>714</v>
      </c>
      <c r="E609" t="s">
        <v>88</v>
      </c>
      <c r="F609" t="s">
        <v>715</v>
      </c>
      <c r="G609" t="s">
        <v>716</v>
      </c>
      <c r="H609">
        <v>18.579999999999998</v>
      </c>
      <c r="I609">
        <v>0</v>
      </c>
      <c r="J609">
        <v>0</v>
      </c>
      <c r="K609">
        <v>0</v>
      </c>
      <c r="L609">
        <v>7</v>
      </c>
      <c r="O609">
        <v>7</v>
      </c>
      <c r="P609">
        <v>4</v>
      </c>
      <c r="Q609">
        <v>2</v>
      </c>
      <c r="R609">
        <v>31.58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F609" t="s">
        <v>130</v>
      </c>
      <c r="AH609">
        <v>31.58</v>
      </c>
    </row>
    <row r="610" spans="1:34" x14ac:dyDescent="0.3">
      <c r="A610" s="4">
        <v>779</v>
      </c>
      <c r="B610" s="5">
        <v>603</v>
      </c>
      <c r="C610">
        <v>14197</v>
      </c>
      <c r="D610" t="s">
        <v>27830</v>
      </c>
      <c r="E610" t="s">
        <v>26</v>
      </c>
      <c r="F610" t="s">
        <v>38</v>
      </c>
      <c r="G610" t="s">
        <v>27831</v>
      </c>
      <c r="H610">
        <v>18.13</v>
      </c>
      <c r="I610">
        <v>0</v>
      </c>
      <c r="J610">
        <v>0</v>
      </c>
      <c r="K610">
        <v>0</v>
      </c>
      <c r="N610">
        <v>3</v>
      </c>
      <c r="O610">
        <v>3</v>
      </c>
      <c r="P610">
        <v>4</v>
      </c>
      <c r="Q610">
        <v>0</v>
      </c>
      <c r="R610">
        <v>25.13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6</v>
      </c>
      <c r="AC610">
        <v>0</v>
      </c>
      <c r="AF610" t="s">
        <v>130</v>
      </c>
      <c r="AH610">
        <v>31.13</v>
      </c>
    </row>
    <row r="611" spans="1:34" x14ac:dyDescent="0.3">
      <c r="A611" s="4">
        <v>780</v>
      </c>
      <c r="B611" s="5">
        <v>604</v>
      </c>
      <c r="C611">
        <v>9111</v>
      </c>
      <c r="D611" t="s">
        <v>27832</v>
      </c>
      <c r="E611" t="s">
        <v>9325</v>
      </c>
      <c r="F611" t="s">
        <v>343</v>
      </c>
      <c r="G611" t="s">
        <v>27833</v>
      </c>
      <c r="H611">
        <v>18.05</v>
      </c>
      <c r="I611">
        <v>0</v>
      </c>
      <c r="J611">
        <v>0</v>
      </c>
      <c r="K611">
        <v>0</v>
      </c>
      <c r="L611">
        <v>7</v>
      </c>
      <c r="O611">
        <v>7</v>
      </c>
      <c r="P611">
        <v>4</v>
      </c>
      <c r="Q611">
        <v>2</v>
      </c>
      <c r="R611">
        <v>31.05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F611" t="s">
        <v>130</v>
      </c>
      <c r="AH611">
        <v>31.05</v>
      </c>
    </row>
    <row r="612" spans="1:34" x14ac:dyDescent="0.3">
      <c r="A612" s="4">
        <v>781</v>
      </c>
      <c r="B612" s="5">
        <v>605</v>
      </c>
      <c r="C612">
        <v>2164</v>
      </c>
      <c r="D612" t="s">
        <v>27834</v>
      </c>
      <c r="E612" t="s">
        <v>161</v>
      </c>
      <c r="F612" t="s">
        <v>117</v>
      </c>
      <c r="G612" t="s">
        <v>27835</v>
      </c>
      <c r="H612">
        <v>18.03</v>
      </c>
      <c r="I612">
        <v>0</v>
      </c>
      <c r="J612">
        <v>0</v>
      </c>
      <c r="K612">
        <v>0</v>
      </c>
      <c r="L612">
        <v>7</v>
      </c>
      <c r="O612">
        <v>7</v>
      </c>
      <c r="P612">
        <v>4</v>
      </c>
      <c r="Q612">
        <v>2</v>
      </c>
      <c r="R612">
        <v>31.03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F612" t="s">
        <v>130</v>
      </c>
      <c r="AH612">
        <v>31.03</v>
      </c>
    </row>
    <row r="613" spans="1:34" x14ac:dyDescent="0.3">
      <c r="A613" s="4">
        <v>782</v>
      </c>
      <c r="B613" s="5">
        <v>606</v>
      </c>
      <c r="C613">
        <v>2198</v>
      </c>
      <c r="D613" t="s">
        <v>27836</v>
      </c>
      <c r="E613" t="s">
        <v>27837</v>
      </c>
      <c r="F613" t="s">
        <v>158</v>
      </c>
      <c r="G613" t="s">
        <v>27838</v>
      </c>
      <c r="H613">
        <v>18</v>
      </c>
      <c r="I613">
        <v>0</v>
      </c>
      <c r="J613">
        <v>0</v>
      </c>
      <c r="K613">
        <v>0</v>
      </c>
      <c r="N613">
        <v>3</v>
      </c>
      <c r="O613">
        <v>3</v>
      </c>
      <c r="P613">
        <v>4</v>
      </c>
      <c r="Q613">
        <v>0</v>
      </c>
      <c r="R613">
        <v>25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6</v>
      </c>
      <c r="AC613">
        <v>0</v>
      </c>
      <c r="AF613" t="s">
        <v>130</v>
      </c>
      <c r="AH613">
        <v>31</v>
      </c>
    </row>
    <row r="614" spans="1:34" x14ac:dyDescent="0.3">
      <c r="A614" s="4">
        <v>783</v>
      </c>
      <c r="B614" s="5">
        <v>607</v>
      </c>
      <c r="C614">
        <v>1062</v>
      </c>
      <c r="D614" t="s">
        <v>27839</v>
      </c>
      <c r="E614" t="s">
        <v>54</v>
      </c>
      <c r="F614" t="s">
        <v>6108</v>
      </c>
      <c r="G614" t="s">
        <v>27840</v>
      </c>
      <c r="H614">
        <v>18</v>
      </c>
      <c r="I614">
        <v>0</v>
      </c>
      <c r="J614">
        <v>0</v>
      </c>
      <c r="K614">
        <v>0</v>
      </c>
      <c r="L614">
        <v>7</v>
      </c>
      <c r="O614">
        <v>7</v>
      </c>
      <c r="P614">
        <v>4</v>
      </c>
      <c r="Q614">
        <v>2</v>
      </c>
      <c r="R614">
        <v>31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F614" t="s">
        <v>130</v>
      </c>
      <c r="AH614">
        <v>31</v>
      </c>
    </row>
    <row r="615" spans="1:34" x14ac:dyDescent="0.3">
      <c r="A615" s="4">
        <v>784</v>
      </c>
      <c r="B615" s="5">
        <v>608</v>
      </c>
      <c r="C615">
        <v>3959</v>
      </c>
      <c r="D615" t="s">
        <v>3340</v>
      </c>
      <c r="E615" t="s">
        <v>33</v>
      </c>
      <c r="F615" t="s">
        <v>442</v>
      </c>
      <c r="G615" t="s">
        <v>27841</v>
      </c>
      <c r="H615">
        <v>15.98</v>
      </c>
      <c r="I615">
        <v>0</v>
      </c>
      <c r="J615">
        <v>0</v>
      </c>
      <c r="K615">
        <v>0</v>
      </c>
      <c r="N615">
        <v>3</v>
      </c>
      <c r="O615">
        <v>3</v>
      </c>
      <c r="P615">
        <v>4</v>
      </c>
      <c r="Q615">
        <v>2</v>
      </c>
      <c r="R615">
        <v>24.98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6</v>
      </c>
      <c r="AC615">
        <v>0</v>
      </c>
      <c r="AF615" t="s">
        <v>130</v>
      </c>
      <c r="AH615">
        <v>30.98</v>
      </c>
    </row>
    <row r="616" spans="1:34" x14ac:dyDescent="0.3">
      <c r="A616" s="4">
        <v>785</v>
      </c>
      <c r="B616" s="5">
        <v>609</v>
      </c>
      <c r="C616">
        <v>13466</v>
      </c>
      <c r="D616" t="s">
        <v>27842</v>
      </c>
      <c r="E616" t="s">
        <v>100</v>
      </c>
      <c r="F616" t="s">
        <v>23</v>
      </c>
      <c r="G616" t="s">
        <v>27843</v>
      </c>
      <c r="H616">
        <v>19.95</v>
      </c>
      <c r="I616">
        <v>0</v>
      </c>
      <c r="J616">
        <v>0</v>
      </c>
      <c r="K616">
        <v>0</v>
      </c>
      <c r="L616">
        <v>7</v>
      </c>
      <c r="O616">
        <v>7</v>
      </c>
      <c r="P616">
        <v>4</v>
      </c>
      <c r="Q616">
        <v>0</v>
      </c>
      <c r="R616">
        <v>30.95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F616" t="s">
        <v>130</v>
      </c>
      <c r="AH616">
        <v>30.95</v>
      </c>
    </row>
    <row r="617" spans="1:34" x14ac:dyDescent="0.3">
      <c r="A617" s="4">
        <v>786</v>
      </c>
      <c r="B617" s="5">
        <v>610</v>
      </c>
      <c r="C617">
        <v>2961</v>
      </c>
      <c r="D617" t="s">
        <v>8586</v>
      </c>
      <c r="E617" t="s">
        <v>143</v>
      </c>
      <c r="F617" t="s">
        <v>17</v>
      </c>
      <c r="G617" t="s">
        <v>27844</v>
      </c>
      <c r="H617">
        <v>17.93</v>
      </c>
      <c r="I617">
        <v>0</v>
      </c>
      <c r="J617">
        <v>0</v>
      </c>
      <c r="K617">
        <v>0</v>
      </c>
      <c r="L617">
        <v>7</v>
      </c>
      <c r="O617">
        <v>7</v>
      </c>
      <c r="P617">
        <v>4</v>
      </c>
      <c r="Q617">
        <v>2</v>
      </c>
      <c r="R617">
        <v>30.93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 t="s">
        <v>130</v>
      </c>
      <c r="AF617" t="s">
        <v>130</v>
      </c>
      <c r="AH617">
        <v>30.93</v>
      </c>
    </row>
    <row r="618" spans="1:34" x14ac:dyDescent="0.3">
      <c r="A618" s="4">
        <v>787</v>
      </c>
      <c r="B618" s="5">
        <v>611</v>
      </c>
      <c r="C618">
        <v>8155</v>
      </c>
      <c r="D618" t="s">
        <v>27845</v>
      </c>
      <c r="E618" t="s">
        <v>4695</v>
      </c>
      <c r="F618" t="s">
        <v>385</v>
      </c>
      <c r="G618" t="s">
        <v>27846</v>
      </c>
      <c r="H618">
        <v>18.48</v>
      </c>
      <c r="I618">
        <v>0</v>
      </c>
      <c r="J618">
        <v>0</v>
      </c>
      <c r="K618">
        <v>0</v>
      </c>
      <c r="O618">
        <v>0</v>
      </c>
      <c r="P618">
        <v>4</v>
      </c>
      <c r="Q618">
        <v>2</v>
      </c>
      <c r="R618">
        <v>24.48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6</v>
      </c>
      <c r="AC618">
        <v>0</v>
      </c>
      <c r="AD618" t="s">
        <v>130</v>
      </c>
      <c r="AF618" t="s">
        <v>130</v>
      </c>
      <c r="AH618">
        <v>30.48</v>
      </c>
    </row>
    <row r="619" spans="1:34" x14ac:dyDescent="0.3">
      <c r="A619" s="4">
        <v>788</v>
      </c>
      <c r="B619" s="5">
        <v>612</v>
      </c>
      <c r="C619">
        <v>6412</v>
      </c>
      <c r="D619" t="s">
        <v>27847</v>
      </c>
      <c r="E619" t="s">
        <v>1319</v>
      </c>
      <c r="F619" t="s">
        <v>17</v>
      </c>
      <c r="G619" t="s">
        <v>27848</v>
      </c>
      <c r="H619">
        <v>18.38</v>
      </c>
      <c r="I619">
        <v>0</v>
      </c>
      <c r="J619">
        <v>0</v>
      </c>
      <c r="K619">
        <v>0</v>
      </c>
      <c r="M619">
        <v>5</v>
      </c>
      <c r="N619">
        <v>3</v>
      </c>
      <c r="O619">
        <v>8</v>
      </c>
      <c r="P619">
        <v>4</v>
      </c>
      <c r="Q619">
        <v>0</v>
      </c>
      <c r="R619">
        <v>30.38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F619" t="s">
        <v>130</v>
      </c>
      <c r="AH619">
        <v>30.38</v>
      </c>
    </row>
    <row r="620" spans="1:34" x14ac:dyDescent="0.3">
      <c r="A620" s="4">
        <v>789</v>
      </c>
      <c r="B620" s="5">
        <v>613</v>
      </c>
      <c r="C620">
        <v>9244</v>
      </c>
      <c r="D620" t="s">
        <v>27849</v>
      </c>
      <c r="E620" t="s">
        <v>471</v>
      </c>
      <c r="F620" t="s">
        <v>136</v>
      </c>
      <c r="G620" t="s">
        <v>27850</v>
      </c>
      <c r="H620">
        <v>17.38</v>
      </c>
      <c r="I620">
        <v>0</v>
      </c>
      <c r="J620">
        <v>0</v>
      </c>
      <c r="K620">
        <v>0</v>
      </c>
      <c r="L620">
        <v>7</v>
      </c>
      <c r="O620">
        <v>7</v>
      </c>
      <c r="P620">
        <v>4</v>
      </c>
      <c r="Q620">
        <v>2</v>
      </c>
      <c r="R620">
        <v>30.38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F620" t="s">
        <v>130</v>
      </c>
      <c r="AH620">
        <v>30.38</v>
      </c>
    </row>
    <row r="621" spans="1:34" x14ac:dyDescent="0.3">
      <c r="A621" s="4">
        <v>790</v>
      </c>
      <c r="B621" s="5">
        <v>614</v>
      </c>
      <c r="C621">
        <v>1906</v>
      </c>
      <c r="D621" t="s">
        <v>27851</v>
      </c>
      <c r="E621" t="s">
        <v>1242</v>
      </c>
      <c r="F621" t="s">
        <v>34</v>
      </c>
      <c r="G621" t="s">
        <v>27852</v>
      </c>
      <c r="H621">
        <v>18.149999999999999</v>
      </c>
      <c r="I621">
        <v>0</v>
      </c>
      <c r="J621">
        <v>0</v>
      </c>
      <c r="K621">
        <v>0</v>
      </c>
      <c r="N621">
        <v>6</v>
      </c>
      <c r="O621">
        <v>6</v>
      </c>
      <c r="P621">
        <v>4</v>
      </c>
      <c r="Q621">
        <v>2</v>
      </c>
      <c r="R621">
        <v>30.15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F621" t="s">
        <v>130</v>
      </c>
      <c r="AH621">
        <v>30.15</v>
      </c>
    </row>
    <row r="622" spans="1:34" x14ac:dyDescent="0.3">
      <c r="A622" s="4">
        <v>791</v>
      </c>
      <c r="B622" s="5">
        <v>615</v>
      </c>
      <c r="C622">
        <v>11760</v>
      </c>
      <c r="D622" t="s">
        <v>7832</v>
      </c>
      <c r="E622" t="s">
        <v>132</v>
      </c>
      <c r="F622" t="s">
        <v>136</v>
      </c>
      <c r="G622" t="s">
        <v>27853</v>
      </c>
      <c r="H622">
        <v>17.03</v>
      </c>
      <c r="I622">
        <v>0</v>
      </c>
      <c r="J622">
        <v>0</v>
      </c>
      <c r="K622">
        <v>0</v>
      </c>
      <c r="N622">
        <v>3</v>
      </c>
      <c r="O622">
        <v>3</v>
      </c>
      <c r="P622">
        <v>4</v>
      </c>
      <c r="Q622">
        <v>0</v>
      </c>
      <c r="R622">
        <v>24.03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6</v>
      </c>
      <c r="AC622">
        <v>0</v>
      </c>
      <c r="AF622" t="s">
        <v>130</v>
      </c>
      <c r="AH622">
        <v>30.03</v>
      </c>
    </row>
    <row r="623" spans="1:34" x14ac:dyDescent="0.3">
      <c r="A623" s="4">
        <v>792</v>
      </c>
      <c r="B623" s="5">
        <v>616</v>
      </c>
      <c r="C623">
        <v>8008</v>
      </c>
      <c r="D623" t="s">
        <v>27854</v>
      </c>
      <c r="E623" t="s">
        <v>143</v>
      </c>
      <c r="F623" t="s">
        <v>91</v>
      </c>
      <c r="G623" t="s">
        <v>27855</v>
      </c>
      <c r="H623">
        <v>19.03</v>
      </c>
      <c r="I623">
        <v>0</v>
      </c>
      <c r="J623">
        <v>0</v>
      </c>
      <c r="K623">
        <v>0</v>
      </c>
      <c r="L623">
        <v>7</v>
      </c>
      <c r="O623">
        <v>7</v>
      </c>
      <c r="P623">
        <v>4</v>
      </c>
      <c r="Q623">
        <v>0</v>
      </c>
      <c r="R623">
        <v>30.03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F623" t="s">
        <v>130</v>
      </c>
      <c r="AH623">
        <v>30.03</v>
      </c>
    </row>
    <row r="624" spans="1:34" x14ac:dyDescent="0.3">
      <c r="A624" s="4">
        <v>793</v>
      </c>
      <c r="B624" s="5">
        <v>617</v>
      </c>
      <c r="C624">
        <v>6752</v>
      </c>
      <c r="D624" t="s">
        <v>27856</v>
      </c>
      <c r="E624" t="s">
        <v>33</v>
      </c>
      <c r="F624" t="s">
        <v>17</v>
      </c>
      <c r="G624" t="s">
        <v>27857</v>
      </c>
      <c r="H624">
        <v>16</v>
      </c>
      <c r="I624">
        <v>0</v>
      </c>
      <c r="J624">
        <v>0</v>
      </c>
      <c r="K624">
        <v>0</v>
      </c>
      <c r="L624">
        <v>7</v>
      </c>
      <c r="N624">
        <v>3</v>
      </c>
      <c r="O624">
        <v>10</v>
      </c>
      <c r="P624">
        <v>4</v>
      </c>
      <c r="Q624">
        <v>0</v>
      </c>
      <c r="R624">
        <v>30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F624" t="s">
        <v>130</v>
      </c>
      <c r="AH624">
        <v>30</v>
      </c>
    </row>
    <row r="625" spans="1:34" x14ac:dyDescent="0.3">
      <c r="A625" s="4">
        <v>794</v>
      </c>
      <c r="B625" s="5">
        <v>618</v>
      </c>
      <c r="C625">
        <v>10016</v>
      </c>
      <c r="D625" t="s">
        <v>27858</v>
      </c>
      <c r="E625" t="s">
        <v>100</v>
      </c>
      <c r="F625" t="s">
        <v>750</v>
      </c>
      <c r="G625" t="s">
        <v>27859</v>
      </c>
      <c r="H625">
        <v>16.95</v>
      </c>
      <c r="I625">
        <v>0</v>
      </c>
      <c r="J625">
        <v>0</v>
      </c>
      <c r="K625">
        <v>0</v>
      </c>
      <c r="L625">
        <v>7</v>
      </c>
      <c r="O625">
        <v>7</v>
      </c>
      <c r="P625">
        <v>4</v>
      </c>
      <c r="Q625">
        <v>2</v>
      </c>
      <c r="R625">
        <v>29.95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F625" t="s">
        <v>130</v>
      </c>
      <c r="AH625">
        <v>29.95</v>
      </c>
    </row>
    <row r="626" spans="1:34" x14ac:dyDescent="0.3">
      <c r="A626" s="4">
        <v>795</v>
      </c>
      <c r="B626" s="5">
        <v>619</v>
      </c>
      <c r="C626">
        <v>10721</v>
      </c>
      <c r="D626" t="s">
        <v>4771</v>
      </c>
      <c r="E626" t="s">
        <v>10013</v>
      </c>
      <c r="F626" t="s">
        <v>34</v>
      </c>
      <c r="G626" t="s">
        <v>27860</v>
      </c>
      <c r="H626">
        <v>16.88</v>
      </c>
      <c r="I626">
        <v>0</v>
      </c>
      <c r="J626">
        <v>0</v>
      </c>
      <c r="K626">
        <v>0</v>
      </c>
      <c r="N626">
        <v>3</v>
      </c>
      <c r="O626">
        <v>3</v>
      </c>
      <c r="P626">
        <v>4</v>
      </c>
      <c r="Q626">
        <v>0</v>
      </c>
      <c r="R626">
        <v>23.88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6</v>
      </c>
      <c r="AC626">
        <v>0</v>
      </c>
      <c r="AF626" t="s">
        <v>130</v>
      </c>
      <c r="AH626">
        <v>29.88</v>
      </c>
    </row>
    <row r="627" spans="1:34" x14ac:dyDescent="0.3">
      <c r="A627" s="4">
        <v>796</v>
      </c>
      <c r="B627" s="5">
        <v>620</v>
      </c>
      <c r="C627">
        <v>12559</v>
      </c>
      <c r="D627" t="s">
        <v>11306</v>
      </c>
      <c r="E627" t="s">
        <v>88</v>
      </c>
      <c r="F627" t="s">
        <v>892</v>
      </c>
      <c r="G627" t="s">
        <v>27861</v>
      </c>
      <c r="H627">
        <v>16.68</v>
      </c>
      <c r="I627">
        <v>0</v>
      </c>
      <c r="J627">
        <v>0</v>
      </c>
      <c r="K627">
        <v>0</v>
      </c>
      <c r="O627">
        <v>0</v>
      </c>
      <c r="P627">
        <v>4</v>
      </c>
      <c r="Q627">
        <v>0</v>
      </c>
      <c r="R627">
        <v>20.68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9</v>
      </c>
      <c r="AC627">
        <v>0</v>
      </c>
      <c r="AF627" t="s">
        <v>130</v>
      </c>
      <c r="AH627">
        <v>29.68</v>
      </c>
    </row>
    <row r="628" spans="1:34" x14ac:dyDescent="0.3">
      <c r="A628" s="4">
        <v>797</v>
      </c>
      <c r="B628" s="5">
        <v>621</v>
      </c>
      <c r="C628">
        <v>9467</v>
      </c>
      <c r="D628" t="s">
        <v>27406</v>
      </c>
      <c r="E628" t="s">
        <v>22</v>
      </c>
      <c r="F628" t="s">
        <v>136</v>
      </c>
      <c r="G628" t="s">
        <v>27862</v>
      </c>
      <c r="H628">
        <v>16.649999999999999</v>
      </c>
      <c r="I628">
        <v>0</v>
      </c>
      <c r="J628">
        <v>0</v>
      </c>
      <c r="K628">
        <v>0</v>
      </c>
      <c r="N628">
        <v>3</v>
      </c>
      <c r="O628">
        <v>3</v>
      </c>
      <c r="P628">
        <v>4</v>
      </c>
      <c r="Q628">
        <v>0</v>
      </c>
      <c r="R628">
        <v>23.65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6</v>
      </c>
      <c r="AC628">
        <v>0</v>
      </c>
      <c r="AF628" t="s">
        <v>130</v>
      </c>
      <c r="AH628">
        <v>29.65</v>
      </c>
    </row>
    <row r="629" spans="1:34" x14ac:dyDescent="0.3">
      <c r="A629" s="4">
        <v>798</v>
      </c>
      <c r="B629" s="5">
        <v>622</v>
      </c>
      <c r="C629">
        <v>11668</v>
      </c>
      <c r="D629" t="s">
        <v>14942</v>
      </c>
      <c r="E629" t="s">
        <v>100</v>
      </c>
      <c r="F629" t="s">
        <v>124</v>
      </c>
      <c r="G629" t="s">
        <v>27863</v>
      </c>
      <c r="H629">
        <v>16.55</v>
      </c>
      <c r="I629">
        <v>0</v>
      </c>
      <c r="J629">
        <v>0</v>
      </c>
      <c r="K629">
        <v>0</v>
      </c>
      <c r="L629">
        <v>7</v>
      </c>
      <c r="O629">
        <v>7</v>
      </c>
      <c r="P629">
        <v>4</v>
      </c>
      <c r="Q629">
        <v>2</v>
      </c>
      <c r="R629">
        <v>29.55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F629" t="s">
        <v>130</v>
      </c>
      <c r="AH629">
        <v>29.55</v>
      </c>
    </row>
    <row r="630" spans="1:34" x14ac:dyDescent="0.3">
      <c r="A630" s="4">
        <v>799</v>
      </c>
      <c r="B630" s="5">
        <v>623</v>
      </c>
      <c r="C630">
        <v>3454</v>
      </c>
      <c r="D630" t="s">
        <v>11592</v>
      </c>
      <c r="E630" t="s">
        <v>68</v>
      </c>
      <c r="F630" t="s">
        <v>38</v>
      </c>
      <c r="G630" t="s">
        <v>27864</v>
      </c>
      <c r="H630">
        <v>20.38</v>
      </c>
      <c r="I630">
        <v>0</v>
      </c>
      <c r="J630">
        <v>0</v>
      </c>
      <c r="K630">
        <v>0</v>
      </c>
      <c r="M630">
        <v>5</v>
      </c>
      <c r="O630">
        <v>5</v>
      </c>
      <c r="P630">
        <v>4</v>
      </c>
      <c r="Q630">
        <v>0</v>
      </c>
      <c r="R630">
        <v>29.38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F630" t="s">
        <v>130</v>
      </c>
      <c r="AH630">
        <v>29.38</v>
      </c>
    </row>
    <row r="631" spans="1:34" x14ac:dyDescent="0.3">
      <c r="A631" s="4">
        <v>800</v>
      </c>
      <c r="B631" s="5">
        <v>624</v>
      </c>
      <c r="C631">
        <v>12951</v>
      </c>
      <c r="D631" t="s">
        <v>27865</v>
      </c>
      <c r="E631" t="s">
        <v>22</v>
      </c>
      <c r="F631" t="s">
        <v>117</v>
      </c>
      <c r="G631" t="s">
        <v>27866</v>
      </c>
      <c r="H631">
        <v>16.3</v>
      </c>
      <c r="I631">
        <v>0</v>
      </c>
      <c r="J631">
        <v>0</v>
      </c>
      <c r="K631">
        <v>0</v>
      </c>
      <c r="L631">
        <v>7</v>
      </c>
      <c r="O631">
        <v>7</v>
      </c>
      <c r="P631">
        <v>4</v>
      </c>
      <c r="Q631">
        <v>2</v>
      </c>
      <c r="R631">
        <v>29.3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F631" t="s">
        <v>130</v>
      </c>
      <c r="AH631">
        <v>29.3</v>
      </c>
    </row>
    <row r="632" spans="1:34" x14ac:dyDescent="0.3">
      <c r="A632" s="4">
        <v>801</v>
      </c>
      <c r="B632" s="5">
        <v>625</v>
      </c>
      <c r="C632">
        <v>14601</v>
      </c>
      <c r="D632" t="s">
        <v>1876</v>
      </c>
      <c r="E632" t="s">
        <v>182</v>
      </c>
      <c r="F632" t="s">
        <v>1526</v>
      </c>
      <c r="G632" t="s">
        <v>27867</v>
      </c>
      <c r="H632">
        <v>18.25</v>
      </c>
      <c r="I632">
        <v>0</v>
      </c>
      <c r="J632">
        <v>0</v>
      </c>
      <c r="K632">
        <v>0</v>
      </c>
      <c r="L632">
        <v>7</v>
      </c>
      <c r="O632">
        <v>7</v>
      </c>
      <c r="P632">
        <v>4</v>
      </c>
      <c r="Q632">
        <v>0</v>
      </c>
      <c r="R632">
        <v>29.25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F632" t="s">
        <v>130</v>
      </c>
      <c r="AH632">
        <v>29.25</v>
      </c>
    </row>
    <row r="633" spans="1:34" x14ac:dyDescent="0.3">
      <c r="A633" s="4">
        <v>802</v>
      </c>
      <c r="B633" s="5">
        <v>626</v>
      </c>
      <c r="C633">
        <v>12445</v>
      </c>
      <c r="D633" t="s">
        <v>5160</v>
      </c>
      <c r="E633" t="s">
        <v>789</v>
      </c>
      <c r="F633" t="s">
        <v>27868</v>
      </c>
      <c r="G633" t="s">
        <v>27869</v>
      </c>
      <c r="H633">
        <v>18.23</v>
      </c>
      <c r="I633">
        <v>0</v>
      </c>
      <c r="J633">
        <v>0</v>
      </c>
      <c r="K633">
        <v>0</v>
      </c>
      <c r="L633">
        <v>7</v>
      </c>
      <c r="O633">
        <v>7</v>
      </c>
      <c r="P633">
        <v>4</v>
      </c>
      <c r="Q633">
        <v>0</v>
      </c>
      <c r="R633">
        <v>29.23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F633" t="s">
        <v>130</v>
      </c>
      <c r="AH633">
        <v>29.23</v>
      </c>
    </row>
    <row r="634" spans="1:34" x14ac:dyDescent="0.3">
      <c r="A634" s="4">
        <v>803</v>
      </c>
      <c r="B634" s="5">
        <v>627</v>
      </c>
      <c r="C634">
        <v>10860</v>
      </c>
      <c r="D634" t="s">
        <v>27870</v>
      </c>
      <c r="E634" t="s">
        <v>166</v>
      </c>
      <c r="F634" t="s">
        <v>136</v>
      </c>
      <c r="G634" t="s">
        <v>27871</v>
      </c>
      <c r="H634">
        <v>17.13</v>
      </c>
      <c r="I634">
        <v>0</v>
      </c>
      <c r="J634">
        <v>0</v>
      </c>
      <c r="K634">
        <v>0</v>
      </c>
      <c r="N634">
        <v>3</v>
      </c>
      <c r="O634">
        <v>3</v>
      </c>
      <c r="P634">
        <v>4</v>
      </c>
      <c r="Q634">
        <v>2</v>
      </c>
      <c r="R634">
        <v>26.13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3</v>
      </c>
      <c r="AC634">
        <v>0</v>
      </c>
      <c r="AD634" t="s">
        <v>130</v>
      </c>
      <c r="AF634" t="s">
        <v>130</v>
      </c>
      <c r="AH634">
        <v>29.13</v>
      </c>
    </row>
    <row r="635" spans="1:34" x14ac:dyDescent="0.3">
      <c r="A635" s="4">
        <v>804</v>
      </c>
      <c r="B635" s="5">
        <v>628</v>
      </c>
      <c r="C635">
        <v>1993</v>
      </c>
      <c r="D635" t="s">
        <v>3377</v>
      </c>
      <c r="E635" t="s">
        <v>149</v>
      </c>
      <c r="F635" t="s">
        <v>17</v>
      </c>
      <c r="G635" t="s">
        <v>27872</v>
      </c>
      <c r="H635">
        <v>17.100000000000001</v>
      </c>
      <c r="I635">
        <v>0</v>
      </c>
      <c r="J635">
        <v>0</v>
      </c>
      <c r="K635">
        <v>0</v>
      </c>
      <c r="N635">
        <v>3</v>
      </c>
      <c r="O635">
        <v>3</v>
      </c>
      <c r="P635">
        <v>4</v>
      </c>
      <c r="Q635">
        <v>2</v>
      </c>
      <c r="R635">
        <v>26.1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3</v>
      </c>
      <c r="AC635">
        <v>0</v>
      </c>
      <c r="AD635" t="s">
        <v>130</v>
      </c>
      <c r="AF635" t="s">
        <v>130</v>
      </c>
      <c r="AH635">
        <v>29.1</v>
      </c>
    </row>
    <row r="636" spans="1:34" x14ac:dyDescent="0.3">
      <c r="A636" s="4">
        <v>805</v>
      </c>
      <c r="B636" s="5">
        <v>629</v>
      </c>
      <c r="C636">
        <v>12956</v>
      </c>
      <c r="D636" t="s">
        <v>1337</v>
      </c>
      <c r="E636" t="s">
        <v>692</v>
      </c>
      <c r="F636" t="s">
        <v>91</v>
      </c>
      <c r="G636" t="s">
        <v>27873</v>
      </c>
      <c r="H636">
        <v>18.100000000000001</v>
      </c>
      <c r="I636">
        <v>0</v>
      </c>
      <c r="J636">
        <v>0</v>
      </c>
      <c r="K636">
        <v>0</v>
      </c>
      <c r="L636">
        <v>7</v>
      </c>
      <c r="O636">
        <v>7</v>
      </c>
      <c r="P636">
        <v>4</v>
      </c>
      <c r="Q636">
        <v>0</v>
      </c>
      <c r="R636">
        <v>29.1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F636" t="s">
        <v>130</v>
      </c>
      <c r="AH636">
        <v>29.1</v>
      </c>
    </row>
    <row r="637" spans="1:34" x14ac:dyDescent="0.3">
      <c r="A637" s="4">
        <v>806</v>
      </c>
      <c r="B637" s="5">
        <v>630</v>
      </c>
      <c r="C637">
        <v>3862</v>
      </c>
      <c r="D637" t="s">
        <v>27874</v>
      </c>
      <c r="E637" t="s">
        <v>132</v>
      </c>
      <c r="F637" t="s">
        <v>38</v>
      </c>
      <c r="G637" t="s">
        <v>27875</v>
      </c>
      <c r="H637">
        <v>20.079999999999998</v>
      </c>
      <c r="I637">
        <v>0</v>
      </c>
      <c r="J637">
        <v>0</v>
      </c>
      <c r="K637">
        <v>0</v>
      </c>
      <c r="O637">
        <v>0</v>
      </c>
      <c r="P637">
        <v>4</v>
      </c>
      <c r="Q637">
        <v>0</v>
      </c>
      <c r="R637">
        <v>24.08</v>
      </c>
      <c r="S637">
        <v>5</v>
      </c>
      <c r="T637">
        <v>5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5</v>
      </c>
      <c r="AB637">
        <v>0</v>
      </c>
      <c r="AC637">
        <v>0</v>
      </c>
      <c r="AF637" t="s">
        <v>130</v>
      </c>
      <c r="AH637">
        <v>29.08</v>
      </c>
    </row>
    <row r="638" spans="1:34" x14ac:dyDescent="0.3">
      <c r="A638" s="4">
        <v>807</v>
      </c>
      <c r="B638" s="5">
        <v>631</v>
      </c>
      <c r="C638">
        <v>3208</v>
      </c>
      <c r="D638" t="s">
        <v>27876</v>
      </c>
      <c r="E638" t="s">
        <v>335</v>
      </c>
      <c r="F638" t="s">
        <v>81</v>
      </c>
      <c r="G638" t="s">
        <v>27877</v>
      </c>
      <c r="H638">
        <v>19.93</v>
      </c>
      <c r="I638">
        <v>0</v>
      </c>
      <c r="J638">
        <v>0</v>
      </c>
      <c r="K638">
        <v>0</v>
      </c>
      <c r="N638">
        <v>3</v>
      </c>
      <c r="O638">
        <v>3</v>
      </c>
      <c r="P638">
        <v>4</v>
      </c>
      <c r="Q638">
        <v>2</v>
      </c>
      <c r="R638">
        <v>28.93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 t="s">
        <v>130</v>
      </c>
      <c r="AF638" t="s">
        <v>130</v>
      </c>
      <c r="AH638">
        <v>28.93</v>
      </c>
    </row>
    <row r="639" spans="1:34" x14ac:dyDescent="0.3">
      <c r="A639" s="4">
        <v>808</v>
      </c>
      <c r="B639" s="5">
        <v>632</v>
      </c>
      <c r="C639">
        <v>322</v>
      </c>
      <c r="D639" t="s">
        <v>27878</v>
      </c>
      <c r="E639" t="s">
        <v>41</v>
      </c>
      <c r="F639" t="s">
        <v>38</v>
      </c>
      <c r="G639" t="s">
        <v>27879</v>
      </c>
      <c r="H639">
        <v>21.7</v>
      </c>
      <c r="I639">
        <v>0</v>
      </c>
      <c r="J639">
        <v>0</v>
      </c>
      <c r="K639">
        <v>0</v>
      </c>
      <c r="N639">
        <v>3</v>
      </c>
      <c r="O639">
        <v>3</v>
      </c>
      <c r="P639">
        <v>4</v>
      </c>
      <c r="Q639">
        <v>0</v>
      </c>
      <c r="R639">
        <v>28.7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F639" t="s">
        <v>130</v>
      </c>
      <c r="AH639">
        <v>28.7</v>
      </c>
    </row>
    <row r="640" spans="1:34" x14ac:dyDescent="0.3">
      <c r="A640" s="4">
        <v>809</v>
      </c>
      <c r="B640" s="5">
        <v>633</v>
      </c>
      <c r="C640">
        <v>2399</v>
      </c>
      <c r="D640" t="s">
        <v>27880</v>
      </c>
      <c r="E640" t="s">
        <v>110</v>
      </c>
      <c r="F640" t="s">
        <v>832</v>
      </c>
      <c r="G640" t="s">
        <v>27881</v>
      </c>
      <c r="H640">
        <v>16.649999999999999</v>
      </c>
      <c r="I640">
        <v>0</v>
      </c>
      <c r="J640">
        <v>0</v>
      </c>
      <c r="K640">
        <v>0</v>
      </c>
      <c r="N640">
        <v>3</v>
      </c>
      <c r="O640">
        <v>3</v>
      </c>
      <c r="P640">
        <v>4</v>
      </c>
      <c r="Q640">
        <v>2</v>
      </c>
      <c r="R640">
        <v>25.65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3</v>
      </c>
      <c r="AC640">
        <v>0</v>
      </c>
      <c r="AF640" t="s">
        <v>130</v>
      </c>
      <c r="AH640">
        <v>28.65</v>
      </c>
    </row>
    <row r="641" spans="1:34" x14ac:dyDescent="0.3">
      <c r="A641" s="4">
        <v>810</v>
      </c>
      <c r="B641" s="5">
        <v>634</v>
      </c>
      <c r="C641">
        <v>9210</v>
      </c>
      <c r="D641" t="s">
        <v>498</v>
      </c>
      <c r="E641" t="s">
        <v>33</v>
      </c>
      <c r="F641" t="s">
        <v>20</v>
      </c>
      <c r="G641" t="s">
        <v>27882</v>
      </c>
      <c r="H641">
        <v>17.63</v>
      </c>
      <c r="I641">
        <v>0</v>
      </c>
      <c r="J641">
        <v>0</v>
      </c>
      <c r="K641">
        <v>0</v>
      </c>
      <c r="L641">
        <v>7</v>
      </c>
      <c r="O641">
        <v>7</v>
      </c>
      <c r="P641">
        <v>4</v>
      </c>
      <c r="Q641">
        <v>0</v>
      </c>
      <c r="R641">
        <v>28.63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 t="s">
        <v>130</v>
      </c>
      <c r="AF641" t="s">
        <v>130</v>
      </c>
      <c r="AH641">
        <v>28.63</v>
      </c>
    </row>
    <row r="642" spans="1:34" x14ac:dyDescent="0.3">
      <c r="A642" s="4">
        <v>811</v>
      </c>
      <c r="B642" s="5">
        <v>635</v>
      </c>
      <c r="C642">
        <v>4545</v>
      </c>
      <c r="D642" t="s">
        <v>13003</v>
      </c>
      <c r="E642" t="s">
        <v>33</v>
      </c>
      <c r="F642" t="s">
        <v>55</v>
      </c>
      <c r="G642" t="s">
        <v>27883</v>
      </c>
      <c r="H642">
        <v>17.63</v>
      </c>
      <c r="I642">
        <v>0</v>
      </c>
      <c r="J642">
        <v>0</v>
      </c>
      <c r="K642">
        <v>0</v>
      </c>
      <c r="L642">
        <v>7</v>
      </c>
      <c r="O642">
        <v>7</v>
      </c>
      <c r="P642">
        <v>4</v>
      </c>
      <c r="Q642">
        <v>0</v>
      </c>
      <c r="R642">
        <v>28.63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 t="s">
        <v>130</v>
      </c>
      <c r="AF642" t="s">
        <v>130</v>
      </c>
      <c r="AH642">
        <v>28.63</v>
      </c>
    </row>
    <row r="643" spans="1:34" x14ac:dyDescent="0.3">
      <c r="A643" s="4">
        <v>812</v>
      </c>
      <c r="B643" s="5">
        <v>636</v>
      </c>
      <c r="C643">
        <v>3251</v>
      </c>
      <c r="D643" t="s">
        <v>37</v>
      </c>
      <c r="E643" t="s">
        <v>27884</v>
      </c>
      <c r="F643" t="s">
        <v>17</v>
      </c>
      <c r="G643" t="s">
        <v>27885</v>
      </c>
      <c r="H643">
        <v>17.399999999999999</v>
      </c>
      <c r="I643">
        <v>0</v>
      </c>
      <c r="J643">
        <v>0</v>
      </c>
      <c r="K643">
        <v>0</v>
      </c>
      <c r="M643">
        <v>5</v>
      </c>
      <c r="O643">
        <v>5</v>
      </c>
      <c r="P643">
        <v>4</v>
      </c>
      <c r="Q643">
        <v>2</v>
      </c>
      <c r="R643">
        <v>28.4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F643" t="s">
        <v>130</v>
      </c>
      <c r="AH643">
        <v>28.4</v>
      </c>
    </row>
    <row r="644" spans="1:34" x14ac:dyDescent="0.3">
      <c r="A644" s="4">
        <v>813</v>
      </c>
      <c r="B644" s="5">
        <v>637</v>
      </c>
      <c r="C644">
        <v>11245</v>
      </c>
      <c r="D644" t="s">
        <v>27886</v>
      </c>
      <c r="E644" t="s">
        <v>29</v>
      </c>
      <c r="F644" t="s">
        <v>17</v>
      </c>
      <c r="G644" t="s">
        <v>27887</v>
      </c>
      <c r="H644">
        <v>18.38</v>
      </c>
      <c r="I644">
        <v>0</v>
      </c>
      <c r="J644">
        <v>0</v>
      </c>
      <c r="K644">
        <v>0</v>
      </c>
      <c r="O644">
        <v>0</v>
      </c>
      <c r="P644">
        <v>4</v>
      </c>
      <c r="Q644">
        <v>0</v>
      </c>
      <c r="R644">
        <v>22.38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6</v>
      </c>
      <c r="AC644">
        <v>0</v>
      </c>
      <c r="AF644" t="s">
        <v>130</v>
      </c>
      <c r="AH644">
        <v>28.38</v>
      </c>
    </row>
    <row r="645" spans="1:34" x14ac:dyDescent="0.3">
      <c r="A645" s="4">
        <v>814</v>
      </c>
      <c r="B645" s="5">
        <v>638</v>
      </c>
      <c r="C645">
        <v>4523</v>
      </c>
      <c r="D645" t="s">
        <v>27888</v>
      </c>
      <c r="E645" t="s">
        <v>342</v>
      </c>
      <c r="F645" t="s">
        <v>2598</v>
      </c>
      <c r="G645" t="s">
        <v>27889</v>
      </c>
      <c r="H645">
        <v>19.23</v>
      </c>
      <c r="I645">
        <v>0</v>
      </c>
      <c r="J645">
        <v>0</v>
      </c>
      <c r="K645">
        <v>0</v>
      </c>
      <c r="N645">
        <v>3</v>
      </c>
      <c r="O645">
        <v>3</v>
      </c>
      <c r="P645">
        <v>4</v>
      </c>
      <c r="Q645">
        <v>2</v>
      </c>
      <c r="R645">
        <v>28.23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 t="s">
        <v>130</v>
      </c>
      <c r="AF645" t="s">
        <v>130</v>
      </c>
      <c r="AH645">
        <v>28.23</v>
      </c>
    </row>
    <row r="646" spans="1:34" x14ac:dyDescent="0.3">
      <c r="A646" s="4">
        <v>815</v>
      </c>
      <c r="B646" s="5">
        <v>639</v>
      </c>
      <c r="C646">
        <v>7001</v>
      </c>
      <c r="D646" t="s">
        <v>1859</v>
      </c>
      <c r="E646" t="s">
        <v>166</v>
      </c>
      <c r="F646" t="s">
        <v>27890</v>
      </c>
      <c r="G646" t="s">
        <v>27891</v>
      </c>
      <c r="H646">
        <v>17.13</v>
      </c>
      <c r="I646">
        <v>0</v>
      </c>
      <c r="J646">
        <v>0</v>
      </c>
      <c r="K646">
        <v>0</v>
      </c>
      <c r="L646">
        <v>7</v>
      </c>
      <c r="O646">
        <v>7</v>
      </c>
      <c r="P646">
        <v>4</v>
      </c>
      <c r="Q646">
        <v>0</v>
      </c>
      <c r="R646">
        <v>28.13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 t="s">
        <v>130</v>
      </c>
      <c r="AF646" t="s">
        <v>130</v>
      </c>
      <c r="AH646">
        <v>28.13</v>
      </c>
    </row>
    <row r="647" spans="1:34" x14ac:dyDescent="0.3">
      <c r="A647" s="4">
        <v>816</v>
      </c>
      <c r="B647" s="5">
        <v>640</v>
      </c>
      <c r="C647">
        <v>15290</v>
      </c>
      <c r="D647" t="s">
        <v>12090</v>
      </c>
      <c r="E647" t="s">
        <v>1694</v>
      </c>
      <c r="F647" t="s">
        <v>381</v>
      </c>
      <c r="G647" t="s">
        <v>27892</v>
      </c>
      <c r="H647">
        <v>17.05</v>
      </c>
      <c r="I647">
        <v>0</v>
      </c>
      <c r="J647">
        <v>0</v>
      </c>
      <c r="K647">
        <v>0</v>
      </c>
      <c r="L647">
        <v>7</v>
      </c>
      <c r="O647">
        <v>7</v>
      </c>
      <c r="P647">
        <v>4</v>
      </c>
      <c r="Q647">
        <v>0</v>
      </c>
      <c r="R647">
        <v>28.05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F647" t="s">
        <v>130</v>
      </c>
      <c r="AH647">
        <v>28.05</v>
      </c>
    </row>
    <row r="648" spans="1:34" x14ac:dyDescent="0.3">
      <c r="A648" s="4">
        <v>817</v>
      </c>
      <c r="B648" s="5">
        <v>641</v>
      </c>
      <c r="C648">
        <v>5257</v>
      </c>
      <c r="D648" t="s">
        <v>405</v>
      </c>
      <c r="E648" t="s">
        <v>54</v>
      </c>
      <c r="F648" t="s">
        <v>68</v>
      </c>
      <c r="G648" t="s">
        <v>8040</v>
      </c>
      <c r="H648">
        <v>18</v>
      </c>
      <c r="I648">
        <v>0</v>
      </c>
      <c r="J648">
        <v>0</v>
      </c>
      <c r="K648">
        <v>0</v>
      </c>
      <c r="N648">
        <v>3</v>
      </c>
      <c r="O648">
        <v>3</v>
      </c>
      <c r="P648">
        <v>4</v>
      </c>
      <c r="Q648">
        <v>0</v>
      </c>
      <c r="R648">
        <v>25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3</v>
      </c>
      <c r="AC648">
        <v>0</v>
      </c>
      <c r="AF648" t="s">
        <v>130</v>
      </c>
      <c r="AH648">
        <v>28</v>
      </c>
    </row>
    <row r="649" spans="1:34" x14ac:dyDescent="0.3">
      <c r="A649" s="4">
        <v>818</v>
      </c>
      <c r="B649" s="5">
        <v>642</v>
      </c>
      <c r="C649">
        <v>12025</v>
      </c>
      <c r="D649" t="s">
        <v>27893</v>
      </c>
      <c r="E649" t="s">
        <v>88</v>
      </c>
      <c r="F649" t="s">
        <v>20</v>
      </c>
      <c r="G649" t="s">
        <v>27894</v>
      </c>
      <c r="H649">
        <v>17.93</v>
      </c>
      <c r="I649">
        <v>0</v>
      </c>
      <c r="J649">
        <v>0</v>
      </c>
      <c r="K649">
        <v>0</v>
      </c>
      <c r="N649">
        <v>3</v>
      </c>
      <c r="O649">
        <v>3</v>
      </c>
      <c r="P649">
        <v>4</v>
      </c>
      <c r="Q649">
        <v>0</v>
      </c>
      <c r="R649">
        <v>24.93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3</v>
      </c>
      <c r="AC649">
        <v>0</v>
      </c>
      <c r="AF649" t="s">
        <v>130</v>
      </c>
      <c r="AH649">
        <v>27.93</v>
      </c>
    </row>
    <row r="650" spans="1:34" x14ac:dyDescent="0.3">
      <c r="A650" s="4">
        <v>819</v>
      </c>
      <c r="B650" s="5">
        <v>643</v>
      </c>
      <c r="C650">
        <v>2852</v>
      </c>
      <c r="D650" t="s">
        <v>27895</v>
      </c>
      <c r="E650" t="s">
        <v>10969</v>
      </c>
      <c r="F650" t="s">
        <v>81</v>
      </c>
      <c r="G650" t="s">
        <v>27896</v>
      </c>
      <c r="H650">
        <v>18.899999999999999</v>
      </c>
      <c r="I650">
        <v>0</v>
      </c>
      <c r="J650">
        <v>0</v>
      </c>
      <c r="K650">
        <v>0</v>
      </c>
      <c r="N650">
        <v>3</v>
      </c>
      <c r="O650">
        <v>3</v>
      </c>
      <c r="P650">
        <v>4</v>
      </c>
      <c r="Q650">
        <v>2</v>
      </c>
      <c r="R650">
        <v>27.9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F650" t="s">
        <v>130</v>
      </c>
      <c r="AH650">
        <v>27.9</v>
      </c>
    </row>
    <row r="651" spans="1:34" x14ac:dyDescent="0.3">
      <c r="A651" s="4">
        <v>820</v>
      </c>
      <c r="B651" s="5">
        <v>644</v>
      </c>
      <c r="C651">
        <v>4174</v>
      </c>
      <c r="D651" t="s">
        <v>27897</v>
      </c>
      <c r="E651" t="s">
        <v>147</v>
      </c>
      <c r="F651" t="s">
        <v>27898</v>
      </c>
      <c r="G651" t="s">
        <v>27899</v>
      </c>
      <c r="H651">
        <v>18.88</v>
      </c>
      <c r="I651">
        <v>0</v>
      </c>
      <c r="J651">
        <v>0</v>
      </c>
      <c r="K651">
        <v>0</v>
      </c>
      <c r="O651">
        <v>0</v>
      </c>
      <c r="P651">
        <v>4</v>
      </c>
      <c r="Q651">
        <v>2</v>
      </c>
      <c r="R651">
        <v>24.88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3</v>
      </c>
      <c r="AC651">
        <v>0</v>
      </c>
      <c r="AF651" t="s">
        <v>130</v>
      </c>
      <c r="AH651">
        <v>27.88</v>
      </c>
    </row>
    <row r="652" spans="1:34" x14ac:dyDescent="0.3">
      <c r="A652" s="4">
        <v>821</v>
      </c>
      <c r="B652" s="5">
        <v>645</v>
      </c>
      <c r="C652">
        <v>2982</v>
      </c>
      <c r="D652" t="s">
        <v>27900</v>
      </c>
      <c r="E652" t="s">
        <v>88</v>
      </c>
      <c r="F652" t="s">
        <v>136</v>
      </c>
      <c r="G652" t="s">
        <v>27901</v>
      </c>
      <c r="H652">
        <v>18.78</v>
      </c>
      <c r="I652">
        <v>0</v>
      </c>
      <c r="J652">
        <v>0</v>
      </c>
      <c r="K652">
        <v>0</v>
      </c>
      <c r="N652">
        <v>3</v>
      </c>
      <c r="O652">
        <v>3</v>
      </c>
      <c r="P652">
        <v>4</v>
      </c>
      <c r="Q652">
        <v>2</v>
      </c>
      <c r="R652">
        <v>27.78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 t="s">
        <v>130</v>
      </c>
      <c r="AF652" t="s">
        <v>130</v>
      </c>
      <c r="AH652">
        <v>27.78</v>
      </c>
    </row>
    <row r="653" spans="1:34" x14ac:dyDescent="0.3">
      <c r="A653" s="4">
        <v>822</v>
      </c>
      <c r="B653" s="5">
        <v>646</v>
      </c>
      <c r="C653">
        <v>5894</v>
      </c>
      <c r="D653" t="s">
        <v>27902</v>
      </c>
      <c r="E653" t="s">
        <v>26</v>
      </c>
      <c r="F653" t="s">
        <v>14</v>
      </c>
      <c r="G653" t="s">
        <v>27903</v>
      </c>
      <c r="H653">
        <v>18.68</v>
      </c>
      <c r="I653">
        <v>0</v>
      </c>
      <c r="J653">
        <v>0</v>
      </c>
      <c r="K653">
        <v>0</v>
      </c>
      <c r="N653">
        <v>3</v>
      </c>
      <c r="O653">
        <v>3</v>
      </c>
      <c r="P653">
        <v>4</v>
      </c>
      <c r="Q653">
        <v>2</v>
      </c>
      <c r="R653">
        <v>27.68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F653" t="s">
        <v>130</v>
      </c>
      <c r="AH653">
        <v>27.68</v>
      </c>
    </row>
    <row r="654" spans="1:34" x14ac:dyDescent="0.3">
      <c r="A654" s="4">
        <v>823</v>
      </c>
      <c r="B654" s="5">
        <v>647</v>
      </c>
      <c r="C654">
        <v>14991</v>
      </c>
      <c r="D654" t="s">
        <v>27904</v>
      </c>
      <c r="E654" t="s">
        <v>41</v>
      </c>
      <c r="F654" t="s">
        <v>91</v>
      </c>
      <c r="G654" t="s">
        <v>27905</v>
      </c>
      <c r="H654">
        <v>20.5</v>
      </c>
      <c r="I654">
        <v>0</v>
      </c>
      <c r="J654">
        <v>0</v>
      </c>
      <c r="K654">
        <v>0</v>
      </c>
      <c r="L654">
        <v>7</v>
      </c>
      <c r="O654">
        <v>7</v>
      </c>
      <c r="P654">
        <v>0</v>
      </c>
      <c r="Q654">
        <v>0</v>
      </c>
      <c r="R654">
        <v>27.5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F654" t="s">
        <v>130</v>
      </c>
      <c r="AH654">
        <v>27.5</v>
      </c>
    </row>
    <row r="655" spans="1:34" x14ac:dyDescent="0.3">
      <c r="A655" s="4">
        <v>824</v>
      </c>
      <c r="B655" s="5">
        <v>648</v>
      </c>
      <c r="C655">
        <v>11938</v>
      </c>
      <c r="D655" t="s">
        <v>27906</v>
      </c>
      <c r="E655" t="s">
        <v>100</v>
      </c>
      <c r="F655" t="s">
        <v>5300</v>
      </c>
      <c r="G655" t="s">
        <v>27907</v>
      </c>
      <c r="H655">
        <v>18.48</v>
      </c>
      <c r="I655">
        <v>0</v>
      </c>
      <c r="J655">
        <v>0</v>
      </c>
      <c r="K655">
        <v>0</v>
      </c>
      <c r="N655">
        <v>3</v>
      </c>
      <c r="O655">
        <v>3</v>
      </c>
      <c r="P655">
        <v>4</v>
      </c>
      <c r="Q655">
        <v>2</v>
      </c>
      <c r="R655">
        <v>27.48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F655" t="s">
        <v>130</v>
      </c>
      <c r="AH655">
        <v>27.48</v>
      </c>
    </row>
    <row r="656" spans="1:34" x14ac:dyDescent="0.3">
      <c r="A656" s="4">
        <v>825</v>
      </c>
      <c r="B656" s="5">
        <v>649</v>
      </c>
      <c r="C656">
        <v>13656</v>
      </c>
      <c r="D656" t="s">
        <v>7664</v>
      </c>
      <c r="E656" t="s">
        <v>100</v>
      </c>
      <c r="F656" t="s">
        <v>81</v>
      </c>
      <c r="G656" t="s">
        <v>27908</v>
      </c>
      <c r="H656">
        <v>17.45</v>
      </c>
      <c r="I656">
        <v>0</v>
      </c>
      <c r="J656">
        <v>0</v>
      </c>
      <c r="K656">
        <v>0</v>
      </c>
      <c r="O656">
        <v>0</v>
      </c>
      <c r="P656">
        <v>4</v>
      </c>
      <c r="Q656">
        <v>0</v>
      </c>
      <c r="R656">
        <v>21.45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6</v>
      </c>
      <c r="AC656">
        <v>0</v>
      </c>
      <c r="AF656" t="s">
        <v>130</v>
      </c>
      <c r="AH656">
        <v>27.45</v>
      </c>
    </row>
    <row r="657" spans="1:34" x14ac:dyDescent="0.3">
      <c r="A657" s="4">
        <v>826</v>
      </c>
      <c r="B657" s="5">
        <v>650</v>
      </c>
      <c r="C657">
        <v>9627</v>
      </c>
      <c r="D657" t="s">
        <v>17961</v>
      </c>
      <c r="E657" t="s">
        <v>54</v>
      </c>
      <c r="F657" t="s">
        <v>9547</v>
      </c>
      <c r="G657" t="s">
        <v>27909</v>
      </c>
      <c r="H657">
        <v>20.329999999999998</v>
      </c>
      <c r="I657">
        <v>0</v>
      </c>
      <c r="J657">
        <v>0</v>
      </c>
      <c r="K657">
        <v>0</v>
      </c>
      <c r="N657">
        <v>3</v>
      </c>
      <c r="O657">
        <v>3</v>
      </c>
      <c r="P657">
        <v>4</v>
      </c>
      <c r="Q657">
        <v>0</v>
      </c>
      <c r="R657">
        <v>27.33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F657" t="s">
        <v>130</v>
      </c>
      <c r="AH657">
        <v>27.33</v>
      </c>
    </row>
    <row r="658" spans="1:34" x14ac:dyDescent="0.3">
      <c r="A658" s="4">
        <v>827</v>
      </c>
      <c r="B658" s="5">
        <v>651</v>
      </c>
      <c r="C658">
        <v>13451</v>
      </c>
      <c r="D658" t="s">
        <v>27910</v>
      </c>
      <c r="E658" t="s">
        <v>29</v>
      </c>
      <c r="F658" t="s">
        <v>81</v>
      </c>
      <c r="G658" t="s">
        <v>27911</v>
      </c>
      <c r="H658">
        <v>18.28</v>
      </c>
      <c r="I658">
        <v>0</v>
      </c>
      <c r="J658">
        <v>0</v>
      </c>
      <c r="K658">
        <v>0</v>
      </c>
      <c r="N658">
        <v>3</v>
      </c>
      <c r="O658">
        <v>3</v>
      </c>
      <c r="P658">
        <v>4</v>
      </c>
      <c r="Q658">
        <v>2</v>
      </c>
      <c r="R658">
        <v>27.28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 t="s">
        <v>130</v>
      </c>
      <c r="AF658" t="s">
        <v>130</v>
      </c>
      <c r="AH658">
        <v>27.28</v>
      </c>
    </row>
    <row r="659" spans="1:34" x14ac:dyDescent="0.3">
      <c r="A659" s="4">
        <v>828</v>
      </c>
      <c r="B659" s="5">
        <v>652</v>
      </c>
      <c r="C659">
        <v>12680</v>
      </c>
      <c r="D659" t="s">
        <v>27912</v>
      </c>
      <c r="E659" t="s">
        <v>88</v>
      </c>
      <c r="F659" t="s">
        <v>136</v>
      </c>
      <c r="G659" t="s">
        <v>27913</v>
      </c>
      <c r="H659">
        <v>17.25</v>
      </c>
      <c r="I659">
        <v>0</v>
      </c>
      <c r="J659">
        <v>0</v>
      </c>
      <c r="K659">
        <v>0</v>
      </c>
      <c r="O659">
        <v>0</v>
      </c>
      <c r="P659">
        <v>4</v>
      </c>
      <c r="Q659">
        <v>0</v>
      </c>
      <c r="R659">
        <v>21.25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6</v>
      </c>
      <c r="AC659">
        <v>0</v>
      </c>
      <c r="AF659" t="s">
        <v>130</v>
      </c>
      <c r="AH659">
        <v>27.25</v>
      </c>
    </row>
    <row r="660" spans="1:34" x14ac:dyDescent="0.3">
      <c r="A660" s="4">
        <v>829</v>
      </c>
      <c r="B660" s="5">
        <v>653</v>
      </c>
      <c r="C660">
        <v>2946</v>
      </c>
      <c r="D660" t="s">
        <v>27914</v>
      </c>
      <c r="E660" t="s">
        <v>29</v>
      </c>
      <c r="F660" t="s">
        <v>30</v>
      </c>
      <c r="G660" t="s">
        <v>27915</v>
      </c>
      <c r="H660">
        <v>18.18</v>
      </c>
      <c r="I660">
        <v>0</v>
      </c>
      <c r="J660">
        <v>0</v>
      </c>
      <c r="K660">
        <v>0</v>
      </c>
      <c r="N660">
        <v>3</v>
      </c>
      <c r="O660">
        <v>3</v>
      </c>
      <c r="P660">
        <v>4</v>
      </c>
      <c r="Q660">
        <v>2</v>
      </c>
      <c r="R660">
        <v>27.18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F660" t="s">
        <v>130</v>
      </c>
      <c r="AH660">
        <v>27.18</v>
      </c>
    </row>
    <row r="661" spans="1:34" x14ac:dyDescent="0.3">
      <c r="A661" s="4">
        <v>830</v>
      </c>
      <c r="B661" s="5">
        <v>654</v>
      </c>
      <c r="C661">
        <v>9365</v>
      </c>
      <c r="D661" t="s">
        <v>27916</v>
      </c>
      <c r="E661" t="s">
        <v>1053</v>
      </c>
      <c r="F661" t="s">
        <v>17</v>
      </c>
      <c r="G661" t="s">
        <v>27917</v>
      </c>
      <c r="H661">
        <v>18.100000000000001</v>
      </c>
      <c r="I661">
        <v>0</v>
      </c>
      <c r="J661">
        <v>0</v>
      </c>
      <c r="K661">
        <v>0</v>
      </c>
      <c r="N661">
        <v>3</v>
      </c>
      <c r="O661">
        <v>3</v>
      </c>
      <c r="P661">
        <v>4</v>
      </c>
      <c r="Q661">
        <v>2</v>
      </c>
      <c r="R661">
        <v>27.1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F661" t="s">
        <v>130</v>
      </c>
      <c r="AH661">
        <v>27.1</v>
      </c>
    </row>
    <row r="662" spans="1:34" x14ac:dyDescent="0.3">
      <c r="A662" s="4">
        <v>831</v>
      </c>
      <c r="B662" s="5">
        <v>655</v>
      </c>
      <c r="C662">
        <v>5383</v>
      </c>
      <c r="D662" t="s">
        <v>6432</v>
      </c>
      <c r="E662" t="s">
        <v>27918</v>
      </c>
      <c r="F662" t="s">
        <v>81</v>
      </c>
      <c r="G662" t="s">
        <v>27919</v>
      </c>
      <c r="H662">
        <v>17.8</v>
      </c>
      <c r="I662">
        <v>0</v>
      </c>
      <c r="J662">
        <v>0</v>
      </c>
      <c r="K662">
        <v>0</v>
      </c>
      <c r="N662">
        <v>3</v>
      </c>
      <c r="O662">
        <v>3</v>
      </c>
      <c r="P662">
        <v>4</v>
      </c>
      <c r="Q662">
        <v>2</v>
      </c>
      <c r="R662">
        <v>26.8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F662" t="s">
        <v>130</v>
      </c>
      <c r="AH662">
        <v>26.8</v>
      </c>
    </row>
    <row r="663" spans="1:34" x14ac:dyDescent="0.3">
      <c r="A663" s="4">
        <v>832</v>
      </c>
      <c r="B663" s="5">
        <v>656</v>
      </c>
      <c r="C663">
        <v>2564</v>
      </c>
      <c r="D663" t="s">
        <v>1133</v>
      </c>
      <c r="E663" t="s">
        <v>29</v>
      </c>
      <c r="F663" t="s">
        <v>17</v>
      </c>
      <c r="G663" t="s">
        <v>27920</v>
      </c>
      <c r="H663">
        <v>17.5</v>
      </c>
      <c r="I663">
        <v>0</v>
      </c>
      <c r="J663">
        <v>0</v>
      </c>
      <c r="K663">
        <v>0</v>
      </c>
      <c r="N663">
        <v>3</v>
      </c>
      <c r="O663">
        <v>3</v>
      </c>
      <c r="P663">
        <v>4</v>
      </c>
      <c r="Q663">
        <v>2</v>
      </c>
      <c r="R663">
        <v>26.5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F663" t="s">
        <v>130</v>
      </c>
      <c r="AH663">
        <v>26.5</v>
      </c>
    </row>
    <row r="664" spans="1:34" x14ac:dyDescent="0.3">
      <c r="A664" s="4">
        <v>833</v>
      </c>
      <c r="B664" s="5">
        <v>657</v>
      </c>
      <c r="C664">
        <v>6488</v>
      </c>
      <c r="D664" t="s">
        <v>577</v>
      </c>
      <c r="E664" t="s">
        <v>27921</v>
      </c>
      <c r="F664" t="s">
        <v>17</v>
      </c>
      <c r="G664" t="s">
        <v>27922</v>
      </c>
      <c r="H664">
        <v>20.45</v>
      </c>
      <c r="I664">
        <v>0</v>
      </c>
      <c r="J664">
        <v>0</v>
      </c>
      <c r="K664">
        <v>0</v>
      </c>
      <c r="O664">
        <v>0</v>
      </c>
      <c r="P664">
        <v>4</v>
      </c>
      <c r="Q664">
        <v>2</v>
      </c>
      <c r="R664">
        <v>26.45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F664" t="s">
        <v>130</v>
      </c>
      <c r="AH664">
        <v>26.45</v>
      </c>
    </row>
    <row r="665" spans="1:34" x14ac:dyDescent="0.3">
      <c r="A665" s="4">
        <v>834</v>
      </c>
      <c r="B665" s="5">
        <v>658</v>
      </c>
      <c r="C665">
        <v>3264</v>
      </c>
      <c r="D665" t="s">
        <v>27923</v>
      </c>
      <c r="E665" t="s">
        <v>342</v>
      </c>
      <c r="F665" t="s">
        <v>158</v>
      </c>
      <c r="G665" t="s">
        <v>27924</v>
      </c>
      <c r="H665">
        <v>19.45</v>
      </c>
      <c r="I665">
        <v>0</v>
      </c>
      <c r="J665">
        <v>0</v>
      </c>
      <c r="K665">
        <v>0</v>
      </c>
      <c r="N665">
        <v>3</v>
      </c>
      <c r="O665">
        <v>3</v>
      </c>
      <c r="P665">
        <v>4</v>
      </c>
      <c r="Q665">
        <v>0</v>
      </c>
      <c r="R665">
        <v>26.45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F665" t="s">
        <v>130</v>
      </c>
      <c r="AH665">
        <v>26.45</v>
      </c>
    </row>
    <row r="666" spans="1:34" x14ac:dyDescent="0.3">
      <c r="A666" s="4">
        <v>835</v>
      </c>
      <c r="B666" s="5">
        <v>659</v>
      </c>
      <c r="C666">
        <v>9076</v>
      </c>
      <c r="D666" t="s">
        <v>11341</v>
      </c>
      <c r="E666" t="s">
        <v>27925</v>
      </c>
      <c r="F666" t="s">
        <v>17</v>
      </c>
      <c r="G666" t="s">
        <v>27926</v>
      </c>
      <c r="H666">
        <v>17.38</v>
      </c>
      <c r="I666">
        <v>0</v>
      </c>
      <c r="J666">
        <v>0</v>
      </c>
      <c r="K666">
        <v>0</v>
      </c>
      <c r="N666">
        <v>3</v>
      </c>
      <c r="O666">
        <v>3</v>
      </c>
      <c r="P666">
        <v>4</v>
      </c>
      <c r="Q666">
        <v>2</v>
      </c>
      <c r="R666">
        <v>26.38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F666" t="s">
        <v>130</v>
      </c>
      <c r="AH666">
        <v>26.38</v>
      </c>
    </row>
    <row r="667" spans="1:34" x14ac:dyDescent="0.3">
      <c r="A667" s="4">
        <v>836</v>
      </c>
      <c r="B667" s="5">
        <v>660</v>
      </c>
      <c r="C667">
        <v>12658</v>
      </c>
      <c r="D667" t="s">
        <v>27927</v>
      </c>
      <c r="E667" t="s">
        <v>182</v>
      </c>
      <c r="F667" t="s">
        <v>343</v>
      </c>
      <c r="G667" t="s">
        <v>27928</v>
      </c>
      <c r="H667">
        <v>17.28</v>
      </c>
      <c r="I667">
        <v>0</v>
      </c>
      <c r="J667">
        <v>0</v>
      </c>
      <c r="K667">
        <v>0</v>
      </c>
      <c r="N667">
        <v>3</v>
      </c>
      <c r="O667">
        <v>3</v>
      </c>
      <c r="P667">
        <v>4</v>
      </c>
      <c r="Q667">
        <v>2</v>
      </c>
      <c r="R667">
        <v>26.28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F667" t="s">
        <v>130</v>
      </c>
      <c r="AH667">
        <v>26.28</v>
      </c>
    </row>
    <row r="668" spans="1:34" x14ac:dyDescent="0.3">
      <c r="A668" s="4">
        <v>837</v>
      </c>
      <c r="B668" s="5">
        <v>661</v>
      </c>
      <c r="C668">
        <v>13419</v>
      </c>
      <c r="D668" t="s">
        <v>27929</v>
      </c>
      <c r="E668" t="s">
        <v>652</v>
      </c>
      <c r="F668" t="s">
        <v>17</v>
      </c>
      <c r="G668" t="s">
        <v>27930</v>
      </c>
      <c r="H668">
        <v>17.28</v>
      </c>
      <c r="I668">
        <v>0</v>
      </c>
      <c r="J668">
        <v>0</v>
      </c>
      <c r="K668">
        <v>0</v>
      </c>
      <c r="M668">
        <v>5</v>
      </c>
      <c r="O668">
        <v>5</v>
      </c>
      <c r="P668">
        <v>4</v>
      </c>
      <c r="Q668">
        <v>0</v>
      </c>
      <c r="R668">
        <v>26.28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F668" t="s">
        <v>130</v>
      </c>
      <c r="AH668">
        <v>26.28</v>
      </c>
    </row>
    <row r="669" spans="1:34" x14ac:dyDescent="0.3">
      <c r="A669" s="4">
        <v>838</v>
      </c>
      <c r="B669" s="5">
        <v>662</v>
      </c>
      <c r="C669">
        <v>7840</v>
      </c>
      <c r="D669" t="s">
        <v>9239</v>
      </c>
      <c r="E669" t="s">
        <v>406</v>
      </c>
      <c r="F669" t="s">
        <v>3642</v>
      </c>
      <c r="G669" t="s">
        <v>27931</v>
      </c>
      <c r="H669">
        <v>17.149999999999999</v>
      </c>
      <c r="I669">
        <v>0</v>
      </c>
      <c r="J669">
        <v>0</v>
      </c>
      <c r="K669">
        <v>0</v>
      </c>
      <c r="N669">
        <v>3</v>
      </c>
      <c r="O669">
        <v>3</v>
      </c>
      <c r="P669">
        <v>4</v>
      </c>
      <c r="Q669">
        <v>2</v>
      </c>
      <c r="R669">
        <v>26.15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F669" t="s">
        <v>130</v>
      </c>
      <c r="AH669">
        <v>26.15</v>
      </c>
    </row>
    <row r="670" spans="1:34" x14ac:dyDescent="0.3">
      <c r="A670" s="4">
        <v>839</v>
      </c>
      <c r="B670" s="5">
        <v>663</v>
      </c>
      <c r="C670">
        <v>7398</v>
      </c>
      <c r="D670" t="s">
        <v>27932</v>
      </c>
      <c r="E670" t="s">
        <v>2193</v>
      </c>
      <c r="F670" t="s">
        <v>892</v>
      </c>
      <c r="G670" t="s">
        <v>27933</v>
      </c>
      <c r="H670">
        <v>18.100000000000001</v>
      </c>
      <c r="I670">
        <v>0</v>
      </c>
      <c r="J670">
        <v>0</v>
      </c>
      <c r="K670">
        <v>0</v>
      </c>
      <c r="O670">
        <v>0</v>
      </c>
      <c r="P670">
        <v>4</v>
      </c>
      <c r="Q670">
        <v>2</v>
      </c>
      <c r="R670">
        <v>24.1</v>
      </c>
      <c r="S670">
        <v>2</v>
      </c>
      <c r="T670">
        <v>2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2</v>
      </c>
      <c r="AB670">
        <v>0</v>
      </c>
      <c r="AC670">
        <v>0</v>
      </c>
      <c r="AF670" t="s">
        <v>130</v>
      </c>
      <c r="AH670">
        <v>26.1</v>
      </c>
    </row>
    <row r="671" spans="1:34" x14ac:dyDescent="0.3">
      <c r="A671" s="4">
        <v>840</v>
      </c>
      <c r="B671" s="5">
        <v>664</v>
      </c>
      <c r="C671">
        <v>6546</v>
      </c>
      <c r="D671" t="s">
        <v>27934</v>
      </c>
      <c r="E671" t="s">
        <v>12748</v>
      </c>
      <c r="F671" t="s">
        <v>68</v>
      </c>
      <c r="G671" t="s">
        <v>27935</v>
      </c>
      <c r="H671">
        <v>17.05</v>
      </c>
      <c r="I671">
        <v>0</v>
      </c>
      <c r="J671">
        <v>0</v>
      </c>
      <c r="K671">
        <v>0</v>
      </c>
      <c r="M671">
        <v>5</v>
      </c>
      <c r="O671">
        <v>5</v>
      </c>
      <c r="P671">
        <v>4</v>
      </c>
      <c r="Q671">
        <v>0</v>
      </c>
      <c r="R671">
        <v>26.05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 t="s">
        <v>130</v>
      </c>
      <c r="AF671" t="s">
        <v>130</v>
      </c>
      <c r="AH671">
        <v>26.05</v>
      </c>
    </row>
    <row r="672" spans="1:34" x14ac:dyDescent="0.3">
      <c r="A672" s="4">
        <v>841</v>
      </c>
      <c r="B672" s="5">
        <v>665</v>
      </c>
      <c r="C672">
        <v>8947</v>
      </c>
      <c r="D672" t="s">
        <v>421</v>
      </c>
      <c r="E672" t="s">
        <v>188</v>
      </c>
      <c r="F672" t="s">
        <v>101</v>
      </c>
      <c r="G672" t="s">
        <v>27936</v>
      </c>
      <c r="H672">
        <v>16.98</v>
      </c>
      <c r="I672">
        <v>0</v>
      </c>
      <c r="J672">
        <v>0</v>
      </c>
      <c r="K672">
        <v>0</v>
      </c>
      <c r="O672">
        <v>0</v>
      </c>
      <c r="P672">
        <v>4</v>
      </c>
      <c r="Q672">
        <v>2</v>
      </c>
      <c r="R672">
        <v>22.98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3</v>
      </c>
      <c r="AC672">
        <v>0</v>
      </c>
      <c r="AF672" t="s">
        <v>130</v>
      </c>
      <c r="AH672">
        <v>25.98</v>
      </c>
    </row>
    <row r="673" spans="1:34" x14ac:dyDescent="0.3">
      <c r="A673" s="4">
        <v>842</v>
      </c>
      <c r="B673" s="5">
        <v>666</v>
      </c>
      <c r="C673">
        <v>6748</v>
      </c>
      <c r="D673" t="s">
        <v>3404</v>
      </c>
      <c r="E673" t="s">
        <v>178</v>
      </c>
      <c r="F673" t="s">
        <v>4941</v>
      </c>
      <c r="G673" t="s">
        <v>27937</v>
      </c>
      <c r="H673">
        <v>16.899999999999999</v>
      </c>
      <c r="I673">
        <v>0</v>
      </c>
      <c r="J673">
        <v>0</v>
      </c>
      <c r="K673">
        <v>0</v>
      </c>
      <c r="N673">
        <v>3</v>
      </c>
      <c r="O673">
        <v>3</v>
      </c>
      <c r="P673">
        <v>4</v>
      </c>
      <c r="Q673">
        <v>2</v>
      </c>
      <c r="R673">
        <v>25.9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F673" t="s">
        <v>130</v>
      </c>
      <c r="AH673">
        <v>25.9</v>
      </c>
    </row>
    <row r="674" spans="1:34" x14ac:dyDescent="0.3">
      <c r="A674" s="4">
        <v>843</v>
      </c>
      <c r="B674" s="5">
        <v>667</v>
      </c>
      <c r="C674">
        <v>437</v>
      </c>
      <c r="D674" t="s">
        <v>27938</v>
      </c>
      <c r="E674" t="s">
        <v>88</v>
      </c>
      <c r="F674" t="s">
        <v>238</v>
      </c>
      <c r="G674" t="s">
        <v>27939</v>
      </c>
      <c r="H674">
        <v>18.88</v>
      </c>
      <c r="I674">
        <v>0</v>
      </c>
      <c r="J674">
        <v>0</v>
      </c>
      <c r="K674">
        <v>0</v>
      </c>
      <c r="N674">
        <v>3</v>
      </c>
      <c r="O674">
        <v>3</v>
      </c>
      <c r="P674">
        <v>4</v>
      </c>
      <c r="Q674">
        <v>0</v>
      </c>
      <c r="R674">
        <v>25.88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F674" t="s">
        <v>130</v>
      </c>
      <c r="AH674">
        <v>25.88</v>
      </c>
    </row>
    <row r="675" spans="1:34" x14ac:dyDescent="0.3">
      <c r="A675" s="4">
        <v>844</v>
      </c>
      <c r="B675" s="5">
        <v>668</v>
      </c>
      <c r="C675">
        <v>5142</v>
      </c>
      <c r="D675" t="s">
        <v>587</v>
      </c>
      <c r="E675" t="s">
        <v>27940</v>
      </c>
      <c r="F675" t="s">
        <v>652</v>
      </c>
      <c r="G675" t="s">
        <v>27941</v>
      </c>
      <c r="H675">
        <v>18.88</v>
      </c>
      <c r="I675">
        <v>0</v>
      </c>
      <c r="J675">
        <v>0</v>
      </c>
      <c r="K675">
        <v>0</v>
      </c>
      <c r="N675">
        <v>3</v>
      </c>
      <c r="O675">
        <v>3</v>
      </c>
      <c r="P675">
        <v>4</v>
      </c>
      <c r="Q675">
        <v>0</v>
      </c>
      <c r="R675">
        <v>25.88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F675" t="s">
        <v>130</v>
      </c>
      <c r="AH675">
        <v>25.88</v>
      </c>
    </row>
    <row r="676" spans="1:34" x14ac:dyDescent="0.3">
      <c r="A676" s="4">
        <v>845</v>
      </c>
      <c r="B676" s="5">
        <v>669</v>
      </c>
      <c r="C676">
        <v>7479</v>
      </c>
      <c r="D676" t="s">
        <v>11633</v>
      </c>
      <c r="E676" t="s">
        <v>54</v>
      </c>
      <c r="F676" t="s">
        <v>442</v>
      </c>
      <c r="G676" t="s">
        <v>27942</v>
      </c>
      <c r="H676">
        <v>16.88</v>
      </c>
      <c r="I676">
        <v>0</v>
      </c>
      <c r="J676">
        <v>0</v>
      </c>
      <c r="K676">
        <v>0</v>
      </c>
      <c r="N676">
        <v>3</v>
      </c>
      <c r="O676">
        <v>3</v>
      </c>
      <c r="P676">
        <v>4</v>
      </c>
      <c r="Q676">
        <v>2</v>
      </c>
      <c r="R676">
        <v>25.88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F676" t="s">
        <v>130</v>
      </c>
      <c r="AH676">
        <v>25.88</v>
      </c>
    </row>
    <row r="677" spans="1:34" x14ac:dyDescent="0.3">
      <c r="A677" s="4">
        <v>846</v>
      </c>
      <c r="B677" s="5">
        <v>670</v>
      </c>
      <c r="C677">
        <v>1810</v>
      </c>
      <c r="D677" t="s">
        <v>5008</v>
      </c>
      <c r="E677" t="s">
        <v>2792</v>
      </c>
      <c r="F677" t="s">
        <v>416</v>
      </c>
      <c r="G677" t="s">
        <v>27943</v>
      </c>
      <c r="H677">
        <v>16.88</v>
      </c>
      <c r="I677">
        <v>0</v>
      </c>
      <c r="J677">
        <v>0</v>
      </c>
      <c r="K677">
        <v>0</v>
      </c>
      <c r="N677">
        <v>3</v>
      </c>
      <c r="O677">
        <v>3</v>
      </c>
      <c r="P677">
        <v>4</v>
      </c>
      <c r="Q677">
        <v>2</v>
      </c>
      <c r="R677">
        <v>25.88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F677" t="s">
        <v>130</v>
      </c>
      <c r="AH677">
        <v>25.88</v>
      </c>
    </row>
    <row r="678" spans="1:34" x14ac:dyDescent="0.3">
      <c r="A678" s="4">
        <v>847</v>
      </c>
      <c r="B678" s="5">
        <v>671</v>
      </c>
      <c r="C678">
        <v>12960</v>
      </c>
      <c r="D678" t="s">
        <v>27944</v>
      </c>
      <c r="E678" t="s">
        <v>126</v>
      </c>
      <c r="F678" t="s">
        <v>416</v>
      </c>
      <c r="G678" t="s">
        <v>27945</v>
      </c>
      <c r="H678">
        <v>18.8</v>
      </c>
      <c r="I678">
        <v>0</v>
      </c>
      <c r="J678">
        <v>0</v>
      </c>
      <c r="K678">
        <v>0</v>
      </c>
      <c r="N678">
        <v>3</v>
      </c>
      <c r="O678">
        <v>3</v>
      </c>
      <c r="P678">
        <v>4</v>
      </c>
      <c r="Q678">
        <v>0</v>
      </c>
      <c r="R678">
        <v>25.8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F678" t="s">
        <v>130</v>
      </c>
      <c r="AH678">
        <v>25.8</v>
      </c>
    </row>
    <row r="679" spans="1:34" x14ac:dyDescent="0.3">
      <c r="A679" s="4">
        <v>848</v>
      </c>
      <c r="B679" s="5">
        <v>672</v>
      </c>
      <c r="C679">
        <v>3860</v>
      </c>
      <c r="D679" t="s">
        <v>22458</v>
      </c>
      <c r="E679" t="s">
        <v>6660</v>
      </c>
      <c r="F679" t="s">
        <v>310</v>
      </c>
      <c r="G679" t="s">
        <v>27946</v>
      </c>
      <c r="H679">
        <v>18.579999999999998</v>
      </c>
      <c r="I679">
        <v>0</v>
      </c>
      <c r="J679">
        <v>0</v>
      </c>
      <c r="K679">
        <v>0</v>
      </c>
      <c r="N679">
        <v>3</v>
      </c>
      <c r="O679">
        <v>3</v>
      </c>
      <c r="P679">
        <v>4</v>
      </c>
      <c r="Q679">
        <v>0</v>
      </c>
      <c r="R679">
        <v>25.58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F679" t="s">
        <v>130</v>
      </c>
      <c r="AH679">
        <v>25.58</v>
      </c>
    </row>
    <row r="680" spans="1:34" x14ac:dyDescent="0.3">
      <c r="A680" s="4">
        <v>849</v>
      </c>
      <c r="B680" s="5">
        <v>673</v>
      </c>
      <c r="C680">
        <v>3106</v>
      </c>
      <c r="D680" t="s">
        <v>27947</v>
      </c>
      <c r="E680" t="s">
        <v>38</v>
      </c>
      <c r="F680" t="s">
        <v>20</v>
      </c>
      <c r="G680" t="s">
        <v>27948</v>
      </c>
      <c r="H680">
        <v>16.53</v>
      </c>
      <c r="I680">
        <v>0</v>
      </c>
      <c r="J680">
        <v>0</v>
      </c>
      <c r="K680">
        <v>0</v>
      </c>
      <c r="N680">
        <v>3</v>
      </c>
      <c r="O680">
        <v>3</v>
      </c>
      <c r="P680">
        <v>4</v>
      </c>
      <c r="Q680">
        <v>2</v>
      </c>
      <c r="R680">
        <v>25.53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F680" t="s">
        <v>130</v>
      </c>
      <c r="AH680">
        <v>25.53</v>
      </c>
    </row>
    <row r="681" spans="1:34" x14ac:dyDescent="0.3">
      <c r="A681" s="4">
        <v>850</v>
      </c>
      <c r="B681" s="5">
        <v>674</v>
      </c>
      <c r="C681">
        <v>4376</v>
      </c>
      <c r="D681" t="s">
        <v>27949</v>
      </c>
      <c r="E681" t="s">
        <v>213</v>
      </c>
      <c r="F681" t="s">
        <v>158</v>
      </c>
      <c r="G681" t="s">
        <v>27950</v>
      </c>
      <c r="H681">
        <v>19.45</v>
      </c>
      <c r="I681">
        <v>0</v>
      </c>
      <c r="J681">
        <v>0</v>
      </c>
      <c r="K681">
        <v>0</v>
      </c>
      <c r="O681">
        <v>0</v>
      </c>
      <c r="P681">
        <v>4</v>
      </c>
      <c r="Q681">
        <v>2</v>
      </c>
      <c r="R681">
        <v>25.45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F681" t="s">
        <v>130</v>
      </c>
      <c r="AH681">
        <v>25.45</v>
      </c>
    </row>
    <row r="682" spans="1:34" x14ac:dyDescent="0.3">
      <c r="A682" s="4">
        <v>851</v>
      </c>
      <c r="B682" s="5">
        <v>675</v>
      </c>
      <c r="C682">
        <v>3616</v>
      </c>
      <c r="D682" t="s">
        <v>27951</v>
      </c>
      <c r="E682" t="s">
        <v>88</v>
      </c>
      <c r="F682" t="s">
        <v>190</v>
      </c>
      <c r="G682" t="s">
        <v>27952</v>
      </c>
      <c r="H682">
        <v>16.28</v>
      </c>
      <c r="I682">
        <v>0</v>
      </c>
      <c r="J682">
        <v>0</v>
      </c>
      <c r="K682">
        <v>0</v>
      </c>
      <c r="N682">
        <v>3</v>
      </c>
      <c r="O682">
        <v>3</v>
      </c>
      <c r="P682">
        <v>4</v>
      </c>
      <c r="Q682">
        <v>2</v>
      </c>
      <c r="R682">
        <v>25.28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F682" t="s">
        <v>130</v>
      </c>
      <c r="AH682">
        <v>25.28</v>
      </c>
    </row>
    <row r="683" spans="1:34" x14ac:dyDescent="0.3">
      <c r="A683" s="4">
        <v>852</v>
      </c>
      <c r="B683" s="5">
        <v>676</v>
      </c>
      <c r="C683">
        <v>159</v>
      </c>
      <c r="D683" t="s">
        <v>27953</v>
      </c>
      <c r="E683" t="s">
        <v>342</v>
      </c>
      <c r="F683" t="s">
        <v>230</v>
      </c>
      <c r="G683" t="s">
        <v>27954</v>
      </c>
      <c r="H683">
        <v>16.18</v>
      </c>
      <c r="I683">
        <v>0</v>
      </c>
      <c r="J683">
        <v>0</v>
      </c>
      <c r="K683">
        <v>0</v>
      </c>
      <c r="N683">
        <v>3</v>
      </c>
      <c r="O683">
        <v>3</v>
      </c>
      <c r="P683">
        <v>4</v>
      </c>
      <c r="Q683">
        <v>2</v>
      </c>
      <c r="R683">
        <v>25.18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F683" t="s">
        <v>130</v>
      </c>
      <c r="AH683">
        <v>25.18</v>
      </c>
    </row>
    <row r="684" spans="1:34" x14ac:dyDescent="0.3">
      <c r="A684" s="4">
        <v>853</v>
      </c>
      <c r="B684" s="5">
        <v>677</v>
      </c>
      <c r="C684">
        <v>1110</v>
      </c>
      <c r="D684" t="s">
        <v>27955</v>
      </c>
      <c r="E684" t="s">
        <v>54</v>
      </c>
      <c r="F684" t="s">
        <v>20</v>
      </c>
      <c r="G684" t="s">
        <v>27956</v>
      </c>
      <c r="H684">
        <v>16.149999999999999</v>
      </c>
      <c r="I684">
        <v>0</v>
      </c>
      <c r="J684">
        <v>0</v>
      </c>
      <c r="K684">
        <v>0</v>
      </c>
      <c r="O684">
        <v>0</v>
      </c>
      <c r="P684">
        <v>4</v>
      </c>
      <c r="Q684">
        <v>2</v>
      </c>
      <c r="R684">
        <v>22.15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3</v>
      </c>
      <c r="AC684">
        <v>0</v>
      </c>
      <c r="AF684" t="s">
        <v>130</v>
      </c>
      <c r="AH684">
        <v>25.15</v>
      </c>
    </row>
    <row r="685" spans="1:34" x14ac:dyDescent="0.3">
      <c r="A685" s="4">
        <v>854</v>
      </c>
      <c r="B685" s="5">
        <v>678</v>
      </c>
      <c r="C685">
        <v>9100</v>
      </c>
      <c r="D685" t="s">
        <v>27957</v>
      </c>
      <c r="E685" t="s">
        <v>167</v>
      </c>
      <c r="F685" t="s">
        <v>20</v>
      </c>
      <c r="G685" t="s">
        <v>27958</v>
      </c>
      <c r="H685">
        <v>16.149999999999999</v>
      </c>
      <c r="I685">
        <v>0</v>
      </c>
      <c r="J685">
        <v>0</v>
      </c>
      <c r="K685">
        <v>0</v>
      </c>
      <c r="N685">
        <v>3</v>
      </c>
      <c r="O685">
        <v>3</v>
      </c>
      <c r="P685">
        <v>4</v>
      </c>
      <c r="Q685">
        <v>2</v>
      </c>
      <c r="R685">
        <v>25.15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 t="s">
        <v>130</v>
      </c>
      <c r="AF685" t="s">
        <v>130</v>
      </c>
      <c r="AH685">
        <v>25.15</v>
      </c>
    </row>
    <row r="686" spans="1:34" x14ac:dyDescent="0.3">
      <c r="A686" s="4">
        <v>855</v>
      </c>
      <c r="B686" s="5">
        <v>679</v>
      </c>
      <c r="C686">
        <v>8573</v>
      </c>
      <c r="D686" t="s">
        <v>2335</v>
      </c>
      <c r="E686" t="s">
        <v>6225</v>
      </c>
      <c r="F686" t="s">
        <v>20</v>
      </c>
      <c r="G686" t="s">
        <v>27959</v>
      </c>
      <c r="H686">
        <v>16.13</v>
      </c>
      <c r="I686">
        <v>0</v>
      </c>
      <c r="J686">
        <v>0</v>
      </c>
      <c r="K686">
        <v>0</v>
      </c>
      <c r="O686">
        <v>0</v>
      </c>
      <c r="P686">
        <v>4</v>
      </c>
      <c r="Q686">
        <v>2</v>
      </c>
      <c r="R686">
        <v>22.13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3</v>
      </c>
      <c r="AC686">
        <v>0</v>
      </c>
      <c r="AF686" t="s">
        <v>130</v>
      </c>
      <c r="AH686">
        <v>25.13</v>
      </c>
    </row>
    <row r="687" spans="1:34" x14ac:dyDescent="0.3">
      <c r="A687" s="4">
        <v>856</v>
      </c>
      <c r="B687" s="5">
        <v>680</v>
      </c>
      <c r="C687">
        <v>1860</v>
      </c>
      <c r="D687" t="s">
        <v>27960</v>
      </c>
      <c r="E687" t="s">
        <v>213</v>
      </c>
      <c r="F687" t="s">
        <v>416</v>
      </c>
      <c r="G687" t="s">
        <v>27961</v>
      </c>
      <c r="H687">
        <v>18.03</v>
      </c>
      <c r="I687">
        <v>0</v>
      </c>
      <c r="J687">
        <v>0</v>
      </c>
      <c r="K687">
        <v>0</v>
      </c>
      <c r="N687">
        <v>3</v>
      </c>
      <c r="O687">
        <v>3</v>
      </c>
      <c r="P687">
        <v>4</v>
      </c>
      <c r="Q687">
        <v>0</v>
      </c>
      <c r="R687">
        <v>25.03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F687" t="s">
        <v>130</v>
      </c>
      <c r="AH687">
        <v>25.03</v>
      </c>
    </row>
    <row r="688" spans="1:34" x14ac:dyDescent="0.3">
      <c r="A688" s="4">
        <v>857</v>
      </c>
      <c r="B688" s="5">
        <v>681</v>
      </c>
      <c r="C688">
        <v>2663</v>
      </c>
      <c r="D688" t="s">
        <v>12608</v>
      </c>
      <c r="E688" t="s">
        <v>520</v>
      </c>
      <c r="F688" t="s">
        <v>136</v>
      </c>
      <c r="G688" t="s">
        <v>27962</v>
      </c>
      <c r="H688">
        <v>17.95</v>
      </c>
      <c r="I688">
        <v>0</v>
      </c>
      <c r="J688">
        <v>0</v>
      </c>
      <c r="K688">
        <v>0</v>
      </c>
      <c r="N688">
        <v>3</v>
      </c>
      <c r="O688">
        <v>3</v>
      </c>
      <c r="P688">
        <v>4</v>
      </c>
      <c r="Q688">
        <v>0</v>
      </c>
      <c r="R688">
        <v>24.95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F688" t="s">
        <v>130</v>
      </c>
      <c r="AH688">
        <v>24.95</v>
      </c>
    </row>
    <row r="689" spans="1:34" x14ac:dyDescent="0.3">
      <c r="A689" s="4">
        <v>858</v>
      </c>
      <c r="B689" s="5">
        <v>682</v>
      </c>
      <c r="C689">
        <v>2666</v>
      </c>
      <c r="D689" t="s">
        <v>2002</v>
      </c>
      <c r="E689" t="s">
        <v>100</v>
      </c>
      <c r="F689" t="s">
        <v>81</v>
      </c>
      <c r="G689" t="s">
        <v>27963</v>
      </c>
      <c r="H689">
        <v>17.850000000000001</v>
      </c>
      <c r="I689">
        <v>0</v>
      </c>
      <c r="J689">
        <v>0</v>
      </c>
      <c r="K689">
        <v>0</v>
      </c>
      <c r="N689">
        <v>3</v>
      </c>
      <c r="O689">
        <v>3</v>
      </c>
      <c r="P689">
        <v>4</v>
      </c>
      <c r="Q689">
        <v>0</v>
      </c>
      <c r="R689">
        <v>24.85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 t="s">
        <v>130</v>
      </c>
      <c r="AF689" t="s">
        <v>130</v>
      </c>
      <c r="AH689">
        <v>24.85</v>
      </c>
    </row>
    <row r="690" spans="1:34" x14ac:dyDescent="0.3">
      <c r="A690" s="4">
        <v>859</v>
      </c>
      <c r="B690" s="5">
        <v>683</v>
      </c>
      <c r="C690">
        <v>8054</v>
      </c>
      <c r="D690" t="s">
        <v>27964</v>
      </c>
      <c r="E690" t="s">
        <v>208</v>
      </c>
      <c r="F690" t="s">
        <v>136</v>
      </c>
      <c r="G690" t="s">
        <v>27965</v>
      </c>
      <c r="H690">
        <v>17.7</v>
      </c>
      <c r="I690">
        <v>0</v>
      </c>
      <c r="J690">
        <v>0</v>
      </c>
      <c r="K690">
        <v>0</v>
      </c>
      <c r="N690">
        <v>3</v>
      </c>
      <c r="O690">
        <v>3</v>
      </c>
      <c r="P690">
        <v>4</v>
      </c>
      <c r="Q690">
        <v>0</v>
      </c>
      <c r="R690">
        <v>24.7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F690" t="s">
        <v>130</v>
      </c>
      <c r="AH690">
        <v>24.7</v>
      </c>
    </row>
    <row r="691" spans="1:34" x14ac:dyDescent="0.3">
      <c r="A691" s="4">
        <v>860</v>
      </c>
      <c r="B691" s="5">
        <v>684</v>
      </c>
      <c r="C691">
        <v>12013</v>
      </c>
      <c r="D691" t="s">
        <v>27966</v>
      </c>
      <c r="E691" t="s">
        <v>471</v>
      </c>
      <c r="F691" t="s">
        <v>117</v>
      </c>
      <c r="G691" t="s">
        <v>27967</v>
      </c>
      <c r="H691">
        <v>17.600000000000001</v>
      </c>
      <c r="I691">
        <v>0</v>
      </c>
      <c r="J691">
        <v>0</v>
      </c>
      <c r="K691">
        <v>0</v>
      </c>
      <c r="N691">
        <v>3</v>
      </c>
      <c r="O691">
        <v>3</v>
      </c>
      <c r="P691">
        <v>4</v>
      </c>
      <c r="Q691">
        <v>0</v>
      </c>
      <c r="R691">
        <v>24.6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F691" t="s">
        <v>130</v>
      </c>
      <c r="AH691">
        <v>24.6</v>
      </c>
    </row>
    <row r="692" spans="1:34" x14ac:dyDescent="0.3">
      <c r="A692" s="4">
        <v>861</v>
      </c>
      <c r="B692" s="5">
        <v>685</v>
      </c>
      <c r="C692">
        <v>5302</v>
      </c>
      <c r="D692" t="s">
        <v>5637</v>
      </c>
      <c r="E692" t="s">
        <v>100</v>
      </c>
      <c r="F692" t="s">
        <v>17</v>
      </c>
      <c r="G692" t="s">
        <v>27968</v>
      </c>
      <c r="H692">
        <v>17.28</v>
      </c>
      <c r="I692">
        <v>0</v>
      </c>
      <c r="J692">
        <v>0</v>
      </c>
      <c r="K692">
        <v>0</v>
      </c>
      <c r="N692">
        <v>3</v>
      </c>
      <c r="O692">
        <v>3</v>
      </c>
      <c r="P692">
        <v>4</v>
      </c>
      <c r="Q692">
        <v>0</v>
      </c>
      <c r="R692">
        <v>24.28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F692" t="s">
        <v>130</v>
      </c>
      <c r="AH692">
        <v>24.28</v>
      </c>
    </row>
    <row r="693" spans="1:34" x14ac:dyDescent="0.3">
      <c r="A693" s="4">
        <v>862</v>
      </c>
      <c r="B693" s="5">
        <v>686</v>
      </c>
      <c r="C693">
        <v>11681</v>
      </c>
      <c r="D693" t="s">
        <v>27969</v>
      </c>
      <c r="E693" t="s">
        <v>413</v>
      </c>
      <c r="F693" t="s">
        <v>30</v>
      </c>
      <c r="G693" t="s">
        <v>27970</v>
      </c>
      <c r="H693">
        <v>18.2</v>
      </c>
      <c r="I693">
        <v>0</v>
      </c>
      <c r="J693">
        <v>0</v>
      </c>
      <c r="K693">
        <v>0</v>
      </c>
      <c r="O693">
        <v>0</v>
      </c>
      <c r="P693">
        <v>4</v>
      </c>
      <c r="Q693">
        <v>2</v>
      </c>
      <c r="R693">
        <v>24.2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F693" t="s">
        <v>130</v>
      </c>
      <c r="AH693">
        <v>24.2</v>
      </c>
    </row>
    <row r="694" spans="1:34" x14ac:dyDescent="0.3">
      <c r="A694" s="4">
        <v>863</v>
      </c>
      <c r="B694" s="5">
        <v>687</v>
      </c>
      <c r="C694">
        <v>14807</v>
      </c>
      <c r="D694" t="s">
        <v>3295</v>
      </c>
      <c r="E694" t="s">
        <v>88</v>
      </c>
      <c r="F694" t="s">
        <v>20</v>
      </c>
      <c r="G694" t="s">
        <v>27971</v>
      </c>
      <c r="H694">
        <v>17.149999999999999</v>
      </c>
      <c r="I694">
        <v>0</v>
      </c>
      <c r="J694">
        <v>0</v>
      </c>
      <c r="K694">
        <v>0</v>
      </c>
      <c r="N694">
        <v>3</v>
      </c>
      <c r="O694">
        <v>3</v>
      </c>
      <c r="P694">
        <v>4</v>
      </c>
      <c r="Q694">
        <v>0</v>
      </c>
      <c r="R694">
        <v>24.15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F694" t="s">
        <v>130</v>
      </c>
      <c r="AH694">
        <v>24.15</v>
      </c>
    </row>
    <row r="695" spans="1:34" x14ac:dyDescent="0.3">
      <c r="A695" s="4">
        <v>864</v>
      </c>
      <c r="B695" s="5">
        <v>688</v>
      </c>
      <c r="C695">
        <v>6657</v>
      </c>
      <c r="D695" t="s">
        <v>7041</v>
      </c>
      <c r="E695" t="s">
        <v>471</v>
      </c>
      <c r="F695" t="s">
        <v>14</v>
      </c>
      <c r="G695" t="s">
        <v>27972</v>
      </c>
      <c r="H695">
        <v>17.100000000000001</v>
      </c>
      <c r="I695">
        <v>0</v>
      </c>
      <c r="J695">
        <v>0</v>
      </c>
      <c r="K695">
        <v>0</v>
      </c>
      <c r="N695">
        <v>3</v>
      </c>
      <c r="O695">
        <v>3</v>
      </c>
      <c r="P695">
        <v>4</v>
      </c>
      <c r="Q695">
        <v>0</v>
      </c>
      <c r="R695">
        <v>24.1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F695" t="s">
        <v>130</v>
      </c>
      <c r="AH695">
        <v>24.1</v>
      </c>
    </row>
    <row r="696" spans="1:34" x14ac:dyDescent="0.3">
      <c r="A696" s="4">
        <v>865</v>
      </c>
      <c r="B696" s="5">
        <v>689</v>
      </c>
      <c r="C696">
        <v>8302</v>
      </c>
      <c r="D696" t="s">
        <v>27973</v>
      </c>
      <c r="E696" t="s">
        <v>182</v>
      </c>
      <c r="F696" t="s">
        <v>328</v>
      </c>
      <c r="G696" t="s">
        <v>27974</v>
      </c>
      <c r="H696">
        <v>15.1</v>
      </c>
      <c r="I696">
        <v>0</v>
      </c>
      <c r="J696">
        <v>0</v>
      </c>
      <c r="K696">
        <v>0</v>
      </c>
      <c r="N696">
        <v>3</v>
      </c>
      <c r="O696">
        <v>3</v>
      </c>
      <c r="P696">
        <v>4</v>
      </c>
      <c r="Q696">
        <v>2</v>
      </c>
      <c r="R696">
        <v>24.1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 t="s">
        <v>130</v>
      </c>
      <c r="AF696" t="s">
        <v>130</v>
      </c>
      <c r="AH696">
        <v>24.1</v>
      </c>
    </row>
    <row r="697" spans="1:34" x14ac:dyDescent="0.3">
      <c r="A697" s="4">
        <v>866</v>
      </c>
      <c r="B697" s="5">
        <v>690</v>
      </c>
      <c r="C697">
        <v>11990</v>
      </c>
      <c r="D697" t="s">
        <v>27975</v>
      </c>
      <c r="E697" t="s">
        <v>14</v>
      </c>
      <c r="F697" t="s">
        <v>38</v>
      </c>
      <c r="G697" t="s">
        <v>27976</v>
      </c>
      <c r="H697">
        <v>17.079999999999998</v>
      </c>
      <c r="I697">
        <v>0</v>
      </c>
      <c r="J697">
        <v>0</v>
      </c>
      <c r="K697">
        <v>0</v>
      </c>
      <c r="N697">
        <v>3</v>
      </c>
      <c r="O697">
        <v>3</v>
      </c>
      <c r="P697">
        <v>4</v>
      </c>
      <c r="Q697">
        <v>0</v>
      </c>
      <c r="R697">
        <v>24.08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F697" t="s">
        <v>130</v>
      </c>
      <c r="AH697">
        <v>24.08</v>
      </c>
    </row>
    <row r="698" spans="1:34" x14ac:dyDescent="0.3">
      <c r="A698" s="4">
        <v>867</v>
      </c>
      <c r="B698" s="5">
        <v>691</v>
      </c>
      <c r="C698">
        <v>14784</v>
      </c>
      <c r="D698" t="s">
        <v>27679</v>
      </c>
      <c r="E698" t="s">
        <v>258</v>
      </c>
      <c r="F698" t="s">
        <v>38</v>
      </c>
      <c r="G698" t="s">
        <v>27977</v>
      </c>
      <c r="H698">
        <v>18.03</v>
      </c>
      <c r="I698">
        <v>0</v>
      </c>
      <c r="J698">
        <v>0</v>
      </c>
      <c r="K698">
        <v>0</v>
      </c>
      <c r="O698">
        <v>0</v>
      </c>
      <c r="P698">
        <v>4</v>
      </c>
      <c r="Q698">
        <v>2</v>
      </c>
      <c r="R698">
        <v>24.03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 t="s">
        <v>130</v>
      </c>
      <c r="AF698" t="s">
        <v>130</v>
      </c>
      <c r="AH698">
        <v>24.03</v>
      </c>
    </row>
    <row r="699" spans="1:34" x14ac:dyDescent="0.3">
      <c r="A699" s="4">
        <v>868</v>
      </c>
      <c r="B699" s="5">
        <v>692</v>
      </c>
      <c r="C699">
        <v>13580</v>
      </c>
      <c r="D699" t="s">
        <v>27978</v>
      </c>
      <c r="E699" t="s">
        <v>439</v>
      </c>
      <c r="F699" t="s">
        <v>339</v>
      </c>
      <c r="G699" t="s">
        <v>27979</v>
      </c>
      <c r="H699">
        <v>16.95</v>
      </c>
      <c r="I699">
        <v>0</v>
      </c>
      <c r="J699">
        <v>0</v>
      </c>
      <c r="K699">
        <v>0</v>
      </c>
      <c r="O699">
        <v>0</v>
      </c>
      <c r="P699">
        <v>4</v>
      </c>
      <c r="Q699">
        <v>0</v>
      </c>
      <c r="R699">
        <v>20.95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3</v>
      </c>
      <c r="AC699">
        <v>0</v>
      </c>
      <c r="AF699" t="s">
        <v>130</v>
      </c>
      <c r="AH699">
        <v>23.95</v>
      </c>
    </row>
    <row r="700" spans="1:34" x14ac:dyDescent="0.3">
      <c r="A700" s="4">
        <v>869</v>
      </c>
      <c r="B700" s="5">
        <v>693</v>
      </c>
      <c r="C700">
        <v>1108</v>
      </c>
      <c r="D700" t="s">
        <v>27980</v>
      </c>
      <c r="E700" t="s">
        <v>1084</v>
      </c>
      <c r="F700" t="s">
        <v>136</v>
      </c>
      <c r="G700" t="s">
        <v>27981</v>
      </c>
      <c r="H700">
        <v>16.78</v>
      </c>
      <c r="I700">
        <v>0</v>
      </c>
      <c r="J700">
        <v>0</v>
      </c>
      <c r="K700">
        <v>0</v>
      </c>
      <c r="O700">
        <v>0</v>
      </c>
      <c r="P700">
        <v>4</v>
      </c>
      <c r="Q700">
        <v>0</v>
      </c>
      <c r="R700">
        <v>20.78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3</v>
      </c>
      <c r="AC700">
        <v>0</v>
      </c>
      <c r="AD700" t="s">
        <v>130</v>
      </c>
      <c r="AF700" t="s">
        <v>130</v>
      </c>
      <c r="AH700">
        <v>23.78</v>
      </c>
    </row>
    <row r="701" spans="1:34" x14ac:dyDescent="0.3">
      <c r="A701" s="4">
        <v>870</v>
      </c>
      <c r="B701" s="5">
        <v>694</v>
      </c>
      <c r="C701">
        <v>5132</v>
      </c>
      <c r="D701" t="s">
        <v>902</v>
      </c>
      <c r="E701" t="s">
        <v>188</v>
      </c>
      <c r="F701" t="s">
        <v>243</v>
      </c>
      <c r="G701" t="s">
        <v>5426</v>
      </c>
      <c r="H701">
        <v>16.600000000000001</v>
      </c>
      <c r="I701">
        <v>0</v>
      </c>
      <c r="J701">
        <v>0</v>
      </c>
      <c r="K701">
        <v>0</v>
      </c>
      <c r="O701">
        <v>0</v>
      </c>
      <c r="P701">
        <v>4</v>
      </c>
      <c r="Q701">
        <v>0</v>
      </c>
      <c r="R701">
        <v>20.6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3</v>
      </c>
      <c r="AC701">
        <v>0</v>
      </c>
      <c r="AF701" t="s">
        <v>130</v>
      </c>
      <c r="AH701">
        <v>23.6</v>
      </c>
    </row>
    <row r="702" spans="1:34" x14ac:dyDescent="0.3">
      <c r="A702" s="4">
        <v>871</v>
      </c>
      <c r="B702" s="5">
        <v>695</v>
      </c>
      <c r="C702">
        <v>9294</v>
      </c>
      <c r="D702" t="s">
        <v>24025</v>
      </c>
      <c r="E702" t="s">
        <v>81</v>
      </c>
      <c r="F702" t="s">
        <v>30</v>
      </c>
      <c r="G702" t="s">
        <v>27982</v>
      </c>
      <c r="H702">
        <v>16.5</v>
      </c>
      <c r="I702">
        <v>0</v>
      </c>
      <c r="J702">
        <v>0</v>
      </c>
      <c r="K702">
        <v>0</v>
      </c>
      <c r="N702">
        <v>3</v>
      </c>
      <c r="O702">
        <v>3</v>
      </c>
      <c r="P702">
        <v>4</v>
      </c>
      <c r="Q702">
        <v>0</v>
      </c>
      <c r="R702">
        <v>23.5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F702" t="s">
        <v>130</v>
      </c>
      <c r="AH702">
        <v>23.5</v>
      </c>
    </row>
    <row r="703" spans="1:34" x14ac:dyDescent="0.3">
      <c r="A703" s="4">
        <v>872</v>
      </c>
      <c r="B703" s="5">
        <v>696</v>
      </c>
      <c r="C703">
        <v>2229</v>
      </c>
      <c r="D703" t="s">
        <v>27983</v>
      </c>
      <c r="E703" t="s">
        <v>208</v>
      </c>
      <c r="F703" t="s">
        <v>1450</v>
      </c>
      <c r="G703" t="s">
        <v>27984</v>
      </c>
      <c r="H703">
        <v>17.329999999999998</v>
      </c>
      <c r="I703">
        <v>0</v>
      </c>
      <c r="J703">
        <v>0</v>
      </c>
      <c r="K703">
        <v>0</v>
      </c>
      <c r="N703">
        <v>3</v>
      </c>
      <c r="O703">
        <v>3</v>
      </c>
      <c r="P703">
        <v>0</v>
      </c>
      <c r="Q703">
        <v>0</v>
      </c>
      <c r="R703">
        <v>20.329999999999998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3</v>
      </c>
      <c r="AC703">
        <v>0</v>
      </c>
      <c r="AD703" t="s">
        <v>130</v>
      </c>
      <c r="AF703" t="s">
        <v>130</v>
      </c>
      <c r="AH703">
        <v>23.33</v>
      </c>
    </row>
    <row r="704" spans="1:34" x14ac:dyDescent="0.3">
      <c r="A704" s="4">
        <v>873</v>
      </c>
      <c r="B704" s="5">
        <v>697</v>
      </c>
      <c r="C704">
        <v>4423</v>
      </c>
      <c r="D704" t="s">
        <v>27985</v>
      </c>
      <c r="E704" t="s">
        <v>27986</v>
      </c>
      <c r="F704" t="s">
        <v>27987</v>
      </c>
      <c r="G704" t="s">
        <v>27988</v>
      </c>
      <c r="H704">
        <v>16.100000000000001</v>
      </c>
      <c r="I704">
        <v>0</v>
      </c>
      <c r="J704">
        <v>0</v>
      </c>
      <c r="K704">
        <v>0</v>
      </c>
      <c r="O704">
        <v>0</v>
      </c>
      <c r="P704">
        <v>4</v>
      </c>
      <c r="Q704">
        <v>0</v>
      </c>
      <c r="R704">
        <v>20.100000000000001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3</v>
      </c>
      <c r="AC704">
        <v>0</v>
      </c>
      <c r="AF704" t="s">
        <v>130</v>
      </c>
      <c r="AH704">
        <v>23.1</v>
      </c>
    </row>
    <row r="705" spans="1:34" x14ac:dyDescent="0.3">
      <c r="A705" s="4">
        <v>874</v>
      </c>
      <c r="B705" s="5">
        <v>698</v>
      </c>
      <c r="C705">
        <v>1644</v>
      </c>
      <c r="D705" t="s">
        <v>9514</v>
      </c>
      <c r="E705" t="s">
        <v>17243</v>
      </c>
      <c r="F705" t="s">
        <v>136</v>
      </c>
      <c r="G705" t="s">
        <v>27989</v>
      </c>
      <c r="H705">
        <v>16.05</v>
      </c>
      <c r="I705">
        <v>0</v>
      </c>
      <c r="J705">
        <v>0</v>
      </c>
      <c r="K705">
        <v>0</v>
      </c>
      <c r="N705">
        <v>3</v>
      </c>
      <c r="O705">
        <v>3</v>
      </c>
      <c r="P705">
        <v>4</v>
      </c>
      <c r="Q705">
        <v>0</v>
      </c>
      <c r="R705">
        <v>23.05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F705" t="s">
        <v>130</v>
      </c>
      <c r="AH705">
        <v>23.05</v>
      </c>
    </row>
    <row r="706" spans="1:34" x14ac:dyDescent="0.3">
      <c r="A706" s="4">
        <v>875</v>
      </c>
      <c r="B706" s="5">
        <v>699</v>
      </c>
      <c r="C706">
        <v>9983</v>
      </c>
      <c r="D706" t="s">
        <v>2590</v>
      </c>
      <c r="E706" t="s">
        <v>1152</v>
      </c>
      <c r="F706" t="s">
        <v>136</v>
      </c>
      <c r="G706" t="s">
        <v>2591</v>
      </c>
      <c r="H706">
        <v>16.98</v>
      </c>
      <c r="I706">
        <v>0</v>
      </c>
      <c r="J706">
        <v>0</v>
      </c>
      <c r="K706">
        <v>0</v>
      </c>
      <c r="O706">
        <v>0</v>
      </c>
      <c r="P706">
        <v>4</v>
      </c>
      <c r="Q706">
        <v>2</v>
      </c>
      <c r="R706">
        <v>22.98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F706" t="s">
        <v>130</v>
      </c>
      <c r="AH706">
        <v>22.98</v>
      </c>
    </row>
    <row r="707" spans="1:34" x14ac:dyDescent="0.3">
      <c r="A707" s="4">
        <v>876</v>
      </c>
      <c r="B707" s="5">
        <v>700</v>
      </c>
      <c r="C707">
        <v>4758</v>
      </c>
      <c r="D707" t="s">
        <v>27990</v>
      </c>
      <c r="E707" t="s">
        <v>1455</v>
      </c>
      <c r="F707" t="s">
        <v>13171</v>
      </c>
      <c r="G707" t="s">
        <v>27991</v>
      </c>
      <c r="H707">
        <v>18.68</v>
      </c>
      <c r="I707">
        <v>0</v>
      </c>
      <c r="J707">
        <v>0</v>
      </c>
      <c r="K707">
        <v>0</v>
      </c>
      <c r="O707">
        <v>0</v>
      </c>
      <c r="P707">
        <v>4</v>
      </c>
      <c r="Q707">
        <v>0</v>
      </c>
      <c r="R707">
        <v>22.68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F707" t="s">
        <v>130</v>
      </c>
      <c r="AH707">
        <v>22.68</v>
      </c>
    </row>
    <row r="708" spans="1:34" x14ac:dyDescent="0.3">
      <c r="A708" s="4">
        <v>877</v>
      </c>
      <c r="B708" s="5">
        <v>701</v>
      </c>
      <c r="C708">
        <v>12832</v>
      </c>
      <c r="D708" t="s">
        <v>1069</v>
      </c>
      <c r="E708" t="s">
        <v>6121</v>
      </c>
      <c r="F708" t="s">
        <v>136</v>
      </c>
      <c r="G708" t="s">
        <v>27992</v>
      </c>
      <c r="H708">
        <v>15.48</v>
      </c>
      <c r="I708">
        <v>0</v>
      </c>
      <c r="J708">
        <v>0</v>
      </c>
      <c r="K708">
        <v>0</v>
      </c>
      <c r="N708">
        <v>3</v>
      </c>
      <c r="O708">
        <v>3</v>
      </c>
      <c r="P708">
        <v>4</v>
      </c>
      <c r="Q708">
        <v>0</v>
      </c>
      <c r="R708">
        <v>22.48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F708" t="s">
        <v>130</v>
      </c>
      <c r="AH708">
        <v>22.48</v>
      </c>
    </row>
    <row r="709" spans="1:34" x14ac:dyDescent="0.3">
      <c r="A709" s="4">
        <v>878</v>
      </c>
      <c r="B709" s="5">
        <v>702</v>
      </c>
      <c r="C709">
        <v>12693</v>
      </c>
      <c r="D709" t="s">
        <v>27993</v>
      </c>
      <c r="E709" t="s">
        <v>26</v>
      </c>
      <c r="F709" t="s">
        <v>124</v>
      </c>
      <c r="G709" t="s">
        <v>27994</v>
      </c>
      <c r="H709">
        <v>18.100000000000001</v>
      </c>
      <c r="I709">
        <v>0</v>
      </c>
      <c r="J709">
        <v>0</v>
      </c>
      <c r="K709">
        <v>0</v>
      </c>
      <c r="O709">
        <v>0</v>
      </c>
      <c r="P709">
        <v>4</v>
      </c>
      <c r="Q709">
        <v>0</v>
      </c>
      <c r="R709">
        <v>22.1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F709" t="s">
        <v>130</v>
      </c>
      <c r="AH709">
        <v>22.1</v>
      </c>
    </row>
    <row r="710" spans="1:34" x14ac:dyDescent="0.3">
      <c r="A710" s="4">
        <v>879</v>
      </c>
      <c r="B710" s="5">
        <v>703</v>
      </c>
      <c r="C710">
        <v>13329</v>
      </c>
      <c r="D710" t="s">
        <v>731</v>
      </c>
      <c r="E710" t="s">
        <v>550</v>
      </c>
      <c r="F710" t="s">
        <v>17</v>
      </c>
      <c r="G710" t="s">
        <v>27995</v>
      </c>
      <c r="H710">
        <v>18.05</v>
      </c>
      <c r="I710">
        <v>0</v>
      </c>
      <c r="J710">
        <v>0</v>
      </c>
      <c r="K710">
        <v>0</v>
      </c>
      <c r="O710">
        <v>0</v>
      </c>
      <c r="P710">
        <v>4</v>
      </c>
      <c r="Q710">
        <v>0</v>
      </c>
      <c r="R710">
        <v>22.05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F710" t="s">
        <v>130</v>
      </c>
      <c r="AH710">
        <v>22.05</v>
      </c>
    </row>
    <row r="711" spans="1:34" x14ac:dyDescent="0.3">
      <c r="A711" s="4">
        <v>880</v>
      </c>
      <c r="B711" s="5">
        <v>704</v>
      </c>
      <c r="C711">
        <v>4016</v>
      </c>
      <c r="D711" t="s">
        <v>27996</v>
      </c>
      <c r="E711" t="s">
        <v>17309</v>
      </c>
      <c r="F711" t="s">
        <v>346</v>
      </c>
      <c r="G711" t="s">
        <v>27997</v>
      </c>
      <c r="H711">
        <v>17.68</v>
      </c>
      <c r="I711">
        <v>0</v>
      </c>
      <c r="J711">
        <v>0</v>
      </c>
      <c r="K711">
        <v>0</v>
      </c>
      <c r="O711">
        <v>0</v>
      </c>
      <c r="P711">
        <v>4</v>
      </c>
      <c r="Q711">
        <v>0</v>
      </c>
      <c r="R711">
        <v>21.68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F711" t="s">
        <v>130</v>
      </c>
      <c r="AH711">
        <v>21.68</v>
      </c>
    </row>
    <row r="712" spans="1:34" x14ac:dyDescent="0.3">
      <c r="A712" s="4">
        <v>881</v>
      </c>
      <c r="B712" s="5">
        <v>705</v>
      </c>
      <c r="C712">
        <v>2986</v>
      </c>
      <c r="D712" t="s">
        <v>27998</v>
      </c>
      <c r="E712" t="s">
        <v>188</v>
      </c>
      <c r="F712" t="s">
        <v>20</v>
      </c>
      <c r="G712" t="s">
        <v>27999</v>
      </c>
      <c r="H712">
        <v>17.05</v>
      </c>
      <c r="I712">
        <v>0</v>
      </c>
      <c r="J712">
        <v>0</v>
      </c>
      <c r="K712">
        <v>0</v>
      </c>
      <c r="O712">
        <v>0</v>
      </c>
      <c r="P712">
        <v>4</v>
      </c>
      <c r="Q712">
        <v>0</v>
      </c>
      <c r="R712">
        <v>21.05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F712" t="s">
        <v>130</v>
      </c>
      <c r="AH712">
        <v>21.05</v>
      </c>
    </row>
    <row r="713" spans="1:34" x14ac:dyDescent="0.3">
      <c r="A713" s="4">
        <v>882</v>
      </c>
      <c r="B713" s="5">
        <v>706</v>
      </c>
      <c r="C713">
        <v>7174</v>
      </c>
      <c r="D713" t="s">
        <v>28000</v>
      </c>
      <c r="E713" t="s">
        <v>193</v>
      </c>
      <c r="F713" t="s">
        <v>68</v>
      </c>
      <c r="G713" t="s">
        <v>28001</v>
      </c>
      <c r="H713">
        <v>15.85</v>
      </c>
      <c r="I713">
        <v>0</v>
      </c>
      <c r="J713">
        <v>0</v>
      </c>
      <c r="K713">
        <v>0</v>
      </c>
      <c r="M713">
        <v>5</v>
      </c>
      <c r="O713">
        <v>5</v>
      </c>
      <c r="P713">
        <v>0</v>
      </c>
      <c r="Q713">
        <v>0</v>
      </c>
      <c r="R713">
        <v>20.85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F713" t="s">
        <v>130</v>
      </c>
      <c r="AH713">
        <v>20.85</v>
      </c>
    </row>
    <row r="714" spans="1:34" x14ac:dyDescent="0.3">
      <c r="A714" s="4">
        <v>883</v>
      </c>
      <c r="B714" s="5">
        <v>707</v>
      </c>
      <c r="C714">
        <v>1703</v>
      </c>
      <c r="D714" t="s">
        <v>9610</v>
      </c>
      <c r="E714" t="s">
        <v>594</v>
      </c>
      <c r="F714" t="s">
        <v>457</v>
      </c>
      <c r="G714" t="s">
        <v>28002</v>
      </c>
      <c r="H714">
        <v>16.48</v>
      </c>
      <c r="I714">
        <v>0</v>
      </c>
      <c r="J714">
        <v>0</v>
      </c>
      <c r="K714">
        <v>0</v>
      </c>
      <c r="O714">
        <v>0</v>
      </c>
      <c r="P714">
        <v>4</v>
      </c>
      <c r="Q714">
        <v>0</v>
      </c>
      <c r="R714">
        <v>20.48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F714" t="s">
        <v>130</v>
      </c>
      <c r="AH714">
        <v>20.48</v>
      </c>
    </row>
    <row r="715" spans="1:34" x14ac:dyDescent="0.3">
      <c r="A715" s="4">
        <v>884</v>
      </c>
      <c r="B715" s="5">
        <v>708</v>
      </c>
      <c r="C715">
        <v>5743</v>
      </c>
      <c r="D715" t="s">
        <v>2033</v>
      </c>
      <c r="E715" t="s">
        <v>149</v>
      </c>
      <c r="F715" t="s">
        <v>28003</v>
      </c>
      <c r="G715" t="s">
        <v>28004</v>
      </c>
      <c r="H715">
        <v>18.43</v>
      </c>
      <c r="I715">
        <v>0</v>
      </c>
      <c r="J715">
        <v>0</v>
      </c>
      <c r="K715">
        <v>0</v>
      </c>
      <c r="O715">
        <v>0</v>
      </c>
      <c r="P715">
        <v>0</v>
      </c>
      <c r="Q715">
        <v>0</v>
      </c>
      <c r="R715">
        <v>18.43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F715" t="s">
        <v>130</v>
      </c>
      <c r="AH715">
        <v>18.43</v>
      </c>
    </row>
    <row r="716" spans="1:34" x14ac:dyDescent="0.3">
      <c r="A716" s="4">
        <v>887</v>
      </c>
      <c r="B716" s="5">
        <v>709</v>
      </c>
      <c r="C716">
        <v>5301</v>
      </c>
      <c r="D716" t="s">
        <v>604</v>
      </c>
      <c r="E716" t="s">
        <v>273</v>
      </c>
      <c r="F716" t="s">
        <v>30</v>
      </c>
      <c r="G716" t="s">
        <v>28005</v>
      </c>
      <c r="H716">
        <v>15.65</v>
      </c>
      <c r="I716">
        <v>0</v>
      </c>
      <c r="J716">
        <v>0</v>
      </c>
      <c r="K716">
        <v>20</v>
      </c>
      <c r="M716">
        <v>5</v>
      </c>
      <c r="N716">
        <v>3</v>
      </c>
      <c r="O716">
        <v>8</v>
      </c>
      <c r="P716">
        <v>4</v>
      </c>
      <c r="Q716">
        <v>0</v>
      </c>
      <c r="R716">
        <v>47.65</v>
      </c>
      <c r="S716">
        <v>72</v>
      </c>
      <c r="T716">
        <v>72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72</v>
      </c>
      <c r="AB716">
        <v>6</v>
      </c>
      <c r="AC716">
        <v>0</v>
      </c>
      <c r="AH716">
        <v>125.65</v>
      </c>
    </row>
    <row r="717" spans="1:34" x14ac:dyDescent="0.3">
      <c r="A717" s="4">
        <v>888</v>
      </c>
      <c r="B717" s="5">
        <v>710</v>
      </c>
      <c r="C717">
        <v>14739</v>
      </c>
      <c r="D717" t="s">
        <v>28006</v>
      </c>
      <c r="E717" t="s">
        <v>1597</v>
      </c>
      <c r="F717" t="s">
        <v>68</v>
      </c>
      <c r="G717" t="s">
        <v>28007</v>
      </c>
      <c r="H717">
        <v>19.899999999999999</v>
      </c>
      <c r="I717">
        <v>0</v>
      </c>
      <c r="J717">
        <v>0</v>
      </c>
      <c r="K717">
        <v>20</v>
      </c>
      <c r="N717">
        <v>3</v>
      </c>
      <c r="O717">
        <v>3</v>
      </c>
      <c r="P717">
        <v>4</v>
      </c>
      <c r="Q717">
        <v>0</v>
      </c>
      <c r="R717">
        <v>46.9</v>
      </c>
      <c r="S717">
        <v>40</v>
      </c>
      <c r="T717">
        <v>40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40</v>
      </c>
      <c r="AB717">
        <v>6</v>
      </c>
      <c r="AC717">
        <v>32.4</v>
      </c>
      <c r="AH717">
        <v>125.3</v>
      </c>
    </row>
    <row r="718" spans="1:34" x14ac:dyDescent="0.3">
      <c r="A718" s="4">
        <v>889</v>
      </c>
      <c r="B718" s="5">
        <v>711</v>
      </c>
      <c r="C718">
        <v>5814</v>
      </c>
      <c r="D718" t="s">
        <v>28008</v>
      </c>
      <c r="E718" t="s">
        <v>110</v>
      </c>
      <c r="F718" t="s">
        <v>38</v>
      </c>
      <c r="G718" t="s">
        <v>28009</v>
      </c>
      <c r="H718">
        <v>16.2</v>
      </c>
      <c r="I718">
        <v>0</v>
      </c>
      <c r="J718">
        <v>0</v>
      </c>
      <c r="K718">
        <v>20</v>
      </c>
      <c r="L718">
        <v>7</v>
      </c>
      <c r="N718">
        <v>3</v>
      </c>
      <c r="O718">
        <v>10</v>
      </c>
      <c r="P718">
        <v>4</v>
      </c>
      <c r="Q718">
        <v>2</v>
      </c>
      <c r="R718">
        <v>52.2</v>
      </c>
      <c r="S718">
        <v>73</v>
      </c>
      <c r="T718">
        <v>73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73</v>
      </c>
      <c r="AB718">
        <v>0</v>
      </c>
      <c r="AC718">
        <v>0</v>
      </c>
      <c r="AH718">
        <v>125.2</v>
      </c>
    </row>
    <row r="719" spans="1:34" x14ac:dyDescent="0.3">
      <c r="A719" s="4">
        <v>890</v>
      </c>
      <c r="B719" s="5">
        <v>712</v>
      </c>
      <c r="C719">
        <v>1605</v>
      </c>
      <c r="D719" t="s">
        <v>28010</v>
      </c>
      <c r="E719" t="s">
        <v>188</v>
      </c>
      <c r="F719" t="s">
        <v>2998</v>
      </c>
      <c r="G719" t="s">
        <v>28011</v>
      </c>
      <c r="H719">
        <v>16.829999999999998</v>
      </c>
      <c r="I719">
        <v>0</v>
      </c>
      <c r="J719">
        <v>0</v>
      </c>
      <c r="K719">
        <v>0</v>
      </c>
      <c r="M719">
        <v>5</v>
      </c>
      <c r="O719">
        <v>5</v>
      </c>
      <c r="P719">
        <v>4</v>
      </c>
      <c r="Q719">
        <v>2</v>
      </c>
      <c r="R719">
        <v>27.83</v>
      </c>
      <c r="S719">
        <v>87</v>
      </c>
      <c r="T719">
        <v>87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87</v>
      </c>
      <c r="AB719">
        <v>6</v>
      </c>
      <c r="AC719">
        <v>0</v>
      </c>
      <c r="AH719">
        <v>120.83</v>
      </c>
    </row>
    <row r="720" spans="1:34" x14ac:dyDescent="0.3">
      <c r="A720" s="4">
        <v>891</v>
      </c>
      <c r="B720" s="5">
        <v>713</v>
      </c>
      <c r="C720">
        <v>3723</v>
      </c>
      <c r="D720" t="s">
        <v>2218</v>
      </c>
      <c r="E720" t="s">
        <v>88</v>
      </c>
      <c r="F720" t="s">
        <v>83</v>
      </c>
      <c r="G720" t="s">
        <v>28012</v>
      </c>
      <c r="H720">
        <v>16.05</v>
      </c>
      <c r="I720">
        <v>0</v>
      </c>
      <c r="J720">
        <v>0</v>
      </c>
      <c r="K720">
        <v>20</v>
      </c>
      <c r="N720">
        <v>3</v>
      </c>
      <c r="O720">
        <v>3</v>
      </c>
      <c r="P720">
        <v>4</v>
      </c>
      <c r="Q720">
        <v>0</v>
      </c>
      <c r="R720">
        <v>43.05</v>
      </c>
      <c r="S720">
        <v>71</v>
      </c>
      <c r="T720">
        <v>71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71</v>
      </c>
      <c r="AB720">
        <v>6</v>
      </c>
      <c r="AC720">
        <v>0</v>
      </c>
      <c r="AH720">
        <v>120.05</v>
      </c>
    </row>
    <row r="721" spans="1:34" x14ac:dyDescent="0.3">
      <c r="A721" s="4">
        <v>892</v>
      </c>
      <c r="B721" s="5">
        <v>714</v>
      </c>
      <c r="C721">
        <v>4951</v>
      </c>
      <c r="D721" t="s">
        <v>28013</v>
      </c>
      <c r="E721" t="s">
        <v>471</v>
      </c>
      <c r="F721" t="s">
        <v>38</v>
      </c>
      <c r="G721" t="s">
        <v>28014</v>
      </c>
      <c r="H721">
        <v>16.23</v>
      </c>
      <c r="I721">
        <v>0</v>
      </c>
      <c r="J721">
        <v>0</v>
      </c>
      <c r="K721">
        <v>20</v>
      </c>
      <c r="L721">
        <v>14</v>
      </c>
      <c r="O721">
        <v>14</v>
      </c>
      <c r="P721">
        <v>4</v>
      </c>
      <c r="Q721">
        <v>2</v>
      </c>
      <c r="R721">
        <v>56.23</v>
      </c>
      <c r="S721">
        <v>63</v>
      </c>
      <c r="T721">
        <v>63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63</v>
      </c>
      <c r="AB721">
        <v>0</v>
      </c>
      <c r="AC721">
        <v>0</v>
      </c>
      <c r="AD721" t="s">
        <v>130</v>
      </c>
      <c r="AH721">
        <v>119.23</v>
      </c>
    </row>
    <row r="722" spans="1:34" x14ac:dyDescent="0.3">
      <c r="A722" s="4">
        <v>896</v>
      </c>
      <c r="B722" s="5">
        <v>715</v>
      </c>
      <c r="C722">
        <v>12231</v>
      </c>
      <c r="D722" t="s">
        <v>28016</v>
      </c>
      <c r="E722" t="s">
        <v>740</v>
      </c>
      <c r="F722" t="s">
        <v>117</v>
      </c>
      <c r="G722" t="s">
        <v>28017</v>
      </c>
      <c r="H722">
        <v>15.05</v>
      </c>
      <c r="I722">
        <v>0</v>
      </c>
      <c r="J722">
        <v>0</v>
      </c>
      <c r="K722">
        <v>20</v>
      </c>
      <c r="N722">
        <v>3</v>
      </c>
      <c r="O722">
        <v>3</v>
      </c>
      <c r="P722">
        <v>4</v>
      </c>
      <c r="Q722">
        <v>2</v>
      </c>
      <c r="R722">
        <v>44.05</v>
      </c>
      <c r="S722">
        <v>71</v>
      </c>
      <c r="T722">
        <v>71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71</v>
      </c>
      <c r="AB722">
        <v>3</v>
      </c>
      <c r="AC722">
        <v>0</v>
      </c>
      <c r="AH722">
        <v>118.05</v>
      </c>
    </row>
    <row r="723" spans="1:34" x14ac:dyDescent="0.3">
      <c r="A723" s="4">
        <v>897</v>
      </c>
      <c r="B723" s="5">
        <v>716</v>
      </c>
      <c r="C723">
        <v>4855</v>
      </c>
      <c r="D723" t="s">
        <v>12787</v>
      </c>
      <c r="E723" t="s">
        <v>22</v>
      </c>
      <c r="F723" t="s">
        <v>17</v>
      </c>
      <c r="G723" t="s">
        <v>32081</v>
      </c>
      <c r="H723">
        <v>16.43</v>
      </c>
      <c r="I723">
        <v>0</v>
      </c>
      <c r="J723">
        <v>0</v>
      </c>
      <c r="K723">
        <v>0</v>
      </c>
      <c r="N723">
        <v>3</v>
      </c>
      <c r="O723">
        <v>3</v>
      </c>
      <c r="P723">
        <v>4</v>
      </c>
      <c r="Q723">
        <v>2</v>
      </c>
      <c r="R723">
        <v>25.43</v>
      </c>
      <c r="S723">
        <v>56</v>
      </c>
      <c r="T723">
        <v>56</v>
      </c>
      <c r="U723">
        <v>18</v>
      </c>
      <c r="V723">
        <v>36</v>
      </c>
      <c r="W723">
        <v>0</v>
      </c>
      <c r="X723">
        <v>0</v>
      </c>
      <c r="Y723">
        <v>0</v>
      </c>
      <c r="Z723">
        <v>0</v>
      </c>
      <c r="AA723">
        <v>92</v>
      </c>
      <c r="AB723">
        <v>0</v>
      </c>
      <c r="AC723">
        <v>0</v>
      </c>
      <c r="AH723">
        <v>117.43</v>
      </c>
    </row>
    <row r="724" spans="1:34" x14ac:dyDescent="0.3">
      <c r="A724" s="4">
        <v>898</v>
      </c>
      <c r="B724" s="5">
        <v>717</v>
      </c>
      <c r="C724">
        <v>13427</v>
      </c>
      <c r="D724" t="s">
        <v>3792</v>
      </c>
      <c r="E724" t="s">
        <v>2538</v>
      </c>
      <c r="F724" t="s">
        <v>30</v>
      </c>
      <c r="G724" t="s">
        <v>28018</v>
      </c>
      <c r="H724">
        <v>19.100000000000001</v>
      </c>
      <c r="I724">
        <v>0</v>
      </c>
      <c r="J724">
        <v>0</v>
      </c>
      <c r="K724">
        <v>20</v>
      </c>
      <c r="L724">
        <v>7</v>
      </c>
      <c r="O724">
        <v>7</v>
      </c>
      <c r="P724">
        <v>4</v>
      </c>
      <c r="Q724">
        <v>2</v>
      </c>
      <c r="R724">
        <v>52.1</v>
      </c>
      <c r="S724">
        <v>63</v>
      </c>
      <c r="T724">
        <v>63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63</v>
      </c>
      <c r="AB724">
        <v>0</v>
      </c>
      <c r="AC724">
        <v>0</v>
      </c>
      <c r="AD724" t="s">
        <v>130</v>
      </c>
      <c r="AH724">
        <v>115.1</v>
      </c>
    </row>
    <row r="725" spans="1:34" x14ac:dyDescent="0.3">
      <c r="A725" s="4">
        <v>901</v>
      </c>
      <c r="B725" s="5">
        <v>718</v>
      </c>
      <c r="C725">
        <v>9800</v>
      </c>
      <c r="D725" t="s">
        <v>28019</v>
      </c>
      <c r="E725" t="s">
        <v>170</v>
      </c>
      <c r="F725" t="s">
        <v>20</v>
      </c>
      <c r="G725" t="s">
        <v>28020</v>
      </c>
      <c r="H725">
        <v>18.73</v>
      </c>
      <c r="I725">
        <v>0</v>
      </c>
      <c r="J725">
        <v>0</v>
      </c>
      <c r="K725">
        <v>20</v>
      </c>
      <c r="L725">
        <v>7</v>
      </c>
      <c r="O725">
        <v>7</v>
      </c>
      <c r="P725">
        <v>4</v>
      </c>
      <c r="Q725">
        <v>0</v>
      </c>
      <c r="R725">
        <v>49.73</v>
      </c>
      <c r="S725">
        <v>60</v>
      </c>
      <c r="T725">
        <v>60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60</v>
      </c>
      <c r="AB725">
        <v>3</v>
      </c>
      <c r="AC725">
        <v>0</v>
      </c>
      <c r="AH725">
        <v>112.73</v>
      </c>
    </row>
    <row r="726" spans="1:34" x14ac:dyDescent="0.3">
      <c r="A726" s="4">
        <v>902</v>
      </c>
      <c r="B726" s="5">
        <v>719</v>
      </c>
      <c r="C726">
        <v>13914</v>
      </c>
      <c r="D726" t="s">
        <v>2100</v>
      </c>
      <c r="E726" t="s">
        <v>178</v>
      </c>
      <c r="F726" t="s">
        <v>38</v>
      </c>
      <c r="G726" t="s">
        <v>28021</v>
      </c>
      <c r="H726">
        <v>16.28</v>
      </c>
      <c r="I726">
        <v>0</v>
      </c>
      <c r="J726">
        <v>0</v>
      </c>
      <c r="K726">
        <v>20</v>
      </c>
      <c r="L726">
        <v>7</v>
      </c>
      <c r="N726">
        <v>3</v>
      </c>
      <c r="O726">
        <v>10</v>
      </c>
      <c r="P726">
        <v>0</v>
      </c>
      <c r="Q726">
        <v>0</v>
      </c>
      <c r="R726">
        <v>46.28</v>
      </c>
      <c r="S726">
        <v>63</v>
      </c>
      <c r="T726">
        <v>63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63</v>
      </c>
      <c r="AB726">
        <v>3</v>
      </c>
      <c r="AC726">
        <v>0</v>
      </c>
      <c r="AH726">
        <v>112.28</v>
      </c>
    </row>
    <row r="727" spans="1:34" x14ac:dyDescent="0.3">
      <c r="A727" s="4">
        <v>904</v>
      </c>
      <c r="B727" s="5">
        <v>720</v>
      </c>
      <c r="C727">
        <v>9889</v>
      </c>
      <c r="D727" t="s">
        <v>4186</v>
      </c>
      <c r="E727" t="s">
        <v>110</v>
      </c>
      <c r="F727" t="s">
        <v>38</v>
      </c>
      <c r="G727" t="s">
        <v>28022</v>
      </c>
      <c r="H727">
        <v>16.600000000000001</v>
      </c>
      <c r="I727">
        <v>0</v>
      </c>
      <c r="J727">
        <v>0</v>
      </c>
      <c r="K727">
        <v>20</v>
      </c>
      <c r="L727">
        <v>7</v>
      </c>
      <c r="O727">
        <v>7</v>
      </c>
      <c r="P727">
        <v>4</v>
      </c>
      <c r="Q727">
        <v>2</v>
      </c>
      <c r="R727">
        <v>49.6</v>
      </c>
      <c r="S727">
        <v>61</v>
      </c>
      <c r="T727">
        <v>61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61</v>
      </c>
      <c r="AB727">
        <v>0</v>
      </c>
      <c r="AC727">
        <v>0</v>
      </c>
      <c r="AD727" t="s">
        <v>130</v>
      </c>
      <c r="AH727">
        <v>110.6</v>
      </c>
    </row>
    <row r="728" spans="1:34" x14ac:dyDescent="0.3">
      <c r="A728" s="4">
        <v>905</v>
      </c>
      <c r="B728" s="5">
        <v>721</v>
      </c>
      <c r="C728">
        <v>4422</v>
      </c>
      <c r="D728" t="s">
        <v>28023</v>
      </c>
      <c r="E728" t="s">
        <v>88</v>
      </c>
      <c r="F728" t="s">
        <v>158</v>
      </c>
      <c r="G728" t="s">
        <v>28024</v>
      </c>
      <c r="H728">
        <v>15.58</v>
      </c>
      <c r="I728">
        <v>0</v>
      </c>
      <c r="J728">
        <v>0</v>
      </c>
      <c r="K728">
        <v>20</v>
      </c>
      <c r="L728">
        <v>7</v>
      </c>
      <c r="N728">
        <v>3</v>
      </c>
      <c r="O728">
        <v>10</v>
      </c>
      <c r="P728">
        <v>4</v>
      </c>
      <c r="Q728">
        <v>2</v>
      </c>
      <c r="R728">
        <v>51.58</v>
      </c>
      <c r="S728">
        <v>58</v>
      </c>
      <c r="T728">
        <v>58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58</v>
      </c>
      <c r="AB728">
        <v>0</v>
      </c>
      <c r="AC728">
        <v>0</v>
      </c>
      <c r="AD728" t="s">
        <v>130</v>
      </c>
      <c r="AH728">
        <v>109.58</v>
      </c>
    </row>
    <row r="729" spans="1:34" x14ac:dyDescent="0.3">
      <c r="A729" s="4">
        <v>906</v>
      </c>
      <c r="B729" s="5">
        <v>722</v>
      </c>
      <c r="C729">
        <v>12917</v>
      </c>
      <c r="D729" t="s">
        <v>10012</v>
      </c>
      <c r="E729" t="s">
        <v>139</v>
      </c>
      <c r="F729" t="s">
        <v>17</v>
      </c>
      <c r="G729" t="s">
        <v>28025</v>
      </c>
      <c r="H729">
        <v>17.45</v>
      </c>
      <c r="I729">
        <v>0</v>
      </c>
      <c r="J729">
        <v>0</v>
      </c>
      <c r="K729">
        <v>28</v>
      </c>
      <c r="M729">
        <v>5</v>
      </c>
      <c r="O729">
        <v>5</v>
      </c>
      <c r="P729">
        <v>4</v>
      </c>
      <c r="Q729">
        <v>2</v>
      </c>
      <c r="R729">
        <v>56.45</v>
      </c>
      <c r="S729">
        <v>53</v>
      </c>
      <c r="T729">
        <v>53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53</v>
      </c>
      <c r="AB729">
        <v>0</v>
      </c>
      <c r="AC729">
        <v>0</v>
      </c>
      <c r="AD729" t="s">
        <v>130</v>
      </c>
      <c r="AH729">
        <v>109.45</v>
      </c>
    </row>
    <row r="730" spans="1:34" x14ac:dyDescent="0.3">
      <c r="A730" s="4">
        <v>907</v>
      </c>
      <c r="B730" s="5">
        <v>723</v>
      </c>
      <c r="C730">
        <v>11537</v>
      </c>
      <c r="D730" t="s">
        <v>28026</v>
      </c>
      <c r="E730" t="s">
        <v>161</v>
      </c>
      <c r="F730" t="s">
        <v>20</v>
      </c>
      <c r="G730" t="s">
        <v>28027</v>
      </c>
      <c r="H730">
        <v>16.43</v>
      </c>
      <c r="I730">
        <v>0</v>
      </c>
      <c r="J730">
        <v>0</v>
      </c>
      <c r="K730">
        <v>0</v>
      </c>
      <c r="L730">
        <v>7</v>
      </c>
      <c r="O730">
        <v>7</v>
      </c>
      <c r="P730">
        <v>4</v>
      </c>
      <c r="Q730">
        <v>0</v>
      </c>
      <c r="R730">
        <v>27.43</v>
      </c>
      <c r="S730">
        <v>79</v>
      </c>
      <c r="T730">
        <v>79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79</v>
      </c>
      <c r="AB730">
        <v>3</v>
      </c>
      <c r="AC730">
        <v>0</v>
      </c>
      <c r="AD730" t="s">
        <v>130</v>
      </c>
      <c r="AH730">
        <v>109.43</v>
      </c>
    </row>
    <row r="731" spans="1:34" x14ac:dyDescent="0.3">
      <c r="A731" s="4">
        <v>908</v>
      </c>
      <c r="B731" s="5">
        <v>724</v>
      </c>
      <c r="C731">
        <v>10867</v>
      </c>
      <c r="D731" t="s">
        <v>28028</v>
      </c>
      <c r="E731" t="s">
        <v>88</v>
      </c>
      <c r="F731" t="s">
        <v>20</v>
      </c>
      <c r="G731" t="s">
        <v>28029</v>
      </c>
      <c r="H731">
        <v>19.399999999999999</v>
      </c>
      <c r="I731">
        <v>0</v>
      </c>
      <c r="J731">
        <v>0</v>
      </c>
      <c r="K731">
        <v>20</v>
      </c>
      <c r="N731">
        <v>3</v>
      </c>
      <c r="O731">
        <v>3</v>
      </c>
      <c r="P731">
        <v>4</v>
      </c>
      <c r="Q731">
        <v>2</v>
      </c>
      <c r="R731">
        <v>48.4</v>
      </c>
      <c r="S731">
        <v>61</v>
      </c>
      <c r="T731">
        <v>61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61</v>
      </c>
      <c r="AB731">
        <v>0</v>
      </c>
      <c r="AC731">
        <v>0</v>
      </c>
      <c r="AH731">
        <v>109.4</v>
      </c>
    </row>
    <row r="732" spans="1:34" x14ac:dyDescent="0.3">
      <c r="A732" s="4">
        <v>912</v>
      </c>
      <c r="B732" s="5">
        <v>725</v>
      </c>
      <c r="C732">
        <v>7605</v>
      </c>
      <c r="D732" t="s">
        <v>891</v>
      </c>
      <c r="E732" t="s">
        <v>41</v>
      </c>
      <c r="F732" t="s">
        <v>91</v>
      </c>
      <c r="G732" t="s">
        <v>28030</v>
      </c>
      <c r="H732">
        <v>14.75</v>
      </c>
      <c r="I732">
        <v>0</v>
      </c>
      <c r="J732">
        <v>0</v>
      </c>
      <c r="K732">
        <v>0</v>
      </c>
      <c r="O732">
        <v>0</v>
      </c>
      <c r="P732">
        <v>4</v>
      </c>
      <c r="Q732">
        <v>2</v>
      </c>
      <c r="R732">
        <v>20.75</v>
      </c>
      <c r="S732">
        <v>84</v>
      </c>
      <c r="T732">
        <v>84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84</v>
      </c>
      <c r="AB732">
        <v>3</v>
      </c>
      <c r="AC732">
        <v>0</v>
      </c>
      <c r="AH732">
        <v>107.75</v>
      </c>
    </row>
    <row r="733" spans="1:34" x14ac:dyDescent="0.3">
      <c r="A733" s="4">
        <v>913</v>
      </c>
      <c r="B733" s="5">
        <v>726</v>
      </c>
      <c r="C733">
        <v>5244</v>
      </c>
      <c r="D733" t="s">
        <v>3662</v>
      </c>
      <c r="E733" t="s">
        <v>178</v>
      </c>
      <c r="F733" t="s">
        <v>136</v>
      </c>
      <c r="G733" t="s">
        <v>28031</v>
      </c>
      <c r="H733">
        <v>18.75</v>
      </c>
      <c r="I733">
        <v>0</v>
      </c>
      <c r="J733">
        <v>0</v>
      </c>
      <c r="K733">
        <v>0</v>
      </c>
      <c r="L733">
        <v>7</v>
      </c>
      <c r="N733">
        <v>3</v>
      </c>
      <c r="O733">
        <v>10</v>
      </c>
      <c r="P733">
        <v>4</v>
      </c>
      <c r="Q733">
        <v>0</v>
      </c>
      <c r="R733">
        <v>32.75</v>
      </c>
      <c r="S733">
        <v>64</v>
      </c>
      <c r="T733">
        <v>64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64</v>
      </c>
      <c r="AB733">
        <v>9</v>
      </c>
      <c r="AC733">
        <v>0</v>
      </c>
      <c r="AH733">
        <v>105.75</v>
      </c>
    </row>
    <row r="734" spans="1:34" x14ac:dyDescent="0.3">
      <c r="A734" s="4">
        <v>914</v>
      </c>
      <c r="B734" s="5">
        <v>727</v>
      </c>
      <c r="C734">
        <v>2841</v>
      </c>
      <c r="D734" t="s">
        <v>28032</v>
      </c>
      <c r="E734" t="s">
        <v>97</v>
      </c>
      <c r="F734" t="s">
        <v>38</v>
      </c>
      <c r="G734" t="s">
        <v>28033</v>
      </c>
      <c r="H734">
        <v>21.3</v>
      </c>
      <c r="I734">
        <v>0</v>
      </c>
      <c r="J734">
        <v>0</v>
      </c>
      <c r="K734">
        <v>20</v>
      </c>
      <c r="L734">
        <v>7</v>
      </c>
      <c r="O734">
        <v>7</v>
      </c>
      <c r="P734">
        <v>4</v>
      </c>
      <c r="Q734">
        <v>2</v>
      </c>
      <c r="R734">
        <v>54.3</v>
      </c>
      <c r="S734">
        <v>48</v>
      </c>
      <c r="T734">
        <v>48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48</v>
      </c>
      <c r="AB734">
        <v>3</v>
      </c>
      <c r="AC734">
        <v>0</v>
      </c>
      <c r="AH734">
        <v>105.3</v>
      </c>
    </row>
    <row r="735" spans="1:34" x14ac:dyDescent="0.3">
      <c r="A735" s="4">
        <v>915</v>
      </c>
      <c r="B735" s="5">
        <v>728</v>
      </c>
      <c r="C735">
        <v>6555</v>
      </c>
      <c r="D735" t="s">
        <v>28034</v>
      </c>
      <c r="E735" t="s">
        <v>161</v>
      </c>
      <c r="F735" t="s">
        <v>1854</v>
      </c>
      <c r="G735" t="s">
        <v>28035</v>
      </c>
      <c r="H735">
        <v>14.9</v>
      </c>
      <c r="I735">
        <v>0</v>
      </c>
      <c r="J735">
        <v>0</v>
      </c>
      <c r="K735">
        <v>0</v>
      </c>
      <c r="O735">
        <v>0</v>
      </c>
      <c r="P735">
        <v>4</v>
      </c>
      <c r="Q735">
        <v>2</v>
      </c>
      <c r="R735">
        <v>20.9</v>
      </c>
      <c r="S735">
        <v>58</v>
      </c>
      <c r="T735">
        <v>58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58</v>
      </c>
      <c r="AB735">
        <v>6</v>
      </c>
      <c r="AC735">
        <v>20</v>
      </c>
      <c r="AD735" t="s">
        <v>130</v>
      </c>
      <c r="AH735">
        <v>104.9</v>
      </c>
    </row>
    <row r="736" spans="1:34" x14ac:dyDescent="0.3">
      <c r="A736" s="4">
        <v>916</v>
      </c>
      <c r="B736" s="5">
        <v>729</v>
      </c>
      <c r="C736">
        <v>2037</v>
      </c>
      <c r="D736" t="s">
        <v>5082</v>
      </c>
      <c r="E736" t="s">
        <v>29</v>
      </c>
      <c r="F736" t="s">
        <v>30</v>
      </c>
      <c r="G736" t="s">
        <v>28036</v>
      </c>
      <c r="H736">
        <v>15.73</v>
      </c>
      <c r="I736">
        <v>0</v>
      </c>
      <c r="J736">
        <v>0</v>
      </c>
      <c r="K736">
        <v>0</v>
      </c>
      <c r="L736">
        <v>7</v>
      </c>
      <c r="O736">
        <v>7</v>
      </c>
      <c r="P736">
        <v>0</v>
      </c>
      <c r="Q736">
        <v>2</v>
      </c>
      <c r="R736">
        <v>24.73</v>
      </c>
      <c r="S736">
        <v>79</v>
      </c>
      <c r="T736">
        <v>79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79</v>
      </c>
      <c r="AB736">
        <v>0</v>
      </c>
      <c r="AC736">
        <v>0</v>
      </c>
      <c r="AH736">
        <v>103.73</v>
      </c>
    </row>
    <row r="737" spans="1:34" x14ac:dyDescent="0.3">
      <c r="A737" s="4">
        <v>917</v>
      </c>
      <c r="B737" s="5">
        <v>730</v>
      </c>
      <c r="C737">
        <v>9435</v>
      </c>
      <c r="D737" t="s">
        <v>28037</v>
      </c>
      <c r="E737" t="s">
        <v>166</v>
      </c>
      <c r="F737" t="s">
        <v>7504</v>
      </c>
      <c r="G737" t="s">
        <v>28038</v>
      </c>
      <c r="H737">
        <v>15.58</v>
      </c>
      <c r="I737">
        <v>0</v>
      </c>
      <c r="J737">
        <v>0</v>
      </c>
      <c r="K737">
        <v>20</v>
      </c>
      <c r="N737">
        <v>3</v>
      </c>
      <c r="O737">
        <v>3</v>
      </c>
      <c r="P737">
        <v>4</v>
      </c>
      <c r="Q737">
        <v>2</v>
      </c>
      <c r="R737">
        <v>44.58</v>
      </c>
      <c r="S737">
        <v>59</v>
      </c>
      <c r="T737">
        <v>59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59</v>
      </c>
      <c r="AB737">
        <v>0</v>
      </c>
      <c r="AC737">
        <v>0</v>
      </c>
      <c r="AH737">
        <v>103.58</v>
      </c>
    </row>
    <row r="738" spans="1:34" x14ac:dyDescent="0.3">
      <c r="A738" s="4">
        <v>918</v>
      </c>
      <c r="B738" s="5">
        <v>731</v>
      </c>
      <c r="C738">
        <v>11373</v>
      </c>
      <c r="D738" t="s">
        <v>181</v>
      </c>
      <c r="E738" t="s">
        <v>100</v>
      </c>
      <c r="F738" t="s">
        <v>3968</v>
      </c>
      <c r="G738" t="s">
        <v>28039</v>
      </c>
      <c r="H738">
        <v>18.23</v>
      </c>
      <c r="I738">
        <v>0</v>
      </c>
      <c r="J738">
        <v>0</v>
      </c>
      <c r="K738">
        <v>20</v>
      </c>
      <c r="L738">
        <v>7</v>
      </c>
      <c r="O738">
        <v>7</v>
      </c>
      <c r="P738">
        <v>4</v>
      </c>
      <c r="Q738">
        <v>2</v>
      </c>
      <c r="R738">
        <v>51.23</v>
      </c>
      <c r="S738">
        <v>52</v>
      </c>
      <c r="T738">
        <v>52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52</v>
      </c>
      <c r="AB738">
        <v>0</v>
      </c>
      <c r="AC738">
        <v>0</v>
      </c>
      <c r="AH738">
        <v>103.23</v>
      </c>
    </row>
    <row r="739" spans="1:34" x14ac:dyDescent="0.3">
      <c r="A739" s="4">
        <v>919</v>
      </c>
      <c r="B739" s="5">
        <v>732</v>
      </c>
      <c r="C739">
        <v>9635</v>
      </c>
      <c r="D739" t="s">
        <v>1604</v>
      </c>
      <c r="E739" t="s">
        <v>161</v>
      </c>
      <c r="F739" t="s">
        <v>38</v>
      </c>
      <c r="G739" t="s">
        <v>28040</v>
      </c>
      <c r="H739">
        <v>14.4</v>
      </c>
      <c r="I739">
        <v>0</v>
      </c>
      <c r="J739">
        <v>0</v>
      </c>
      <c r="K739">
        <v>0</v>
      </c>
      <c r="N739">
        <v>3</v>
      </c>
      <c r="O739">
        <v>3</v>
      </c>
      <c r="P739">
        <v>4</v>
      </c>
      <c r="Q739">
        <v>2</v>
      </c>
      <c r="R739">
        <v>23.4</v>
      </c>
      <c r="S739">
        <v>76</v>
      </c>
      <c r="T739">
        <v>76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76</v>
      </c>
      <c r="AB739">
        <v>3</v>
      </c>
      <c r="AC739">
        <v>0</v>
      </c>
      <c r="AH739">
        <v>102.4</v>
      </c>
    </row>
    <row r="740" spans="1:34" x14ac:dyDescent="0.3">
      <c r="A740" s="4">
        <v>920</v>
      </c>
      <c r="B740" s="5">
        <v>733</v>
      </c>
      <c r="C740">
        <v>4401</v>
      </c>
      <c r="D740" t="s">
        <v>28041</v>
      </c>
      <c r="E740" t="s">
        <v>29</v>
      </c>
      <c r="F740" t="s">
        <v>81</v>
      </c>
      <c r="G740" t="s">
        <v>28042</v>
      </c>
      <c r="H740">
        <v>16.38</v>
      </c>
      <c r="I740">
        <v>0</v>
      </c>
      <c r="J740">
        <v>40</v>
      </c>
      <c r="K740">
        <v>28</v>
      </c>
      <c r="L740">
        <v>7</v>
      </c>
      <c r="O740">
        <v>7</v>
      </c>
      <c r="P740">
        <v>4</v>
      </c>
      <c r="Q740">
        <v>2</v>
      </c>
      <c r="R740">
        <v>97.38</v>
      </c>
      <c r="S740">
        <v>5</v>
      </c>
      <c r="T740">
        <v>5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5</v>
      </c>
      <c r="AB740">
        <v>0</v>
      </c>
      <c r="AC740">
        <v>0</v>
      </c>
      <c r="AH740">
        <v>102.38</v>
      </c>
    </row>
    <row r="741" spans="1:34" x14ac:dyDescent="0.3">
      <c r="A741" s="4">
        <v>921</v>
      </c>
      <c r="B741" s="5">
        <v>734</v>
      </c>
      <c r="C741">
        <v>12986</v>
      </c>
      <c r="D741" t="s">
        <v>2218</v>
      </c>
      <c r="E741" t="s">
        <v>29</v>
      </c>
      <c r="F741" t="s">
        <v>2998</v>
      </c>
      <c r="G741" t="s">
        <v>28043</v>
      </c>
      <c r="H741">
        <v>17.149999999999999</v>
      </c>
      <c r="I741">
        <v>0</v>
      </c>
      <c r="J741">
        <v>0</v>
      </c>
      <c r="K741">
        <v>20</v>
      </c>
      <c r="N741">
        <v>3</v>
      </c>
      <c r="O741">
        <v>3</v>
      </c>
      <c r="P741">
        <v>4</v>
      </c>
      <c r="Q741">
        <v>2</v>
      </c>
      <c r="R741">
        <v>46.15</v>
      </c>
      <c r="S741">
        <v>47</v>
      </c>
      <c r="T741">
        <v>47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47</v>
      </c>
      <c r="AB741">
        <v>9</v>
      </c>
      <c r="AC741">
        <v>0</v>
      </c>
      <c r="AH741">
        <v>102.15</v>
      </c>
    </row>
    <row r="742" spans="1:34" x14ac:dyDescent="0.3">
      <c r="A742" s="4">
        <v>922</v>
      </c>
      <c r="B742" s="5">
        <v>735</v>
      </c>
      <c r="C742">
        <v>7522</v>
      </c>
      <c r="D742" t="s">
        <v>2081</v>
      </c>
      <c r="E742" t="s">
        <v>28044</v>
      </c>
      <c r="F742" t="s">
        <v>30</v>
      </c>
      <c r="G742" t="s">
        <v>28045</v>
      </c>
      <c r="H742">
        <v>18.579999999999998</v>
      </c>
      <c r="I742">
        <v>0</v>
      </c>
      <c r="J742">
        <v>0</v>
      </c>
      <c r="K742">
        <v>28</v>
      </c>
      <c r="N742">
        <v>3</v>
      </c>
      <c r="O742">
        <v>3</v>
      </c>
      <c r="P742">
        <v>4</v>
      </c>
      <c r="Q742">
        <v>2</v>
      </c>
      <c r="R742">
        <v>55.58</v>
      </c>
      <c r="S742">
        <v>46</v>
      </c>
      <c r="T742">
        <v>46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46</v>
      </c>
      <c r="AB742">
        <v>0</v>
      </c>
      <c r="AC742">
        <v>0</v>
      </c>
      <c r="AH742">
        <v>101.58</v>
      </c>
    </row>
    <row r="743" spans="1:34" x14ac:dyDescent="0.3">
      <c r="A743" s="4">
        <v>923</v>
      </c>
      <c r="B743" s="5">
        <v>736</v>
      </c>
      <c r="C743">
        <v>6524</v>
      </c>
      <c r="D743" t="s">
        <v>221</v>
      </c>
      <c r="E743" t="s">
        <v>54</v>
      </c>
      <c r="F743" t="s">
        <v>136</v>
      </c>
      <c r="G743" t="s">
        <v>28046</v>
      </c>
      <c r="H743">
        <v>16.23</v>
      </c>
      <c r="I743">
        <v>0</v>
      </c>
      <c r="J743">
        <v>0</v>
      </c>
      <c r="K743">
        <v>20</v>
      </c>
      <c r="L743">
        <v>7</v>
      </c>
      <c r="N743">
        <v>3</v>
      </c>
      <c r="O743">
        <v>10</v>
      </c>
      <c r="P743">
        <v>4</v>
      </c>
      <c r="Q743">
        <v>2</v>
      </c>
      <c r="R743">
        <v>52.23</v>
      </c>
      <c r="S743">
        <v>49</v>
      </c>
      <c r="T743">
        <v>49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49</v>
      </c>
      <c r="AB743">
        <v>0</v>
      </c>
      <c r="AC743">
        <v>0</v>
      </c>
      <c r="AD743" t="s">
        <v>130</v>
      </c>
      <c r="AH743">
        <v>101.23</v>
      </c>
    </row>
    <row r="744" spans="1:34" x14ac:dyDescent="0.3">
      <c r="A744" s="4">
        <v>924</v>
      </c>
      <c r="B744" s="5">
        <v>737</v>
      </c>
      <c r="C744">
        <v>2631</v>
      </c>
      <c r="D744" t="s">
        <v>28047</v>
      </c>
      <c r="E744" t="s">
        <v>1140</v>
      </c>
      <c r="F744" t="s">
        <v>17</v>
      </c>
      <c r="G744" t="s">
        <v>28048</v>
      </c>
      <c r="H744">
        <v>16.329999999999998</v>
      </c>
      <c r="I744">
        <v>0</v>
      </c>
      <c r="J744">
        <v>0</v>
      </c>
      <c r="K744">
        <v>0</v>
      </c>
      <c r="N744">
        <v>3</v>
      </c>
      <c r="O744">
        <v>3</v>
      </c>
      <c r="P744">
        <v>4</v>
      </c>
      <c r="Q744">
        <v>0</v>
      </c>
      <c r="R744">
        <v>23.33</v>
      </c>
      <c r="S744">
        <v>68</v>
      </c>
      <c r="T744">
        <v>68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68</v>
      </c>
      <c r="AB744">
        <v>9</v>
      </c>
      <c r="AC744">
        <v>0</v>
      </c>
      <c r="AD744" t="s">
        <v>130</v>
      </c>
      <c r="AH744">
        <v>100.33</v>
      </c>
    </row>
    <row r="745" spans="1:34" x14ac:dyDescent="0.3">
      <c r="A745" s="4">
        <v>925</v>
      </c>
      <c r="B745" s="5">
        <v>738</v>
      </c>
      <c r="C745">
        <v>11149</v>
      </c>
      <c r="D745" t="s">
        <v>28049</v>
      </c>
      <c r="E745" t="s">
        <v>789</v>
      </c>
      <c r="F745" t="s">
        <v>17</v>
      </c>
      <c r="G745" t="s">
        <v>28050</v>
      </c>
      <c r="H745">
        <v>17.63</v>
      </c>
      <c r="I745">
        <v>0</v>
      </c>
      <c r="J745">
        <v>0</v>
      </c>
      <c r="K745">
        <v>20</v>
      </c>
      <c r="L745">
        <v>7</v>
      </c>
      <c r="O745">
        <v>7</v>
      </c>
      <c r="P745">
        <v>4</v>
      </c>
      <c r="Q745">
        <v>0</v>
      </c>
      <c r="R745">
        <v>48.63</v>
      </c>
      <c r="S745">
        <v>45</v>
      </c>
      <c r="T745">
        <v>45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45</v>
      </c>
      <c r="AB745">
        <v>6</v>
      </c>
      <c r="AC745">
        <v>0</v>
      </c>
      <c r="AD745" t="s">
        <v>130</v>
      </c>
      <c r="AH745">
        <v>99.63</v>
      </c>
    </row>
    <row r="746" spans="1:34" x14ac:dyDescent="0.3">
      <c r="A746" s="4">
        <v>926</v>
      </c>
      <c r="B746" s="5">
        <v>739</v>
      </c>
      <c r="C746">
        <v>15080</v>
      </c>
      <c r="D746" t="s">
        <v>28051</v>
      </c>
      <c r="E746" t="s">
        <v>17</v>
      </c>
      <c r="F746" t="s">
        <v>20</v>
      </c>
      <c r="G746" t="s">
        <v>28052</v>
      </c>
      <c r="H746">
        <v>18.579999999999998</v>
      </c>
      <c r="I746">
        <v>0</v>
      </c>
      <c r="J746">
        <v>0</v>
      </c>
      <c r="K746">
        <v>20</v>
      </c>
      <c r="N746">
        <v>3</v>
      </c>
      <c r="O746">
        <v>3</v>
      </c>
      <c r="P746">
        <v>4</v>
      </c>
      <c r="Q746">
        <v>2</v>
      </c>
      <c r="R746">
        <v>47.58</v>
      </c>
      <c r="S746">
        <v>52</v>
      </c>
      <c r="T746">
        <v>52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52</v>
      </c>
      <c r="AB746">
        <v>0</v>
      </c>
      <c r="AC746">
        <v>0</v>
      </c>
      <c r="AH746">
        <v>99.58</v>
      </c>
    </row>
    <row r="747" spans="1:34" x14ac:dyDescent="0.3">
      <c r="A747" s="4">
        <v>927</v>
      </c>
      <c r="B747" s="5">
        <v>740</v>
      </c>
      <c r="C747">
        <v>8643</v>
      </c>
      <c r="D747" t="s">
        <v>28053</v>
      </c>
      <c r="E747" t="s">
        <v>29</v>
      </c>
      <c r="F747" t="s">
        <v>892</v>
      </c>
      <c r="G747" t="s">
        <v>28054</v>
      </c>
      <c r="H747">
        <v>17.43</v>
      </c>
      <c r="I747">
        <v>0</v>
      </c>
      <c r="J747">
        <v>0</v>
      </c>
      <c r="K747">
        <v>20</v>
      </c>
      <c r="N747">
        <v>3</v>
      </c>
      <c r="O747">
        <v>3</v>
      </c>
      <c r="P747">
        <v>4</v>
      </c>
      <c r="Q747">
        <v>0</v>
      </c>
      <c r="R747">
        <v>44.43</v>
      </c>
      <c r="S747">
        <v>52</v>
      </c>
      <c r="T747">
        <v>52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52</v>
      </c>
      <c r="AB747">
        <v>3</v>
      </c>
      <c r="AC747">
        <v>0</v>
      </c>
      <c r="AH747">
        <v>99.43</v>
      </c>
    </row>
    <row r="748" spans="1:34" x14ac:dyDescent="0.3">
      <c r="A748" s="4">
        <v>928</v>
      </c>
      <c r="B748" s="5">
        <v>741</v>
      </c>
      <c r="C748">
        <v>6119</v>
      </c>
      <c r="D748" t="s">
        <v>8800</v>
      </c>
      <c r="E748" t="s">
        <v>516</v>
      </c>
      <c r="F748" t="s">
        <v>81</v>
      </c>
      <c r="G748" t="s">
        <v>28055</v>
      </c>
      <c r="H748">
        <v>15.35</v>
      </c>
      <c r="I748">
        <v>0</v>
      </c>
      <c r="J748">
        <v>0</v>
      </c>
      <c r="K748">
        <v>0</v>
      </c>
      <c r="L748">
        <v>7</v>
      </c>
      <c r="O748">
        <v>7</v>
      </c>
      <c r="P748">
        <v>4</v>
      </c>
      <c r="Q748">
        <v>0</v>
      </c>
      <c r="R748">
        <v>26.35</v>
      </c>
      <c r="S748">
        <v>70</v>
      </c>
      <c r="T748">
        <v>70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70</v>
      </c>
      <c r="AB748">
        <v>3</v>
      </c>
      <c r="AC748">
        <v>0</v>
      </c>
      <c r="AH748">
        <v>99.35</v>
      </c>
    </row>
    <row r="749" spans="1:34" x14ac:dyDescent="0.3">
      <c r="A749" s="4">
        <v>930</v>
      </c>
      <c r="B749" s="5">
        <v>742</v>
      </c>
      <c r="C749">
        <v>10332</v>
      </c>
      <c r="D749" t="s">
        <v>28056</v>
      </c>
      <c r="E749" t="s">
        <v>28057</v>
      </c>
      <c r="F749" t="s">
        <v>38</v>
      </c>
      <c r="G749" t="s">
        <v>28058</v>
      </c>
      <c r="H749">
        <v>21.2</v>
      </c>
      <c r="I749">
        <v>0</v>
      </c>
      <c r="J749">
        <v>0</v>
      </c>
      <c r="K749">
        <v>0</v>
      </c>
      <c r="L749">
        <v>7</v>
      </c>
      <c r="N749">
        <v>3</v>
      </c>
      <c r="O749">
        <v>10</v>
      </c>
      <c r="P749">
        <v>4</v>
      </c>
      <c r="Q749">
        <v>0</v>
      </c>
      <c r="R749">
        <v>35.200000000000003</v>
      </c>
      <c r="S749">
        <v>22</v>
      </c>
      <c r="T749">
        <v>22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22</v>
      </c>
      <c r="AB749">
        <v>3</v>
      </c>
      <c r="AC749">
        <v>38</v>
      </c>
      <c r="AH749">
        <v>98.2</v>
      </c>
    </row>
    <row r="750" spans="1:34" x14ac:dyDescent="0.3">
      <c r="A750" s="4">
        <v>932</v>
      </c>
      <c r="B750" s="5">
        <v>743</v>
      </c>
      <c r="C750">
        <v>1290</v>
      </c>
      <c r="D750" t="s">
        <v>11605</v>
      </c>
      <c r="E750" t="s">
        <v>213</v>
      </c>
      <c r="F750" t="s">
        <v>136</v>
      </c>
      <c r="G750" t="s">
        <v>28059</v>
      </c>
      <c r="H750">
        <v>15.65</v>
      </c>
      <c r="I750">
        <v>0</v>
      </c>
      <c r="J750">
        <v>0</v>
      </c>
      <c r="K750">
        <v>20</v>
      </c>
      <c r="L750">
        <v>7</v>
      </c>
      <c r="O750">
        <v>7</v>
      </c>
      <c r="P750">
        <v>4</v>
      </c>
      <c r="Q750">
        <v>0</v>
      </c>
      <c r="R750">
        <v>46.65</v>
      </c>
      <c r="S750">
        <v>51</v>
      </c>
      <c r="T750">
        <v>51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51</v>
      </c>
      <c r="AB750">
        <v>0</v>
      </c>
      <c r="AC750">
        <v>0</v>
      </c>
      <c r="AH750">
        <v>97.65</v>
      </c>
    </row>
    <row r="751" spans="1:34" x14ac:dyDescent="0.3">
      <c r="A751" s="4">
        <v>933</v>
      </c>
      <c r="B751" s="5">
        <v>744</v>
      </c>
      <c r="C751">
        <v>5260</v>
      </c>
      <c r="D751" t="s">
        <v>5681</v>
      </c>
      <c r="E751" t="s">
        <v>255</v>
      </c>
      <c r="F751" t="s">
        <v>6216</v>
      </c>
      <c r="G751" t="s">
        <v>28060</v>
      </c>
      <c r="H751">
        <v>17.25</v>
      </c>
      <c r="I751">
        <v>0</v>
      </c>
      <c r="J751">
        <v>0</v>
      </c>
      <c r="K751">
        <v>20</v>
      </c>
      <c r="L751">
        <v>7</v>
      </c>
      <c r="O751">
        <v>7</v>
      </c>
      <c r="P751">
        <v>4</v>
      </c>
      <c r="Q751">
        <v>2</v>
      </c>
      <c r="R751">
        <v>50.25</v>
      </c>
      <c r="S751">
        <v>44</v>
      </c>
      <c r="T751">
        <v>44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44</v>
      </c>
      <c r="AB751">
        <v>3</v>
      </c>
      <c r="AC751">
        <v>0</v>
      </c>
      <c r="AH751">
        <v>97.25</v>
      </c>
    </row>
    <row r="752" spans="1:34" x14ac:dyDescent="0.3">
      <c r="A752" s="4">
        <v>934</v>
      </c>
      <c r="B752" s="5">
        <v>745</v>
      </c>
      <c r="C752">
        <v>12118</v>
      </c>
      <c r="D752" t="s">
        <v>74</v>
      </c>
      <c r="E752" t="s">
        <v>161</v>
      </c>
      <c r="F752" t="s">
        <v>20</v>
      </c>
      <c r="G752" t="s">
        <v>28061</v>
      </c>
      <c r="H752">
        <v>16.95</v>
      </c>
      <c r="I752">
        <v>0</v>
      </c>
      <c r="J752">
        <v>0</v>
      </c>
      <c r="K752">
        <v>0</v>
      </c>
      <c r="O752">
        <v>0</v>
      </c>
      <c r="P752">
        <v>4</v>
      </c>
      <c r="Q752">
        <v>0</v>
      </c>
      <c r="R752">
        <v>20.95</v>
      </c>
      <c r="S752">
        <v>64</v>
      </c>
      <c r="T752">
        <v>64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64</v>
      </c>
      <c r="AB752">
        <v>12</v>
      </c>
      <c r="AC752">
        <v>0</v>
      </c>
      <c r="AH752">
        <v>96.95</v>
      </c>
    </row>
    <row r="753" spans="1:34" x14ac:dyDescent="0.3">
      <c r="A753" s="4">
        <v>935</v>
      </c>
      <c r="B753" s="5">
        <v>746</v>
      </c>
      <c r="C753">
        <v>8765</v>
      </c>
      <c r="D753" t="s">
        <v>824</v>
      </c>
      <c r="E753" t="s">
        <v>26</v>
      </c>
      <c r="F753" t="s">
        <v>158</v>
      </c>
      <c r="G753" t="s">
        <v>28062</v>
      </c>
      <c r="H753">
        <v>17.25</v>
      </c>
      <c r="I753">
        <v>0</v>
      </c>
      <c r="J753">
        <v>0</v>
      </c>
      <c r="K753">
        <v>0</v>
      </c>
      <c r="L753">
        <v>7</v>
      </c>
      <c r="O753">
        <v>7</v>
      </c>
      <c r="P753">
        <v>4</v>
      </c>
      <c r="Q753">
        <v>2</v>
      </c>
      <c r="R753">
        <v>30.25</v>
      </c>
      <c r="S753">
        <v>60</v>
      </c>
      <c r="T753">
        <v>60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60</v>
      </c>
      <c r="AB753">
        <v>6</v>
      </c>
      <c r="AC753">
        <v>0</v>
      </c>
      <c r="AH753">
        <v>96.25</v>
      </c>
    </row>
    <row r="754" spans="1:34" x14ac:dyDescent="0.3">
      <c r="A754" s="4">
        <v>936</v>
      </c>
      <c r="B754" s="5">
        <v>747</v>
      </c>
      <c r="C754">
        <v>2827</v>
      </c>
      <c r="D754" t="s">
        <v>1630</v>
      </c>
      <c r="E754" t="s">
        <v>28063</v>
      </c>
      <c r="F754" t="s">
        <v>158</v>
      </c>
      <c r="G754" t="s">
        <v>28064</v>
      </c>
      <c r="H754">
        <v>18.850000000000001</v>
      </c>
      <c r="I754">
        <v>0</v>
      </c>
      <c r="J754">
        <v>0</v>
      </c>
      <c r="K754">
        <v>20</v>
      </c>
      <c r="L754">
        <v>7</v>
      </c>
      <c r="O754">
        <v>7</v>
      </c>
      <c r="P754">
        <v>4</v>
      </c>
      <c r="Q754">
        <v>0</v>
      </c>
      <c r="R754">
        <v>49.85</v>
      </c>
      <c r="S754">
        <v>46</v>
      </c>
      <c r="T754">
        <v>46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46</v>
      </c>
      <c r="AB754">
        <v>0</v>
      </c>
      <c r="AC754">
        <v>0</v>
      </c>
      <c r="AD754" t="s">
        <v>130</v>
      </c>
      <c r="AH754">
        <v>95.85</v>
      </c>
    </row>
    <row r="755" spans="1:34" x14ac:dyDescent="0.3">
      <c r="A755" s="4">
        <v>937</v>
      </c>
      <c r="B755" s="5">
        <v>748</v>
      </c>
      <c r="C755">
        <v>15429</v>
      </c>
      <c r="D755" t="s">
        <v>22861</v>
      </c>
      <c r="E755" t="s">
        <v>1806</v>
      </c>
      <c r="F755" t="s">
        <v>136</v>
      </c>
      <c r="G755" t="s">
        <v>28065</v>
      </c>
      <c r="H755">
        <v>17.45</v>
      </c>
      <c r="I755">
        <v>0</v>
      </c>
      <c r="J755">
        <v>0</v>
      </c>
      <c r="K755">
        <v>20</v>
      </c>
      <c r="L755">
        <v>7</v>
      </c>
      <c r="O755">
        <v>7</v>
      </c>
      <c r="P755">
        <v>4</v>
      </c>
      <c r="Q755">
        <v>2</v>
      </c>
      <c r="R755">
        <v>50.45</v>
      </c>
      <c r="S755">
        <v>45</v>
      </c>
      <c r="T755">
        <v>45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45</v>
      </c>
      <c r="AB755">
        <v>0</v>
      </c>
      <c r="AC755">
        <v>0</v>
      </c>
      <c r="AD755" t="s">
        <v>130</v>
      </c>
      <c r="AH755">
        <v>95.45</v>
      </c>
    </row>
    <row r="756" spans="1:34" x14ac:dyDescent="0.3">
      <c r="A756" s="4">
        <v>938</v>
      </c>
      <c r="B756" s="5">
        <v>749</v>
      </c>
      <c r="C756">
        <v>711</v>
      </c>
      <c r="D756" t="s">
        <v>165</v>
      </c>
      <c r="E756" t="s">
        <v>100</v>
      </c>
      <c r="F756" t="s">
        <v>28066</v>
      </c>
      <c r="G756" t="s">
        <v>28067</v>
      </c>
      <c r="H756">
        <v>15.9</v>
      </c>
      <c r="I756">
        <v>0</v>
      </c>
      <c r="J756">
        <v>0</v>
      </c>
      <c r="K756">
        <v>20</v>
      </c>
      <c r="N756">
        <v>3</v>
      </c>
      <c r="O756">
        <v>3</v>
      </c>
      <c r="P756">
        <v>4</v>
      </c>
      <c r="Q756">
        <v>0</v>
      </c>
      <c r="R756">
        <v>42.9</v>
      </c>
      <c r="S756">
        <v>52</v>
      </c>
      <c r="T756">
        <v>52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52</v>
      </c>
      <c r="AB756">
        <v>0</v>
      </c>
      <c r="AC756">
        <v>0</v>
      </c>
      <c r="AH756">
        <v>94.9</v>
      </c>
    </row>
    <row r="757" spans="1:34" x14ac:dyDescent="0.3">
      <c r="A757" s="4">
        <v>939</v>
      </c>
      <c r="B757" s="5">
        <v>750</v>
      </c>
      <c r="C757">
        <v>10577</v>
      </c>
      <c r="D757" t="s">
        <v>28068</v>
      </c>
      <c r="E757" t="s">
        <v>22</v>
      </c>
      <c r="F757" t="s">
        <v>442</v>
      </c>
      <c r="G757" t="s">
        <v>28069</v>
      </c>
      <c r="H757">
        <v>16.850000000000001</v>
      </c>
      <c r="I757">
        <v>0</v>
      </c>
      <c r="J757">
        <v>0</v>
      </c>
      <c r="K757">
        <v>0</v>
      </c>
      <c r="L757">
        <v>7</v>
      </c>
      <c r="N757">
        <v>3</v>
      </c>
      <c r="O757">
        <v>10</v>
      </c>
      <c r="P757">
        <v>4</v>
      </c>
      <c r="Q757">
        <v>2</v>
      </c>
      <c r="R757">
        <v>32.85</v>
      </c>
      <c r="S757">
        <v>59</v>
      </c>
      <c r="T757">
        <v>59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59</v>
      </c>
      <c r="AB757">
        <v>3</v>
      </c>
      <c r="AC757">
        <v>0</v>
      </c>
      <c r="AH757">
        <v>94.85</v>
      </c>
    </row>
    <row r="758" spans="1:34" x14ac:dyDescent="0.3">
      <c r="A758" s="4">
        <v>940</v>
      </c>
      <c r="B758" s="5">
        <v>751</v>
      </c>
      <c r="C758">
        <v>13353</v>
      </c>
      <c r="D758" t="s">
        <v>6683</v>
      </c>
      <c r="E758" t="s">
        <v>208</v>
      </c>
      <c r="F758" t="s">
        <v>81</v>
      </c>
      <c r="G758" t="s">
        <v>28070</v>
      </c>
      <c r="H758">
        <v>15.83</v>
      </c>
      <c r="I758">
        <v>0</v>
      </c>
      <c r="J758">
        <v>0</v>
      </c>
      <c r="K758">
        <v>0</v>
      </c>
      <c r="L758">
        <v>7</v>
      </c>
      <c r="O758">
        <v>7</v>
      </c>
      <c r="P758">
        <v>4</v>
      </c>
      <c r="Q758">
        <v>2</v>
      </c>
      <c r="R758">
        <v>28.83</v>
      </c>
      <c r="S758">
        <v>63</v>
      </c>
      <c r="T758">
        <v>63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63</v>
      </c>
      <c r="AB758">
        <v>3</v>
      </c>
      <c r="AC758">
        <v>0</v>
      </c>
      <c r="AH758">
        <v>94.83</v>
      </c>
    </row>
    <row r="759" spans="1:34" x14ac:dyDescent="0.3">
      <c r="A759" s="4">
        <v>941</v>
      </c>
      <c r="B759" s="5">
        <v>752</v>
      </c>
      <c r="C759">
        <v>4242</v>
      </c>
      <c r="D759" t="s">
        <v>1576</v>
      </c>
      <c r="E759" t="s">
        <v>173</v>
      </c>
      <c r="F759" t="s">
        <v>55</v>
      </c>
      <c r="G759" t="s">
        <v>28071</v>
      </c>
      <c r="H759">
        <v>15.8</v>
      </c>
      <c r="I759">
        <v>0</v>
      </c>
      <c r="J759">
        <v>0</v>
      </c>
      <c r="K759">
        <v>20</v>
      </c>
      <c r="N759">
        <v>3</v>
      </c>
      <c r="O759">
        <v>3</v>
      </c>
      <c r="P759">
        <v>4</v>
      </c>
      <c r="Q759">
        <v>2</v>
      </c>
      <c r="R759">
        <v>44.8</v>
      </c>
      <c r="S759">
        <v>50</v>
      </c>
      <c r="T759">
        <v>50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50</v>
      </c>
      <c r="AB759">
        <v>0</v>
      </c>
      <c r="AC759">
        <v>0</v>
      </c>
      <c r="AH759">
        <v>94.8</v>
      </c>
    </row>
    <row r="760" spans="1:34" x14ac:dyDescent="0.3">
      <c r="A760" s="4">
        <v>942</v>
      </c>
      <c r="B760" s="5">
        <v>753</v>
      </c>
      <c r="C760">
        <v>5537</v>
      </c>
      <c r="D760" t="s">
        <v>28072</v>
      </c>
      <c r="E760" t="s">
        <v>161</v>
      </c>
      <c r="F760" t="s">
        <v>17</v>
      </c>
      <c r="G760" t="s">
        <v>28073</v>
      </c>
      <c r="H760">
        <v>15.78</v>
      </c>
      <c r="I760">
        <v>0</v>
      </c>
      <c r="J760">
        <v>0</v>
      </c>
      <c r="K760">
        <v>0</v>
      </c>
      <c r="N760">
        <v>3</v>
      </c>
      <c r="O760">
        <v>3</v>
      </c>
      <c r="P760">
        <v>4</v>
      </c>
      <c r="Q760">
        <v>0</v>
      </c>
      <c r="R760">
        <v>22.78</v>
      </c>
      <c r="S760">
        <v>60</v>
      </c>
      <c r="T760">
        <v>60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60</v>
      </c>
      <c r="AB760">
        <v>12</v>
      </c>
      <c r="AC760">
        <v>0</v>
      </c>
      <c r="AH760">
        <v>94.78</v>
      </c>
    </row>
    <row r="761" spans="1:34" x14ac:dyDescent="0.3">
      <c r="A761" s="4">
        <v>943</v>
      </c>
      <c r="B761" s="5">
        <v>754</v>
      </c>
      <c r="C761">
        <v>7592</v>
      </c>
      <c r="D761" t="s">
        <v>28074</v>
      </c>
      <c r="E761" t="s">
        <v>1280</v>
      </c>
      <c r="F761" t="s">
        <v>328</v>
      </c>
      <c r="G761" t="s">
        <v>28075</v>
      </c>
      <c r="H761">
        <v>18.38</v>
      </c>
      <c r="I761">
        <v>0</v>
      </c>
      <c r="J761">
        <v>0</v>
      </c>
      <c r="K761">
        <v>20</v>
      </c>
      <c r="N761">
        <v>3</v>
      </c>
      <c r="O761">
        <v>3</v>
      </c>
      <c r="P761">
        <v>4</v>
      </c>
      <c r="Q761">
        <v>0</v>
      </c>
      <c r="R761">
        <v>45.38</v>
      </c>
      <c r="S761">
        <v>46</v>
      </c>
      <c r="T761">
        <v>46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46</v>
      </c>
      <c r="AB761">
        <v>3</v>
      </c>
      <c r="AC761">
        <v>0</v>
      </c>
      <c r="AD761" t="s">
        <v>130</v>
      </c>
      <c r="AH761">
        <v>94.38</v>
      </c>
    </row>
    <row r="762" spans="1:34" x14ac:dyDescent="0.3">
      <c r="A762" s="4">
        <v>944</v>
      </c>
      <c r="B762" s="5">
        <v>755</v>
      </c>
      <c r="C762">
        <v>2004</v>
      </c>
      <c r="D762" t="s">
        <v>2416</v>
      </c>
      <c r="E762" t="s">
        <v>479</v>
      </c>
      <c r="F762" t="s">
        <v>927</v>
      </c>
      <c r="G762" t="s">
        <v>28076</v>
      </c>
      <c r="H762">
        <v>16.48</v>
      </c>
      <c r="I762">
        <v>0</v>
      </c>
      <c r="J762">
        <v>0</v>
      </c>
      <c r="K762">
        <v>20</v>
      </c>
      <c r="N762">
        <v>3</v>
      </c>
      <c r="O762">
        <v>3</v>
      </c>
      <c r="P762">
        <v>4</v>
      </c>
      <c r="Q762">
        <v>0</v>
      </c>
      <c r="R762">
        <v>43.48</v>
      </c>
      <c r="S762">
        <v>50</v>
      </c>
      <c r="T762">
        <v>50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50</v>
      </c>
      <c r="AB762">
        <v>0</v>
      </c>
      <c r="AC762">
        <v>0</v>
      </c>
      <c r="AH762">
        <v>93.48</v>
      </c>
    </row>
    <row r="763" spans="1:34" x14ac:dyDescent="0.3">
      <c r="A763" s="4">
        <v>946</v>
      </c>
      <c r="B763" s="5">
        <v>756</v>
      </c>
      <c r="C763">
        <v>4782</v>
      </c>
      <c r="D763" t="s">
        <v>8448</v>
      </c>
      <c r="E763" t="s">
        <v>740</v>
      </c>
      <c r="F763" t="s">
        <v>17</v>
      </c>
      <c r="G763" t="s">
        <v>28077</v>
      </c>
      <c r="H763">
        <v>15.25</v>
      </c>
      <c r="I763">
        <v>0</v>
      </c>
      <c r="J763">
        <v>0</v>
      </c>
      <c r="K763">
        <v>0</v>
      </c>
      <c r="N763">
        <v>6</v>
      </c>
      <c r="O763">
        <v>6</v>
      </c>
      <c r="P763">
        <v>4</v>
      </c>
      <c r="Q763">
        <v>2</v>
      </c>
      <c r="R763">
        <v>27.25</v>
      </c>
      <c r="S763">
        <v>63</v>
      </c>
      <c r="T763">
        <v>63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63</v>
      </c>
      <c r="AB763">
        <v>3</v>
      </c>
      <c r="AC763">
        <v>0</v>
      </c>
      <c r="AH763">
        <v>93.25</v>
      </c>
    </row>
    <row r="764" spans="1:34" x14ac:dyDescent="0.3">
      <c r="A764" s="4">
        <v>947</v>
      </c>
      <c r="B764" s="5">
        <v>757</v>
      </c>
      <c r="C764">
        <v>687</v>
      </c>
      <c r="D764" t="s">
        <v>28078</v>
      </c>
      <c r="E764" t="s">
        <v>594</v>
      </c>
      <c r="F764" t="s">
        <v>136</v>
      </c>
      <c r="G764" t="s">
        <v>28079</v>
      </c>
      <c r="H764">
        <v>18.13</v>
      </c>
      <c r="I764">
        <v>0</v>
      </c>
      <c r="J764">
        <v>0</v>
      </c>
      <c r="K764">
        <v>20</v>
      </c>
      <c r="N764">
        <v>3</v>
      </c>
      <c r="O764">
        <v>3</v>
      </c>
      <c r="P764">
        <v>4</v>
      </c>
      <c r="Q764">
        <v>2</v>
      </c>
      <c r="R764">
        <v>47.13</v>
      </c>
      <c r="S764">
        <v>6</v>
      </c>
      <c r="T764">
        <v>6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6</v>
      </c>
      <c r="AB764">
        <v>6</v>
      </c>
      <c r="AC764">
        <v>34</v>
      </c>
      <c r="AH764">
        <v>93.13</v>
      </c>
    </row>
    <row r="765" spans="1:34" x14ac:dyDescent="0.3">
      <c r="A765" s="4">
        <v>948</v>
      </c>
      <c r="B765" s="5">
        <v>758</v>
      </c>
      <c r="C765">
        <v>4952</v>
      </c>
      <c r="D765" t="s">
        <v>28080</v>
      </c>
      <c r="E765" t="s">
        <v>26</v>
      </c>
      <c r="F765" t="s">
        <v>30</v>
      </c>
      <c r="G765" t="s">
        <v>28081</v>
      </c>
      <c r="H765">
        <v>15.85</v>
      </c>
      <c r="I765">
        <v>0</v>
      </c>
      <c r="J765">
        <v>0</v>
      </c>
      <c r="K765">
        <v>20</v>
      </c>
      <c r="L765">
        <v>7</v>
      </c>
      <c r="N765">
        <v>3</v>
      </c>
      <c r="O765">
        <v>10</v>
      </c>
      <c r="P765">
        <v>4</v>
      </c>
      <c r="Q765">
        <v>2</v>
      </c>
      <c r="R765">
        <v>51.85</v>
      </c>
      <c r="S765">
        <v>35</v>
      </c>
      <c r="T765">
        <v>35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35</v>
      </c>
      <c r="AB765">
        <v>6</v>
      </c>
      <c r="AC765">
        <v>0</v>
      </c>
      <c r="AD765" t="s">
        <v>130</v>
      </c>
      <c r="AH765">
        <v>92.85</v>
      </c>
    </row>
    <row r="766" spans="1:34" x14ac:dyDescent="0.3">
      <c r="A766" s="4">
        <v>949</v>
      </c>
      <c r="B766" s="5">
        <v>759</v>
      </c>
      <c r="C766">
        <v>13807</v>
      </c>
      <c r="D766" t="s">
        <v>28082</v>
      </c>
      <c r="E766" t="s">
        <v>1152</v>
      </c>
      <c r="F766" t="s">
        <v>591</v>
      </c>
      <c r="G766" t="s">
        <v>28083</v>
      </c>
      <c r="H766">
        <v>19.68</v>
      </c>
      <c r="I766">
        <v>0</v>
      </c>
      <c r="J766">
        <v>0</v>
      </c>
      <c r="K766">
        <v>20</v>
      </c>
      <c r="M766">
        <v>5</v>
      </c>
      <c r="N766">
        <v>3</v>
      </c>
      <c r="O766">
        <v>8</v>
      </c>
      <c r="P766">
        <v>4</v>
      </c>
      <c r="Q766">
        <v>0</v>
      </c>
      <c r="R766">
        <v>51.68</v>
      </c>
      <c r="S766">
        <v>40</v>
      </c>
      <c r="T766">
        <v>40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40</v>
      </c>
      <c r="AB766">
        <v>0</v>
      </c>
      <c r="AC766">
        <v>0</v>
      </c>
      <c r="AH766">
        <v>91.68</v>
      </c>
    </row>
    <row r="767" spans="1:34" x14ac:dyDescent="0.3">
      <c r="A767" s="4">
        <v>950</v>
      </c>
      <c r="B767" s="5">
        <v>760</v>
      </c>
      <c r="C767">
        <v>10295</v>
      </c>
      <c r="D767" t="s">
        <v>28084</v>
      </c>
      <c r="E767" t="s">
        <v>71</v>
      </c>
      <c r="F767" t="s">
        <v>782</v>
      </c>
      <c r="G767" t="s">
        <v>28085</v>
      </c>
      <c r="H767">
        <v>14.5</v>
      </c>
      <c r="I767">
        <v>0</v>
      </c>
      <c r="J767">
        <v>0</v>
      </c>
      <c r="K767">
        <v>0</v>
      </c>
      <c r="L767">
        <v>7</v>
      </c>
      <c r="O767">
        <v>7</v>
      </c>
      <c r="P767">
        <v>4</v>
      </c>
      <c r="Q767">
        <v>2</v>
      </c>
      <c r="R767">
        <v>27.5</v>
      </c>
      <c r="S767">
        <v>64</v>
      </c>
      <c r="T767">
        <v>64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64</v>
      </c>
      <c r="AB767">
        <v>0</v>
      </c>
      <c r="AC767">
        <v>0</v>
      </c>
      <c r="AD767" t="s">
        <v>130</v>
      </c>
      <c r="AH767">
        <v>91.5</v>
      </c>
    </row>
    <row r="768" spans="1:34" x14ac:dyDescent="0.3">
      <c r="A768" s="4">
        <v>951</v>
      </c>
      <c r="B768" s="5">
        <v>761</v>
      </c>
      <c r="C768">
        <v>6791</v>
      </c>
      <c r="D768" t="s">
        <v>8089</v>
      </c>
      <c r="E768" t="s">
        <v>54</v>
      </c>
      <c r="F768" t="s">
        <v>55</v>
      </c>
      <c r="G768" t="s">
        <v>28086</v>
      </c>
      <c r="H768">
        <v>15.25</v>
      </c>
      <c r="I768">
        <v>0</v>
      </c>
      <c r="J768">
        <v>0</v>
      </c>
      <c r="K768">
        <v>0</v>
      </c>
      <c r="N768">
        <v>3</v>
      </c>
      <c r="O768">
        <v>3</v>
      </c>
      <c r="P768">
        <v>4</v>
      </c>
      <c r="Q768">
        <v>2</v>
      </c>
      <c r="R768">
        <v>24.25</v>
      </c>
      <c r="S768">
        <v>64</v>
      </c>
      <c r="T768">
        <v>64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64</v>
      </c>
      <c r="AB768">
        <v>3</v>
      </c>
      <c r="AC768">
        <v>0</v>
      </c>
      <c r="AD768" t="s">
        <v>130</v>
      </c>
      <c r="AH768">
        <v>91.25</v>
      </c>
    </row>
    <row r="769" spans="1:34" x14ac:dyDescent="0.3">
      <c r="A769" s="4">
        <v>952</v>
      </c>
      <c r="B769" s="5">
        <v>762</v>
      </c>
      <c r="C769">
        <v>11952</v>
      </c>
      <c r="D769" t="s">
        <v>11802</v>
      </c>
      <c r="E769" t="s">
        <v>692</v>
      </c>
      <c r="F769" t="s">
        <v>17</v>
      </c>
      <c r="G769" t="s">
        <v>28087</v>
      </c>
      <c r="H769">
        <v>17.73</v>
      </c>
      <c r="I769">
        <v>0</v>
      </c>
      <c r="J769">
        <v>0</v>
      </c>
      <c r="K769">
        <v>0</v>
      </c>
      <c r="N769">
        <v>3</v>
      </c>
      <c r="O769">
        <v>3</v>
      </c>
      <c r="P769">
        <v>4</v>
      </c>
      <c r="Q769">
        <v>0</v>
      </c>
      <c r="R769">
        <v>24.73</v>
      </c>
      <c r="S769">
        <v>60</v>
      </c>
      <c r="T769">
        <v>60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60</v>
      </c>
      <c r="AB769">
        <v>6</v>
      </c>
      <c r="AC769">
        <v>0</v>
      </c>
      <c r="AH769">
        <v>90.73</v>
      </c>
    </row>
    <row r="770" spans="1:34" x14ac:dyDescent="0.3">
      <c r="A770" s="4">
        <v>953</v>
      </c>
      <c r="B770" s="5">
        <v>763</v>
      </c>
      <c r="C770">
        <v>3737</v>
      </c>
      <c r="D770" t="s">
        <v>28088</v>
      </c>
      <c r="E770" t="s">
        <v>9010</v>
      </c>
      <c r="F770" t="s">
        <v>230</v>
      </c>
      <c r="G770" t="s">
        <v>28089</v>
      </c>
      <c r="H770">
        <v>14.73</v>
      </c>
      <c r="I770">
        <v>0</v>
      </c>
      <c r="J770">
        <v>0</v>
      </c>
      <c r="K770">
        <v>0</v>
      </c>
      <c r="N770">
        <v>3</v>
      </c>
      <c r="O770">
        <v>3</v>
      </c>
      <c r="P770">
        <v>4</v>
      </c>
      <c r="Q770">
        <v>0</v>
      </c>
      <c r="R770">
        <v>21.73</v>
      </c>
      <c r="S770">
        <v>63</v>
      </c>
      <c r="T770">
        <v>63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63</v>
      </c>
      <c r="AB770">
        <v>6</v>
      </c>
      <c r="AC770">
        <v>0</v>
      </c>
      <c r="AH770">
        <v>90.73</v>
      </c>
    </row>
    <row r="771" spans="1:34" x14ac:dyDescent="0.3">
      <c r="A771" s="4">
        <v>954</v>
      </c>
      <c r="B771" s="5">
        <v>764</v>
      </c>
      <c r="C771">
        <v>7631</v>
      </c>
      <c r="D771" t="s">
        <v>2320</v>
      </c>
      <c r="E771" t="s">
        <v>935</v>
      </c>
      <c r="F771" t="s">
        <v>117</v>
      </c>
      <c r="G771" t="s">
        <v>28090</v>
      </c>
      <c r="H771">
        <v>17.7</v>
      </c>
      <c r="I771">
        <v>0</v>
      </c>
      <c r="J771">
        <v>0</v>
      </c>
      <c r="K771">
        <v>0</v>
      </c>
      <c r="N771">
        <v>3</v>
      </c>
      <c r="O771">
        <v>3</v>
      </c>
      <c r="P771">
        <v>4</v>
      </c>
      <c r="Q771">
        <v>2</v>
      </c>
      <c r="R771">
        <v>26.7</v>
      </c>
      <c r="S771">
        <v>64</v>
      </c>
      <c r="T771">
        <v>64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64</v>
      </c>
      <c r="AB771">
        <v>0</v>
      </c>
      <c r="AC771">
        <v>0</v>
      </c>
      <c r="AH771">
        <v>90.7</v>
      </c>
    </row>
    <row r="772" spans="1:34" x14ac:dyDescent="0.3">
      <c r="A772" s="4">
        <v>955</v>
      </c>
      <c r="B772" s="5">
        <v>765</v>
      </c>
      <c r="C772">
        <v>12355</v>
      </c>
      <c r="D772" t="s">
        <v>28091</v>
      </c>
      <c r="E772" t="s">
        <v>132</v>
      </c>
      <c r="F772" t="s">
        <v>38</v>
      </c>
      <c r="G772" t="s">
        <v>32082</v>
      </c>
      <c r="H772">
        <v>16.55</v>
      </c>
      <c r="I772">
        <v>0</v>
      </c>
      <c r="J772">
        <v>0</v>
      </c>
      <c r="K772">
        <v>20</v>
      </c>
      <c r="N772">
        <v>3</v>
      </c>
      <c r="O772">
        <v>3</v>
      </c>
      <c r="P772">
        <v>4</v>
      </c>
      <c r="Q772">
        <v>2</v>
      </c>
      <c r="R772">
        <v>45.55</v>
      </c>
      <c r="S772">
        <v>45</v>
      </c>
      <c r="T772">
        <v>45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45</v>
      </c>
      <c r="AB772">
        <v>0</v>
      </c>
      <c r="AC772">
        <v>0</v>
      </c>
      <c r="AD772" t="s">
        <v>130</v>
      </c>
      <c r="AH772">
        <v>90.55</v>
      </c>
    </row>
    <row r="773" spans="1:34" x14ac:dyDescent="0.3">
      <c r="A773" s="4">
        <v>956</v>
      </c>
      <c r="B773" s="5">
        <v>766</v>
      </c>
      <c r="C773">
        <v>5415</v>
      </c>
      <c r="D773" t="s">
        <v>28092</v>
      </c>
      <c r="E773" t="s">
        <v>28093</v>
      </c>
      <c r="F773" t="s">
        <v>14</v>
      </c>
      <c r="G773" t="s">
        <v>28094</v>
      </c>
      <c r="H773">
        <v>16.3</v>
      </c>
      <c r="I773">
        <v>0</v>
      </c>
      <c r="J773">
        <v>0</v>
      </c>
      <c r="K773">
        <v>20</v>
      </c>
      <c r="L773">
        <v>7</v>
      </c>
      <c r="O773">
        <v>7</v>
      </c>
      <c r="P773">
        <v>4</v>
      </c>
      <c r="Q773">
        <v>2</v>
      </c>
      <c r="R773">
        <v>49.3</v>
      </c>
      <c r="S773">
        <v>41</v>
      </c>
      <c r="T773">
        <v>41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41</v>
      </c>
      <c r="AB773">
        <v>0</v>
      </c>
      <c r="AC773">
        <v>0</v>
      </c>
      <c r="AH773">
        <v>90.3</v>
      </c>
    </row>
    <row r="774" spans="1:34" x14ac:dyDescent="0.3">
      <c r="A774" s="4">
        <v>957</v>
      </c>
      <c r="B774" s="5">
        <v>767</v>
      </c>
      <c r="C774">
        <v>6647</v>
      </c>
      <c r="D774" t="s">
        <v>14172</v>
      </c>
      <c r="E774" t="s">
        <v>29</v>
      </c>
      <c r="F774" t="s">
        <v>652</v>
      </c>
      <c r="G774" t="s">
        <v>28095</v>
      </c>
      <c r="H774">
        <v>18.079999999999998</v>
      </c>
      <c r="I774">
        <v>0</v>
      </c>
      <c r="J774">
        <v>0</v>
      </c>
      <c r="K774">
        <v>20</v>
      </c>
      <c r="M774">
        <v>5</v>
      </c>
      <c r="O774">
        <v>5</v>
      </c>
      <c r="P774">
        <v>4</v>
      </c>
      <c r="Q774">
        <v>2</v>
      </c>
      <c r="R774">
        <v>49.08</v>
      </c>
      <c r="S774">
        <v>41</v>
      </c>
      <c r="T774">
        <v>41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41</v>
      </c>
      <c r="AB774">
        <v>0</v>
      </c>
      <c r="AC774">
        <v>0</v>
      </c>
      <c r="AD774" t="s">
        <v>130</v>
      </c>
      <c r="AH774">
        <v>90.08</v>
      </c>
    </row>
    <row r="775" spans="1:34" x14ac:dyDescent="0.3">
      <c r="A775" s="4">
        <v>958</v>
      </c>
      <c r="B775" s="5">
        <v>768</v>
      </c>
      <c r="C775">
        <v>8317</v>
      </c>
      <c r="D775" t="s">
        <v>28096</v>
      </c>
      <c r="E775" t="s">
        <v>283</v>
      </c>
      <c r="F775" t="s">
        <v>30</v>
      </c>
      <c r="G775" t="s">
        <v>28097</v>
      </c>
      <c r="H775">
        <v>18.329999999999998</v>
      </c>
      <c r="I775">
        <v>0</v>
      </c>
      <c r="J775">
        <v>0</v>
      </c>
      <c r="K775">
        <v>20</v>
      </c>
      <c r="N775">
        <v>3</v>
      </c>
      <c r="O775">
        <v>3</v>
      </c>
      <c r="P775">
        <v>4</v>
      </c>
      <c r="Q775">
        <v>0</v>
      </c>
      <c r="R775">
        <v>45.33</v>
      </c>
      <c r="S775">
        <v>44</v>
      </c>
      <c r="T775">
        <v>44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44</v>
      </c>
      <c r="AB775">
        <v>0</v>
      </c>
      <c r="AC775">
        <v>0</v>
      </c>
      <c r="AH775">
        <v>89.33</v>
      </c>
    </row>
    <row r="776" spans="1:34" x14ac:dyDescent="0.3">
      <c r="A776" s="4">
        <v>959</v>
      </c>
      <c r="B776" s="5">
        <v>769</v>
      </c>
      <c r="C776">
        <v>463</v>
      </c>
      <c r="D776" t="s">
        <v>7325</v>
      </c>
      <c r="E776" t="s">
        <v>29</v>
      </c>
      <c r="F776" t="s">
        <v>3705</v>
      </c>
      <c r="G776" t="s">
        <v>28098</v>
      </c>
      <c r="H776">
        <v>17.329999999999998</v>
      </c>
      <c r="I776">
        <v>0</v>
      </c>
      <c r="J776">
        <v>0</v>
      </c>
      <c r="K776">
        <v>0</v>
      </c>
      <c r="L776">
        <v>7</v>
      </c>
      <c r="O776">
        <v>7</v>
      </c>
      <c r="P776">
        <v>4</v>
      </c>
      <c r="Q776">
        <v>2</v>
      </c>
      <c r="R776">
        <v>30.33</v>
      </c>
      <c r="S776">
        <v>59</v>
      </c>
      <c r="T776">
        <v>59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59</v>
      </c>
      <c r="AB776">
        <v>0</v>
      </c>
      <c r="AC776">
        <v>0</v>
      </c>
      <c r="AD776" t="s">
        <v>130</v>
      </c>
      <c r="AH776">
        <v>89.33</v>
      </c>
    </row>
    <row r="777" spans="1:34" x14ac:dyDescent="0.3">
      <c r="A777" s="4">
        <v>960</v>
      </c>
      <c r="B777" s="5">
        <v>770</v>
      </c>
      <c r="C777">
        <v>3987</v>
      </c>
      <c r="D777" t="s">
        <v>569</v>
      </c>
      <c r="E777" t="s">
        <v>7223</v>
      </c>
      <c r="F777" t="s">
        <v>21366</v>
      </c>
      <c r="G777" t="s">
        <v>28099</v>
      </c>
      <c r="H777">
        <v>15.88</v>
      </c>
      <c r="I777">
        <v>0</v>
      </c>
      <c r="J777">
        <v>0</v>
      </c>
      <c r="K777">
        <v>20</v>
      </c>
      <c r="L777">
        <v>7</v>
      </c>
      <c r="O777">
        <v>7</v>
      </c>
      <c r="P777">
        <v>4</v>
      </c>
      <c r="Q777">
        <v>2</v>
      </c>
      <c r="R777">
        <v>48.88</v>
      </c>
      <c r="S777">
        <v>37</v>
      </c>
      <c r="T777">
        <v>37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37</v>
      </c>
      <c r="AB777">
        <v>3</v>
      </c>
      <c r="AC777">
        <v>0</v>
      </c>
      <c r="AH777">
        <v>88.88</v>
      </c>
    </row>
    <row r="778" spans="1:34" x14ac:dyDescent="0.3">
      <c r="A778" s="4">
        <v>961</v>
      </c>
      <c r="B778" s="5">
        <v>771</v>
      </c>
      <c r="C778">
        <v>10231</v>
      </c>
      <c r="D778" t="s">
        <v>28100</v>
      </c>
      <c r="E778" t="s">
        <v>17</v>
      </c>
      <c r="F778" t="s">
        <v>14</v>
      </c>
      <c r="G778" t="s">
        <v>28101</v>
      </c>
      <c r="H778">
        <v>15.83</v>
      </c>
      <c r="I778">
        <v>0</v>
      </c>
      <c r="J778">
        <v>0</v>
      </c>
      <c r="K778">
        <v>0</v>
      </c>
      <c r="L778">
        <v>7</v>
      </c>
      <c r="O778">
        <v>7</v>
      </c>
      <c r="P778">
        <v>4</v>
      </c>
      <c r="Q778">
        <v>2</v>
      </c>
      <c r="R778">
        <v>28.83</v>
      </c>
      <c r="S778">
        <v>60</v>
      </c>
      <c r="T778">
        <v>60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60</v>
      </c>
      <c r="AB778">
        <v>0</v>
      </c>
      <c r="AC778">
        <v>0</v>
      </c>
      <c r="AH778">
        <v>88.83</v>
      </c>
    </row>
    <row r="779" spans="1:34" x14ac:dyDescent="0.3">
      <c r="A779" s="4">
        <v>962</v>
      </c>
      <c r="B779" s="5">
        <v>772</v>
      </c>
      <c r="C779">
        <v>9574</v>
      </c>
      <c r="D779" t="s">
        <v>28102</v>
      </c>
      <c r="E779" t="s">
        <v>54</v>
      </c>
      <c r="F779" t="s">
        <v>909</v>
      </c>
      <c r="G779" t="s">
        <v>28103</v>
      </c>
      <c r="H779">
        <v>15.58</v>
      </c>
      <c r="I779">
        <v>0</v>
      </c>
      <c r="J779">
        <v>0</v>
      </c>
      <c r="K779">
        <v>20</v>
      </c>
      <c r="L779">
        <v>7</v>
      </c>
      <c r="O779">
        <v>7</v>
      </c>
      <c r="P779">
        <v>4</v>
      </c>
      <c r="Q779">
        <v>2</v>
      </c>
      <c r="R779">
        <v>48.58</v>
      </c>
      <c r="S779">
        <v>40</v>
      </c>
      <c r="T779">
        <v>40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40</v>
      </c>
      <c r="AB779">
        <v>0</v>
      </c>
      <c r="AC779">
        <v>0</v>
      </c>
      <c r="AH779">
        <v>88.58</v>
      </c>
    </row>
    <row r="780" spans="1:34" x14ac:dyDescent="0.3">
      <c r="A780" s="4">
        <v>963</v>
      </c>
      <c r="B780" s="5">
        <v>773</v>
      </c>
      <c r="C780">
        <v>10966</v>
      </c>
      <c r="D780" t="s">
        <v>190</v>
      </c>
      <c r="E780" t="s">
        <v>161</v>
      </c>
      <c r="F780" t="s">
        <v>17</v>
      </c>
      <c r="G780" t="s">
        <v>28104</v>
      </c>
      <c r="H780">
        <v>16.03</v>
      </c>
      <c r="I780">
        <v>0</v>
      </c>
      <c r="J780">
        <v>0</v>
      </c>
      <c r="K780">
        <v>0</v>
      </c>
      <c r="N780">
        <v>3</v>
      </c>
      <c r="O780">
        <v>3</v>
      </c>
      <c r="P780">
        <v>4</v>
      </c>
      <c r="Q780">
        <v>2</v>
      </c>
      <c r="R780">
        <v>25.03</v>
      </c>
      <c r="S780">
        <v>63</v>
      </c>
      <c r="T780">
        <v>63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63</v>
      </c>
      <c r="AB780">
        <v>0</v>
      </c>
      <c r="AC780">
        <v>0</v>
      </c>
      <c r="AH780">
        <v>88.03</v>
      </c>
    </row>
    <row r="781" spans="1:34" x14ac:dyDescent="0.3">
      <c r="A781" s="4">
        <v>964</v>
      </c>
      <c r="B781" s="5">
        <v>774</v>
      </c>
      <c r="C781">
        <v>13481</v>
      </c>
      <c r="D781" t="s">
        <v>3200</v>
      </c>
      <c r="E781" t="s">
        <v>6225</v>
      </c>
      <c r="F781" t="s">
        <v>81</v>
      </c>
      <c r="G781" t="s">
        <v>28105</v>
      </c>
      <c r="H781">
        <v>19.43</v>
      </c>
      <c r="I781">
        <v>0</v>
      </c>
      <c r="J781">
        <v>0</v>
      </c>
      <c r="K781">
        <v>0</v>
      </c>
      <c r="M781">
        <v>5</v>
      </c>
      <c r="O781">
        <v>5</v>
      </c>
      <c r="P781">
        <v>4</v>
      </c>
      <c r="Q781">
        <v>2</v>
      </c>
      <c r="R781">
        <v>30.43</v>
      </c>
      <c r="S781">
        <v>57</v>
      </c>
      <c r="T781">
        <v>57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57</v>
      </c>
      <c r="AB781">
        <v>0</v>
      </c>
      <c r="AC781">
        <v>0</v>
      </c>
      <c r="AH781">
        <v>87.43</v>
      </c>
    </row>
    <row r="782" spans="1:34" x14ac:dyDescent="0.3">
      <c r="A782" s="4">
        <v>965</v>
      </c>
      <c r="B782" s="5">
        <v>775</v>
      </c>
      <c r="C782">
        <v>2840</v>
      </c>
      <c r="D782" t="s">
        <v>28106</v>
      </c>
      <c r="E782" t="s">
        <v>283</v>
      </c>
      <c r="F782" t="s">
        <v>20</v>
      </c>
      <c r="G782" t="s">
        <v>28107</v>
      </c>
      <c r="H782">
        <v>16.079999999999998</v>
      </c>
      <c r="I782">
        <v>0</v>
      </c>
      <c r="J782">
        <v>0</v>
      </c>
      <c r="K782">
        <v>20</v>
      </c>
      <c r="L782">
        <v>7</v>
      </c>
      <c r="O782">
        <v>7</v>
      </c>
      <c r="P782">
        <v>4</v>
      </c>
      <c r="Q782">
        <v>0</v>
      </c>
      <c r="R782">
        <v>47.08</v>
      </c>
      <c r="S782">
        <v>40</v>
      </c>
      <c r="T782">
        <v>40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40</v>
      </c>
      <c r="AB782">
        <v>0</v>
      </c>
      <c r="AC782">
        <v>0</v>
      </c>
      <c r="AH782">
        <v>87.08</v>
      </c>
    </row>
    <row r="783" spans="1:34" x14ac:dyDescent="0.3">
      <c r="A783" s="4">
        <v>966</v>
      </c>
      <c r="B783" s="5">
        <v>776</v>
      </c>
      <c r="C783">
        <v>13344</v>
      </c>
      <c r="D783" t="s">
        <v>2682</v>
      </c>
      <c r="E783" t="s">
        <v>2643</v>
      </c>
      <c r="F783" t="s">
        <v>230</v>
      </c>
      <c r="G783" t="s">
        <v>28108</v>
      </c>
      <c r="H783">
        <v>16.079999999999998</v>
      </c>
      <c r="I783">
        <v>0</v>
      </c>
      <c r="J783">
        <v>0</v>
      </c>
      <c r="K783">
        <v>20</v>
      </c>
      <c r="N783">
        <v>3</v>
      </c>
      <c r="O783">
        <v>3</v>
      </c>
      <c r="P783">
        <v>4</v>
      </c>
      <c r="Q783">
        <v>0</v>
      </c>
      <c r="R783">
        <v>43.08</v>
      </c>
      <c r="S783">
        <v>44</v>
      </c>
      <c r="T783">
        <v>44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44</v>
      </c>
      <c r="AB783">
        <v>0</v>
      </c>
      <c r="AC783">
        <v>0</v>
      </c>
      <c r="AD783" t="s">
        <v>130</v>
      </c>
      <c r="AH783">
        <v>87.08</v>
      </c>
    </row>
    <row r="784" spans="1:34" x14ac:dyDescent="0.3">
      <c r="A784" s="4">
        <v>967</v>
      </c>
      <c r="B784" s="5">
        <v>777</v>
      </c>
      <c r="C784">
        <v>12352</v>
      </c>
      <c r="D784" t="s">
        <v>28109</v>
      </c>
      <c r="E784" t="s">
        <v>23431</v>
      </c>
      <c r="F784" t="s">
        <v>158</v>
      </c>
      <c r="G784" t="s">
        <v>28110</v>
      </c>
      <c r="H784">
        <v>15.35</v>
      </c>
      <c r="I784">
        <v>0</v>
      </c>
      <c r="J784">
        <v>0</v>
      </c>
      <c r="K784">
        <v>0</v>
      </c>
      <c r="L784">
        <v>7</v>
      </c>
      <c r="O784">
        <v>7</v>
      </c>
      <c r="P784">
        <v>4</v>
      </c>
      <c r="Q784">
        <v>2</v>
      </c>
      <c r="R784">
        <v>28.35</v>
      </c>
      <c r="S784">
        <v>55</v>
      </c>
      <c r="T784">
        <v>55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55</v>
      </c>
      <c r="AB784">
        <v>3</v>
      </c>
      <c r="AC784">
        <v>0</v>
      </c>
      <c r="AH784">
        <v>86.35</v>
      </c>
    </row>
    <row r="785" spans="1:34" x14ac:dyDescent="0.3">
      <c r="A785" s="4">
        <v>968</v>
      </c>
      <c r="B785" s="5">
        <v>778</v>
      </c>
      <c r="C785">
        <v>7133</v>
      </c>
      <c r="D785" t="s">
        <v>11443</v>
      </c>
      <c r="E785" t="s">
        <v>147</v>
      </c>
      <c r="F785" t="s">
        <v>91</v>
      </c>
      <c r="G785" t="s">
        <v>28111</v>
      </c>
      <c r="H785">
        <v>17.25</v>
      </c>
      <c r="I785">
        <v>0</v>
      </c>
      <c r="J785">
        <v>0</v>
      </c>
      <c r="K785">
        <v>20</v>
      </c>
      <c r="L785">
        <v>7</v>
      </c>
      <c r="O785">
        <v>7</v>
      </c>
      <c r="P785">
        <v>4</v>
      </c>
      <c r="Q785">
        <v>2</v>
      </c>
      <c r="R785">
        <v>50.25</v>
      </c>
      <c r="S785">
        <v>36</v>
      </c>
      <c r="T785">
        <v>36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36</v>
      </c>
      <c r="AB785">
        <v>0</v>
      </c>
      <c r="AC785">
        <v>0</v>
      </c>
      <c r="AH785">
        <v>86.25</v>
      </c>
    </row>
    <row r="786" spans="1:34" x14ac:dyDescent="0.3">
      <c r="A786" s="4">
        <v>969</v>
      </c>
      <c r="B786" s="5">
        <v>779</v>
      </c>
      <c r="C786">
        <v>11949</v>
      </c>
      <c r="D786" t="s">
        <v>11306</v>
      </c>
      <c r="E786" t="s">
        <v>54</v>
      </c>
      <c r="F786" t="s">
        <v>28112</v>
      </c>
      <c r="G786" t="s">
        <v>28113</v>
      </c>
      <c r="H786">
        <v>15.88</v>
      </c>
      <c r="I786">
        <v>0</v>
      </c>
      <c r="J786">
        <v>0</v>
      </c>
      <c r="K786">
        <v>20</v>
      </c>
      <c r="M786">
        <v>5</v>
      </c>
      <c r="O786">
        <v>5</v>
      </c>
      <c r="P786">
        <v>4</v>
      </c>
      <c r="Q786">
        <v>2</v>
      </c>
      <c r="R786">
        <v>46.88</v>
      </c>
      <c r="S786">
        <v>36</v>
      </c>
      <c r="T786">
        <v>36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36</v>
      </c>
      <c r="AB786">
        <v>3</v>
      </c>
      <c r="AC786">
        <v>0</v>
      </c>
      <c r="AD786" t="s">
        <v>130</v>
      </c>
      <c r="AH786">
        <v>85.88</v>
      </c>
    </row>
    <row r="787" spans="1:34" x14ac:dyDescent="0.3">
      <c r="A787" s="4">
        <v>970</v>
      </c>
      <c r="B787" s="5">
        <v>780</v>
      </c>
      <c r="C787">
        <v>14308</v>
      </c>
      <c r="D787" t="s">
        <v>14638</v>
      </c>
      <c r="E787" t="s">
        <v>132</v>
      </c>
      <c r="F787" t="s">
        <v>21054</v>
      </c>
      <c r="G787" t="s">
        <v>28114</v>
      </c>
      <c r="H787">
        <v>17.149999999999999</v>
      </c>
      <c r="I787">
        <v>0</v>
      </c>
      <c r="J787">
        <v>0</v>
      </c>
      <c r="K787">
        <v>0</v>
      </c>
      <c r="N787">
        <v>3</v>
      </c>
      <c r="O787">
        <v>3</v>
      </c>
      <c r="P787">
        <v>4</v>
      </c>
      <c r="Q787">
        <v>2</v>
      </c>
      <c r="R787">
        <v>26.15</v>
      </c>
      <c r="S787">
        <v>59</v>
      </c>
      <c r="T787">
        <v>59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59</v>
      </c>
      <c r="AB787">
        <v>0</v>
      </c>
      <c r="AC787">
        <v>0</v>
      </c>
      <c r="AD787" t="s">
        <v>130</v>
      </c>
      <c r="AH787">
        <v>85.15</v>
      </c>
    </row>
    <row r="788" spans="1:34" x14ac:dyDescent="0.3">
      <c r="A788" s="4">
        <v>971</v>
      </c>
      <c r="B788" s="5">
        <v>781</v>
      </c>
      <c r="C788">
        <v>10305</v>
      </c>
      <c r="D788" t="s">
        <v>19802</v>
      </c>
      <c r="E788" t="s">
        <v>173</v>
      </c>
      <c r="F788" t="s">
        <v>20</v>
      </c>
      <c r="G788" t="s">
        <v>28115</v>
      </c>
      <c r="H788">
        <v>15.13</v>
      </c>
      <c r="I788">
        <v>0</v>
      </c>
      <c r="J788">
        <v>0</v>
      </c>
      <c r="K788">
        <v>0</v>
      </c>
      <c r="N788">
        <v>3</v>
      </c>
      <c r="O788">
        <v>3</v>
      </c>
      <c r="P788">
        <v>4</v>
      </c>
      <c r="Q788">
        <v>0</v>
      </c>
      <c r="R788">
        <v>22.13</v>
      </c>
      <c r="S788">
        <v>63</v>
      </c>
      <c r="T788">
        <v>63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63</v>
      </c>
      <c r="AB788">
        <v>0</v>
      </c>
      <c r="AC788">
        <v>0</v>
      </c>
      <c r="AD788" t="s">
        <v>130</v>
      </c>
      <c r="AH788">
        <v>85.13</v>
      </c>
    </row>
    <row r="789" spans="1:34" x14ac:dyDescent="0.3">
      <c r="A789" s="4">
        <v>972</v>
      </c>
      <c r="B789" s="5">
        <v>782</v>
      </c>
      <c r="C789">
        <v>12107</v>
      </c>
      <c r="D789" t="s">
        <v>6318</v>
      </c>
      <c r="E789" t="s">
        <v>54</v>
      </c>
      <c r="F789" t="s">
        <v>58</v>
      </c>
      <c r="G789" t="s">
        <v>28116</v>
      </c>
      <c r="H789">
        <v>16.98</v>
      </c>
      <c r="I789">
        <v>0</v>
      </c>
      <c r="J789">
        <v>0</v>
      </c>
      <c r="K789">
        <v>20</v>
      </c>
      <c r="L789">
        <v>7</v>
      </c>
      <c r="O789">
        <v>7</v>
      </c>
      <c r="P789">
        <v>4</v>
      </c>
      <c r="Q789">
        <v>0</v>
      </c>
      <c r="R789">
        <v>47.98</v>
      </c>
      <c r="S789">
        <v>34</v>
      </c>
      <c r="T789">
        <v>34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34</v>
      </c>
      <c r="AB789">
        <v>3</v>
      </c>
      <c r="AC789">
        <v>0</v>
      </c>
      <c r="AH789">
        <v>84.98</v>
      </c>
    </row>
    <row r="790" spans="1:34" x14ac:dyDescent="0.3">
      <c r="A790" s="4">
        <v>973</v>
      </c>
      <c r="B790" s="5">
        <v>783</v>
      </c>
      <c r="C790">
        <v>10408</v>
      </c>
      <c r="D790" t="s">
        <v>28117</v>
      </c>
      <c r="E790" t="s">
        <v>594</v>
      </c>
      <c r="F790" t="s">
        <v>20</v>
      </c>
      <c r="G790" t="s">
        <v>32083</v>
      </c>
      <c r="H790">
        <v>16.579999999999998</v>
      </c>
      <c r="I790">
        <v>0</v>
      </c>
      <c r="J790">
        <v>0</v>
      </c>
      <c r="K790">
        <v>0</v>
      </c>
      <c r="N790">
        <v>3</v>
      </c>
      <c r="O790">
        <v>3</v>
      </c>
      <c r="P790">
        <v>4</v>
      </c>
      <c r="Q790">
        <v>2</v>
      </c>
      <c r="R790">
        <v>25.58</v>
      </c>
      <c r="S790">
        <v>53</v>
      </c>
      <c r="T790">
        <v>53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53</v>
      </c>
      <c r="AB790">
        <v>6</v>
      </c>
      <c r="AC790">
        <v>0</v>
      </c>
      <c r="AD790" t="s">
        <v>130</v>
      </c>
      <c r="AH790">
        <v>84.58</v>
      </c>
    </row>
    <row r="791" spans="1:34" x14ac:dyDescent="0.3">
      <c r="A791" s="4">
        <v>974</v>
      </c>
      <c r="B791" s="5">
        <v>784</v>
      </c>
      <c r="C791">
        <v>6856</v>
      </c>
      <c r="D791" t="s">
        <v>28118</v>
      </c>
      <c r="E791" t="s">
        <v>14</v>
      </c>
      <c r="F791" t="s">
        <v>136</v>
      </c>
      <c r="G791" t="s">
        <v>28119</v>
      </c>
      <c r="H791">
        <v>15.28</v>
      </c>
      <c r="I791">
        <v>0</v>
      </c>
      <c r="J791">
        <v>0</v>
      </c>
      <c r="K791">
        <v>20</v>
      </c>
      <c r="L791">
        <v>7</v>
      </c>
      <c r="O791">
        <v>7</v>
      </c>
      <c r="P791">
        <v>4</v>
      </c>
      <c r="Q791">
        <v>2</v>
      </c>
      <c r="R791">
        <v>48.28</v>
      </c>
      <c r="S791">
        <v>36</v>
      </c>
      <c r="T791">
        <v>36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36</v>
      </c>
      <c r="AB791">
        <v>0</v>
      </c>
      <c r="AC791">
        <v>0</v>
      </c>
      <c r="AH791">
        <v>84.28</v>
      </c>
    </row>
    <row r="792" spans="1:34" x14ac:dyDescent="0.3">
      <c r="A792" s="4">
        <v>975</v>
      </c>
      <c r="B792" s="5">
        <v>785</v>
      </c>
      <c r="C792">
        <v>11891</v>
      </c>
      <c r="D792" t="s">
        <v>1630</v>
      </c>
      <c r="E792" t="s">
        <v>1716</v>
      </c>
      <c r="F792" t="s">
        <v>136</v>
      </c>
      <c r="G792" t="s">
        <v>28120</v>
      </c>
      <c r="H792">
        <v>16</v>
      </c>
      <c r="I792">
        <v>0</v>
      </c>
      <c r="J792">
        <v>0</v>
      </c>
      <c r="K792">
        <v>20</v>
      </c>
      <c r="L792">
        <v>7</v>
      </c>
      <c r="O792">
        <v>7</v>
      </c>
      <c r="P792">
        <v>4</v>
      </c>
      <c r="Q792">
        <v>0</v>
      </c>
      <c r="R792">
        <v>47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3</v>
      </c>
      <c r="AC792">
        <v>34</v>
      </c>
      <c r="AH792">
        <v>84</v>
      </c>
    </row>
    <row r="793" spans="1:34" x14ac:dyDescent="0.3">
      <c r="A793" s="4">
        <v>976</v>
      </c>
      <c r="B793" s="5">
        <v>786</v>
      </c>
      <c r="C793">
        <v>6019</v>
      </c>
      <c r="D793" t="s">
        <v>5483</v>
      </c>
      <c r="E793" t="s">
        <v>28121</v>
      </c>
      <c r="F793" t="s">
        <v>17</v>
      </c>
      <c r="G793" t="s">
        <v>28122</v>
      </c>
      <c r="H793">
        <v>15.88</v>
      </c>
      <c r="I793">
        <v>0</v>
      </c>
      <c r="J793">
        <v>0</v>
      </c>
      <c r="K793">
        <v>0</v>
      </c>
      <c r="L793">
        <v>7</v>
      </c>
      <c r="O793">
        <v>7</v>
      </c>
      <c r="P793">
        <v>4</v>
      </c>
      <c r="Q793">
        <v>2</v>
      </c>
      <c r="R793">
        <v>28.88</v>
      </c>
      <c r="S793">
        <v>49</v>
      </c>
      <c r="T793">
        <v>49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49</v>
      </c>
      <c r="AB793">
        <v>6</v>
      </c>
      <c r="AC793">
        <v>0</v>
      </c>
      <c r="AD793" t="s">
        <v>130</v>
      </c>
      <c r="AH793">
        <v>83.88</v>
      </c>
    </row>
    <row r="794" spans="1:34" x14ac:dyDescent="0.3">
      <c r="A794" s="4">
        <v>977</v>
      </c>
      <c r="B794" s="5">
        <v>787</v>
      </c>
      <c r="C794">
        <v>7509</v>
      </c>
      <c r="D794" t="s">
        <v>1715</v>
      </c>
      <c r="E794" t="s">
        <v>33</v>
      </c>
      <c r="F794" t="s">
        <v>17</v>
      </c>
      <c r="G794" t="s">
        <v>28123</v>
      </c>
      <c r="H794">
        <v>16.850000000000001</v>
      </c>
      <c r="I794">
        <v>0</v>
      </c>
      <c r="J794">
        <v>0</v>
      </c>
      <c r="K794">
        <v>0</v>
      </c>
      <c r="L794">
        <v>7</v>
      </c>
      <c r="O794">
        <v>7</v>
      </c>
      <c r="P794">
        <v>4</v>
      </c>
      <c r="Q794">
        <v>0</v>
      </c>
      <c r="R794">
        <v>27.85</v>
      </c>
      <c r="S794">
        <v>53</v>
      </c>
      <c r="T794">
        <v>53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53</v>
      </c>
      <c r="AB794">
        <v>3</v>
      </c>
      <c r="AC794">
        <v>0</v>
      </c>
      <c r="AH794">
        <v>83.85</v>
      </c>
    </row>
    <row r="795" spans="1:34" x14ac:dyDescent="0.3">
      <c r="A795" s="4">
        <v>978</v>
      </c>
      <c r="B795" s="5">
        <v>788</v>
      </c>
      <c r="C795">
        <v>260</v>
      </c>
      <c r="D795" t="s">
        <v>28124</v>
      </c>
      <c r="E795" t="s">
        <v>28125</v>
      </c>
      <c r="F795" t="s">
        <v>30</v>
      </c>
      <c r="G795" t="s">
        <v>28126</v>
      </c>
      <c r="H795">
        <v>14.8</v>
      </c>
      <c r="I795">
        <v>0</v>
      </c>
      <c r="J795">
        <v>0</v>
      </c>
      <c r="K795">
        <v>20</v>
      </c>
      <c r="N795">
        <v>3</v>
      </c>
      <c r="O795">
        <v>3</v>
      </c>
      <c r="P795">
        <v>4</v>
      </c>
      <c r="Q795">
        <v>0</v>
      </c>
      <c r="R795">
        <v>41.8</v>
      </c>
      <c r="S795">
        <v>42</v>
      </c>
      <c r="T795">
        <v>42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42</v>
      </c>
      <c r="AB795">
        <v>0</v>
      </c>
      <c r="AC795">
        <v>0</v>
      </c>
      <c r="AH795">
        <v>83.8</v>
      </c>
    </row>
    <row r="796" spans="1:34" x14ac:dyDescent="0.3">
      <c r="A796" s="4">
        <v>979</v>
      </c>
      <c r="B796" s="5">
        <v>789</v>
      </c>
      <c r="C796">
        <v>9403</v>
      </c>
      <c r="D796" t="s">
        <v>28127</v>
      </c>
      <c r="E796" t="s">
        <v>54</v>
      </c>
      <c r="F796" t="s">
        <v>892</v>
      </c>
      <c r="G796" t="s">
        <v>28128</v>
      </c>
      <c r="H796">
        <v>18.7</v>
      </c>
      <c r="I796">
        <v>0</v>
      </c>
      <c r="J796">
        <v>0</v>
      </c>
      <c r="K796">
        <v>0</v>
      </c>
      <c r="L796">
        <v>7</v>
      </c>
      <c r="O796">
        <v>7</v>
      </c>
      <c r="P796">
        <v>4</v>
      </c>
      <c r="Q796">
        <v>2</v>
      </c>
      <c r="R796">
        <v>31.7</v>
      </c>
      <c r="S796">
        <v>52</v>
      </c>
      <c r="T796">
        <v>52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52</v>
      </c>
      <c r="AB796">
        <v>0</v>
      </c>
      <c r="AC796">
        <v>0</v>
      </c>
      <c r="AH796">
        <v>83.7</v>
      </c>
    </row>
    <row r="797" spans="1:34" x14ac:dyDescent="0.3">
      <c r="A797" s="4">
        <v>980</v>
      </c>
      <c r="B797" s="5">
        <v>790</v>
      </c>
      <c r="C797">
        <v>5799</v>
      </c>
      <c r="D797" t="s">
        <v>5357</v>
      </c>
      <c r="E797" t="s">
        <v>41</v>
      </c>
      <c r="F797" t="s">
        <v>17</v>
      </c>
      <c r="G797" t="s">
        <v>28129</v>
      </c>
      <c r="H797">
        <v>15.5</v>
      </c>
      <c r="I797">
        <v>0</v>
      </c>
      <c r="J797">
        <v>0</v>
      </c>
      <c r="K797">
        <v>0</v>
      </c>
      <c r="N797">
        <v>3</v>
      </c>
      <c r="O797">
        <v>3</v>
      </c>
      <c r="P797">
        <v>4</v>
      </c>
      <c r="Q797">
        <v>0</v>
      </c>
      <c r="R797">
        <v>22.5</v>
      </c>
      <c r="S797">
        <v>61</v>
      </c>
      <c r="T797">
        <v>61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61</v>
      </c>
      <c r="AB797">
        <v>0</v>
      </c>
      <c r="AC797">
        <v>0</v>
      </c>
      <c r="AH797">
        <v>83.5</v>
      </c>
    </row>
    <row r="798" spans="1:34" x14ac:dyDescent="0.3">
      <c r="A798" s="4">
        <v>981</v>
      </c>
      <c r="B798" s="5">
        <v>791</v>
      </c>
      <c r="C798">
        <v>10196</v>
      </c>
      <c r="D798" t="s">
        <v>28130</v>
      </c>
      <c r="E798" t="s">
        <v>1474</v>
      </c>
      <c r="F798" t="s">
        <v>20</v>
      </c>
      <c r="G798" t="s">
        <v>28131</v>
      </c>
      <c r="H798">
        <v>14.65</v>
      </c>
      <c r="I798">
        <v>0</v>
      </c>
      <c r="J798">
        <v>0</v>
      </c>
      <c r="K798">
        <v>0</v>
      </c>
      <c r="M798">
        <v>5</v>
      </c>
      <c r="O798">
        <v>5</v>
      </c>
      <c r="P798">
        <v>4</v>
      </c>
      <c r="Q798">
        <v>0</v>
      </c>
      <c r="R798">
        <v>23.65</v>
      </c>
      <c r="S798">
        <v>59</v>
      </c>
      <c r="T798">
        <v>59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59</v>
      </c>
      <c r="AB798">
        <v>0</v>
      </c>
      <c r="AC798">
        <v>0</v>
      </c>
      <c r="AH798">
        <v>82.65</v>
      </c>
    </row>
    <row r="799" spans="1:34" x14ac:dyDescent="0.3">
      <c r="A799" s="4">
        <v>982</v>
      </c>
      <c r="B799" s="5">
        <v>792</v>
      </c>
      <c r="C799">
        <v>5539</v>
      </c>
      <c r="D799" t="s">
        <v>8684</v>
      </c>
      <c r="E799" t="s">
        <v>149</v>
      </c>
      <c r="F799" t="s">
        <v>17</v>
      </c>
      <c r="G799" t="s">
        <v>28132</v>
      </c>
      <c r="H799">
        <v>17.13</v>
      </c>
      <c r="I799">
        <v>0</v>
      </c>
      <c r="J799">
        <v>0</v>
      </c>
      <c r="K799">
        <v>0</v>
      </c>
      <c r="O799">
        <v>0</v>
      </c>
      <c r="P799">
        <v>4</v>
      </c>
      <c r="Q799">
        <v>2</v>
      </c>
      <c r="R799">
        <v>23.13</v>
      </c>
      <c r="S799">
        <v>59</v>
      </c>
      <c r="T799">
        <v>59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59</v>
      </c>
      <c r="AB799">
        <v>0</v>
      </c>
      <c r="AC799">
        <v>0</v>
      </c>
      <c r="AD799" t="s">
        <v>130</v>
      </c>
      <c r="AH799">
        <v>82.13</v>
      </c>
    </row>
    <row r="800" spans="1:34" x14ac:dyDescent="0.3">
      <c r="A800" s="4">
        <v>983</v>
      </c>
      <c r="B800" s="5">
        <v>793</v>
      </c>
      <c r="C800">
        <v>2178</v>
      </c>
      <c r="D800" t="s">
        <v>8998</v>
      </c>
      <c r="E800" t="s">
        <v>166</v>
      </c>
      <c r="F800" t="s">
        <v>17</v>
      </c>
      <c r="G800" t="s">
        <v>28133</v>
      </c>
      <c r="H800">
        <v>17.75</v>
      </c>
      <c r="I800">
        <v>0</v>
      </c>
      <c r="J800">
        <v>0</v>
      </c>
      <c r="K800">
        <v>20</v>
      </c>
      <c r="L800">
        <v>14</v>
      </c>
      <c r="O800">
        <v>14</v>
      </c>
      <c r="P800">
        <v>4</v>
      </c>
      <c r="Q800">
        <v>2</v>
      </c>
      <c r="R800">
        <v>57.75</v>
      </c>
      <c r="S800">
        <v>18</v>
      </c>
      <c r="T800">
        <v>18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18</v>
      </c>
      <c r="AB800">
        <v>6</v>
      </c>
      <c r="AC800">
        <v>0</v>
      </c>
      <c r="AD800" t="s">
        <v>130</v>
      </c>
      <c r="AH800">
        <v>81.75</v>
      </c>
    </row>
    <row r="801" spans="1:34" x14ac:dyDescent="0.3">
      <c r="A801" s="4">
        <v>984</v>
      </c>
      <c r="B801" s="5">
        <v>794</v>
      </c>
      <c r="C801">
        <v>13767</v>
      </c>
      <c r="D801" t="s">
        <v>28134</v>
      </c>
      <c r="E801" t="s">
        <v>258</v>
      </c>
      <c r="F801" t="s">
        <v>38</v>
      </c>
      <c r="G801" t="s">
        <v>28135</v>
      </c>
      <c r="H801">
        <v>18.68</v>
      </c>
      <c r="I801">
        <v>0</v>
      </c>
      <c r="J801">
        <v>0</v>
      </c>
      <c r="K801">
        <v>0</v>
      </c>
      <c r="L801">
        <v>7</v>
      </c>
      <c r="O801">
        <v>7</v>
      </c>
      <c r="P801">
        <v>4</v>
      </c>
      <c r="Q801">
        <v>2</v>
      </c>
      <c r="R801">
        <v>31.68</v>
      </c>
      <c r="S801">
        <v>18</v>
      </c>
      <c r="T801">
        <v>18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18</v>
      </c>
      <c r="AB801">
        <v>0</v>
      </c>
      <c r="AC801">
        <v>32</v>
      </c>
      <c r="AD801" t="s">
        <v>130</v>
      </c>
      <c r="AH801">
        <v>81.680000000000007</v>
      </c>
    </row>
    <row r="802" spans="1:34" x14ac:dyDescent="0.3">
      <c r="A802" s="4">
        <v>985</v>
      </c>
      <c r="B802" s="5">
        <v>795</v>
      </c>
      <c r="C802">
        <v>2713</v>
      </c>
      <c r="D802" t="s">
        <v>28136</v>
      </c>
      <c r="E802" t="s">
        <v>342</v>
      </c>
      <c r="F802" t="s">
        <v>17</v>
      </c>
      <c r="G802" t="s">
        <v>28137</v>
      </c>
      <c r="H802">
        <v>16.68</v>
      </c>
      <c r="I802">
        <v>0</v>
      </c>
      <c r="J802">
        <v>40</v>
      </c>
      <c r="K802">
        <v>20</v>
      </c>
      <c r="M802">
        <v>5</v>
      </c>
      <c r="O802">
        <v>5</v>
      </c>
      <c r="P802">
        <v>0</v>
      </c>
      <c r="Q802">
        <v>0</v>
      </c>
      <c r="R802">
        <v>81.680000000000007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H802">
        <v>81.680000000000007</v>
      </c>
    </row>
    <row r="803" spans="1:34" x14ac:dyDescent="0.3">
      <c r="A803" s="4">
        <v>986</v>
      </c>
      <c r="B803" s="5">
        <v>796</v>
      </c>
      <c r="C803">
        <v>14731</v>
      </c>
      <c r="D803" t="s">
        <v>28138</v>
      </c>
      <c r="E803" t="s">
        <v>166</v>
      </c>
      <c r="F803" t="s">
        <v>136</v>
      </c>
      <c r="G803" t="s">
        <v>28139</v>
      </c>
      <c r="H803">
        <v>17.95</v>
      </c>
      <c r="I803">
        <v>0</v>
      </c>
      <c r="J803">
        <v>0</v>
      </c>
      <c r="K803">
        <v>20</v>
      </c>
      <c r="L803">
        <v>7</v>
      </c>
      <c r="O803">
        <v>7</v>
      </c>
      <c r="P803">
        <v>4</v>
      </c>
      <c r="Q803">
        <v>0</v>
      </c>
      <c r="R803">
        <v>48.95</v>
      </c>
      <c r="S803">
        <v>29</v>
      </c>
      <c r="T803">
        <v>29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29</v>
      </c>
      <c r="AB803">
        <v>3</v>
      </c>
      <c r="AC803">
        <v>0</v>
      </c>
      <c r="AD803" t="s">
        <v>130</v>
      </c>
      <c r="AH803">
        <v>80.95</v>
      </c>
    </row>
    <row r="804" spans="1:34" x14ac:dyDescent="0.3">
      <c r="A804" s="4">
        <v>987</v>
      </c>
      <c r="B804" s="5">
        <v>797</v>
      </c>
      <c r="C804">
        <v>9818</v>
      </c>
      <c r="D804" t="s">
        <v>7041</v>
      </c>
      <c r="E804" t="s">
        <v>166</v>
      </c>
      <c r="F804" t="s">
        <v>136</v>
      </c>
      <c r="G804" t="s">
        <v>28140</v>
      </c>
      <c r="H804">
        <v>16.899999999999999</v>
      </c>
      <c r="I804">
        <v>0</v>
      </c>
      <c r="J804">
        <v>0</v>
      </c>
      <c r="K804">
        <v>20</v>
      </c>
      <c r="L804">
        <v>7</v>
      </c>
      <c r="O804">
        <v>7</v>
      </c>
      <c r="P804">
        <v>4</v>
      </c>
      <c r="Q804">
        <v>2</v>
      </c>
      <c r="R804">
        <v>49.9</v>
      </c>
      <c r="S804">
        <v>28</v>
      </c>
      <c r="T804">
        <v>28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28</v>
      </c>
      <c r="AB804">
        <v>3</v>
      </c>
      <c r="AC804">
        <v>0</v>
      </c>
      <c r="AD804" t="s">
        <v>130</v>
      </c>
      <c r="AH804">
        <v>80.900000000000006</v>
      </c>
    </row>
    <row r="805" spans="1:34" x14ac:dyDescent="0.3">
      <c r="A805" s="4">
        <v>988</v>
      </c>
      <c r="B805" s="5">
        <v>798</v>
      </c>
      <c r="C805">
        <v>10349</v>
      </c>
      <c r="D805" t="s">
        <v>6430</v>
      </c>
      <c r="E805" t="s">
        <v>28141</v>
      </c>
      <c r="F805" t="s">
        <v>158</v>
      </c>
      <c r="G805" t="s">
        <v>28142</v>
      </c>
      <c r="H805">
        <v>16.899999999999999</v>
      </c>
      <c r="I805">
        <v>0</v>
      </c>
      <c r="J805">
        <v>0</v>
      </c>
      <c r="K805">
        <v>20</v>
      </c>
      <c r="N805">
        <v>3</v>
      </c>
      <c r="O805">
        <v>3</v>
      </c>
      <c r="P805">
        <v>4</v>
      </c>
      <c r="Q805">
        <v>0</v>
      </c>
      <c r="R805">
        <v>43.9</v>
      </c>
      <c r="S805">
        <v>37</v>
      </c>
      <c r="T805">
        <v>37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37</v>
      </c>
      <c r="AB805">
        <v>0</v>
      </c>
      <c r="AC805">
        <v>0</v>
      </c>
      <c r="AD805" t="s">
        <v>130</v>
      </c>
      <c r="AH805">
        <v>80.900000000000006</v>
      </c>
    </row>
    <row r="806" spans="1:34" x14ac:dyDescent="0.3">
      <c r="A806" s="4">
        <v>989</v>
      </c>
      <c r="B806" s="5">
        <v>799</v>
      </c>
      <c r="C806">
        <v>8979</v>
      </c>
      <c r="D806" t="s">
        <v>28143</v>
      </c>
      <c r="E806" t="s">
        <v>10280</v>
      </c>
      <c r="F806" t="s">
        <v>81</v>
      </c>
      <c r="G806" t="s">
        <v>28144</v>
      </c>
      <c r="H806">
        <v>14.88</v>
      </c>
      <c r="I806">
        <v>0</v>
      </c>
      <c r="J806">
        <v>0</v>
      </c>
      <c r="K806">
        <v>20</v>
      </c>
      <c r="L806">
        <v>7</v>
      </c>
      <c r="O806">
        <v>7</v>
      </c>
      <c r="P806">
        <v>4</v>
      </c>
      <c r="Q806">
        <v>2</v>
      </c>
      <c r="R806">
        <v>47.88</v>
      </c>
      <c r="S806">
        <v>33</v>
      </c>
      <c r="T806">
        <v>33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33</v>
      </c>
      <c r="AB806">
        <v>0</v>
      </c>
      <c r="AC806">
        <v>0</v>
      </c>
      <c r="AD806" t="s">
        <v>130</v>
      </c>
      <c r="AH806">
        <v>80.88</v>
      </c>
    </row>
    <row r="807" spans="1:34" x14ac:dyDescent="0.3">
      <c r="A807" s="4">
        <v>990</v>
      </c>
      <c r="B807" s="5">
        <v>800</v>
      </c>
      <c r="C807">
        <v>4879</v>
      </c>
      <c r="D807" t="s">
        <v>12978</v>
      </c>
      <c r="E807" t="s">
        <v>1189</v>
      </c>
      <c r="F807" t="s">
        <v>243</v>
      </c>
      <c r="G807" t="s">
        <v>28145</v>
      </c>
      <c r="H807">
        <v>19.579999999999998</v>
      </c>
      <c r="I807">
        <v>0</v>
      </c>
      <c r="J807">
        <v>0</v>
      </c>
      <c r="K807">
        <v>20</v>
      </c>
      <c r="L807">
        <v>7</v>
      </c>
      <c r="O807">
        <v>7</v>
      </c>
      <c r="P807">
        <v>4</v>
      </c>
      <c r="Q807">
        <v>2</v>
      </c>
      <c r="R807">
        <v>52.58</v>
      </c>
      <c r="S807">
        <v>25</v>
      </c>
      <c r="T807">
        <v>25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25</v>
      </c>
      <c r="AB807">
        <v>3</v>
      </c>
      <c r="AC807">
        <v>0</v>
      </c>
      <c r="AH807">
        <v>80.58</v>
      </c>
    </row>
    <row r="808" spans="1:34" x14ac:dyDescent="0.3">
      <c r="A808" s="4">
        <v>991</v>
      </c>
      <c r="B808" s="5">
        <v>801</v>
      </c>
      <c r="C808">
        <v>9492</v>
      </c>
      <c r="D808" t="s">
        <v>28146</v>
      </c>
      <c r="E808" t="s">
        <v>439</v>
      </c>
      <c r="F808" t="s">
        <v>38</v>
      </c>
      <c r="G808" t="s">
        <v>28147</v>
      </c>
      <c r="H808">
        <v>17.079999999999998</v>
      </c>
      <c r="I808">
        <v>0</v>
      </c>
      <c r="J808">
        <v>0</v>
      </c>
      <c r="K808">
        <v>0</v>
      </c>
      <c r="N808">
        <v>3</v>
      </c>
      <c r="O808">
        <v>3</v>
      </c>
      <c r="P808">
        <v>4</v>
      </c>
      <c r="Q808">
        <v>0</v>
      </c>
      <c r="R808">
        <v>24.08</v>
      </c>
      <c r="S808">
        <v>53</v>
      </c>
      <c r="T808">
        <v>53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53</v>
      </c>
      <c r="AB808">
        <v>3</v>
      </c>
      <c r="AC808">
        <v>0</v>
      </c>
      <c r="AD808" t="s">
        <v>130</v>
      </c>
      <c r="AH808">
        <v>80.08</v>
      </c>
    </row>
    <row r="809" spans="1:34" x14ac:dyDescent="0.3">
      <c r="A809" s="4">
        <v>992</v>
      </c>
      <c r="B809" s="5">
        <v>802</v>
      </c>
      <c r="C809">
        <v>11472</v>
      </c>
      <c r="D809" t="s">
        <v>25701</v>
      </c>
      <c r="E809" t="s">
        <v>91</v>
      </c>
      <c r="F809" t="s">
        <v>4482</v>
      </c>
      <c r="G809" t="s">
        <v>28148</v>
      </c>
      <c r="H809">
        <v>15.95</v>
      </c>
      <c r="I809">
        <v>0</v>
      </c>
      <c r="J809">
        <v>0</v>
      </c>
      <c r="K809">
        <v>0</v>
      </c>
      <c r="N809">
        <v>3</v>
      </c>
      <c r="O809">
        <v>3</v>
      </c>
      <c r="P809">
        <v>4</v>
      </c>
      <c r="Q809">
        <v>2</v>
      </c>
      <c r="R809">
        <v>24.95</v>
      </c>
      <c r="S809">
        <v>52</v>
      </c>
      <c r="T809">
        <v>52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52</v>
      </c>
      <c r="AB809">
        <v>3</v>
      </c>
      <c r="AC809">
        <v>0</v>
      </c>
      <c r="AH809">
        <v>79.95</v>
      </c>
    </row>
    <row r="810" spans="1:34" x14ac:dyDescent="0.3">
      <c r="A810" s="4">
        <v>993</v>
      </c>
      <c r="B810" s="5">
        <v>803</v>
      </c>
      <c r="C810">
        <v>10964</v>
      </c>
      <c r="D810" t="s">
        <v>4857</v>
      </c>
      <c r="E810" t="s">
        <v>161</v>
      </c>
      <c r="F810" t="s">
        <v>17</v>
      </c>
      <c r="G810" t="s">
        <v>28149</v>
      </c>
      <c r="H810">
        <v>15.75</v>
      </c>
      <c r="I810">
        <v>0</v>
      </c>
      <c r="J810">
        <v>0</v>
      </c>
      <c r="K810">
        <v>0</v>
      </c>
      <c r="N810">
        <v>3</v>
      </c>
      <c r="O810">
        <v>3</v>
      </c>
      <c r="P810">
        <v>4</v>
      </c>
      <c r="Q810">
        <v>2</v>
      </c>
      <c r="R810">
        <v>24.75</v>
      </c>
      <c r="S810">
        <v>55</v>
      </c>
      <c r="T810">
        <v>55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55</v>
      </c>
      <c r="AB810">
        <v>0</v>
      </c>
      <c r="AC810">
        <v>0</v>
      </c>
      <c r="AH810">
        <v>79.75</v>
      </c>
    </row>
    <row r="811" spans="1:34" x14ac:dyDescent="0.3">
      <c r="A811" s="4">
        <v>994</v>
      </c>
      <c r="B811" s="5">
        <v>804</v>
      </c>
      <c r="C811">
        <v>9585</v>
      </c>
      <c r="D811" t="s">
        <v>7992</v>
      </c>
      <c r="E811" t="s">
        <v>166</v>
      </c>
      <c r="F811" t="s">
        <v>81</v>
      </c>
      <c r="G811" t="s">
        <v>28150</v>
      </c>
      <c r="H811">
        <v>15.65</v>
      </c>
      <c r="I811">
        <v>0</v>
      </c>
      <c r="J811">
        <v>0</v>
      </c>
      <c r="K811">
        <v>0</v>
      </c>
      <c r="N811">
        <v>3</v>
      </c>
      <c r="O811">
        <v>3</v>
      </c>
      <c r="P811">
        <v>4</v>
      </c>
      <c r="Q811">
        <v>0</v>
      </c>
      <c r="R811">
        <v>22.65</v>
      </c>
      <c r="S811">
        <v>51</v>
      </c>
      <c r="T811">
        <v>51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51</v>
      </c>
      <c r="AB811">
        <v>6</v>
      </c>
      <c r="AC811">
        <v>0</v>
      </c>
      <c r="AH811">
        <v>79.650000000000006</v>
      </c>
    </row>
    <row r="812" spans="1:34" x14ac:dyDescent="0.3">
      <c r="A812" s="4">
        <v>995</v>
      </c>
      <c r="B812" s="5">
        <v>805</v>
      </c>
      <c r="C812">
        <v>7139</v>
      </c>
      <c r="D812" t="s">
        <v>28151</v>
      </c>
      <c r="E812" t="s">
        <v>3184</v>
      </c>
      <c r="F812" t="s">
        <v>68</v>
      </c>
      <c r="G812" t="s">
        <v>28152</v>
      </c>
      <c r="H812">
        <v>15.55</v>
      </c>
      <c r="I812">
        <v>0</v>
      </c>
      <c r="J812">
        <v>0</v>
      </c>
      <c r="K812">
        <v>20</v>
      </c>
      <c r="L812">
        <v>7</v>
      </c>
      <c r="O812">
        <v>7</v>
      </c>
      <c r="P812">
        <v>4</v>
      </c>
      <c r="Q812">
        <v>2</v>
      </c>
      <c r="R812">
        <v>48.55</v>
      </c>
      <c r="S812">
        <v>31</v>
      </c>
      <c r="T812">
        <v>31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31</v>
      </c>
      <c r="AB812">
        <v>0</v>
      </c>
      <c r="AC812">
        <v>0</v>
      </c>
      <c r="AD812" t="s">
        <v>130</v>
      </c>
      <c r="AH812">
        <v>79.55</v>
      </c>
    </row>
    <row r="813" spans="1:34" x14ac:dyDescent="0.3">
      <c r="A813" s="4">
        <v>996</v>
      </c>
      <c r="B813" s="5">
        <v>806</v>
      </c>
      <c r="C813">
        <v>12120</v>
      </c>
      <c r="D813" t="s">
        <v>4019</v>
      </c>
      <c r="E813" t="s">
        <v>255</v>
      </c>
      <c r="F813" t="s">
        <v>136</v>
      </c>
      <c r="G813" t="s">
        <v>28153</v>
      </c>
      <c r="H813">
        <v>16.38</v>
      </c>
      <c r="I813">
        <v>0</v>
      </c>
      <c r="J813">
        <v>0</v>
      </c>
      <c r="K813">
        <v>20</v>
      </c>
      <c r="L813">
        <v>7</v>
      </c>
      <c r="O813">
        <v>7</v>
      </c>
      <c r="P813">
        <v>4</v>
      </c>
      <c r="Q813">
        <v>2</v>
      </c>
      <c r="R813">
        <v>49.38</v>
      </c>
      <c r="S813">
        <v>24</v>
      </c>
      <c r="T813">
        <v>24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24</v>
      </c>
      <c r="AB813">
        <v>6</v>
      </c>
      <c r="AC813">
        <v>0</v>
      </c>
      <c r="AH813">
        <v>79.38</v>
      </c>
    </row>
    <row r="814" spans="1:34" x14ac:dyDescent="0.3">
      <c r="A814" s="4">
        <v>997</v>
      </c>
      <c r="B814" s="5">
        <v>807</v>
      </c>
      <c r="C814">
        <v>7478</v>
      </c>
      <c r="D814" t="s">
        <v>181</v>
      </c>
      <c r="E814" t="s">
        <v>132</v>
      </c>
      <c r="F814" t="s">
        <v>2998</v>
      </c>
      <c r="G814" t="s">
        <v>28154</v>
      </c>
      <c r="H814">
        <v>18.3</v>
      </c>
      <c r="I814">
        <v>0</v>
      </c>
      <c r="J814">
        <v>0</v>
      </c>
      <c r="K814">
        <v>0</v>
      </c>
      <c r="N814">
        <v>3</v>
      </c>
      <c r="O814">
        <v>3</v>
      </c>
      <c r="P814">
        <v>4</v>
      </c>
      <c r="Q814">
        <v>0</v>
      </c>
      <c r="R814">
        <v>25.3</v>
      </c>
      <c r="S814">
        <v>48</v>
      </c>
      <c r="T814">
        <v>48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48</v>
      </c>
      <c r="AB814">
        <v>6</v>
      </c>
      <c r="AC814">
        <v>0</v>
      </c>
      <c r="AH814">
        <v>79.3</v>
      </c>
    </row>
    <row r="815" spans="1:34" x14ac:dyDescent="0.3">
      <c r="A815" s="4">
        <v>998</v>
      </c>
      <c r="B815" s="5">
        <v>808</v>
      </c>
      <c r="C815">
        <v>8751</v>
      </c>
      <c r="D815" t="s">
        <v>28155</v>
      </c>
      <c r="E815" t="s">
        <v>41</v>
      </c>
      <c r="F815" t="s">
        <v>55</v>
      </c>
      <c r="G815" t="s">
        <v>28156</v>
      </c>
      <c r="H815">
        <v>15.75</v>
      </c>
      <c r="I815">
        <v>0</v>
      </c>
      <c r="J815">
        <v>0</v>
      </c>
      <c r="K815">
        <v>0</v>
      </c>
      <c r="L815">
        <v>7</v>
      </c>
      <c r="O815">
        <v>7</v>
      </c>
      <c r="P815">
        <v>4</v>
      </c>
      <c r="Q815">
        <v>2</v>
      </c>
      <c r="R815">
        <v>28.75</v>
      </c>
      <c r="S815">
        <v>50</v>
      </c>
      <c r="T815">
        <v>50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50</v>
      </c>
      <c r="AB815">
        <v>0</v>
      </c>
      <c r="AC815">
        <v>0</v>
      </c>
      <c r="AD815" t="s">
        <v>130</v>
      </c>
      <c r="AH815">
        <v>78.75</v>
      </c>
    </row>
    <row r="816" spans="1:34" x14ac:dyDescent="0.3">
      <c r="A816" s="4">
        <v>999</v>
      </c>
      <c r="B816" s="5">
        <v>809</v>
      </c>
      <c r="C816">
        <v>14342</v>
      </c>
      <c r="D816" t="s">
        <v>6824</v>
      </c>
      <c r="E816" t="s">
        <v>28157</v>
      </c>
      <c r="F816" t="s">
        <v>28158</v>
      </c>
      <c r="G816" t="s">
        <v>28159</v>
      </c>
      <c r="H816">
        <v>16.5</v>
      </c>
      <c r="I816">
        <v>0</v>
      </c>
      <c r="J816">
        <v>0</v>
      </c>
      <c r="K816">
        <v>20</v>
      </c>
      <c r="L816">
        <v>7</v>
      </c>
      <c r="O816">
        <v>7</v>
      </c>
      <c r="P816">
        <v>4</v>
      </c>
      <c r="Q816">
        <v>0</v>
      </c>
      <c r="R816">
        <v>47.5</v>
      </c>
      <c r="S816">
        <v>31</v>
      </c>
      <c r="T816">
        <v>31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31</v>
      </c>
      <c r="AB816">
        <v>0</v>
      </c>
      <c r="AC816">
        <v>0</v>
      </c>
      <c r="AH816">
        <v>78.5</v>
      </c>
    </row>
    <row r="817" spans="1:34" x14ac:dyDescent="0.3">
      <c r="A817" s="4">
        <v>1000</v>
      </c>
      <c r="B817" s="5">
        <v>810</v>
      </c>
      <c r="C817">
        <v>10257</v>
      </c>
      <c r="D817" t="s">
        <v>28160</v>
      </c>
      <c r="E817" t="s">
        <v>14</v>
      </c>
      <c r="F817" t="s">
        <v>259</v>
      </c>
      <c r="G817" t="s">
        <v>28161</v>
      </c>
      <c r="H817">
        <v>21</v>
      </c>
      <c r="I817">
        <v>7</v>
      </c>
      <c r="J817">
        <v>0</v>
      </c>
      <c r="K817">
        <v>20</v>
      </c>
      <c r="L817">
        <v>7</v>
      </c>
      <c r="O817">
        <v>7</v>
      </c>
      <c r="P817">
        <v>4</v>
      </c>
      <c r="Q817">
        <v>2</v>
      </c>
      <c r="R817">
        <v>61</v>
      </c>
      <c r="S817">
        <v>16</v>
      </c>
      <c r="T817">
        <v>16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16</v>
      </c>
      <c r="AB817">
        <v>0</v>
      </c>
      <c r="AC817">
        <v>0</v>
      </c>
      <c r="AH817">
        <v>77</v>
      </c>
    </row>
    <row r="818" spans="1:34" x14ac:dyDescent="0.3">
      <c r="A818" s="4">
        <v>1002</v>
      </c>
      <c r="B818" s="5">
        <v>811</v>
      </c>
      <c r="C818">
        <v>5258</v>
      </c>
      <c r="D818" t="s">
        <v>28162</v>
      </c>
      <c r="E818" t="s">
        <v>29</v>
      </c>
      <c r="F818" t="s">
        <v>68</v>
      </c>
      <c r="G818" t="s">
        <v>28163</v>
      </c>
      <c r="H818">
        <v>15.95</v>
      </c>
      <c r="I818">
        <v>0</v>
      </c>
      <c r="J818">
        <v>0</v>
      </c>
      <c r="K818">
        <v>0</v>
      </c>
      <c r="L818">
        <v>7</v>
      </c>
      <c r="O818">
        <v>7</v>
      </c>
      <c r="P818">
        <v>4</v>
      </c>
      <c r="Q818">
        <v>0</v>
      </c>
      <c r="R818">
        <v>26.95</v>
      </c>
      <c r="S818">
        <v>50</v>
      </c>
      <c r="T818">
        <v>50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50</v>
      </c>
      <c r="AB818">
        <v>0</v>
      </c>
      <c r="AC818">
        <v>0</v>
      </c>
      <c r="AD818" t="s">
        <v>130</v>
      </c>
      <c r="AH818">
        <v>76.95</v>
      </c>
    </row>
    <row r="819" spans="1:34" x14ac:dyDescent="0.3">
      <c r="A819" s="4">
        <v>1003</v>
      </c>
      <c r="B819" s="5">
        <v>812</v>
      </c>
      <c r="C819">
        <v>2115</v>
      </c>
      <c r="D819" t="s">
        <v>28164</v>
      </c>
      <c r="E819" t="s">
        <v>22</v>
      </c>
      <c r="F819" t="s">
        <v>1806</v>
      </c>
      <c r="G819" t="s">
        <v>28165</v>
      </c>
      <c r="H819">
        <v>17.600000000000001</v>
      </c>
      <c r="I819">
        <v>0</v>
      </c>
      <c r="J819">
        <v>0</v>
      </c>
      <c r="K819">
        <v>0</v>
      </c>
      <c r="N819">
        <v>3</v>
      </c>
      <c r="O819">
        <v>3</v>
      </c>
      <c r="P819">
        <v>4</v>
      </c>
      <c r="Q819">
        <v>0</v>
      </c>
      <c r="R819">
        <v>24.6</v>
      </c>
      <c r="S819">
        <v>52</v>
      </c>
      <c r="T819">
        <v>52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52</v>
      </c>
      <c r="AB819">
        <v>0</v>
      </c>
      <c r="AC819">
        <v>0</v>
      </c>
      <c r="AH819">
        <v>76.599999999999994</v>
      </c>
    </row>
    <row r="820" spans="1:34" x14ac:dyDescent="0.3">
      <c r="A820" s="4">
        <v>1004</v>
      </c>
      <c r="B820" s="5">
        <v>813</v>
      </c>
      <c r="C820">
        <v>6780</v>
      </c>
      <c r="D820" t="s">
        <v>28166</v>
      </c>
      <c r="E820" t="s">
        <v>143</v>
      </c>
      <c r="F820" t="s">
        <v>3968</v>
      </c>
      <c r="G820" t="s">
        <v>28167</v>
      </c>
      <c r="H820">
        <v>15.5</v>
      </c>
      <c r="I820">
        <v>0</v>
      </c>
      <c r="J820">
        <v>0</v>
      </c>
      <c r="K820">
        <v>20</v>
      </c>
      <c r="L820">
        <v>7</v>
      </c>
      <c r="O820">
        <v>7</v>
      </c>
      <c r="P820">
        <v>4</v>
      </c>
      <c r="Q820">
        <v>2</v>
      </c>
      <c r="R820">
        <v>48.5</v>
      </c>
      <c r="S820">
        <v>27</v>
      </c>
      <c r="T820">
        <v>27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27</v>
      </c>
      <c r="AB820">
        <v>0</v>
      </c>
      <c r="AC820">
        <v>0</v>
      </c>
      <c r="AH820">
        <v>75.5</v>
      </c>
    </row>
    <row r="821" spans="1:34" x14ac:dyDescent="0.3">
      <c r="A821" s="4">
        <v>1005</v>
      </c>
      <c r="B821" s="5">
        <v>814</v>
      </c>
      <c r="C821">
        <v>4691</v>
      </c>
      <c r="D821" t="s">
        <v>28168</v>
      </c>
      <c r="E821" t="s">
        <v>208</v>
      </c>
      <c r="F821" t="s">
        <v>38</v>
      </c>
      <c r="G821" t="s">
        <v>28169</v>
      </c>
      <c r="H821">
        <v>17.3</v>
      </c>
      <c r="I821">
        <v>0</v>
      </c>
      <c r="J821">
        <v>0</v>
      </c>
      <c r="K821">
        <v>0</v>
      </c>
      <c r="N821">
        <v>3</v>
      </c>
      <c r="O821">
        <v>3</v>
      </c>
      <c r="P821">
        <v>4</v>
      </c>
      <c r="Q821">
        <v>0</v>
      </c>
      <c r="R821">
        <v>24.3</v>
      </c>
      <c r="S821">
        <v>51</v>
      </c>
      <c r="T821">
        <v>51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51</v>
      </c>
      <c r="AB821">
        <v>0</v>
      </c>
      <c r="AC821">
        <v>0</v>
      </c>
      <c r="AH821">
        <v>75.3</v>
      </c>
    </row>
    <row r="822" spans="1:34" x14ac:dyDescent="0.3">
      <c r="A822" s="4">
        <v>1006</v>
      </c>
      <c r="B822" s="5">
        <v>815</v>
      </c>
      <c r="C822">
        <v>2643</v>
      </c>
      <c r="D822" t="s">
        <v>28170</v>
      </c>
      <c r="E822" t="s">
        <v>26</v>
      </c>
      <c r="F822" t="s">
        <v>158</v>
      </c>
      <c r="G822" t="s">
        <v>28171</v>
      </c>
      <c r="H822">
        <v>16.5</v>
      </c>
      <c r="I822">
        <v>0</v>
      </c>
      <c r="J822">
        <v>0</v>
      </c>
      <c r="K822">
        <v>20</v>
      </c>
      <c r="N822">
        <v>6</v>
      </c>
      <c r="O822">
        <v>6</v>
      </c>
      <c r="P822">
        <v>4</v>
      </c>
      <c r="Q822">
        <v>2</v>
      </c>
      <c r="R822">
        <v>48.5</v>
      </c>
      <c r="S822">
        <v>23</v>
      </c>
      <c r="T822">
        <v>23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23</v>
      </c>
      <c r="AB822">
        <v>3</v>
      </c>
      <c r="AC822">
        <v>0</v>
      </c>
      <c r="AD822" t="s">
        <v>130</v>
      </c>
      <c r="AH822">
        <v>74.5</v>
      </c>
    </row>
    <row r="823" spans="1:34" x14ac:dyDescent="0.3">
      <c r="A823" s="4">
        <v>1007</v>
      </c>
      <c r="B823" s="5">
        <v>816</v>
      </c>
      <c r="C823">
        <v>1830</v>
      </c>
      <c r="D823" t="s">
        <v>28172</v>
      </c>
      <c r="E823" t="s">
        <v>54</v>
      </c>
      <c r="F823" t="s">
        <v>17</v>
      </c>
      <c r="G823" t="s">
        <v>28173</v>
      </c>
      <c r="H823">
        <v>18.2</v>
      </c>
      <c r="I823">
        <v>0</v>
      </c>
      <c r="J823">
        <v>0</v>
      </c>
      <c r="K823">
        <v>20</v>
      </c>
      <c r="L823">
        <v>7</v>
      </c>
      <c r="M823">
        <v>5</v>
      </c>
      <c r="O823">
        <v>12</v>
      </c>
      <c r="P823">
        <v>4</v>
      </c>
      <c r="Q823">
        <v>2</v>
      </c>
      <c r="R823">
        <v>56.2</v>
      </c>
      <c r="S823">
        <v>18</v>
      </c>
      <c r="T823">
        <v>18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18</v>
      </c>
      <c r="AB823">
        <v>0</v>
      </c>
      <c r="AC823">
        <v>0</v>
      </c>
      <c r="AD823" t="s">
        <v>130</v>
      </c>
      <c r="AE823" t="s">
        <v>130</v>
      </c>
      <c r="AH823">
        <v>74.2</v>
      </c>
    </row>
    <row r="824" spans="1:34" x14ac:dyDescent="0.3">
      <c r="A824" s="4">
        <v>1008</v>
      </c>
      <c r="B824" s="5">
        <v>817</v>
      </c>
      <c r="C824">
        <v>5161</v>
      </c>
      <c r="D824" t="s">
        <v>9942</v>
      </c>
      <c r="E824" t="s">
        <v>268</v>
      </c>
      <c r="F824" t="s">
        <v>243</v>
      </c>
      <c r="G824" t="s">
        <v>28174</v>
      </c>
      <c r="H824">
        <v>19.73</v>
      </c>
      <c r="I824">
        <v>0</v>
      </c>
      <c r="J824">
        <v>0</v>
      </c>
      <c r="K824">
        <v>20</v>
      </c>
      <c r="L824">
        <v>7</v>
      </c>
      <c r="O824">
        <v>7</v>
      </c>
      <c r="P824">
        <v>0</v>
      </c>
      <c r="Q824">
        <v>0</v>
      </c>
      <c r="R824">
        <v>46.73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26.8</v>
      </c>
      <c r="AH824">
        <v>73.53</v>
      </c>
    </row>
    <row r="825" spans="1:34" x14ac:dyDescent="0.3">
      <c r="A825" s="4">
        <v>1009</v>
      </c>
      <c r="B825" s="5">
        <v>818</v>
      </c>
      <c r="C825">
        <v>5912</v>
      </c>
      <c r="D825" t="s">
        <v>15869</v>
      </c>
      <c r="E825" t="s">
        <v>28175</v>
      </c>
      <c r="F825" t="s">
        <v>17</v>
      </c>
      <c r="G825" t="s">
        <v>28176</v>
      </c>
      <c r="H825">
        <v>18.45</v>
      </c>
      <c r="I825">
        <v>0</v>
      </c>
      <c r="J825">
        <v>0</v>
      </c>
      <c r="K825">
        <v>0</v>
      </c>
      <c r="N825">
        <v>3</v>
      </c>
      <c r="O825">
        <v>3</v>
      </c>
      <c r="P825">
        <v>4</v>
      </c>
      <c r="Q825">
        <v>0</v>
      </c>
      <c r="R825">
        <v>25.45</v>
      </c>
      <c r="S825">
        <v>45</v>
      </c>
      <c r="T825">
        <v>45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45</v>
      </c>
      <c r="AB825">
        <v>3</v>
      </c>
      <c r="AC825">
        <v>0</v>
      </c>
      <c r="AH825">
        <v>73.45</v>
      </c>
    </row>
    <row r="826" spans="1:34" x14ac:dyDescent="0.3">
      <c r="A826" s="4">
        <v>1010</v>
      </c>
      <c r="B826" s="5">
        <v>819</v>
      </c>
      <c r="C826">
        <v>10328</v>
      </c>
      <c r="D826" t="s">
        <v>28177</v>
      </c>
      <c r="E826" t="s">
        <v>29</v>
      </c>
      <c r="F826" t="s">
        <v>38</v>
      </c>
      <c r="G826" t="s">
        <v>28178</v>
      </c>
      <c r="H826">
        <v>18.38</v>
      </c>
      <c r="I826">
        <v>0</v>
      </c>
      <c r="J826">
        <v>0</v>
      </c>
      <c r="K826">
        <v>20</v>
      </c>
      <c r="N826">
        <v>3</v>
      </c>
      <c r="O826">
        <v>3</v>
      </c>
      <c r="P826">
        <v>4</v>
      </c>
      <c r="Q826">
        <v>2</v>
      </c>
      <c r="R826">
        <v>47.38</v>
      </c>
      <c r="S826">
        <v>26</v>
      </c>
      <c r="T826">
        <v>26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26</v>
      </c>
      <c r="AB826">
        <v>0</v>
      </c>
      <c r="AC826">
        <v>0</v>
      </c>
      <c r="AH826">
        <v>73.38</v>
      </c>
    </row>
    <row r="827" spans="1:34" x14ac:dyDescent="0.3">
      <c r="A827" s="4">
        <v>1011</v>
      </c>
      <c r="B827" s="5">
        <v>820</v>
      </c>
      <c r="C827">
        <v>12197</v>
      </c>
      <c r="D827" t="s">
        <v>16669</v>
      </c>
      <c r="E827" t="s">
        <v>88</v>
      </c>
      <c r="F827" t="s">
        <v>687</v>
      </c>
      <c r="G827" t="s">
        <v>28179</v>
      </c>
      <c r="H827">
        <v>19.2</v>
      </c>
      <c r="I827">
        <v>0</v>
      </c>
      <c r="J827">
        <v>0</v>
      </c>
      <c r="K827">
        <v>20</v>
      </c>
      <c r="L827">
        <v>7</v>
      </c>
      <c r="O827">
        <v>7</v>
      </c>
      <c r="P827">
        <v>4</v>
      </c>
      <c r="Q827">
        <v>2</v>
      </c>
      <c r="R827">
        <v>52.2</v>
      </c>
      <c r="S827">
        <v>18</v>
      </c>
      <c r="T827">
        <v>18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18</v>
      </c>
      <c r="AB827">
        <v>3</v>
      </c>
      <c r="AC827">
        <v>0</v>
      </c>
      <c r="AH827">
        <v>73.2</v>
      </c>
    </row>
    <row r="828" spans="1:34" x14ac:dyDescent="0.3">
      <c r="A828" s="4">
        <v>1012</v>
      </c>
      <c r="B828" s="5">
        <v>821</v>
      </c>
      <c r="C828">
        <v>9340</v>
      </c>
      <c r="D828" t="s">
        <v>14172</v>
      </c>
      <c r="E828" t="s">
        <v>454</v>
      </c>
      <c r="F828" t="s">
        <v>81</v>
      </c>
      <c r="G828" t="s">
        <v>28180</v>
      </c>
      <c r="H828">
        <v>17.2</v>
      </c>
      <c r="I828">
        <v>0</v>
      </c>
      <c r="J828">
        <v>0</v>
      </c>
      <c r="K828">
        <v>0</v>
      </c>
      <c r="N828">
        <v>3</v>
      </c>
      <c r="O828">
        <v>3</v>
      </c>
      <c r="P828">
        <v>4</v>
      </c>
      <c r="Q828">
        <v>2</v>
      </c>
      <c r="R828">
        <v>26.2</v>
      </c>
      <c r="S828">
        <v>47</v>
      </c>
      <c r="T828">
        <v>47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47</v>
      </c>
      <c r="AB828">
        <v>0</v>
      </c>
      <c r="AC828">
        <v>0</v>
      </c>
      <c r="AH828">
        <v>73.2</v>
      </c>
    </row>
    <row r="829" spans="1:34" x14ac:dyDescent="0.3">
      <c r="A829" s="4">
        <v>1013</v>
      </c>
      <c r="B829" s="5">
        <v>822</v>
      </c>
      <c r="C829">
        <v>11833</v>
      </c>
      <c r="D829" t="s">
        <v>28181</v>
      </c>
      <c r="E829" t="s">
        <v>28182</v>
      </c>
      <c r="F829" t="s">
        <v>17</v>
      </c>
      <c r="G829" t="s">
        <v>28183</v>
      </c>
      <c r="H829">
        <v>17.829999999999998</v>
      </c>
      <c r="I829">
        <v>0</v>
      </c>
      <c r="J829">
        <v>0</v>
      </c>
      <c r="K829">
        <v>0</v>
      </c>
      <c r="L829">
        <v>7</v>
      </c>
      <c r="O829">
        <v>7</v>
      </c>
      <c r="P829">
        <v>4</v>
      </c>
      <c r="Q829">
        <v>2</v>
      </c>
      <c r="R829">
        <v>30.83</v>
      </c>
      <c r="S829">
        <v>42</v>
      </c>
      <c r="T829">
        <v>42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42</v>
      </c>
      <c r="AB829">
        <v>0</v>
      </c>
      <c r="AC829">
        <v>0</v>
      </c>
      <c r="AD829" t="s">
        <v>130</v>
      </c>
      <c r="AH829">
        <v>72.83</v>
      </c>
    </row>
    <row r="830" spans="1:34" x14ac:dyDescent="0.3">
      <c r="A830" s="4">
        <v>1014</v>
      </c>
      <c r="B830" s="5">
        <v>823</v>
      </c>
      <c r="C830">
        <v>5575</v>
      </c>
      <c r="D830" t="s">
        <v>28184</v>
      </c>
      <c r="E830" t="s">
        <v>13275</v>
      </c>
      <c r="F830" t="s">
        <v>2598</v>
      </c>
      <c r="G830" t="s">
        <v>28185</v>
      </c>
      <c r="H830">
        <v>17.75</v>
      </c>
      <c r="I830">
        <v>0</v>
      </c>
      <c r="J830">
        <v>0</v>
      </c>
      <c r="K830">
        <v>0</v>
      </c>
      <c r="L830">
        <v>7</v>
      </c>
      <c r="O830">
        <v>7</v>
      </c>
      <c r="P830">
        <v>4</v>
      </c>
      <c r="Q830">
        <v>2</v>
      </c>
      <c r="R830">
        <v>30.75</v>
      </c>
      <c r="S830">
        <v>42</v>
      </c>
      <c r="T830">
        <v>42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42</v>
      </c>
      <c r="AB830">
        <v>0</v>
      </c>
      <c r="AC830">
        <v>0</v>
      </c>
      <c r="AH830">
        <v>72.75</v>
      </c>
    </row>
    <row r="831" spans="1:34" x14ac:dyDescent="0.3">
      <c r="A831" s="4">
        <v>1015</v>
      </c>
      <c r="B831" s="5">
        <v>824</v>
      </c>
      <c r="C831">
        <v>5043</v>
      </c>
      <c r="D831" t="s">
        <v>28186</v>
      </c>
      <c r="E831" t="s">
        <v>100</v>
      </c>
      <c r="F831" t="s">
        <v>68</v>
      </c>
      <c r="G831" t="s">
        <v>28187</v>
      </c>
      <c r="H831">
        <v>15.63</v>
      </c>
      <c r="I831">
        <v>0</v>
      </c>
      <c r="J831">
        <v>0</v>
      </c>
      <c r="K831">
        <v>0</v>
      </c>
      <c r="L831">
        <v>7</v>
      </c>
      <c r="O831">
        <v>7</v>
      </c>
      <c r="P831">
        <v>4</v>
      </c>
      <c r="Q831">
        <v>0</v>
      </c>
      <c r="R831">
        <v>26.63</v>
      </c>
      <c r="S831">
        <v>46</v>
      </c>
      <c r="T831">
        <v>46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46</v>
      </c>
      <c r="AB831">
        <v>0</v>
      </c>
      <c r="AC831">
        <v>0</v>
      </c>
      <c r="AH831">
        <v>72.63</v>
      </c>
    </row>
    <row r="832" spans="1:34" x14ac:dyDescent="0.3">
      <c r="A832" s="4">
        <v>1016</v>
      </c>
      <c r="B832" s="5">
        <v>825</v>
      </c>
      <c r="C832">
        <v>11755</v>
      </c>
      <c r="D832" t="s">
        <v>4452</v>
      </c>
      <c r="E832" t="s">
        <v>7864</v>
      </c>
      <c r="F832" t="s">
        <v>626</v>
      </c>
      <c r="G832" t="s">
        <v>28188</v>
      </c>
      <c r="H832">
        <v>18.03</v>
      </c>
      <c r="I832">
        <v>0</v>
      </c>
      <c r="J832">
        <v>0</v>
      </c>
      <c r="K832">
        <v>20</v>
      </c>
      <c r="N832">
        <v>3</v>
      </c>
      <c r="O832">
        <v>3</v>
      </c>
      <c r="P832">
        <v>4</v>
      </c>
      <c r="Q832">
        <v>0</v>
      </c>
      <c r="R832">
        <v>45.03</v>
      </c>
      <c r="S832">
        <v>27</v>
      </c>
      <c r="T832">
        <v>27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27</v>
      </c>
      <c r="AB832">
        <v>0</v>
      </c>
      <c r="AC832">
        <v>0</v>
      </c>
      <c r="AD832" t="s">
        <v>130</v>
      </c>
      <c r="AH832">
        <v>72.03</v>
      </c>
    </row>
    <row r="833" spans="1:34" x14ac:dyDescent="0.3">
      <c r="A833" s="4">
        <v>1017</v>
      </c>
      <c r="B833" s="5">
        <v>826</v>
      </c>
      <c r="C833">
        <v>6631</v>
      </c>
      <c r="D833" t="s">
        <v>27304</v>
      </c>
      <c r="E833" t="s">
        <v>54</v>
      </c>
      <c r="F833" t="s">
        <v>17</v>
      </c>
      <c r="G833" t="s">
        <v>28189</v>
      </c>
      <c r="H833">
        <v>15.65</v>
      </c>
      <c r="I833">
        <v>0</v>
      </c>
      <c r="J833">
        <v>0</v>
      </c>
      <c r="K833">
        <v>20</v>
      </c>
      <c r="N833">
        <v>3</v>
      </c>
      <c r="O833">
        <v>3</v>
      </c>
      <c r="P833">
        <v>4</v>
      </c>
      <c r="Q833">
        <v>2</v>
      </c>
      <c r="R833">
        <v>44.65</v>
      </c>
      <c r="S833">
        <v>26</v>
      </c>
      <c r="T833">
        <v>26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26</v>
      </c>
      <c r="AB833">
        <v>0</v>
      </c>
      <c r="AC833">
        <v>0</v>
      </c>
      <c r="AD833" t="s">
        <v>130</v>
      </c>
      <c r="AH833">
        <v>70.650000000000006</v>
      </c>
    </row>
    <row r="834" spans="1:34" x14ac:dyDescent="0.3">
      <c r="A834" s="4">
        <v>1018</v>
      </c>
      <c r="B834" s="5">
        <v>827</v>
      </c>
      <c r="C834">
        <v>2171</v>
      </c>
      <c r="D834" t="s">
        <v>28190</v>
      </c>
      <c r="E834" t="s">
        <v>5334</v>
      </c>
      <c r="F834" t="s">
        <v>136</v>
      </c>
      <c r="G834" t="s">
        <v>28191</v>
      </c>
      <c r="H834">
        <v>16.43</v>
      </c>
      <c r="I834">
        <v>0</v>
      </c>
      <c r="J834">
        <v>0</v>
      </c>
      <c r="K834">
        <v>0</v>
      </c>
      <c r="N834">
        <v>3</v>
      </c>
      <c r="O834">
        <v>3</v>
      </c>
      <c r="P834">
        <v>4</v>
      </c>
      <c r="Q834">
        <v>2</v>
      </c>
      <c r="R834">
        <v>25.43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9</v>
      </c>
      <c r="AC834">
        <v>36</v>
      </c>
      <c r="AH834">
        <v>70.430000000000007</v>
      </c>
    </row>
    <row r="835" spans="1:34" x14ac:dyDescent="0.3">
      <c r="A835" s="4">
        <v>1019</v>
      </c>
      <c r="B835" s="5">
        <v>828</v>
      </c>
      <c r="C835">
        <v>13254</v>
      </c>
      <c r="D835" t="s">
        <v>21169</v>
      </c>
      <c r="E835" t="s">
        <v>132</v>
      </c>
      <c r="F835" t="s">
        <v>136</v>
      </c>
      <c r="G835" t="s">
        <v>28192</v>
      </c>
      <c r="H835">
        <v>16.329999999999998</v>
      </c>
      <c r="I835">
        <v>0</v>
      </c>
      <c r="J835">
        <v>0</v>
      </c>
      <c r="K835">
        <v>0</v>
      </c>
      <c r="N835">
        <v>3</v>
      </c>
      <c r="O835">
        <v>3</v>
      </c>
      <c r="P835">
        <v>4</v>
      </c>
      <c r="Q835">
        <v>2</v>
      </c>
      <c r="R835">
        <v>25.33</v>
      </c>
      <c r="S835">
        <v>45</v>
      </c>
      <c r="T835">
        <v>45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45</v>
      </c>
      <c r="AB835">
        <v>0</v>
      </c>
      <c r="AC835">
        <v>0</v>
      </c>
      <c r="AD835" t="s">
        <v>130</v>
      </c>
      <c r="AH835">
        <v>70.33</v>
      </c>
    </row>
    <row r="836" spans="1:34" x14ac:dyDescent="0.3">
      <c r="A836" s="4">
        <v>1020</v>
      </c>
      <c r="B836" s="5">
        <v>829</v>
      </c>
      <c r="C836">
        <v>12760</v>
      </c>
      <c r="D836" t="s">
        <v>3056</v>
      </c>
      <c r="E836" t="s">
        <v>26</v>
      </c>
      <c r="F836" t="s">
        <v>230</v>
      </c>
      <c r="G836" t="s">
        <v>28193</v>
      </c>
      <c r="H836">
        <v>16.13</v>
      </c>
      <c r="I836">
        <v>0</v>
      </c>
      <c r="J836">
        <v>0</v>
      </c>
      <c r="K836">
        <v>0</v>
      </c>
      <c r="L836">
        <v>7</v>
      </c>
      <c r="O836">
        <v>7</v>
      </c>
      <c r="P836">
        <v>4</v>
      </c>
      <c r="Q836">
        <v>0</v>
      </c>
      <c r="R836">
        <v>27.13</v>
      </c>
      <c r="S836">
        <v>43</v>
      </c>
      <c r="T836">
        <v>43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43</v>
      </c>
      <c r="AB836">
        <v>0</v>
      </c>
      <c r="AC836">
        <v>0</v>
      </c>
      <c r="AH836">
        <v>70.13</v>
      </c>
    </row>
    <row r="837" spans="1:34" x14ac:dyDescent="0.3">
      <c r="A837" s="4">
        <v>1021</v>
      </c>
      <c r="B837" s="5">
        <v>830</v>
      </c>
      <c r="C837">
        <v>1415</v>
      </c>
      <c r="D837" t="s">
        <v>19815</v>
      </c>
      <c r="E837" t="s">
        <v>22</v>
      </c>
      <c r="F837" t="s">
        <v>17</v>
      </c>
      <c r="G837" t="s">
        <v>28194</v>
      </c>
      <c r="H837">
        <v>18.45</v>
      </c>
      <c r="I837">
        <v>0</v>
      </c>
      <c r="J837">
        <v>0</v>
      </c>
      <c r="K837">
        <v>20</v>
      </c>
      <c r="N837">
        <v>3</v>
      </c>
      <c r="O837">
        <v>3</v>
      </c>
      <c r="P837">
        <v>4</v>
      </c>
      <c r="Q837">
        <v>0</v>
      </c>
      <c r="R837">
        <v>45.45</v>
      </c>
      <c r="S837">
        <v>18</v>
      </c>
      <c r="T837">
        <v>18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18</v>
      </c>
      <c r="AB837">
        <v>6</v>
      </c>
      <c r="AC837">
        <v>0</v>
      </c>
      <c r="AH837">
        <v>69.45</v>
      </c>
    </row>
    <row r="838" spans="1:34" x14ac:dyDescent="0.3">
      <c r="A838" s="4">
        <v>1022</v>
      </c>
      <c r="B838" s="5">
        <v>831</v>
      </c>
      <c r="C838">
        <v>7854</v>
      </c>
      <c r="D838" t="s">
        <v>3570</v>
      </c>
      <c r="E838" t="s">
        <v>100</v>
      </c>
      <c r="F838" t="s">
        <v>81</v>
      </c>
      <c r="G838" t="s">
        <v>28195</v>
      </c>
      <c r="H838">
        <v>16.43</v>
      </c>
      <c r="I838">
        <v>0</v>
      </c>
      <c r="J838">
        <v>0</v>
      </c>
      <c r="K838">
        <v>20</v>
      </c>
      <c r="L838">
        <v>7</v>
      </c>
      <c r="N838">
        <v>3</v>
      </c>
      <c r="O838">
        <v>10</v>
      </c>
      <c r="P838">
        <v>4</v>
      </c>
      <c r="Q838">
        <v>2</v>
      </c>
      <c r="R838">
        <v>52.43</v>
      </c>
      <c r="S838">
        <v>14</v>
      </c>
      <c r="T838">
        <v>14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14</v>
      </c>
      <c r="AB838">
        <v>3</v>
      </c>
      <c r="AC838">
        <v>0</v>
      </c>
      <c r="AH838">
        <v>69.430000000000007</v>
      </c>
    </row>
    <row r="839" spans="1:34" x14ac:dyDescent="0.3">
      <c r="A839" s="4">
        <v>1023</v>
      </c>
      <c r="B839" s="5">
        <v>832</v>
      </c>
      <c r="C839">
        <v>4558</v>
      </c>
      <c r="D839" t="s">
        <v>67</v>
      </c>
      <c r="E839" t="s">
        <v>41</v>
      </c>
      <c r="F839" t="s">
        <v>117</v>
      </c>
      <c r="G839" t="s">
        <v>28196</v>
      </c>
      <c r="H839">
        <v>17.25</v>
      </c>
      <c r="I839">
        <v>7</v>
      </c>
      <c r="J839">
        <v>0</v>
      </c>
      <c r="K839">
        <v>0</v>
      </c>
      <c r="L839">
        <v>7</v>
      </c>
      <c r="N839">
        <v>3</v>
      </c>
      <c r="O839">
        <v>10</v>
      </c>
      <c r="P839">
        <v>4</v>
      </c>
      <c r="Q839">
        <v>0</v>
      </c>
      <c r="R839">
        <v>38.25</v>
      </c>
      <c r="S839">
        <v>25</v>
      </c>
      <c r="T839">
        <v>25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25</v>
      </c>
      <c r="AB839">
        <v>6</v>
      </c>
      <c r="AC839">
        <v>0</v>
      </c>
      <c r="AH839">
        <v>69.25</v>
      </c>
    </row>
    <row r="840" spans="1:34" x14ac:dyDescent="0.3">
      <c r="A840" s="4">
        <v>1024</v>
      </c>
      <c r="B840" s="5">
        <v>833</v>
      </c>
      <c r="C840">
        <v>4367</v>
      </c>
      <c r="D840" t="s">
        <v>13099</v>
      </c>
      <c r="E840" t="s">
        <v>789</v>
      </c>
      <c r="F840" t="s">
        <v>136</v>
      </c>
      <c r="G840" t="s">
        <v>28197</v>
      </c>
      <c r="H840">
        <v>16.03</v>
      </c>
      <c r="I840">
        <v>0</v>
      </c>
      <c r="J840">
        <v>0</v>
      </c>
      <c r="K840">
        <v>20</v>
      </c>
      <c r="M840">
        <v>5</v>
      </c>
      <c r="O840">
        <v>5</v>
      </c>
      <c r="P840">
        <v>4</v>
      </c>
      <c r="Q840">
        <v>0</v>
      </c>
      <c r="R840">
        <v>45.03</v>
      </c>
      <c r="S840">
        <v>21</v>
      </c>
      <c r="T840">
        <v>21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21</v>
      </c>
      <c r="AB840">
        <v>3</v>
      </c>
      <c r="AC840">
        <v>0</v>
      </c>
      <c r="AH840">
        <v>69.03</v>
      </c>
    </row>
    <row r="841" spans="1:34" x14ac:dyDescent="0.3">
      <c r="A841" s="4">
        <v>1025</v>
      </c>
      <c r="B841" s="5">
        <v>834</v>
      </c>
      <c r="C841">
        <v>340</v>
      </c>
      <c r="D841" t="s">
        <v>2559</v>
      </c>
      <c r="E841" t="s">
        <v>1189</v>
      </c>
      <c r="F841" t="s">
        <v>62</v>
      </c>
      <c r="G841" t="s">
        <v>10827</v>
      </c>
      <c r="H841">
        <v>20</v>
      </c>
      <c r="I841">
        <v>7</v>
      </c>
      <c r="J841">
        <v>0</v>
      </c>
      <c r="K841">
        <v>20</v>
      </c>
      <c r="L841">
        <v>7</v>
      </c>
      <c r="O841">
        <v>7</v>
      </c>
      <c r="P841">
        <v>4</v>
      </c>
      <c r="Q841">
        <v>0</v>
      </c>
      <c r="R841">
        <v>58</v>
      </c>
      <c r="S841">
        <v>11</v>
      </c>
      <c r="T841">
        <v>11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11</v>
      </c>
      <c r="AB841">
        <v>0</v>
      </c>
      <c r="AC841">
        <v>0</v>
      </c>
      <c r="AH841">
        <v>69</v>
      </c>
    </row>
    <row r="842" spans="1:34" x14ac:dyDescent="0.3">
      <c r="A842" s="4">
        <v>1026</v>
      </c>
      <c r="B842" s="5">
        <v>835</v>
      </c>
      <c r="C842">
        <v>6966</v>
      </c>
      <c r="D842" t="s">
        <v>4279</v>
      </c>
      <c r="E842" t="s">
        <v>29</v>
      </c>
      <c r="F842" t="s">
        <v>2333</v>
      </c>
      <c r="G842" t="s">
        <v>28198</v>
      </c>
      <c r="H842">
        <v>16.899999999999999</v>
      </c>
      <c r="I842">
        <v>0</v>
      </c>
      <c r="J842">
        <v>0</v>
      </c>
      <c r="K842">
        <v>0</v>
      </c>
      <c r="N842">
        <v>3</v>
      </c>
      <c r="O842">
        <v>3</v>
      </c>
      <c r="P842">
        <v>4</v>
      </c>
      <c r="Q842">
        <v>0</v>
      </c>
      <c r="R842">
        <v>23.9</v>
      </c>
      <c r="S842">
        <v>45</v>
      </c>
      <c r="T842">
        <v>45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45</v>
      </c>
      <c r="AB842">
        <v>0</v>
      </c>
      <c r="AC842">
        <v>0</v>
      </c>
      <c r="AD842" t="s">
        <v>130</v>
      </c>
      <c r="AH842">
        <v>68.900000000000006</v>
      </c>
    </row>
    <row r="843" spans="1:34" x14ac:dyDescent="0.3">
      <c r="A843" s="4">
        <v>1027</v>
      </c>
      <c r="B843" s="5">
        <v>836</v>
      </c>
      <c r="C843">
        <v>12533</v>
      </c>
      <c r="D843" t="s">
        <v>28199</v>
      </c>
      <c r="E843" t="s">
        <v>268</v>
      </c>
      <c r="F843" t="s">
        <v>79</v>
      </c>
      <c r="G843" t="s">
        <v>28200</v>
      </c>
      <c r="H843">
        <v>18.73</v>
      </c>
      <c r="I843">
        <v>0</v>
      </c>
      <c r="J843">
        <v>0</v>
      </c>
      <c r="K843">
        <v>0</v>
      </c>
      <c r="N843">
        <v>3</v>
      </c>
      <c r="O843">
        <v>3</v>
      </c>
      <c r="P843">
        <v>4</v>
      </c>
      <c r="Q843">
        <v>0</v>
      </c>
      <c r="R843">
        <v>25.73</v>
      </c>
      <c r="S843">
        <v>34</v>
      </c>
      <c r="T843">
        <v>34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34</v>
      </c>
      <c r="AB843">
        <v>9</v>
      </c>
      <c r="AC843">
        <v>0</v>
      </c>
      <c r="AH843">
        <v>68.73</v>
      </c>
    </row>
    <row r="844" spans="1:34" x14ac:dyDescent="0.3">
      <c r="A844" s="4">
        <v>1028</v>
      </c>
      <c r="B844" s="5">
        <v>837</v>
      </c>
      <c r="C844">
        <v>13443</v>
      </c>
      <c r="D844" t="s">
        <v>4682</v>
      </c>
      <c r="E844" t="s">
        <v>11601</v>
      </c>
      <c r="F844" t="s">
        <v>782</v>
      </c>
      <c r="G844" t="s">
        <v>28201</v>
      </c>
      <c r="H844">
        <v>17.7</v>
      </c>
      <c r="I844">
        <v>0</v>
      </c>
      <c r="J844">
        <v>0</v>
      </c>
      <c r="K844">
        <v>20</v>
      </c>
      <c r="N844">
        <v>6</v>
      </c>
      <c r="O844">
        <v>6</v>
      </c>
      <c r="P844">
        <v>4</v>
      </c>
      <c r="Q844">
        <v>2</v>
      </c>
      <c r="R844">
        <v>49.7</v>
      </c>
      <c r="S844">
        <v>13</v>
      </c>
      <c r="T844">
        <v>13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13</v>
      </c>
      <c r="AB844">
        <v>6</v>
      </c>
      <c r="AC844">
        <v>0</v>
      </c>
      <c r="AH844">
        <v>68.7</v>
      </c>
    </row>
    <row r="845" spans="1:34" x14ac:dyDescent="0.3">
      <c r="A845" s="4">
        <v>1029</v>
      </c>
      <c r="B845" s="5">
        <v>838</v>
      </c>
      <c r="C845">
        <v>9484</v>
      </c>
      <c r="D845" t="s">
        <v>28202</v>
      </c>
      <c r="E845" t="s">
        <v>110</v>
      </c>
      <c r="F845" t="s">
        <v>81</v>
      </c>
      <c r="G845" t="s">
        <v>28203</v>
      </c>
      <c r="H845">
        <v>17.53</v>
      </c>
      <c r="I845">
        <v>0</v>
      </c>
      <c r="J845">
        <v>0</v>
      </c>
      <c r="K845">
        <v>20</v>
      </c>
      <c r="L845">
        <v>7</v>
      </c>
      <c r="O845">
        <v>7</v>
      </c>
      <c r="P845">
        <v>4</v>
      </c>
      <c r="Q845">
        <v>2</v>
      </c>
      <c r="R845">
        <v>50.53</v>
      </c>
      <c r="S845">
        <v>18</v>
      </c>
      <c r="T845">
        <v>18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18</v>
      </c>
      <c r="AB845">
        <v>0</v>
      </c>
      <c r="AC845">
        <v>0</v>
      </c>
      <c r="AH845">
        <v>68.53</v>
      </c>
    </row>
    <row r="846" spans="1:34" x14ac:dyDescent="0.3">
      <c r="A846" s="4">
        <v>1030</v>
      </c>
      <c r="B846" s="5">
        <v>839</v>
      </c>
      <c r="C846">
        <v>15389</v>
      </c>
      <c r="D846" t="s">
        <v>549</v>
      </c>
      <c r="E846" t="s">
        <v>188</v>
      </c>
      <c r="F846" t="s">
        <v>230</v>
      </c>
      <c r="G846" t="s">
        <v>28204</v>
      </c>
      <c r="H846">
        <v>17.5</v>
      </c>
      <c r="I846">
        <v>0</v>
      </c>
      <c r="J846">
        <v>0</v>
      </c>
      <c r="K846">
        <v>0</v>
      </c>
      <c r="L846">
        <v>7</v>
      </c>
      <c r="O846">
        <v>7</v>
      </c>
      <c r="P846">
        <v>4</v>
      </c>
      <c r="Q846">
        <v>0</v>
      </c>
      <c r="R846">
        <v>28.5</v>
      </c>
      <c r="S846">
        <v>40</v>
      </c>
      <c r="T846">
        <v>40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40</v>
      </c>
      <c r="AB846">
        <v>0</v>
      </c>
      <c r="AC846">
        <v>0</v>
      </c>
      <c r="AH846">
        <v>68.5</v>
      </c>
    </row>
    <row r="847" spans="1:34" x14ac:dyDescent="0.3">
      <c r="A847" s="4">
        <v>1031</v>
      </c>
      <c r="B847" s="5">
        <v>840</v>
      </c>
      <c r="C847">
        <v>10494</v>
      </c>
      <c r="D847" t="s">
        <v>28205</v>
      </c>
      <c r="E847" t="s">
        <v>29</v>
      </c>
      <c r="F847" t="s">
        <v>9636</v>
      </c>
      <c r="G847" t="s">
        <v>28206</v>
      </c>
      <c r="H847">
        <v>16.98</v>
      </c>
      <c r="I847">
        <v>0</v>
      </c>
      <c r="J847">
        <v>0</v>
      </c>
      <c r="K847">
        <v>20</v>
      </c>
      <c r="L847">
        <v>7</v>
      </c>
      <c r="O847">
        <v>7</v>
      </c>
      <c r="P847">
        <v>4</v>
      </c>
      <c r="Q847">
        <v>2</v>
      </c>
      <c r="R847">
        <v>49.98</v>
      </c>
      <c r="S847">
        <v>18</v>
      </c>
      <c r="T847">
        <v>18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18</v>
      </c>
      <c r="AB847">
        <v>0</v>
      </c>
      <c r="AC847">
        <v>0</v>
      </c>
      <c r="AH847">
        <v>67.98</v>
      </c>
    </row>
    <row r="848" spans="1:34" x14ac:dyDescent="0.3">
      <c r="A848" s="4">
        <v>1032</v>
      </c>
      <c r="B848" s="5">
        <v>841</v>
      </c>
      <c r="C848">
        <v>10341</v>
      </c>
      <c r="D848" t="s">
        <v>28207</v>
      </c>
      <c r="E848" t="s">
        <v>29</v>
      </c>
      <c r="F848" t="s">
        <v>972</v>
      </c>
      <c r="G848" t="s">
        <v>28208</v>
      </c>
      <c r="H848">
        <v>18.88</v>
      </c>
      <c r="I848">
        <v>0</v>
      </c>
      <c r="J848">
        <v>0</v>
      </c>
      <c r="K848">
        <v>20</v>
      </c>
      <c r="L848">
        <v>7</v>
      </c>
      <c r="O848">
        <v>7</v>
      </c>
      <c r="P848">
        <v>4</v>
      </c>
      <c r="Q848">
        <v>2</v>
      </c>
      <c r="R848">
        <v>51.88</v>
      </c>
      <c r="S848">
        <v>13</v>
      </c>
      <c r="T848">
        <v>13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13</v>
      </c>
      <c r="AB848">
        <v>3</v>
      </c>
      <c r="AC848">
        <v>0</v>
      </c>
      <c r="AD848" t="s">
        <v>130</v>
      </c>
      <c r="AH848">
        <v>67.88</v>
      </c>
    </row>
    <row r="849" spans="1:34" x14ac:dyDescent="0.3">
      <c r="A849" s="4">
        <v>1033</v>
      </c>
      <c r="B849" s="5">
        <v>842</v>
      </c>
      <c r="C849">
        <v>2484</v>
      </c>
      <c r="D849" t="s">
        <v>5970</v>
      </c>
      <c r="E849" t="s">
        <v>471</v>
      </c>
      <c r="F849" t="s">
        <v>158</v>
      </c>
      <c r="G849" t="s">
        <v>28209</v>
      </c>
      <c r="H849">
        <v>16.63</v>
      </c>
      <c r="I849">
        <v>0</v>
      </c>
      <c r="J849">
        <v>0</v>
      </c>
      <c r="K849">
        <v>0</v>
      </c>
      <c r="O849">
        <v>0</v>
      </c>
      <c r="P849">
        <v>4</v>
      </c>
      <c r="Q849">
        <v>0</v>
      </c>
      <c r="R849">
        <v>20.63</v>
      </c>
      <c r="S849">
        <v>47</v>
      </c>
      <c r="T849">
        <v>47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47</v>
      </c>
      <c r="AB849">
        <v>0</v>
      </c>
      <c r="AC849">
        <v>0</v>
      </c>
      <c r="AH849">
        <v>67.63</v>
      </c>
    </row>
    <row r="850" spans="1:34" x14ac:dyDescent="0.3">
      <c r="A850" s="4">
        <v>1034</v>
      </c>
      <c r="B850" s="5">
        <v>843</v>
      </c>
      <c r="C850">
        <v>4265</v>
      </c>
      <c r="D850" t="s">
        <v>28210</v>
      </c>
      <c r="E850" t="s">
        <v>1053</v>
      </c>
      <c r="F850" t="s">
        <v>17</v>
      </c>
      <c r="G850" t="s">
        <v>28211</v>
      </c>
      <c r="H850">
        <v>17.25</v>
      </c>
      <c r="I850">
        <v>0</v>
      </c>
      <c r="J850">
        <v>0</v>
      </c>
      <c r="K850">
        <v>20</v>
      </c>
      <c r="L850">
        <v>7</v>
      </c>
      <c r="O850">
        <v>7</v>
      </c>
      <c r="P850">
        <v>4</v>
      </c>
      <c r="Q850">
        <v>2</v>
      </c>
      <c r="R850">
        <v>50.25</v>
      </c>
      <c r="S850">
        <v>17</v>
      </c>
      <c r="T850">
        <v>17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17</v>
      </c>
      <c r="AB850">
        <v>0</v>
      </c>
      <c r="AC850">
        <v>0</v>
      </c>
      <c r="AH850">
        <v>67.25</v>
      </c>
    </row>
    <row r="851" spans="1:34" x14ac:dyDescent="0.3">
      <c r="A851" s="4">
        <v>1035</v>
      </c>
      <c r="B851" s="5">
        <v>844</v>
      </c>
      <c r="C851">
        <v>9984</v>
      </c>
      <c r="D851" t="s">
        <v>19542</v>
      </c>
      <c r="E851" t="s">
        <v>255</v>
      </c>
      <c r="F851" t="s">
        <v>117</v>
      </c>
      <c r="G851" t="s">
        <v>28212</v>
      </c>
      <c r="H851">
        <v>15.25</v>
      </c>
      <c r="I851">
        <v>0</v>
      </c>
      <c r="J851">
        <v>0</v>
      </c>
      <c r="K851">
        <v>0</v>
      </c>
      <c r="L851">
        <v>7</v>
      </c>
      <c r="O851">
        <v>7</v>
      </c>
      <c r="P851">
        <v>4</v>
      </c>
      <c r="Q851">
        <v>2</v>
      </c>
      <c r="R851">
        <v>28.25</v>
      </c>
      <c r="S851">
        <v>39</v>
      </c>
      <c r="T851">
        <v>39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39</v>
      </c>
      <c r="AB851">
        <v>0</v>
      </c>
      <c r="AC851">
        <v>0</v>
      </c>
      <c r="AD851" t="s">
        <v>130</v>
      </c>
      <c r="AH851">
        <v>67.25</v>
      </c>
    </row>
    <row r="852" spans="1:34" x14ac:dyDescent="0.3">
      <c r="A852" s="4">
        <v>1036</v>
      </c>
      <c r="B852" s="5">
        <v>845</v>
      </c>
      <c r="C852">
        <v>12979</v>
      </c>
      <c r="D852" t="s">
        <v>28213</v>
      </c>
      <c r="E852" t="s">
        <v>41</v>
      </c>
      <c r="F852" t="s">
        <v>1072</v>
      </c>
      <c r="G852" t="s">
        <v>28214</v>
      </c>
      <c r="H852">
        <v>22.18</v>
      </c>
      <c r="I852">
        <v>7</v>
      </c>
      <c r="J852">
        <v>0</v>
      </c>
      <c r="K852">
        <v>20</v>
      </c>
      <c r="L852">
        <v>14</v>
      </c>
      <c r="O852">
        <v>14</v>
      </c>
      <c r="P852">
        <v>4</v>
      </c>
      <c r="Q852">
        <v>0</v>
      </c>
      <c r="R852">
        <v>67.180000000000007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H852">
        <v>67.180000000000007</v>
      </c>
    </row>
    <row r="853" spans="1:34" x14ac:dyDescent="0.3">
      <c r="A853" s="4">
        <v>1037</v>
      </c>
      <c r="B853" s="5">
        <v>846</v>
      </c>
      <c r="C853">
        <v>6104</v>
      </c>
      <c r="D853" t="s">
        <v>28215</v>
      </c>
      <c r="E853" t="s">
        <v>1089</v>
      </c>
      <c r="F853" t="s">
        <v>20</v>
      </c>
      <c r="G853" t="s">
        <v>28216</v>
      </c>
      <c r="H853">
        <v>16.079999999999998</v>
      </c>
      <c r="I853">
        <v>0</v>
      </c>
      <c r="J853">
        <v>0</v>
      </c>
      <c r="K853">
        <v>20</v>
      </c>
      <c r="L853">
        <v>7</v>
      </c>
      <c r="N853">
        <v>3</v>
      </c>
      <c r="O853">
        <v>10</v>
      </c>
      <c r="P853">
        <v>4</v>
      </c>
      <c r="Q853">
        <v>0</v>
      </c>
      <c r="R853">
        <v>50.08</v>
      </c>
      <c r="S853">
        <v>8</v>
      </c>
      <c r="T853">
        <v>8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8</v>
      </c>
      <c r="AB853">
        <v>9</v>
      </c>
      <c r="AC853">
        <v>0</v>
      </c>
      <c r="AH853">
        <v>67.08</v>
      </c>
    </row>
    <row r="854" spans="1:34" x14ac:dyDescent="0.3">
      <c r="A854" s="4">
        <v>1038</v>
      </c>
      <c r="B854" s="5">
        <v>847</v>
      </c>
      <c r="C854">
        <v>4628</v>
      </c>
      <c r="D854" t="s">
        <v>1762</v>
      </c>
      <c r="E854" t="s">
        <v>41</v>
      </c>
      <c r="F854" t="s">
        <v>11291</v>
      </c>
      <c r="G854" t="s">
        <v>28217</v>
      </c>
      <c r="H854">
        <v>20.079999999999998</v>
      </c>
      <c r="I854">
        <v>0</v>
      </c>
      <c r="J854">
        <v>0</v>
      </c>
      <c r="K854">
        <v>20</v>
      </c>
      <c r="L854">
        <v>7</v>
      </c>
      <c r="O854">
        <v>7</v>
      </c>
      <c r="P854">
        <v>4</v>
      </c>
      <c r="Q854">
        <v>2</v>
      </c>
      <c r="R854">
        <v>53.08</v>
      </c>
      <c r="S854">
        <v>14</v>
      </c>
      <c r="T854">
        <v>14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14</v>
      </c>
      <c r="AB854">
        <v>0</v>
      </c>
      <c r="AC854">
        <v>0</v>
      </c>
      <c r="AH854">
        <v>67.08</v>
      </c>
    </row>
    <row r="855" spans="1:34" x14ac:dyDescent="0.3">
      <c r="A855" s="4">
        <v>1039</v>
      </c>
      <c r="B855" s="5">
        <v>848</v>
      </c>
      <c r="C855">
        <v>10965</v>
      </c>
      <c r="D855" t="s">
        <v>28218</v>
      </c>
      <c r="E855" t="s">
        <v>3130</v>
      </c>
      <c r="F855" t="s">
        <v>117</v>
      </c>
      <c r="G855" t="s">
        <v>28219</v>
      </c>
      <c r="H855">
        <v>15.58</v>
      </c>
      <c r="I855">
        <v>0</v>
      </c>
      <c r="J855">
        <v>0</v>
      </c>
      <c r="K855">
        <v>20</v>
      </c>
      <c r="L855">
        <v>7</v>
      </c>
      <c r="O855">
        <v>7</v>
      </c>
      <c r="P855">
        <v>4</v>
      </c>
      <c r="Q855">
        <v>2</v>
      </c>
      <c r="R855">
        <v>48.58</v>
      </c>
      <c r="S855">
        <v>18</v>
      </c>
      <c r="T855">
        <v>18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18</v>
      </c>
      <c r="AB855">
        <v>0</v>
      </c>
      <c r="AC855">
        <v>0</v>
      </c>
      <c r="AH855">
        <v>66.58</v>
      </c>
    </row>
    <row r="856" spans="1:34" x14ac:dyDescent="0.3">
      <c r="A856" s="4">
        <v>1040</v>
      </c>
      <c r="B856" s="5">
        <v>849</v>
      </c>
      <c r="C856">
        <v>1011</v>
      </c>
      <c r="D856" t="s">
        <v>1287</v>
      </c>
      <c r="E856" t="s">
        <v>97</v>
      </c>
      <c r="F856" t="s">
        <v>38</v>
      </c>
      <c r="G856" t="s">
        <v>28220</v>
      </c>
      <c r="H856">
        <v>19.829999999999998</v>
      </c>
      <c r="I856">
        <v>0</v>
      </c>
      <c r="J856">
        <v>0</v>
      </c>
      <c r="K856">
        <v>20</v>
      </c>
      <c r="L856">
        <v>7</v>
      </c>
      <c r="N856">
        <v>3</v>
      </c>
      <c r="O856">
        <v>10</v>
      </c>
      <c r="P856">
        <v>4</v>
      </c>
      <c r="Q856">
        <v>2</v>
      </c>
      <c r="R856">
        <v>55.83</v>
      </c>
      <c r="S856">
        <v>10</v>
      </c>
      <c r="T856">
        <v>10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10</v>
      </c>
      <c r="AB856">
        <v>0</v>
      </c>
      <c r="AC856">
        <v>0</v>
      </c>
      <c r="AH856">
        <v>65.83</v>
      </c>
    </row>
    <row r="857" spans="1:34" x14ac:dyDescent="0.3">
      <c r="A857" s="4">
        <v>1042</v>
      </c>
      <c r="B857" s="5">
        <v>850</v>
      </c>
      <c r="C857">
        <v>15645</v>
      </c>
      <c r="D857" t="s">
        <v>28221</v>
      </c>
      <c r="E857" t="s">
        <v>41</v>
      </c>
      <c r="F857" t="s">
        <v>38</v>
      </c>
      <c r="G857" t="s">
        <v>28222</v>
      </c>
      <c r="H857">
        <v>18.78</v>
      </c>
      <c r="I857">
        <v>0</v>
      </c>
      <c r="J857">
        <v>0</v>
      </c>
      <c r="K857">
        <v>0</v>
      </c>
      <c r="L857">
        <v>7</v>
      </c>
      <c r="O857">
        <v>7</v>
      </c>
      <c r="P857">
        <v>4</v>
      </c>
      <c r="Q857">
        <v>2</v>
      </c>
      <c r="R857">
        <v>31.78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34</v>
      </c>
      <c r="AD857" t="s">
        <v>130</v>
      </c>
      <c r="AH857">
        <v>65.78</v>
      </c>
    </row>
    <row r="858" spans="1:34" x14ac:dyDescent="0.3">
      <c r="A858" s="4">
        <v>1043</v>
      </c>
      <c r="B858" s="5">
        <v>851</v>
      </c>
      <c r="C858">
        <v>9394</v>
      </c>
      <c r="D858" t="s">
        <v>28223</v>
      </c>
      <c r="E858" t="s">
        <v>100</v>
      </c>
      <c r="F858" t="s">
        <v>17</v>
      </c>
      <c r="G858" t="s">
        <v>28224</v>
      </c>
      <c r="H858">
        <v>16.73</v>
      </c>
      <c r="I858">
        <v>0</v>
      </c>
      <c r="J858">
        <v>0</v>
      </c>
      <c r="K858">
        <v>0</v>
      </c>
      <c r="N858">
        <v>3</v>
      </c>
      <c r="O858">
        <v>3</v>
      </c>
      <c r="P858">
        <v>4</v>
      </c>
      <c r="Q858">
        <v>2</v>
      </c>
      <c r="R858">
        <v>25.73</v>
      </c>
      <c r="S858">
        <v>40</v>
      </c>
      <c r="T858">
        <v>40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40</v>
      </c>
      <c r="AB858">
        <v>0</v>
      </c>
      <c r="AC858">
        <v>0</v>
      </c>
      <c r="AH858">
        <v>65.73</v>
      </c>
    </row>
    <row r="859" spans="1:34" x14ac:dyDescent="0.3">
      <c r="A859" s="4">
        <v>1044</v>
      </c>
      <c r="B859" s="5">
        <v>852</v>
      </c>
      <c r="C859">
        <v>2824</v>
      </c>
      <c r="D859" t="s">
        <v>28225</v>
      </c>
      <c r="E859" t="s">
        <v>243</v>
      </c>
      <c r="F859" t="s">
        <v>30</v>
      </c>
      <c r="G859" t="s">
        <v>28226</v>
      </c>
      <c r="H859">
        <v>15.93</v>
      </c>
      <c r="I859">
        <v>0</v>
      </c>
      <c r="J859">
        <v>0</v>
      </c>
      <c r="K859">
        <v>0</v>
      </c>
      <c r="O859">
        <v>0</v>
      </c>
      <c r="P859">
        <v>4</v>
      </c>
      <c r="Q859">
        <v>2</v>
      </c>
      <c r="R859">
        <v>21.93</v>
      </c>
      <c r="S859">
        <v>43</v>
      </c>
      <c r="T859">
        <v>43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43</v>
      </c>
      <c r="AB859">
        <v>0</v>
      </c>
      <c r="AC859">
        <v>0</v>
      </c>
      <c r="AH859">
        <v>64.930000000000007</v>
      </c>
    </row>
    <row r="860" spans="1:34" x14ac:dyDescent="0.3">
      <c r="A860" s="4">
        <v>1045</v>
      </c>
      <c r="B860" s="5">
        <v>853</v>
      </c>
      <c r="C860">
        <v>1016</v>
      </c>
      <c r="D860" t="s">
        <v>28227</v>
      </c>
      <c r="E860" t="s">
        <v>789</v>
      </c>
      <c r="F860" t="s">
        <v>14</v>
      </c>
      <c r="G860" t="s">
        <v>28228</v>
      </c>
      <c r="H860">
        <v>19.88</v>
      </c>
      <c r="I860">
        <v>0</v>
      </c>
      <c r="J860">
        <v>0</v>
      </c>
      <c r="K860">
        <v>20</v>
      </c>
      <c r="L860">
        <v>7</v>
      </c>
      <c r="O860">
        <v>7</v>
      </c>
      <c r="P860">
        <v>4</v>
      </c>
      <c r="Q860">
        <v>0</v>
      </c>
      <c r="R860">
        <v>50.88</v>
      </c>
      <c r="S860">
        <v>14</v>
      </c>
      <c r="T860">
        <v>14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14</v>
      </c>
      <c r="AB860">
        <v>0</v>
      </c>
      <c r="AC860">
        <v>0</v>
      </c>
      <c r="AH860">
        <v>64.88</v>
      </c>
    </row>
    <row r="861" spans="1:34" x14ac:dyDescent="0.3">
      <c r="A861" s="4">
        <v>1046</v>
      </c>
      <c r="B861" s="5">
        <v>854</v>
      </c>
      <c r="C861">
        <v>15436</v>
      </c>
      <c r="D861" t="s">
        <v>28229</v>
      </c>
      <c r="E861" t="s">
        <v>161</v>
      </c>
      <c r="F861" t="s">
        <v>20</v>
      </c>
      <c r="G861" t="s">
        <v>28230</v>
      </c>
      <c r="H861">
        <v>18.75</v>
      </c>
      <c r="I861">
        <v>0</v>
      </c>
      <c r="J861">
        <v>0</v>
      </c>
      <c r="K861">
        <v>0</v>
      </c>
      <c r="N861">
        <v>3</v>
      </c>
      <c r="O861">
        <v>3</v>
      </c>
      <c r="P861">
        <v>4</v>
      </c>
      <c r="Q861">
        <v>2</v>
      </c>
      <c r="R861">
        <v>27.75</v>
      </c>
      <c r="S861">
        <v>34</v>
      </c>
      <c r="T861">
        <v>34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34</v>
      </c>
      <c r="AB861">
        <v>3</v>
      </c>
      <c r="AC861">
        <v>0</v>
      </c>
      <c r="AH861">
        <v>64.75</v>
      </c>
    </row>
    <row r="862" spans="1:34" x14ac:dyDescent="0.3">
      <c r="A862" s="4">
        <v>1047</v>
      </c>
      <c r="B862" s="5">
        <v>855</v>
      </c>
      <c r="C862">
        <v>11046</v>
      </c>
      <c r="D862" t="s">
        <v>1894</v>
      </c>
      <c r="E862" t="s">
        <v>182</v>
      </c>
      <c r="F862" t="s">
        <v>28231</v>
      </c>
      <c r="G862" t="s">
        <v>28232</v>
      </c>
      <c r="H862">
        <v>18.75</v>
      </c>
      <c r="I862">
        <v>0</v>
      </c>
      <c r="J862">
        <v>0</v>
      </c>
      <c r="K862">
        <v>0</v>
      </c>
      <c r="L862">
        <v>7</v>
      </c>
      <c r="O862">
        <v>7</v>
      </c>
      <c r="P862">
        <v>4</v>
      </c>
      <c r="Q862">
        <v>2</v>
      </c>
      <c r="R862">
        <v>31.75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6</v>
      </c>
      <c r="AC862">
        <v>26.8</v>
      </c>
      <c r="AH862">
        <v>64.55</v>
      </c>
    </row>
    <row r="863" spans="1:34" x14ac:dyDescent="0.3">
      <c r="A863" s="4">
        <v>1048</v>
      </c>
      <c r="B863" s="5">
        <v>856</v>
      </c>
      <c r="C863">
        <v>6815</v>
      </c>
      <c r="D863" t="s">
        <v>28233</v>
      </c>
      <c r="E863" t="s">
        <v>283</v>
      </c>
      <c r="F863" t="s">
        <v>158</v>
      </c>
      <c r="G863" t="s">
        <v>28234</v>
      </c>
      <c r="H863">
        <v>18.95</v>
      </c>
      <c r="I863">
        <v>0</v>
      </c>
      <c r="J863">
        <v>0</v>
      </c>
      <c r="K863">
        <v>20</v>
      </c>
      <c r="N863">
        <v>3</v>
      </c>
      <c r="O863">
        <v>3</v>
      </c>
      <c r="P863">
        <v>4</v>
      </c>
      <c r="Q863">
        <v>0</v>
      </c>
      <c r="R863">
        <v>45.95</v>
      </c>
      <c r="S863">
        <v>18</v>
      </c>
      <c r="T863">
        <v>18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18</v>
      </c>
      <c r="AB863">
        <v>0</v>
      </c>
      <c r="AC863">
        <v>0</v>
      </c>
      <c r="AH863">
        <v>63.95</v>
      </c>
    </row>
    <row r="864" spans="1:34" x14ac:dyDescent="0.3">
      <c r="A864" s="4">
        <v>1049</v>
      </c>
      <c r="B864" s="5">
        <v>857</v>
      </c>
      <c r="C864">
        <v>11036</v>
      </c>
      <c r="D864" t="s">
        <v>4968</v>
      </c>
      <c r="E864" t="s">
        <v>132</v>
      </c>
      <c r="F864" t="s">
        <v>124</v>
      </c>
      <c r="G864" t="s">
        <v>28235</v>
      </c>
      <c r="H864">
        <v>20.78</v>
      </c>
      <c r="I864">
        <v>0</v>
      </c>
      <c r="J864">
        <v>0</v>
      </c>
      <c r="K864">
        <v>20</v>
      </c>
      <c r="L864">
        <v>7</v>
      </c>
      <c r="N864">
        <v>3</v>
      </c>
      <c r="O864">
        <v>10</v>
      </c>
      <c r="P864">
        <v>4</v>
      </c>
      <c r="Q864">
        <v>0</v>
      </c>
      <c r="R864">
        <v>54.78</v>
      </c>
      <c r="S864">
        <v>6</v>
      </c>
      <c r="T864">
        <v>6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6</v>
      </c>
      <c r="AB864">
        <v>3</v>
      </c>
      <c r="AC864">
        <v>0</v>
      </c>
      <c r="AH864">
        <v>63.78</v>
      </c>
    </row>
    <row r="865" spans="1:34" x14ac:dyDescent="0.3">
      <c r="A865" s="4">
        <v>1050</v>
      </c>
      <c r="B865" s="5">
        <v>858</v>
      </c>
      <c r="C865">
        <v>4930</v>
      </c>
      <c r="D865" t="s">
        <v>3309</v>
      </c>
      <c r="E865" t="s">
        <v>780</v>
      </c>
      <c r="F865" t="s">
        <v>117</v>
      </c>
      <c r="G865" t="s">
        <v>28236</v>
      </c>
      <c r="H865">
        <v>17.68</v>
      </c>
      <c r="I865">
        <v>0</v>
      </c>
      <c r="J865">
        <v>0</v>
      </c>
      <c r="K865">
        <v>0</v>
      </c>
      <c r="L865">
        <v>7</v>
      </c>
      <c r="O865">
        <v>7</v>
      </c>
      <c r="P865">
        <v>4</v>
      </c>
      <c r="Q865">
        <v>0</v>
      </c>
      <c r="R865">
        <v>28.68</v>
      </c>
      <c r="S865">
        <v>35</v>
      </c>
      <c r="T865">
        <v>35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35</v>
      </c>
      <c r="AB865">
        <v>0</v>
      </c>
      <c r="AC865">
        <v>0</v>
      </c>
      <c r="AH865">
        <v>63.68</v>
      </c>
    </row>
    <row r="866" spans="1:34" x14ac:dyDescent="0.3">
      <c r="A866" s="4">
        <v>1051</v>
      </c>
      <c r="B866" s="5">
        <v>859</v>
      </c>
      <c r="C866">
        <v>8465</v>
      </c>
      <c r="D866" t="s">
        <v>28237</v>
      </c>
      <c r="E866" t="s">
        <v>789</v>
      </c>
      <c r="F866" t="s">
        <v>17</v>
      </c>
      <c r="G866" t="s">
        <v>28238</v>
      </c>
      <c r="H866">
        <v>16.43</v>
      </c>
      <c r="I866">
        <v>0</v>
      </c>
      <c r="J866">
        <v>0</v>
      </c>
      <c r="K866">
        <v>0</v>
      </c>
      <c r="O866">
        <v>0</v>
      </c>
      <c r="P866">
        <v>4</v>
      </c>
      <c r="Q866">
        <v>2</v>
      </c>
      <c r="R866">
        <v>22.43</v>
      </c>
      <c r="S866">
        <v>41</v>
      </c>
      <c r="T866">
        <v>41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41</v>
      </c>
      <c r="AB866">
        <v>0</v>
      </c>
      <c r="AC866">
        <v>0</v>
      </c>
      <c r="AE866" t="s">
        <v>130</v>
      </c>
      <c r="AH866">
        <v>63.43</v>
      </c>
    </row>
    <row r="867" spans="1:34" x14ac:dyDescent="0.3">
      <c r="A867" s="4">
        <v>1052</v>
      </c>
      <c r="B867" s="5">
        <v>860</v>
      </c>
      <c r="C867">
        <v>15155</v>
      </c>
      <c r="D867" t="s">
        <v>10428</v>
      </c>
      <c r="E867" t="s">
        <v>29</v>
      </c>
      <c r="F867" t="s">
        <v>190</v>
      </c>
      <c r="G867" t="s">
        <v>28239</v>
      </c>
      <c r="H867">
        <v>18.329999999999998</v>
      </c>
      <c r="I867">
        <v>0</v>
      </c>
      <c r="J867">
        <v>0</v>
      </c>
      <c r="K867">
        <v>0</v>
      </c>
      <c r="N867">
        <v>3</v>
      </c>
      <c r="O867">
        <v>3</v>
      </c>
      <c r="P867">
        <v>4</v>
      </c>
      <c r="Q867">
        <v>2</v>
      </c>
      <c r="R867">
        <v>27.33</v>
      </c>
      <c r="S867">
        <v>30</v>
      </c>
      <c r="T867">
        <v>30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30</v>
      </c>
      <c r="AB867">
        <v>6</v>
      </c>
      <c r="AC867">
        <v>0</v>
      </c>
      <c r="AH867">
        <v>63.33</v>
      </c>
    </row>
    <row r="868" spans="1:34" x14ac:dyDescent="0.3">
      <c r="A868" s="4">
        <v>1053</v>
      </c>
      <c r="B868" s="5">
        <v>861</v>
      </c>
      <c r="C868">
        <v>4024</v>
      </c>
      <c r="D868" t="s">
        <v>7295</v>
      </c>
      <c r="E868" t="s">
        <v>132</v>
      </c>
      <c r="F868" t="s">
        <v>385</v>
      </c>
      <c r="G868" t="s">
        <v>28240</v>
      </c>
      <c r="H868">
        <v>18.149999999999999</v>
      </c>
      <c r="I868">
        <v>0</v>
      </c>
      <c r="J868">
        <v>0</v>
      </c>
      <c r="K868">
        <v>28</v>
      </c>
      <c r="L868">
        <v>7</v>
      </c>
      <c r="O868">
        <v>7</v>
      </c>
      <c r="P868">
        <v>4</v>
      </c>
      <c r="Q868">
        <v>0</v>
      </c>
      <c r="R868">
        <v>57.15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6</v>
      </c>
      <c r="AC868">
        <v>0</v>
      </c>
      <c r="AH868">
        <v>63.15</v>
      </c>
    </row>
    <row r="869" spans="1:34" x14ac:dyDescent="0.3">
      <c r="A869" s="4">
        <v>1054</v>
      </c>
      <c r="B869" s="5">
        <v>862</v>
      </c>
      <c r="C869">
        <v>10027</v>
      </c>
      <c r="D869" t="s">
        <v>3910</v>
      </c>
      <c r="E869" t="s">
        <v>29</v>
      </c>
      <c r="F869" t="s">
        <v>38</v>
      </c>
      <c r="G869" t="s">
        <v>28241</v>
      </c>
      <c r="H869">
        <v>18.149999999999999</v>
      </c>
      <c r="I869">
        <v>0</v>
      </c>
      <c r="J869">
        <v>0</v>
      </c>
      <c r="K869">
        <v>28</v>
      </c>
      <c r="N869">
        <v>3</v>
      </c>
      <c r="O869">
        <v>3</v>
      </c>
      <c r="P869">
        <v>4</v>
      </c>
      <c r="Q869">
        <v>0</v>
      </c>
      <c r="R869">
        <v>53.15</v>
      </c>
      <c r="S869">
        <v>7</v>
      </c>
      <c r="T869">
        <v>7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7</v>
      </c>
      <c r="AB869">
        <v>3</v>
      </c>
      <c r="AC869">
        <v>0</v>
      </c>
      <c r="AH869">
        <v>63.15</v>
      </c>
    </row>
    <row r="870" spans="1:34" x14ac:dyDescent="0.3">
      <c r="A870" s="4">
        <v>1055</v>
      </c>
      <c r="B870" s="5">
        <v>863</v>
      </c>
      <c r="C870">
        <v>8640</v>
      </c>
      <c r="D870" t="s">
        <v>28015</v>
      </c>
      <c r="E870" t="s">
        <v>132</v>
      </c>
      <c r="F870" t="s">
        <v>62</v>
      </c>
      <c r="G870" t="s">
        <v>28242</v>
      </c>
      <c r="H870">
        <v>17.079999999999998</v>
      </c>
      <c r="I870">
        <v>0</v>
      </c>
      <c r="J870">
        <v>0</v>
      </c>
      <c r="K870">
        <v>0</v>
      </c>
      <c r="N870">
        <v>3</v>
      </c>
      <c r="O870">
        <v>3</v>
      </c>
      <c r="P870">
        <v>4</v>
      </c>
      <c r="Q870">
        <v>2</v>
      </c>
      <c r="R870">
        <v>26.08</v>
      </c>
      <c r="S870">
        <v>37</v>
      </c>
      <c r="T870">
        <v>37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37</v>
      </c>
      <c r="AB870">
        <v>0</v>
      </c>
      <c r="AC870">
        <v>0</v>
      </c>
      <c r="AD870" t="s">
        <v>130</v>
      </c>
      <c r="AH870">
        <v>63.08</v>
      </c>
    </row>
    <row r="871" spans="1:34" x14ac:dyDescent="0.3">
      <c r="A871" s="4">
        <v>1056</v>
      </c>
      <c r="B871" s="5">
        <v>864</v>
      </c>
      <c r="C871">
        <v>12174</v>
      </c>
      <c r="D871" t="s">
        <v>28243</v>
      </c>
      <c r="E871" t="s">
        <v>29</v>
      </c>
      <c r="F871" t="s">
        <v>62</v>
      </c>
      <c r="G871" t="s">
        <v>28244</v>
      </c>
      <c r="H871">
        <v>17.899999999999999</v>
      </c>
      <c r="I871">
        <v>0</v>
      </c>
      <c r="J871">
        <v>0</v>
      </c>
      <c r="K871">
        <v>20</v>
      </c>
      <c r="L871">
        <v>7</v>
      </c>
      <c r="O871">
        <v>7</v>
      </c>
      <c r="P871">
        <v>4</v>
      </c>
      <c r="Q871">
        <v>0</v>
      </c>
      <c r="R871">
        <v>48.9</v>
      </c>
      <c r="S871">
        <v>8</v>
      </c>
      <c r="T871">
        <v>8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8</v>
      </c>
      <c r="AB871">
        <v>6</v>
      </c>
      <c r="AC871">
        <v>0</v>
      </c>
      <c r="AH871">
        <v>62.9</v>
      </c>
    </row>
    <row r="872" spans="1:34" x14ac:dyDescent="0.3">
      <c r="A872" s="4">
        <v>1057</v>
      </c>
      <c r="B872" s="5">
        <v>865</v>
      </c>
      <c r="C872">
        <v>10397</v>
      </c>
      <c r="D872" t="s">
        <v>28245</v>
      </c>
      <c r="E872" t="s">
        <v>19</v>
      </c>
      <c r="F872" t="s">
        <v>375</v>
      </c>
      <c r="G872" t="s">
        <v>28246</v>
      </c>
      <c r="H872">
        <v>16.75</v>
      </c>
      <c r="I872">
        <v>0</v>
      </c>
      <c r="J872">
        <v>0</v>
      </c>
      <c r="K872">
        <v>0</v>
      </c>
      <c r="M872">
        <v>5</v>
      </c>
      <c r="O872">
        <v>5</v>
      </c>
      <c r="P872">
        <v>4</v>
      </c>
      <c r="Q872">
        <v>2</v>
      </c>
      <c r="R872">
        <v>27.75</v>
      </c>
      <c r="S872">
        <v>35</v>
      </c>
      <c r="T872">
        <v>35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35</v>
      </c>
      <c r="AB872">
        <v>0</v>
      </c>
      <c r="AC872">
        <v>0</v>
      </c>
      <c r="AD872" t="s">
        <v>130</v>
      </c>
      <c r="AH872">
        <v>62.75</v>
      </c>
    </row>
    <row r="873" spans="1:34" x14ac:dyDescent="0.3">
      <c r="A873" s="4">
        <v>1058</v>
      </c>
      <c r="B873" s="5">
        <v>866</v>
      </c>
      <c r="C873">
        <v>9158</v>
      </c>
      <c r="D873" t="s">
        <v>27858</v>
      </c>
      <c r="E873" t="s">
        <v>29</v>
      </c>
      <c r="F873" t="s">
        <v>81</v>
      </c>
      <c r="G873" t="s">
        <v>28247</v>
      </c>
      <c r="H873">
        <v>15.7</v>
      </c>
      <c r="I873">
        <v>0</v>
      </c>
      <c r="J873">
        <v>0</v>
      </c>
      <c r="K873">
        <v>20</v>
      </c>
      <c r="N873">
        <v>3</v>
      </c>
      <c r="O873">
        <v>3</v>
      </c>
      <c r="P873">
        <v>4</v>
      </c>
      <c r="Q873">
        <v>2</v>
      </c>
      <c r="R873">
        <v>44.7</v>
      </c>
      <c r="S873">
        <v>18</v>
      </c>
      <c r="T873">
        <v>18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18</v>
      </c>
      <c r="AB873">
        <v>0</v>
      </c>
      <c r="AC873">
        <v>0</v>
      </c>
      <c r="AD873" t="s">
        <v>130</v>
      </c>
      <c r="AH873">
        <v>62.7</v>
      </c>
    </row>
    <row r="874" spans="1:34" x14ac:dyDescent="0.3">
      <c r="A874" s="4">
        <v>1059</v>
      </c>
      <c r="B874" s="5">
        <v>867</v>
      </c>
      <c r="C874">
        <v>2494</v>
      </c>
      <c r="D874" t="s">
        <v>5314</v>
      </c>
      <c r="E874" t="s">
        <v>29</v>
      </c>
      <c r="F874" t="s">
        <v>30</v>
      </c>
      <c r="G874" t="s">
        <v>28248</v>
      </c>
      <c r="H874">
        <v>16.649999999999999</v>
      </c>
      <c r="I874">
        <v>0</v>
      </c>
      <c r="J874">
        <v>0</v>
      </c>
      <c r="K874">
        <v>0</v>
      </c>
      <c r="N874">
        <v>3</v>
      </c>
      <c r="O874">
        <v>3</v>
      </c>
      <c r="P874">
        <v>4</v>
      </c>
      <c r="Q874">
        <v>0</v>
      </c>
      <c r="R874">
        <v>23.65</v>
      </c>
      <c r="S874">
        <v>39</v>
      </c>
      <c r="T874">
        <v>39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39</v>
      </c>
      <c r="AB874">
        <v>0</v>
      </c>
      <c r="AC874">
        <v>0</v>
      </c>
      <c r="AH874">
        <v>62.65</v>
      </c>
    </row>
    <row r="875" spans="1:34" x14ac:dyDescent="0.3">
      <c r="A875" s="4">
        <v>1060</v>
      </c>
      <c r="B875" s="5">
        <v>868</v>
      </c>
      <c r="C875">
        <v>7351</v>
      </c>
      <c r="D875" t="s">
        <v>28249</v>
      </c>
      <c r="E875" t="s">
        <v>149</v>
      </c>
      <c r="F875" t="s">
        <v>30</v>
      </c>
      <c r="G875" t="s">
        <v>28250</v>
      </c>
      <c r="H875">
        <v>20.28</v>
      </c>
      <c r="I875">
        <v>0</v>
      </c>
      <c r="J875">
        <v>0</v>
      </c>
      <c r="K875">
        <v>0</v>
      </c>
      <c r="N875">
        <v>3</v>
      </c>
      <c r="O875">
        <v>3</v>
      </c>
      <c r="P875">
        <v>4</v>
      </c>
      <c r="Q875">
        <v>2</v>
      </c>
      <c r="R875">
        <v>29.28</v>
      </c>
      <c r="S875">
        <v>33</v>
      </c>
      <c r="T875">
        <v>33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33</v>
      </c>
      <c r="AB875">
        <v>0</v>
      </c>
      <c r="AC875">
        <v>0</v>
      </c>
      <c r="AH875">
        <v>62.28</v>
      </c>
    </row>
    <row r="876" spans="1:34" x14ac:dyDescent="0.3">
      <c r="A876" s="4">
        <v>1061</v>
      </c>
      <c r="B876" s="5">
        <v>869</v>
      </c>
      <c r="C876">
        <v>7574</v>
      </c>
      <c r="D876" t="s">
        <v>28251</v>
      </c>
      <c r="E876" t="s">
        <v>149</v>
      </c>
      <c r="F876" t="s">
        <v>12748</v>
      </c>
      <c r="G876" t="s">
        <v>28252</v>
      </c>
      <c r="H876">
        <v>17.2</v>
      </c>
      <c r="I876">
        <v>0</v>
      </c>
      <c r="J876">
        <v>0</v>
      </c>
      <c r="K876">
        <v>0</v>
      </c>
      <c r="O876">
        <v>0</v>
      </c>
      <c r="P876">
        <v>4</v>
      </c>
      <c r="Q876">
        <v>2</v>
      </c>
      <c r="R876">
        <v>23.2</v>
      </c>
      <c r="S876">
        <v>39</v>
      </c>
      <c r="T876">
        <v>39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39</v>
      </c>
      <c r="AB876">
        <v>0</v>
      </c>
      <c r="AC876">
        <v>0</v>
      </c>
      <c r="AH876">
        <v>62.2</v>
      </c>
    </row>
    <row r="877" spans="1:34" x14ac:dyDescent="0.3">
      <c r="A877" s="4">
        <v>1062</v>
      </c>
      <c r="B877" s="5">
        <v>870</v>
      </c>
      <c r="C877">
        <v>6836</v>
      </c>
      <c r="D877" t="s">
        <v>28253</v>
      </c>
      <c r="E877" t="s">
        <v>10256</v>
      </c>
      <c r="F877" t="s">
        <v>20</v>
      </c>
      <c r="G877" t="s">
        <v>28254</v>
      </c>
      <c r="H877">
        <v>15.13</v>
      </c>
      <c r="I877">
        <v>0</v>
      </c>
      <c r="J877">
        <v>0</v>
      </c>
      <c r="K877">
        <v>20</v>
      </c>
      <c r="N877">
        <v>3</v>
      </c>
      <c r="O877">
        <v>3</v>
      </c>
      <c r="P877">
        <v>4</v>
      </c>
      <c r="Q877">
        <v>2</v>
      </c>
      <c r="R877">
        <v>44.13</v>
      </c>
      <c r="S877">
        <v>18</v>
      </c>
      <c r="T877">
        <v>18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18</v>
      </c>
      <c r="AB877">
        <v>0</v>
      </c>
      <c r="AC877">
        <v>0</v>
      </c>
      <c r="AH877">
        <v>62.13</v>
      </c>
    </row>
    <row r="878" spans="1:34" x14ac:dyDescent="0.3">
      <c r="A878" s="4">
        <v>1063</v>
      </c>
      <c r="B878" s="5">
        <v>871</v>
      </c>
      <c r="C878">
        <v>14179</v>
      </c>
      <c r="D878" t="s">
        <v>28255</v>
      </c>
      <c r="E878" t="s">
        <v>34</v>
      </c>
      <c r="F878" t="s">
        <v>190</v>
      </c>
      <c r="G878" t="s">
        <v>28256</v>
      </c>
      <c r="H878">
        <v>22</v>
      </c>
      <c r="I878">
        <v>7</v>
      </c>
      <c r="J878">
        <v>0</v>
      </c>
      <c r="K878">
        <v>20</v>
      </c>
      <c r="L878">
        <v>7</v>
      </c>
      <c r="O878">
        <v>7</v>
      </c>
      <c r="P878">
        <v>4</v>
      </c>
      <c r="Q878">
        <v>2</v>
      </c>
      <c r="R878">
        <v>62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H878">
        <v>62</v>
      </c>
    </row>
    <row r="879" spans="1:34" x14ac:dyDescent="0.3">
      <c r="A879" s="4">
        <v>1064</v>
      </c>
      <c r="B879" s="5">
        <v>872</v>
      </c>
      <c r="C879">
        <v>8616</v>
      </c>
      <c r="D879" t="s">
        <v>10995</v>
      </c>
      <c r="E879" t="s">
        <v>1327</v>
      </c>
      <c r="F879" t="s">
        <v>38</v>
      </c>
      <c r="G879" t="s">
        <v>28257</v>
      </c>
      <c r="H879">
        <v>18.88</v>
      </c>
      <c r="I879">
        <v>0</v>
      </c>
      <c r="J879">
        <v>0</v>
      </c>
      <c r="K879">
        <v>20</v>
      </c>
      <c r="L879">
        <v>7</v>
      </c>
      <c r="N879">
        <v>3</v>
      </c>
      <c r="O879">
        <v>10</v>
      </c>
      <c r="P879">
        <v>4</v>
      </c>
      <c r="Q879">
        <v>2</v>
      </c>
      <c r="R879">
        <v>54.88</v>
      </c>
      <c r="S879">
        <v>7</v>
      </c>
      <c r="T879">
        <v>7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7</v>
      </c>
      <c r="AB879">
        <v>0</v>
      </c>
      <c r="AC879">
        <v>0</v>
      </c>
      <c r="AH879">
        <v>61.88</v>
      </c>
    </row>
    <row r="880" spans="1:34" x14ac:dyDescent="0.3">
      <c r="A880" s="4">
        <v>1065</v>
      </c>
      <c r="B880" s="5">
        <v>873</v>
      </c>
      <c r="C880">
        <v>11103</v>
      </c>
      <c r="D880" t="s">
        <v>28258</v>
      </c>
      <c r="E880" t="s">
        <v>33</v>
      </c>
      <c r="F880" t="s">
        <v>20</v>
      </c>
      <c r="G880" t="s">
        <v>28259</v>
      </c>
      <c r="H880">
        <v>19.649999999999999</v>
      </c>
      <c r="I880">
        <v>0</v>
      </c>
      <c r="J880">
        <v>0</v>
      </c>
      <c r="K880">
        <v>0</v>
      </c>
      <c r="N880">
        <v>3</v>
      </c>
      <c r="O880">
        <v>3</v>
      </c>
      <c r="P880">
        <v>4</v>
      </c>
      <c r="Q880">
        <v>0</v>
      </c>
      <c r="R880">
        <v>26.65</v>
      </c>
      <c r="S880">
        <v>35</v>
      </c>
      <c r="T880">
        <v>35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35</v>
      </c>
      <c r="AB880">
        <v>0</v>
      </c>
      <c r="AC880">
        <v>0</v>
      </c>
      <c r="AH880">
        <v>61.65</v>
      </c>
    </row>
    <row r="881" spans="1:34" x14ac:dyDescent="0.3">
      <c r="A881" s="4">
        <v>1066</v>
      </c>
      <c r="B881" s="5">
        <v>874</v>
      </c>
      <c r="C881">
        <v>940</v>
      </c>
      <c r="D881" t="s">
        <v>28260</v>
      </c>
      <c r="E881" t="s">
        <v>1926</v>
      </c>
      <c r="F881" t="s">
        <v>2855</v>
      </c>
      <c r="G881" t="s">
        <v>28261</v>
      </c>
      <c r="H881">
        <v>17.600000000000001</v>
      </c>
      <c r="I881">
        <v>0</v>
      </c>
      <c r="J881">
        <v>0</v>
      </c>
      <c r="K881">
        <v>20</v>
      </c>
      <c r="O881">
        <v>0</v>
      </c>
      <c r="P881">
        <v>4</v>
      </c>
      <c r="Q881">
        <v>0</v>
      </c>
      <c r="R881">
        <v>41.6</v>
      </c>
      <c r="S881">
        <v>17</v>
      </c>
      <c r="T881">
        <v>17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17</v>
      </c>
      <c r="AB881">
        <v>3</v>
      </c>
      <c r="AC881">
        <v>0</v>
      </c>
      <c r="AH881">
        <v>61.6</v>
      </c>
    </row>
    <row r="882" spans="1:34" x14ac:dyDescent="0.3">
      <c r="A882" s="4">
        <v>1067</v>
      </c>
      <c r="B882" s="5">
        <v>875</v>
      </c>
      <c r="C882">
        <v>10274</v>
      </c>
      <c r="D882" t="s">
        <v>28262</v>
      </c>
      <c r="E882" t="s">
        <v>1280</v>
      </c>
      <c r="F882" t="s">
        <v>20</v>
      </c>
      <c r="G882" t="s">
        <v>28263</v>
      </c>
      <c r="H882">
        <v>17.5</v>
      </c>
      <c r="I882">
        <v>0</v>
      </c>
      <c r="J882">
        <v>0</v>
      </c>
      <c r="K882">
        <v>0</v>
      </c>
      <c r="N882">
        <v>3</v>
      </c>
      <c r="O882">
        <v>3</v>
      </c>
      <c r="P882">
        <v>4</v>
      </c>
      <c r="Q882">
        <v>2</v>
      </c>
      <c r="R882">
        <v>26.5</v>
      </c>
      <c r="S882">
        <v>35</v>
      </c>
      <c r="T882">
        <v>35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35</v>
      </c>
      <c r="AB882">
        <v>0</v>
      </c>
      <c r="AC882">
        <v>0</v>
      </c>
      <c r="AH882">
        <v>61.5</v>
      </c>
    </row>
    <row r="883" spans="1:34" x14ac:dyDescent="0.3">
      <c r="A883" s="4">
        <v>1068</v>
      </c>
      <c r="B883" s="5">
        <v>876</v>
      </c>
      <c r="C883">
        <v>10842</v>
      </c>
      <c r="D883" t="s">
        <v>28264</v>
      </c>
      <c r="E883" t="s">
        <v>29</v>
      </c>
      <c r="F883" t="s">
        <v>81</v>
      </c>
      <c r="G883" t="s">
        <v>28265</v>
      </c>
      <c r="H883">
        <v>18.28</v>
      </c>
      <c r="I883">
        <v>0</v>
      </c>
      <c r="J883">
        <v>0</v>
      </c>
      <c r="K883">
        <v>0</v>
      </c>
      <c r="L883">
        <v>7</v>
      </c>
      <c r="O883">
        <v>7</v>
      </c>
      <c r="P883">
        <v>4</v>
      </c>
      <c r="Q883">
        <v>2</v>
      </c>
      <c r="R883">
        <v>31.28</v>
      </c>
      <c r="S883">
        <v>30</v>
      </c>
      <c r="T883">
        <v>30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30</v>
      </c>
      <c r="AB883">
        <v>0</v>
      </c>
      <c r="AC883">
        <v>0</v>
      </c>
      <c r="AH883">
        <v>61.28</v>
      </c>
    </row>
    <row r="884" spans="1:34" x14ac:dyDescent="0.3">
      <c r="A884" s="4">
        <v>1069</v>
      </c>
      <c r="B884" s="5">
        <v>877</v>
      </c>
      <c r="C884">
        <v>4186</v>
      </c>
      <c r="D884" t="s">
        <v>28028</v>
      </c>
      <c r="E884" t="s">
        <v>161</v>
      </c>
      <c r="F884" t="s">
        <v>442</v>
      </c>
      <c r="G884" t="s">
        <v>28266</v>
      </c>
      <c r="H884">
        <v>21.35</v>
      </c>
      <c r="I884">
        <v>0</v>
      </c>
      <c r="J884">
        <v>0</v>
      </c>
      <c r="K884">
        <v>0</v>
      </c>
      <c r="N884">
        <v>3</v>
      </c>
      <c r="O884">
        <v>3</v>
      </c>
      <c r="P884">
        <v>4</v>
      </c>
      <c r="Q884">
        <v>0</v>
      </c>
      <c r="R884">
        <v>28.35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6</v>
      </c>
      <c r="AC884">
        <v>26.8</v>
      </c>
      <c r="AH884">
        <v>61.15</v>
      </c>
    </row>
    <row r="885" spans="1:34" x14ac:dyDescent="0.3">
      <c r="A885" s="4">
        <v>1070</v>
      </c>
      <c r="B885" s="5">
        <v>878</v>
      </c>
      <c r="C885">
        <v>2469</v>
      </c>
      <c r="D885" t="s">
        <v>28267</v>
      </c>
      <c r="E885" t="s">
        <v>320</v>
      </c>
      <c r="F885" t="s">
        <v>416</v>
      </c>
      <c r="G885" t="s">
        <v>28268</v>
      </c>
      <c r="H885">
        <v>19.03</v>
      </c>
      <c r="I885">
        <v>0</v>
      </c>
      <c r="J885">
        <v>0</v>
      </c>
      <c r="K885">
        <v>28</v>
      </c>
      <c r="L885">
        <v>7</v>
      </c>
      <c r="N885">
        <v>3</v>
      </c>
      <c r="O885">
        <v>10</v>
      </c>
      <c r="P885">
        <v>4</v>
      </c>
      <c r="Q885">
        <v>0</v>
      </c>
      <c r="R885">
        <v>61.03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H885">
        <v>61.03</v>
      </c>
    </row>
    <row r="886" spans="1:34" x14ac:dyDescent="0.3">
      <c r="A886" s="4">
        <v>1071</v>
      </c>
      <c r="B886" s="5">
        <v>879</v>
      </c>
      <c r="C886">
        <v>8325</v>
      </c>
      <c r="D886" t="s">
        <v>28269</v>
      </c>
      <c r="E886" t="s">
        <v>789</v>
      </c>
      <c r="F886" t="s">
        <v>81</v>
      </c>
      <c r="G886" t="s">
        <v>28270</v>
      </c>
      <c r="H886">
        <v>16.75</v>
      </c>
      <c r="I886">
        <v>0</v>
      </c>
      <c r="J886">
        <v>0</v>
      </c>
      <c r="K886">
        <v>0</v>
      </c>
      <c r="O886">
        <v>0</v>
      </c>
      <c r="P886">
        <v>4</v>
      </c>
      <c r="Q886">
        <v>0</v>
      </c>
      <c r="R886">
        <v>20.75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3</v>
      </c>
      <c r="AC886">
        <v>37.200000000000003</v>
      </c>
      <c r="AH886">
        <v>60.95</v>
      </c>
    </row>
    <row r="887" spans="1:34" x14ac:dyDescent="0.3">
      <c r="A887" s="4">
        <v>1072</v>
      </c>
      <c r="B887" s="5">
        <v>880</v>
      </c>
      <c r="C887">
        <v>1035</v>
      </c>
      <c r="D887" t="s">
        <v>5088</v>
      </c>
      <c r="E887" t="s">
        <v>54</v>
      </c>
      <c r="F887" t="s">
        <v>81</v>
      </c>
      <c r="G887" t="s">
        <v>28271</v>
      </c>
      <c r="H887">
        <v>19.850000000000001</v>
      </c>
      <c r="I887">
        <v>7</v>
      </c>
      <c r="J887">
        <v>0</v>
      </c>
      <c r="K887">
        <v>20</v>
      </c>
      <c r="L887">
        <v>7</v>
      </c>
      <c r="O887">
        <v>7</v>
      </c>
      <c r="P887">
        <v>4</v>
      </c>
      <c r="Q887">
        <v>0</v>
      </c>
      <c r="R887">
        <v>57.85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3</v>
      </c>
      <c r="AC887">
        <v>0</v>
      </c>
      <c r="AH887">
        <v>60.85</v>
      </c>
    </row>
    <row r="888" spans="1:34" x14ac:dyDescent="0.3">
      <c r="A888" s="4">
        <v>1073</v>
      </c>
      <c r="B888" s="5">
        <v>881</v>
      </c>
      <c r="C888">
        <v>4860</v>
      </c>
      <c r="D888" t="s">
        <v>11088</v>
      </c>
      <c r="E888" t="s">
        <v>81</v>
      </c>
      <c r="F888" t="s">
        <v>652</v>
      </c>
      <c r="G888" t="s">
        <v>28272</v>
      </c>
      <c r="H888">
        <v>16.63</v>
      </c>
      <c r="I888">
        <v>0</v>
      </c>
      <c r="J888">
        <v>0</v>
      </c>
      <c r="K888">
        <v>20</v>
      </c>
      <c r="L888">
        <v>7</v>
      </c>
      <c r="O888">
        <v>7</v>
      </c>
      <c r="P888">
        <v>4</v>
      </c>
      <c r="Q888">
        <v>2</v>
      </c>
      <c r="R888">
        <v>49.63</v>
      </c>
      <c r="S888">
        <v>8</v>
      </c>
      <c r="T888">
        <v>8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8</v>
      </c>
      <c r="AB888">
        <v>3</v>
      </c>
      <c r="AC888">
        <v>0</v>
      </c>
      <c r="AH888">
        <v>60.63</v>
      </c>
    </row>
    <row r="889" spans="1:34" x14ac:dyDescent="0.3">
      <c r="A889" s="4">
        <v>1074</v>
      </c>
      <c r="B889" s="5">
        <v>882</v>
      </c>
      <c r="C889">
        <v>86</v>
      </c>
      <c r="D889" t="s">
        <v>25534</v>
      </c>
      <c r="E889" t="s">
        <v>28273</v>
      </c>
      <c r="F889" t="s">
        <v>38</v>
      </c>
      <c r="G889" t="s">
        <v>28274</v>
      </c>
      <c r="H889">
        <v>17.579999999999998</v>
      </c>
      <c r="I889">
        <v>7</v>
      </c>
      <c r="J889">
        <v>0</v>
      </c>
      <c r="K889">
        <v>20</v>
      </c>
      <c r="L889">
        <v>7</v>
      </c>
      <c r="O889">
        <v>7</v>
      </c>
      <c r="P889">
        <v>4</v>
      </c>
      <c r="Q889">
        <v>2</v>
      </c>
      <c r="R889">
        <v>57.58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3</v>
      </c>
      <c r="AC889">
        <v>0</v>
      </c>
      <c r="AH889">
        <v>60.58</v>
      </c>
    </row>
    <row r="890" spans="1:34" x14ac:dyDescent="0.3">
      <c r="A890" s="4">
        <v>1075</v>
      </c>
      <c r="B890" s="5">
        <v>883</v>
      </c>
      <c r="C890">
        <v>10134</v>
      </c>
      <c r="D890" t="s">
        <v>3011</v>
      </c>
      <c r="E890" t="s">
        <v>29</v>
      </c>
      <c r="F890" t="s">
        <v>17</v>
      </c>
      <c r="G890" t="s">
        <v>28275</v>
      </c>
      <c r="H890">
        <v>18.38</v>
      </c>
      <c r="I890">
        <v>0</v>
      </c>
      <c r="J890">
        <v>0</v>
      </c>
      <c r="K890">
        <v>20</v>
      </c>
      <c r="L890">
        <v>7</v>
      </c>
      <c r="N890">
        <v>3</v>
      </c>
      <c r="O890">
        <v>10</v>
      </c>
      <c r="P890">
        <v>4</v>
      </c>
      <c r="Q890">
        <v>2</v>
      </c>
      <c r="R890">
        <v>54.38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6</v>
      </c>
      <c r="AC890">
        <v>0</v>
      </c>
      <c r="AD890" t="s">
        <v>130</v>
      </c>
      <c r="AH890">
        <v>60.38</v>
      </c>
    </row>
    <row r="891" spans="1:34" x14ac:dyDescent="0.3">
      <c r="A891" s="4">
        <v>1076</v>
      </c>
      <c r="B891" s="5">
        <v>884</v>
      </c>
      <c r="C891">
        <v>12941</v>
      </c>
      <c r="D891" t="s">
        <v>20672</v>
      </c>
      <c r="E891" t="s">
        <v>213</v>
      </c>
      <c r="F891" t="s">
        <v>68</v>
      </c>
      <c r="G891" t="s">
        <v>28276</v>
      </c>
      <c r="H891">
        <v>24.25</v>
      </c>
      <c r="I891">
        <v>0</v>
      </c>
      <c r="J891">
        <v>0</v>
      </c>
      <c r="K891">
        <v>20</v>
      </c>
      <c r="L891">
        <v>7</v>
      </c>
      <c r="M891">
        <v>5</v>
      </c>
      <c r="O891">
        <v>12</v>
      </c>
      <c r="P891">
        <v>4</v>
      </c>
      <c r="Q891">
        <v>0</v>
      </c>
      <c r="R891">
        <v>60.25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H891">
        <v>60.25</v>
      </c>
    </row>
    <row r="892" spans="1:34" x14ac:dyDescent="0.3">
      <c r="A892" s="4">
        <v>1077</v>
      </c>
      <c r="B892" s="5">
        <v>885</v>
      </c>
      <c r="C892">
        <v>3572</v>
      </c>
      <c r="D892" t="s">
        <v>181</v>
      </c>
      <c r="E892" t="s">
        <v>29</v>
      </c>
      <c r="F892" t="s">
        <v>124</v>
      </c>
      <c r="G892" t="s">
        <v>28277</v>
      </c>
      <c r="H892">
        <v>20.2</v>
      </c>
      <c r="I892">
        <v>0</v>
      </c>
      <c r="J892">
        <v>0</v>
      </c>
      <c r="K892">
        <v>20</v>
      </c>
      <c r="N892">
        <v>3</v>
      </c>
      <c r="O892">
        <v>3</v>
      </c>
      <c r="P892">
        <v>4</v>
      </c>
      <c r="Q892">
        <v>0</v>
      </c>
      <c r="R892">
        <v>47.2</v>
      </c>
      <c r="S892">
        <v>7</v>
      </c>
      <c r="T892">
        <v>7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7</v>
      </c>
      <c r="AB892">
        <v>6</v>
      </c>
      <c r="AC892">
        <v>0</v>
      </c>
      <c r="AD892" t="s">
        <v>130</v>
      </c>
      <c r="AH892">
        <v>60.2</v>
      </c>
    </row>
    <row r="893" spans="1:34" x14ac:dyDescent="0.3">
      <c r="A893" s="4">
        <v>1078</v>
      </c>
      <c r="B893" s="5">
        <v>886</v>
      </c>
      <c r="C893">
        <v>11658</v>
      </c>
      <c r="D893" t="s">
        <v>10012</v>
      </c>
      <c r="E893" t="s">
        <v>2150</v>
      </c>
      <c r="F893" t="s">
        <v>20</v>
      </c>
      <c r="G893" t="s">
        <v>28278</v>
      </c>
      <c r="H893">
        <v>19.149999999999999</v>
      </c>
      <c r="I893">
        <v>0</v>
      </c>
      <c r="J893">
        <v>0</v>
      </c>
      <c r="K893">
        <v>20</v>
      </c>
      <c r="N893">
        <v>3</v>
      </c>
      <c r="O893">
        <v>3</v>
      </c>
      <c r="P893">
        <v>4</v>
      </c>
      <c r="Q893">
        <v>0</v>
      </c>
      <c r="R893">
        <v>46.15</v>
      </c>
      <c r="S893">
        <v>14</v>
      </c>
      <c r="T893">
        <v>14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14</v>
      </c>
      <c r="AB893">
        <v>0</v>
      </c>
      <c r="AC893">
        <v>0</v>
      </c>
      <c r="AH893">
        <v>60.15</v>
      </c>
    </row>
    <row r="894" spans="1:34" x14ac:dyDescent="0.3">
      <c r="A894" s="4">
        <v>1079</v>
      </c>
      <c r="B894" s="5">
        <v>887</v>
      </c>
      <c r="C894">
        <v>8871</v>
      </c>
      <c r="D894" t="s">
        <v>9738</v>
      </c>
      <c r="E894" t="s">
        <v>29</v>
      </c>
      <c r="F894" t="s">
        <v>38</v>
      </c>
      <c r="G894" t="s">
        <v>28279</v>
      </c>
      <c r="H894">
        <v>16.13</v>
      </c>
      <c r="I894">
        <v>0</v>
      </c>
      <c r="J894">
        <v>0</v>
      </c>
      <c r="K894">
        <v>20</v>
      </c>
      <c r="M894">
        <v>5</v>
      </c>
      <c r="O894">
        <v>5</v>
      </c>
      <c r="P894">
        <v>4</v>
      </c>
      <c r="Q894">
        <v>0</v>
      </c>
      <c r="R894">
        <v>45.13</v>
      </c>
      <c r="S894">
        <v>15</v>
      </c>
      <c r="T894">
        <v>15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15</v>
      </c>
      <c r="AB894">
        <v>0</v>
      </c>
      <c r="AC894">
        <v>0</v>
      </c>
      <c r="AD894" t="s">
        <v>130</v>
      </c>
      <c r="AH894">
        <v>60.13</v>
      </c>
    </row>
    <row r="895" spans="1:34" x14ac:dyDescent="0.3">
      <c r="A895" s="4">
        <v>1080</v>
      </c>
      <c r="B895" s="5">
        <v>888</v>
      </c>
      <c r="C895">
        <v>3438</v>
      </c>
      <c r="D895" t="s">
        <v>28280</v>
      </c>
      <c r="E895" t="s">
        <v>208</v>
      </c>
      <c r="F895" t="s">
        <v>20</v>
      </c>
      <c r="G895" t="s">
        <v>28281</v>
      </c>
      <c r="H895">
        <v>18.7</v>
      </c>
      <c r="I895">
        <v>0</v>
      </c>
      <c r="J895">
        <v>0</v>
      </c>
      <c r="K895">
        <v>20</v>
      </c>
      <c r="M895">
        <v>5</v>
      </c>
      <c r="O895">
        <v>5</v>
      </c>
      <c r="P895">
        <v>4</v>
      </c>
      <c r="Q895">
        <v>2</v>
      </c>
      <c r="R895">
        <v>49.7</v>
      </c>
      <c r="S895">
        <v>10</v>
      </c>
      <c r="T895">
        <v>10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10</v>
      </c>
      <c r="AB895">
        <v>0</v>
      </c>
      <c r="AC895">
        <v>0</v>
      </c>
      <c r="AH895">
        <v>59.7</v>
      </c>
    </row>
    <row r="896" spans="1:34" x14ac:dyDescent="0.3">
      <c r="A896" s="4">
        <v>1081</v>
      </c>
      <c r="B896" s="5">
        <v>889</v>
      </c>
      <c r="C896">
        <v>9892</v>
      </c>
      <c r="D896" t="s">
        <v>1269</v>
      </c>
      <c r="E896" t="s">
        <v>6762</v>
      </c>
      <c r="F896" t="s">
        <v>17</v>
      </c>
      <c r="G896" t="s">
        <v>28282</v>
      </c>
      <c r="H896">
        <v>18.7</v>
      </c>
      <c r="I896">
        <v>0</v>
      </c>
      <c r="J896">
        <v>0</v>
      </c>
      <c r="K896">
        <v>0</v>
      </c>
      <c r="L896">
        <v>7</v>
      </c>
      <c r="M896">
        <v>5</v>
      </c>
      <c r="O896">
        <v>12</v>
      </c>
      <c r="P896">
        <v>4</v>
      </c>
      <c r="Q896">
        <v>0</v>
      </c>
      <c r="R896">
        <v>34.700000000000003</v>
      </c>
      <c r="S896">
        <v>25</v>
      </c>
      <c r="T896">
        <v>25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25</v>
      </c>
      <c r="AB896">
        <v>0</v>
      </c>
      <c r="AC896">
        <v>0</v>
      </c>
      <c r="AE896" t="s">
        <v>130</v>
      </c>
      <c r="AH896">
        <v>59.7</v>
      </c>
    </row>
    <row r="897" spans="1:34" x14ac:dyDescent="0.3">
      <c r="A897" s="4">
        <v>1082</v>
      </c>
      <c r="B897" s="5">
        <v>890</v>
      </c>
      <c r="C897">
        <v>7826</v>
      </c>
      <c r="D897" t="s">
        <v>5357</v>
      </c>
      <c r="E897" t="s">
        <v>88</v>
      </c>
      <c r="F897" t="s">
        <v>17</v>
      </c>
      <c r="G897" t="s">
        <v>28283</v>
      </c>
      <c r="H897">
        <v>17.600000000000001</v>
      </c>
      <c r="I897">
        <v>0</v>
      </c>
      <c r="J897">
        <v>0</v>
      </c>
      <c r="K897">
        <v>20</v>
      </c>
      <c r="L897">
        <v>7</v>
      </c>
      <c r="O897">
        <v>7</v>
      </c>
      <c r="P897">
        <v>4</v>
      </c>
      <c r="Q897">
        <v>0</v>
      </c>
      <c r="R897">
        <v>48.6</v>
      </c>
      <c r="S897">
        <v>11</v>
      </c>
      <c r="T897">
        <v>11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11</v>
      </c>
      <c r="AB897">
        <v>0</v>
      </c>
      <c r="AC897">
        <v>0</v>
      </c>
      <c r="AD897" t="s">
        <v>130</v>
      </c>
      <c r="AH897">
        <v>59.6</v>
      </c>
    </row>
    <row r="898" spans="1:34" x14ac:dyDescent="0.3">
      <c r="A898" s="4">
        <v>1083</v>
      </c>
      <c r="B898" s="5">
        <v>891</v>
      </c>
      <c r="C898">
        <v>14930</v>
      </c>
      <c r="D898" t="s">
        <v>4439</v>
      </c>
      <c r="E898" t="s">
        <v>22</v>
      </c>
      <c r="F898" t="s">
        <v>81</v>
      </c>
      <c r="G898" t="s">
        <v>28284</v>
      </c>
      <c r="H898">
        <v>19.53</v>
      </c>
      <c r="I898">
        <v>0</v>
      </c>
      <c r="J898">
        <v>0</v>
      </c>
      <c r="K898">
        <v>20</v>
      </c>
      <c r="M898">
        <v>5</v>
      </c>
      <c r="N898">
        <v>3</v>
      </c>
      <c r="O898">
        <v>8</v>
      </c>
      <c r="P898">
        <v>4</v>
      </c>
      <c r="Q898">
        <v>0</v>
      </c>
      <c r="R898">
        <v>51.53</v>
      </c>
      <c r="S898">
        <v>8</v>
      </c>
      <c r="T898">
        <v>8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8</v>
      </c>
      <c r="AB898">
        <v>0</v>
      </c>
      <c r="AC898">
        <v>0</v>
      </c>
      <c r="AH898">
        <v>59.53</v>
      </c>
    </row>
    <row r="899" spans="1:34" x14ac:dyDescent="0.3">
      <c r="A899" s="4">
        <v>1084</v>
      </c>
      <c r="B899" s="5">
        <v>892</v>
      </c>
      <c r="C899">
        <v>8467</v>
      </c>
      <c r="D899" t="s">
        <v>28285</v>
      </c>
      <c r="E899" t="s">
        <v>166</v>
      </c>
      <c r="F899" t="s">
        <v>328</v>
      </c>
      <c r="G899" t="s">
        <v>28286</v>
      </c>
      <c r="H899">
        <v>18.53</v>
      </c>
      <c r="I899">
        <v>0</v>
      </c>
      <c r="J899">
        <v>0</v>
      </c>
      <c r="K899">
        <v>0</v>
      </c>
      <c r="L899">
        <v>7</v>
      </c>
      <c r="O899">
        <v>7</v>
      </c>
      <c r="P899">
        <v>4</v>
      </c>
      <c r="Q899">
        <v>2</v>
      </c>
      <c r="R899">
        <v>31.53</v>
      </c>
      <c r="S899">
        <v>28</v>
      </c>
      <c r="T899">
        <v>28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28</v>
      </c>
      <c r="AB899">
        <v>0</v>
      </c>
      <c r="AC899">
        <v>0</v>
      </c>
      <c r="AD899" t="s">
        <v>130</v>
      </c>
      <c r="AH899">
        <v>59.53</v>
      </c>
    </row>
    <row r="900" spans="1:34" x14ac:dyDescent="0.3">
      <c r="A900" s="4">
        <v>1085</v>
      </c>
      <c r="B900" s="5">
        <v>893</v>
      </c>
      <c r="C900">
        <v>11724</v>
      </c>
      <c r="D900" t="s">
        <v>28287</v>
      </c>
      <c r="E900" t="s">
        <v>3680</v>
      </c>
      <c r="F900" t="s">
        <v>1090</v>
      </c>
      <c r="G900" t="s">
        <v>28288</v>
      </c>
      <c r="H900">
        <v>17.43</v>
      </c>
      <c r="I900">
        <v>0</v>
      </c>
      <c r="J900">
        <v>0</v>
      </c>
      <c r="K900">
        <v>0</v>
      </c>
      <c r="M900">
        <v>5</v>
      </c>
      <c r="O900">
        <v>5</v>
      </c>
      <c r="P900">
        <v>4</v>
      </c>
      <c r="Q900">
        <v>2</v>
      </c>
      <c r="R900">
        <v>28.43</v>
      </c>
      <c r="S900">
        <v>28</v>
      </c>
      <c r="T900">
        <v>28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28</v>
      </c>
      <c r="AB900">
        <v>3</v>
      </c>
      <c r="AC900">
        <v>0</v>
      </c>
      <c r="AH900">
        <v>59.43</v>
      </c>
    </row>
    <row r="901" spans="1:34" x14ac:dyDescent="0.3">
      <c r="A901" s="4">
        <v>1086</v>
      </c>
      <c r="B901" s="5">
        <v>894</v>
      </c>
      <c r="C901">
        <v>485</v>
      </c>
      <c r="D901" t="s">
        <v>28289</v>
      </c>
      <c r="E901" t="s">
        <v>652</v>
      </c>
      <c r="F901" t="s">
        <v>375</v>
      </c>
      <c r="G901" t="s">
        <v>28290</v>
      </c>
      <c r="H901">
        <v>21.3</v>
      </c>
      <c r="I901">
        <v>0</v>
      </c>
      <c r="J901">
        <v>0</v>
      </c>
      <c r="K901">
        <v>20</v>
      </c>
      <c r="L901">
        <v>14</v>
      </c>
      <c r="O901">
        <v>14</v>
      </c>
      <c r="P901">
        <v>4</v>
      </c>
      <c r="Q901">
        <v>0</v>
      </c>
      <c r="R901">
        <v>59.3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H901">
        <v>59.3</v>
      </c>
    </row>
    <row r="902" spans="1:34" x14ac:dyDescent="0.3">
      <c r="A902" s="4">
        <v>1087</v>
      </c>
      <c r="B902" s="5">
        <v>895</v>
      </c>
      <c r="C902">
        <v>10800</v>
      </c>
      <c r="D902" t="s">
        <v>4872</v>
      </c>
      <c r="E902" t="s">
        <v>132</v>
      </c>
      <c r="F902" t="s">
        <v>17</v>
      </c>
      <c r="G902" t="s">
        <v>28291</v>
      </c>
      <c r="H902">
        <v>17.23</v>
      </c>
      <c r="I902">
        <v>0</v>
      </c>
      <c r="J902">
        <v>0</v>
      </c>
      <c r="K902">
        <v>0</v>
      </c>
      <c r="N902">
        <v>3</v>
      </c>
      <c r="O902">
        <v>3</v>
      </c>
      <c r="P902">
        <v>4</v>
      </c>
      <c r="Q902">
        <v>0</v>
      </c>
      <c r="R902">
        <v>24.23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3</v>
      </c>
      <c r="AC902">
        <v>32</v>
      </c>
      <c r="AH902">
        <v>59.23</v>
      </c>
    </row>
    <row r="903" spans="1:34" x14ac:dyDescent="0.3">
      <c r="A903" s="4">
        <v>1088</v>
      </c>
      <c r="B903" s="5">
        <v>896</v>
      </c>
      <c r="C903">
        <v>6432</v>
      </c>
      <c r="D903" t="s">
        <v>6215</v>
      </c>
      <c r="E903" t="s">
        <v>213</v>
      </c>
      <c r="F903" t="s">
        <v>20</v>
      </c>
      <c r="G903" t="s">
        <v>28292</v>
      </c>
      <c r="H903">
        <v>18.23</v>
      </c>
      <c r="I903">
        <v>0</v>
      </c>
      <c r="J903">
        <v>0</v>
      </c>
      <c r="K903">
        <v>0</v>
      </c>
      <c r="L903">
        <v>7</v>
      </c>
      <c r="O903">
        <v>7</v>
      </c>
      <c r="P903">
        <v>4</v>
      </c>
      <c r="Q903">
        <v>2</v>
      </c>
      <c r="R903">
        <v>31.23</v>
      </c>
      <c r="S903">
        <v>25</v>
      </c>
      <c r="T903">
        <v>25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25</v>
      </c>
      <c r="AB903">
        <v>3</v>
      </c>
      <c r="AC903">
        <v>0</v>
      </c>
      <c r="AD903" t="s">
        <v>130</v>
      </c>
      <c r="AH903">
        <v>59.23</v>
      </c>
    </row>
    <row r="904" spans="1:34" x14ac:dyDescent="0.3">
      <c r="A904" s="4">
        <v>1089</v>
      </c>
      <c r="B904" s="5">
        <v>897</v>
      </c>
      <c r="C904">
        <v>14100</v>
      </c>
      <c r="D904" t="s">
        <v>28293</v>
      </c>
      <c r="E904" t="s">
        <v>406</v>
      </c>
      <c r="F904" t="s">
        <v>20</v>
      </c>
      <c r="G904" t="s">
        <v>28294</v>
      </c>
      <c r="H904">
        <v>20.18</v>
      </c>
      <c r="I904">
        <v>0</v>
      </c>
      <c r="J904">
        <v>0</v>
      </c>
      <c r="K904">
        <v>20</v>
      </c>
      <c r="L904">
        <v>7</v>
      </c>
      <c r="O904">
        <v>7</v>
      </c>
      <c r="P904">
        <v>4</v>
      </c>
      <c r="Q904">
        <v>2</v>
      </c>
      <c r="R904">
        <v>53.18</v>
      </c>
      <c r="S904">
        <v>6</v>
      </c>
      <c r="T904">
        <v>6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6</v>
      </c>
      <c r="AB904">
        <v>0</v>
      </c>
      <c r="AC904">
        <v>0</v>
      </c>
      <c r="AH904">
        <v>59.18</v>
      </c>
    </row>
    <row r="905" spans="1:34" x14ac:dyDescent="0.3">
      <c r="A905" s="4">
        <v>1090</v>
      </c>
      <c r="B905" s="5">
        <v>898</v>
      </c>
      <c r="C905">
        <v>5513</v>
      </c>
      <c r="D905" t="s">
        <v>28295</v>
      </c>
      <c r="E905" t="s">
        <v>625</v>
      </c>
      <c r="F905" t="s">
        <v>17</v>
      </c>
      <c r="G905" t="s">
        <v>28296</v>
      </c>
      <c r="H905">
        <v>16</v>
      </c>
      <c r="I905">
        <v>0</v>
      </c>
      <c r="J905">
        <v>0</v>
      </c>
      <c r="K905">
        <v>0</v>
      </c>
      <c r="N905">
        <v>3</v>
      </c>
      <c r="O905">
        <v>3</v>
      </c>
      <c r="P905">
        <v>4</v>
      </c>
      <c r="Q905">
        <v>0</v>
      </c>
      <c r="R905">
        <v>23</v>
      </c>
      <c r="S905">
        <v>36</v>
      </c>
      <c r="T905">
        <v>36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36</v>
      </c>
      <c r="AB905">
        <v>0</v>
      </c>
      <c r="AC905">
        <v>0</v>
      </c>
      <c r="AH905">
        <v>59</v>
      </c>
    </row>
    <row r="906" spans="1:34" x14ac:dyDescent="0.3">
      <c r="A906" s="4">
        <v>1091</v>
      </c>
      <c r="B906" s="5">
        <v>899</v>
      </c>
      <c r="C906">
        <v>11175</v>
      </c>
      <c r="D906" t="s">
        <v>4893</v>
      </c>
      <c r="E906" t="s">
        <v>29</v>
      </c>
      <c r="F906" t="s">
        <v>68</v>
      </c>
      <c r="G906" t="s">
        <v>28297</v>
      </c>
      <c r="H906">
        <v>15.53</v>
      </c>
      <c r="I906">
        <v>0</v>
      </c>
      <c r="J906">
        <v>0</v>
      </c>
      <c r="K906">
        <v>0</v>
      </c>
      <c r="N906">
        <v>3</v>
      </c>
      <c r="O906">
        <v>3</v>
      </c>
      <c r="P906">
        <v>4</v>
      </c>
      <c r="Q906">
        <v>2</v>
      </c>
      <c r="R906">
        <v>24.53</v>
      </c>
      <c r="S906">
        <v>34</v>
      </c>
      <c r="T906">
        <v>34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34</v>
      </c>
      <c r="AB906">
        <v>0</v>
      </c>
      <c r="AC906">
        <v>0</v>
      </c>
      <c r="AD906" t="s">
        <v>130</v>
      </c>
      <c r="AH906">
        <v>58.53</v>
      </c>
    </row>
    <row r="907" spans="1:34" x14ac:dyDescent="0.3">
      <c r="A907" s="4">
        <v>1092</v>
      </c>
      <c r="B907" s="5">
        <v>900</v>
      </c>
      <c r="C907">
        <v>614</v>
      </c>
      <c r="D907" t="s">
        <v>28298</v>
      </c>
      <c r="E907" t="s">
        <v>816</v>
      </c>
      <c r="F907" t="s">
        <v>16753</v>
      </c>
      <c r="G907" t="s">
        <v>28299</v>
      </c>
      <c r="H907">
        <v>17.399999999999999</v>
      </c>
      <c r="I907">
        <v>0</v>
      </c>
      <c r="J907">
        <v>0</v>
      </c>
      <c r="K907">
        <v>20</v>
      </c>
      <c r="L907">
        <v>7</v>
      </c>
      <c r="N907">
        <v>3</v>
      </c>
      <c r="O907">
        <v>10</v>
      </c>
      <c r="P907">
        <v>4</v>
      </c>
      <c r="Q907">
        <v>2</v>
      </c>
      <c r="R907">
        <v>53.4</v>
      </c>
      <c r="S907">
        <v>2</v>
      </c>
      <c r="T907">
        <v>2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2</v>
      </c>
      <c r="AB907">
        <v>3</v>
      </c>
      <c r="AC907">
        <v>0</v>
      </c>
      <c r="AH907">
        <v>58.4</v>
      </c>
    </row>
    <row r="908" spans="1:34" x14ac:dyDescent="0.3">
      <c r="A908" s="4">
        <v>1093</v>
      </c>
      <c r="B908" s="5">
        <v>901</v>
      </c>
      <c r="C908">
        <v>1000</v>
      </c>
      <c r="D908" t="s">
        <v>28300</v>
      </c>
      <c r="E908" t="s">
        <v>51</v>
      </c>
      <c r="F908" t="s">
        <v>28301</v>
      </c>
      <c r="G908" t="s">
        <v>28302</v>
      </c>
      <c r="H908">
        <v>19.399999999999999</v>
      </c>
      <c r="I908">
        <v>0</v>
      </c>
      <c r="J908">
        <v>0</v>
      </c>
      <c r="K908">
        <v>0</v>
      </c>
      <c r="L908">
        <v>7</v>
      </c>
      <c r="O908">
        <v>7</v>
      </c>
      <c r="P908">
        <v>4</v>
      </c>
      <c r="Q908">
        <v>2</v>
      </c>
      <c r="R908">
        <v>32.4</v>
      </c>
      <c r="S908">
        <v>26</v>
      </c>
      <c r="T908">
        <v>26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26</v>
      </c>
      <c r="AB908">
        <v>0</v>
      </c>
      <c r="AC908">
        <v>0</v>
      </c>
      <c r="AH908">
        <v>58.4</v>
      </c>
    </row>
    <row r="909" spans="1:34" x14ac:dyDescent="0.3">
      <c r="A909" s="4">
        <v>1094</v>
      </c>
      <c r="B909" s="5">
        <v>902</v>
      </c>
      <c r="C909">
        <v>8374</v>
      </c>
      <c r="D909" t="s">
        <v>181</v>
      </c>
      <c r="E909" t="s">
        <v>100</v>
      </c>
      <c r="F909" t="s">
        <v>17</v>
      </c>
      <c r="G909" t="s">
        <v>28303</v>
      </c>
      <c r="H909">
        <v>16.38</v>
      </c>
      <c r="I909">
        <v>0</v>
      </c>
      <c r="J909">
        <v>0</v>
      </c>
      <c r="K909">
        <v>0</v>
      </c>
      <c r="L909">
        <v>7</v>
      </c>
      <c r="O909">
        <v>7</v>
      </c>
      <c r="P909">
        <v>4</v>
      </c>
      <c r="Q909">
        <v>0</v>
      </c>
      <c r="R909">
        <v>27.38</v>
      </c>
      <c r="S909">
        <v>31</v>
      </c>
      <c r="T909">
        <v>31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31</v>
      </c>
      <c r="AB909">
        <v>0</v>
      </c>
      <c r="AC909">
        <v>0</v>
      </c>
      <c r="AH909">
        <v>58.38</v>
      </c>
    </row>
    <row r="910" spans="1:34" x14ac:dyDescent="0.3">
      <c r="A910" s="4">
        <v>1095</v>
      </c>
      <c r="B910" s="5">
        <v>903</v>
      </c>
      <c r="C910">
        <v>2288</v>
      </c>
      <c r="D910" t="s">
        <v>28304</v>
      </c>
      <c r="E910" t="s">
        <v>2481</v>
      </c>
      <c r="F910" t="s">
        <v>158</v>
      </c>
      <c r="G910" t="s">
        <v>28305</v>
      </c>
      <c r="H910">
        <v>17.28</v>
      </c>
      <c r="I910">
        <v>0</v>
      </c>
      <c r="J910">
        <v>0</v>
      </c>
      <c r="K910">
        <v>20</v>
      </c>
      <c r="N910">
        <v>3</v>
      </c>
      <c r="O910">
        <v>3</v>
      </c>
      <c r="P910">
        <v>4</v>
      </c>
      <c r="Q910">
        <v>2</v>
      </c>
      <c r="R910">
        <v>46.28</v>
      </c>
      <c r="S910">
        <v>12</v>
      </c>
      <c r="T910">
        <v>12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12</v>
      </c>
      <c r="AB910">
        <v>0</v>
      </c>
      <c r="AC910">
        <v>0</v>
      </c>
      <c r="AH910">
        <v>58.28</v>
      </c>
    </row>
    <row r="911" spans="1:34" x14ac:dyDescent="0.3">
      <c r="A911" s="4">
        <v>1096</v>
      </c>
      <c r="B911" s="5">
        <v>904</v>
      </c>
      <c r="C911">
        <v>9280</v>
      </c>
      <c r="D911" t="s">
        <v>28306</v>
      </c>
      <c r="E911" t="s">
        <v>539</v>
      </c>
      <c r="F911" t="s">
        <v>20</v>
      </c>
      <c r="G911" t="s">
        <v>28307</v>
      </c>
      <c r="H911">
        <v>17.2</v>
      </c>
      <c r="I911">
        <v>0</v>
      </c>
      <c r="J911">
        <v>0</v>
      </c>
      <c r="K911">
        <v>20</v>
      </c>
      <c r="N911">
        <v>3</v>
      </c>
      <c r="O911">
        <v>3</v>
      </c>
      <c r="P911">
        <v>4</v>
      </c>
      <c r="Q911">
        <v>0</v>
      </c>
      <c r="R911">
        <v>44.2</v>
      </c>
      <c r="S911">
        <v>14</v>
      </c>
      <c r="T911">
        <v>14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14</v>
      </c>
      <c r="AB911">
        <v>0</v>
      </c>
      <c r="AC911">
        <v>0</v>
      </c>
      <c r="AD911" t="s">
        <v>130</v>
      </c>
      <c r="AH911">
        <v>58.2</v>
      </c>
    </row>
    <row r="912" spans="1:34" x14ac:dyDescent="0.3">
      <c r="A912" s="4">
        <v>1097</v>
      </c>
      <c r="B912" s="5">
        <v>905</v>
      </c>
      <c r="C912">
        <v>8073</v>
      </c>
      <c r="D912" t="s">
        <v>929</v>
      </c>
      <c r="E912" t="s">
        <v>161</v>
      </c>
      <c r="F912" t="s">
        <v>38</v>
      </c>
      <c r="G912" t="s">
        <v>28308</v>
      </c>
      <c r="H912">
        <v>19.149999999999999</v>
      </c>
      <c r="I912">
        <v>0</v>
      </c>
      <c r="J912">
        <v>0</v>
      </c>
      <c r="K912">
        <v>20</v>
      </c>
      <c r="L912">
        <v>7</v>
      </c>
      <c r="O912">
        <v>7</v>
      </c>
      <c r="P912">
        <v>4</v>
      </c>
      <c r="Q912">
        <v>0</v>
      </c>
      <c r="R912">
        <v>50.15</v>
      </c>
      <c r="S912">
        <v>8</v>
      </c>
      <c r="T912">
        <v>8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8</v>
      </c>
      <c r="AB912">
        <v>0</v>
      </c>
      <c r="AC912">
        <v>0</v>
      </c>
      <c r="AH912">
        <v>58.15</v>
      </c>
    </row>
    <row r="913" spans="1:34" x14ac:dyDescent="0.3">
      <c r="A913" s="4">
        <v>1098</v>
      </c>
      <c r="B913" s="5">
        <v>906</v>
      </c>
      <c r="C913">
        <v>15245</v>
      </c>
      <c r="D913" t="s">
        <v>26815</v>
      </c>
      <c r="E913" t="s">
        <v>560</v>
      </c>
      <c r="F913" t="s">
        <v>14</v>
      </c>
      <c r="G913" t="s">
        <v>28309</v>
      </c>
      <c r="H913">
        <v>17.05</v>
      </c>
      <c r="I913">
        <v>0</v>
      </c>
      <c r="J913">
        <v>0</v>
      </c>
      <c r="K913">
        <v>20</v>
      </c>
      <c r="L913">
        <v>7</v>
      </c>
      <c r="O913">
        <v>7</v>
      </c>
      <c r="P913">
        <v>4</v>
      </c>
      <c r="Q913">
        <v>0</v>
      </c>
      <c r="R913">
        <v>48.05</v>
      </c>
      <c r="S913">
        <v>10</v>
      </c>
      <c r="T913">
        <v>10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10</v>
      </c>
      <c r="AB913">
        <v>0</v>
      </c>
      <c r="AC913">
        <v>0</v>
      </c>
      <c r="AD913" t="s">
        <v>130</v>
      </c>
      <c r="AH913">
        <v>58.05</v>
      </c>
    </row>
    <row r="914" spans="1:34" x14ac:dyDescent="0.3">
      <c r="A914" s="4">
        <v>1099</v>
      </c>
      <c r="B914" s="5">
        <v>907</v>
      </c>
      <c r="C914">
        <v>13278</v>
      </c>
      <c r="D914" t="s">
        <v>28310</v>
      </c>
      <c r="E914" t="s">
        <v>575</v>
      </c>
      <c r="F914" t="s">
        <v>117</v>
      </c>
      <c r="G914" t="s">
        <v>28311</v>
      </c>
      <c r="H914">
        <v>16.899999999999999</v>
      </c>
      <c r="I914">
        <v>0</v>
      </c>
      <c r="J914">
        <v>0</v>
      </c>
      <c r="K914">
        <v>28</v>
      </c>
      <c r="L914">
        <v>7</v>
      </c>
      <c r="O914">
        <v>7</v>
      </c>
      <c r="P914">
        <v>4</v>
      </c>
      <c r="Q914">
        <v>2</v>
      </c>
      <c r="R914">
        <v>57.9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H914">
        <v>57.9</v>
      </c>
    </row>
    <row r="915" spans="1:34" x14ac:dyDescent="0.3">
      <c r="A915" s="4">
        <v>1100</v>
      </c>
      <c r="B915" s="5">
        <v>908</v>
      </c>
      <c r="C915">
        <v>13811</v>
      </c>
      <c r="D915" t="s">
        <v>28019</v>
      </c>
      <c r="E915" t="s">
        <v>5850</v>
      </c>
      <c r="F915" t="s">
        <v>20</v>
      </c>
      <c r="G915" t="s">
        <v>28312</v>
      </c>
      <c r="H915">
        <v>19.88</v>
      </c>
      <c r="I915">
        <v>0</v>
      </c>
      <c r="J915">
        <v>0</v>
      </c>
      <c r="K915">
        <v>0</v>
      </c>
      <c r="L915">
        <v>7</v>
      </c>
      <c r="O915">
        <v>7</v>
      </c>
      <c r="P915">
        <v>4</v>
      </c>
      <c r="Q915">
        <v>0</v>
      </c>
      <c r="R915">
        <v>30.88</v>
      </c>
      <c r="S915">
        <v>27</v>
      </c>
      <c r="T915">
        <v>27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27</v>
      </c>
      <c r="AB915">
        <v>0</v>
      </c>
      <c r="AC915">
        <v>0</v>
      </c>
      <c r="AH915">
        <v>57.88</v>
      </c>
    </row>
    <row r="916" spans="1:34" x14ac:dyDescent="0.3">
      <c r="A916" s="4">
        <v>1101</v>
      </c>
      <c r="B916" s="5">
        <v>909</v>
      </c>
      <c r="C916">
        <v>5882</v>
      </c>
      <c r="D916" t="s">
        <v>18965</v>
      </c>
      <c r="E916" t="s">
        <v>29</v>
      </c>
      <c r="F916" t="s">
        <v>343</v>
      </c>
      <c r="G916" t="s">
        <v>28313</v>
      </c>
      <c r="H916">
        <v>17.850000000000001</v>
      </c>
      <c r="I916">
        <v>0</v>
      </c>
      <c r="J916">
        <v>0</v>
      </c>
      <c r="K916">
        <v>0</v>
      </c>
      <c r="L916">
        <v>7</v>
      </c>
      <c r="O916">
        <v>7</v>
      </c>
      <c r="P916">
        <v>4</v>
      </c>
      <c r="Q916">
        <v>2</v>
      </c>
      <c r="R916">
        <v>30.85</v>
      </c>
      <c r="S916">
        <v>27</v>
      </c>
      <c r="T916">
        <v>27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27</v>
      </c>
      <c r="AB916">
        <v>0</v>
      </c>
      <c r="AC916">
        <v>0</v>
      </c>
      <c r="AH916">
        <v>57.85</v>
      </c>
    </row>
    <row r="917" spans="1:34" x14ac:dyDescent="0.3">
      <c r="A917" s="4">
        <v>1102</v>
      </c>
      <c r="B917" s="5">
        <v>910</v>
      </c>
      <c r="C917">
        <v>11773</v>
      </c>
      <c r="D917" t="s">
        <v>28314</v>
      </c>
      <c r="E917" t="s">
        <v>149</v>
      </c>
      <c r="F917" t="s">
        <v>782</v>
      </c>
      <c r="G917" t="s">
        <v>28315</v>
      </c>
      <c r="H917">
        <v>18.829999999999998</v>
      </c>
      <c r="I917">
        <v>0</v>
      </c>
      <c r="J917">
        <v>0</v>
      </c>
      <c r="K917">
        <v>0</v>
      </c>
      <c r="L917">
        <v>7</v>
      </c>
      <c r="O917">
        <v>7</v>
      </c>
      <c r="P917">
        <v>4</v>
      </c>
      <c r="Q917">
        <v>2</v>
      </c>
      <c r="R917">
        <v>31.83</v>
      </c>
      <c r="S917">
        <v>26</v>
      </c>
      <c r="T917">
        <v>26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26</v>
      </c>
      <c r="AB917">
        <v>0</v>
      </c>
      <c r="AC917">
        <v>0</v>
      </c>
      <c r="AH917">
        <v>57.83</v>
      </c>
    </row>
    <row r="918" spans="1:34" x14ac:dyDescent="0.3">
      <c r="A918" s="4">
        <v>1103</v>
      </c>
      <c r="B918" s="5">
        <v>911</v>
      </c>
      <c r="C918">
        <v>6454</v>
      </c>
      <c r="D918" t="s">
        <v>5487</v>
      </c>
      <c r="E918" t="s">
        <v>97</v>
      </c>
      <c r="F918" t="s">
        <v>328</v>
      </c>
      <c r="G918" t="s">
        <v>28316</v>
      </c>
      <c r="H918">
        <v>17.8</v>
      </c>
      <c r="I918">
        <v>7</v>
      </c>
      <c r="J918">
        <v>0</v>
      </c>
      <c r="K918">
        <v>0</v>
      </c>
      <c r="O918">
        <v>0</v>
      </c>
      <c r="P918">
        <v>4</v>
      </c>
      <c r="Q918">
        <v>0</v>
      </c>
      <c r="R918">
        <v>28.8</v>
      </c>
      <c r="S918">
        <v>17</v>
      </c>
      <c r="T918">
        <v>17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17</v>
      </c>
      <c r="AB918">
        <v>12</v>
      </c>
      <c r="AC918">
        <v>0</v>
      </c>
      <c r="AH918">
        <v>57.8</v>
      </c>
    </row>
    <row r="919" spans="1:34" x14ac:dyDescent="0.3">
      <c r="A919" s="4">
        <v>1104</v>
      </c>
      <c r="B919" s="5">
        <v>912</v>
      </c>
      <c r="C919">
        <v>13405</v>
      </c>
      <c r="D919" t="s">
        <v>8684</v>
      </c>
      <c r="E919" t="s">
        <v>166</v>
      </c>
      <c r="F919" t="s">
        <v>91</v>
      </c>
      <c r="G919" t="s">
        <v>28317</v>
      </c>
      <c r="H919">
        <v>19.8</v>
      </c>
      <c r="I919">
        <v>7</v>
      </c>
      <c r="J919">
        <v>0</v>
      </c>
      <c r="K919">
        <v>20</v>
      </c>
      <c r="L919">
        <v>7</v>
      </c>
      <c r="O919">
        <v>7</v>
      </c>
      <c r="P919">
        <v>4</v>
      </c>
      <c r="Q919">
        <v>0</v>
      </c>
      <c r="R919">
        <v>57.8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H919">
        <v>57.8</v>
      </c>
    </row>
    <row r="920" spans="1:34" x14ac:dyDescent="0.3">
      <c r="A920" s="4">
        <v>1105</v>
      </c>
      <c r="B920" s="5">
        <v>913</v>
      </c>
      <c r="C920">
        <v>640</v>
      </c>
      <c r="D920" t="s">
        <v>28318</v>
      </c>
      <c r="E920" t="s">
        <v>41</v>
      </c>
      <c r="F920" t="s">
        <v>91</v>
      </c>
      <c r="G920" t="s">
        <v>28319</v>
      </c>
      <c r="H920">
        <v>17.899999999999999</v>
      </c>
      <c r="I920">
        <v>0</v>
      </c>
      <c r="J920">
        <v>0</v>
      </c>
      <c r="K920">
        <v>0</v>
      </c>
      <c r="N920">
        <v>6</v>
      </c>
      <c r="O920">
        <v>6</v>
      </c>
      <c r="P920">
        <v>4</v>
      </c>
      <c r="Q920">
        <v>0</v>
      </c>
      <c r="R920">
        <v>27.9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3</v>
      </c>
      <c r="AC920">
        <v>26.8</v>
      </c>
      <c r="AD920" t="s">
        <v>130</v>
      </c>
      <c r="AH920">
        <v>57.7</v>
      </c>
    </row>
    <row r="921" spans="1:34" x14ac:dyDescent="0.3">
      <c r="A921" s="4">
        <v>1106</v>
      </c>
      <c r="B921" s="5">
        <v>914</v>
      </c>
      <c r="C921">
        <v>13946</v>
      </c>
      <c r="D921" t="s">
        <v>23225</v>
      </c>
      <c r="E921" t="s">
        <v>28320</v>
      </c>
      <c r="F921" t="s">
        <v>38</v>
      </c>
      <c r="G921" t="s">
        <v>28321</v>
      </c>
      <c r="H921">
        <v>15.58</v>
      </c>
      <c r="I921">
        <v>0</v>
      </c>
      <c r="J921">
        <v>0</v>
      </c>
      <c r="K921">
        <v>20</v>
      </c>
      <c r="L921">
        <v>7</v>
      </c>
      <c r="O921">
        <v>7</v>
      </c>
      <c r="P921">
        <v>4</v>
      </c>
      <c r="Q921">
        <v>2</v>
      </c>
      <c r="R921">
        <v>48.58</v>
      </c>
      <c r="S921">
        <v>6</v>
      </c>
      <c r="T921">
        <v>6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6</v>
      </c>
      <c r="AB921">
        <v>3</v>
      </c>
      <c r="AC921">
        <v>0</v>
      </c>
      <c r="AH921">
        <v>57.58</v>
      </c>
    </row>
    <row r="922" spans="1:34" x14ac:dyDescent="0.3">
      <c r="A922" s="4">
        <v>1107</v>
      </c>
      <c r="B922" s="5">
        <v>915</v>
      </c>
      <c r="C922">
        <v>1296</v>
      </c>
      <c r="D922" t="s">
        <v>1027</v>
      </c>
      <c r="E922" t="s">
        <v>149</v>
      </c>
      <c r="F922" t="s">
        <v>20</v>
      </c>
      <c r="G922" t="s">
        <v>28322</v>
      </c>
      <c r="H922">
        <v>18.5</v>
      </c>
      <c r="I922">
        <v>0</v>
      </c>
      <c r="J922">
        <v>0</v>
      </c>
      <c r="K922">
        <v>20</v>
      </c>
      <c r="L922">
        <v>7</v>
      </c>
      <c r="O922">
        <v>7</v>
      </c>
      <c r="P922">
        <v>4</v>
      </c>
      <c r="Q922">
        <v>2</v>
      </c>
      <c r="R922">
        <v>51.5</v>
      </c>
      <c r="S922">
        <v>6</v>
      </c>
      <c r="T922">
        <v>6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6</v>
      </c>
      <c r="AB922">
        <v>0</v>
      </c>
      <c r="AC922">
        <v>0</v>
      </c>
      <c r="AH922">
        <v>57.5</v>
      </c>
    </row>
    <row r="923" spans="1:34" x14ac:dyDescent="0.3">
      <c r="A923" s="4">
        <v>1108</v>
      </c>
      <c r="B923" s="5">
        <v>916</v>
      </c>
      <c r="C923">
        <v>14912</v>
      </c>
      <c r="D923" t="s">
        <v>28323</v>
      </c>
      <c r="E923" t="s">
        <v>161</v>
      </c>
      <c r="F923" t="s">
        <v>136</v>
      </c>
      <c r="G923" t="s">
        <v>28324</v>
      </c>
      <c r="H923">
        <v>17.25</v>
      </c>
      <c r="I923">
        <v>0</v>
      </c>
      <c r="J923">
        <v>0</v>
      </c>
      <c r="K923">
        <v>20</v>
      </c>
      <c r="L923">
        <v>7</v>
      </c>
      <c r="O923">
        <v>7</v>
      </c>
      <c r="P923">
        <v>4</v>
      </c>
      <c r="Q923">
        <v>0</v>
      </c>
      <c r="R923">
        <v>48.25</v>
      </c>
      <c r="S923">
        <v>9</v>
      </c>
      <c r="T923">
        <v>9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9</v>
      </c>
      <c r="AB923">
        <v>0</v>
      </c>
      <c r="AC923">
        <v>0</v>
      </c>
      <c r="AH923">
        <v>57.25</v>
      </c>
    </row>
    <row r="924" spans="1:34" x14ac:dyDescent="0.3">
      <c r="A924" s="4">
        <v>1109</v>
      </c>
      <c r="B924" s="5">
        <v>917</v>
      </c>
      <c r="C924">
        <v>12975</v>
      </c>
      <c r="D924" t="s">
        <v>2484</v>
      </c>
      <c r="E924" t="s">
        <v>289</v>
      </c>
      <c r="F924" t="s">
        <v>158</v>
      </c>
      <c r="G924" t="s">
        <v>28325</v>
      </c>
      <c r="H924">
        <v>19.149999999999999</v>
      </c>
      <c r="I924">
        <v>0</v>
      </c>
      <c r="J924">
        <v>0</v>
      </c>
      <c r="K924">
        <v>20</v>
      </c>
      <c r="N924">
        <v>6</v>
      </c>
      <c r="O924">
        <v>6</v>
      </c>
      <c r="P924">
        <v>4</v>
      </c>
      <c r="Q924">
        <v>2</v>
      </c>
      <c r="R924">
        <v>51.15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6</v>
      </c>
      <c r="AC924">
        <v>0</v>
      </c>
      <c r="AH924">
        <v>57.15</v>
      </c>
    </row>
    <row r="925" spans="1:34" x14ac:dyDescent="0.3">
      <c r="A925" s="4">
        <v>1110</v>
      </c>
      <c r="B925" s="5">
        <v>918</v>
      </c>
      <c r="C925">
        <v>1694</v>
      </c>
      <c r="D925" t="s">
        <v>28326</v>
      </c>
      <c r="E925" t="s">
        <v>173</v>
      </c>
      <c r="F925" t="s">
        <v>243</v>
      </c>
      <c r="G925" t="s">
        <v>28327</v>
      </c>
      <c r="H925">
        <v>18.03</v>
      </c>
      <c r="I925">
        <v>0</v>
      </c>
      <c r="J925">
        <v>0</v>
      </c>
      <c r="K925">
        <v>20</v>
      </c>
      <c r="L925">
        <v>7</v>
      </c>
      <c r="O925">
        <v>7</v>
      </c>
      <c r="P925">
        <v>4</v>
      </c>
      <c r="Q925">
        <v>2</v>
      </c>
      <c r="R925">
        <v>51.03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6</v>
      </c>
      <c r="AC925">
        <v>0</v>
      </c>
      <c r="AD925" t="s">
        <v>130</v>
      </c>
      <c r="AE925" t="s">
        <v>130</v>
      </c>
      <c r="AH925">
        <v>57.03</v>
      </c>
    </row>
    <row r="926" spans="1:34" x14ac:dyDescent="0.3">
      <c r="A926" s="4">
        <v>1111</v>
      </c>
      <c r="B926" s="5">
        <v>919</v>
      </c>
      <c r="C926">
        <v>1042</v>
      </c>
      <c r="D926" t="s">
        <v>569</v>
      </c>
      <c r="E926" t="s">
        <v>110</v>
      </c>
      <c r="F926" t="s">
        <v>193</v>
      </c>
      <c r="G926" t="s">
        <v>28328</v>
      </c>
      <c r="H926">
        <v>18</v>
      </c>
      <c r="I926">
        <v>0</v>
      </c>
      <c r="J926">
        <v>0</v>
      </c>
      <c r="K926">
        <v>0</v>
      </c>
      <c r="N926">
        <v>3</v>
      </c>
      <c r="O926">
        <v>3</v>
      </c>
      <c r="P926">
        <v>4</v>
      </c>
      <c r="Q926">
        <v>0</v>
      </c>
      <c r="R926">
        <v>25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32</v>
      </c>
      <c r="AH926">
        <v>57</v>
      </c>
    </row>
    <row r="927" spans="1:34" x14ac:dyDescent="0.3">
      <c r="A927" s="4">
        <v>1112</v>
      </c>
      <c r="B927" s="5">
        <v>920</v>
      </c>
      <c r="C927">
        <v>1340</v>
      </c>
      <c r="D927" t="s">
        <v>28329</v>
      </c>
      <c r="E927" t="s">
        <v>213</v>
      </c>
      <c r="F927" t="s">
        <v>81</v>
      </c>
      <c r="G927" t="s">
        <v>28330</v>
      </c>
      <c r="H927">
        <v>17.95</v>
      </c>
      <c r="I927">
        <v>0</v>
      </c>
      <c r="J927">
        <v>0</v>
      </c>
      <c r="K927">
        <v>20</v>
      </c>
      <c r="M927">
        <v>5</v>
      </c>
      <c r="N927">
        <v>3</v>
      </c>
      <c r="O927">
        <v>8</v>
      </c>
      <c r="P927">
        <v>4</v>
      </c>
      <c r="Q927">
        <v>2</v>
      </c>
      <c r="R927">
        <v>51.95</v>
      </c>
      <c r="S927">
        <v>2</v>
      </c>
      <c r="T927">
        <v>2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2</v>
      </c>
      <c r="AB927">
        <v>3</v>
      </c>
      <c r="AC927">
        <v>0</v>
      </c>
      <c r="AH927">
        <v>56.95</v>
      </c>
    </row>
    <row r="928" spans="1:34" x14ac:dyDescent="0.3">
      <c r="A928" s="4">
        <v>1113</v>
      </c>
      <c r="B928" s="5">
        <v>921</v>
      </c>
      <c r="C928">
        <v>10544</v>
      </c>
      <c r="D928" t="s">
        <v>23548</v>
      </c>
      <c r="E928" t="s">
        <v>9010</v>
      </c>
      <c r="F928" t="s">
        <v>68</v>
      </c>
      <c r="G928" t="s">
        <v>28331</v>
      </c>
      <c r="H928">
        <v>18.78</v>
      </c>
      <c r="I928">
        <v>0</v>
      </c>
      <c r="J928">
        <v>0</v>
      </c>
      <c r="K928">
        <v>0</v>
      </c>
      <c r="L928">
        <v>7</v>
      </c>
      <c r="O928">
        <v>7</v>
      </c>
      <c r="P928">
        <v>4</v>
      </c>
      <c r="Q928">
        <v>2</v>
      </c>
      <c r="R928">
        <v>31.78</v>
      </c>
      <c r="S928">
        <v>25</v>
      </c>
      <c r="T928">
        <v>25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25</v>
      </c>
      <c r="AB928">
        <v>0</v>
      </c>
      <c r="AC928">
        <v>0</v>
      </c>
      <c r="AH928">
        <v>56.78</v>
      </c>
    </row>
    <row r="929" spans="1:34" x14ac:dyDescent="0.3">
      <c r="A929" s="4">
        <v>1114</v>
      </c>
      <c r="B929" s="5">
        <v>922</v>
      </c>
      <c r="C929">
        <v>14767</v>
      </c>
      <c r="D929" t="s">
        <v>28332</v>
      </c>
      <c r="E929" t="s">
        <v>372</v>
      </c>
      <c r="F929" t="s">
        <v>17</v>
      </c>
      <c r="G929" t="s">
        <v>28333</v>
      </c>
      <c r="H929">
        <v>20.68</v>
      </c>
      <c r="I929">
        <v>0</v>
      </c>
      <c r="J929">
        <v>0</v>
      </c>
      <c r="K929">
        <v>20</v>
      </c>
      <c r="L929">
        <v>7</v>
      </c>
      <c r="O929">
        <v>7</v>
      </c>
      <c r="P929">
        <v>4</v>
      </c>
      <c r="Q929">
        <v>2</v>
      </c>
      <c r="R929">
        <v>53.68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3</v>
      </c>
      <c r="AC929">
        <v>0</v>
      </c>
      <c r="AH929">
        <v>56.68</v>
      </c>
    </row>
    <row r="930" spans="1:34" x14ac:dyDescent="0.3">
      <c r="A930" s="4">
        <v>1115</v>
      </c>
      <c r="B930" s="5">
        <v>923</v>
      </c>
      <c r="C930">
        <v>6734</v>
      </c>
      <c r="D930" t="s">
        <v>28334</v>
      </c>
      <c r="E930" t="s">
        <v>744</v>
      </c>
      <c r="F930" t="s">
        <v>117</v>
      </c>
      <c r="G930" t="s">
        <v>28335</v>
      </c>
      <c r="H930">
        <v>17.600000000000001</v>
      </c>
      <c r="I930">
        <v>0</v>
      </c>
      <c r="J930">
        <v>0</v>
      </c>
      <c r="K930">
        <v>0</v>
      </c>
      <c r="L930">
        <v>7</v>
      </c>
      <c r="O930">
        <v>7</v>
      </c>
      <c r="P930">
        <v>4</v>
      </c>
      <c r="Q930">
        <v>0</v>
      </c>
      <c r="R930">
        <v>28.6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6</v>
      </c>
      <c r="AC930">
        <v>22</v>
      </c>
      <c r="AH930">
        <v>56.6</v>
      </c>
    </row>
    <row r="931" spans="1:34" x14ac:dyDescent="0.3">
      <c r="A931" s="4">
        <v>1116</v>
      </c>
      <c r="B931" s="5">
        <v>924</v>
      </c>
      <c r="C931">
        <v>4448</v>
      </c>
      <c r="D931" t="s">
        <v>3377</v>
      </c>
      <c r="E931" t="s">
        <v>26287</v>
      </c>
      <c r="F931" t="s">
        <v>11431</v>
      </c>
      <c r="G931" t="s">
        <v>28336</v>
      </c>
      <c r="H931">
        <v>18.48</v>
      </c>
      <c r="I931">
        <v>0</v>
      </c>
      <c r="J931">
        <v>0</v>
      </c>
      <c r="K931">
        <v>20</v>
      </c>
      <c r="L931">
        <v>14</v>
      </c>
      <c r="O931">
        <v>14</v>
      </c>
      <c r="P931">
        <v>4</v>
      </c>
      <c r="Q931">
        <v>0</v>
      </c>
      <c r="R931">
        <v>56.48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H931">
        <v>56.48</v>
      </c>
    </row>
    <row r="932" spans="1:34" x14ac:dyDescent="0.3">
      <c r="A932" s="4">
        <v>1117</v>
      </c>
      <c r="B932" s="5">
        <v>925</v>
      </c>
      <c r="C932">
        <v>14188</v>
      </c>
      <c r="D932" t="s">
        <v>28337</v>
      </c>
      <c r="E932" t="s">
        <v>265</v>
      </c>
      <c r="F932" t="s">
        <v>20</v>
      </c>
      <c r="G932" t="s">
        <v>28338</v>
      </c>
      <c r="H932">
        <v>15.43</v>
      </c>
      <c r="I932">
        <v>0</v>
      </c>
      <c r="J932">
        <v>0</v>
      </c>
      <c r="K932">
        <v>0</v>
      </c>
      <c r="O932">
        <v>0</v>
      </c>
      <c r="P932">
        <v>4</v>
      </c>
      <c r="Q932">
        <v>0</v>
      </c>
      <c r="R932">
        <v>19.43</v>
      </c>
      <c r="S932">
        <v>37</v>
      </c>
      <c r="T932">
        <v>37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37</v>
      </c>
      <c r="AB932">
        <v>0</v>
      </c>
      <c r="AC932">
        <v>0</v>
      </c>
      <c r="AH932">
        <v>56.43</v>
      </c>
    </row>
    <row r="933" spans="1:34" x14ac:dyDescent="0.3">
      <c r="A933" s="4">
        <v>1118</v>
      </c>
      <c r="B933" s="5">
        <v>926</v>
      </c>
      <c r="C933">
        <v>11647</v>
      </c>
      <c r="D933" t="s">
        <v>17340</v>
      </c>
      <c r="E933" t="s">
        <v>166</v>
      </c>
      <c r="F933" t="s">
        <v>17</v>
      </c>
      <c r="G933" t="s">
        <v>28339</v>
      </c>
      <c r="H933">
        <v>16.13</v>
      </c>
      <c r="I933">
        <v>0</v>
      </c>
      <c r="J933">
        <v>0</v>
      </c>
      <c r="K933">
        <v>20</v>
      </c>
      <c r="L933">
        <v>7</v>
      </c>
      <c r="O933">
        <v>7</v>
      </c>
      <c r="P933">
        <v>4</v>
      </c>
      <c r="Q933">
        <v>0</v>
      </c>
      <c r="R933">
        <v>47.13</v>
      </c>
      <c r="S933">
        <v>3</v>
      </c>
      <c r="T933">
        <v>3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3</v>
      </c>
      <c r="AB933">
        <v>6</v>
      </c>
      <c r="AC933">
        <v>0</v>
      </c>
      <c r="AH933">
        <v>56.13</v>
      </c>
    </row>
    <row r="934" spans="1:34" x14ac:dyDescent="0.3">
      <c r="A934" s="4">
        <v>1119</v>
      </c>
      <c r="B934" s="5">
        <v>927</v>
      </c>
      <c r="C934">
        <v>3884</v>
      </c>
      <c r="D934" t="s">
        <v>673</v>
      </c>
      <c r="E934" t="s">
        <v>471</v>
      </c>
      <c r="F934" t="s">
        <v>68</v>
      </c>
      <c r="G934" t="s">
        <v>28340</v>
      </c>
      <c r="H934">
        <v>19</v>
      </c>
      <c r="I934">
        <v>0</v>
      </c>
      <c r="J934">
        <v>0</v>
      </c>
      <c r="K934">
        <v>20</v>
      </c>
      <c r="L934">
        <v>7</v>
      </c>
      <c r="O934">
        <v>7</v>
      </c>
      <c r="P934">
        <v>4</v>
      </c>
      <c r="Q934">
        <v>0</v>
      </c>
      <c r="R934">
        <v>50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6</v>
      </c>
      <c r="AC934">
        <v>0</v>
      </c>
      <c r="AH934">
        <v>56</v>
      </c>
    </row>
    <row r="935" spans="1:34" x14ac:dyDescent="0.3">
      <c r="A935" s="4">
        <v>1120</v>
      </c>
      <c r="B935" s="5">
        <v>928</v>
      </c>
      <c r="C935">
        <v>1112</v>
      </c>
      <c r="D935" t="s">
        <v>28341</v>
      </c>
      <c r="E935" t="s">
        <v>104</v>
      </c>
      <c r="F935" t="s">
        <v>652</v>
      </c>
      <c r="G935" t="s">
        <v>28342</v>
      </c>
      <c r="H935">
        <v>22</v>
      </c>
      <c r="I935">
        <v>0</v>
      </c>
      <c r="J935">
        <v>0</v>
      </c>
      <c r="K935">
        <v>20</v>
      </c>
      <c r="L935">
        <v>7</v>
      </c>
      <c r="N935">
        <v>3</v>
      </c>
      <c r="O935">
        <v>10</v>
      </c>
      <c r="P935">
        <v>4</v>
      </c>
      <c r="Q935">
        <v>0</v>
      </c>
      <c r="R935">
        <v>56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H935">
        <v>56</v>
      </c>
    </row>
    <row r="936" spans="1:34" x14ac:dyDescent="0.3">
      <c r="A936" s="4">
        <v>1121</v>
      </c>
      <c r="B936" s="5">
        <v>929</v>
      </c>
      <c r="C936">
        <v>12545</v>
      </c>
      <c r="D936" t="s">
        <v>2647</v>
      </c>
      <c r="E936" t="s">
        <v>403</v>
      </c>
      <c r="F936" t="s">
        <v>81</v>
      </c>
      <c r="G936" t="s">
        <v>28343</v>
      </c>
      <c r="H936">
        <v>16.68</v>
      </c>
      <c r="I936">
        <v>0</v>
      </c>
      <c r="J936">
        <v>0</v>
      </c>
      <c r="K936">
        <v>20</v>
      </c>
      <c r="L936">
        <v>7</v>
      </c>
      <c r="O936">
        <v>7</v>
      </c>
      <c r="P936">
        <v>4</v>
      </c>
      <c r="Q936">
        <v>2</v>
      </c>
      <c r="R936">
        <v>49.68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6</v>
      </c>
      <c r="AC936">
        <v>0</v>
      </c>
      <c r="AH936">
        <v>55.68</v>
      </c>
    </row>
    <row r="937" spans="1:34" x14ac:dyDescent="0.3">
      <c r="A937" s="4">
        <v>1122</v>
      </c>
      <c r="B937" s="5">
        <v>930</v>
      </c>
      <c r="C937">
        <v>15035</v>
      </c>
      <c r="D937" t="s">
        <v>28344</v>
      </c>
      <c r="E937" t="s">
        <v>22</v>
      </c>
      <c r="F937" t="s">
        <v>10326</v>
      </c>
      <c r="G937" t="s">
        <v>28345</v>
      </c>
      <c r="H937">
        <v>18.63</v>
      </c>
      <c r="I937">
        <v>0</v>
      </c>
      <c r="J937">
        <v>0</v>
      </c>
      <c r="K937">
        <v>20</v>
      </c>
      <c r="L937">
        <v>7</v>
      </c>
      <c r="O937">
        <v>7</v>
      </c>
      <c r="P937">
        <v>4</v>
      </c>
      <c r="Q937">
        <v>0</v>
      </c>
      <c r="R937">
        <v>49.63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6</v>
      </c>
      <c r="AC937">
        <v>0</v>
      </c>
      <c r="AH937">
        <v>55.63</v>
      </c>
    </row>
    <row r="938" spans="1:34" x14ac:dyDescent="0.3">
      <c r="A938" s="4">
        <v>1123</v>
      </c>
      <c r="B938" s="5">
        <v>931</v>
      </c>
      <c r="C938">
        <v>13389</v>
      </c>
      <c r="D938" t="s">
        <v>28346</v>
      </c>
      <c r="E938" t="s">
        <v>28347</v>
      </c>
      <c r="F938" t="s">
        <v>28348</v>
      </c>
      <c r="G938" t="s">
        <v>28349</v>
      </c>
      <c r="H938">
        <v>22.55</v>
      </c>
      <c r="I938">
        <v>0</v>
      </c>
      <c r="J938">
        <v>0</v>
      </c>
      <c r="K938">
        <v>20</v>
      </c>
      <c r="L938">
        <v>7</v>
      </c>
      <c r="O938">
        <v>7</v>
      </c>
      <c r="P938">
        <v>4</v>
      </c>
      <c r="Q938">
        <v>2</v>
      </c>
      <c r="R938">
        <v>55.55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H938">
        <v>55.55</v>
      </c>
    </row>
    <row r="939" spans="1:34" x14ac:dyDescent="0.3">
      <c r="A939" s="4">
        <v>1124</v>
      </c>
      <c r="B939" s="5">
        <v>932</v>
      </c>
      <c r="C939">
        <v>2021</v>
      </c>
      <c r="D939" t="s">
        <v>2312</v>
      </c>
      <c r="E939" t="s">
        <v>6983</v>
      </c>
      <c r="F939" t="s">
        <v>17</v>
      </c>
      <c r="G939" t="s">
        <v>28350</v>
      </c>
      <c r="H939">
        <v>19.55</v>
      </c>
      <c r="I939">
        <v>0</v>
      </c>
      <c r="J939">
        <v>0</v>
      </c>
      <c r="K939">
        <v>20</v>
      </c>
      <c r="L939">
        <v>7</v>
      </c>
      <c r="N939">
        <v>3</v>
      </c>
      <c r="O939">
        <v>10</v>
      </c>
      <c r="P939">
        <v>4</v>
      </c>
      <c r="Q939">
        <v>2</v>
      </c>
      <c r="R939">
        <v>55.55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H939">
        <v>55.55</v>
      </c>
    </row>
    <row r="940" spans="1:34" x14ac:dyDescent="0.3">
      <c r="A940" s="4">
        <v>1125</v>
      </c>
      <c r="B940" s="5">
        <v>933</v>
      </c>
      <c r="C940">
        <v>7355</v>
      </c>
      <c r="D940" t="s">
        <v>3849</v>
      </c>
      <c r="E940" t="s">
        <v>126</v>
      </c>
      <c r="F940" t="s">
        <v>20</v>
      </c>
      <c r="G940" t="s">
        <v>28351</v>
      </c>
      <c r="H940">
        <v>16.55</v>
      </c>
      <c r="I940">
        <v>0</v>
      </c>
      <c r="J940">
        <v>0</v>
      </c>
      <c r="K940">
        <v>0</v>
      </c>
      <c r="N940">
        <v>3</v>
      </c>
      <c r="O940">
        <v>3</v>
      </c>
      <c r="P940">
        <v>4</v>
      </c>
      <c r="Q940">
        <v>0</v>
      </c>
      <c r="R940">
        <v>23.55</v>
      </c>
      <c r="S940">
        <v>32</v>
      </c>
      <c r="T940">
        <v>32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32</v>
      </c>
      <c r="AB940">
        <v>0</v>
      </c>
      <c r="AC940">
        <v>0</v>
      </c>
      <c r="AH940">
        <v>55.55</v>
      </c>
    </row>
    <row r="941" spans="1:34" x14ac:dyDescent="0.3">
      <c r="A941" s="4">
        <v>1126</v>
      </c>
      <c r="B941" s="5">
        <v>934</v>
      </c>
      <c r="C941">
        <v>12833</v>
      </c>
      <c r="D941" t="s">
        <v>28352</v>
      </c>
      <c r="E941" t="s">
        <v>338</v>
      </c>
      <c r="F941" t="s">
        <v>539</v>
      </c>
      <c r="G941" t="s">
        <v>28353</v>
      </c>
      <c r="H941">
        <v>22.28</v>
      </c>
      <c r="I941">
        <v>0</v>
      </c>
      <c r="J941">
        <v>0</v>
      </c>
      <c r="K941">
        <v>20</v>
      </c>
      <c r="N941">
        <v>3</v>
      </c>
      <c r="O941">
        <v>3</v>
      </c>
      <c r="P941">
        <v>4</v>
      </c>
      <c r="Q941">
        <v>0</v>
      </c>
      <c r="R941">
        <v>49.28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6</v>
      </c>
      <c r="AC941">
        <v>0</v>
      </c>
      <c r="AH941">
        <v>55.28</v>
      </c>
    </row>
    <row r="942" spans="1:34" x14ac:dyDescent="0.3">
      <c r="A942" s="4">
        <v>1127</v>
      </c>
      <c r="B942" s="5">
        <v>935</v>
      </c>
      <c r="C942">
        <v>12143</v>
      </c>
      <c r="D942" t="s">
        <v>2342</v>
      </c>
      <c r="E942" t="s">
        <v>100</v>
      </c>
      <c r="F942" t="s">
        <v>81</v>
      </c>
      <c r="G942" t="s">
        <v>28354</v>
      </c>
      <c r="H942">
        <v>18.399999999999999</v>
      </c>
      <c r="I942">
        <v>0</v>
      </c>
      <c r="J942">
        <v>0</v>
      </c>
      <c r="K942">
        <v>0</v>
      </c>
      <c r="N942">
        <v>3</v>
      </c>
      <c r="O942">
        <v>3</v>
      </c>
      <c r="P942">
        <v>4</v>
      </c>
      <c r="Q942">
        <v>0</v>
      </c>
      <c r="R942">
        <v>25.4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3</v>
      </c>
      <c r="AC942">
        <v>26.8</v>
      </c>
      <c r="AH942">
        <v>55.2</v>
      </c>
    </row>
    <row r="943" spans="1:34" x14ac:dyDescent="0.3">
      <c r="A943" s="4">
        <v>1128</v>
      </c>
      <c r="B943" s="5">
        <v>936</v>
      </c>
      <c r="C943">
        <v>6130</v>
      </c>
      <c r="D943" t="s">
        <v>28355</v>
      </c>
      <c r="E943" t="s">
        <v>29</v>
      </c>
      <c r="F943" t="s">
        <v>34</v>
      </c>
      <c r="G943" t="s">
        <v>28356</v>
      </c>
      <c r="H943">
        <v>21.2</v>
      </c>
      <c r="I943">
        <v>0</v>
      </c>
      <c r="J943">
        <v>0</v>
      </c>
      <c r="K943">
        <v>0</v>
      </c>
      <c r="N943">
        <v>3</v>
      </c>
      <c r="O943">
        <v>3</v>
      </c>
      <c r="P943">
        <v>4</v>
      </c>
      <c r="Q943">
        <v>0</v>
      </c>
      <c r="R943">
        <v>28.2</v>
      </c>
      <c r="S943">
        <v>27</v>
      </c>
      <c r="T943">
        <v>27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27</v>
      </c>
      <c r="AB943">
        <v>0</v>
      </c>
      <c r="AC943">
        <v>0</v>
      </c>
      <c r="AD943" t="s">
        <v>130</v>
      </c>
      <c r="AE943" t="s">
        <v>130</v>
      </c>
      <c r="AH943">
        <v>55.2</v>
      </c>
    </row>
    <row r="944" spans="1:34" x14ac:dyDescent="0.3">
      <c r="A944" s="4">
        <v>1129</v>
      </c>
      <c r="B944" s="5">
        <v>937</v>
      </c>
      <c r="C944">
        <v>5283</v>
      </c>
      <c r="D944" t="s">
        <v>28357</v>
      </c>
      <c r="E944" t="s">
        <v>19</v>
      </c>
      <c r="F944" t="s">
        <v>1526</v>
      </c>
      <c r="G944" t="s">
        <v>28358</v>
      </c>
      <c r="H944">
        <v>18.18</v>
      </c>
      <c r="I944">
        <v>0</v>
      </c>
      <c r="J944">
        <v>0</v>
      </c>
      <c r="K944">
        <v>20</v>
      </c>
      <c r="L944">
        <v>7</v>
      </c>
      <c r="O944">
        <v>7</v>
      </c>
      <c r="P944">
        <v>4</v>
      </c>
      <c r="Q944">
        <v>0</v>
      </c>
      <c r="R944">
        <v>49.18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6</v>
      </c>
      <c r="AC944">
        <v>0</v>
      </c>
      <c r="AD944" t="s">
        <v>130</v>
      </c>
      <c r="AH944">
        <v>55.18</v>
      </c>
    </row>
    <row r="945" spans="1:34" x14ac:dyDescent="0.3">
      <c r="A945" s="4">
        <v>1130</v>
      </c>
      <c r="B945" s="5">
        <v>938</v>
      </c>
      <c r="C945">
        <v>11856</v>
      </c>
      <c r="D945" t="s">
        <v>3377</v>
      </c>
      <c r="E945" t="s">
        <v>149</v>
      </c>
      <c r="F945" t="s">
        <v>38</v>
      </c>
      <c r="G945" t="s">
        <v>28359</v>
      </c>
      <c r="H945">
        <v>16.149999999999999</v>
      </c>
      <c r="I945">
        <v>0</v>
      </c>
      <c r="J945">
        <v>0</v>
      </c>
      <c r="K945">
        <v>0</v>
      </c>
      <c r="L945">
        <v>7</v>
      </c>
      <c r="O945">
        <v>7</v>
      </c>
      <c r="P945">
        <v>4</v>
      </c>
      <c r="Q945">
        <v>2</v>
      </c>
      <c r="R945">
        <v>29.15</v>
      </c>
      <c r="S945">
        <v>26</v>
      </c>
      <c r="T945">
        <v>26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26</v>
      </c>
      <c r="AB945">
        <v>0</v>
      </c>
      <c r="AC945">
        <v>0</v>
      </c>
      <c r="AD945" t="s">
        <v>130</v>
      </c>
      <c r="AH945">
        <v>55.15</v>
      </c>
    </row>
    <row r="946" spans="1:34" x14ac:dyDescent="0.3">
      <c r="A946" s="4">
        <v>1131</v>
      </c>
      <c r="B946" s="5">
        <v>939</v>
      </c>
      <c r="C946">
        <v>12222</v>
      </c>
      <c r="D946" t="s">
        <v>28360</v>
      </c>
      <c r="E946" t="s">
        <v>6578</v>
      </c>
      <c r="F946" t="s">
        <v>117</v>
      </c>
      <c r="G946" t="s">
        <v>28361</v>
      </c>
      <c r="H946">
        <v>18.329999999999998</v>
      </c>
      <c r="I946">
        <v>0</v>
      </c>
      <c r="J946">
        <v>0</v>
      </c>
      <c r="K946">
        <v>0</v>
      </c>
      <c r="N946">
        <v>3</v>
      </c>
      <c r="O946">
        <v>3</v>
      </c>
      <c r="P946">
        <v>4</v>
      </c>
      <c r="Q946">
        <v>0</v>
      </c>
      <c r="R946">
        <v>25.33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3</v>
      </c>
      <c r="AC946">
        <v>26.8</v>
      </c>
      <c r="AH946">
        <v>55.13</v>
      </c>
    </row>
    <row r="947" spans="1:34" x14ac:dyDescent="0.3">
      <c r="A947" s="4">
        <v>1132</v>
      </c>
      <c r="B947" s="5">
        <v>940</v>
      </c>
      <c r="C947">
        <v>15520</v>
      </c>
      <c r="D947" t="s">
        <v>5911</v>
      </c>
      <c r="E947" t="s">
        <v>12811</v>
      </c>
      <c r="F947" t="s">
        <v>91</v>
      </c>
      <c r="G947" t="s">
        <v>28362</v>
      </c>
      <c r="H947">
        <v>18.100000000000001</v>
      </c>
      <c r="I947">
        <v>0</v>
      </c>
      <c r="J947">
        <v>0</v>
      </c>
      <c r="K947">
        <v>0</v>
      </c>
      <c r="N947">
        <v>3</v>
      </c>
      <c r="O947">
        <v>3</v>
      </c>
      <c r="P947">
        <v>4</v>
      </c>
      <c r="Q947">
        <v>0</v>
      </c>
      <c r="R947">
        <v>25.1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3</v>
      </c>
      <c r="AC947">
        <v>26.8</v>
      </c>
      <c r="AD947" t="s">
        <v>130</v>
      </c>
      <c r="AH947">
        <v>54.9</v>
      </c>
    </row>
    <row r="948" spans="1:34" x14ac:dyDescent="0.3">
      <c r="A948" s="4">
        <v>1133</v>
      </c>
      <c r="B948" s="5">
        <v>941</v>
      </c>
      <c r="C948">
        <v>7127</v>
      </c>
      <c r="D948" t="s">
        <v>28363</v>
      </c>
      <c r="E948" t="s">
        <v>41</v>
      </c>
      <c r="F948" t="s">
        <v>55</v>
      </c>
      <c r="G948" t="s">
        <v>28364</v>
      </c>
      <c r="H948">
        <v>17.7</v>
      </c>
      <c r="I948">
        <v>0</v>
      </c>
      <c r="J948">
        <v>0</v>
      </c>
      <c r="K948">
        <v>20</v>
      </c>
      <c r="L948">
        <v>7</v>
      </c>
      <c r="O948">
        <v>7</v>
      </c>
      <c r="P948">
        <v>4</v>
      </c>
      <c r="Q948">
        <v>0</v>
      </c>
      <c r="R948">
        <v>48.7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6</v>
      </c>
      <c r="AC948">
        <v>0</v>
      </c>
      <c r="AH948">
        <v>54.7</v>
      </c>
    </row>
    <row r="949" spans="1:34" x14ac:dyDescent="0.3">
      <c r="A949" s="4">
        <v>1134</v>
      </c>
      <c r="B949" s="5">
        <v>942</v>
      </c>
      <c r="C949">
        <v>7941</v>
      </c>
      <c r="D949" t="s">
        <v>5328</v>
      </c>
      <c r="E949" t="s">
        <v>132</v>
      </c>
      <c r="F949" t="s">
        <v>124</v>
      </c>
      <c r="G949" t="s">
        <v>28365</v>
      </c>
      <c r="H949">
        <v>16.579999999999998</v>
      </c>
      <c r="I949">
        <v>0</v>
      </c>
      <c r="J949">
        <v>0</v>
      </c>
      <c r="K949">
        <v>0</v>
      </c>
      <c r="L949">
        <v>7</v>
      </c>
      <c r="O949">
        <v>7</v>
      </c>
      <c r="P949">
        <v>4</v>
      </c>
      <c r="Q949">
        <v>0</v>
      </c>
      <c r="R949">
        <v>27.58</v>
      </c>
      <c r="S949">
        <v>27</v>
      </c>
      <c r="T949">
        <v>27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27</v>
      </c>
      <c r="AB949">
        <v>0</v>
      </c>
      <c r="AC949">
        <v>0</v>
      </c>
      <c r="AH949">
        <v>54.58</v>
      </c>
    </row>
    <row r="950" spans="1:34" x14ac:dyDescent="0.3">
      <c r="A950" s="4">
        <v>1135</v>
      </c>
      <c r="B950" s="5">
        <v>943</v>
      </c>
      <c r="C950">
        <v>1609</v>
      </c>
      <c r="D950" t="s">
        <v>28366</v>
      </c>
      <c r="E950" t="s">
        <v>55</v>
      </c>
      <c r="F950" t="s">
        <v>38</v>
      </c>
      <c r="G950" t="s">
        <v>28367</v>
      </c>
      <c r="H950">
        <v>19.48</v>
      </c>
      <c r="I950">
        <v>0</v>
      </c>
      <c r="J950">
        <v>0</v>
      </c>
      <c r="K950">
        <v>28</v>
      </c>
      <c r="N950">
        <v>3</v>
      </c>
      <c r="O950">
        <v>3</v>
      </c>
      <c r="P950">
        <v>4</v>
      </c>
      <c r="Q950">
        <v>0</v>
      </c>
      <c r="R950">
        <v>54.48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H950">
        <v>54.48</v>
      </c>
    </row>
    <row r="951" spans="1:34" x14ac:dyDescent="0.3">
      <c r="A951" s="4">
        <v>1136</v>
      </c>
      <c r="B951" s="5">
        <v>944</v>
      </c>
      <c r="C951">
        <v>5137</v>
      </c>
      <c r="D951" t="s">
        <v>28368</v>
      </c>
      <c r="E951" t="s">
        <v>268</v>
      </c>
      <c r="F951" t="s">
        <v>20</v>
      </c>
      <c r="G951" t="s">
        <v>28369</v>
      </c>
      <c r="H951">
        <v>17.649999999999999</v>
      </c>
      <c r="I951">
        <v>0</v>
      </c>
      <c r="J951">
        <v>0</v>
      </c>
      <c r="K951">
        <v>0</v>
      </c>
      <c r="O951">
        <v>0</v>
      </c>
      <c r="P951">
        <v>4</v>
      </c>
      <c r="Q951">
        <v>0</v>
      </c>
      <c r="R951">
        <v>21.65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6</v>
      </c>
      <c r="AC951">
        <v>26.8</v>
      </c>
      <c r="AH951">
        <v>54.45</v>
      </c>
    </row>
    <row r="952" spans="1:34" x14ac:dyDescent="0.3">
      <c r="A952" s="4">
        <v>1137</v>
      </c>
      <c r="B952" s="5">
        <v>945</v>
      </c>
      <c r="C952">
        <v>963</v>
      </c>
      <c r="D952" t="s">
        <v>28370</v>
      </c>
      <c r="E952" t="s">
        <v>11316</v>
      </c>
      <c r="F952" t="s">
        <v>17</v>
      </c>
      <c r="G952" t="s">
        <v>28371</v>
      </c>
      <c r="H952">
        <v>16.45</v>
      </c>
      <c r="I952">
        <v>0</v>
      </c>
      <c r="J952">
        <v>0</v>
      </c>
      <c r="K952">
        <v>0</v>
      </c>
      <c r="N952">
        <v>3</v>
      </c>
      <c r="O952">
        <v>3</v>
      </c>
      <c r="P952">
        <v>4</v>
      </c>
      <c r="Q952">
        <v>2</v>
      </c>
      <c r="R952">
        <v>25.45</v>
      </c>
      <c r="S952">
        <v>26</v>
      </c>
      <c r="T952">
        <v>26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26</v>
      </c>
      <c r="AB952">
        <v>3</v>
      </c>
      <c r="AC952">
        <v>0</v>
      </c>
      <c r="AH952">
        <v>54.45</v>
      </c>
    </row>
    <row r="953" spans="1:34" x14ac:dyDescent="0.3">
      <c r="A953" s="4">
        <v>1138</v>
      </c>
      <c r="B953" s="5">
        <v>946</v>
      </c>
      <c r="C953">
        <v>8108</v>
      </c>
      <c r="D953" t="s">
        <v>28372</v>
      </c>
      <c r="E953" t="s">
        <v>54</v>
      </c>
      <c r="F953" t="s">
        <v>17</v>
      </c>
      <c r="G953" t="s">
        <v>28373</v>
      </c>
      <c r="H953">
        <v>21.43</v>
      </c>
      <c r="I953">
        <v>0</v>
      </c>
      <c r="J953">
        <v>0</v>
      </c>
      <c r="K953">
        <v>20</v>
      </c>
      <c r="L953">
        <v>7</v>
      </c>
      <c r="O953">
        <v>7</v>
      </c>
      <c r="P953">
        <v>4</v>
      </c>
      <c r="Q953">
        <v>2</v>
      </c>
      <c r="R953">
        <v>54.43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H953">
        <v>54.43</v>
      </c>
    </row>
    <row r="954" spans="1:34" x14ac:dyDescent="0.3">
      <c r="A954" s="4">
        <v>1139</v>
      </c>
      <c r="B954" s="5">
        <v>947</v>
      </c>
      <c r="C954">
        <v>1443</v>
      </c>
      <c r="D954" t="s">
        <v>28374</v>
      </c>
      <c r="E954" t="s">
        <v>54</v>
      </c>
      <c r="F954" t="s">
        <v>20</v>
      </c>
      <c r="G954" t="s">
        <v>28375</v>
      </c>
      <c r="H954">
        <v>18.329999999999998</v>
      </c>
      <c r="I954">
        <v>0</v>
      </c>
      <c r="J954">
        <v>0</v>
      </c>
      <c r="K954">
        <v>20</v>
      </c>
      <c r="N954">
        <v>3</v>
      </c>
      <c r="O954">
        <v>3</v>
      </c>
      <c r="P954">
        <v>4</v>
      </c>
      <c r="Q954">
        <v>2</v>
      </c>
      <c r="R954">
        <v>47.33</v>
      </c>
      <c r="S954">
        <v>7</v>
      </c>
      <c r="T954">
        <v>7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7</v>
      </c>
      <c r="AB954">
        <v>0</v>
      </c>
      <c r="AC954">
        <v>0</v>
      </c>
      <c r="AH954">
        <v>54.33</v>
      </c>
    </row>
    <row r="955" spans="1:34" x14ac:dyDescent="0.3">
      <c r="A955" s="4">
        <v>1140</v>
      </c>
      <c r="B955" s="5">
        <v>948</v>
      </c>
      <c r="C955">
        <v>15478</v>
      </c>
      <c r="D955" t="s">
        <v>498</v>
      </c>
      <c r="E955" t="s">
        <v>100</v>
      </c>
      <c r="F955" t="s">
        <v>892</v>
      </c>
      <c r="G955" t="s">
        <v>28376</v>
      </c>
      <c r="H955">
        <v>19.3</v>
      </c>
      <c r="I955">
        <v>0</v>
      </c>
      <c r="J955">
        <v>0</v>
      </c>
      <c r="K955">
        <v>28</v>
      </c>
      <c r="N955">
        <v>3</v>
      </c>
      <c r="O955">
        <v>3</v>
      </c>
      <c r="P955">
        <v>4</v>
      </c>
      <c r="Q955">
        <v>0</v>
      </c>
      <c r="R955">
        <v>54.3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 t="s">
        <v>130</v>
      </c>
      <c r="AH955">
        <v>54.3</v>
      </c>
    </row>
    <row r="956" spans="1:34" x14ac:dyDescent="0.3">
      <c r="A956" s="4">
        <v>1141</v>
      </c>
      <c r="B956" s="5">
        <v>949</v>
      </c>
      <c r="C956">
        <v>460</v>
      </c>
      <c r="D956" t="s">
        <v>9952</v>
      </c>
      <c r="E956" t="s">
        <v>54</v>
      </c>
      <c r="F956" t="s">
        <v>2561</v>
      </c>
      <c r="G956" t="s">
        <v>28377</v>
      </c>
      <c r="H956">
        <v>16.48</v>
      </c>
      <c r="I956">
        <v>0</v>
      </c>
      <c r="J956">
        <v>0</v>
      </c>
      <c r="K956">
        <v>0</v>
      </c>
      <c r="M956">
        <v>5</v>
      </c>
      <c r="O956">
        <v>5</v>
      </c>
      <c r="P956">
        <v>4</v>
      </c>
      <c r="Q956">
        <v>2</v>
      </c>
      <c r="R956">
        <v>27.48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26.8</v>
      </c>
      <c r="AH956">
        <v>54.28</v>
      </c>
    </row>
    <row r="957" spans="1:34" x14ac:dyDescent="0.3">
      <c r="A957" s="4">
        <v>1142</v>
      </c>
      <c r="B957" s="5">
        <v>950</v>
      </c>
      <c r="C957">
        <v>14472</v>
      </c>
      <c r="D957" t="s">
        <v>28378</v>
      </c>
      <c r="E957" t="s">
        <v>957</v>
      </c>
      <c r="F957" t="s">
        <v>91</v>
      </c>
      <c r="G957" t="s">
        <v>28379</v>
      </c>
      <c r="H957">
        <v>16.25</v>
      </c>
      <c r="I957">
        <v>0</v>
      </c>
      <c r="J957">
        <v>0</v>
      </c>
      <c r="K957">
        <v>20</v>
      </c>
      <c r="L957">
        <v>7</v>
      </c>
      <c r="O957">
        <v>7</v>
      </c>
      <c r="P957">
        <v>4</v>
      </c>
      <c r="Q957">
        <v>0</v>
      </c>
      <c r="R957">
        <v>47.25</v>
      </c>
      <c r="S957">
        <v>7</v>
      </c>
      <c r="T957">
        <v>7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7</v>
      </c>
      <c r="AB957">
        <v>0</v>
      </c>
      <c r="AC957">
        <v>0</v>
      </c>
      <c r="AH957">
        <v>54.25</v>
      </c>
    </row>
    <row r="958" spans="1:34" x14ac:dyDescent="0.3">
      <c r="A958" s="4">
        <v>1143</v>
      </c>
      <c r="B958" s="5">
        <v>951</v>
      </c>
      <c r="C958">
        <v>789</v>
      </c>
      <c r="D958" t="s">
        <v>21976</v>
      </c>
      <c r="E958" t="s">
        <v>29</v>
      </c>
      <c r="F958" t="s">
        <v>12716</v>
      </c>
      <c r="G958" t="s">
        <v>28380</v>
      </c>
      <c r="H958">
        <v>16.25</v>
      </c>
      <c r="I958">
        <v>0</v>
      </c>
      <c r="J958">
        <v>0</v>
      </c>
      <c r="K958">
        <v>0</v>
      </c>
      <c r="N958">
        <v>3</v>
      </c>
      <c r="O958">
        <v>3</v>
      </c>
      <c r="P958">
        <v>4</v>
      </c>
      <c r="Q958">
        <v>2</v>
      </c>
      <c r="R958">
        <v>25.25</v>
      </c>
      <c r="S958">
        <v>29</v>
      </c>
      <c r="T958">
        <v>29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29</v>
      </c>
      <c r="AB958">
        <v>0</v>
      </c>
      <c r="AC958">
        <v>0</v>
      </c>
      <c r="AH958">
        <v>54.25</v>
      </c>
    </row>
    <row r="959" spans="1:34" x14ac:dyDescent="0.3">
      <c r="A959" s="4">
        <v>1144</v>
      </c>
      <c r="B959" s="5">
        <v>952</v>
      </c>
      <c r="C959">
        <v>6664</v>
      </c>
      <c r="D959" t="s">
        <v>12090</v>
      </c>
      <c r="E959" t="s">
        <v>166</v>
      </c>
      <c r="F959" t="s">
        <v>652</v>
      </c>
      <c r="G959" t="s">
        <v>28381</v>
      </c>
      <c r="H959">
        <v>19.149999999999999</v>
      </c>
      <c r="I959">
        <v>0</v>
      </c>
      <c r="J959">
        <v>0</v>
      </c>
      <c r="K959">
        <v>20</v>
      </c>
      <c r="N959">
        <v>3</v>
      </c>
      <c r="O959">
        <v>3</v>
      </c>
      <c r="P959">
        <v>4</v>
      </c>
      <c r="Q959">
        <v>2</v>
      </c>
      <c r="R959">
        <v>48.15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6</v>
      </c>
      <c r="AC959">
        <v>0</v>
      </c>
      <c r="AH959">
        <v>54.15</v>
      </c>
    </row>
    <row r="960" spans="1:34" x14ac:dyDescent="0.3">
      <c r="A960" s="4">
        <v>1145</v>
      </c>
      <c r="B960" s="5">
        <v>953</v>
      </c>
      <c r="C960">
        <v>10708</v>
      </c>
      <c r="D960" t="s">
        <v>28382</v>
      </c>
      <c r="E960" t="s">
        <v>454</v>
      </c>
      <c r="F960" t="s">
        <v>124</v>
      </c>
      <c r="G960" t="s">
        <v>28383</v>
      </c>
      <c r="H960">
        <v>19.149999999999999</v>
      </c>
      <c r="I960">
        <v>0</v>
      </c>
      <c r="J960">
        <v>0</v>
      </c>
      <c r="K960">
        <v>20</v>
      </c>
      <c r="M960">
        <v>5</v>
      </c>
      <c r="N960">
        <v>3</v>
      </c>
      <c r="O960">
        <v>8</v>
      </c>
      <c r="P960">
        <v>4</v>
      </c>
      <c r="Q960">
        <v>0</v>
      </c>
      <c r="R960">
        <v>51.15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3</v>
      </c>
      <c r="AC960">
        <v>0</v>
      </c>
      <c r="AH960">
        <v>54.15</v>
      </c>
    </row>
    <row r="961" spans="1:34" x14ac:dyDescent="0.3">
      <c r="A961" s="4">
        <v>1146</v>
      </c>
      <c r="B961" s="5">
        <v>954</v>
      </c>
      <c r="C961">
        <v>3655</v>
      </c>
      <c r="D961" t="s">
        <v>28384</v>
      </c>
      <c r="E961" t="s">
        <v>28385</v>
      </c>
      <c r="F961" t="s">
        <v>819</v>
      </c>
      <c r="G961" t="s">
        <v>28386</v>
      </c>
      <c r="H961">
        <v>20.149999999999999</v>
      </c>
      <c r="I961">
        <v>0</v>
      </c>
      <c r="J961">
        <v>0</v>
      </c>
      <c r="K961">
        <v>20</v>
      </c>
      <c r="L961">
        <v>7</v>
      </c>
      <c r="N961">
        <v>3</v>
      </c>
      <c r="O961">
        <v>10</v>
      </c>
      <c r="P961">
        <v>4</v>
      </c>
      <c r="Q961">
        <v>0</v>
      </c>
      <c r="R961">
        <v>54.15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H961">
        <v>54.15</v>
      </c>
    </row>
    <row r="962" spans="1:34" x14ac:dyDescent="0.3">
      <c r="A962" s="4">
        <v>1147</v>
      </c>
      <c r="B962" s="5">
        <v>955</v>
      </c>
      <c r="C962">
        <v>8753</v>
      </c>
      <c r="D962" t="s">
        <v>7529</v>
      </c>
      <c r="E962" t="s">
        <v>219</v>
      </c>
      <c r="F962" t="s">
        <v>343</v>
      </c>
      <c r="G962" t="s">
        <v>28387</v>
      </c>
      <c r="H962">
        <v>17.3</v>
      </c>
      <c r="I962">
        <v>0</v>
      </c>
      <c r="J962">
        <v>0</v>
      </c>
      <c r="K962">
        <v>0</v>
      </c>
      <c r="N962">
        <v>3</v>
      </c>
      <c r="O962">
        <v>3</v>
      </c>
      <c r="P962">
        <v>4</v>
      </c>
      <c r="Q962">
        <v>0</v>
      </c>
      <c r="R962">
        <v>24.3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3</v>
      </c>
      <c r="AC962">
        <v>26.8</v>
      </c>
      <c r="AH962">
        <v>54.1</v>
      </c>
    </row>
    <row r="963" spans="1:34" x14ac:dyDescent="0.3">
      <c r="A963" s="4">
        <v>1148</v>
      </c>
      <c r="B963" s="5">
        <v>956</v>
      </c>
      <c r="C963">
        <v>13545</v>
      </c>
      <c r="D963" t="s">
        <v>2049</v>
      </c>
      <c r="E963" t="s">
        <v>2050</v>
      </c>
      <c r="F963" t="s">
        <v>975</v>
      </c>
      <c r="G963" t="s">
        <v>2051</v>
      </c>
      <c r="H963">
        <v>16.95</v>
      </c>
      <c r="I963">
        <v>0</v>
      </c>
      <c r="J963">
        <v>0</v>
      </c>
      <c r="K963">
        <v>20</v>
      </c>
      <c r="N963">
        <v>3</v>
      </c>
      <c r="O963">
        <v>3</v>
      </c>
      <c r="P963">
        <v>4</v>
      </c>
      <c r="Q963">
        <v>2</v>
      </c>
      <c r="R963">
        <v>45.95</v>
      </c>
      <c r="S963">
        <v>2</v>
      </c>
      <c r="T963">
        <v>2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2</v>
      </c>
      <c r="AB963">
        <v>6</v>
      </c>
      <c r="AC963">
        <v>0</v>
      </c>
      <c r="AH963">
        <v>53.95</v>
      </c>
    </row>
    <row r="964" spans="1:34" x14ac:dyDescent="0.3">
      <c r="A964" s="4">
        <v>1149</v>
      </c>
      <c r="B964" s="5">
        <v>957</v>
      </c>
      <c r="C964">
        <v>11591</v>
      </c>
      <c r="D964" t="s">
        <v>28388</v>
      </c>
      <c r="E964" t="s">
        <v>22</v>
      </c>
      <c r="F964" t="s">
        <v>20</v>
      </c>
      <c r="G964" t="s">
        <v>28389</v>
      </c>
      <c r="H964">
        <v>18.95</v>
      </c>
      <c r="I964">
        <v>7</v>
      </c>
      <c r="J964">
        <v>0</v>
      </c>
      <c r="K964">
        <v>0</v>
      </c>
      <c r="M964">
        <v>5</v>
      </c>
      <c r="O964">
        <v>5</v>
      </c>
      <c r="P964">
        <v>4</v>
      </c>
      <c r="Q964">
        <v>2</v>
      </c>
      <c r="R964">
        <v>36.950000000000003</v>
      </c>
      <c r="S964">
        <v>17</v>
      </c>
      <c r="T964">
        <v>17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17</v>
      </c>
      <c r="AB964">
        <v>0</v>
      </c>
      <c r="AC964">
        <v>0</v>
      </c>
      <c r="AH964">
        <v>53.95</v>
      </c>
    </row>
    <row r="965" spans="1:34" x14ac:dyDescent="0.3">
      <c r="A965" s="4">
        <v>1150</v>
      </c>
      <c r="B965" s="5">
        <v>958</v>
      </c>
      <c r="C965">
        <v>11745</v>
      </c>
      <c r="D965" t="s">
        <v>28390</v>
      </c>
      <c r="E965" t="s">
        <v>28391</v>
      </c>
      <c r="F965" t="s">
        <v>1748</v>
      </c>
      <c r="G965" t="s">
        <v>28392</v>
      </c>
      <c r="H965">
        <v>14.88</v>
      </c>
      <c r="I965">
        <v>0</v>
      </c>
      <c r="J965">
        <v>0</v>
      </c>
      <c r="K965">
        <v>0</v>
      </c>
      <c r="N965">
        <v>3</v>
      </c>
      <c r="O965">
        <v>3</v>
      </c>
      <c r="P965">
        <v>4</v>
      </c>
      <c r="Q965">
        <v>2</v>
      </c>
      <c r="R965">
        <v>23.88</v>
      </c>
      <c r="S965">
        <v>30</v>
      </c>
      <c r="T965">
        <v>30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30</v>
      </c>
      <c r="AB965">
        <v>0</v>
      </c>
      <c r="AC965">
        <v>0</v>
      </c>
      <c r="AD965" t="s">
        <v>130</v>
      </c>
      <c r="AH965">
        <v>53.88</v>
      </c>
    </row>
    <row r="966" spans="1:34" x14ac:dyDescent="0.3">
      <c r="A966" s="4">
        <v>1151</v>
      </c>
      <c r="B966" s="5">
        <v>959</v>
      </c>
      <c r="C966">
        <v>13840</v>
      </c>
      <c r="D966" t="s">
        <v>8075</v>
      </c>
      <c r="E966" t="s">
        <v>29</v>
      </c>
      <c r="F966" t="s">
        <v>346</v>
      </c>
      <c r="G966" t="s">
        <v>28393</v>
      </c>
      <c r="H966">
        <v>20.78</v>
      </c>
      <c r="I966">
        <v>0</v>
      </c>
      <c r="J966">
        <v>0</v>
      </c>
      <c r="K966">
        <v>20</v>
      </c>
      <c r="L966">
        <v>7</v>
      </c>
      <c r="O966">
        <v>7</v>
      </c>
      <c r="P966">
        <v>4</v>
      </c>
      <c r="Q966">
        <v>2</v>
      </c>
      <c r="R966">
        <v>53.78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H966">
        <v>53.78</v>
      </c>
    </row>
    <row r="967" spans="1:34" x14ac:dyDescent="0.3">
      <c r="A967" s="4">
        <v>1152</v>
      </c>
      <c r="B967" s="5">
        <v>960</v>
      </c>
      <c r="C967">
        <v>5111</v>
      </c>
      <c r="D967" t="s">
        <v>25014</v>
      </c>
      <c r="E967" t="s">
        <v>41</v>
      </c>
      <c r="F967" t="s">
        <v>20</v>
      </c>
      <c r="G967" t="s">
        <v>28394</v>
      </c>
      <c r="H967">
        <v>17.73</v>
      </c>
      <c r="I967">
        <v>0</v>
      </c>
      <c r="J967">
        <v>0</v>
      </c>
      <c r="K967">
        <v>20</v>
      </c>
      <c r="M967">
        <v>10</v>
      </c>
      <c r="O967">
        <v>10</v>
      </c>
      <c r="P967">
        <v>4</v>
      </c>
      <c r="Q967">
        <v>2</v>
      </c>
      <c r="R967">
        <v>53.73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H967">
        <v>53.73</v>
      </c>
    </row>
    <row r="968" spans="1:34" x14ac:dyDescent="0.3">
      <c r="A968" s="4">
        <v>1153</v>
      </c>
      <c r="B968" s="5">
        <v>961</v>
      </c>
      <c r="C968">
        <v>3960</v>
      </c>
      <c r="D968" t="s">
        <v>9064</v>
      </c>
      <c r="E968" t="s">
        <v>816</v>
      </c>
      <c r="F968" t="s">
        <v>193</v>
      </c>
      <c r="G968" t="s">
        <v>28395</v>
      </c>
      <c r="H968">
        <v>18.7</v>
      </c>
      <c r="I968">
        <v>0</v>
      </c>
      <c r="J968">
        <v>0</v>
      </c>
      <c r="K968">
        <v>0</v>
      </c>
      <c r="N968">
        <v>3</v>
      </c>
      <c r="O968">
        <v>3</v>
      </c>
      <c r="P968">
        <v>4</v>
      </c>
      <c r="Q968">
        <v>2</v>
      </c>
      <c r="R968">
        <v>27.7</v>
      </c>
      <c r="S968">
        <v>26</v>
      </c>
      <c r="T968">
        <v>26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26</v>
      </c>
      <c r="AB968">
        <v>0</v>
      </c>
      <c r="AC968">
        <v>0</v>
      </c>
      <c r="AH968">
        <v>53.7</v>
      </c>
    </row>
    <row r="969" spans="1:34" x14ac:dyDescent="0.3">
      <c r="A969" s="4">
        <v>1154</v>
      </c>
      <c r="B969" s="5">
        <v>962</v>
      </c>
      <c r="C969">
        <v>10222</v>
      </c>
      <c r="D969" t="s">
        <v>11217</v>
      </c>
      <c r="E969" t="s">
        <v>4391</v>
      </c>
      <c r="F969" t="s">
        <v>79</v>
      </c>
      <c r="G969" t="s">
        <v>28396</v>
      </c>
      <c r="H969">
        <v>19.68</v>
      </c>
      <c r="I969">
        <v>0</v>
      </c>
      <c r="J969">
        <v>0</v>
      </c>
      <c r="K969">
        <v>20</v>
      </c>
      <c r="L969">
        <v>7</v>
      </c>
      <c r="O969">
        <v>7</v>
      </c>
      <c r="P969">
        <v>4</v>
      </c>
      <c r="Q969">
        <v>0</v>
      </c>
      <c r="R969">
        <v>50.68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3</v>
      </c>
      <c r="AC969">
        <v>0</v>
      </c>
      <c r="AD969" t="s">
        <v>130</v>
      </c>
      <c r="AH969">
        <v>53.68</v>
      </c>
    </row>
    <row r="970" spans="1:34" x14ac:dyDescent="0.3">
      <c r="A970" s="4">
        <v>1155</v>
      </c>
      <c r="B970" s="5">
        <v>963</v>
      </c>
      <c r="C970">
        <v>14500</v>
      </c>
      <c r="D970" t="s">
        <v>28397</v>
      </c>
      <c r="E970" t="s">
        <v>380</v>
      </c>
      <c r="F970" t="s">
        <v>136</v>
      </c>
      <c r="G970" t="s">
        <v>28398</v>
      </c>
      <c r="H970">
        <v>20.65</v>
      </c>
      <c r="I970">
        <v>0</v>
      </c>
      <c r="J970">
        <v>0</v>
      </c>
      <c r="K970">
        <v>20</v>
      </c>
      <c r="N970">
        <v>3</v>
      </c>
      <c r="O970">
        <v>3</v>
      </c>
      <c r="P970">
        <v>4</v>
      </c>
      <c r="Q970">
        <v>0</v>
      </c>
      <c r="R970">
        <v>47.65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6</v>
      </c>
      <c r="AC970">
        <v>0</v>
      </c>
      <c r="AH970">
        <v>53.65</v>
      </c>
    </row>
    <row r="971" spans="1:34" x14ac:dyDescent="0.3">
      <c r="A971" s="4">
        <v>1156</v>
      </c>
      <c r="B971" s="5">
        <v>964</v>
      </c>
      <c r="C971">
        <v>15092</v>
      </c>
      <c r="D971" t="s">
        <v>13386</v>
      </c>
      <c r="E971" t="s">
        <v>33</v>
      </c>
      <c r="F971" t="s">
        <v>81</v>
      </c>
      <c r="G971" t="s">
        <v>28399</v>
      </c>
      <c r="H971">
        <v>15.4</v>
      </c>
      <c r="I971">
        <v>0</v>
      </c>
      <c r="J971">
        <v>0</v>
      </c>
      <c r="K971">
        <v>20</v>
      </c>
      <c r="O971">
        <v>0</v>
      </c>
      <c r="P971">
        <v>4</v>
      </c>
      <c r="Q971">
        <v>2</v>
      </c>
      <c r="R971">
        <v>41.4</v>
      </c>
      <c r="S971">
        <v>12</v>
      </c>
      <c r="T971">
        <v>12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12</v>
      </c>
      <c r="AB971">
        <v>0</v>
      </c>
      <c r="AC971">
        <v>0</v>
      </c>
      <c r="AD971" t="s">
        <v>130</v>
      </c>
      <c r="AH971">
        <v>53.4</v>
      </c>
    </row>
    <row r="972" spans="1:34" x14ac:dyDescent="0.3">
      <c r="A972" s="4">
        <v>1157</v>
      </c>
      <c r="B972" s="5">
        <v>965</v>
      </c>
      <c r="C972">
        <v>11861</v>
      </c>
      <c r="D972" t="s">
        <v>28400</v>
      </c>
      <c r="E972" t="s">
        <v>1576</v>
      </c>
      <c r="F972" t="s">
        <v>328</v>
      </c>
      <c r="G972" t="s">
        <v>28401</v>
      </c>
      <c r="H972">
        <v>16.28</v>
      </c>
      <c r="I972">
        <v>0</v>
      </c>
      <c r="J972">
        <v>0</v>
      </c>
      <c r="K972">
        <v>0</v>
      </c>
      <c r="N972">
        <v>3</v>
      </c>
      <c r="O972">
        <v>3</v>
      </c>
      <c r="P972">
        <v>4</v>
      </c>
      <c r="Q972">
        <v>0</v>
      </c>
      <c r="R972">
        <v>23.28</v>
      </c>
      <c r="S972">
        <v>27</v>
      </c>
      <c r="T972">
        <v>27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27</v>
      </c>
      <c r="AB972">
        <v>3</v>
      </c>
      <c r="AC972">
        <v>0</v>
      </c>
      <c r="AH972">
        <v>53.28</v>
      </c>
    </row>
    <row r="973" spans="1:34" x14ac:dyDescent="0.3">
      <c r="A973" s="4">
        <v>1158</v>
      </c>
      <c r="B973" s="5">
        <v>966</v>
      </c>
      <c r="C973">
        <v>13667</v>
      </c>
      <c r="D973" t="s">
        <v>17646</v>
      </c>
      <c r="E973" t="s">
        <v>28402</v>
      </c>
      <c r="F973" t="s">
        <v>2802</v>
      </c>
      <c r="G973" t="s">
        <v>28403</v>
      </c>
      <c r="H973">
        <v>17.25</v>
      </c>
      <c r="I973">
        <v>0</v>
      </c>
      <c r="J973">
        <v>0</v>
      </c>
      <c r="K973">
        <v>20</v>
      </c>
      <c r="N973">
        <v>3</v>
      </c>
      <c r="O973">
        <v>3</v>
      </c>
      <c r="P973">
        <v>4</v>
      </c>
      <c r="Q973">
        <v>0</v>
      </c>
      <c r="R973">
        <v>44.25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9</v>
      </c>
      <c r="AC973">
        <v>0</v>
      </c>
      <c r="AH973">
        <v>53.25</v>
      </c>
    </row>
    <row r="974" spans="1:34" x14ac:dyDescent="0.3">
      <c r="A974" s="4">
        <v>1159</v>
      </c>
      <c r="B974" s="5">
        <v>967</v>
      </c>
      <c r="C974">
        <v>359</v>
      </c>
      <c r="D974" t="s">
        <v>11667</v>
      </c>
      <c r="E974" t="s">
        <v>29</v>
      </c>
      <c r="F974" t="s">
        <v>20</v>
      </c>
      <c r="G974" t="s">
        <v>28404</v>
      </c>
      <c r="H974">
        <v>20.13</v>
      </c>
      <c r="I974">
        <v>0</v>
      </c>
      <c r="J974">
        <v>0</v>
      </c>
      <c r="K974">
        <v>20</v>
      </c>
      <c r="N974">
        <v>3</v>
      </c>
      <c r="O974">
        <v>3</v>
      </c>
      <c r="P974">
        <v>4</v>
      </c>
      <c r="Q974">
        <v>0</v>
      </c>
      <c r="R974">
        <v>47.13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6</v>
      </c>
      <c r="AC974">
        <v>0</v>
      </c>
      <c r="AH974">
        <v>53.13</v>
      </c>
    </row>
    <row r="975" spans="1:34" x14ac:dyDescent="0.3">
      <c r="A975" s="4">
        <v>1160</v>
      </c>
      <c r="B975" s="5">
        <v>968</v>
      </c>
      <c r="C975">
        <v>1740</v>
      </c>
      <c r="D975" t="s">
        <v>6857</v>
      </c>
      <c r="E975" t="s">
        <v>7929</v>
      </c>
      <c r="F975" t="s">
        <v>136</v>
      </c>
      <c r="G975" t="s">
        <v>28405</v>
      </c>
      <c r="H975">
        <v>19.13</v>
      </c>
      <c r="I975">
        <v>0</v>
      </c>
      <c r="J975">
        <v>0</v>
      </c>
      <c r="K975">
        <v>20</v>
      </c>
      <c r="L975">
        <v>7</v>
      </c>
      <c r="O975">
        <v>7</v>
      </c>
      <c r="P975">
        <v>4</v>
      </c>
      <c r="Q975">
        <v>0</v>
      </c>
      <c r="R975">
        <v>50.13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3</v>
      </c>
      <c r="AC975">
        <v>0</v>
      </c>
      <c r="AH975">
        <v>53.13</v>
      </c>
    </row>
    <row r="976" spans="1:34" x14ac:dyDescent="0.3">
      <c r="A976" s="4">
        <v>1161</v>
      </c>
      <c r="B976" s="5">
        <v>969</v>
      </c>
      <c r="C976">
        <v>5019</v>
      </c>
      <c r="D976" t="s">
        <v>74</v>
      </c>
      <c r="E976" t="s">
        <v>276</v>
      </c>
      <c r="F976" t="s">
        <v>62</v>
      </c>
      <c r="G976" t="s">
        <v>28406</v>
      </c>
      <c r="H976">
        <v>23.1</v>
      </c>
      <c r="I976">
        <v>0</v>
      </c>
      <c r="J976">
        <v>0</v>
      </c>
      <c r="K976">
        <v>0</v>
      </c>
      <c r="O976">
        <v>0</v>
      </c>
      <c r="P976">
        <v>4</v>
      </c>
      <c r="Q976">
        <v>0</v>
      </c>
      <c r="R976">
        <v>27.1</v>
      </c>
      <c r="S976">
        <v>26</v>
      </c>
      <c r="T976">
        <v>26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26</v>
      </c>
      <c r="AB976">
        <v>0</v>
      </c>
      <c r="AC976">
        <v>0</v>
      </c>
      <c r="AH976">
        <v>53.1</v>
      </c>
    </row>
    <row r="977" spans="1:34" x14ac:dyDescent="0.3">
      <c r="A977" s="4">
        <v>1162</v>
      </c>
      <c r="B977" s="5">
        <v>970</v>
      </c>
      <c r="C977">
        <v>6925</v>
      </c>
      <c r="D977" t="s">
        <v>9310</v>
      </c>
      <c r="E977" t="s">
        <v>594</v>
      </c>
      <c r="F977" t="s">
        <v>68</v>
      </c>
      <c r="G977" t="s">
        <v>28407</v>
      </c>
      <c r="H977">
        <v>17.05</v>
      </c>
      <c r="I977">
        <v>0</v>
      </c>
      <c r="J977">
        <v>0</v>
      </c>
      <c r="K977">
        <v>0</v>
      </c>
      <c r="L977">
        <v>7</v>
      </c>
      <c r="O977">
        <v>7</v>
      </c>
      <c r="P977">
        <v>4</v>
      </c>
      <c r="Q977">
        <v>2</v>
      </c>
      <c r="R977">
        <v>30.05</v>
      </c>
      <c r="S977">
        <v>17</v>
      </c>
      <c r="T977">
        <v>17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17</v>
      </c>
      <c r="AB977">
        <v>6</v>
      </c>
      <c r="AC977">
        <v>0</v>
      </c>
      <c r="AD977" t="s">
        <v>130</v>
      </c>
      <c r="AH977">
        <v>53.05</v>
      </c>
    </row>
    <row r="978" spans="1:34" x14ac:dyDescent="0.3">
      <c r="A978" s="4">
        <v>1163</v>
      </c>
      <c r="B978" s="5">
        <v>971</v>
      </c>
      <c r="C978">
        <v>5085</v>
      </c>
      <c r="D978" t="s">
        <v>28408</v>
      </c>
      <c r="E978" t="s">
        <v>213</v>
      </c>
      <c r="F978" t="s">
        <v>20</v>
      </c>
      <c r="G978" t="s">
        <v>28409</v>
      </c>
      <c r="H978">
        <v>20</v>
      </c>
      <c r="I978">
        <v>0</v>
      </c>
      <c r="J978">
        <v>0</v>
      </c>
      <c r="K978">
        <v>0</v>
      </c>
      <c r="L978">
        <v>7</v>
      </c>
      <c r="O978">
        <v>7</v>
      </c>
      <c r="P978">
        <v>4</v>
      </c>
      <c r="Q978">
        <v>2</v>
      </c>
      <c r="R978">
        <v>33</v>
      </c>
      <c r="S978">
        <v>17</v>
      </c>
      <c r="T978">
        <v>17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17</v>
      </c>
      <c r="AB978">
        <v>3</v>
      </c>
      <c r="AC978">
        <v>0</v>
      </c>
      <c r="AH978">
        <v>53</v>
      </c>
    </row>
    <row r="979" spans="1:34" x14ac:dyDescent="0.3">
      <c r="A979" s="4">
        <v>1164</v>
      </c>
      <c r="B979" s="5">
        <v>972</v>
      </c>
      <c r="C979">
        <v>6834</v>
      </c>
      <c r="D979" t="s">
        <v>8883</v>
      </c>
      <c r="E979" t="s">
        <v>132</v>
      </c>
      <c r="F979" t="s">
        <v>68</v>
      </c>
      <c r="G979" t="s">
        <v>28410</v>
      </c>
      <c r="H979">
        <v>18</v>
      </c>
      <c r="I979">
        <v>0</v>
      </c>
      <c r="J979">
        <v>0</v>
      </c>
      <c r="K979">
        <v>20</v>
      </c>
      <c r="L979">
        <v>7</v>
      </c>
      <c r="O979">
        <v>7</v>
      </c>
      <c r="P979">
        <v>4</v>
      </c>
      <c r="Q979">
        <v>2</v>
      </c>
      <c r="R979">
        <v>51</v>
      </c>
      <c r="S979">
        <v>2</v>
      </c>
      <c r="T979">
        <v>2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2</v>
      </c>
      <c r="AB979">
        <v>0</v>
      </c>
      <c r="AC979">
        <v>0</v>
      </c>
      <c r="AD979" t="s">
        <v>130</v>
      </c>
      <c r="AH979">
        <v>53</v>
      </c>
    </row>
    <row r="980" spans="1:34" x14ac:dyDescent="0.3">
      <c r="A980" s="4">
        <v>1165</v>
      </c>
      <c r="B980" s="5">
        <v>973</v>
      </c>
      <c r="C980">
        <v>3010</v>
      </c>
      <c r="D980" t="s">
        <v>28411</v>
      </c>
      <c r="E980" t="s">
        <v>230</v>
      </c>
      <c r="F980" t="s">
        <v>136</v>
      </c>
      <c r="G980" t="s">
        <v>28412</v>
      </c>
      <c r="H980">
        <v>19.850000000000001</v>
      </c>
      <c r="I980">
        <v>0</v>
      </c>
      <c r="J980">
        <v>0</v>
      </c>
      <c r="K980">
        <v>20</v>
      </c>
      <c r="L980">
        <v>7</v>
      </c>
      <c r="O980">
        <v>7</v>
      </c>
      <c r="P980">
        <v>4</v>
      </c>
      <c r="Q980">
        <v>2</v>
      </c>
      <c r="R980">
        <v>52.85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H980">
        <v>52.85</v>
      </c>
    </row>
    <row r="981" spans="1:34" x14ac:dyDescent="0.3">
      <c r="A981" s="4">
        <v>1166</v>
      </c>
      <c r="B981" s="5">
        <v>974</v>
      </c>
      <c r="C981">
        <v>12487</v>
      </c>
      <c r="D981" t="s">
        <v>21330</v>
      </c>
      <c r="E981" t="s">
        <v>5334</v>
      </c>
      <c r="F981" t="s">
        <v>626</v>
      </c>
      <c r="G981" t="s">
        <v>28413</v>
      </c>
      <c r="H981">
        <v>18.399999999999999</v>
      </c>
      <c r="I981">
        <v>0</v>
      </c>
      <c r="J981">
        <v>0</v>
      </c>
      <c r="K981">
        <v>0</v>
      </c>
      <c r="L981">
        <v>7</v>
      </c>
      <c r="O981">
        <v>7</v>
      </c>
      <c r="P981">
        <v>4</v>
      </c>
      <c r="Q981">
        <v>2</v>
      </c>
      <c r="R981">
        <v>31.4</v>
      </c>
      <c r="S981">
        <v>18</v>
      </c>
      <c r="T981">
        <v>18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18</v>
      </c>
      <c r="AB981">
        <v>3</v>
      </c>
      <c r="AC981">
        <v>0</v>
      </c>
      <c r="AH981">
        <v>52.4</v>
      </c>
    </row>
    <row r="982" spans="1:34" x14ac:dyDescent="0.3">
      <c r="A982" s="4">
        <v>1167</v>
      </c>
      <c r="B982" s="5">
        <v>975</v>
      </c>
      <c r="C982">
        <v>8046</v>
      </c>
      <c r="D982" t="s">
        <v>2818</v>
      </c>
      <c r="E982" t="s">
        <v>100</v>
      </c>
      <c r="F982" t="s">
        <v>328</v>
      </c>
      <c r="G982" t="s">
        <v>28414</v>
      </c>
      <c r="H982">
        <v>16.38</v>
      </c>
      <c r="I982">
        <v>0</v>
      </c>
      <c r="J982">
        <v>0</v>
      </c>
      <c r="K982">
        <v>20</v>
      </c>
      <c r="L982">
        <v>7</v>
      </c>
      <c r="N982">
        <v>3</v>
      </c>
      <c r="O982">
        <v>10</v>
      </c>
      <c r="P982">
        <v>4</v>
      </c>
      <c r="Q982">
        <v>2</v>
      </c>
      <c r="R982">
        <v>52.38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H982">
        <v>52.38</v>
      </c>
    </row>
    <row r="983" spans="1:34" x14ac:dyDescent="0.3">
      <c r="A983" s="4">
        <v>1168</v>
      </c>
      <c r="B983" s="5">
        <v>976</v>
      </c>
      <c r="C983">
        <v>8237</v>
      </c>
      <c r="D983" t="s">
        <v>18677</v>
      </c>
      <c r="E983" t="s">
        <v>54</v>
      </c>
      <c r="F983" t="s">
        <v>136</v>
      </c>
      <c r="G983" t="s">
        <v>28415</v>
      </c>
      <c r="H983">
        <v>18.329999999999998</v>
      </c>
      <c r="I983">
        <v>0</v>
      </c>
      <c r="J983">
        <v>0</v>
      </c>
      <c r="K983">
        <v>20</v>
      </c>
      <c r="L983">
        <v>7</v>
      </c>
      <c r="N983">
        <v>3</v>
      </c>
      <c r="O983">
        <v>10</v>
      </c>
      <c r="P983">
        <v>4</v>
      </c>
      <c r="Q983">
        <v>0</v>
      </c>
      <c r="R983">
        <v>52.33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H983">
        <v>52.33</v>
      </c>
    </row>
    <row r="984" spans="1:34" x14ac:dyDescent="0.3">
      <c r="A984" s="4">
        <v>1169</v>
      </c>
      <c r="B984" s="5">
        <v>977</v>
      </c>
      <c r="C984">
        <v>4057</v>
      </c>
      <c r="D984" t="s">
        <v>4332</v>
      </c>
      <c r="E984" t="s">
        <v>26</v>
      </c>
      <c r="F984" t="s">
        <v>136</v>
      </c>
      <c r="G984" t="s">
        <v>28416</v>
      </c>
      <c r="H984">
        <v>17.3</v>
      </c>
      <c r="I984">
        <v>0</v>
      </c>
      <c r="J984">
        <v>0</v>
      </c>
      <c r="K984">
        <v>20</v>
      </c>
      <c r="N984">
        <v>6</v>
      </c>
      <c r="O984">
        <v>6</v>
      </c>
      <c r="P984">
        <v>4</v>
      </c>
      <c r="Q984">
        <v>2</v>
      </c>
      <c r="R984">
        <v>49.3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3</v>
      </c>
      <c r="AC984">
        <v>0</v>
      </c>
      <c r="AH984">
        <v>52.3</v>
      </c>
    </row>
    <row r="985" spans="1:34" x14ac:dyDescent="0.3">
      <c r="A985" s="4">
        <v>1170</v>
      </c>
      <c r="B985" s="5">
        <v>978</v>
      </c>
      <c r="C985">
        <v>13063</v>
      </c>
      <c r="D985" t="s">
        <v>28417</v>
      </c>
      <c r="E985" t="s">
        <v>117</v>
      </c>
      <c r="F985" t="s">
        <v>20</v>
      </c>
      <c r="G985" t="s">
        <v>28418</v>
      </c>
      <c r="H985">
        <v>18.3</v>
      </c>
      <c r="I985">
        <v>0</v>
      </c>
      <c r="J985">
        <v>0</v>
      </c>
      <c r="K985">
        <v>20</v>
      </c>
      <c r="L985">
        <v>7</v>
      </c>
      <c r="N985">
        <v>3</v>
      </c>
      <c r="O985">
        <v>10</v>
      </c>
      <c r="P985">
        <v>4</v>
      </c>
      <c r="Q985">
        <v>0</v>
      </c>
      <c r="R985">
        <v>52.3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H985">
        <v>52.3</v>
      </c>
    </row>
    <row r="986" spans="1:34" x14ac:dyDescent="0.3">
      <c r="A986" s="4">
        <v>1171</v>
      </c>
      <c r="B986" s="5">
        <v>979</v>
      </c>
      <c r="C986">
        <v>11213</v>
      </c>
      <c r="D986" t="s">
        <v>14221</v>
      </c>
      <c r="E986" t="s">
        <v>54</v>
      </c>
      <c r="F986" t="s">
        <v>375</v>
      </c>
      <c r="G986" t="s">
        <v>28419</v>
      </c>
      <c r="H986">
        <v>21.25</v>
      </c>
      <c r="I986">
        <v>0</v>
      </c>
      <c r="J986">
        <v>0</v>
      </c>
      <c r="K986">
        <v>20</v>
      </c>
      <c r="L986">
        <v>7</v>
      </c>
      <c r="O986">
        <v>7</v>
      </c>
      <c r="P986">
        <v>4</v>
      </c>
      <c r="Q986">
        <v>0</v>
      </c>
      <c r="R986">
        <v>52.25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H986">
        <v>52.25</v>
      </c>
    </row>
    <row r="987" spans="1:34" x14ac:dyDescent="0.3">
      <c r="A987" s="4">
        <v>1172</v>
      </c>
      <c r="B987" s="5">
        <v>980</v>
      </c>
      <c r="C987">
        <v>3289</v>
      </c>
      <c r="D987" t="s">
        <v>7316</v>
      </c>
      <c r="E987" t="s">
        <v>342</v>
      </c>
      <c r="F987" t="s">
        <v>30</v>
      </c>
      <c r="G987" t="s">
        <v>28420</v>
      </c>
      <c r="H987">
        <v>17.23</v>
      </c>
      <c r="I987">
        <v>0</v>
      </c>
      <c r="J987">
        <v>0</v>
      </c>
      <c r="K987">
        <v>0</v>
      </c>
      <c r="N987">
        <v>3</v>
      </c>
      <c r="O987">
        <v>3</v>
      </c>
      <c r="P987">
        <v>4</v>
      </c>
      <c r="Q987">
        <v>2</v>
      </c>
      <c r="R987">
        <v>26.23</v>
      </c>
      <c r="S987">
        <v>26</v>
      </c>
      <c r="T987">
        <v>26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26</v>
      </c>
      <c r="AB987">
        <v>0</v>
      </c>
      <c r="AC987">
        <v>0</v>
      </c>
      <c r="AD987" t="s">
        <v>130</v>
      </c>
      <c r="AH987">
        <v>52.23</v>
      </c>
    </row>
    <row r="988" spans="1:34" x14ac:dyDescent="0.3">
      <c r="A988" s="4">
        <v>1173</v>
      </c>
      <c r="B988" s="5">
        <v>981</v>
      </c>
      <c r="C988">
        <v>12283</v>
      </c>
      <c r="D988" t="s">
        <v>28421</v>
      </c>
      <c r="E988" t="s">
        <v>22</v>
      </c>
      <c r="F988" t="s">
        <v>539</v>
      </c>
      <c r="G988" t="s">
        <v>28422</v>
      </c>
      <c r="H988">
        <v>19.149999999999999</v>
      </c>
      <c r="I988">
        <v>0</v>
      </c>
      <c r="J988">
        <v>0</v>
      </c>
      <c r="K988">
        <v>20</v>
      </c>
      <c r="L988">
        <v>7</v>
      </c>
      <c r="O988">
        <v>7</v>
      </c>
      <c r="P988">
        <v>4</v>
      </c>
      <c r="Q988">
        <v>2</v>
      </c>
      <c r="R988">
        <v>52.15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H988">
        <v>52.15</v>
      </c>
    </row>
    <row r="989" spans="1:34" x14ac:dyDescent="0.3">
      <c r="A989" s="4">
        <v>1174</v>
      </c>
      <c r="B989" s="5">
        <v>982</v>
      </c>
      <c r="C989">
        <v>15337</v>
      </c>
      <c r="D989" t="s">
        <v>10440</v>
      </c>
      <c r="E989" t="s">
        <v>22</v>
      </c>
      <c r="F989" t="s">
        <v>14</v>
      </c>
      <c r="G989" t="s">
        <v>28423</v>
      </c>
      <c r="H989">
        <v>18.03</v>
      </c>
      <c r="I989">
        <v>0</v>
      </c>
      <c r="J989">
        <v>0</v>
      </c>
      <c r="K989">
        <v>20</v>
      </c>
      <c r="L989">
        <v>7</v>
      </c>
      <c r="N989">
        <v>3</v>
      </c>
      <c r="O989">
        <v>10</v>
      </c>
      <c r="P989">
        <v>4</v>
      </c>
      <c r="Q989">
        <v>0</v>
      </c>
      <c r="R989">
        <v>52.03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H989">
        <v>52.03</v>
      </c>
    </row>
    <row r="990" spans="1:34" x14ac:dyDescent="0.3">
      <c r="A990" s="4">
        <v>1175</v>
      </c>
      <c r="B990" s="5">
        <v>983</v>
      </c>
      <c r="C990">
        <v>6531</v>
      </c>
      <c r="D990" t="s">
        <v>267</v>
      </c>
      <c r="E990" t="s">
        <v>342</v>
      </c>
      <c r="F990" t="s">
        <v>259</v>
      </c>
      <c r="G990" t="s">
        <v>28424</v>
      </c>
      <c r="H990">
        <v>16.03</v>
      </c>
      <c r="I990">
        <v>0</v>
      </c>
      <c r="J990">
        <v>0</v>
      </c>
      <c r="K990">
        <v>0</v>
      </c>
      <c r="N990">
        <v>3</v>
      </c>
      <c r="O990">
        <v>3</v>
      </c>
      <c r="P990">
        <v>4</v>
      </c>
      <c r="Q990">
        <v>2</v>
      </c>
      <c r="R990">
        <v>25.03</v>
      </c>
      <c r="S990">
        <v>27</v>
      </c>
      <c r="T990">
        <v>27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27</v>
      </c>
      <c r="AB990">
        <v>0</v>
      </c>
      <c r="AC990">
        <v>0</v>
      </c>
      <c r="AD990" t="s">
        <v>130</v>
      </c>
      <c r="AH990">
        <v>52.03</v>
      </c>
    </row>
    <row r="991" spans="1:34" x14ac:dyDescent="0.3">
      <c r="A991" s="4">
        <v>1176</v>
      </c>
      <c r="B991" s="5">
        <v>984</v>
      </c>
      <c r="C991">
        <v>13074</v>
      </c>
      <c r="D991" t="s">
        <v>28425</v>
      </c>
      <c r="E991" t="s">
        <v>132</v>
      </c>
      <c r="F991" t="s">
        <v>52</v>
      </c>
      <c r="G991" t="s">
        <v>28426</v>
      </c>
      <c r="H991">
        <v>18.95</v>
      </c>
      <c r="I991">
        <v>0</v>
      </c>
      <c r="J991">
        <v>0</v>
      </c>
      <c r="K991">
        <v>0</v>
      </c>
      <c r="L991">
        <v>7</v>
      </c>
      <c r="O991">
        <v>7</v>
      </c>
      <c r="P991">
        <v>4</v>
      </c>
      <c r="Q991">
        <v>2</v>
      </c>
      <c r="R991">
        <v>31.95</v>
      </c>
      <c r="S991">
        <v>14</v>
      </c>
      <c r="T991">
        <v>14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14</v>
      </c>
      <c r="AB991">
        <v>6</v>
      </c>
      <c r="AC991">
        <v>0</v>
      </c>
      <c r="AH991">
        <v>51.95</v>
      </c>
    </row>
    <row r="992" spans="1:34" x14ac:dyDescent="0.3">
      <c r="A992" s="4">
        <v>1177</v>
      </c>
      <c r="B992" s="5">
        <v>985</v>
      </c>
      <c r="C992">
        <v>7606</v>
      </c>
      <c r="D992" t="s">
        <v>18319</v>
      </c>
      <c r="E992" t="s">
        <v>41</v>
      </c>
      <c r="F992" t="s">
        <v>3094</v>
      </c>
      <c r="G992" t="s">
        <v>28427</v>
      </c>
      <c r="H992">
        <v>16.93</v>
      </c>
      <c r="I992">
        <v>0</v>
      </c>
      <c r="J992">
        <v>0</v>
      </c>
      <c r="K992">
        <v>20</v>
      </c>
      <c r="M992">
        <v>5</v>
      </c>
      <c r="N992">
        <v>3</v>
      </c>
      <c r="O992">
        <v>8</v>
      </c>
      <c r="P992">
        <v>4</v>
      </c>
      <c r="Q992">
        <v>0</v>
      </c>
      <c r="R992">
        <v>48.93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3</v>
      </c>
      <c r="AC992">
        <v>0</v>
      </c>
      <c r="AH992">
        <v>51.93</v>
      </c>
    </row>
    <row r="993" spans="1:34" x14ac:dyDescent="0.3">
      <c r="A993" s="4">
        <v>1178</v>
      </c>
      <c r="B993" s="5">
        <v>986</v>
      </c>
      <c r="C993">
        <v>9153</v>
      </c>
      <c r="D993" t="s">
        <v>28344</v>
      </c>
      <c r="E993" t="s">
        <v>132</v>
      </c>
      <c r="F993" t="s">
        <v>20</v>
      </c>
      <c r="G993" t="s">
        <v>28428</v>
      </c>
      <c r="H993">
        <v>18.93</v>
      </c>
      <c r="I993">
        <v>0</v>
      </c>
      <c r="J993">
        <v>0</v>
      </c>
      <c r="K993">
        <v>20</v>
      </c>
      <c r="L993">
        <v>7</v>
      </c>
      <c r="O993">
        <v>7</v>
      </c>
      <c r="P993">
        <v>4</v>
      </c>
      <c r="Q993">
        <v>2</v>
      </c>
      <c r="R993">
        <v>51.93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 t="s">
        <v>130</v>
      </c>
      <c r="AH993">
        <v>51.93</v>
      </c>
    </row>
    <row r="994" spans="1:34" x14ac:dyDescent="0.3">
      <c r="A994" s="4">
        <v>1179</v>
      </c>
      <c r="B994" s="5">
        <v>987</v>
      </c>
      <c r="C994">
        <v>14743</v>
      </c>
      <c r="D994" t="s">
        <v>6710</v>
      </c>
      <c r="E994" t="s">
        <v>1474</v>
      </c>
      <c r="F994" t="s">
        <v>68</v>
      </c>
      <c r="G994" t="s">
        <v>28429</v>
      </c>
      <c r="H994">
        <v>18.93</v>
      </c>
      <c r="I994">
        <v>0</v>
      </c>
      <c r="J994">
        <v>0</v>
      </c>
      <c r="K994">
        <v>20</v>
      </c>
      <c r="L994">
        <v>7</v>
      </c>
      <c r="O994">
        <v>7</v>
      </c>
      <c r="P994">
        <v>4</v>
      </c>
      <c r="Q994">
        <v>2</v>
      </c>
      <c r="R994">
        <v>51.93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H994">
        <v>51.93</v>
      </c>
    </row>
    <row r="995" spans="1:34" x14ac:dyDescent="0.3">
      <c r="A995" s="4">
        <v>1180</v>
      </c>
      <c r="B995" s="5">
        <v>988</v>
      </c>
      <c r="C995">
        <v>2974</v>
      </c>
      <c r="D995" t="s">
        <v>2227</v>
      </c>
      <c r="E995" t="s">
        <v>1053</v>
      </c>
      <c r="F995" t="s">
        <v>328</v>
      </c>
      <c r="G995" t="s">
        <v>28430</v>
      </c>
      <c r="H995">
        <v>19.899999999999999</v>
      </c>
      <c r="I995">
        <v>0</v>
      </c>
      <c r="J995">
        <v>0</v>
      </c>
      <c r="K995">
        <v>20</v>
      </c>
      <c r="N995">
        <v>3</v>
      </c>
      <c r="O995">
        <v>3</v>
      </c>
      <c r="P995">
        <v>4</v>
      </c>
      <c r="Q995">
        <v>2</v>
      </c>
      <c r="R995">
        <v>48.9</v>
      </c>
      <c r="S995">
        <v>3</v>
      </c>
      <c r="T995">
        <v>3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3</v>
      </c>
      <c r="AB995">
        <v>0</v>
      </c>
      <c r="AC995">
        <v>0</v>
      </c>
      <c r="AH995">
        <v>51.9</v>
      </c>
    </row>
    <row r="996" spans="1:34" x14ac:dyDescent="0.3">
      <c r="A996" s="4">
        <v>1181</v>
      </c>
      <c r="B996" s="5">
        <v>989</v>
      </c>
      <c r="C996">
        <v>10745</v>
      </c>
      <c r="D996" t="s">
        <v>28431</v>
      </c>
      <c r="E996" t="s">
        <v>34</v>
      </c>
      <c r="F996" t="s">
        <v>385</v>
      </c>
      <c r="G996" t="s">
        <v>28432</v>
      </c>
      <c r="H996">
        <v>17.899999999999999</v>
      </c>
      <c r="I996">
        <v>0</v>
      </c>
      <c r="J996">
        <v>0</v>
      </c>
      <c r="K996">
        <v>20</v>
      </c>
      <c r="L996">
        <v>7</v>
      </c>
      <c r="O996">
        <v>7</v>
      </c>
      <c r="P996">
        <v>4</v>
      </c>
      <c r="Q996">
        <v>0</v>
      </c>
      <c r="R996">
        <v>48.9</v>
      </c>
      <c r="S996">
        <v>3</v>
      </c>
      <c r="T996">
        <v>3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3</v>
      </c>
      <c r="AB996">
        <v>0</v>
      </c>
      <c r="AC996">
        <v>0</v>
      </c>
      <c r="AH996">
        <v>51.9</v>
      </c>
    </row>
    <row r="997" spans="1:34" x14ac:dyDescent="0.3">
      <c r="A997" s="4">
        <v>1182</v>
      </c>
      <c r="B997" s="5">
        <v>990</v>
      </c>
      <c r="C997">
        <v>12610</v>
      </c>
      <c r="D997" t="s">
        <v>28433</v>
      </c>
      <c r="E997" t="s">
        <v>5539</v>
      </c>
      <c r="F997" t="s">
        <v>38</v>
      </c>
      <c r="G997" t="s">
        <v>28434</v>
      </c>
      <c r="H997">
        <v>17.850000000000001</v>
      </c>
      <c r="I997">
        <v>0</v>
      </c>
      <c r="J997">
        <v>0</v>
      </c>
      <c r="K997">
        <v>20</v>
      </c>
      <c r="L997">
        <v>7</v>
      </c>
      <c r="N997">
        <v>3</v>
      </c>
      <c r="O997">
        <v>10</v>
      </c>
      <c r="P997">
        <v>4</v>
      </c>
      <c r="Q997">
        <v>0</v>
      </c>
      <c r="R997">
        <v>51.85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H997">
        <v>51.85</v>
      </c>
    </row>
    <row r="998" spans="1:34" x14ac:dyDescent="0.3">
      <c r="A998" s="4">
        <v>1183</v>
      </c>
      <c r="B998" s="5">
        <v>991</v>
      </c>
      <c r="C998">
        <v>11086</v>
      </c>
      <c r="D998" t="s">
        <v>28435</v>
      </c>
      <c r="E998" t="s">
        <v>33</v>
      </c>
      <c r="F998" t="s">
        <v>3130</v>
      </c>
      <c r="G998" t="s">
        <v>28436</v>
      </c>
      <c r="H998">
        <v>20.65</v>
      </c>
      <c r="I998">
        <v>0</v>
      </c>
      <c r="J998">
        <v>0</v>
      </c>
      <c r="K998">
        <v>20</v>
      </c>
      <c r="L998">
        <v>7</v>
      </c>
      <c r="O998">
        <v>7</v>
      </c>
      <c r="P998">
        <v>4</v>
      </c>
      <c r="Q998">
        <v>0</v>
      </c>
      <c r="R998">
        <v>51.65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H998">
        <v>51.65</v>
      </c>
    </row>
    <row r="999" spans="1:34" x14ac:dyDescent="0.3">
      <c r="A999" s="4">
        <v>1184</v>
      </c>
      <c r="B999" s="5">
        <v>992</v>
      </c>
      <c r="C999">
        <v>1574</v>
      </c>
      <c r="D999" t="s">
        <v>28437</v>
      </c>
      <c r="E999" t="s">
        <v>4695</v>
      </c>
      <c r="F999" t="s">
        <v>68</v>
      </c>
      <c r="G999" t="s">
        <v>28438</v>
      </c>
      <c r="H999">
        <v>19.649999999999999</v>
      </c>
      <c r="I999">
        <v>0</v>
      </c>
      <c r="J999">
        <v>0</v>
      </c>
      <c r="K999">
        <v>20</v>
      </c>
      <c r="O999">
        <v>0</v>
      </c>
      <c r="P999">
        <v>4</v>
      </c>
      <c r="Q999">
        <v>0</v>
      </c>
      <c r="R999">
        <v>43.65</v>
      </c>
      <c r="S999">
        <v>8</v>
      </c>
      <c r="T999">
        <v>8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8</v>
      </c>
      <c r="AB999">
        <v>0</v>
      </c>
      <c r="AC999">
        <v>0</v>
      </c>
      <c r="AH999">
        <v>51.65</v>
      </c>
    </row>
    <row r="1000" spans="1:34" x14ac:dyDescent="0.3">
      <c r="A1000" s="4">
        <v>1185</v>
      </c>
      <c r="B1000" s="5">
        <v>993</v>
      </c>
      <c r="C1000">
        <v>1510</v>
      </c>
      <c r="D1000" t="s">
        <v>28439</v>
      </c>
      <c r="E1000" t="s">
        <v>1526</v>
      </c>
      <c r="F1000" t="s">
        <v>68</v>
      </c>
      <c r="G1000">
        <v>263637040</v>
      </c>
      <c r="H1000">
        <v>20.63</v>
      </c>
      <c r="I1000">
        <v>0</v>
      </c>
      <c r="J1000">
        <v>0</v>
      </c>
      <c r="K1000">
        <v>20</v>
      </c>
      <c r="L1000">
        <v>7</v>
      </c>
      <c r="O1000">
        <v>7</v>
      </c>
      <c r="P1000">
        <v>4</v>
      </c>
      <c r="Q1000">
        <v>0</v>
      </c>
      <c r="R1000">
        <v>51.63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H1000">
        <v>51.63</v>
      </c>
    </row>
    <row r="1001" spans="1:34" x14ac:dyDescent="0.3">
      <c r="A1001" s="4">
        <v>1186</v>
      </c>
      <c r="B1001" s="5">
        <v>994</v>
      </c>
      <c r="C1001">
        <v>1228</v>
      </c>
      <c r="D1001" t="s">
        <v>2073</v>
      </c>
      <c r="E1001" t="s">
        <v>837</v>
      </c>
      <c r="F1001" t="s">
        <v>124</v>
      </c>
      <c r="G1001" t="s">
        <v>28440</v>
      </c>
      <c r="H1001">
        <v>17.55</v>
      </c>
      <c r="I1001">
        <v>0</v>
      </c>
      <c r="J1001">
        <v>0</v>
      </c>
      <c r="K1001">
        <v>20</v>
      </c>
      <c r="L1001">
        <v>7</v>
      </c>
      <c r="O1001">
        <v>7</v>
      </c>
      <c r="P1001">
        <v>4</v>
      </c>
      <c r="Q1001">
        <v>0</v>
      </c>
      <c r="R1001">
        <v>48.55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3</v>
      </c>
      <c r="AC1001">
        <v>0</v>
      </c>
      <c r="AH1001">
        <v>51.55</v>
      </c>
    </row>
    <row r="1002" spans="1:34" x14ac:dyDescent="0.3">
      <c r="A1002" s="4">
        <v>1187</v>
      </c>
      <c r="B1002" s="5">
        <v>995</v>
      </c>
      <c r="C1002">
        <v>5324</v>
      </c>
      <c r="D1002" t="s">
        <v>2978</v>
      </c>
      <c r="E1002" t="s">
        <v>100</v>
      </c>
      <c r="F1002" t="s">
        <v>91</v>
      </c>
      <c r="G1002" t="s">
        <v>28441</v>
      </c>
      <c r="H1002">
        <v>19.53</v>
      </c>
      <c r="I1002">
        <v>0</v>
      </c>
      <c r="J1002">
        <v>0</v>
      </c>
      <c r="K1002">
        <v>20</v>
      </c>
      <c r="O1002">
        <v>0</v>
      </c>
      <c r="P1002">
        <v>4</v>
      </c>
      <c r="Q1002">
        <v>2</v>
      </c>
      <c r="R1002">
        <v>45.53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6</v>
      </c>
      <c r="AC1002">
        <v>0</v>
      </c>
      <c r="AH1002">
        <v>51.53</v>
      </c>
    </row>
    <row r="1003" spans="1:34" x14ac:dyDescent="0.3">
      <c r="A1003" s="4">
        <v>1188</v>
      </c>
      <c r="B1003" s="5">
        <v>996</v>
      </c>
      <c r="C1003">
        <v>292</v>
      </c>
      <c r="D1003" t="s">
        <v>7982</v>
      </c>
      <c r="E1003" t="s">
        <v>54</v>
      </c>
      <c r="F1003" t="s">
        <v>30</v>
      </c>
      <c r="G1003" t="s">
        <v>28442</v>
      </c>
      <c r="H1003">
        <v>17.5</v>
      </c>
      <c r="I1003">
        <v>0</v>
      </c>
      <c r="J1003">
        <v>0</v>
      </c>
      <c r="K1003">
        <v>0</v>
      </c>
      <c r="L1003">
        <v>7</v>
      </c>
      <c r="M1003">
        <v>5</v>
      </c>
      <c r="O1003">
        <v>12</v>
      </c>
      <c r="P1003">
        <v>4</v>
      </c>
      <c r="Q1003">
        <v>2</v>
      </c>
      <c r="R1003">
        <v>35.5</v>
      </c>
      <c r="S1003">
        <v>0</v>
      </c>
      <c r="T1003">
        <v>0</v>
      </c>
      <c r="U1003">
        <v>0</v>
      </c>
      <c r="V1003">
        <v>0</v>
      </c>
      <c r="W1003">
        <v>7</v>
      </c>
      <c r="X1003">
        <v>10</v>
      </c>
      <c r="Y1003">
        <v>0</v>
      </c>
      <c r="Z1003">
        <v>0</v>
      </c>
      <c r="AA1003">
        <v>10</v>
      </c>
      <c r="AB1003">
        <v>6</v>
      </c>
      <c r="AC1003">
        <v>0</v>
      </c>
      <c r="AH1003">
        <v>51.5</v>
      </c>
    </row>
    <row r="1004" spans="1:34" x14ac:dyDescent="0.3">
      <c r="A1004" s="4">
        <v>1189</v>
      </c>
      <c r="B1004" s="5">
        <v>997</v>
      </c>
      <c r="C1004">
        <v>10571</v>
      </c>
      <c r="D1004" t="s">
        <v>8556</v>
      </c>
      <c r="E1004" t="s">
        <v>22</v>
      </c>
      <c r="F1004" t="s">
        <v>1450</v>
      </c>
      <c r="G1004" t="s">
        <v>28443</v>
      </c>
      <c r="H1004">
        <v>15.48</v>
      </c>
      <c r="I1004">
        <v>0</v>
      </c>
      <c r="J1004">
        <v>0</v>
      </c>
      <c r="K1004">
        <v>0</v>
      </c>
      <c r="N1004">
        <v>3</v>
      </c>
      <c r="O1004">
        <v>3</v>
      </c>
      <c r="P1004">
        <v>4</v>
      </c>
      <c r="Q1004">
        <v>2</v>
      </c>
      <c r="R1004">
        <v>24.48</v>
      </c>
      <c r="S1004">
        <v>27</v>
      </c>
      <c r="T1004">
        <v>27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27</v>
      </c>
      <c r="AB1004">
        <v>0</v>
      </c>
      <c r="AC1004">
        <v>0</v>
      </c>
      <c r="AH1004">
        <v>51.48</v>
      </c>
    </row>
    <row r="1005" spans="1:34" x14ac:dyDescent="0.3">
      <c r="A1005" s="4">
        <v>1190</v>
      </c>
      <c r="B1005" s="5">
        <v>998</v>
      </c>
      <c r="C1005">
        <v>7328</v>
      </c>
      <c r="D1005" t="s">
        <v>10649</v>
      </c>
      <c r="E1005" t="s">
        <v>28444</v>
      </c>
      <c r="F1005" t="s">
        <v>20</v>
      </c>
      <c r="G1005" t="s">
        <v>28445</v>
      </c>
      <c r="H1005">
        <v>17.45</v>
      </c>
      <c r="I1005">
        <v>0</v>
      </c>
      <c r="J1005">
        <v>0</v>
      </c>
      <c r="K1005">
        <v>20</v>
      </c>
      <c r="L1005">
        <v>7</v>
      </c>
      <c r="O1005">
        <v>7</v>
      </c>
      <c r="P1005">
        <v>4</v>
      </c>
      <c r="Q1005">
        <v>0</v>
      </c>
      <c r="R1005">
        <v>48.45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3</v>
      </c>
      <c r="AC1005">
        <v>0</v>
      </c>
      <c r="AH1005">
        <v>51.45</v>
      </c>
    </row>
    <row r="1006" spans="1:34" x14ac:dyDescent="0.3">
      <c r="A1006" s="4">
        <v>1191</v>
      </c>
      <c r="B1006" s="5">
        <v>999</v>
      </c>
      <c r="C1006">
        <v>4887</v>
      </c>
      <c r="D1006" t="s">
        <v>1707</v>
      </c>
      <c r="E1006" t="s">
        <v>4033</v>
      </c>
      <c r="F1006" t="s">
        <v>81</v>
      </c>
      <c r="G1006" t="s">
        <v>28446</v>
      </c>
      <c r="H1006">
        <v>19.399999999999999</v>
      </c>
      <c r="I1006">
        <v>0</v>
      </c>
      <c r="J1006">
        <v>0</v>
      </c>
      <c r="K1006">
        <v>20</v>
      </c>
      <c r="N1006">
        <v>3</v>
      </c>
      <c r="O1006">
        <v>3</v>
      </c>
      <c r="P1006">
        <v>4</v>
      </c>
      <c r="Q1006">
        <v>0</v>
      </c>
      <c r="R1006">
        <v>46.4</v>
      </c>
      <c r="S1006">
        <v>5</v>
      </c>
      <c r="T1006">
        <v>5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5</v>
      </c>
      <c r="AB1006">
        <v>0</v>
      </c>
      <c r="AC1006">
        <v>0</v>
      </c>
      <c r="AH1006">
        <v>51.4</v>
      </c>
    </row>
    <row r="1007" spans="1:34" x14ac:dyDescent="0.3">
      <c r="A1007" s="4">
        <v>1192</v>
      </c>
      <c r="B1007" s="5">
        <v>1000</v>
      </c>
      <c r="C1007">
        <v>6536</v>
      </c>
      <c r="D1007" t="s">
        <v>28447</v>
      </c>
      <c r="E1007" t="s">
        <v>28448</v>
      </c>
      <c r="F1007" t="s">
        <v>28449</v>
      </c>
      <c r="G1007" t="s">
        <v>28450</v>
      </c>
      <c r="H1007">
        <v>20.38</v>
      </c>
      <c r="I1007">
        <v>0</v>
      </c>
      <c r="J1007">
        <v>0</v>
      </c>
      <c r="K1007">
        <v>20</v>
      </c>
      <c r="L1007">
        <v>7</v>
      </c>
      <c r="O1007">
        <v>7</v>
      </c>
      <c r="P1007">
        <v>4</v>
      </c>
      <c r="Q1007">
        <v>0</v>
      </c>
      <c r="R1007">
        <v>51.38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H1007">
        <v>51.38</v>
      </c>
    </row>
    <row r="1008" spans="1:34" x14ac:dyDescent="0.3">
      <c r="A1008" s="4">
        <v>1193</v>
      </c>
      <c r="B1008" s="5">
        <v>1001</v>
      </c>
      <c r="C1008">
        <v>5739</v>
      </c>
      <c r="D1008" t="s">
        <v>3423</v>
      </c>
      <c r="E1008" t="s">
        <v>29</v>
      </c>
      <c r="F1008" t="s">
        <v>227</v>
      </c>
      <c r="G1008" t="s">
        <v>15317</v>
      </c>
      <c r="H1008">
        <v>16.3</v>
      </c>
      <c r="I1008">
        <v>7</v>
      </c>
      <c r="J1008">
        <v>0</v>
      </c>
      <c r="K1008">
        <v>0</v>
      </c>
      <c r="N1008">
        <v>3</v>
      </c>
      <c r="O1008">
        <v>3</v>
      </c>
      <c r="P1008">
        <v>4</v>
      </c>
      <c r="Q1008">
        <v>0</v>
      </c>
      <c r="R1008">
        <v>30.3</v>
      </c>
      <c r="S1008">
        <v>15</v>
      </c>
      <c r="T1008">
        <v>15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15</v>
      </c>
      <c r="AB1008">
        <v>6</v>
      </c>
      <c r="AC1008">
        <v>0</v>
      </c>
      <c r="AH1008">
        <v>51.3</v>
      </c>
    </row>
    <row r="1009" spans="1:34" x14ac:dyDescent="0.3">
      <c r="A1009" s="4">
        <v>1194</v>
      </c>
      <c r="B1009" s="5">
        <v>1002</v>
      </c>
      <c r="C1009">
        <v>7928</v>
      </c>
      <c r="D1009" t="s">
        <v>26611</v>
      </c>
      <c r="E1009" t="s">
        <v>789</v>
      </c>
      <c r="F1009" t="s">
        <v>52</v>
      </c>
      <c r="G1009" t="s">
        <v>28451</v>
      </c>
      <c r="H1009">
        <v>18.3</v>
      </c>
      <c r="I1009">
        <v>0</v>
      </c>
      <c r="J1009">
        <v>0</v>
      </c>
      <c r="K1009">
        <v>20</v>
      </c>
      <c r="L1009">
        <v>7</v>
      </c>
      <c r="O1009">
        <v>7</v>
      </c>
      <c r="P1009">
        <v>4</v>
      </c>
      <c r="Q1009">
        <v>2</v>
      </c>
      <c r="R1009">
        <v>51.3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H1009">
        <v>51.3</v>
      </c>
    </row>
    <row r="1010" spans="1:34" x14ac:dyDescent="0.3">
      <c r="A1010" s="4">
        <v>1195</v>
      </c>
      <c r="B1010" s="5">
        <v>1003</v>
      </c>
      <c r="C1010">
        <v>9437</v>
      </c>
      <c r="D1010" t="s">
        <v>28452</v>
      </c>
      <c r="E1010" t="s">
        <v>837</v>
      </c>
      <c r="F1010" t="s">
        <v>20</v>
      </c>
      <c r="G1010" t="s">
        <v>28453</v>
      </c>
      <c r="H1010">
        <v>16.28</v>
      </c>
      <c r="I1010">
        <v>0</v>
      </c>
      <c r="J1010">
        <v>0</v>
      </c>
      <c r="K1010">
        <v>20</v>
      </c>
      <c r="M1010">
        <v>5</v>
      </c>
      <c r="O1010">
        <v>5</v>
      </c>
      <c r="P1010">
        <v>4</v>
      </c>
      <c r="Q1010">
        <v>0</v>
      </c>
      <c r="R1010">
        <v>45.28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6</v>
      </c>
      <c r="AC1010">
        <v>0</v>
      </c>
      <c r="AH1010">
        <v>51.28</v>
      </c>
    </row>
    <row r="1011" spans="1:34" x14ac:dyDescent="0.3">
      <c r="A1011" s="4">
        <v>1196</v>
      </c>
      <c r="B1011" s="5">
        <v>1004</v>
      </c>
      <c r="C1011">
        <v>1525</v>
      </c>
      <c r="D1011" t="s">
        <v>490</v>
      </c>
      <c r="E1011" t="s">
        <v>3948</v>
      </c>
      <c r="F1011" t="s">
        <v>20</v>
      </c>
      <c r="G1011" t="s">
        <v>28454</v>
      </c>
      <c r="H1011">
        <v>17.2</v>
      </c>
      <c r="I1011">
        <v>0</v>
      </c>
      <c r="J1011">
        <v>0</v>
      </c>
      <c r="K1011">
        <v>20</v>
      </c>
      <c r="L1011">
        <v>7</v>
      </c>
      <c r="N1011">
        <v>3</v>
      </c>
      <c r="O1011">
        <v>10</v>
      </c>
      <c r="P1011">
        <v>4</v>
      </c>
      <c r="Q1011">
        <v>0</v>
      </c>
      <c r="R1011">
        <v>51.2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H1011">
        <v>51.2</v>
      </c>
    </row>
    <row r="1012" spans="1:34" x14ac:dyDescent="0.3">
      <c r="A1012" s="4">
        <v>1197</v>
      </c>
      <c r="B1012" s="5">
        <v>1005</v>
      </c>
      <c r="C1012">
        <v>8514</v>
      </c>
      <c r="D1012" t="s">
        <v>28455</v>
      </c>
      <c r="E1012" t="s">
        <v>54</v>
      </c>
      <c r="F1012" t="s">
        <v>81</v>
      </c>
      <c r="G1012" t="s">
        <v>28456</v>
      </c>
      <c r="H1012">
        <v>17.100000000000001</v>
      </c>
      <c r="I1012">
        <v>0</v>
      </c>
      <c r="J1012">
        <v>0</v>
      </c>
      <c r="K1012">
        <v>20</v>
      </c>
      <c r="L1012">
        <v>7</v>
      </c>
      <c r="O1012">
        <v>7</v>
      </c>
      <c r="P1012">
        <v>0</v>
      </c>
      <c r="Q1012">
        <v>0</v>
      </c>
      <c r="R1012">
        <v>44.1</v>
      </c>
      <c r="S1012">
        <v>7</v>
      </c>
      <c r="T1012">
        <v>7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7</v>
      </c>
      <c r="AB1012">
        <v>0</v>
      </c>
      <c r="AC1012">
        <v>0</v>
      </c>
      <c r="AH1012">
        <v>51.1</v>
      </c>
    </row>
    <row r="1013" spans="1:34" x14ac:dyDescent="0.3">
      <c r="A1013" s="4">
        <v>1198</v>
      </c>
      <c r="B1013" s="5">
        <v>1006</v>
      </c>
      <c r="C1013">
        <v>11003</v>
      </c>
      <c r="D1013" t="s">
        <v>3181</v>
      </c>
      <c r="E1013" t="s">
        <v>7873</v>
      </c>
      <c r="F1013" t="s">
        <v>927</v>
      </c>
      <c r="G1013" t="s">
        <v>28457</v>
      </c>
      <c r="H1013">
        <v>16.95</v>
      </c>
      <c r="I1013">
        <v>0</v>
      </c>
      <c r="J1013">
        <v>0</v>
      </c>
      <c r="K1013">
        <v>20</v>
      </c>
      <c r="M1013">
        <v>5</v>
      </c>
      <c r="N1013">
        <v>3</v>
      </c>
      <c r="O1013">
        <v>8</v>
      </c>
      <c r="P1013">
        <v>4</v>
      </c>
      <c r="Q1013">
        <v>2</v>
      </c>
      <c r="R1013">
        <v>50.95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 t="s">
        <v>130</v>
      </c>
      <c r="AH1013">
        <v>50.95</v>
      </c>
    </row>
    <row r="1014" spans="1:34" x14ac:dyDescent="0.3">
      <c r="A1014" s="4">
        <v>1199</v>
      </c>
      <c r="B1014" s="5">
        <v>1007</v>
      </c>
      <c r="C1014">
        <v>3907</v>
      </c>
      <c r="D1014" t="s">
        <v>28458</v>
      </c>
      <c r="E1014" t="s">
        <v>258</v>
      </c>
      <c r="F1014" t="s">
        <v>28459</v>
      </c>
      <c r="G1014" t="s">
        <v>28460</v>
      </c>
      <c r="H1014">
        <v>18.93</v>
      </c>
      <c r="I1014">
        <v>0</v>
      </c>
      <c r="J1014">
        <v>0</v>
      </c>
      <c r="K1014">
        <v>20</v>
      </c>
      <c r="N1014">
        <v>3</v>
      </c>
      <c r="O1014">
        <v>3</v>
      </c>
      <c r="P1014">
        <v>4</v>
      </c>
      <c r="Q1014">
        <v>2</v>
      </c>
      <c r="R1014">
        <v>47.93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3</v>
      </c>
      <c r="AC1014">
        <v>0</v>
      </c>
      <c r="AH1014">
        <v>50.93</v>
      </c>
    </row>
    <row r="1015" spans="1:34" x14ac:dyDescent="0.3">
      <c r="A1015" s="4">
        <v>1200</v>
      </c>
      <c r="B1015" s="5">
        <v>1008</v>
      </c>
      <c r="C1015">
        <v>6347</v>
      </c>
      <c r="D1015" t="s">
        <v>28461</v>
      </c>
      <c r="E1015" t="s">
        <v>124</v>
      </c>
      <c r="F1015" t="s">
        <v>328</v>
      </c>
      <c r="G1015" t="s">
        <v>28462</v>
      </c>
      <c r="H1015">
        <v>19.88</v>
      </c>
      <c r="I1015">
        <v>0</v>
      </c>
      <c r="J1015">
        <v>0</v>
      </c>
      <c r="K1015">
        <v>20</v>
      </c>
      <c r="L1015">
        <v>7</v>
      </c>
      <c r="O1015">
        <v>7</v>
      </c>
      <c r="P1015">
        <v>4</v>
      </c>
      <c r="Q1015">
        <v>0</v>
      </c>
      <c r="R1015">
        <v>50.88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H1015">
        <v>50.88</v>
      </c>
    </row>
    <row r="1016" spans="1:34" x14ac:dyDescent="0.3">
      <c r="A1016" s="4">
        <v>1201</v>
      </c>
      <c r="B1016" s="5">
        <v>1009</v>
      </c>
      <c r="C1016">
        <v>11255</v>
      </c>
      <c r="D1016" t="s">
        <v>18955</v>
      </c>
      <c r="E1016" t="s">
        <v>54</v>
      </c>
      <c r="F1016" t="s">
        <v>68</v>
      </c>
      <c r="G1016" t="s">
        <v>28463</v>
      </c>
      <c r="H1016">
        <v>15.88</v>
      </c>
      <c r="I1016">
        <v>0</v>
      </c>
      <c r="J1016">
        <v>0</v>
      </c>
      <c r="K1016">
        <v>0</v>
      </c>
      <c r="N1016">
        <v>3</v>
      </c>
      <c r="O1016">
        <v>3</v>
      </c>
      <c r="P1016">
        <v>4</v>
      </c>
      <c r="Q1016">
        <v>2</v>
      </c>
      <c r="R1016">
        <v>24.88</v>
      </c>
      <c r="S1016">
        <v>26</v>
      </c>
      <c r="T1016">
        <v>26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26</v>
      </c>
      <c r="AB1016">
        <v>0</v>
      </c>
      <c r="AC1016">
        <v>0</v>
      </c>
      <c r="AD1016" t="s">
        <v>130</v>
      </c>
      <c r="AH1016">
        <v>50.88</v>
      </c>
    </row>
    <row r="1017" spans="1:34" x14ac:dyDescent="0.3">
      <c r="A1017" s="4">
        <v>1202</v>
      </c>
      <c r="B1017" s="5">
        <v>1010</v>
      </c>
      <c r="C1017">
        <v>5305</v>
      </c>
      <c r="D1017" t="s">
        <v>28464</v>
      </c>
      <c r="E1017" t="s">
        <v>213</v>
      </c>
      <c r="F1017" t="s">
        <v>20</v>
      </c>
      <c r="G1017" t="s">
        <v>28465</v>
      </c>
      <c r="H1017">
        <v>21.83</v>
      </c>
      <c r="I1017">
        <v>0</v>
      </c>
      <c r="J1017">
        <v>0</v>
      </c>
      <c r="K1017">
        <v>20</v>
      </c>
      <c r="M1017">
        <v>5</v>
      </c>
      <c r="O1017">
        <v>5</v>
      </c>
      <c r="P1017">
        <v>4</v>
      </c>
      <c r="Q1017">
        <v>0</v>
      </c>
      <c r="R1017">
        <v>50.83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H1017">
        <v>50.83</v>
      </c>
    </row>
    <row r="1018" spans="1:34" x14ac:dyDescent="0.3">
      <c r="A1018" s="4">
        <v>1203</v>
      </c>
      <c r="B1018" s="5">
        <v>1011</v>
      </c>
      <c r="C1018">
        <v>7945</v>
      </c>
      <c r="D1018" t="s">
        <v>28466</v>
      </c>
      <c r="E1018" t="s">
        <v>20</v>
      </c>
      <c r="F1018" t="s">
        <v>79</v>
      </c>
      <c r="G1018" t="s">
        <v>28467</v>
      </c>
      <c r="H1018">
        <v>19.75</v>
      </c>
      <c r="I1018">
        <v>0</v>
      </c>
      <c r="J1018">
        <v>0</v>
      </c>
      <c r="K1018">
        <v>20</v>
      </c>
      <c r="L1018">
        <v>7</v>
      </c>
      <c r="O1018">
        <v>7</v>
      </c>
      <c r="P1018">
        <v>4</v>
      </c>
      <c r="Q1018">
        <v>0</v>
      </c>
      <c r="R1018">
        <v>50.75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H1018">
        <v>50.75</v>
      </c>
    </row>
    <row r="1019" spans="1:34" x14ac:dyDescent="0.3">
      <c r="A1019" s="4">
        <v>1204</v>
      </c>
      <c r="B1019" s="5">
        <v>1012</v>
      </c>
      <c r="C1019">
        <v>4589</v>
      </c>
      <c r="D1019" t="s">
        <v>24251</v>
      </c>
      <c r="E1019" t="s">
        <v>28468</v>
      </c>
      <c r="F1019" t="s">
        <v>1450</v>
      </c>
      <c r="G1019" t="s">
        <v>28469</v>
      </c>
      <c r="H1019">
        <v>15.65</v>
      </c>
      <c r="I1019">
        <v>0</v>
      </c>
      <c r="J1019">
        <v>0</v>
      </c>
      <c r="K1019">
        <v>0</v>
      </c>
      <c r="N1019">
        <v>3</v>
      </c>
      <c r="O1019">
        <v>3</v>
      </c>
      <c r="P1019">
        <v>4</v>
      </c>
      <c r="Q1019">
        <v>2</v>
      </c>
      <c r="R1019">
        <v>24.65</v>
      </c>
      <c r="S1019">
        <v>26</v>
      </c>
      <c r="T1019">
        <v>26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26</v>
      </c>
      <c r="AB1019">
        <v>0</v>
      </c>
      <c r="AC1019">
        <v>0</v>
      </c>
      <c r="AH1019">
        <v>50.65</v>
      </c>
    </row>
    <row r="1020" spans="1:34" x14ac:dyDescent="0.3">
      <c r="A1020" s="4">
        <v>1205</v>
      </c>
      <c r="B1020" s="5">
        <v>1013</v>
      </c>
      <c r="C1020">
        <v>5004</v>
      </c>
      <c r="D1020" t="s">
        <v>28470</v>
      </c>
      <c r="E1020" t="s">
        <v>54</v>
      </c>
      <c r="F1020" t="s">
        <v>38</v>
      </c>
      <c r="G1020" t="s">
        <v>28471</v>
      </c>
      <c r="H1020">
        <v>17.38</v>
      </c>
      <c r="I1020">
        <v>0</v>
      </c>
      <c r="J1020">
        <v>0</v>
      </c>
      <c r="K1020">
        <v>0</v>
      </c>
      <c r="N1020">
        <v>3</v>
      </c>
      <c r="O1020">
        <v>3</v>
      </c>
      <c r="P1020">
        <v>4</v>
      </c>
      <c r="Q1020">
        <v>2</v>
      </c>
      <c r="R1020">
        <v>26.38</v>
      </c>
      <c r="S1020">
        <v>24</v>
      </c>
      <c r="T1020">
        <v>24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24</v>
      </c>
      <c r="AB1020">
        <v>0</v>
      </c>
      <c r="AC1020">
        <v>0</v>
      </c>
      <c r="AH1020">
        <v>50.38</v>
      </c>
    </row>
    <row r="1021" spans="1:34" x14ac:dyDescent="0.3">
      <c r="A1021" s="4">
        <v>1206</v>
      </c>
      <c r="B1021" s="5">
        <v>1014</v>
      </c>
      <c r="C1021">
        <v>5884</v>
      </c>
      <c r="D1021" t="s">
        <v>28472</v>
      </c>
      <c r="E1021" t="s">
        <v>136</v>
      </c>
      <c r="F1021" t="s">
        <v>38</v>
      </c>
      <c r="G1021" t="s">
        <v>28473</v>
      </c>
      <c r="H1021">
        <v>17.3</v>
      </c>
      <c r="I1021">
        <v>0</v>
      </c>
      <c r="J1021">
        <v>0</v>
      </c>
      <c r="K1021">
        <v>20</v>
      </c>
      <c r="L1021">
        <v>7</v>
      </c>
      <c r="O1021">
        <v>7</v>
      </c>
      <c r="P1021">
        <v>4</v>
      </c>
      <c r="Q1021">
        <v>2</v>
      </c>
      <c r="R1021">
        <v>50.3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H1021">
        <v>50.3</v>
      </c>
    </row>
    <row r="1022" spans="1:34" x14ac:dyDescent="0.3">
      <c r="A1022" s="4">
        <v>1207</v>
      </c>
      <c r="B1022" s="5">
        <v>1015</v>
      </c>
      <c r="C1022">
        <v>13071</v>
      </c>
      <c r="D1022" t="s">
        <v>1260</v>
      </c>
      <c r="E1022" t="s">
        <v>28474</v>
      </c>
      <c r="F1022" t="s">
        <v>28475</v>
      </c>
      <c r="G1022" t="s">
        <v>28476</v>
      </c>
      <c r="H1022">
        <v>19.28</v>
      </c>
      <c r="I1022">
        <v>0</v>
      </c>
      <c r="J1022">
        <v>0</v>
      </c>
      <c r="K1022">
        <v>0</v>
      </c>
      <c r="N1022">
        <v>6</v>
      </c>
      <c r="O1022">
        <v>6</v>
      </c>
      <c r="P1022">
        <v>4</v>
      </c>
      <c r="Q1022">
        <v>2</v>
      </c>
      <c r="R1022">
        <v>31.28</v>
      </c>
      <c r="S1022">
        <v>16</v>
      </c>
      <c r="T1022">
        <v>16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16</v>
      </c>
      <c r="AB1022">
        <v>3</v>
      </c>
      <c r="AC1022">
        <v>0</v>
      </c>
      <c r="AH1022">
        <v>50.28</v>
      </c>
    </row>
    <row r="1023" spans="1:34" x14ac:dyDescent="0.3">
      <c r="A1023" s="4">
        <v>1208</v>
      </c>
      <c r="B1023" s="5">
        <v>1016</v>
      </c>
      <c r="C1023">
        <v>9292</v>
      </c>
      <c r="D1023" t="s">
        <v>2666</v>
      </c>
      <c r="E1023" t="s">
        <v>22</v>
      </c>
      <c r="F1023" t="s">
        <v>81</v>
      </c>
      <c r="G1023" t="s">
        <v>28477</v>
      </c>
      <c r="H1023">
        <v>20.28</v>
      </c>
      <c r="I1023">
        <v>0</v>
      </c>
      <c r="J1023">
        <v>0</v>
      </c>
      <c r="K1023">
        <v>0</v>
      </c>
      <c r="N1023">
        <v>3</v>
      </c>
      <c r="O1023">
        <v>3</v>
      </c>
      <c r="P1023">
        <v>4</v>
      </c>
      <c r="Q1023">
        <v>2</v>
      </c>
      <c r="R1023">
        <v>29.28</v>
      </c>
      <c r="S1023">
        <v>18</v>
      </c>
      <c r="T1023">
        <v>18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18</v>
      </c>
      <c r="AB1023">
        <v>3</v>
      </c>
      <c r="AC1023">
        <v>0</v>
      </c>
      <c r="AH1023">
        <v>50.28</v>
      </c>
    </row>
    <row r="1024" spans="1:34" x14ac:dyDescent="0.3">
      <c r="A1024" s="4">
        <v>1209</v>
      </c>
      <c r="B1024" s="5">
        <v>1017</v>
      </c>
      <c r="C1024">
        <v>1623</v>
      </c>
      <c r="D1024" t="s">
        <v>28478</v>
      </c>
      <c r="E1024" t="s">
        <v>1748</v>
      </c>
      <c r="F1024" t="s">
        <v>346</v>
      </c>
      <c r="G1024" t="s">
        <v>28479</v>
      </c>
      <c r="H1024">
        <v>18.25</v>
      </c>
      <c r="I1024">
        <v>0</v>
      </c>
      <c r="J1024">
        <v>0</v>
      </c>
      <c r="K1024">
        <v>20</v>
      </c>
      <c r="N1024">
        <v>3</v>
      </c>
      <c r="O1024">
        <v>3</v>
      </c>
      <c r="P1024">
        <v>4</v>
      </c>
      <c r="Q1024">
        <v>2</v>
      </c>
      <c r="R1024">
        <v>47.25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3</v>
      </c>
      <c r="AC1024">
        <v>0</v>
      </c>
      <c r="AH1024">
        <v>50.25</v>
      </c>
    </row>
    <row r="1025" spans="1:34" x14ac:dyDescent="0.3">
      <c r="A1025" s="4">
        <v>1210</v>
      </c>
      <c r="B1025" s="5">
        <v>1018</v>
      </c>
      <c r="C1025">
        <v>12875</v>
      </c>
      <c r="D1025" t="s">
        <v>2008</v>
      </c>
      <c r="E1025" t="s">
        <v>1576</v>
      </c>
      <c r="F1025" t="s">
        <v>136</v>
      </c>
      <c r="G1025" t="s">
        <v>28480</v>
      </c>
      <c r="H1025">
        <v>18.25</v>
      </c>
      <c r="I1025">
        <v>0</v>
      </c>
      <c r="J1025">
        <v>0</v>
      </c>
      <c r="K1025">
        <v>0</v>
      </c>
      <c r="L1025">
        <v>7</v>
      </c>
      <c r="O1025">
        <v>7</v>
      </c>
      <c r="P1025">
        <v>4</v>
      </c>
      <c r="Q1025">
        <v>2</v>
      </c>
      <c r="R1025">
        <v>31.25</v>
      </c>
      <c r="S1025">
        <v>16</v>
      </c>
      <c r="T1025">
        <v>16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16</v>
      </c>
      <c r="AB1025">
        <v>3</v>
      </c>
      <c r="AC1025">
        <v>0</v>
      </c>
      <c r="AH1025">
        <v>50.25</v>
      </c>
    </row>
    <row r="1026" spans="1:34" x14ac:dyDescent="0.3">
      <c r="A1026" s="4">
        <v>1211</v>
      </c>
      <c r="B1026" s="5">
        <v>1019</v>
      </c>
      <c r="C1026">
        <v>1148</v>
      </c>
      <c r="D1026" t="s">
        <v>7020</v>
      </c>
      <c r="E1026" t="s">
        <v>11546</v>
      </c>
      <c r="F1026" t="s">
        <v>2998</v>
      </c>
      <c r="G1026" t="s">
        <v>28481</v>
      </c>
      <c r="H1026">
        <v>16.43</v>
      </c>
      <c r="I1026">
        <v>0</v>
      </c>
      <c r="J1026">
        <v>0</v>
      </c>
      <c r="K1026">
        <v>0</v>
      </c>
      <c r="N1026">
        <v>3</v>
      </c>
      <c r="O1026">
        <v>3</v>
      </c>
      <c r="P1026">
        <v>4</v>
      </c>
      <c r="Q1026">
        <v>0</v>
      </c>
      <c r="R1026">
        <v>23.43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26.8</v>
      </c>
      <c r="AH1026">
        <v>50.23</v>
      </c>
    </row>
    <row r="1027" spans="1:34" x14ac:dyDescent="0.3">
      <c r="A1027" s="4">
        <v>1212</v>
      </c>
      <c r="B1027" s="5">
        <v>1020</v>
      </c>
      <c r="C1027">
        <v>1873</v>
      </c>
      <c r="D1027" t="s">
        <v>3662</v>
      </c>
      <c r="E1027" t="s">
        <v>88</v>
      </c>
      <c r="F1027" t="s">
        <v>124</v>
      </c>
      <c r="G1027" t="s">
        <v>28482</v>
      </c>
      <c r="H1027">
        <v>19.2</v>
      </c>
      <c r="I1027">
        <v>0</v>
      </c>
      <c r="J1027">
        <v>0</v>
      </c>
      <c r="K1027">
        <v>20</v>
      </c>
      <c r="L1027">
        <v>7</v>
      </c>
      <c r="O1027">
        <v>7</v>
      </c>
      <c r="P1027">
        <v>4</v>
      </c>
      <c r="Q1027">
        <v>0</v>
      </c>
      <c r="R1027">
        <v>50.2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 t="s">
        <v>130</v>
      </c>
      <c r="AH1027">
        <v>50.2</v>
      </c>
    </row>
    <row r="1028" spans="1:34" x14ac:dyDescent="0.3">
      <c r="A1028" s="4">
        <v>1213</v>
      </c>
      <c r="B1028" s="5">
        <v>1021</v>
      </c>
      <c r="C1028">
        <v>11161</v>
      </c>
      <c r="D1028" t="s">
        <v>11419</v>
      </c>
      <c r="E1028" t="s">
        <v>28483</v>
      </c>
      <c r="F1028" t="s">
        <v>17</v>
      </c>
      <c r="G1028" t="s">
        <v>28484</v>
      </c>
      <c r="H1028">
        <v>18.13</v>
      </c>
      <c r="I1028">
        <v>0</v>
      </c>
      <c r="J1028">
        <v>0</v>
      </c>
      <c r="K1028">
        <v>20</v>
      </c>
      <c r="N1028">
        <v>3</v>
      </c>
      <c r="O1028">
        <v>3</v>
      </c>
      <c r="P1028">
        <v>4</v>
      </c>
      <c r="Q1028">
        <v>2</v>
      </c>
      <c r="R1028">
        <v>47.13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3</v>
      </c>
      <c r="AC1028">
        <v>0</v>
      </c>
      <c r="AH1028">
        <v>50.13</v>
      </c>
    </row>
    <row r="1029" spans="1:34" x14ac:dyDescent="0.3">
      <c r="A1029" s="4">
        <v>1214</v>
      </c>
      <c r="B1029" s="5">
        <v>1022</v>
      </c>
      <c r="C1029">
        <v>7257</v>
      </c>
      <c r="D1029" t="s">
        <v>1260</v>
      </c>
      <c r="E1029" t="s">
        <v>33</v>
      </c>
      <c r="F1029" t="s">
        <v>343</v>
      </c>
      <c r="G1029" t="s">
        <v>28485</v>
      </c>
      <c r="H1029">
        <v>19.13</v>
      </c>
      <c r="I1029">
        <v>0</v>
      </c>
      <c r="J1029">
        <v>0</v>
      </c>
      <c r="K1029">
        <v>0</v>
      </c>
      <c r="L1029">
        <v>7</v>
      </c>
      <c r="O1029">
        <v>7</v>
      </c>
      <c r="P1029">
        <v>4</v>
      </c>
      <c r="Q1029">
        <v>2</v>
      </c>
      <c r="R1029">
        <v>32.130000000000003</v>
      </c>
      <c r="S1029">
        <v>18</v>
      </c>
      <c r="T1029">
        <v>18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18</v>
      </c>
      <c r="AB1029">
        <v>0</v>
      </c>
      <c r="AC1029">
        <v>0</v>
      </c>
      <c r="AD1029" t="s">
        <v>130</v>
      </c>
      <c r="AE1029" t="s">
        <v>130</v>
      </c>
      <c r="AH1029">
        <v>50.13</v>
      </c>
    </row>
    <row r="1030" spans="1:34" x14ac:dyDescent="0.3">
      <c r="A1030" s="4">
        <v>1215</v>
      </c>
      <c r="B1030" s="5">
        <v>1023</v>
      </c>
      <c r="C1030">
        <v>14019</v>
      </c>
      <c r="D1030" t="s">
        <v>11464</v>
      </c>
      <c r="E1030" t="s">
        <v>33</v>
      </c>
      <c r="F1030" t="s">
        <v>81</v>
      </c>
      <c r="G1030" t="s">
        <v>28486</v>
      </c>
      <c r="H1030">
        <v>19.05</v>
      </c>
      <c r="I1030">
        <v>0</v>
      </c>
      <c r="J1030">
        <v>0</v>
      </c>
      <c r="K1030">
        <v>20</v>
      </c>
      <c r="L1030">
        <v>7</v>
      </c>
      <c r="O1030">
        <v>7</v>
      </c>
      <c r="P1030">
        <v>4</v>
      </c>
      <c r="Q1030">
        <v>0</v>
      </c>
      <c r="R1030">
        <v>50.05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H1030">
        <v>50.05</v>
      </c>
    </row>
    <row r="1031" spans="1:34" x14ac:dyDescent="0.3">
      <c r="A1031" s="4">
        <v>1216</v>
      </c>
      <c r="B1031" s="5">
        <v>1024</v>
      </c>
      <c r="C1031">
        <v>7057</v>
      </c>
      <c r="D1031" t="s">
        <v>28487</v>
      </c>
      <c r="E1031" t="s">
        <v>17</v>
      </c>
      <c r="F1031" t="s">
        <v>124</v>
      </c>
      <c r="G1031" t="s">
        <v>28488</v>
      </c>
      <c r="H1031">
        <v>17.03</v>
      </c>
      <c r="I1031">
        <v>0</v>
      </c>
      <c r="J1031">
        <v>0</v>
      </c>
      <c r="K1031">
        <v>0</v>
      </c>
      <c r="N1031">
        <v>3</v>
      </c>
      <c r="O1031">
        <v>3</v>
      </c>
      <c r="P1031">
        <v>4</v>
      </c>
      <c r="Q1031">
        <v>0</v>
      </c>
      <c r="R1031">
        <v>24.03</v>
      </c>
      <c r="S1031">
        <v>6</v>
      </c>
      <c r="T1031">
        <v>6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6</v>
      </c>
      <c r="AB1031">
        <v>0</v>
      </c>
      <c r="AC1031">
        <v>20</v>
      </c>
      <c r="AH1031">
        <v>50.03</v>
      </c>
    </row>
    <row r="1032" spans="1:34" x14ac:dyDescent="0.3">
      <c r="A1032" s="4">
        <v>1217</v>
      </c>
      <c r="B1032" s="5">
        <v>1025</v>
      </c>
      <c r="C1032">
        <v>13399</v>
      </c>
      <c r="D1032" t="s">
        <v>13009</v>
      </c>
      <c r="E1032" t="s">
        <v>88</v>
      </c>
      <c r="F1032" t="s">
        <v>117</v>
      </c>
      <c r="G1032" t="s">
        <v>28489</v>
      </c>
      <c r="H1032">
        <v>19</v>
      </c>
      <c r="I1032">
        <v>0</v>
      </c>
      <c r="J1032">
        <v>0</v>
      </c>
      <c r="K1032">
        <v>20</v>
      </c>
      <c r="L1032">
        <v>7</v>
      </c>
      <c r="O1032">
        <v>7</v>
      </c>
      <c r="P1032">
        <v>4</v>
      </c>
      <c r="Q1032">
        <v>0</v>
      </c>
      <c r="R1032">
        <v>50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H1032">
        <v>50</v>
      </c>
    </row>
    <row r="1033" spans="1:34" x14ac:dyDescent="0.3">
      <c r="A1033" s="4">
        <v>1218</v>
      </c>
      <c r="B1033" s="5">
        <v>1026</v>
      </c>
      <c r="C1033">
        <v>5710</v>
      </c>
      <c r="D1033" t="s">
        <v>28490</v>
      </c>
      <c r="E1033" t="s">
        <v>213</v>
      </c>
      <c r="F1033" t="s">
        <v>20</v>
      </c>
      <c r="G1033" t="s">
        <v>28491</v>
      </c>
      <c r="H1033">
        <v>18.75</v>
      </c>
      <c r="I1033">
        <v>0</v>
      </c>
      <c r="J1033">
        <v>0</v>
      </c>
      <c r="K1033">
        <v>0</v>
      </c>
      <c r="L1033">
        <v>7</v>
      </c>
      <c r="O1033">
        <v>7</v>
      </c>
      <c r="P1033">
        <v>4</v>
      </c>
      <c r="Q1033">
        <v>2</v>
      </c>
      <c r="R1033">
        <v>31.75</v>
      </c>
      <c r="S1033">
        <v>18</v>
      </c>
      <c r="T1033">
        <v>18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18</v>
      </c>
      <c r="AB1033">
        <v>0</v>
      </c>
      <c r="AC1033">
        <v>0</v>
      </c>
      <c r="AD1033" t="s">
        <v>130</v>
      </c>
      <c r="AH1033">
        <v>49.75</v>
      </c>
    </row>
    <row r="1034" spans="1:34" x14ac:dyDescent="0.3">
      <c r="A1034" s="4">
        <v>1219</v>
      </c>
      <c r="B1034" s="5">
        <v>1027</v>
      </c>
      <c r="C1034">
        <v>4773</v>
      </c>
      <c r="D1034" t="s">
        <v>28492</v>
      </c>
      <c r="E1034" t="s">
        <v>88</v>
      </c>
      <c r="F1034" t="s">
        <v>68</v>
      </c>
      <c r="G1034" t="s">
        <v>28493</v>
      </c>
      <c r="H1034">
        <v>18.68</v>
      </c>
      <c r="I1034">
        <v>0</v>
      </c>
      <c r="J1034">
        <v>0</v>
      </c>
      <c r="K1034">
        <v>20</v>
      </c>
      <c r="L1034">
        <v>7</v>
      </c>
      <c r="O1034">
        <v>7</v>
      </c>
      <c r="P1034">
        <v>4</v>
      </c>
      <c r="Q1034">
        <v>0</v>
      </c>
      <c r="R1034">
        <v>49.68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H1034">
        <v>49.68</v>
      </c>
    </row>
    <row r="1035" spans="1:34" x14ac:dyDescent="0.3">
      <c r="A1035" s="4">
        <v>1220</v>
      </c>
      <c r="B1035" s="5">
        <v>1028</v>
      </c>
      <c r="C1035">
        <v>2405</v>
      </c>
      <c r="D1035" t="s">
        <v>74</v>
      </c>
      <c r="E1035" t="s">
        <v>178</v>
      </c>
      <c r="F1035" t="s">
        <v>1023</v>
      </c>
      <c r="G1035" t="s">
        <v>28494</v>
      </c>
      <c r="H1035">
        <v>18.68</v>
      </c>
      <c r="I1035">
        <v>0</v>
      </c>
      <c r="J1035">
        <v>0</v>
      </c>
      <c r="K1035">
        <v>20</v>
      </c>
      <c r="L1035">
        <v>7</v>
      </c>
      <c r="O1035">
        <v>7</v>
      </c>
      <c r="P1035">
        <v>4</v>
      </c>
      <c r="Q1035">
        <v>0</v>
      </c>
      <c r="R1035">
        <v>49.68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H1035">
        <v>49.68</v>
      </c>
    </row>
    <row r="1036" spans="1:34" x14ac:dyDescent="0.3">
      <c r="A1036" s="4">
        <v>1221</v>
      </c>
      <c r="B1036" s="5">
        <v>1029</v>
      </c>
      <c r="C1036">
        <v>4983</v>
      </c>
      <c r="D1036" t="s">
        <v>13101</v>
      </c>
      <c r="E1036" t="s">
        <v>29</v>
      </c>
      <c r="F1036" t="s">
        <v>81</v>
      </c>
      <c r="G1036" t="s">
        <v>28495</v>
      </c>
      <c r="H1036">
        <v>20.65</v>
      </c>
      <c r="I1036">
        <v>0</v>
      </c>
      <c r="J1036">
        <v>0</v>
      </c>
      <c r="K1036">
        <v>0</v>
      </c>
      <c r="L1036">
        <v>7</v>
      </c>
      <c r="O1036">
        <v>7</v>
      </c>
      <c r="P1036">
        <v>4</v>
      </c>
      <c r="Q1036">
        <v>2</v>
      </c>
      <c r="R1036">
        <v>33.65</v>
      </c>
      <c r="S1036">
        <v>16</v>
      </c>
      <c r="T1036">
        <v>16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16</v>
      </c>
      <c r="AB1036">
        <v>0</v>
      </c>
      <c r="AC1036">
        <v>0</v>
      </c>
      <c r="AH1036">
        <v>49.65</v>
      </c>
    </row>
    <row r="1037" spans="1:34" x14ac:dyDescent="0.3">
      <c r="A1037" s="4">
        <v>1222</v>
      </c>
      <c r="B1037" s="5">
        <v>1030</v>
      </c>
      <c r="C1037">
        <v>167</v>
      </c>
      <c r="D1037" t="s">
        <v>28210</v>
      </c>
      <c r="E1037" t="s">
        <v>1242</v>
      </c>
      <c r="F1037" t="s">
        <v>81</v>
      </c>
      <c r="G1037" t="s">
        <v>28496</v>
      </c>
      <c r="H1037">
        <v>16.63</v>
      </c>
      <c r="I1037">
        <v>0</v>
      </c>
      <c r="J1037">
        <v>0</v>
      </c>
      <c r="K1037">
        <v>20</v>
      </c>
      <c r="N1037">
        <v>3</v>
      </c>
      <c r="O1037">
        <v>3</v>
      </c>
      <c r="P1037">
        <v>4</v>
      </c>
      <c r="Q1037">
        <v>0</v>
      </c>
      <c r="R1037">
        <v>43.63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6</v>
      </c>
      <c r="AC1037">
        <v>0</v>
      </c>
      <c r="AD1037" t="s">
        <v>130</v>
      </c>
      <c r="AH1037">
        <v>49.63</v>
      </c>
    </row>
    <row r="1038" spans="1:34" x14ac:dyDescent="0.3">
      <c r="A1038" s="4">
        <v>1223</v>
      </c>
      <c r="B1038" s="5">
        <v>1031</v>
      </c>
      <c r="C1038">
        <v>369</v>
      </c>
      <c r="D1038" t="s">
        <v>21906</v>
      </c>
      <c r="E1038" t="s">
        <v>33</v>
      </c>
      <c r="F1038" t="s">
        <v>55</v>
      </c>
      <c r="G1038" t="s">
        <v>28497</v>
      </c>
      <c r="H1038">
        <v>17.63</v>
      </c>
      <c r="I1038">
        <v>0</v>
      </c>
      <c r="J1038">
        <v>0</v>
      </c>
      <c r="K1038">
        <v>0</v>
      </c>
      <c r="O1038">
        <v>0</v>
      </c>
      <c r="P1038">
        <v>4</v>
      </c>
      <c r="Q1038">
        <v>2</v>
      </c>
      <c r="R1038">
        <v>23.63</v>
      </c>
      <c r="S1038">
        <v>26</v>
      </c>
      <c r="T1038">
        <v>26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26</v>
      </c>
      <c r="AB1038">
        <v>0</v>
      </c>
      <c r="AC1038">
        <v>0</v>
      </c>
      <c r="AH1038">
        <v>49.63</v>
      </c>
    </row>
    <row r="1039" spans="1:34" x14ac:dyDescent="0.3">
      <c r="A1039" s="4">
        <v>1224</v>
      </c>
      <c r="B1039" s="5">
        <v>1032</v>
      </c>
      <c r="C1039">
        <v>4866</v>
      </c>
      <c r="D1039" t="s">
        <v>28498</v>
      </c>
      <c r="E1039" t="s">
        <v>1474</v>
      </c>
      <c r="F1039" t="s">
        <v>30</v>
      </c>
      <c r="G1039" t="s">
        <v>28499</v>
      </c>
      <c r="H1039">
        <v>19.600000000000001</v>
      </c>
      <c r="I1039">
        <v>0</v>
      </c>
      <c r="J1039">
        <v>0</v>
      </c>
      <c r="K1039">
        <v>0</v>
      </c>
      <c r="L1039">
        <v>7</v>
      </c>
      <c r="O1039">
        <v>7</v>
      </c>
      <c r="P1039">
        <v>4</v>
      </c>
      <c r="Q1039">
        <v>2</v>
      </c>
      <c r="R1039">
        <v>32.6</v>
      </c>
      <c r="S1039">
        <v>17</v>
      </c>
      <c r="T1039">
        <v>17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17</v>
      </c>
      <c r="AB1039">
        <v>0</v>
      </c>
      <c r="AC1039">
        <v>0</v>
      </c>
      <c r="AH1039">
        <v>49.6</v>
      </c>
    </row>
    <row r="1040" spans="1:34" x14ac:dyDescent="0.3">
      <c r="A1040" s="4">
        <v>1225</v>
      </c>
      <c r="B1040" s="5">
        <v>1033</v>
      </c>
      <c r="C1040">
        <v>2659</v>
      </c>
      <c r="D1040" t="s">
        <v>28500</v>
      </c>
      <c r="E1040" t="s">
        <v>268</v>
      </c>
      <c r="F1040" t="s">
        <v>68</v>
      </c>
      <c r="G1040" t="s">
        <v>28501</v>
      </c>
      <c r="H1040">
        <v>15.53</v>
      </c>
      <c r="I1040">
        <v>0</v>
      </c>
      <c r="J1040">
        <v>0</v>
      </c>
      <c r="K1040">
        <v>20</v>
      </c>
      <c r="L1040">
        <v>7</v>
      </c>
      <c r="N1040">
        <v>3</v>
      </c>
      <c r="O1040">
        <v>10</v>
      </c>
      <c r="P1040">
        <v>4</v>
      </c>
      <c r="Q1040">
        <v>0</v>
      </c>
      <c r="R1040">
        <v>49.53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H1040">
        <v>49.53</v>
      </c>
    </row>
    <row r="1041" spans="1:34" x14ac:dyDescent="0.3">
      <c r="A1041" s="4">
        <v>1226</v>
      </c>
      <c r="B1041" s="5">
        <v>1034</v>
      </c>
      <c r="C1041">
        <v>9531</v>
      </c>
      <c r="D1041" t="s">
        <v>28502</v>
      </c>
      <c r="E1041" t="s">
        <v>28503</v>
      </c>
      <c r="F1041" t="s">
        <v>20</v>
      </c>
      <c r="G1041" t="s">
        <v>28504</v>
      </c>
      <c r="H1041">
        <v>15.5</v>
      </c>
      <c r="I1041">
        <v>0</v>
      </c>
      <c r="J1041">
        <v>0</v>
      </c>
      <c r="K1041">
        <v>20</v>
      </c>
      <c r="L1041">
        <v>7</v>
      </c>
      <c r="O1041">
        <v>7</v>
      </c>
      <c r="P1041">
        <v>4</v>
      </c>
      <c r="Q1041">
        <v>0</v>
      </c>
      <c r="R1041">
        <v>46.5</v>
      </c>
      <c r="S1041">
        <v>3</v>
      </c>
      <c r="T1041">
        <v>3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3</v>
      </c>
      <c r="AB1041">
        <v>0</v>
      </c>
      <c r="AC1041">
        <v>0</v>
      </c>
      <c r="AH1041">
        <v>49.5</v>
      </c>
    </row>
    <row r="1042" spans="1:34" x14ac:dyDescent="0.3">
      <c r="A1042" s="4">
        <v>1227</v>
      </c>
      <c r="B1042" s="5">
        <v>1035</v>
      </c>
      <c r="C1042">
        <v>13658</v>
      </c>
      <c r="D1042" t="s">
        <v>28505</v>
      </c>
      <c r="E1042" t="s">
        <v>652</v>
      </c>
      <c r="F1042" t="s">
        <v>117</v>
      </c>
      <c r="G1042" t="s">
        <v>28506</v>
      </c>
      <c r="H1042">
        <v>20.48</v>
      </c>
      <c r="I1042">
        <v>0</v>
      </c>
      <c r="J1042">
        <v>0</v>
      </c>
      <c r="K1042">
        <v>0</v>
      </c>
      <c r="N1042">
        <v>3</v>
      </c>
      <c r="O1042">
        <v>3</v>
      </c>
      <c r="P1042">
        <v>4</v>
      </c>
      <c r="Q1042">
        <v>0</v>
      </c>
      <c r="R1042">
        <v>27.48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22</v>
      </c>
      <c r="AH1042">
        <v>49.48</v>
      </c>
    </row>
    <row r="1043" spans="1:34" x14ac:dyDescent="0.3">
      <c r="A1043" s="4">
        <v>1228</v>
      </c>
      <c r="B1043" s="5">
        <v>1036</v>
      </c>
      <c r="C1043">
        <v>8558</v>
      </c>
      <c r="D1043" t="s">
        <v>23370</v>
      </c>
      <c r="E1043" t="s">
        <v>342</v>
      </c>
      <c r="F1043" t="s">
        <v>17</v>
      </c>
      <c r="G1043" t="s">
        <v>28507</v>
      </c>
      <c r="H1043">
        <v>16.43</v>
      </c>
      <c r="I1043">
        <v>0</v>
      </c>
      <c r="J1043">
        <v>0</v>
      </c>
      <c r="K1043">
        <v>20</v>
      </c>
      <c r="L1043">
        <v>7</v>
      </c>
      <c r="O1043">
        <v>7</v>
      </c>
      <c r="P1043">
        <v>4</v>
      </c>
      <c r="Q1043">
        <v>2</v>
      </c>
      <c r="R1043">
        <v>49.43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H1043">
        <v>49.43</v>
      </c>
    </row>
    <row r="1044" spans="1:34" x14ac:dyDescent="0.3">
      <c r="A1044" s="4">
        <v>1229</v>
      </c>
      <c r="B1044" s="5">
        <v>1037</v>
      </c>
      <c r="C1044">
        <v>7089</v>
      </c>
      <c r="D1044" t="s">
        <v>181</v>
      </c>
      <c r="E1044" t="s">
        <v>104</v>
      </c>
      <c r="F1044" t="s">
        <v>117</v>
      </c>
      <c r="G1044" t="s">
        <v>28508</v>
      </c>
      <c r="H1044">
        <v>16.399999999999999</v>
      </c>
      <c r="I1044">
        <v>0</v>
      </c>
      <c r="J1044">
        <v>0</v>
      </c>
      <c r="K1044">
        <v>20</v>
      </c>
      <c r="L1044">
        <v>7</v>
      </c>
      <c r="O1044">
        <v>7</v>
      </c>
      <c r="P1044">
        <v>4</v>
      </c>
      <c r="Q1044">
        <v>2</v>
      </c>
      <c r="R1044">
        <v>49.4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 t="s">
        <v>130</v>
      </c>
      <c r="AH1044">
        <v>49.4</v>
      </c>
    </row>
    <row r="1045" spans="1:34" x14ac:dyDescent="0.3">
      <c r="A1045" s="4">
        <v>1230</v>
      </c>
      <c r="B1045" s="5">
        <v>1038</v>
      </c>
      <c r="C1045">
        <v>6108</v>
      </c>
      <c r="D1045" t="s">
        <v>28509</v>
      </c>
      <c r="E1045" t="s">
        <v>8144</v>
      </c>
      <c r="F1045" t="s">
        <v>52</v>
      </c>
      <c r="G1045" t="s">
        <v>28510</v>
      </c>
      <c r="H1045">
        <v>16.38</v>
      </c>
      <c r="I1045">
        <v>0</v>
      </c>
      <c r="J1045">
        <v>0</v>
      </c>
      <c r="K1045">
        <v>0</v>
      </c>
      <c r="O1045">
        <v>0</v>
      </c>
      <c r="P1045">
        <v>4</v>
      </c>
      <c r="Q1045">
        <v>2</v>
      </c>
      <c r="R1045">
        <v>22.38</v>
      </c>
      <c r="S1045">
        <v>27</v>
      </c>
      <c r="T1045">
        <v>27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27</v>
      </c>
      <c r="AB1045">
        <v>0</v>
      </c>
      <c r="AC1045">
        <v>0</v>
      </c>
      <c r="AH1045">
        <v>49.38</v>
      </c>
    </row>
    <row r="1046" spans="1:34" x14ac:dyDescent="0.3">
      <c r="A1046" s="4">
        <v>1231</v>
      </c>
      <c r="B1046" s="5">
        <v>1039</v>
      </c>
      <c r="C1046">
        <v>12295</v>
      </c>
      <c r="D1046" t="s">
        <v>28511</v>
      </c>
      <c r="E1046" t="s">
        <v>26</v>
      </c>
      <c r="F1046" t="s">
        <v>20</v>
      </c>
      <c r="G1046" t="s">
        <v>28512</v>
      </c>
      <c r="H1046">
        <v>19.3</v>
      </c>
      <c r="I1046">
        <v>0</v>
      </c>
      <c r="J1046">
        <v>0</v>
      </c>
      <c r="K1046">
        <v>20</v>
      </c>
      <c r="N1046">
        <v>3</v>
      </c>
      <c r="O1046">
        <v>3</v>
      </c>
      <c r="P1046">
        <v>4</v>
      </c>
      <c r="Q1046">
        <v>0</v>
      </c>
      <c r="R1046">
        <v>46.3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3</v>
      </c>
      <c r="AC1046">
        <v>0</v>
      </c>
      <c r="AH1046">
        <v>49.3</v>
      </c>
    </row>
    <row r="1047" spans="1:34" x14ac:dyDescent="0.3">
      <c r="A1047" s="4">
        <v>1232</v>
      </c>
      <c r="B1047" s="5">
        <v>1040</v>
      </c>
      <c r="C1047">
        <v>11104</v>
      </c>
      <c r="D1047" t="s">
        <v>19194</v>
      </c>
      <c r="E1047" t="s">
        <v>41</v>
      </c>
      <c r="F1047" t="s">
        <v>17</v>
      </c>
      <c r="G1047" t="s">
        <v>28513</v>
      </c>
      <c r="H1047">
        <v>18.28</v>
      </c>
      <c r="I1047">
        <v>0</v>
      </c>
      <c r="J1047">
        <v>0</v>
      </c>
      <c r="K1047">
        <v>0</v>
      </c>
      <c r="L1047">
        <v>7</v>
      </c>
      <c r="O1047">
        <v>7</v>
      </c>
      <c r="P1047">
        <v>4</v>
      </c>
      <c r="Q1047">
        <v>2</v>
      </c>
      <c r="R1047">
        <v>31.28</v>
      </c>
      <c r="S1047">
        <v>18</v>
      </c>
      <c r="T1047">
        <v>18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18</v>
      </c>
      <c r="AB1047">
        <v>0</v>
      </c>
      <c r="AC1047">
        <v>0</v>
      </c>
      <c r="AH1047">
        <v>49.28</v>
      </c>
    </row>
    <row r="1048" spans="1:34" x14ac:dyDescent="0.3">
      <c r="A1048" s="4">
        <v>1233</v>
      </c>
      <c r="B1048" s="5">
        <v>1041</v>
      </c>
      <c r="C1048">
        <v>3254</v>
      </c>
      <c r="D1048" t="s">
        <v>3072</v>
      </c>
      <c r="E1048" t="s">
        <v>1809</v>
      </c>
      <c r="F1048" t="s">
        <v>136</v>
      </c>
      <c r="G1048" t="s">
        <v>28514</v>
      </c>
      <c r="H1048">
        <v>15.4</v>
      </c>
      <c r="I1048">
        <v>0</v>
      </c>
      <c r="J1048">
        <v>0</v>
      </c>
      <c r="K1048">
        <v>0</v>
      </c>
      <c r="N1048">
        <v>3</v>
      </c>
      <c r="O1048">
        <v>3</v>
      </c>
      <c r="P1048">
        <v>4</v>
      </c>
      <c r="Q1048">
        <v>0</v>
      </c>
      <c r="R1048">
        <v>22.4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26.8</v>
      </c>
      <c r="AH1048">
        <v>49.2</v>
      </c>
    </row>
    <row r="1049" spans="1:34" x14ac:dyDescent="0.3">
      <c r="A1049" s="4">
        <v>1234</v>
      </c>
      <c r="B1049" s="5">
        <v>1042</v>
      </c>
      <c r="C1049">
        <v>11250</v>
      </c>
      <c r="D1049" t="s">
        <v>28515</v>
      </c>
      <c r="E1049" t="s">
        <v>649</v>
      </c>
      <c r="F1049" t="s">
        <v>17</v>
      </c>
      <c r="G1049" t="s">
        <v>28516</v>
      </c>
      <c r="H1049">
        <v>18.149999999999999</v>
      </c>
      <c r="I1049">
        <v>0</v>
      </c>
      <c r="J1049">
        <v>0</v>
      </c>
      <c r="K1049">
        <v>20</v>
      </c>
      <c r="L1049">
        <v>7</v>
      </c>
      <c r="O1049">
        <v>7</v>
      </c>
      <c r="P1049">
        <v>4</v>
      </c>
      <c r="Q1049">
        <v>0</v>
      </c>
      <c r="R1049">
        <v>49.15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H1049">
        <v>49.15</v>
      </c>
    </row>
    <row r="1050" spans="1:34" x14ac:dyDescent="0.3">
      <c r="A1050" s="4">
        <v>1235</v>
      </c>
      <c r="B1050" s="5">
        <v>1043</v>
      </c>
      <c r="C1050">
        <v>7706</v>
      </c>
      <c r="D1050" t="s">
        <v>4803</v>
      </c>
      <c r="E1050" t="s">
        <v>219</v>
      </c>
      <c r="F1050" t="s">
        <v>38</v>
      </c>
      <c r="G1050" t="s">
        <v>28517</v>
      </c>
      <c r="H1050">
        <v>18.100000000000001</v>
      </c>
      <c r="I1050">
        <v>0</v>
      </c>
      <c r="J1050">
        <v>0</v>
      </c>
      <c r="K1050">
        <v>20</v>
      </c>
      <c r="L1050">
        <v>7</v>
      </c>
      <c r="O1050">
        <v>7</v>
      </c>
      <c r="P1050">
        <v>4</v>
      </c>
      <c r="Q1050">
        <v>0</v>
      </c>
      <c r="R1050">
        <v>49.1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 t="s">
        <v>130</v>
      </c>
      <c r="AH1050">
        <v>49.1</v>
      </c>
    </row>
    <row r="1051" spans="1:34" x14ac:dyDescent="0.3">
      <c r="A1051" s="4">
        <v>1236</v>
      </c>
      <c r="B1051" s="5">
        <v>1044</v>
      </c>
      <c r="C1051">
        <v>11100</v>
      </c>
      <c r="D1051" t="s">
        <v>28518</v>
      </c>
      <c r="E1051" t="s">
        <v>29</v>
      </c>
      <c r="F1051" t="s">
        <v>2598</v>
      </c>
      <c r="G1051" t="s">
        <v>28519</v>
      </c>
      <c r="H1051">
        <v>18.100000000000001</v>
      </c>
      <c r="I1051">
        <v>0</v>
      </c>
      <c r="J1051">
        <v>0</v>
      </c>
      <c r="K1051">
        <v>0</v>
      </c>
      <c r="L1051">
        <v>7</v>
      </c>
      <c r="O1051">
        <v>7</v>
      </c>
      <c r="P1051">
        <v>4</v>
      </c>
      <c r="Q1051">
        <v>2</v>
      </c>
      <c r="R1051">
        <v>31.1</v>
      </c>
      <c r="S1051">
        <v>18</v>
      </c>
      <c r="T1051">
        <v>18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18</v>
      </c>
      <c r="AB1051">
        <v>0</v>
      </c>
      <c r="AC1051">
        <v>0</v>
      </c>
      <c r="AH1051">
        <v>49.1</v>
      </c>
    </row>
    <row r="1052" spans="1:34" x14ac:dyDescent="0.3">
      <c r="A1052" s="4">
        <v>1237</v>
      </c>
      <c r="B1052" s="5">
        <v>1045</v>
      </c>
      <c r="C1052">
        <v>2200</v>
      </c>
      <c r="D1052" t="s">
        <v>549</v>
      </c>
      <c r="E1052" t="s">
        <v>3313</v>
      </c>
      <c r="F1052" t="s">
        <v>17</v>
      </c>
      <c r="G1052" t="s">
        <v>28520</v>
      </c>
      <c r="H1052">
        <v>18.079999999999998</v>
      </c>
      <c r="I1052">
        <v>0</v>
      </c>
      <c r="J1052">
        <v>0</v>
      </c>
      <c r="K1052">
        <v>20</v>
      </c>
      <c r="L1052">
        <v>7</v>
      </c>
      <c r="O1052">
        <v>7</v>
      </c>
      <c r="P1052">
        <v>4</v>
      </c>
      <c r="Q1052">
        <v>0</v>
      </c>
      <c r="R1052">
        <v>49.08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H1052">
        <v>49.08</v>
      </c>
    </row>
    <row r="1053" spans="1:34" x14ac:dyDescent="0.3">
      <c r="A1053" s="4">
        <v>1238</v>
      </c>
      <c r="B1053" s="5">
        <v>1046</v>
      </c>
      <c r="C1053">
        <v>2563</v>
      </c>
      <c r="D1053" t="s">
        <v>28</v>
      </c>
      <c r="E1053" t="s">
        <v>1371</v>
      </c>
      <c r="F1053" t="s">
        <v>4546</v>
      </c>
      <c r="G1053" t="s">
        <v>28521</v>
      </c>
      <c r="H1053">
        <v>16.079999999999998</v>
      </c>
      <c r="I1053">
        <v>0</v>
      </c>
      <c r="J1053">
        <v>0</v>
      </c>
      <c r="K1053">
        <v>0</v>
      </c>
      <c r="L1053">
        <v>7</v>
      </c>
      <c r="O1053">
        <v>7</v>
      </c>
      <c r="P1053">
        <v>4</v>
      </c>
      <c r="Q1053">
        <v>0</v>
      </c>
      <c r="R1053">
        <v>27.08</v>
      </c>
      <c r="S1053">
        <v>22</v>
      </c>
      <c r="T1053">
        <v>22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22</v>
      </c>
      <c r="AB1053">
        <v>0</v>
      </c>
      <c r="AC1053">
        <v>0</v>
      </c>
      <c r="AD1053" t="s">
        <v>130</v>
      </c>
      <c r="AH1053">
        <v>49.08</v>
      </c>
    </row>
    <row r="1054" spans="1:34" x14ac:dyDescent="0.3">
      <c r="A1054" s="4">
        <v>1239</v>
      </c>
      <c r="B1054" s="5">
        <v>1047</v>
      </c>
      <c r="C1054">
        <v>2737</v>
      </c>
      <c r="D1054" t="s">
        <v>28522</v>
      </c>
      <c r="E1054" t="s">
        <v>29</v>
      </c>
      <c r="F1054" t="s">
        <v>457</v>
      </c>
      <c r="G1054" t="s">
        <v>28523</v>
      </c>
      <c r="H1054">
        <v>18</v>
      </c>
      <c r="I1054">
        <v>0</v>
      </c>
      <c r="J1054">
        <v>0</v>
      </c>
      <c r="K1054">
        <v>0</v>
      </c>
      <c r="N1054">
        <v>3</v>
      </c>
      <c r="O1054">
        <v>3</v>
      </c>
      <c r="P1054">
        <v>4</v>
      </c>
      <c r="Q1054">
        <v>0</v>
      </c>
      <c r="R1054">
        <v>25</v>
      </c>
      <c r="S1054">
        <v>15</v>
      </c>
      <c r="T1054">
        <v>15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15</v>
      </c>
      <c r="AB1054">
        <v>9</v>
      </c>
      <c r="AC1054">
        <v>0</v>
      </c>
      <c r="AH1054">
        <v>49</v>
      </c>
    </row>
    <row r="1055" spans="1:34" x14ac:dyDescent="0.3">
      <c r="A1055" s="4">
        <v>1240</v>
      </c>
      <c r="B1055" s="5">
        <v>1048</v>
      </c>
      <c r="C1055">
        <v>12475</v>
      </c>
      <c r="D1055" t="s">
        <v>28524</v>
      </c>
      <c r="E1055" t="s">
        <v>22</v>
      </c>
      <c r="F1055" t="s">
        <v>124</v>
      </c>
      <c r="G1055" t="s">
        <v>28525</v>
      </c>
      <c r="H1055">
        <v>17.899999999999999</v>
      </c>
      <c r="I1055">
        <v>0</v>
      </c>
      <c r="J1055">
        <v>0</v>
      </c>
      <c r="K1055">
        <v>20</v>
      </c>
      <c r="L1055">
        <v>7</v>
      </c>
      <c r="O1055">
        <v>7</v>
      </c>
      <c r="P1055">
        <v>4</v>
      </c>
      <c r="Q1055">
        <v>0</v>
      </c>
      <c r="R1055">
        <v>48.9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H1055">
        <v>48.9</v>
      </c>
    </row>
    <row r="1056" spans="1:34" x14ac:dyDescent="0.3">
      <c r="A1056" s="4">
        <v>1241</v>
      </c>
      <c r="B1056" s="5">
        <v>1049</v>
      </c>
      <c r="C1056">
        <v>13318</v>
      </c>
      <c r="D1056" t="s">
        <v>28526</v>
      </c>
      <c r="E1056" t="s">
        <v>28527</v>
      </c>
      <c r="F1056" t="s">
        <v>136</v>
      </c>
      <c r="G1056" t="s">
        <v>28528</v>
      </c>
      <c r="H1056">
        <v>17.899999999999999</v>
      </c>
      <c r="I1056">
        <v>0</v>
      </c>
      <c r="J1056">
        <v>0</v>
      </c>
      <c r="K1056">
        <v>0</v>
      </c>
      <c r="L1056">
        <v>7</v>
      </c>
      <c r="O1056">
        <v>7</v>
      </c>
      <c r="P1056">
        <v>4</v>
      </c>
      <c r="Q1056">
        <v>2</v>
      </c>
      <c r="R1056">
        <v>30.9</v>
      </c>
      <c r="S1056">
        <v>18</v>
      </c>
      <c r="T1056">
        <v>18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18</v>
      </c>
      <c r="AB1056">
        <v>0</v>
      </c>
      <c r="AC1056">
        <v>0</v>
      </c>
      <c r="AH1056">
        <v>48.9</v>
      </c>
    </row>
    <row r="1057" spans="1:34" x14ac:dyDescent="0.3">
      <c r="A1057" s="4">
        <v>1242</v>
      </c>
      <c r="B1057" s="5">
        <v>1050</v>
      </c>
      <c r="C1057">
        <v>6507</v>
      </c>
      <c r="D1057" t="s">
        <v>25944</v>
      </c>
      <c r="E1057" t="s">
        <v>110</v>
      </c>
      <c r="F1057" t="s">
        <v>81</v>
      </c>
      <c r="G1057" t="s">
        <v>28529</v>
      </c>
      <c r="H1057">
        <v>15.88</v>
      </c>
      <c r="I1057">
        <v>0</v>
      </c>
      <c r="J1057">
        <v>0</v>
      </c>
      <c r="K1057">
        <v>0</v>
      </c>
      <c r="N1057">
        <v>3</v>
      </c>
      <c r="O1057">
        <v>3</v>
      </c>
      <c r="P1057">
        <v>4</v>
      </c>
      <c r="Q1057">
        <v>2</v>
      </c>
      <c r="R1057">
        <v>24.88</v>
      </c>
      <c r="S1057">
        <v>24</v>
      </c>
      <c r="T1057">
        <v>24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24</v>
      </c>
      <c r="AB1057">
        <v>0</v>
      </c>
      <c r="AC1057">
        <v>0</v>
      </c>
      <c r="AH1057">
        <v>48.88</v>
      </c>
    </row>
    <row r="1058" spans="1:34" x14ac:dyDescent="0.3">
      <c r="A1058" s="4">
        <v>1243</v>
      </c>
      <c r="B1058" s="5">
        <v>1051</v>
      </c>
      <c r="C1058">
        <v>1249</v>
      </c>
      <c r="D1058" t="s">
        <v>28530</v>
      </c>
      <c r="E1058" t="s">
        <v>29</v>
      </c>
      <c r="F1058" t="s">
        <v>124</v>
      </c>
      <c r="G1058" t="s">
        <v>28531</v>
      </c>
      <c r="H1058">
        <v>19.850000000000001</v>
      </c>
      <c r="I1058">
        <v>0</v>
      </c>
      <c r="J1058">
        <v>0</v>
      </c>
      <c r="K1058">
        <v>20</v>
      </c>
      <c r="M1058">
        <v>5</v>
      </c>
      <c r="O1058">
        <v>5</v>
      </c>
      <c r="P1058">
        <v>4</v>
      </c>
      <c r="Q1058">
        <v>0</v>
      </c>
      <c r="R1058">
        <v>48.85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H1058">
        <v>48.85</v>
      </c>
    </row>
    <row r="1059" spans="1:34" x14ac:dyDescent="0.3">
      <c r="A1059" s="4">
        <v>1244</v>
      </c>
      <c r="B1059" s="5">
        <v>1052</v>
      </c>
      <c r="C1059">
        <v>15207</v>
      </c>
      <c r="D1059" t="s">
        <v>28532</v>
      </c>
      <c r="E1059" t="s">
        <v>17</v>
      </c>
      <c r="F1059" t="s">
        <v>124</v>
      </c>
      <c r="G1059" t="s">
        <v>28533</v>
      </c>
      <c r="H1059">
        <v>18.850000000000001</v>
      </c>
      <c r="I1059">
        <v>0</v>
      </c>
      <c r="J1059">
        <v>0</v>
      </c>
      <c r="K1059">
        <v>20</v>
      </c>
      <c r="N1059">
        <v>6</v>
      </c>
      <c r="O1059">
        <v>6</v>
      </c>
      <c r="P1059">
        <v>4</v>
      </c>
      <c r="Q1059">
        <v>0</v>
      </c>
      <c r="R1059">
        <v>48.85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H1059">
        <v>48.85</v>
      </c>
    </row>
    <row r="1060" spans="1:34" x14ac:dyDescent="0.3">
      <c r="A1060" s="4">
        <v>1245</v>
      </c>
      <c r="B1060" s="5">
        <v>1053</v>
      </c>
      <c r="C1060">
        <v>13381</v>
      </c>
      <c r="D1060" t="s">
        <v>1874</v>
      </c>
      <c r="E1060" t="s">
        <v>132</v>
      </c>
      <c r="F1060" t="s">
        <v>81</v>
      </c>
      <c r="G1060" t="s">
        <v>28534</v>
      </c>
      <c r="H1060">
        <v>19.28</v>
      </c>
      <c r="I1060">
        <v>0</v>
      </c>
      <c r="J1060">
        <v>0</v>
      </c>
      <c r="K1060">
        <v>0</v>
      </c>
      <c r="N1060">
        <v>6</v>
      </c>
      <c r="O1060">
        <v>6</v>
      </c>
      <c r="P1060">
        <v>4</v>
      </c>
      <c r="Q1060">
        <v>2</v>
      </c>
      <c r="R1060">
        <v>31.28</v>
      </c>
      <c r="S1060">
        <v>13</v>
      </c>
      <c r="T1060">
        <v>13</v>
      </c>
      <c r="U1060">
        <v>0</v>
      </c>
      <c r="V1060">
        <v>0</v>
      </c>
      <c r="W1060">
        <v>3</v>
      </c>
      <c r="X1060">
        <v>4.5</v>
      </c>
      <c r="Y1060">
        <v>0</v>
      </c>
      <c r="Z1060">
        <v>0</v>
      </c>
      <c r="AA1060">
        <v>17.5</v>
      </c>
      <c r="AB1060">
        <v>0</v>
      </c>
      <c r="AC1060">
        <v>0</v>
      </c>
      <c r="AH1060">
        <v>48.78</v>
      </c>
    </row>
    <row r="1061" spans="1:34" x14ac:dyDescent="0.3">
      <c r="A1061" s="4">
        <v>1246</v>
      </c>
      <c r="B1061" s="5">
        <v>1054</v>
      </c>
      <c r="C1061">
        <v>10959</v>
      </c>
      <c r="D1061" t="s">
        <v>28535</v>
      </c>
      <c r="E1061" t="s">
        <v>816</v>
      </c>
      <c r="F1061" t="s">
        <v>117</v>
      </c>
      <c r="G1061" t="s">
        <v>28536</v>
      </c>
      <c r="H1061">
        <v>18.75</v>
      </c>
      <c r="I1061">
        <v>0</v>
      </c>
      <c r="J1061">
        <v>0</v>
      </c>
      <c r="K1061">
        <v>0</v>
      </c>
      <c r="L1061">
        <v>7</v>
      </c>
      <c r="O1061">
        <v>7</v>
      </c>
      <c r="P1061">
        <v>4</v>
      </c>
      <c r="Q1061">
        <v>2</v>
      </c>
      <c r="R1061">
        <v>31.75</v>
      </c>
      <c r="S1061">
        <v>17</v>
      </c>
      <c r="T1061">
        <v>17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17</v>
      </c>
      <c r="AB1061">
        <v>0</v>
      </c>
      <c r="AC1061">
        <v>0</v>
      </c>
      <c r="AH1061">
        <v>48.75</v>
      </c>
    </row>
    <row r="1062" spans="1:34" x14ac:dyDescent="0.3">
      <c r="A1062" s="4">
        <v>1247</v>
      </c>
      <c r="B1062" s="5">
        <v>1055</v>
      </c>
      <c r="C1062">
        <v>8683</v>
      </c>
      <c r="D1062" t="s">
        <v>28537</v>
      </c>
      <c r="E1062" t="s">
        <v>38</v>
      </c>
      <c r="F1062" t="s">
        <v>652</v>
      </c>
      <c r="G1062" t="s">
        <v>28538</v>
      </c>
      <c r="H1062">
        <v>17.73</v>
      </c>
      <c r="I1062">
        <v>0</v>
      </c>
      <c r="J1062">
        <v>0</v>
      </c>
      <c r="K1062">
        <v>20</v>
      </c>
      <c r="L1062">
        <v>7</v>
      </c>
      <c r="O1062">
        <v>7</v>
      </c>
      <c r="P1062">
        <v>4</v>
      </c>
      <c r="Q1062">
        <v>0</v>
      </c>
      <c r="R1062">
        <v>48.73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H1062">
        <v>48.73</v>
      </c>
    </row>
    <row r="1063" spans="1:34" x14ac:dyDescent="0.3">
      <c r="A1063" s="4">
        <v>1248</v>
      </c>
      <c r="B1063" s="5">
        <v>1056</v>
      </c>
      <c r="C1063">
        <v>13309</v>
      </c>
      <c r="D1063" t="s">
        <v>9098</v>
      </c>
      <c r="E1063" t="s">
        <v>41</v>
      </c>
      <c r="F1063" t="s">
        <v>375</v>
      </c>
      <c r="G1063" t="s">
        <v>28539</v>
      </c>
      <c r="H1063">
        <v>15.73</v>
      </c>
      <c r="I1063">
        <v>0</v>
      </c>
      <c r="J1063">
        <v>0</v>
      </c>
      <c r="K1063">
        <v>20</v>
      </c>
      <c r="L1063">
        <v>7</v>
      </c>
      <c r="O1063">
        <v>7</v>
      </c>
      <c r="P1063">
        <v>4</v>
      </c>
      <c r="Q1063">
        <v>2</v>
      </c>
      <c r="R1063">
        <v>48.73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 t="s">
        <v>130</v>
      </c>
      <c r="AH1063">
        <v>48.73</v>
      </c>
    </row>
    <row r="1064" spans="1:34" x14ac:dyDescent="0.3">
      <c r="A1064" s="4">
        <v>1249</v>
      </c>
      <c r="B1064" s="5">
        <v>1057</v>
      </c>
      <c r="C1064">
        <v>8391</v>
      </c>
      <c r="D1064" t="s">
        <v>1260</v>
      </c>
      <c r="E1064" t="s">
        <v>22</v>
      </c>
      <c r="F1064" t="s">
        <v>17</v>
      </c>
      <c r="G1064" t="s">
        <v>28540</v>
      </c>
      <c r="H1064">
        <v>18.7</v>
      </c>
      <c r="I1064">
        <v>0</v>
      </c>
      <c r="J1064">
        <v>0</v>
      </c>
      <c r="K1064">
        <v>20</v>
      </c>
      <c r="N1064">
        <v>3</v>
      </c>
      <c r="O1064">
        <v>3</v>
      </c>
      <c r="P1064">
        <v>4</v>
      </c>
      <c r="Q1064">
        <v>0</v>
      </c>
      <c r="R1064">
        <v>45.7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3</v>
      </c>
      <c r="AC1064">
        <v>0</v>
      </c>
      <c r="AH1064">
        <v>48.7</v>
      </c>
    </row>
    <row r="1065" spans="1:34" x14ac:dyDescent="0.3">
      <c r="A1065" s="4">
        <v>1250</v>
      </c>
      <c r="B1065" s="5">
        <v>1058</v>
      </c>
      <c r="C1065">
        <v>3483</v>
      </c>
      <c r="D1065" t="s">
        <v>4319</v>
      </c>
      <c r="E1065" t="s">
        <v>1210</v>
      </c>
      <c r="F1065" t="s">
        <v>30</v>
      </c>
      <c r="G1065" t="s">
        <v>28541</v>
      </c>
      <c r="H1065">
        <v>18.600000000000001</v>
      </c>
      <c r="I1065">
        <v>0</v>
      </c>
      <c r="J1065">
        <v>0</v>
      </c>
      <c r="K1065">
        <v>0</v>
      </c>
      <c r="L1065">
        <v>7</v>
      </c>
      <c r="O1065">
        <v>7</v>
      </c>
      <c r="P1065">
        <v>4</v>
      </c>
      <c r="Q1065">
        <v>2</v>
      </c>
      <c r="R1065">
        <v>31.6</v>
      </c>
      <c r="S1065">
        <v>17</v>
      </c>
      <c r="T1065">
        <v>17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17</v>
      </c>
      <c r="AB1065">
        <v>0</v>
      </c>
      <c r="AC1065">
        <v>0</v>
      </c>
      <c r="AD1065" t="s">
        <v>130</v>
      </c>
      <c r="AH1065">
        <v>48.6</v>
      </c>
    </row>
    <row r="1066" spans="1:34" x14ac:dyDescent="0.3">
      <c r="A1066" s="4">
        <v>1251</v>
      </c>
      <c r="B1066" s="5">
        <v>1059</v>
      </c>
      <c r="C1066">
        <v>12606</v>
      </c>
      <c r="D1066" t="s">
        <v>12049</v>
      </c>
      <c r="E1066" t="s">
        <v>8037</v>
      </c>
      <c r="F1066" t="s">
        <v>9636</v>
      </c>
      <c r="G1066" t="s">
        <v>28542</v>
      </c>
      <c r="H1066">
        <v>18.579999999999998</v>
      </c>
      <c r="I1066">
        <v>0</v>
      </c>
      <c r="J1066">
        <v>0</v>
      </c>
      <c r="K1066">
        <v>20</v>
      </c>
      <c r="N1066">
        <v>3</v>
      </c>
      <c r="O1066">
        <v>3</v>
      </c>
      <c r="P1066">
        <v>4</v>
      </c>
      <c r="Q1066">
        <v>0</v>
      </c>
      <c r="R1066">
        <v>45.58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3</v>
      </c>
      <c r="AC1066">
        <v>0</v>
      </c>
      <c r="AH1066">
        <v>48.58</v>
      </c>
    </row>
    <row r="1067" spans="1:34" x14ac:dyDescent="0.3">
      <c r="A1067" s="4">
        <v>1252</v>
      </c>
      <c r="B1067" s="5">
        <v>1060</v>
      </c>
      <c r="C1067">
        <v>10343</v>
      </c>
      <c r="D1067" t="s">
        <v>181</v>
      </c>
      <c r="E1067" t="s">
        <v>41</v>
      </c>
      <c r="F1067" t="s">
        <v>167</v>
      </c>
      <c r="G1067" t="s">
        <v>28543</v>
      </c>
      <c r="H1067">
        <v>15.55</v>
      </c>
      <c r="I1067">
        <v>0</v>
      </c>
      <c r="J1067">
        <v>0</v>
      </c>
      <c r="K1067">
        <v>20</v>
      </c>
      <c r="N1067">
        <v>3</v>
      </c>
      <c r="O1067">
        <v>3</v>
      </c>
      <c r="P1067">
        <v>4</v>
      </c>
      <c r="Q1067">
        <v>0</v>
      </c>
      <c r="R1067">
        <v>42.55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6</v>
      </c>
      <c r="AC1067">
        <v>0</v>
      </c>
      <c r="AD1067" t="s">
        <v>130</v>
      </c>
      <c r="AH1067">
        <v>48.55</v>
      </c>
    </row>
    <row r="1068" spans="1:34" x14ac:dyDescent="0.3">
      <c r="A1068" s="4">
        <v>1253</v>
      </c>
      <c r="B1068" s="5">
        <v>1061</v>
      </c>
      <c r="C1068">
        <v>3765</v>
      </c>
      <c r="D1068" t="s">
        <v>28544</v>
      </c>
      <c r="E1068" t="s">
        <v>28545</v>
      </c>
      <c r="F1068" t="s">
        <v>136</v>
      </c>
      <c r="G1068" t="s">
        <v>28546</v>
      </c>
      <c r="H1068">
        <v>17.55</v>
      </c>
      <c r="I1068">
        <v>0</v>
      </c>
      <c r="J1068">
        <v>0</v>
      </c>
      <c r="K1068">
        <v>20</v>
      </c>
      <c r="L1068">
        <v>7</v>
      </c>
      <c r="O1068">
        <v>7</v>
      </c>
      <c r="P1068">
        <v>4</v>
      </c>
      <c r="Q1068">
        <v>0</v>
      </c>
      <c r="R1068">
        <v>48.55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H1068">
        <v>48.55</v>
      </c>
    </row>
    <row r="1069" spans="1:34" x14ac:dyDescent="0.3">
      <c r="A1069" s="4">
        <v>1254</v>
      </c>
      <c r="B1069" s="5">
        <v>1062</v>
      </c>
      <c r="C1069">
        <v>4542</v>
      </c>
      <c r="D1069" t="s">
        <v>28547</v>
      </c>
      <c r="E1069" t="s">
        <v>182</v>
      </c>
      <c r="F1069" t="s">
        <v>158</v>
      </c>
      <c r="G1069" t="s">
        <v>28548</v>
      </c>
      <c r="H1069">
        <v>16.53</v>
      </c>
      <c r="I1069">
        <v>0</v>
      </c>
      <c r="J1069">
        <v>0</v>
      </c>
      <c r="K1069">
        <v>20</v>
      </c>
      <c r="N1069">
        <v>3</v>
      </c>
      <c r="O1069">
        <v>3</v>
      </c>
      <c r="P1069">
        <v>4</v>
      </c>
      <c r="Q1069">
        <v>2</v>
      </c>
      <c r="R1069">
        <v>45.53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3</v>
      </c>
      <c r="AC1069">
        <v>0</v>
      </c>
      <c r="AH1069">
        <v>48.53</v>
      </c>
    </row>
    <row r="1070" spans="1:34" x14ac:dyDescent="0.3">
      <c r="A1070" s="4">
        <v>1255</v>
      </c>
      <c r="B1070" s="5">
        <v>1063</v>
      </c>
      <c r="C1070">
        <v>13341</v>
      </c>
      <c r="D1070" t="s">
        <v>1528</v>
      </c>
      <c r="E1070" t="s">
        <v>166</v>
      </c>
      <c r="F1070" t="s">
        <v>1526</v>
      </c>
      <c r="G1070" t="s">
        <v>28549</v>
      </c>
      <c r="H1070">
        <v>18.5</v>
      </c>
      <c r="I1070">
        <v>0</v>
      </c>
      <c r="J1070">
        <v>0</v>
      </c>
      <c r="K1070">
        <v>20</v>
      </c>
      <c r="N1070">
        <v>3</v>
      </c>
      <c r="O1070">
        <v>3</v>
      </c>
      <c r="P1070">
        <v>4</v>
      </c>
      <c r="Q1070">
        <v>0</v>
      </c>
      <c r="R1070">
        <v>45.5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3</v>
      </c>
      <c r="AC1070">
        <v>0</v>
      </c>
      <c r="AH1070">
        <v>48.5</v>
      </c>
    </row>
    <row r="1071" spans="1:34" x14ac:dyDescent="0.3">
      <c r="A1071" s="4">
        <v>1256</v>
      </c>
      <c r="B1071" s="5">
        <v>1064</v>
      </c>
      <c r="C1071">
        <v>3272</v>
      </c>
      <c r="D1071" t="s">
        <v>28550</v>
      </c>
      <c r="E1071" t="s">
        <v>29</v>
      </c>
      <c r="F1071" t="s">
        <v>17</v>
      </c>
      <c r="G1071" t="s">
        <v>28551</v>
      </c>
      <c r="H1071">
        <v>17.45</v>
      </c>
      <c r="I1071">
        <v>0</v>
      </c>
      <c r="J1071">
        <v>0</v>
      </c>
      <c r="K1071">
        <v>20</v>
      </c>
      <c r="L1071">
        <v>7</v>
      </c>
      <c r="O1071">
        <v>7</v>
      </c>
      <c r="P1071">
        <v>4</v>
      </c>
      <c r="Q1071">
        <v>0</v>
      </c>
      <c r="R1071">
        <v>48.45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H1071">
        <v>48.45</v>
      </c>
    </row>
    <row r="1072" spans="1:34" x14ac:dyDescent="0.3">
      <c r="A1072" s="4">
        <v>1257</v>
      </c>
      <c r="B1072" s="5">
        <v>1065</v>
      </c>
      <c r="C1072">
        <v>13769</v>
      </c>
      <c r="D1072" t="s">
        <v>28552</v>
      </c>
      <c r="E1072" t="s">
        <v>652</v>
      </c>
      <c r="F1072" t="s">
        <v>68</v>
      </c>
      <c r="G1072" t="s">
        <v>28553</v>
      </c>
      <c r="H1072">
        <v>15.4</v>
      </c>
      <c r="I1072">
        <v>0</v>
      </c>
      <c r="J1072">
        <v>0</v>
      </c>
      <c r="K1072">
        <v>20</v>
      </c>
      <c r="L1072">
        <v>7</v>
      </c>
      <c r="O1072">
        <v>7</v>
      </c>
      <c r="P1072">
        <v>4</v>
      </c>
      <c r="Q1072">
        <v>2</v>
      </c>
      <c r="R1072">
        <v>48.4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 t="s">
        <v>130</v>
      </c>
      <c r="AH1072">
        <v>48.4</v>
      </c>
    </row>
    <row r="1073" spans="1:34" x14ac:dyDescent="0.3">
      <c r="A1073" s="4">
        <v>1258</v>
      </c>
      <c r="B1073" s="5">
        <v>1066</v>
      </c>
      <c r="C1073">
        <v>1428</v>
      </c>
      <c r="D1073" t="s">
        <v>28554</v>
      </c>
      <c r="E1073" t="s">
        <v>161</v>
      </c>
      <c r="F1073" t="s">
        <v>167</v>
      </c>
      <c r="G1073" t="s">
        <v>28555</v>
      </c>
      <c r="H1073">
        <v>18.28</v>
      </c>
      <c r="I1073">
        <v>0</v>
      </c>
      <c r="J1073">
        <v>0</v>
      </c>
      <c r="K1073">
        <v>20</v>
      </c>
      <c r="N1073">
        <v>3</v>
      </c>
      <c r="O1073">
        <v>3</v>
      </c>
      <c r="P1073">
        <v>4</v>
      </c>
      <c r="Q1073">
        <v>0</v>
      </c>
      <c r="R1073">
        <v>45.28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3</v>
      </c>
      <c r="AC1073">
        <v>0</v>
      </c>
      <c r="AH1073">
        <v>48.28</v>
      </c>
    </row>
    <row r="1074" spans="1:34" x14ac:dyDescent="0.3">
      <c r="A1074" s="4">
        <v>1259</v>
      </c>
      <c r="B1074" s="5">
        <v>1067</v>
      </c>
      <c r="C1074">
        <v>1783</v>
      </c>
      <c r="D1074" t="s">
        <v>3482</v>
      </c>
      <c r="E1074" t="s">
        <v>41</v>
      </c>
      <c r="F1074" t="s">
        <v>136</v>
      </c>
      <c r="G1074" t="s">
        <v>28556</v>
      </c>
      <c r="H1074">
        <v>17.28</v>
      </c>
      <c r="I1074">
        <v>0</v>
      </c>
      <c r="J1074">
        <v>0</v>
      </c>
      <c r="K1074">
        <v>20</v>
      </c>
      <c r="L1074">
        <v>7</v>
      </c>
      <c r="O1074">
        <v>7</v>
      </c>
      <c r="P1074">
        <v>4</v>
      </c>
      <c r="Q1074">
        <v>0</v>
      </c>
      <c r="R1074">
        <v>48.28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H1074">
        <v>48.28</v>
      </c>
    </row>
    <row r="1075" spans="1:34" x14ac:dyDescent="0.3">
      <c r="A1075" s="4">
        <v>1260</v>
      </c>
      <c r="B1075" s="5">
        <v>1068</v>
      </c>
      <c r="C1075">
        <v>11130</v>
      </c>
      <c r="D1075" t="s">
        <v>8589</v>
      </c>
      <c r="E1075" t="s">
        <v>26</v>
      </c>
      <c r="F1075" t="s">
        <v>892</v>
      </c>
      <c r="G1075" t="s">
        <v>28557</v>
      </c>
      <c r="H1075">
        <v>17.28</v>
      </c>
      <c r="I1075">
        <v>0</v>
      </c>
      <c r="J1075">
        <v>0</v>
      </c>
      <c r="K1075">
        <v>20</v>
      </c>
      <c r="L1075">
        <v>7</v>
      </c>
      <c r="O1075">
        <v>7</v>
      </c>
      <c r="P1075">
        <v>4</v>
      </c>
      <c r="Q1075">
        <v>0</v>
      </c>
      <c r="R1075">
        <v>48.28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H1075">
        <v>48.28</v>
      </c>
    </row>
    <row r="1076" spans="1:34" x14ac:dyDescent="0.3">
      <c r="A1076" s="4">
        <v>1261</v>
      </c>
      <c r="B1076" s="5">
        <v>1069</v>
      </c>
      <c r="C1076">
        <v>2206</v>
      </c>
      <c r="D1076" t="s">
        <v>28558</v>
      </c>
      <c r="E1076" t="s">
        <v>110</v>
      </c>
      <c r="F1076" t="s">
        <v>158</v>
      </c>
      <c r="G1076" t="s">
        <v>28559</v>
      </c>
      <c r="H1076">
        <v>21.25</v>
      </c>
      <c r="I1076">
        <v>0</v>
      </c>
      <c r="J1076">
        <v>0</v>
      </c>
      <c r="K1076">
        <v>0</v>
      </c>
      <c r="L1076">
        <v>7</v>
      </c>
      <c r="O1076">
        <v>7</v>
      </c>
      <c r="P1076">
        <v>4</v>
      </c>
      <c r="Q1076">
        <v>2</v>
      </c>
      <c r="R1076">
        <v>34.25</v>
      </c>
      <c r="S1076">
        <v>14</v>
      </c>
      <c r="T1076">
        <v>14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14</v>
      </c>
      <c r="AB1076">
        <v>0</v>
      </c>
      <c r="AC1076">
        <v>0</v>
      </c>
      <c r="AH1076">
        <v>48.25</v>
      </c>
    </row>
    <row r="1077" spans="1:34" x14ac:dyDescent="0.3">
      <c r="A1077" s="4">
        <v>1262</v>
      </c>
      <c r="B1077" s="5">
        <v>1070</v>
      </c>
      <c r="C1077">
        <v>8731</v>
      </c>
      <c r="D1077" t="s">
        <v>28560</v>
      </c>
      <c r="E1077" t="s">
        <v>283</v>
      </c>
      <c r="F1077" t="s">
        <v>158</v>
      </c>
      <c r="G1077" t="s">
        <v>28561</v>
      </c>
      <c r="H1077">
        <v>17.18</v>
      </c>
      <c r="I1077">
        <v>0</v>
      </c>
      <c r="J1077">
        <v>0</v>
      </c>
      <c r="K1077">
        <v>20</v>
      </c>
      <c r="L1077">
        <v>7</v>
      </c>
      <c r="O1077">
        <v>7</v>
      </c>
      <c r="P1077">
        <v>4</v>
      </c>
      <c r="Q1077">
        <v>0</v>
      </c>
      <c r="R1077">
        <v>48.18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H1077">
        <v>48.18</v>
      </c>
    </row>
    <row r="1078" spans="1:34" x14ac:dyDescent="0.3">
      <c r="A1078" s="4">
        <v>1263</v>
      </c>
      <c r="B1078" s="5">
        <v>1071</v>
      </c>
      <c r="C1078">
        <v>4137</v>
      </c>
      <c r="D1078" t="s">
        <v>28562</v>
      </c>
      <c r="E1078" t="s">
        <v>28563</v>
      </c>
      <c r="F1078" t="s">
        <v>28564</v>
      </c>
      <c r="G1078" t="s">
        <v>28565</v>
      </c>
      <c r="H1078">
        <v>17.149999999999999</v>
      </c>
      <c r="I1078">
        <v>0</v>
      </c>
      <c r="J1078">
        <v>0</v>
      </c>
      <c r="K1078">
        <v>20</v>
      </c>
      <c r="L1078">
        <v>7</v>
      </c>
      <c r="O1078">
        <v>7</v>
      </c>
      <c r="P1078">
        <v>4</v>
      </c>
      <c r="Q1078">
        <v>0</v>
      </c>
      <c r="R1078">
        <v>48.15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H1078">
        <v>48.15</v>
      </c>
    </row>
    <row r="1079" spans="1:34" x14ac:dyDescent="0.3">
      <c r="A1079" s="4">
        <v>1264</v>
      </c>
      <c r="B1079" s="5">
        <v>1072</v>
      </c>
      <c r="C1079">
        <v>9122</v>
      </c>
      <c r="D1079" t="s">
        <v>28566</v>
      </c>
      <c r="E1079" t="s">
        <v>1474</v>
      </c>
      <c r="F1079" t="s">
        <v>17</v>
      </c>
      <c r="G1079" t="s">
        <v>28567</v>
      </c>
      <c r="H1079">
        <v>16.05</v>
      </c>
      <c r="I1079">
        <v>0</v>
      </c>
      <c r="J1079">
        <v>0</v>
      </c>
      <c r="K1079">
        <v>20</v>
      </c>
      <c r="M1079">
        <v>5</v>
      </c>
      <c r="O1079">
        <v>5</v>
      </c>
      <c r="P1079">
        <v>4</v>
      </c>
      <c r="Q1079">
        <v>0</v>
      </c>
      <c r="R1079">
        <v>45.05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3</v>
      </c>
      <c r="AC1079">
        <v>0</v>
      </c>
      <c r="AH1079">
        <v>48.05</v>
      </c>
    </row>
    <row r="1080" spans="1:34" x14ac:dyDescent="0.3">
      <c r="A1080" s="4">
        <v>1265</v>
      </c>
      <c r="B1080" s="5">
        <v>1073</v>
      </c>
      <c r="C1080">
        <v>13547</v>
      </c>
      <c r="D1080" t="s">
        <v>28568</v>
      </c>
      <c r="E1080" t="s">
        <v>161</v>
      </c>
      <c r="F1080" t="s">
        <v>58</v>
      </c>
      <c r="G1080" t="s">
        <v>28569</v>
      </c>
      <c r="H1080">
        <v>19.05</v>
      </c>
      <c r="I1080">
        <v>0</v>
      </c>
      <c r="J1080">
        <v>0</v>
      </c>
      <c r="K1080">
        <v>0</v>
      </c>
      <c r="L1080">
        <v>7</v>
      </c>
      <c r="O1080">
        <v>7</v>
      </c>
      <c r="P1080">
        <v>4</v>
      </c>
      <c r="Q1080">
        <v>0</v>
      </c>
      <c r="R1080">
        <v>30.05</v>
      </c>
      <c r="S1080">
        <v>18</v>
      </c>
      <c r="T1080">
        <v>18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18</v>
      </c>
      <c r="AB1080">
        <v>0</v>
      </c>
      <c r="AC1080">
        <v>0</v>
      </c>
      <c r="AD1080" t="s">
        <v>130</v>
      </c>
      <c r="AH1080">
        <v>48.05</v>
      </c>
    </row>
    <row r="1081" spans="1:34" x14ac:dyDescent="0.3">
      <c r="A1081" s="4">
        <v>1266</v>
      </c>
      <c r="B1081" s="5">
        <v>1074</v>
      </c>
      <c r="C1081">
        <v>9945</v>
      </c>
      <c r="D1081" t="s">
        <v>28570</v>
      </c>
      <c r="E1081" t="s">
        <v>170</v>
      </c>
      <c r="F1081" t="s">
        <v>20</v>
      </c>
      <c r="G1081" t="s">
        <v>28571</v>
      </c>
      <c r="H1081">
        <v>17</v>
      </c>
      <c r="I1081">
        <v>0</v>
      </c>
      <c r="J1081">
        <v>0</v>
      </c>
      <c r="K1081">
        <v>20</v>
      </c>
      <c r="O1081">
        <v>0</v>
      </c>
      <c r="P1081">
        <v>4</v>
      </c>
      <c r="Q1081">
        <v>2</v>
      </c>
      <c r="R1081">
        <v>43</v>
      </c>
      <c r="S1081">
        <v>5</v>
      </c>
      <c r="T1081">
        <v>5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5</v>
      </c>
      <c r="AB1081">
        <v>0</v>
      </c>
      <c r="AC1081">
        <v>0</v>
      </c>
      <c r="AH1081">
        <v>48</v>
      </c>
    </row>
    <row r="1082" spans="1:34" x14ac:dyDescent="0.3">
      <c r="A1082" s="4">
        <v>1267</v>
      </c>
      <c r="B1082" s="5">
        <v>1075</v>
      </c>
      <c r="C1082">
        <v>2192</v>
      </c>
      <c r="D1082" t="s">
        <v>28572</v>
      </c>
      <c r="E1082" t="s">
        <v>139</v>
      </c>
      <c r="F1082" t="s">
        <v>243</v>
      </c>
      <c r="G1082" t="s">
        <v>28573</v>
      </c>
      <c r="H1082">
        <v>17.98</v>
      </c>
      <c r="I1082">
        <v>0</v>
      </c>
      <c r="J1082">
        <v>0</v>
      </c>
      <c r="K1082">
        <v>20</v>
      </c>
      <c r="N1082">
        <v>3</v>
      </c>
      <c r="O1082">
        <v>3</v>
      </c>
      <c r="P1082">
        <v>4</v>
      </c>
      <c r="Q1082">
        <v>0</v>
      </c>
      <c r="R1082">
        <v>44.98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3</v>
      </c>
      <c r="AC1082">
        <v>0</v>
      </c>
      <c r="AH1082">
        <v>47.98</v>
      </c>
    </row>
    <row r="1083" spans="1:34" x14ac:dyDescent="0.3">
      <c r="A1083" s="4">
        <v>1268</v>
      </c>
      <c r="B1083" s="5">
        <v>1076</v>
      </c>
      <c r="C1083">
        <v>525</v>
      </c>
      <c r="D1083" t="s">
        <v>11627</v>
      </c>
      <c r="E1083" t="s">
        <v>692</v>
      </c>
      <c r="F1083" t="s">
        <v>20</v>
      </c>
      <c r="G1083" t="s">
        <v>28574</v>
      </c>
      <c r="H1083">
        <v>17.850000000000001</v>
      </c>
      <c r="I1083">
        <v>0</v>
      </c>
      <c r="J1083">
        <v>0</v>
      </c>
      <c r="K1083">
        <v>0</v>
      </c>
      <c r="L1083">
        <v>7</v>
      </c>
      <c r="O1083">
        <v>7</v>
      </c>
      <c r="P1083">
        <v>4</v>
      </c>
      <c r="Q1083">
        <v>2</v>
      </c>
      <c r="R1083">
        <v>30.85</v>
      </c>
      <c r="S1083">
        <v>17</v>
      </c>
      <c r="T1083">
        <v>17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17</v>
      </c>
      <c r="AB1083">
        <v>0</v>
      </c>
      <c r="AC1083">
        <v>0</v>
      </c>
      <c r="AH1083">
        <v>47.85</v>
      </c>
    </row>
    <row r="1084" spans="1:34" x14ac:dyDescent="0.3">
      <c r="A1084" s="4">
        <v>1269</v>
      </c>
      <c r="B1084" s="5">
        <v>1077</v>
      </c>
      <c r="C1084">
        <v>1125</v>
      </c>
      <c r="D1084" t="s">
        <v>28575</v>
      </c>
      <c r="E1084" t="s">
        <v>126</v>
      </c>
      <c r="F1084" t="s">
        <v>28576</v>
      </c>
      <c r="G1084" t="s">
        <v>28577</v>
      </c>
      <c r="H1084">
        <v>16.829999999999998</v>
      </c>
      <c r="I1084">
        <v>0</v>
      </c>
      <c r="J1084">
        <v>0</v>
      </c>
      <c r="K1084">
        <v>20</v>
      </c>
      <c r="L1084">
        <v>7</v>
      </c>
      <c r="O1084">
        <v>7</v>
      </c>
      <c r="P1084">
        <v>4</v>
      </c>
      <c r="Q1084">
        <v>0</v>
      </c>
      <c r="R1084">
        <v>47.83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H1084">
        <v>47.83</v>
      </c>
    </row>
    <row r="1085" spans="1:34" x14ac:dyDescent="0.3">
      <c r="A1085" s="4">
        <v>1270</v>
      </c>
      <c r="B1085" s="5">
        <v>1078</v>
      </c>
      <c r="C1085">
        <v>4035</v>
      </c>
      <c r="D1085" t="s">
        <v>28578</v>
      </c>
      <c r="E1085" t="s">
        <v>28579</v>
      </c>
      <c r="F1085" t="s">
        <v>34</v>
      </c>
      <c r="G1085" t="s">
        <v>28580</v>
      </c>
      <c r="H1085">
        <v>16.829999999999998</v>
      </c>
      <c r="I1085">
        <v>0</v>
      </c>
      <c r="J1085">
        <v>0</v>
      </c>
      <c r="K1085">
        <v>0</v>
      </c>
      <c r="L1085">
        <v>7</v>
      </c>
      <c r="O1085">
        <v>7</v>
      </c>
      <c r="P1085">
        <v>4</v>
      </c>
      <c r="Q1085">
        <v>2</v>
      </c>
      <c r="R1085">
        <v>29.83</v>
      </c>
      <c r="S1085">
        <v>18</v>
      </c>
      <c r="T1085">
        <v>18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18</v>
      </c>
      <c r="AB1085">
        <v>0</v>
      </c>
      <c r="AC1085">
        <v>0</v>
      </c>
      <c r="AH1085">
        <v>47.83</v>
      </c>
    </row>
    <row r="1086" spans="1:34" x14ac:dyDescent="0.3">
      <c r="A1086" s="4">
        <v>1271</v>
      </c>
      <c r="B1086" s="5">
        <v>1079</v>
      </c>
      <c r="C1086">
        <v>5446</v>
      </c>
      <c r="D1086" t="s">
        <v>28581</v>
      </c>
      <c r="E1086" t="s">
        <v>178</v>
      </c>
      <c r="F1086" t="s">
        <v>30</v>
      </c>
      <c r="G1086" t="s">
        <v>28582</v>
      </c>
      <c r="H1086">
        <v>17.8</v>
      </c>
      <c r="I1086">
        <v>0</v>
      </c>
      <c r="J1086">
        <v>0</v>
      </c>
      <c r="K1086">
        <v>20</v>
      </c>
      <c r="N1086">
        <v>3</v>
      </c>
      <c r="O1086">
        <v>3</v>
      </c>
      <c r="P1086">
        <v>4</v>
      </c>
      <c r="Q1086">
        <v>0</v>
      </c>
      <c r="R1086">
        <v>44.8</v>
      </c>
      <c r="S1086">
        <v>3</v>
      </c>
      <c r="T1086">
        <v>3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3</v>
      </c>
      <c r="AB1086">
        <v>0</v>
      </c>
      <c r="AC1086">
        <v>0</v>
      </c>
      <c r="AH1086">
        <v>47.8</v>
      </c>
    </row>
    <row r="1087" spans="1:34" x14ac:dyDescent="0.3">
      <c r="A1087" s="4">
        <v>1272</v>
      </c>
      <c r="B1087" s="5">
        <v>1080</v>
      </c>
      <c r="C1087">
        <v>15669</v>
      </c>
      <c r="D1087" t="s">
        <v>4043</v>
      </c>
      <c r="E1087" t="s">
        <v>132</v>
      </c>
      <c r="F1087" t="s">
        <v>124</v>
      </c>
      <c r="G1087" t="s">
        <v>28583</v>
      </c>
      <c r="H1087">
        <v>18.63</v>
      </c>
      <c r="I1087">
        <v>0</v>
      </c>
      <c r="J1087">
        <v>0</v>
      </c>
      <c r="K1087">
        <v>20</v>
      </c>
      <c r="M1087">
        <v>5</v>
      </c>
      <c r="O1087">
        <v>5</v>
      </c>
      <c r="P1087">
        <v>4</v>
      </c>
      <c r="Q1087">
        <v>0</v>
      </c>
      <c r="R1087">
        <v>47.63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H1087">
        <v>47.63</v>
      </c>
    </row>
    <row r="1088" spans="1:34" x14ac:dyDescent="0.3">
      <c r="A1088" s="4">
        <v>1273</v>
      </c>
      <c r="B1088" s="5">
        <v>1081</v>
      </c>
      <c r="C1088">
        <v>11317</v>
      </c>
      <c r="D1088" t="s">
        <v>28584</v>
      </c>
      <c r="E1088" t="s">
        <v>29</v>
      </c>
      <c r="F1088" t="s">
        <v>81</v>
      </c>
      <c r="G1088" t="s">
        <v>28585</v>
      </c>
      <c r="H1088">
        <v>17.63</v>
      </c>
      <c r="I1088">
        <v>0</v>
      </c>
      <c r="J1088">
        <v>0</v>
      </c>
      <c r="K1088">
        <v>0</v>
      </c>
      <c r="L1088">
        <v>7</v>
      </c>
      <c r="O1088">
        <v>7</v>
      </c>
      <c r="P1088">
        <v>4</v>
      </c>
      <c r="Q1088">
        <v>2</v>
      </c>
      <c r="R1088">
        <v>30.63</v>
      </c>
      <c r="S1088">
        <v>17</v>
      </c>
      <c r="T1088">
        <v>17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17</v>
      </c>
      <c r="AB1088">
        <v>0</v>
      </c>
      <c r="AC1088">
        <v>0</v>
      </c>
      <c r="AH1088">
        <v>47.63</v>
      </c>
    </row>
    <row r="1089" spans="1:34" x14ac:dyDescent="0.3">
      <c r="A1089" s="4">
        <v>1274</v>
      </c>
      <c r="B1089" s="5">
        <v>1082</v>
      </c>
      <c r="C1089">
        <v>8608</v>
      </c>
      <c r="D1089" t="s">
        <v>28586</v>
      </c>
      <c r="E1089" t="s">
        <v>471</v>
      </c>
      <c r="F1089" t="s">
        <v>136</v>
      </c>
      <c r="G1089" t="s">
        <v>28587</v>
      </c>
      <c r="H1089">
        <v>19.600000000000001</v>
      </c>
      <c r="I1089">
        <v>0</v>
      </c>
      <c r="J1089">
        <v>0</v>
      </c>
      <c r="K1089">
        <v>0</v>
      </c>
      <c r="L1089">
        <v>7</v>
      </c>
      <c r="O1089">
        <v>7</v>
      </c>
      <c r="P1089">
        <v>4</v>
      </c>
      <c r="Q1089">
        <v>2</v>
      </c>
      <c r="R1089">
        <v>32.6</v>
      </c>
      <c r="S1089">
        <v>15</v>
      </c>
      <c r="T1089">
        <v>15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15</v>
      </c>
      <c r="AB1089">
        <v>0</v>
      </c>
      <c r="AC1089">
        <v>0</v>
      </c>
      <c r="AD1089" t="s">
        <v>130</v>
      </c>
      <c r="AH1089">
        <v>47.6</v>
      </c>
    </row>
    <row r="1090" spans="1:34" x14ac:dyDescent="0.3">
      <c r="A1090" s="4">
        <v>1275</v>
      </c>
      <c r="B1090" s="5">
        <v>1083</v>
      </c>
      <c r="C1090">
        <v>414</v>
      </c>
      <c r="D1090" t="s">
        <v>16144</v>
      </c>
      <c r="E1090" t="s">
        <v>208</v>
      </c>
      <c r="F1090" t="s">
        <v>17</v>
      </c>
      <c r="G1090" t="s">
        <v>28588</v>
      </c>
      <c r="H1090">
        <v>20.53</v>
      </c>
      <c r="I1090">
        <v>0</v>
      </c>
      <c r="J1090">
        <v>0</v>
      </c>
      <c r="K1090">
        <v>0</v>
      </c>
      <c r="N1090">
        <v>3</v>
      </c>
      <c r="O1090">
        <v>3</v>
      </c>
      <c r="P1090">
        <v>4</v>
      </c>
      <c r="Q1090">
        <v>0</v>
      </c>
      <c r="R1090">
        <v>27.53</v>
      </c>
      <c r="S1090">
        <v>14</v>
      </c>
      <c r="T1090">
        <v>14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14</v>
      </c>
      <c r="AB1090">
        <v>6</v>
      </c>
      <c r="AC1090">
        <v>0</v>
      </c>
      <c r="AH1090">
        <v>47.53</v>
      </c>
    </row>
    <row r="1091" spans="1:34" x14ac:dyDescent="0.3">
      <c r="A1091" s="4">
        <v>1276</v>
      </c>
      <c r="B1091" s="5">
        <v>1084</v>
      </c>
      <c r="C1091">
        <v>9739</v>
      </c>
      <c r="D1091" t="s">
        <v>5254</v>
      </c>
      <c r="E1091" t="s">
        <v>170</v>
      </c>
      <c r="F1091" t="s">
        <v>81</v>
      </c>
      <c r="G1091" t="s">
        <v>28589</v>
      </c>
      <c r="H1091">
        <v>17.5</v>
      </c>
      <c r="I1091">
        <v>0</v>
      </c>
      <c r="J1091">
        <v>0</v>
      </c>
      <c r="K1091">
        <v>20</v>
      </c>
      <c r="N1091">
        <v>3</v>
      </c>
      <c r="O1091">
        <v>3</v>
      </c>
      <c r="P1091">
        <v>4</v>
      </c>
      <c r="Q1091">
        <v>0</v>
      </c>
      <c r="R1091">
        <v>44.5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3</v>
      </c>
      <c r="AC1091">
        <v>0</v>
      </c>
      <c r="AH1091">
        <v>47.5</v>
      </c>
    </row>
    <row r="1092" spans="1:34" x14ac:dyDescent="0.3">
      <c r="A1092" s="4">
        <v>1277</v>
      </c>
      <c r="B1092" s="5">
        <v>1085</v>
      </c>
      <c r="C1092">
        <v>3025</v>
      </c>
      <c r="D1092" t="s">
        <v>1576</v>
      </c>
      <c r="E1092" t="s">
        <v>41</v>
      </c>
      <c r="F1092" t="s">
        <v>649</v>
      </c>
      <c r="G1092" t="s">
        <v>28590</v>
      </c>
      <c r="H1092">
        <v>17.48</v>
      </c>
      <c r="I1092">
        <v>0</v>
      </c>
      <c r="J1092">
        <v>0</v>
      </c>
      <c r="K1092">
        <v>20</v>
      </c>
      <c r="O1092">
        <v>0</v>
      </c>
      <c r="P1092">
        <v>4</v>
      </c>
      <c r="Q1092">
        <v>0</v>
      </c>
      <c r="R1092">
        <v>41.48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6</v>
      </c>
      <c r="AC1092">
        <v>0</v>
      </c>
      <c r="AH1092">
        <v>47.48</v>
      </c>
    </row>
    <row r="1093" spans="1:34" x14ac:dyDescent="0.3">
      <c r="A1093" s="4">
        <v>1278</v>
      </c>
      <c r="B1093" s="5">
        <v>1086</v>
      </c>
      <c r="C1093">
        <v>2618</v>
      </c>
      <c r="D1093" t="s">
        <v>2251</v>
      </c>
      <c r="E1093" t="s">
        <v>71</v>
      </c>
      <c r="F1093" t="s">
        <v>30</v>
      </c>
      <c r="G1093" t="s">
        <v>4965</v>
      </c>
      <c r="H1093">
        <v>18.38</v>
      </c>
      <c r="I1093">
        <v>0</v>
      </c>
      <c r="J1093">
        <v>0</v>
      </c>
      <c r="K1093">
        <v>0</v>
      </c>
      <c r="M1093">
        <v>5</v>
      </c>
      <c r="O1093">
        <v>5</v>
      </c>
      <c r="P1093">
        <v>4</v>
      </c>
      <c r="Q1093">
        <v>2</v>
      </c>
      <c r="R1093">
        <v>29.38</v>
      </c>
      <c r="S1093">
        <v>18</v>
      </c>
      <c r="T1093">
        <v>18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18</v>
      </c>
      <c r="AB1093">
        <v>0</v>
      </c>
      <c r="AC1093">
        <v>0</v>
      </c>
      <c r="AE1093" t="s">
        <v>130</v>
      </c>
      <c r="AH1093">
        <v>47.38</v>
      </c>
    </row>
    <row r="1094" spans="1:34" x14ac:dyDescent="0.3">
      <c r="A1094" s="4">
        <v>1279</v>
      </c>
      <c r="B1094" s="5">
        <v>1087</v>
      </c>
      <c r="C1094">
        <v>15140</v>
      </c>
      <c r="D1094" t="s">
        <v>28591</v>
      </c>
      <c r="E1094" t="s">
        <v>28592</v>
      </c>
      <c r="F1094" t="s">
        <v>20</v>
      </c>
      <c r="G1094" t="s">
        <v>28593</v>
      </c>
      <c r="H1094">
        <v>17.350000000000001</v>
      </c>
      <c r="I1094">
        <v>0</v>
      </c>
      <c r="J1094">
        <v>0</v>
      </c>
      <c r="K1094">
        <v>20</v>
      </c>
      <c r="N1094">
        <v>3</v>
      </c>
      <c r="O1094">
        <v>3</v>
      </c>
      <c r="P1094">
        <v>4</v>
      </c>
      <c r="Q1094">
        <v>0</v>
      </c>
      <c r="R1094">
        <v>44.35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3</v>
      </c>
      <c r="AC1094">
        <v>0</v>
      </c>
      <c r="AH1094">
        <v>47.35</v>
      </c>
    </row>
    <row r="1095" spans="1:34" x14ac:dyDescent="0.3">
      <c r="A1095" s="4">
        <v>1280</v>
      </c>
      <c r="B1095" s="5">
        <v>1088</v>
      </c>
      <c r="C1095">
        <v>2843</v>
      </c>
      <c r="D1095" t="s">
        <v>7480</v>
      </c>
      <c r="E1095" t="s">
        <v>173</v>
      </c>
      <c r="F1095" t="s">
        <v>30</v>
      </c>
      <c r="G1095" t="s">
        <v>28594</v>
      </c>
      <c r="H1095">
        <v>20.329999999999998</v>
      </c>
      <c r="I1095">
        <v>0</v>
      </c>
      <c r="J1095">
        <v>0</v>
      </c>
      <c r="K1095">
        <v>20</v>
      </c>
      <c r="N1095">
        <v>3</v>
      </c>
      <c r="O1095">
        <v>3</v>
      </c>
      <c r="P1095">
        <v>4</v>
      </c>
      <c r="Q1095">
        <v>0</v>
      </c>
      <c r="R1095">
        <v>47.33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H1095">
        <v>47.33</v>
      </c>
    </row>
    <row r="1096" spans="1:34" x14ac:dyDescent="0.3">
      <c r="A1096" s="4">
        <v>1281</v>
      </c>
      <c r="B1096" s="5">
        <v>1089</v>
      </c>
      <c r="C1096">
        <v>4735</v>
      </c>
      <c r="D1096" t="s">
        <v>28595</v>
      </c>
      <c r="E1096" t="s">
        <v>136</v>
      </c>
      <c r="F1096" t="s">
        <v>68</v>
      </c>
      <c r="G1096" t="s">
        <v>28596</v>
      </c>
      <c r="H1096">
        <v>16.28</v>
      </c>
      <c r="I1096">
        <v>0</v>
      </c>
      <c r="J1096">
        <v>0</v>
      </c>
      <c r="K1096">
        <v>20</v>
      </c>
      <c r="L1096">
        <v>7</v>
      </c>
      <c r="O1096">
        <v>7</v>
      </c>
      <c r="P1096">
        <v>4</v>
      </c>
      <c r="Q1096">
        <v>0</v>
      </c>
      <c r="R1096">
        <v>47.28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H1096">
        <v>47.28</v>
      </c>
    </row>
    <row r="1097" spans="1:34" x14ac:dyDescent="0.3">
      <c r="A1097" s="4">
        <v>1282</v>
      </c>
      <c r="B1097" s="5">
        <v>1090</v>
      </c>
      <c r="C1097">
        <v>8157</v>
      </c>
      <c r="D1097" t="s">
        <v>28597</v>
      </c>
      <c r="E1097" t="s">
        <v>1043</v>
      </c>
      <c r="F1097" t="s">
        <v>52</v>
      </c>
      <c r="G1097" t="s">
        <v>28598</v>
      </c>
      <c r="H1097">
        <v>17.25</v>
      </c>
      <c r="I1097">
        <v>0</v>
      </c>
      <c r="J1097">
        <v>0</v>
      </c>
      <c r="K1097">
        <v>20</v>
      </c>
      <c r="N1097">
        <v>3</v>
      </c>
      <c r="O1097">
        <v>3</v>
      </c>
      <c r="P1097">
        <v>4</v>
      </c>
      <c r="Q1097">
        <v>0</v>
      </c>
      <c r="R1097">
        <v>44.25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3</v>
      </c>
      <c r="AC1097">
        <v>0</v>
      </c>
      <c r="AE1097" t="s">
        <v>130</v>
      </c>
      <c r="AH1097">
        <v>47.25</v>
      </c>
    </row>
    <row r="1098" spans="1:34" x14ac:dyDescent="0.3">
      <c r="A1098" s="4">
        <v>1283</v>
      </c>
      <c r="B1098" s="5">
        <v>1091</v>
      </c>
      <c r="C1098">
        <v>12544</v>
      </c>
      <c r="D1098" t="s">
        <v>5160</v>
      </c>
      <c r="E1098" t="s">
        <v>41</v>
      </c>
      <c r="F1098" t="s">
        <v>117</v>
      </c>
      <c r="G1098" t="s">
        <v>28599</v>
      </c>
      <c r="H1098">
        <v>17.13</v>
      </c>
      <c r="I1098">
        <v>0</v>
      </c>
      <c r="J1098">
        <v>0</v>
      </c>
      <c r="K1098">
        <v>0</v>
      </c>
      <c r="N1098">
        <v>6</v>
      </c>
      <c r="O1098">
        <v>6</v>
      </c>
      <c r="P1098">
        <v>4</v>
      </c>
      <c r="Q1098">
        <v>2</v>
      </c>
      <c r="R1098">
        <v>29.13</v>
      </c>
      <c r="S1098">
        <v>18</v>
      </c>
      <c r="T1098">
        <v>18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18</v>
      </c>
      <c r="AB1098">
        <v>0</v>
      </c>
      <c r="AC1098">
        <v>0</v>
      </c>
      <c r="AD1098" t="s">
        <v>130</v>
      </c>
      <c r="AH1098">
        <v>47.13</v>
      </c>
    </row>
    <row r="1099" spans="1:34" x14ac:dyDescent="0.3">
      <c r="A1099" s="4">
        <v>1284</v>
      </c>
      <c r="B1099" s="5">
        <v>1092</v>
      </c>
      <c r="C1099">
        <v>7171</v>
      </c>
      <c r="D1099" t="s">
        <v>20443</v>
      </c>
      <c r="E1099" t="s">
        <v>178</v>
      </c>
      <c r="F1099" t="s">
        <v>190</v>
      </c>
      <c r="G1099" t="s">
        <v>28600</v>
      </c>
      <c r="H1099">
        <v>16.13</v>
      </c>
      <c r="I1099">
        <v>0</v>
      </c>
      <c r="J1099">
        <v>0</v>
      </c>
      <c r="K1099">
        <v>0</v>
      </c>
      <c r="L1099">
        <v>7</v>
      </c>
      <c r="O1099">
        <v>7</v>
      </c>
      <c r="P1099">
        <v>4</v>
      </c>
      <c r="Q1099">
        <v>2</v>
      </c>
      <c r="R1099">
        <v>29.13</v>
      </c>
      <c r="S1099">
        <v>18</v>
      </c>
      <c r="T1099">
        <v>18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18</v>
      </c>
      <c r="AB1099">
        <v>0</v>
      </c>
      <c r="AC1099">
        <v>0</v>
      </c>
      <c r="AH1099">
        <v>47.13</v>
      </c>
    </row>
    <row r="1100" spans="1:34" x14ac:dyDescent="0.3">
      <c r="A1100" s="4">
        <v>1285</v>
      </c>
      <c r="B1100" s="5">
        <v>1093</v>
      </c>
      <c r="C1100">
        <v>2425</v>
      </c>
      <c r="D1100" t="s">
        <v>28601</v>
      </c>
      <c r="E1100" t="s">
        <v>68</v>
      </c>
      <c r="F1100" t="s">
        <v>79</v>
      </c>
      <c r="G1100" t="s">
        <v>28602</v>
      </c>
      <c r="H1100">
        <v>17</v>
      </c>
      <c r="I1100">
        <v>0</v>
      </c>
      <c r="J1100">
        <v>0</v>
      </c>
      <c r="K1100">
        <v>20</v>
      </c>
      <c r="N1100">
        <v>3</v>
      </c>
      <c r="O1100">
        <v>3</v>
      </c>
      <c r="P1100">
        <v>4</v>
      </c>
      <c r="Q1100">
        <v>0</v>
      </c>
      <c r="R1100">
        <v>44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3</v>
      </c>
      <c r="AC1100">
        <v>0</v>
      </c>
      <c r="AH1100">
        <v>47</v>
      </c>
    </row>
    <row r="1101" spans="1:34" x14ac:dyDescent="0.3">
      <c r="A1101" s="4">
        <v>1286</v>
      </c>
      <c r="B1101" s="5">
        <v>1094</v>
      </c>
      <c r="C1101">
        <v>15612</v>
      </c>
      <c r="D1101" t="s">
        <v>28603</v>
      </c>
      <c r="E1101" t="s">
        <v>28604</v>
      </c>
      <c r="F1101" t="s">
        <v>23</v>
      </c>
      <c r="G1101" t="s">
        <v>28605</v>
      </c>
      <c r="H1101">
        <v>17</v>
      </c>
      <c r="I1101">
        <v>0</v>
      </c>
      <c r="J1101">
        <v>0</v>
      </c>
      <c r="K1101">
        <v>20</v>
      </c>
      <c r="N1101">
        <v>3</v>
      </c>
      <c r="O1101">
        <v>3</v>
      </c>
      <c r="P1101">
        <v>4</v>
      </c>
      <c r="Q1101">
        <v>0</v>
      </c>
      <c r="R1101">
        <v>44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3</v>
      </c>
      <c r="AC1101">
        <v>0</v>
      </c>
      <c r="AH1101">
        <v>47</v>
      </c>
    </row>
    <row r="1102" spans="1:34" x14ac:dyDescent="0.3">
      <c r="A1102" s="4">
        <v>1287</v>
      </c>
      <c r="B1102" s="5">
        <v>1095</v>
      </c>
      <c r="C1102">
        <v>6143</v>
      </c>
      <c r="D1102" t="s">
        <v>28606</v>
      </c>
      <c r="E1102" t="s">
        <v>328</v>
      </c>
      <c r="F1102" t="s">
        <v>124</v>
      </c>
      <c r="G1102" t="s">
        <v>28607</v>
      </c>
      <c r="H1102">
        <v>15</v>
      </c>
      <c r="I1102">
        <v>0</v>
      </c>
      <c r="J1102">
        <v>0</v>
      </c>
      <c r="K1102">
        <v>20</v>
      </c>
      <c r="N1102">
        <v>3</v>
      </c>
      <c r="O1102">
        <v>3</v>
      </c>
      <c r="P1102">
        <v>4</v>
      </c>
      <c r="Q1102">
        <v>0</v>
      </c>
      <c r="R1102">
        <v>42</v>
      </c>
      <c r="S1102">
        <v>2</v>
      </c>
      <c r="T1102">
        <v>2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2</v>
      </c>
      <c r="AB1102">
        <v>3</v>
      </c>
      <c r="AC1102">
        <v>0</v>
      </c>
      <c r="AH1102">
        <v>47</v>
      </c>
    </row>
    <row r="1103" spans="1:34" x14ac:dyDescent="0.3">
      <c r="A1103" s="4">
        <v>1288</v>
      </c>
      <c r="B1103" s="5">
        <v>1096</v>
      </c>
      <c r="C1103">
        <v>4623</v>
      </c>
      <c r="D1103" t="s">
        <v>28608</v>
      </c>
      <c r="E1103" t="s">
        <v>68</v>
      </c>
      <c r="F1103" t="s">
        <v>158</v>
      </c>
      <c r="G1103" t="s">
        <v>28609</v>
      </c>
      <c r="H1103">
        <v>17</v>
      </c>
      <c r="I1103">
        <v>0</v>
      </c>
      <c r="J1103">
        <v>0</v>
      </c>
      <c r="K1103">
        <v>20</v>
      </c>
      <c r="N1103">
        <v>6</v>
      </c>
      <c r="O1103">
        <v>6</v>
      </c>
      <c r="P1103">
        <v>4</v>
      </c>
      <c r="Q1103">
        <v>0</v>
      </c>
      <c r="R1103">
        <v>47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 t="s">
        <v>130</v>
      </c>
      <c r="AH1103">
        <v>47</v>
      </c>
    </row>
    <row r="1104" spans="1:34" x14ac:dyDescent="0.3">
      <c r="A1104" s="4">
        <v>1289</v>
      </c>
      <c r="B1104" s="5">
        <v>1097</v>
      </c>
      <c r="C1104">
        <v>4601</v>
      </c>
      <c r="D1104" t="s">
        <v>28610</v>
      </c>
      <c r="E1104" t="s">
        <v>2372</v>
      </c>
      <c r="F1104" t="s">
        <v>385</v>
      </c>
      <c r="G1104" t="s">
        <v>28611</v>
      </c>
      <c r="H1104">
        <v>18.98</v>
      </c>
      <c r="I1104">
        <v>0</v>
      </c>
      <c r="J1104">
        <v>0</v>
      </c>
      <c r="K1104">
        <v>0</v>
      </c>
      <c r="M1104">
        <v>5</v>
      </c>
      <c r="O1104">
        <v>5</v>
      </c>
      <c r="P1104">
        <v>4</v>
      </c>
      <c r="Q1104">
        <v>2</v>
      </c>
      <c r="R1104">
        <v>29.98</v>
      </c>
      <c r="S1104">
        <v>17</v>
      </c>
      <c r="T1104">
        <v>17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17</v>
      </c>
      <c r="AB1104">
        <v>0</v>
      </c>
      <c r="AC1104">
        <v>0</v>
      </c>
      <c r="AH1104">
        <v>46.98</v>
      </c>
    </row>
    <row r="1105" spans="1:34" x14ac:dyDescent="0.3">
      <c r="A1105" s="4">
        <v>1290</v>
      </c>
      <c r="B1105" s="5">
        <v>1098</v>
      </c>
      <c r="C1105">
        <v>11249</v>
      </c>
      <c r="D1105" t="s">
        <v>3792</v>
      </c>
      <c r="E1105" t="s">
        <v>54</v>
      </c>
      <c r="F1105" t="s">
        <v>30</v>
      </c>
      <c r="G1105" t="s">
        <v>28612</v>
      </c>
      <c r="H1105">
        <v>15.95</v>
      </c>
      <c r="I1105">
        <v>0</v>
      </c>
      <c r="J1105">
        <v>0</v>
      </c>
      <c r="K1105">
        <v>0</v>
      </c>
      <c r="L1105">
        <v>7</v>
      </c>
      <c r="O1105">
        <v>7</v>
      </c>
      <c r="P1105">
        <v>4</v>
      </c>
      <c r="Q1105">
        <v>2</v>
      </c>
      <c r="R1105">
        <v>28.95</v>
      </c>
      <c r="S1105">
        <v>18</v>
      </c>
      <c r="T1105">
        <v>18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18</v>
      </c>
      <c r="AB1105">
        <v>0</v>
      </c>
      <c r="AC1105">
        <v>0</v>
      </c>
      <c r="AD1105" t="s">
        <v>130</v>
      </c>
      <c r="AH1105">
        <v>46.95</v>
      </c>
    </row>
    <row r="1106" spans="1:34" x14ac:dyDescent="0.3">
      <c r="A1106" s="4">
        <v>1291</v>
      </c>
      <c r="B1106" s="5">
        <v>1099</v>
      </c>
      <c r="C1106">
        <v>8396</v>
      </c>
      <c r="D1106" t="s">
        <v>6035</v>
      </c>
      <c r="E1106" t="s">
        <v>41</v>
      </c>
      <c r="F1106" t="s">
        <v>136</v>
      </c>
      <c r="G1106" t="s">
        <v>32084</v>
      </c>
      <c r="H1106">
        <v>17.95</v>
      </c>
      <c r="I1106">
        <v>0</v>
      </c>
      <c r="J1106">
        <v>0</v>
      </c>
      <c r="K1106">
        <v>0</v>
      </c>
      <c r="N1106">
        <v>3</v>
      </c>
      <c r="O1106">
        <v>3</v>
      </c>
      <c r="P1106">
        <v>4</v>
      </c>
      <c r="Q1106">
        <v>0</v>
      </c>
      <c r="R1106">
        <v>24.95</v>
      </c>
      <c r="S1106">
        <v>22</v>
      </c>
      <c r="T1106">
        <v>22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22</v>
      </c>
      <c r="AB1106">
        <v>0</v>
      </c>
      <c r="AC1106">
        <v>0</v>
      </c>
      <c r="AH1106">
        <v>46.95</v>
      </c>
    </row>
    <row r="1107" spans="1:34" x14ac:dyDescent="0.3">
      <c r="A1107" s="4">
        <v>1292</v>
      </c>
      <c r="B1107" s="5">
        <v>1100</v>
      </c>
      <c r="C1107">
        <v>6672</v>
      </c>
      <c r="D1107" t="s">
        <v>28613</v>
      </c>
      <c r="E1107" t="s">
        <v>167</v>
      </c>
      <c r="F1107" t="s">
        <v>117</v>
      </c>
      <c r="G1107" t="s">
        <v>28614</v>
      </c>
      <c r="H1107">
        <v>19.93</v>
      </c>
      <c r="I1107">
        <v>0</v>
      </c>
      <c r="J1107">
        <v>0</v>
      </c>
      <c r="K1107">
        <v>20</v>
      </c>
      <c r="N1107">
        <v>3</v>
      </c>
      <c r="O1107">
        <v>3</v>
      </c>
      <c r="P1107">
        <v>4</v>
      </c>
      <c r="Q1107">
        <v>0</v>
      </c>
      <c r="R1107">
        <v>46.93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H1107">
        <v>46.93</v>
      </c>
    </row>
    <row r="1108" spans="1:34" x14ac:dyDescent="0.3">
      <c r="A1108" s="4">
        <v>1293</v>
      </c>
      <c r="B1108" s="5">
        <v>1101</v>
      </c>
      <c r="C1108">
        <v>12516</v>
      </c>
      <c r="D1108" t="s">
        <v>28615</v>
      </c>
      <c r="E1108" t="s">
        <v>166</v>
      </c>
      <c r="F1108" t="s">
        <v>20</v>
      </c>
      <c r="G1108" t="s">
        <v>28616</v>
      </c>
      <c r="H1108">
        <v>17.8</v>
      </c>
      <c r="I1108">
        <v>0</v>
      </c>
      <c r="J1108">
        <v>0</v>
      </c>
      <c r="K1108">
        <v>0</v>
      </c>
      <c r="N1108">
        <v>3</v>
      </c>
      <c r="O1108">
        <v>3</v>
      </c>
      <c r="P1108">
        <v>4</v>
      </c>
      <c r="Q1108">
        <v>0</v>
      </c>
      <c r="R1108">
        <v>24.8</v>
      </c>
      <c r="S1108">
        <v>13</v>
      </c>
      <c r="T1108">
        <v>13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13</v>
      </c>
      <c r="AB1108">
        <v>9</v>
      </c>
      <c r="AC1108">
        <v>0</v>
      </c>
      <c r="AD1108" t="s">
        <v>130</v>
      </c>
      <c r="AH1108">
        <v>46.8</v>
      </c>
    </row>
    <row r="1109" spans="1:34" x14ac:dyDescent="0.3">
      <c r="A1109" s="4">
        <v>1294</v>
      </c>
      <c r="B1109" s="5">
        <v>1102</v>
      </c>
      <c r="C1109">
        <v>878</v>
      </c>
      <c r="D1109" t="s">
        <v>149</v>
      </c>
      <c r="E1109" t="s">
        <v>33</v>
      </c>
      <c r="F1109" t="s">
        <v>38</v>
      </c>
      <c r="G1109" t="s">
        <v>28617</v>
      </c>
      <c r="H1109">
        <v>18.8</v>
      </c>
      <c r="I1109">
        <v>0</v>
      </c>
      <c r="J1109">
        <v>0</v>
      </c>
      <c r="K1109">
        <v>0</v>
      </c>
      <c r="L1109">
        <v>7</v>
      </c>
      <c r="O1109">
        <v>7</v>
      </c>
      <c r="P1109">
        <v>4</v>
      </c>
      <c r="Q1109">
        <v>0</v>
      </c>
      <c r="R1109">
        <v>29.8</v>
      </c>
      <c r="S1109">
        <v>14</v>
      </c>
      <c r="T1109">
        <v>14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14</v>
      </c>
      <c r="AB1109">
        <v>3</v>
      </c>
      <c r="AC1109">
        <v>0</v>
      </c>
      <c r="AH1109">
        <v>46.8</v>
      </c>
    </row>
    <row r="1110" spans="1:34" x14ac:dyDescent="0.3">
      <c r="A1110" s="4">
        <v>1295</v>
      </c>
      <c r="B1110" s="5">
        <v>1103</v>
      </c>
      <c r="C1110">
        <v>11221</v>
      </c>
      <c r="D1110" t="s">
        <v>7664</v>
      </c>
      <c r="E1110" t="s">
        <v>208</v>
      </c>
      <c r="F1110" t="s">
        <v>81</v>
      </c>
      <c r="G1110" t="s">
        <v>28618</v>
      </c>
      <c r="H1110">
        <v>17.8</v>
      </c>
      <c r="I1110">
        <v>0</v>
      </c>
      <c r="J1110">
        <v>0</v>
      </c>
      <c r="K1110">
        <v>20</v>
      </c>
      <c r="N1110">
        <v>3</v>
      </c>
      <c r="O1110">
        <v>3</v>
      </c>
      <c r="P1110">
        <v>4</v>
      </c>
      <c r="Q1110">
        <v>2</v>
      </c>
      <c r="R1110">
        <v>46.8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H1110">
        <v>46.8</v>
      </c>
    </row>
    <row r="1111" spans="1:34" x14ac:dyDescent="0.3">
      <c r="A1111" s="4">
        <v>1296</v>
      </c>
      <c r="B1111" s="5">
        <v>1104</v>
      </c>
      <c r="C1111">
        <v>4678</v>
      </c>
      <c r="D1111" t="s">
        <v>28619</v>
      </c>
      <c r="E1111" t="s">
        <v>17</v>
      </c>
      <c r="F1111" t="s">
        <v>91</v>
      </c>
      <c r="G1111" t="s">
        <v>28620</v>
      </c>
      <c r="H1111">
        <v>19.78</v>
      </c>
      <c r="I1111">
        <v>0</v>
      </c>
      <c r="J1111">
        <v>0</v>
      </c>
      <c r="K1111">
        <v>20</v>
      </c>
      <c r="N1111">
        <v>3</v>
      </c>
      <c r="O1111">
        <v>3</v>
      </c>
      <c r="P1111">
        <v>4</v>
      </c>
      <c r="Q1111">
        <v>0</v>
      </c>
      <c r="R1111">
        <v>46.78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H1111">
        <v>46.78</v>
      </c>
    </row>
    <row r="1112" spans="1:34" x14ac:dyDescent="0.3">
      <c r="A1112" s="4">
        <v>1297</v>
      </c>
      <c r="B1112" s="5">
        <v>1105</v>
      </c>
      <c r="C1112">
        <v>7929</v>
      </c>
      <c r="D1112" t="s">
        <v>28621</v>
      </c>
      <c r="E1112" t="s">
        <v>208</v>
      </c>
      <c r="F1112" t="s">
        <v>81</v>
      </c>
      <c r="G1112" t="s">
        <v>28622</v>
      </c>
      <c r="H1112">
        <v>19.78</v>
      </c>
      <c r="I1112">
        <v>0</v>
      </c>
      <c r="J1112">
        <v>0</v>
      </c>
      <c r="K1112">
        <v>20</v>
      </c>
      <c r="N1112">
        <v>3</v>
      </c>
      <c r="O1112">
        <v>3</v>
      </c>
      <c r="P1112">
        <v>4</v>
      </c>
      <c r="Q1112">
        <v>0</v>
      </c>
      <c r="R1112">
        <v>46.78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H1112">
        <v>46.78</v>
      </c>
    </row>
    <row r="1113" spans="1:34" x14ac:dyDescent="0.3">
      <c r="A1113" s="4">
        <v>1298</v>
      </c>
      <c r="B1113" s="5">
        <v>1106</v>
      </c>
      <c r="C1113">
        <v>3814</v>
      </c>
      <c r="D1113" t="s">
        <v>20776</v>
      </c>
      <c r="E1113" t="s">
        <v>28623</v>
      </c>
      <c r="F1113" t="s">
        <v>243</v>
      </c>
      <c r="G1113" t="s">
        <v>28624</v>
      </c>
      <c r="H1113">
        <v>17.78</v>
      </c>
      <c r="I1113">
        <v>0</v>
      </c>
      <c r="J1113">
        <v>0</v>
      </c>
      <c r="K1113">
        <v>20</v>
      </c>
      <c r="M1113">
        <v>5</v>
      </c>
      <c r="O1113">
        <v>5</v>
      </c>
      <c r="P1113">
        <v>4</v>
      </c>
      <c r="Q1113">
        <v>0</v>
      </c>
      <c r="R1113">
        <v>46.78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 t="s">
        <v>130</v>
      </c>
      <c r="AH1113">
        <v>46.78</v>
      </c>
    </row>
    <row r="1114" spans="1:34" x14ac:dyDescent="0.3">
      <c r="A1114" s="4">
        <v>1299</v>
      </c>
      <c r="B1114" s="5">
        <v>1107</v>
      </c>
      <c r="C1114">
        <v>2233</v>
      </c>
      <c r="D1114" t="s">
        <v>28625</v>
      </c>
      <c r="E1114" t="s">
        <v>41</v>
      </c>
      <c r="F1114" t="s">
        <v>34</v>
      </c>
      <c r="G1114" t="s">
        <v>28626</v>
      </c>
      <c r="H1114">
        <v>15.65</v>
      </c>
      <c r="I1114">
        <v>0</v>
      </c>
      <c r="J1114">
        <v>0</v>
      </c>
      <c r="K1114">
        <v>20</v>
      </c>
      <c r="L1114">
        <v>7</v>
      </c>
      <c r="O1114">
        <v>7</v>
      </c>
      <c r="P1114">
        <v>4</v>
      </c>
      <c r="Q1114">
        <v>0</v>
      </c>
      <c r="R1114">
        <v>46.65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H1114">
        <v>46.65</v>
      </c>
    </row>
    <row r="1115" spans="1:34" x14ac:dyDescent="0.3">
      <c r="A1115" s="4">
        <v>1300</v>
      </c>
      <c r="B1115" s="5">
        <v>1108</v>
      </c>
      <c r="C1115">
        <v>2335</v>
      </c>
      <c r="D1115" t="s">
        <v>16170</v>
      </c>
      <c r="E1115" t="s">
        <v>28627</v>
      </c>
      <c r="F1115" t="s">
        <v>1076</v>
      </c>
      <c r="G1115" t="s">
        <v>28628</v>
      </c>
      <c r="H1115">
        <v>16.63</v>
      </c>
      <c r="I1115">
        <v>0</v>
      </c>
      <c r="J1115">
        <v>0</v>
      </c>
      <c r="K1115">
        <v>20</v>
      </c>
      <c r="N1115">
        <v>6</v>
      </c>
      <c r="O1115">
        <v>6</v>
      </c>
      <c r="P1115">
        <v>4</v>
      </c>
      <c r="Q1115">
        <v>0</v>
      </c>
      <c r="R1115">
        <v>46.63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H1115">
        <v>46.63</v>
      </c>
    </row>
    <row r="1116" spans="1:34" x14ac:dyDescent="0.3">
      <c r="A1116" s="4">
        <v>1301</v>
      </c>
      <c r="B1116" s="5">
        <v>1109</v>
      </c>
      <c r="C1116">
        <v>6720</v>
      </c>
      <c r="D1116" t="s">
        <v>28629</v>
      </c>
      <c r="E1116" t="s">
        <v>100</v>
      </c>
      <c r="F1116" t="s">
        <v>81</v>
      </c>
      <c r="G1116" t="s">
        <v>28630</v>
      </c>
      <c r="H1116">
        <v>15.45</v>
      </c>
      <c r="I1116">
        <v>0</v>
      </c>
      <c r="J1116">
        <v>0</v>
      </c>
      <c r="K1116">
        <v>20</v>
      </c>
      <c r="L1116">
        <v>7</v>
      </c>
      <c r="O1116">
        <v>7</v>
      </c>
      <c r="P1116">
        <v>4</v>
      </c>
      <c r="Q1116">
        <v>0</v>
      </c>
      <c r="R1116">
        <v>46.45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 t="s">
        <v>130</v>
      </c>
      <c r="AE1116" t="s">
        <v>130</v>
      </c>
      <c r="AH1116">
        <v>46.45</v>
      </c>
    </row>
    <row r="1117" spans="1:34" x14ac:dyDescent="0.3">
      <c r="A1117" s="4">
        <v>1302</v>
      </c>
      <c r="B1117" s="5">
        <v>1110</v>
      </c>
      <c r="C1117">
        <v>9564</v>
      </c>
      <c r="D1117" t="s">
        <v>15190</v>
      </c>
      <c r="E1117" t="s">
        <v>5424</v>
      </c>
      <c r="F1117" t="s">
        <v>68</v>
      </c>
      <c r="G1117" t="s">
        <v>28631</v>
      </c>
      <c r="H1117">
        <v>14.95</v>
      </c>
      <c r="I1117">
        <v>0</v>
      </c>
      <c r="J1117">
        <v>0</v>
      </c>
      <c r="K1117">
        <v>0</v>
      </c>
      <c r="L1117">
        <v>7</v>
      </c>
      <c r="O1117">
        <v>7</v>
      </c>
      <c r="P1117">
        <v>4</v>
      </c>
      <c r="Q1117">
        <v>2</v>
      </c>
      <c r="R1117">
        <v>27.95</v>
      </c>
      <c r="S1117">
        <v>7</v>
      </c>
      <c r="T1117">
        <v>7</v>
      </c>
      <c r="U1117">
        <v>0</v>
      </c>
      <c r="V1117">
        <v>0</v>
      </c>
      <c r="W1117">
        <v>8</v>
      </c>
      <c r="X1117">
        <v>11.5</v>
      </c>
      <c r="Y1117">
        <v>0</v>
      </c>
      <c r="Z1117">
        <v>0</v>
      </c>
      <c r="AA1117">
        <v>18.5</v>
      </c>
      <c r="AB1117">
        <v>0</v>
      </c>
      <c r="AC1117">
        <v>0</v>
      </c>
      <c r="AH1117">
        <v>46.45</v>
      </c>
    </row>
    <row r="1118" spans="1:34" x14ac:dyDescent="0.3">
      <c r="A1118" s="4">
        <v>1303</v>
      </c>
      <c r="B1118" s="5">
        <v>1111</v>
      </c>
      <c r="C1118">
        <v>14422</v>
      </c>
      <c r="D1118" t="s">
        <v>24567</v>
      </c>
      <c r="E1118" t="s">
        <v>286</v>
      </c>
      <c r="F1118" t="s">
        <v>2595</v>
      </c>
      <c r="G1118" t="s">
        <v>28632</v>
      </c>
      <c r="H1118">
        <v>18.350000000000001</v>
      </c>
      <c r="I1118">
        <v>0</v>
      </c>
      <c r="J1118">
        <v>0</v>
      </c>
      <c r="K1118">
        <v>0</v>
      </c>
      <c r="L1118">
        <v>7</v>
      </c>
      <c r="O1118">
        <v>7</v>
      </c>
      <c r="P1118">
        <v>4</v>
      </c>
      <c r="Q1118">
        <v>2</v>
      </c>
      <c r="R1118">
        <v>31.35</v>
      </c>
      <c r="S1118">
        <v>15</v>
      </c>
      <c r="T1118">
        <v>15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15</v>
      </c>
      <c r="AB1118">
        <v>0</v>
      </c>
      <c r="AC1118">
        <v>0</v>
      </c>
      <c r="AH1118">
        <v>46.35</v>
      </c>
    </row>
    <row r="1119" spans="1:34" x14ac:dyDescent="0.3">
      <c r="A1119" s="4">
        <v>1304</v>
      </c>
      <c r="B1119" s="5">
        <v>1112</v>
      </c>
      <c r="C1119">
        <v>559</v>
      </c>
      <c r="D1119" t="s">
        <v>28633</v>
      </c>
      <c r="E1119" t="s">
        <v>28634</v>
      </c>
      <c r="F1119" t="s">
        <v>81</v>
      </c>
      <c r="G1119" t="s">
        <v>28635</v>
      </c>
      <c r="H1119">
        <v>19.149999999999999</v>
      </c>
      <c r="I1119">
        <v>0</v>
      </c>
      <c r="J1119">
        <v>0</v>
      </c>
      <c r="K1119">
        <v>20</v>
      </c>
      <c r="N1119">
        <v>3</v>
      </c>
      <c r="O1119">
        <v>3</v>
      </c>
      <c r="P1119">
        <v>4</v>
      </c>
      <c r="Q1119">
        <v>0</v>
      </c>
      <c r="R1119">
        <v>46.15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H1119">
        <v>46.15</v>
      </c>
    </row>
    <row r="1120" spans="1:34" x14ac:dyDescent="0.3">
      <c r="A1120" s="4">
        <v>1305</v>
      </c>
      <c r="B1120" s="5">
        <v>1113</v>
      </c>
      <c r="C1120">
        <v>7189</v>
      </c>
      <c r="D1120" t="s">
        <v>357</v>
      </c>
      <c r="E1120" t="s">
        <v>33</v>
      </c>
      <c r="F1120" t="s">
        <v>243</v>
      </c>
      <c r="G1120" t="s">
        <v>28636</v>
      </c>
      <c r="H1120">
        <v>16</v>
      </c>
      <c r="I1120">
        <v>0</v>
      </c>
      <c r="J1120">
        <v>0</v>
      </c>
      <c r="K1120">
        <v>0</v>
      </c>
      <c r="N1120">
        <v>3</v>
      </c>
      <c r="O1120">
        <v>3</v>
      </c>
      <c r="P1120">
        <v>4</v>
      </c>
      <c r="Q1120">
        <v>0</v>
      </c>
      <c r="R1120">
        <v>23</v>
      </c>
      <c r="S1120">
        <v>23</v>
      </c>
      <c r="T1120">
        <v>23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23</v>
      </c>
      <c r="AB1120">
        <v>0</v>
      </c>
      <c r="AC1120">
        <v>0</v>
      </c>
      <c r="AH1120">
        <v>46</v>
      </c>
    </row>
    <row r="1121" spans="1:34" x14ac:dyDescent="0.3">
      <c r="A1121" s="4">
        <v>1306</v>
      </c>
      <c r="B1121" s="5">
        <v>1114</v>
      </c>
      <c r="C1121">
        <v>5860</v>
      </c>
      <c r="D1121" t="s">
        <v>950</v>
      </c>
      <c r="E1121" t="s">
        <v>22</v>
      </c>
      <c r="F1121" t="s">
        <v>81</v>
      </c>
      <c r="G1121" t="s">
        <v>28637</v>
      </c>
      <c r="H1121">
        <v>16.899999999999999</v>
      </c>
      <c r="I1121">
        <v>0</v>
      </c>
      <c r="J1121">
        <v>0</v>
      </c>
      <c r="K1121">
        <v>20</v>
      </c>
      <c r="N1121">
        <v>3</v>
      </c>
      <c r="O1121">
        <v>3</v>
      </c>
      <c r="P1121">
        <v>4</v>
      </c>
      <c r="Q1121">
        <v>2</v>
      </c>
      <c r="R1121">
        <v>45.9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H1121">
        <v>45.9</v>
      </c>
    </row>
    <row r="1122" spans="1:34" x14ac:dyDescent="0.3">
      <c r="A1122" s="4">
        <v>1307</v>
      </c>
      <c r="B1122" s="5">
        <v>1115</v>
      </c>
      <c r="C1122">
        <v>3495</v>
      </c>
      <c r="D1122" t="s">
        <v>5132</v>
      </c>
      <c r="E1122" t="s">
        <v>132</v>
      </c>
      <c r="F1122" t="s">
        <v>91</v>
      </c>
      <c r="G1122" t="s">
        <v>28638</v>
      </c>
      <c r="H1122">
        <v>16.899999999999999</v>
      </c>
      <c r="I1122">
        <v>0</v>
      </c>
      <c r="J1122">
        <v>0</v>
      </c>
      <c r="K1122">
        <v>20</v>
      </c>
      <c r="N1122">
        <v>3</v>
      </c>
      <c r="O1122">
        <v>3</v>
      </c>
      <c r="P1122">
        <v>4</v>
      </c>
      <c r="Q1122">
        <v>2</v>
      </c>
      <c r="R1122">
        <v>45.9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H1122">
        <v>45.9</v>
      </c>
    </row>
    <row r="1123" spans="1:34" x14ac:dyDescent="0.3">
      <c r="A1123" s="4">
        <v>1308</v>
      </c>
      <c r="B1123" s="5">
        <v>1116</v>
      </c>
      <c r="C1123">
        <v>9345</v>
      </c>
      <c r="D1123" t="s">
        <v>4706</v>
      </c>
      <c r="E1123" t="s">
        <v>51</v>
      </c>
      <c r="F1123" t="s">
        <v>55</v>
      </c>
      <c r="G1123" t="s">
        <v>28639</v>
      </c>
      <c r="H1123">
        <v>17.850000000000001</v>
      </c>
      <c r="I1123">
        <v>0</v>
      </c>
      <c r="J1123">
        <v>0</v>
      </c>
      <c r="K1123">
        <v>0</v>
      </c>
      <c r="M1123">
        <v>5</v>
      </c>
      <c r="O1123">
        <v>5</v>
      </c>
      <c r="P1123">
        <v>4</v>
      </c>
      <c r="Q1123">
        <v>2</v>
      </c>
      <c r="R1123">
        <v>28.85</v>
      </c>
      <c r="S1123">
        <v>17</v>
      </c>
      <c r="T1123">
        <v>17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17</v>
      </c>
      <c r="AB1123">
        <v>0</v>
      </c>
      <c r="AC1123">
        <v>0</v>
      </c>
      <c r="AH1123">
        <v>45.85</v>
      </c>
    </row>
    <row r="1124" spans="1:34" x14ac:dyDescent="0.3">
      <c r="A1124" s="4">
        <v>1309</v>
      </c>
      <c r="B1124" s="5">
        <v>1117</v>
      </c>
      <c r="C1124">
        <v>11889</v>
      </c>
      <c r="D1124" t="s">
        <v>18272</v>
      </c>
      <c r="E1124" t="s">
        <v>4236</v>
      </c>
      <c r="F1124" t="s">
        <v>117</v>
      </c>
      <c r="G1124" t="s">
        <v>28640</v>
      </c>
      <c r="H1124">
        <v>18.829999999999998</v>
      </c>
      <c r="I1124">
        <v>0</v>
      </c>
      <c r="J1124">
        <v>0</v>
      </c>
      <c r="K1124">
        <v>20</v>
      </c>
      <c r="N1124">
        <v>3</v>
      </c>
      <c r="O1124">
        <v>3</v>
      </c>
      <c r="P1124">
        <v>4</v>
      </c>
      <c r="Q1124">
        <v>0</v>
      </c>
      <c r="R1124">
        <v>45.83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H1124">
        <v>45.83</v>
      </c>
    </row>
    <row r="1125" spans="1:34" x14ac:dyDescent="0.3">
      <c r="A1125" s="4">
        <v>1310</v>
      </c>
      <c r="B1125" s="5">
        <v>1118</v>
      </c>
      <c r="C1125">
        <v>14584</v>
      </c>
      <c r="D1125" t="s">
        <v>28641</v>
      </c>
      <c r="E1125" t="s">
        <v>26</v>
      </c>
      <c r="F1125" t="s">
        <v>91</v>
      </c>
      <c r="G1125" t="s">
        <v>28642</v>
      </c>
      <c r="H1125">
        <v>16.829999999999998</v>
      </c>
      <c r="I1125">
        <v>0</v>
      </c>
      <c r="J1125">
        <v>0</v>
      </c>
      <c r="K1125">
        <v>20</v>
      </c>
      <c r="N1125">
        <v>3</v>
      </c>
      <c r="O1125">
        <v>3</v>
      </c>
      <c r="P1125">
        <v>4</v>
      </c>
      <c r="Q1125">
        <v>2</v>
      </c>
      <c r="R1125">
        <v>45.83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H1125">
        <v>45.83</v>
      </c>
    </row>
    <row r="1126" spans="1:34" x14ac:dyDescent="0.3">
      <c r="A1126" s="4">
        <v>1311</v>
      </c>
      <c r="B1126" s="5">
        <v>1119</v>
      </c>
      <c r="C1126">
        <v>13779</v>
      </c>
      <c r="D1126" t="s">
        <v>28643</v>
      </c>
      <c r="E1126" t="s">
        <v>54</v>
      </c>
      <c r="F1126" t="s">
        <v>425</v>
      </c>
      <c r="G1126" t="s">
        <v>28644</v>
      </c>
      <c r="H1126">
        <v>14.83</v>
      </c>
      <c r="I1126">
        <v>0</v>
      </c>
      <c r="J1126">
        <v>0</v>
      </c>
      <c r="K1126">
        <v>0</v>
      </c>
      <c r="L1126">
        <v>7</v>
      </c>
      <c r="O1126">
        <v>7</v>
      </c>
      <c r="P1126">
        <v>4</v>
      </c>
      <c r="Q1126">
        <v>2</v>
      </c>
      <c r="R1126">
        <v>27.83</v>
      </c>
      <c r="S1126">
        <v>18</v>
      </c>
      <c r="T1126">
        <v>18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18</v>
      </c>
      <c r="AB1126">
        <v>0</v>
      </c>
      <c r="AC1126">
        <v>0</v>
      </c>
      <c r="AH1126">
        <v>45.83</v>
      </c>
    </row>
    <row r="1127" spans="1:34" x14ac:dyDescent="0.3">
      <c r="A1127" s="4">
        <v>1312</v>
      </c>
      <c r="B1127" s="5">
        <v>1120</v>
      </c>
      <c r="C1127">
        <v>4584</v>
      </c>
      <c r="D1127" t="s">
        <v>28645</v>
      </c>
      <c r="E1127" t="s">
        <v>29</v>
      </c>
      <c r="F1127" t="s">
        <v>1812</v>
      </c>
      <c r="G1127" t="s">
        <v>28646</v>
      </c>
      <c r="H1127">
        <v>18.78</v>
      </c>
      <c r="I1127">
        <v>0</v>
      </c>
      <c r="J1127">
        <v>0</v>
      </c>
      <c r="K1127">
        <v>20</v>
      </c>
      <c r="N1127">
        <v>3</v>
      </c>
      <c r="O1127">
        <v>3</v>
      </c>
      <c r="P1127">
        <v>4</v>
      </c>
      <c r="Q1127">
        <v>0</v>
      </c>
      <c r="R1127">
        <v>45.78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H1127">
        <v>45.78</v>
      </c>
    </row>
    <row r="1128" spans="1:34" x14ac:dyDescent="0.3">
      <c r="A1128" s="4">
        <v>1313</v>
      </c>
      <c r="B1128" s="5">
        <v>1121</v>
      </c>
      <c r="C1128">
        <v>1316</v>
      </c>
      <c r="D1128" t="s">
        <v>6577</v>
      </c>
      <c r="E1128" t="s">
        <v>6578</v>
      </c>
      <c r="F1128" t="s">
        <v>158</v>
      </c>
      <c r="G1128" t="s">
        <v>6579</v>
      </c>
      <c r="H1128">
        <v>16.78</v>
      </c>
      <c r="I1128">
        <v>0</v>
      </c>
      <c r="J1128">
        <v>0</v>
      </c>
      <c r="K1128">
        <v>20</v>
      </c>
      <c r="N1128">
        <v>3</v>
      </c>
      <c r="O1128">
        <v>3</v>
      </c>
      <c r="P1128">
        <v>4</v>
      </c>
      <c r="Q1128">
        <v>2</v>
      </c>
      <c r="R1128">
        <v>45.78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H1128">
        <v>45.78</v>
      </c>
    </row>
    <row r="1129" spans="1:34" x14ac:dyDescent="0.3">
      <c r="A1129" s="4">
        <v>1314</v>
      </c>
      <c r="B1129" s="5">
        <v>1122</v>
      </c>
      <c r="C1129">
        <v>15597</v>
      </c>
      <c r="D1129" t="s">
        <v>28647</v>
      </c>
      <c r="E1129" t="s">
        <v>54</v>
      </c>
      <c r="F1129" t="s">
        <v>28648</v>
      </c>
      <c r="G1129" t="s">
        <v>28649</v>
      </c>
      <c r="H1129">
        <v>15.78</v>
      </c>
      <c r="I1129">
        <v>0</v>
      </c>
      <c r="J1129">
        <v>0</v>
      </c>
      <c r="K1129">
        <v>0</v>
      </c>
      <c r="L1129">
        <v>7</v>
      </c>
      <c r="O1129">
        <v>7</v>
      </c>
      <c r="P1129">
        <v>0</v>
      </c>
      <c r="Q1129">
        <v>0</v>
      </c>
      <c r="R1129">
        <v>22.78</v>
      </c>
      <c r="S1129">
        <v>23</v>
      </c>
      <c r="T1129">
        <v>23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23</v>
      </c>
      <c r="AB1129">
        <v>0</v>
      </c>
      <c r="AC1129">
        <v>0</v>
      </c>
      <c r="AH1129">
        <v>45.78</v>
      </c>
    </row>
    <row r="1130" spans="1:34" x14ac:dyDescent="0.3">
      <c r="A1130" s="4">
        <v>1315</v>
      </c>
      <c r="B1130" s="5">
        <v>1123</v>
      </c>
      <c r="C1130">
        <v>11958</v>
      </c>
      <c r="D1130" t="s">
        <v>28650</v>
      </c>
      <c r="E1130" t="s">
        <v>54</v>
      </c>
      <c r="F1130" t="s">
        <v>442</v>
      </c>
      <c r="G1130" t="s">
        <v>28651</v>
      </c>
      <c r="H1130">
        <v>16.75</v>
      </c>
      <c r="I1130">
        <v>0</v>
      </c>
      <c r="J1130">
        <v>0</v>
      </c>
      <c r="K1130">
        <v>20</v>
      </c>
      <c r="M1130">
        <v>5</v>
      </c>
      <c r="O1130">
        <v>5</v>
      </c>
      <c r="P1130">
        <v>4</v>
      </c>
      <c r="Q1130">
        <v>0</v>
      </c>
      <c r="R1130">
        <v>45.75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H1130">
        <v>45.75</v>
      </c>
    </row>
    <row r="1131" spans="1:34" x14ac:dyDescent="0.3">
      <c r="A1131" s="4">
        <v>1316</v>
      </c>
      <c r="B1131" s="5">
        <v>1124</v>
      </c>
      <c r="C1131">
        <v>15156</v>
      </c>
      <c r="D1131" t="s">
        <v>28652</v>
      </c>
      <c r="E1131" t="s">
        <v>161</v>
      </c>
      <c r="F1131" t="s">
        <v>17</v>
      </c>
      <c r="G1131" t="s">
        <v>28653</v>
      </c>
      <c r="H1131">
        <v>16.73</v>
      </c>
      <c r="I1131">
        <v>0</v>
      </c>
      <c r="J1131">
        <v>0</v>
      </c>
      <c r="K1131">
        <v>20</v>
      </c>
      <c r="N1131">
        <v>3</v>
      </c>
      <c r="O1131">
        <v>3</v>
      </c>
      <c r="P1131">
        <v>4</v>
      </c>
      <c r="Q1131">
        <v>2</v>
      </c>
      <c r="R1131">
        <v>45.73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 t="s">
        <v>130</v>
      </c>
      <c r="AH1131">
        <v>45.73</v>
      </c>
    </row>
    <row r="1132" spans="1:34" x14ac:dyDescent="0.3">
      <c r="A1132" s="4">
        <v>1317</v>
      </c>
      <c r="B1132" s="5">
        <v>1125</v>
      </c>
      <c r="C1132">
        <v>1194</v>
      </c>
      <c r="D1132" t="s">
        <v>28654</v>
      </c>
      <c r="E1132" t="s">
        <v>166</v>
      </c>
      <c r="F1132" t="s">
        <v>14</v>
      </c>
      <c r="G1132" t="s">
        <v>28655</v>
      </c>
      <c r="H1132">
        <v>18.7</v>
      </c>
      <c r="I1132">
        <v>0</v>
      </c>
      <c r="J1132">
        <v>0</v>
      </c>
      <c r="K1132">
        <v>20</v>
      </c>
      <c r="N1132">
        <v>3</v>
      </c>
      <c r="O1132">
        <v>3</v>
      </c>
      <c r="P1132">
        <v>4</v>
      </c>
      <c r="Q1132">
        <v>0</v>
      </c>
      <c r="R1132">
        <v>45.7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H1132">
        <v>45.7</v>
      </c>
    </row>
    <row r="1133" spans="1:34" x14ac:dyDescent="0.3">
      <c r="A1133" s="4">
        <v>1318</v>
      </c>
      <c r="B1133" s="5">
        <v>1126</v>
      </c>
      <c r="C1133">
        <v>15488</v>
      </c>
      <c r="D1133" t="s">
        <v>28656</v>
      </c>
      <c r="E1133" t="s">
        <v>1155</v>
      </c>
      <c r="F1133" t="s">
        <v>68</v>
      </c>
      <c r="G1133" t="s">
        <v>28657</v>
      </c>
      <c r="H1133">
        <v>15.65</v>
      </c>
      <c r="I1133">
        <v>0</v>
      </c>
      <c r="J1133">
        <v>0</v>
      </c>
      <c r="K1133">
        <v>0</v>
      </c>
      <c r="L1133">
        <v>7</v>
      </c>
      <c r="O1133">
        <v>7</v>
      </c>
      <c r="P1133">
        <v>4</v>
      </c>
      <c r="Q1133">
        <v>0</v>
      </c>
      <c r="R1133">
        <v>26.65</v>
      </c>
      <c r="S1133">
        <v>16</v>
      </c>
      <c r="T1133">
        <v>16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16</v>
      </c>
      <c r="AB1133">
        <v>3</v>
      </c>
      <c r="AC1133">
        <v>0</v>
      </c>
      <c r="AD1133" t="s">
        <v>130</v>
      </c>
      <c r="AH1133">
        <v>45.65</v>
      </c>
    </row>
    <row r="1134" spans="1:34" x14ac:dyDescent="0.3">
      <c r="A1134" s="4">
        <v>1319</v>
      </c>
      <c r="B1134" s="5">
        <v>1127</v>
      </c>
      <c r="C1134">
        <v>11311</v>
      </c>
      <c r="D1134" t="s">
        <v>15598</v>
      </c>
      <c r="E1134" t="s">
        <v>8874</v>
      </c>
      <c r="F1134" t="s">
        <v>91</v>
      </c>
      <c r="G1134" t="s">
        <v>28658</v>
      </c>
      <c r="H1134">
        <v>16.55</v>
      </c>
      <c r="I1134">
        <v>0</v>
      </c>
      <c r="J1134">
        <v>0</v>
      </c>
      <c r="K1134">
        <v>20</v>
      </c>
      <c r="L1134">
        <v>7</v>
      </c>
      <c r="O1134">
        <v>7</v>
      </c>
      <c r="P1134">
        <v>0</v>
      </c>
      <c r="Q1134">
        <v>2</v>
      </c>
      <c r="R1134">
        <v>45.55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H1134">
        <v>45.55</v>
      </c>
    </row>
    <row r="1135" spans="1:34" x14ac:dyDescent="0.3">
      <c r="A1135" s="4">
        <v>1320</v>
      </c>
      <c r="B1135" s="5">
        <v>1128</v>
      </c>
      <c r="C1135">
        <v>9359</v>
      </c>
      <c r="D1135" t="s">
        <v>74</v>
      </c>
      <c r="E1135" t="s">
        <v>88</v>
      </c>
      <c r="F1135" t="s">
        <v>136</v>
      </c>
      <c r="G1135" t="s">
        <v>28659</v>
      </c>
      <c r="H1135">
        <v>18.5</v>
      </c>
      <c r="I1135">
        <v>0</v>
      </c>
      <c r="J1135">
        <v>0</v>
      </c>
      <c r="K1135">
        <v>20</v>
      </c>
      <c r="O1135">
        <v>0</v>
      </c>
      <c r="P1135">
        <v>4</v>
      </c>
      <c r="Q1135">
        <v>0</v>
      </c>
      <c r="R1135">
        <v>42.5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3</v>
      </c>
      <c r="AC1135">
        <v>0</v>
      </c>
      <c r="AH1135">
        <v>45.5</v>
      </c>
    </row>
    <row r="1136" spans="1:34" x14ac:dyDescent="0.3">
      <c r="A1136" s="4">
        <v>1321</v>
      </c>
      <c r="B1136" s="5">
        <v>1129</v>
      </c>
      <c r="C1136">
        <v>4388</v>
      </c>
      <c r="D1136" t="s">
        <v>28660</v>
      </c>
      <c r="E1136" t="s">
        <v>4680</v>
      </c>
      <c r="F1136" t="s">
        <v>570</v>
      </c>
      <c r="G1136" t="s">
        <v>28661</v>
      </c>
      <c r="H1136">
        <v>18.399999999999999</v>
      </c>
      <c r="I1136">
        <v>0</v>
      </c>
      <c r="J1136">
        <v>0</v>
      </c>
      <c r="K1136">
        <v>0</v>
      </c>
      <c r="N1136">
        <v>3</v>
      </c>
      <c r="O1136">
        <v>3</v>
      </c>
      <c r="P1136">
        <v>4</v>
      </c>
      <c r="Q1136">
        <v>2</v>
      </c>
      <c r="R1136">
        <v>27.4</v>
      </c>
      <c r="S1136">
        <v>18</v>
      </c>
      <c r="T1136">
        <v>18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18</v>
      </c>
      <c r="AB1136">
        <v>0</v>
      </c>
      <c r="AC1136">
        <v>0</v>
      </c>
      <c r="AH1136">
        <v>45.4</v>
      </c>
    </row>
    <row r="1137" spans="1:34" x14ac:dyDescent="0.3">
      <c r="A1137" s="4">
        <v>1322</v>
      </c>
      <c r="B1137" s="5">
        <v>1130</v>
      </c>
      <c r="C1137">
        <v>2088</v>
      </c>
      <c r="D1137" t="s">
        <v>28662</v>
      </c>
      <c r="E1137" t="s">
        <v>255</v>
      </c>
      <c r="F1137" t="s">
        <v>227</v>
      </c>
      <c r="G1137" t="s">
        <v>28663</v>
      </c>
      <c r="H1137">
        <v>18.38</v>
      </c>
      <c r="I1137">
        <v>0</v>
      </c>
      <c r="J1137">
        <v>0</v>
      </c>
      <c r="K1137">
        <v>20</v>
      </c>
      <c r="N1137">
        <v>3</v>
      </c>
      <c r="O1137">
        <v>3</v>
      </c>
      <c r="P1137">
        <v>4</v>
      </c>
      <c r="Q1137">
        <v>0</v>
      </c>
      <c r="R1137">
        <v>45.38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H1137">
        <v>45.38</v>
      </c>
    </row>
    <row r="1138" spans="1:34" x14ac:dyDescent="0.3">
      <c r="A1138" s="4">
        <v>1323</v>
      </c>
      <c r="B1138" s="5">
        <v>1131</v>
      </c>
      <c r="C1138">
        <v>14808</v>
      </c>
      <c r="D1138" t="s">
        <v>28664</v>
      </c>
      <c r="E1138" t="s">
        <v>41</v>
      </c>
      <c r="F1138" t="s">
        <v>17</v>
      </c>
      <c r="G1138" t="s">
        <v>28665</v>
      </c>
      <c r="H1138">
        <v>17.38</v>
      </c>
      <c r="I1138">
        <v>0</v>
      </c>
      <c r="J1138">
        <v>0</v>
      </c>
      <c r="K1138">
        <v>0</v>
      </c>
      <c r="L1138">
        <v>7</v>
      </c>
      <c r="O1138">
        <v>7</v>
      </c>
      <c r="P1138">
        <v>4</v>
      </c>
      <c r="Q1138">
        <v>0</v>
      </c>
      <c r="R1138">
        <v>28.38</v>
      </c>
      <c r="S1138">
        <v>17</v>
      </c>
      <c r="T1138">
        <v>17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17</v>
      </c>
      <c r="AB1138">
        <v>0</v>
      </c>
      <c r="AC1138">
        <v>0</v>
      </c>
      <c r="AH1138">
        <v>45.38</v>
      </c>
    </row>
    <row r="1139" spans="1:34" x14ac:dyDescent="0.3">
      <c r="A1139" s="4">
        <v>1324</v>
      </c>
      <c r="B1139" s="5">
        <v>1132</v>
      </c>
      <c r="C1139">
        <v>5278</v>
      </c>
      <c r="D1139" t="s">
        <v>28666</v>
      </c>
      <c r="E1139" t="s">
        <v>1089</v>
      </c>
      <c r="F1139" t="s">
        <v>5375</v>
      </c>
      <c r="G1139" t="s">
        <v>28667</v>
      </c>
      <c r="H1139">
        <v>16.3</v>
      </c>
      <c r="I1139">
        <v>0</v>
      </c>
      <c r="J1139">
        <v>0</v>
      </c>
      <c r="K1139">
        <v>20</v>
      </c>
      <c r="N1139">
        <v>3</v>
      </c>
      <c r="O1139">
        <v>3</v>
      </c>
      <c r="P1139">
        <v>4</v>
      </c>
      <c r="Q1139">
        <v>2</v>
      </c>
      <c r="R1139">
        <v>45.3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 t="s">
        <v>130</v>
      </c>
      <c r="AH1139">
        <v>45.3</v>
      </c>
    </row>
    <row r="1140" spans="1:34" x14ac:dyDescent="0.3">
      <c r="A1140" s="4">
        <v>1325</v>
      </c>
      <c r="B1140" s="5">
        <v>1133</v>
      </c>
      <c r="C1140">
        <v>8870</v>
      </c>
      <c r="D1140" t="s">
        <v>28668</v>
      </c>
      <c r="E1140" t="s">
        <v>178</v>
      </c>
      <c r="F1140" t="s">
        <v>750</v>
      </c>
      <c r="G1140" t="s">
        <v>28669</v>
      </c>
      <c r="H1140">
        <v>15.3</v>
      </c>
      <c r="I1140">
        <v>0</v>
      </c>
      <c r="J1140">
        <v>0</v>
      </c>
      <c r="K1140">
        <v>0</v>
      </c>
      <c r="L1140">
        <v>7</v>
      </c>
      <c r="O1140">
        <v>7</v>
      </c>
      <c r="P1140">
        <v>4</v>
      </c>
      <c r="Q1140">
        <v>2</v>
      </c>
      <c r="R1140">
        <v>28.3</v>
      </c>
      <c r="S1140">
        <v>17</v>
      </c>
      <c r="T1140">
        <v>17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17</v>
      </c>
      <c r="AB1140">
        <v>0</v>
      </c>
      <c r="AC1140">
        <v>0</v>
      </c>
      <c r="AH1140">
        <v>45.3</v>
      </c>
    </row>
    <row r="1141" spans="1:34" x14ac:dyDescent="0.3">
      <c r="A1141" s="4">
        <v>1326</v>
      </c>
      <c r="B1141" s="5">
        <v>1134</v>
      </c>
      <c r="C1141">
        <v>10032</v>
      </c>
      <c r="D1141" t="s">
        <v>181</v>
      </c>
      <c r="E1141" t="s">
        <v>29</v>
      </c>
      <c r="F1141" t="s">
        <v>34</v>
      </c>
      <c r="G1141" t="s">
        <v>28670</v>
      </c>
      <c r="H1141">
        <v>20.13</v>
      </c>
      <c r="I1141">
        <v>0</v>
      </c>
      <c r="J1141">
        <v>0</v>
      </c>
      <c r="K1141">
        <v>0</v>
      </c>
      <c r="N1141">
        <v>3</v>
      </c>
      <c r="O1141">
        <v>3</v>
      </c>
      <c r="P1141">
        <v>4</v>
      </c>
      <c r="Q1141">
        <v>0</v>
      </c>
      <c r="R1141">
        <v>27.13</v>
      </c>
      <c r="S1141">
        <v>18</v>
      </c>
      <c r="T1141">
        <v>18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18</v>
      </c>
      <c r="AB1141">
        <v>0</v>
      </c>
      <c r="AC1141">
        <v>0</v>
      </c>
      <c r="AH1141">
        <v>45.13</v>
      </c>
    </row>
    <row r="1142" spans="1:34" x14ac:dyDescent="0.3">
      <c r="A1142" s="4">
        <v>1327</v>
      </c>
      <c r="B1142" s="5">
        <v>1135</v>
      </c>
      <c r="C1142">
        <v>9938</v>
      </c>
      <c r="D1142" t="s">
        <v>28671</v>
      </c>
      <c r="E1142" t="s">
        <v>29</v>
      </c>
      <c r="F1142" t="s">
        <v>38</v>
      </c>
      <c r="G1142" t="s">
        <v>28672</v>
      </c>
      <c r="H1142">
        <v>21.05</v>
      </c>
      <c r="I1142">
        <v>0</v>
      </c>
      <c r="J1142">
        <v>0</v>
      </c>
      <c r="K1142">
        <v>0</v>
      </c>
      <c r="N1142">
        <v>3</v>
      </c>
      <c r="O1142">
        <v>3</v>
      </c>
      <c r="P1142">
        <v>4</v>
      </c>
      <c r="Q1142">
        <v>2</v>
      </c>
      <c r="R1142">
        <v>30.05</v>
      </c>
      <c r="S1142">
        <v>9</v>
      </c>
      <c r="T1142">
        <v>9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9</v>
      </c>
      <c r="AB1142">
        <v>6</v>
      </c>
      <c r="AC1142">
        <v>0</v>
      </c>
      <c r="AH1142">
        <v>45.05</v>
      </c>
    </row>
    <row r="1143" spans="1:34" x14ac:dyDescent="0.3">
      <c r="A1143" s="4">
        <v>1328</v>
      </c>
      <c r="B1143" s="5">
        <v>1136</v>
      </c>
      <c r="C1143">
        <v>4228</v>
      </c>
      <c r="D1143" t="s">
        <v>21404</v>
      </c>
      <c r="E1143" t="s">
        <v>4774</v>
      </c>
      <c r="F1143" t="s">
        <v>30</v>
      </c>
      <c r="G1143" t="s">
        <v>28673</v>
      </c>
      <c r="H1143">
        <v>18.03</v>
      </c>
      <c r="I1143">
        <v>0</v>
      </c>
      <c r="J1143">
        <v>0</v>
      </c>
      <c r="K1143">
        <v>20</v>
      </c>
      <c r="N1143">
        <v>3</v>
      </c>
      <c r="O1143">
        <v>3</v>
      </c>
      <c r="P1143">
        <v>4</v>
      </c>
      <c r="Q1143">
        <v>0</v>
      </c>
      <c r="R1143">
        <v>45.03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H1143">
        <v>45.03</v>
      </c>
    </row>
    <row r="1144" spans="1:34" x14ac:dyDescent="0.3">
      <c r="A1144" s="4">
        <v>1329</v>
      </c>
      <c r="B1144" s="5">
        <v>1137</v>
      </c>
      <c r="C1144">
        <v>682</v>
      </c>
      <c r="D1144" t="s">
        <v>15656</v>
      </c>
      <c r="E1144" t="s">
        <v>29</v>
      </c>
      <c r="F1144" t="s">
        <v>17</v>
      </c>
      <c r="G1144" t="s">
        <v>28674</v>
      </c>
      <c r="H1144">
        <v>16</v>
      </c>
      <c r="I1144">
        <v>0</v>
      </c>
      <c r="J1144">
        <v>0</v>
      </c>
      <c r="K1144">
        <v>20</v>
      </c>
      <c r="N1144">
        <v>3</v>
      </c>
      <c r="O1144">
        <v>3</v>
      </c>
      <c r="P1144">
        <v>4</v>
      </c>
      <c r="Q1144">
        <v>2</v>
      </c>
      <c r="R1144">
        <v>45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H1144">
        <v>45</v>
      </c>
    </row>
    <row r="1145" spans="1:34" x14ac:dyDescent="0.3">
      <c r="A1145" s="4">
        <v>1330</v>
      </c>
      <c r="B1145" s="5">
        <v>1138</v>
      </c>
      <c r="C1145">
        <v>5267</v>
      </c>
      <c r="D1145" t="s">
        <v>25175</v>
      </c>
      <c r="E1145" t="s">
        <v>1426</v>
      </c>
      <c r="F1145" t="s">
        <v>62</v>
      </c>
      <c r="G1145" t="s">
        <v>28675</v>
      </c>
      <c r="H1145">
        <v>15.93</v>
      </c>
      <c r="I1145">
        <v>0</v>
      </c>
      <c r="J1145">
        <v>0</v>
      </c>
      <c r="K1145">
        <v>20</v>
      </c>
      <c r="N1145">
        <v>3</v>
      </c>
      <c r="O1145">
        <v>3</v>
      </c>
      <c r="P1145">
        <v>0</v>
      </c>
      <c r="Q1145">
        <v>0</v>
      </c>
      <c r="R1145">
        <v>38.93</v>
      </c>
      <c r="S1145">
        <v>6</v>
      </c>
      <c r="T1145">
        <v>6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6</v>
      </c>
      <c r="AB1145">
        <v>0</v>
      </c>
      <c r="AC1145">
        <v>0</v>
      </c>
      <c r="AH1145">
        <v>44.93</v>
      </c>
    </row>
    <row r="1146" spans="1:34" x14ac:dyDescent="0.3">
      <c r="A1146" s="4">
        <v>1331</v>
      </c>
      <c r="B1146" s="5">
        <v>1139</v>
      </c>
      <c r="C1146">
        <v>13766</v>
      </c>
      <c r="D1146" t="s">
        <v>28676</v>
      </c>
      <c r="E1146" t="s">
        <v>255</v>
      </c>
      <c r="F1146" t="s">
        <v>117</v>
      </c>
      <c r="G1146" t="s">
        <v>28677</v>
      </c>
      <c r="H1146">
        <v>15.93</v>
      </c>
      <c r="I1146">
        <v>0</v>
      </c>
      <c r="J1146">
        <v>0</v>
      </c>
      <c r="K1146">
        <v>0</v>
      </c>
      <c r="L1146">
        <v>7</v>
      </c>
      <c r="O1146">
        <v>7</v>
      </c>
      <c r="P1146">
        <v>4</v>
      </c>
      <c r="Q1146">
        <v>0</v>
      </c>
      <c r="R1146">
        <v>26.93</v>
      </c>
      <c r="S1146">
        <v>8</v>
      </c>
      <c r="T1146">
        <v>8</v>
      </c>
      <c r="U1146">
        <v>0</v>
      </c>
      <c r="V1146">
        <v>0</v>
      </c>
      <c r="W1146">
        <v>7</v>
      </c>
      <c r="X1146">
        <v>10</v>
      </c>
      <c r="Y1146">
        <v>0</v>
      </c>
      <c r="Z1146">
        <v>0</v>
      </c>
      <c r="AA1146">
        <v>18</v>
      </c>
      <c r="AB1146">
        <v>0</v>
      </c>
      <c r="AC1146">
        <v>0</v>
      </c>
      <c r="AD1146" t="s">
        <v>130</v>
      </c>
      <c r="AH1146">
        <v>44.93</v>
      </c>
    </row>
    <row r="1147" spans="1:34" x14ac:dyDescent="0.3">
      <c r="A1147" s="4">
        <v>1332</v>
      </c>
      <c r="B1147" s="5">
        <v>1140</v>
      </c>
      <c r="C1147">
        <v>3462</v>
      </c>
      <c r="D1147" t="s">
        <v>114</v>
      </c>
      <c r="E1147" t="s">
        <v>1809</v>
      </c>
      <c r="F1147" t="s">
        <v>892</v>
      </c>
      <c r="G1147" t="s">
        <v>28678</v>
      </c>
      <c r="H1147">
        <v>15.88</v>
      </c>
      <c r="I1147">
        <v>0</v>
      </c>
      <c r="J1147">
        <v>0</v>
      </c>
      <c r="K1147">
        <v>0</v>
      </c>
      <c r="N1147">
        <v>3</v>
      </c>
      <c r="O1147">
        <v>3</v>
      </c>
      <c r="P1147">
        <v>4</v>
      </c>
      <c r="Q1147">
        <v>0</v>
      </c>
      <c r="R1147">
        <v>22.88</v>
      </c>
      <c r="S1147">
        <v>22</v>
      </c>
      <c r="T1147">
        <v>22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22</v>
      </c>
      <c r="AB1147">
        <v>0</v>
      </c>
      <c r="AC1147">
        <v>0</v>
      </c>
      <c r="AH1147">
        <v>44.88</v>
      </c>
    </row>
    <row r="1148" spans="1:34" x14ac:dyDescent="0.3">
      <c r="A1148" s="4">
        <v>1333</v>
      </c>
      <c r="B1148" s="5">
        <v>1141</v>
      </c>
      <c r="C1148">
        <v>6172</v>
      </c>
      <c r="D1148" t="s">
        <v>7187</v>
      </c>
      <c r="E1148" t="s">
        <v>439</v>
      </c>
      <c r="F1148" t="s">
        <v>117</v>
      </c>
      <c r="G1148" t="s">
        <v>28679</v>
      </c>
      <c r="H1148">
        <v>15.85</v>
      </c>
      <c r="I1148">
        <v>0</v>
      </c>
      <c r="J1148">
        <v>0</v>
      </c>
      <c r="K1148">
        <v>0</v>
      </c>
      <c r="N1148">
        <v>3</v>
      </c>
      <c r="O1148">
        <v>3</v>
      </c>
      <c r="P1148">
        <v>4</v>
      </c>
      <c r="Q1148">
        <v>2</v>
      </c>
      <c r="R1148">
        <v>24.85</v>
      </c>
      <c r="S1148">
        <v>8</v>
      </c>
      <c r="T1148">
        <v>8</v>
      </c>
      <c r="U1148">
        <v>6</v>
      </c>
      <c r="V1148">
        <v>12</v>
      </c>
      <c r="W1148">
        <v>0</v>
      </c>
      <c r="X1148">
        <v>0</v>
      </c>
      <c r="Y1148">
        <v>0</v>
      </c>
      <c r="Z1148">
        <v>0</v>
      </c>
      <c r="AA1148">
        <v>20</v>
      </c>
      <c r="AB1148">
        <v>0</v>
      </c>
      <c r="AC1148">
        <v>0</v>
      </c>
      <c r="AH1148">
        <v>44.85</v>
      </c>
    </row>
    <row r="1149" spans="1:34" x14ac:dyDescent="0.3">
      <c r="A1149" s="4">
        <v>1334</v>
      </c>
      <c r="B1149" s="5">
        <v>1142</v>
      </c>
      <c r="C1149">
        <v>12083</v>
      </c>
      <c r="D1149" t="s">
        <v>18009</v>
      </c>
      <c r="E1149" t="s">
        <v>178</v>
      </c>
      <c r="F1149" t="s">
        <v>190</v>
      </c>
      <c r="G1149" t="s">
        <v>28680</v>
      </c>
      <c r="H1149">
        <v>17.829999999999998</v>
      </c>
      <c r="I1149">
        <v>0</v>
      </c>
      <c r="J1149">
        <v>0</v>
      </c>
      <c r="K1149">
        <v>20</v>
      </c>
      <c r="N1149">
        <v>3</v>
      </c>
      <c r="O1149">
        <v>3</v>
      </c>
      <c r="P1149">
        <v>4</v>
      </c>
      <c r="Q1149">
        <v>0</v>
      </c>
      <c r="R1149">
        <v>44.83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H1149">
        <v>44.83</v>
      </c>
    </row>
    <row r="1150" spans="1:34" x14ac:dyDescent="0.3">
      <c r="A1150" s="4">
        <v>1335</v>
      </c>
      <c r="B1150" s="5">
        <v>1143</v>
      </c>
      <c r="C1150">
        <v>6792</v>
      </c>
      <c r="D1150" t="s">
        <v>19861</v>
      </c>
      <c r="E1150" t="s">
        <v>1997</v>
      </c>
      <c r="F1150" t="s">
        <v>81</v>
      </c>
      <c r="G1150" t="s">
        <v>28681</v>
      </c>
      <c r="H1150">
        <v>15.83</v>
      </c>
      <c r="I1150">
        <v>0</v>
      </c>
      <c r="J1150">
        <v>0</v>
      </c>
      <c r="K1150">
        <v>0</v>
      </c>
      <c r="N1150">
        <v>3</v>
      </c>
      <c r="O1150">
        <v>3</v>
      </c>
      <c r="P1150">
        <v>4</v>
      </c>
      <c r="Q1150">
        <v>0</v>
      </c>
      <c r="R1150">
        <v>22.83</v>
      </c>
      <c r="S1150">
        <v>22</v>
      </c>
      <c r="T1150">
        <v>22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22</v>
      </c>
      <c r="AB1150">
        <v>0</v>
      </c>
      <c r="AC1150">
        <v>0</v>
      </c>
      <c r="AH1150">
        <v>44.83</v>
      </c>
    </row>
    <row r="1151" spans="1:34" x14ac:dyDescent="0.3">
      <c r="A1151" s="4">
        <v>1336</v>
      </c>
      <c r="B1151" s="5">
        <v>1144</v>
      </c>
      <c r="C1151">
        <v>5651</v>
      </c>
      <c r="D1151" t="s">
        <v>10033</v>
      </c>
      <c r="E1151" t="s">
        <v>54</v>
      </c>
      <c r="F1151" t="s">
        <v>649</v>
      </c>
      <c r="G1151" t="s">
        <v>28682</v>
      </c>
      <c r="H1151">
        <v>16.78</v>
      </c>
      <c r="I1151">
        <v>0</v>
      </c>
      <c r="J1151">
        <v>0</v>
      </c>
      <c r="K1151">
        <v>0</v>
      </c>
      <c r="L1151">
        <v>7</v>
      </c>
      <c r="O1151">
        <v>7</v>
      </c>
      <c r="P1151">
        <v>4</v>
      </c>
      <c r="Q1151">
        <v>2</v>
      </c>
      <c r="R1151">
        <v>29.78</v>
      </c>
      <c r="S1151">
        <v>15</v>
      </c>
      <c r="T1151">
        <v>15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15</v>
      </c>
      <c r="AB1151">
        <v>0</v>
      </c>
      <c r="AC1151">
        <v>0</v>
      </c>
      <c r="AH1151">
        <v>44.78</v>
      </c>
    </row>
    <row r="1152" spans="1:34" x14ac:dyDescent="0.3">
      <c r="A1152" s="4">
        <v>1337</v>
      </c>
      <c r="B1152" s="5">
        <v>1145</v>
      </c>
      <c r="C1152">
        <v>8768</v>
      </c>
      <c r="D1152" t="s">
        <v>28683</v>
      </c>
      <c r="E1152" t="s">
        <v>471</v>
      </c>
      <c r="F1152" t="s">
        <v>20</v>
      </c>
      <c r="G1152" t="s">
        <v>28684</v>
      </c>
      <c r="H1152">
        <v>14.75</v>
      </c>
      <c r="I1152">
        <v>0</v>
      </c>
      <c r="J1152">
        <v>0</v>
      </c>
      <c r="K1152">
        <v>20</v>
      </c>
      <c r="N1152">
        <v>3</v>
      </c>
      <c r="O1152">
        <v>3</v>
      </c>
      <c r="P1152">
        <v>4</v>
      </c>
      <c r="Q1152">
        <v>0</v>
      </c>
      <c r="R1152">
        <v>41.75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3</v>
      </c>
      <c r="AC1152">
        <v>0</v>
      </c>
      <c r="AH1152">
        <v>44.75</v>
      </c>
    </row>
    <row r="1153" spans="1:34" x14ac:dyDescent="0.3">
      <c r="A1153" s="4">
        <v>1338</v>
      </c>
      <c r="B1153" s="5">
        <v>1146</v>
      </c>
      <c r="C1153">
        <v>3042</v>
      </c>
      <c r="D1153" t="s">
        <v>28685</v>
      </c>
      <c r="E1153" t="s">
        <v>88</v>
      </c>
      <c r="F1153" t="s">
        <v>34</v>
      </c>
      <c r="G1153" t="s">
        <v>28686</v>
      </c>
      <c r="H1153">
        <v>17.7</v>
      </c>
      <c r="I1153">
        <v>0</v>
      </c>
      <c r="J1153">
        <v>0</v>
      </c>
      <c r="K1153">
        <v>0</v>
      </c>
      <c r="N1153">
        <v>3</v>
      </c>
      <c r="O1153">
        <v>3</v>
      </c>
      <c r="P1153">
        <v>4</v>
      </c>
      <c r="Q1153">
        <v>2</v>
      </c>
      <c r="R1153">
        <v>26.7</v>
      </c>
      <c r="S1153">
        <v>12</v>
      </c>
      <c r="T1153">
        <v>12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12</v>
      </c>
      <c r="AB1153">
        <v>6</v>
      </c>
      <c r="AC1153">
        <v>0</v>
      </c>
      <c r="AH1153">
        <v>44.7</v>
      </c>
    </row>
    <row r="1154" spans="1:34" x14ac:dyDescent="0.3">
      <c r="A1154" s="4">
        <v>1339</v>
      </c>
      <c r="B1154" s="5">
        <v>1147</v>
      </c>
      <c r="C1154">
        <v>6026</v>
      </c>
      <c r="D1154" t="s">
        <v>28687</v>
      </c>
      <c r="E1154" t="s">
        <v>789</v>
      </c>
      <c r="F1154" t="s">
        <v>81</v>
      </c>
      <c r="G1154" t="s">
        <v>28688</v>
      </c>
      <c r="H1154">
        <v>16.68</v>
      </c>
      <c r="I1154">
        <v>0</v>
      </c>
      <c r="J1154">
        <v>0</v>
      </c>
      <c r="K1154">
        <v>0</v>
      </c>
      <c r="L1154">
        <v>7</v>
      </c>
      <c r="O1154">
        <v>7</v>
      </c>
      <c r="P1154">
        <v>4</v>
      </c>
      <c r="Q1154">
        <v>0</v>
      </c>
      <c r="R1154">
        <v>27.68</v>
      </c>
      <c r="S1154">
        <v>17</v>
      </c>
      <c r="T1154">
        <v>17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17</v>
      </c>
      <c r="AB1154">
        <v>0</v>
      </c>
      <c r="AC1154">
        <v>0</v>
      </c>
      <c r="AH1154">
        <v>44.68</v>
      </c>
    </row>
    <row r="1155" spans="1:34" x14ac:dyDescent="0.3">
      <c r="A1155" s="4">
        <v>1340</v>
      </c>
      <c r="B1155" s="5">
        <v>1148</v>
      </c>
      <c r="C1155">
        <v>1988</v>
      </c>
      <c r="D1155" t="s">
        <v>28689</v>
      </c>
      <c r="E1155" t="s">
        <v>390</v>
      </c>
      <c r="F1155" t="s">
        <v>38</v>
      </c>
      <c r="G1155" t="s">
        <v>28690</v>
      </c>
      <c r="H1155">
        <v>19.45</v>
      </c>
      <c r="I1155">
        <v>0</v>
      </c>
      <c r="J1155">
        <v>0</v>
      </c>
      <c r="K1155">
        <v>0</v>
      </c>
      <c r="N1155">
        <v>3</v>
      </c>
      <c r="O1155">
        <v>3</v>
      </c>
      <c r="P1155">
        <v>4</v>
      </c>
      <c r="Q1155">
        <v>0</v>
      </c>
      <c r="R1155">
        <v>26.45</v>
      </c>
      <c r="S1155">
        <v>18</v>
      </c>
      <c r="T1155">
        <v>18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18</v>
      </c>
      <c r="AB1155">
        <v>0</v>
      </c>
      <c r="AC1155">
        <v>0</v>
      </c>
      <c r="AH1155">
        <v>44.45</v>
      </c>
    </row>
    <row r="1156" spans="1:34" x14ac:dyDescent="0.3">
      <c r="A1156" s="4">
        <v>1341</v>
      </c>
      <c r="B1156" s="5">
        <v>1149</v>
      </c>
      <c r="C1156">
        <v>2559</v>
      </c>
      <c r="D1156" t="s">
        <v>28691</v>
      </c>
      <c r="E1156" t="s">
        <v>54</v>
      </c>
      <c r="F1156" t="s">
        <v>136</v>
      </c>
      <c r="G1156" t="s">
        <v>28692</v>
      </c>
      <c r="H1156">
        <v>16.38</v>
      </c>
      <c r="I1156">
        <v>0</v>
      </c>
      <c r="J1156">
        <v>0</v>
      </c>
      <c r="K1156">
        <v>0</v>
      </c>
      <c r="L1156">
        <v>7</v>
      </c>
      <c r="O1156">
        <v>7</v>
      </c>
      <c r="P1156">
        <v>4</v>
      </c>
      <c r="Q1156">
        <v>0</v>
      </c>
      <c r="R1156">
        <v>27.38</v>
      </c>
      <c r="S1156">
        <v>17</v>
      </c>
      <c r="T1156">
        <v>17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17</v>
      </c>
      <c r="AB1156">
        <v>0</v>
      </c>
      <c r="AC1156">
        <v>0</v>
      </c>
      <c r="AH1156">
        <v>44.38</v>
      </c>
    </row>
    <row r="1157" spans="1:34" x14ac:dyDescent="0.3">
      <c r="A1157" s="4">
        <v>1342</v>
      </c>
      <c r="B1157" s="5">
        <v>1150</v>
      </c>
      <c r="C1157">
        <v>1957</v>
      </c>
      <c r="D1157" t="s">
        <v>28693</v>
      </c>
      <c r="E1157" t="s">
        <v>1566</v>
      </c>
      <c r="F1157" t="s">
        <v>34</v>
      </c>
      <c r="G1157" t="s">
        <v>28694</v>
      </c>
      <c r="H1157">
        <v>17.329999999999998</v>
      </c>
      <c r="I1157">
        <v>0</v>
      </c>
      <c r="J1157">
        <v>0</v>
      </c>
      <c r="K1157">
        <v>20</v>
      </c>
      <c r="N1157">
        <v>3</v>
      </c>
      <c r="O1157">
        <v>3</v>
      </c>
      <c r="P1157">
        <v>4</v>
      </c>
      <c r="Q1157">
        <v>0</v>
      </c>
      <c r="R1157">
        <v>44.33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H1157">
        <v>44.33</v>
      </c>
    </row>
    <row r="1158" spans="1:34" x14ac:dyDescent="0.3">
      <c r="A1158" s="4">
        <v>1343</v>
      </c>
      <c r="B1158" s="5">
        <v>1151</v>
      </c>
      <c r="C1158">
        <v>8306</v>
      </c>
      <c r="D1158" t="s">
        <v>429</v>
      </c>
      <c r="E1158" t="s">
        <v>8103</v>
      </c>
      <c r="F1158" t="s">
        <v>750</v>
      </c>
      <c r="G1158" t="s">
        <v>28695</v>
      </c>
      <c r="H1158">
        <v>20.23</v>
      </c>
      <c r="I1158">
        <v>0</v>
      </c>
      <c r="J1158">
        <v>0</v>
      </c>
      <c r="K1158">
        <v>0</v>
      </c>
      <c r="M1158">
        <v>5</v>
      </c>
      <c r="O1158">
        <v>5</v>
      </c>
      <c r="P1158">
        <v>4</v>
      </c>
      <c r="Q1158">
        <v>0</v>
      </c>
      <c r="R1158">
        <v>29.23</v>
      </c>
      <c r="S1158">
        <v>12</v>
      </c>
      <c r="T1158">
        <v>12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12</v>
      </c>
      <c r="AB1158">
        <v>3</v>
      </c>
      <c r="AC1158">
        <v>0</v>
      </c>
      <c r="AH1158">
        <v>44.23</v>
      </c>
    </row>
    <row r="1159" spans="1:34" x14ac:dyDescent="0.3">
      <c r="A1159" s="4">
        <v>1344</v>
      </c>
      <c r="B1159" s="5">
        <v>1152</v>
      </c>
      <c r="C1159">
        <v>14734</v>
      </c>
      <c r="D1159" t="s">
        <v>28696</v>
      </c>
      <c r="E1159" t="s">
        <v>33</v>
      </c>
      <c r="F1159" t="s">
        <v>136</v>
      </c>
      <c r="G1159" t="s">
        <v>28697</v>
      </c>
      <c r="H1159">
        <v>17.149999999999999</v>
      </c>
      <c r="I1159">
        <v>0</v>
      </c>
      <c r="J1159">
        <v>0</v>
      </c>
      <c r="K1159">
        <v>0</v>
      </c>
      <c r="N1159">
        <v>3</v>
      </c>
      <c r="O1159">
        <v>3</v>
      </c>
      <c r="P1159">
        <v>4</v>
      </c>
      <c r="Q1159">
        <v>0</v>
      </c>
      <c r="R1159">
        <v>24.15</v>
      </c>
      <c r="S1159">
        <v>17</v>
      </c>
      <c r="T1159">
        <v>17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17</v>
      </c>
      <c r="AB1159">
        <v>3</v>
      </c>
      <c r="AC1159">
        <v>0</v>
      </c>
      <c r="AH1159">
        <v>44.15</v>
      </c>
    </row>
    <row r="1160" spans="1:34" x14ac:dyDescent="0.3">
      <c r="A1160" s="4">
        <v>1345</v>
      </c>
      <c r="B1160" s="5">
        <v>1153</v>
      </c>
      <c r="C1160">
        <v>11405</v>
      </c>
      <c r="D1160" t="s">
        <v>2236</v>
      </c>
      <c r="E1160" t="s">
        <v>41</v>
      </c>
      <c r="F1160" t="s">
        <v>343</v>
      </c>
      <c r="G1160" t="s">
        <v>28698</v>
      </c>
      <c r="H1160">
        <v>19.05</v>
      </c>
      <c r="I1160">
        <v>0</v>
      </c>
      <c r="J1160">
        <v>0</v>
      </c>
      <c r="K1160">
        <v>0</v>
      </c>
      <c r="N1160">
        <v>3</v>
      </c>
      <c r="O1160">
        <v>3</v>
      </c>
      <c r="P1160">
        <v>4</v>
      </c>
      <c r="Q1160">
        <v>0</v>
      </c>
      <c r="R1160">
        <v>26.05</v>
      </c>
      <c r="S1160">
        <v>18</v>
      </c>
      <c r="T1160">
        <v>18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18</v>
      </c>
      <c r="AB1160">
        <v>0</v>
      </c>
      <c r="AC1160">
        <v>0</v>
      </c>
      <c r="AH1160">
        <v>44.05</v>
      </c>
    </row>
    <row r="1161" spans="1:34" x14ac:dyDescent="0.3">
      <c r="A1161" s="4">
        <v>1346</v>
      </c>
      <c r="B1161" s="5">
        <v>1154</v>
      </c>
      <c r="C1161">
        <v>10903</v>
      </c>
      <c r="D1161" t="s">
        <v>28699</v>
      </c>
      <c r="E1161" t="s">
        <v>21793</v>
      </c>
      <c r="F1161" t="s">
        <v>38</v>
      </c>
      <c r="G1161" t="s">
        <v>28700</v>
      </c>
      <c r="H1161">
        <v>17</v>
      </c>
      <c r="I1161">
        <v>0</v>
      </c>
      <c r="J1161">
        <v>0</v>
      </c>
      <c r="K1161">
        <v>20</v>
      </c>
      <c r="N1161">
        <v>3</v>
      </c>
      <c r="O1161">
        <v>3</v>
      </c>
      <c r="P1161">
        <v>4</v>
      </c>
      <c r="Q1161">
        <v>0</v>
      </c>
      <c r="R1161">
        <v>44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 t="s">
        <v>130</v>
      </c>
      <c r="AH1161">
        <v>44</v>
      </c>
    </row>
    <row r="1162" spans="1:34" x14ac:dyDescent="0.3">
      <c r="A1162" s="4">
        <v>1347</v>
      </c>
      <c r="B1162" s="5">
        <v>1155</v>
      </c>
      <c r="C1162">
        <v>14870</v>
      </c>
      <c r="D1162" t="s">
        <v>28701</v>
      </c>
      <c r="E1162" t="s">
        <v>143</v>
      </c>
      <c r="F1162" t="s">
        <v>81</v>
      </c>
      <c r="G1162" t="s">
        <v>28702</v>
      </c>
      <c r="H1162">
        <v>16.98</v>
      </c>
      <c r="I1162">
        <v>0</v>
      </c>
      <c r="J1162">
        <v>0</v>
      </c>
      <c r="K1162">
        <v>20</v>
      </c>
      <c r="N1162">
        <v>3</v>
      </c>
      <c r="O1162">
        <v>3</v>
      </c>
      <c r="P1162">
        <v>4</v>
      </c>
      <c r="Q1162">
        <v>0</v>
      </c>
      <c r="R1162">
        <v>43.98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H1162">
        <v>43.98</v>
      </c>
    </row>
    <row r="1163" spans="1:34" x14ac:dyDescent="0.3">
      <c r="A1163" s="4">
        <v>1348</v>
      </c>
      <c r="B1163" s="5">
        <v>1156</v>
      </c>
      <c r="C1163">
        <v>7053</v>
      </c>
      <c r="D1163" t="s">
        <v>26187</v>
      </c>
      <c r="E1163" t="s">
        <v>161</v>
      </c>
      <c r="F1163" t="s">
        <v>801</v>
      </c>
      <c r="G1163" t="s">
        <v>28703</v>
      </c>
      <c r="H1163">
        <v>15.93</v>
      </c>
      <c r="I1163">
        <v>0</v>
      </c>
      <c r="J1163">
        <v>0</v>
      </c>
      <c r="K1163">
        <v>0</v>
      </c>
      <c r="L1163">
        <v>7</v>
      </c>
      <c r="O1163">
        <v>7</v>
      </c>
      <c r="P1163">
        <v>4</v>
      </c>
      <c r="Q1163">
        <v>2</v>
      </c>
      <c r="R1163">
        <v>28.93</v>
      </c>
      <c r="S1163">
        <v>15</v>
      </c>
      <c r="T1163">
        <v>15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15</v>
      </c>
      <c r="AB1163">
        <v>0</v>
      </c>
      <c r="AC1163">
        <v>0</v>
      </c>
      <c r="AH1163">
        <v>43.93</v>
      </c>
    </row>
    <row r="1164" spans="1:34" x14ac:dyDescent="0.3">
      <c r="A1164" s="4">
        <v>1349</v>
      </c>
      <c r="B1164" s="5">
        <v>1157</v>
      </c>
      <c r="C1164">
        <v>5326</v>
      </c>
      <c r="D1164" t="s">
        <v>9409</v>
      </c>
      <c r="E1164" t="s">
        <v>26</v>
      </c>
      <c r="F1164" t="s">
        <v>20</v>
      </c>
      <c r="G1164" t="s">
        <v>28704</v>
      </c>
      <c r="H1164">
        <v>16.899999999999999</v>
      </c>
      <c r="I1164">
        <v>0</v>
      </c>
      <c r="J1164">
        <v>0</v>
      </c>
      <c r="K1164">
        <v>0</v>
      </c>
      <c r="L1164">
        <v>7</v>
      </c>
      <c r="O1164">
        <v>7</v>
      </c>
      <c r="P1164">
        <v>4</v>
      </c>
      <c r="Q1164">
        <v>0</v>
      </c>
      <c r="R1164">
        <v>27.9</v>
      </c>
      <c r="S1164">
        <v>16</v>
      </c>
      <c r="T1164">
        <v>16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16</v>
      </c>
      <c r="AB1164">
        <v>0</v>
      </c>
      <c r="AC1164">
        <v>0</v>
      </c>
      <c r="AH1164">
        <v>43.9</v>
      </c>
    </row>
    <row r="1165" spans="1:34" x14ac:dyDescent="0.3">
      <c r="A1165" s="4">
        <v>1350</v>
      </c>
      <c r="B1165" s="5">
        <v>1158</v>
      </c>
      <c r="C1165">
        <v>12175</v>
      </c>
      <c r="D1165" t="s">
        <v>28705</v>
      </c>
      <c r="E1165" t="s">
        <v>4855</v>
      </c>
      <c r="F1165" t="s">
        <v>243</v>
      </c>
      <c r="G1165" t="s">
        <v>28706</v>
      </c>
      <c r="H1165">
        <v>14.88</v>
      </c>
      <c r="I1165">
        <v>0</v>
      </c>
      <c r="J1165">
        <v>0</v>
      </c>
      <c r="K1165">
        <v>0</v>
      </c>
      <c r="L1165">
        <v>7</v>
      </c>
      <c r="O1165">
        <v>7</v>
      </c>
      <c r="P1165">
        <v>4</v>
      </c>
      <c r="Q1165">
        <v>2</v>
      </c>
      <c r="R1165">
        <v>27.88</v>
      </c>
      <c r="S1165">
        <v>13</v>
      </c>
      <c r="T1165">
        <v>13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13</v>
      </c>
      <c r="AB1165">
        <v>3</v>
      </c>
      <c r="AC1165">
        <v>0</v>
      </c>
      <c r="AH1165">
        <v>43.88</v>
      </c>
    </row>
    <row r="1166" spans="1:34" x14ac:dyDescent="0.3">
      <c r="A1166" s="4">
        <v>1351</v>
      </c>
      <c r="B1166" s="5">
        <v>1159</v>
      </c>
      <c r="C1166">
        <v>12836</v>
      </c>
      <c r="D1166" t="s">
        <v>28707</v>
      </c>
      <c r="E1166" t="s">
        <v>54</v>
      </c>
      <c r="F1166" t="s">
        <v>91</v>
      </c>
      <c r="G1166" t="s">
        <v>28708</v>
      </c>
      <c r="H1166">
        <v>16.63</v>
      </c>
      <c r="I1166">
        <v>0</v>
      </c>
      <c r="J1166">
        <v>0</v>
      </c>
      <c r="K1166">
        <v>20</v>
      </c>
      <c r="N1166">
        <v>3</v>
      </c>
      <c r="O1166">
        <v>3</v>
      </c>
      <c r="P1166">
        <v>4</v>
      </c>
      <c r="Q1166">
        <v>0</v>
      </c>
      <c r="R1166">
        <v>43.63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H1166">
        <v>43.63</v>
      </c>
    </row>
    <row r="1167" spans="1:34" x14ac:dyDescent="0.3">
      <c r="A1167" s="4">
        <v>1352</v>
      </c>
      <c r="B1167" s="5">
        <v>1160</v>
      </c>
      <c r="C1167">
        <v>10368</v>
      </c>
      <c r="D1167" t="s">
        <v>1707</v>
      </c>
      <c r="E1167" t="s">
        <v>54</v>
      </c>
      <c r="F1167" t="s">
        <v>81</v>
      </c>
      <c r="G1167" t="s">
        <v>28709</v>
      </c>
      <c r="H1167">
        <v>18.579999999999998</v>
      </c>
      <c r="I1167">
        <v>0</v>
      </c>
      <c r="J1167">
        <v>0</v>
      </c>
      <c r="K1167">
        <v>0</v>
      </c>
      <c r="N1167">
        <v>3</v>
      </c>
      <c r="O1167">
        <v>3</v>
      </c>
      <c r="P1167">
        <v>4</v>
      </c>
      <c r="Q1167">
        <v>2</v>
      </c>
      <c r="R1167">
        <v>27.58</v>
      </c>
      <c r="S1167">
        <v>16</v>
      </c>
      <c r="T1167">
        <v>16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16</v>
      </c>
      <c r="AB1167">
        <v>0</v>
      </c>
      <c r="AC1167">
        <v>0</v>
      </c>
      <c r="AH1167">
        <v>43.58</v>
      </c>
    </row>
    <row r="1168" spans="1:34" x14ac:dyDescent="0.3">
      <c r="A1168" s="4">
        <v>1353</v>
      </c>
      <c r="B1168" s="5">
        <v>1161</v>
      </c>
      <c r="C1168">
        <v>7146</v>
      </c>
      <c r="D1168" t="s">
        <v>28710</v>
      </c>
      <c r="E1168" t="s">
        <v>54</v>
      </c>
      <c r="F1168" t="s">
        <v>30</v>
      </c>
      <c r="G1168" t="s">
        <v>28711</v>
      </c>
      <c r="H1168">
        <v>19.55</v>
      </c>
      <c r="I1168">
        <v>0</v>
      </c>
      <c r="J1168">
        <v>0</v>
      </c>
      <c r="K1168">
        <v>0</v>
      </c>
      <c r="N1168">
        <v>3</v>
      </c>
      <c r="O1168">
        <v>3</v>
      </c>
      <c r="P1168">
        <v>4</v>
      </c>
      <c r="Q1168">
        <v>0</v>
      </c>
      <c r="R1168">
        <v>26.55</v>
      </c>
      <c r="S1168">
        <v>17</v>
      </c>
      <c r="T1168">
        <v>17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17</v>
      </c>
      <c r="AB1168">
        <v>0</v>
      </c>
      <c r="AC1168">
        <v>0</v>
      </c>
      <c r="AH1168">
        <v>43.55</v>
      </c>
    </row>
    <row r="1169" spans="1:34" x14ac:dyDescent="0.3">
      <c r="A1169" s="4">
        <v>1354</v>
      </c>
      <c r="B1169" s="5">
        <v>1162</v>
      </c>
      <c r="C1169">
        <v>1732</v>
      </c>
      <c r="D1169" t="s">
        <v>18797</v>
      </c>
      <c r="E1169" t="s">
        <v>37</v>
      </c>
      <c r="F1169" t="s">
        <v>158</v>
      </c>
      <c r="G1169" t="s">
        <v>28712</v>
      </c>
      <c r="H1169">
        <v>16.55</v>
      </c>
      <c r="I1169">
        <v>0</v>
      </c>
      <c r="J1169">
        <v>0</v>
      </c>
      <c r="K1169">
        <v>0</v>
      </c>
      <c r="N1169">
        <v>3</v>
      </c>
      <c r="O1169">
        <v>3</v>
      </c>
      <c r="P1169">
        <v>4</v>
      </c>
      <c r="Q1169">
        <v>2</v>
      </c>
      <c r="R1169">
        <v>25.55</v>
      </c>
      <c r="S1169">
        <v>18</v>
      </c>
      <c r="T1169">
        <v>18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18</v>
      </c>
      <c r="AB1169">
        <v>0</v>
      </c>
      <c r="AC1169">
        <v>0</v>
      </c>
      <c r="AH1169">
        <v>43.55</v>
      </c>
    </row>
    <row r="1170" spans="1:34" x14ac:dyDescent="0.3">
      <c r="A1170" s="4">
        <v>1355</v>
      </c>
      <c r="B1170" s="5">
        <v>1163</v>
      </c>
      <c r="C1170">
        <v>7913</v>
      </c>
      <c r="D1170" t="s">
        <v>28713</v>
      </c>
      <c r="E1170" t="s">
        <v>471</v>
      </c>
      <c r="F1170" t="s">
        <v>17</v>
      </c>
      <c r="G1170" t="s">
        <v>28714</v>
      </c>
      <c r="H1170">
        <v>17.48</v>
      </c>
      <c r="I1170">
        <v>0</v>
      </c>
      <c r="J1170">
        <v>0</v>
      </c>
      <c r="K1170">
        <v>0</v>
      </c>
      <c r="O1170">
        <v>0</v>
      </c>
      <c r="P1170">
        <v>4</v>
      </c>
      <c r="Q1170">
        <v>2</v>
      </c>
      <c r="R1170">
        <v>23.48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20</v>
      </c>
      <c r="AH1170">
        <v>43.48</v>
      </c>
    </row>
    <row r="1171" spans="1:34" x14ac:dyDescent="0.3">
      <c r="A1171" s="4">
        <v>1356</v>
      </c>
      <c r="B1171" s="5">
        <v>1164</v>
      </c>
      <c r="C1171">
        <v>8737</v>
      </c>
      <c r="D1171" t="s">
        <v>28715</v>
      </c>
      <c r="E1171" t="s">
        <v>1053</v>
      </c>
      <c r="F1171" t="s">
        <v>909</v>
      </c>
      <c r="G1171" t="s">
        <v>28716</v>
      </c>
      <c r="H1171">
        <v>16.45</v>
      </c>
      <c r="I1171">
        <v>0</v>
      </c>
      <c r="J1171">
        <v>0</v>
      </c>
      <c r="K1171">
        <v>20</v>
      </c>
      <c r="L1171">
        <v>7</v>
      </c>
      <c r="O1171">
        <v>7</v>
      </c>
      <c r="P1171">
        <v>0</v>
      </c>
      <c r="Q1171">
        <v>0</v>
      </c>
      <c r="R1171">
        <v>43.45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H1171">
        <v>43.45</v>
      </c>
    </row>
    <row r="1172" spans="1:34" x14ac:dyDescent="0.3">
      <c r="A1172" s="4">
        <v>1357</v>
      </c>
      <c r="B1172" s="5">
        <v>1165</v>
      </c>
      <c r="C1172">
        <v>11573</v>
      </c>
      <c r="D1172" t="s">
        <v>12970</v>
      </c>
      <c r="E1172" t="s">
        <v>149</v>
      </c>
      <c r="F1172" t="s">
        <v>17</v>
      </c>
      <c r="G1172" t="s">
        <v>28717</v>
      </c>
      <c r="H1172">
        <v>18.399999999999999</v>
      </c>
      <c r="I1172">
        <v>0</v>
      </c>
      <c r="J1172">
        <v>0</v>
      </c>
      <c r="K1172">
        <v>0</v>
      </c>
      <c r="M1172">
        <v>5</v>
      </c>
      <c r="O1172">
        <v>5</v>
      </c>
      <c r="P1172">
        <v>0</v>
      </c>
      <c r="Q1172">
        <v>2</v>
      </c>
      <c r="R1172">
        <v>25.4</v>
      </c>
      <c r="S1172">
        <v>18</v>
      </c>
      <c r="T1172">
        <v>18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18</v>
      </c>
      <c r="AB1172">
        <v>0</v>
      </c>
      <c r="AC1172">
        <v>0</v>
      </c>
      <c r="AH1172">
        <v>43.4</v>
      </c>
    </row>
    <row r="1173" spans="1:34" x14ac:dyDescent="0.3">
      <c r="A1173" s="4">
        <v>1358</v>
      </c>
      <c r="B1173" s="5">
        <v>1166</v>
      </c>
      <c r="C1173">
        <v>4136</v>
      </c>
      <c r="D1173" t="s">
        <v>28718</v>
      </c>
      <c r="E1173" t="s">
        <v>166</v>
      </c>
      <c r="F1173" t="s">
        <v>158</v>
      </c>
      <c r="G1173" t="s">
        <v>28719</v>
      </c>
      <c r="H1173">
        <v>19.38</v>
      </c>
      <c r="I1173">
        <v>0</v>
      </c>
      <c r="J1173">
        <v>0</v>
      </c>
      <c r="K1173">
        <v>20</v>
      </c>
      <c r="O1173">
        <v>0</v>
      </c>
      <c r="P1173">
        <v>4</v>
      </c>
      <c r="Q1173">
        <v>0</v>
      </c>
      <c r="R1173">
        <v>43.38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H1173">
        <v>43.38</v>
      </c>
    </row>
    <row r="1174" spans="1:34" x14ac:dyDescent="0.3">
      <c r="A1174" s="4">
        <v>1359</v>
      </c>
      <c r="B1174" s="5">
        <v>1167</v>
      </c>
      <c r="C1174">
        <v>6247</v>
      </c>
      <c r="D1174" t="s">
        <v>14600</v>
      </c>
      <c r="E1174" t="s">
        <v>29</v>
      </c>
      <c r="F1174" t="s">
        <v>892</v>
      </c>
      <c r="G1174" t="s">
        <v>28720</v>
      </c>
      <c r="H1174">
        <v>18.329999999999998</v>
      </c>
      <c r="I1174">
        <v>0</v>
      </c>
      <c r="J1174">
        <v>0</v>
      </c>
      <c r="K1174">
        <v>0</v>
      </c>
      <c r="L1174">
        <v>7</v>
      </c>
      <c r="N1174">
        <v>3</v>
      </c>
      <c r="O1174">
        <v>10</v>
      </c>
      <c r="P1174">
        <v>0</v>
      </c>
      <c r="Q1174">
        <v>0</v>
      </c>
      <c r="R1174">
        <v>28.33</v>
      </c>
      <c r="S1174">
        <v>9</v>
      </c>
      <c r="T1174">
        <v>9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9</v>
      </c>
      <c r="AB1174">
        <v>6</v>
      </c>
      <c r="AC1174">
        <v>0</v>
      </c>
      <c r="AH1174">
        <v>43.33</v>
      </c>
    </row>
    <row r="1175" spans="1:34" x14ac:dyDescent="0.3">
      <c r="A1175" s="4">
        <v>1360</v>
      </c>
      <c r="B1175" s="5">
        <v>1168</v>
      </c>
      <c r="C1175">
        <v>8036</v>
      </c>
      <c r="D1175" t="s">
        <v>28721</v>
      </c>
      <c r="E1175" t="s">
        <v>1117</v>
      </c>
      <c r="F1175" t="s">
        <v>28722</v>
      </c>
      <c r="G1175" t="s">
        <v>28723</v>
      </c>
      <c r="H1175">
        <v>16.329999999999998</v>
      </c>
      <c r="I1175">
        <v>0</v>
      </c>
      <c r="J1175">
        <v>0</v>
      </c>
      <c r="K1175">
        <v>20</v>
      </c>
      <c r="N1175">
        <v>3</v>
      </c>
      <c r="O1175">
        <v>3</v>
      </c>
      <c r="P1175">
        <v>4</v>
      </c>
      <c r="Q1175">
        <v>0</v>
      </c>
      <c r="R1175">
        <v>43.33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H1175">
        <v>43.33</v>
      </c>
    </row>
    <row r="1176" spans="1:34" x14ac:dyDescent="0.3">
      <c r="A1176" s="4">
        <v>1361</v>
      </c>
      <c r="B1176" s="5">
        <v>1169</v>
      </c>
      <c r="C1176">
        <v>14867</v>
      </c>
      <c r="D1176" t="s">
        <v>28724</v>
      </c>
      <c r="E1176" t="s">
        <v>71</v>
      </c>
      <c r="F1176" t="s">
        <v>28725</v>
      </c>
      <c r="G1176" t="s">
        <v>28726</v>
      </c>
      <c r="H1176">
        <v>19.23</v>
      </c>
      <c r="I1176">
        <v>0</v>
      </c>
      <c r="J1176">
        <v>0</v>
      </c>
      <c r="K1176">
        <v>0</v>
      </c>
      <c r="O1176">
        <v>0</v>
      </c>
      <c r="P1176">
        <v>4</v>
      </c>
      <c r="Q1176">
        <v>2</v>
      </c>
      <c r="R1176">
        <v>25.23</v>
      </c>
      <c r="S1176">
        <v>18</v>
      </c>
      <c r="T1176">
        <v>18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18</v>
      </c>
      <c r="AB1176">
        <v>0</v>
      </c>
      <c r="AC1176">
        <v>0</v>
      </c>
      <c r="AD1176" t="s">
        <v>130</v>
      </c>
      <c r="AH1176">
        <v>43.23</v>
      </c>
    </row>
    <row r="1177" spans="1:34" x14ac:dyDescent="0.3">
      <c r="A1177" s="4">
        <v>1362</v>
      </c>
      <c r="B1177" s="5">
        <v>1170</v>
      </c>
      <c r="C1177">
        <v>7467</v>
      </c>
      <c r="D1177" t="s">
        <v>28727</v>
      </c>
      <c r="E1177" t="s">
        <v>100</v>
      </c>
      <c r="F1177" t="s">
        <v>652</v>
      </c>
      <c r="G1177" t="s">
        <v>28728</v>
      </c>
      <c r="H1177">
        <v>19.18</v>
      </c>
      <c r="I1177">
        <v>0</v>
      </c>
      <c r="J1177">
        <v>0</v>
      </c>
      <c r="K1177">
        <v>20</v>
      </c>
      <c r="O1177">
        <v>0</v>
      </c>
      <c r="P1177">
        <v>4</v>
      </c>
      <c r="Q1177">
        <v>0</v>
      </c>
      <c r="R1177">
        <v>43.18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H1177">
        <v>43.18</v>
      </c>
    </row>
    <row r="1178" spans="1:34" x14ac:dyDescent="0.3">
      <c r="A1178" s="4">
        <v>1363</v>
      </c>
      <c r="B1178" s="5">
        <v>1171</v>
      </c>
      <c r="C1178">
        <v>5492</v>
      </c>
      <c r="D1178" t="s">
        <v>28729</v>
      </c>
      <c r="E1178" t="s">
        <v>28730</v>
      </c>
      <c r="F1178" t="s">
        <v>2855</v>
      </c>
      <c r="G1178" t="s">
        <v>28731</v>
      </c>
      <c r="H1178">
        <v>16.18</v>
      </c>
      <c r="I1178">
        <v>0</v>
      </c>
      <c r="J1178">
        <v>0</v>
      </c>
      <c r="K1178">
        <v>20</v>
      </c>
      <c r="N1178">
        <v>3</v>
      </c>
      <c r="O1178">
        <v>3</v>
      </c>
      <c r="P1178">
        <v>4</v>
      </c>
      <c r="Q1178">
        <v>0</v>
      </c>
      <c r="R1178">
        <v>43.18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H1178">
        <v>43.18</v>
      </c>
    </row>
    <row r="1179" spans="1:34" x14ac:dyDescent="0.3">
      <c r="A1179" s="4">
        <v>1364</v>
      </c>
      <c r="B1179" s="5">
        <v>1172</v>
      </c>
      <c r="C1179">
        <v>11842</v>
      </c>
      <c r="D1179" t="s">
        <v>5306</v>
      </c>
      <c r="E1179" t="s">
        <v>2193</v>
      </c>
      <c r="F1179" t="s">
        <v>68</v>
      </c>
      <c r="G1179" t="s">
        <v>28732</v>
      </c>
      <c r="H1179">
        <v>18.149999999999999</v>
      </c>
      <c r="I1179">
        <v>0</v>
      </c>
      <c r="J1179">
        <v>0</v>
      </c>
      <c r="K1179">
        <v>0</v>
      </c>
      <c r="O1179">
        <v>0</v>
      </c>
      <c r="P1179">
        <v>4</v>
      </c>
      <c r="Q1179">
        <v>2</v>
      </c>
      <c r="R1179">
        <v>24.15</v>
      </c>
      <c r="S1179">
        <v>16</v>
      </c>
      <c r="T1179">
        <v>16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16</v>
      </c>
      <c r="AB1179">
        <v>3</v>
      </c>
      <c r="AC1179">
        <v>0</v>
      </c>
      <c r="AD1179" t="s">
        <v>130</v>
      </c>
      <c r="AH1179">
        <v>43.15</v>
      </c>
    </row>
    <row r="1180" spans="1:34" x14ac:dyDescent="0.3">
      <c r="A1180" s="4">
        <v>1365</v>
      </c>
      <c r="B1180" s="5">
        <v>1173</v>
      </c>
      <c r="C1180">
        <v>11014</v>
      </c>
      <c r="D1180" t="s">
        <v>12868</v>
      </c>
      <c r="E1180" t="s">
        <v>454</v>
      </c>
      <c r="F1180" t="s">
        <v>5614</v>
      </c>
      <c r="G1180" t="s">
        <v>28733</v>
      </c>
      <c r="H1180">
        <v>16.149999999999999</v>
      </c>
      <c r="I1180">
        <v>0</v>
      </c>
      <c r="J1180">
        <v>0</v>
      </c>
      <c r="K1180">
        <v>20</v>
      </c>
      <c r="N1180">
        <v>3</v>
      </c>
      <c r="O1180">
        <v>3</v>
      </c>
      <c r="P1180">
        <v>4</v>
      </c>
      <c r="Q1180">
        <v>0</v>
      </c>
      <c r="R1180">
        <v>43.15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 t="s">
        <v>130</v>
      </c>
      <c r="AH1180">
        <v>43.15</v>
      </c>
    </row>
    <row r="1181" spans="1:34" x14ac:dyDescent="0.3">
      <c r="A1181" s="4">
        <v>1366</v>
      </c>
      <c r="B1181" s="5">
        <v>1174</v>
      </c>
      <c r="C1181">
        <v>12040</v>
      </c>
      <c r="D1181" t="s">
        <v>28734</v>
      </c>
      <c r="E1181" t="s">
        <v>100</v>
      </c>
      <c r="F1181" t="s">
        <v>38</v>
      </c>
      <c r="G1181" t="s">
        <v>28735</v>
      </c>
      <c r="H1181">
        <v>15.08</v>
      </c>
      <c r="I1181">
        <v>0</v>
      </c>
      <c r="J1181">
        <v>0</v>
      </c>
      <c r="K1181">
        <v>0</v>
      </c>
      <c r="N1181">
        <v>3</v>
      </c>
      <c r="O1181">
        <v>3</v>
      </c>
      <c r="P1181">
        <v>4</v>
      </c>
      <c r="Q1181">
        <v>2</v>
      </c>
      <c r="R1181">
        <v>24.08</v>
      </c>
      <c r="S1181">
        <v>16</v>
      </c>
      <c r="T1181">
        <v>16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16</v>
      </c>
      <c r="AB1181">
        <v>3</v>
      </c>
      <c r="AC1181">
        <v>0</v>
      </c>
      <c r="AH1181">
        <v>43.08</v>
      </c>
    </row>
    <row r="1182" spans="1:34" x14ac:dyDescent="0.3">
      <c r="A1182" s="4">
        <v>1367</v>
      </c>
      <c r="B1182" s="5">
        <v>1175</v>
      </c>
      <c r="C1182">
        <v>13177</v>
      </c>
      <c r="D1182" t="s">
        <v>25339</v>
      </c>
      <c r="E1182" t="s">
        <v>6996</v>
      </c>
      <c r="F1182" t="s">
        <v>20</v>
      </c>
      <c r="G1182" t="s">
        <v>28736</v>
      </c>
      <c r="H1182">
        <v>18.03</v>
      </c>
      <c r="I1182">
        <v>0</v>
      </c>
      <c r="J1182">
        <v>0</v>
      </c>
      <c r="K1182">
        <v>0</v>
      </c>
      <c r="N1182">
        <v>3</v>
      </c>
      <c r="O1182">
        <v>3</v>
      </c>
      <c r="P1182">
        <v>4</v>
      </c>
      <c r="Q1182">
        <v>0</v>
      </c>
      <c r="R1182">
        <v>25.03</v>
      </c>
      <c r="S1182">
        <v>18</v>
      </c>
      <c r="T1182">
        <v>18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18</v>
      </c>
      <c r="AB1182">
        <v>0</v>
      </c>
      <c r="AC1182">
        <v>0</v>
      </c>
      <c r="AH1182">
        <v>43.03</v>
      </c>
    </row>
    <row r="1183" spans="1:34" x14ac:dyDescent="0.3">
      <c r="A1183" s="4">
        <v>1368</v>
      </c>
      <c r="B1183" s="5">
        <v>1176</v>
      </c>
      <c r="C1183">
        <v>10810</v>
      </c>
      <c r="D1183" t="s">
        <v>1340</v>
      </c>
      <c r="E1183" t="s">
        <v>283</v>
      </c>
      <c r="F1183" t="s">
        <v>23</v>
      </c>
      <c r="G1183" t="s">
        <v>28737</v>
      </c>
      <c r="H1183">
        <v>15.93</v>
      </c>
      <c r="I1183">
        <v>0</v>
      </c>
      <c r="J1183">
        <v>0</v>
      </c>
      <c r="K1183">
        <v>0</v>
      </c>
      <c r="L1183">
        <v>7</v>
      </c>
      <c r="O1183">
        <v>7</v>
      </c>
      <c r="P1183">
        <v>4</v>
      </c>
      <c r="Q1183">
        <v>2</v>
      </c>
      <c r="R1183">
        <v>28.93</v>
      </c>
      <c r="S1183">
        <v>8</v>
      </c>
      <c r="T1183">
        <v>8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8</v>
      </c>
      <c r="AB1183">
        <v>6</v>
      </c>
      <c r="AC1183">
        <v>0</v>
      </c>
      <c r="AH1183">
        <v>42.93</v>
      </c>
    </row>
    <row r="1184" spans="1:34" x14ac:dyDescent="0.3">
      <c r="A1184" s="4">
        <v>1369</v>
      </c>
      <c r="B1184" s="5">
        <v>1177</v>
      </c>
      <c r="C1184">
        <v>5809</v>
      </c>
      <c r="D1184" t="s">
        <v>3849</v>
      </c>
      <c r="E1184" t="s">
        <v>1743</v>
      </c>
      <c r="F1184" t="s">
        <v>652</v>
      </c>
      <c r="G1184" t="s">
        <v>28738</v>
      </c>
      <c r="H1184">
        <v>18.88</v>
      </c>
      <c r="I1184">
        <v>0</v>
      </c>
      <c r="J1184">
        <v>0</v>
      </c>
      <c r="K1184">
        <v>0</v>
      </c>
      <c r="N1184">
        <v>3</v>
      </c>
      <c r="O1184">
        <v>3</v>
      </c>
      <c r="P1184">
        <v>4</v>
      </c>
      <c r="Q1184">
        <v>0</v>
      </c>
      <c r="R1184">
        <v>25.88</v>
      </c>
      <c r="S1184">
        <v>17</v>
      </c>
      <c r="T1184">
        <v>17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17</v>
      </c>
      <c r="AB1184">
        <v>0</v>
      </c>
      <c r="AC1184">
        <v>0</v>
      </c>
      <c r="AH1184">
        <v>42.88</v>
      </c>
    </row>
    <row r="1185" spans="1:34" x14ac:dyDescent="0.3">
      <c r="A1185" s="4">
        <v>1370</v>
      </c>
      <c r="B1185" s="5">
        <v>1178</v>
      </c>
      <c r="C1185">
        <v>2023</v>
      </c>
      <c r="D1185" t="s">
        <v>13970</v>
      </c>
      <c r="E1185" t="s">
        <v>471</v>
      </c>
      <c r="F1185" t="s">
        <v>626</v>
      </c>
      <c r="G1185" t="s">
        <v>28739</v>
      </c>
      <c r="H1185">
        <v>17.829999999999998</v>
      </c>
      <c r="I1185">
        <v>0</v>
      </c>
      <c r="J1185">
        <v>0</v>
      </c>
      <c r="K1185">
        <v>0</v>
      </c>
      <c r="L1185">
        <v>7</v>
      </c>
      <c r="N1185">
        <v>3</v>
      </c>
      <c r="O1185">
        <v>10</v>
      </c>
      <c r="P1185">
        <v>4</v>
      </c>
      <c r="Q1185">
        <v>2</v>
      </c>
      <c r="R1185">
        <v>33.83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9</v>
      </c>
      <c r="AC1185">
        <v>0</v>
      </c>
      <c r="AH1185">
        <v>42.83</v>
      </c>
    </row>
    <row r="1186" spans="1:34" x14ac:dyDescent="0.3">
      <c r="A1186" s="4">
        <v>1371</v>
      </c>
      <c r="B1186" s="5">
        <v>1179</v>
      </c>
      <c r="C1186">
        <v>10142</v>
      </c>
      <c r="D1186" t="s">
        <v>15250</v>
      </c>
      <c r="E1186" t="s">
        <v>9975</v>
      </c>
      <c r="F1186" t="s">
        <v>28740</v>
      </c>
      <c r="G1186" t="s">
        <v>28741</v>
      </c>
      <c r="H1186">
        <v>15.8</v>
      </c>
      <c r="I1186">
        <v>0</v>
      </c>
      <c r="J1186">
        <v>0</v>
      </c>
      <c r="K1186">
        <v>0</v>
      </c>
      <c r="N1186">
        <v>3</v>
      </c>
      <c r="O1186">
        <v>3</v>
      </c>
      <c r="P1186">
        <v>0</v>
      </c>
      <c r="Q1186">
        <v>2</v>
      </c>
      <c r="R1186">
        <v>20.8</v>
      </c>
      <c r="S1186">
        <v>13</v>
      </c>
      <c r="T1186">
        <v>13</v>
      </c>
      <c r="U1186">
        <v>0</v>
      </c>
      <c r="V1186">
        <v>0</v>
      </c>
      <c r="W1186">
        <v>4</v>
      </c>
      <c r="X1186">
        <v>6</v>
      </c>
      <c r="Y1186">
        <v>0</v>
      </c>
      <c r="Z1186">
        <v>0</v>
      </c>
      <c r="AA1186">
        <v>19</v>
      </c>
      <c r="AB1186">
        <v>3</v>
      </c>
      <c r="AC1186">
        <v>0</v>
      </c>
      <c r="AH1186">
        <v>42.8</v>
      </c>
    </row>
    <row r="1187" spans="1:34" x14ac:dyDescent="0.3">
      <c r="A1187" s="4">
        <v>1372</v>
      </c>
      <c r="B1187" s="5">
        <v>1180</v>
      </c>
      <c r="C1187">
        <v>12009</v>
      </c>
      <c r="D1187" t="s">
        <v>21341</v>
      </c>
      <c r="E1187" t="s">
        <v>166</v>
      </c>
      <c r="F1187" t="s">
        <v>17</v>
      </c>
      <c r="G1187" t="s">
        <v>28742</v>
      </c>
      <c r="H1187">
        <v>15.78</v>
      </c>
      <c r="I1187">
        <v>0</v>
      </c>
      <c r="J1187">
        <v>0</v>
      </c>
      <c r="K1187">
        <v>0</v>
      </c>
      <c r="M1187">
        <v>5</v>
      </c>
      <c r="O1187">
        <v>5</v>
      </c>
      <c r="P1187">
        <v>4</v>
      </c>
      <c r="Q1187">
        <v>0</v>
      </c>
      <c r="R1187">
        <v>24.78</v>
      </c>
      <c r="S1187">
        <v>18</v>
      </c>
      <c r="T1187">
        <v>18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18</v>
      </c>
      <c r="AB1187">
        <v>0</v>
      </c>
      <c r="AC1187">
        <v>0</v>
      </c>
      <c r="AH1187">
        <v>42.78</v>
      </c>
    </row>
    <row r="1188" spans="1:34" x14ac:dyDescent="0.3">
      <c r="A1188" s="4">
        <v>1373</v>
      </c>
      <c r="B1188" s="5">
        <v>1181</v>
      </c>
      <c r="C1188">
        <v>3540</v>
      </c>
      <c r="D1188" t="s">
        <v>10767</v>
      </c>
      <c r="E1188" t="s">
        <v>1425</v>
      </c>
      <c r="F1188" t="s">
        <v>136</v>
      </c>
      <c r="G1188" t="s">
        <v>28743</v>
      </c>
      <c r="H1188">
        <v>15.73</v>
      </c>
      <c r="I1188">
        <v>0</v>
      </c>
      <c r="J1188">
        <v>0</v>
      </c>
      <c r="K1188">
        <v>0</v>
      </c>
      <c r="L1188">
        <v>7</v>
      </c>
      <c r="O1188">
        <v>7</v>
      </c>
      <c r="P1188">
        <v>4</v>
      </c>
      <c r="Q1188">
        <v>2</v>
      </c>
      <c r="R1188">
        <v>28.73</v>
      </c>
      <c r="S1188">
        <v>14</v>
      </c>
      <c r="T1188">
        <v>14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14</v>
      </c>
      <c r="AB1188">
        <v>0</v>
      </c>
      <c r="AC1188">
        <v>0</v>
      </c>
      <c r="AH1188">
        <v>42.73</v>
      </c>
    </row>
    <row r="1189" spans="1:34" x14ac:dyDescent="0.3">
      <c r="A1189" s="4">
        <v>1374</v>
      </c>
      <c r="B1189" s="5">
        <v>1182</v>
      </c>
      <c r="C1189">
        <v>3996</v>
      </c>
      <c r="D1189" t="s">
        <v>28744</v>
      </c>
      <c r="E1189" t="s">
        <v>550</v>
      </c>
      <c r="F1189" t="s">
        <v>136</v>
      </c>
      <c r="G1189" t="s">
        <v>28745</v>
      </c>
      <c r="H1189">
        <v>16.73</v>
      </c>
      <c r="I1189">
        <v>0</v>
      </c>
      <c r="J1189">
        <v>0</v>
      </c>
      <c r="K1189">
        <v>0</v>
      </c>
      <c r="N1189">
        <v>3</v>
      </c>
      <c r="O1189">
        <v>3</v>
      </c>
      <c r="P1189">
        <v>4</v>
      </c>
      <c r="Q1189">
        <v>2</v>
      </c>
      <c r="R1189">
        <v>25.73</v>
      </c>
      <c r="S1189">
        <v>17</v>
      </c>
      <c r="T1189">
        <v>17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17</v>
      </c>
      <c r="AB1189">
        <v>0</v>
      </c>
      <c r="AC1189">
        <v>0</v>
      </c>
      <c r="AD1189" t="s">
        <v>130</v>
      </c>
      <c r="AH1189">
        <v>42.73</v>
      </c>
    </row>
    <row r="1190" spans="1:34" x14ac:dyDescent="0.3">
      <c r="A1190" s="4">
        <v>1375</v>
      </c>
      <c r="B1190" s="5">
        <v>1183</v>
      </c>
      <c r="C1190">
        <v>10693</v>
      </c>
      <c r="D1190" t="s">
        <v>3350</v>
      </c>
      <c r="E1190" t="s">
        <v>406</v>
      </c>
      <c r="F1190" t="s">
        <v>17</v>
      </c>
      <c r="G1190" t="s">
        <v>28746</v>
      </c>
      <c r="H1190">
        <v>17.7</v>
      </c>
      <c r="I1190">
        <v>0</v>
      </c>
      <c r="J1190">
        <v>0</v>
      </c>
      <c r="K1190">
        <v>0</v>
      </c>
      <c r="N1190">
        <v>3</v>
      </c>
      <c r="O1190">
        <v>3</v>
      </c>
      <c r="P1190">
        <v>4</v>
      </c>
      <c r="Q1190">
        <v>2</v>
      </c>
      <c r="R1190">
        <v>26.7</v>
      </c>
      <c r="S1190">
        <v>14</v>
      </c>
      <c r="T1190">
        <v>14</v>
      </c>
      <c r="U1190">
        <v>1</v>
      </c>
      <c r="V1190">
        <v>2</v>
      </c>
      <c r="W1190">
        <v>0</v>
      </c>
      <c r="X1190">
        <v>0</v>
      </c>
      <c r="Y1190">
        <v>0</v>
      </c>
      <c r="Z1190">
        <v>0</v>
      </c>
      <c r="AA1190">
        <v>16</v>
      </c>
      <c r="AB1190">
        <v>0</v>
      </c>
      <c r="AC1190">
        <v>0</v>
      </c>
      <c r="AH1190">
        <v>42.7</v>
      </c>
    </row>
    <row r="1191" spans="1:34" x14ac:dyDescent="0.3">
      <c r="A1191" s="4">
        <v>1376</v>
      </c>
      <c r="B1191" s="5">
        <v>1184</v>
      </c>
      <c r="C1191">
        <v>12333</v>
      </c>
      <c r="D1191" t="s">
        <v>6587</v>
      </c>
      <c r="E1191" t="s">
        <v>29</v>
      </c>
      <c r="F1191" t="s">
        <v>14</v>
      </c>
      <c r="G1191" t="s">
        <v>28747</v>
      </c>
      <c r="H1191">
        <v>16.68</v>
      </c>
      <c r="I1191">
        <v>0</v>
      </c>
      <c r="J1191">
        <v>0</v>
      </c>
      <c r="K1191">
        <v>20</v>
      </c>
      <c r="N1191">
        <v>3</v>
      </c>
      <c r="O1191">
        <v>3</v>
      </c>
      <c r="P1191">
        <v>0</v>
      </c>
      <c r="Q1191">
        <v>0</v>
      </c>
      <c r="R1191">
        <v>39.68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3</v>
      </c>
      <c r="AC1191">
        <v>0</v>
      </c>
      <c r="AH1191">
        <v>42.68</v>
      </c>
    </row>
    <row r="1192" spans="1:34" x14ac:dyDescent="0.3">
      <c r="A1192" s="4">
        <v>1377</v>
      </c>
      <c r="B1192" s="5">
        <v>1185</v>
      </c>
      <c r="C1192">
        <v>10426</v>
      </c>
      <c r="D1192" t="s">
        <v>24372</v>
      </c>
      <c r="E1192" t="s">
        <v>935</v>
      </c>
      <c r="F1192" t="s">
        <v>81</v>
      </c>
      <c r="G1192" t="s">
        <v>28748</v>
      </c>
      <c r="H1192">
        <v>17.149999999999999</v>
      </c>
      <c r="I1192">
        <v>0</v>
      </c>
      <c r="J1192">
        <v>0</v>
      </c>
      <c r="K1192">
        <v>0</v>
      </c>
      <c r="N1192">
        <v>3</v>
      </c>
      <c r="O1192">
        <v>3</v>
      </c>
      <c r="P1192">
        <v>4</v>
      </c>
      <c r="Q1192">
        <v>2</v>
      </c>
      <c r="R1192">
        <v>26.15</v>
      </c>
      <c r="S1192">
        <v>12</v>
      </c>
      <c r="T1192">
        <v>12</v>
      </c>
      <c r="U1192">
        <v>0</v>
      </c>
      <c r="V1192">
        <v>0</v>
      </c>
      <c r="W1192">
        <v>3</v>
      </c>
      <c r="X1192">
        <v>4.5</v>
      </c>
      <c r="Y1192">
        <v>0</v>
      </c>
      <c r="Z1192">
        <v>0</v>
      </c>
      <c r="AA1192">
        <v>16.5</v>
      </c>
      <c r="AB1192">
        <v>0</v>
      </c>
      <c r="AC1192">
        <v>0</v>
      </c>
      <c r="AH1192">
        <v>42.65</v>
      </c>
    </row>
    <row r="1193" spans="1:34" x14ac:dyDescent="0.3">
      <c r="A1193" s="4">
        <v>1378</v>
      </c>
      <c r="B1193" s="5">
        <v>1186</v>
      </c>
      <c r="C1193">
        <v>7869</v>
      </c>
      <c r="D1193" t="s">
        <v>19809</v>
      </c>
      <c r="E1193" t="s">
        <v>88</v>
      </c>
      <c r="F1193" t="s">
        <v>136</v>
      </c>
      <c r="G1193" t="s">
        <v>28749</v>
      </c>
      <c r="H1193">
        <v>18.600000000000001</v>
      </c>
      <c r="I1193">
        <v>0</v>
      </c>
      <c r="J1193">
        <v>0</v>
      </c>
      <c r="K1193">
        <v>0</v>
      </c>
      <c r="L1193">
        <v>7</v>
      </c>
      <c r="N1193">
        <v>3</v>
      </c>
      <c r="O1193">
        <v>10</v>
      </c>
      <c r="P1193">
        <v>4</v>
      </c>
      <c r="Q1193">
        <v>0</v>
      </c>
      <c r="R1193">
        <v>32.6</v>
      </c>
      <c r="S1193">
        <v>0</v>
      </c>
      <c r="T1193">
        <v>0</v>
      </c>
      <c r="U1193">
        <v>0</v>
      </c>
      <c r="V1193">
        <v>0</v>
      </c>
      <c r="W1193">
        <v>7</v>
      </c>
      <c r="X1193">
        <v>10</v>
      </c>
      <c r="Y1193">
        <v>0</v>
      </c>
      <c r="Z1193">
        <v>0</v>
      </c>
      <c r="AA1193">
        <v>10</v>
      </c>
      <c r="AB1193">
        <v>0</v>
      </c>
      <c r="AC1193">
        <v>0</v>
      </c>
      <c r="AH1193">
        <v>42.6</v>
      </c>
    </row>
    <row r="1194" spans="1:34" x14ac:dyDescent="0.3">
      <c r="A1194" s="4">
        <v>1379</v>
      </c>
      <c r="B1194" s="5">
        <v>1187</v>
      </c>
      <c r="C1194">
        <v>7152</v>
      </c>
      <c r="D1194" t="s">
        <v>421</v>
      </c>
      <c r="E1194" t="s">
        <v>286</v>
      </c>
      <c r="F1194" t="s">
        <v>488</v>
      </c>
      <c r="G1194" t="s">
        <v>28750</v>
      </c>
      <c r="H1194">
        <v>20.53</v>
      </c>
      <c r="I1194">
        <v>0</v>
      </c>
      <c r="J1194">
        <v>0</v>
      </c>
      <c r="K1194">
        <v>0</v>
      </c>
      <c r="L1194">
        <v>7</v>
      </c>
      <c r="O1194">
        <v>7</v>
      </c>
      <c r="P1194">
        <v>4</v>
      </c>
      <c r="Q1194">
        <v>0</v>
      </c>
      <c r="R1194">
        <v>31.53</v>
      </c>
      <c r="S1194">
        <v>11</v>
      </c>
      <c r="T1194">
        <v>11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11</v>
      </c>
      <c r="AB1194">
        <v>0</v>
      </c>
      <c r="AC1194">
        <v>0</v>
      </c>
      <c r="AH1194">
        <v>42.53</v>
      </c>
    </row>
    <row r="1195" spans="1:34" x14ac:dyDescent="0.3">
      <c r="A1195" s="4">
        <v>1380</v>
      </c>
      <c r="B1195" s="5">
        <v>1188</v>
      </c>
      <c r="C1195">
        <v>5783</v>
      </c>
      <c r="D1195" t="s">
        <v>8708</v>
      </c>
      <c r="E1195" t="s">
        <v>26</v>
      </c>
      <c r="F1195" t="s">
        <v>328</v>
      </c>
      <c r="G1195" t="s">
        <v>28751</v>
      </c>
      <c r="H1195">
        <v>19.350000000000001</v>
      </c>
      <c r="I1195">
        <v>0</v>
      </c>
      <c r="J1195">
        <v>0</v>
      </c>
      <c r="K1195">
        <v>0</v>
      </c>
      <c r="L1195">
        <v>7</v>
      </c>
      <c r="O1195">
        <v>7</v>
      </c>
      <c r="P1195">
        <v>4</v>
      </c>
      <c r="Q1195">
        <v>2</v>
      </c>
      <c r="R1195">
        <v>32.35</v>
      </c>
      <c r="S1195">
        <v>10</v>
      </c>
      <c r="T1195">
        <v>10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10</v>
      </c>
      <c r="AB1195">
        <v>0</v>
      </c>
      <c r="AC1195">
        <v>0</v>
      </c>
      <c r="AH1195">
        <v>42.35</v>
      </c>
    </row>
    <row r="1196" spans="1:34" x14ac:dyDescent="0.3">
      <c r="A1196" s="4">
        <v>1381</v>
      </c>
      <c r="B1196" s="5">
        <v>1189</v>
      </c>
      <c r="C1196">
        <v>4731</v>
      </c>
      <c r="D1196" t="s">
        <v>28752</v>
      </c>
      <c r="E1196" t="s">
        <v>110</v>
      </c>
      <c r="F1196" t="s">
        <v>81</v>
      </c>
      <c r="G1196" t="s">
        <v>28753</v>
      </c>
      <c r="H1196">
        <v>16.2</v>
      </c>
      <c r="I1196">
        <v>0</v>
      </c>
      <c r="J1196">
        <v>0</v>
      </c>
      <c r="K1196">
        <v>20</v>
      </c>
      <c r="N1196">
        <v>3</v>
      </c>
      <c r="O1196">
        <v>3</v>
      </c>
      <c r="P1196">
        <v>0</v>
      </c>
      <c r="Q1196">
        <v>0</v>
      </c>
      <c r="R1196">
        <v>39.200000000000003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3</v>
      </c>
      <c r="AC1196">
        <v>0</v>
      </c>
      <c r="AH1196">
        <v>42.2</v>
      </c>
    </row>
    <row r="1197" spans="1:34" x14ac:dyDescent="0.3">
      <c r="A1197" s="4">
        <v>1382</v>
      </c>
      <c r="B1197" s="5">
        <v>1190</v>
      </c>
      <c r="C1197">
        <v>5914</v>
      </c>
      <c r="D1197" t="s">
        <v>3970</v>
      </c>
      <c r="E1197" t="s">
        <v>41</v>
      </c>
      <c r="F1197" t="s">
        <v>243</v>
      </c>
      <c r="G1197" t="s">
        <v>28754</v>
      </c>
      <c r="H1197">
        <v>15.98</v>
      </c>
      <c r="I1197">
        <v>0</v>
      </c>
      <c r="J1197">
        <v>0</v>
      </c>
      <c r="K1197">
        <v>20</v>
      </c>
      <c r="O1197">
        <v>0</v>
      </c>
      <c r="P1197">
        <v>4</v>
      </c>
      <c r="Q1197">
        <v>2</v>
      </c>
      <c r="R1197">
        <v>41.98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H1197">
        <v>41.98</v>
      </c>
    </row>
    <row r="1198" spans="1:34" x14ac:dyDescent="0.3">
      <c r="A1198" s="4">
        <v>1383</v>
      </c>
      <c r="B1198" s="5">
        <v>1191</v>
      </c>
      <c r="C1198">
        <v>2485</v>
      </c>
      <c r="D1198" t="s">
        <v>28755</v>
      </c>
      <c r="E1198" t="s">
        <v>188</v>
      </c>
      <c r="F1198" t="s">
        <v>68</v>
      </c>
      <c r="G1198" t="s">
        <v>28756</v>
      </c>
      <c r="H1198">
        <v>14.95</v>
      </c>
      <c r="I1198">
        <v>0</v>
      </c>
      <c r="J1198">
        <v>0</v>
      </c>
      <c r="K1198">
        <v>0</v>
      </c>
      <c r="L1198">
        <v>7</v>
      </c>
      <c r="O1198">
        <v>7</v>
      </c>
      <c r="P1198">
        <v>4</v>
      </c>
      <c r="Q1198">
        <v>2</v>
      </c>
      <c r="R1198">
        <v>27.95</v>
      </c>
      <c r="S1198">
        <v>14</v>
      </c>
      <c r="T1198">
        <v>14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14</v>
      </c>
      <c r="AB1198">
        <v>0</v>
      </c>
      <c r="AC1198">
        <v>0</v>
      </c>
      <c r="AD1198" t="s">
        <v>130</v>
      </c>
      <c r="AH1198">
        <v>41.95</v>
      </c>
    </row>
    <row r="1199" spans="1:34" x14ac:dyDescent="0.3">
      <c r="A1199" s="4">
        <v>1384</v>
      </c>
      <c r="B1199" s="5">
        <v>1192</v>
      </c>
      <c r="C1199">
        <v>654</v>
      </c>
      <c r="D1199" t="s">
        <v>181</v>
      </c>
      <c r="E1199" t="s">
        <v>143</v>
      </c>
      <c r="F1199" t="s">
        <v>2427</v>
      </c>
      <c r="G1199" t="s">
        <v>28757</v>
      </c>
      <c r="H1199">
        <v>16.75</v>
      </c>
      <c r="I1199">
        <v>0</v>
      </c>
      <c r="J1199">
        <v>0</v>
      </c>
      <c r="K1199">
        <v>0</v>
      </c>
      <c r="N1199">
        <v>3</v>
      </c>
      <c r="O1199">
        <v>3</v>
      </c>
      <c r="P1199">
        <v>4</v>
      </c>
      <c r="Q1199">
        <v>2</v>
      </c>
      <c r="R1199">
        <v>25.75</v>
      </c>
      <c r="S1199">
        <v>16</v>
      </c>
      <c r="T1199">
        <v>16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16</v>
      </c>
      <c r="AB1199">
        <v>0</v>
      </c>
      <c r="AC1199">
        <v>0</v>
      </c>
      <c r="AH1199">
        <v>41.75</v>
      </c>
    </row>
    <row r="1200" spans="1:34" x14ac:dyDescent="0.3">
      <c r="A1200" s="4">
        <v>1385</v>
      </c>
      <c r="B1200" s="5">
        <v>1193</v>
      </c>
      <c r="C1200">
        <v>7504</v>
      </c>
      <c r="D1200" t="s">
        <v>28758</v>
      </c>
      <c r="E1200" t="s">
        <v>54</v>
      </c>
      <c r="F1200" t="s">
        <v>38</v>
      </c>
      <c r="G1200" t="s">
        <v>28759</v>
      </c>
      <c r="H1200">
        <v>17.68</v>
      </c>
      <c r="I1200">
        <v>0</v>
      </c>
      <c r="J1200">
        <v>0</v>
      </c>
      <c r="K1200">
        <v>0</v>
      </c>
      <c r="N1200">
        <v>3</v>
      </c>
      <c r="O1200">
        <v>3</v>
      </c>
      <c r="P1200">
        <v>4</v>
      </c>
      <c r="Q1200">
        <v>0</v>
      </c>
      <c r="R1200">
        <v>24.68</v>
      </c>
      <c r="S1200">
        <v>14</v>
      </c>
      <c r="T1200">
        <v>14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14</v>
      </c>
      <c r="AB1200">
        <v>3</v>
      </c>
      <c r="AC1200">
        <v>0</v>
      </c>
      <c r="AH1200">
        <v>41.68</v>
      </c>
    </row>
    <row r="1201" spans="1:34" x14ac:dyDescent="0.3">
      <c r="A1201" s="4">
        <v>1386</v>
      </c>
      <c r="B1201" s="5">
        <v>1194</v>
      </c>
      <c r="C1201">
        <v>3279</v>
      </c>
      <c r="D1201" t="s">
        <v>8106</v>
      </c>
      <c r="E1201" t="s">
        <v>789</v>
      </c>
      <c r="F1201" t="s">
        <v>158</v>
      </c>
      <c r="G1201" t="s">
        <v>28760</v>
      </c>
      <c r="H1201">
        <v>18.579999999999998</v>
      </c>
      <c r="I1201">
        <v>0</v>
      </c>
      <c r="J1201">
        <v>0</v>
      </c>
      <c r="K1201">
        <v>0</v>
      </c>
      <c r="N1201">
        <v>3</v>
      </c>
      <c r="O1201">
        <v>3</v>
      </c>
      <c r="P1201">
        <v>4</v>
      </c>
      <c r="Q1201">
        <v>2</v>
      </c>
      <c r="R1201">
        <v>27.58</v>
      </c>
      <c r="S1201">
        <v>14</v>
      </c>
      <c r="T1201">
        <v>14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14</v>
      </c>
      <c r="AB1201">
        <v>0</v>
      </c>
      <c r="AC1201">
        <v>0</v>
      </c>
      <c r="AH1201">
        <v>41.58</v>
      </c>
    </row>
    <row r="1202" spans="1:34" x14ac:dyDescent="0.3">
      <c r="A1202" s="4">
        <v>1387</v>
      </c>
      <c r="B1202" s="5">
        <v>1195</v>
      </c>
      <c r="C1202">
        <v>8545</v>
      </c>
      <c r="D1202" t="s">
        <v>1950</v>
      </c>
      <c r="E1202" t="s">
        <v>71</v>
      </c>
      <c r="F1202" t="s">
        <v>20</v>
      </c>
      <c r="G1202" t="s">
        <v>28761</v>
      </c>
      <c r="H1202">
        <v>18.55</v>
      </c>
      <c r="I1202">
        <v>0</v>
      </c>
      <c r="J1202">
        <v>0</v>
      </c>
      <c r="K1202">
        <v>0</v>
      </c>
      <c r="N1202">
        <v>3</v>
      </c>
      <c r="O1202">
        <v>3</v>
      </c>
      <c r="P1202">
        <v>4</v>
      </c>
      <c r="Q1202">
        <v>2</v>
      </c>
      <c r="R1202">
        <v>27.55</v>
      </c>
      <c r="S1202">
        <v>14</v>
      </c>
      <c r="T1202">
        <v>14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14</v>
      </c>
      <c r="AB1202">
        <v>0</v>
      </c>
      <c r="AC1202">
        <v>0</v>
      </c>
      <c r="AH1202">
        <v>41.55</v>
      </c>
    </row>
    <row r="1203" spans="1:34" x14ac:dyDescent="0.3">
      <c r="A1203" s="4">
        <v>1388</v>
      </c>
      <c r="B1203" s="5">
        <v>1196</v>
      </c>
      <c r="C1203">
        <v>15641</v>
      </c>
      <c r="D1203" t="s">
        <v>14907</v>
      </c>
      <c r="E1203" t="s">
        <v>219</v>
      </c>
      <c r="F1203" t="s">
        <v>17</v>
      </c>
      <c r="G1203" t="s">
        <v>28762</v>
      </c>
      <c r="H1203">
        <v>17.48</v>
      </c>
      <c r="I1203">
        <v>0</v>
      </c>
      <c r="J1203">
        <v>0</v>
      </c>
      <c r="K1203">
        <v>0</v>
      </c>
      <c r="O1203">
        <v>0</v>
      </c>
      <c r="P1203">
        <v>4</v>
      </c>
      <c r="Q1203">
        <v>0</v>
      </c>
      <c r="R1203">
        <v>21.48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20</v>
      </c>
      <c r="AH1203">
        <v>41.48</v>
      </c>
    </row>
    <row r="1204" spans="1:34" x14ac:dyDescent="0.3">
      <c r="A1204" s="4">
        <v>1389</v>
      </c>
      <c r="B1204" s="5">
        <v>1197</v>
      </c>
      <c r="C1204">
        <v>4512</v>
      </c>
      <c r="D1204" t="s">
        <v>1742</v>
      </c>
      <c r="E1204" t="s">
        <v>110</v>
      </c>
      <c r="F1204" t="s">
        <v>167</v>
      </c>
      <c r="G1204" t="s">
        <v>28763</v>
      </c>
      <c r="H1204">
        <v>18.45</v>
      </c>
      <c r="I1204">
        <v>0</v>
      </c>
      <c r="J1204">
        <v>0</v>
      </c>
      <c r="K1204">
        <v>0</v>
      </c>
      <c r="N1204">
        <v>3</v>
      </c>
      <c r="O1204">
        <v>3</v>
      </c>
      <c r="P1204">
        <v>4</v>
      </c>
      <c r="Q1204">
        <v>2</v>
      </c>
      <c r="R1204">
        <v>27.45</v>
      </c>
      <c r="S1204">
        <v>8</v>
      </c>
      <c r="T1204">
        <v>8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8</v>
      </c>
      <c r="AB1204">
        <v>6</v>
      </c>
      <c r="AC1204">
        <v>0</v>
      </c>
      <c r="AH1204">
        <v>41.45</v>
      </c>
    </row>
    <row r="1205" spans="1:34" x14ac:dyDescent="0.3">
      <c r="A1205" s="4">
        <v>1390</v>
      </c>
      <c r="B1205" s="5">
        <v>1198</v>
      </c>
      <c r="C1205">
        <v>1668</v>
      </c>
      <c r="D1205" t="s">
        <v>28764</v>
      </c>
      <c r="E1205" t="s">
        <v>12525</v>
      </c>
      <c r="F1205" t="s">
        <v>124</v>
      </c>
      <c r="G1205" t="s">
        <v>28765</v>
      </c>
      <c r="H1205">
        <v>14.45</v>
      </c>
      <c r="I1205">
        <v>0</v>
      </c>
      <c r="J1205">
        <v>0</v>
      </c>
      <c r="K1205">
        <v>0</v>
      </c>
      <c r="N1205">
        <v>3</v>
      </c>
      <c r="O1205">
        <v>3</v>
      </c>
      <c r="P1205">
        <v>4</v>
      </c>
      <c r="Q1205">
        <v>0</v>
      </c>
      <c r="R1205">
        <v>21.45</v>
      </c>
      <c r="S1205">
        <v>17</v>
      </c>
      <c r="T1205">
        <v>17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17</v>
      </c>
      <c r="AB1205">
        <v>3</v>
      </c>
      <c r="AC1205">
        <v>0</v>
      </c>
      <c r="AH1205">
        <v>41.45</v>
      </c>
    </row>
    <row r="1206" spans="1:34" x14ac:dyDescent="0.3">
      <c r="A1206" s="4">
        <v>1391</v>
      </c>
      <c r="B1206" s="5">
        <v>1199</v>
      </c>
      <c r="C1206">
        <v>11401</v>
      </c>
      <c r="D1206" t="s">
        <v>28766</v>
      </c>
      <c r="E1206" t="s">
        <v>101</v>
      </c>
      <c r="F1206" t="s">
        <v>136</v>
      </c>
      <c r="G1206" t="s">
        <v>28767</v>
      </c>
      <c r="H1206">
        <v>17.43</v>
      </c>
      <c r="I1206">
        <v>0</v>
      </c>
      <c r="J1206">
        <v>0</v>
      </c>
      <c r="K1206">
        <v>20</v>
      </c>
      <c r="O1206">
        <v>0</v>
      </c>
      <c r="P1206">
        <v>4</v>
      </c>
      <c r="Q1206">
        <v>0</v>
      </c>
      <c r="R1206">
        <v>41.43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H1206">
        <v>41.43</v>
      </c>
    </row>
    <row r="1207" spans="1:34" x14ac:dyDescent="0.3">
      <c r="A1207" s="4">
        <v>1392</v>
      </c>
      <c r="B1207" s="5">
        <v>1200</v>
      </c>
      <c r="C1207">
        <v>8635</v>
      </c>
      <c r="D1207" t="s">
        <v>181</v>
      </c>
      <c r="E1207" t="s">
        <v>149</v>
      </c>
      <c r="F1207" t="s">
        <v>1023</v>
      </c>
      <c r="G1207" t="s">
        <v>28768</v>
      </c>
      <c r="H1207">
        <v>15.43</v>
      </c>
      <c r="I1207">
        <v>0</v>
      </c>
      <c r="J1207">
        <v>0</v>
      </c>
      <c r="K1207">
        <v>20</v>
      </c>
      <c r="N1207">
        <v>6</v>
      </c>
      <c r="O1207">
        <v>6</v>
      </c>
      <c r="P1207">
        <v>0</v>
      </c>
      <c r="Q1207">
        <v>0</v>
      </c>
      <c r="R1207">
        <v>41.43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H1207">
        <v>41.43</v>
      </c>
    </row>
    <row r="1208" spans="1:34" x14ac:dyDescent="0.3">
      <c r="A1208" s="4">
        <v>1393</v>
      </c>
      <c r="B1208" s="5">
        <v>1201</v>
      </c>
      <c r="C1208">
        <v>11759</v>
      </c>
      <c r="D1208" t="s">
        <v>28769</v>
      </c>
      <c r="E1208" t="s">
        <v>29</v>
      </c>
      <c r="F1208" t="s">
        <v>328</v>
      </c>
      <c r="G1208" t="s">
        <v>28770</v>
      </c>
      <c r="H1208">
        <v>18.25</v>
      </c>
      <c r="I1208">
        <v>0</v>
      </c>
      <c r="J1208">
        <v>0</v>
      </c>
      <c r="K1208">
        <v>0</v>
      </c>
      <c r="L1208">
        <v>7</v>
      </c>
      <c r="O1208">
        <v>7</v>
      </c>
      <c r="P1208">
        <v>4</v>
      </c>
      <c r="Q1208">
        <v>2</v>
      </c>
      <c r="R1208">
        <v>31.25</v>
      </c>
      <c r="S1208">
        <v>7</v>
      </c>
      <c r="T1208">
        <v>7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7</v>
      </c>
      <c r="AB1208">
        <v>3</v>
      </c>
      <c r="AC1208">
        <v>0</v>
      </c>
      <c r="AH1208">
        <v>41.25</v>
      </c>
    </row>
    <row r="1209" spans="1:34" x14ac:dyDescent="0.3">
      <c r="A1209" s="4">
        <v>1394</v>
      </c>
      <c r="B1209" s="5">
        <v>1202</v>
      </c>
      <c r="C1209">
        <v>12954</v>
      </c>
      <c r="D1209" t="s">
        <v>10468</v>
      </c>
      <c r="E1209" t="s">
        <v>550</v>
      </c>
      <c r="F1209" t="s">
        <v>20</v>
      </c>
      <c r="G1209" t="s">
        <v>28771</v>
      </c>
      <c r="H1209">
        <v>22.2</v>
      </c>
      <c r="I1209">
        <v>0</v>
      </c>
      <c r="J1209">
        <v>0</v>
      </c>
      <c r="K1209">
        <v>0</v>
      </c>
      <c r="L1209">
        <v>7</v>
      </c>
      <c r="M1209">
        <v>5</v>
      </c>
      <c r="O1209">
        <v>12</v>
      </c>
      <c r="P1209">
        <v>4</v>
      </c>
      <c r="Q1209">
        <v>0</v>
      </c>
      <c r="R1209">
        <v>38.200000000000003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3</v>
      </c>
      <c r="AC1209">
        <v>0</v>
      </c>
      <c r="AH1209">
        <v>41.2</v>
      </c>
    </row>
    <row r="1210" spans="1:34" x14ac:dyDescent="0.3">
      <c r="A1210" s="4">
        <v>1395</v>
      </c>
      <c r="B1210" s="5">
        <v>1203</v>
      </c>
      <c r="C1210">
        <v>1729</v>
      </c>
      <c r="D1210" t="s">
        <v>28772</v>
      </c>
      <c r="E1210" t="s">
        <v>6507</v>
      </c>
      <c r="F1210" t="s">
        <v>587</v>
      </c>
      <c r="G1210" t="s">
        <v>28773</v>
      </c>
      <c r="H1210">
        <v>18</v>
      </c>
      <c r="I1210">
        <v>0</v>
      </c>
      <c r="J1210">
        <v>0</v>
      </c>
      <c r="K1210">
        <v>0</v>
      </c>
      <c r="O1210">
        <v>0</v>
      </c>
      <c r="P1210">
        <v>4</v>
      </c>
      <c r="Q1210">
        <v>0</v>
      </c>
      <c r="R1210">
        <v>22</v>
      </c>
      <c r="S1210">
        <v>16</v>
      </c>
      <c r="T1210">
        <v>16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16</v>
      </c>
      <c r="AB1210">
        <v>3</v>
      </c>
      <c r="AC1210">
        <v>0</v>
      </c>
      <c r="AH1210">
        <v>41</v>
      </c>
    </row>
    <row r="1211" spans="1:34" x14ac:dyDescent="0.3">
      <c r="A1211" s="4">
        <v>1396</v>
      </c>
      <c r="B1211" s="5">
        <v>1204</v>
      </c>
      <c r="C1211">
        <v>14988</v>
      </c>
      <c r="D1211" t="s">
        <v>19786</v>
      </c>
      <c r="E1211" t="s">
        <v>54</v>
      </c>
      <c r="F1211" t="s">
        <v>117</v>
      </c>
      <c r="G1211" t="s">
        <v>28774</v>
      </c>
      <c r="H1211">
        <v>15.95</v>
      </c>
      <c r="I1211">
        <v>0</v>
      </c>
      <c r="J1211">
        <v>0</v>
      </c>
      <c r="K1211">
        <v>0</v>
      </c>
      <c r="L1211">
        <v>7</v>
      </c>
      <c r="O1211">
        <v>7</v>
      </c>
      <c r="P1211">
        <v>4</v>
      </c>
      <c r="Q1211">
        <v>0</v>
      </c>
      <c r="R1211">
        <v>26.95</v>
      </c>
      <c r="S1211">
        <v>14</v>
      </c>
      <c r="T1211">
        <v>14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14</v>
      </c>
      <c r="AB1211">
        <v>0</v>
      </c>
      <c r="AC1211">
        <v>0</v>
      </c>
      <c r="AH1211">
        <v>40.950000000000003</v>
      </c>
    </row>
    <row r="1212" spans="1:34" x14ac:dyDescent="0.3">
      <c r="A1212" s="4">
        <v>1397</v>
      </c>
      <c r="B1212" s="5">
        <v>1205</v>
      </c>
      <c r="C1212">
        <v>9456</v>
      </c>
      <c r="D1212" t="s">
        <v>3570</v>
      </c>
      <c r="E1212" t="s">
        <v>1597</v>
      </c>
      <c r="F1212" t="s">
        <v>9291</v>
      </c>
      <c r="G1212" t="s">
        <v>32085</v>
      </c>
      <c r="H1212">
        <v>15.83</v>
      </c>
      <c r="I1212">
        <v>0</v>
      </c>
      <c r="J1212">
        <v>0</v>
      </c>
      <c r="K1212">
        <v>0</v>
      </c>
      <c r="N1212">
        <v>3</v>
      </c>
      <c r="O1212">
        <v>3</v>
      </c>
      <c r="P1212">
        <v>4</v>
      </c>
      <c r="Q1212">
        <v>2</v>
      </c>
      <c r="R1212">
        <v>24.83</v>
      </c>
      <c r="S1212">
        <v>16</v>
      </c>
      <c r="T1212">
        <v>16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16</v>
      </c>
      <c r="AB1212">
        <v>0</v>
      </c>
      <c r="AC1212">
        <v>0</v>
      </c>
      <c r="AH1212">
        <v>40.83</v>
      </c>
    </row>
    <row r="1213" spans="1:34" x14ac:dyDescent="0.3">
      <c r="A1213" s="4">
        <v>1398</v>
      </c>
      <c r="B1213" s="5">
        <v>1206</v>
      </c>
      <c r="C1213">
        <v>9797</v>
      </c>
      <c r="D1213" t="s">
        <v>28775</v>
      </c>
      <c r="E1213" t="s">
        <v>1331</v>
      </c>
      <c r="F1213" t="s">
        <v>81</v>
      </c>
      <c r="G1213" t="s">
        <v>28776</v>
      </c>
      <c r="H1213">
        <v>17.78</v>
      </c>
      <c r="I1213">
        <v>0</v>
      </c>
      <c r="J1213">
        <v>0</v>
      </c>
      <c r="K1213">
        <v>0</v>
      </c>
      <c r="N1213">
        <v>3</v>
      </c>
      <c r="O1213">
        <v>3</v>
      </c>
      <c r="P1213">
        <v>4</v>
      </c>
      <c r="Q1213">
        <v>0</v>
      </c>
      <c r="R1213">
        <v>24.78</v>
      </c>
      <c r="S1213">
        <v>16</v>
      </c>
      <c r="T1213">
        <v>16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16</v>
      </c>
      <c r="AB1213">
        <v>0</v>
      </c>
      <c r="AC1213">
        <v>0</v>
      </c>
      <c r="AH1213">
        <v>40.78</v>
      </c>
    </row>
    <row r="1214" spans="1:34" x14ac:dyDescent="0.3">
      <c r="A1214" s="4">
        <v>1399</v>
      </c>
      <c r="B1214" s="5">
        <v>1207</v>
      </c>
      <c r="C1214">
        <v>569</v>
      </c>
      <c r="D1214" t="s">
        <v>1538</v>
      </c>
      <c r="E1214" t="s">
        <v>738</v>
      </c>
      <c r="F1214" t="s">
        <v>1023</v>
      </c>
      <c r="G1214" t="s">
        <v>28777</v>
      </c>
      <c r="H1214">
        <v>18.75</v>
      </c>
      <c r="I1214">
        <v>0</v>
      </c>
      <c r="J1214">
        <v>0</v>
      </c>
      <c r="K1214">
        <v>0</v>
      </c>
      <c r="L1214">
        <v>7</v>
      </c>
      <c r="O1214">
        <v>7</v>
      </c>
      <c r="P1214">
        <v>4</v>
      </c>
      <c r="Q1214">
        <v>2</v>
      </c>
      <c r="R1214">
        <v>31.75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9</v>
      </c>
      <c r="AC1214">
        <v>0</v>
      </c>
      <c r="AH1214">
        <v>40.75</v>
      </c>
    </row>
    <row r="1215" spans="1:34" x14ac:dyDescent="0.3">
      <c r="A1215" s="4">
        <v>1400</v>
      </c>
      <c r="B1215" s="5">
        <v>1208</v>
      </c>
      <c r="C1215">
        <v>14895</v>
      </c>
      <c r="D1215" t="s">
        <v>28778</v>
      </c>
      <c r="E1215" t="s">
        <v>97</v>
      </c>
      <c r="F1215" t="s">
        <v>81</v>
      </c>
      <c r="G1215" t="s">
        <v>28779</v>
      </c>
      <c r="H1215">
        <v>16.68</v>
      </c>
      <c r="I1215">
        <v>0</v>
      </c>
      <c r="J1215">
        <v>0</v>
      </c>
      <c r="K1215">
        <v>0</v>
      </c>
      <c r="N1215">
        <v>3</v>
      </c>
      <c r="O1215">
        <v>3</v>
      </c>
      <c r="P1215">
        <v>4</v>
      </c>
      <c r="Q1215">
        <v>2</v>
      </c>
      <c r="R1215">
        <v>25.68</v>
      </c>
      <c r="S1215">
        <v>15</v>
      </c>
      <c r="T1215">
        <v>15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15</v>
      </c>
      <c r="AB1215">
        <v>0</v>
      </c>
      <c r="AC1215">
        <v>0</v>
      </c>
      <c r="AD1215" t="s">
        <v>130</v>
      </c>
      <c r="AH1215">
        <v>40.68</v>
      </c>
    </row>
    <row r="1216" spans="1:34" x14ac:dyDescent="0.3">
      <c r="A1216" s="4">
        <v>1401</v>
      </c>
      <c r="B1216" s="5">
        <v>1209</v>
      </c>
      <c r="C1216">
        <v>12949</v>
      </c>
      <c r="D1216" t="s">
        <v>28780</v>
      </c>
      <c r="E1216" t="s">
        <v>208</v>
      </c>
      <c r="F1216" t="s">
        <v>17</v>
      </c>
      <c r="G1216" t="s">
        <v>28781</v>
      </c>
      <c r="H1216">
        <v>16.649999999999999</v>
      </c>
      <c r="I1216">
        <v>0</v>
      </c>
      <c r="J1216">
        <v>0</v>
      </c>
      <c r="K1216">
        <v>0</v>
      </c>
      <c r="N1216">
        <v>3</v>
      </c>
      <c r="O1216">
        <v>3</v>
      </c>
      <c r="P1216">
        <v>4</v>
      </c>
      <c r="Q1216">
        <v>0</v>
      </c>
      <c r="R1216">
        <v>23.65</v>
      </c>
      <c r="S1216">
        <v>11</v>
      </c>
      <c r="T1216">
        <v>11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11</v>
      </c>
      <c r="AB1216">
        <v>6</v>
      </c>
      <c r="AC1216">
        <v>0</v>
      </c>
      <c r="AH1216">
        <v>40.65</v>
      </c>
    </row>
    <row r="1217" spans="1:34" x14ac:dyDescent="0.3">
      <c r="A1217" s="4">
        <v>1402</v>
      </c>
      <c r="B1217" s="5">
        <v>1210</v>
      </c>
      <c r="C1217">
        <v>9503</v>
      </c>
      <c r="D1217" t="s">
        <v>28782</v>
      </c>
      <c r="E1217" t="s">
        <v>219</v>
      </c>
      <c r="F1217" t="s">
        <v>190</v>
      </c>
      <c r="G1217" t="s">
        <v>28783</v>
      </c>
      <c r="H1217">
        <v>14.58</v>
      </c>
      <c r="I1217">
        <v>0</v>
      </c>
      <c r="J1217">
        <v>0</v>
      </c>
      <c r="K1217">
        <v>0</v>
      </c>
      <c r="M1217">
        <v>5</v>
      </c>
      <c r="O1217">
        <v>5</v>
      </c>
      <c r="P1217">
        <v>4</v>
      </c>
      <c r="Q1217">
        <v>2</v>
      </c>
      <c r="R1217">
        <v>25.58</v>
      </c>
      <c r="S1217">
        <v>6</v>
      </c>
      <c r="T1217">
        <v>6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6</v>
      </c>
      <c r="AB1217">
        <v>9</v>
      </c>
      <c r="AC1217">
        <v>0</v>
      </c>
      <c r="AH1217">
        <v>40.58</v>
      </c>
    </row>
    <row r="1218" spans="1:34" x14ac:dyDescent="0.3">
      <c r="A1218" s="4">
        <v>1403</v>
      </c>
      <c r="B1218" s="5">
        <v>1211</v>
      </c>
      <c r="C1218">
        <v>6592</v>
      </c>
      <c r="D1218" t="s">
        <v>22977</v>
      </c>
      <c r="E1218" t="s">
        <v>62</v>
      </c>
      <c r="F1218" t="s">
        <v>117</v>
      </c>
      <c r="G1218" t="s">
        <v>28784</v>
      </c>
      <c r="H1218">
        <v>17.579999999999998</v>
      </c>
      <c r="I1218">
        <v>0</v>
      </c>
      <c r="J1218">
        <v>0</v>
      </c>
      <c r="K1218">
        <v>0</v>
      </c>
      <c r="N1218">
        <v>3</v>
      </c>
      <c r="O1218">
        <v>3</v>
      </c>
      <c r="P1218">
        <v>4</v>
      </c>
      <c r="Q1218">
        <v>0</v>
      </c>
      <c r="R1218">
        <v>24.58</v>
      </c>
      <c r="S1218">
        <v>16</v>
      </c>
      <c r="T1218">
        <v>16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16</v>
      </c>
      <c r="AB1218">
        <v>0</v>
      </c>
      <c r="AC1218">
        <v>0</v>
      </c>
      <c r="AH1218">
        <v>40.58</v>
      </c>
    </row>
    <row r="1219" spans="1:34" x14ac:dyDescent="0.3">
      <c r="A1219" s="4">
        <v>1404</v>
      </c>
      <c r="B1219" s="5">
        <v>1212</v>
      </c>
      <c r="C1219">
        <v>6392</v>
      </c>
      <c r="D1219" t="s">
        <v>7172</v>
      </c>
      <c r="E1219" t="s">
        <v>1168</v>
      </c>
      <c r="F1219" t="s">
        <v>124</v>
      </c>
      <c r="G1219" t="s">
        <v>28785</v>
      </c>
      <c r="H1219">
        <v>16.53</v>
      </c>
      <c r="I1219">
        <v>0</v>
      </c>
      <c r="J1219">
        <v>0</v>
      </c>
      <c r="K1219">
        <v>0</v>
      </c>
      <c r="N1219">
        <v>3</v>
      </c>
      <c r="O1219">
        <v>3</v>
      </c>
      <c r="P1219">
        <v>4</v>
      </c>
      <c r="Q1219">
        <v>0</v>
      </c>
      <c r="R1219">
        <v>23.53</v>
      </c>
      <c r="S1219">
        <v>17</v>
      </c>
      <c r="T1219">
        <v>17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17</v>
      </c>
      <c r="AB1219">
        <v>0</v>
      </c>
      <c r="AC1219">
        <v>0</v>
      </c>
      <c r="AH1219">
        <v>40.53</v>
      </c>
    </row>
    <row r="1220" spans="1:34" x14ac:dyDescent="0.3">
      <c r="A1220" s="4">
        <v>1405</v>
      </c>
      <c r="B1220" s="5">
        <v>1213</v>
      </c>
      <c r="C1220">
        <v>10780</v>
      </c>
      <c r="D1220" t="s">
        <v>28786</v>
      </c>
      <c r="E1220" t="s">
        <v>258</v>
      </c>
      <c r="F1220" t="s">
        <v>136</v>
      </c>
      <c r="G1220" t="s">
        <v>28787</v>
      </c>
      <c r="H1220">
        <v>18.5</v>
      </c>
      <c r="I1220">
        <v>0</v>
      </c>
      <c r="J1220">
        <v>0</v>
      </c>
      <c r="K1220">
        <v>0</v>
      </c>
      <c r="L1220">
        <v>7</v>
      </c>
      <c r="O1220">
        <v>7</v>
      </c>
      <c r="P1220">
        <v>4</v>
      </c>
      <c r="Q1220">
        <v>2</v>
      </c>
      <c r="R1220">
        <v>31.5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9</v>
      </c>
      <c r="AC1220">
        <v>0</v>
      </c>
      <c r="AH1220">
        <v>40.5</v>
      </c>
    </row>
    <row r="1221" spans="1:34" x14ac:dyDescent="0.3">
      <c r="A1221" s="4">
        <v>1406</v>
      </c>
      <c r="B1221" s="5">
        <v>1214</v>
      </c>
      <c r="C1221">
        <v>15199</v>
      </c>
      <c r="D1221" t="s">
        <v>28788</v>
      </c>
      <c r="E1221" t="s">
        <v>2470</v>
      </c>
      <c r="F1221" t="s">
        <v>17</v>
      </c>
      <c r="G1221" t="s">
        <v>28789</v>
      </c>
      <c r="H1221">
        <v>17.5</v>
      </c>
      <c r="I1221">
        <v>0</v>
      </c>
      <c r="J1221">
        <v>0</v>
      </c>
      <c r="K1221">
        <v>0</v>
      </c>
      <c r="L1221">
        <v>7</v>
      </c>
      <c r="O1221">
        <v>7</v>
      </c>
      <c r="P1221">
        <v>4</v>
      </c>
      <c r="Q1221">
        <v>2</v>
      </c>
      <c r="R1221">
        <v>30.5</v>
      </c>
      <c r="S1221">
        <v>10</v>
      </c>
      <c r="T1221">
        <v>10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10</v>
      </c>
      <c r="AB1221">
        <v>0</v>
      </c>
      <c r="AC1221">
        <v>0</v>
      </c>
      <c r="AH1221">
        <v>40.5</v>
      </c>
    </row>
    <row r="1222" spans="1:34" x14ac:dyDescent="0.3">
      <c r="A1222" s="4">
        <v>1407</v>
      </c>
      <c r="B1222" s="5">
        <v>1215</v>
      </c>
      <c r="C1222">
        <v>11934</v>
      </c>
      <c r="D1222" t="s">
        <v>7050</v>
      </c>
      <c r="E1222" t="s">
        <v>338</v>
      </c>
      <c r="F1222" t="s">
        <v>158</v>
      </c>
      <c r="G1222" t="s">
        <v>28790</v>
      </c>
      <c r="H1222">
        <v>14.33</v>
      </c>
      <c r="I1222">
        <v>0</v>
      </c>
      <c r="J1222">
        <v>0</v>
      </c>
      <c r="K1222">
        <v>0</v>
      </c>
      <c r="N1222">
        <v>3</v>
      </c>
      <c r="O1222">
        <v>3</v>
      </c>
      <c r="P1222">
        <v>4</v>
      </c>
      <c r="Q1222">
        <v>2</v>
      </c>
      <c r="R1222">
        <v>23.33</v>
      </c>
      <c r="S1222">
        <v>17</v>
      </c>
      <c r="T1222">
        <v>17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17</v>
      </c>
      <c r="AB1222">
        <v>0</v>
      </c>
      <c r="AC1222">
        <v>0</v>
      </c>
      <c r="AH1222">
        <v>40.33</v>
      </c>
    </row>
    <row r="1223" spans="1:34" x14ac:dyDescent="0.3">
      <c r="A1223" s="4">
        <v>1408</v>
      </c>
      <c r="B1223" s="5">
        <v>1216</v>
      </c>
      <c r="C1223">
        <v>8553</v>
      </c>
      <c r="D1223" t="s">
        <v>28791</v>
      </c>
      <c r="E1223" t="s">
        <v>88</v>
      </c>
      <c r="F1223" t="s">
        <v>124</v>
      </c>
      <c r="G1223" t="s">
        <v>28792</v>
      </c>
      <c r="H1223">
        <v>19.18</v>
      </c>
      <c r="I1223">
        <v>0</v>
      </c>
      <c r="J1223">
        <v>0</v>
      </c>
      <c r="K1223">
        <v>0</v>
      </c>
      <c r="N1223">
        <v>3</v>
      </c>
      <c r="O1223">
        <v>3</v>
      </c>
      <c r="P1223">
        <v>4</v>
      </c>
      <c r="Q1223">
        <v>0</v>
      </c>
      <c r="R1223">
        <v>26.18</v>
      </c>
      <c r="S1223">
        <v>8</v>
      </c>
      <c r="T1223">
        <v>8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8</v>
      </c>
      <c r="AB1223">
        <v>6</v>
      </c>
      <c r="AC1223">
        <v>0</v>
      </c>
      <c r="AH1223">
        <v>40.18</v>
      </c>
    </row>
    <row r="1224" spans="1:34" x14ac:dyDescent="0.3">
      <c r="A1224" s="4">
        <v>1409</v>
      </c>
      <c r="B1224" s="5">
        <v>1217</v>
      </c>
      <c r="C1224">
        <v>13783</v>
      </c>
      <c r="D1224" t="s">
        <v>28793</v>
      </c>
      <c r="E1224" t="s">
        <v>9260</v>
      </c>
      <c r="F1224" t="s">
        <v>17</v>
      </c>
      <c r="G1224" t="s">
        <v>28794</v>
      </c>
      <c r="H1224">
        <v>16.149999999999999</v>
      </c>
      <c r="I1224">
        <v>0</v>
      </c>
      <c r="J1224">
        <v>0</v>
      </c>
      <c r="K1224">
        <v>20</v>
      </c>
      <c r="O1224">
        <v>0</v>
      </c>
      <c r="P1224">
        <v>4</v>
      </c>
      <c r="Q1224">
        <v>0</v>
      </c>
      <c r="R1224">
        <v>40.15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 t="s">
        <v>130</v>
      </c>
      <c r="AH1224">
        <v>40.15</v>
      </c>
    </row>
    <row r="1225" spans="1:34" x14ac:dyDescent="0.3">
      <c r="A1225" s="4">
        <v>1410</v>
      </c>
      <c r="B1225" s="5">
        <v>1218</v>
      </c>
      <c r="C1225">
        <v>10645</v>
      </c>
      <c r="D1225" t="s">
        <v>28795</v>
      </c>
      <c r="E1225" t="s">
        <v>26</v>
      </c>
      <c r="F1225" t="s">
        <v>17</v>
      </c>
      <c r="G1225" t="s">
        <v>28796</v>
      </c>
      <c r="H1225">
        <v>17.079999999999998</v>
      </c>
      <c r="I1225">
        <v>0</v>
      </c>
      <c r="J1225">
        <v>0</v>
      </c>
      <c r="K1225">
        <v>0</v>
      </c>
      <c r="N1225">
        <v>3</v>
      </c>
      <c r="O1225">
        <v>3</v>
      </c>
      <c r="P1225">
        <v>4</v>
      </c>
      <c r="Q1225">
        <v>2</v>
      </c>
      <c r="R1225">
        <v>26.08</v>
      </c>
      <c r="S1225">
        <v>8</v>
      </c>
      <c r="T1225">
        <v>8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8</v>
      </c>
      <c r="AB1225">
        <v>6</v>
      </c>
      <c r="AC1225">
        <v>0</v>
      </c>
      <c r="AH1225">
        <v>40.08</v>
      </c>
    </row>
    <row r="1226" spans="1:34" x14ac:dyDescent="0.3">
      <c r="A1226" s="4">
        <v>1411</v>
      </c>
      <c r="B1226" s="5">
        <v>1219</v>
      </c>
      <c r="C1226">
        <v>15330</v>
      </c>
      <c r="D1226" t="s">
        <v>7050</v>
      </c>
      <c r="E1226" t="s">
        <v>213</v>
      </c>
      <c r="F1226" t="s">
        <v>81</v>
      </c>
      <c r="G1226" t="s">
        <v>28797</v>
      </c>
      <c r="H1226">
        <v>20</v>
      </c>
      <c r="I1226">
        <v>0</v>
      </c>
      <c r="J1226">
        <v>0</v>
      </c>
      <c r="K1226">
        <v>0</v>
      </c>
      <c r="L1226">
        <v>7</v>
      </c>
      <c r="N1226">
        <v>3</v>
      </c>
      <c r="O1226">
        <v>10</v>
      </c>
      <c r="P1226">
        <v>4</v>
      </c>
      <c r="Q1226">
        <v>0</v>
      </c>
      <c r="R1226">
        <v>34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6</v>
      </c>
      <c r="AC1226">
        <v>0</v>
      </c>
      <c r="AH1226">
        <v>40</v>
      </c>
    </row>
    <row r="1227" spans="1:34" x14ac:dyDescent="0.3">
      <c r="A1227" s="4">
        <v>1412</v>
      </c>
      <c r="B1227" s="5">
        <v>1220</v>
      </c>
      <c r="C1227">
        <v>11238</v>
      </c>
      <c r="D1227" t="s">
        <v>28798</v>
      </c>
      <c r="E1227" t="s">
        <v>14373</v>
      </c>
      <c r="F1227" t="s">
        <v>38</v>
      </c>
      <c r="G1227" t="s">
        <v>28799</v>
      </c>
      <c r="H1227">
        <v>16</v>
      </c>
      <c r="I1227">
        <v>0</v>
      </c>
      <c r="J1227">
        <v>0</v>
      </c>
      <c r="K1227">
        <v>0</v>
      </c>
      <c r="L1227">
        <v>7</v>
      </c>
      <c r="O1227">
        <v>7</v>
      </c>
      <c r="P1227">
        <v>4</v>
      </c>
      <c r="Q1227">
        <v>2</v>
      </c>
      <c r="R1227">
        <v>29</v>
      </c>
      <c r="S1227">
        <v>8</v>
      </c>
      <c r="T1227">
        <v>8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8</v>
      </c>
      <c r="AB1227">
        <v>3</v>
      </c>
      <c r="AC1227">
        <v>0</v>
      </c>
      <c r="AD1227" t="s">
        <v>130</v>
      </c>
      <c r="AH1227">
        <v>40</v>
      </c>
    </row>
    <row r="1228" spans="1:34" x14ac:dyDescent="0.3">
      <c r="A1228" s="4">
        <v>1413</v>
      </c>
      <c r="B1228" s="5">
        <v>1221</v>
      </c>
      <c r="C1228">
        <v>10355</v>
      </c>
      <c r="D1228" t="s">
        <v>28800</v>
      </c>
      <c r="E1228" t="s">
        <v>26</v>
      </c>
      <c r="F1228" t="s">
        <v>570</v>
      </c>
      <c r="G1228" t="s">
        <v>28801</v>
      </c>
      <c r="H1228">
        <v>16.98</v>
      </c>
      <c r="I1228">
        <v>0</v>
      </c>
      <c r="J1228">
        <v>0</v>
      </c>
      <c r="K1228">
        <v>0</v>
      </c>
      <c r="N1228">
        <v>3</v>
      </c>
      <c r="O1228">
        <v>3</v>
      </c>
      <c r="P1228">
        <v>4</v>
      </c>
      <c r="Q1228">
        <v>2</v>
      </c>
      <c r="R1228">
        <v>25.98</v>
      </c>
      <c r="S1228">
        <v>14</v>
      </c>
      <c r="T1228">
        <v>14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14</v>
      </c>
      <c r="AB1228">
        <v>0</v>
      </c>
      <c r="AC1228">
        <v>0</v>
      </c>
      <c r="AH1228">
        <v>39.979999999999997</v>
      </c>
    </row>
    <row r="1229" spans="1:34" x14ac:dyDescent="0.3">
      <c r="A1229" s="4">
        <v>1414</v>
      </c>
      <c r="B1229" s="5">
        <v>1222</v>
      </c>
      <c r="C1229">
        <v>7895</v>
      </c>
      <c r="D1229" t="s">
        <v>1244</v>
      </c>
      <c r="E1229" t="s">
        <v>161</v>
      </c>
      <c r="F1229" t="s">
        <v>68</v>
      </c>
      <c r="G1229" t="s">
        <v>28802</v>
      </c>
      <c r="H1229">
        <v>15.65</v>
      </c>
      <c r="I1229">
        <v>0</v>
      </c>
      <c r="J1229">
        <v>0</v>
      </c>
      <c r="K1229">
        <v>0</v>
      </c>
      <c r="O1229">
        <v>0</v>
      </c>
      <c r="P1229">
        <v>4</v>
      </c>
      <c r="Q1229">
        <v>2</v>
      </c>
      <c r="R1229">
        <v>21.65</v>
      </c>
      <c r="S1229">
        <v>18</v>
      </c>
      <c r="T1229">
        <v>18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18</v>
      </c>
      <c r="AB1229">
        <v>0</v>
      </c>
      <c r="AC1229">
        <v>0</v>
      </c>
      <c r="AH1229">
        <v>39.65</v>
      </c>
    </row>
    <row r="1230" spans="1:34" x14ac:dyDescent="0.3">
      <c r="A1230" s="4">
        <v>1415</v>
      </c>
      <c r="B1230" s="5">
        <v>1223</v>
      </c>
      <c r="C1230">
        <v>10551</v>
      </c>
      <c r="D1230" t="s">
        <v>20744</v>
      </c>
      <c r="E1230" t="s">
        <v>11853</v>
      </c>
      <c r="F1230" t="s">
        <v>158</v>
      </c>
      <c r="G1230" t="s">
        <v>28803</v>
      </c>
      <c r="H1230">
        <v>16.55</v>
      </c>
      <c r="I1230">
        <v>0</v>
      </c>
      <c r="J1230">
        <v>0</v>
      </c>
      <c r="K1230">
        <v>0</v>
      </c>
      <c r="N1230">
        <v>3</v>
      </c>
      <c r="O1230">
        <v>3</v>
      </c>
      <c r="P1230">
        <v>0</v>
      </c>
      <c r="Q1230">
        <v>0</v>
      </c>
      <c r="R1230">
        <v>19.55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20</v>
      </c>
      <c r="AH1230">
        <v>39.549999999999997</v>
      </c>
    </row>
    <row r="1231" spans="1:34" x14ac:dyDescent="0.3">
      <c r="A1231" s="4">
        <v>1416</v>
      </c>
      <c r="B1231" s="5">
        <v>1224</v>
      </c>
      <c r="C1231">
        <v>8610</v>
      </c>
      <c r="D1231" t="s">
        <v>28804</v>
      </c>
      <c r="E1231" t="s">
        <v>88</v>
      </c>
      <c r="F1231" t="s">
        <v>38</v>
      </c>
      <c r="G1231" t="s">
        <v>28805</v>
      </c>
      <c r="H1231">
        <v>18.5</v>
      </c>
      <c r="I1231">
        <v>0</v>
      </c>
      <c r="J1231">
        <v>0</v>
      </c>
      <c r="K1231">
        <v>0</v>
      </c>
      <c r="N1231">
        <v>3</v>
      </c>
      <c r="O1231">
        <v>3</v>
      </c>
      <c r="P1231">
        <v>4</v>
      </c>
      <c r="Q1231">
        <v>2</v>
      </c>
      <c r="R1231">
        <v>27.5</v>
      </c>
      <c r="S1231">
        <v>6</v>
      </c>
      <c r="T1231">
        <v>6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6</v>
      </c>
      <c r="AB1231">
        <v>6</v>
      </c>
      <c r="AC1231">
        <v>0</v>
      </c>
      <c r="AH1231">
        <v>39.5</v>
      </c>
    </row>
    <row r="1232" spans="1:34" x14ac:dyDescent="0.3">
      <c r="A1232" s="4">
        <v>1417</v>
      </c>
      <c r="B1232" s="5">
        <v>1225</v>
      </c>
      <c r="C1232">
        <v>15654</v>
      </c>
      <c r="D1232" t="s">
        <v>28806</v>
      </c>
      <c r="E1232" t="s">
        <v>170</v>
      </c>
      <c r="F1232" t="s">
        <v>38</v>
      </c>
      <c r="G1232" t="s">
        <v>28807</v>
      </c>
      <c r="H1232">
        <v>18.45</v>
      </c>
      <c r="I1232">
        <v>0</v>
      </c>
      <c r="J1232">
        <v>0</v>
      </c>
      <c r="K1232">
        <v>0</v>
      </c>
      <c r="N1232">
        <v>3</v>
      </c>
      <c r="O1232">
        <v>3</v>
      </c>
      <c r="P1232">
        <v>4</v>
      </c>
      <c r="Q1232">
        <v>2</v>
      </c>
      <c r="R1232">
        <v>27.45</v>
      </c>
      <c r="S1232">
        <v>9</v>
      </c>
      <c r="T1232">
        <v>9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9</v>
      </c>
      <c r="AB1232">
        <v>3</v>
      </c>
      <c r="AC1232">
        <v>0</v>
      </c>
      <c r="AH1232">
        <v>39.450000000000003</v>
      </c>
    </row>
    <row r="1233" spans="1:34" x14ac:dyDescent="0.3">
      <c r="A1233" s="4">
        <v>1418</v>
      </c>
      <c r="B1233" s="5">
        <v>1226</v>
      </c>
      <c r="C1233">
        <v>8492</v>
      </c>
      <c r="D1233" t="s">
        <v>7073</v>
      </c>
      <c r="E1233" t="s">
        <v>219</v>
      </c>
      <c r="F1233" t="s">
        <v>17</v>
      </c>
      <c r="G1233" t="s">
        <v>28808</v>
      </c>
      <c r="H1233">
        <v>21.43</v>
      </c>
      <c r="I1233">
        <v>0</v>
      </c>
      <c r="J1233">
        <v>0</v>
      </c>
      <c r="K1233">
        <v>0</v>
      </c>
      <c r="N1233">
        <v>6</v>
      </c>
      <c r="O1233">
        <v>6</v>
      </c>
      <c r="P1233">
        <v>4</v>
      </c>
      <c r="Q1233">
        <v>2</v>
      </c>
      <c r="R1233">
        <v>33.43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6</v>
      </c>
      <c r="AC1233">
        <v>0</v>
      </c>
      <c r="AH1233">
        <v>39.43</v>
      </c>
    </row>
    <row r="1234" spans="1:34" x14ac:dyDescent="0.3">
      <c r="A1234" s="4">
        <v>1419</v>
      </c>
      <c r="B1234" s="5">
        <v>1227</v>
      </c>
      <c r="C1234">
        <v>12829</v>
      </c>
      <c r="D1234" t="s">
        <v>1323</v>
      </c>
      <c r="E1234" t="s">
        <v>132</v>
      </c>
      <c r="F1234" t="s">
        <v>62</v>
      </c>
      <c r="G1234" t="s">
        <v>28809</v>
      </c>
      <c r="H1234">
        <v>19.399999999999999</v>
      </c>
      <c r="I1234">
        <v>0</v>
      </c>
      <c r="J1234">
        <v>0</v>
      </c>
      <c r="K1234">
        <v>20</v>
      </c>
      <c r="O1234">
        <v>0</v>
      </c>
      <c r="P1234">
        <v>0</v>
      </c>
      <c r="Q1234">
        <v>0</v>
      </c>
      <c r="R1234">
        <v>39.4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H1234">
        <v>39.4</v>
      </c>
    </row>
    <row r="1235" spans="1:34" x14ac:dyDescent="0.3">
      <c r="A1235" s="4">
        <v>1420</v>
      </c>
      <c r="B1235" s="5">
        <v>1228</v>
      </c>
      <c r="C1235">
        <v>7853</v>
      </c>
      <c r="D1235" t="s">
        <v>28810</v>
      </c>
      <c r="E1235" t="s">
        <v>17</v>
      </c>
      <c r="F1235" t="s">
        <v>2598</v>
      </c>
      <c r="G1235" t="s">
        <v>28811</v>
      </c>
      <c r="H1235">
        <v>18.399999999999999</v>
      </c>
      <c r="I1235">
        <v>0</v>
      </c>
      <c r="J1235">
        <v>0</v>
      </c>
      <c r="K1235">
        <v>0</v>
      </c>
      <c r="M1235">
        <v>5</v>
      </c>
      <c r="O1235">
        <v>5</v>
      </c>
      <c r="P1235">
        <v>4</v>
      </c>
      <c r="Q1235">
        <v>0</v>
      </c>
      <c r="R1235">
        <v>27.4</v>
      </c>
      <c r="S1235">
        <v>12</v>
      </c>
      <c r="T1235">
        <v>12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12</v>
      </c>
      <c r="AB1235">
        <v>0</v>
      </c>
      <c r="AC1235">
        <v>0</v>
      </c>
      <c r="AH1235">
        <v>39.4</v>
      </c>
    </row>
    <row r="1236" spans="1:34" x14ac:dyDescent="0.3">
      <c r="A1236" s="4">
        <v>1421</v>
      </c>
      <c r="B1236" s="5">
        <v>1229</v>
      </c>
      <c r="C1236">
        <v>5031</v>
      </c>
      <c r="D1236" t="s">
        <v>7270</v>
      </c>
      <c r="E1236" t="s">
        <v>178</v>
      </c>
      <c r="F1236" t="s">
        <v>34</v>
      </c>
      <c r="G1236" t="s">
        <v>28812</v>
      </c>
      <c r="H1236">
        <v>16.399999999999999</v>
      </c>
      <c r="I1236">
        <v>0</v>
      </c>
      <c r="J1236">
        <v>0</v>
      </c>
      <c r="K1236">
        <v>0</v>
      </c>
      <c r="N1236">
        <v>3</v>
      </c>
      <c r="O1236">
        <v>3</v>
      </c>
      <c r="P1236">
        <v>4</v>
      </c>
      <c r="Q1236">
        <v>2</v>
      </c>
      <c r="R1236">
        <v>25.4</v>
      </c>
      <c r="S1236">
        <v>14</v>
      </c>
      <c r="T1236">
        <v>14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14</v>
      </c>
      <c r="AB1236">
        <v>0</v>
      </c>
      <c r="AC1236">
        <v>0</v>
      </c>
      <c r="AH1236">
        <v>39.4</v>
      </c>
    </row>
    <row r="1237" spans="1:34" x14ac:dyDescent="0.3">
      <c r="A1237" s="4">
        <v>1422</v>
      </c>
      <c r="B1237" s="5">
        <v>1230</v>
      </c>
      <c r="C1237">
        <v>2452</v>
      </c>
      <c r="D1237" t="s">
        <v>28813</v>
      </c>
      <c r="E1237" t="s">
        <v>29</v>
      </c>
      <c r="F1237" t="s">
        <v>17</v>
      </c>
      <c r="G1237" t="s">
        <v>28814</v>
      </c>
      <c r="H1237">
        <v>16.38</v>
      </c>
      <c r="I1237">
        <v>0</v>
      </c>
      <c r="J1237">
        <v>0</v>
      </c>
      <c r="K1237">
        <v>0</v>
      </c>
      <c r="N1237">
        <v>3</v>
      </c>
      <c r="O1237">
        <v>3</v>
      </c>
      <c r="P1237">
        <v>4</v>
      </c>
      <c r="Q1237">
        <v>2</v>
      </c>
      <c r="R1237">
        <v>25.38</v>
      </c>
      <c r="S1237">
        <v>8</v>
      </c>
      <c r="T1237">
        <v>8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8</v>
      </c>
      <c r="AB1237">
        <v>6</v>
      </c>
      <c r="AC1237">
        <v>0</v>
      </c>
      <c r="AH1237">
        <v>39.380000000000003</v>
      </c>
    </row>
    <row r="1238" spans="1:34" x14ac:dyDescent="0.3">
      <c r="A1238" s="4">
        <v>1423</v>
      </c>
      <c r="B1238" s="5">
        <v>1231</v>
      </c>
      <c r="C1238">
        <v>8939</v>
      </c>
      <c r="D1238" t="s">
        <v>28815</v>
      </c>
      <c r="E1238" t="s">
        <v>110</v>
      </c>
      <c r="F1238" t="s">
        <v>62</v>
      </c>
      <c r="G1238" t="s">
        <v>28816</v>
      </c>
      <c r="H1238">
        <v>15.28</v>
      </c>
      <c r="I1238">
        <v>0</v>
      </c>
      <c r="J1238">
        <v>0</v>
      </c>
      <c r="K1238">
        <v>0</v>
      </c>
      <c r="L1238">
        <v>7</v>
      </c>
      <c r="O1238">
        <v>7</v>
      </c>
      <c r="P1238">
        <v>4</v>
      </c>
      <c r="Q1238">
        <v>2</v>
      </c>
      <c r="R1238">
        <v>28.28</v>
      </c>
      <c r="S1238">
        <v>11</v>
      </c>
      <c r="T1238">
        <v>11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11</v>
      </c>
      <c r="AB1238">
        <v>0</v>
      </c>
      <c r="AC1238">
        <v>0</v>
      </c>
      <c r="AD1238" t="s">
        <v>130</v>
      </c>
      <c r="AH1238">
        <v>39.28</v>
      </c>
    </row>
    <row r="1239" spans="1:34" x14ac:dyDescent="0.3">
      <c r="A1239" s="4">
        <v>1424</v>
      </c>
      <c r="B1239" s="5">
        <v>1232</v>
      </c>
      <c r="C1239">
        <v>14099</v>
      </c>
      <c r="D1239" t="s">
        <v>28817</v>
      </c>
      <c r="E1239" t="s">
        <v>33</v>
      </c>
      <c r="F1239" t="s">
        <v>17</v>
      </c>
      <c r="G1239" t="s">
        <v>28818</v>
      </c>
      <c r="H1239">
        <v>16.13</v>
      </c>
      <c r="I1239">
        <v>0</v>
      </c>
      <c r="J1239">
        <v>0</v>
      </c>
      <c r="K1239">
        <v>0</v>
      </c>
      <c r="N1239">
        <v>3</v>
      </c>
      <c r="O1239">
        <v>3</v>
      </c>
      <c r="P1239">
        <v>0</v>
      </c>
      <c r="Q1239">
        <v>2</v>
      </c>
      <c r="R1239">
        <v>21.13</v>
      </c>
      <c r="S1239">
        <v>18</v>
      </c>
      <c r="T1239">
        <v>18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18</v>
      </c>
      <c r="AB1239">
        <v>0</v>
      </c>
      <c r="AC1239">
        <v>0</v>
      </c>
      <c r="AH1239">
        <v>39.130000000000003</v>
      </c>
    </row>
    <row r="1240" spans="1:34" x14ac:dyDescent="0.3">
      <c r="A1240" s="4">
        <v>1425</v>
      </c>
      <c r="B1240" s="5">
        <v>1233</v>
      </c>
      <c r="C1240">
        <v>15600</v>
      </c>
      <c r="D1240" t="s">
        <v>28819</v>
      </c>
      <c r="E1240" t="s">
        <v>28820</v>
      </c>
      <c r="F1240" t="s">
        <v>136</v>
      </c>
      <c r="G1240" t="s">
        <v>28821</v>
      </c>
      <c r="H1240">
        <v>18.98</v>
      </c>
      <c r="I1240">
        <v>0</v>
      </c>
      <c r="J1240">
        <v>0</v>
      </c>
      <c r="K1240">
        <v>0</v>
      </c>
      <c r="L1240">
        <v>7</v>
      </c>
      <c r="N1240">
        <v>3</v>
      </c>
      <c r="O1240">
        <v>10</v>
      </c>
      <c r="P1240">
        <v>4</v>
      </c>
      <c r="Q1240">
        <v>0</v>
      </c>
      <c r="R1240">
        <v>32.979999999999997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6</v>
      </c>
      <c r="AC1240">
        <v>0</v>
      </c>
      <c r="AH1240">
        <v>38.979999999999997</v>
      </c>
    </row>
    <row r="1241" spans="1:34" x14ac:dyDescent="0.3">
      <c r="A1241" s="4">
        <v>1426</v>
      </c>
      <c r="B1241" s="5">
        <v>1234</v>
      </c>
      <c r="C1241">
        <v>6784</v>
      </c>
      <c r="D1241" t="s">
        <v>2484</v>
      </c>
      <c r="E1241" t="s">
        <v>13</v>
      </c>
      <c r="F1241" t="s">
        <v>17</v>
      </c>
      <c r="G1241" t="s">
        <v>28822</v>
      </c>
      <c r="H1241">
        <v>20.85</v>
      </c>
      <c r="I1241">
        <v>7</v>
      </c>
      <c r="J1241">
        <v>0</v>
      </c>
      <c r="K1241">
        <v>0</v>
      </c>
      <c r="L1241">
        <v>7</v>
      </c>
      <c r="O1241">
        <v>7</v>
      </c>
      <c r="P1241">
        <v>4</v>
      </c>
      <c r="Q1241">
        <v>0</v>
      </c>
      <c r="R1241">
        <v>38.85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H1241">
        <v>38.85</v>
      </c>
    </row>
    <row r="1242" spans="1:34" x14ac:dyDescent="0.3">
      <c r="A1242" s="4">
        <v>1427</v>
      </c>
      <c r="B1242" s="5">
        <v>1235</v>
      </c>
      <c r="C1242">
        <v>5235</v>
      </c>
      <c r="D1242" t="s">
        <v>22287</v>
      </c>
      <c r="E1242" t="s">
        <v>178</v>
      </c>
      <c r="F1242" t="s">
        <v>15108</v>
      </c>
      <c r="G1242" t="s">
        <v>28823</v>
      </c>
      <c r="H1242">
        <v>17.78</v>
      </c>
      <c r="I1242">
        <v>0</v>
      </c>
      <c r="J1242">
        <v>0</v>
      </c>
      <c r="K1242">
        <v>0</v>
      </c>
      <c r="N1242">
        <v>6</v>
      </c>
      <c r="O1242">
        <v>6</v>
      </c>
      <c r="P1242">
        <v>4</v>
      </c>
      <c r="Q1242">
        <v>0</v>
      </c>
      <c r="R1242">
        <v>27.78</v>
      </c>
      <c r="S1242">
        <v>8</v>
      </c>
      <c r="T1242">
        <v>8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8</v>
      </c>
      <c r="AB1242">
        <v>3</v>
      </c>
      <c r="AC1242">
        <v>0</v>
      </c>
      <c r="AH1242">
        <v>38.78</v>
      </c>
    </row>
    <row r="1243" spans="1:34" x14ac:dyDescent="0.3">
      <c r="A1243" s="4">
        <v>1428</v>
      </c>
      <c r="B1243" s="5">
        <v>1236</v>
      </c>
      <c r="C1243">
        <v>1311</v>
      </c>
      <c r="D1243" t="s">
        <v>3223</v>
      </c>
      <c r="E1243" t="s">
        <v>1576</v>
      </c>
      <c r="F1243" t="s">
        <v>259</v>
      </c>
      <c r="G1243" t="s">
        <v>28824</v>
      </c>
      <c r="H1243">
        <v>19.68</v>
      </c>
      <c r="I1243">
        <v>0</v>
      </c>
      <c r="J1243">
        <v>0</v>
      </c>
      <c r="K1243">
        <v>0</v>
      </c>
      <c r="N1243">
        <v>6</v>
      </c>
      <c r="O1243">
        <v>6</v>
      </c>
      <c r="P1243">
        <v>4</v>
      </c>
      <c r="Q1243">
        <v>0</v>
      </c>
      <c r="R1243">
        <v>29.68</v>
      </c>
      <c r="S1243">
        <v>3</v>
      </c>
      <c r="T1243">
        <v>3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3</v>
      </c>
      <c r="AB1243">
        <v>6</v>
      </c>
      <c r="AC1243">
        <v>0</v>
      </c>
      <c r="AH1243">
        <v>38.68</v>
      </c>
    </row>
    <row r="1244" spans="1:34" x14ac:dyDescent="0.3">
      <c r="A1244" s="4">
        <v>1429</v>
      </c>
      <c r="B1244" s="5">
        <v>1237</v>
      </c>
      <c r="C1244">
        <v>6331</v>
      </c>
      <c r="D1244" t="s">
        <v>1299</v>
      </c>
      <c r="E1244" t="s">
        <v>161</v>
      </c>
      <c r="F1244" t="s">
        <v>259</v>
      </c>
      <c r="G1244" t="s">
        <v>28825</v>
      </c>
      <c r="H1244">
        <v>15.58</v>
      </c>
      <c r="I1244">
        <v>0</v>
      </c>
      <c r="J1244">
        <v>0</v>
      </c>
      <c r="K1244">
        <v>0</v>
      </c>
      <c r="L1244">
        <v>7</v>
      </c>
      <c r="O1244">
        <v>7</v>
      </c>
      <c r="P1244">
        <v>4</v>
      </c>
      <c r="Q1244">
        <v>2</v>
      </c>
      <c r="R1244">
        <v>28.58</v>
      </c>
      <c r="S1244">
        <v>10</v>
      </c>
      <c r="T1244">
        <v>10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10</v>
      </c>
      <c r="AB1244">
        <v>0</v>
      </c>
      <c r="AC1244">
        <v>0</v>
      </c>
      <c r="AD1244" t="s">
        <v>130</v>
      </c>
      <c r="AH1244">
        <v>38.58</v>
      </c>
    </row>
    <row r="1245" spans="1:34" x14ac:dyDescent="0.3">
      <c r="A1245" s="4">
        <v>1430</v>
      </c>
      <c r="B1245" s="5">
        <v>1238</v>
      </c>
      <c r="C1245">
        <v>10256</v>
      </c>
      <c r="D1245" t="s">
        <v>18293</v>
      </c>
      <c r="E1245" t="s">
        <v>170</v>
      </c>
      <c r="F1245" t="s">
        <v>38</v>
      </c>
      <c r="G1245" t="s">
        <v>28826</v>
      </c>
      <c r="H1245">
        <v>18.55</v>
      </c>
      <c r="I1245">
        <v>0</v>
      </c>
      <c r="J1245">
        <v>0</v>
      </c>
      <c r="K1245">
        <v>0</v>
      </c>
      <c r="M1245">
        <v>5</v>
      </c>
      <c r="O1245">
        <v>5</v>
      </c>
      <c r="P1245">
        <v>4</v>
      </c>
      <c r="Q1245">
        <v>0</v>
      </c>
      <c r="R1245">
        <v>27.55</v>
      </c>
      <c r="S1245">
        <v>8</v>
      </c>
      <c r="T1245">
        <v>8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8</v>
      </c>
      <c r="AB1245">
        <v>3</v>
      </c>
      <c r="AC1245">
        <v>0</v>
      </c>
      <c r="AH1245">
        <v>38.549999999999997</v>
      </c>
    </row>
    <row r="1246" spans="1:34" x14ac:dyDescent="0.3">
      <c r="A1246" s="4">
        <v>1431</v>
      </c>
      <c r="B1246" s="5">
        <v>1239</v>
      </c>
      <c r="C1246">
        <v>9459</v>
      </c>
      <c r="D1246" t="s">
        <v>7206</v>
      </c>
      <c r="E1246" t="s">
        <v>10853</v>
      </c>
      <c r="F1246" t="s">
        <v>68</v>
      </c>
      <c r="G1246" t="s">
        <v>28827</v>
      </c>
      <c r="H1246">
        <v>18.399999999999999</v>
      </c>
      <c r="I1246">
        <v>7</v>
      </c>
      <c r="J1246">
        <v>0</v>
      </c>
      <c r="K1246">
        <v>0</v>
      </c>
      <c r="L1246">
        <v>7</v>
      </c>
      <c r="O1246">
        <v>7</v>
      </c>
      <c r="P1246">
        <v>4</v>
      </c>
      <c r="Q1246">
        <v>2</v>
      </c>
      <c r="R1246">
        <v>38.4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H1246">
        <v>38.4</v>
      </c>
    </row>
    <row r="1247" spans="1:34" x14ac:dyDescent="0.3">
      <c r="A1247" s="4">
        <v>1432</v>
      </c>
      <c r="B1247" s="5">
        <v>1240</v>
      </c>
      <c r="C1247">
        <v>8024</v>
      </c>
      <c r="D1247" t="s">
        <v>267</v>
      </c>
      <c r="E1247" t="s">
        <v>182</v>
      </c>
      <c r="F1247" t="s">
        <v>17</v>
      </c>
      <c r="G1247" t="s">
        <v>28828</v>
      </c>
      <c r="H1247">
        <v>16.38</v>
      </c>
      <c r="I1247">
        <v>0</v>
      </c>
      <c r="J1247">
        <v>0</v>
      </c>
      <c r="K1247">
        <v>0</v>
      </c>
      <c r="N1247">
        <v>3</v>
      </c>
      <c r="O1247">
        <v>3</v>
      </c>
      <c r="P1247">
        <v>4</v>
      </c>
      <c r="Q1247">
        <v>0</v>
      </c>
      <c r="R1247">
        <v>23.38</v>
      </c>
      <c r="S1247">
        <v>15</v>
      </c>
      <c r="T1247">
        <v>15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15</v>
      </c>
      <c r="AB1247">
        <v>0</v>
      </c>
      <c r="AC1247">
        <v>0</v>
      </c>
      <c r="AD1247" t="s">
        <v>130</v>
      </c>
      <c r="AH1247">
        <v>38.380000000000003</v>
      </c>
    </row>
    <row r="1248" spans="1:34" x14ac:dyDescent="0.3">
      <c r="A1248" s="4">
        <v>1433</v>
      </c>
      <c r="B1248" s="5">
        <v>1241</v>
      </c>
      <c r="C1248">
        <v>3539</v>
      </c>
      <c r="D1248" t="s">
        <v>28829</v>
      </c>
      <c r="E1248" t="s">
        <v>255</v>
      </c>
      <c r="F1248" t="s">
        <v>17</v>
      </c>
      <c r="G1248" t="s">
        <v>28830</v>
      </c>
      <c r="H1248">
        <v>17.25</v>
      </c>
      <c r="I1248">
        <v>0</v>
      </c>
      <c r="J1248">
        <v>0</v>
      </c>
      <c r="K1248">
        <v>0</v>
      </c>
      <c r="N1248">
        <v>3</v>
      </c>
      <c r="O1248">
        <v>3</v>
      </c>
      <c r="P1248">
        <v>4</v>
      </c>
      <c r="Q1248">
        <v>0</v>
      </c>
      <c r="R1248">
        <v>24.25</v>
      </c>
      <c r="S1248">
        <v>14</v>
      </c>
      <c r="T1248">
        <v>14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14</v>
      </c>
      <c r="AB1248">
        <v>0</v>
      </c>
      <c r="AC1248">
        <v>0</v>
      </c>
      <c r="AH1248">
        <v>38.25</v>
      </c>
    </row>
    <row r="1249" spans="1:34" x14ac:dyDescent="0.3">
      <c r="A1249" s="4">
        <v>1434</v>
      </c>
      <c r="B1249" s="5">
        <v>1242</v>
      </c>
      <c r="C1249">
        <v>8411</v>
      </c>
      <c r="D1249" t="s">
        <v>165</v>
      </c>
      <c r="E1249" t="s">
        <v>29</v>
      </c>
      <c r="F1249" t="s">
        <v>81</v>
      </c>
      <c r="G1249" t="s">
        <v>28831</v>
      </c>
      <c r="H1249">
        <v>18.2</v>
      </c>
      <c r="I1249">
        <v>0</v>
      </c>
      <c r="J1249">
        <v>0</v>
      </c>
      <c r="K1249">
        <v>0</v>
      </c>
      <c r="L1249">
        <v>7</v>
      </c>
      <c r="N1249">
        <v>3</v>
      </c>
      <c r="O1249">
        <v>10</v>
      </c>
      <c r="P1249">
        <v>4</v>
      </c>
      <c r="Q1249">
        <v>0</v>
      </c>
      <c r="R1249">
        <v>32.200000000000003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6</v>
      </c>
      <c r="AC1249">
        <v>0</v>
      </c>
      <c r="AH1249">
        <v>38.200000000000003</v>
      </c>
    </row>
    <row r="1250" spans="1:34" x14ac:dyDescent="0.3">
      <c r="A1250" s="4">
        <v>1435</v>
      </c>
      <c r="B1250" s="5">
        <v>1243</v>
      </c>
      <c r="C1250">
        <v>14333</v>
      </c>
      <c r="D1250" t="s">
        <v>7463</v>
      </c>
      <c r="E1250" t="s">
        <v>861</v>
      </c>
      <c r="F1250" t="s">
        <v>457</v>
      </c>
      <c r="G1250" t="s">
        <v>28832</v>
      </c>
      <c r="H1250">
        <v>18.149999999999999</v>
      </c>
      <c r="I1250">
        <v>0</v>
      </c>
      <c r="J1250">
        <v>0</v>
      </c>
      <c r="K1250">
        <v>0</v>
      </c>
      <c r="L1250">
        <v>7</v>
      </c>
      <c r="N1250">
        <v>3</v>
      </c>
      <c r="O1250">
        <v>10</v>
      </c>
      <c r="P1250">
        <v>4</v>
      </c>
      <c r="Q1250">
        <v>0</v>
      </c>
      <c r="R1250">
        <v>32.15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6</v>
      </c>
      <c r="AC1250">
        <v>0</v>
      </c>
      <c r="AH1250">
        <v>38.15</v>
      </c>
    </row>
    <row r="1251" spans="1:34" x14ac:dyDescent="0.3">
      <c r="A1251" s="4">
        <v>1436</v>
      </c>
      <c r="B1251" s="5">
        <v>1244</v>
      </c>
      <c r="C1251">
        <v>9270</v>
      </c>
      <c r="D1251" t="s">
        <v>28833</v>
      </c>
      <c r="E1251" t="s">
        <v>29</v>
      </c>
      <c r="F1251" t="s">
        <v>38</v>
      </c>
      <c r="G1251" t="s">
        <v>28834</v>
      </c>
      <c r="H1251">
        <v>19.100000000000001</v>
      </c>
      <c r="I1251">
        <v>0</v>
      </c>
      <c r="J1251">
        <v>0</v>
      </c>
      <c r="K1251">
        <v>0</v>
      </c>
      <c r="L1251">
        <v>7</v>
      </c>
      <c r="O1251">
        <v>7</v>
      </c>
      <c r="P1251">
        <v>4</v>
      </c>
      <c r="Q1251">
        <v>2</v>
      </c>
      <c r="R1251">
        <v>32.1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6</v>
      </c>
      <c r="AC1251">
        <v>0</v>
      </c>
      <c r="AH1251">
        <v>38.1</v>
      </c>
    </row>
    <row r="1252" spans="1:34" x14ac:dyDescent="0.3">
      <c r="A1252" s="4">
        <v>1437</v>
      </c>
      <c r="B1252" s="5">
        <v>1245</v>
      </c>
      <c r="C1252">
        <v>3803</v>
      </c>
      <c r="D1252" t="s">
        <v>10941</v>
      </c>
      <c r="E1252" t="s">
        <v>18237</v>
      </c>
      <c r="F1252" t="s">
        <v>62</v>
      </c>
      <c r="G1252" t="s">
        <v>28835</v>
      </c>
      <c r="H1252">
        <v>15</v>
      </c>
      <c r="I1252">
        <v>0</v>
      </c>
      <c r="J1252">
        <v>0</v>
      </c>
      <c r="K1252">
        <v>0</v>
      </c>
      <c r="L1252">
        <v>7</v>
      </c>
      <c r="O1252">
        <v>7</v>
      </c>
      <c r="P1252">
        <v>4</v>
      </c>
      <c r="Q1252">
        <v>2</v>
      </c>
      <c r="R1252">
        <v>28</v>
      </c>
      <c r="S1252">
        <v>10</v>
      </c>
      <c r="T1252">
        <v>10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10</v>
      </c>
      <c r="AB1252">
        <v>0</v>
      </c>
      <c r="AC1252">
        <v>0</v>
      </c>
      <c r="AH1252">
        <v>38</v>
      </c>
    </row>
    <row r="1253" spans="1:34" x14ac:dyDescent="0.3">
      <c r="A1253" s="4">
        <v>1438</v>
      </c>
      <c r="B1253" s="5">
        <v>1246</v>
      </c>
      <c r="C1253">
        <v>644</v>
      </c>
      <c r="D1253" t="s">
        <v>28836</v>
      </c>
      <c r="E1253" t="s">
        <v>132</v>
      </c>
      <c r="F1253" t="s">
        <v>20</v>
      </c>
      <c r="G1253" t="s">
        <v>28837</v>
      </c>
      <c r="H1253">
        <v>15.9</v>
      </c>
      <c r="I1253">
        <v>0</v>
      </c>
      <c r="J1253">
        <v>0</v>
      </c>
      <c r="K1253">
        <v>0</v>
      </c>
      <c r="L1253">
        <v>7</v>
      </c>
      <c r="O1253">
        <v>7</v>
      </c>
      <c r="P1253">
        <v>4</v>
      </c>
      <c r="Q1253">
        <v>2</v>
      </c>
      <c r="R1253">
        <v>28.9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9</v>
      </c>
      <c r="AC1253">
        <v>0</v>
      </c>
      <c r="AH1253">
        <v>37.9</v>
      </c>
    </row>
    <row r="1254" spans="1:34" x14ac:dyDescent="0.3">
      <c r="A1254" s="4">
        <v>1439</v>
      </c>
      <c r="B1254" s="5">
        <v>1247</v>
      </c>
      <c r="C1254">
        <v>5396</v>
      </c>
      <c r="D1254" t="s">
        <v>28838</v>
      </c>
      <c r="E1254" t="s">
        <v>182</v>
      </c>
      <c r="F1254" t="s">
        <v>38</v>
      </c>
      <c r="G1254" t="s">
        <v>28839</v>
      </c>
      <c r="H1254">
        <v>19.850000000000001</v>
      </c>
      <c r="I1254">
        <v>0</v>
      </c>
      <c r="J1254">
        <v>0</v>
      </c>
      <c r="K1254">
        <v>0</v>
      </c>
      <c r="M1254">
        <v>5</v>
      </c>
      <c r="O1254">
        <v>5</v>
      </c>
      <c r="P1254">
        <v>4</v>
      </c>
      <c r="Q1254">
        <v>0</v>
      </c>
      <c r="R1254">
        <v>28.85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9</v>
      </c>
      <c r="AC1254">
        <v>0</v>
      </c>
      <c r="AH1254">
        <v>37.85</v>
      </c>
    </row>
    <row r="1255" spans="1:34" x14ac:dyDescent="0.3">
      <c r="A1255" s="4">
        <v>1440</v>
      </c>
      <c r="B1255" s="5">
        <v>1248</v>
      </c>
      <c r="C1255">
        <v>4724</v>
      </c>
      <c r="D1255" t="s">
        <v>28840</v>
      </c>
      <c r="E1255" t="s">
        <v>6507</v>
      </c>
      <c r="F1255" t="s">
        <v>81</v>
      </c>
      <c r="G1255" t="s">
        <v>28841</v>
      </c>
      <c r="H1255">
        <v>18.829999999999998</v>
      </c>
      <c r="I1255">
        <v>0</v>
      </c>
      <c r="J1255">
        <v>0</v>
      </c>
      <c r="K1255">
        <v>0</v>
      </c>
      <c r="L1255">
        <v>7</v>
      </c>
      <c r="O1255">
        <v>7</v>
      </c>
      <c r="P1255">
        <v>4</v>
      </c>
      <c r="Q1255">
        <v>2</v>
      </c>
      <c r="R1255">
        <v>31.83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6</v>
      </c>
      <c r="AC1255">
        <v>0</v>
      </c>
      <c r="AH1255">
        <v>37.83</v>
      </c>
    </row>
    <row r="1256" spans="1:34" x14ac:dyDescent="0.3">
      <c r="A1256" s="4">
        <v>1441</v>
      </c>
      <c r="B1256" s="5">
        <v>1249</v>
      </c>
      <c r="C1256">
        <v>2421</v>
      </c>
      <c r="D1256" t="s">
        <v>28842</v>
      </c>
      <c r="E1256" t="s">
        <v>188</v>
      </c>
      <c r="F1256" t="s">
        <v>375</v>
      </c>
      <c r="G1256" t="s">
        <v>28843</v>
      </c>
      <c r="H1256">
        <v>20.83</v>
      </c>
      <c r="I1256">
        <v>0</v>
      </c>
      <c r="J1256">
        <v>0</v>
      </c>
      <c r="K1256">
        <v>0</v>
      </c>
      <c r="N1256">
        <v>3</v>
      </c>
      <c r="O1256">
        <v>3</v>
      </c>
      <c r="P1256">
        <v>4</v>
      </c>
      <c r="Q1256">
        <v>2</v>
      </c>
      <c r="R1256">
        <v>29.83</v>
      </c>
      <c r="S1256">
        <v>8</v>
      </c>
      <c r="T1256">
        <v>8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8</v>
      </c>
      <c r="AB1256">
        <v>0</v>
      </c>
      <c r="AC1256">
        <v>0</v>
      </c>
      <c r="AH1256">
        <v>37.83</v>
      </c>
    </row>
    <row r="1257" spans="1:34" x14ac:dyDescent="0.3">
      <c r="A1257" s="4">
        <v>1442</v>
      </c>
      <c r="B1257" s="5">
        <v>1250</v>
      </c>
      <c r="C1257">
        <v>9152</v>
      </c>
      <c r="D1257" t="s">
        <v>28844</v>
      </c>
      <c r="E1257" t="s">
        <v>28845</v>
      </c>
      <c r="F1257" t="s">
        <v>28846</v>
      </c>
      <c r="G1257">
        <v>648341277</v>
      </c>
      <c r="H1257">
        <v>20.78</v>
      </c>
      <c r="I1257">
        <v>0</v>
      </c>
      <c r="J1257">
        <v>0</v>
      </c>
      <c r="K1257">
        <v>0</v>
      </c>
      <c r="L1257">
        <v>7</v>
      </c>
      <c r="O1257">
        <v>7</v>
      </c>
      <c r="P1257">
        <v>4</v>
      </c>
      <c r="Q1257">
        <v>0</v>
      </c>
      <c r="R1257">
        <v>31.78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6</v>
      </c>
      <c r="AC1257">
        <v>0</v>
      </c>
      <c r="AH1257">
        <v>37.78</v>
      </c>
    </row>
    <row r="1258" spans="1:34" x14ac:dyDescent="0.3">
      <c r="A1258" s="4">
        <v>1443</v>
      </c>
      <c r="B1258" s="5">
        <v>1251</v>
      </c>
      <c r="C1258">
        <v>3001</v>
      </c>
      <c r="D1258" t="s">
        <v>28847</v>
      </c>
      <c r="E1258" t="s">
        <v>188</v>
      </c>
      <c r="F1258" t="s">
        <v>328</v>
      </c>
      <c r="G1258" t="s">
        <v>28848</v>
      </c>
      <c r="H1258">
        <v>18.649999999999999</v>
      </c>
      <c r="I1258">
        <v>0</v>
      </c>
      <c r="J1258">
        <v>0</v>
      </c>
      <c r="K1258">
        <v>0</v>
      </c>
      <c r="L1258">
        <v>7</v>
      </c>
      <c r="O1258">
        <v>7</v>
      </c>
      <c r="P1258">
        <v>4</v>
      </c>
      <c r="Q1258">
        <v>2</v>
      </c>
      <c r="R1258">
        <v>31.65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6</v>
      </c>
      <c r="AC1258">
        <v>0</v>
      </c>
      <c r="AH1258">
        <v>37.65</v>
      </c>
    </row>
    <row r="1259" spans="1:34" x14ac:dyDescent="0.3">
      <c r="A1259" s="4">
        <v>1444</v>
      </c>
      <c r="B1259" s="5">
        <v>1252</v>
      </c>
      <c r="C1259">
        <v>7638</v>
      </c>
      <c r="D1259" t="s">
        <v>181</v>
      </c>
      <c r="E1259" t="s">
        <v>29</v>
      </c>
      <c r="F1259" t="s">
        <v>91</v>
      </c>
      <c r="G1259" t="s">
        <v>28849</v>
      </c>
      <c r="H1259">
        <v>17.649999999999999</v>
      </c>
      <c r="I1259">
        <v>0</v>
      </c>
      <c r="J1259">
        <v>0</v>
      </c>
      <c r="K1259">
        <v>0</v>
      </c>
      <c r="L1259">
        <v>7</v>
      </c>
      <c r="O1259">
        <v>7</v>
      </c>
      <c r="P1259">
        <v>4</v>
      </c>
      <c r="Q1259">
        <v>0</v>
      </c>
      <c r="R1259">
        <v>28.65</v>
      </c>
      <c r="S1259">
        <v>3</v>
      </c>
      <c r="T1259">
        <v>3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3</v>
      </c>
      <c r="AB1259">
        <v>6</v>
      </c>
      <c r="AC1259">
        <v>0</v>
      </c>
      <c r="AD1259" t="s">
        <v>130</v>
      </c>
      <c r="AH1259">
        <v>37.65</v>
      </c>
    </row>
    <row r="1260" spans="1:34" x14ac:dyDescent="0.3">
      <c r="A1260" s="4">
        <v>1445</v>
      </c>
      <c r="B1260" s="5">
        <v>1253</v>
      </c>
      <c r="C1260">
        <v>10061</v>
      </c>
      <c r="D1260" t="s">
        <v>19238</v>
      </c>
      <c r="E1260" t="s">
        <v>26</v>
      </c>
      <c r="F1260" t="s">
        <v>91</v>
      </c>
      <c r="G1260" t="s">
        <v>28850</v>
      </c>
      <c r="H1260">
        <v>19.63</v>
      </c>
      <c r="I1260">
        <v>0</v>
      </c>
      <c r="J1260">
        <v>0</v>
      </c>
      <c r="K1260">
        <v>0</v>
      </c>
      <c r="L1260">
        <v>7</v>
      </c>
      <c r="O1260">
        <v>7</v>
      </c>
      <c r="P1260">
        <v>4</v>
      </c>
      <c r="Q1260">
        <v>2</v>
      </c>
      <c r="R1260">
        <v>32.630000000000003</v>
      </c>
      <c r="S1260">
        <v>5</v>
      </c>
      <c r="T1260">
        <v>5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5</v>
      </c>
      <c r="AB1260">
        <v>0</v>
      </c>
      <c r="AC1260">
        <v>0</v>
      </c>
      <c r="AD1260" t="s">
        <v>130</v>
      </c>
      <c r="AH1260">
        <v>37.630000000000003</v>
      </c>
    </row>
    <row r="1261" spans="1:34" x14ac:dyDescent="0.3">
      <c r="A1261" s="4">
        <v>1446</v>
      </c>
      <c r="B1261" s="5">
        <v>1254</v>
      </c>
      <c r="C1261">
        <v>6469</v>
      </c>
      <c r="D1261" t="s">
        <v>28851</v>
      </c>
      <c r="E1261" t="s">
        <v>3243</v>
      </c>
      <c r="F1261" t="s">
        <v>17</v>
      </c>
      <c r="G1261" t="s">
        <v>28852</v>
      </c>
      <c r="H1261">
        <v>18.55</v>
      </c>
      <c r="I1261">
        <v>0</v>
      </c>
      <c r="J1261">
        <v>0</v>
      </c>
      <c r="K1261">
        <v>0</v>
      </c>
      <c r="L1261">
        <v>7</v>
      </c>
      <c r="O1261">
        <v>7</v>
      </c>
      <c r="P1261">
        <v>4</v>
      </c>
      <c r="Q1261">
        <v>2</v>
      </c>
      <c r="R1261">
        <v>31.55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6</v>
      </c>
      <c r="AC1261">
        <v>0</v>
      </c>
      <c r="AH1261">
        <v>37.549999999999997</v>
      </c>
    </row>
    <row r="1262" spans="1:34" x14ac:dyDescent="0.3">
      <c r="A1262" s="4">
        <v>1447</v>
      </c>
      <c r="B1262" s="5">
        <v>1255</v>
      </c>
      <c r="C1262">
        <v>9612</v>
      </c>
      <c r="D1262" t="s">
        <v>511</v>
      </c>
      <c r="E1262" t="s">
        <v>342</v>
      </c>
      <c r="F1262" t="s">
        <v>227</v>
      </c>
      <c r="G1262" t="s">
        <v>28853</v>
      </c>
      <c r="H1262">
        <v>16.43</v>
      </c>
      <c r="I1262">
        <v>0</v>
      </c>
      <c r="J1262">
        <v>0</v>
      </c>
      <c r="K1262">
        <v>0</v>
      </c>
      <c r="N1262">
        <v>3</v>
      </c>
      <c r="O1262">
        <v>3</v>
      </c>
      <c r="P1262">
        <v>4</v>
      </c>
      <c r="Q1262">
        <v>0</v>
      </c>
      <c r="R1262">
        <v>23.43</v>
      </c>
      <c r="S1262">
        <v>14</v>
      </c>
      <c r="T1262">
        <v>14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14</v>
      </c>
      <c r="AB1262">
        <v>0</v>
      </c>
      <c r="AC1262">
        <v>0</v>
      </c>
      <c r="AH1262">
        <v>37.43</v>
      </c>
    </row>
    <row r="1263" spans="1:34" x14ac:dyDescent="0.3">
      <c r="A1263" s="4">
        <v>1448</v>
      </c>
      <c r="B1263" s="5">
        <v>1256</v>
      </c>
      <c r="C1263">
        <v>11196</v>
      </c>
      <c r="D1263" t="s">
        <v>28854</v>
      </c>
      <c r="E1263" t="s">
        <v>143</v>
      </c>
      <c r="F1263" t="s">
        <v>466</v>
      </c>
      <c r="G1263" t="s">
        <v>28855</v>
      </c>
      <c r="H1263">
        <v>19.18</v>
      </c>
      <c r="I1263">
        <v>0</v>
      </c>
      <c r="J1263">
        <v>0</v>
      </c>
      <c r="K1263">
        <v>0</v>
      </c>
      <c r="N1263">
        <v>3</v>
      </c>
      <c r="O1263">
        <v>3</v>
      </c>
      <c r="P1263">
        <v>4</v>
      </c>
      <c r="Q1263">
        <v>2</v>
      </c>
      <c r="R1263">
        <v>28.18</v>
      </c>
      <c r="S1263">
        <v>9</v>
      </c>
      <c r="T1263">
        <v>9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9</v>
      </c>
      <c r="AB1263">
        <v>0</v>
      </c>
      <c r="AC1263">
        <v>0</v>
      </c>
      <c r="AH1263">
        <v>37.18</v>
      </c>
    </row>
    <row r="1264" spans="1:34" x14ac:dyDescent="0.3">
      <c r="A1264" s="4">
        <v>1449</v>
      </c>
      <c r="B1264" s="5">
        <v>1257</v>
      </c>
      <c r="C1264">
        <v>7877</v>
      </c>
      <c r="D1264" t="s">
        <v>4536</v>
      </c>
      <c r="E1264" t="s">
        <v>26</v>
      </c>
      <c r="F1264" t="s">
        <v>136</v>
      </c>
      <c r="G1264" t="s">
        <v>28856</v>
      </c>
      <c r="H1264">
        <v>17.079999999999998</v>
      </c>
      <c r="I1264">
        <v>0</v>
      </c>
      <c r="J1264">
        <v>0</v>
      </c>
      <c r="K1264">
        <v>0</v>
      </c>
      <c r="N1264">
        <v>6</v>
      </c>
      <c r="O1264">
        <v>6</v>
      </c>
      <c r="P1264">
        <v>4</v>
      </c>
      <c r="Q1264">
        <v>2</v>
      </c>
      <c r="R1264">
        <v>29.08</v>
      </c>
      <c r="S1264">
        <v>8</v>
      </c>
      <c r="T1264">
        <v>8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8</v>
      </c>
      <c r="AB1264">
        <v>0</v>
      </c>
      <c r="AC1264">
        <v>0</v>
      </c>
      <c r="AH1264">
        <v>37.08</v>
      </c>
    </row>
    <row r="1265" spans="1:34" x14ac:dyDescent="0.3">
      <c r="A1265" s="4">
        <v>1450</v>
      </c>
      <c r="B1265" s="5">
        <v>1258</v>
      </c>
      <c r="C1265">
        <v>1578</v>
      </c>
      <c r="D1265" t="s">
        <v>28857</v>
      </c>
      <c r="E1265" t="s">
        <v>29</v>
      </c>
      <c r="F1265" t="s">
        <v>79</v>
      </c>
      <c r="G1265" t="s">
        <v>28858</v>
      </c>
      <c r="H1265">
        <v>20.03</v>
      </c>
      <c r="I1265">
        <v>0</v>
      </c>
      <c r="J1265">
        <v>0</v>
      </c>
      <c r="K1265">
        <v>0</v>
      </c>
      <c r="N1265">
        <v>3</v>
      </c>
      <c r="O1265">
        <v>3</v>
      </c>
      <c r="P1265">
        <v>4</v>
      </c>
      <c r="Q1265">
        <v>2</v>
      </c>
      <c r="R1265">
        <v>29.03</v>
      </c>
      <c r="S1265">
        <v>8</v>
      </c>
      <c r="T1265">
        <v>8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8</v>
      </c>
      <c r="AB1265">
        <v>0</v>
      </c>
      <c r="AC1265">
        <v>0</v>
      </c>
      <c r="AH1265">
        <v>37.03</v>
      </c>
    </row>
    <row r="1266" spans="1:34" x14ac:dyDescent="0.3">
      <c r="A1266" s="4">
        <v>1451</v>
      </c>
      <c r="B1266" s="5">
        <v>1259</v>
      </c>
      <c r="C1266">
        <v>9514</v>
      </c>
      <c r="D1266" t="s">
        <v>4865</v>
      </c>
      <c r="E1266" t="s">
        <v>208</v>
      </c>
      <c r="F1266" t="s">
        <v>136</v>
      </c>
      <c r="G1266" t="s">
        <v>28859</v>
      </c>
      <c r="H1266">
        <v>17.88</v>
      </c>
      <c r="I1266">
        <v>0</v>
      </c>
      <c r="J1266">
        <v>0</v>
      </c>
      <c r="K1266">
        <v>0</v>
      </c>
      <c r="L1266">
        <v>7</v>
      </c>
      <c r="O1266">
        <v>7</v>
      </c>
      <c r="P1266">
        <v>4</v>
      </c>
      <c r="Q1266">
        <v>2</v>
      </c>
      <c r="R1266">
        <v>30.88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6</v>
      </c>
      <c r="AC1266">
        <v>0</v>
      </c>
      <c r="AH1266">
        <v>36.880000000000003</v>
      </c>
    </row>
    <row r="1267" spans="1:34" x14ac:dyDescent="0.3">
      <c r="A1267" s="4">
        <v>1452</v>
      </c>
      <c r="B1267" s="5">
        <v>1260</v>
      </c>
      <c r="C1267">
        <v>709</v>
      </c>
      <c r="D1267" t="s">
        <v>28860</v>
      </c>
      <c r="E1267" t="s">
        <v>29</v>
      </c>
      <c r="F1267" t="s">
        <v>230</v>
      </c>
      <c r="G1267" t="s">
        <v>28861</v>
      </c>
      <c r="H1267">
        <v>17.850000000000001</v>
      </c>
      <c r="I1267">
        <v>0</v>
      </c>
      <c r="J1267">
        <v>0</v>
      </c>
      <c r="K1267">
        <v>0</v>
      </c>
      <c r="N1267">
        <v>3</v>
      </c>
      <c r="O1267">
        <v>3</v>
      </c>
      <c r="P1267">
        <v>4</v>
      </c>
      <c r="Q1267">
        <v>0</v>
      </c>
      <c r="R1267">
        <v>24.85</v>
      </c>
      <c r="S1267">
        <v>6</v>
      </c>
      <c r="T1267">
        <v>6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6</v>
      </c>
      <c r="AB1267">
        <v>6</v>
      </c>
      <c r="AC1267">
        <v>0</v>
      </c>
      <c r="AH1267">
        <v>36.85</v>
      </c>
    </row>
    <row r="1268" spans="1:34" x14ac:dyDescent="0.3">
      <c r="A1268" s="4">
        <v>1453</v>
      </c>
      <c r="B1268" s="5">
        <v>1261</v>
      </c>
      <c r="C1268">
        <v>7873</v>
      </c>
      <c r="D1268" t="s">
        <v>22106</v>
      </c>
      <c r="E1268" t="s">
        <v>38</v>
      </c>
      <c r="F1268" t="s">
        <v>14</v>
      </c>
      <c r="G1268" t="s">
        <v>28862</v>
      </c>
      <c r="H1268">
        <v>18.73</v>
      </c>
      <c r="I1268">
        <v>7</v>
      </c>
      <c r="J1268">
        <v>0</v>
      </c>
      <c r="K1268">
        <v>0</v>
      </c>
      <c r="M1268">
        <v>5</v>
      </c>
      <c r="O1268">
        <v>5</v>
      </c>
      <c r="P1268">
        <v>4</v>
      </c>
      <c r="Q1268">
        <v>2</v>
      </c>
      <c r="R1268">
        <v>36.729999999999997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H1268">
        <v>36.729999999999997</v>
      </c>
    </row>
    <row r="1269" spans="1:34" x14ac:dyDescent="0.3">
      <c r="A1269" s="4">
        <v>1454</v>
      </c>
      <c r="B1269" s="5">
        <v>1262</v>
      </c>
      <c r="C1269">
        <v>7677</v>
      </c>
      <c r="D1269" t="s">
        <v>28863</v>
      </c>
      <c r="E1269" t="s">
        <v>816</v>
      </c>
      <c r="F1269" t="s">
        <v>6208</v>
      </c>
      <c r="G1269" t="s">
        <v>28864</v>
      </c>
      <c r="H1269">
        <v>17.68</v>
      </c>
      <c r="I1269">
        <v>0</v>
      </c>
      <c r="J1269">
        <v>0</v>
      </c>
      <c r="K1269">
        <v>0</v>
      </c>
      <c r="L1269">
        <v>7</v>
      </c>
      <c r="O1269">
        <v>7</v>
      </c>
      <c r="P1269">
        <v>4</v>
      </c>
      <c r="Q1269">
        <v>0</v>
      </c>
      <c r="R1269">
        <v>28.68</v>
      </c>
      <c r="S1269">
        <v>8</v>
      </c>
      <c r="T1269">
        <v>8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8</v>
      </c>
      <c r="AB1269">
        <v>0</v>
      </c>
      <c r="AC1269">
        <v>0</v>
      </c>
      <c r="AH1269">
        <v>36.68</v>
      </c>
    </row>
    <row r="1270" spans="1:34" x14ac:dyDescent="0.3">
      <c r="A1270" s="4">
        <v>1455</v>
      </c>
      <c r="B1270" s="5">
        <v>1263</v>
      </c>
      <c r="C1270">
        <v>15216</v>
      </c>
      <c r="D1270" t="s">
        <v>2460</v>
      </c>
      <c r="E1270" t="s">
        <v>29</v>
      </c>
      <c r="F1270" t="s">
        <v>30</v>
      </c>
      <c r="G1270" t="s">
        <v>28865</v>
      </c>
      <c r="H1270">
        <v>20.63</v>
      </c>
      <c r="I1270">
        <v>0</v>
      </c>
      <c r="J1270">
        <v>0</v>
      </c>
      <c r="K1270">
        <v>0</v>
      </c>
      <c r="L1270">
        <v>7</v>
      </c>
      <c r="M1270">
        <v>5</v>
      </c>
      <c r="O1270">
        <v>12</v>
      </c>
      <c r="P1270">
        <v>4</v>
      </c>
      <c r="Q1270">
        <v>0</v>
      </c>
      <c r="R1270">
        <v>36.630000000000003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H1270">
        <v>36.630000000000003</v>
      </c>
    </row>
    <row r="1271" spans="1:34" x14ac:dyDescent="0.3">
      <c r="A1271" s="4">
        <v>1456</v>
      </c>
      <c r="B1271" s="5">
        <v>1264</v>
      </c>
      <c r="C1271">
        <v>7142</v>
      </c>
      <c r="D1271" t="s">
        <v>6336</v>
      </c>
      <c r="E1271" t="s">
        <v>789</v>
      </c>
      <c r="F1271" t="s">
        <v>801</v>
      </c>
      <c r="G1271" t="s">
        <v>28866</v>
      </c>
      <c r="H1271">
        <v>17.55</v>
      </c>
      <c r="I1271">
        <v>0</v>
      </c>
      <c r="J1271">
        <v>0</v>
      </c>
      <c r="K1271">
        <v>0</v>
      </c>
      <c r="N1271">
        <v>3</v>
      </c>
      <c r="O1271">
        <v>3</v>
      </c>
      <c r="P1271">
        <v>4</v>
      </c>
      <c r="Q1271">
        <v>0</v>
      </c>
      <c r="R1271">
        <v>24.55</v>
      </c>
      <c r="S1271">
        <v>6</v>
      </c>
      <c r="T1271">
        <v>6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6</v>
      </c>
      <c r="AB1271">
        <v>6</v>
      </c>
      <c r="AC1271">
        <v>0</v>
      </c>
      <c r="AH1271">
        <v>36.549999999999997</v>
      </c>
    </row>
    <row r="1272" spans="1:34" x14ac:dyDescent="0.3">
      <c r="A1272" s="4">
        <v>1457</v>
      </c>
      <c r="B1272" s="5">
        <v>1265</v>
      </c>
      <c r="C1272">
        <v>6915</v>
      </c>
      <c r="D1272" t="s">
        <v>6837</v>
      </c>
      <c r="E1272" t="s">
        <v>132</v>
      </c>
      <c r="F1272" t="s">
        <v>17</v>
      </c>
      <c r="G1272" t="s">
        <v>28867</v>
      </c>
      <c r="H1272">
        <v>17.53</v>
      </c>
      <c r="I1272">
        <v>0</v>
      </c>
      <c r="J1272">
        <v>0</v>
      </c>
      <c r="K1272">
        <v>0</v>
      </c>
      <c r="L1272">
        <v>7</v>
      </c>
      <c r="O1272">
        <v>7</v>
      </c>
      <c r="P1272">
        <v>4</v>
      </c>
      <c r="Q1272">
        <v>2</v>
      </c>
      <c r="R1272">
        <v>30.53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6</v>
      </c>
      <c r="AC1272">
        <v>0</v>
      </c>
      <c r="AH1272">
        <v>36.53</v>
      </c>
    </row>
    <row r="1273" spans="1:34" x14ac:dyDescent="0.3">
      <c r="A1273" s="4">
        <v>1458</v>
      </c>
      <c r="B1273" s="5">
        <v>1266</v>
      </c>
      <c r="C1273">
        <v>2043</v>
      </c>
      <c r="D1273" t="s">
        <v>2797</v>
      </c>
      <c r="E1273" t="s">
        <v>41</v>
      </c>
      <c r="F1273" t="s">
        <v>30</v>
      </c>
      <c r="G1273" t="s">
        <v>28868</v>
      </c>
      <c r="H1273">
        <v>19.5</v>
      </c>
      <c r="I1273">
        <v>0</v>
      </c>
      <c r="J1273">
        <v>0</v>
      </c>
      <c r="K1273">
        <v>0</v>
      </c>
      <c r="M1273">
        <v>5</v>
      </c>
      <c r="O1273">
        <v>5</v>
      </c>
      <c r="P1273">
        <v>4</v>
      </c>
      <c r="Q1273">
        <v>2</v>
      </c>
      <c r="R1273">
        <v>30.5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6</v>
      </c>
      <c r="AC1273">
        <v>0</v>
      </c>
      <c r="AH1273">
        <v>36.5</v>
      </c>
    </row>
    <row r="1274" spans="1:34" x14ac:dyDescent="0.3">
      <c r="A1274" s="4">
        <v>1459</v>
      </c>
      <c r="B1274" s="5">
        <v>1267</v>
      </c>
      <c r="C1274">
        <v>5023</v>
      </c>
      <c r="D1274" t="s">
        <v>28869</v>
      </c>
      <c r="E1274" t="s">
        <v>28870</v>
      </c>
      <c r="F1274" t="s">
        <v>28871</v>
      </c>
      <c r="G1274" t="s">
        <v>28872</v>
      </c>
      <c r="H1274">
        <v>17.329999999999998</v>
      </c>
      <c r="I1274">
        <v>0</v>
      </c>
      <c r="J1274">
        <v>0</v>
      </c>
      <c r="K1274">
        <v>0</v>
      </c>
      <c r="M1274">
        <v>5</v>
      </c>
      <c r="O1274">
        <v>5</v>
      </c>
      <c r="P1274">
        <v>4</v>
      </c>
      <c r="Q1274">
        <v>2</v>
      </c>
      <c r="R1274">
        <v>28.33</v>
      </c>
      <c r="S1274">
        <v>8</v>
      </c>
      <c r="T1274">
        <v>8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8</v>
      </c>
      <c r="AB1274">
        <v>0</v>
      </c>
      <c r="AC1274">
        <v>0</v>
      </c>
      <c r="AH1274">
        <v>36.33</v>
      </c>
    </row>
    <row r="1275" spans="1:34" x14ac:dyDescent="0.3">
      <c r="A1275" s="4">
        <v>1460</v>
      </c>
      <c r="B1275" s="5">
        <v>1268</v>
      </c>
      <c r="C1275">
        <v>10373</v>
      </c>
      <c r="D1275" t="s">
        <v>2227</v>
      </c>
      <c r="E1275" t="s">
        <v>283</v>
      </c>
      <c r="F1275" t="s">
        <v>136</v>
      </c>
      <c r="G1275" t="s">
        <v>28873</v>
      </c>
      <c r="H1275">
        <v>16.23</v>
      </c>
      <c r="I1275">
        <v>0</v>
      </c>
      <c r="J1275">
        <v>0</v>
      </c>
      <c r="K1275">
        <v>0</v>
      </c>
      <c r="N1275">
        <v>3</v>
      </c>
      <c r="O1275">
        <v>3</v>
      </c>
      <c r="P1275">
        <v>4</v>
      </c>
      <c r="Q1275">
        <v>0</v>
      </c>
      <c r="R1275">
        <v>23.23</v>
      </c>
      <c r="S1275">
        <v>7</v>
      </c>
      <c r="T1275">
        <v>7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7</v>
      </c>
      <c r="AB1275">
        <v>6</v>
      </c>
      <c r="AC1275">
        <v>0</v>
      </c>
      <c r="AH1275">
        <v>36.229999999999997</v>
      </c>
    </row>
    <row r="1276" spans="1:34" x14ac:dyDescent="0.3">
      <c r="A1276" s="4">
        <v>1461</v>
      </c>
      <c r="B1276" s="5">
        <v>1269</v>
      </c>
      <c r="C1276">
        <v>7447</v>
      </c>
      <c r="D1276" t="s">
        <v>932</v>
      </c>
      <c r="E1276" t="s">
        <v>8999</v>
      </c>
      <c r="F1276" t="s">
        <v>346</v>
      </c>
      <c r="G1276" t="s">
        <v>28874</v>
      </c>
      <c r="H1276">
        <v>17.18</v>
      </c>
      <c r="I1276">
        <v>0</v>
      </c>
      <c r="J1276">
        <v>0</v>
      </c>
      <c r="K1276">
        <v>0</v>
      </c>
      <c r="O1276">
        <v>0</v>
      </c>
      <c r="P1276">
        <v>4</v>
      </c>
      <c r="Q1276">
        <v>2</v>
      </c>
      <c r="R1276">
        <v>23.18</v>
      </c>
      <c r="S1276">
        <v>13</v>
      </c>
      <c r="T1276">
        <v>13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13</v>
      </c>
      <c r="AB1276">
        <v>0</v>
      </c>
      <c r="AC1276">
        <v>0</v>
      </c>
      <c r="AH1276">
        <v>36.18</v>
      </c>
    </row>
    <row r="1277" spans="1:34" x14ac:dyDescent="0.3">
      <c r="A1277" s="4">
        <v>1462</v>
      </c>
      <c r="B1277" s="5">
        <v>1270</v>
      </c>
      <c r="C1277">
        <v>11585</v>
      </c>
      <c r="D1277" t="s">
        <v>10612</v>
      </c>
      <c r="E1277" t="s">
        <v>38</v>
      </c>
      <c r="F1277" t="s">
        <v>34</v>
      </c>
      <c r="G1277" t="s">
        <v>28875</v>
      </c>
      <c r="H1277">
        <v>15.05</v>
      </c>
      <c r="I1277">
        <v>0</v>
      </c>
      <c r="J1277">
        <v>0</v>
      </c>
      <c r="K1277">
        <v>0</v>
      </c>
      <c r="O1277">
        <v>0</v>
      </c>
      <c r="P1277">
        <v>4</v>
      </c>
      <c r="Q1277">
        <v>0</v>
      </c>
      <c r="R1277">
        <v>19.05</v>
      </c>
      <c r="S1277">
        <v>15</v>
      </c>
      <c r="T1277">
        <v>15</v>
      </c>
      <c r="U1277">
        <v>1</v>
      </c>
      <c r="V1277">
        <v>2</v>
      </c>
      <c r="W1277">
        <v>0</v>
      </c>
      <c r="X1277">
        <v>0</v>
      </c>
      <c r="Y1277">
        <v>0</v>
      </c>
      <c r="Z1277">
        <v>0</v>
      </c>
      <c r="AA1277">
        <v>17</v>
      </c>
      <c r="AB1277">
        <v>0</v>
      </c>
      <c r="AC1277">
        <v>0</v>
      </c>
      <c r="AH1277">
        <v>36.049999999999997</v>
      </c>
    </row>
    <row r="1278" spans="1:34" x14ac:dyDescent="0.3">
      <c r="A1278" s="4">
        <v>1463</v>
      </c>
      <c r="B1278" s="5">
        <v>1271</v>
      </c>
      <c r="C1278">
        <v>13445</v>
      </c>
      <c r="D1278" t="s">
        <v>21368</v>
      </c>
      <c r="E1278" t="s">
        <v>157</v>
      </c>
      <c r="F1278" t="s">
        <v>3439</v>
      </c>
      <c r="G1278" t="s">
        <v>28876</v>
      </c>
      <c r="H1278">
        <v>17.03</v>
      </c>
      <c r="I1278">
        <v>0</v>
      </c>
      <c r="J1278">
        <v>0</v>
      </c>
      <c r="K1278">
        <v>0</v>
      </c>
      <c r="L1278">
        <v>7</v>
      </c>
      <c r="O1278">
        <v>7</v>
      </c>
      <c r="P1278">
        <v>4</v>
      </c>
      <c r="Q1278">
        <v>0</v>
      </c>
      <c r="R1278">
        <v>28.03</v>
      </c>
      <c r="S1278">
        <v>8</v>
      </c>
      <c r="T1278">
        <v>8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8</v>
      </c>
      <c r="AB1278">
        <v>0</v>
      </c>
      <c r="AC1278">
        <v>0</v>
      </c>
      <c r="AH1278">
        <v>36.03</v>
      </c>
    </row>
    <row r="1279" spans="1:34" x14ac:dyDescent="0.3">
      <c r="A1279" s="4">
        <v>1464</v>
      </c>
      <c r="B1279" s="5">
        <v>1272</v>
      </c>
      <c r="C1279">
        <v>12744</v>
      </c>
      <c r="D1279" t="s">
        <v>28877</v>
      </c>
      <c r="E1279" t="s">
        <v>166</v>
      </c>
      <c r="F1279" t="s">
        <v>136</v>
      </c>
      <c r="G1279" t="s">
        <v>28878</v>
      </c>
      <c r="H1279">
        <v>19.98</v>
      </c>
      <c r="I1279">
        <v>0</v>
      </c>
      <c r="J1279">
        <v>0</v>
      </c>
      <c r="K1279">
        <v>0</v>
      </c>
      <c r="N1279">
        <v>6</v>
      </c>
      <c r="O1279">
        <v>6</v>
      </c>
      <c r="P1279">
        <v>4</v>
      </c>
      <c r="Q1279">
        <v>0</v>
      </c>
      <c r="R1279">
        <v>29.98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6</v>
      </c>
      <c r="AC1279">
        <v>0</v>
      </c>
      <c r="AH1279">
        <v>35.979999999999997</v>
      </c>
    </row>
    <row r="1280" spans="1:34" x14ac:dyDescent="0.3">
      <c r="A1280" s="4">
        <v>1465</v>
      </c>
      <c r="B1280" s="5">
        <v>1273</v>
      </c>
      <c r="C1280">
        <v>11617</v>
      </c>
      <c r="D1280" t="s">
        <v>28879</v>
      </c>
      <c r="E1280" t="s">
        <v>188</v>
      </c>
      <c r="F1280" t="s">
        <v>81</v>
      </c>
      <c r="G1280" t="s">
        <v>28880</v>
      </c>
      <c r="H1280">
        <v>15.98</v>
      </c>
      <c r="I1280">
        <v>0</v>
      </c>
      <c r="J1280">
        <v>0</v>
      </c>
      <c r="K1280">
        <v>0</v>
      </c>
      <c r="N1280">
        <v>3</v>
      </c>
      <c r="O1280">
        <v>3</v>
      </c>
      <c r="P1280">
        <v>4</v>
      </c>
      <c r="Q1280">
        <v>0</v>
      </c>
      <c r="R1280">
        <v>22.98</v>
      </c>
      <c r="S1280">
        <v>10</v>
      </c>
      <c r="T1280">
        <v>10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10</v>
      </c>
      <c r="AB1280">
        <v>3</v>
      </c>
      <c r="AC1280">
        <v>0</v>
      </c>
      <c r="AD1280" t="s">
        <v>130</v>
      </c>
      <c r="AH1280">
        <v>35.979999999999997</v>
      </c>
    </row>
    <row r="1281" spans="1:34" x14ac:dyDescent="0.3">
      <c r="A1281" s="4">
        <v>1466</v>
      </c>
      <c r="B1281" s="5">
        <v>1274</v>
      </c>
      <c r="C1281">
        <v>5143</v>
      </c>
      <c r="D1281" t="s">
        <v>28881</v>
      </c>
      <c r="E1281" t="s">
        <v>5850</v>
      </c>
      <c r="F1281" t="s">
        <v>972</v>
      </c>
      <c r="G1281" t="s">
        <v>28882</v>
      </c>
      <c r="H1281">
        <v>19.98</v>
      </c>
      <c r="I1281">
        <v>7</v>
      </c>
      <c r="J1281">
        <v>0</v>
      </c>
      <c r="K1281">
        <v>0</v>
      </c>
      <c r="N1281">
        <v>3</v>
      </c>
      <c r="O1281">
        <v>3</v>
      </c>
      <c r="P1281">
        <v>4</v>
      </c>
      <c r="Q1281">
        <v>2</v>
      </c>
      <c r="R1281">
        <v>35.979999999999997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H1281">
        <v>35.979999999999997</v>
      </c>
    </row>
    <row r="1282" spans="1:34" x14ac:dyDescent="0.3">
      <c r="A1282" s="4">
        <v>1467</v>
      </c>
      <c r="B1282" s="5">
        <v>1275</v>
      </c>
      <c r="C1282">
        <v>10549</v>
      </c>
      <c r="D1282" t="s">
        <v>28883</v>
      </c>
      <c r="E1282" t="s">
        <v>33</v>
      </c>
      <c r="F1282" t="s">
        <v>68</v>
      </c>
      <c r="G1282" t="s">
        <v>28884</v>
      </c>
      <c r="H1282">
        <v>16.95</v>
      </c>
      <c r="I1282">
        <v>0</v>
      </c>
      <c r="J1282">
        <v>0</v>
      </c>
      <c r="K1282">
        <v>0</v>
      </c>
      <c r="L1282">
        <v>7</v>
      </c>
      <c r="O1282">
        <v>7</v>
      </c>
      <c r="P1282">
        <v>4</v>
      </c>
      <c r="Q1282">
        <v>2</v>
      </c>
      <c r="R1282">
        <v>29.95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6</v>
      </c>
      <c r="AC1282">
        <v>0</v>
      </c>
      <c r="AH1282">
        <v>35.950000000000003</v>
      </c>
    </row>
    <row r="1283" spans="1:34" x14ac:dyDescent="0.3">
      <c r="A1283" s="4">
        <v>1468</v>
      </c>
      <c r="B1283" s="5">
        <v>1276</v>
      </c>
      <c r="C1283">
        <v>8978</v>
      </c>
      <c r="D1283" t="s">
        <v>11633</v>
      </c>
      <c r="E1283" t="s">
        <v>178</v>
      </c>
      <c r="F1283" t="s">
        <v>117</v>
      </c>
      <c r="G1283" t="s">
        <v>28885</v>
      </c>
      <c r="H1283">
        <v>19.95</v>
      </c>
      <c r="I1283">
        <v>0</v>
      </c>
      <c r="J1283">
        <v>0</v>
      </c>
      <c r="K1283">
        <v>0</v>
      </c>
      <c r="L1283">
        <v>7</v>
      </c>
      <c r="N1283">
        <v>3</v>
      </c>
      <c r="O1283">
        <v>10</v>
      </c>
      <c r="P1283">
        <v>4</v>
      </c>
      <c r="Q1283">
        <v>2</v>
      </c>
      <c r="R1283">
        <v>35.950000000000003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H1283">
        <v>35.950000000000003</v>
      </c>
    </row>
    <row r="1284" spans="1:34" x14ac:dyDescent="0.3">
      <c r="A1284" s="4">
        <v>1469</v>
      </c>
      <c r="B1284" s="5">
        <v>1277</v>
      </c>
      <c r="C1284">
        <v>10775</v>
      </c>
      <c r="D1284" t="s">
        <v>17360</v>
      </c>
      <c r="E1284" t="s">
        <v>1508</v>
      </c>
      <c r="F1284" t="s">
        <v>17</v>
      </c>
      <c r="G1284" t="s">
        <v>28886</v>
      </c>
      <c r="H1284">
        <v>14.95</v>
      </c>
      <c r="I1284">
        <v>0</v>
      </c>
      <c r="J1284">
        <v>0</v>
      </c>
      <c r="K1284">
        <v>0</v>
      </c>
      <c r="N1284">
        <v>3</v>
      </c>
      <c r="O1284">
        <v>3</v>
      </c>
      <c r="P1284">
        <v>4</v>
      </c>
      <c r="Q1284">
        <v>0</v>
      </c>
      <c r="R1284">
        <v>21.95</v>
      </c>
      <c r="S1284">
        <v>14</v>
      </c>
      <c r="T1284">
        <v>14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14</v>
      </c>
      <c r="AB1284">
        <v>0</v>
      </c>
      <c r="AC1284">
        <v>0</v>
      </c>
      <c r="AD1284" t="s">
        <v>130</v>
      </c>
      <c r="AH1284">
        <v>35.950000000000003</v>
      </c>
    </row>
    <row r="1285" spans="1:34" x14ac:dyDescent="0.3">
      <c r="A1285" s="4">
        <v>1470</v>
      </c>
      <c r="B1285" s="5">
        <v>1278</v>
      </c>
      <c r="C1285">
        <v>14336</v>
      </c>
      <c r="D1285" t="s">
        <v>16890</v>
      </c>
      <c r="E1285" t="s">
        <v>132</v>
      </c>
      <c r="F1285" t="s">
        <v>124</v>
      </c>
      <c r="G1285" t="s">
        <v>28887</v>
      </c>
      <c r="H1285">
        <v>19.899999999999999</v>
      </c>
      <c r="I1285">
        <v>0</v>
      </c>
      <c r="J1285">
        <v>0</v>
      </c>
      <c r="K1285">
        <v>0</v>
      </c>
      <c r="L1285">
        <v>7</v>
      </c>
      <c r="M1285">
        <v>5</v>
      </c>
      <c r="O1285">
        <v>12</v>
      </c>
      <c r="P1285">
        <v>4</v>
      </c>
      <c r="Q1285">
        <v>0</v>
      </c>
      <c r="R1285">
        <v>35.9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H1285">
        <v>35.9</v>
      </c>
    </row>
    <row r="1286" spans="1:34" x14ac:dyDescent="0.3">
      <c r="A1286" s="4">
        <v>1471</v>
      </c>
      <c r="B1286" s="5">
        <v>1279</v>
      </c>
      <c r="C1286">
        <v>7844</v>
      </c>
      <c r="D1286" t="s">
        <v>2132</v>
      </c>
      <c r="E1286" t="s">
        <v>563</v>
      </c>
      <c r="F1286" t="s">
        <v>158</v>
      </c>
      <c r="G1286" t="s">
        <v>28888</v>
      </c>
      <c r="H1286">
        <v>19.850000000000001</v>
      </c>
      <c r="I1286">
        <v>0</v>
      </c>
      <c r="J1286">
        <v>0</v>
      </c>
      <c r="K1286">
        <v>0</v>
      </c>
      <c r="L1286">
        <v>7</v>
      </c>
      <c r="N1286">
        <v>3</v>
      </c>
      <c r="O1286">
        <v>10</v>
      </c>
      <c r="P1286">
        <v>4</v>
      </c>
      <c r="Q1286">
        <v>2</v>
      </c>
      <c r="R1286">
        <v>35.85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 t="s">
        <v>130</v>
      </c>
      <c r="AH1286">
        <v>35.85</v>
      </c>
    </row>
    <row r="1287" spans="1:34" x14ac:dyDescent="0.3">
      <c r="A1287" s="4">
        <v>1472</v>
      </c>
      <c r="B1287" s="5">
        <v>1280</v>
      </c>
      <c r="C1287">
        <v>7534</v>
      </c>
      <c r="D1287" t="s">
        <v>28889</v>
      </c>
      <c r="E1287" t="s">
        <v>88</v>
      </c>
      <c r="F1287" t="s">
        <v>34</v>
      </c>
      <c r="G1287" t="s">
        <v>28890</v>
      </c>
      <c r="H1287">
        <v>17.850000000000001</v>
      </c>
      <c r="I1287">
        <v>0</v>
      </c>
      <c r="J1287">
        <v>0</v>
      </c>
      <c r="K1287">
        <v>0</v>
      </c>
      <c r="L1287">
        <v>7</v>
      </c>
      <c r="O1287">
        <v>7</v>
      </c>
      <c r="P1287">
        <v>4</v>
      </c>
      <c r="Q1287">
        <v>2</v>
      </c>
      <c r="R1287">
        <v>30.85</v>
      </c>
      <c r="S1287">
        <v>5</v>
      </c>
      <c r="T1287">
        <v>5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5</v>
      </c>
      <c r="AB1287">
        <v>0</v>
      </c>
      <c r="AC1287">
        <v>0</v>
      </c>
      <c r="AH1287">
        <v>35.85</v>
      </c>
    </row>
    <row r="1288" spans="1:34" x14ac:dyDescent="0.3">
      <c r="A1288" s="4">
        <v>1473</v>
      </c>
      <c r="B1288" s="5">
        <v>1281</v>
      </c>
      <c r="C1288">
        <v>6949</v>
      </c>
      <c r="D1288" t="s">
        <v>6099</v>
      </c>
      <c r="E1288" t="s">
        <v>182</v>
      </c>
      <c r="F1288" t="s">
        <v>17</v>
      </c>
      <c r="G1288" t="s">
        <v>28891</v>
      </c>
      <c r="H1288">
        <v>16.829999999999998</v>
      </c>
      <c r="I1288">
        <v>0</v>
      </c>
      <c r="J1288">
        <v>0</v>
      </c>
      <c r="K1288">
        <v>0</v>
      </c>
      <c r="L1288">
        <v>7</v>
      </c>
      <c r="O1288">
        <v>7</v>
      </c>
      <c r="P1288">
        <v>4</v>
      </c>
      <c r="Q1288">
        <v>2</v>
      </c>
      <c r="R1288">
        <v>29.83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6</v>
      </c>
      <c r="AC1288">
        <v>0</v>
      </c>
      <c r="AH1288">
        <v>35.83</v>
      </c>
    </row>
    <row r="1289" spans="1:34" x14ac:dyDescent="0.3">
      <c r="A1289" s="4">
        <v>1474</v>
      </c>
      <c r="B1289" s="5">
        <v>1282</v>
      </c>
      <c r="C1289">
        <v>10576</v>
      </c>
      <c r="D1289" t="s">
        <v>16545</v>
      </c>
      <c r="E1289" t="s">
        <v>166</v>
      </c>
      <c r="F1289" t="s">
        <v>62</v>
      </c>
      <c r="G1289" t="s">
        <v>28892</v>
      </c>
      <c r="H1289">
        <v>18.8</v>
      </c>
      <c r="I1289">
        <v>0</v>
      </c>
      <c r="J1289">
        <v>0</v>
      </c>
      <c r="K1289">
        <v>0</v>
      </c>
      <c r="L1289">
        <v>7</v>
      </c>
      <c r="N1289">
        <v>3</v>
      </c>
      <c r="O1289">
        <v>10</v>
      </c>
      <c r="P1289">
        <v>4</v>
      </c>
      <c r="Q1289">
        <v>0</v>
      </c>
      <c r="R1289">
        <v>32.799999999999997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3</v>
      </c>
      <c r="AC1289">
        <v>0</v>
      </c>
      <c r="AD1289" t="s">
        <v>130</v>
      </c>
      <c r="AH1289">
        <v>35.799999999999997</v>
      </c>
    </row>
    <row r="1290" spans="1:34" x14ac:dyDescent="0.3">
      <c r="A1290" s="4">
        <v>1475</v>
      </c>
      <c r="B1290" s="5">
        <v>1283</v>
      </c>
      <c r="C1290">
        <v>6753</v>
      </c>
      <c r="D1290" t="s">
        <v>28893</v>
      </c>
      <c r="E1290" t="s">
        <v>100</v>
      </c>
      <c r="F1290" t="s">
        <v>158</v>
      </c>
      <c r="G1290" t="s">
        <v>28894</v>
      </c>
      <c r="H1290">
        <v>18.8</v>
      </c>
      <c r="I1290">
        <v>0</v>
      </c>
      <c r="J1290">
        <v>0</v>
      </c>
      <c r="K1290">
        <v>0</v>
      </c>
      <c r="N1290">
        <v>3</v>
      </c>
      <c r="O1290">
        <v>3</v>
      </c>
      <c r="P1290">
        <v>4</v>
      </c>
      <c r="Q1290">
        <v>0</v>
      </c>
      <c r="R1290">
        <v>25.8</v>
      </c>
      <c r="S1290">
        <v>7</v>
      </c>
      <c r="T1290">
        <v>7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7</v>
      </c>
      <c r="AB1290">
        <v>3</v>
      </c>
      <c r="AC1290">
        <v>0</v>
      </c>
      <c r="AD1290" t="s">
        <v>130</v>
      </c>
      <c r="AH1290">
        <v>35.799999999999997</v>
      </c>
    </row>
    <row r="1291" spans="1:34" x14ac:dyDescent="0.3">
      <c r="A1291" s="4">
        <v>1476</v>
      </c>
      <c r="B1291" s="5">
        <v>1284</v>
      </c>
      <c r="C1291">
        <v>9202</v>
      </c>
      <c r="D1291" t="s">
        <v>28895</v>
      </c>
      <c r="E1291" t="s">
        <v>97</v>
      </c>
      <c r="F1291" t="s">
        <v>20</v>
      </c>
      <c r="G1291" t="s">
        <v>28896</v>
      </c>
      <c r="H1291">
        <v>19.73</v>
      </c>
      <c r="I1291">
        <v>0</v>
      </c>
      <c r="J1291">
        <v>0</v>
      </c>
      <c r="K1291">
        <v>0</v>
      </c>
      <c r="N1291">
        <v>3</v>
      </c>
      <c r="O1291">
        <v>3</v>
      </c>
      <c r="P1291">
        <v>4</v>
      </c>
      <c r="Q1291">
        <v>0</v>
      </c>
      <c r="R1291">
        <v>26.73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9</v>
      </c>
      <c r="AC1291">
        <v>0</v>
      </c>
      <c r="AH1291">
        <v>35.729999999999997</v>
      </c>
    </row>
    <row r="1292" spans="1:34" x14ac:dyDescent="0.3">
      <c r="A1292" s="4">
        <v>1477</v>
      </c>
      <c r="B1292" s="5">
        <v>1285</v>
      </c>
      <c r="C1292">
        <v>871</v>
      </c>
      <c r="D1292" t="s">
        <v>28897</v>
      </c>
      <c r="E1292" t="s">
        <v>30</v>
      </c>
      <c r="F1292" t="s">
        <v>20</v>
      </c>
      <c r="G1292" t="s">
        <v>28898</v>
      </c>
      <c r="H1292">
        <v>20.73</v>
      </c>
      <c r="I1292">
        <v>0</v>
      </c>
      <c r="J1292">
        <v>0</v>
      </c>
      <c r="K1292">
        <v>0</v>
      </c>
      <c r="N1292">
        <v>3</v>
      </c>
      <c r="O1292">
        <v>3</v>
      </c>
      <c r="P1292">
        <v>4</v>
      </c>
      <c r="Q1292">
        <v>2</v>
      </c>
      <c r="R1292">
        <v>29.73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6</v>
      </c>
      <c r="AC1292">
        <v>0</v>
      </c>
      <c r="AH1292">
        <v>35.729999999999997</v>
      </c>
    </row>
    <row r="1293" spans="1:34" x14ac:dyDescent="0.3">
      <c r="A1293" s="4">
        <v>1478</v>
      </c>
      <c r="B1293" s="5">
        <v>1286</v>
      </c>
      <c r="C1293">
        <v>3793</v>
      </c>
      <c r="D1293" t="s">
        <v>28899</v>
      </c>
      <c r="E1293" t="s">
        <v>37</v>
      </c>
      <c r="F1293" t="s">
        <v>52</v>
      </c>
      <c r="G1293" t="s">
        <v>28900</v>
      </c>
      <c r="H1293">
        <v>21.68</v>
      </c>
      <c r="I1293">
        <v>0</v>
      </c>
      <c r="J1293">
        <v>0</v>
      </c>
      <c r="K1293">
        <v>0</v>
      </c>
      <c r="L1293">
        <v>7</v>
      </c>
      <c r="N1293">
        <v>3</v>
      </c>
      <c r="O1293">
        <v>10</v>
      </c>
      <c r="P1293">
        <v>4</v>
      </c>
      <c r="Q1293">
        <v>0</v>
      </c>
      <c r="R1293">
        <v>35.68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H1293">
        <v>35.68</v>
      </c>
    </row>
    <row r="1294" spans="1:34" x14ac:dyDescent="0.3">
      <c r="A1294" s="4">
        <v>1479</v>
      </c>
      <c r="B1294" s="5">
        <v>1287</v>
      </c>
      <c r="C1294">
        <v>3174</v>
      </c>
      <c r="D1294" t="s">
        <v>20161</v>
      </c>
      <c r="E1294" t="s">
        <v>188</v>
      </c>
      <c r="F1294" t="s">
        <v>38</v>
      </c>
      <c r="G1294" t="s">
        <v>28901</v>
      </c>
      <c r="H1294">
        <v>16.63</v>
      </c>
      <c r="I1294">
        <v>0</v>
      </c>
      <c r="J1294">
        <v>0</v>
      </c>
      <c r="K1294">
        <v>0</v>
      </c>
      <c r="M1294">
        <v>5</v>
      </c>
      <c r="O1294">
        <v>5</v>
      </c>
      <c r="P1294">
        <v>0</v>
      </c>
      <c r="Q1294">
        <v>2</v>
      </c>
      <c r="R1294">
        <v>23.63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12</v>
      </c>
      <c r="AC1294">
        <v>0</v>
      </c>
      <c r="AH1294">
        <v>35.630000000000003</v>
      </c>
    </row>
    <row r="1295" spans="1:34" x14ac:dyDescent="0.3">
      <c r="A1295" s="4">
        <v>1480</v>
      </c>
      <c r="B1295" s="5">
        <v>1288</v>
      </c>
      <c r="C1295">
        <v>1984</v>
      </c>
      <c r="D1295" t="s">
        <v>6400</v>
      </c>
      <c r="E1295" t="s">
        <v>54</v>
      </c>
      <c r="F1295" t="s">
        <v>34</v>
      </c>
      <c r="G1295" t="s">
        <v>28902</v>
      </c>
      <c r="H1295">
        <v>20.6</v>
      </c>
      <c r="I1295">
        <v>0</v>
      </c>
      <c r="J1295">
        <v>0</v>
      </c>
      <c r="K1295">
        <v>0</v>
      </c>
      <c r="M1295">
        <v>5</v>
      </c>
      <c r="O1295">
        <v>5</v>
      </c>
      <c r="P1295">
        <v>4</v>
      </c>
      <c r="Q1295">
        <v>0</v>
      </c>
      <c r="R1295">
        <v>29.6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6</v>
      </c>
      <c r="AC1295">
        <v>0</v>
      </c>
      <c r="AD1295" t="s">
        <v>130</v>
      </c>
      <c r="AH1295">
        <v>35.6</v>
      </c>
    </row>
    <row r="1296" spans="1:34" x14ac:dyDescent="0.3">
      <c r="A1296" s="4">
        <v>1481</v>
      </c>
      <c r="B1296" s="5">
        <v>1289</v>
      </c>
      <c r="C1296">
        <v>10435</v>
      </c>
      <c r="D1296" t="s">
        <v>3853</v>
      </c>
      <c r="E1296" t="s">
        <v>166</v>
      </c>
      <c r="F1296" t="s">
        <v>117</v>
      </c>
      <c r="G1296" t="s">
        <v>28903</v>
      </c>
      <c r="H1296">
        <v>19.579999999999998</v>
      </c>
      <c r="I1296">
        <v>0</v>
      </c>
      <c r="J1296">
        <v>0</v>
      </c>
      <c r="K1296">
        <v>0</v>
      </c>
      <c r="N1296">
        <v>3</v>
      </c>
      <c r="O1296">
        <v>3</v>
      </c>
      <c r="P1296">
        <v>4</v>
      </c>
      <c r="Q1296">
        <v>0</v>
      </c>
      <c r="R1296">
        <v>26.58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9</v>
      </c>
      <c r="AC1296">
        <v>0</v>
      </c>
      <c r="AH1296">
        <v>35.58</v>
      </c>
    </row>
    <row r="1297" spans="1:34" x14ac:dyDescent="0.3">
      <c r="A1297" s="4">
        <v>1482</v>
      </c>
      <c r="B1297" s="5">
        <v>1290</v>
      </c>
      <c r="C1297">
        <v>5220</v>
      </c>
      <c r="D1297" t="s">
        <v>198</v>
      </c>
      <c r="E1297" t="s">
        <v>516</v>
      </c>
      <c r="F1297" t="s">
        <v>55</v>
      </c>
      <c r="G1297" t="s">
        <v>28904</v>
      </c>
      <c r="H1297">
        <v>18.579999999999998</v>
      </c>
      <c r="I1297">
        <v>0</v>
      </c>
      <c r="J1297">
        <v>0</v>
      </c>
      <c r="K1297">
        <v>0</v>
      </c>
      <c r="N1297">
        <v>3</v>
      </c>
      <c r="O1297">
        <v>3</v>
      </c>
      <c r="P1297">
        <v>4</v>
      </c>
      <c r="Q1297">
        <v>2</v>
      </c>
      <c r="R1297">
        <v>27.58</v>
      </c>
      <c r="S1297">
        <v>8</v>
      </c>
      <c r="T1297">
        <v>8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8</v>
      </c>
      <c r="AB1297">
        <v>0</v>
      </c>
      <c r="AC1297">
        <v>0</v>
      </c>
      <c r="AH1297">
        <v>35.58</v>
      </c>
    </row>
    <row r="1298" spans="1:34" x14ac:dyDescent="0.3">
      <c r="A1298" s="4">
        <v>1483</v>
      </c>
      <c r="B1298" s="5">
        <v>1291</v>
      </c>
      <c r="C1298">
        <v>4062</v>
      </c>
      <c r="D1298" t="s">
        <v>2484</v>
      </c>
      <c r="E1298" t="s">
        <v>825</v>
      </c>
      <c r="F1298" t="s">
        <v>488</v>
      </c>
      <c r="G1298" t="s">
        <v>28905</v>
      </c>
      <c r="H1298">
        <v>21.55</v>
      </c>
      <c r="I1298">
        <v>0</v>
      </c>
      <c r="J1298">
        <v>0</v>
      </c>
      <c r="K1298">
        <v>0</v>
      </c>
      <c r="L1298">
        <v>7</v>
      </c>
      <c r="N1298">
        <v>3</v>
      </c>
      <c r="O1298">
        <v>10</v>
      </c>
      <c r="P1298">
        <v>4</v>
      </c>
      <c r="Q1298">
        <v>0</v>
      </c>
      <c r="R1298">
        <v>35.549999999999997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H1298">
        <v>35.549999999999997</v>
      </c>
    </row>
    <row r="1299" spans="1:34" x14ac:dyDescent="0.3">
      <c r="A1299" s="4">
        <v>1484</v>
      </c>
      <c r="B1299" s="5">
        <v>1292</v>
      </c>
      <c r="C1299">
        <v>2947</v>
      </c>
      <c r="D1299" t="s">
        <v>15116</v>
      </c>
      <c r="E1299" t="s">
        <v>188</v>
      </c>
      <c r="F1299" t="s">
        <v>30</v>
      </c>
      <c r="G1299" t="s">
        <v>28906</v>
      </c>
      <c r="H1299">
        <v>18.53</v>
      </c>
      <c r="I1299">
        <v>0</v>
      </c>
      <c r="J1299">
        <v>0</v>
      </c>
      <c r="K1299">
        <v>0</v>
      </c>
      <c r="L1299">
        <v>7</v>
      </c>
      <c r="O1299">
        <v>7</v>
      </c>
      <c r="P1299">
        <v>4</v>
      </c>
      <c r="Q1299">
        <v>0</v>
      </c>
      <c r="R1299">
        <v>29.53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6</v>
      </c>
      <c r="AC1299">
        <v>0</v>
      </c>
      <c r="AH1299">
        <v>35.53</v>
      </c>
    </row>
    <row r="1300" spans="1:34" x14ac:dyDescent="0.3">
      <c r="A1300" s="4">
        <v>1485</v>
      </c>
      <c r="B1300" s="5">
        <v>1293</v>
      </c>
      <c r="C1300">
        <v>12549</v>
      </c>
      <c r="D1300" t="s">
        <v>28907</v>
      </c>
      <c r="E1300" t="s">
        <v>219</v>
      </c>
      <c r="F1300" t="s">
        <v>259</v>
      </c>
      <c r="G1300" t="s">
        <v>28908</v>
      </c>
      <c r="H1300">
        <v>17.53</v>
      </c>
      <c r="I1300">
        <v>0</v>
      </c>
      <c r="J1300">
        <v>0</v>
      </c>
      <c r="K1300">
        <v>0</v>
      </c>
      <c r="M1300">
        <v>5</v>
      </c>
      <c r="N1300">
        <v>3</v>
      </c>
      <c r="O1300">
        <v>8</v>
      </c>
      <c r="P1300">
        <v>4</v>
      </c>
      <c r="Q1300">
        <v>0</v>
      </c>
      <c r="R1300">
        <v>29.53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6</v>
      </c>
      <c r="AC1300">
        <v>0</v>
      </c>
      <c r="AH1300">
        <v>35.53</v>
      </c>
    </row>
    <row r="1301" spans="1:34" x14ac:dyDescent="0.3">
      <c r="A1301" s="4">
        <v>1486</v>
      </c>
      <c r="B1301" s="5">
        <v>1294</v>
      </c>
      <c r="C1301">
        <v>8493</v>
      </c>
      <c r="D1301" t="s">
        <v>2431</v>
      </c>
      <c r="E1301" t="s">
        <v>178</v>
      </c>
      <c r="F1301" t="s">
        <v>17</v>
      </c>
      <c r="G1301" t="s">
        <v>28909</v>
      </c>
      <c r="H1301">
        <v>18.5</v>
      </c>
      <c r="I1301">
        <v>0</v>
      </c>
      <c r="J1301">
        <v>0</v>
      </c>
      <c r="K1301">
        <v>0</v>
      </c>
      <c r="O1301">
        <v>0</v>
      </c>
      <c r="P1301">
        <v>4</v>
      </c>
      <c r="Q1301">
        <v>2</v>
      </c>
      <c r="R1301">
        <v>24.5</v>
      </c>
      <c r="S1301">
        <v>8</v>
      </c>
      <c r="T1301">
        <v>8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8</v>
      </c>
      <c r="AB1301">
        <v>3</v>
      </c>
      <c r="AC1301">
        <v>0</v>
      </c>
      <c r="AH1301">
        <v>35.5</v>
      </c>
    </row>
    <row r="1302" spans="1:34" x14ac:dyDescent="0.3">
      <c r="A1302" s="4">
        <v>1487</v>
      </c>
      <c r="B1302" s="5">
        <v>1295</v>
      </c>
      <c r="C1302">
        <v>9513</v>
      </c>
      <c r="D1302" t="s">
        <v>860</v>
      </c>
      <c r="E1302" t="s">
        <v>342</v>
      </c>
      <c r="F1302" t="s">
        <v>1265</v>
      </c>
      <c r="G1302" t="s">
        <v>28910</v>
      </c>
      <c r="H1302">
        <v>16.48</v>
      </c>
      <c r="I1302">
        <v>0</v>
      </c>
      <c r="J1302">
        <v>0</v>
      </c>
      <c r="K1302">
        <v>0</v>
      </c>
      <c r="L1302">
        <v>7</v>
      </c>
      <c r="O1302">
        <v>7</v>
      </c>
      <c r="P1302">
        <v>4</v>
      </c>
      <c r="Q1302">
        <v>0</v>
      </c>
      <c r="R1302">
        <v>27.48</v>
      </c>
      <c r="S1302">
        <v>8</v>
      </c>
      <c r="T1302">
        <v>8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8</v>
      </c>
      <c r="AB1302">
        <v>0</v>
      </c>
      <c r="AC1302">
        <v>0</v>
      </c>
      <c r="AH1302">
        <v>35.479999999999997</v>
      </c>
    </row>
    <row r="1303" spans="1:34" x14ac:dyDescent="0.3">
      <c r="A1303" s="4">
        <v>1488</v>
      </c>
      <c r="B1303" s="5">
        <v>1296</v>
      </c>
      <c r="C1303">
        <v>12207</v>
      </c>
      <c r="D1303" t="s">
        <v>28911</v>
      </c>
      <c r="E1303" t="s">
        <v>1189</v>
      </c>
      <c r="F1303" t="s">
        <v>5171</v>
      </c>
      <c r="G1303" t="s">
        <v>28912</v>
      </c>
      <c r="H1303">
        <v>17.38</v>
      </c>
      <c r="I1303">
        <v>0</v>
      </c>
      <c r="J1303">
        <v>0</v>
      </c>
      <c r="K1303">
        <v>0</v>
      </c>
      <c r="M1303">
        <v>5</v>
      </c>
      <c r="O1303">
        <v>5</v>
      </c>
      <c r="P1303">
        <v>4</v>
      </c>
      <c r="Q1303">
        <v>0</v>
      </c>
      <c r="R1303">
        <v>26.38</v>
      </c>
      <c r="S1303">
        <v>9</v>
      </c>
      <c r="T1303">
        <v>9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9</v>
      </c>
      <c r="AB1303">
        <v>0</v>
      </c>
      <c r="AC1303">
        <v>0</v>
      </c>
      <c r="AH1303">
        <v>35.380000000000003</v>
      </c>
    </row>
    <row r="1304" spans="1:34" x14ac:dyDescent="0.3">
      <c r="A1304" s="4">
        <v>1489</v>
      </c>
      <c r="B1304" s="5">
        <v>1297</v>
      </c>
      <c r="C1304">
        <v>3613</v>
      </c>
      <c r="D1304" t="s">
        <v>423</v>
      </c>
      <c r="E1304" t="s">
        <v>28913</v>
      </c>
      <c r="F1304" t="s">
        <v>30</v>
      </c>
      <c r="G1304" t="s">
        <v>28914</v>
      </c>
      <c r="H1304">
        <v>18.329999999999998</v>
      </c>
      <c r="I1304">
        <v>0</v>
      </c>
      <c r="J1304">
        <v>0</v>
      </c>
      <c r="K1304">
        <v>0</v>
      </c>
      <c r="L1304">
        <v>7</v>
      </c>
      <c r="O1304">
        <v>7</v>
      </c>
      <c r="P1304">
        <v>4</v>
      </c>
      <c r="Q1304">
        <v>2</v>
      </c>
      <c r="R1304">
        <v>31.33</v>
      </c>
      <c r="S1304">
        <v>4</v>
      </c>
      <c r="T1304">
        <v>4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4</v>
      </c>
      <c r="AB1304">
        <v>0</v>
      </c>
      <c r="AC1304">
        <v>0</v>
      </c>
      <c r="AH1304">
        <v>35.33</v>
      </c>
    </row>
    <row r="1305" spans="1:34" x14ac:dyDescent="0.3">
      <c r="A1305" s="4">
        <v>1490</v>
      </c>
      <c r="B1305" s="5">
        <v>1298</v>
      </c>
      <c r="C1305">
        <v>10440</v>
      </c>
      <c r="D1305" t="s">
        <v>28915</v>
      </c>
      <c r="E1305" t="s">
        <v>38</v>
      </c>
      <c r="F1305" t="s">
        <v>17</v>
      </c>
      <c r="G1305" t="s">
        <v>28916</v>
      </c>
      <c r="H1305">
        <v>19.3</v>
      </c>
      <c r="I1305">
        <v>0</v>
      </c>
      <c r="J1305">
        <v>0</v>
      </c>
      <c r="K1305">
        <v>0</v>
      </c>
      <c r="L1305">
        <v>7</v>
      </c>
      <c r="N1305">
        <v>3</v>
      </c>
      <c r="O1305">
        <v>10</v>
      </c>
      <c r="P1305">
        <v>4</v>
      </c>
      <c r="Q1305">
        <v>2</v>
      </c>
      <c r="R1305">
        <v>35.299999999999997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H1305">
        <v>35.299999999999997</v>
      </c>
    </row>
    <row r="1306" spans="1:34" x14ac:dyDescent="0.3">
      <c r="A1306" s="4">
        <v>1491</v>
      </c>
      <c r="B1306" s="5">
        <v>1299</v>
      </c>
      <c r="C1306">
        <v>4411</v>
      </c>
      <c r="D1306" t="s">
        <v>28917</v>
      </c>
      <c r="E1306" t="s">
        <v>307</v>
      </c>
      <c r="F1306" t="s">
        <v>81</v>
      </c>
      <c r="G1306" t="s">
        <v>28918</v>
      </c>
      <c r="H1306">
        <v>21.28</v>
      </c>
      <c r="I1306">
        <v>0</v>
      </c>
      <c r="J1306">
        <v>0</v>
      </c>
      <c r="K1306">
        <v>0</v>
      </c>
      <c r="L1306">
        <v>7</v>
      </c>
      <c r="N1306">
        <v>3</v>
      </c>
      <c r="O1306">
        <v>10</v>
      </c>
      <c r="P1306">
        <v>4</v>
      </c>
      <c r="Q1306">
        <v>0</v>
      </c>
      <c r="R1306">
        <v>35.28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 t="s">
        <v>130</v>
      </c>
      <c r="AH1306">
        <v>35.28</v>
      </c>
    </row>
    <row r="1307" spans="1:34" x14ac:dyDescent="0.3">
      <c r="A1307" s="4">
        <v>1492</v>
      </c>
      <c r="B1307" s="5">
        <v>1300</v>
      </c>
      <c r="C1307">
        <v>10225</v>
      </c>
      <c r="D1307" t="s">
        <v>28919</v>
      </c>
      <c r="E1307" t="s">
        <v>2193</v>
      </c>
      <c r="F1307" t="s">
        <v>117</v>
      </c>
      <c r="G1307" t="s">
        <v>28920</v>
      </c>
      <c r="H1307">
        <v>17.25</v>
      </c>
      <c r="I1307">
        <v>0</v>
      </c>
      <c r="J1307">
        <v>0</v>
      </c>
      <c r="K1307">
        <v>0</v>
      </c>
      <c r="N1307">
        <v>3</v>
      </c>
      <c r="O1307">
        <v>3</v>
      </c>
      <c r="P1307">
        <v>4</v>
      </c>
      <c r="Q1307">
        <v>2</v>
      </c>
      <c r="R1307">
        <v>26.25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9</v>
      </c>
      <c r="AC1307">
        <v>0</v>
      </c>
      <c r="AH1307">
        <v>35.25</v>
      </c>
    </row>
    <row r="1308" spans="1:34" x14ac:dyDescent="0.3">
      <c r="A1308" s="4">
        <v>1493</v>
      </c>
      <c r="B1308" s="5">
        <v>1301</v>
      </c>
      <c r="C1308">
        <v>7683</v>
      </c>
      <c r="D1308" t="s">
        <v>1425</v>
      </c>
      <c r="E1308" t="s">
        <v>1189</v>
      </c>
      <c r="F1308" t="s">
        <v>167</v>
      </c>
      <c r="G1308" t="s">
        <v>28921</v>
      </c>
      <c r="H1308">
        <v>19.23</v>
      </c>
      <c r="I1308">
        <v>0</v>
      </c>
      <c r="J1308">
        <v>0</v>
      </c>
      <c r="K1308">
        <v>0</v>
      </c>
      <c r="N1308">
        <v>3</v>
      </c>
      <c r="O1308">
        <v>3</v>
      </c>
      <c r="P1308">
        <v>4</v>
      </c>
      <c r="Q1308">
        <v>0</v>
      </c>
      <c r="R1308">
        <v>26.23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9</v>
      </c>
      <c r="AC1308">
        <v>0</v>
      </c>
      <c r="AH1308">
        <v>35.229999999999997</v>
      </c>
    </row>
    <row r="1309" spans="1:34" x14ac:dyDescent="0.3">
      <c r="A1309" s="4">
        <v>1494</v>
      </c>
      <c r="B1309" s="5">
        <v>1302</v>
      </c>
      <c r="C1309">
        <v>1245</v>
      </c>
      <c r="D1309" t="s">
        <v>28922</v>
      </c>
      <c r="E1309" t="s">
        <v>88</v>
      </c>
      <c r="F1309" t="s">
        <v>124</v>
      </c>
      <c r="G1309" t="s">
        <v>28923</v>
      </c>
      <c r="H1309">
        <v>19.18</v>
      </c>
      <c r="I1309">
        <v>0</v>
      </c>
      <c r="J1309">
        <v>0</v>
      </c>
      <c r="K1309">
        <v>0</v>
      </c>
      <c r="N1309">
        <v>3</v>
      </c>
      <c r="O1309">
        <v>3</v>
      </c>
      <c r="P1309">
        <v>4</v>
      </c>
      <c r="Q1309">
        <v>0</v>
      </c>
      <c r="R1309">
        <v>26.18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9</v>
      </c>
      <c r="AC1309">
        <v>0</v>
      </c>
      <c r="AH1309">
        <v>35.18</v>
      </c>
    </row>
    <row r="1310" spans="1:34" x14ac:dyDescent="0.3">
      <c r="A1310" s="4">
        <v>1495</v>
      </c>
      <c r="B1310" s="5">
        <v>1303</v>
      </c>
      <c r="C1310">
        <v>6475</v>
      </c>
      <c r="D1310" t="s">
        <v>28924</v>
      </c>
      <c r="E1310" t="s">
        <v>28925</v>
      </c>
      <c r="F1310" t="s">
        <v>17</v>
      </c>
      <c r="G1310" t="s">
        <v>28926</v>
      </c>
      <c r="H1310">
        <v>16.149999999999999</v>
      </c>
      <c r="I1310">
        <v>0</v>
      </c>
      <c r="J1310">
        <v>0</v>
      </c>
      <c r="K1310">
        <v>0</v>
      </c>
      <c r="L1310">
        <v>7</v>
      </c>
      <c r="O1310">
        <v>7</v>
      </c>
      <c r="P1310">
        <v>4</v>
      </c>
      <c r="Q1310">
        <v>0</v>
      </c>
      <c r="R1310">
        <v>27.15</v>
      </c>
      <c r="S1310">
        <v>8</v>
      </c>
      <c r="T1310">
        <v>8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8</v>
      </c>
      <c r="AB1310">
        <v>0</v>
      </c>
      <c r="AC1310">
        <v>0</v>
      </c>
      <c r="AH1310">
        <v>35.15</v>
      </c>
    </row>
    <row r="1311" spans="1:34" x14ac:dyDescent="0.3">
      <c r="A1311" s="4">
        <v>1496</v>
      </c>
      <c r="B1311" s="5">
        <v>1304</v>
      </c>
      <c r="C1311">
        <v>7808</v>
      </c>
      <c r="D1311" t="s">
        <v>28927</v>
      </c>
      <c r="E1311" t="s">
        <v>41</v>
      </c>
      <c r="F1311" t="s">
        <v>972</v>
      </c>
      <c r="G1311" t="s">
        <v>28928</v>
      </c>
      <c r="H1311">
        <v>17.100000000000001</v>
      </c>
      <c r="I1311">
        <v>0</v>
      </c>
      <c r="J1311">
        <v>0</v>
      </c>
      <c r="K1311">
        <v>0</v>
      </c>
      <c r="M1311">
        <v>5</v>
      </c>
      <c r="N1311">
        <v>3</v>
      </c>
      <c r="O1311">
        <v>8</v>
      </c>
      <c r="P1311">
        <v>4</v>
      </c>
      <c r="Q1311">
        <v>0</v>
      </c>
      <c r="R1311">
        <v>29.1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6</v>
      </c>
      <c r="AC1311">
        <v>0</v>
      </c>
      <c r="AH1311">
        <v>35.1</v>
      </c>
    </row>
    <row r="1312" spans="1:34" x14ac:dyDescent="0.3">
      <c r="A1312" s="4">
        <v>1497</v>
      </c>
      <c r="B1312" s="5">
        <v>1305</v>
      </c>
      <c r="C1312">
        <v>14499</v>
      </c>
      <c r="D1312" t="s">
        <v>28929</v>
      </c>
      <c r="E1312" t="s">
        <v>110</v>
      </c>
      <c r="F1312" t="s">
        <v>17</v>
      </c>
      <c r="G1312" t="s">
        <v>28930</v>
      </c>
      <c r="H1312">
        <v>19.100000000000001</v>
      </c>
      <c r="I1312">
        <v>0</v>
      </c>
      <c r="J1312">
        <v>0</v>
      </c>
      <c r="K1312">
        <v>0</v>
      </c>
      <c r="L1312">
        <v>7</v>
      </c>
      <c r="M1312">
        <v>5</v>
      </c>
      <c r="O1312">
        <v>12</v>
      </c>
      <c r="P1312">
        <v>4</v>
      </c>
      <c r="Q1312">
        <v>0</v>
      </c>
      <c r="R1312">
        <v>35.1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H1312">
        <v>35.1</v>
      </c>
    </row>
    <row r="1313" spans="1:34" x14ac:dyDescent="0.3">
      <c r="A1313" s="4">
        <v>1498</v>
      </c>
      <c r="B1313" s="5">
        <v>1306</v>
      </c>
      <c r="C1313">
        <v>6319</v>
      </c>
      <c r="D1313" t="s">
        <v>28931</v>
      </c>
      <c r="E1313" t="s">
        <v>1694</v>
      </c>
      <c r="F1313" t="s">
        <v>17</v>
      </c>
      <c r="G1313" t="s">
        <v>28932</v>
      </c>
      <c r="H1313">
        <v>18</v>
      </c>
      <c r="I1313">
        <v>0</v>
      </c>
      <c r="J1313">
        <v>0</v>
      </c>
      <c r="K1313">
        <v>0</v>
      </c>
      <c r="L1313">
        <v>7</v>
      </c>
      <c r="O1313">
        <v>7</v>
      </c>
      <c r="P1313">
        <v>4</v>
      </c>
      <c r="Q1313">
        <v>0</v>
      </c>
      <c r="R1313">
        <v>29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6</v>
      </c>
      <c r="AC1313">
        <v>0</v>
      </c>
      <c r="AH1313">
        <v>35</v>
      </c>
    </row>
    <row r="1314" spans="1:34" x14ac:dyDescent="0.3">
      <c r="A1314" s="4">
        <v>1499</v>
      </c>
      <c r="B1314" s="5">
        <v>1307</v>
      </c>
      <c r="C1314">
        <v>1699</v>
      </c>
      <c r="D1314" t="s">
        <v>28933</v>
      </c>
      <c r="E1314" t="s">
        <v>54</v>
      </c>
      <c r="F1314" t="s">
        <v>1265</v>
      </c>
      <c r="G1314" t="s">
        <v>28934</v>
      </c>
      <c r="H1314">
        <v>21</v>
      </c>
      <c r="I1314">
        <v>0</v>
      </c>
      <c r="J1314">
        <v>0</v>
      </c>
      <c r="K1314">
        <v>0</v>
      </c>
      <c r="L1314">
        <v>7</v>
      </c>
      <c r="N1314">
        <v>3</v>
      </c>
      <c r="O1314">
        <v>10</v>
      </c>
      <c r="P1314">
        <v>4</v>
      </c>
      <c r="Q1314">
        <v>0</v>
      </c>
      <c r="R1314">
        <v>35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H1314">
        <v>35</v>
      </c>
    </row>
    <row r="1315" spans="1:34" x14ac:dyDescent="0.3">
      <c r="A1315" s="4">
        <v>1500</v>
      </c>
      <c r="B1315" s="5">
        <v>1308</v>
      </c>
      <c r="C1315">
        <v>14971</v>
      </c>
      <c r="D1315" t="s">
        <v>950</v>
      </c>
      <c r="E1315" t="s">
        <v>697</v>
      </c>
      <c r="F1315" t="s">
        <v>55</v>
      </c>
      <c r="G1315" t="s">
        <v>28935</v>
      </c>
      <c r="H1315">
        <v>20.98</v>
      </c>
      <c r="I1315">
        <v>0</v>
      </c>
      <c r="J1315">
        <v>0</v>
      </c>
      <c r="K1315">
        <v>0</v>
      </c>
      <c r="L1315">
        <v>7</v>
      </c>
      <c r="N1315">
        <v>3</v>
      </c>
      <c r="O1315">
        <v>10</v>
      </c>
      <c r="P1315">
        <v>4</v>
      </c>
      <c r="Q1315">
        <v>0</v>
      </c>
      <c r="R1315">
        <v>34.979999999999997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H1315">
        <v>34.979999999999997</v>
      </c>
    </row>
    <row r="1316" spans="1:34" x14ac:dyDescent="0.3">
      <c r="A1316" s="4">
        <v>1501</v>
      </c>
      <c r="B1316" s="5">
        <v>1309</v>
      </c>
      <c r="C1316">
        <v>5218</v>
      </c>
      <c r="D1316" t="s">
        <v>4976</v>
      </c>
      <c r="E1316" t="s">
        <v>188</v>
      </c>
      <c r="F1316" t="s">
        <v>81</v>
      </c>
      <c r="G1316" t="s">
        <v>28936</v>
      </c>
      <c r="H1316">
        <v>20.88</v>
      </c>
      <c r="I1316">
        <v>0</v>
      </c>
      <c r="J1316">
        <v>0</v>
      </c>
      <c r="K1316">
        <v>0</v>
      </c>
      <c r="L1316">
        <v>7</v>
      </c>
      <c r="N1316">
        <v>3</v>
      </c>
      <c r="O1316">
        <v>10</v>
      </c>
      <c r="P1316">
        <v>4</v>
      </c>
      <c r="Q1316">
        <v>0</v>
      </c>
      <c r="R1316">
        <v>34.880000000000003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H1316">
        <v>34.880000000000003</v>
      </c>
    </row>
    <row r="1317" spans="1:34" x14ac:dyDescent="0.3">
      <c r="A1317" s="4">
        <v>1502</v>
      </c>
      <c r="B1317" s="5">
        <v>1310</v>
      </c>
      <c r="C1317">
        <v>13411</v>
      </c>
      <c r="D1317" t="s">
        <v>27710</v>
      </c>
      <c r="E1317" t="s">
        <v>26</v>
      </c>
      <c r="F1317" t="s">
        <v>328</v>
      </c>
      <c r="G1317" t="s">
        <v>28937</v>
      </c>
      <c r="H1317">
        <v>16.850000000000001</v>
      </c>
      <c r="I1317">
        <v>0</v>
      </c>
      <c r="J1317">
        <v>0</v>
      </c>
      <c r="K1317">
        <v>0</v>
      </c>
      <c r="N1317">
        <v>3</v>
      </c>
      <c r="O1317">
        <v>3</v>
      </c>
      <c r="P1317">
        <v>4</v>
      </c>
      <c r="Q1317">
        <v>0</v>
      </c>
      <c r="R1317">
        <v>23.85</v>
      </c>
      <c r="S1317">
        <v>5</v>
      </c>
      <c r="T1317">
        <v>5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5</v>
      </c>
      <c r="AB1317">
        <v>6</v>
      </c>
      <c r="AC1317">
        <v>0</v>
      </c>
      <c r="AD1317" t="s">
        <v>130</v>
      </c>
      <c r="AH1317">
        <v>34.85</v>
      </c>
    </row>
    <row r="1318" spans="1:34" x14ac:dyDescent="0.3">
      <c r="A1318" s="4">
        <v>1503</v>
      </c>
      <c r="B1318" s="5">
        <v>1311</v>
      </c>
      <c r="C1318">
        <v>1119</v>
      </c>
      <c r="D1318" t="s">
        <v>1711</v>
      </c>
      <c r="E1318" t="s">
        <v>575</v>
      </c>
      <c r="F1318" t="s">
        <v>20</v>
      </c>
      <c r="G1318" t="s">
        <v>28938</v>
      </c>
      <c r="H1318">
        <v>16.829999999999998</v>
      </c>
      <c r="I1318">
        <v>0</v>
      </c>
      <c r="J1318">
        <v>0</v>
      </c>
      <c r="K1318">
        <v>0</v>
      </c>
      <c r="N1318">
        <v>3</v>
      </c>
      <c r="O1318">
        <v>3</v>
      </c>
      <c r="P1318">
        <v>4</v>
      </c>
      <c r="Q1318">
        <v>2</v>
      </c>
      <c r="R1318">
        <v>25.83</v>
      </c>
      <c r="S1318">
        <v>3</v>
      </c>
      <c r="T1318">
        <v>3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3</v>
      </c>
      <c r="AB1318">
        <v>6</v>
      </c>
      <c r="AC1318">
        <v>0</v>
      </c>
      <c r="AH1318">
        <v>34.83</v>
      </c>
    </row>
    <row r="1319" spans="1:34" x14ac:dyDescent="0.3">
      <c r="A1319" s="4">
        <v>1504</v>
      </c>
      <c r="B1319" s="5">
        <v>1312</v>
      </c>
      <c r="C1319">
        <v>10524</v>
      </c>
      <c r="D1319" t="s">
        <v>28939</v>
      </c>
      <c r="E1319" t="s">
        <v>17</v>
      </c>
      <c r="F1319" t="s">
        <v>140</v>
      </c>
      <c r="G1319" t="s">
        <v>28940</v>
      </c>
      <c r="H1319">
        <v>20.83</v>
      </c>
      <c r="I1319">
        <v>0</v>
      </c>
      <c r="J1319">
        <v>0</v>
      </c>
      <c r="K1319">
        <v>0</v>
      </c>
      <c r="L1319">
        <v>7</v>
      </c>
      <c r="N1319">
        <v>3</v>
      </c>
      <c r="O1319">
        <v>10</v>
      </c>
      <c r="P1319">
        <v>4</v>
      </c>
      <c r="Q1319">
        <v>0</v>
      </c>
      <c r="R1319">
        <v>34.83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H1319">
        <v>34.83</v>
      </c>
    </row>
    <row r="1320" spans="1:34" x14ac:dyDescent="0.3">
      <c r="A1320" s="4">
        <v>1505</v>
      </c>
      <c r="B1320" s="5">
        <v>1313</v>
      </c>
      <c r="C1320">
        <v>9709</v>
      </c>
      <c r="D1320" t="s">
        <v>28941</v>
      </c>
      <c r="E1320" t="s">
        <v>71</v>
      </c>
      <c r="F1320" t="s">
        <v>20</v>
      </c>
      <c r="G1320" t="s">
        <v>28942</v>
      </c>
      <c r="H1320">
        <v>18.78</v>
      </c>
      <c r="I1320">
        <v>0</v>
      </c>
      <c r="J1320">
        <v>0</v>
      </c>
      <c r="K1320">
        <v>0</v>
      </c>
      <c r="L1320">
        <v>7</v>
      </c>
      <c r="O1320">
        <v>7</v>
      </c>
      <c r="P1320">
        <v>4</v>
      </c>
      <c r="Q1320">
        <v>2</v>
      </c>
      <c r="R1320">
        <v>31.78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3</v>
      </c>
      <c r="AC1320">
        <v>0</v>
      </c>
      <c r="AH1320">
        <v>34.78</v>
      </c>
    </row>
    <row r="1321" spans="1:34" x14ac:dyDescent="0.3">
      <c r="A1321" s="4">
        <v>1506</v>
      </c>
      <c r="B1321" s="5">
        <v>1314</v>
      </c>
      <c r="C1321">
        <v>12564</v>
      </c>
      <c r="D1321" t="s">
        <v>28943</v>
      </c>
      <c r="E1321" t="s">
        <v>188</v>
      </c>
      <c r="F1321" t="s">
        <v>28944</v>
      </c>
      <c r="G1321" t="s">
        <v>28945</v>
      </c>
      <c r="H1321">
        <v>20.75</v>
      </c>
      <c r="I1321">
        <v>0</v>
      </c>
      <c r="J1321">
        <v>0</v>
      </c>
      <c r="K1321">
        <v>0</v>
      </c>
      <c r="L1321">
        <v>7</v>
      </c>
      <c r="N1321">
        <v>3</v>
      </c>
      <c r="O1321">
        <v>10</v>
      </c>
      <c r="P1321">
        <v>4</v>
      </c>
      <c r="Q1321">
        <v>0</v>
      </c>
      <c r="R1321">
        <v>34.75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H1321">
        <v>34.75</v>
      </c>
    </row>
    <row r="1322" spans="1:34" x14ac:dyDescent="0.3">
      <c r="A1322" s="4">
        <v>1507</v>
      </c>
      <c r="B1322" s="5">
        <v>1315</v>
      </c>
      <c r="C1322">
        <v>13957</v>
      </c>
      <c r="D1322" t="s">
        <v>28696</v>
      </c>
      <c r="E1322" t="s">
        <v>2758</v>
      </c>
      <c r="F1322" t="s">
        <v>62</v>
      </c>
      <c r="G1322" t="s">
        <v>28946</v>
      </c>
      <c r="H1322">
        <v>18.73</v>
      </c>
      <c r="I1322">
        <v>0</v>
      </c>
      <c r="J1322">
        <v>0</v>
      </c>
      <c r="K1322">
        <v>0</v>
      </c>
      <c r="L1322">
        <v>7</v>
      </c>
      <c r="O1322">
        <v>7</v>
      </c>
      <c r="P1322">
        <v>4</v>
      </c>
      <c r="Q1322">
        <v>2</v>
      </c>
      <c r="R1322">
        <v>31.73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3</v>
      </c>
      <c r="AC1322">
        <v>0</v>
      </c>
      <c r="AH1322">
        <v>34.729999999999997</v>
      </c>
    </row>
    <row r="1323" spans="1:34" x14ac:dyDescent="0.3">
      <c r="A1323" s="4">
        <v>1508</v>
      </c>
      <c r="B1323" s="5">
        <v>1316</v>
      </c>
      <c r="C1323">
        <v>14892</v>
      </c>
      <c r="D1323" t="s">
        <v>3657</v>
      </c>
      <c r="E1323" t="s">
        <v>110</v>
      </c>
      <c r="F1323" t="s">
        <v>11052</v>
      </c>
      <c r="G1323" t="s">
        <v>28947</v>
      </c>
      <c r="H1323">
        <v>21.73</v>
      </c>
      <c r="I1323">
        <v>0</v>
      </c>
      <c r="J1323">
        <v>0</v>
      </c>
      <c r="K1323">
        <v>0</v>
      </c>
      <c r="L1323">
        <v>7</v>
      </c>
      <c r="O1323">
        <v>7</v>
      </c>
      <c r="P1323">
        <v>4</v>
      </c>
      <c r="Q1323">
        <v>2</v>
      </c>
      <c r="R1323">
        <v>34.729999999999997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H1323">
        <v>34.729999999999997</v>
      </c>
    </row>
    <row r="1324" spans="1:34" x14ac:dyDescent="0.3">
      <c r="A1324" s="4">
        <v>1509</v>
      </c>
      <c r="B1324" s="5">
        <v>1317</v>
      </c>
      <c r="C1324">
        <v>9907</v>
      </c>
      <c r="D1324" t="s">
        <v>28948</v>
      </c>
      <c r="E1324" t="s">
        <v>4239</v>
      </c>
      <c r="F1324" t="s">
        <v>190</v>
      </c>
      <c r="G1324" t="s">
        <v>28949</v>
      </c>
      <c r="H1324">
        <v>20.65</v>
      </c>
      <c r="I1324">
        <v>0</v>
      </c>
      <c r="J1324">
        <v>0</v>
      </c>
      <c r="K1324">
        <v>0</v>
      </c>
      <c r="L1324">
        <v>7</v>
      </c>
      <c r="N1324">
        <v>3</v>
      </c>
      <c r="O1324">
        <v>10</v>
      </c>
      <c r="P1324">
        <v>4</v>
      </c>
      <c r="Q1324">
        <v>0</v>
      </c>
      <c r="R1324">
        <v>34.65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H1324">
        <v>34.65</v>
      </c>
    </row>
    <row r="1325" spans="1:34" x14ac:dyDescent="0.3">
      <c r="A1325" s="4">
        <v>1510</v>
      </c>
      <c r="B1325" s="5">
        <v>1318</v>
      </c>
      <c r="C1325">
        <v>14260</v>
      </c>
      <c r="D1325" t="s">
        <v>28950</v>
      </c>
      <c r="E1325" t="s">
        <v>5776</v>
      </c>
      <c r="F1325" t="s">
        <v>34</v>
      </c>
      <c r="G1325" t="s">
        <v>28951</v>
      </c>
      <c r="H1325">
        <v>16.649999999999999</v>
      </c>
      <c r="I1325">
        <v>0</v>
      </c>
      <c r="J1325">
        <v>0</v>
      </c>
      <c r="K1325">
        <v>0</v>
      </c>
      <c r="N1325">
        <v>3</v>
      </c>
      <c r="O1325">
        <v>3</v>
      </c>
      <c r="P1325">
        <v>4</v>
      </c>
      <c r="Q1325">
        <v>0</v>
      </c>
      <c r="R1325">
        <v>23.65</v>
      </c>
      <c r="S1325">
        <v>11</v>
      </c>
      <c r="T1325">
        <v>11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11</v>
      </c>
      <c r="AB1325">
        <v>0</v>
      </c>
      <c r="AC1325">
        <v>0</v>
      </c>
      <c r="AH1325">
        <v>34.65</v>
      </c>
    </row>
    <row r="1326" spans="1:34" x14ac:dyDescent="0.3">
      <c r="A1326" s="4">
        <v>1511</v>
      </c>
      <c r="B1326" s="5">
        <v>1319</v>
      </c>
      <c r="C1326">
        <v>13479</v>
      </c>
      <c r="D1326" t="s">
        <v>28952</v>
      </c>
      <c r="E1326" t="s">
        <v>41</v>
      </c>
      <c r="F1326" t="s">
        <v>34</v>
      </c>
      <c r="G1326" t="s">
        <v>28953</v>
      </c>
      <c r="H1326">
        <v>20.6</v>
      </c>
      <c r="I1326">
        <v>0</v>
      </c>
      <c r="J1326">
        <v>0</v>
      </c>
      <c r="K1326">
        <v>0</v>
      </c>
      <c r="L1326">
        <v>7</v>
      </c>
      <c r="N1326">
        <v>3</v>
      </c>
      <c r="O1326">
        <v>10</v>
      </c>
      <c r="P1326">
        <v>4</v>
      </c>
      <c r="Q1326">
        <v>0</v>
      </c>
      <c r="R1326">
        <v>34.6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H1326">
        <v>34.6</v>
      </c>
    </row>
    <row r="1327" spans="1:34" x14ac:dyDescent="0.3">
      <c r="A1327" s="4">
        <v>1512</v>
      </c>
      <c r="B1327" s="5">
        <v>1320</v>
      </c>
      <c r="C1327">
        <v>10353</v>
      </c>
      <c r="D1327" t="s">
        <v>28954</v>
      </c>
      <c r="E1327" t="s">
        <v>400</v>
      </c>
      <c r="F1327" t="s">
        <v>38</v>
      </c>
      <c r="G1327" t="s">
        <v>28955</v>
      </c>
      <c r="H1327">
        <v>17.579999999999998</v>
      </c>
      <c r="I1327">
        <v>0</v>
      </c>
      <c r="J1327">
        <v>0</v>
      </c>
      <c r="K1327">
        <v>0</v>
      </c>
      <c r="L1327">
        <v>7</v>
      </c>
      <c r="O1327">
        <v>7</v>
      </c>
      <c r="P1327">
        <v>4</v>
      </c>
      <c r="Q1327">
        <v>0</v>
      </c>
      <c r="R1327">
        <v>28.58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6</v>
      </c>
      <c r="AC1327">
        <v>0</v>
      </c>
      <c r="AH1327">
        <v>34.58</v>
      </c>
    </row>
    <row r="1328" spans="1:34" x14ac:dyDescent="0.3">
      <c r="A1328" s="4">
        <v>1513</v>
      </c>
      <c r="B1328" s="5">
        <v>1321</v>
      </c>
      <c r="C1328">
        <v>1821</v>
      </c>
      <c r="D1328" t="s">
        <v>28956</v>
      </c>
      <c r="E1328" t="s">
        <v>801</v>
      </c>
      <c r="F1328" t="s">
        <v>68</v>
      </c>
      <c r="G1328" t="s">
        <v>28957</v>
      </c>
      <c r="H1328">
        <v>23.53</v>
      </c>
      <c r="I1328">
        <v>0</v>
      </c>
      <c r="J1328">
        <v>0</v>
      </c>
      <c r="K1328">
        <v>0</v>
      </c>
      <c r="L1328">
        <v>7</v>
      </c>
      <c r="O1328">
        <v>7</v>
      </c>
      <c r="P1328">
        <v>4</v>
      </c>
      <c r="Q1328">
        <v>0</v>
      </c>
      <c r="R1328">
        <v>34.53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H1328">
        <v>34.53</v>
      </c>
    </row>
    <row r="1329" spans="1:34" x14ac:dyDescent="0.3">
      <c r="A1329" s="4">
        <v>1514</v>
      </c>
      <c r="B1329" s="5">
        <v>1322</v>
      </c>
      <c r="C1329">
        <v>4551</v>
      </c>
      <c r="D1329" t="s">
        <v>181</v>
      </c>
      <c r="E1329" t="s">
        <v>54</v>
      </c>
      <c r="F1329" t="s">
        <v>136</v>
      </c>
      <c r="G1329" t="s">
        <v>28958</v>
      </c>
      <c r="H1329">
        <v>20.53</v>
      </c>
      <c r="I1329">
        <v>7</v>
      </c>
      <c r="J1329">
        <v>0</v>
      </c>
      <c r="K1329">
        <v>0</v>
      </c>
      <c r="N1329">
        <v>3</v>
      </c>
      <c r="O1329">
        <v>3</v>
      </c>
      <c r="P1329">
        <v>4</v>
      </c>
      <c r="Q1329">
        <v>0</v>
      </c>
      <c r="R1329">
        <v>34.53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H1329">
        <v>34.53</v>
      </c>
    </row>
    <row r="1330" spans="1:34" x14ac:dyDescent="0.3">
      <c r="A1330" s="4">
        <v>1515</v>
      </c>
      <c r="B1330" s="5">
        <v>1323</v>
      </c>
      <c r="C1330">
        <v>5497</v>
      </c>
      <c r="D1330" t="s">
        <v>28959</v>
      </c>
      <c r="E1330" t="s">
        <v>158</v>
      </c>
      <c r="F1330" t="s">
        <v>343</v>
      </c>
      <c r="G1330" t="s">
        <v>28960</v>
      </c>
      <c r="H1330">
        <v>18.53</v>
      </c>
      <c r="I1330">
        <v>0</v>
      </c>
      <c r="J1330">
        <v>0</v>
      </c>
      <c r="K1330">
        <v>0</v>
      </c>
      <c r="L1330">
        <v>7</v>
      </c>
      <c r="M1330">
        <v>5</v>
      </c>
      <c r="O1330">
        <v>12</v>
      </c>
      <c r="P1330">
        <v>4</v>
      </c>
      <c r="Q1330">
        <v>0</v>
      </c>
      <c r="R1330">
        <v>34.53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H1330">
        <v>34.53</v>
      </c>
    </row>
    <row r="1331" spans="1:34" x14ac:dyDescent="0.3">
      <c r="A1331" s="4">
        <v>1516</v>
      </c>
      <c r="B1331" s="5">
        <v>1324</v>
      </c>
      <c r="C1331">
        <v>1812</v>
      </c>
      <c r="D1331" t="s">
        <v>14207</v>
      </c>
      <c r="E1331" t="s">
        <v>14208</v>
      </c>
      <c r="F1331" t="s">
        <v>14209</v>
      </c>
      <c r="G1331" t="s">
        <v>14210</v>
      </c>
      <c r="H1331">
        <v>21.5</v>
      </c>
      <c r="I1331">
        <v>0</v>
      </c>
      <c r="J1331">
        <v>0</v>
      </c>
      <c r="K1331">
        <v>0</v>
      </c>
      <c r="L1331">
        <v>7</v>
      </c>
      <c r="O1331">
        <v>7</v>
      </c>
      <c r="P1331">
        <v>0</v>
      </c>
      <c r="Q1331">
        <v>0</v>
      </c>
      <c r="R1331">
        <v>28.5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6</v>
      </c>
      <c r="AC1331">
        <v>0</v>
      </c>
      <c r="AH1331">
        <v>34.5</v>
      </c>
    </row>
    <row r="1332" spans="1:34" x14ac:dyDescent="0.3">
      <c r="A1332" s="4">
        <v>1517</v>
      </c>
      <c r="B1332" s="5">
        <v>1325</v>
      </c>
      <c r="C1332">
        <v>11123</v>
      </c>
      <c r="D1332" t="s">
        <v>3819</v>
      </c>
      <c r="E1332" t="s">
        <v>28961</v>
      </c>
      <c r="F1332" t="s">
        <v>17</v>
      </c>
      <c r="G1332" t="s">
        <v>28962</v>
      </c>
      <c r="H1332">
        <v>20.5</v>
      </c>
      <c r="I1332">
        <v>7</v>
      </c>
      <c r="J1332">
        <v>0</v>
      </c>
      <c r="K1332">
        <v>0</v>
      </c>
      <c r="N1332">
        <v>3</v>
      </c>
      <c r="O1332">
        <v>3</v>
      </c>
      <c r="P1332">
        <v>4</v>
      </c>
      <c r="Q1332">
        <v>0</v>
      </c>
      <c r="R1332">
        <v>34.5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H1332">
        <v>34.5</v>
      </c>
    </row>
    <row r="1333" spans="1:34" x14ac:dyDescent="0.3">
      <c r="A1333" s="4">
        <v>1518</v>
      </c>
      <c r="B1333" s="5">
        <v>1326</v>
      </c>
      <c r="C1333">
        <v>14091</v>
      </c>
      <c r="D1333" t="s">
        <v>3326</v>
      </c>
      <c r="E1333" t="s">
        <v>957</v>
      </c>
      <c r="F1333" t="s">
        <v>892</v>
      </c>
      <c r="G1333" t="s">
        <v>28963</v>
      </c>
      <c r="H1333">
        <v>20.38</v>
      </c>
      <c r="I1333">
        <v>0</v>
      </c>
      <c r="J1333">
        <v>0</v>
      </c>
      <c r="K1333">
        <v>0</v>
      </c>
      <c r="L1333">
        <v>7</v>
      </c>
      <c r="O1333">
        <v>7</v>
      </c>
      <c r="P1333">
        <v>4</v>
      </c>
      <c r="Q1333">
        <v>0</v>
      </c>
      <c r="R1333">
        <v>31.38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3</v>
      </c>
      <c r="AC1333">
        <v>0</v>
      </c>
      <c r="AH1333">
        <v>34.380000000000003</v>
      </c>
    </row>
    <row r="1334" spans="1:34" x14ac:dyDescent="0.3">
      <c r="A1334" s="4">
        <v>1519</v>
      </c>
      <c r="B1334" s="5">
        <v>1327</v>
      </c>
      <c r="C1334">
        <v>7429</v>
      </c>
      <c r="D1334" t="s">
        <v>5911</v>
      </c>
      <c r="E1334" t="s">
        <v>1140</v>
      </c>
      <c r="F1334" t="s">
        <v>117</v>
      </c>
      <c r="G1334" t="s">
        <v>28964</v>
      </c>
      <c r="H1334">
        <v>23.38</v>
      </c>
      <c r="I1334">
        <v>0</v>
      </c>
      <c r="J1334">
        <v>0</v>
      </c>
      <c r="K1334">
        <v>0</v>
      </c>
      <c r="L1334">
        <v>7</v>
      </c>
      <c r="O1334">
        <v>7</v>
      </c>
      <c r="P1334">
        <v>4</v>
      </c>
      <c r="Q1334">
        <v>0</v>
      </c>
      <c r="R1334">
        <v>34.380000000000003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H1334">
        <v>34.380000000000003</v>
      </c>
    </row>
    <row r="1335" spans="1:34" x14ac:dyDescent="0.3">
      <c r="A1335" s="4">
        <v>1520</v>
      </c>
      <c r="B1335" s="5">
        <v>1328</v>
      </c>
      <c r="C1335">
        <v>8209</v>
      </c>
      <c r="D1335" t="s">
        <v>28965</v>
      </c>
      <c r="E1335" t="s">
        <v>54</v>
      </c>
      <c r="F1335" t="s">
        <v>124</v>
      </c>
      <c r="G1335" t="s">
        <v>28966</v>
      </c>
      <c r="H1335">
        <v>20.329999999999998</v>
      </c>
      <c r="I1335">
        <v>0</v>
      </c>
      <c r="J1335">
        <v>0</v>
      </c>
      <c r="K1335">
        <v>0</v>
      </c>
      <c r="L1335">
        <v>7</v>
      </c>
      <c r="N1335">
        <v>3</v>
      </c>
      <c r="O1335">
        <v>10</v>
      </c>
      <c r="P1335">
        <v>4</v>
      </c>
      <c r="Q1335">
        <v>0</v>
      </c>
      <c r="R1335">
        <v>34.33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H1335">
        <v>34.33</v>
      </c>
    </row>
    <row r="1336" spans="1:34" x14ac:dyDescent="0.3">
      <c r="A1336" s="4">
        <v>1521</v>
      </c>
      <c r="B1336" s="5">
        <v>1329</v>
      </c>
      <c r="C1336">
        <v>7582</v>
      </c>
      <c r="D1336" t="s">
        <v>1742</v>
      </c>
      <c r="E1336" t="s">
        <v>170</v>
      </c>
      <c r="F1336" t="s">
        <v>30</v>
      </c>
      <c r="G1336" t="s">
        <v>28967</v>
      </c>
      <c r="H1336">
        <v>18.3</v>
      </c>
      <c r="I1336">
        <v>0</v>
      </c>
      <c r="J1336">
        <v>0</v>
      </c>
      <c r="K1336">
        <v>0</v>
      </c>
      <c r="N1336">
        <v>3</v>
      </c>
      <c r="O1336">
        <v>3</v>
      </c>
      <c r="P1336">
        <v>4</v>
      </c>
      <c r="Q1336">
        <v>0</v>
      </c>
      <c r="R1336">
        <v>25.3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9</v>
      </c>
      <c r="AC1336">
        <v>0</v>
      </c>
      <c r="AH1336">
        <v>34.299999999999997</v>
      </c>
    </row>
    <row r="1337" spans="1:34" x14ac:dyDescent="0.3">
      <c r="A1337" s="4">
        <v>1522</v>
      </c>
      <c r="B1337" s="5">
        <v>1330</v>
      </c>
      <c r="C1337">
        <v>13343</v>
      </c>
      <c r="D1337" t="s">
        <v>28968</v>
      </c>
      <c r="E1337" t="s">
        <v>54</v>
      </c>
      <c r="F1337" t="s">
        <v>328</v>
      </c>
      <c r="G1337" t="s">
        <v>28969</v>
      </c>
      <c r="H1337">
        <v>18.25</v>
      </c>
      <c r="I1337">
        <v>0</v>
      </c>
      <c r="J1337">
        <v>0</v>
      </c>
      <c r="K1337">
        <v>0</v>
      </c>
      <c r="N1337">
        <v>3</v>
      </c>
      <c r="O1337">
        <v>3</v>
      </c>
      <c r="P1337">
        <v>4</v>
      </c>
      <c r="Q1337">
        <v>0</v>
      </c>
      <c r="R1337">
        <v>25.25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9</v>
      </c>
      <c r="AC1337">
        <v>0</v>
      </c>
      <c r="AH1337">
        <v>34.25</v>
      </c>
    </row>
    <row r="1338" spans="1:34" x14ac:dyDescent="0.3">
      <c r="A1338" s="4">
        <v>1523</v>
      </c>
      <c r="B1338" s="5">
        <v>1331</v>
      </c>
      <c r="C1338">
        <v>11904</v>
      </c>
      <c r="D1338" t="s">
        <v>1752</v>
      </c>
      <c r="E1338" t="s">
        <v>88</v>
      </c>
      <c r="F1338" t="s">
        <v>442</v>
      </c>
      <c r="G1338" t="s">
        <v>28970</v>
      </c>
      <c r="H1338">
        <v>17.25</v>
      </c>
      <c r="I1338">
        <v>0</v>
      </c>
      <c r="J1338">
        <v>0</v>
      </c>
      <c r="K1338">
        <v>0</v>
      </c>
      <c r="L1338">
        <v>7</v>
      </c>
      <c r="O1338">
        <v>7</v>
      </c>
      <c r="P1338">
        <v>4</v>
      </c>
      <c r="Q1338">
        <v>0</v>
      </c>
      <c r="R1338">
        <v>28.25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6</v>
      </c>
      <c r="AC1338">
        <v>0</v>
      </c>
      <c r="AH1338">
        <v>34.25</v>
      </c>
    </row>
    <row r="1339" spans="1:34" x14ac:dyDescent="0.3">
      <c r="A1339" s="4">
        <v>1524</v>
      </c>
      <c r="B1339" s="5">
        <v>1332</v>
      </c>
      <c r="C1339">
        <v>4040</v>
      </c>
      <c r="D1339" t="s">
        <v>348</v>
      </c>
      <c r="E1339" t="s">
        <v>22</v>
      </c>
      <c r="F1339" t="s">
        <v>259</v>
      </c>
      <c r="G1339" t="s">
        <v>28971</v>
      </c>
      <c r="H1339">
        <v>19.23</v>
      </c>
      <c r="I1339">
        <v>0</v>
      </c>
      <c r="J1339">
        <v>0</v>
      </c>
      <c r="K1339">
        <v>0</v>
      </c>
      <c r="N1339">
        <v>3</v>
      </c>
      <c r="O1339">
        <v>3</v>
      </c>
      <c r="P1339">
        <v>4</v>
      </c>
      <c r="Q1339">
        <v>2</v>
      </c>
      <c r="R1339">
        <v>28.23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6</v>
      </c>
      <c r="AC1339">
        <v>0</v>
      </c>
      <c r="AD1339" t="s">
        <v>130</v>
      </c>
      <c r="AH1339">
        <v>34.229999999999997</v>
      </c>
    </row>
    <row r="1340" spans="1:34" x14ac:dyDescent="0.3">
      <c r="A1340" s="4">
        <v>1525</v>
      </c>
      <c r="B1340" s="5">
        <v>1333</v>
      </c>
      <c r="C1340">
        <v>13035</v>
      </c>
      <c r="D1340" t="s">
        <v>28972</v>
      </c>
      <c r="E1340" t="s">
        <v>28973</v>
      </c>
      <c r="F1340" t="s">
        <v>81</v>
      </c>
      <c r="G1340" t="s">
        <v>28974</v>
      </c>
      <c r="H1340">
        <v>18.2</v>
      </c>
      <c r="I1340">
        <v>0</v>
      </c>
      <c r="J1340">
        <v>0</v>
      </c>
      <c r="K1340">
        <v>0</v>
      </c>
      <c r="N1340">
        <v>3</v>
      </c>
      <c r="O1340">
        <v>3</v>
      </c>
      <c r="P1340">
        <v>4</v>
      </c>
      <c r="Q1340">
        <v>0</v>
      </c>
      <c r="R1340">
        <v>25.2</v>
      </c>
      <c r="S1340">
        <v>3</v>
      </c>
      <c r="T1340">
        <v>3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3</v>
      </c>
      <c r="AB1340">
        <v>6</v>
      </c>
      <c r="AC1340">
        <v>0</v>
      </c>
      <c r="AH1340">
        <v>34.200000000000003</v>
      </c>
    </row>
    <row r="1341" spans="1:34" x14ac:dyDescent="0.3">
      <c r="A1341" s="4">
        <v>1526</v>
      </c>
      <c r="B1341" s="5">
        <v>1334</v>
      </c>
      <c r="C1341">
        <v>14407</v>
      </c>
      <c r="D1341" t="s">
        <v>12210</v>
      </c>
      <c r="E1341" t="s">
        <v>37</v>
      </c>
      <c r="F1341" t="s">
        <v>136</v>
      </c>
      <c r="G1341" t="s">
        <v>28975</v>
      </c>
      <c r="H1341">
        <v>15.2</v>
      </c>
      <c r="I1341">
        <v>0</v>
      </c>
      <c r="J1341">
        <v>0</v>
      </c>
      <c r="K1341">
        <v>0</v>
      </c>
      <c r="N1341">
        <v>3</v>
      </c>
      <c r="O1341">
        <v>3</v>
      </c>
      <c r="P1341">
        <v>4</v>
      </c>
      <c r="Q1341">
        <v>0</v>
      </c>
      <c r="R1341">
        <v>22.2</v>
      </c>
      <c r="S1341">
        <v>6</v>
      </c>
      <c r="T1341">
        <v>6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6</v>
      </c>
      <c r="AB1341">
        <v>6</v>
      </c>
      <c r="AC1341">
        <v>0</v>
      </c>
      <c r="AH1341">
        <v>34.200000000000003</v>
      </c>
    </row>
    <row r="1342" spans="1:34" x14ac:dyDescent="0.3">
      <c r="A1342" s="4">
        <v>1527</v>
      </c>
      <c r="B1342" s="5">
        <v>1335</v>
      </c>
      <c r="C1342">
        <v>15411</v>
      </c>
      <c r="D1342" t="s">
        <v>28976</v>
      </c>
      <c r="E1342" t="s">
        <v>22</v>
      </c>
      <c r="F1342" t="s">
        <v>4680</v>
      </c>
      <c r="G1342" t="s">
        <v>28977</v>
      </c>
      <c r="H1342">
        <v>18.13</v>
      </c>
      <c r="I1342">
        <v>0</v>
      </c>
      <c r="J1342">
        <v>0</v>
      </c>
      <c r="K1342">
        <v>0</v>
      </c>
      <c r="L1342">
        <v>7</v>
      </c>
      <c r="O1342">
        <v>7</v>
      </c>
      <c r="P1342">
        <v>4</v>
      </c>
      <c r="Q1342">
        <v>2</v>
      </c>
      <c r="R1342">
        <v>31.13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3</v>
      </c>
      <c r="AC1342">
        <v>0</v>
      </c>
      <c r="AD1342" t="s">
        <v>130</v>
      </c>
      <c r="AH1342">
        <v>34.130000000000003</v>
      </c>
    </row>
    <row r="1343" spans="1:34" x14ac:dyDescent="0.3">
      <c r="A1343" s="4">
        <v>1528</v>
      </c>
      <c r="B1343" s="5">
        <v>1336</v>
      </c>
      <c r="C1343">
        <v>13775</v>
      </c>
      <c r="D1343" t="s">
        <v>28978</v>
      </c>
      <c r="E1343" t="s">
        <v>81</v>
      </c>
      <c r="F1343" t="s">
        <v>17</v>
      </c>
      <c r="G1343" t="s">
        <v>28979</v>
      </c>
      <c r="H1343">
        <v>18.100000000000001</v>
      </c>
      <c r="I1343">
        <v>0</v>
      </c>
      <c r="J1343">
        <v>0</v>
      </c>
      <c r="K1343">
        <v>0</v>
      </c>
      <c r="L1343">
        <v>7</v>
      </c>
      <c r="O1343">
        <v>7</v>
      </c>
      <c r="P1343">
        <v>4</v>
      </c>
      <c r="Q1343">
        <v>2</v>
      </c>
      <c r="R1343">
        <v>31.1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3</v>
      </c>
      <c r="AC1343">
        <v>0</v>
      </c>
      <c r="AH1343">
        <v>34.1</v>
      </c>
    </row>
    <row r="1344" spans="1:34" x14ac:dyDescent="0.3">
      <c r="A1344" s="4">
        <v>1529</v>
      </c>
      <c r="B1344" s="5">
        <v>1337</v>
      </c>
      <c r="C1344">
        <v>6848</v>
      </c>
      <c r="D1344" t="s">
        <v>28980</v>
      </c>
      <c r="E1344" t="s">
        <v>115</v>
      </c>
      <c r="F1344" t="s">
        <v>81</v>
      </c>
      <c r="G1344" t="s">
        <v>28981</v>
      </c>
      <c r="H1344">
        <v>18.05</v>
      </c>
      <c r="I1344">
        <v>0</v>
      </c>
      <c r="J1344">
        <v>0</v>
      </c>
      <c r="K1344">
        <v>0</v>
      </c>
      <c r="N1344">
        <v>6</v>
      </c>
      <c r="O1344">
        <v>6</v>
      </c>
      <c r="P1344">
        <v>4</v>
      </c>
      <c r="Q1344">
        <v>0</v>
      </c>
      <c r="R1344">
        <v>28.05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6</v>
      </c>
      <c r="AC1344">
        <v>0</v>
      </c>
      <c r="AH1344">
        <v>34.049999999999997</v>
      </c>
    </row>
    <row r="1345" spans="1:34" x14ac:dyDescent="0.3">
      <c r="A1345" s="4">
        <v>1530</v>
      </c>
      <c r="B1345" s="5">
        <v>1338</v>
      </c>
      <c r="C1345">
        <v>11612</v>
      </c>
      <c r="D1345" t="s">
        <v>28982</v>
      </c>
      <c r="E1345" t="s">
        <v>33</v>
      </c>
      <c r="F1345" t="s">
        <v>972</v>
      </c>
      <c r="G1345" t="s">
        <v>28983</v>
      </c>
      <c r="H1345">
        <v>17.8</v>
      </c>
      <c r="I1345">
        <v>0</v>
      </c>
      <c r="J1345">
        <v>0</v>
      </c>
      <c r="K1345">
        <v>0</v>
      </c>
      <c r="L1345">
        <v>7</v>
      </c>
      <c r="N1345">
        <v>3</v>
      </c>
      <c r="O1345">
        <v>10</v>
      </c>
      <c r="P1345">
        <v>4</v>
      </c>
      <c r="Q1345">
        <v>2</v>
      </c>
      <c r="R1345">
        <v>33.799999999999997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 t="s">
        <v>130</v>
      </c>
      <c r="AH1345">
        <v>33.799999999999997</v>
      </c>
    </row>
    <row r="1346" spans="1:34" x14ac:dyDescent="0.3">
      <c r="A1346" s="4">
        <v>1531</v>
      </c>
      <c r="B1346" s="5">
        <v>1339</v>
      </c>
      <c r="C1346">
        <v>9556</v>
      </c>
      <c r="D1346" t="s">
        <v>28984</v>
      </c>
      <c r="E1346" t="s">
        <v>789</v>
      </c>
      <c r="F1346" t="s">
        <v>158</v>
      </c>
      <c r="G1346" t="s">
        <v>28985</v>
      </c>
      <c r="H1346">
        <v>19.78</v>
      </c>
      <c r="I1346">
        <v>0</v>
      </c>
      <c r="J1346">
        <v>0</v>
      </c>
      <c r="K1346">
        <v>0</v>
      </c>
      <c r="L1346">
        <v>7</v>
      </c>
      <c r="N1346">
        <v>3</v>
      </c>
      <c r="O1346">
        <v>10</v>
      </c>
      <c r="P1346">
        <v>4</v>
      </c>
      <c r="Q1346">
        <v>0</v>
      </c>
      <c r="R1346">
        <v>33.78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H1346">
        <v>33.78</v>
      </c>
    </row>
    <row r="1347" spans="1:34" x14ac:dyDescent="0.3">
      <c r="A1347" s="4">
        <v>1532</v>
      </c>
      <c r="B1347" s="5">
        <v>1340</v>
      </c>
      <c r="C1347">
        <v>7904</v>
      </c>
      <c r="D1347" t="s">
        <v>22428</v>
      </c>
      <c r="E1347" t="s">
        <v>48</v>
      </c>
      <c r="F1347" t="s">
        <v>136</v>
      </c>
      <c r="G1347" t="s">
        <v>28986</v>
      </c>
      <c r="H1347">
        <v>17.75</v>
      </c>
      <c r="I1347">
        <v>0</v>
      </c>
      <c r="J1347">
        <v>0</v>
      </c>
      <c r="K1347">
        <v>0</v>
      </c>
      <c r="O1347">
        <v>0</v>
      </c>
      <c r="P1347">
        <v>4</v>
      </c>
      <c r="Q1347">
        <v>0</v>
      </c>
      <c r="R1347">
        <v>21.75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12</v>
      </c>
      <c r="AC1347">
        <v>0</v>
      </c>
      <c r="AH1347">
        <v>33.75</v>
      </c>
    </row>
    <row r="1348" spans="1:34" x14ac:dyDescent="0.3">
      <c r="A1348" s="4">
        <v>1533</v>
      </c>
      <c r="B1348" s="5">
        <v>1341</v>
      </c>
      <c r="C1348">
        <v>6244</v>
      </c>
      <c r="D1348" t="s">
        <v>28987</v>
      </c>
      <c r="E1348" t="s">
        <v>2582</v>
      </c>
      <c r="F1348" t="s">
        <v>158</v>
      </c>
      <c r="G1348" t="s">
        <v>28988</v>
      </c>
      <c r="H1348">
        <v>18.75</v>
      </c>
      <c r="I1348">
        <v>0</v>
      </c>
      <c r="J1348">
        <v>0</v>
      </c>
      <c r="K1348">
        <v>0</v>
      </c>
      <c r="N1348">
        <v>3</v>
      </c>
      <c r="O1348">
        <v>3</v>
      </c>
      <c r="P1348">
        <v>4</v>
      </c>
      <c r="Q1348">
        <v>0</v>
      </c>
      <c r="R1348">
        <v>25.75</v>
      </c>
      <c r="S1348">
        <v>8</v>
      </c>
      <c r="T1348">
        <v>8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8</v>
      </c>
      <c r="AB1348">
        <v>0</v>
      </c>
      <c r="AC1348">
        <v>0</v>
      </c>
      <c r="AH1348">
        <v>33.75</v>
      </c>
    </row>
    <row r="1349" spans="1:34" x14ac:dyDescent="0.3">
      <c r="A1349" s="4">
        <v>1534</v>
      </c>
      <c r="B1349" s="5">
        <v>1342</v>
      </c>
      <c r="C1349">
        <v>9109</v>
      </c>
      <c r="D1349" t="s">
        <v>708</v>
      </c>
      <c r="E1349" t="s">
        <v>1280</v>
      </c>
      <c r="F1349" t="s">
        <v>34</v>
      </c>
      <c r="G1349" t="s">
        <v>28989</v>
      </c>
      <c r="H1349">
        <v>18.75</v>
      </c>
      <c r="I1349">
        <v>0</v>
      </c>
      <c r="J1349">
        <v>0</v>
      </c>
      <c r="K1349">
        <v>0</v>
      </c>
      <c r="O1349">
        <v>0</v>
      </c>
      <c r="P1349">
        <v>4</v>
      </c>
      <c r="Q1349">
        <v>0</v>
      </c>
      <c r="R1349">
        <v>22.75</v>
      </c>
      <c r="S1349">
        <v>11</v>
      </c>
      <c r="T1349">
        <v>11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11</v>
      </c>
      <c r="AB1349">
        <v>0</v>
      </c>
      <c r="AC1349">
        <v>0</v>
      </c>
      <c r="AH1349">
        <v>33.75</v>
      </c>
    </row>
    <row r="1350" spans="1:34" x14ac:dyDescent="0.3">
      <c r="A1350" s="4">
        <v>1535</v>
      </c>
      <c r="B1350" s="5">
        <v>1343</v>
      </c>
      <c r="C1350">
        <v>7211</v>
      </c>
      <c r="D1350" t="s">
        <v>28990</v>
      </c>
      <c r="E1350" t="s">
        <v>1152</v>
      </c>
      <c r="F1350" t="s">
        <v>17</v>
      </c>
      <c r="G1350" t="s">
        <v>28991</v>
      </c>
      <c r="H1350">
        <v>18.73</v>
      </c>
      <c r="I1350">
        <v>0</v>
      </c>
      <c r="J1350">
        <v>0</v>
      </c>
      <c r="K1350">
        <v>0</v>
      </c>
      <c r="N1350">
        <v>3</v>
      </c>
      <c r="O1350">
        <v>3</v>
      </c>
      <c r="P1350">
        <v>4</v>
      </c>
      <c r="Q1350">
        <v>2</v>
      </c>
      <c r="R1350">
        <v>27.73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6</v>
      </c>
      <c r="AC1350">
        <v>0</v>
      </c>
      <c r="AH1350">
        <v>33.729999999999997</v>
      </c>
    </row>
    <row r="1351" spans="1:34" x14ac:dyDescent="0.3">
      <c r="A1351" s="4">
        <v>1536</v>
      </c>
      <c r="B1351" s="5">
        <v>1344</v>
      </c>
      <c r="C1351">
        <v>12468</v>
      </c>
      <c r="D1351" t="s">
        <v>28992</v>
      </c>
      <c r="E1351" t="s">
        <v>286</v>
      </c>
      <c r="F1351" t="s">
        <v>117</v>
      </c>
      <c r="G1351" t="s">
        <v>28993</v>
      </c>
      <c r="H1351">
        <v>20.7</v>
      </c>
      <c r="I1351">
        <v>0</v>
      </c>
      <c r="J1351">
        <v>0</v>
      </c>
      <c r="K1351">
        <v>0</v>
      </c>
      <c r="N1351">
        <v>3</v>
      </c>
      <c r="O1351">
        <v>3</v>
      </c>
      <c r="P1351">
        <v>4</v>
      </c>
      <c r="Q1351">
        <v>0</v>
      </c>
      <c r="R1351">
        <v>27.7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6</v>
      </c>
      <c r="AC1351">
        <v>0</v>
      </c>
      <c r="AH1351">
        <v>33.700000000000003</v>
      </c>
    </row>
    <row r="1352" spans="1:34" x14ac:dyDescent="0.3">
      <c r="A1352" s="4">
        <v>1537</v>
      </c>
      <c r="B1352" s="5">
        <v>1345</v>
      </c>
      <c r="C1352">
        <v>15691</v>
      </c>
      <c r="D1352" t="s">
        <v>28994</v>
      </c>
      <c r="E1352" t="s">
        <v>34</v>
      </c>
      <c r="F1352" t="s">
        <v>81</v>
      </c>
      <c r="G1352" t="s">
        <v>28995</v>
      </c>
      <c r="H1352">
        <v>18.7</v>
      </c>
      <c r="I1352">
        <v>0</v>
      </c>
      <c r="J1352">
        <v>0</v>
      </c>
      <c r="K1352">
        <v>0</v>
      </c>
      <c r="N1352">
        <v>3</v>
      </c>
      <c r="O1352">
        <v>3</v>
      </c>
      <c r="P1352">
        <v>4</v>
      </c>
      <c r="Q1352">
        <v>2</v>
      </c>
      <c r="R1352">
        <v>27.7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6</v>
      </c>
      <c r="AC1352">
        <v>0</v>
      </c>
      <c r="AH1352">
        <v>33.700000000000003</v>
      </c>
    </row>
    <row r="1353" spans="1:34" x14ac:dyDescent="0.3">
      <c r="A1353" s="4">
        <v>1538</v>
      </c>
      <c r="B1353" s="5">
        <v>1346</v>
      </c>
      <c r="C1353">
        <v>11620</v>
      </c>
      <c r="D1353" t="s">
        <v>3033</v>
      </c>
      <c r="E1353" t="s">
        <v>15218</v>
      </c>
      <c r="F1353" t="s">
        <v>30</v>
      </c>
      <c r="G1353" t="s">
        <v>28996</v>
      </c>
      <c r="H1353">
        <v>17.68</v>
      </c>
      <c r="I1353">
        <v>0</v>
      </c>
      <c r="J1353">
        <v>0</v>
      </c>
      <c r="K1353">
        <v>0</v>
      </c>
      <c r="L1353">
        <v>7</v>
      </c>
      <c r="O1353">
        <v>7</v>
      </c>
      <c r="P1353">
        <v>4</v>
      </c>
      <c r="Q1353">
        <v>2</v>
      </c>
      <c r="R1353">
        <v>30.68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3</v>
      </c>
      <c r="AC1353">
        <v>0</v>
      </c>
      <c r="AH1353">
        <v>33.68</v>
      </c>
    </row>
    <row r="1354" spans="1:34" x14ac:dyDescent="0.3">
      <c r="A1354" s="4">
        <v>1539</v>
      </c>
      <c r="B1354" s="5">
        <v>1347</v>
      </c>
      <c r="C1354">
        <v>3435</v>
      </c>
      <c r="D1354" t="s">
        <v>4607</v>
      </c>
      <c r="E1354" t="s">
        <v>81</v>
      </c>
      <c r="F1354" t="s">
        <v>117</v>
      </c>
      <c r="G1354" t="s">
        <v>28997</v>
      </c>
      <c r="H1354">
        <v>19.68</v>
      </c>
      <c r="I1354">
        <v>0</v>
      </c>
      <c r="J1354">
        <v>0</v>
      </c>
      <c r="K1354">
        <v>0</v>
      </c>
      <c r="L1354">
        <v>7</v>
      </c>
      <c r="N1354">
        <v>3</v>
      </c>
      <c r="O1354">
        <v>10</v>
      </c>
      <c r="P1354">
        <v>4</v>
      </c>
      <c r="Q1354">
        <v>0</v>
      </c>
      <c r="R1354">
        <v>33.68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 t="s">
        <v>130</v>
      </c>
      <c r="AH1354">
        <v>33.68</v>
      </c>
    </row>
    <row r="1355" spans="1:34" x14ac:dyDescent="0.3">
      <c r="A1355" s="4">
        <v>1540</v>
      </c>
      <c r="B1355" s="5">
        <v>1348</v>
      </c>
      <c r="C1355">
        <v>209</v>
      </c>
      <c r="D1355" t="s">
        <v>26077</v>
      </c>
      <c r="E1355" t="s">
        <v>166</v>
      </c>
      <c r="F1355" t="s">
        <v>375</v>
      </c>
      <c r="G1355" t="s">
        <v>28998</v>
      </c>
      <c r="H1355">
        <v>17.68</v>
      </c>
      <c r="I1355">
        <v>0</v>
      </c>
      <c r="J1355">
        <v>0</v>
      </c>
      <c r="K1355">
        <v>0</v>
      </c>
      <c r="N1355">
        <v>3</v>
      </c>
      <c r="O1355">
        <v>3</v>
      </c>
      <c r="P1355">
        <v>4</v>
      </c>
      <c r="Q1355">
        <v>0</v>
      </c>
      <c r="R1355">
        <v>24.68</v>
      </c>
      <c r="S1355">
        <v>9</v>
      </c>
      <c r="T1355">
        <v>9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9</v>
      </c>
      <c r="AB1355">
        <v>0</v>
      </c>
      <c r="AC1355">
        <v>0</v>
      </c>
      <c r="AH1355">
        <v>33.68</v>
      </c>
    </row>
    <row r="1356" spans="1:34" x14ac:dyDescent="0.3">
      <c r="A1356" s="4">
        <v>1541</v>
      </c>
      <c r="B1356" s="5">
        <v>1349</v>
      </c>
      <c r="C1356">
        <v>399</v>
      </c>
      <c r="D1356" t="s">
        <v>28999</v>
      </c>
      <c r="E1356" t="s">
        <v>1140</v>
      </c>
      <c r="F1356" t="s">
        <v>62</v>
      </c>
      <c r="G1356" t="s">
        <v>29000</v>
      </c>
      <c r="H1356">
        <v>20.6</v>
      </c>
      <c r="I1356">
        <v>0</v>
      </c>
      <c r="J1356">
        <v>0</v>
      </c>
      <c r="K1356">
        <v>0</v>
      </c>
      <c r="N1356">
        <v>3</v>
      </c>
      <c r="O1356">
        <v>3</v>
      </c>
      <c r="P1356">
        <v>4</v>
      </c>
      <c r="Q1356">
        <v>0</v>
      </c>
      <c r="R1356">
        <v>27.6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6</v>
      </c>
      <c r="AC1356">
        <v>0</v>
      </c>
      <c r="AH1356">
        <v>33.6</v>
      </c>
    </row>
    <row r="1357" spans="1:34" x14ac:dyDescent="0.3">
      <c r="A1357" s="4">
        <v>1542</v>
      </c>
      <c r="B1357" s="5">
        <v>1350</v>
      </c>
      <c r="C1357">
        <v>14830</v>
      </c>
      <c r="D1357" t="s">
        <v>29001</v>
      </c>
      <c r="E1357" t="s">
        <v>208</v>
      </c>
      <c r="F1357" t="s">
        <v>17</v>
      </c>
      <c r="G1357" t="s">
        <v>29002</v>
      </c>
      <c r="H1357">
        <v>17.600000000000001</v>
      </c>
      <c r="I1357">
        <v>0</v>
      </c>
      <c r="J1357">
        <v>0</v>
      </c>
      <c r="K1357">
        <v>0</v>
      </c>
      <c r="L1357">
        <v>7</v>
      </c>
      <c r="N1357">
        <v>3</v>
      </c>
      <c r="O1357">
        <v>10</v>
      </c>
      <c r="P1357">
        <v>4</v>
      </c>
      <c r="Q1357">
        <v>2</v>
      </c>
      <c r="R1357">
        <v>33.6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H1357">
        <v>33.6</v>
      </c>
    </row>
    <row r="1358" spans="1:34" x14ac:dyDescent="0.3">
      <c r="A1358" s="4">
        <v>1543</v>
      </c>
      <c r="B1358" s="5">
        <v>1351</v>
      </c>
      <c r="C1358">
        <v>9378</v>
      </c>
      <c r="D1358" t="s">
        <v>29003</v>
      </c>
      <c r="E1358" t="s">
        <v>166</v>
      </c>
      <c r="F1358" t="s">
        <v>17</v>
      </c>
      <c r="G1358" t="s">
        <v>29004</v>
      </c>
      <c r="H1358">
        <v>18.55</v>
      </c>
      <c r="I1358">
        <v>0</v>
      </c>
      <c r="J1358">
        <v>0</v>
      </c>
      <c r="K1358">
        <v>0</v>
      </c>
      <c r="N1358">
        <v>3</v>
      </c>
      <c r="O1358">
        <v>3</v>
      </c>
      <c r="P1358">
        <v>4</v>
      </c>
      <c r="Q1358">
        <v>2</v>
      </c>
      <c r="R1358">
        <v>27.55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6</v>
      </c>
      <c r="AC1358">
        <v>0</v>
      </c>
      <c r="AD1358" t="s">
        <v>130</v>
      </c>
      <c r="AH1358">
        <v>33.549999999999997</v>
      </c>
    </row>
    <row r="1359" spans="1:34" x14ac:dyDescent="0.3">
      <c r="A1359" s="4">
        <v>1544</v>
      </c>
      <c r="B1359" s="5">
        <v>1352</v>
      </c>
      <c r="C1359">
        <v>325</v>
      </c>
      <c r="D1359" t="s">
        <v>29005</v>
      </c>
      <c r="E1359" t="s">
        <v>4695</v>
      </c>
      <c r="F1359" t="s">
        <v>62</v>
      </c>
      <c r="G1359" t="s">
        <v>29006</v>
      </c>
      <c r="H1359">
        <v>17.55</v>
      </c>
      <c r="I1359">
        <v>0</v>
      </c>
      <c r="J1359">
        <v>0</v>
      </c>
      <c r="K1359">
        <v>0</v>
      </c>
      <c r="L1359">
        <v>7</v>
      </c>
      <c r="N1359">
        <v>3</v>
      </c>
      <c r="O1359">
        <v>10</v>
      </c>
      <c r="P1359">
        <v>4</v>
      </c>
      <c r="Q1359">
        <v>2</v>
      </c>
      <c r="R1359">
        <v>33.549999999999997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 t="s">
        <v>130</v>
      </c>
      <c r="AH1359">
        <v>33.549999999999997</v>
      </c>
    </row>
    <row r="1360" spans="1:34" x14ac:dyDescent="0.3">
      <c r="A1360" s="4">
        <v>1545</v>
      </c>
      <c r="B1360" s="5">
        <v>1353</v>
      </c>
      <c r="C1360">
        <v>15550</v>
      </c>
      <c r="D1360" t="s">
        <v>4661</v>
      </c>
      <c r="E1360" t="s">
        <v>825</v>
      </c>
      <c r="F1360" t="s">
        <v>17</v>
      </c>
      <c r="G1360" t="s">
        <v>4662</v>
      </c>
      <c r="H1360">
        <v>18.5</v>
      </c>
      <c r="I1360">
        <v>0</v>
      </c>
      <c r="J1360">
        <v>0</v>
      </c>
      <c r="K1360">
        <v>0</v>
      </c>
      <c r="N1360">
        <v>3</v>
      </c>
      <c r="O1360">
        <v>3</v>
      </c>
      <c r="P1360">
        <v>4</v>
      </c>
      <c r="Q1360">
        <v>2</v>
      </c>
      <c r="R1360">
        <v>27.5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6</v>
      </c>
      <c r="AC1360">
        <v>0</v>
      </c>
      <c r="AH1360">
        <v>33.5</v>
      </c>
    </row>
    <row r="1361" spans="1:34" x14ac:dyDescent="0.3">
      <c r="A1361" s="4">
        <v>1546</v>
      </c>
      <c r="B1361" s="5">
        <v>1354</v>
      </c>
      <c r="C1361">
        <v>12010</v>
      </c>
      <c r="D1361" t="s">
        <v>29007</v>
      </c>
      <c r="E1361" t="s">
        <v>10969</v>
      </c>
      <c r="F1361" t="s">
        <v>30</v>
      </c>
      <c r="G1361" t="s">
        <v>29008</v>
      </c>
      <c r="H1361">
        <v>17.48</v>
      </c>
      <c r="I1361">
        <v>0</v>
      </c>
      <c r="J1361">
        <v>0</v>
      </c>
      <c r="K1361">
        <v>0</v>
      </c>
      <c r="L1361">
        <v>7</v>
      </c>
      <c r="N1361">
        <v>3</v>
      </c>
      <c r="O1361">
        <v>10</v>
      </c>
      <c r="P1361">
        <v>0</v>
      </c>
      <c r="Q1361">
        <v>0</v>
      </c>
      <c r="R1361">
        <v>27.48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6</v>
      </c>
      <c r="AC1361">
        <v>0</v>
      </c>
      <c r="AH1361">
        <v>33.479999999999997</v>
      </c>
    </row>
    <row r="1362" spans="1:34" x14ac:dyDescent="0.3">
      <c r="A1362" s="4">
        <v>1547</v>
      </c>
      <c r="B1362" s="5">
        <v>1355</v>
      </c>
      <c r="C1362">
        <v>5429</v>
      </c>
      <c r="D1362" t="s">
        <v>9409</v>
      </c>
      <c r="E1362" t="s">
        <v>188</v>
      </c>
      <c r="F1362" t="s">
        <v>68</v>
      </c>
      <c r="G1362" t="s">
        <v>29009</v>
      </c>
      <c r="H1362">
        <v>20.45</v>
      </c>
      <c r="I1362">
        <v>0</v>
      </c>
      <c r="J1362">
        <v>0</v>
      </c>
      <c r="K1362">
        <v>0</v>
      </c>
      <c r="L1362">
        <v>7</v>
      </c>
      <c r="O1362">
        <v>7</v>
      </c>
      <c r="P1362">
        <v>4</v>
      </c>
      <c r="Q1362">
        <v>2</v>
      </c>
      <c r="R1362">
        <v>33.450000000000003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H1362">
        <v>33.450000000000003</v>
      </c>
    </row>
    <row r="1363" spans="1:34" x14ac:dyDescent="0.3">
      <c r="A1363" s="4">
        <v>1548</v>
      </c>
      <c r="B1363" s="5">
        <v>1356</v>
      </c>
      <c r="C1363">
        <v>8575</v>
      </c>
      <c r="D1363" t="s">
        <v>29010</v>
      </c>
      <c r="E1363" t="s">
        <v>258</v>
      </c>
      <c r="F1363" t="s">
        <v>62</v>
      </c>
      <c r="G1363" t="s">
        <v>29011</v>
      </c>
      <c r="H1363">
        <v>17.45</v>
      </c>
      <c r="I1363">
        <v>0</v>
      </c>
      <c r="J1363">
        <v>0</v>
      </c>
      <c r="K1363">
        <v>0</v>
      </c>
      <c r="L1363">
        <v>7</v>
      </c>
      <c r="N1363">
        <v>3</v>
      </c>
      <c r="O1363">
        <v>10</v>
      </c>
      <c r="P1363">
        <v>4</v>
      </c>
      <c r="Q1363">
        <v>2</v>
      </c>
      <c r="R1363">
        <v>33.450000000000003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H1363">
        <v>33.450000000000003</v>
      </c>
    </row>
    <row r="1364" spans="1:34" x14ac:dyDescent="0.3">
      <c r="A1364" s="4">
        <v>1549</v>
      </c>
      <c r="B1364" s="5">
        <v>1357</v>
      </c>
      <c r="C1364">
        <v>12907</v>
      </c>
      <c r="D1364" t="s">
        <v>2554</v>
      </c>
      <c r="E1364" t="s">
        <v>1189</v>
      </c>
      <c r="F1364" t="s">
        <v>38</v>
      </c>
      <c r="G1364" t="s">
        <v>29012</v>
      </c>
      <c r="H1364">
        <v>17.399999999999999</v>
      </c>
      <c r="I1364">
        <v>0</v>
      </c>
      <c r="J1364">
        <v>0</v>
      </c>
      <c r="K1364">
        <v>0</v>
      </c>
      <c r="O1364">
        <v>0</v>
      </c>
      <c r="P1364">
        <v>4</v>
      </c>
      <c r="Q1364">
        <v>0</v>
      </c>
      <c r="R1364">
        <v>21.4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12</v>
      </c>
      <c r="AC1364">
        <v>0</v>
      </c>
      <c r="AH1364">
        <v>33.4</v>
      </c>
    </row>
    <row r="1365" spans="1:34" x14ac:dyDescent="0.3">
      <c r="A1365" s="4">
        <v>1550</v>
      </c>
      <c r="B1365" s="5">
        <v>1358</v>
      </c>
      <c r="C1365">
        <v>1198</v>
      </c>
      <c r="D1365" t="s">
        <v>3119</v>
      </c>
      <c r="E1365" t="s">
        <v>54</v>
      </c>
      <c r="F1365" t="s">
        <v>38</v>
      </c>
      <c r="G1365" t="s">
        <v>29013</v>
      </c>
      <c r="H1365">
        <v>19.399999999999999</v>
      </c>
      <c r="I1365">
        <v>0</v>
      </c>
      <c r="J1365">
        <v>0</v>
      </c>
      <c r="K1365">
        <v>0</v>
      </c>
      <c r="L1365">
        <v>7</v>
      </c>
      <c r="O1365">
        <v>7</v>
      </c>
      <c r="P1365">
        <v>4</v>
      </c>
      <c r="Q1365">
        <v>0</v>
      </c>
      <c r="R1365">
        <v>30.4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3</v>
      </c>
      <c r="AC1365">
        <v>0</v>
      </c>
      <c r="AD1365" t="s">
        <v>130</v>
      </c>
      <c r="AH1365">
        <v>33.4</v>
      </c>
    </row>
    <row r="1366" spans="1:34" x14ac:dyDescent="0.3">
      <c r="A1366" s="4">
        <v>1551</v>
      </c>
      <c r="B1366" s="5">
        <v>1359</v>
      </c>
      <c r="C1366">
        <v>9606</v>
      </c>
      <c r="D1366" t="s">
        <v>12776</v>
      </c>
      <c r="E1366" t="s">
        <v>30</v>
      </c>
      <c r="F1366" t="s">
        <v>68</v>
      </c>
      <c r="G1366" t="s">
        <v>29014</v>
      </c>
      <c r="H1366">
        <v>22.4</v>
      </c>
      <c r="I1366">
        <v>0</v>
      </c>
      <c r="J1366">
        <v>0</v>
      </c>
      <c r="K1366">
        <v>0</v>
      </c>
      <c r="L1366">
        <v>7</v>
      </c>
      <c r="O1366">
        <v>7</v>
      </c>
      <c r="P1366">
        <v>4</v>
      </c>
      <c r="Q1366">
        <v>0</v>
      </c>
      <c r="R1366">
        <v>33.4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H1366">
        <v>33.4</v>
      </c>
    </row>
    <row r="1367" spans="1:34" x14ac:dyDescent="0.3">
      <c r="A1367" s="4">
        <v>1552</v>
      </c>
      <c r="B1367" s="5">
        <v>1360</v>
      </c>
      <c r="C1367">
        <v>15113</v>
      </c>
      <c r="D1367" t="s">
        <v>29015</v>
      </c>
      <c r="E1367" t="s">
        <v>62</v>
      </c>
      <c r="F1367" t="s">
        <v>52</v>
      </c>
      <c r="G1367" t="s">
        <v>29016</v>
      </c>
      <c r="H1367">
        <v>22.4</v>
      </c>
      <c r="I1367">
        <v>0</v>
      </c>
      <c r="J1367">
        <v>0</v>
      </c>
      <c r="K1367">
        <v>0</v>
      </c>
      <c r="L1367">
        <v>7</v>
      </c>
      <c r="O1367">
        <v>7</v>
      </c>
      <c r="P1367">
        <v>4</v>
      </c>
      <c r="Q1367">
        <v>0</v>
      </c>
      <c r="R1367">
        <v>33.4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H1367">
        <v>33.4</v>
      </c>
    </row>
    <row r="1368" spans="1:34" x14ac:dyDescent="0.3">
      <c r="A1368" s="4">
        <v>1553</v>
      </c>
      <c r="B1368" s="5">
        <v>1361</v>
      </c>
      <c r="C1368">
        <v>9014</v>
      </c>
      <c r="D1368" t="s">
        <v>29017</v>
      </c>
      <c r="E1368" t="s">
        <v>41</v>
      </c>
      <c r="F1368" t="s">
        <v>238</v>
      </c>
      <c r="G1368" t="s">
        <v>29018</v>
      </c>
      <c r="H1368">
        <v>18.38</v>
      </c>
      <c r="I1368">
        <v>0</v>
      </c>
      <c r="J1368">
        <v>0</v>
      </c>
      <c r="K1368">
        <v>0</v>
      </c>
      <c r="O1368">
        <v>0</v>
      </c>
      <c r="P1368">
        <v>4</v>
      </c>
      <c r="Q1368">
        <v>2</v>
      </c>
      <c r="R1368">
        <v>24.38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9</v>
      </c>
      <c r="AC1368">
        <v>0</v>
      </c>
      <c r="AH1368">
        <v>33.380000000000003</v>
      </c>
    </row>
    <row r="1369" spans="1:34" x14ac:dyDescent="0.3">
      <c r="A1369" s="4">
        <v>1554</v>
      </c>
      <c r="B1369" s="5">
        <v>1362</v>
      </c>
      <c r="C1369">
        <v>10580</v>
      </c>
      <c r="D1369" t="s">
        <v>6407</v>
      </c>
      <c r="E1369" t="s">
        <v>37</v>
      </c>
      <c r="F1369" t="s">
        <v>17</v>
      </c>
      <c r="G1369" t="s">
        <v>29019</v>
      </c>
      <c r="H1369">
        <v>15.35</v>
      </c>
      <c r="I1369">
        <v>0</v>
      </c>
      <c r="J1369">
        <v>0</v>
      </c>
      <c r="K1369">
        <v>0</v>
      </c>
      <c r="N1369">
        <v>6</v>
      </c>
      <c r="O1369">
        <v>6</v>
      </c>
      <c r="P1369">
        <v>0</v>
      </c>
      <c r="Q1369">
        <v>2</v>
      </c>
      <c r="R1369">
        <v>23.35</v>
      </c>
      <c r="S1369">
        <v>10</v>
      </c>
      <c r="T1369">
        <v>10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10</v>
      </c>
      <c r="AB1369">
        <v>0</v>
      </c>
      <c r="AC1369">
        <v>0</v>
      </c>
      <c r="AH1369">
        <v>33.35</v>
      </c>
    </row>
    <row r="1370" spans="1:34" x14ac:dyDescent="0.3">
      <c r="A1370" s="4">
        <v>1555</v>
      </c>
      <c r="B1370" s="5">
        <v>1363</v>
      </c>
      <c r="C1370">
        <v>4437</v>
      </c>
      <c r="D1370" t="s">
        <v>29020</v>
      </c>
      <c r="E1370" t="s">
        <v>54</v>
      </c>
      <c r="F1370" t="s">
        <v>81</v>
      </c>
      <c r="G1370" t="s">
        <v>29021</v>
      </c>
      <c r="H1370">
        <v>19.329999999999998</v>
      </c>
      <c r="I1370">
        <v>0</v>
      </c>
      <c r="J1370">
        <v>0</v>
      </c>
      <c r="K1370">
        <v>0</v>
      </c>
      <c r="L1370">
        <v>7</v>
      </c>
      <c r="O1370">
        <v>7</v>
      </c>
      <c r="P1370">
        <v>4</v>
      </c>
      <c r="Q1370">
        <v>0</v>
      </c>
      <c r="R1370">
        <v>30.33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3</v>
      </c>
      <c r="AC1370">
        <v>0</v>
      </c>
      <c r="AH1370">
        <v>33.33</v>
      </c>
    </row>
    <row r="1371" spans="1:34" x14ac:dyDescent="0.3">
      <c r="A1371" s="4">
        <v>1556</v>
      </c>
      <c r="B1371" s="5">
        <v>1364</v>
      </c>
      <c r="C1371">
        <v>12007</v>
      </c>
      <c r="D1371" t="s">
        <v>8684</v>
      </c>
      <c r="E1371" t="s">
        <v>41</v>
      </c>
      <c r="F1371" t="s">
        <v>167</v>
      </c>
      <c r="G1371" t="s">
        <v>29022</v>
      </c>
      <c r="H1371">
        <v>18.3</v>
      </c>
      <c r="I1371">
        <v>0</v>
      </c>
      <c r="J1371">
        <v>0</v>
      </c>
      <c r="K1371">
        <v>0</v>
      </c>
      <c r="N1371">
        <v>3</v>
      </c>
      <c r="O1371">
        <v>3</v>
      </c>
      <c r="P1371">
        <v>4</v>
      </c>
      <c r="Q1371">
        <v>0</v>
      </c>
      <c r="R1371">
        <v>25.3</v>
      </c>
      <c r="S1371">
        <v>8</v>
      </c>
      <c r="T1371">
        <v>8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8</v>
      </c>
      <c r="AB1371">
        <v>0</v>
      </c>
      <c r="AC1371">
        <v>0</v>
      </c>
      <c r="AH1371">
        <v>33.299999999999997</v>
      </c>
    </row>
    <row r="1372" spans="1:34" x14ac:dyDescent="0.3">
      <c r="A1372" s="4">
        <v>1557</v>
      </c>
      <c r="B1372" s="5">
        <v>1365</v>
      </c>
      <c r="C1372">
        <v>15291</v>
      </c>
      <c r="D1372" t="s">
        <v>29023</v>
      </c>
      <c r="E1372" t="s">
        <v>161</v>
      </c>
      <c r="F1372" t="s">
        <v>136</v>
      </c>
      <c r="G1372" t="s">
        <v>29024</v>
      </c>
      <c r="H1372">
        <v>16.25</v>
      </c>
      <c r="I1372">
        <v>0</v>
      </c>
      <c r="J1372">
        <v>0</v>
      </c>
      <c r="K1372">
        <v>0</v>
      </c>
      <c r="L1372">
        <v>7</v>
      </c>
      <c r="O1372">
        <v>7</v>
      </c>
      <c r="P1372">
        <v>4</v>
      </c>
      <c r="Q1372">
        <v>0</v>
      </c>
      <c r="R1372">
        <v>27.25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6</v>
      </c>
      <c r="AC1372">
        <v>0</v>
      </c>
      <c r="AH1372">
        <v>33.25</v>
      </c>
    </row>
    <row r="1373" spans="1:34" x14ac:dyDescent="0.3">
      <c r="A1373" s="4">
        <v>1558</v>
      </c>
      <c r="B1373" s="5">
        <v>1366</v>
      </c>
      <c r="C1373">
        <v>11085</v>
      </c>
      <c r="D1373" t="s">
        <v>29025</v>
      </c>
      <c r="E1373" t="s">
        <v>178</v>
      </c>
      <c r="F1373" t="s">
        <v>570</v>
      </c>
      <c r="G1373" t="s">
        <v>29026</v>
      </c>
      <c r="H1373">
        <v>20.25</v>
      </c>
      <c r="I1373">
        <v>0</v>
      </c>
      <c r="J1373">
        <v>0</v>
      </c>
      <c r="K1373">
        <v>0</v>
      </c>
      <c r="L1373">
        <v>7</v>
      </c>
      <c r="O1373">
        <v>7</v>
      </c>
      <c r="P1373">
        <v>4</v>
      </c>
      <c r="Q1373">
        <v>2</v>
      </c>
      <c r="R1373">
        <v>33.25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H1373">
        <v>33.25</v>
      </c>
    </row>
    <row r="1374" spans="1:34" x14ac:dyDescent="0.3">
      <c r="A1374" s="4">
        <v>1559</v>
      </c>
      <c r="B1374" s="5">
        <v>1367</v>
      </c>
      <c r="C1374">
        <v>6584</v>
      </c>
      <c r="D1374" t="s">
        <v>6398</v>
      </c>
      <c r="E1374" t="s">
        <v>213</v>
      </c>
      <c r="F1374" t="s">
        <v>20</v>
      </c>
      <c r="G1374" t="s">
        <v>29027</v>
      </c>
      <c r="H1374">
        <v>17.18</v>
      </c>
      <c r="I1374">
        <v>0</v>
      </c>
      <c r="J1374">
        <v>0</v>
      </c>
      <c r="K1374">
        <v>0</v>
      </c>
      <c r="N1374">
        <v>3</v>
      </c>
      <c r="O1374">
        <v>3</v>
      </c>
      <c r="P1374">
        <v>4</v>
      </c>
      <c r="Q1374">
        <v>0</v>
      </c>
      <c r="R1374">
        <v>24.18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9</v>
      </c>
      <c r="AC1374">
        <v>0</v>
      </c>
      <c r="AH1374">
        <v>33.18</v>
      </c>
    </row>
    <row r="1375" spans="1:34" x14ac:dyDescent="0.3">
      <c r="A1375" s="4">
        <v>1560</v>
      </c>
      <c r="B1375" s="5">
        <v>1368</v>
      </c>
      <c r="C1375">
        <v>6945</v>
      </c>
      <c r="D1375" t="s">
        <v>29028</v>
      </c>
      <c r="E1375" t="s">
        <v>132</v>
      </c>
      <c r="F1375" t="s">
        <v>68</v>
      </c>
      <c r="G1375" t="s">
        <v>29029</v>
      </c>
      <c r="H1375">
        <v>17.149999999999999</v>
      </c>
      <c r="I1375">
        <v>0</v>
      </c>
      <c r="J1375">
        <v>0</v>
      </c>
      <c r="K1375">
        <v>0</v>
      </c>
      <c r="L1375">
        <v>7</v>
      </c>
      <c r="O1375">
        <v>7</v>
      </c>
      <c r="P1375">
        <v>4</v>
      </c>
      <c r="Q1375">
        <v>2</v>
      </c>
      <c r="R1375">
        <v>30.15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3</v>
      </c>
      <c r="AC1375">
        <v>0</v>
      </c>
      <c r="AD1375" t="s">
        <v>130</v>
      </c>
      <c r="AH1375">
        <v>33.15</v>
      </c>
    </row>
    <row r="1376" spans="1:34" x14ac:dyDescent="0.3">
      <c r="A1376" s="4">
        <v>1561</v>
      </c>
      <c r="B1376" s="5">
        <v>1369</v>
      </c>
      <c r="C1376">
        <v>7925</v>
      </c>
      <c r="D1376" t="s">
        <v>3724</v>
      </c>
      <c r="E1376" t="s">
        <v>54</v>
      </c>
      <c r="F1376" t="s">
        <v>3591</v>
      </c>
      <c r="G1376" t="s">
        <v>29030</v>
      </c>
      <c r="H1376">
        <v>22.1</v>
      </c>
      <c r="I1376">
        <v>0</v>
      </c>
      <c r="J1376">
        <v>0</v>
      </c>
      <c r="K1376">
        <v>0</v>
      </c>
      <c r="L1376">
        <v>7</v>
      </c>
      <c r="O1376">
        <v>7</v>
      </c>
      <c r="P1376">
        <v>4</v>
      </c>
      <c r="Q1376">
        <v>0</v>
      </c>
      <c r="R1376">
        <v>33.1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H1376">
        <v>33.1</v>
      </c>
    </row>
    <row r="1377" spans="1:34" x14ac:dyDescent="0.3">
      <c r="A1377" s="4">
        <v>1562</v>
      </c>
      <c r="B1377" s="5">
        <v>1370</v>
      </c>
      <c r="C1377">
        <v>5789</v>
      </c>
      <c r="D1377" t="s">
        <v>29031</v>
      </c>
      <c r="E1377" t="s">
        <v>789</v>
      </c>
      <c r="F1377" t="s">
        <v>782</v>
      </c>
      <c r="G1377" t="s">
        <v>29032</v>
      </c>
      <c r="H1377">
        <v>22.1</v>
      </c>
      <c r="I1377">
        <v>0</v>
      </c>
      <c r="J1377">
        <v>0</v>
      </c>
      <c r="K1377">
        <v>0</v>
      </c>
      <c r="L1377">
        <v>7</v>
      </c>
      <c r="O1377">
        <v>7</v>
      </c>
      <c r="P1377">
        <v>4</v>
      </c>
      <c r="Q1377">
        <v>0</v>
      </c>
      <c r="R1377">
        <v>33.1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 t="s">
        <v>130</v>
      </c>
      <c r="AH1377">
        <v>33.1</v>
      </c>
    </row>
    <row r="1378" spans="1:34" x14ac:dyDescent="0.3">
      <c r="A1378" s="4">
        <v>1563</v>
      </c>
      <c r="B1378" s="5">
        <v>1371</v>
      </c>
      <c r="C1378">
        <v>9159</v>
      </c>
      <c r="D1378" t="s">
        <v>6854</v>
      </c>
      <c r="E1378" t="s">
        <v>170</v>
      </c>
      <c r="F1378" t="s">
        <v>328</v>
      </c>
      <c r="G1378" t="s">
        <v>29033</v>
      </c>
      <c r="H1378">
        <v>19.100000000000001</v>
      </c>
      <c r="I1378">
        <v>0</v>
      </c>
      <c r="J1378">
        <v>0</v>
      </c>
      <c r="K1378">
        <v>0</v>
      </c>
      <c r="L1378">
        <v>7</v>
      </c>
      <c r="N1378">
        <v>3</v>
      </c>
      <c r="O1378">
        <v>10</v>
      </c>
      <c r="P1378">
        <v>4</v>
      </c>
      <c r="Q1378">
        <v>0</v>
      </c>
      <c r="R1378">
        <v>33.1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H1378">
        <v>33.1</v>
      </c>
    </row>
    <row r="1379" spans="1:34" x14ac:dyDescent="0.3">
      <c r="A1379" s="4">
        <v>1564</v>
      </c>
      <c r="B1379" s="5">
        <v>1372</v>
      </c>
      <c r="C1379">
        <v>9350</v>
      </c>
      <c r="D1379" t="s">
        <v>20390</v>
      </c>
      <c r="E1379" t="s">
        <v>301</v>
      </c>
      <c r="F1379" t="s">
        <v>20</v>
      </c>
      <c r="G1379" t="s">
        <v>32073</v>
      </c>
      <c r="H1379">
        <v>20.03</v>
      </c>
      <c r="I1379">
        <v>0</v>
      </c>
      <c r="J1379">
        <v>0</v>
      </c>
      <c r="K1379">
        <v>0</v>
      </c>
      <c r="N1379">
        <v>3</v>
      </c>
      <c r="O1379">
        <v>3</v>
      </c>
      <c r="P1379">
        <v>4</v>
      </c>
      <c r="Q1379">
        <v>0</v>
      </c>
      <c r="R1379">
        <v>27.03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6</v>
      </c>
      <c r="AC1379">
        <v>0</v>
      </c>
      <c r="AH1379">
        <v>33.03</v>
      </c>
    </row>
    <row r="1380" spans="1:34" x14ac:dyDescent="0.3">
      <c r="A1380" s="4">
        <v>1565</v>
      </c>
      <c r="B1380" s="5">
        <v>1373</v>
      </c>
      <c r="C1380">
        <v>286</v>
      </c>
      <c r="D1380" t="s">
        <v>4163</v>
      </c>
      <c r="E1380" t="s">
        <v>29034</v>
      </c>
      <c r="F1380" t="s">
        <v>158</v>
      </c>
      <c r="G1380" t="s">
        <v>29035</v>
      </c>
      <c r="H1380">
        <v>20.03</v>
      </c>
      <c r="I1380">
        <v>0</v>
      </c>
      <c r="J1380">
        <v>0</v>
      </c>
      <c r="K1380">
        <v>0</v>
      </c>
      <c r="L1380">
        <v>7</v>
      </c>
      <c r="O1380">
        <v>7</v>
      </c>
      <c r="P1380">
        <v>4</v>
      </c>
      <c r="Q1380">
        <v>2</v>
      </c>
      <c r="R1380">
        <v>33.03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 t="s">
        <v>130</v>
      </c>
      <c r="AH1380">
        <v>33.03</v>
      </c>
    </row>
    <row r="1381" spans="1:34" x14ac:dyDescent="0.3">
      <c r="A1381" s="4">
        <v>1566</v>
      </c>
      <c r="B1381" s="5">
        <v>1374</v>
      </c>
      <c r="C1381">
        <v>5690</v>
      </c>
      <c r="D1381" t="s">
        <v>29036</v>
      </c>
      <c r="E1381" t="s">
        <v>29037</v>
      </c>
      <c r="F1381" t="s">
        <v>10751</v>
      </c>
      <c r="G1381" t="s">
        <v>29038</v>
      </c>
      <c r="H1381">
        <v>20.03</v>
      </c>
      <c r="I1381">
        <v>0</v>
      </c>
      <c r="J1381">
        <v>0</v>
      </c>
      <c r="K1381">
        <v>0</v>
      </c>
      <c r="L1381">
        <v>7</v>
      </c>
      <c r="O1381">
        <v>7</v>
      </c>
      <c r="P1381">
        <v>4</v>
      </c>
      <c r="Q1381">
        <v>2</v>
      </c>
      <c r="R1381">
        <v>33.03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H1381">
        <v>33.03</v>
      </c>
    </row>
    <row r="1382" spans="1:34" x14ac:dyDescent="0.3">
      <c r="A1382" s="4">
        <v>1567</v>
      </c>
      <c r="B1382" s="5">
        <v>1375</v>
      </c>
      <c r="C1382">
        <v>10301</v>
      </c>
      <c r="D1382" t="s">
        <v>25382</v>
      </c>
      <c r="E1382" t="s">
        <v>1743</v>
      </c>
      <c r="F1382" t="s">
        <v>38</v>
      </c>
      <c r="G1382" t="s">
        <v>29039</v>
      </c>
      <c r="H1382">
        <v>18</v>
      </c>
      <c r="I1382">
        <v>0</v>
      </c>
      <c r="J1382">
        <v>0</v>
      </c>
      <c r="K1382">
        <v>0</v>
      </c>
      <c r="N1382">
        <v>3</v>
      </c>
      <c r="O1382">
        <v>3</v>
      </c>
      <c r="P1382">
        <v>4</v>
      </c>
      <c r="Q1382">
        <v>2</v>
      </c>
      <c r="R1382">
        <v>27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6</v>
      </c>
      <c r="AC1382">
        <v>0</v>
      </c>
      <c r="AH1382">
        <v>33</v>
      </c>
    </row>
    <row r="1383" spans="1:34" x14ac:dyDescent="0.3">
      <c r="A1383" s="4">
        <v>1568</v>
      </c>
      <c r="B1383" s="5">
        <v>1376</v>
      </c>
      <c r="C1383">
        <v>9299</v>
      </c>
      <c r="D1383" t="s">
        <v>11633</v>
      </c>
      <c r="E1383" t="s">
        <v>825</v>
      </c>
      <c r="F1383" t="s">
        <v>230</v>
      </c>
      <c r="G1383" t="s">
        <v>29040</v>
      </c>
      <c r="H1383">
        <v>16.899999999999999</v>
      </c>
      <c r="I1383">
        <v>0</v>
      </c>
      <c r="J1383">
        <v>0</v>
      </c>
      <c r="K1383">
        <v>0</v>
      </c>
      <c r="L1383">
        <v>7</v>
      </c>
      <c r="N1383">
        <v>3</v>
      </c>
      <c r="O1383">
        <v>10</v>
      </c>
      <c r="P1383">
        <v>4</v>
      </c>
      <c r="Q1383">
        <v>2</v>
      </c>
      <c r="R1383">
        <v>32.9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H1383">
        <v>32.9</v>
      </c>
    </row>
    <row r="1384" spans="1:34" x14ac:dyDescent="0.3">
      <c r="A1384" s="4">
        <v>1569</v>
      </c>
      <c r="B1384" s="5">
        <v>1377</v>
      </c>
      <c r="C1384">
        <v>10211</v>
      </c>
      <c r="D1384" t="s">
        <v>29041</v>
      </c>
      <c r="E1384" t="s">
        <v>188</v>
      </c>
      <c r="F1384" t="s">
        <v>14</v>
      </c>
      <c r="G1384" t="s">
        <v>29042</v>
      </c>
      <c r="H1384">
        <v>21.88</v>
      </c>
      <c r="I1384">
        <v>0</v>
      </c>
      <c r="J1384">
        <v>0</v>
      </c>
      <c r="K1384">
        <v>0</v>
      </c>
      <c r="L1384">
        <v>7</v>
      </c>
      <c r="O1384">
        <v>7</v>
      </c>
      <c r="P1384">
        <v>4</v>
      </c>
      <c r="Q1384">
        <v>0</v>
      </c>
      <c r="R1384">
        <v>32.880000000000003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 t="s">
        <v>130</v>
      </c>
      <c r="AH1384">
        <v>32.880000000000003</v>
      </c>
    </row>
    <row r="1385" spans="1:34" x14ac:dyDescent="0.3">
      <c r="A1385" s="4">
        <v>1570</v>
      </c>
      <c r="B1385" s="5">
        <v>1378</v>
      </c>
      <c r="C1385">
        <v>13565</v>
      </c>
      <c r="D1385" t="s">
        <v>93</v>
      </c>
      <c r="E1385" t="s">
        <v>3442</v>
      </c>
      <c r="F1385" t="s">
        <v>136</v>
      </c>
      <c r="G1385" t="s">
        <v>29043</v>
      </c>
      <c r="H1385">
        <v>17.829999999999998</v>
      </c>
      <c r="I1385">
        <v>7</v>
      </c>
      <c r="J1385">
        <v>0</v>
      </c>
      <c r="K1385">
        <v>0</v>
      </c>
      <c r="N1385">
        <v>3</v>
      </c>
      <c r="O1385">
        <v>3</v>
      </c>
      <c r="P1385">
        <v>4</v>
      </c>
      <c r="Q1385">
        <v>0</v>
      </c>
      <c r="R1385">
        <v>31.83</v>
      </c>
      <c r="S1385">
        <v>1</v>
      </c>
      <c r="T1385">
        <v>1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1</v>
      </c>
      <c r="AB1385">
        <v>0</v>
      </c>
      <c r="AC1385">
        <v>0</v>
      </c>
      <c r="AH1385">
        <v>32.83</v>
      </c>
    </row>
    <row r="1386" spans="1:34" x14ac:dyDescent="0.3">
      <c r="A1386" s="4">
        <v>1571</v>
      </c>
      <c r="B1386" s="5">
        <v>1379</v>
      </c>
      <c r="C1386">
        <v>11010</v>
      </c>
      <c r="D1386" t="s">
        <v>29044</v>
      </c>
      <c r="E1386" t="s">
        <v>33</v>
      </c>
      <c r="F1386" t="s">
        <v>62</v>
      </c>
      <c r="G1386" t="s">
        <v>29045</v>
      </c>
      <c r="H1386">
        <v>16.8</v>
      </c>
      <c r="I1386">
        <v>0</v>
      </c>
      <c r="J1386">
        <v>0</v>
      </c>
      <c r="K1386">
        <v>0</v>
      </c>
      <c r="N1386">
        <v>6</v>
      </c>
      <c r="O1386">
        <v>6</v>
      </c>
      <c r="P1386">
        <v>4</v>
      </c>
      <c r="Q1386">
        <v>0</v>
      </c>
      <c r="R1386">
        <v>26.8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6</v>
      </c>
      <c r="AC1386">
        <v>0</v>
      </c>
      <c r="AH1386">
        <v>32.799999999999997</v>
      </c>
    </row>
    <row r="1387" spans="1:34" x14ac:dyDescent="0.3">
      <c r="A1387" s="4">
        <v>1572</v>
      </c>
      <c r="B1387" s="5">
        <v>1380</v>
      </c>
      <c r="C1387">
        <v>5434</v>
      </c>
      <c r="D1387" t="s">
        <v>29046</v>
      </c>
      <c r="E1387" t="s">
        <v>29</v>
      </c>
      <c r="F1387" t="s">
        <v>136</v>
      </c>
      <c r="G1387" t="s">
        <v>29047</v>
      </c>
      <c r="H1387">
        <v>21.78</v>
      </c>
      <c r="I1387">
        <v>0</v>
      </c>
      <c r="J1387">
        <v>0</v>
      </c>
      <c r="K1387">
        <v>0</v>
      </c>
      <c r="L1387">
        <v>7</v>
      </c>
      <c r="O1387">
        <v>7</v>
      </c>
      <c r="P1387">
        <v>4</v>
      </c>
      <c r="Q1387">
        <v>0</v>
      </c>
      <c r="R1387">
        <v>32.78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H1387">
        <v>32.78</v>
      </c>
    </row>
    <row r="1388" spans="1:34" x14ac:dyDescent="0.3">
      <c r="A1388" s="4">
        <v>1573</v>
      </c>
      <c r="B1388" s="5">
        <v>1381</v>
      </c>
      <c r="C1388">
        <v>13444</v>
      </c>
      <c r="D1388" t="s">
        <v>29048</v>
      </c>
      <c r="E1388" t="s">
        <v>780</v>
      </c>
      <c r="F1388" t="s">
        <v>17</v>
      </c>
      <c r="G1388" t="s">
        <v>29049</v>
      </c>
      <c r="H1388">
        <v>20.75</v>
      </c>
      <c r="I1388">
        <v>0</v>
      </c>
      <c r="J1388">
        <v>0</v>
      </c>
      <c r="K1388">
        <v>0</v>
      </c>
      <c r="N1388">
        <v>3</v>
      </c>
      <c r="O1388">
        <v>3</v>
      </c>
      <c r="P1388">
        <v>4</v>
      </c>
      <c r="Q1388">
        <v>2</v>
      </c>
      <c r="R1388">
        <v>29.75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3</v>
      </c>
      <c r="AC1388">
        <v>0</v>
      </c>
      <c r="AH1388">
        <v>32.75</v>
      </c>
    </row>
    <row r="1389" spans="1:34" x14ac:dyDescent="0.3">
      <c r="A1389" s="4">
        <v>1574</v>
      </c>
      <c r="B1389" s="5">
        <v>1382</v>
      </c>
      <c r="C1389">
        <v>8220</v>
      </c>
      <c r="D1389" t="s">
        <v>5559</v>
      </c>
      <c r="E1389" t="s">
        <v>29</v>
      </c>
      <c r="F1389" t="s">
        <v>17</v>
      </c>
      <c r="G1389" t="s">
        <v>29050</v>
      </c>
      <c r="H1389">
        <v>19.73</v>
      </c>
      <c r="I1389">
        <v>0</v>
      </c>
      <c r="J1389">
        <v>0</v>
      </c>
      <c r="K1389">
        <v>0</v>
      </c>
      <c r="N1389">
        <v>3</v>
      </c>
      <c r="O1389">
        <v>3</v>
      </c>
      <c r="P1389">
        <v>4</v>
      </c>
      <c r="Q1389">
        <v>0</v>
      </c>
      <c r="R1389">
        <v>26.73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6</v>
      </c>
      <c r="AC1389">
        <v>0</v>
      </c>
      <c r="AH1389">
        <v>32.729999999999997</v>
      </c>
    </row>
    <row r="1390" spans="1:34" x14ac:dyDescent="0.3">
      <c r="A1390" s="4">
        <v>1575</v>
      </c>
      <c r="B1390" s="5">
        <v>1383</v>
      </c>
      <c r="C1390">
        <v>689</v>
      </c>
      <c r="D1390" t="s">
        <v>1276</v>
      </c>
      <c r="E1390" t="s">
        <v>97</v>
      </c>
      <c r="F1390" t="s">
        <v>2802</v>
      </c>
      <c r="G1390" t="s">
        <v>29051</v>
      </c>
      <c r="H1390">
        <v>17.73</v>
      </c>
      <c r="I1390">
        <v>0</v>
      </c>
      <c r="J1390">
        <v>0</v>
      </c>
      <c r="K1390">
        <v>0</v>
      </c>
      <c r="N1390">
        <v>3</v>
      </c>
      <c r="O1390">
        <v>3</v>
      </c>
      <c r="P1390">
        <v>4</v>
      </c>
      <c r="Q1390">
        <v>2</v>
      </c>
      <c r="R1390">
        <v>26.73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6</v>
      </c>
      <c r="AC1390">
        <v>0</v>
      </c>
      <c r="AH1390">
        <v>32.729999999999997</v>
      </c>
    </row>
    <row r="1391" spans="1:34" x14ac:dyDescent="0.3">
      <c r="A1391" s="4">
        <v>1576</v>
      </c>
      <c r="B1391" s="5">
        <v>1384</v>
      </c>
      <c r="C1391">
        <v>12113</v>
      </c>
      <c r="D1391" t="s">
        <v>29052</v>
      </c>
      <c r="E1391" t="s">
        <v>29</v>
      </c>
      <c r="F1391" t="s">
        <v>167</v>
      </c>
      <c r="G1391" t="s">
        <v>29053</v>
      </c>
      <c r="H1391">
        <v>21.73</v>
      </c>
      <c r="I1391">
        <v>0</v>
      </c>
      <c r="J1391">
        <v>0</v>
      </c>
      <c r="K1391">
        <v>0</v>
      </c>
      <c r="L1391">
        <v>7</v>
      </c>
      <c r="O1391">
        <v>7</v>
      </c>
      <c r="P1391">
        <v>4</v>
      </c>
      <c r="Q1391">
        <v>0</v>
      </c>
      <c r="R1391">
        <v>32.729999999999997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H1391">
        <v>32.729999999999997</v>
      </c>
    </row>
    <row r="1392" spans="1:34" x14ac:dyDescent="0.3">
      <c r="A1392" s="4">
        <v>1577</v>
      </c>
      <c r="B1392" s="5">
        <v>1385</v>
      </c>
      <c r="C1392">
        <v>14199</v>
      </c>
      <c r="D1392" t="s">
        <v>29054</v>
      </c>
      <c r="E1392" t="s">
        <v>1277</v>
      </c>
      <c r="F1392" t="s">
        <v>117</v>
      </c>
      <c r="G1392" t="s">
        <v>29055</v>
      </c>
      <c r="H1392">
        <v>18.73</v>
      </c>
      <c r="I1392">
        <v>0</v>
      </c>
      <c r="J1392">
        <v>0</v>
      </c>
      <c r="K1392">
        <v>0</v>
      </c>
      <c r="L1392">
        <v>7</v>
      </c>
      <c r="N1392">
        <v>3</v>
      </c>
      <c r="O1392">
        <v>10</v>
      </c>
      <c r="P1392">
        <v>4</v>
      </c>
      <c r="Q1392">
        <v>0</v>
      </c>
      <c r="R1392">
        <v>32.729999999999997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H1392">
        <v>32.729999999999997</v>
      </c>
    </row>
    <row r="1393" spans="1:34" x14ac:dyDescent="0.3">
      <c r="A1393" s="4">
        <v>1578</v>
      </c>
      <c r="B1393" s="5">
        <v>1386</v>
      </c>
      <c r="C1393">
        <v>7321</v>
      </c>
      <c r="D1393" t="s">
        <v>29056</v>
      </c>
      <c r="E1393" t="s">
        <v>71</v>
      </c>
      <c r="F1393" t="s">
        <v>81</v>
      </c>
      <c r="G1393" t="s">
        <v>29057</v>
      </c>
      <c r="H1393">
        <v>15.65</v>
      </c>
      <c r="I1393">
        <v>0</v>
      </c>
      <c r="J1393">
        <v>0</v>
      </c>
      <c r="K1393">
        <v>0</v>
      </c>
      <c r="L1393">
        <v>7</v>
      </c>
      <c r="O1393">
        <v>7</v>
      </c>
      <c r="P1393">
        <v>4</v>
      </c>
      <c r="Q1393">
        <v>0</v>
      </c>
      <c r="R1393">
        <v>26.65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6</v>
      </c>
      <c r="AC1393">
        <v>0</v>
      </c>
      <c r="AH1393">
        <v>32.65</v>
      </c>
    </row>
    <row r="1394" spans="1:34" x14ac:dyDescent="0.3">
      <c r="A1394" s="4">
        <v>1579</v>
      </c>
      <c r="B1394" s="5">
        <v>1387</v>
      </c>
      <c r="C1394">
        <v>3794</v>
      </c>
      <c r="D1394" t="s">
        <v>29058</v>
      </c>
      <c r="E1394" t="s">
        <v>3964</v>
      </c>
      <c r="F1394" t="s">
        <v>927</v>
      </c>
      <c r="G1394" t="s">
        <v>29059</v>
      </c>
      <c r="H1394">
        <v>18.649999999999999</v>
      </c>
      <c r="I1394">
        <v>0</v>
      </c>
      <c r="J1394">
        <v>0</v>
      </c>
      <c r="K1394">
        <v>0</v>
      </c>
      <c r="L1394">
        <v>7</v>
      </c>
      <c r="O1394">
        <v>7</v>
      </c>
      <c r="P1394">
        <v>4</v>
      </c>
      <c r="Q1394">
        <v>0</v>
      </c>
      <c r="R1394">
        <v>29.65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3</v>
      </c>
      <c r="AC1394">
        <v>0</v>
      </c>
      <c r="AH1394">
        <v>32.65</v>
      </c>
    </row>
    <row r="1395" spans="1:34" x14ac:dyDescent="0.3">
      <c r="A1395" s="4">
        <v>1580</v>
      </c>
      <c r="B1395" s="5">
        <v>1388</v>
      </c>
      <c r="C1395">
        <v>12029</v>
      </c>
      <c r="D1395" t="s">
        <v>1649</v>
      </c>
      <c r="E1395" t="s">
        <v>100</v>
      </c>
      <c r="F1395" t="s">
        <v>14</v>
      </c>
      <c r="G1395" t="s">
        <v>29060</v>
      </c>
      <c r="H1395">
        <v>19.649999999999999</v>
      </c>
      <c r="I1395">
        <v>0</v>
      </c>
      <c r="J1395">
        <v>0</v>
      </c>
      <c r="K1395">
        <v>0</v>
      </c>
      <c r="L1395">
        <v>7</v>
      </c>
      <c r="O1395">
        <v>7</v>
      </c>
      <c r="P1395">
        <v>4</v>
      </c>
      <c r="Q1395">
        <v>2</v>
      </c>
      <c r="R1395">
        <v>32.65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H1395">
        <v>32.65</v>
      </c>
    </row>
    <row r="1396" spans="1:34" x14ac:dyDescent="0.3">
      <c r="A1396" s="4">
        <v>1581</v>
      </c>
      <c r="B1396" s="5">
        <v>1389</v>
      </c>
      <c r="C1396">
        <v>6974</v>
      </c>
      <c r="D1396" t="s">
        <v>6264</v>
      </c>
      <c r="E1396" t="s">
        <v>1874</v>
      </c>
      <c r="F1396" t="s">
        <v>1812</v>
      </c>
      <c r="G1396" t="s">
        <v>29061</v>
      </c>
      <c r="H1396">
        <v>18.600000000000001</v>
      </c>
      <c r="I1396">
        <v>0</v>
      </c>
      <c r="J1396">
        <v>0</v>
      </c>
      <c r="K1396">
        <v>0</v>
      </c>
      <c r="L1396">
        <v>7</v>
      </c>
      <c r="O1396">
        <v>7</v>
      </c>
      <c r="P1396">
        <v>4</v>
      </c>
      <c r="Q1396">
        <v>0</v>
      </c>
      <c r="R1396">
        <v>29.6</v>
      </c>
      <c r="S1396">
        <v>3</v>
      </c>
      <c r="T1396">
        <v>3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3</v>
      </c>
      <c r="AB1396">
        <v>0</v>
      </c>
      <c r="AC1396">
        <v>0</v>
      </c>
      <c r="AD1396" t="s">
        <v>130</v>
      </c>
      <c r="AH1396">
        <v>32.6</v>
      </c>
    </row>
    <row r="1397" spans="1:34" x14ac:dyDescent="0.3">
      <c r="A1397" s="4">
        <v>1582</v>
      </c>
      <c r="B1397" s="5">
        <v>1390</v>
      </c>
      <c r="C1397">
        <v>2925</v>
      </c>
      <c r="D1397" t="s">
        <v>6099</v>
      </c>
      <c r="E1397" t="s">
        <v>208</v>
      </c>
      <c r="F1397" t="s">
        <v>652</v>
      </c>
      <c r="G1397" t="s">
        <v>29062</v>
      </c>
      <c r="H1397">
        <v>15.6</v>
      </c>
      <c r="I1397">
        <v>0</v>
      </c>
      <c r="J1397">
        <v>0</v>
      </c>
      <c r="K1397">
        <v>0</v>
      </c>
      <c r="L1397">
        <v>7</v>
      </c>
      <c r="O1397">
        <v>7</v>
      </c>
      <c r="P1397">
        <v>4</v>
      </c>
      <c r="Q1397">
        <v>0</v>
      </c>
      <c r="R1397">
        <v>26.6</v>
      </c>
      <c r="S1397">
        <v>6</v>
      </c>
      <c r="T1397">
        <v>6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6</v>
      </c>
      <c r="AB1397">
        <v>0</v>
      </c>
      <c r="AC1397">
        <v>0</v>
      </c>
      <c r="AD1397" t="s">
        <v>130</v>
      </c>
      <c r="AH1397">
        <v>32.6</v>
      </c>
    </row>
    <row r="1398" spans="1:34" x14ac:dyDescent="0.3">
      <c r="A1398" s="4">
        <v>1583</v>
      </c>
      <c r="B1398" s="5">
        <v>1391</v>
      </c>
      <c r="C1398">
        <v>9608</v>
      </c>
      <c r="D1398" t="s">
        <v>29063</v>
      </c>
      <c r="E1398" t="s">
        <v>273</v>
      </c>
      <c r="F1398" t="s">
        <v>117</v>
      </c>
      <c r="G1398" t="s">
        <v>29064</v>
      </c>
      <c r="H1398">
        <v>21.5</v>
      </c>
      <c r="I1398">
        <v>0</v>
      </c>
      <c r="J1398">
        <v>0</v>
      </c>
      <c r="K1398">
        <v>0</v>
      </c>
      <c r="L1398">
        <v>7</v>
      </c>
      <c r="O1398">
        <v>7</v>
      </c>
      <c r="P1398">
        <v>4</v>
      </c>
      <c r="Q1398">
        <v>0</v>
      </c>
      <c r="R1398">
        <v>32.5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 t="s">
        <v>130</v>
      </c>
      <c r="AH1398">
        <v>32.5</v>
      </c>
    </row>
    <row r="1399" spans="1:34" x14ac:dyDescent="0.3">
      <c r="A1399" s="4">
        <v>1584</v>
      </c>
      <c r="B1399" s="5">
        <v>1392</v>
      </c>
      <c r="C1399">
        <v>3954</v>
      </c>
      <c r="D1399" t="s">
        <v>29065</v>
      </c>
      <c r="E1399" t="s">
        <v>161</v>
      </c>
      <c r="F1399" t="s">
        <v>29066</v>
      </c>
      <c r="G1399" t="s">
        <v>29067</v>
      </c>
      <c r="H1399">
        <v>16.48</v>
      </c>
      <c r="I1399">
        <v>0</v>
      </c>
      <c r="J1399">
        <v>0</v>
      </c>
      <c r="K1399">
        <v>0</v>
      </c>
      <c r="N1399">
        <v>3</v>
      </c>
      <c r="O1399">
        <v>3</v>
      </c>
      <c r="P1399">
        <v>4</v>
      </c>
      <c r="Q1399">
        <v>0</v>
      </c>
      <c r="R1399">
        <v>23.48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9</v>
      </c>
      <c r="AC1399">
        <v>0</v>
      </c>
      <c r="AH1399">
        <v>32.479999999999997</v>
      </c>
    </row>
    <row r="1400" spans="1:34" x14ac:dyDescent="0.3">
      <c r="A1400" s="4">
        <v>1585</v>
      </c>
      <c r="B1400" s="5">
        <v>1393</v>
      </c>
      <c r="C1400">
        <v>6730</v>
      </c>
      <c r="D1400" t="s">
        <v>15207</v>
      </c>
      <c r="E1400" t="s">
        <v>54</v>
      </c>
      <c r="F1400" t="s">
        <v>20</v>
      </c>
      <c r="G1400" t="s">
        <v>29068</v>
      </c>
      <c r="H1400">
        <v>18.48</v>
      </c>
      <c r="I1400">
        <v>0</v>
      </c>
      <c r="J1400">
        <v>0</v>
      </c>
      <c r="K1400">
        <v>0</v>
      </c>
      <c r="L1400">
        <v>7</v>
      </c>
      <c r="O1400">
        <v>7</v>
      </c>
      <c r="P1400">
        <v>4</v>
      </c>
      <c r="Q1400">
        <v>0</v>
      </c>
      <c r="R1400">
        <v>29.48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3</v>
      </c>
      <c r="AC1400">
        <v>0</v>
      </c>
      <c r="AH1400">
        <v>32.479999999999997</v>
      </c>
    </row>
    <row r="1401" spans="1:34" x14ac:dyDescent="0.3">
      <c r="A1401" s="4">
        <v>1586</v>
      </c>
      <c r="B1401" s="5">
        <v>1394</v>
      </c>
      <c r="C1401">
        <v>11919</v>
      </c>
      <c r="D1401" t="s">
        <v>7808</v>
      </c>
      <c r="E1401" t="s">
        <v>166</v>
      </c>
      <c r="F1401" t="s">
        <v>68</v>
      </c>
      <c r="G1401" t="s">
        <v>29069</v>
      </c>
      <c r="H1401">
        <v>21.48</v>
      </c>
      <c r="I1401">
        <v>0</v>
      </c>
      <c r="J1401">
        <v>0</v>
      </c>
      <c r="K1401">
        <v>0</v>
      </c>
      <c r="L1401">
        <v>7</v>
      </c>
      <c r="O1401">
        <v>7</v>
      </c>
      <c r="P1401">
        <v>4</v>
      </c>
      <c r="Q1401">
        <v>0</v>
      </c>
      <c r="R1401">
        <v>32.479999999999997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H1401">
        <v>32.479999999999997</v>
      </c>
    </row>
    <row r="1402" spans="1:34" x14ac:dyDescent="0.3">
      <c r="A1402" s="4">
        <v>1587</v>
      </c>
      <c r="B1402" s="5">
        <v>1395</v>
      </c>
      <c r="C1402">
        <v>13943</v>
      </c>
      <c r="D1402" t="s">
        <v>3647</v>
      </c>
      <c r="E1402" t="s">
        <v>100</v>
      </c>
      <c r="F1402" t="s">
        <v>649</v>
      </c>
      <c r="G1402" t="s">
        <v>29070</v>
      </c>
      <c r="H1402">
        <v>19.45</v>
      </c>
      <c r="I1402">
        <v>0</v>
      </c>
      <c r="J1402">
        <v>0</v>
      </c>
      <c r="K1402">
        <v>0</v>
      </c>
      <c r="N1402">
        <v>3</v>
      </c>
      <c r="O1402">
        <v>3</v>
      </c>
      <c r="P1402">
        <v>4</v>
      </c>
      <c r="Q1402">
        <v>0</v>
      </c>
      <c r="R1402">
        <v>26.45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6</v>
      </c>
      <c r="AC1402">
        <v>0</v>
      </c>
      <c r="AH1402">
        <v>32.450000000000003</v>
      </c>
    </row>
    <row r="1403" spans="1:34" x14ac:dyDescent="0.3">
      <c r="A1403" s="4">
        <v>1588</v>
      </c>
      <c r="B1403" s="5">
        <v>1396</v>
      </c>
      <c r="C1403">
        <v>7063</v>
      </c>
      <c r="D1403" t="s">
        <v>29071</v>
      </c>
      <c r="E1403" t="s">
        <v>161</v>
      </c>
      <c r="F1403" t="s">
        <v>29072</v>
      </c>
      <c r="G1403" t="s">
        <v>29073</v>
      </c>
      <c r="H1403">
        <v>19.43</v>
      </c>
      <c r="I1403">
        <v>0</v>
      </c>
      <c r="J1403">
        <v>0</v>
      </c>
      <c r="K1403">
        <v>0</v>
      </c>
      <c r="L1403">
        <v>7</v>
      </c>
      <c r="O1403">
        <v>7</v>
      </c>
      <c r="P1403">
        <v>4</v>
      </c>
      <c r="Q1403">
        <v>2</v>
      </c>
      <c r="R1403">
        <v>32.43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H1403">
        <v>32.43</v>
      </c>
    </row>
    <row r="1404" spans="1:34" x14ac:dyDescent="0.3">
      <c r="A1404" s="4">
        <v>1589</v>
      </c>
      <c r="B1404" s="5">
        <v>1397</v>
      </c>
      <c r="C1404">
        <v>7599</v>
      </c>
      <c r="D1404" t="s">
        <v>5483</v>
      </c>
      <c r="E1404" t="s">
        <v>29</v>
      </c>
      <c r="F1404" t="s">
        <v>1566</v>
      </c>
      <c r="G1404" t="s">
        <v>29074</v>
      </c>
      <c r="H1404">
        <v>18.43</v>
      </c>
      <c r="I1404">
        <v>0</v>
      </c>
      <c r="J1404">
        <v>0</v>
      </c>
      <c r="K1404">
        <v>0</v>
      </c>
      <c r="L1404">
        <v>7</v>
      </c>
      <c r="N1404">
        <v>3</v>
      </c>
      <c r="O1404">
        <v>10</v>
      </c>
      <c r="P1404">
        <v>4</v>
      </c>
      <c r="Q1404">
        <v>0</v>
      </c>
      <c r="R1404">
        <v>32.43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H1404">
        <v>32.43</v>
      </c>
    </row>
    <row r="1405" spans="1:34" x14ac:dyDescent="0.3">
      <c r="A1405" s="4">
        <v>1590</v>
      </c>
      <c r="B1405" s="5">
        <v>1398</v>
      </c>
      <c r="C1405">
        <v>7110</v>
      </c>
      <c r="D1405" t="s">
        <v>218</v>
      </c>
      <c r="E1405" t="s">
        <v>124</v>
      </c>
      <c r="F1405" t="s">
        <v>81</v>
      </c>
      <c r="G1405" t="s">
        <v>29075</v>
      </c>
      <c r="H1405">
        <v>21.4</v>
      </c>
      <c r="I1405">
        <v>0</v>
      </c>
      <c r="J1405">
        <v>0</v>
      </c>
      <c r="K1405">
        <v>0</v>
      </c>
      <c r="L1405">
        <v>7</v>
      </c>
      <c r="O1405">
        <v>7</v>
      </c>
      <c r="P1405">
        <v>4</v>
      </c>
      <c r="Q1405">
        <v>0</v>
      </c>
      <c r="R1405">
        <v>32.4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H1405">
        <v>32.4</v>
      </c>
    </row>
    <row r="1406" spans="1:34" x14ac:dyDescent="0.3">
      <c r="A1406" s="4">
        <v>1591</v>
      </c>
      <c r="B1406" s="5">
        <v>1399</v>
      </c>
      <c r="C1406">
        <v>5353</v>
      </c>
      <c r="D1406" t="s">
        <v>29076</v>
      </c>
      <c r="E1406" t="s">
        <v>132</v>
      </c>
      <c r="F1406" t="s">
        <v>81</v>
      </c>
      <c r="G1406" t="s">
        <v>29077</v>
      </c>
      <c r="H1406">
        <v>18.399999999999999</v>
      </c>
      <c r="I1406">
        <v>0</v>
      </c>
      <c r="J1406">
        <v>0</v>
      </c>
      <c r="K1406">
        <v>0</v>
      </c>
      <c r="M1406">
        <v>5</v>
      </c>
      <c r="O1406">
        <v>5</v>
      </c>
      <c r="P1406">
        <v>0</v>
      </c>
      <c r="Q1406">
        <v>0</v>
      </c>
      <c r="R1406">
        <v>23.4</v>
      </c>
      <c r="S1406">
        <v>9</v>
      </c>
      <c r="T1406">
        <v>9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9</v>
      </c>
      <c r="AB1406">
        <v>0</v>
      </c>
      <c r="AC1406">
        <v>0</v>
      </c>
      <c r="AD1406" t="s">
        <v>130</v>
      </c>
      <c r="AH1406">
        <v>32.4</v>
      </c>
    </row>
    <row r="1407" spans="1:34" x14ac:dyDescent="0.3">
      <c r="A1407" s="4">
        <v>1592</v>
      </c>
      <c r="B1407" s="5">
        <v>1400</v>
      </c>
      <c r="C1407">
        <v>1192</v>
      </c>
      <c r="D1407" t="s">
        <v>3033</v>
      </c>
      <c r="E1407" t="s">
        <v>41</v>
      </c>
      <c r="F1407" t="s">
        <v>158</v>
      </c>
      <c r="G1407" t="s">
        <v>29078</v>
      </c>
      <c r="H1407">
        <v>21.38</v>
      </c>
      <c r="I1407">
        <v>0</v>
      </c>
      <c r="J1407">
        <v>0</v>
      </c>
      <c r="K1407">
        <v>0</v>
      </c>
      <c r="L1407">
        <v>7</v>
      </c>
      <c r="O1407">
        <v>7</v>
      </c>
      <c r="P1407">
        <v>4</v>
      </c>
      <c r="Q1407">
        <v>0</v>
      </c>
      <c r="R1407">
        <v>32.380000000000003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H1407">
        <v>32.380000000000003</v>
      </c>
    </row>
    <row r="1408" spans="1:34" x14ac:dyDescent="0.3">
      <c r="A1408" s="4">
        <v>1593</v>
      </c>
      <c r="B1408" s="5">
        <v>1401</v>
      </c>
      <c r="C1408">
        <v>15406</v>
      </c>
      <c r="D1408" t="s">
        <v>743</v>
      </c>
      <c r="E1408" t="s">
        <v>37</v>
      </c>
      <c r="F1408" t="s">
        <v>136</v>
      </c>
      <c r="G1408" t="s">
        <v>29079</v>
      </c>
      <c r="H1408">
        <v>18.38</v>
      </c>
      <c r="I1408">
        <v>0</v>
      </c>
      <c r="J1408">
        <v>0</v>
      </c>
      <c r="K1408">
        <v>0</v>
      </c>
      <c r="L1408">
        <v>7</v>
      </c>
      <c r="N1408">
        <v>3</v>
      </c>
      <c r="O1408">
        <v>10</v>
      </c>
      <c r="P1408">
        <v>4</v>
      </c>
      <c r="Q1408">
        <v>0</v>
      </c>
      <c r="R1408">
        <v>32.380000000000003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H1408">
        <v>32.380000000000003</v>
      </c>
    </row>
    <row r="1409" spans="1:34" x14ac:dyDescent="0.3">
      <c r="A1409" s="4">
        <v>1594</v>
      </c>
      <c r="B1409" s="5">
        <v>1402</v>
      </c>
      <c r="C1409">
        <v>10547</v>
      </c>
      <c r="D1409" t="s">
        <v>775</v>
      </c>
      <c r="E1409" t="s">
        <v>406</v>
      </c>
      <c r="F1409" t="s">
        <v>2513</v>
      </c>
      <c r="G1409" t="s">
        <v>29080</v>
      </c>
      <c r="H1409">
        <v>20.350000000000001</v>
      </c>
      <c r="I1409">
        <v>0</v>
      </c>
      <c r="J1409">
        <v>0</v>
      </c>
      <c r="K1409">
        <v>0</v>
      </c>
      <c r="M1409">
        <v>5</v>
      </c>
      <c r="N1409">
        <v>3</v>
      </c>
      <c r="O1409">
        <v>8</v>
      </c>
      <c r="P1409">
        <v>4</v>
      </c>
      <c r="Q1409">
        <v>0</v>
      </c>
      <c r="R1409">
        <v>32.35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H1409">
        <v>32.35</v>
      </c>
    </row>
    <row r="1410" spans="1:34" x14ac:dyDescent="0.3">
      <c r="A1410" s="4">
        <v>1595</v>
      </c>
      <c r="B1410" s="5">
        <v>1403</v>
      </c>
      <c r="C1410">
        <v>11435</v>
      </c>
      <c r="D1410" t="s">
        <v>29081</v>
      </c>
      <c r="E1410" t="s">
        <v>3449</v>
      </c>
      <c r="F1410" t="s">
        <v>29082</v>
      </c>
      <c r="G1410" t="s">
        <v>29083</v>
      </c>
      <c r="H1410">
        <v>21.3</v>
      </c>
      <c r="I1410">
        <v>0</v>
      </c>
      <c r="J1410">
        <v>0</v>
      </c>
      <c r="K1410">
        <v>0</v>
      </c>
      <c r="L1410">
        <v>7</v>
      </c>
      <c r="O1410">
        <v>7</v>
      </c>
      <c r="P1410">
        <v>4</v>
      </c>
      <c r="Q1410">
        <v>0</v>
      </c>
      <c r="R1410">
        <v>32.299999999999997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H1410">
        <v>32.299999999999997</v>
      </c>
    </row>
    <row r="1411" spans="1:34" x14ac:dyDescent="0.3">
      <c r="A1411" s="4">
        <v>1596</v>
      </c>
      <c r="B1411" s="5">
        <v>1404</v>
      </c>
      <c r="C1411">
        <v>7409</v>
      </c>
      <c r="D1411" t="s">
        <v>29084</v>
      </c>
      <c r="E1411" t="s">
        <v>29085</v>
      </c>
      <c r="F1411" t="s">
        <v>167</v>
      </c>
      <c r="G1411" t="s">
        <v>29086</v>
      </c>
      <c r="H1411">
        <v>20.28</v>
      </c>
      <c r="I1411">
        <v>7</v>
      </c>
      <c r="J1411">
        <v>0</v>
      </c>
      <c r="K1411">
        <v>0</v>
      </c>
      <c r="N1411">
        <v>3</v>
      </c>
      <c r="O1411">
        <v>3</v>
      </c>
      <c r="P1411">
        <v>0</v>
      </c>
      <c r="Q1411">
        <v>2</v>
      </c>
      <c r="R1411">
        <v>32.28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H1411">
        <v>32.28</v>
      </c>
    </row>
    <row r="1412" spans="1:34" x14ac:dyDescent="0.3">
      <c r="A1412" s="4">
        <v>1597</v>
      </c>
      <c r="B1412" s="5">
        <v>1405</v>
      </c>
      <c r="C1412">
        <v>1324</v>
      </c>
      <c r="D1412" t="s">
        <v>29087</v>
      </c>
      <c r="E1412" t="s">
        <v>2758</v>
      </c>
      <c r="F1412" t="s">
        <v>81</v>
      </c>
      <c r="G1412" t="s">
        <v>29088</v>
      </c>
      <c r="H1412">
        <v>17.28</v>
      </c>
      <c r="I1412">
        <v>0</v>
      </c>
      <c r="J1412">
        <v>0</v>
      </c>
      <c r="K1412">
        <v>0</v>
      </c>
      <c r="N1412">
        <v>3</v>
      </c>
      <c r="O1412">
        <v>3</v>
      </c>
      <c r="P1412">
        <v>4</v>
      </c>
      <c r="Q1412">
        <v>2</v>
      </c>
      <c r="R1412">
        <v>26.28</v>
      </c>
      <c r="S1412">
        <v>6</v>
      </c>
      <c r="T1412">
        <v>6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6</v>
      </c>
      <c r="AB1412">
        <v>0</v>
      </c>
      <c r="AC1412">
        <v>0</v>
      </c>
      <c r="AH1412">
        <v>32.28</v>
      </c>
    </row>
    <row r="1413" spans="1:34" x14ac:dyDescent="0.3">
      <c r="A1413" s="4">
        <v>1598</v>
      </c>
      <c r="B1413" s="5">
        <v>1406</v>
      </c>
      <c r="C1413">
        <v>10296</v>
      </c>
      <c r="D1413" t="s">
        <v>29089</v>
      </c>
      <c r="E1413" t="s">
        <v>110</v>
      </c>
      <c r="F1413" t="s">
        <v>29090</v>
      </c>
      <c r="G1413" t="s">
        <v>29091</v>
      </c>
      <c r="H1413">
        <v>19.23</v>
      </c>
      <c r="I1413">
        <v>0</v>
      </c>
      <c r="J1413">
        <v>0</v>
      </c>
      <c r="K1413">
        <v>0</v>
      </c>
      <c r="N1413">
        <v>3</v>
      </c>
      <c r="O1413">
        <v>3</v>
      </c>
      <c r="P1413">
        <v>4</v>
      </c>
      <c r="Q1413">
        <v>0</v>
      </c>
      <c r="R1413">
        <v>26.23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6</v>
      </c>
      <c r="AC1413">
        <v>0</v>
      </c>
      <c r="AD1413" t="s">
        <v>130</v>
      </c>
      <c r="AH1413">
        <v>32.229999999999997</v>
      </c>
    </row>
    <row r="1414" spans="1:34" x14ac:dyDescent="0.3">
      <c r="A1414" s="4">
        <v>1599</v>
      </c>
      <c r="B1414" s="5">
        <v>1407</v>
      </c>
      <c r="C1414">
        <v>150</v>
      </c>
      <c r="D1414" t="s">
        <v>775</v>
      </c>
      <c r="E1414" t="s">
        <v>26</v>
      </c>
      <c r="F1414" t="s">
        <v>117</v>
      </c>
      <c r="G1414" t="s">
        <v>776</v>
      </c>
      <c r="H1414">
        <v>19.23</v>
      </c>
      <c r="I1414">
        <v>0</v>
      </c>
      <c r="J1414">
        <v>0</v>
      </c>
      <c r="K1414">
        <v>0</v>
      </c>
      <c r="L1414">
        <v>7</v>
      </c>
      <c r="O1414">
        <v>7</v>
      </c>
      <c r="P1414">
        <v>4</v>
      </c>
      <c r="Q1414">
        <v>2</v>
      </c>
      <c r="R1414">
        <v>32.229999999999997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H1414">
        <v>32.229999999999997</v>
      </c>
    </row>
    <row r="1415" spans="1:34" x14ac:dyDescent="0.3">
      <c r="A1415" s="4">
        <v>1600</v>
      </c>
      <c r="B1415" s="5">
        <v>1408</v>
      </c>
      <c r="C1415">
        <v>3580</v>
      </c>
      <c r="D1415" t="s">
        <v>29092</v>
      </c>
      <c r="E1415" t="s">
        <v>208</v>
      </c>
      <c r="F1415" t="s">
        <v>17</v>
      </c>
      <c r="G1415" t="s">
        <v>29093</v>
      </c>
      <c r="H1415">
        <v>19.2</v>
      </c>
      <c r="I1415">
        <v>0</v>
      </c>
      <c r="J1415">
        <v>0</v>
      </c>
      <c r="K1415">
        <v>0</v>
      </c>
      <c r="L1415">
        <v>7</v>
      </c>
      <c r="O1415">
        <v>7</v>
      </c>
      <c r="P1415">
        <v>4</v>
      </c>
      <c r="Q1415">
        <v>2</v>
      </c>
      <c r="R1415">
        <v>32.200000000000003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 t="s">
        <v>130</v>
      </c>
      <c r="AH1415">
        <v>32.200000000000003</v>
      </c>
    </row>
    <row r="1416" spans="1:34" x14ac:dyDescent="0.3">
      <c r="A1416" s="4">
        <v>1601</v>
      </c>
      <c r="B1416" s="5">
        <v>1409</v>
      </c>
      <c r="C1416">
        <v>10264</v>
      </c>
      <c r="D1416" t="s">
        <v>29094</v>
      </c>
      <c r="E1416" t="s">
        <v>166</v>
      </c>
      <c r="F1416" t="s">
        <v>68</v>
      </c>
      <c r="G1416" t="s">
        <v>29095</v>
      </c>
      <c r="H1416">
        <v>19.18</v>
      </c>
      <c r="I1416">
        <v>0</v>
      </c>
      <c r="J1416">
        <v>0</v>
      </c>
      <c r="K1416">
        <v>0</v>
      </c>
      <c r="N1416">
        <v>3</v>
      </c>
      <c r="O1416">
        <v>3</v>
      </c>
      <c r="P1416">
        <v>4</v>
      </c>
      <c r="Q1416">
        <v>0</v>
      </c>
      <c r="R1416">
        <v>26.18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6</v>
      </c>
      <c r="AC1416">
        <v>0</v>
      </c>
      <c r="AH1416">
        <v>32.18</v>
      </c>
    </row>
    <row r="1417" spans="1:34" x14ac:dyDescent="0.3">
      <c r="A1417" s="4">
        <v>1602</v>
      </c>
      <c r="B1417" s="5">
        <v>1410</v>
      </c>
      <c r="C1417">
        <v>10189</v>
      </c>
      <c r="D1417" t="s">
        <v>19568</v>
      </c>
      <c r="E1417" t="s">
        <v>26</v>
      </c>
      <c r="F1417" t="s">
        <v>649</v>
      </c>
      <c r="G1417" t="s">
        <v>29096</v>
      </c>
      <c r="H1417">
        <v>19.149999999999999</v>
      </c>
      <c r="I1417">
        <v>0</v>
      </c>
      <c r="J1417">
        <v>0</v>
      </c>
      <c r="K1417">
        <v>0</v>
      </c>
      <c r="N1417">
        <v>3</v>
      </c>
      <c r="O1417">
        <v>3</v>
      </c>
      <c r="P1417">
        <v>4</v>
      </c>
      <c r="Q1417">
        <v>0</v>
      </c>
      <c r="R1417">
        <v>26.15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6</v>
      </c>
      <c r="AC1417">
        <v>0</v>
      </c>
      <c r="AH1417">
        <v>32.15</v>
      </c>
    </row>
    <row r="1418" spans="1:34" x14ac:dyDescent="0.3">
      <c r="A1418" s="4">
        <v>1603</v>
      </c>
      <c r="B1418" s="5">
        <v>1411</v>
      </c>
      <c r="C1418">
        <v>11574</v>
      </c>
      <c r="D1418" t="s">
        <v>1088</v>
      </c>
      <c r="E1418" t="s">
        <v>4774</v>
      </c>
      <c r="F1418" t="s">
        <v>38</v>
      </c>
      <c r="G1418" t="s">
        <v>29097</v>
      </c>
      <c r="H1418">
        <v>20.13</v>
      </c>
      <c r="I1418">
        <v>0</v>
      </c>
      <c r="J1418">
        <v>0</v>
      </c>
      <c r="K1418">
        <v>0</v>
      </c>
      <c r="N1418">
        <v>3</v>
      </c>
      <c r="O1418">
        <v>3</v>
      </c>
      <c r="P1418">
        <v>4</v>
      </c>
      <c r="Q1418">
        <v>2</v>
      </c>
      <c r="R1418">
        <v>29.13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3</v>
      </c>
      <c r="AC1418">
        <v>0</v>
      </c>
      <c r="AH1418">
        <v>32.130000000000003</v>
      </c>
    </row>
    <row r="1419" spans="1:34" x14ac:dyDescent="0.3">
      <c r="A1419" s="4">
        <v>1604</v>
      </c>
      <c r="B1419" s="5">
        <v>1412</v>
      </c>
      <c r="C1419">
        <v>779</v>
      </c>
      <c r="D1419" t="s">
        <v>357</v>
      </c>
      <c r="E1419" t="s">
        <v>54</v>
      </c>
      <c r="F1419" t="s">
        <v>34</v>
      </c>
      <c r="G1419" t="s">
        <v>29098</v>
      </c>
      <c r="H1419">
        <v>21.13</v>
      </c>
      <c r="I1419">
        <v>0</v>
      </c>
      <c r="J1419">
        <v>0</v>
      </c>
      <c r="K1419">
        <v>0</v>
      </c>
      <c r="L1419">
        <v>7</v>
      </c>
      <c r="O1419">
        <v>7</v>
      </c>
      <c r="P1419">
        <v>4</v>
      </c>
      <c r="Q1419">
        <v>0</v>
      </c>
      <c r="R1419">
        <v>32.130000000000003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H1419">
        <v>32.130000000000003</v>
      </c>
    </row>
    <row r="1420" spans="1:34" x14ac:dyDescent="0.3">
      <c r="A1420" s="4">
        <v>1605</v>
      </c>
      <c r="B1420" s="5">
        <v>1413</v>
      </c>
      <c r="C1420">
        <v>5901</v>
      </c>
      <c r="D1420" t="s">
        <v>29099</v>
      </c>
      <c r="E1420" t="s">
        <v>858</v>
      </c>
      <c r="F1420" t="s">
        <v>20</v>
      </c>
      <c r="G1420" t="s">
        <v>29100</v>
      </c>
      <c r="H1420">
        <v>15.13</v>
      </c>
      <c r="I1420">
        <v>0</v>
      </c>
      <c r="J1420">
        <v>0</v>
      </c>
      <c r="K1420">
        <v>0</v>
      </c>
      <c r="N1420">
        <v>3</v>
      </c>
      <c r="O1420">
        <v>3</v>
      </c>
      <c r="P1420">
        <v>4</v>
      </c>
      <c r="Q1420">
        <v>2</v>
      </c>
      <c r="R1420">
        <v>24.13</v>
      </c>
      <c r="S1420">
        <v>8</v>
      </c>
      <c r="T1420">
        <v>8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8</v>
      </c>
      <c r="AB1420">
        <v>0</v>
      </c>
      <c r="AC1420">
        <v>0</v>
      </c>
      <c r="AH1420">
        <v>32.130000000000003</v>
      </c>
    </row>
    <row r="1421" spans="1:34" x14ac:dyDescent="0.3">
      <c r="A1421" s="4">
        <v>1606</v>
      </c>
      <c r="B1421" s="5">
        <v>1414</v>
      </c>
      <c r="C1421">
        <v>14042</v>
      </c>
      <c r="D1421" t="s">
        <v>554</v>
      </c>
      <c r="E1421" t="s">
        <v>208</v>
      </c>
      <c r="F1421" t="s">
        <v>243</v>
      </c>
      <c r="G1421" t="s">
        <v>29101</v>
      </c>
      <c r="H1421">
        <v>18.079999999999998</v>
      </c>
      <c r="I1421">
        <v>0</v>
      </c>
      <c r="J1421">
        <v>0</v>
      </c>
      <c r="K1421">
        <v>0</v>
      </c>
      <c r="L1421">
        <v>7</v>
      </c>
      <c r="O1421">
        <v>7</v>
      </c>
      <c r="P1421">
        <v>4</v>
      </c>
      <c r="Q1421">
        <v>0</v>
      </c>
      <c r="R1421">
        <v>29.08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3</v>
      </c>
      <c r="AC1421">
        <v>0</v>
      </c>
      <c r="AH1421">
        <v>32.08</v>
      </c>
    </row>
    <row r="1422" spans="1:34" x14ac:dyDescent="0.3">
      <c r="A1422" s="4">
        <v>1607</v>
      </c>
      <c r="B1422" s="5">
        <v>1415</v>
      </c>
      <c r="C1422">
        <v>5806</v>
      </c>
      <c r="D1422" t="s">
        <v>351</v>
      </c>
      <c r="E1422" t="s">
        <v>352</v>
      </c>
      <c r="F1422" t="s">
        <v>20</v>
      </c>
      <c r="G1422" t="s">
        <v>353</v>
      </c>
      <c r="H1422">
        <v>17.079999999999998</v>
      </c>
      <c r="I1422">
        <v>0</v>
      </c>
      <c r="J1422">
        <v>0</v>
      </c>
      <c r="K1422">
        <v>0</v>
      </c>
      <c r="N1422">
        <v>3</v>
      </c>
      <c r="O1422">
        <v>3</v>
      </c>
      <c r="P1422">
        <v>4</v>
      </c>
      <c r="Q1422">
        <v>2</v>
      </c>
      <c r="R1422">
        <v>26.08</v>
      </c>
      <c r="S1422">
        <v>3</v>
      </c>
      <c r="T1422">
        <v>3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3</v>
      </c>
      <c r="AB1422">
        <v>3</v>
      </c>
      <c r="AC1422">
        <v>0</v>
      </c>
      <c r="AD1422" t="s">
        <v>130</v>
      </c>
      <c r="AH1422">
        <v>32.08</v>
      </c>
    </row>
    <row r="1423" spans="1:34" x14ac:dyDescent="0.3">
      <c r="A1423" s="4">
        <v>1608</v>
      </c>
      <c r="B1423" s="5">
        <v>1416</v>
      </c>
      <c r="C1423">
        <v>14572</v>
      </c>
      <c r="D1423" t="s">
        <v>7768</v>
      </c>
      <c r="E1423" t="s">
        <v>170</v>
      </c>
      <c r="F1423" t="s">
        <v>243</v>
      </c>
      <c r="G1423" t="s">
        <v>29102</v>
      </c>
      <c r="H1423">
        <v>21.08</v>
      </c>
      <c r="I1423">
        <v>0</v>
      </c>
      <c r="J1423">
        <v>0</v>
      </c>
      <c r="K1423">
        <v>0</v>
      </c>
      <c r="L1423">
        <v>7</v>
      </c>
      <c r="O1423">
        <v>7</v>
      </c>
      <c r="P1423">
        <v>4</v>
      </c>
      <c r="Q1423">
        <v>0</v>
      </c>
      <c r="R1423">
        <v>32.08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H1423">
        <v>32.08</v>
      </c>
    </row>
    <row r="1424" spans="1:34" x14ac:dyDescent="0.3">
      <c r="A1424" s="4">
        <v>1609</v>
      </c>
      <c r="B1424" s="5">
        <v>1417</v>
      </c>
      <c r="C1424">
        <v>13602</v>
      </c>
      <c r="D1424" t="s">
        <v>6177</v>
      </c>
      <c r="E1424" t="s">
        <v>342</v>
      </c>
      <c r="F1424" t="s">
        <v>124</v>
      </c>
      <c r="G1424" t="s">
        <v>29103</v>
      </c>
      <c r="H1424">
        <v>18.079999999999998</v>
      </c>
      <c r="I1424">
        <v>0</v>
      </c>
      <c r="J1424">
        <v>0</v>
      </c>
      <c r="K1424">
        <v>0</v>
      </c>
      <c r="L1424">
        <v>7</v>
      </c>
      <c r="N1424">
        <v>3</v>
      </c>
      <c r="O1424">
        <v>10</v>
      </c>
      <c r="P1424">
        <v>4</v>
      </c>
      <c r="Q1424">
        <v>0</v>
      </c>
      <c r="R1424">
        <v>32.08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H1424">
        <v>32.08</v>
      </c>
    </row>
    <row r="1425" spans="1:34" x14ac:dyDescent="0.3">
      <c r="A1425" s="4">
        <v>1610</v>
      </c>
      <c r="B1425" s="5">
        <v>1418</v>
      </c>
      <c r="C1425">
        <v>9544</v>
      </c>
      <c r="D1425" t="s">
        <v>2162</v>
      </c>
      <c r="E1425" t="s">
        <v>41</v>
      </c>
      <c r="F1425" t="s">
        <v>124</v>
      </c>
      <c r="G1425" t="s">
        <v>29104</v>
      </c>
      <c r="H1425">
        <v>18.05</v>
      </c>
      <c r="I1425">
        <v>0</v>
      </c>
      <c r="J1425">
        <v>0</v>
      </c>
      <c r="K1425">
        <v>0</v>
      </c>
      <c r="L1425">
        <v>7</v>
      </c>
      <c r="O1425">
        <v>7</v>
      </c>
      <c r="P1425">
        <v>4</v>
      </c>
      <c r="Q1425">
        <v>0</v>
      </c>
      <c r="R1425">
        <v>29.05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3</v>
      </c>
      <c r="AC1425">
        <v>0</v>
      </c>
      <c r="AH1425">
        <v>32.049999999999997</v>
      </c>
    </row>
    <row r="1426" spans="1:34" x14ac:dyDescent="0.3">
      <c r="A1426" s="4">
        <v>1611</v>
      </c>
      <c r="B1426" s="5">
        <v>1419</v>
      </c>
      <c r="C1426">
        <v>11983</v>
      </c>
      <c r="D1426" t="s">
        <v>29105</v>
      </c>
      <c r="E1426" t="s">
        <v>173</v>
      </c>
      <c r="F1426" t="s">
        <v>117</v>
      </c>
      <c r="G1426" t="s">
        <v>29106</v>
      </c>
      <c r="H1426">
        <v>19.03</v>
      </c>
      <c r="I1426">
        <v>0</v>
      </c>
      <c r="J1426">
        <v>0</v>
      </c>
      <c r="K1426">
        <v>0</v>
      </c>
      <c r="L1426">
        <v>7</v>
      </c>
      <c r="O1426">
        <v>7</v>
      </c>
      <c r="P1426">
        <v>4</v>
      </c>
      <c r="Q1426">
        <v>2</v>
      </c>
      <c r="R1426">
        <v>32.03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H1426">
        <v>32.03</v>
      </c>
    </row>
    <row r="1427" spans="1:34" x14ac:dyDescent="0.3">
      <c r="A1427" s="4">
        <v>1612</v>
      </c>
      <c r="B1427" s="5">
        <v>1420</v>
      </c>
      <c r="C1427">
        <v>15643</v>
      </c>
      <c r="D1427" t="s">
        <v>29107</v>
      </c>
      <c r="E1427" t="s">
        <v>54</v>
      </c>
      <c r="F1427" t="s">
        <v>81</v>
      </c>
      <c r="G1427" t="s">
        <v>29108</v>
      </c>
      <c r="H1427">
        <v>16</v>
      </c>
      <c r="I1427">
        <v>0</v>
      </c>
      <c r="J1427">
        <v>0</v>
      </c>
      <c r="K1427">
        <v>0</v>
      </c>
      <c r="L1427">
        <v>7</v>
      </c>
      <c r="M1427">
        <v>5</v>
      </c>
      <c r="O1427">
        <v>12</v>
      </c>
      <c r="P1427">
        <v>4</v>
      </c>
      <c r="Q1427">
        <v>0</v>
      </c>
      <c r="R1427">
        <v>32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H1427">
        <v>32</v>
      </c>
    </row>
    <row r="1428" spans="1:34" x14ac:dyDescent="0.3">
      <c r="A1428" s="4">
        <v>1613</v>
      </c>
      <c r="B1428" s="5">
        <v>1421</v>
      </c>
      <c r="C1428">
        <v>15529</v>
      </c>
      <c r="D1428" t="s">
        <v>29109</v>
      </c>
      <c r="E1428" t="s">
        <v>213</v>
      </c>
      <c r="F1428" t="s">
        <v>230</v>
      </c>
      <c r="G1428" t="s">
        <v>29110</v>
      </c>
      <c r="H1428">
        <v>16</v>
      </c>
      <c r="I1428">
        <v>0</v>
      </c>
      <c r="J1428">
        <v>0</v>
      </c>
      <c r="K1428">
        <v>0</v>
      </c>
      <c r="L1428">
        <v>7</v>
      </c>
      <c r="N1428">
        <v>3</v>
      </c>
      <c r="O1428">
        <v>10</v>
      </c>
      <c r="P1428">
        <v>4</v>
      </c>
      <c r="Q1428">
        <v>2</v>
      </c>
      <c r="R1428">
        <v>32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H1428">
        <v>32</v>
      </c>
    </row>
    <row r="1429" spans="1:34" x14ac:dyDescent="0.3">
      <c r="A1429" s="4">
        <v>1614</v>
      </c>
      <c r="B1429" s="5">
        <v>1422</v>
      </c>
      <c r="C1429">
        <v>11032</v>
      </c>
      <c r="D1429" t="s">
        <v>16537</v>
      </c>
      <c r="E1429" t="s">
        <v>166</v>
      </c>
      <c r="F1429" t="s">
        <v>81</v>
      </c>
      <c r="G1429" t="s">
        <v>29111</v>
      </c>
      <c r="H1429">
        <v>18.93</v>
      </c>
      <c r="I1429">
        <v>0</v>
      </c>
      <c r="J1429">
        <v>0</v>
      </c>
      <c r="K1429">
        <v>0</v>
      </c>
      <c r="N1429">
        <v>3</v>
      </c>
      <c r="O1429">
        <v>3</v>
      </c>
      <c r="P1429">
        <v>4</v>
      </c>
      <c r="Q1429">
        <v>0</v>
      </c>
      <c r="R1429">
        <v>25.93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6</v>
      </c>
      <c r="AC1429">
        <v>0</v>
      </c>
      <c r="AH1429">
        <v>31.93</v>
      </c>
    </row>
    <row r="1430" spans="1:34" x14ac:dyDescent="0.3">
      <c r="A1430" s="4">
        <v>1615</v>
      </c>
      <c r="B1430" s="5">
        <v>1423</v>
      </c>
      <c r="C1430">
        <v>6329</v>
      </c>
      <c r="D1430" t="s">
        <v>29112</v>
      </c>
      <c r="E1430" t="s">
        <v>166</v>
      </c>
      <c r="F1430" t="s">
        <v>55</v>
      </c>
      <c r="G1430" t="s">
        <v>29113</v>
      </c>
      <c r="H1430">
        <v>16.93</v>
      </c>
      <c r="I1430">
        <v>0</v>
      </c>
      <c r="J1430">
        <v>0</v>
      </c>
      <c r="K1430">
        <v>0</v>
      </c>
      <c r="O1430">
        <v>0</v>
      </c>
      <c r="P1430">
        <v>4</v>
      </c>
      <c r="Q1430">
        <v>0</v>
      </c>
      <c r="R1430">
        <v>20.93</v>
      </c>
      <c r="S1430">
        <v>8</v>
      </c>
      <c r="T1430">
        <v>8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8</v>
      </c>
      <c r="AB1430">
        <v>3</v>
      </c>
      <c r="AC1430">
        <v>0</v>
      </c>
      <c r="AH1430">
        <v>31.93</v>
      </c>
    </row>
    <row r="1431" spans="1:34" x14ac:dyDescent="0.3">
      <c r="A1431" s="4">
        <v>1616</v>
      </c>
      <c r="B1431" s="5">
        <v>1424</v>
      </c>
      <c r="C1431">
        <v>2280</v>
      </c>
      <c r="D1431" t="s">
        <v>29114</v>
      </c>
      <c r="E1431" t="s">
        <v>594</v>
      </c>
      <c r="F1431" t="s">
        <v>136</v>
      </c>
      <c r="G1431" t="s">
        <v>29115</v>
      </c>
      <c r="H1431">
        <v>18.93</v>
      </c>
      <c r="I1431">
        <v>0</v>
      </c>
      <c r="J1431">
        <v>0</v>
      </c>
      <c r="K1431">
        <v>0</v>
      </c>
      <c r="L1431">
        <v>7</v>
      </c>
      <c r="O1431">
        <v>7</v>
      </c>
      <c r="P1431">
        <v>4</v>
      </c>
      <c r="Q1431">
        <v>2</v>
      </c>
      <c r="R1431">
        <v>31.93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 t="s">
        <v>130</v>
      </c>
      <c r="AH1431">
        <v>31.93</v>
      </c>
    </row>
    <row r="1432" spans="1:34" x14ac:dyDescent="0.3">
      <c r="A1432" s="4">
        <v>1617</v>
      </c>
      <c r="B1432" s="5">
        <v>1425</v>
      </c>
      <c r="C1432">
        <v>5318</v>
      </c>
      <c r="D1432" t="s">
        <v>29116</v>
      </c>
      <c r="E1432" t="s">
        <v>41</v>
      </c>
      <c r="F1432" t="s">
        <v>55</v>
      </c>
      <c r="G1432" t="s">
        <v>29117</v>
      </c>
      <c r="H1432">
        <v>17.899999999999999</v>
      </c>
      <c r="I1432">
        <v>0</v>
      </c>
      <c r="J1432">
        <v>0</v>
      </c>
      <c r="K1432">
        <v>0</v>
      </c>
      <c r="L1432">
        <v>7</v>
      </c>
      <c r="N1432">
        <v>3</v>
      </c>
      <c r="O1432">
        <v>10</v>
      </c>
      <c r="P1432">
        <v>4</v>
      </c>
      <c r="Q1432">
        <v>0</v>
      </c>
      <c r="R1432">
        <v>31.9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H1432">
        <v>31.9</v>
      </c>
    </row>
    <row r="1433" spans="1:34" x14ac:dyDescent="0.3">
      <c r="A1433" s="4">
        <v>1618</v>
      </c>
      <c r="B1433" s="5">
        <v>1426</v>
      </c>
      <c r="C1433">
        <v>5232</v>
      </c>
      <c r="D1433" t="s">
        <v>29118</v>
      </c>
      <c r="E1433" t="s">
        <v>471</v>
      </c>
      <c r="F1433" t="s">
        <v>17</v>
      </c>
      <c r="G1433" t="s">
        <v>29119</v>
      </c>
      <c r="H1433">
        <v>18.88</v>
      </c>
      <c r="I1433">
        <v>0</v>
      </c>
      <c r="J1433">
        <v>0</v>
      </c>
      <c r="K1433">
        <v>0</v>
      </c>
      <c r="L1433">
        <v>7</v>
      </c>
      <c r="O1433">
        <v>7</v>
      </c>
      <c r="P1433">
        <v>4</v>
      </c>
      <c r="Q1433">
        <v>2</v>
      </c>
      <c r="R1433">
        <v>31.88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H1433">
        <v>31.88</v>
      </c>
    </row>
    <row r="1434" spans="1:34" x14ac:dyDescent="0.3">
      <c r="A1434" s="4">
        <v>1619</v>
      </c>
      <c r="B1434" s="5">
        <v>1427</v>
      </c>
      <c r="C1434">
        <v>1662</v>
      </c>
      <c r="D1434" t="s">
        <v>29120</v>
      </c>
      <c r="E1434" t="s">
        <v>29121</v>
      </c>
      <c r="F1434" t="s">
        <v>12716</v>
      </c>
      <c r="G1434" t="s">
        <v>29122</v>
      </c>
      <c r="H1434">
        <v>15.85</v>
      </c>
      <c r="I1434">
        <v>0</v>
      </c>
      <c r="J1434">
        <v>0</v>
      </c>
      <c r="K1434">
        <v>0</v>
      </c>
      <c r="L1434">
        <v>7</v>
      </c>
      <c r="O1434">
        <v>7</v>
      </c>
      <c r="P1434">
        <v>4</v>
      </c>
      <c r="Q1434">
        <v>2</v>
      </c>
      <c r="R1434">
        <v>28.85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3</v>
      </c>
      <c r="AC1434">
        <v>0</v>
      </c>
      <c r="AH1434">
        <v>31.85</v>
      </c>
    </row>
    <row r="1435" spans="1:34" x14ac:dyDescent="0.3">
      <c r="A1435" s="4">
        <v>1620</v>
      </c>
      <c r="B1435" s="5">
        <v>1428</v>
      </c>
      <c r="C1435">
        <v>2270</v>
      </c>
      <c r="D1435" t="s">
        <v>4765</v>
      </c>
      <c r="E1435" t="s">
        <v>744</v>
      </c>
      <c r="F1435" t="s">
        <v>68</v>
      </c>
      <c r="G1435" t="s">
        <v>29123</v>
      </c>
      <c r="H1435">
        <v>18.850000000000001</v>
      </c>
      <c r="I1435">
        <v>0</v>
      </c>
      <c r="J1435">
        <v>0</v>
      </c>
      <c r="K1435">
        <v>0</v>
      </c>
      <c r="N1435">
        <v>3</v>
      </c>
      <c r="O1435">
        <v>3</v>
      </c>
      <c r="P1435">
        <v>4</v>
      </c>
      <c r="Q1435">
        <v>0</v>
      </c>
      <c r="R1435">
        <v>25.85</v>
      </c>
      <c r="S1435">
        <v>6</v>
      </c>
      <c r="T1435">
        <v>6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6</v>
      </c>
      <c r="AB1435">
        <v>0</v>
      </c>
      <c r="AC1435">
        <v>0</v>
      </c>
      <c r="AH1435">
        <v>31.85</v>
      </c>
    </row>
    <row r="1436" spans="1:34" x14ac:dyDescent="0.3">
      <c r="A1436" s="4">
        <v>1621</v>
      </c>
      <c r="B1436" s="5">
        <v>1429</v>
      </c>
      <c r="C1436">
        <v>6502</v>
      </c>
      <c r="D1436" t="s">
        <v>11554</v>
      </c>
      <c r="E1436" t="s">
        <v>789</v>
      </c>
      <c r="F1436" t="s">
        <v>343</v>
      </c>
      <c r="G1436" t="s">
        <v>29124</v>
      </c>
      <c r="H1436">
        <v>18.850000000000001</v>
      </c>
      <c r="I1436">
        <v>0</v>
      </c>
      <c r="J1436">
        <v>0</v>
      </c>
      <c r="K1436">
        <v>0</v>
      </c>
      <c r="N1436">
        <v>3</v>
      </c>
      <c r="O1436">
        <v>3</v>
      </c>
      <c r="P1436">
        <v>4</v>
      </c>
      <c r="Q1436">
        <v>0</v>
      </c>
      <c r="R1436">
        <v>25.85</v>
      </c>
      <c r="S1436">
        <v>6</v>
      </c>
      <c r="T1436">
        <v>6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6</v>
      </c>
      <c r="AB1436">
        <v>0</v>
      </c>
      <c r="AC1436">
        <v>0</v>
      </c>
      <c r="AH1436">
        <v>31.85</v>
      </c>
    </row>
    <row r="1437" spans="1:34" x14ac:dyDescent="0.3">
      <c r="A1437" s="4">
        <v>1622</v>
      </c>
      <c r="B1437" s="5">
        <v>1430</v>
      </c>
      <c r="C1437">
        <v>12506</v>
      </c>
      <c r="D1437" t="s">
        <v>21550</v>
      </c>
      <c r="E1437" t="s">
        <v>38</v>
      </c>
      <c r="F1437" t="s">
        <v>62</v>
      </c>
      <c r="G1437" t="s">
        <v>29125</v>
      </c>
      <c r="H1437">
        <v>18.829999999999998</v>
      </c>
      <c r="I1437">
        <v>0</v>
      </c>
      <c r="J1437">
        <v>0</v>
      </c>
      <c r="K1437">
        <v>0</v>
      </c>
      <c r="L1437">
        <v>7</v>
      </c>
      <c r="O1437">
        <v>7</v>
      </c>
      <c r="P1437">
        <v>4</v>
      </c>
      <c r="Q1437">
        <v>2</v>
      </c>
      <c r="R1437">
        <v>31.83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H1437">
        <v>31.83</v>
      </c>
    </row>
    <row r="1438" spans="1:34" x14ac:dyDescent="0.3">
      <c r="A1438" s="4">
        <v>1623</v>
      </c>
      <c r="B1438" s="5">
        <v>1431</v>
      </c>
      <c r="C1438">
        <v>738</v>
      </c>
      <c r="D1438" t="s">
        <v>29126</v>
      </c>
      <c r="E1438" t="s">
        <v>29</v>
      </c>
      <c r="F1438" t="s">
        <v>488</v>
      </c>
      <c r="G1438" t="s">
        <v>29127</v>
      </c>
      <c r="H1438">
        <v>21.8</v>
      </c>
      <c r="I1438">
        <v>0</v>
      </c>
      <c r="J1438">
        <v>0</v>
      </c>
      <c r="K1438">
        <v>0</v>
      </c>
      <c r="N1438">
        <v>3</v>
      </c>
      <c r="O1438">
        <v>3</v>
      </c>
      <c r="P1438">
        <v>4</v>
      </c>
      <c r="Q1438">
        <v>0</v>
      </c>
      <c r="R1438">
        <v>28.8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3</v>
      </c>
      <c r="AC1438">
        <v>0</v>
      </c>
      <c r="AH1438">
        <v>31.8</v>
      </c>
    </row>
    <row r="1439" spans="1:34" x14ac:dyDescent="0.3">
      <c r="A1439" s="4">
        <v>1624</v>
      </c>
      <c r="B1439" s="5">
        <v>1432</v>
      </c>
      <c r="C1439">
        <v>6668</v>
      </c>
      <c r="D1439" t="s">
        <v>10907</v>
      </c>
      <c r="E1439" t="s">
        <v>479</v>
      </c>
      <c r="F1439" t="s">
        <v>68</v>
      </c>
      <c r="G1439" t="s">
        <v>29128</v>
      </c>
      <c r="H1439">
        <v>18.78</v>
      </c>
      <c r="I1439">
        <v>0</v>
      </c>
      <c r="J1439">
        <v>0</v>
      </c>
      <c r="K1439">
        <v>0</v>
      </c>
      <c r="N1439">
        <v>3</v>
      </c>
      <c r="O1439">
        <v>3</v>
      </c>
      <c r="P1439">
        <v>4</v>
      </c>
      <c r="Q1439">
        <v>0</v>
      </c>
      <c r="R1439">
        <v>25.78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6</v>
      </c>
      <c r="AC1439">
        <v>0</v>
      </c>
      <c r="AH1439">
        <v>31.78</v>
      </c>
    </row>
    <row r="1440" spans="1:34" x14ac:dyDescent="0.3">
      <c r="A1440" s="4">
        <v>1625</v>
      </c>
      <c r="B1440" s="5">
        <v>1433</v>
      </c>
      <c r="C1440">
        <v>10376</v>
      </c>
      <c r="D1440" t="s">
        <v>20911</v>
      </c>
      <c r="E1440" t="s">
        <v>1809</v>
      </c>
      <c r="F1440" t="s">
        <v>230</v>
      </c>
      <c r="G1440" t="s">
        <v>29129</v>
      </c>
      <c r="H1440">
        <v>18.78</v>
      </c>
      <c r="I1440">
        <v>0</v>
      </c>
      <c r="J1440">
        <v>0</v>
      </c>
      <c r="K1440">
        <v>0</v>
      </c>
      <c r="L1440">
        <v>7</v>
      </c>
      <c r="O1440">
        <v>7</v>
      </c>
      <c r="P1440">
        <v>4</v>
      </c>
      <c r="Q1440">
        <v>2</v>
      </c>
      <c r="R1440">
        <v>31.78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H1440">
        <v>31.78</v>
      </c>
    </row>
    <row r="1441" spans="1:34" x14ac:dyDescent="0.3">
      <c r="A1441" s="4">
        <v>1626</v>
      </c>
      <c r="B1441" s="5">
        <v>1434</v>
      </c>
      <c r="C1441">
        <v>1023</v>
      </c>
      <c r="D1441" t="s">
        <v>29130</v>
      </c>
      <c r="E1441" t="s">
        <v>29131</v>
      </c>
      <c r="F1441" t="s">
        <v>17</v>
      </c>
      <c r="G1441" t="s">
        <v>29132</v>
      </c>
      <c r="H1441">
        <v>16.78</v>
      </c>
      <c r="I1441">
        <v>0</v>
      </c>
      <c r="J1441">
        <v>0</v>
      </c>
      <c r="K1441">
        <v>0</v>
      </c>
      <c r="N1441">
        <v>3</v>
      </c>
      <c r="O1441">
        <v>3</v>
      </c>
      <c r="P1441">
        <v>4</v>
      </c>
      <c r="Q1441">
        <v>2</v>
      </c>
      <c r="R1441">
        <v>25.78</v>
      </c>
      <c r="S1441">
        <v>6</v>
      </c>
      <c r="T1441">
        <v>6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6</v>
      </c>
      <c r="AB1441">
        <v>0</v>
      </c>
      <c r="AC1441">
        <v>0</v>
      </c>
      <c r="AH1441">
        <v>31.78</v>
      </c>
    </row>
    <row r="1442" spans="1:34" x14ac:dyDescent="0.3">
      <c r="A1442" s="4">
        <v>1627</v>
      </c>
      <c r="B1442" s="5">
        <v>1435</v>
      </c>
      <c r="C1442">
        <v>12611</v>
      </c>
      <c r="D1442" t="s">
        <v>29133</v>
      </c>
      <c r="E1442" t="s">
        <v>33</v>
      </c>
      <c r="F1442" t="s">
        <v>17</v>
      </c>
      <c r="G1442" t="s">
        <v>29134</v>
      </c>
      <c r="H1442">
        <v>18.75</v>
      </c>
      <c r="I1442">
        <v>0</v>
      </c>
      <c r="J1442">
        <v>0</v>
      </c>
      <c r="K1442">
        <v>0</v>
      </c>
      <c r="L1442">
        <v>7</v>
      </c>
      <c r="O1442">
        <v>7</v>
      </c>
      <c r="P1442">
        <v>4</v>
      </c>
      <c r="Q1442">
        <v>2</v>
      </c>
      <c r="R1442">
        <v>31.75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H1442">
        <v>31.75</v>
      </c>
    </row>
    <row r="1443" spans="1:34" x14ac:dyDescent="0.3">
      <c r="A1443" s="4">
        <v>1628</v>
      </c>
      <c r="B1443" s="5">
        <v>1436</v>
      </c>
      <c r="C1443">
        <v>12253</v>
      </c>
      <c r="D1443" t="s">
        <v>1296</v>
      </c>
      <c r="E1443" t="s">
        <v>22</v>
      </c>
      <c r="F1443" t="s">
        <v>17</v>
      </c>
      <c r="G1443" t="s">
        <v>29135</v>
      </c>
      <c r="H1443">
        <v>17.75</v>
      </c>
      <c r="I1443">
        <v>0</v>
      </c>
      <c r="J1443">
        <v>0</v>
      </c>
      <c r="K1443">
        <v>0</v>
      </c>
      <c r="L1443">
        <v>7</v>
      </c>
      <c r="N1443">
        <v>3</v>
      </c>
      <c r="O1443">
        <v>10</v>
      </c>
      <c r="P1443">
        <v>4</v>
      </c>
      <c r="Q1443">
        <v>0</v>
      </c>
      <c r="R1443">
        <v>31.75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 t="s">
        <v>130</v>
      </c>
      <c r="AH1443">
        <v>31.75</v>
      </c>
    </row>
    <row r="1444" spans="1:34" x14ac:dyDescent="0.3">
      <c r="A1444" s="4">
        <v>1629</v>
      </c>
      <c r="B1444" s="5">
        <v>1437</v>
      </c>
      <c r="C1444">
        <v>877</v>
      </c>
      <c r="D1444" t="s">
        <v>29136</v>
      </c>
      <c r="E1444" t="s">
        <v>1300</v>
      </c>
      <c r="F1444" t="s">
        <v>91</v>
      </c>
      <c r="G1444" t="s">
        <v>29137</v>
      </c>
      <c r="H1444">
        <v>18.7</v>
      </c>
      <c r="I1444">
        <v>0</v>
      </c>
      <c r="J1444">
        <v>0</v>
      </c>
      <c r="K1444">
        <v>0</v>
      </c>
      <c r="O1444">
        <v>0</v>
      </c>
      <c r="P1444">
        <v>4</v>
      </c>
      <c r="Q1444">
        <v>0</v>
      </c>
      <c r="R1444">
        <v>22.7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9</v>
      </c>
      <c r="AC1444">
        <v>0</v>
      </c>
      <c r="AH1444">
        <v>31.7</v>
      </c>
    </row>
    <row r="1445" spans="1:34" x14ac:dyDescent="0.3">
      <c r="A1445" s="4">
        <v>1630</v>
      </c>
      <c r="B1445" s="5">
        <v>1438</v>
      </c>
      <c r="C1445">
        <v>4697</v>
      </c>
      <c r="D1445" t="s">
        <v>1592</v>
      </c>
      <c r="E1445" t="s">
        <v>1053</v>
      </c>
      <c r="F1445" t="s">
        <v>1121</v>
      </c>
      <c r="G1445" t="s">
        <v>29138</v>
      </c>
      <c r="H1445">
        <v>18.649999999999999</v>
      </c>
      <c r="I1445">
        <v>0</v>
      </c>
      <c r="J1445">
        <v>0</v>
      </c>
      <c r="K1445">
        <v>0</v>
      </c>
      <c r="N1445">
        <v>3</v>
      </c>
      <c r="O1445">
        <v>3</v>
      </c>
      <c r="P1445">
        <v>4</v>
      </c>
      <c r="Q1445">
        <v>0</v>
      </c>
      <c r="R1445">
        <v>25.65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6</v>
      </c>
      <c r="AC1445">
        <v>0</v>
      </c>
      <c r="AH1445">
        <v>31.65</v>
      </c>
    </row>
    <row r="1446" spans="1:34" x14ac:dyDescent="0.3">
      <c r="A1446" s="4">
        <v>1631</v>
      </c>
      <c r="B1446" s="5">
        <v>1439</v>
      </c>
      <c r="C1446">
        <v>6313</v>
      </c>
      <c r="D1446" t="s">
        <v>29139</v>
      </c>
      <c r="E1446" t="s">
        <v>26</v>
      </c>
      <c r="F1446" t="s">
        <v>20</v>
      </c>
      <c r="G1446" t="s">
        <v>29140</v>
      </c>
      <c r="H1446">
        <v>16.649999999999999</v>
      </c>
      <c r="I1446">
        <v>0</v>
      </c>
      <c r="J1446">
        <v>0</v>
      </c>
      <c r="K1446">
        <v>0</v>
      </c>
      <c r="N1446">
        <v>3</v>
      </c>
      <c r="O1446">
        <v>3</v>
      </c>
      <c r="P1446">
        <v>4</v>
      </c>
      <c r="Q1446">
        <v>2</v>
      </c>
      <c r="R1446">
        <v>25.65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6</v>
      </c>
      <c r="AC1446">
        <v>0</v>
      </c>
      <c r="AH1446">
        <v>31.65</v>
      </c>
    </row>
    <row r="1447" spans="1:34" x14ac:dyDescent="0.3">
      <c r="A1447" s="4">
        <v>1632</v>
      </c>
      <c r="B1447" s="5">
        <v>1440</v>
      </c>
      <c r="C1447">
        <v>8864</v>
      </c>
      <c r="D1447" t="s">
        <v>29141</v>
      </c>
      <c r="E1447" t="s">
        <v>54</v>
      </c>
      <c r="F1447" t="s">
        <v>17</v>
      </c>
      <c r="G1447" t="s">
        <v>29142</v>
      </c>
      <c r="H1447">
        <v>20.65</v>
      </c>
      <c r="I1447">
        <v>0</v>
      </c>
      <c r="J1447">
        <v>0</v>
      </c>
      <c r="K1447">
        <v>0</v>
      </c>
      <c r="L1447">
        <v>7</v>
      </c>
      <c r="O1447">
        <v>7</v>
      </c>
      <c r="P1447">
        <v>4</v>
      </c>
      <c r="Q1447">
        <v>0</v>
      </c>
      <c r="R1447">
        <v>31.65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H1447">
        <v>31.65</v>
      </c>
    </row>
    <row r="1448" spans="1:34" x14ac:dyDescent="0.3">
      <c r="A1448" s="4">
        <v>1633</v>
      </c>
      <c r="B1448" s="5">
        <v>1441</v>
      </c>
      <c r="C1448">
        <v>1781</v>
      </c>
      <c r="D1448" t="s">
        <v>496</v>
      </c>
      <c r="E1448" t="s">
        <v>166</v>
      </c>
      <c r="F1448" t="s">
        <v>243</v>
      </c>
      <c r="G1448" t="s">
        <v>29143</v>
      </c>
      <c r="H1448">
        <v>17.649999999999999</v>
      </c>
      <c r="I1448">
        <v>0</v>
      </c>
      <c r="J1448">
        <v>0</v>
      </c>
      <c r="K1448">
        <v>0</v>
      </c>
      <c r="L1448">
        <v>7</v>
      </c>
      <c r="N1448">
        <v>3</v>
      </c>
      <c r="O1448">
        <v>10</v>
      </c>
      <c r="P1448">
        <v>4</v>
      </c>
      <c r="Q1448">
        <v>0</v>
      </c>
      <c r="R1448">
        <v>31.65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H1448">
        <v>31.65</v>
      </c>
    </row>
    <row r="1449" spans="1:34" x14ac:dyDescent="0.3">
      <c r="A1449" s="4">
        <v>1634</v>
      </c>
      <c r="B1449" s="5">
        <v>1442</v>
      </c>
      <c r="C1449">
        <v>701</v>
      </c>
      <c r="D1449" t="s">
        <v>3968</v>
      </c>
      <c r="E1449" t="s">
        <v>16025</v>
      </c>
      <c r="F1449" t="s">
        <v>652</v>
      </c>
      <c r="G1449" t="s">
        <v>29144</v>
      </c>
      <c r="H1449">
        <v>18.600000000000001</v>
      </c>
      <c r="I1449">
        <v>0</v>
      </c>
      <c r="J1449">
        <v>0</v>
      </c>
      <c r="K1449">
        <v>0</v>
      </c>
      <c r="N1449">
        <v>3</v>
      </c>
      <c r="O1449">
        <v>3</v>
      </c>
      <c r="P1449">
        <v>4</v>
      </c>
      <c r="Q1449">
        <v>0</v>
      </c>
      <c r="R1449">
        <v>25.6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6</v>
      </c>
      <c r="AC1449">
        <v>0</v>
      </c>
      <c r="AH1449">
        <v>31.6</v>
      </c>
    </row>
    <row r="1450" spans="1:34" x14ac:dyDescent="0.3">
      <c r="A1450" s="4">
        <v>1635</v>
      </c>
      <c r="B1450" s="5">
        <v>1443</v>
      </c>
      <c r="C1450">
        <v>12716</v>
      </c>
      <c r="D1450" t="s">
        <v>29145</v>
      </c>
      <c r="E1450" t="s">
        <v>29146</v>
      </c>
      <c r="F1450" t="s">
        <v>29147</v>
      </c>
      <c r="G1450" t="s">
        <v>29148</v>
      </c>
      <c r="H1450">
        <v>16.600000000000001</v>
      </c>
      <c r="I1450">
        <v>0</v>
      </c>
      <c r="J1450">
        <v>0</v>
      </c>
      <c r="K1450">
        <v>0</v>
      </c>
      <c r="N1450">
        <v>3</v>
      </c>
      <c r="O1450">
        <v>3</v>
      </c>
      <c r="P1450">
        <v>4</v>
      </c>
      <c r="Q1450">
        <v>2</v>
      </c>
      <c r="R1450">
        <v>25.6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6</v>
      </c>
      <c r="AC1450">
        <v>0</v>
      </c>
      <c r="AH1450">
        <v>31.6</v>
      </c>
    </row>
    <row r="1451" spans="1:34" x14ac:dyDescent="0.3">
      <c r="A1451" s="4">
        <v>1636</v>
      </c>
      <c r="B1451" s="5">
        <v>1444</v>
      </c>
      <c r="C1451">
        <v>205</v>
      </c>
      <c r="D1451" t="s">
        <v>3432</v>
      </c>
      <c r="E1451" t="s">
        <v>27327</v>
      </c>
      <c r="F1451" t="s">
        <v>158</v>
      </c>
      <c r="G1451" t="s">
        <v>29149</v>
      </c>
      <c r="H1451">
        <v>17.600000000000001</v>
      </c>
      <c r="I1451">
        <v>0</v>
      </c>
      <c r="J1451">
        <v>0</v>
      </c>
      <c r="K1451">
        <v>0</v>
      </c>
      <c r="M1451">
        <v>5</v>
      </c>
      <c r="N1451">
        <v>3</v>
      </c>
      <c r="O1451">
        <v>8</v>
      </c>
      <c r="P1451">
        <v>4</v>
      </c>
      <c r="Q1451">
        <v>2</v>
      </c>
      <c r="R1451">
        <v>31.6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H1451">
        <v>31.6</v>
      </c>
    </row>
    <row r="1452" spans="1:34" x14ac:dyDescent="0.3">
      <c r="A1452" s="4">
        <v>1637</v>
      </c>
      <c r="B1452" s="5">
        <v>1445</v>
      </c>
      <c r="C1452">
        <v>6726</v>
      </c>
      <c r="D1452" t="s">
        <v>29150</v>
      </c>
      <c r="E1452" t="s">
        <v>738</v>
      </c>
      <c r="F1452" t="s">
        <v>328</v>
      </c>
      <c r="G1452" t="s">
        <v>29151</v>
      </c>
      <c r="H1452">
        <v>18.55</v>
      </c>
      <c r="I1452">
        <v>0</v>
      </c>
      <c r="J1452">
        <v>0</v>
      </c>
      <c r="K1452">
        <v>0</v>
      </c>
      <c r="N1452">
        <v>3</v>
      </c>
      <c r="O1452">
        <v>3</v>
      </c>
      <c r="P1452">
        <v>4</v>
      </c>
      <c r="Q1452">
        <v>0</v>
      </c>
      <c r="R1452">
        <v>25.55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6</v>
      </c>
      <c r="AC1452">
        <v>0</v>
      </c>
      <c r="AH1452">
        <v>31.55</v>
      </c>
    </row>
    <row r="1453" spans="1:34" x14ac:dyDescent="0.3">
      <c r="A1453" s="4">
        <v>1638</v>
      </c>
      <c r="B1453" s="5">
        <v>1446</v>
      </c>
      <c r="C1453">
        <v>14645</v>
      </c>
      <c r="D1453" t="s">
        <v>19655</v>
      </c>
      <c r="E1453" t="s">
        <v>5101</v>
      </c>
      <c r="F1453" t="s">
        <v>81</v>
      </c>
      <c r="G1453" t="s">
        <v>29152</v>
      </c>
      <c r="H1453">
        <v>20.55</v>
      </c>
      <c r="I1453">
        <v>0</v>
      </c>
      <c r="J1453">
        <v>0</v>
      </c>
      <c r="K1453">
        <v>0</v>
      </c>
      <c r="L1453">
        <v>7</v>
      </c>
      <c r="O1453">
        <v>7</v>
      </c>
      <c r="P1453">
        <v>4</v>
      </c>
      <c r="Q1453">
        <v>0</v>
      </c>
      <c r="R1453">
        <v>31.55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H1453">
        <v>31.55</v>
      </c>
    </row>
    <row r="1454" spans="1:34" x14ac:dyDescent="0.3">
      <c r="A1454" s="4">
        <v>1639</v>
      </c>
      <c r="B1454" s="5">
        <v>1447</v>
      </c>
      <c r="C1454">
        <v>4574</v>
      </c>
      <c r="D1454" t="s">
        <v>29153</v>
      </c>
      <c r="E1454" t="s">
        <v>29</v>
      </c>
      <c r="F1454" t="s">
        <v>17</v>
      </c>
      <c r="G1454" t="s">
        <v>29154</v>
      </c>
      <c r="H1454">
        <v>18.55</v>
      </c>
      <c r="I1454">
        <v>0</v>
      </c>
      <c r="J1454">
        <v>0</v>
      </c>
      <c r="K1454">
        <v>0</v>
      </c>
      <c r="L1454">
        <v>7</v>
      </c>
      <c r="O1454">
        <v>7</v>
      </c>
      <c r="P1454">
        <v>4</v>
      </c>
      <c r="Q1454">
        <v>2</v>
      </c>
      <c r="R1454">
        <v>31.55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H1454">
        <v>31.55</v>
      </c>
    </row>
    <row r="1455" spans="1:34" x14ac:dyDescent="0.3">
      <c r="A1455" s="4">
        <v>1640</v>
      </c>
      <c r="B1455" s="5">
        <v>1448</v>
      </c>
      <c r="C1455">
        <v>9921</v>
      </c>
      <c r="D1455" t="s">
        <v>6054</v>
      </c>
      <c r="E1455" t="s">
        <v>380</v>
      </c>
      <c r="F1455" t="s">
        <v>2543</v>
      </c>
      <c r="G1455" t="s">
        <v>29155</v>
      </c>
      <c r="H1455">
        <v>18.55</v>
      </c>
      <c r="I1455">
        <v>0</v>
      </c>
      <c r="J1455">
        <v>0</v>
      </c>
      <c r="K1455">
        <v>0</v>
      </c>
      <c r="L1455">
        <v>7</v>
      </c>
      <c r="O1455">
        <v>7</v>
      </c>
      <c r="P1455">
        <v>4</v>
      </c>
      <c r="Q1455">
        <v>2</v>
      </c>
      <c r="R1455">
        <v>31.55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H1455">
        <v>31.55</v>
      </c>
    </row>
    <row r="1456" spans="1:34" x14ac:dyDescent="0.3">
      <c r="A1456" s="4">
        <v>1641</v>
      </c>
      <c r="B1456" s="5">
        <v>1449</v>
      </c>
      <c r="C1456">
        <v>6142</v>
      </c>
      <c r="D1456" t="s">
        <v>29156</v>
      </c>
      <c r="E1456" t="s">
        <v>68</v>
      </c>
      <c r="F1456" t="s">
        <v>328</v>
      </c>
      <c r="G1456" t="s">
        <v>29157</v>
      </c>
      <c r="H1456">
        <v>19.53</v>
      </c>
      <c r="I1456">
        <v>0</v>
      </c>
      <c r="J1456">
        <v>0</v>
      </c>
      <c r="K1456">
        <v>0</v>
      </c>
      <c r="M1456">
        <v>5</v>
      </c>
      <c r="O1456">
        <v>5</v>
      </c>
      <c r="P1456">
        <v>4</v>
      </c>
      <c r="Q1456">
        <v>0</v>
      </c>
      <c r="R1456">
        <v>28.53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3</v>
      </c>
      <c r="AC1456">
        <v>0</v>
      </c>
      <c r="AH1456">
        <v>31.53</v>
      </c>
    </row>
    <row r="1457" spans="1:34" x14ac:dyDescent="0.3">
      <c r="A1457" s="4">
        <v>1642</v>
      </c>
      <c r="B1457" s="5">
        <v>1450</v>
      </c>
      <c r="C1457">
        <v>9533</v>
      </c>
      <c r="D1457" t="s">
        <v>2103</v>
      </c>
      <c r="E1457" t="s">
        <v>1997</v>
      </c>
      <c r="F1457" t="s">
        <v>243</v>
      </c>
      <c r="G1457" t="s">
        <v>29158</v>
      </c>
      <c r="H1457">
        <v>17.53</v>
      </c>
      <c r="I1457">
        <v>0</v>
      </c>
      <c r="J1457">
        <v>0</v>
      </c>
      <c r="K1457">
        <v>0</v>
      </c>
      <c r="L1457">
        <v>7</v>
      </c>
      <c r="O1457">
        <v>7</v>
      </c>
      <c r="P1457">
        <v>4</v>
      </c>
      <c r="Q1457">
        <v>0</v>
      </c>
      <c r="R1457">
        <v>28.53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3</v>
      </c>
      <c r="AC1457">
        <v>0</v>
      </c>
      <c r="AH1457">
        <v>31.53</v>
      </c>
    </row>
    <row r="1458" spans="1:34" x14ac:dyDescent="0.3">
      <c r="A1458" s="4">
        <v>1643</v>
      </c>
      <c r="B1458" s="5">
        <v>1451</v>
      </c>
      <c r="C1458">
        <v>14540</v>
      </c>
      <c r="D1458" t="s">
        <v>29159</v>
      </c>
      <c r="E1458" t="s">
        <v>14</v>
      </c>
      <c r="F1458" t="s">
        <v>343</v>
      </c>
      <c r="G1458" t="s">
        <v>29160</v>
      </c>
      <c r="H1458">
        <v>16.5</v>
      </c>
      <c r="I1458">
        <v>0</v>
      </c>
      <c r="J1458">
        <v>0</v>
      </c>
      <c r="K1458">
        <v>0</v>
      </c>
      <c r="N1458">
        <v>3</v>
      </c>
      <c r="O1458">
        <v>3</v>
      </c>
      <c r="P1458">
        <v>4</v>
      </c>
      <c r="Q1458">
        <v>2</v>
      </c>
      <c r="R1458">
        <v>25.5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6</v>
      </c>
      <c r="AC1458">
        <v>0</v>
      </c>
      <c r="AH1458">
        <v>31.5</v>
      </c>
    </row>
    <row r="1459" spans="1:34" x14ac:dyDescent="0.3">
      <c r="A1459" s="4">
        <v>1644</v>
      </c>
      <c r="B1459" s="5">
        <v>1452</v>
      </c>
      <c r="C1459">
        <v>920</v>
      </c>
      <c r="D1459" t="s">
        <v>5624</v>
      </c>
      <c r="E1459" t="s">
        <v>2740</v>
      </c>
      <c r="F1459" t="s">
        <v>29161</v>
      </c>
      <c r="G1459" t="s">
        <v>29162</v>
      </c>
      <c r="H1459">
        <v>18.5</v>
      </c>
      <c r="I1459">
        <v>0</v>
      </c>
      <c r="J1459">
        <v>0</v>
      </c>
      <c r="K1459">
        <v>0</v>
      </c>
      <c r="L1459">
        <v>7</v>
      </c>
      <c r="O1459">
        <v>7</v>
      </c>
      <c r="P1459">
        <v>4</v>
      </c>
      <c r="Q1459">
        <v>2</v>
      </c>
      <c r="R1459">
        <v>31.5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H1459">
        <v>31.5</v>
      </c>
    </row>
    <row r="1460" spans="1:34" x14ac:dyDescent="0.3">
      <c r="A1460" s="4">
        <v>1645</v>
      </c>
      <c r="B1460" s="5">
        <v>1453</v>
      </c>
      <c r="C1460">
        <v>9428</v>
      </c>
      <c r="D1460" t="s">
        <v>29163</v>
      </c>
      <c r="E1460" t="s">
        <v>41</v>
      </c>
      <c r="F1460" t="s">
        <v>68</v>
      </c>
      <c r="G1460" t="s">
        <v>29164</v>
      </c>
      <c r="H1460">
        <v>16.5</v>
      </c>
      <c r="I1460">
        <v>0</v>
      </c>
      <c r="J1460">
        <v>0</v>
      </c>
      <c r="K1460">
        <v>0</v>
      </c>
      <c r="N1460">
        <v>3</v>
      </c>
      <c r="O1460">
        <v>3</v>
      </c>
      <c r="P1460">
        <v>4</v>
      </c>
      <c r="Q1460">
        <v>2</v>
      </c>
      <c r="R1460">
        <v>25.5</v>
      </c>
      <c r="S1460">
        <v>6</v>
      </c>
      <c r="T1460">
        <v>6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6</v>
      </c>
      <c r="AB1460">
        <v>0</v>
      </c>
      <c r="AC1460">
        <v>0</v>
      </c>
      <c r="AH1460">
        <v>31.5</v>
      </c>
    </row>
    <row r="1461" spans="1:34" x14ac:dyDescent="0.3">
      <c r="A1461" s="4">
        <v>1646</v>
      </c>
      <c r="B1461" s="5">
        <v>1454</v>
      </c>
      <c r="C1461">
        <v>15706</v>
      </c>
      <c r="D1461" t="s">
        <v>29165</v>
      </c>
      <c r="E1461" t="s">
        <v>29</v>
      </c>
      <c r="F1461" t="s">
        <v>425</v>
      </c>
      <c r="G1461" t="s">
        <v>29166</v>
      </c>
      <c r="H1461">
        <v>18.48</v>
      </c>
      <c r="I1461">
        <v>0</v>
      </c>
      <c r="J1461">
        <v>0</v>
      </c>
      <c r="K1461">
        <v>0</v>
      </c>
      <c r="N1461">
        <v>3</v>
      </c>
      <c r="O1461">
        <v>3</v>
      </c>
      <c r="P1461">
        <v>4</v>
      </c>
      <c r="Q1461">
        <v>0</v>
      </c>
      <c r="R1461">
        <v>25.48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6</v>
      </c>
      <c r="AC1461">
        <v>0</v>
      </c>
      <c r="AH1461">
        <v>31.48</v>
      </c>
    </row>
    <row r="1462" spans="1:34" x14ac:dyDescent="0.3">
      <c r="A1462" s="4">
        <v>1647</v>
      </c>
      <c r="B1462" s="5">
        <v>1455</v>
      </c>
      <c r="C1462">
        <v>9480</v>
      </c>
      <c r="D1462" t="s">
        <v>29167</v>
      </c>
      <c r="E1462" t="s">
        <v>26</v>
      </c>
      <c r="F1462" t="s">
        <v>38</v>
      </c>
      <c r="G1462" t="s">
        <v>29168</v>
      </c>
      <c r="H1462">
        <v>18.399999999999999</v>
      </c>
      <c r="I1462">
        <v>0</v>
      </c>
      <c r="J1462">
        <v>0</v>
      </c>
      <c r="K1462">
        <v>0</v>
      </c>
      <c r="N1462">
        <v>3</v>
      </c>
      <c r="O1462">
        <v>3</v>
      </c>
      <c r="P1462">
        <v>4</v>
      </c>
      <c r="Q1462">
        <v>0</v>
      </c>
      <c r="R1462">
        <v>25.4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6</v>
      </c>
      <c r="AC1462">
        <v>0</v>
      </c>
      <c r="AH1462">
        <v>31.4</v>
      </c>
    </row>
    <row r="1463" spans="1:34" x14ac:dyDescent="0.3">
      <c r="A1463" s="4">
        <v>1648</v>
      </c>
      <c r="B1463" s="5">
        <v>1456</v>
      </c>
      <c r="C1463">
        <v>8245</v>
      </c>
      <c r="D1463" t="s">
        <v>29169</v>
      </c>
      <c r="E1463" t="s">
        <v>178</v>
      </c>
      <c r="F1463" t="s">
        <v>214</v>
      </c>
      <c r="G1463" t="s">
        <v>29170</v>
      </c>
      <c r="H1463">
        <v>19.350000000000001</v>
      </c>
      <c r="I1463">
        <v>0</v>
      </c>
      <c r="J1463">
        <v>0</v>
      </c>
      <c r="K1463">
        <v>0</v>
      </c>
      <c r="L1463">
        <v>7</v>
      </c>
      <c r="N1463">
        <v>3</v>
      </c>
      <c r="O1463">
        <v>10</v>
      </c>
      <c r="P1463">
        <v>0</v>
      </c>
      <c r="Q1463">
        <v>2</v>
      </c>
      <c r="R1463">
        <v>31.35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H1463">
        <v>31.35</v>
      </c>
    </row>
    <row r="1464" spans="1:34" x14ac:dyDescent="0.3">
      <c r="A1464" s="4">
        <v>1649</v>
      </c>
      <c r="B1464" s="5">
        <v>1457</v>
      </c>
      <c r="C1464">
        <v>12045</v>
      </c>
      <c r="D1464" t="s">
        <v>29171</v>
      </c>
      <c r="E1464" t="s">
        <v>97</v>
      </c>
      <c r="F1464" t="s">
        <v>328</v>
      </c>
      <c r="G1464" t="s">
        <v>29172</v>
      </c>
      <c r="H1464">
        <v>18.329999999999998</v>
      </c>
      <c r="I1464">
        <v>0</v>
      </c>
      <c r="J1464">
        <v>0</v>
      </c>
      <c r="K1464">
        <v>0</v>
      </c>
      <c r="L1464">
        <v>7</v>
      </c>
      <c r="O1464">
        <v>7</v>
      </c>
      <c r="P1464">
        <v>4</v>
      </c>
      <c r="Q1464">
        <v>2</v>
      </c>
      <c r="R1464">
        <v>31.33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H1464">
        <v>31.33</v>
      </c>
    </row>
    <row r="1465" spans="1:34" x14ac:dyDescent="0.3">
      <c r="A1465" s="4">
        <v>1650</v>
      </c>
      <c r="B1465" s="5">
        <v>1458</v>
      </c>
      <c r="C1465">
        <v>10863</v>
      </c>
      <c r="D1465" t="s">
        <v>4184</v>
      </c>
      <c r="E1465" t="s">
        <v>143</v>
      </c>
      <c r="F1465" t="s">
        <v>328</v>
      </c>
      <c r="G1465" t="s">
        <v>29173</v>
      </c>
      <c r="H1465">
        <v>18.3</v>
      </c>
      <c r="I1465">
        <v>0</v>
      </c>
      <c r="J1465">
        <v>0</v>
      </c>
      <c r="K1465">
        <v>0</v>
      </c>
      <c r="N1465">
        <v>3</v>
      </c>
      <c r="O1465">
        <v>3</v>
      </c>
      <c r="P1465">
        <v>4</v>
      </c>
      <c r="Q1465">
        <v>0</v>
      </c>
      <c r="R1465">
        <v>25.3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6</v>
      </c>
      <c r="AC1465">
        <v>0</v>
      </c>
      <c r="AH1465">
        <v>31.3</v>
      </c>
    </row>
    <row r="1466" spans="1:34" x14ac:dyDescent="0.3">
      <c r="A1466" s="4">
        <v>1651</v>
      </c>
      <c r="B1466" s="5">
        <v>1459</v>
      </c>
      <c r="C1466">
        <v>9138</v>
      </c>
      <c r="D1466" t="s">
        <v>16667</v>
      </c>
      <c r="E1466" t="s">
        <v>355</v>
      </c>
      <c r="F1466" t="s">
        <v>38</v>
      </c>
      <c r="G1466" t="s">
        <v>29174</v>
      </c>
      <c r="H1466">
        <v>17.3</v>
      </c>
      <c r="I1466">
        <v>0</v>
      </c>
      <c r="J1466">
        <v>0</v>
      </c>
      <c r="K1466">
        <v>0</v>
      </c>
      <c r="N1466">
        <v>3</v>
      </c>
      <c r="O1466">
        <v>3</v>
      </c>
      <c r="P1466">
        <v>4</v>
      </c>
      <c r="Q1466">
        <v>0</v>
      </c>
      <c r="R1466">
        <v>24.3</v>
      </c>
      <c r="S1466">
        <v>7</v>
      </c>
      <c r="T1466">
        <v>7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7</v>
      </c>
      <c r="AB1466">
        <v>0</v>
      </c>
      <c r="AC1466">
        <v>0</v>
      </c>
      <c r="AH1466">
        <v>31.3</v>
      </c>
    </row>
    <row r="1467" spans="1:34" x14ac:dyDescent="0.3">
      <c r="A1467" s="4">
        <v>1652</v>
      </c>
      <c r="B1467" s="5">
        <v>1460</v>
      </c>
      <c r="C1467">
        <v>6698</v>
      </c>
      <c r="D1467" t="s">
        <v>8266</v>
      </c>
      <c r="E1467" t="s">
        <v>29175</v>
      </c>
      <c r="F1467" t="s">
        <v>136</v>
      </c>
      <c r="G1467" t="s">
        <v>29176</v>
      </c>
      <c r="H1467">
        <v>18.28</v>
      </c>
      <c r="I1467">
        <v>0</v>
      </c>
      <c r="J1467">
        <v>0</v>
      </c>
      <c r="K1467">
        <v>0</v>
      </c>
      <c r="N1467">
        <v>3</v>
      </c>
      <c r="O1467">
        <v>3</v>
      </c>
      <c r="P1467">
        <v>4</v>
      </c>
      <c r="Q1467">
        <v>0</v>
      </c>
      <c r="R1467">
        <v>25.28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6</v>
      </c>
      <c r="AC1467">
        <v>0</v>
      </c>
      <c r="AH1467">
        <v>31.28</v>
      </c>
    </row>
    <row r="1468" spans="1:34" x14ac:dyDescent="0.3">
      <c r="A1468" s="4">
        <v>1653</v>
      </c>
      <c r="B1468" s="5">
        <v>1461</v>
      </c>
      <c r="C1468">
        <v>8995</v>
      </c>
      <c r="D1468" t="s">
        <v>14494</v>
      </c>
      <c r="E1468" t="s">
        <v>29</v>
      </c>
      <c r="F1468" t="s">
        <v>136</v>
      </c>
      <c r="G1468" t="s">
        <v>29177</v>
      </c>
      <c r="H1468">
        <v>20.25</v>
      </c>
      <c r="I1468">
        <v>0</v>
      </c>
      <c r="J1468">
        <v>0</v>
      </c>
      <c r="K1468">
        <v>0</v>
      </c>
      <c r="L1468">
        <v>7</v>
      </c>
      <c r="O1468">
        <v>7</v>
      </c>
      <c r="P1468">
        <v>4</v>
      </c>
      <c r="Q1468">
        <v>0</v>
      </c>
      <c r="R1468">
        <v>31.25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H1468">
        <v>31.25</v>
      </c>
    </row>
    <row r="1469" spans="1:34" x14ac:dyDescent="0.3">
      <c r="A1469" s="4">
        <v>1654</v>
      </c>
      <c r="B1469" s="5">
        <v>1462</v>
      </c>
      <c r="C1469">
        <v>4733</v>
      </c>
      <c r="D1469" t="s">
        <v>29178</v>
      </c>
      <c r="E1469" t="s">
        <v>2481</v>
      </c>
      <c r="F1469" t="s">
        <v>167</v>
      </c>
      <c r="G1469" t="s">
        <v>29179</v>
      </c>
      <c r="H1469">
        <v>18.23</v>
      </c>
      <c r="I1469">
        <v>0</v>
      </c>
      <c r="J1469">
        <v>0</v>
      </c>
      <c r="K1469">
        <v>0</v>
      </c>
      <c r="N1469">
        <v>3</v>
      </c>
      <c r="O1469">
        <v>3</v>
      </c>
      <c r="P1469">
        <v>4</v>
      </c>
      <c r="Q1469">
        <v>0</v>
      </c>
      <c r="R1469">
        <v>25.23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6</v>
      </c>
      <c r="AC1469">
        <v>0</v>
      </c>
      <c r="AH1469">
        <v>31.23</v>
      </c>
    </row>
    <row r="1470" spans="1:34" x14ac:dyDescent="0.3">
      <c r="A1470" s="4">
        <v>1655</v>
      </c>
      <c r="B1470" s="5">
        <v>1463</v>
      </c>
      <c r="C1470">
        <v>13299</v>
      </c>
      <c r="D1470" t="s">
        <v>22646</v>
      </c>
      <c r="E1470" t="s">
        <v>29</v>
      </c>
      <c r="F1470" t="s">
        <v>136</v>
      </c>
      <c r="G1470" t="s">
        <v>29180</v>
      </c>
      <c r="H1470">
        <v>18.23</v>
      </c>
      <c r="I1470">
        <v>0</v>
      </c>
      <c r="J1470">
        <v>0</v>
      </c>
      <c r="K1470">
        <v>0</v>
      </c>
      <c r="L1470">
        <v>7</v>
      </c>
      <c r="O1470">
        <v>7</v>
      </c>
      <c r="P1470">
        <v>4</v>
      </c>
      <c r="Q1470">
        <v>2</v>
      </c>
      <c r="R1470">
        <v>31.23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H1470">
        <v>31.23</v>
      </c>
    </row>
    <row r="1471" spans="1:34" x14ac:dyDescent="0.3">
      <c r="A1471" s="4">
        <v>1656</v>
      </c>
      <c r="B1471" s="5">
        <v>1464</v>
      </c>
      <c r="C1471">
        <v>9861</v>
      </c>
      <c r="D1471" t="s">
        <v>29181</v>
      </c>
      <c r="E1471" t="s">
        <v>2481</v>
      </c>
      <c r="F1471" t="s">
        <v>243</v>
      </c>
      <c r="G1471" t="s">
        <v>29182</v>
      </c>
      <c r="H1471">
        <v>17.2</v>
      </c>
      <c r="I1471">
        <v>0</v>
      </c>
      <c r="J1471">
        <v>0</v>
      </c>
      <c r="K1471">
        <v>0</v>
      </c>
      <c r="L1471">
        <v>7</v>
      </c>
      <c r="O1471">
        <v>7</v>
      </c>
      <c r="P1471">
        <v>4</v>
      </c>
      <c r="Q1471">
        <v>0</v>
      </c>
      <c r="R1471">
        <v>28.2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3</v>
      </c>
      <c r="AC1471">
        <v>0</v>
      </c>
      <c r="AH1471">
        <v>31.2</v>
      </c>
    </row>
    <row r="1472" spans="1:34" x14ac:dyDescent="0.3">
      <c r="A1472" s="4">
        <v>1657</v>
      </c>
      <c r="B1472" s="5">
        <v>1465</v>
      </c>
      <c r="C1472">
        <v>7977</v>
      </c>
      <c r="D1472" t="s">
        <v>10358</v>
      </c>
      <c r="E1472" t="s">
        <v>789</v>
      </c>
      <c r="F1472" t="s">
        <v>136</v>
      </c>
      <c r="G1472" t="s">
        <v>29183</v>
      </c>
      <c r="H1472">
        <v>18.2</v>
      </c>
      <c r="I1472">
        <v>0</v>
      </c>
      <c r="J1472">
        <v>0</v>
      </c>
      <c r="K1472">
        <v>0</v>
      </c>
      <c r="L1472">
        <v>7</v>
      </c>
      <c r="O1472">
        <v>7</v>
      </c>
      <c r="P1472">
        <v>0</v>
      </c>
      <c r="Q1472">
        <v>0</v>
      </c>
      <c r="R1472">
        <v>25.2</v>
      </c>
      <c r="S1472">
        <v>6</v>
      </c>
      <c r="T1472">
        <v>6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6</v>
      </c>
      <c r="AB1472">
        <v>0</v>
      </c>
      <c r="AC1472">
        <v>0</v>
      </c>
      <c r="AH1472">
        <v>31.2</v>
      </c>
    </row>
    <row r="1473" spans="1:34" x14ac:dyDescent="0.3">
      <c r="A1473" s="4">
        <v>1658</v>
      </c>
      <c r="B1473" s="5">
        <v>1466</v>
      </c>
      <c r="C1473">
        <v>6835</v>
      </c>
      <c r="D1473" t="s">
        <v>929</v>
      </c>
      <c r="E1473" t="s">
        <v>173</v>
      </c>
      <c r="F1473" t="s">
        <v>68</v>
      </c>
      <c r="G1473" t="s">
        <v>29184</v>
      </c>
      <c r="H1473">
        <v>17.2</v>
      </c>
      <c r="I1473">
        <v>0</v>
      </c>
      <c r="J1473">
        <v>0</v>
      </c>
      <c r="K1473">
        <v>0</v>
      </c>
      <c r="O1473">
        <v>0</v>
      </c>
      <c r="P1473">
        <v>4</v>
      </c>
      <c r="Q1473">
        <v>2</v>
      </c>
      <c r="R1473">
        <v>23.2</v>
      </c>
      <c r="S1473">
        <v>0</v>
      </c>
      <c r="T1473">
        <v>0</v>
      </c>
      <c r="U1473">
        <v>4</v>
      </c>
      <c r="V1473">
        <v>8</v>
      </c>
      <c r="W1473">
        <v>0</v>
      </c>
      <c r="X1473">
        <v>0</v>
      </c>
      <c r="Y1473">
        <v>0</v>
      </c>
      <c r="Z1473">
        <v>0</v>
      </c>
      <c r="AA1473">
        <v>8</v>
      </c>
      <c r="AB1473">
        <v>0</v>
      </c>
      <c r="AC1473">
        <v>0</v>
      </c>
      <c r="AD1473" t="s">
        <v>130</v>
      </c>
      <c r="AH1473">
        <v>31.2</v>
      </c>
    </row>
    <row r="1474" spans="1:34" x14ac:dyDescent="0.3">
      <c r="A1474" s="4">
        <v>1659</v>
      </c>
      <c r="B1474" s="5">
        <v>1467</v>
      </c>
      <c r="C1474">
        <v>4307</v>
      </c>
      <c r="D1474" t="s">
        <v>29185</v>
      </c>
      <c r="E1474" t="s">
        <v>744</v>
      </c>
      <c r="F1474" t="s">
        <v>38</v>
      </c>
      <c r="G1474" t="s">
        <v>29186</v>
      </c>
      <c r="H1474">
        <v>18.18</v>
      </c>
      <c r="I1474">
        <v>0</v>
      </c>
      <c r="J1474">
        <v>0</v>
      </c>
      <c r="K1474">
        <v>0</v>
      </c>
      <c r="L1474">
        <v>7</v>
      </c>
      <c r="O1474">
        <v>7</v>
      </c>
      <c r="P1474">
        <v>4</v>
      </c>
      <c r="Q1474">
        <v>2</v>
      </c>
      <c r="R1474">
        <v>31.18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H1474">
        <v>31.18</v>
      </c>
    </row>
    <row r="1475" spans="1:34" x14ac:dyDescent="0.3">
      <c r="A1475" s="4">
        <v>1660</v>
      </c>
      <c r="B1475" s="5">
        <v>1468</v>
      </c>
      <c r="C1475">
        <v>15302</v>
      </c>
      <c r="D1475" t="s">
        <v>29187</v>
      </c>
      <c r="E1475" t="s">
        <v>170</v>
      </c>
      <c r="F1475" t="s">
        <v>158</v>
      </c>
      <c r="G1475" t="s">
        <v>29188</v>
      </c>
      <c r="H1475">
        <v>19.149999999999999</v>
      </c>
      <c r="I1475">
        <v>0</v>
      </c>
      <c r="J1475">
        <v>0</v>
      </c>
      <c r="K1475">
        <v>0</v>
      </c>
      <c r="L1475">
        <v>7</v>
      </c>
      <c r="M1475">
        <v>5</v>
      </c>
      <c r="O1475">
        <v>12</v>
      </c>
      <c r="P1475">
        <v>0</v>
      </c>
      <c r="Q1475">
        <v>0</v>
      </c>
      <c r="R1475">
        <v>31.15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H1475">
        <v>31.15</v>
      </c>
    </row>
    <row r="1476" spans="1:34" x14ac:dyDescent="0.3">
      <c r="A1476" s="4">
        <v>1661</v>
      </c>
      <c r="B1476" s="5">
        <v>1469</v>
      </c>
      <c r="C1476">
        <v>8831</v>
      </c>
      <c r="D1476" t="s">
        <v>29189</v>
      </c>
      <c r="E1476" t="s">
        <v>338</v>
      </c>
      <c r="F1476" t="s">
        <v>385</v>
      </c>
      <c r="G1476" t="s">
        <v>29190</v>
      </c>
      <c r="H1476">
        <v>18.149999999999999</v>
      </c>
      <c r="I1476">
        <v>0</v>
      </c>
      <c r="J1476">
        <v>0</v>
      </c>
      <c r="K1476">
        <v>0</v>
      </c>
      <c r="L1476">
        <v>7</v>
      </c>
      <c r="O1476">
        <v>7</v>
      </c>
      <c r="P1476">
        <v>4</v>
      </c>
      <c r="Q1476">
        <v>2</v>
      </c>
      <c r="R1476">
        <v>31.15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H1476">
        <v>31.15</v>
      </c>
    </row>
    <row r="1477" spans="1:34" x14ac:dyDescent="0.3">
      <c r="A1477" s="4">
        <v>1662</v>
      </c>
      <c r="B1477" s="5">
        <v>1470</v>
      </c>
      <c r="C1477">
        <v>5550</v>
      </c>
      <c r="D1477" t="s">
        <v>29191</v>
      </c>
      <c r="E1477" t="s">
        <v>1474</v>
      </c>
      <c r="F1477" t="s">
        <v>801</v>
      </c>
      <c r="G1477" t="s">
        <v>29192</v>
      </c>
      <c r="H1477">
        <v>18.079999999999998</v>
      </c>
      <c r="I1477">
        <v>0</v>
      </c>
      <c r="J1477">
        <v>0</v>
      </c>
      <c r="K1477">
        <v>0</v>
      </c>
      <c r="L1477">
        <v>7</v>
      </c>
      <c r="O1477">
        <v>7</v>
      </c>
      <c r="P1477">
        <v>4</v>
      </c>
      <c r="Q1477">
        <v>2</v>
      </c>
      <c r="R1477">
        <v>31.08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H1477">
        <v>31.08</v>
      </c>
    </row>
    <row r="1478" spans="1:34" x14ac:dyDescent="0.3">
      <c r="A1478" s="4">
        <v>1663</v>
      </c>
      <c r="B1478" s="5">
        <v>1471</v>
      </c>
      <c r="C1478">
        <v>12573</v>
      </c>
      <c r="D1478" t="s">
        <v>2742</v>
      </c>
      <c r="E1478" t="s">
        <v>208</v>
      </c>
      <c r="F1478" t="s">
        <v>328</v>
      </c>
      <c r="G1478" t="s">
        <v>29193</v>
      </c>
      <c r="H1478">
        <v>20.05</v>
      </c>
      <c r="I1478">
        <v>0</v>
      </c>
      <c r="J1478">
        <v>0</v>
      </c>
      <c r="K1478">
        <v>0</v>
      </c>
      <c r="L1478">
        <v>7</v>
      </c>
      <c r="O1478">
        <v>7</v>
      </c>
      <c r="P1478">
        <v>4</v>
      </c>
      <c r="Q1478">
        <v>0</v>
      </c>
      <c r="R1478">
        <v>31.05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H1478">
        <v>31.05</v>
      </c>
    </row>
    <row r="1479" spans="1:34" x14ac:dyDescent="0.3">
      <c r="A1479" s="4">
        <v>1664</v>
      </c>
      <c r="B1479" s="5">
        <v>1472</v>
      </c>
      <c r="C1479">
        <v>12991</v>
      </c>
      <c r="D1479" t="s">
        <v>29194</v>
      </c>
      <c r="E1479" t="s">
        <v>29</v>
      </c>
      <c r="F1479" t="s">
        <v>20</v>
      </c>
      <c r="G1479" t="s">
        <v>29195</v>
      </c>
      <c r="H1479">
        <v>20.05</v>
      </c>
      <c r="I1479">
        <v>0</v>
      </c>
      <c r="J1479">
        <v>0</v>
      </c>
      <c r="K1479">
        <v>0</v>
      </c>
      <c r="M1479">
        <v>5</v>
      </c>
      <c r="O1479">
        <v>5</v>
      </c>
      <c r="P1479">
        <v>4</v>
      </c>
      <c r="Q1479">
        <v>2</v>
      </c>
      <c r="R1479">
        <v>31.05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H1479">
        <v>31.05</v>
      </c>
    </row>
    <row r="1480" spans="1:34" x14ac:dyDescent="0.3">
      <c r="A1480" s="4">
        <v>1665</v>
      </c>
      <c r="B1480" s="5">
        <v>1473</v>
      </c>
      <c r="C1480">
        <v>4702</v>
      </c>
      <c r="D1480" t="s">
        <v>1314</v>
      </c>
      <c r="E1480" t="s">
        <v>208</v>
      </c>
      <c r="F1480" t="s">
        <v>124</v>
      </c>
      <c r="G1480" t="s">
        <v>29196</v>
      </c>
      <c r="H1480">
        <v>20.05</v>
      </c>
      <c r="I1480">
        <v>0</v>
      </c>
      <c r="J1480">
        <v>0</v>
      </c>
      <c r="K1480">
        <v>0</v>
      </c>
      <c r="L1480">
        <v>7</v>
      </c>
      <c r="O1480">
        <v>7</v>
      </c>
      <c r="P1480">
        <v>4</v>
      </c>
      <c r="Q1480">
        <v>0</v>
      </c>
      <c r="R1480">
        <v>31.05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H1480">
        <v>31.05</v>
      </c>
    </row>
    <row r="1481" spans="1:34" x14ac:dyDescent="0.3">
      <c r="A1481" s="4">
        <v>1666</v>
      </c>
      <c r="B1481" s="5">
        <v>1474</v>
      </c>
      <c r="C1481">
        <v>3452</v>
      </c>
      <c r="D1481" t="s">
        <v>29197</v>
      </c>
      <c r="E1481" t="s">
        <v>97</v>
      </c>
      <c r="F1481" t="s">
        <v>62</v>
      </c>
      <c r="G1481" t="s">
        <v>29198</v>
      </c>
      <c r="H1481">
        <v>18.03</v>
      </c>
      <c r="I1481">
        <v>0</v>
      </c>
      <c r="J1481">
        <v>0</v>
      </c>
      <c r="K1481">
        <v>0</v>
      </c>
      <c r="N1481">
        <v>3</v>
      </c>
      <c r="O1481">
        <v>3</v>
      </c>
      <c r="P1481">
        <v>4</v>
      </c>
      <c r="Q1481">
        <v>0</v>
      </c>
      <c r="R1481">
        <v>25.03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6</v>
      </c>
      <c r="AC1481">
        <v>0</v>
      </c>
      <c r="AH1481">
        <v>31.03</v>
      </c>
    </row>
    <row r="1482" spans="1:34" x14ac:dyDescent="0.3">
      <c r="A1482" s="4">
        <v>1667</v>
      </c>
      <c r="B1482" s="5">
        <v>1475</v>
      </c>
      <c r="C1482">
        <v>11991</v>
      </c>
      <c r="D1482" t="s">
        <v>5820</v>
      </c>
      <c r="E1482" t="s">
        <v>41</v>
      </c>
      <c r="F1482" t="s">
        <v>158</v>
      </c>
      <c r="G1482" t="s">
        <v>29199</v>
      </c>
      <c r="H1482">
        <v>20.03</v>
      </c>
      <c r="I1482">
        <v>0</v>
      </c>
      <c r="J1482">
        <v>0</v>
      </c>
      <c r="K1482">
        <v>0</v>
      </c>
      <c r="L1482">
        <v>7</v>
      </c>
      <c r="O1482">
        <v>7</v>
      </c>
      <c r="P1482">
        <v>4</v>
      </c>
      <c r="Q1482">
        <v>0</v>
      </c>
      <c r="R1482">
        <v>31.03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H1482">
        <v>31.03</v>
      </c>
    </row>
    <row r="1483" spans="1:34" x14ac:dyDescent="0.3">
      <c r="A1483" s="4">
        <v>1668</v>
      </c>
      <c r="B1483" s="5">
        <v>1476</v>
      </c>
      <c r="C1483">
        <v>2153</v>
      </c>
      <c r="D1483" t="s">
        <v>18487</v>
      </c>
      <c r="E1483" t="s">
        <v>265</v>
      </c>
      <c r="F1483" t="s">
        <v>81</v>
      </c>
      <c r="G1483" t="s">
        <v>29200</v>
      </c>
      <c r="H1483">
        <v>20.03</v>
      </c>
      <c r="I1483">
        <v>0</v>
      </c>
      <c r="J1483">
        <v>0</v>
      </c>
      <c r="K1483">
        <v>0</v>
      </c>
      <c r="L1483">
        <v>7</v>
      </c>
      <c r="O1483">
        <v>7</v>
      </c>
      <c r="P1483">
        <v>4</v>
      </c>
      <c r="Q1483">
        <v>0</v>
      </c>
      <c r="R1483">
        <v>31.03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H1483">
        <v>31.03</v>
      </c>
    </row>
    <row r="1484" spans="1:34" x14ac:dyDescent="0.3">
      <c r="A1484" s="4">
        <v>1669</v>
      </c>
      <c r="B1484" s="5">
        <v>1477</v>
      </c>
      <c r="C1484">
        <v>13269</v>
      </c>
      <c r="D1484" t="s">
        <v>29201</v>
      </c>
      <c r="E1484" t="s">
        <v>342</v>
      </c>
      <c r="F1484" t="s">
        <v>20</v>
      </c>
      <c r="G1484" t="s">
        <v>29202</v>
      </c>
      <c r="H1484">
        <v>20</v>
      </c>
      <c r="I1484">
        <v>0</v>
      </c>
      <c r="J1484">
        <v>0</v>
      </c>
      <c r="K1484">
        <v>0</v>
      </c>
      <c r="L1484">
        <v>7</v>
      </c>
      <c r="O1484">
        <v>7</v>
      </c>
      <c r="P1484">
        <v>4</v>
      </c>
      <c r="Q1484">
        <v>0</v>
      </c>
      <c r="R1484">
        <v>31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H1484">
        <v>31</v>
      </c>
    </row>
    <row r="1485" spans="1:34" x14ac:dyDescent="0.3">
      <c r="A1485" s="4">
        <v>1670</v>
      </c>
      <c r="B1485" s="5">
        <v>1478</v>
      </c>
      <c r="C1485">
        <v>14411</v>
      </c>
      <c r="D1485" t="s">
        <v>29203</v>
      </c>
      <c r="E1485" t="s">
        <v>188</v>
      </c>
      <c r="F1485" t="s">
        <v>30</v>
      </c>
      <c r="G1485" t="s">
        <v>29204</v>
      </c>
      <c r="H1485">
        <v>17.95</v>
      </c>
      <c r="I1485">
        <v>0</v>
      </c>
      <c r="J1485">
        <v>0</v>
      </c>
      <c r="K1485">
        <v>0</v>
      </c>
      <c r="N1485">
        <v>3</v>
      </c>
      <c r="O1485">
        <v>3</v>
      </c>
      <c r="P1485">
        <v>4</v>
      </c>
      <c r="Q1485">
        <v>0</v>
      </c>
      <c r="R1485">
        <v>24.95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6</v>
      </c>
      <c r="AC1485">
        <v>0</v>
      </c>
      <c r="AH1485">
        <v>30.95</v>
      </c>
    </row>
    <row r="1486" spans="1:34" x14ac:dyDescent="0.3">
      <c r="A1486" s="4">
        <v>1671</v>
      </c>
      <c r="B1486" s="5">
        <v>1479</v>
      </c>
      <c r="C1486">
        <v>3874</v>
      </c>
      <c r="D1486" t="s">
        <v>29205</v>
      </c>
      <c r="E1486" t="s">
        <v>1371</v>
      </c>
      <c r="F1486" t="s">
        <v>488</v>
      </c>
      <c r="G1486" t="s">
        <v>29206</v>
      </c>
      <c r="H1486">
        <v>15.95</v>
      </c>
      <c r="I1486">
        <v>0</v>
      </c>
      <c r="J1486">
        <v>0</v>
      </c>
      <c r="K1486">
        <v>0</v>
      </c>
      <c r="N1486">
        <v>3</v>
      </c>
      <c r="O1486">
        <v>3</v>
      </c>
      <c r="P1486">
        <v>4</v>
      </c>
      <c r="Q1486">
        <v>2</v>
      </c>
      <c r="R1486">
        <v>24.95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6</v>
      </c>
      <c r="AC1486">
        <v>0</v>
      </c>
      <c r="AD1486" t="s">
        <v>130</v>
      </c>
      <c r="AH1486">
        <v>30.95</v>
      </c>
    </row>
    <row r="1487" spans="1:34" x14ac:dyDescent="0.3">
      <c r="A1487" s="4">
        <v>1672</v>
      </c>
      <c r="B1487" s="5">
        <v>1480</v>
      </c>
      <c r="C1487">
        <v>3519</v>
      </c>
      <c r="D1487" t="s">
        <v>29207</v>
      </c>
      <c r="E1487" t="s">
        <v>29208</v>
      </c>
      <c r="F1487" t="s">
        <v>136</v>
      </c>
      <c r="G1487" t="s">
        <v>29209</v>
      </c>
      <c r="H1487">
        <v>19.95</v>
      </c>
      <c r="I1487">
        <v>0</v>
      </c>
      <c r="J1487">
        <v>0</v>
      </c>
      <c r="K1487">
        <v>0</v>
      </c>
      <c r="L1487">
        <v>7</v>
      </c>
      <c r="O1487">
        <v>7</v>
      </c>
      <c r="P1487">
        <v>4</v>
      </c>
      <c r="Q1487">
        <v>0</v>
      </c>
      <c r="R1487">
        <v>30.95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H1487">
        <v>30.95</v>
      </c>
    </row>
    <row r="1488" spans="1:34" x14ac:dyDescent="0.3">
      <c r="A1488" s="4">
        <v>1673</v>
      </c>
      <c r="B1488" s="5">
        <v>1481</v>
      </c>
      <c r="C1488">
        <v>11179</v>
      </c>
      <c r="D1488" t="s">
        <v>1304</v>
      </c>
      <c r="E1488" t="s">
        <v>8144</v>
      </c>
      <c r="F1488" t="s">
        <v>158</v>
      </c>
      <c r="G1488" t="s">
        <v>29210</v>
      </c>
      <c r="H1488">
        <v>18.93</v>
      </c>
      <c r="I1488">
        <v>0</v>
      </c>
      <c r="J1488">
        <v>0</v>
      </c>
      <c r="K1488">
        <v>0</v>
      </c>
      <c r="N1488">
        <v>3</v>
      </c>
      <c r="O1488">
        <v>3</v>
      </c>
      <c r="P1488">
        <v>4</v>
      </c>
      <c r="Q1488">
        <v>2</v>
      </c>
      <c r="R1488">
        <v>27.93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3</v>
      </c>
      <c r="AC1488">
        <v>0</v>
      </c>
      <c r="AH1488">
        <v>30.93</v>
      </c>
    </row>
    <row r="1489" spans="1:34" x14ac:dyDescent="0.3">
      <c r="A1489" s="4">
        <v>1674</v>
      </c>
      <c r="B1489" s="5">
        <v>1482</v>
      </c>
      <c r="C1489">
        <v>6096</v>
      </c>
      <c r="D1489" t="s">
        <v>29211</v>
      </c>
      <c r="E1489" t="s">
        <v>29212</v>
      </c>
      <c r="F1489" t="s">
        <v>20</v>
      </c>
      <c r="G1489" t="s">
        <v>29213</v>
      </c>
      <c r="H1489">
        <v>17.93</v>
      </c>
      <c r="I1489">
        <v>0</v>
      </c>
      <c r="J1489">
        <v>0</v>
      </c>
      <c r="K1489">
        <v>0</v>
      </c>
      <c r="L1489">
        <v>7</v>
      </c>
      <c r="O1489">
        <v>7</v>
      </c>
      <c r="P1489">
        <v>4</v>
      </c>
      <c r="Q1489">
        <v>2</v>
      </c>
      <c r="R1489">
        <v>30.93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H1489">
        <v>30.93</v>
      </c>
    </row>
    <row r="1490" spans="1:34" x14ac:dyDescent="0.3">
      <c r="A1490" s="4">
        <v>1675</v>
      </c>
      <c r="B1490" s="5">
        <v>1483</v>
      </c>
      <c r="C1490">
        <v>4725</v>
      </c>
      <c r="D1490" t="s">
        <v>29214</v>
      </c>
      <c r="E1490" t="s">
        <v>54</v>
      </c>
      <c r="F1490" t="s">
        <v>38</v>
      </c>
      <c r="G1490" t="s">
        <v>29215</v>
      </c>
      <c r="H1490">
        <v>17.899999999999999</v>
      </c>
      <c r="I1490">
        <v>0</v>
      </c>
      <c r="J1490">
        <v>0</v>
      </c>
      <c r="K1490">
        <v>0</v>
      </c>
      <c r="M1490">
        <v>5</v>
      </c>
      <c r="O1490">
        <v>5</v>
      </c>
      <c r="P1490">
        <v>4</v>
      </c>
      <c r="Q1490">
        <v>2</v>
      </c>
      <c r="R1490">
        <v>28.9</v>
      </c>
      <c r="S1490">
        <v>2</v>
      </c>
      <c r="T1490">
        <v>2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2</v>
      </c>
      <c r="AB1490">
        <v>0</v>
      </c>
      <c r="AC1490">
        <v>0</v>
      </c>
      <c r="AH1490">
        <v>30.9</v>
      </c>
    </row>
    <row r="1491" spans="1:34" x14ac:dyDescent="0.3">
      <c r="A1491" s="4">
        <v>1676</v>
      </c>
      <c r="B1491" s="5">
        <v>1484</v>
      </c>
      <c r="C1491">
        <v>14376</v>
      </c>
      <c r="D1491" t="s">
        <v>29216</v>
      </c>
      <c r="E1491" t="s">
        <v>471</v>
      </c>
      <c r="F1491" t="s">
        <v>91</v>
      </c>
      <c r="G1491" t="s">
        <v>29217</v>
      </c>
      <c r="H1491">
        <v>16.88</v>
      </c>
      <c r="I1491">
        <v>0</v>
      </c>
      <c r="J1491">
        <v>0</v>
      </c>
      <c r="K1491">
        <v>0</v>
      </c>
      <c r="L1491">
        <v>7</v>
      </c>
      <c r="O1491">
        <v>7</v>
      </c>
      <c r="P1491">
        <v>4</v>
      </c>
      <c r="Q1491">
        <v>0</v>
      </c>
      <c r="R1491">
        <v>27.88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3</v>
      </c>
      <c r="AC1491">
        <v>0</v>
      </c>
      <c r="AH1491">
        <v>30.88</v>
      </c>
    </row>
    <row r="1492" spans="1:34" x14ac:dyDescent="0.3">
      <c r="A1492" s="4">
        <v>1677</v>
      </c>
      <c r="B1492" s="5">
        <v>1485</v>
      </c>
      <c r="C1492">
        <v>8401</v>
      </c>
      <c r="D1492" t="s">
        <v>5059</v>
      </c>
      <c r="E1492" t="s">
        <v>182</v>
      </c>
      <c r="F1492" t="s">
        <v>328</v>
      </c>
      <c r="G1492" t="s">
        <v>29218</v>
      </c>
      <c r="H1492">
        <v>17.88</v>
      </c>
      <c r="I1492">
        <v>0</v>
      </c>
      <c r="J1492">
        <v>0</v>
      </c>
      <c r="K1492">
        <v>0</v>
      </c>
      <c r="L1492">
        <v>7</v>
      </c>
      <c r="O1492">
        <v>7</v>
      </c>
      <c r="P1492">
        <v>4</v>
      </c>
      <c r="Q1492">
        <v>2</v>
      </c>
      <c r="R1492">
        <v>30.88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H1492">
        <v>30.88</v>
      </c>
    </row>
    <row r="1493" spans="1:34" x14ac:dyDescent="0.3">
      <c r="A1493" s="4">
        <v>1678</v>
      </c>
      <c r="B1493" s="5">
        <v>1486</v>
      </c>
      <c r="C1493">
        <v>1033</v>
      </c>
      <c r="D1493" t="s">
        <v>29219</v>
      </c>
      <c r="E1493" t="s">
        <v>4033</v>
      </c>
      <c r="F1493" t="s">
        <v>38</v>
      </c>
      <c r="G1493" t="s">
        <v>29220</v>
      </c>
      <c r="H1493">
        <v>17.850000000000001</v>
      </c>
      <c r="I1493">
        <v>0</v>
      </c>
      <c r="J1493">
        <v>0</v>
      </c>
      <c r="K1493">
        <v>0</v>
      </c>
      <c r="L1493">
        <v>7</v>
      </c>
      <c r="O1493">
        <v>7</v>
      </c>
      <c r="P1493">
        <v>4</v>
      </c>
      <c r="Q1493">
        <v>2</v>
      </c>
      <c r="R1493">
        <v>30.85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H1493">
        <v>30.85</v>
      </c>
    </row>
    <row r="1494" spans="1:34" x14ac:dyDescent="0.3">
      <c r="A1494" s="4">
        <v>1679</v>
      </c>
      <c r="B1494" s="5">
        <v>1487</v>
      </c>
      <c r="C1494">
        <v>5707</v>
      </c>
      <c r="D1494" t="s">
        <v>15254</v>
      </c>
      <c r="E1494" t="s">
        <v>97</v>
      </c>
      <c r="F1494" t="s">
        <v>158</v>
      </c>
      <c r="G1494" t="s">
        <v>29221</v>
      </c>
      <c r="H1494">
        <v>19.829999999999998</v>
      </c>
      <c r="I1494">
        <v>0</v>
      </c>
      <c r="J1494">
        <v>0</v>
      </c>
      <c r="K1494">
        <v>0</v>
      </c>
      <c r="L1494">
        <v>7</v>
      </c>
      <c r="O1494">
        <v>7</v>
      </c>
      <c r="P1494">
        <v>4</v>
      </c>
      <c r="Q1494">
        <v>0</v>
      </c>
      <c r="R1494">
        <v>30.83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H1494">
        <v>30.83</v>
      </c>
    </row>
    <row r="1495" spans="1:34" x14ac:dyDescent="0.3">
      <c r="A1495" s="4">
        <v>1680</v>
      </c>
      <c r="B1495" s="5">
        <v>1488</v>
      </c>
      <c r="C1495">
        <v>11589</v>
      </c>
      <c r="D1495" t="s">
        <v>6916</v>
      </c>
      <c r="E1495" t="s">
        <v>143</v>
      </c>
      <c r="F1495" t="s">
        <v>55</v>
      </c>
      <c r="G1495" t="s">
        <v>29222</v>
      </c>
      <c r="H1495">
        <v>17.8</v>
      </c>
      <c r="I1495">
        <v>0</v>
      </c>
      <c r="J1495">
        <v>0</v>
      </c>
      <c r="K1495">
        <v>0</v>
      </c>
      <c r="N1495">
        <v>3</v>
      </c>
      <c r="O1495">
        <v>3</v>
      </c>
      <c r="P1495">
        <v>4</v>
      </c>
      <c r="Q1495">
        <v>0</v>
      </c>
      <c r="R1495">
        <v>24.8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6</v>
      </c>
      <c r="AC1495">
        <v>0</v>
      </c>
      <c r="AH1495">
        <v>30.8</v>
      </c>
    </row>
    <row r="1496" spans="1:34" x14ac:dyDescent="0.3">
      <c r="A1496" s="4">
        <v>1681</v>
      </c>
      <c r="B1496" s="5">
        <v>1489</v>
      </c>
      <c r="C1496">
        <v>13584</v>
      </c>
      <c r="D1496" t="s">
        <v>29223</v>
      </c>
      <c r="E1496" t="s">
        <v>22</v>
      </c>
      <c r="F1496" t="s">
        <v>17</v>
      </c>
      <c r="G1496" t="s">
        <v>29224</v>
      </c>
      <c r="H1496">
        <v>19.8</v>
      </c>
      <c r="I1496">
        <v>0</v>
      </c>
      <c r="J1496">
        <v>0</v>
      </c>
      <c r="K1496">
        <v>0</v>
      </c>
      <c r="L1496">
        <v>7</v>
      </c>
      <c r="O1496">
        <v>7</v>
      </c>
      <c r="P1496">
        <v>4</v>
      </c>
      <c r="Q1496">
        <v>0</v>
      </c>
      <c r="R1496">
        <v>30.8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 t="s">
        <v>130</v>
      </c>
      <c r="AH1496">
        <v>30.8</v>
      </c>
    </row>
    <row r="1497" spans="1:34" x14ac:dyDescent="0.3">
      <c r="A1497" s="4">
        <v>1682</v>
      </c>
      <c r="B1497" s="5">
        <v>1490</v>
      </c>
      <c r="C1497">
        <v>2980</v>
      </c>
      <c r="D1497" t="s">
        <v>11584</v>
      </c>
      <c r="E1497" t="s">
        <v>41</v>
      </c>
      <c r="F1497" t="s">
        <v>81</v>
      </c>
      <c r="G1497" t="s">
        <v>29225</v>
      </c>
      <c r="H1497">
        <v>17.78</v>
      </c>
      <c r="I1497">
        <v>0</v>
      </c>
      <c r="J1497">
        <v>0</v>
      </c>
      <c r="K1497">
        <v>0</v>
      </c>
      <c r="N1497">
        <v>3</v>
      </c>
      <c r="O1497">
        <v>3</v>
      </c>
      <c r="P1497">
        <v>4</v>
      </c>
      <c r="Q1497">
        <v>0</v>
      </c>
      <c r="R1497">
        <v>24.78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6</v>
      </c>
      <c r="AC1497">
        <v>0</v>
      </c>
      <c r="AH1497">
        <v>30.78</v>
      </c>
    </row>
    <row r="1498" spans="1:34" x14ac:dyDescent="0.3">
      <c r="A1498" s="4">
        <v>1683</v>
      </c>
      <c r="B1498" s="5">
        <v>1491</v>
      </c>
      <c r="C1498">
        <v>2923</v>
      </c>
      <c r="D1498" t="s">
        <v>29226</v>
      </c>
      <c r="E1498" t="s">
        <v>424</v>
      </c>
      <c r="F1498" t="s">
        <v>10440</v>
      </c>
      <c r="G1498" t="s">
        <v>29227</v>
      </c>
      <c r="H1498">
        <v>20.78</v>
      </c>
      <c r="I1498">
        <v>0</v>
      </c>
      <c r="J1498">
        <v>0</v>
      </c>
      <c r="K1498">
        <v>0</v>
      </c>
      <c r="N1498">
        <v>3</v>
      </c>
      <c r="O1498">
        <v>3</v>
      </c>
      <c r="P1498">
        <v>4</v>
      </c>
      <c r="Q1498">
        <v>0</v>
      </c>
      <c r="R1498">
        <v>27.78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3</v>
      </c>
      <c r="AC1498">
        <v>0</v>
      </c>
      <c r="AH1498">
        <v>30.78</v>
      </c>
    </row>
    <row r="1499" spans="1:34" x14ac:dyDescent="0.3">
      <c r="A1499" s="4">
        <v>1684</v>
      </c>
      <c r="B1499" s="5">
        <v>1492</v>
      </c>
      <c r="C1499">
        <v>5906</v>
      </c>
      <c r="D1499" t="s">
        <v>29228</v>
      </c>
      <c r="E1499" t="s">
        <v>471</v>
      </c>
      <c r="F1499" t="s">
        <v>136</v>
      </c>
      <c r="G1499" t="s">
        <v>29229</v>
      </c>
      <c r="H1499">
        <v>19.78</v>
      </c>
      <c r="I1499">
        <v>0</v>
      </c>
      <c r="J1499">
        <v>0</v>
      </c>
      <c r="K1499">
        <v>0</v>
      </c>
      <c r="L1499">
        <v>7</v>
      </c>
      <c r="O1499">
        <v>7</v>
      </c>
      <c r="P1499">
        <v>4</v>
      </c>
      <c r="Q1499">
        <v>0</v>
      </c>
      <c r="R1499">
        <v>30.78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H1499">
        <v>30.78</v>
      </c>
    </row>
    <row r="1500" spans="1:34" x14ac:dyDescent="0.3">
      <c r="A1500" s="4">
        <v>1685</v>
      </c>
      <c r="B1500" s="5">
        <v>1493</v>
      </c>
      <c r="C1500">
        <v>11610</v>
      </c>
      <c r="D1500" t="s">
        <v>29230</v>
      </c>
      <c r="E1500" t="s">
        <v>166</v>
      </c>
      <c r="F1500" t="s">
        <v>30</v>
      </c>
      <c r="G1500" t="s">
        <v>29231</v>
      </c>
      <c r="H1500">
        <v>19.78</v>
      </c>
      <c r="I1500">
        <v>0</v>
      </c>
      <c r="J1500">
        <v>0</v>
      </c>
      <c r="K1500">
        <v>0</v>
      </c>
      <c r="M1500">
        <v>5</v>
      </c>
      <c r="O1500">
        <v>5</v>
      </c>
      <c r="P1500">
        <v>4</v>
      </c>
      <c r="Q1500">
        <v>2</v>
      </c>
      <c r="R1500">
        <v>30.78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H1500">
        <v>30.78</v>
      </c>
    </row>
    <row r="1501" spans="1:34" x14ac:dyDescent="0.3">
      <c r="A1501" s="4">
        <v>1686</v>
      </c>
      <c r="B1501" s="5">
        <v>1494</v>
      </c>
      <c r="C1501">
        <v>11056</v>
      </c>
      <c r="D1501" t="s">
        <v>29232</v>
      </c>
      <c r="E1501" t="s">
        <v>100</v>
      </c>
      <c r="F1501" t="s">
        <v>81</v>
      </c>
      <c r="G1501" t="s">
        <v>29233</v>
      </c>
      <c r="H1501">
        <v>19.78</v>
      </c>
      <c r="I1501">
        <v>0</v>
      </c>
      <c r="J1501">
        <v>0</v>
      </c>
      <c r="K1501">
        <v>0</v>
      </c>
      <c r="L1501">
        <v>7</v>
      </c>
      <c r="O1501">
        <v>7</v>
      </c>
      <c r="P1501">
        <v>4</v>
      </c>
      <c r="Q1501">
        <v>0</v>
      </c>
      <c r="R1501">
        <v>30.78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H1501">
        <v>30.78</v>
      </c>
    </row>
    <row r="1502" spans="1:34" x14ac:dyDescent="0.3">
      <c r="A1502" s="4">
        <v>1687</v>
      </c>
      <c r="B1502" s="5">
        <v>1495</v>
      </c>
      <c r="C1502">
        <v>1632</v>
      </c>
      <c r="D1502" t="s">
        <v>11244</v>
      </c>
      <c r="E1502" t="s">
        <v>166</v>
      </c>
      <c r="F1502" t="s">
        <v>62</v>
      </c>
      <c r="G1502" t="s">
        <v>29234</v>
      </c>
      <c r="H1502">
        <v>15.78</v>
      </c>
      <c r="I1502">
        <v>0</v>
      </c>
      <c r="J1502">
        <v>0</v>
      </c>
      <c r="K1502">
        <v>0</v>
      </c>
      <c r="N1502">
        <v>3</v>
      </c>
      <c r="O1502">
        <v>3</v>
      </c>
      <c r="P1502">
        <v>4</v>
      </c>
      <c r="Q1502">
        <v>2</v>
      </c>
      <c r="R1502">
        <v>24.78</v>
      </c>
      <c r="S1502">
        <v>6</v>
      </c>
      <c r="T1502">
        <v>6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6</v>
      </c>
      <c r="AB1502">
        <v>0</v>
      </c>
      <c r="AC1502">
        <v>0</v>
      </c>
      <c r="AH1502">
        <v>30.78</v>
      </c>
    </row>
    <row r="1503" spans="1:34" x14ac:dyDescent="0.3">
      <c r="A1503" s="4">
        <v>1688</v>
      </c>
      <c r="B1503" s="5">
        <v>1496</v>
      </c>
      <c r="C1503">
        <v>6818</v>
      </c>
      <c r="D1503" t="s">
        <v>28334</v>
      </c>
      <c r="E1503" t="s">
        <v>7737</v>
      </c>
      <c r="F1503" t="s">
        <v>20</v>
      </c>
      <c r="G1503" t="s">
        <v>29235</v>
      </c>
      <c r="H1503">
        <v>17.75</v>
      </c>
      <c r="I1503">
        <v>0</v>
      </c>
      <c r="J1503">
        <v>0</v>
      </c>
      <c r="K1503">
        <v>0</v>
      </c>
      <c r="L1503">
        <v>7</v>
      </c>
      <c r="O1503">
        <v>7</v>
      </c>
      <c r="P1503">
        <v>4</v>
      </c>
      <c r="Q1503">
        <v>2</v>
      </c>
      <c r="R1503">
        <v>30.75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H1503">
        <v>30.75</v>
      </c>
    </row>
    <row r="1504" spans="1:34" x14ac:dyDescent="0.3">
      <c r="A1504" s="4">
        <v>1689</v>
      </c>
      <c r="B1504" s="5">
        <v>1497</v>
      </c>
      <c r="C1504">
        <v>12382</v>
      </c>
      <c r="D1504" t="s">
        <v>23002</v>
      </c>
      <c r="E1504" t="s">
        <v>29</v>
      </c>
      <c r="F1504" t="s">
        <v>117</v>
      </c>
      <c r="G1504" t="s">
        <v>29236</v>
      </c>
      <c r="H1504">
        <v>17.75</v>
      </c>
      <c r="I1504">
        <v>0</v>
      </c>
      <c r="J1504">
        <v>0</v>
      </c>
      <c r="K1504">
        <v>0</v>
      </c>
      <c r="L1504">
        <v>7</v>
      </c>
      <c r="O1504">
        <v>7</v>
      </c>
      <c r="P1504">
        <v>4</v>
      </c>
      <c r="Q1504">
        <v>2</v>
      </c>
      <c r="R1504">
        <v>30.75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 t="s">
        <v>130</v>
      </c>
      <c r="AH1504">
        <v>30.75</v>
      </c>
    </row>
    <row r="1505" spans="1:34" x14ac:dyDescent="0.3">
      <c r="A1505" s="4">
        <v>1690</v>
      </c>
      <c r="B1505" s="5">
        <v>1498</v>
      </c>
      <c r="C1505">
        <v>9427</v>
      </c>
      <c r="D1505" t="s">
        <v>2797</v>
      </c>
      <c r="E1505" t="s">
        <v>3120</v>
      </c>
      <c r="F1505" t="s">
        <v>81</v>
      </c>
      <c r="G1505" t="s">
        <v>29237</v>
      </c>
      <c r="H1505">
        <v>17.75</v>
      </c>
      <c r="I1505">
        <v>0</v>
      </c>
      <c r="J1505">
        <v>0</v>
      </c>
      <c r="K1505">
        <v>0</v>
      </c>
      <c r="L1505">
        <v>7</v>
      </c>
      <c r="O1505">
        <v>7</v>
      </c>
      <c r="P1505">
        <v>4</v>
      </c>
      <c r="Q1505">
        <v>2</v>
      </c>
      <c r="R1505">
        <v>30.75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H1505">
        <v>30.75</v>
      </c>
    </row>
    <row r="1506" spans="1:34" x14ac:dyDescent="0.3">
      <c r="A1506" s="4">
        <v>1691</v>
      </c>
      <c r="B1506" s="5">
        <v>1499</v>
      </c>
      <c r="C1506">
        <v>6722</v>
      </c>
      <c r="D1506" t="s">
        <v>29238</v>
      </c>
      <c r="E1506" t="s">
        <v>406</v>
      </c>
      <c r="F1506" t="s">
        <v>190</v>
      </c>
      <c r="G1506" t="s">
        <v>29239</v>
      </c>
      <c r="H1506">
        <v>15.7</v>
      </c>
      <c r="I1506">
        <v>0</v>
      </c>
      <c r="J1506">
        <v>0</v>
      </c>
      <c r="K1506">
        <v>0</v>
      </c>
      <c r="N1506">
        <v>3</v>
      </c>
      <c r="O1506">
        <v>3</v>
      </c>
      <c r="P1506">
        <v>4</v>
      </c>
      <c r="Q1506">
        <v>2</v>
      </c>
      <c r="R1506">
        <v>24.7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6</v>
      </c>
      <c r="AC1506">
        <v>0</v>
      </c>
      <c r="AH1506">
        <v>30.7</v>
      </c>
    </row>
    <row r="1507" spans="1:34" x14ac:dyDescent="0.3">
      <c r="A1507" s="4">
        <v>1692</v>
      </c>
      <c r="B1507" s="5">
        <v>1500</v>
      </c>
      <c r="C1507">
        <v>352</v>
      </c>
      <c r="D1507" t="s">
        <v>29240</v>
      </c>
      <c r="E1507" t="s">
        <v>139</v>
      </c>
      <c r="F1507" t="s">
        <v>243</v>
      </c>
      <c r="G1507" t="s">
        <v>29241</v>
      </c>
      <c r="H1507">
        <v>20.7</v>
      </c>
      <c r="I1507">
        <v>0</v>
      </c>
      <c r="J1507">
        <v>0</v>
      </c>
      <c r="K1507">
        <v>0</v>
      </c>
      <c r="N1507">
        <v>3</v>
      </c>
      <c r="O1507">
        <v>3</v>
      </c>
      <c r="P1507">
        <v>4</v>
      </c>
      <c r="Q1507">
        <v>0</v>
      </c>
      <c r="R1507">
        <v>27.7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3</v>
      </c>
      <c r="AC1507">
        <v>0</v>
      </c>
      <c r="AH1507">
        <v>30.7</v>
      </c>
    </row>
    <row r="1508" spans="1:34" x14ac:dyDescent="0.3">
      <c r="A1508" s="4">
        <v>1693</v>
      </c>
      <c r="B1508" s="5">
        <v>1501</v>
      </c>
      <c r="C1508">
        <v>2529</v>
      </c>
      <c r="D1508" t="s">
        <v>29242</v>
      </c>
      <c r="E1508" t="s">
        <v>219</v>
      </c>
      <c r="F1508" t="s">
        <v>343</v>
      </c>
      <c r="G1508" t="s">
        <v>29243</v>
      </c>
      <c r="H1508">
        <v>19.7</v>
      </c>
      <c r="I1508">
        <v>0</v>
      </c>
      <c r="J1508">
        <v>0</v>
      </c>
      <c r="K1508">
        <v>0</v>
      </c>
      <c r="L1508">
        <v>7</v>
      </c>
      <c r="O1508">
        <v>7</v>
      </c>
      <c r="P1508">
        <v>4</v>
      </c>
      <c r="Q1508">
        <v>0</v>
      </c>
      <c r="R1508">
        <v>30.7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H1508">
        <v>30.7</v>
      </c>
    </row>
    <row r="1509" spans="1:34" x14ac:dyDescent="0.3">
      <c r="A1509" s="4">
        <v>1694</v>
      </c>
      <c r="B1509" s="5">
        <v>1502</v>
      </c>
      <c r="C1509">
        <v>12353</v>
      </c>
      <c r="D1509" t="s">
        <v>29244</v>
      </c>
      <c r="E1509" t="s">
        <v>29</v>
      </c>
      <c r="F1509" t="s">
        <v>38</v>
      </c>
      <c r="G1509" t="s">
        <v>29245</v>
      </c>
      <c r="H1509">
        <v>17.68</v>
      </c>
      <c r="I1509">
        <v>0</v>
      </c>
      <c r="J1509">
        <v>0</v>
      </c>
      <c r="K1509">
        <v>0</v>
      </c>
      <c r="L1509">
        <v>7</v>
      </c>
      <c r="O1509">
        <v>7</v>
      </c>
      <c r="P1509">
        <v>4</v>
      </c>
      <c r="Q1509">
        <v>2</v>
      </c>
      <c r="R1509">
        <v>30.68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H1509">
        <v>30.68</v>
      </c>
    </row>
    <row r="1510" spans="1:34" x14ac:dyDescent="0.3">
      <c r="A1510" s="4">
        <v>1695</v>
      </c>
      <c r="B1510" s="5">
        <v>1503</v>
      </c>
      <c r="C1510">
        <v>10830</v>
      </c>
      <c r="D1510" t="s">
        <v>29246</v>
      </c>
      <c r="E1510" t="s">
        <v>29247</v>
      </c>
      <c r="F1510" t="s">
        <v>38</v>
      </c>
      <c r="G1510" t="s">
        <v>29248</v>
      </c>
      <c r="H1510">
        <v>15.65</v>
      </c>
      <c r="I1510">
        <v>0</v>
      </c>
      <c r="J1510">
        <v>0</v>
      </c>
      <c r="K1510">
        <v>0</v>
      </c>
      <c r="N1510">
        <v>3</v>
      </c>
      <c r="O1510">
        <v>3</v>
      </c>
      <c r="P1510">
        <v>4</v>
      </c>
      <c r="Q1510">
        <v>2</v>
      </c>
      <c r="R1510">
        <v>24.65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6</v>
      </c>
      <c r="AC1510">
        <v>0</v>
      </c>
      <c r="AD1510" t="s">
        <v>130</v>
      </c>
      <c r="AH1510">
        <v>30.65</v>
      </c>
    </row>
    <row r="1511" spans="1:34" x14ac:dyDescent="0.3">
      <c r="A1511" s="4">
        <v>1696</v>
      </c>
      <c r="B1511" s="5">
        <v>1504</v>
      </c>
      <c r="C1511">
        <v>2129</v>
      </c>
      <c r="D1511" t="s">
        <v>10275</v>
      </c>
      <c r="E1511" t="s">
        <v>115</v>
      </c>
      <c r="F1511" t="s">
        <v>17</v>
      </c>
      <c r="G1511" t="s">
        <v>29249</v>
      </c>
      <c r="H1511">
        <v>17.649999999999999</v>
      </c>
      <c r="I1511">
        <v>0</v>
      </c>
      <c r="J1511">
        <v>0</v>
      </c>
      <c r="K1511">
        <v>0</v>
      </c>
      <c r="L1511">
        <v>7</v>
      </c>
      <c r="O1511">
        <v>7</v>
      </c>
      <c r="P1511">
        <v>4</v>
      </c>
      <c r="Q1511">
        <v>2</v>
      </c>
      <c r="R1511">
        <v>30.65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H1511">
        <v>30.65</v>
      </c>
    </row>
    <row r="1512" spans="1:34" x14ac:dyDescent="0.3">
      <c r="A1512" s="4">
        <v>1697</v>
      </c>
      <c r="B1512" s="5">
        <v>1505</v>
      </c>
      <c r="C1512">
        <v>10947</v>
      </c>
      <c r="D1512" t="s">
        <v>5082</v>
      </c>
      <c r="E1512" t="s">
        <v>29250</v>
      </c>
      <c r="F1512" t="s">
        <v>20</v>
      </c>
      <c r="G1512" t="s">
        <v>29251</v>
      </c>
      <c r="H1512">
        <v>16.63</v>
      </c>
      <c r="I1512">
        <v>0</v>
      </c>
      <c r="J1512">
        <v>0</v>
      </c>
      <c r="K1512">
        <v>0</v>
      </c>
      <c r="L1512">
        <v>7</v>
      </c>
      <c r="O1512">
        <v>7</v>
      </c>
      <c r="P1512">
        <v>4</v>
      </c>
      <c r="Q1512">
        <v>0</v>
      </c>
      <c r="R1512">
        <v>27.63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3</v>
      </c>
      <c r="AC1512">
        <v>0</v>
      </c>
      <c r="AD1512" t="s">
        <v>130</v>
      </c>
      <c r="AH1512">
        <v>30.63</v>
      </c>
    </row>
    <row r="1513" spans="1:34" x14ac:dyDescent="0.3">
      <c r="A1513" s="4">
        <v>1698</v>
      </c>
      <c r="B1513" s="5">
        <v>1506</v>
      </c>
      <c r="C1513">
        <v>4391</v>
      </c>
      <c r="D1513" t="s">
        <v>29252</v>
      </c>
      <c r="E1513" t="s">
        <v>29253</v>
      </c>
      <c r="F1513" t="s">
        <v>29254</v>
      </c>
      <c r="G1513" t="s">
        <v>29255</v>
      </c>
      <c r="H1513">
        <v>19.63</v>
      </c>
      <c r="I1513">
        <v>0</v>
      </c>
      <c r="J1513">
        <v>0</v>
      </c>
      <c r="K1513">
        <v>0</v>
      </c>
      <c r="L1513">
        <v>7</v>
      </c>
      <c r="O1513">
        <v>7</v>
      </c>
      <c r="P1513">
        <v>4</v>
      </c>
      <c r="Q1513">
        <v>0</v>
      </c>
      <c r="R1513">
        <v>30.63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H1513">
        <v>30.63</v>
      </c>
    </row>
    <row r="1514" spans="1:34" x14ac:dyDescent="0.3">
      <c r="A1514" s="4">
        <v>1699</v>
      </c>
      <c r="B1514" s="5">
        <v>1507</v>
      </c>
      <c r="C1514">
        <v>14302</v>
      </c>
      <c r="D1514" t="s">
        <v>29256</v>
      </c>
      <c r="E1514" t="s">
        <v>88</v>
      </c>
      <c r="F1514" t="s">
        <v>124</v>
      </c>
      <c r="G1514" t="s">
        <v>29257</v>
      </c>
      <c r="H1514">
        <v>19.63</v>
      </c>
      <c r="I1514">
        <v>0</v>
      </c>
      <c r="J1514">
        <v>0</v>
      </c>
      <c r="K1514">
        <v>0</v>
      </c>
      <c r="L1514">
        <v>7</v>
      </c>
      <c r="O1514">
        <v>7</v>
      </c>
      <c r="P1514">
        <v>4</v>
      </c>
      <c r="Q1514">
        <v>0</v>
      </c>
      <c r="R1514">
        <v>30.63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H1514">
        <v>30.63</v>
      </c>
    </row>
    <row r="1515" spans="1:34" x14ac:dyDescent="0.3">
      <c r="A1515" s="4">
        <v>1700</v>
      </c>
      <c r="B1515" s="5">
        <v>1508</v>
      </c>
      <c r="C1515">
        <v>13000</v>
      </c>
      <c r="D1515" t="s">
        <v>29258</v>
      </c>
      <c r="E1515" t="s">
        <v>667</v>
      </c>
      <c r="F1515" t="s">
        <v>81</v>
      </c>
      <c r="G1515" t="s">
        <v>29259</v>
      </c>
      <c r="H1515">
        <v>19.600000000000001</v>
      </c>
      <c r="I1515">
        <v>0</v>
      </c>
      <c r="J1515">
        <v>0</v>
      </c>
      <c r="K1515">
        <v>0</v>
      </c>
      <c r="L1515">
        <v>7</v>
      </c>
      <c r="O1515">
        <v>7</v>
      </c>
      <c r="P1515">
        <v>4</v>
      </c>
      <c r="Q1515">
        <v>0</v>
      </c>
      <c r="R1515">
        <v>30.6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H1515">
        <v>30.6</v>
      </c>
    </row>
    <row r="1516" spans="1:34" x14ac:dyDescent="0.3">
      <c r="A1516" s="4">
        <v>1701</v>
      </c>
      <c r="B1516" s="5">
        <v>1509</v>
      </c>
      <c r="C1516">
        <v>11705</v>
      </c>
      <c r="D1516" t="s">
        <v>29260</v>
      </c>
      <c r="E1516" t="s">
        <v>29261</v>
      </c>
      <c r="F1516" t="s">
        <v>17</v>
      </c>
      <c r="G1516" t="s">
        <v>29262</v>
      </c>
      <c r="H1516">
        <v>19.600000000000001</v>
      </c>
      <c r="I1516">
        <v>0</v>
      </c>
      <c r="J1516">
        <v>0</v>
      </c>
      <c r="K1516">
        <v>0</v>
      </c>
      <c r="L1516">
        <v>7</v>
      </c>
      <c r="O1516">
        <v>7</v>
      </c>
      <c r="P1516">
        <v>4</v>
      </c>
      <c r="Q1516">
        <v>0</v>
      </c>
      <c r="R1516">
        <v>30.6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H1516">
        <v>30.6</v>
      </c>
    </row>
    <row r="1517" spans="1:34" x14ac:dyDescent="0.3">
      <c r="A1517" s="4">
        <v>1702</v>
      </c>
      <c r="B1517" s="5">
        <v>1510</v>
      </c>
      <c r="C1517">
        <v>6711</v>
      </c>
      <c r="D1517" t="s">
        <v>8937</v>
      </c>
      <c r="E1517" t="s">
        <v>1474</v>
      </c>
      <c r="F1517" t="s">
        <v>136</v>
      </c>
      <c r="G1517" t="s">
        <v>29263</v>
      </c>
      <c r="H1517">
        <v>17.600000000000001</v>
      </c>
      <c r="I1517">
        <v>0</v>
      </c>
      <c r="J1517">
        <v>0</v>
      </c>
      <c r="K1517">
        <v>0</v>
      </c>
      <c r="L1517">
        <v>7</v>
      </c>
      <c r="O1517">
        <v>7</v>
      </c>
      <c r="P1517">
        <v>4</v>
      </c>
      <c r="Q1517">
        <v>2</v>
      </c>
      <c r="R1517">
        <v>30.6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H1517">
        <v>30.6</v>
      </c>
    </row>
    <row r="1518" spans="1:34" x14ac:dyDescent="0.3">
      <c r="A1518" s="4">
        <v>1703</v>
      </c>
      <c r="B1518" s="5">
        <v>1511</v>
      </c>
      <c r="C1518">
        <v>6988</v>
      </c>
      <c r="D1518" t="s">
        <v>4593</v>
      </c>
      <c r="E1518" t="s">
        <v>29</v>
      </c>
      <c r="F1518" t="s">
        <v>243</v>
      </c>
      <c r="G1518" t="s">
        <v>4594</v>
      </c>
      <c r="H1518">
        <v>17.600000000000001</v>
      </c>
      <c r="I1518">
        <v>0</v>
      </c>
      <c r="J1518">
        <v>0</v>
      </c>
      <c r="K1518">
        <v>0</v>
      </c>
      <c r="L1518">
        <v>7</v>
      </c>
      <c r="O1518">
        <v>7</v>
      </c>
      <c r="P1518">
        <v>4</v>
      </c>
      <c r="Q1518">
        <v>2</v>
      </c>
      <c r="R1518">
        <v>30.6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 t="s">
        <v>130</v>
      </c>
      <c r="AH1518">
        <v>30.6</v>
      </c>
    </row>
    <row r="1519" spans="1:34" x14ac:dyDescent="0.3">
      <c r="A1519" s="4">
        <v>1704</v>
      </c>
      <c r="B1519" s="5">
        <v>1512</v>
      </c>
      <c r="C1519">
        <v>5077</v>
      </c>
      <c r="D1519" t="s">
        <v>29264</v>
      </c>
      <c r="E1519" t="s">
        <v>560</v>
      </c>
      <c r="F1519" t="s">
        <v>4176</v>
      </c>
      <c r="G1519" t="s">
        <v>29265</v>
      </c>
      <c r="H1519">
        <v>16.600000000000001</v>
      </c>
      <c r="I1519">
        <v>0</v>
      </c>
      <c r="J1519">
        <v>0</v>
      </c>
      <c r="K1519">
        <v>0</v>
      </c>
      <c r="O1519">
        <v>0</v>
      </c>
      <c r="P1519">
        <v>0</v>
      </c>
      <c r="Q1519">
        <v>2</v>
      </c>
      <c r="R1519">
        <v>18.600000000000001</v>
      </c>
      <c r="S1519">
        <v>12</v>
      </c>
      <c r="T1519">
        <v>12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12</v>
      </c>
      <c r="AB1519">
        <v>0</v>
      </c>
      <c r="AC1519">
        <v>0</v>
      </c>
      <c r="AH1519">
        <v>30.6</v>
      </c>
    </row>
    <row r="1520" spans="1:34" x14ac:dyDescent="0.3">
      <c r="A1520" s="4">
        <v>1705</v>
      </c>
      <c r="B1520" s="5">
        <v>1513</v>
      </c>
      <c r="C1520">
        <v>7530</v>
      </c>
      <c r="D1520" t="s">
        <v>29266</v>
      </c>
      <c r="E1520" t="s">
        <v>30</v>
      </c>
      <c r="F1520" t="s">
        <v>425</v>
      </c>
      <c r="G1520" t="s">
        <v>29267</v>
      </c>
      <c r="H1520">
        <v>17.579999999999998</v>
      </c>
      <c r="I1520">
        <v>0</v>
      </c>
      <c r="J1520">
        <v>0</v>
      </c>
      <c r="K1520">
        <v>0</v>
      </c>
      <c r="N1520">
        <v>3</v>
      </c>
      <c r="O1520">
        <v>3</v>
      </c>
      <c r="P1520">
        <v>4</v>
      </c>
      <c r="Q1520">
        <v>0</v>
      </c>
      <c r="R1520">
        <v>24.58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6</v>
      </c>
      <c r="AC1520">
        <v>0</v>
      </c>
      <c r="AH1520">
        <v>30.58</v>
      </c>
    </row>
    <row r="1521" spans="1:34" x14ac:dyDescent="0.3">
      <c r="A1521" s="4">
        <v>1706</v>
      </c>
      <c r="B1521" s="5">
        <v>1514</v>
      </c>
      <c r="C1521">
        <v>9079</v>
      </c>
      <c r="D1521" t="s">
        <v>29268</v>
      </c>
      <c r="E1521" t="s">
        <v>29</v>
      </c>
      <c r="F1521" t="s">
        <v>9636</v>
      </c>
      <c r="G1521" t="s">
        <v>29269</v>
      </c>
      <c r="H1521">
        <v>15.58</v>
      </c>
      <c r="I1521">
        <v>0</v>
      </c>
      <c r="J1521">
        <v>0</v>
      </c>
      <c r="K1521">
        <v>0</v>
      </c>
      <c r="N1521">
        <v>3</v>
      </c>
      <c r="O1521">
        <v>3</v>
      </c>
      <c r="P1521">
        <v>4</v>
      </c>
      <c r="Q1521">
        <v>2</v>
      </c>
      <c r="R1521">
        <v>24.58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6</v>
      </c>
      <c r="AC1521">
        <v>0</v>
      </c>
      <c r="AH1521">
        <v>30.58</v>
      </c>
    </row>
    <row r="1522" spans="1:34" x14ac:dyDescent="0.3">
      <c r="A1522" s="4">
        <v>1707</v>
      </c>
      <c r="B1522" s="5">
        <v>1515</v>
      </c>
      <c r="C1522">
        <v>10018</v>
      </c>
      <c r="D1522" t="s">
        <v>161</v>
      </c>
      <c r="E1522" t="s">
        <v>8216</v>
      </c>
      <c r="F1522" t="s">
        <v>34</v>
      </c>
      <c r="G1522" t="s">
        <v>29270</v>
      </c>
      <c r="H1522">
        <v>21.58</v>
      </c>
      <c r="I1522">
        <v>0</v>
      </c>
      <c r="J1522">
        <v>0</v>
      </c>
      <c r="K1522">
        <v>0</v>
      </c>
      <c r="M1522">
        <v>5</v>
      </c>
      <c r="O1522">
        <v>5</v>
      </c>
      <c r="P1522">
        <v>4</v>
      </c>
      <c r="Q1522">
        <v>0</v>
      </c>
      <c r="R1522">
        <v>30.58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H1522">
        <v>30.58</v>
      </c>
    </row>
    <row r="1523" spans="1:34" x14ac:dyDescent="0.3">
      <c r="A1523" s="4">
        <v>1708</v>
      </c>
      <c r="B1523" s="5">
        <v>1516</v>
      </c>
      <c r="C1523">
        <v>7643</v>
      </c>
      <c r="D1523" t="s">
        <v>29271</v>
      </c>
      <c r="E1523" t="s">
        <v>24297</v>
      </c>
      <c r="F1523" t="s">
        <v>29272</v>
      </c>
      <c r="G1523" t="s">
        <v>29273</v>
      </c>
      <c r="H1523">
        <v>16.579999999999998</v>
      </c>
      <c r="I1523">
        <v>0</v>
      </c>
      <c r="J1523">
        <v>0</v>
      </c>
      <c r="K1523">
        <v>0</v>
      </c>
      <c r="N1523">
        <v>3</v>
      </c>
      <c r="O1523">
        <v>3</v>
      </c>
      <c r="P1523">
        <v>4</v>
      </c>
      <c r="Q1523">
        <v>2</v>
      </c>
      <c r="R1523">
        <v>25.58</v>
      </c>
      <c r="S1523">
        <v>5</v>
      </c>
      <c r="T1523">
        <v>5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5</v>
      </c>
      <c r="AB1523">
        <v>0</v>
      </c>
      <c r="AC1523">
        <v>0</v>
      </c>
      <c r="AD1523" t="s">
        <v>130</v>
      </c>
      <c r="AH1523">
        <v>30.58</v>
      </c>
    </row>
    <row r="1524" spans="1:34" x14ac:dyDescent="0.3">
      <c r="A1524" s="4">
        <v>1709</v>
      </c>
      <c r="B1524" s="5">
        <v>1517</v>
      </c>
      <c r="C1524">
        <v>13065</v>
      </c>
      <c r="D1524" t="s">
        <v>212</v>
      </c>
      <c r="E1524" t="s">
        <v>41</v>
      </c>
      <c r="F1524" t="s">
        <v>5851</v>
      </c>
      <c r="G1524" t="s">
        <v>29274</v>
      </c>
      <c r="H1524">
        <v>17.53</v>
      </c>
      <c r="I1524">
        <v>0</v>
      </c>
      <c r="J1524">
        <v>0</v>
      </c>
      <c r="K1524">
        <v>0</v>
      </c>
      <c r="N1524">
        <v>3</v>
      </c>
      <c r="O1524">
        <v>3</v>
      </c>
      <c r="P1524">
        <v>4</v>
      </c>
      <c r="Q1524">
        <v>0</v>
      </c>
      <c r="R1524">
        <v>24.53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6</v>
      </c>
      <c r="AC1524">
        <v>0</v>
      </c>
      <c r="AH1524">
        <v>30.53</v>
      </c>
    </row>
    <row r="1525" spans="1:34" x14ac:dyDescent="0.3">
      <c r="A1525" s="4">
        <v>1710</v>
      </c>
      <c r="B1525" s="5">
        <v>1518</v>
      </c>
      <c r="C1525">
        <v>8199</v>
      </c>
      <c r="D1525" t="s">
        <v>29275</v>
      </c>
      <c r="E1525" t="s">
        <v>41</v>
      </c>
      <c r="F1525" t="s">
        <v>343</v>
      </c>
      <c r="G1525" t="s">
        <v>29276</v>
      </c>
      <c r="H1525">
        <v>18.53</v>
      </c>
      <c r="I1525">
        <v>0</v>
      </c>
      <c r="J1525">
        <v>0</v>
      </c>
      <c r="K1525">
        <v>0</v>
      </c>
      <c r="N1525">
        <v>3</v>
      </c>
      <c r="O1525">
        <v>3</v>
      </c>
      <c r="P1525">
        <v>4</v>
      </c>
      <c r="Q1525">
        <v>2</v>
      </c>
      <c r="R1525">
        <v>27.53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3</v>
      </c>
      <c r="AC1525">
        <v>0</v>
      </c>
      <c r="AH1525">
        <v>30.53</v>
      </c>
    </row>
    <row r="1526" spans="1:34" x14ac:dyDescent="0.3">
      <c r="A1526" s="4">
        <v>1711</v>
      </c>
      <c r="B1526" s="5">
        <v>1519</v>
      </c>
      <c r="C1526">
        <v>7618</v>
      </c>
      <c r="D1526" t="s">
        <v>29277</v>
      </c>
      <c r="E1526" t="s">
        <v>792</v>
      </c>
      <c r="F1526" t="s">
        <v>62</v>
      </c>
      <c r="G1526" t="s">
        <v>29278</v>
      </c>
      <c r="H1526">
        <v>19.53</v>
      </c>
      <c r="I1526">
        <v>0</v>
      </c>
      <c r="J1526">
        <v>0</v>
      </c>
      <c r="K1526">
        <v>0</v>
      </c>
      <c r="L1526">
        <v>7</v>
      </c>
      <c r="O1526">
        <v>7</v>
      </c>
      <c r="P1526">
        <v>4</v>
      </c>
      <c r="Q1526">
        <v>0</v>
      </c>
      <c r="R1526">
        <v>30.53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H1526">
        <v>30.53</v>
      </c>
    </row>
    <row r="1527" spans="1:34" x14ac:dyDescent="0.3">
      <c r="A1527" s="4">
        <v>1712</v>
      </c>
      <c r="B1527" s="5">
        <v>1520</v>
      </c>
      <c r="C1527">
        <v>6858</v>
      </c>
      <c r="D1527" t="s">
        <v>8712</v>
      </c>
      <c r="E1527" t="s">
        <v>158</v>
      </c>
      <c r="F1527" t="s">
        <v>652</v>
      </c>
      <c r="G1527" t="s">
        <v>29279</v>
      </c>
      <c r="H1527">
        <v>19.5</v>
      </c>
      <c r="I1527">
        <v>0</v>
      </c>
      <c r="J1527">
        <v>0</v>
      </c>
      <c r="K1527">
        <v>0</v>
      </c>
      <c r="L1527">
        <v>7</v>
      </c>
      <c r="O1527">
        <v>7</v>
      </c>
      <c r="P1527">
        <v>4</v>
      </c>
      <c r="Q1527">
        <v>0</v>
      </c>
      <c r="R1527">
        <v>30.5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H1527">
        <v>30.5</v>
      </c>
    </row>
    <row r="1528" spans="1:34" x14ac:dyDescent="0.3">
      <c r="A1528" s="4">
        <v>1713</v>
      </c>
      <c r="B1528" s="5">
        <v>1521</v>
      </c>
      <c r="C1528">
        <v>1881</v>
      </c>
      <c r="D1528" t="s">
        <v>2405</v>
      </c>
      <c r="E1528" t="s">
        <v>110</v>
      </c>
      <c r="F1528" t="s">
        <v>136</v>
      </c>
      <c r="G1528" t="s">
        <v>29280</v>
      </c>
      <c r="H1528">
        <v>20.48</v>
      </c>
      <c r="I1528">
        <v>0</v>
      </c>
      <c r="J1528">
        <v>0</v>
      </c>
      <c r="K1528">
        <v>0</v>
      </c>
      <c r="N1528">
        <v>3</v>
      </c>
      <c r="O1528">
        <v>3</v>
      </c>
      <c r="P1528">
        <v>4</v>
      </c>
      <c r="Q1528">
        <v>0</v>
      </c>
      <c r="R1528">
        <v>27.48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3</v>
      </c>
      <c r="AC1528">
        <v>0</v>
      </c>
      <c r="AH1528">
        <v>30.48</v>
      </c>
    </row>
    <row r="1529" spans="1:34" x14ac:dyDescent="0.3">
      <c r="A1529" s="4">
        <v>1714</v>
      </c>
      <c r="B1529" s="5">
        <v>1522</v>
      </c>
      <c r="C1529">
        <v>15684</v>
      </c>
      <c r="D1529" t="s">
        <v>29281</v>
      </c>
      <c r="E1529" t="s">
        <v>29</v>
      </c>
      <c r="F1529" t="s">
        <v>2237</v>
      </c>
      <c r="G1529" t="s">
        <v>29282</v>
      </c>
      <c r="H1529">
        <v>19.48</v>
      </c>
      <c r="I1529">
        <v>0</v>
      </c>
      <c r="J1529">
        <v>0</v>
      </c>
      <c r="K1529">
        <v>0</v>
      </c>
      <c r="L1529">
        <v>7</v>
      </c>
      <c r="O1529">
        <v>7</v>
      </c>
      <c r="P1529">
        <v>4</v>
      </c>
      <c r="Q1529">
        <v>0</v>
      </c>
      <c r="R1529">
        <v>30.48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H1529">
        <v>30.48</v>
      </c>
    </row>
    <row r="1530" spans="1:34" x14ac:dyDescent="0.3">
      <c r="A1530" s="4">
        <v>1715</v>
      </c>
      <c r="B1530" s="5">
        <v>1523</v>
      </c>
      <c r="C1530">
        <v>10648</v>
      </c>
      <c r="D1530" t="s">
        <v>29283</v>
      </c>
      <c r="E1530" t="s">
        <v>697</v>
      </c>
      <c r="F1530" t="s">
        <v>17</v>
      </c>
      <c r="G1530" t="s">
        <v>29284</v>
      </c>
      <c r="H1530">
        <v>17.45</v>
      </c>
      <c r="I1530">
        <v>0</v>
      </c>
      <c r="J1530">
        <v>0</v>
      </c>
      <c r="K1530">
        <v>0</v>
      </c>
      <c r="L1530">
        <v>7</v>
      </c>
      <c r="O1530">
        <v>7</v>
      </c>
      <c r="P1530">
        <v>4</v>
      </c>
      <c r="Q1530">
        <v>2</v>
      </c>
      <c r="R1530">
        <v>30.45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 t="s">
        <v>130</v>
      </c>
      <c r="AH1530">
        <v>30.45</v>
      </c>
    </row>
    <row r="1531" spans="1:34" x14ac:dyDescent="0.3">
      <c r="A1531" s="4">
        <v>1716</v>
      </c>
      <c r="B1531" s="5">
        <v>1524</v>
      </c>
      <c r="C1531">
        <v>860</v>
      </c>
      <c r="D1531" t="s">
        <v>29285</v>
      </c>
      <c r="E1531" t="s">
        <v>29286</v>
      </c>
      <c r="F1531" t="s">
        <v>30</v>
      </c>
      <c r="G1531" t="s">
        <v>29287</v>
      </c>
      <c r="H1531">
        <v>19.43</v>
      </c>
      <c r="I1531">
        <v>0</v>
      </c>
      <c r="J1531">
        <v>0</v>
      </c>
      <c r="K1531">
        <v>0</v>
      </c>
      <c r="L1531">
        <v>7</v>
      </c>
      <c r="O1531">
        <v>7</v>
      </c>
      <c r="P1531">
        <v>4</v>
      </c>
      <c r="Q1531">
        <v>0</v>
      </c>
      <c r="R1531">
        <v>30.43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H1531">
        <v>30.43</v>
      </c>
    </row>
    <row r="1532" spans="1:34" x14ac:dyDescent="0.3">
      <c r="A1532" s="4">
        <v>1717</v>
      </c>
      <c r="B1532" s="5">
        <v>1525</v>
      </c>
      <c r="C1532">
        <v>10148</v>
      </c>
      <c r="D1532" t="s">
        <v>6336</v>
      </c>
      <c r="E1532" t="s">
        <v>825</v>
      </c>
      <c r="F1532" t="s">
        <v>909</v>
      </c>
      <c r="G1532" t="s">
        <v>29288</v>
      </c>
      <c r="H1532">
        <v>19.43</v>
      </c>
      <c r="I1532">
        <v>0</v>
      </c>
      <c r="J1532">
        <v>0</v>
      </c>
      <c r="K1532">
        <v>0</v>
      </c>
      <c r="L1532">
        <v>7</v>
      </c>
      <c r="O1532">
        <v>7</v>
      </c>
      <c r="P1532">
        <v>4</v>
      </c>
      <c r="Q1532">
        <v>0</v>
      </c>
      <c r="R1532">
        <v>30.43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H1532">
        <v>30.43</v>
      </c>
    </row>
    <row r="1533" spans="1:34" x14ac:dyDescent="0.3">
      <c r="A1533" s="4">
        <v>1718</v>
      </c>
      <c r="B1533" s="5">
        <v>1526</v>
      </c>
      <c r="C1533">
        <v>8899</v>
      </c>
      <c r="D1533" t="s">
        <v>29289</v>
      </c>
      <c r="E1533" t="s">
        <v>29</v>
      </c>
      <c r="F1533" t="s">
        <v>158</v>
      </c>
      <c r="G1533" t="s">
        <v>29290</v>
      </c>
      <c r="H1533">
        <v>17.399999999999999</v>
      </c>
      <c r="I1533">
        <v>0</v>
      </c>
      <c r="J1533">
        <v>0</v>
      </c>
      <c r="K1533">
        <v>0</v>
      </c>
      <c r="L1533">
        <v>7</v>
      </c>
      <c r="O1533">
        <v>7</v>
      </c>
      <c r="P1533">
        <v>4</v>
      </c>
      <c r="Q1533">
        <v>2</v>
      </c>
      <c r="R1533">
        <v>30.4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H1533">
        <v>30.4</v>
      </c>
    </row>
    <row r="1534" spans="1:34" x14ac:dyDescent="0.3">
      <c r="A1534" s="4">
        <v>1719</v>
      </c>
      <c r="B1534" s="5">
        <v>1527</v>
      </c>
      <c r="C1534">
        <v>6793</v>
      </c>
      <c r="D1534" t="s">
        <v>11512</v>
      </c>
      <c r="E1534" t="s">
        <v>3793</v>
      </c>
      <c r="F1534" t="s">
        <v>343</v>
      </c>
      <c r="G1534" t="s">
        <v>29291</v>
      </c>
      <c r="H1534">
        <v>18.38</v>
      </c>
      <c r="I1534">
        <v>0</v>
      </c>
      <c r="J1534">
        <v>0</v>
      </c>
      <c r="K1534">
        <v>0</v>
      </c>
      <c r="N1534">
        <v>3</v>
      </c>
      <c r="O1534">
        <v>3</v>
      </c>
      <c r="P1534">
        <v>4</v>
      </c>
      <c r="Q1534">
        <v>2</v>
      </c>
      <c r="R1534">
        <v>27.38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3</v>
      </c>
      <c r="AC1534">
        <v>0</v>
      </c>
      <c r="AH1534">
        <v>30.38</v>
      </c>
    </row>
    <row r="1535" spans="1:34" x14ac:dyDescent="0.3">
      <c r="A1535" s="4">
        <v>1720</v>
      </c>
      <c r="B1535" s="5">
        <v>1528</v>
      </c>
      <c r="C1535">
        <v>10533</v>
      </c>
      <c r="D1535" t="s">
        <v>20345</v>
      </c>
      <c r="E1535" t="s">
        <v>54</v>
      </c>
      <c r="F1535" t="s">
        <v>81</v>
      </c>
      <c r="G1535" t="s">
        <v>29292</v>
      </c>
      <c r="H1535">
        <v>17.38</v>
      </c>
      <c r="I1535">
        <v>0</v>
      </c>
      <c r="J1535">
        <v>0</v>
      </c>
      <c r="K1535">
        <v>0</v>
      </c>
      <c r="L1535">
        <v>7</v>
      </c>
      <c r="O1535">
        <v>7</v>
      </c>
      <c r="P1535">
        <v>4</v>
      </c>
      <c r="Q1535">
        <v>2</v>
      </c>
      <c r="R1535">
        <v>30.38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H1535">
        <v>30.38</v>
      </c>
    </row>
    <row r="1536" spans="1:34" x14ac:dyDescent="0.3">
      <c r="A1536" s="4">
        <v>1721</v>
      </c>
      <c r="B1536" s="5">
        <v>1529</v>
      </c>
      <c r="C1536">
        <v>13538</v>
      </c>
      <c r="D1536" t="s">
        <v>3340</v>
      </c>
      <c r="E1536" t="s">
        <v>178</v>
      </c>
      <c r="F1536" t="s">
        <v>23</v>
      </c>
      <c r="G1536" t="s">
        <v>29293</v>
      </c>
      <c r="H1536">
        <v>17.3</v>
      </c>
      <c r="I1536">
        <v>0</v>
      </c>
      <c r="J1536">
        <v>0</v>
      </c>
      <c r="K1536">
        <v>0</v>
      </c>
      <c r="O1536">
        <v>0</v>
      </c>
      <c r="P1536">
        <v>4</v>
      </c>
      <c r="Q1536">
        <v>0</v>
      </c>
      <c r="R1536">
        <v>21.3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9</v>
      </c>
      <c r="AC1536">
        <v>0</v>
      </c>
      <c r="AH1536">
        <v>30.3</v>
      </c>
    </row>
    <row r="1537" spans="1:34" x14ac:dyDescent="0.3">
      <c r="A1537" s="4">
        <v>1722</v>
      </c>
      <c r="B1537" s="5">
        <v>1530</v>
      </c>
      <c r="C1537">
        <v>6588</v>
      </c>
      <c r="D1537" t="s">
        <v>22847</v>
      </c>
      <c r="E1537" t="s">
        <v>33</v>
      </c>
      <c r="F1537" t="s">
        <v>91</v>
      </c>
      <c r="G1537" t="s">
        <v>29294</v>
      </c>
      <c r="H1537">
        <v>17.3</v>
      </c>
      <c r="I1537">
        <v>0</v>
      </c>
      <c r="J1537">
        <v>0</v>
      </c>
      <c r="K1537">
        <v>0</v>
      </c>
      <c r="L1537">
        <v>7</v>
      </c>
      <c r="O1537">
        <v>7</v>
      </c>
      <c r="P1537">
        <v>4</v>
      </c>
      <c r="Q1537">
        <v>2</v>
      </c>
      <c r="R1537">
        <v>30.3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H1537">
        <v>30.3</v>
      </c>
    </row>
    <row r="1538" spans="1:34" x14ac:dyDescent="0.3">
      <c r="A1538" s="4">
        <v>1723</v>
      </c>
      <c r="B1538" s="5">
        <v>1531</v>
      </c>
      <c r="C1538">
        <v>7129</v>
      </c>
      <c r="D1538" t="s">
        <v>8440</v>
      </c>
      <c r="E1538" t="s">
        <v>789</v>
      </c>
      <c r="F1538" t="s">
        <v>1265</v>
      </c>
      <c r="G1538" t="s">
        <v>29295</v>
      </c>
      <c r="H1538">
        <v>18.28</v>
      </c>
      <c r="I1538">
        <v>0</v>
      </c>
      <c r="J1538">
        <v>0</v>
      </c>
      <c r="K1538">
        <v>0</v>
      </c>
      <c r="N1538">
        <v>3</v>
      </c>
      <c r="O1538">
        <v>3</v>
      </c>
      <c r="P1538">
        <v>4</v>
      </c>
      <c r="Q1538">
        <v>2</v>
      </c>
      <c r="R1538">
        <v>27.28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3</v>
      </c>
      <c r="AC1538">
        <v>0</v>
      </c>
      <c r="AH1538">
        <v>30.28</v>
      </c>
    </row>
    <row r="1539" spans="1:34" x14ac:dyDescent="0.3">
      <c r="A1539" s="4">
        <v>1724</v>
      </c>
      <c r="B1539" s="5">
        <v>1532</v>
      </c>
      <c r="C1539">
        <v>15022</v>
      </c>
      <c r="D1539" t="s">
        <v>15675</v>
      </c>
      <c r="E1539" t="s">
        <v>355</v>
      </c>
      <c r="F1539" t="s">
        <v>38</v>
      </c>
      <c r="G1539" t="s">
        <v>29296</v>
      </c>
      <c r="H1539">
        <v>16.28</v>
      </c>
      <c r="I1539">
        <v>0</v>
      </c>
      <c r="J1539">
        <v>0</v>
      </c>
      <c r="K1539">
        <v>0</v>
      </c>
      <c r="N1539">
        <v>3</v>
      </c>
      <c r="O1539">
        <v>3</v>
      </c>
      <c r="P1539">
        <v>4</v>
      </c>
      <c r="Q1539">
        <v>2</v>
      </c>
      <c r="R1539">
        <v>25.28</v>
      </c>
      <c r="S1539">
        <v>5</v>
      </c>
      <c r="T1539">
        <v>5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5</v>
      </c>
      <c r="AB1539">
        <v>0</v>
      </c>
      <c r="AC1539">
        <v>0</v>
      </c>
      <c r="AH1539">
        <v>30.28</v>
      </c>
    </row>
    <row r="1540" spans="1:34" x14ac:dyDescent="0.3">
      <c r="A1540" s="4">
        <v>1725</v>
      </c>
      <c r="B1540" s="5">
        <v>1533</v>
      </c>
      <c r="C1540">
        <v>5664</v>
      </c>
      <c r="D1540" t="s">
        <v>565</v>
      </c>
      <c r="E1540" t="s">
        <v>213</v>
      </c>
      <c r="F1540" t="s">
        <v>91</v>
      </c>
      <c r="G1540" t="s">
        <v>29297</v>
      </c>
      <c r="H1540">
        <v>17.25</v>
      </c>
      <c r="I1540">
        <v>0</v>
      </c>
      <c r="J1540">
        <v>0</v>
      </c>
      <c r="K1540">
        <v>0</v>
      </c>
      <c r="N1540">
        <v>3</v>
      </c>
      <c r="O1540">
        <v>3</v>
      </c>
      <c r="P1540">
        <v>4</v>
      </c>
      <c r="Q1540">
        <v>0</v>
      </c>
      <c r="R1540">
        <v>24.25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6</v>
      </c>
      <c r="AC1540">
        <v>0</v>
      </c>
      <c r="AH1540">
        <v>30.25</v>
      </c>
    </row>
    <row r="1541" spans="1:34" x14ac:dyDescent="0.3">
      <c r="A1541" s="4">
        <v>1726</v>
      </c>
      <c r="B1541" s="5">
        <v>1534</v>
      </c>
      <c r="C1541">
        <v>12277</v>
      </c>
      <c r="D1541" t="s">
        <v>26351</v>
      </c>
      <c r="E1541" t="s">
        <v>22</v>
      </c>
      <c r="F1541" t="s">
        <v>17</v>
      </c>
      <c r="G1541" t="s">
        <v>29298</v>
      </c>
      <c r="H1541">
        <v>17.25</v>
      </c>
      <c r="I1541">
        <v>0</v>
      </c>
      <c r="J1541">
        <v>0</v>
      </c>
      <c r="K1541">
        <v>0</v>
      </c>
      <c r="N1541">
        <v>3</v>
      </c>
      <c r="O1541">
        <v>3</v>
      </c>
      <c r="P1541">
        <v>4</v>
      </c>
      <c r="Q1541">
        <v>0</v>
      </c>
      <c r="R1541">
        <v>24.25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6</v>
      </c>
      <c r="AC1541">
        <v>0</v>
      </c>
      <c r="AH1541">
        <v>30.25</v>
      </c>
    </row>
    <row r="1542" spans="1:34" x14ac:dyDescent="0.3">
      <c r="A1542" s="4">
        <v>1727</v>
      </c>
      <c r="B1542" s="5">
        <v>1535</v>
      </c>
      <c r="C1542">
        <v>1357</v>
      </c>
      <c r="D1542" t="s">
        <v>29299</v>
      </c>
      <c r="E1542" t="s">
        <v>255</v>
      </c>
      <c r="F1542" t="s">
        <v>17</v>
      </c>
      <c r="G1542" t="s">
        <v>29300</v>
      </c>
      <c r="H1542">
        <v>17.25</v>
      </c>
      <c r="I1542">
        <v>0</v>
      </c>
      <c r="J1542">
        <v>0</v>
      </c>
      <c r="K1542">
        <v>0</v>
      </c>
      <c r="N1542">
        <v>3</v>
      </c>
      <c r="O1542">
        <v>3</v>
      </c>
      <c r="P1542">
        <v>4</v>
      </c>
      <c r="Q1542">
        <v>0</v>
      </c>
      <c r="R1542">
        <v>24.25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6</v>
      </c>
      <c r="AC1542">
        <v>0</v>
      </c>
      <c r="AH1542">
        <v>30.25</v>
      </c>
    </row>
    <row r="1543" spans="1:34" x14ac:dyDescent="0.3">
      <c r="A1543" s="4">
        <v>1728</v>
      </c>
      <c r="B1543" s="5">
        <v>1536</v>
      </c>
      <c r="C1543">
        <v>8566</v>
      </c>
      <c r="D1543" t="s">
        <v>29301</v>
      </c>
      <c r="E1543" t="s">
        <v>29</v>
      </c>
      <c r="F1543" t="s">
        <v>136</v>
      </c>
      <c r="G1543" t="s">
        <v>29302</v>
      </c>
      <c r="H1543">
        <v>17.23</v>
      </c>
      <c r="I1543">
        <v>0</v>
      </c>
      <c r="J1543">
        <v>0</v>
      </c>
      <c r="K1543">
        <v>0</v>
      </c>
      <c r="L1543">
        <v>7</v>
      </c>
      <c r="O1543">
        <v>7</v>
      </c>
      <c r="P1543">
        <v>4</v>
      </c>
      <c r="Q1543">
        <v>2</v>
      </c>
      <c r="R1543">
        <v>30.23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H1543">
        <v>30.23</v>
      </c>
    </row>
    <row r="1544" spans="1:34" x14ac:dyDescent="0.3">
      <c r="A1544" s="4">
        <v>1729</v>
      </c>
      <c r="B1544" s="5">
        <v>1537</v>
      </c>
      <c r="C1544">
        <v>10895</v>
      </c>
      <c r="D1544" t="s">
        <v>11650</v>
      </c>
      <c r="E1544" t="s">
        <v>594</v>
      </c>
      <c r="F1544" t="s">
        <v>124</v>
      </c>
      <c r="G1544" t="s">
        <v>29303</v>
      </c>
      <c r="H1544">
        <v>17.2</v>
      </c>
      <c r="I1544">
        <v>0</v>
      </c>
      <c r="J1544">
        <v>0</v>
      </c>
      <c r="K1544">
        <v>0</v>
      </c>
      <c r="N1544">
        <v>3</v>
      </c>
      <c r="O1544">
        <v>3</v>
      </c>
      <c r="P1544">
        <v>4</v>
      </c>
      <c r="Q1544">
        <v>0</v>
      </c>
      <c r="R1544">
        <v>24.2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6</v>
      </c>
      <c r="AC1544">
        <v>0</v>
      </c>
      <c r="AD1544" t="s">
        <v>130</v>
      </c>
      <c r="AH1544">
        <v>30.2</v>
      </c>
    </row>
    <row r="1545" spans="1:34" x14ac:dyDescent="0.3">
      <c r="A1545" s="4">
        <v>1730</v>
      </c>
      <c r="B1545" s="5">
        <v>1538</v>
      </c>
      <c r="C1545">
        <v>14305</v>
      </c>
      <c r="D1545" t="s">
        <v>29304</v>
      </c>
      <c r="E1545" t="s">
        <v>88</v>
      </c>
      <c r="F1545" t="s">
        <v>136</v>
      </c>
      <c r="G1545" t="s">
        <v>29305</v>
      </c>
      <c r="H1545">
        <v>17.2</v>
      </c>
      <c r="I1545">
        <v>0</v>
      </c>
      <c r="J1545">
        <v>0</v>
      </c>
      <c r="K1545">
        <v>0</v>
      </c>
      <c r="L1545">
        <v>7</v>
      </c>
      <c r="O1545">
        <v>7</v>
      </c>
      <c r="P1545">
        <v>4</v>
      </c>
      <c r="Q1545">
        <v>2</v>
      </c>
      <c r="R1545">
        <v>30.2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 t="s">
        <v>130</v>
      </c>
      <c r="AH1545">
        <v>30.2</v>
      </c>
    </row>
    <row r="1546" spans="1:34" x14ac:dyDescent="0.3">
      <c r="A1546" s="4">
        <v>1731</v>
      </c>
      <c r="B1546" s="5">
        <v>1539</v>
      </c>
      <c r="C1546">
        <v>12694</v>
      </c>
      <c r="D1546" t="s">
        <v>20911</v>
      </c>
      <c r="E1546" t="s">
        <v>273</v>
      </c>
      <c r="F1546" t="s">
        <v>1806</v>
      </c>
      <c r="G1546" t="s">
        <v>29306</v>
      </c>
      <c r="H1546">
        <v>17.2</v>
      </c>
      <c r="I1546">
        <v>0</v>
      </c>
      <c r="J1546">
        <v>0</v>
      </c>
      <c r="K1546">
        <v>0</v>
      </c>
      <c r="L1546">
        <v>7</v>
      </c>
      <c r="O1546">
        <v>7</v>
      </c>
      <c r="P1546">
        <v>4</v>
      </c>
      <c r="Q1546">
        <v>2</v>
      </c>
      <c r="R1546">
        <v>30.2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H1546">
        <v>30.2</v>
      </c>
    </row>
    <row r="1547" spans="1:34" x14ac:dyDescent="0.3">
      <c r="A1547" s="4">
        <v>1732</v>
      </c>
      <c r="B1547" s="5">
        <v>1540</v>
      </c>
      <c r="C1547">
        <v>5607</v>
      </c>
      <c r="D1547" t="s">
        <v>29307</v>
      </c>
      <c r="E1547" t="s">
        <v>29308</v>
      </c>
      <c r="F1547" t="s">
        <v>1854</v>
      </c>
      <c r="G1547" t="s">
        <v>29309</v>
      </c>
      <c r="H1547">
        <v>19.149999999999999</v>
      </c>
      <c r="I1547">
        <v>0</v>
      </c>
      <c r="J1547">
        <v>0</v>
      </c>
      <c r="K1547">
        <v>0</v>
      </c>
      <c r="L1547">
        <v>7</v>
      </c>
      <c r="O1547">
        <v>7</v>
      </c>
      <c r="P1547">
        <v>4</v>
      </c>
      <c r="Q1547">
        <v>0</v>
      </c>
      <c r="R1547">
        <v>30.15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H1547">
        <v>30.15</v>
      </c>
    </row>
    <row r="1548" spans="1:34" x14ac:dyDescent="0.3">
      <c r="A1548" s="4">
        <v>1733</v>
      </c>
      <c r="B1548" s="5">
        <v>1541</v>
      </c>
      <c r="C1548">
        <v>3873</v>
      </c>
      <c r="D1548" t="s">
        <v>29310</v>
      </c>
      <c r="E1548" t="s">
        <v>41</v>
      </c>
      <c r="F1548" t="s">
        <v>20595</v>
      </c>
      <c r="G1548" t="s">
        <v>29311</v>
      </c>
      <c r="H1548">
        <v>17.13</v>
      </c>
      <c r="I1548">
        <v>0</v>
      </c>
      <c r="J1548">
        <v>0</v>
      </c>
      <c r="K1548">
        <v>0</v>
      </c>
      <c r="L1548">
        <v>7</v>
      </c>
      <c r="O1548">
        <v>7</v>
      </c>
      <c r="P1548">
        <v>4</v>
      </c>
      <c r="Q1548">
        <v>2</v>
      </c>
      <c r="R1548">
        <v>30.13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H1548">
        <v>30.13</v>
      </c>
    </row>
    <row r="1549" spans="1:34" x14ac:dyDescent="0.3">
      <c r="A1549" s="4">
        <v>1734</v>
      </c>
      <c r="B1549" s="5">
        <v>1542</v>
      </c>
      <c r="C1549">
        <v>14114</v>
      </c>
      <c r="D1549" t="s">
        <v>3799</v>
      </c>
      <c r="E1549" t="s">
        <v>178</v>
      </c>
      <c r="F1549" t="s">
        <v>38</v>
      </c>
      <c r="G1549" t="s">
        <v>29312</v>
      </c>
      <c r="H1549">
        <v>19.100000000000001</v>
      </c>
      <c r="I1549">
        <v>0</v>
      </c>
      <c r="J1549">
        <v>0</v>
      </c>
      <c r="K1549">
        <v>0</v>
      </c>
      <c r="L1549">
        <v>7</v>
      </c>
      <c r="O1549">
        <v>7</v>
      </c>
      <c r="P1549">
        <v>4</v>
      </c>
      <c r="Q1549">
        <v>0</v>
      </c>
      <c r="R1549">
        <v>30.1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H1549">
        <v>30.1</v>
      </c>
    </row>
    <row r="1550" spans="1:34" x14ac:dyDescent="0.3">
      <c r="A1550" s="4">
        <v>1735</v>
      </c>
      <c r="B1550" s="5">
        <v>1543</v>
      </c>
      <c r="C1550">
        <v>13808</v>
      </c>
      <c r="D1550" t="s">
        <v>29313</v>
      </c>
      <c r="E1550" t="s">
        <v>26</v>
      </c>
      <c r="F1550" t="s">
        <v>62</v>
      </c>
      <c r="G1550" t="s">
        <v>29314</v>
      </c>
      <c r="H1550">
        <v>17.079999999999998</v>
      </c>
      <c r="I1550">
        <v>0</v>
      </c>
      <c r="J1550">
        <v>0</v>
      </c>
      <c r="K1550">
        <v>0</v>
      </c>
      <c r="L1550">
        <v>7</v>
      </c>
      <c r="O1550">
        <v>7</v>
      </c>
      <c r="P1550">
        <v>4</v>
      </c>
      <c r="Q1550">
        <v>2</v>
      </c>
      <c r="R1550">
        <v>30.08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E1550" t="s">
        <v>130</v>
      </c>
      <c r="AH1550">
        <v>30.08</v>
      </c>
    </row>
    <row r="1551" spans="1:34" x14ac:dyDescent="0.3">
      <c r="A1551" s="4">
        <v>1736</v>
      </c>
      <c r="B1551" s="5">
        <v>1544</v>
      </c>
      <c r="C1551">
        <v>1118</v>
      </c>
      <c r="D1551" t="s">
        <v>28439</v>
      </c>
      <c r="E1551" t="s">
        <v>17</v>
      </c>
      <c r="F1551" t="s">
        <v>38</v>
      </c>
      <c r="G1551" t="s">
        <v>29315</v>
      </c>
      <c r="H1551">
        <v>17.079999999999998</v>
      </c>
      <c r="I1551">
        <v>0</v>
      </c>
      <c r="J1551">
        <v>0</v>
      </c>
      <c r="K1551">
        <v>0</v>
      </c>
      <c r="L1551">
        <v>7</v>
      </c>
      <c r="O1551">
        <v>7</v>
      </c>
      <c r="P1551">
        <v>4</v>
      </c>
      <c r="Q1551">
        <v>2</v>
      </c>
      <c r="R1551">
        <v>30.08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H1551">
        <v>30.08</v>
      </c>
    </row>
    <row r="1552" spans="1:34" x14ac:dyDescent="0.3">
      <c r="A1552" s="4">
        <v>1737</v>
      </c>
      <c r="B1552" s="5">
        <v>1545</v>
      </c>
      <c r="C1552">
        <v>12354</v>
      </c>
      <c r="D1552" t="s">
        <v>27029</v>
      </c>
      <c r="E1552" t="s">
        <v>29</v>
      </c>
      <c r="F1552" t="s">
        <v>81</v>
      </c>
      <c r="G1552" t="s">
        <v>29316</v>
      </c>
      <c r="H1552">
        <v>16.05</v>
      </c>
      <c r="I1552">
        <v>0</v>
      </c>
      <c r="J1552">
        <v>0</v>
      </c>
      <c r="K1552">
        <v>0</v>
      </c>
      <c r="L1552">
        <v>7</v>
      </c>
      <c r="O1552">
        <v>7</v>
      </c>
      <c r="P1552">
        <v>4</v>
      </c>
      <c r="Q1552">
        <v>0</v>
      </c>
      <c r="R1552">
        <v>27.05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3</v>
      </c>
      <c r="AC1552">
        <v>0</v>
      </c>
      <c r="AH1552">
        <v>30.05</v>
      </c>
    </row>
    <row r="1553" spans="1:34" x14ac:dyDescent="0.3">
      <c r="A1553" s="4">
        <v>1738</v>
      </c>
      <c r="B1553" s="5">
        <v>1546</v>
      </c>
      <c r="C1553">
        <v>14694</v>
      </c>
      <c r="D1553" t="s">
        <v>29317</v>
      </c>
      <c r="E1553" t="s">
        <v>1652</v>
      </c>
      <c r="F1553" t="s">
        <v>17</v>
      </c>
      <c r="G1553" t="s">
        <v>29318</v>
      </c>
      <c r="H1553">
        <v>21.03</v>
      </c>
      <c r="I1553">
        <v>0</v>
      </c>
      <c r="J1553">
        <v>0</v>
      </c>
      <c r="K1553">
        <v>0</v>
      </c>
      <c r="N1553">
        <v>3</v>
      </c>
      <c r="O1553">
        <v>3</v>
      </c>
      <c r="P1553">
        <v>4</v>
      </c>
      <c r="Q1553">
        <v>2</v>
      </c>
      <c r="R1553">
        <v>30.03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H1553">
        <v>30.03</v>
      </c>
    </row>
    <row r="1554" spans="1:34" x14ac:dyDescent="0.3">
      <c r="A1554" s="4">
        <v>1739</v>
      </c>
      <c r="B1554" s="5">
        <v>1547</v>
      </c>
      <c r="C1554">
        <v>11819</v>
      </c>
      <c r="D1554" t="s">
        <v>20606</v>
      </c>
      <c r="E1554" t="s">
        <v>167</v>
      </c>
      <c r="F1554" t="s">
        <v>14</v>
      </c>
      <c r="G1554" t="s">
        <v>29319</v>
      </c>
      <c r="H1554">
        <v>17</v>
      </c>
      <c r="I1554">
        <v>0</v>
      </c>
      <c r="J1554">
        <v>0</v>
      </c>
      <c r="K1554">
        <v>0</v>
      </c>
      <c r="N1554">
        <v>3</v>
      </c>
      <c r="O1554">
        <v>3</v>
      </c>
      <c r="P1554">
        <v>4</v>
      </c>
      <c r="Q1554">
        <v>0</v>
      </c>
      <c r="R1554">
        <v>24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6</v>
      </c>
      <c r="AC1554">
        <v>0</v>
      </c>
      <c r="AH1554">
        <v>30</v>
      </c>
    </row>
    <row r="1555" spans="1:34" x14ac:dyDescent="0.3">
      <c r="A1555" s="4">
        <v>1740</v>
      </c>
      <c r="B1555" s="5">
        <v>1548</v>
      </c>
      <c r="C1555">
        <v>8269</v>
      </c>
      <c r="D1555" t="s">
        <v>24786</v>
      </c>
      <c r="E1555" t="s">
        <v>6315</v>
      </c>
      <c r="F1555" t="s">
        <v>38</v>
      </c>
      <c r="G1555" t="s">
        <v>29320</v>
      </c>
      <c r="H1555">
        <v>19</v>
      </c>
      <c r="I1555">
        <v>0</v>
      </c>
      <c r="J1555">
        <v>0</v>
      </c>
      <c r="K1555">
        <v>0</v>
      </c>
      <c r="L1555">
        <v>7</v>
      </c>
      <c r="O1555">
        <v>7</v>
      </c>
      <c r="P1555">
        <v>4</v>
      </c>
      <c r="Q1555">
        <v>0</v>
      </c>
      <c r="R1555">
        <v>30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H1555">
        <v>30</v>
      </c>
    </row>
    <row r="1556" spans="1:34" x14ac:dyDescent="0.3">
      <c r="A1556" s="4">
        <v>1741</v>
      </c>
      <c r="B1556" s="5">
        <v>1549</v>
      </c>
      <c r="C1556">
        <v>11389</v>
      </c>
      <c r="D1556" t="s">
        <v>3831</v>
      </c>
      <c r="E1556" t="s">
        <v>2234</v>
      </c>
      <c r="F1556" t="s">
        <v>310</v>
      </c>
      <c r="G1556" t="s">
        <v>29321</v>
      </c>
      <c r="H1556">
        <v>19</v>
      </c>
      <c r="I1556">
        <v>0</v>
      </c>
      <c r="J1556">
        <v>0</v>
      </c>
      <c r="K1556">
        <v>0</v>
      </c>
      <c r="L1556">
        <v>7</v>
      </c>
      <c r="O1556">
        <v>7</v>
      </c>
      <c r="P1556">
        <v>4</v>
      </c>
      <c r="Q1556">
        <v>0</v>
      </c>
      <c r="R1556">
        <v>30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H1556">
        <v>30</v>
      </c>
    </row>
    <row r="1557" spans="1:34" x14ac:dyDescent="0.3">
      <c r="A1557" s="4">
        <v>1742</v>
      </c>
      <c r="B1557" s="5">
        <v>1550</v>
      </c>
      <c r="C1557">
        <v>1752</v>
      </c>
      <c r="D1557" t="s">
        <v>29322</v>
      </c>
      <c r="E1557" t="s">
        <v>439</v>
      </c>
      <c r="F1557" t="s">
        <v>117</v>
      </c>
      <c r="G1557" t="s">
        <v>29323</v>
      </c>
      <c r="H1557">
        <v>17</v>
      </c>
      <c r="I1557">
        <v>0</v>
      </c>
      <c r="J1557">
        <v>0</v>
      </c>
      <c r="K1557">
        <v>0</v>
      </c>
      <c r="L1557">
        <v>7</v>
      </c>
      <c r="O1557">
        <v>7</v>
      </c>
      <c r="P1557">
        <v>4</v>
      </c>
      <c r="Q1557">
        <v>2</v>
      </c>
      <c r="R1557">
        <v>30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H1557">
        <v>30</v>
      </c>
    </row>
    <row r="1558" spans="1:34" x14ac:dyDescent="0.3">
      <c r="A1558" s="4">
        <v>1743</v>
      </c>
      <c r="B1558" s="5">
        <v>1551</v>
      </c>
      <c r="C1558">
        <v>4579</v>
      </c>
      <c r="D1558" t="s">
        <v>29324</v>
      </c>
      <c r="E1558" t="s">
        <v>170</v>
      </c>
      <c r="F1558" t="s">
        <v>2333</v>
      </c>
      <c r="G1558" t="s">
        <v>29325</v>
      </c>
      <c r="H1558">
        <v>17</v>
      </c>
      <c r="I1558">
        <v>0</v>
      </c>
      <c r="J1558">
        <v>0</v>
      </c>
      <c r="K1558">
        <v>0</v>
      </c>
      <c r="L1558">
        <v>7</v>
      </c>
      <c r="O1558">
        <v>7</v>
      </c>
      <c r="P1558">
        <v>4</v>
      </c>
      <c r="Q1558">
        <v>2</v>
      </c>
      <c r="R1558">
        <v>30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H1558">
        <v>30</v>
      </c>
    </row>
    <row r="1559" spans="1:34" x14ac:dyDescent="0.3">
      <c r="A1559" s="4">
        <v>1744</v>
      </c>
      <c r="B1559" s="5">
        <v>1552</v>
      </c>
      <c r="C1559">
        <v>10416</v>
      </c>
      <c r="D1559" t="s">
        <v>29326</v>
      </c>
      <c r="E1559" t="s">
        <v>143</v>
      </c>
      <c r="F1559" t="s">
        <v>20</v>
      </c>
      <c r="G1559" t="s">
        <v>29327</v>
      </c>
      <c r="H1559">
        <v>16.98</v>
      </c>
      <c r="I1559">
        <v>0</v>
      </c>
      <c r="J1559">
        <v>0</v>
      </c>
      <c r="K1559">
        <v>0</v>
      </c>
      <c r="N1559">
        <v>3</v>
      </c>
      <c r="O1559">
        <v>3</v>
      </c>
      <c r="P1559">
        <v>4</v>
      </c>
      <c r="Q1559">
        <v>0</v>
      </c>
      <c r="R1559">
        <v>23.98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6</v>
      </c>
      <c r="AC1559">
        <v>0</v>
      </c>
      <c r="AH1559">
        <v>29.98</v>
      </c>
    </row>
    <row r="1560" spans="1:34" x14ac:dyDescent="0.3">
      <c r="A1560" s="4">
        <v>1745</v>
      </c>
      <c r="B1560" s="5">
        <v>1553</v>
      </c>
      <c r="C1560">
        <v>5732</v>
      </c>
      <c r="D1560" t="s">
        <v>29328</v>
      </c>
      <c r="E1560" t="s">
        <v>1694</v>
      </c>
      <c r="F1560" t="s">
        <v>124</v>
      </c>
      <c r="G1560" t="s">
        <v>29329</v>
      </c>
      <c r="H1560">
        <v>20.98</v>
      </c>
      <c r="I1560">
        <v>0</v>
      </c>
      <c r="J1560">
        <v>0</v>
      </c>
      <c r="K1560">
        <v>0</v>
      </c>
      <c r="N1560">
        <v>3</v>
      </c>
      <c r="O1560">
        <v>3</v>
      </c>
      <c r="P1560">
        <v>4</v>
      </c>
      <c r="Q1560">
        <v>2</v>
      </c>
      <c r="R1560">
        <v>29.98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 t="s">
        <v>130</v>
      </c>
      <c r="AH1560">
        <v>29.98</v>
      </c>
    </row>
    <row r="1561" spans="1:34" x14ac:dyDescent="0.3">
      <c r="A1561" s="4">
        <v>1746</v>
      </c>
      <c r="B1561" s="5">
        <v>1554</v>
      </c>
      <c r="C1561">
        <v>11989</v>
      </c>
      <c r="D1561" t="s">
        <v>28836</v>
      </c>
      <c r="E1561" t="s">
        <v>258</v>
      </c>
      <c r="F1561" t="s">
        <v>20</v>
      </c>
      <c r="G1561" t="s">
        <v>29330</v>
      </c>
      <c r="H1561">
        <v>16.93</v>
      </c>
      <c r="I1561">
        <v>0</v>
      </c>
      <c r="J1561">
        <v>0</v>
      </c>
      <c r="K1561">
        <v>0</v>
      </c>
      <c r="N1561">
        <v>3</v>
      </c>
      <c r="O1561">
        <v>3</v>
      </c>
      <c r="P1561">
        <v>4</v>
      </c>
      <c r="Q1561">
        <v>0</v>
      </c>
      <c r="R1561">
        <v>23.93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6</v>
      </c>
      <c r="AC1561">
        <v>0</v>
      </c>
      <c r="AH1561">
        <v>29.93</v>
      </c>
    </row>
    <row r="1562" spans="1:34" x14ac:dyDescent="0.3">
      <c r="A1562" s="4">
        <v>1747</v>
      </c>
      <c r="B1562" s="5">
        <v>1555</v>
      </c>
      <c r="C1562">
        <v>11237</v>
      </c>
      <c r="D1562" t="s">
        <v>29331</v>
      </c>
      <c r="E1562" t="s">
        <v>54</v>
      </c>
      <c r="F1562" t="s">
        <v>81</v>
      </c>
      <c r="G1562" t="s">
        <v>29332</v>
      </c>
      <c r="H1562">
        <v>17.93</v>
      </c>
      <c r="I1562">
        <v>0</v>
      </c>
      <c r="J1562">
        <v>0</v>
      </c>
      <c r="K1562">
        <v>0</v>
      </c>
      <c r="N1562">
        <v>3</v>
      </c>
      <c r="O1562">
        <v>3</v>
      </c>
      <c r="P1562">
        <v>4</v>
      </c>
      <c r="Q1562">
        <v>2</v>
      </c>
      <c r="R1562">
        <v>26.93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3</v>
      </c>
      <c r="AC1562">
        <v>0</v>
      </c>
      <c r="AD1562" t="s">
        <v>130</v>
      </c>
      <c r="AH1562">
        <v>29.93</v>
      </c>
    </row>
    <row r="1563" spans="1:34" x14ac:dyDescent="0.3">
      <c r="A1563" s="4">
        <v>1748</v>
      </c>
      <c r="B1563" s="5">
        <v>1556</v>
      </c>
      <c r="C1563">
        <v>12706</v>
      </c>
      <c r="D1563" t="s">
        <v>645</v>
      </c>
      <c r="E1563" t="s">
        <v>8652</v>
      </c>
      <c r="F1563" t="s">
        <v>17</v>
      </c>
      <c r="G1563" t="s">
        <v>29333</v>
      </c>
      <c r="H1563">
        <v>18.899999999999999</v>
      </c>
      <c r="I1563">
        <v>0</v>
      </c>
      <c r="J1563">
        <v>0</v>
      </c>
      <c r="K1563">
        <v>0</v>
      </c>
      <c r="L1563">
        <v>7</v>
      </c>
      <c r="O1563">
        <v>7</v>
      </c>
      <c r="P1563">
        <v>4</v>
      </c>
      <c r="Q1563">
        <v>0</v>
      </c>
      <c r="R1563">
        <v>29.9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H1563">
        <v>29.9</v>
      </c>
    </row>
    <row r="1564" spans="1:34" x14ac:dyDescent="0.3">
      <c r="A1564" s="4">
        <v>1749</v>
      </c>
      <c r="B1564" s="5">
        <v>1557</v>
      </c>
      <c r="C1564">
        <v>3775</v>
      </c>
      <c r="D1564" t="s">
        <v>60</v>
      </c>
      <c r="E1564" t="s">
        <v>29</v>
      </c>
      <c r="F1564" t="s">
        <v>52</v>
      </c>
      <c r="G1564" t="s">
        <v>29334</v>
      </c>
      <c r="H1564">
        <v>17.899999999999999</v>
      </c>
      <c r="I1564">
        <v>0</v>
      </c>
      <c r="J1564">
        <v>0</v>
      </c>
      <c r="K1564">
        <v>0</v>
      </c>
      <c r="N1564">
        <v>6</v>
      </c>
      <c r="O1564">
        <v>6</v>
      </c>
      <c r="P1564">
        <v>4</v>
      </c>
      <c r="Q1564">
        <v>2</v>
      </c>
      <c r="R1564">
        <v>29.9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 t="s">
        <v>130</v>
      </c>
      <c r="AH1564">
        <v>29.9</v>
      </c>
    </row>
    <row r="1565" spans="1:34" x14ac:dyDescent="0.3">
      <c r="A1565" s="4">
        <v>1750</v>
      </c>
      <c r="B1565" s="5">
        <v>1558</v>
      </c>
      <c r="C1565">
        <v>71</v>
      </c>
      <c r="D1565" t="s">
        <v>3764</v>
      </c>
      <c r="E1565" t="s">
        <v>19839</v>
      </c>
      <c r="F1565" t="s">
        <v>782</v>
      </c>
      <c r="G1565" t="s">
        <v>29335</v>
      </c>
      <c r="H1565">
        <v>16.899999999999999</v>
      </c>
      <c r="I1565">
        <v>0</v>
      </c>
      <c r="J1565">
        <v>0</v>
      </c>
      <c r="K1565">
        <v>0</v>
      </c>
      <c r="L1565">
        <v>7</v>
      </c>
      <c r="O1565">
        <v>7</v>
      </c>
      <c r="P1565">
        <v>4</v>
      </c>
      <c r="Q1565">
        <v>2</v>
      </c>
      <c r="R1565">
        <v>29.9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H1565">
        <v>29.9</v>
      </c>
    </row>
    <row r="1566" spans="1:34" x14ac:dyDescent="0.3">
      <c r="A1566" s="4">
        <v>1751</v>
      </c>
      <c r="B1566" s="5">
        <v>1559</v>
      </c>
      <c r="C1566">
        <v>6303</v>
      </c>
      <c r="D1566" t="s">
        <v>4679</v>
      </c>
      <c r="E1566" t="s">
        <v>520</v>
      </c>
      <c r="F1566" t="s">
        <v>136</v>
      </c>
      <c r="G1566" t="s">
        <v>29336</v>
      </c>
      <c r="H1566">
        <v>19.850000000000001</v>
      </c>
      <c r="I1566">
        <v>0</v>
      </c>
      <c r="J1566">
        <v>0</v>
      </c>
      <c r="K1566">
        <v>0</v>
      </c>
      <c r="L1566">
        <v>7</v>
      </c>
      <c r="N1566">
        <v>3</v>
      </c>
      <c r="O1566">
        <v>10</v>
      </c>
      <c r="P1566">
        <v>0</v>
      </c>
      <c r="Q1566">
        <v>0</v>
      </c>
      <c r="R1566">
        <v>29.85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H1566">
        <v>29.85</v>
      </c>
    </row>
    <row r="1567" spans="1:34" x14ac:dyDescent="0.3">
      <c r="A1567" s="4">
        <v>1752</v>
      </c>
      <c r="B1567" s="5">
        <v>1560</v>
      </c>
      <c r="C1567">
        <v>2172</v>
      </c>
      <c r="D1567" t="s">
        <v>2121</v>
      </c>
      <c r="E1567" t="s">
        <v>88</v>
      </c>
      <c r="F1567" t="s">
        <v>375</v>
      </c>
      <c r="G1567" t="s">
        <v>29337</v>
      </c>
      <c r="H1567">
        <v>20.83</v>
      </c>
      <c r="I1567">
        <v>0</v>
      </c>
      <c r="J1567">
        <v>0</v>
      </c>
      <c r="K1567">
        <v>0</v>
      </c>
      <c r="N1567">
        <v>3</v>
      </c>
      <c r="O1567">
        <v>3</v>
      </c>
      <c r="P1567">
        <v>4</v>
      </c>
      <c r="Q1567">
        <v>2</v>
      </c>
      <c r="R1567">
        <v>29.83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H1567">
        <v>29.83</v>
      </c>
    </row>
    <row r="1568" spans="1:34" x14ac:dyDescent="0.3">
      <c r="A1568" s="4">
        <v>1753</v>
      </c>
      <c r="B1568" s="5">
        <v>1561</v>
      </c>
      <c r="C1568">
        <v>12201</v>
      </c>
      <c r="D1568" t="s">
        <v>4349</v>
      </c>
      <c r="E1568" t="s">
        <v>29</v>
      </c>
      <c r="F1568" t="s">
        <v>34</v>
      </c>
      <c r="G1568" t="s">
        <v>29338</v>
      </c>
      <c r="H1568">
        <v>17.8</v>
      </c>
      <c r="I1568">
        <v>0</v>
      </c>
      <c r="J1568">
        <v>0</v>
      </c>
      <c r="K1568">
        <v>0</v>
      </c>
      <c r="N1568">
        <v>3</v>
      </c>
      <c r="O1568">
        <v>3</v>
      </c>
      <c r="P1568">
        <v>4</v>
      </c>
      <c r="Q1568">
        <v>2</v>
      </c>
      <c r="R1568">
        <v>26.8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3</v>
      </c>
      <c r="AC1568">
        <v>0</v>
      </c>
      <c r="AH1568">
        <v>29.8</v>
      </c>
    </row>
    <row r="1569" spans="1:34" x14ac:dyDescent="0.3">
      <c r="A1569" s="4">
        <v>1754</v>
      </c>
      <c r="B1569" s="5">
        <v>1562</v>
      </c>
      <c r="C1569">
        <v>10181</v>
      </c>
      <c r="D1569" t="s">
        <v>29339</v>
      </c>
      <c r="E1569" t="s">
        <v>6507</v>
      </c>
      <c r="F1569" t="s">
        <v>1000</v>
      </c>
      <c r="G1569" t="s">
        <v>29340</v>
      </c>
      <c r="H1569">
        <v>18.8</v>
      </c>
      <c r="I1569">
        <v>0</v>
      </c>
      <c r="J1569">
        <v>0</v>
      </c>
      <c r="K1569">
        <v>0</v>
      </c>
      <c r="L1569">
        <v>7</v>
      </c>
      <c r="O1569">
        <v>7</v>
      </c>
      <c r="P1569">
        <v>4</v>
      </c>
      <c r="Q1569">
        <v>0</v>
      </c>
      <c r="R1569">
        <v>29.8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H1569">
        <v>29.8</v>
      </c>
    </row>
    <row r="1570" spans="1:34" x14ac:dyDescent="0.3">
      <c r="A1570" s="4">
        <v>1755</v>
      </c>
      <c r="B1570" s="5">
        <v>1563</v>
      </c>
      <c r="C1570">
        <v>8042</v>
      </c>
      <c r="D1570" t="s">
        <v>7274</v>
      </c>
      <c r="E1570" t="s">
        <v>957</v>
      </c>
      <c r="F1570" t="s">
        <v>4620</v>
      </c>
      <c r="G1570" t="s">
        <v>29341</v>
      </c>
      <c r="H1570">
        <v>18.8</v>
      </c>
      <c r="I1570">
        <v>0</v>
      </c>
      <c r="J1570">
        <v>0</v>
      </c>
      <c r="K1570">
        <v>0</v>
      </c>
      <c r="L1570">
        <v>7</v>
      </c>
      <c r="O1570">
        <v>7</v>
      </c>
      <c r="P1570">
        <v>4</v>
      </c>
      <c r="Q1570">
        <v>0</v>
      </c>
      <c r="R1570">
        <v>29.8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H1570">
        <v>29.8</v>
      </c>
    </row>
    <row r="1571" spans="1:34" x14ac:dyDescent="0.3">
      <c r="A1571" s="4">
        <v>1756</v>
      </c>
      <c r="B1571" s="5">
        <v>1564</v>
      </c>
      <c r="C1571">
        <v>14578</v>
      </c>
      <c r="D1571" t="s">
        <v>5985</v>
      </c>
      <c r="E1571" t="s">
        <v>213</v>
      </c>
      <c r="F1571" t="s">
        <v>30</v>
      </c>
      <c r="G1571" t="s">
        <v>29342</v>
      </c>
      <c r="H1571">
        <v>19.78</v>
      </c>
      <c r="I1571">
        <v>0</v>
      </c>
      <c r="J1571">
        <v>0</v>
      </c>
      <c r="K1571">
        <v>0</v>
      </c>
      <c r="O1571">
        <v>0</v>
      </c>
      <c r="P1571">
        <v>4</v>
      </c>
      <c r="Q1571">
        <v>0</v>
      </c>
      <c r="R1571">
        <v>23.78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6</v>
      </c>
      <c r="AC1571">
        <v>0</v>
      </c>
      <c r="AH1571">
        <v>29.78</v>
      </c>
    </row>
    <row r="1572" spans="1:34" x14ac:dyDescent="0.3">
      <c r="A1572" s="4">
        <v>1757</v>
      </c>
      <c r="B1572" s="5">
        <v>1565</v>
      </c>
      <c r="C1572">
        <v>11366</v>
      </c>
      <c r="D1572" t="s">
        <v>29343</v>
      </c>
      <c r="E1572" t="s">
        <v>132</v>
      </c>
      <c r="F1572" t="s">
        <v>158</v>
      </c>
      <c r="G1572" t="s">
        <v>29344</v>
      </c>
      <c r="H1572">
        <v>18.78</v>
      </c>
      <c r="I1572">
        <v>0</v>
      </c>
      <c r="J1572">
        <v>0</v>
      </c>
      <c r="K1572">
        <v>0</v>
      </c>
      <c r="L1572">
        <v>7</v>
      </c>
      <c r="O1572">
        <v>7</v>
      </c>
      <c r="P1572">
        <v>4</v>
      </c>
      <c r="Q1572">
        <v>0</v>
      </c>
      <c r="R1572">
        <v>29.78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H1572">
        <v>29.78</v>
      </c>
    </row>
    <row r="1573" spans="1:34" x14ac:dyDescent="0.3">
      <c r="A1573" s="4">
        <v>1758</v>
      </c>
      <c r="B1573" s="5">
        <v>1566</v>
      </c>
      <c r="C1573">
        <v>12228</v>
      </c>
      <c r="D1573" t="s">
        <v>29345</v>
      </c>
      <c r="E1573" t="s">
        <v>132</v>
      </c>
      <c r="F1573" t="s">
        <v>68</v>
      </c>
      <c r="G1573" t="s">
        <v>29346</v>
      </c>
      <c r="H1573">
        <v>16.75</v>
      </c>
      <c r="I1573">
        <v>0</v>
      </c>
      <c r="J1573">
        <v>0</v>
      </c>
      <c r="K1573">
        <v>0</v>
      </c>
      <c r="N1573">
        <v>3</v>
      </c>
      <c r="O1573">
        <v>3</v>
      </c>
      <c r="P1573">
        <v>4</v>
      </c>
      <c r="Q1573">
        <v>0</v>
      </c>
      <c r="R1573">
        <v>23.75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6</v>
      </c>
      <c r="AC1573">
        <v>0</v>
      </c>
      <c r="AH1573">
        <v>29.75</v>
      </c>
    </row>
    <row r="1574" spans="1:34" x14ac:dyDescent="0.3">
      <c r="A1574" s="4">
        <v>1759</v>
      </c>
      <c r="B1574" s="5">
        <v>1567</v>
      </c>
      <c r="C1574">
        <v>14526</v>
      </c>
      <c r="D1574" t="s">
        <v>26392</v>
      </c>
      <c r="E1574" t="s">
        <v>283</v>
      </c>
      <c r="F1574" t="s">
        <v>79</v>
      </c>
      <c r="G1574" t="s">
        <v>29347</v>
      </c>
      <c r="H1574">
        <v>18.75</v>
      </c>
      <c r="I1574">
        <v>0</v>
      </c>
      <c r="J1574">
        <v>0</v>
      </c>
      <c r="K1574">
        <v>0</v>
      </c>
      <c r="L1574">
        <v>7</v>
      </c>
      <c r="O1574">
        <v>7</v>
      </c>
      <c r="P1574">
        <v>4</v>
      </c>
      <c r="Q1574">
        <v>0</v>
      </c>
      <c r="R1574">
        <v>29.75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H1574">
        <v>29.75</v>
      </c>
    </row>
    <row r="1575" spans="1:34" x14ac:dyDescent="0.3">
      <c r="A1575" s="4">
        <v>1760</v>
      </c>
      <c r="B1575" s="5">
        <v>1568</v>
      </c>
      <c r="C1575">
        <v>13471</v>
      </c>
      <c r="D1575" t="s">
        <v>3534</v>
      </c>
      <c r="E1575" t="s">
        <v>166</v>
      </c>
      <c r="F1575" t="s">
        <v>29348</v>
      </c>
      <c r="G1575" t="s">
        <v>29349</v>
      </c>
      <c r="H1575">
        <v>18.75</v>
      </c>
      <c r="I1575">
        <v>0</v>
      </c>
      <c r="J1575">
        <v>0</v>
      </c>
      <c r="K1575">
        <v>0</v>
      </c>
      <c r="L1575">
        <v>7</v>
      </c>
      <c r="O1575">
        <v>7</v>
      </c>
      <c r="P1575">
        <v>4</v>
      </c>
      <c r="Q1575">
        <v>0</v>
      </c>
      <c r="R1575">
        <v>29.75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H1575">
        <v>29.75</v>
      </c>
    </row>
    <row r="1576" spans="1:34" x14ac:dyDescent="0.3">
      <c r="A1576" s="4">
        <v>1761</v>
      </c>
      <c r="B1576" s="5">
        <v>1569</v>
      </c>
      <c r="C1576">
        <v>11476</v>
      </c>
      <c r="D1576" t="s">
        <v>29350</v>
      </c>
      <c r="E1576" t="s">
        <v>54</v>
      </c>
      <c r="F1576" t="s">
        <v>81</v>
      </c>
      <c r="G1576" t="s">
        <v>29351</v>
      </c>
      <c r="H1576">
        <v>17.73</v>
      </c>
      <c r="I1576">
        <v>0</v>
      </c>
      <c r="J1576">
        <v>0</v>
      </c>
      <c r="K1576">
        <v>0</v>
      </c>
      <c r="O1576">
        <v>0</v>
      </c>
      <c r="P1576">
        <v>4</v>
      </c>
      <c r="Q1576">
        <v>0</v>
      </c>
      <c r="R1576">
        <v>21.73</v>
      </c>
      <c r="S1576">
        <v>8</v>
      </c>
      <c r="T1576">
        <v>8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8</v>
      </c>
      <c r="AB1576">
        <v>0</v>
      </c>
      <c r="AC1576">
        <v>0</v>
      </c>
      <c r="AH1576">
        <v>29.73</v>
      </c>
    </row>
    <row r="1577" spans="1:34" x14ac:dyDescent="0.3">
      <c r="A1577" s="4">
        <v>1762</v>
      </c>
      <c r="B1577" s="5">
        <v>1570</v>
      </c>
      <c r="C1577">
        <v>2587</v>
      </c>
      <c r="D1577" t="s">
        <v>29352</v>
      </c>
      <c r="E1577" t="s">
        <v>29353</v>
      </c>
      <c r="F1577" t="s">
        <v>81</v>
      </c>
      <c r="G1577" t="s">
        <v>29354</v>
      </c>
      <c r="H1577">
        <v>18.7</v>
      </c>
      <c r="I1577">
        <v>0</v>
      </c>
      <c r="J1577">
        <v>0</v>
      </c>
      <c r="K1577">
        <v>0</v>
      </c>
      <c r="L1577">
        <v>7</v>
      </c>
      <c r="O1577">
        <v>7</v>
      </c>
      <c r="P1577">
        <v>4</v>
      </c>
      <c r="Q1577">
        <v>0</v>
      </c>
      <c r="R1577">
        <v>29.7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H1577">
        <v>29.7</v>
      </c>
    </row>
    <row r="1578" spans="1:34" x14ac:dyDescent="0.3">
      <c r="A1578" s="4">
        <v>1763</v>
      </c>
      <c r="B1578" s="5">
        <v>1571</v>
      </c>
      <c r="C1578">
        <v>221</v>
      </c>
      <c r="D1578" t="s">
        <v>27691</v>
      </c>
      <c r="E1578" t="s">
        <v>161</v>
      </c>
      <c r="F1578" t="s">
        <v>972</v>
      </c>
      <c r="G1578" t="s">
        <v>29355</v>
      </c>
      <c r="H1578">
        <v>18.7</v>
      </c>
      <c r="I1578">
        <v>0</v>
      </c>
      <c r="J1578">
        <v>0</v>
      </c>
      <c r="K1578">
        <v>0</v>
      </c>
      <c r="L1578">
        <v>7</v>
      </c>
      <c r="O1578">
        <v>7</v>
      </c>
      <c r="P1578">
        <v>4</v>
      </c>
      <c r="Q1578">
        <v>0</v>
      </c>
      <c r="R1578">
        <v>29.7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H1578">
        <v>29.7</v>
      </c>
    </row>
    <row r="1579" spans="1:34" x14ac:dyDescent="0.3">
      <c r="A1579" s="4">
        <v>1764</v>
      </c>
      <c r="B1579" s="5">
        <v>1572</v>
      </c>
      <c r="C1579">
        <v>14724</v>
      </c>
      <c r="D1579" t="s">
        <v>29356</v>
      </c>
      <c r="E1579" t="s">
        <v>1694</v>
      </c>
      <c r="F1579" t="s">
        <v>167</v>
      </c>
      <c r="G1579" t="s">
        <v>29357</v>
      </c>
      <c r="H1579">
        <v>19.68</v>
      </c>
      <c r="I1579">
        <v>0</v>
      </c>
      <c r="J1579">
        <v>0</v>
      </c>
      <c r="K1579">
        <v>0</v>
      </c>
      <c r="N1579">
        <v>3</v>
      </c>
      <c r="O1579">
        <v>3</v>
      </c>
      <c r="P1579">
        <v>4</v>
      </c>
      <c r="Q1579">
        <v>0</v>
      </c>
      <c r="R1579">
        <v>26.68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3</v>
      </c>
      <c r="AC1579">
        <v>0</v>
      </c>
      <c r="AH1579">
        <v>29.68</v>
      </c>
    </row>
    <row r="1580" spans="1:34" x14ac:dyDescent="0.3">
      <c r="A1580" s="4">
        <v>1765</v>
      </c>
      <c r="B1580" s="5">
        <v>1573</v>
      </c>
      <c r="C1580">
        <v>7301</v>
      </c>
      <c r="D1580" t="s">
        <v>29358</v>
      </c>
      <c r="E1580" t="s">
        <v>213</v>
      </c>
      <c r="F1580" t="s">
        <v>1450</v>
      </c>
      <c r="G1580" t="s">
        <v>29359</v>
      </c>
      <c r="H1580">
        <v>17.68</v>
      </c>
      <c r="I1580">
        <v>0</v>
      </c>
      <c r="J1580">
        <v>0</v>
      </c>
      <c r="K1580">
        <v>0</v>
      </c>
      <c r="N1580">
        <v>3</v>
      </c>
      <c r="O1580">
        <v>3</v>
      </c>
      <c r="P1580">
        <v>4</v>
      </c>
      <c r="Q1580">
        <v>2</v>
      </c>
      <c r="R1580">
        <v>26.68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3</v>
      </c>
      <c r="AC1580">
        <v>0</v>
      </c>
      <c r="AH1580">
        <v>29.68</v>
      </c>
    </row>
    <row r="1581" spans="1:34" x14ac:dyDescent="0.3">
      <c r="A1581" s="4">
        <v>1766</v>
      </c>
      <c r="B1581" s="5">
        <v>1574</v>
      </c>
      <c r="C1581">
        <v>6436</v>
      </c>
      <c r="D1581" t="s">
        <v>11037</v>
      </c>
      <c r="E1581" t="s">
        <v>29360</v>
      </c>
      <c r="F1581" t="s">
        <v>3236</v>
      </c>
      <c r="G1581" t="s">
        <v>29361</v>
      </c>
      <c r="H1581">
        <v>18.68</v>
      </c>
      <c r="I1581">
        <v>0</v>
      </c>
      <c r="J1581">
        <v>0</v>
      </c>
      <c r="K1581">
        <v>0</v>
      </c>
      <c r="L1581">
        <v>7</v>
      </c>
      <c r="O1581">
        <v>7</v>
      </c>
      <c r="P1581">
        <v>4</v>
      </c>
      <c r="Q1581">
        <v>0</v>
      </c>
      <c r="R1581">
        <v>29.68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H1581">
        <v>29.68</v>
      </c>
    </row>
    <row r="1582" spans="1:34" x14ac:dyDescent="0.3">
      <c r="A1582" s="4">
        <v>1767</v>
      </c>
      <c r="B1582" s="5">
        <v>1575</v>
      </c>
      <c r="C1582">
        <v>1350</v>
      </c>
      <c r="D1582" t="s">
        <v>29362</v>
      </c>
      <c r="E1582" t="s">
        <v>188</v>
      </c>
      <c r="F1582" t="s">
        <v>375</v>
      </c>
      <c r="G1582" t="s">
        <v>29363</v>
      </c>
      <c r="H1582">
        <v>18.68</v>
      </c>
      <c r="I1582">
        <v>0</v>
      </c>
      <c r="J1582">
        <v>0</v>
      </c>
      <c r="K1582">
        <v>0</v>
      </c>
      <c r="M1582">
        <v>5</v>
      </c>
      <c r="O1582">
        <v>5</v>
      </c>
      <c r="P1582">
        <v>4</v>
      </c>
      <c r="Q1582">
        <v>2</v>
      </c>
      <c r="R1582">
        <v>29.68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H1582">
        <v>29.68</v>
      </c>
    </row>
    <row r="1583" spans="1:34" x14ac:dyDescent="0.3">
      <c r="A1583" s="4">
        <v>1768</v>
      </c>
      <c r="B1583" s="5">
        <v>1576</v>
      </c>
      <c r="C1583">
        <v>14695</v>
      </c>
      <c r="D1583" t="s">
        <v>4597</v>
      </c>
      <c r="E1583" t="s">
        <v>1815</v>
      </c>
      <c r="F1583" t="s">
        <v>38</v>
      </c>
      <c r="G1583" t="s">
        <v>29364</v>
      </c>
      <c r="H1583">
        <v>19.68</v>
      </c>
      <c r="I1583">
        <v>0</v>
      </c>
      <c r="J1583">
        <v>0</v>
      </c>
      <c r="K1583">
        <v>0</v>
      </c>
      <c r="N1583">
        <v>3</v>
      </c>
      <c r="O1583">
        <v>3</v>
      </c>
      <c r="P1583">
        <v>0</v>
      </c>
      <c r="Q1583">
        <v>0</v>
      </c>
      <c r="R1583">
        <v>22.68</v>
      </c>
      <c r="S1583">
        <v>7</v>
      </c>
      <c r="T1583">
        <v>7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7</v>
      </c>
      <c r="AB1583">
        <v>0</v>
      </c>
      <c r="AC1583">
        <v>0</v>
      </c>
      <c r="AD1583" t="s">
        <v>130</v>
      </c>
      <c r="AH1583">
        <v>29.68</v>
      </c>
    </row>
    <row r="1584" spans="1:34" x14ac:dyDescent="0.3">
      <c r="A1584" s="4">
        <v>1769</v>
      </c>
      <c r="B1584" s="5">
        <v>1577</v>
      </c>
      <c r="C1584">
        <v>9677</v>
      </c>
      <c r="D1584" t="s">
        <v>29365</v>
      </c>
      <c r="E1584" t="s">
        <v>471</v>
      </c>
      <c r="F1584" t="s">
        <v>68</v>
      </c>
      <c r="G1584" t="s">
        <v>29366</v>
      </c>
      <c r="H1584">
        <v>19.649999999999999</v>
      </c>
      <c r="I1584">
        <v>0</v>
      </c>
      <c r="J1584">
        <v>0</v>
      </c>
      <c r="K1584">
        <v>0</v>
      </c>
      <c r="O1584">
        <v>0</v>
      </c>
      <c r="P1584">
        <v>4</v>
      </c>
      <c r="Q1584">
        <v>0</v>
      </c>
      <c r="R1584">
        <v>23.65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6</v>
      </c>
      <c r="AC1584">
        <v>0</v>
      </c>
      <c r="AH1584">
        <v>29.65</v>
      </c>
    </row>
    <row r="1585" spans="1:34" x14ac:dyDescent="0.3">
      <c r="A1585" s="4">
        <v>1770</v>
      </c>
      <c r="B1585" s="5">
        <v>1578</v>
      </c>
      <c r="C1585">
        <v>4804</v>
      </c>
      <c r="D1585" t="s">
        <v>29367</v>
      </c>
      <c r="E1585" t="s">
        <v>825</v>
      </c>
      <c r="F1585" t="s">
        <v>58</v>
      </c>
      <c r="G1585" t="s">
        <v>29368</v>
      </c>
      <c r="H1585">
        <v>16.649999999999999</v>
      </c>
      <c r="I1585">
        <v>0</v>
      </c>
      <c r="J1585">
        <v>0</v>
      </c>
      <c r="K1585">
        <v>0</v>
      </c>
      <c r="N1585">
        <v>3</v>
      </c>
      <c r="O1585">
        <v>3</v>
      </c>
      <c r="P1585">
        <v>4</v>
      </c>
      <c r="Q1585">
        <v>0</v>
      </c>
      <c r="R1585">
        <v>23.65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6</v>
      </c>
      <c r="AC1585">
        <v>0</v>
      </c>
      <c r="AH1585">
        <v>29.65</v>
      </c>
    </row>
    <row r="1586" spans="1:34" x14ac:dyDescent="0.3">
      <c r="A1586" s="4">
        <v>1771</v>
      </c>
      <c r="B1586" s="5">
        <v>1579</v>
      </c>
      <c r="C1586">
        <v>10661</v>
      </c>
      <c r="D1586" t="s">
        <v>29369</v>
      </c>
      <c r="E1586" t="s">
        <v>29370</v>
      </c>
      <c r="F1586" t="s">
        <v>29371</v>
      </c>
      <c r="G1586" t="s">
        <v>29372</v>
      </c>
      <c r="H1586">
        <v>18.649999999999999</v>
      </c>
      <c r="I1586">
        <v>0</v>
      </c>
      <c r="J1586">
        <v>0</v>
      </c>
      <c r="K1586">
        <v>0</v>
      </c>
      <c r="L1586">
        <v>7</v>
      </c>
      <c r="O1586">
        <v>7</v>
      </c>
      <c r="P1586">
        <v>4</v>
      </c>
      <c r="Q1586">
        <v>0</v>
      </c>
      <c r="R1586">
        <v>29.65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H1586">
        <v>29.65</v>
      </c>
    </row>
    <row r="1587" spans="1:34" x14ac:dyDescent="0.3">
      <c r="A1587" s="4">
        <v>1772</v>
      </c>
      <c r="B1587" s="5">
        <v>1580</v>
      </c>
      <c r="C1587">
        <v>6906</v>
      </c>
      <c r="D1587" t="s">
        <v>418</v>
      </c>
      <c r="E1587" t="s">
        <v>18574</v>
      </c>
      <c r="F1587" t="s">
        <v>17</v>
      </c>
      <c r="G1587" t="s">
        <v>29373</v>
      </c>
      <c r="H1587">
        <v>16.63</v>
      </c>
      <c r="I1587">
        <v>0</v>
      </c>
      <c r="J1587">
        <v>0</v>
      </c>
      <c r="K1587">
        <v>0</v>
      </c>
      <c r="N1587">
        <v>3</v>
      </c>
      <c r="O1587">
        <v>3</v>
      </c>
      <c r="P1587">
        <v>4</v>
      </c>
      <c r="Q1587">
        <v>0</v>
      </c>
      <c r="R1587">
        <v>23.63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6</v>
      </c>
      <c r="AC1587">
        <v>0</v>
      </c>
      <c r="AH1587">
        <v>29.63</v>
      </c>
    </row>
    <row r="1588" spans="1:34" x14ac:dyDescent="0.3">
      <c r="A1588" s="4">
        <v>1773</v>
      </c>
      <c r="B1588" s="5">
        <v>1581</v>
      </c>
      <c r="C1588">
        <v>1385</v>
      </c>
      <c r="D1588" t="s">
        <v>14807</v>
      </c>
      <c r="E1588" t="s">
        <v>29</v>
      </c>
      <c r="F1588" t="s">
        <v>20</v>
      </c>
      <c r="G1588" t="s">
        <v>29374</v>
      </c>
      <c r="H1588">
        <v>18.63</v>
      </c>
      <c r="I1588">
        <v>0</v>
      </c>
      <c r="J1588">
        <v>0</v>
      </c>
      <c r="K1588">
        <v>0</v>
      </c>
      <c r="L1588">
        <v>7</v>
      </c>
      <c r="O1588">
        <v>7</v>
      </c>
      <c r="P1588">
        <v>4</v>
      </c>
      <c r="Q1588">
        <v>0</v>
      </c>
      <c r="R1588">
        <v>29.63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H1588">
        <v>29.63</v>
      </c>
    </row>
    <row r="1589" spans="1:34" x14ac:dyDescent="0.3">
      <c r="A1589" s="4">
        <v>1774</v>
      </c>
      <c r="B1589" s="5">
        <v>1582</v>
      </c>
      <c r="C1589">
        <v>7091</v>
      </c>
      <c r="D1589" t="s">
        <v>10683</v>
      </c>
      <c r="E1589" t="s">
        <v>188</v>
      </c>
      <c r="F1589" t="s">
        <v>117</v>
      </c>
      <c r="G1589" t="s">
        <v>29375</v>
      </c>
      <c r="H1589">
        <v>18.63</v>
      </c>
      <c r="I1589">
        <v>0</v>
      </c>
      <c r="J1589">
        <v>0</v>
      </c>
      <c r="K1589">
        <v>0</v>
      </c>
      <c r="L1589">
        <v>7</v>
      </c>
      <c r="O1589">
        <v>7</v>
      </c>
      <c r="P1589">
        <v>4</v>
      </c>
      <c r="Q1589">
        <v>0</v>
      </c>
      <c r="R1589">
        <v>29.63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H1589">
        <v>29.63</v>
      </c>
    </row>
    <row r="1590" spans="1:34" x14ac:dyDescent="0.3">
      <c r="A1590" s="4">
        <v>1775</v>
      </c>
      <c r="B1590" s="5">
        <v>1583</v>
      </c>
      <c r="C1590">
        <v>3938</v>
      </c>
      <c r="D1590" t="s">
        <v>29376</v>
      </c>
      <c r="E1590" t="s">
        <v>29377</v>
      </c>
      <c r="F1590" t="s">
        <v>17</v>
      </c>
      <c r="G1590" t="s">
        <v>29378</v>
      </c>
      <c r="H1590">
        <v>18.600000000000001</v>
      </c>
      <c r="I1590">
        <v>0</v>
      </c>
      <c r="J1590">
        <v>0</v>
      </c>
      <c r="K1590">
        <v>0</v>
      </c>
      <c r="L1590">
        <v>7</v>
      </c>
      <c r="O1590">
        <v>7</v>
      </c>
      <c r="P1590">
        <v>4</v>
      </c>
      <c r="Q1590">
        <v>0</v>
      </c>
      <c r="R1590">
        <v>29.6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H1590">
        <v>29.6</v>
      </c>
    </row>
    <row r="1591" spans="1:34" x14ac:dyDescent="0.3">
      <c r="A1591" s="4">
        <v>1776</v>
      </c>
      <c r="B1591" s="5">
        <v>1584</v>
      </c>
      <c r="C1591">
        <v>14889</v>
      </c>
      <c r="D1591" t="s">
        <v>1287</v>
      </c>
      <c r="E1591" t="s">
        <v>342</v>
      </c>
      <c r="F1591" t="s">
        <v>626</v>
      </c>
      <c r="G1591" t="s">
        <v>29379</v>
      </c>
      <c r="H1591">
        <v>17.600000000000001</v>
      </c>
      <c r="I1591">
        <v>0</v>
      </c>
      <c r="J1591">
        <v>0</v>
      </c>
      <c r="K1591">
        <v>0</v>
      </c>
      <c r="N1591">
        <v>6</v>
      </c>
      <c r="O1591">
        <v>6</v>
      </c>
      <c r="P1591">
        <v>4</v>
      </c>
      <c r="Q1591">
        <v>2</v>
      </c>
      <c r="R1591">
        <v>29.6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H1591">
        <v>29.6</v>
      </c>
    </row>
    <row r="1592" spans="1:34" x14ac:dyDescent="0.3">
      <c r="A1592" s="4">
        <v>1777</v>
      </c>
      <c r="B1592" s="5">
        <v>1585</v>
      </c>
      <c r="C1592">
        <v>11624</v>
      </c>
      <c r="D1592" t="s">
        <v>29380</v>
      </c>
      <c r="E1592" t="s">
        <v>54</v>
      </c>
      <c r="F1592" t="s">
        <v>4873</v>
      </c>
      <c r="G1592" t="s">
        <v>29381</v>
      </c>
      <c r="H1592">
        <v>16.600000000000001</v>
      </c>
      <c r="I1592">
        <v>0</v>
      </c>
      <c r="J1592">
        <v>0</v>
      </c>
      <c r="K1592">
        <v>0</v>
      </c>
      <c r="L1592">
        <v>7</v>
      </c>
      <c r="O1592">
        <v>7</v>
      </c>
      <c r="P1592">
        <v>4</v>
      </c>
      <c r="Q1592">
        <v>2</v>
      </c>
      <c r="R1592">
        <v>29.6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H1592">
        <v>29.6</v>
      </c>
    </row>
    <row r="1593" spans="1:34" x14ac:dyDescent="0.3">
      <c r="A1593" s="4">
        <v>1778</v>
      </c>
      <c r="B1593" s="5">
        <v>1586</v>
      </c>
      <c r="C1593">
        <v>12596</v>
      </c>
      <c r="D1593" t="s">
        <v>29382</v>
      </c>
      <c r="E1593" t="s">
        <v>29383</v>
      </c>
      <c r="F1593" t="s">
        <v>38</v>
      </c>
      <c r="G1593" t="s">
        <v>29384</v>
      </c>
      <c r="H1593">
        <v>16.600000000000001</v>
      </c>
      <c r="I1593">
        <v>0</v>
      </c>
      <c r="J1593">
        <v>0</v>
      </c>
      <c r="K1593">
        <v>0</v>
      </c>
      <c r="L1593">
        <v>7</v>
      </c>
      <c r="O1593">
        <v>7</v>
      </c>
      <c r="P1593">
        <v>4</v>
      </c>
      <c r="Q1593">
        <v>2</v>
      </c>
      <c r="R1593">
        <v>29.6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H1593">
        <v>29.6</v>
      </c>
    </row>
    <row r="1594" spans="1:34" x14ac:dyDescent="0.3">
      <c r="A1594" s="4">
        <v>1779</v>
      </c>
      <c r="B1594" s="5">
        <v>1587</v>
      </c>
      <c r="C1594">
        <v>7507</v>
      </c>
      <c r="D1594" t="s">
        <v>29385</v>
      </c>
      <c r="E1594" t="s">
        <v>104</v>
      </c>
      <c r="F1594" t="s">
        <v>29386</v>
      </c>
      <c r="G1594" t="s">
        <v>29387</v>
      </c>
      <c r="H1594">
        <v>16.600000000000001</v>
      </c>
      <c r="I1594">
        <v>0</v>
      </c>
      <c r="J1594">
        <v>0</v>
      </c>
      <c r="K1594">
        <v>0</v>
      </c>
      <c r="L1594">
        <v>7</v>
      </c>
      <c r="O1594">
        <v>7</v>
      </c>
      <c r="P1594">
        <v>4</v>
      </c>
      <c r="Q1594">
        <v>2</v>
      </c>
      <c r="R1594">
        <v>29.6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H1594">
        <v>29.6</v>
      </c>
    </row>
    <row r="1595" spans="1:34" x14ac:dyDescent="0.3">
      <c r="A1595" s="4">
        <v>1780</v>
      </c>
      <c r="B1595" s="5">
        <v>1588</v>
      </c>
      <c r="C1595">
        <v>2723</v>
      </c>
      <c r="D1595" t="s">
        <v>29388</v>
      </c>
      <c r="E1595" t="s">
        <v>48</v>
      </c>
      <c r="F1595" t="s">
        <v>442</v>
      </c>
      <c r="G1595" t="s">
        <v>29389</v>
      </c>
      <c r="H1595">
        <v>15.6</v>
      </c>
      <c r="I1595">
        <v>0</v>
      </c>
      <c r="J1595">
        <v>0</v>
      </c>
      <c r="K1595">
        <v>0</v>
      </c>
      <c r="L1595">
        <v>7</v>
      </c>
      <c r="N1595">
        <v>3</v>
      </c>
      <c r="O1595">
        <v>10</v>
      </c>
      <c r="P1595">
        <v>4</v>
      </c>
      <c r="Q1595">
        <v>0</v>
      </c>
      <c r="R1595">
        <v>29.6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H1595">
        <v>29.6</v>
      </c>
    </row>
    <row r="1596" spans="1:34" x14ac:dyDescent="0.3">
      <c r="A1596" s="4">
        <v>1781</v>
      </c>
      <c r="B1596" s="5">
        <v>1589</v>
      </c>
      <c r="C1596">
        <v>6384</v>
      </c>
      <c r="D1596" t="s">
        <v>29390</v>
      </c>
      <c r="E1596" t="s">
        <v>170</v>
      </c>
      <c r="F1596" t="s">
        <v>20</v>
      </c>
      <c r="G1596" t="s">
        <v>29391</v>
      </c>
      <c r="H1596">
        <v>17.579999999999998</v>
      </c>
      <c r="I1596">
        <v>0</v>
      </c>
      <c r="J1596">
        <v>0</v>
      </c>
      <c r="K1596">
        <v>0</v>
      </c>
      <c r="N1596">
        <v>3</v>
      </c>
      <c r="O1596">
        <v>3</v>
      </c>
      <c r="P1596">
        <v>4</v>
      </c>
      <c r="Q1596">
        <v>2</v>
      </c>
      <c r="R1596">
        <v>26.58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3</v>
      </c>
      <c r="AC1596">
        <v>0</v>
      </c>
      <c r="AH1596">
        <v>29.58</v>
      </c>
    </row>
    <row r="1597" spans="1:34" x14ac:dyDescent="0.3">
      <c r="A1597" s="4">
        <v>1782</v>
      </c>
      <c r="B1597" s="5">
        <v>1590</v>
      </c>
      <c r="C1597">
        <v>10518</v>
      </c>
      <c r="D1597" t="s">
        <v>10169</v>
      </c>
      <c r="E1597" t="s">
        <v>29392</v>
      </c>
      <c r="F1597" t="s">
        <v>626</v>
      </c>
      <c r="G1597" t="s">
        <v>29393</v>
      </c>
      <c r="H1597">
        <v>18.55</v>
      </c>
      <c r="I1597">
        <v>0</v>
      </c>
      <c r="J1597">
        <v>0</v>
      </c>
      <c r="K1597">
        <v>0</v>
      </c>
      <c r="L1597">
        <v>7</v>
      </c>
      <c r="O1597">
        <v>7</v>
      </c>
      <c r="P1597">
        <v>4</v>
      </c>
      <c r="Q1597">
        <v>0</v>
      </c>
      <c r="R1597">
        <v>29.55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H1597">
        <v>29.55</v>
      </c>
    </row>
    <row r="1598" spans="1:34" x14ac:dyDescent="0.3">
      <c r="A1598" s="4">
        <v>1783</v>
      </c>
      <c r="B1598" s="5">
        <v>1591</v>
      </c>
      <c r="C1598">
        <v>15644</v>
      </c>
      <c r="D1598" t="s">
        <v>27585</v>
      </c>
      <c r="E1598" t="s">
        <v>41</v>
      </c>
      <c r="F1598" t="s">
        <v>167</v>
      </c>
      <c r="G1598" t="s">
        <v>29394</v>
      </c>
      <c r="H1598">
        <v>18.55</v>
      </c>
      <c r="I1598">
        <v>0</v>
      </c>
      <c r="J1598">
        <v>0</v>
      </c>
      <c r="K1598">
        <v>0</v>
      </c>
      <c r="L1598">
        <v>7</v>
      </c>
      <c r="O1598">
        <v>7</v>
      </c>
      <c r="P1598">
        <v>4</v>
      </c>
      <c r="Q1598">
        <v>0</v>
      </c>
      <c r="R1598">
        <v>29.55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H1598">
        <v>29.55</v>
      </c>
    </row>
    <row r="1599" spans="1:34" x14ac:dyDescent="0.3">
      <c r="A1599" s="4">
        <v>1784</v>
      </c>
      <c r="B1599" s="5">
        <v>1592</v>
      </c>
      <c r="C1599">
        <v>8866</v>
      </c>
      <c r="D1599" t="s">
        <v>29395</v>
      </c>
      <c r="E1599" t="s">
        <v>219</v>
      </c>
      <c r="F1599" t="s">
        <v>782</v>
      </c>
      <c r="G1599" t="s">
        <v>29396</v>
      </c>
      <c r="H1599">
        <v>18.53</v>
      </c>
      <c r="I1599">
        <v>0</v>
      </c>
      <c r="J1599">
        <v>0</v>
      </c>
      <c r="K1599">
        <v>0</v>
      </c>
      <c r="L1599">
        <v>7</v>
      </c>
      <c r="O1599">
        <v>7</v>
      </c>
      <c r="P1599">
        <v>4</v>
      </c>
      <c r="Q1599">
        <v>0</v>
      </c>
      <c r="R1599">
        <v>29.53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H1599">
        <v>29.53</v>
      </c>
    </row>
    <row r="1600" spans="1:34" x14ac:dyDescent="0.3">
      <c r="A1600" s="4">
        <v>1785</v>
      </c>
      <c r="B1600" s="5">
        <v>1593</v>
      </c>
      <c r="C1600">
        <v>3689</v>
      </c>
      <c r="D1600" t="s">
        <v>29397</v>
      </c>
      <c r="E1600" t="s">
        <v>41</v>
      </c>
      <c r="F1600" t="s">
        <v>17</v>
      </c>
      <c r="G1600" t="s">
        <v>29398</v>
      </c>
      <c r="H1600">
        <v>18.53</v>
      </c>
      <c r="I1600">
        <v>0</v>
      </c>
      <c r="J1600">
        <v>0</v>
      </c>
      <c r="K1600">
        <v>0</v>
      </c>
      <c r="L1600">
        <v>7</v>
      </c>
      <c r="O1600">
        <v>7</v>
      </c>
      <c r="P1600">
        <v>4</v>
      </c>
      <c r="Q1600">
        <v>0</v>
      </c>
      <c r="R1600">
        <v>29.53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H1600">
        <v>29.53</v>
      </c>
    </row>
    <row r="1601" spans="1:34" x14ac:dyDescent="0.3">
      <c r="A1601" s="4">
        <v>1786</v>
      </c>
      <c r="B1601" s="5">
        <v>1594</v>
      </c>
      <c r="C1601">
        <v>13674</v>
      </c>
      <c r="D1601" t="s">
        <v>29399</v>
      </c>
      <c r="E1601" t="s">
        <v>230</v>
      </c>
      <c r="F1601" t="s">
        <v>20</v>
      </c>
      <c r="G1601" t="s">
        <v>29400</v>
      </c>
      <c r="H1601">
        <v>18.5</v>
      </c>
      <c r="I1601">
        <v>0</v>
      </c>
      <c r="J1601">
        <v>0</v>
      </c>
      <c r="K1601">
        <v>0</v>
      </c>
      <c r="L1601">
        <v>7</v>
      </c>
      <c r="O1601">
        <v>7</v>
      </c>
      <c r="P1601">
        <v>4</v>
      </c>
      <c r="Q1601">
        <v>0</v>
      </c>
      <c r="R1601">
        <v>29.5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H1601">
        <v>29.5</v>
      </c>
    </row>
    <row r="1602" spans="1:34" x14ac:dyDescent="0.3">
      <c r="A1602" s="4">
        <v>1787</v>
      </c>
      <c r="B1602" s="5">
        <v>1595</v>
      </c>
      <c r="C1602">
        <v>6630</v>
      </c>
      <c r="D1602" t="s">
        <v>29401</v>
      </c>
      <c r="E1602" t="s">
        <v>29</v>
      </c>
      <c r="F1602" t="s">
        <v>972</v>
      </c>
      <c r="G1602" t="s">
        <v>29402</v>
      </c>
      <c r="H1602">
        <v>18.5</v>
      </c>
      <c r="I1602">
        <v>0</v>
      </c>
      <c r="J1602">
        <v>0</v>
      </c>
      <c r="K1602">
        <v>0</v>
      </c>
      <c r="L1602">
        <v>7</v>
      </c>
      <c r="O1602">
        <v>7</v>
      </c>
      <c r="P1602">
        <v>4</v>
      </c>
      <c r="Q1602">
        <v>0</v>
      </c>
      <c r="R1602">
        <v>29.5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H1602">
        <v>29.5</v>
      </c>
    </row>
    <row r="1603" spans="1:34" x14ac:dyDescent="0.3">
      <c r="A1603" s="4">
        <v>1788</v>
      </c>
      <c r="B1603" s="5">
        <v>1596</v>
      </c>
      <c r="C1603">
        <v>7265</v>
      </c>
      <c r="D1603" t="s">
        <v>4890</v>
      </c>
      <c r="E1603" t="s">
        <v>37</v>
      </c>
      <c r="F1603" t="s">
        <v>539</v>
      </c>
      <c r="G1603" t="s">
        <v>29403</v>
      </c>
      <c r="H1603">
        <v>18.5</v>
      </c>
      <c r="I1603">
        <v>0</v>
      </c>
      <c r="J1603">
        <v>0</v>
      </c>
      <c r="K1603">
        <v>0</v>
      </c>
      <c r="L1603">
        <v>7</v>
      </c>
      <c r="O1603">
        <v>7</v>
      </c>
      <c r="P1603">
        <v>4</v>
      </c>
      <c r="Q1603">
        <v>0</v>
      </c>
      <c r="R1603">
        <v>29.5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H1603">
        <v>29.5</v>
      </c>
    </row>
    <row r="1604" spans="1:34" x14ac:dyDescent="0.3">
      <c r="A1604" s="4">
        <v>1789</v>
      </c>
      <c r="B1604" s="5">
        <v>1597</v>
      </c>
      <c r="C1604">
        <v>5625</v>
      </c>
      <c r="D1604" t="s">
        <v>20112</v>
      </c>
      <c r="E1604" t="s">
        <v>789</v>
      </c>
      <c r="F1604" t="s">
        <v>17</v>
      </c>
      <c r="G1604" t="s">
        <v>29404</v>
      </c>
      <c r="H1604">
        <v>16.48</v>
      </c>
      <c r="I1604">
        <v>0</v>
      </c>
      <c r="J1604">
        <v>0</v>
      </c>
      <c r="K1604">
        <v>0</v>
      </c>
      <c r="L1604">
        <v>7</v>
      </c>
      <c r="O1604">
        <v>7</v>
      </c>
      <c r="P1604">
        <v>4</v>
      </c>
      <c r="Q1604">
        <v>2</v>
      </c>
      <c r="R1604">
        <v>29.48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H1604">
        <v>29.48</v>
      </c>
    </row>
    <row r="1605" spans="1:34" x14ac:dyDescent="0.3">
      <c r="A1605" s="4">
        <v>1790</v>
      </c>
      <c r="B1605" s="5">
        <v>1598</v>
      </c>
      <c r="C1605">
        <v>990</v>
      </c>
      <c r="D1605" t="s">
        <v>29405</v>
      </c>
      <c r="E1605" t="s">
        <v>20</v>
      </c>
      <c r="F1605" t="s">
        <v>167</v>
      </c>
      <c r="G1605" t="s">
        <v>29406</v>
      </c>
      <c r="H1605">
        <v>16.48</v>
      </c>
      <c r="I1605">
        <v>0</v>
      </c>
      <c r="J1605">
        <v>0</v>
      </c>
      <c r="K1605">
        <v>0</v>
      </c>
      <c r="N1605">
        <v>3</v>
      </c>
      <c r="O1605">
        <v>3</v>
      </c>
      <c r="P1605">
        <v>4</v>
      </c>
      <c r="Q1605">
        <v>0</v>
      </c>
      <c r="R1605">
        <v>23.48</v>
      </c>
      <c r="S1605">
        <v>6</v>
      </c>
      <c r="T1605">
        <v>6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6</v>
      </c>
      <c r="AB1605">
        <v>0</v>
      </c>
      <c r="AC1605">
        <v>0</v>
      </c>
      <c r="AH1605">
        <v>29.48</v>
      </c>
    </row>
    <row r="1606" spans="1:34" x14ac:dyDescent="0.3">
      <c r="A1606" s="4">
        <v>1791</v>
      </c>
      <c r="B1606" s="5">
        <v>1599</v>
      </c>
      <c r="C1606">
        <v>3587</v>
      </c>
      <c r="D1606" t="s">
        <v>4578</v>
      </c>
      <c r="E1606" t="s">
        <v>1053</v>
      </c>
      <c r="F1606" t="s">
        <v>29407</v>
      </c>
      <c r="G1606" t="s">
        <v>29408</v>
      </c>
      <c r="H1606">
        <v>16.45</v>
      </c>
      <c r="I1606">
        <v>0</v>
      </c>
      <c r="J1606">
        <v>0</v>
      </c>
      <c r="K1606">
        <v>0</v>
      </c>
      <c r="N1606">
        <v>3</v>
      </c>
      <c r="O1606">
        <v>3</v>
      </c>
      <c r="P1606">
        <v>4</v>
      </c>
      <c r="Q1606">
        <v>0</v>
      </c>
      <c r="R1606">
        <v>23.45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6</v>
      </c>
      <c r="AC1606">
        <v>0</v>
      </c>
      <c r="AH1606">
        <v>29.45</v>
      </c>
    </row>
    <row r="1607" spans="1:34" x14ac:dyDescent="0.3">
      <c r="A1607" s="4">
        <v>1792</v>
      </c>
      <c r="B1607" s="5">
        <v>1600</v>
      </c>
      <c r="C1607">
        <v>12733</v>
      </c>
      <c r="D1607" t="s">
        <v>29409</v>
      </c>
      <c r="E1607" t="s">
        <v>178</v>
      </c>
      <c r="F1607" t="s">
        <v>68</v>
      </c>
      <c r="G1607" t="s">
        <v>29410</v>
      </c>
      <c r="H1607">
        <v>18.45</v>
      </c>
      <c r="I1607">
        <v>0</v>
      </c>
      <c r="J1607">
        <v>0</v>
      </c>
      <c r="K1607">
        <v>0</v>
      </c>
      <c r="L1607">
        <v>7</v>
      </c>
      <c r="O1607">
        <v>7</v>
      </c>
      <c r="P1607">
        <v>4</v>
      </c>
      <c r="Q1607">
        <v>0</v>
      </c>
      <c r="R1607">
        <v>29.45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H1607">
        <v>29.45</v>
      </c>
    </row>
    <row r="1608" spans="1:34" x14ac:dyDescent="0.3">
      <c r="A1608" s="4">
        <v>1793</v>
      </c>
      <c r="B1608" s="5">
        <v>1601</v>
      </c>
      <c r="C1608">
        <v>3084</v>
      </c>
      <c r="D1608" t="s">
        <v>1310</v>
      </c>
      <c r="E1608" t="s">
        <v>22</v>
      </c>
      <c r="F1608" t="s">
        <v>81</v>
      </c>
      <c r="G1608" t="s">
        <v>29411</v>
      </c>
      <c r="H1608">
        <v>14.43</v>
      </c>
      <c r="I1608">
        <v>0</v>
      </c>
      <c r="J1608">
        <v>0</v>
      </c>
      <c r="K1608">
        <v>0</v>
      </c>
      <c r="N1608">
        <v>3</v>
      </c>
      <c r="O1608">
        <v>3</v>
      </c>
      <c r="P1608">
        <v>4</v>
      </c>
      <c r="Q1608">
        <v>2</v>
      </c>
      <c r="R1608">
        <v>23.43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6</v>
      </c>
      <c r="AC1608">
        <v>0</v>
      </c>
      <c r="AH1608">
        <v>29.43</v>
      </c>
    </row>
    <row r="1609" spans="1:34" x14ac:dyDescent="0.3">
      <c r="A1609" s="4">
        <v>1794</v>
      </c>
      <c r="B1609" s="5">
        <v>1602</v>
      </c>
      <c r="C1609">
        <v>7911</v>
      </c>
      <c r="D1609" t="s">
        <v>29412</v>
      </c>
      <c r="E1609" t="s">
        <v>29413</v>
      </c>
      <c r="F1609" t="s">
        <v>29414</v>
      </c>
      <c r="G1609" t="s">
        <v>29415</v>
      </c>
      <c r="H1609">
        <v>20.43</v>
      </c>
      <c r="I1609">
        <v>0</v>
      </c>
      <c r="J1609">
        <v>0</v>
      </c>
      <c r="K1609">
        <v>0</v>
      </c>
      <c r="N1609">
        <v>3</v>
      </c>
      <c r="O1609">
        <v>3</v>
      </c>
      <c r="P1609">
        <v>4</v>
      </c>
      <c r="Q1609">
        <v>2</v>
      </c>
      <c r="R1609">
        <v>29.43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H1609">
        <v>29.43</v>
      </c>
    </row>
    <row r="1610" spans="1:34" x14ac:dyDescent="0.3">
      <c r="A1610" s="4">
        <v>1795</v>
      </c>
      <c r="B1610" s="5">
        <v>1603</v>
      </c>
      <c r="C1610">
        <v>14002</v>
      </c>
      <c r="D1610" t="s">
        <v>18958</v>
      </c>
      <c r="E1610" t="s">
        <v>29416</v>
      </c>
      <c r="F1610" t="s">
        <v>20</v>
      </c>
      <c r="G1610" t="s">
        <v>29417</v>
      </c>
      <c r="H1610">
        <v>18.43</v>
      </c>
      <c r="I1610">
        <v>0</v>
      </c>
      <c r="J1610">
        <v>0</v>
      </c>
      <c r="K1610">
        <v>0</v>
      </c>
      <c r="L1610">
        <v>7</v>
      </c>
      <c r="O1610">
        <v>7</v>
      </c>
      <c r="P1610">
        <v>4</v>
      </c>
      <c r="Q1610">
        <v>0</v>
      </c>
      <c r="R1610">
        <v>29.43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H1610">
        <v>29.43</v>
      </c>
    </row>
    <row r="1611" spans="1:34" x14ac:dyDescent="0.3">
      <c r="A1611" s="4">
        <v>1796</v>
      </c>
      <c r="B1611" s="5">
        <v>1604</v>
      </c>
      <c r="C1611">
        <v>4081</v>
      </c>
      <c r="D1611" t="s">
        <v>3849</v>
      </c>
      <c r="E1611" t="s">
        <v>88</v>
      </c>
      <c r="F1611" t="s">
        <v>79</v>
      </c>
      <c r="G1611" t="s">
        <v>29418</v>
      </c>
      <c r="H1611">
        <v>16.43</v>
      </c>
      <c r="I1611">
        <v>0</v>
      </c>
      <c r="J1611">
        <v>0</v>
      </c>
      <c r="K1611">
        <v>0</v>
      </c>
      <c r="L1611">
        <v>7</v>
      </c>
      <c r="O1611">
        <v>7</v>
      </c>
      <c r="P1611">
        <v>4</v>
      </c>
      <c r="Q1611">
        <v>2</v>
      </c>
      <c r="R1611">
        <v>29.43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H1611">
        <v>29.43</v>
      </c>
    </row>
    <row r="1612" spans="1:34" x14ac:dyDescent="0.3">
      <c r="A1612" s="4">
        <v>1797</v>
      </c>
      <c r="B1612" s="5">
        <v>1605</v>
      </c>
      <c r="C1612">
        <v>6773</v>
      </c>
      <c r="D1612" t="s">
        <v>29419</v>
      </c>
      <c r="E1612" t="s">
        <v>406</v>
      </c>
      <c r="F1612" t="s">
        <v>158</v>
      </c>
      <c r="G1612" t="s">
        <v>29420</v>
      </c>
      <c r="H1612">
        <v>16.399999999999999</v>
      </c>
      <c r="I1612">
        <v>0</v>
      </c>
      <c r="J1612">
        <v>0</v>
      </c>
      <c r="K1612">
        <v>0</v>
      </c>
      <c r="N1612">
        <v>3</v>
      </c>
      <c r="O1612">
        <v>3</v>
      </c>
      <c r="P1612">
        <v>4</v>
      </c>
      <c r="Q1612">
        <v>0</v>
      </c>
      <c r="R1612">
        <v>23.4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6</v>
      </c>
      <c r="AC1612">
        <v>0</v>
      </c>
      <c r="AH1612">
        <v>29.4</v>
      </c>
    </row>
    <row r="1613" spans="1:34" x14ac:dyDescent="0.3">
      <c r="A1613" s="4">
        <v>1798</v>
      </c>
      <c r="B1613" s="5">
        <v>1606</v>
      </c>
      <c r="C1613">
        <v>13822</v>
      </c>
      <c r="D1613" t="s">
        <v>29421</v>
      </c>
      <c r="E1613" t="s">
        <v>29422</v>
      </c>
      <c r="F1613" t="s">
        <v>20</v>
      </c>
      <c r="G1613" t="s">
        <v>29423</v>
      </c>
      <c r="H1613">
        <v>19.399999999999999</v>
      </c>
      <c r="I1613">
        <v>0</v>
      </c>
      <c r="J1613">
        <v>0</v>
      </c>
      <c r="K1613">
        <v>0</v>
      </c>
      <c r="N1613">
        <v>3</v>
      </c>
      <c r="O1613">
        <v>3</v>
      </c>
      <c r="P1613">
        <v>4</v>
      </c>
      <c r="Q1613">
        <v>0</v>
      </c>
      <c r="R1613">
        <v>26.4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3</v>
      </c>
      <c r="AC1613">
        <v>0</v>
      </c>
      <c r="AH1613">
        <v>29.4</v>
      </c>
    </row>
    <row r="1614" spans="1:34" x14ac:dyDescent="0.3">
      <c r="A1614" s="4">
        <v>1799</v>
      </c>
      <c r="B1614" s="5">
        <v>1607</v>
      </c>
      <c r="C1614">
        <v>4737</v>
      </c>
      <c r="D1614" t="s">
        <v>3587</v>
      </c>
      <c r="E1614" t="s">
        <v>147</v>
      </c>
      <c r="F1614" t="s">
        <v>1806</v>
      </c>
      <c r="G1614" t="s">
        <v>29424</v>
      </c>
      <c r="H1614">
        <v>15.35</v>
      </c>
      <c r="I1614">
        <v>0</v>
      </c>
      <c r="J1614">
        <v>0</v>
      </c>
      <c r="K1614">
        <v>0</v>
      </c>
      <c r="M1614">
        <v>5</v>
      </c>
      <c r="O1614">
        <v>5</v>
      </c>
      <c r="P1614">
        <v>4</v>
      </c>
      <c r="Q1614">
        <v>2</v>
      </c>
      <c r="R1614">
        <v>26.35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3</v>
      </c>
      <c r="AC1614">
        <v>0</v>
      </c>
      <c r="AH1614">
        <v>29.35</v>
      </c>
    </row>
    <row r="1615" spans="1:34" x14ac:dyDescent="0.3">
      <c r="A1615" s="4">
        <v>1800</v>
      </c>
      <c r="B1615" s="5">
        <v>1608</v>
      </c>
      <c r="C1615">
        <v>9205</v>
      </c>
      <c r="D1615" t="s">
        <v>1703</v>
      </c>
      <c r="E1615" t="s">
        <v>88</v>
      </c>
      <c r="F1615" t="s">
        <v>2855</v>
      </c>
      <c r="G1615" t="s">
        <v>29425</v>
      </c>
      <c r="H1615">
        <v>20.350000000000001</v>
      </c>
      <c r="I1615">
        <v>0</v>
      </c>
      <c r="J1615">
        <v>0</v>
      </c>
      <c r="K1615">
        <v>0</v>
      </c>
      <c r="N1615">
        <v>3</v>
      </c>
      <c r="O1615">
        <v>3</v>
      </c>
      <c r="P1615">
        <v>4</v>
      </c>
      <c r="Q1615">
        <v>2</v>
      </c>
      <c r="R1615">
        <v>29.35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H1615">
        <v>29.35</v>
      </c>
    </row>
    <row r="1616" spans="1:34" x14ac:dyDescent="0.3">
      <c r="A1616" s="4">
        <v>1801</v>
      </c>
      <c r="B1616" s="5">
        <v>1609</v>
      </c>
      <c r="C1616">
        <v>5899</v>
      </c>
      <c r="D1616" t="s">
        <v>29426</v>
      </c>
      <c r="E1616" t="s">
        <v>29427</v>
      </c>
      <c r="F1616" t="s">
        <v>29428</v>
      </c>
      <c r="G1616" t="s">
        <v>29429</v>
      </c>
      <c r="H1616">
        <v>18.350000000000001</v>
      </c>
      <c r="I1616">
        <v>0</v>
      </c>
      <c r="J1616">
        <v>0</v>
      </c>
      <c r="K1616">
        <v>0</v>
      </c>
      <c r="L1616">
        <v>7</v>
      </c>
      <c r="O1616">
        <v>7</v>
      </c>
      <c r="P1616">
        <v>4</v>
      </c>
      <c r="Q1616">
        <v>0</v>
      </c>
      <c r="R1616">
        <v>29.35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H1616">
        <v>29.35</v>
      </c>
    </row>
    <row r="1617" spans="1:34" x14ac:dyDescent="0.3">
      <c r="A1617" s="4">
        <v>1802</v>
      </c>
      <c r="B1617" s="5">
        <v>1610</v>
      </c>
      <c r="C1617">
        <v>11416</v>
      </c>
      <c r="D1617" t="s">
        <v>29430</v>
      </c>
      <c r="E1617" t="s">
        <v>54</v>
      </c>
      <c r="F1617" t="s">
        <v>29431</v>
      </c>
      <c r="G1617" t="s">
        <v>29432</v>
      </c>
      <c r="H1617">
        <v>19.329999999999998</v>
      </c>
      <c r="I1617">
        <v>0</v>
      </c>
      <c r="J1617">
        <v>0</v>
      </c>
      <c r="K1617">
        <v>0</v>
      </c>
      <c r="N1617">
        <v>6</v>
      </c>
      <c r="O1617">
        <v>6</v>
      </c>
      <c r="P1617">
        <v>4</v>
      </c>
      <c r="Q1617">
        <v>0</v>
      </c>
      <c r="R1617">
        <v>29.33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H1617">
        <v>29.33</v>
      </c>
    </row>
    <row r="1618" spans="1:34" x14ac:dyDescent="0.3">
      <c r="A1618" s="4">
        <v>1803</v>
      </c>
      <c r="B1618" s="5">
        <v>1611</v>
      </c>
      <c r="C1618">
        <v>15146</v>
      </c>
      <c r="D1618" t="s">
        <v>18856</v>
      </c>
      <c r="E1618" t="s">
        <v>110</v>
      </c>
      <c r="F1618" t="s">
        <v>1806</v>
      </c>
      <c r="G1618" t="s">
        <v>29433</v>
      </c>
      <c r="H1618">
        <v>18.329999999999998</v>
      </c>
      <c r="I1618">
        <v>0</v>
      </c>
      <c r="J1618">
        <v>0</v>
      </c>
      <c r="K1618">
        <v>0</v>
      </c>
      <c r="L1618">
        <v>7</v>
      </c>
      <c r="O1618">
        <v>7</v>
      </c>
      <c r="P1618">
        <v>4</v>
      </c>
      <c r="Q1618">
        <v>0</v>
      </c>
      <c r="R1618">
        <v>29.33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H1618">
        <v>29.33</v>
      </c>
    </row>
    <row r="1619" spans="1:34" x14ac:dyDescent="0.3">
      <c r="A1619" s="4">
        <v>1804</v>
      </c>
      <c r="B1619" s="5">
        <v>1612</v>
      </c>
      <c r="C1619">
        <v>10820</v>
      </c>
      <c r="D1619" t="s">
        <v>29434</v>
      </c>
      <c r="E1619" t="s">
        <v>14</v>
      </c>
      <c r="F1619" t="s">
        <v>2638</v>
      </c>
      <c r="G1619" t="s">
        <v>29435</v>
      </c>
      <c r="H1619">
        <v>18.329999999999998</v>
      </c>
      <c r="I1619">
        <v>0</v>
      </c>
      <c r="J1619">
        <v>0</v>
      </c>
      <c r="K1619">
        <v>0</v>
      </c>
      <c r="L1619">
        <v>7</v>
      </c>
      <c r="O1619">
        <v>7</v>
      </c>
      <c r="P1619">
        <v>4</v>
      </c>
      <c r="Q1619">
        <v>0</v>
      </c>
      <c r="R1619">
        <v>29.33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H1619">
        <v>29.33</v>
      </c>
    </row>
    <row r="1620" spans="1:34" x14ac:dyDescent="0.3">
      <c r="A1620" s="4">
        <v>1805</v>
      </c>
      <c r="B1620" s="5">
        <v>1613</v>
      </c>
      <c r="C1620">
        <v>7164</v>
      </c>
      <c r="D1620" t="s">
        <v>3293</v>
      </c>
      <c r="E1620" t="s">
        <v>9317</v>
      </c>
      <c r="F1620" t="s">
        <v>190</v>
      </c>
      <c r="G1620" t="s">
        <v>29436</v>
      </c>
      <c r="H1620">
        <v>16.3</v>
      </c>
      <c r="I1620">
        <v>0</v>
      </c>
      <c r="J1620">
        <v>0</v>
      </c>
      <c r="K1620">
        <v>0</v>
      </c>
      <c r="L1620">
        <v>7</v>
      </c>
      <c r="O1620">
        <v>7</v>
      </c>
      <c r="P1620">
        <v>4</v>
      </c>
      <c r="Q1620">
        <v>2</v>
      </c>
      <c r="R1620">
        <v>29.3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H1620">
        <v>29.3</v>
      </c>
    </row>
    <row r="1621" spans="1:34" x14ac:dyDescent="0.3">
      <c r="A1621" s="4">
        <v>1806</v>
      </c>
      <c r="B1621" s="5">
        <v>1614</v>
      </c>
      <c r="C1621">
        <v>8740</v>
      </c>
      <c r="D1621" t="s">
        <v>7206</v>
      </c>
      <c r="E1621" t="s">
        <v>54</v>
      </c>
      <c r="F1621" t="s">
        <v>55</v>
      </c>
      <c r="G1621" t="s">
        <v>29437</v>
      </c>
      <c r="H1621">
        <v>16.3</v>
      </c>
      <c r="I1621">
        <v>0</v>
      </c>
      <c r="J1621">
        <v>0</v>
      </c>
      <c r="K1621">
        <v>0</v>
      </c>
      <c r="N1621">
        <v>3</v>
      </c>
      <c r="O1621">
        <v>3</v>
      </c>
      <c r="P1621">
        <v>4</v>
      </c>
      <c r="Q1621">
        <v>2</v>
      </c>
      <c r="R1621">
        <v>25.3</v>
      </c>
      <c r="S1621">
        <v>4</v>
      </c>
      <c r="T1621">
        <v>4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4</v>
      </c>
      <c r="AB1621">
        <v>0</v>
      </c>
      <c r="AC1621">
        <v>0</v>
      </c>
      <c r="AD1621" t="s">
        <v>130</v>
      </c>
      <c r="AH1621">
        <v>29.3</v>
      </c>
    </row>
    <row r="1622" spans="1:34" x14ac:dyDescent="0.3">
      <c r="A1622" s="4">
        <v>1807</v>
      </c>
      <c r="B1622" s="5">
        <v>1615</v>
      </c>
      <c r="C1622">
        <v>4217</v>
      </c>
      <c r="D1622" t="s">
        <v>27691</v>
      </c>
      <c r="E1622" t="s">
        <v>471</v>
      </c>
      <c r="F1622" t="s">
        <v>972</v>
      </c>
      <c r="G1622" t="s">
        <v>29438</v>
      </c>
      <c r="H1622">
        <v>18.28</v>
      </c>
      <c r="I1622">
        <v>0</v>
      </c>
      <c r="J1622">
        <v>0</v>
      </c>
      <c r="K1622">
        <v>0</v>
      </c>
      <c r="L1622">
        <v>7</v>
      </c>
      <c r="O1622">
        <v>7</v>
      </c>
      <c r="P1622">
        <v>4</v>
      </c>
      <c r="Q1622">
        <v>0</v>
      </c>
      <c r="R1622">
        <v>29.28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H1622">
        <v>29.28</v>
      </c>
    </row>
    <row r="1623" spans="1:34" x14ac:dyDescent="0.3">
      <c r="A1623" s="4">
        <v>1808</v>
      </c>
      <c r="B1623" s="5">
        <v>1616</v>
      </c>
      <c r="C1623">
        <v>7710</v>
      </c>
      <c r="D1623" t="s">
        <v>29439</v>
      </c>
      <c r="E1623" t="s">
        <v>100</v>
      </c>
      <c r="F1623" t="s">
        <v>652</v>
      </c>
      <c r="G1623" t="s">
        <v>29440</v>
      </c>
      <c r="H1623">
        <v>16.28</v>
      </c>
      <c r="I1623">
        <v>0</v>
      </c>
      <c r="J1623">
        <v>0</v>
      </c>
      <c r="K1623">
        <v>0</v>
      </c>
      <c r="L1623">
        <v>7</v>
      </c>
      <c r="O1623">
        <v>7</v>
      </c>
      <c r="P1623">
        <v>4</v>
      </c>
      <c r="Q1623">
        <v>2</v>
      </c>
      <c r="R1623">
        <v>29.28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 t="s">
        <v>130</v>
      </c>
      <c r="AH1623">
        <v>29.28</v>
      </c>
    </row>
    <row r="1624" spans="1:34" x14ac:dyDescent="0.3">
      <c r="A1624" s="4">
        <v>1809</v>
      </c>
      <c r="B1624" s="5">
        <v>1617</v>
      </c>
      <c r="C1624">
        <v>8663</v>
      </c>
      <c r="D1624" t="s">
        <v>29441</v>
      </c>
      <c r="E1624" t="s">
        <v>29</v>
      </c>
      <c r="F1624" t="s">
        <v>136</v>
      </c>
      <c r="G1624" t="s">
        <v>29442</v>
      </c>
      <c r="H1624">
        <v>17.25</v>
      </c>
      <c r="I1624">
        <v>0</v>
      </c>
      <c r="J1624">
        <v>0</v>
      </c>
      <c r="K1624">
        <v>0</v>
      </c>
      <c r="N1624">
        <v>3</v>
      </c>
      <c r="O1624">
        <v>3</v>
      </c>
      <c r="P1624">
        <v>4</v>
      </c>
      <c r="Q1624">
        <v>2</v>
      </c>
      <c r="R1624">
        <v>26.25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3</v>
      </c>
      <c r="AC1624">
        <v>0</v>
      </c>
      <c r="AH1624">
        <v>29.25</v>
      </c>
    </row>
    <row r="1625" spans="1:34" x14ac:dyDescent="0.3">
      <c r="A1625" s="4">
        <v>1810</v>
      </c>
      <c r="B1625" s="5">
        <v>1618</v>
      </c>
      <c r="C1625">
        <v>1363</v>
      </c>
      <c r="D1625" t="s">
        <v>29443</v>
      </c>
      <c r="E1625" t="s">
        <v>19</v>
      </c>
      <c r="F1625" t="s">
        <v>38</v>
      </c>
      <c r="G1625" t="s">
        <v>29444</v>
      </c>
      <c r="H1625">
        <v>20.25</v>
      </c>
      <c r="I1625">
        <v>0</v>
      </c>
      <c r="J1625">
        <v>0</v>
      </c>
      <c r="K1625">
        <v>0</v>
      </c>
      <c r="M1625">
        <v>5</v>
      </c>
      <c r="O1625">
        <v>5</v>
      </c>
      <c r="P1625">
        <v>4</v>
      </c>
      <c r="Q1625">
        <v>0</v>
      </c>
      <c r="R1625">
        <v>29.25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H1625">
        <v>29.25</v>
      </c>
    </row>
    <row r="1626" spans="1:34" x14ac:dyDescent="0.3">
      <c r="A1626" s="4">
        <v>1811</v>
      </c>
      <c r="B1626" s="5">
        <v>1619</v>
      </c>
      <c r="C1626">
        <v>8286</v>
      </c>
      <c r="D1626" t="s">
        <v>24083</v>
      </c>
      <c r="E1626" t="s">
        <v>406</v>
      </c>
      <c r="F1626" t="s">
        <v>91</v>
      </c>
      <c r="G1626" t="s">
        <v>29445</v>
      </c>
      <c r="H1626">
        <v>20.23</v>
      </c>
      <c r="I1626">
        <v>0</v>
      </c>
      <c r="J1626">
        <v>0</v>
      </c>
      <c r="K1626">
        <v>0</v>
      </c>
      <c r="L1626">
        <v>7</v>
      </c>
      <c r="O1626">
        <v>7</v>
      </c>
      <c r="P1626">
        <v>0</v>
      </c>
      <c r="Q1626">
        <v>2</v>
      </c>
      <c r="R1626">
        <v>29.23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H1626">
        <v>29.23</v>
      </c>
    </row>
    <row r="1627" spans="1:34" x14ac:dyDescent="0.3">
      <c r="A1627" s="4">
        <v>1812</v>
      </c>
      <c r="B1627" s="5">
        <v>1620</v>
      </c>
      <c r="C1627">
        <v>9316</v>
      </c>
      <c r="D1627" t="s">
        <v>708</v>
      </c>
      <c r="E1627" t="s">
        <v>29446</v>
      </c>
      <c r="F1627" t="s">
        <v>136</v>
      </c>
      <c r="G1627" t="s">
        <v>29447</v>
      </c>
      <c r="H1627">
        <v>18.23</v>
      </c>
      <c r="I1627">
        <v>0</v>
      </c>
      <c r="J1627">
        <v>0</v>
      </c>
      <c r="K1627">
        <v>0</v>
      </c>
      <c r="L1627">
        <v>7</v>
      </c>
      <c r="O1627">
        <v>7</v>
      </c>
      <c r="P1627">
        <v>4</v>
      </c>
      <c r="Q1627">
        <v>0</v>
      </c>
      <c r="R1627">
        <v>29.23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H1627">
        <v>29.23</v>
      </c>
    </row>
    <row r="1628" spans="1:34" x14ac:dyDescent="0.3">
      <c r="A1628" s="4">
        <v>1813</v>
      </c>
      <c r="B1628" s="5">
        <v>1621</v>
      </c>
      <c r="C1628">
        <v>13285</v>
      </c>
      <c r="D1628" t="s">
        <v>29448</v>
      </c>
      <c r="E1628" t="s">
        <v>29</v>
      </c>
      <c r="F1628" t="s">
        <v>68</v>
      </c>
      <c r="G1628" t="s">
        <v>29449</v>
      </c>
      <c r="H1628">
        <v>16.2</v>
      </c>
      <c r="I1628">
        <v>0</v>
      </c>
      <c r="J1628">
        <v>0</v>
      </c>
      <c r="K1628">
        <v>0</v>
      </c>
      <c r="N1628">
        <v>3</v>
      </c>
      <c r="O1628">
        <v>3</v>
      </c>
      <c r="P1628">
        <v>4</v>
      </c>
      <c r="Q1628">
        <v>0</v>
      </c>
      <c r="R1628">
        <v>23.2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6</v>
      </c>
      <c r="AC1628">
        <v>0</v>
      </c>
      <c r="AH1628">
        <v>29.2</v>
      </c>
    </row>
    <row r="1629" spans="1:34" x14ac:dyDescent="0.3">
      <c r="A1629" s="4">
        <v>1814</v>
      </c>
      <c r="B1629" s="5">
        <v>1622</v>
      </c>
      <c r="C1629">
        <v>8865</v>
      </c>
      <c r="D1629" t="s">
        <v>6728</v>
      </c>
      <c r="E1629" t="s">
        <v>29</v>
      </c>
      <c r="F1629" t="s">
        <v>243</v>
      </c>
      <c r="G1629" t="s">
        <v>29450</v>
      </c>
      <c r="H1629">
        <v>16.2</v>
      </c>
      <c r="I1629">
        <v>0</v>
      </c>
      <c r="J1629">
        <v>0</v>
      </c>
      <c r="K1629">
        <v>0</v>
      </c>
      <c r="N1629">
        <v>3</v>
      </c>
      <c r="O1629">
        <v>3</v>
      </c>
      <c r="P1629">
        <v>4</v>
      </c>
      <c r="Q1629">
        <v>0</v>
      </c>
      <c r="R1629">
        <v>23.2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6</v>
      </c>
      <c r="AC1629">
        <v>0</v>
      </c>
      <c r="AD1629" t="s">
        <v>130</v>
      </c>
      <c r="AH1629">
        <v>29.2</v>
      </c>
    </row>
    <row r="1630" spans="1:34" x14ac:dyDescent="0.3">
      <c r="A1630" s="4">
        <v>1815</v>
      </c>
      <c r="B1630" s="5">
        <v>1623</v>
      </c>
      <c r="C1630">
        <v>15555</v>
      </c>
      <c r="D1630" t="s">
        <v>4714</v>
      </c>
      <c r="E1630" t="s">
        <v>110</v>
      </c>
      <c r="F1630" t="s">
        <v>38</v>
      </c>
      <c r="G1630" t="s">
        <v>29451</v>
      </c>
      <c r="H1630">
        <v>19.2</v>
      </c>
      <c r="I1630">
        <v>0</v>
      </c>
      <c r="J1630">
        <v>0</v>
      </c>
      <c r="K1630">
        <v>0</v>
      </c>
      <c r="N1630">
        <v>6</v>
      </c>
      <c r="O1630">
        <v>6</v>
      </c>
      <c r="P1630">
        <v>4</v>
      </c>
      <c r="Q1630">
        <v>0</v>
      </c>
      <c r="R1630">
        <v>29.2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H1630">
        <v>29.2</v>
      </c>
    </row>
    <row r="1631" spans="1:34" x14ac:dyDescent="0.3">
      <c r="A1631" s="4">
        <v>1816</v>
      </c>
      <c r="B1631" s="5">
        <v>1624</v>
      </c>
      <c r="C1631">
        <v>6822</v>
      </c>
      <c r="D1631" t="s">
        <v>2162</v>
      </c>
      <c r="E1631" t="s">
        <v>8216</v>
      </c>
      <c r="F1631" t="s">
        <v>12716</v>
      </c>
      <c r="G1631" t="s">
        <v>29452</v>
      </c>
      <c r="H1631">
        <v>16.18</v>
      </c>
      <c r="I1631">
        <v>0</v>
      </c>
      <c r="J1631">
        <v>0</v>
      </c>
      <c r="K1631">
        <v>0</v>
      </c>
      <c r="N1631">
        <v>3</v>
      </c>
      <c r="O1631">
        <v>3</v>
      </c>
      <c r="P1631">
        <v>4</v>
      </c>
      <c r="Q1631">
        <v>0</v>
      </c>
      <c r="R1631">
        <v>23.18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6</v>
      </c>
      <c r="AC1631">
        <v>0</v>
      </c>
      <c r="AH1631">
        <v>29.18</v>
      </c>
    </row>
    <row r="1632" spans="1:34" x14ac:dyDescent="0.3">
      <c r="A1632" s="4">
        <v>1817</v>
      </c>
      <c r="B1632" s="5">
        <v>1625</v>
      </c>
      <c r="C1632">
        <v>11906</v>
      </c>
      <c r="D1632" t="s">
        <v>6976</v>
      </c>
      <c r="E1632" t="s">
        <v>2372</v>
      </c>
      <c r="F1632" t="s">
        <v>136</v>
      </c>
      <c r="G1632" t="s">
        <v>29453</v>
      </c>
      <c r="H1632">
        <v>16.18</v>
      </c>
      <c r="I1632">
        <v>0</v>
      </c>
      <c r="J1632">
        <v>0</v>
      </c>
      <c r="K1632">
        <v>0</v>
      </c>
      <c r="N1632">
        <v>3</v>
      </c>
      <c r="O1632">
        <v>3</v>
      </c>
      <c r="P1632">
        <v>4</v>
      </c>
      <c r="Q1632">
        <v>0</v>
      </c>
      <c r="R1632">
        <v>23.18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6</v>
      </c>
      <c r="AC1632">
        <v>0</v>
      </c>
      <c r="AD1632" t="s">
        <v>130</v>
      </c>
      <c r="AH1632">
        <v>29.18</v>
      </c>
    </row>
    <row r="1633" spans="1:34" x14ac:dyDescent="0.3">
      <c r="A1633" s="4">
        <v>1818</v>
      </c>
      <c r="B1633" s="5">
        <v>1626</v>
      </c>
      <c r="C1633">
        <v>5782</v>
      </c>
      <c r="D1633" t="s">
        <v>29454</v>
      </c>
      <c r="E1633" t="s">
        <v>147</v>
      </c>
      <c r="F1633" t="s">
        <v>343</v>
      </c>
      <c r="G1633" t="s">
        <v>29455</v>
      </c>
      <c r="H1633">
        <v>20.18</v>
      </c>
      <c r="I1633">
        <v>0</v>
      </c>
      <c r="J1633">
        <v>0</v>
      </c>
      <c r="K1633">
        <v>0</v>
      </c>
      <c r="N1633">
        <v>3</v>
      </c>
      <c r="O1633">
        <v>3</v>
      </c>
      <c r="P1633">
        <v>4</v>
      </c>
      <c r="Q1633">
        <v>2</v>
      </c>
      <c r="R1633">
        <v>29.18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H1633">
        <v>29.18</v>
      </c>
    </row>
    <row r="1634" spans="1:34" x14ac:dyDescent="0.3">
      <c r="A1634" s="4">
        <v>1819</v>
      </c>
      <c r="B1634" s="5">
        <v>1627</v>
      </c>
      <c r="C1634">
        <v>14532</v>
      </c>
      <c r="D1634" t="s">
        <v>29456</v>
      </c>
      <c r="E1634" t="s">
        <v>550</v>
      </c>
      <c r="F1634" t="s">
        <v>62</v>
      </c>
      <c r="G1634" t="s">
        <v>29457</v>
      </c>
      <c r="H1634">
        <v>20.18</v>
      </c>
      <c r="I1634">
        <v>0</v>
      </c>
      <c r="J1634">
        <v>0</v>
      </c>
      <c r="K1634">
        <v>0</v>
      </c>
      <c r="N1634">
        <v>3</v>
      </c>
      <c r="O1634">
        <v>3</v>
      </c>
      <c r="P1634">
        <v>4</v>
      </c>
      <c r="Q1634">
        <v>2</v>
      </c>
      <c r="R1634">
        <v>29.18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H1634">
        <v>29.18</v>
      </c>
    </row>
    <row r="1635" spans="1:34" x14ac:dyDescent="0.3">
      <c r="A1635" s="4">
        <v>1820</v>
      </c>
      <c r="B1635" s="5">
        <v>1628</v>
      </c>
      <c r="C1635">
        <v>2924</v>
      </c>
      <c r="D1635" t="s">
        <v>11021</v>
      </c>
      <c r="E1635" t="s">
        <v>170</v>
      </c>
      <c r="F1635" t="s">
        <v>29458</v>
      </c>
      <c r="G1635" t="s">
        <v>29459</v>
      </c>
      <c r="H1635">
        <v>18.149999999999999</v>
      </c>
      <c r="I1635">
        <v>0</v>
      </c>
      <c r="J1635">
        <v>0</v>
      </c>
      <c r="K1635">
        <v>0</v>
      </c>
      <c r="L1635">
        <v>7</v>
      </c>
      <c r="O1635">
        <v>7</v>
      </c>
      <c r="P1635">
        <v>4</v>
      </c>
      <c r="Q1635">
        <v>0</v>
      </c>
      <c r="R1635">
        <v>29.15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H1635">
        <v>29.15</v>
      </c>
    </row>
    <row r="1636" spans="1:34" x14ac:dyDescent="0.3">
      <c r="A1636" s="4">
        <v>1821</v>
      </c>
      <c r="B1636" s="5">
        <v>1629</v>
      </c>
      <c r="C1636">
        <v>8039</v>
      </c>
      <c r="D1636" t="s">
        <v>15722</v>
      </c>
      <c r="E1636" t="s">
        <v>54</v>
      </c>
      <c r="F1636" t="s">
        <v>68</v>
      </c>
      <c r="G1636" t="s">
        <v>29460</v>
      </c>
      <c r="H1636">
        <v>18.149999999999999</v>
      </c>
      <c r="I1636">
        <v>0</v>
      </c>
      <c r="J1636">
        <v>0</v>
      </c>
      <c r="K1636">
        <v>0</v>
      </c>
      <c r="L1636">
        <v>7</v>
      </c>
      <c r="O1636">
        <v>7</v>
      </c>
      <c r="P1636">
        <v>4</v>
      </c>
      <c r="Q1636">
        <v>0</v>
      </c>
      <c r="R1636">
        <v>29.15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H1636">
        <v>29.15</v>
      </c>
    </row>
    <row r="1637" spans="1:34" x14ac:dyDescent="0.3">
      <c r="A1637" s="4">
        <v>1822</v>
      </c>
      <c r="B1637" s="5">
        <v>1630</v>
      </c>
      <c r="C1637">
        <v>7306</v>
      </c>
      <c r="D1637" t="s">
        <v>17961</v>
      </c>
      <c r="E1637" t="s">
        <v>744</v>
      </c>
      <c r="F1637" t="s">
        <v>539</v>
      </c>
      <c r="G1637" t="s">
        <v>29461</v>
      </c>
      <c r="H1637">
        <v>18.149999999999999</v>
      </c>
      <c r="I1637">
        <v>0</v>
      </c>
      <c r="J1637">
        <v>0</v>
      </c>
      <c r="K1637">
        <v>0</v>
      </c>
      <c r="L1637">
        <v>7</v>
      </c>
      <c r="O1637">
        <v>7</v>
      </c>
      <c r="P1637">
        <v>4</v>
      </c>
      <c r="Q1637">
        <v>0</v>
      </c>
      <c r="R1637">
        <v>29.15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H1637">
        <v>29.15</v>
      </c>
    </row>
    <row r="1638" spans="1:34" x14ac:dyDescent="0.3">
      <c r="A1638" s="4">
        <v>1823</v>
      </c>
      <c r="B1638" s="5">
        <v>1631</v>
      </c>
      <c r="C1638">
        <v>10178</v>
      </c>
      <c r="D1638" t="s">
        <v>1299</v>
      </c>
      <c r="E1638" t="s">
        <v>161</v>
      </c>
      <c r="F1638" t="s">
        <v>570</v>
      </c>
      <c r="G1638" t="s">
        <v>29462</v>
      </c>
      <c r="H1638">
        <v>18.149999999999999</v>
      </c>
      <c r="I1638">
        <v>0</v>
      </c>
      <c r="J1638">
        <v>0</v>
      </c>
      <c r="K1638">
        <v>0</v>
      </c>
      <c r="L1638">
        <v>7</v>
      </c>
      <c r="O1638">
        <v>7</v>
      </c>
      <c r="P1638">
        <v>4</v>
      </c>
      <c r="Q1638">
        <v>0</v>
      </c>
      <c r="R1638">
        <v>29.15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H1638">
        <v>29.15</v>
      </c>
    </row>
    <row r="1639" spans="1:34" x14ac:dyDescent="0.3">
      <c r="A1639" s="4">
        <v>1824</v>
      </c>
      <c r="B1639" s="5">
        <v>1632</v>
      </c>
      <c r="C1639">
        <v>13964</v>
      </c>
      <c r="D1639" t="s">
        <v>10614</v>
      </c>
      <c r="E1639" t="s">
        <v>1694</v>
      </c>
      <c r="F1639" t="s">
        <v>68</v>
      </c>
      <c r="G1639" t="s">
        <v>29463</v>
      </c>
      <c r="H1639">
        <v>17.149999999999999</v>
      </c>
      <c r="I1639">
        <v>0</v>
      </c>
      <c r="J1639">
        <v>0</v>
      </c>
      <c r="K1639">
        <v>0</v>
      </c>
      <c r="N1639">
        <v>3</v>
      </c>
      <c r="O1639">
        <v>3</v>
      </c>
      <c r="P1639">
        <v>4</v>
      </c>
      <c r="Q1639">
        <v>0</v>
      </c>
      <c r="R1639">
        <v>24.15</v>
      </c>
      <c r="S1639">
        <v>5</v>
      </c>
      <c r="T1639">
        <v>5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5</v>
      </c>
      <c r="AB1639">
        <v>0</v>
      </c>
      <c r="AC1639">
        <v>0</v>
      </c>
      <c r="AH1639">
        <v>29.15</v>
      </c>
    </row>
    <row r="1640" spans="1:34" x14ac:dyDescent="0.3">
      <c r="A1640" s="4">
        <v>1825</v>
      </c>
      <c r="B1640" s="5">
        <v>1633</v>
      </c>
      <c r="C1640">
        <v>14162</v>
      </c>
      <c r="D1640" t="s">
        <v>19706</v>
      </c>
      <c r="E1640" t="s">
        <v>157</v>
      </c>
      <c r="F1640" t="s">
        <v>20</v>
      </c>
      <c r="G1640" t="s">
        <v>29464</v>
      </c>
      <c r="H1640">
        <v>20.13</v>
      </c>
      <c r="I1640">
        <v>0</v>
      </c>
      <c r="J1640">
        <v>0</v>
      </c>
      <c r="K1640">
        <v>0</v>
      </c>
      <c r="M1640">
        <v>5</v>
      </c>
      <c r="O1640">
        <v>5</v>
      </c>
      <c r="P1640">
        <v>4</v>
      </c>
      <c r="Q1640">
        <v>0</v>
      </c>
      <c r="R1640">
        <v>29.13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H1640">
        <v>29.13</v>
      </c>
    </row>
    <row r="1641" spans="1:34" x14ac:dyDescent="0.3">
      <c r="A1641" s="4">
        <v>1826</v>
      </c>
      <c r="B1641" s="5">
        <v>1634</v>
      </c>
      <c r="C1641">
        <v>14640</v>
      </c>
      <c r="D1641" t="s">
        <v>421</v>
      </c>
      <c r="E1641" t="s">
        <v>789</v>
      </c>
      <c r="F1641" t="s">
        <v>81</v>
      </c>
      <c r="G1641" t="s">
        <v>29465</v>
      </c>
      <c r="H1641">
        <v>20.13</v>
      </c>
      <c r="I1641">
        <v>0</v>
      </c>
      <c r="J1641">
        <v>0</v>
      </c>
      <c r="K1641">
        <v>0</v>
      </c>
      <c r="M1641">
        <v>5</v>
      </c>
      <c r="O1641">
        <v>5</v>
      </c>
      <c r="P1641">
        <v>4</v>
      </c>
      <c r="Q1641">
        <v>0</v>
      </c>
      <c r="R1641">
        <v>29.13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H1641">
        <v>29.13</v>
      </c>
    </row>
    <row r="1642" spans="1:34" x14ac:dyDescent="0.3">
      <c r="A1642" s="4">
        <v>1827</v>
      </c>
      <c r="B1642" s="5">
        <v>1635</v>
      </c>
      <c r="C1642">
        <v>14559</v>
      </c>
      <c r="D1642" t="s">
        <v>29466</v>
      </c>
      <c r="E1642" t="s">
        <v>166</v>
      </c>
      <c r="F1642" t="s">
        <v>230</v>
      </c>
      <c r="G1642" t="s">
        <v>29467</v>
      </c>
      <c r="H1642">
        <v>17.100000000000001</v>
      </c>
      <c r="I1642">
        <v>0</v>
      </c>
      <c r="J1642">
        <v>0</v>
      </c>
      <c r="K1642">
        <v>0</v>
      </c>
      <c r="M1642">
        <v>5</v>
      </c>
      <c r="O1642">
        <v>5</v>
      </c>
      <c r="P1642">
        <v>4</v>
      </c>
      <c r="Q1642">
        <v>0</v>
      </c>
      <c r="R1642">
        <v>26.1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3</v>
      </c>
      <c r="AC1642">
        <v>0</v>
      </c>
      <c r="AH1642">
        <v>29.1</v>
      </c>
    </row>
    <row r="1643" spans="1:34" x14ac:dyDescent="0.3">
      <c r="A1643" s="4">
        <v>1828</v>
      </c>
      <c r="B1643" s="5">
        <v>1636</v>
      </c>
      <c r="C1643">
        <v>5352</v>
      </c>
      <c r="D1643" t="s">
        <v>1752</v>
      </c>
      <c r="E1643" t="s">
        <v>652</v>
      </c>
      <c r="F1643" t="s">
        <v>91</v>
      </c>
      <c r="G1643" t="s">
        <v>29468</v>
      </c>
      <c r="H1643">
        <v>21.1</v>
      </c>
      <c r="I1643">
        <v>0</v>
      </c>
      <c r="J1643">
        <v>0</v>
      </c>
      <c r="K1643">
        <v>0</v>
      </c>
      <c r="M1643">
        <v>5</v>
      </c>
      <c r="N1643">
        <v>3</v>
      </c>
      <c r="O1643">
        <v>8</v>
      </c>
      <c r="P1643">
        <v>0</v>
      </c>
      <c r="Q1643">
        <v>0</v>
      </c>
      <c r="R1643">
        <v>29.1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H1643">
        <v>29.1</v>
      </c>
    </row>
    <row r="1644" spans="1:34" x14ac:dyDescent="0.3">
      <c r="A1644" s="4">
        <v>1829</v>
      </c>
      <c r="B1644" s="5">
        <v>1637</v>
      </c>
      <c r="C1644">
        <v>2800</v>
      </c>
      <c r="D1644" t="s">
        <v>15344</v>
      </c>
      <c r="E1644" t="s">
        <v>286</v>
      </c>
      <c r="F1644" t="s">
        <v>62</v>
      </c>
      <c r="G1644" t="s">
        <v>29469</v>
      </c>
      <c r="H1644">
        <v>20.05</v>
      </c>
      <c r="I1644">
        <v>0</v>
      </c>
      <c r="J1644">
        <v>0</v>
      </c>
      <c r="K1644">
        <v>0</v>
      </c>
      <c r="N1644">
        <v>3</v>
      </c>
      <c r="O1644">
        <v>3</v>
      </c>
      <c r="P1644">
        <v>4</v>
      </c>
      <c r="Q1644">
        <v>2</v>
      </c>
      <c r="R1644">
        <v>29.05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H1644">
        <v>29.05</v>
      </c>
    </row>
    <row r="1645" spans="1:34" x14ac:dyDescent="0.3">
      <c r="A1645" s="4">
        <v>1830</v>
      </c>
      <c r="B1645" s="5">
        <v>1638</v>
      </c>
      <c r="C1645">
        <v>12720</v>
      </c>
      <c r="D1645" t="s">
        <v>6773</v>
      </c>
      <c r="E1645" t="s">
        <v>208</v>
      </c>
      <c r="F1645" t="s">
        <v>124</v>
      </c>
      <c r="G1645" t="s">
        <v>6774</v>
      </c>
      <c r="H1645">
        <v>17.03</v>
      </c>
      <c r="I1645">
        <v>0</v>
      </c>
      <c r="J1645">
        <v>0</v>
      </c>
      <c r="K1645">
        <v>0</v>
      </c>
      <c r="O1645">
        <v>0</v>
      </c>
      <c r="P1645">
        <v>4</v>
      </c>
      <c r="Q1645">
        <v>2</v>
      </c>
      <c r="R1645">
        <v>23.03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6</v>
      </c>
      <c r="AC1645">
        <v>0</v>
      </c>
      <c r="AH1645">
        <v>29.03</v>
      </c>
    </row>
    <row r="1646" spans="1:34" x14ac:dyDescent="0.3">
      <c r="A1646" s="4">
        <v>1831</v>
      </c>
      <c r="B1646" s="5">
        <v>1639</v>
      </c>
      <c r="C1646">
        <v>12874</v>
      </c>
      <c r="D1646" t="s">
        <v>11667</v>
      </c>
      <c r="E1646" t="s">
        <v>208</v>
      </c>
      <c r="F1646" t="s">
        <v>158</v>
      </c>
      <c r="G1646" t="s">
        <v>29470</v>
      </c>
      <c r="H1646">
        <v>19.03</v>
      </c>
      <c r="I1646">
        <v>0</v>
      </c>
      <c r="J1646">
        <v>0</v>
      </c>
      <c r="K1646">
        <v>0</v>
      </c>
      <c r="N1646">
        <v>3</v>
      </c>
      <c r="O1646">
        <v>3</v>
      </c>
      <c r="P1646">
        <v>4</v>
      </c>
      <c r="Q1646">
        <v>0</v>
      </c>
      <c r="R1646">
        <v>26.03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3</v>
      </c>
      <c r="AC1646">
        <v>0</v>
      </c>
      <c r="AH1646">
        <v>29.03</v>
      </c>
    </row>
    <row r="1647" spans="1:34" x14ac:dyDescent="0.3">
      <c r="A1647" s="4">
        <v>1832</v>
      </c>
      <c r="B1647" s="5">
        <v>1640</v>
      </c>
      <c r="C1647">
        <v>7421</v>
      </c>
      <c r="D1647" t="s">
        <v>29471</v>
      </c>
      <c r="E1647" t="s">
        <v>71</v>
      </c>
      <c r="F1647" t="s">
        <v>20</v>
      </c>
      <c r="G1647" t="s">
        <v>29472</v>
      </c>
      <c r="H1647">
        <v>18.03</v>
      </c>
      <c r="I1647">
        <v>0</v>
      </c>
      <c r="J1647">
        <v>0</v>
      </c>
      <c r="K1647">
        <v>0</v>
      </c>
      <c r="L1647">
        <v>7</v>
      </c>
      <c r="O1647">
        <v>7</v>
      </c>
      <c r="P1647">
        <v>4</v>
      </c>
      <c r="Q1647">
        <v>0</v>
      </c>
      <c r="R1647">
        <v>29.03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H1647">
        <v>29.03</v>
      </c>
    </row>
    <row r="1648" spans="1:34" x14ac:dyDescent="0.3">
      <c r="A1648" s="4">
        <v>1833</v>
      </c>
      <c r="B1648" s="5">
        <v>1641</v>
      </c>
      <c r="C1648">
        <v>11089</v>
      </c>
      <c r="D1648" t="s">
        <v>752</v>
      </c>
      <c r="E1648" t="s">
        <v>33</v>
      </c>
      <c r="F1648" t="s">
        <v>801</v>
      </c>
      <c r="G1648" t="s">
        <v>29473</v>
      </c>
      <c r="H1648">
        <v>16.03</v>
      </c>
      <c r="I1648">
        <v>0</v>
      </c>
      <c r="J1648">
        <v>0</v>
      </c>
      <c r="K1648">
        <v>0</v>
      </c>
      <c r="L1648">
        <v>7</v>
      </c>
      <c r="O1648">
        <v>7</v>
      </c>
      <c r="P1648">
        <v>4</v>
      </c>
      <c r="Q1648">
        <v>2</v>
      </c>
      <c r="R1648">
        <v>29.03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H1648">
        <v>29.03</v>
      </c>
    </row>
    <row r="1649" spans="1:34" x14ac:dyDescent="0.3">
      <c r="A1649" s="4">
        <v>1834</v>
      </c>
      <c r="B1649" s="5">
        <v>1642</v>
      </c>
      <c r="C1649">
        <v>14248</v>
      </c>
      <c r="D1649" t="s">
        <v>29474</v>
      </c>
      <c r="E1649" t="s">
        <v>26</v>
      </c>
      <c r="F1649" t="s">
        <v>136</v>
      </c>
      <c r="G1649" t="s">
        <v>29475</v>
      </c>
      <c r="H1649">
        <v>16</v>
      </c>
      <c r="I1649">
        <v>0</v>
      </c>
      <c r="J1649">
        <v>0</v>
      </c>
      <c r="K1649">
        <v>0</v>
      </c>
      <c r="N1649">
        <v>3</v>
      </c>
      <c r="O1649">
        <v>3</v>
      </c>
      <c r="P1649">
        <v>4</v>
      </c>
      <c r="Q1649">
        <v>0</v>
      </c>
      <c r="R1649">
        <v>23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6</v>
      </c>
      <c r="AC1649">
        <v>0</v>
      </c>
      <c r="AH1649">
        <v>29</v>
      </c>
    </row>
    <row r="1650" spans="1:34" x14ac:dyDescent="0.3">
      <c r="A1650" s="4">
        <v>1835</v>
      </c>
      <c r="B1650" s="5">
        <v>1643</v>
      </c>
      <c r="C1650">
        <v>13959</v>
      </c>
      <c r="D1650" t="s">
        <v>27304</v>
      </c>
      <c r="E1650" t="s">
        <v>268</v>
      </c>
      <c r="F1650" t="s">
        <v>17</v>
      </c>
      <c r="G1650" t="s">
        <v>29476</v>
      </c>
      <c r="H1650">
        <v>18</v>
      </c>
      <c r="I1650">
        <v>0</v>
      </c>
      <c r="J1650">
        <v>0</v>
      </c>
      <c r="K1650">
        <v>0</v>
      </c>
      <c r="L1650">
        <v>7</v>
      </c>
      <c r="O1650">
        <v>7</v>
      </c>
      <c r="P1650">
        <v>4</v>
      </c>
      <c r="Q1650">
        <v>0</v>
      </c>
      <c r="R1650">
        <v>29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H1650">
        <v>29</v>
      </c>
    </row>
    <row r="1651" spans="1:34" x14ac:dyDescent="0.3">
      <c r="A1651" s="4">
        <v>1836</v>
      </c>
      <c r="B1651" s="5">
        <v>1644</v>
      </c>
      <c r="C1651">
        <v>12844</v>
      </c>
      <c r="D1651" t="s">
        <v>3434</v>
      </c>
      <c r="E1651" t="s">
        <v>1652</v>
      </c>
      <c r="F1651" t="s">
        <v>30</v>
      </c>
      <c r="G1651" t="s">
        <v>29477</v>
      </c>
      <c r="H1651">
        <v>16</v>
      </c>
      <c r="I1651">
        <v>0</v>
      </c>
      <c r="J1651">
        <v>0</v>
      </c>
      <c r="K1651">
        <v>0</v>
      </c>
      <c r="L1651">
        <v>7</v>
      </c>
      <c r="O1651">
        <v>7</v>
      </c>
      <c r="P1651">
        <v>4</v>
      </c>
      <c r="Q1651">
        <v>2</v>
      </c>
      <c r="R1651">
        <v>29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H1651">
        <v>29</v>
      </c>
    </row>
    <row r="1652" spans="1:34" x14ac:dyDescent="0.3">
      <c r="A1652" s="4">
        <v>1837</v>
      </c>
      <c r="B1652" s="5">
        <v>1645</v>
      </c>
      <c r="C1652">
        <v>13882</v>
      </c>
      <c r="D1652" t="s">
        <v>29478</v>
      </c>
      <c r="E1652" t="s">
        <v>20</v>
      </c>
      <c r="F1652" t="s">
        <v>17</v>
      </c>
      <c r="G1652" t="s">
        <v>29479</v>
      </c>
      <c r="H1652">
        <v>17.98</v>
      </c>
      <c r="I1652">
        <v>0</v>
      </c>
      <c r="J1652">
        <v>0</v>
      </c>
      <c r="K1652">
        <v>0</v>
      </c>
      <c r="L1652">
        <v>7</v>
      </c>
      <c r="O1652">
        <v>7</v>
      </c>
      <c r="P1652">
        <v>4</v>
      </c>
      <c r="Q1652">
        <v>0</v>
      </c>
      <c r="R1652">
        <v>28.98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H1652">
        <v>28.98</v>
      </c>
    </row>
    <row r="1653" spans="1:34" x14ac:dyDescent="0.3">
      <c r="A1653" s="4">
        <v>1838</v>
      </c>
      <c r="B1653" s="5">
        <v>1646</v>
      </c>
      <c r="C1653">
        <v>12848</v>
      </c>
      <c r="D1653" t="s">
        <v>29480</v>
      </c>
      <c r="E1653" t="s">
        <v>5630</v>
      </c>
      <c r="F1653" t="s">
        <v>17</v>
      </c>
      <c r="G1653" t="s">
        <v>29481</v>
      </c>
      <c r="H1653">
        <v>16.95</v>
      </c>
      <c r="I1653">
        <v>0</v>
      </c>
      <c r="J1653">
        <v>0</v>
      </c>
      <c r="K1653">
        <v>0</v>
      </c>
      <c r="N1653">
        <v>3</v>
      </c>
      <c r="O1653">
        <v>3</v>
      </c>
      <c r="P1653">
        <v>4</v>
      </c>
      <c r="Q1653">
        <v>2</v>
      </c>
      <c r="R1653">
        <v>25.95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3</v>
      </c>
      <c r="AC1653">
        <v>0</v>
      </c>
      <c r="AH1653">
        <v>28.95</v>
      </c>
    </row>
    <row r="1654" spans="1:34" x14ac:dyDescent="0.3">
      <c r="A1654" s="4">
        <v>1839</v>
      </c>
      <c r="B1654" s="5">
        <v>1647</v>
      </c>
      <c r="C1654">
        <v>6308</v>
      </c>
      <c r="D1654" t="s">
        <v>29482</v>
      </c>
      <c r="E1654" t="s">
        <v>550</v>
      </c>
      <c r="F1654" t="s">
        <v>167</v>
      </c>
      <c r="G1654" t="s">
        <v>29483</v>
      </c>
      <c r="H1654">
        <v>17.95</v>
      </c>
      <c r="I1654">
        <v>0</v>
      </c>
      <c r="J1654">
        <v>0</v>
      </c>
      <c r="K1654">
        <v>0</v>
      </c>
      <c r="M1654">
        <v>5</v>
      </c>
      <c r="O1654">
        <v>5</v>
      </c>
      <c r="P1654">
        <v>4</v>
      </c>
      <c r="Q1654">
        <v>2</v>
      </c>
      <c r="R1654">
        <v>28.95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H1654">
        <v>28.95</v>
      </c>
    </row>
    <row r="1655" spans="1:34" x14ac:dyDescent="0.3">
      <c r="A1655" s="4">
        <v>1840</v>
      </c>
      <c r="B1655" s="5">
        <v>1648</v>
      </c>
      <c r="C1655">
        <v>13018</v>
      </c>
      <c r="D1655" t="s">
        <v>3181</v>
      </c>
      <c r="E1655" t="s">
        <v>166</v>
      </c>
      <c r="F1655" t="s">
        <v>539</v>
      </c>
      <c r="G1655" t="s">
        <v>29484</v>
      </c>
      <c r="H1655">
        <v>16.93</v>
      </c>
      <c r="I1655">
        <v>0</v>
      </c>
      <c r="J1655">
        <v>0</v>
      </c>
      <c r="K1655">
        <v>0</v>
      </c>
      <c r="M1655">
        <v>5</v>
      </c>
      <c r="O1655">
        <v>5</v>
      </c>
      <c r="P1655">
        <v>4</v>
      </c>
      <c r="Q1655">
        <v>0</v>
      </c>
      <c r="R1655">
        <v>25.93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3</v>
      </c>
      <c r="AC1655">
        <v>0</v>
      </c>
      <c r="AH1655">
        <v>28.93</v>
      </c>
    </row>
    <row r="1656" spans="1:34" x14ac:dyDescent="0.3">
      <c r="A1656" s="4">
        <v>1841</v>
      </c>
      <c r="B1656" s="5">
        <v>1649</v>
      </c>
      <c r="C1656">
        <v>1008</v>
      </c>
      <c r="D1656" t="s">
        <v>29485</v>
      </c>
      <c r="E1656" t="s">
        <v>88</v>
      </c>
      <c r="F1656" t="s">
        <v>38</v>
      </c>
      <c r="G1656" t="s">
        <v>29486</v>
      </c>
      <c r="H1656">
        <v>15.9</v>
      </c>
      <c r="I1656">
        <v>0</v>
      </c>
      <c r="J1656">
        <v>0</v>
      </c>
      <c r="K1656">
        <v>0</v>
      </c>
      <c r="N1656">
        <v>3</v>
      </c>
      <c r="O1656">
        <v>3</v>
      </c>
      <c r="P1656">
        <v>4</v>
      </c>
      <c r="Q1656">
        <v>0</v>
      </c>
      <c r="R1656">
        <v>22.9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6</v>
      </c>
      <c r="AC1656">
        <v>0</v>
      </c>
      <c r="AH1656">
        <v>28.9</v>
      </c>
    </row>
    <row r="1657" spans="1:34" x14ac:dyDescent="0.3">
      <c r="A1657" s="4">
        <v>1842</v>
      </c>
      <c r="B1657" s="5">
        <v>1650</v>
      </c>
      <c r="C1657">
        <v>7633</v>
      </c>
      <c r="D1657" t="s">
        <v>2916</v>
      </c>
      <c r="E1657" t="s">
        <v>1659</v>
      </c>
      <c r="F1657" t="s">
        <v>381</v>
      </c>
      <c r="G1657" t="s">
        <v>29487</v>
      </c>
      <c r="H1657">
        <v>17.899999999999999</v>
      </c>
      <c r="I1657">
        <v>0</v>
      </c>
      <c r="J1657">
        <v>0</v>
      </c>
      <c r="K1657">
        <v>0</v>
      </c>
      <c r="L1657">
        <v>7</v>
      </c>
      <c r="O1657">
        <v>7</v>
      </c>
      <c r="P1657">
        <v>4</v>
      </c>
      <c r="Q1657">
        <v>0</v>
      </c>
      <c r="R1657">
        <v>28.9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H1657">
        <v>28.9</v>
      </c>
    </row>
    <row r="1658" spans="1:34" x14ac:dyDescent="0.3">
      <c r="A1658" s="4">
        <v>1843</v>
      </c>
      <c r="B1658" s="5">
        <v>1651</v>
      </c>
      <c r="C1658">
        <v>10879</v>
      </c>
      <c r="D1658" t="s">
        <v>14343</v>
      </c>
      <c r="E1658" t="s">
        <v>328</v>
      </c>
      <c r="F1658" t="s">
        <v>81</v>
      </c>
      <c r="G1658" t="s">
        <v>29488</v>
      </c>
      <c r="H1658">
        <v>17.899999999999999</v>
      </c>
      <c r="I1658">
        <v>0</v>
      </c>
      <c r="J1658">
        <v>0</v>
      </c>
      <c r="K1658">
        <v>0</v>
      </c>
      <c r="L1658">
        <v>7</v>
      </c>
      <c r="O1658">
        <v>7</v>
      </c>
      <c r="P1658">
        <v>4</v>
      </c>
      <c r="Q1658">
        <v>0</v>
      </c>
      <c r="R1658">
        <v>28.9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H1658">
        <v>28.9</v>
      </c>
    </row>
    <row r="1659" spans="1:34" x14ac:dyDescent="0.3">
      <c r="A1659" s="4">
        <v>1844</v>
      </c>
      <c r="B1659" s="5">
        <v>1652</v>
      </c>
      <c r="C1659">
        <v>5883</v>
      </c>
      <c r="D1659" t="s">
        <v>29489</v>
      </c>
      <c r="E1659" t="s">
        <v>1140</v>
      </c>
      <c r="F1659" t="s">
        <v>81</v>
      </c>
      <c r="G1659" t="s">
        <v>29490</v>
      </c>
      <c r="H1659">
        <v>16.88</v>
      </c>
      <c r="I1659">
        <v>0</v>
      </c>
      <c r="J1659">
        <v>0</v>
      </c>
      <c r="K1659">
        <v>0</v>
      </c>
      <c r="N1659">
        <v>3</v>
      </c>
      <c r="O1659">
        <v>3</v>
      </c>
      <c r="P1659">
        <v>4</v>
      </c>
      <c r="Q1659">
        <v>2</v>
      </c>
      <c r="R1659">
        <v>25.88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3</v>
      </c>
      <c r="AC1659">
        <v>0</v>
      </c>
      <c r="AH1659">
        <v>28.88</v>
      </c>
    </row>
    <row r="1660" spans="1:34" x14ac:dyDescent="0.3">
      <c r="A1660" s="4">
        <v>1845</v>
      </c>
      <c r="B1660" s="5">
        <v>1653</v>
      </c>
      <c r="C1660">
        <v>2774</v>
      </c>
      <c r="D1660" t="s">
        <v>12349</v>
      </c>
      <c r="E1660" t="s">
        <v>100</v>
      </c>
      <c r="F1660" t="s">
        <v>29491</v>
      </c>
      <c r="G1660" t="s">
        <v>29492</v>
      </c>
      <c r="H1660">
        <v>17.88</v>
      </c>
      <c r="I1660">
        <v>0</v>
      </c>
      <c r="J1660">
        <v>0</v>
      </c>
      <c r="K1660">
        <v>0</v>
      </c>
      <c r="L1660">
        <v>7</v>
      </c>
      <c r="O1660">
        <v>7</v>
      </c>
      <c r="P1660">
        <v>4</v>
      </c>
      <c r="Q1660">
        <v>0</v>
      </c>
      <c r="R1660">
        <v>28.88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H1660">
        <v>28.88</v>
      </c>
    </row>
    <row r="1661" spans="1:34" x14ac:dyDescent="0.3">
      <c r="A1661" s="4">
        <v>1846</v>
      </c>
      <c r="B1661" s="5">
        <v>1654</v>
      </c>
      <c r="C1661">
        <v>11287</v>
      </c>
      <c r="D1661" t="s">
        <v>4627</v>
      </c>
      <c r="E1661" t="s">
        <v>88</v>
      </c>
      <c r="F1661" t="s">
        <v>38</v>
      </c>
      <c r="G1661" t="s">
        <v>29493</v>
      </c>
      <c r="H1661">
        <v>19.850000000000001</v>
      </c>
      <c r="I1661">
        <v>0</v>
      </c>
      <c r="J1661">
        <v>0</v>
      </c>
      <c r="K1661">
        <v>0</v>
      </c>
      <c r="N1661">
        <v>3</v>
      </c>
      <c r="O1661">
        <v>3</v>
      </c>
      <c r="P1661">
        <v>4</v>
      </c>
      <c r="Q1661">
        <v>2</v>
      </c>
      <c r="R1661">
        <v>28.85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H1661">
        <v>28.85</v>
      </c>
    </row>
    <row r="1662" spans="1:34" x14ac:dyDescent="0.3">
      <c r="A1662" s="4">
        <v>1847</v>
      </c>
      <c r="B1662" s="5">
        <v>1655</v>
      </c>
      <c r="C1662">
        <v>6260</v>
      </c>
      <c r="D1662" t="s">
        <v>29494</v>
      </c>
      <c r="E1662" t="s">
        <v>5693</v>
      </c>
      <c r="F1662" t="s">
        <v>2225</v>
      </c>
      <c r="G1662" t="s">
        <v>29495</v>
      </c>
      <c r="H1662">
        <v>17.850000000000001</v>
      </c>
      <c r="I1662">
        <v>0</v>
      </c>
      <c r="J1662">
        <v>0</v>
      </c>
      <c r="K1662">
        <v>0</v>
      </c>
      <c r="L1662">
        <v>7</v>
      </c>
      <c r="O1662">
        <v>7</v>
      </c>
      <c r="P1662">
        <v>4</v>
      </c>
      <c r="Q1662">
        <v>0</v>
      </c>
      <c r="R1662">
        <v>28.85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H1662">
        <v>28.85</v>
      </c>
    </row>
    <row r="1663" spans="1:34" x14ac:dyDescent="0.3">
      <c r="A1663" s="4">
        <v>1848</v>
      </c>
      <c r="B1663" s="5">
        <v>1656</v>
      </c>
      <c r="C1663">
        <v>13289</v>
      </c>
      <c r="D1663" t="s">
        <v>8800</v>
      </c>
      <c r="E1663" t="s">
        <v>166</v>
      </c>
      <c r="F1663" t="s">
        <v>10317</v>
      </c>
      <c r="G1663" t="s">
        <v>32086</v>
      </c>
      <c r="H1663">
        <v>16.829999999999998</v>
      </c>
      <c r="I1663">
        <v>0</v>
      </c>
      <c r="J1663">
        <v>0</v>
      </c>
      <c r="K1663">
        <v>0</v>
      </c>
      <c r="M1663">
        <v>5</v>
      </c>
      <c r="O1663">
        <v>5</v>
      </c>
      <c r="P1663">
        <v>4</v>
      </c>
      <c r="Q1663">
        <v>0</v>
      </c>
      <c r="R1663">
        <v>25.83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3</v>
      </c>
      <c r="AC1663">
        <v>0</v>
      </c>
      <c r="AD1663" t="s">
        <v>130</v>
      </c>
      <c r="AH1663">
        <v>28.83</v>
      </c>
    </row>
    <row r="1664" spans="1:34" x14ac:dyDescent="0.3">
      <c r="A1664" s="4">
        <v>1849</v>
      </c>
      <c r="B1664" s="5">
        <v>1657</v>
      </c>
      <c r="C1664">
        <v>4056</v>
      </c>
      <c r="D1664" t="s">
        <v>29496</v>
      </c>
      <c r="E1664" t="s">
        <v>97</v>
      </c>
      <c r="F1664" t="s">
        <v>909</v>
      </c>
      <c r="G1664" t="s">
        <v>29497</v>
      </c>
      <c r="H1664">
        <v>15.83</v>
      </c>
      <c r="I1664">
        <v>0</v>
      </c>
      <c r="J1664">
        <v>0</v>
      </c>
      <c r="K1664">
        <v>0</v>
      </c>
      <c r="L1664">
        <v>7</v>
      </c>
      <c r="O1664">
        <v>7</v>
      </c>
      <c r="P1664">
        <v>4</v>
      </c>
      <c r="Q1664">
        <v>2</v>
      </c>
      <c r="R1664">
        <v>28.83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H1664">
        <v>28.83</v>
      </c>
    </row>
    <row r="1665" spans="1:34" x14ac:dyDescent="0.3">
      <c r="A1665" s="4">
        <v>1850</v>
      </c>
      <c r="B1665" s="5">
        <v>1658</v>
      </c>
      <c r="C1665">
        <v>7287</v>
      </c>
      <c r="D1665" t="s">
        <v>2916</v>
      </c>
      <c r="E1665" t="s">
        <v>1117</v>
      </c>
      <c r="F1665" t="s">
        <v>30</v>
      </c>
      <c r="G1665" t="s">
        <v>29498</v>
      </c>
      <c r="H1665">
        <v>16.8</v>
      </c>
      <c r="I1665">
        <v>0</v>
      </c>
      <c r="J1665">
        <v>0</v>
      </c>
      <c r="K1665">
        <v>0</v>
      </c>
      <c r="M1665">
        <v>5</v>
      </c>
      <c r="O1665">
        <v>5</v>
      </c>
      <c r="P1665">
        <v>4</v>
      </c>
      <c r="Q1665">
        <v>0</v>
      </c>
      <c r="R1665">
        <v>25.8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3</v>
      </c>
      <c r="AC1665">
        <v>0</v>
      </c>
      <c r="AH1665">
        <v>28.8</v>
      </c>
    </row>
    <row r="1666" spans="1:34" x14ac:dyDescent="0.3">
      <c r="A1666" s="4">
        <v>1851</v>
      </c>
      <c r="B1666" s="5">
        <v>1659</v>
      </c>
      <c r="C1666">
        <v>12268</v>
      </c>
      <c r="D1666" t="s">
        <v>15622</v>
      </c>
      <c r="E1666" t="s">
        <v>825</v>
      </c>
      <c r="F1666" t="s">
        <v>17</v>
      </c>
      <c r="G1666" t="s">
        <v>29499</v>
      </c>
      <c r="H1666">
        <v>16.8</v>
      </c>
      <c r="I1666">
        <v>0</v>
      </c>
      <c r="J1666">
        <v>0</v>
      </c>
      <c r="K1666">
        <v>0</v>
      </c>
      <c r="N1666">
        <v>3</v>
      </c>
      <c r="O1666">
        <v>3</v>
      </c>
      <c r="P1666">
        <v>4</v>
      </c>
      <c r="Q1666">
        <v>2</v>
      </c>
      <c r="R1666">
        <v>25.8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3</v>
      </c>
      <c r="AC1666">
        <v>0</v>
      </c>
      <c r="AH1666">
        <v>28.8</v>
      </c>
    </row>
    <row r="1667" spans="1:34" x14ac:dyDescent="0.3">
      <c r="A1667" s="4">
        <v>1852</v>
      </c>
      <c r="B1667" s="5">
        <v>1660</v>
      </c>
      <c r="C1667">
        <v>3355</v>
      </c>
      <c r="D1667" t="s">
        <v>29500</v>
      </c>
      <c r="E1667" t="s">
        <v>967</v>
      </c>
      <c r="F1667" t="s">
        <v>124</v>
      </c>
      <c r="G1667" t="s">
        <v>29501</v>
      </c>
      <c r="H1667">
        <v>17.78</v>
      </c>
      <c r="I1667">
        <v>0</v>
      </c>
      <c r="J1667">
        <v>0</v>
      </c>
      <c r="K1667">
        <v>0</v>
      </c>
      <c r="L1667">
        <v>7</v>
      </c>
      <c r="O1667">
        <v>7</v>
      </c>
      <c r="P1667">
        <v>4</v>
      </c>
      <c r="Q1667">
        <v>0</v>
      </c>
      <c r="R1667">
        <v>28.78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H1667">
        <v>28.78</v>
      </c>
    </row>
    <row r="1668" spans="1:34" x14ac:dyDescent="0.3">
      <c r="A1668" s="4">
        <v>1853</v>
      </c>
      <c r="B1668" s="5">
        <v>1661</v>
      </c>
      <c r="C1668">
        <v>4269</v>
      </c>
      <c r="D1668" t="s">
        <v>29502</v>
      </c>
      <c r="E1668" t="s">
        <v>17</v>
      </c>
      <c r="F1668" t="s">
        <v>375</v>
      </c>
      <c r="G1668" t="s">
        <v>29503</v>
      </c>
      <c r="H1668">
        <v>17.78</v>
      </c>
      <c r="I1668">
        <v>0</v>
      </c>
      <c r="J1668">
        <v>0</v>
      </c>
      <c r="K1668">
        <v>0</v>
      </c>
      <c r="L1668">
        <v>7</v>
      </c>
      <c r="O1668">
        <v>7</v>
      </c>
      <c r="P1668">
        <v>4</v>
      </c>
      <c r="Q1668">
        <v>0</v>
      </c>
      <c r="R1668">
        <v>28.78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H1668">
        <v>28.78</v>
      </c>
    </row>
    <row r="1669" spans="1:34" x14ac:dyDescent="0.3">
      <c r="A1669" s="4">
        <v>1854</v>
      </c>
      <c r="B1669" s="5">
        <v>1662</v>
      </c>
      <c r="C1669">
        <v>9411</v>
      </c>
      <c r="D1669" t="s">
        <v>29504</v>
      </c>
      <c r="E1669" t="s">
        <v>41</v>
      </c>
      <c r="F1669" t="s">
        <v>81</v>
      </c>
      <c r="G1669" t="s">
        <v>29505</v>
      </c>
      <c r="H1669">
        <v>15.78</v>
      </c>
      <c r="I1669">
        <v>0</v>
      </c>
      <c r="J1669">
        <v>0</v>
      </c>
      <c r="K1669">
        <v>0</v>
      </c>
      <c r="L1669">
        <v>7</v>
      </c>
      <c r="O1669">
        <v>7</v>
      </c>
      <c r="P1669">
        <v>4</v>
      </c>
      <c r="Q1669">
        <v>2</v>
      </c>
      <c r="R1669">
        <v>28.78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H1669">
        <v>28.78</v>
      </c>
    </row>
    <row r="1670" spans="1:34" x14ac:dyDescent="0.3">
      <c r="A1670" s="4">
        <v>1855</v>
      </c>
      <c r="B1670" s="5">
        <v>1663</v>
      </c>
      <c r="C1670">
        <v>2042</v>
      </c>
      <c r="D1670" t="s">
        <v>29506</v>
      </c>
      <c r="E1670" t="s">
        <v>5549</v>
      </c>
      <c r="F1670" t="s">
        <v>975</v>
      </c>
      <c r="G1670" t="s">
        <v>29507</v>
      </c>
      <c r="H1670">
        <v>16.73</v>
      </c>
      <c r="I1670">
        <v>0</v>
      </c>
      <c r="J1670">
        <v>0</v>
      </c>
      <c r="K1670">
        <v>0</v>
      </c>
      <c r="O1670">
        <v>0</v>
      </c>
      <c r="P1670">
        <v>4</v>
      </c>
      <c r="Q1670">
        <v>2</v>
      </c>
      <c r="R1670">
        <v>22.73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6</v>
      </c>
      <c r="AC1670">
        <v>0</v>
      </c>
      <c r="AH1670">
        <v>28.73</v>
      </c>
    </row>
    <row r="1671" spans="1:34" x14ac:dyDescent="0.3">
      <c r="A1671" s="4">
        <v>1856</v>
      </c>
      <c r="B1671" s="5">
        <v>1664</v>
      </c>
      <c r="C1671">
        <v>8720</v>
      </c>
      <c r="D1671" t="s">
        <v>21827</v>
      </c>
      <c r="E1671" t="s">
        <v>147</v>
      </c>
      <c r="F1671" t="s">
        <v>124</v>
      </c>
      <c r="G1671" t="s">
        <v>29508</v>
      </c>
      <c r="H1671">
        <v>18.73</v>
      </c>
      <c r="I1671">
        <v>0</v>
      </c>
      <c r="J1671">
        <v>0</v>
      </c>
      <c r="K1671">
        <v>0</v>
      </c>
      <c r="N1671">
        <v>3</v>
      </c>
      <c r="O1671">
        <v>3</v>
      </c>
      <c r="P1671">
        <v>4</v>
      </c>
      <c r="Q1671">
        <v>0</v>
      </c>
      <c r="R1671">
        <v>25.73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3</v>
      </c>
      <c r="AC1671">
        <v>0</v>
      </c>
      <c r="AH1671">
        <v>28.73</v>
      </c>
    </row>
    <row r="1672" spans="1:34" x14ac:dyDescent="0.3">
      <c r="A1672" s="4">
        <v>1857</v>
      </c>
      <c r="B1672" s="5">
        <v>1665</v>
      </c>
      <c r="C1672">
        <v>15351</v>
      </c>
      <c r="D1672" t="s">
        <v>29509</v>
      </c>
      <c r="E1672" t="s">
        <v>29510</v>
      </c>
      <c r="F1672" t="s">
        <v>1000</v>
      </c>
      <c r="G1672" t="s">
        <v>29511</v>
      </c>
      <c r="H1672">
        <v>21.73</v>
      </c>
      <c r="I1672">
        <v>0</v>
      </c>
      <c r="J1672">
        <v>0</v>
      </c>
      <c r="K1672">
        <v>0</v>
      </c>
      <c r="N1672">
        <v>3</v>
      </c>
      <c r="O1672">
        <v>3</v>
      </c>
      <c r="P1672">
        <v>4</v>
      </c>
      <c r="Q1672">
        <v>0</v>
      </c>
      <c r="R1672">
        <v>28.73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H1672">
        <v>28.73</v>
      </c>
    </row>
    <row r="1673" spans="1:34" x14ac:dyDescent="0.3">
      <c r="A1673" s="4">
        <v>1858</v>
      </c>
      <c r="B1673" s="5">
        <v>1666</v>
      </c>
      <c r="C1673">
        <v>15277</v>
      </c>
      <c r="D1673" t="s">
        <v>29512</v>
      </c>
      <c r="E1673" t="s">
        <v>136</v>
      </c>
      <c r="F1673" t="s">
        <v>20</v>
      </c>
      <c r="G1673" t="s">
        <v>29513</v>
      </c>
      <c r="H1673">
        <v>17.73</v>
      </c>
      <c r="I1673">
        <v>0</v>
      </c>
      <c r="J1673">
        <v>0</v>
      </c>
      <c r="K1673">
        <v>0</v>
      </c>
      <c r="L1673">
        <v>7</v>
      </c>
      <c r="O1673">
        <v>7</v>
      </c>
      <c r="P1673">
        <v>4</v>
      </c>
      <c r="Q1673">
        <v>0</v>
      </c>
      <c r="R1673">
        <v>28.73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H1673">
        <v>28.73</v>
      </c>
    </row>
    <row r="1674" spans="1:34" x14ac:dyDescent="0.3">
      <c r="A1674" s="4">
        <v>1859</v>
      </c>
      <c r="B1674" s="5">
        <v>1667</v>
      </c>
      <c r="C1674">
        <v>12586</v>
      </c>
      <c r="D1674" t="s">
        <v>1624</v>
      </c>
      <c r="E1674" t="s">
        <v>54</v>
      </c>
      <c r="F1674" t="s">
        <v>4176</v>
      </c>
      <c r="G1674" t="s">
        <v>29514</v>
      </c>
      <c r="H1674">
        <v>16.7</v>
      </c>
      <c r="I1674">
        <v>0</v>
      </c>
      <c r="J1674">
        <v>0</v>
      </c>
      <c r="K1674">
        <v>0</v>
      </c>
      <c r="N1674">
        <v>3</v>
      </c>
      <c r="O1674">
        <v>3</v>
      </c>
      <c r="P1674">
        <v>4</v>
      </c>
      <c r="Q1674">
        <v>2</v>
      </c>
      <c r="R1674">
        <v>25.7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3</v>
      </c>
      <c r="AC1674">
        <v>0</v>
      </c>
      <c r="AH1674">
        <v>28.7</v>
      </c>
    </row>
    <row r="1675" spans="1:34" x14ac:dyDescent="0.3">
      <c r="A1675" s="4">
        <v>1860</v>
      </c>
      <c r="B1675" s="5">
        <v>1668</v>
      </c>
      <c r="C1675">
        <v>7296</v>
      </c>
      <c r="D1675" t="s">
        <v>1329</v>
      </c>
      <c r="E1675" t="s">
        <v>100</v>
      </c>
      <c r="F1675" t="s">
        <v>158</v>
      </c>
      <c r="G1675" t="s">
        <v>5121</v>
      </c>
      <c r="H1675">
        <v>17.7</v>
      </c>
      <c r="I1675">
        <v>0</v>
      </c>
      <c r="J1675">
        <v>0</v>
      </c>
      <c r="K1675">
        <v>0</v>
      </c>
      <c r="L1675">
        <v>7</v>
      </c>
      <c r="O1675">
        <v>7</v>
      </c>
      <c r="P1675">
        <v>4</v>
      </c>
      <c r="Q1675">
        <v>0</v>
      </c>
      <c r="R1675">
        <v>28.7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H1675">
        <v>28.7</v>
      </c>
    </row>
    <row r="1676" spans="1:34" x14ac:dyDescent="0.3">
      <c r="A1676" s="4">
        <v>1861</v>
      </c>
      <c r="B1676" s="5">
        <v>1669</v>
      </c>
      <c r="C1676">
        <v>14013</v>
      </c>
      <c r="D1676" t="s">
        <v>3764</v>
      </c>
      <c r="E1676" t="s">
        <v>550</v>
      </c>
      <c r="F1676" t="s">
        <v>6216</v>
      </c>
      <c r="G1676" t="s">
        <v>29515</v>
      </c>
      <c r="H1676">
        <v>17.7</v>
      </c>
      <c r="I1676">
        <v>0</v>
      </c>
      <c r="J1676">
        <v>0</v>
      </c>
      <c r="K1676">
        <v>0</v>
      </c>
      <c r="L1676">
        <v>7</v>
      </c>
      <c r="O1676">
        <v>7</v>
      </c>
      <c r="P1676">
        <v>4</v>
      </c>
      <c r="Q1676">
        <v>0</v>
      </c>
      <c r="R1676">
        <v>28.7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H1676">
        <v>28.7</v>
      </c>
    </row>
    <row r="1677" spans="1:34" x14ac:dyDescent="0.3">
      <c r="A1677" s="4">
        <v>1862</v>
      </c>
      <c r="B1677" s="5">
        <v>1670</v>
      </c>
      <c r="C1677">
        <v>355</v>
      </c>
      <c r="D1677" t="s">
        <v>4637</v>
      </c>
      <c r="E1677" t="s">
        <v>29</v>
      </c>
      <c r="F1677" t="s">
        <v>238</v>
      </c>
      <c r="G1677" t="s">
        <v>29516</v>
      </c>
      <c r="H1677">
        <v>17.7</v>
      </c>
      <c r="I1677">
        <v>0</v>
      </c>
      <c r="J1677">
        <v>0</v>
      </c>
      <c r="K1677">
        <v>0</v>
      </c>
      <c r="N1677">
        <v>3</v>
      </c>
      <c r="O1677">
        <v>3</v>
      </c>
      <c r="P1677">
        <v>0</v>
      </c>
      <c r="Q1677">
        <v>2</v>
      </c>
      <c r="R1677">
        <v>22.7</v>
      </c>
      <c r="S1677">
        <v>6</v>
      </c>
      <c r="T1677">
        <v>6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6</v>
      </c>
      <c r="AB1677">
        <v>0</v>
      </c>
      <c r="AC1677">
        <v>0</v>
      </c>
      <c r="AH1677">
        <v>28.7</v>
      </c>
    </row>
    <row r="1678" spans="1:34" x14ac:dyDescent="0.3">
      <c r="A1678" s="4">
        <v>1863</v>
      </c>
      <c r="B1678" s="5">
        <v>1671</v>
      </c>
      <c r="C1678">
        <v>1486</v>
      </c>
      <c r="D1678" t="s">
        <v>29517</v>
      </c>
      <c r="E1678" t="s">
        <v>88</v>
      </c>
      <c r="F1678" t="s">
        <v>5614</v>
      </c>
      <c r="G1678" t="s">
        <v>29518</v>
      </c>
      <c r="H1678">
        <v>18.68</v>
      </c>
      <c r="I1678">
        <v>0</v>
      </c>
      <c r="J1678">
        <v>0</v>
      </c>
      <c r="K1678">
        <v>0</v>
      </c>
      <c r="O1678">
        <v>0</v>
      </c>
      <c r="P1678">
        <v>4</v>
      </c>
      <c r="Q1678">
        <v>0</v>
      </c>
      <c r="R1678">
        <v>22.68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6</v>
      </c>
      <c r="AC1678">
        <v>0</v>
      </c>
      <c r="AH1678">
        <v>28.68</v>
      </c>
    </row>
    <row r="1679" spans="1:34" x14ac:dyDescent="0.3">
      <c r="A1679" s="4">
        <v>1864</v>
      </c>
      <c r="B1679" s="5">
        <v>1672</v>
      </c>
      <c r="C1679">
        <v>6418</v>
      </c>
      <c r="D1679" t="s">
        <v>8015</v>
      </c>
      <c r="E1679" t="s">
        <v>1484</v>
      </c>
      <c r="F1679" t="s">
        <v>55</v>
      </c>
      <c r="G1679" t="s">
        <v>29519</v>
      </c>
      <c r="H1679">
        <v>17.68</v>
      </c>
      <c r="I1679">
        <v>0</v>
      </c>
      <c r="J1679">
        <v>0</v>
      </c>
      <c r="K1679">
        <v>0</v>
      </c>
      <c r="L1679">
        <v>7</v>
      </c>
      <c r="O1679">
        <v>7</v>
      </c>
      <c r="P1679">
        <v>4</v>
      </c>
      <c r="Q1679">
        <v>0</v>
      </c>
      <c r="R1679">
        <v>28.68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H1679">
        <v>28.68</v>
      </c>
    </row>
    <row r="1680" spans="1:34" x14ac:dyDescent="0.3">
      <c r="A1680" s="4">
        <v>1865</v>
      </c>
      <c r="B1680" s="5">
        <v>1673</v>
      </c>
      <c r="C1680">
        <v>11468</v>
      </c>
      <c r="D1680" t="s">
        <v>3792</v>
      </c>
      <c r="E1680" t="s">
        <v>54</v>
      </c>
      <c r="F1680" t="s">
        <v>972</v>
      </c>
      <c r="G1680" t="s">
        <v>29520</v>
      </c>
      <c r="H1680">
        <v>17.68</v>
      </c>
      <c r="I1680">
        <v>0</v>
      </c>
      <c r="J1680">
        <v>0</v>
      </c>
      <c r="K1680">
        <v>0</v>
      </c>
      <c r="L1680">
        <v>7</v>
      </c>
      <c r="O1680">
        <v>7</v>
      </c>
      <c r="P1680">
        <v>4</v>
      </c>
      <c r="Q1680">
        <v>0</v>
      </c>
      <c r="R1680">
        <v>28.68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H1680">
        <v>28.68</v>
      </c>
    </row>
    <row r="1681" spans="1:34" x14ac:dyDescent="0.3">
      <c r="A1681" s="4">
        <v>1866</v>
      </c>
      <c r="B1681" s="5">
        <v>1674</v>
      </c>
      <c r="C1681">
        <v>11141</v>
      </c>
      <c r="D1681" t="s">
        <v>27893</v>
      </c>
      <c r="E1681" t="s">
        <v>268</v>
      </c>
      <c r="F1681" t="s">
        <v>343</v>
      </c>
      <c r="G1681" t="s">
        <v>29521</v>
      </c>
      <c r="H1681">
        <v>18.600000000000001</v>
      </c>
      <c r="I1681">
        <v>0</v>
      </c>
      <c r="J1681">
        <v>0</v>
      </c>
      <c r="K1681">
        <v>0</v>
      </c>
      <c r="N1681">
        <v>3</v>
      </c>
      <c r="O1681">
        <v>3</v>
      </c>
      <c r="P1681">
        <v>4</v>
      </c>
      <c r="Q1681">
        <v>0</v>
      </c>
      <c r="R1681">
        <v>25.6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3</v>
      </c>
      <c r="AC1681">
        <v>0</v>
      </c>
      <c r="AH1681">
        <v>28.6</v>
      </c>
    </row>
    <row r="1682" spans="1:34" x14ac:dyDescent="0.3">
      <c r="A1682" s="4">
        <v>1867</v>
      </c>
      <c r="B1682" s="5">
        <v>1675</v>
      </c>
      <c r="C1682">
        <v>4383</v>
      </c>
      <c r="D1682" t="s">
        <v>29522</v>
      </c>
      <c r="E1682" t="s">
        <v>110</v>
      </c>
      <c r="F1682" t="s">
        <v>20</v>
      </c>
      <c r="G1682" t="s">
        <v>29523</v>
      </c>
      <c r="H1682">
        <v>17.600000000000001</v>
      </c>
      <c r="I1682">
        <v>0</v>
      </c>
      <c r="J1682">
        <v>0</v>
      </c>
      <c r="K1682">
        <v>0</v>
      </c>
      <c r="L1682">
        <v>7</v>
      </c>
      <c r="O1682">
        <v>7</v>
      </c>
      <c r="P1682">
        <v>4</v>
      </c>
      <c r="Q1682">
        <v>0</v>
      </c>
      <c r="R1682">
        <v>28.6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H1682">
        <v>28.6</v>
      </c>
    </row>
    <row r="1683" spans="1:34" x14ac:dyDescent="0.3">
      <c r="A1683" s="4">
        <v>1868</v>
      </c>
      <c r="B1683" s="5">
        <v>1676</v>
      </c>
      <c r="C1683">
        <v>6769</v>
      </c>
      <c r="D1683" t="s">
        <v>29524</v>
      </c>
      <c r="E1683" t="s">
        <v>166</v>
      </c>
      <c r="F1683" t="s">
        <v>190</v>
      </c>
      <c r="G1683" t="s">
        <v>29525</v>
      </c>
      <c r="H1683">
        <v>17.600000000000001</v>
      </c>
      <c r="I1683">
        <v>0</v>
      </c>
      <c r="J1683">
        <v>0</v>
      </c>
      <c r="K1683">
        <v>0</v>
      </c>
      <c r="L1683">
        <v>7</v>
      </c>
      <c r="O1683">
        <v>7</v>
      </c>
      <c r="P1683">
        <v>4</v>
      </c>
      <c r="Q1683">
        <v>0</v>
      </c>
      <c r="R1683">
        <v>28.6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H1683">
        <v>28.6</v>
      </c>
    </row>
    <row r="1684" spans="1:34" x14ac:dyDescent="0.3">
      <c r="A1684" s="4">
        <v>1869</v>
      </c>
      <c r="B1684" s="5">
        <v>1677</v>
      </c>
      <c r="C1684">
        <v>12061</v>
      </c>
      <c r="D1684" t="s">
        <v>3684</v>
      </c>
      <c r="E1684" t="s">
        <v>100</v>
      </c>
      <c r="F1684" t="s">
        <v>136</v>
      </c>
      <c r="G1684" t="s">
        <v>29526</v>
      </c>
      <c r="H1684">
        <v>17.600000000000001</v>
      </c>
      <c r="I1684">
        <v>0</v>
      </c>
      <c r="J1684">
        <v>0</v>
      </c>
      <c r="K1684">
        <v>0</v>
      </c>
      <c r="L1684">
        <v>7</v>
      </c>
      <c r="O1684">
        <v>7</v>
      </c>
      <c r="P1684">
        <v>4</v>
      </c>
      <c r="Q1684">
        <v>0</v>
      </c>
      <c r="R1684">
        <v>28.6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H1684">
        <v>28.6</v>
      </c>
    </row>
    <row r="1685" spans="1:34" x14ac:dyDescent="0.3">
      <c r="A1685" s="4">
        <v>1870</v>
      </c>
      <c r="B1685" s="5">
        <v>1678</v>
      </c>
      <c r="C1685">
        <v>8478</v>
      </c>
      <c r="D1685" t="s">
        <v>999</v>
      </c>
      <c r="E1685" t="s">
        <v>29</v>
      </c>
      <c r="F1685" t="s">
        <v>38</v>
      </c>
      <c r="G1685" t="s">
        <v>29527</v>
      </c>
      <c r="H1685">
        <v>17.600000000000001</v>
      </c>
      <c r="I1685">
        <v>0</v>
      </c>
      <c r="J1685">
        <v>0</v>
      </c>
      <c r="K1685">
        <v>0</v>
      </c>
      <c r="L1685">
        <v>7</v>
      </c>
      <c r="O1685">
        <v>7</v>
      </c>
      <c r="P1685">
        <v>4</v>
      </c>
      <c r="Q1685">
        <v>0</v>
      </c>
      <c r="R1685">
        <v>28.6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H1685">
        <v>28.6</v>
      </c>
    </row>
    <row r="1686" spans="1:34" x14ac:dyDescent="0.3">
      <c r="A1686" s="4">
        <v>1871</v>
      </c>
      <c r="B1686" s="5">
        <v>1679</v>
      </c>
      <c r="C1686">
        <v>15603</v>
      </c>
      <c r="D1686" t="s">
        <v>29528</v>
      </c>
      <c r="E1686" t="s">
        <v>1716</v>
      </c>
      <c r="F1686" t="s">
        <v>62</v>
      </c>
      <c r="G1686" t="s">
        <v>29529</v>
      </c>
      <c r="H1686">
        <v>18.579999999999998</v>
      </c>
      <c r="I1686">
        <v>0</v>
      </c>
      <c r="J1686">
        <v>0</v>
      </c>
      <c r="K1686">
        <v>0</v>
      </c>
      <c r="O1686">
        <v>0</v>
      </c>
      <c r="P1686">
        <v>4</v>
      </c>
      <c r="Q1686">
        <v>0</v>
      </c>
      <c r="R1686">
        <v>22.58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6</v>
      </c>
      <c r="AC1686">
        <v>0</v>
      </c>
      <c r="AH1686">
        <v>28.58</v>
      </c>
    </row>
    <row r="1687" spans="1:34" x14ac:dyDescent="0.3">
      <c r="A1687" s="4">
        <v>1872</v>
      </c>
      <c r="B1687" s="5">
        <v>1680</v>
      </c>
      <c r="C1687">
        <v>8980</v>
      </c>
      <c r="D1687" t="s">
        <v>29530</v>
      </c>
      <c r="E1687" t="s">
        <v>208</v>
      </c>
      <c r="F1687" t="s">
        <v>38</v>
      </c>
      <c r="G1687" t="s">
        <v>29531</v>
      </c>
      <c r="H1687">
        <v>15.58</v>
      </c>
      <c r="I1687">
        <v>0</v>
      </c>
      <c r="J1687">
        <v>0</v>
      </c>
      <c r="K1687">
        <v>0</v>
      </c>
      <c r="N1687">
        <v>3</v>
      </c>
      <c r="O1687">
        <v>3</v>
      </c>
      <c r="P1687">
        <v>4</v>
      </c>
      <c r="Q1687">
        <v>0</v>
      </c>
      <c r="R1687">
        <v>22.58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6</v>
      </c>
      <c r="AC1687">
        <v>0</v>
      </c>
      <c r="AH1687">
        <v>28.58</v>
      </c>
    </row>
    <row r="1688" spans="1:34" x14ac:dyDescent="0.3">
      <c r="A1688" s="4">
        <v>1873</v>
      </c>
      <c r="B1688" s="5">
        <v>1681</v>
      </c>
      <c r="C1688">
        <v>9175</v>
      </c>
      <c r="D1688" t="s">
        <v>29532</v>
      </c>
      <c r="E1688" t="s">
        <v>594</v>
      </c>
      <c r="F1688" t="s">
        <v>17</v>
      </c>
      <c r="G1688" t="s">
        <v>29533</v>
      </c>
      <c r="H1688">
        <v>15.58</v>
      </c>
      <c r="I1688">
        <v>0</v>
      </c>
      <c r="J1688">
        <v>0</v>
      </c>
      <c r="K1688">
        <v>0</v>
      </c>
      <c r="N1688">
        <v>3</v>
      </c>
      <c r="O1688">
        <v>3</v>
      </c>
      <c r="P1688">
        <v>4</v>
      </c>
      <c r="Q1688">
        <v>0</v>
      </c>
      <c r="R1688">
        <v>22.58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6</v>
      </c>
      <c r="AC1688">
        <v>0</v>
      </c>
      <c r="AH1688">
        <v>28.58</v>
      </c>
    </row>
    <row r="1689" spans="1:34" x14ac:dyDescent="0.3">
      <c r="A1689" s="4">
        <v>1874</v>
      </c>
      <c r="B1689" s="5">
        <v>1682</v>
      </c>
      <c r="C1689">
        <v>6021</v>
      </c>
      <c r="D1689" t="s">
        <v>29534</v>
      </c>
      <c r="E1689" t="s">
        <v>471</v>
      </c>
      <c r="F1689" t="s">
        <v>328</v>
      </c>
      <c r="G1689" t="s">
        <v>29535</v>
      </c>
      <c r="H1689">
        <v>17.579999999999998</v>
      </c>
      <c r="I1689">
        <v>0</v>
      </c>
      <c r="J1689">
        <v>0</v>
      </c>
      <c r="K1689">
        <v>0</v>
      </c>
      <c r="L1689">
        <v>7</v>
      </c>
      <c r="O1689">
        <v>7</v>
      </c>
      <c r="P1689">
        <v>4</v>
      </c>
      <c r="Q1689">
        <v>0</v>
      </c>
      <c r="R1689">
        <v>28.58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H1689">
        <v>28.58</v>
      </c>
    </row>
    <row r="1690" spans="1:34" x14ac:dyDescent="0.3">
      <c r="A1690" s="4">
        <v>1875</v>
      </c>
      <c r="B1690" s="5">
        <v>1683</v>
      </c>
      <c r="C1690">
        <v>12126</v>
      </c>
      <c r="D1690" t="s">
        <v>12844</v>
      </c>
      <c r="E1690" t="s">
        <v>166</v>
      </c>
      <c r="F1690" t="s">
        <v>136</v>
      </c>
      <c r="G1690" t="s">
        <v>29536</v>
      </c>
      <c r="H1690">
        <v>16.579999999999998</v>
      </c>
      <c r="I1690">
        <v>0</v>
      </c>
      <c r="J1690">
        <v>0</v>
      </c>
      <c r="K1690">
        <v>0</v>
      </c>
      <c r="N1690">
        <v>3</v>
      </c>
      <c r="O1690">
        <v>3</v>
      </c>
      <c r="P1690">
        <v>0</v>
      </c>
      <c r="Q1690">
        <v>2</v>
      </c>
      <c r="R1690">
        <v>21.58</v>
      </c>
      <c r="S1690">
        <v>7</v>
      </c>
      <c r="T1690">
        <v>7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7</v>
      </c>
      <c r="AB1690">
        <v>0</v>
      </c>
      <c r="AC1690">
        <v>0</v>
      </c>
      <c r="AD1690" t="s">
        <v>130</v>
      </c>
      <c r="AH1690">
        <v>28.58</v>
      </c>
    </row>
    <row r="1691" spans="1:34" x14ac:dyDescent="0.3">
      <c r="A1691" s="4">
        <v>1876</v>
      </c>
      <c r="B1691" s="5">
        <v>1684</v>
      </c>
      <c r="C1691">
        <v>10008</v>
      </c>
      <c r="D1691" t="s">
        <v>29537</v>
      </c>
      <c r="E1691" t="s">
        <v>3775</v>
      </c>
      <c r="F1691" t="s">
        <v>190</v>
      </c>
      <c r="G1691" t="s">
        <v>29538</v>
      </c>
      <c r="H1691">
        <v>18.55</v>
      </c>
      <c r="I1691">
        <v>0</v>
      </c>
      <c r="J1691">
        <v>0</v>
      </c>
      <c r="K1691">
        <v>0</v>
      </c>
      <c r="N1691">
        <v>3</v>
      </c>
      <c r="O1691">
        <v>3</v>
      </c>
      <c r="P1691">
        <v>4</v>
      </c>
      <c r="Q1691">
        <v>0</v>
      </c>
      <c r="R1691">
        <v>25.55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3</v>
      </c>
      <c r="AC1691">
        <v>0</v>
      </c>
      <c r="AH1691">
        <v>28.55</v>
      </c>
    </row>
    <row r="1692" spans="1:34" x14ac:dyDescent="0.3">
      <c r="A1692" s="4">
        <v>1877</v>
      </c>
      <c r="B1692" s="5">
        <v>1685</v>
      </c>
      <c r="C1692">
        <v>3534</v>
      </c>
      <c r="D1692" t="s">
        <v>29539</v>
      </c>
      <c r="E1692" t="s">
        <v>29540</v>
      </c>
      <c r="F1692" t="s">
        <v>81</v>
      </c>
      <c r="G1692" t="s">
        <v>29541</v>
      </c>
      <c r="H1692">
        <v>18.55</v>
      </c>
      <c r="I1692">
        <v>0</v>
      </c>
      <c r="J1692">
        <v>0</v>
      </c>
      <c r="K1692">
        <v>0</v>
      </c>
      <c r="N1692">
        <v>3</v>
      </c>
      <c r="O1692">
        <v>3</v>
      </c>
      <c r="P1692">
        <v>4</v>
      </c>
      <c r="Q1692">
        <v>0</v>
      </c>
      <c r="R1692">
        <v>25.55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3</v>
      </c>
      <c r="AC1692">
        <v>0</v>
      </c>
      <c r="AH1692">
        <v>28.55</v>
      </c>
    </row>
    <row r="1693" spans="1:34" x14ac:dyDescent="0.3">
      <c r="A1693" s="4">
        <v>1878</v>
      </c>
      <c r="B1693" s="5">
        <v>1686</v>
      </c>
      <c r="C1693">
        <v>7608</v>
      </c>
      <c r="D1693" t="s">
        <v>29542</v>
      </c>
      <c r="E1693" t="s">
        <v>1785</v>
      </c>
      <c r="F1693" t="s">
        <v>38</v>
      </c>
      <c r="G1693" t="s">
        <v>29543</v>
      </c>
      <c r="H1693">
        <v>17.55</v>
      </c>
      <c r="I1693">
        <v>0</v>
      </c>
      <c r="J1693">
        <v>0</v>
      </c>
      <c r="K1693">
        <v>0</v>
      </c>
      <c r="L1693">
        <v>7</v>
      </c>
      <c r="O1693">
        <v>7</v>
      </c>
      <c r="P1693">
        <v>4</v>
      </c>
      <c r="Q1693">
        <v>0</v>
      </c>
      <c r="R1693">
        <v>28.55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H1693">
        <v>28.55</v>
      </c>
    </row>
    <row r="1694" spans="1:34" x14ac:dyDescent="0.3">
      <c r="A1694" s="4">
        <v>1879</v>
      </c>
      <c r="B1694" s="5">
        <v>1687</v>
      </c>
      <c r="C1694">
        <v>5551</v>
      </c>
      <c r="D1694" t="s">
        <v>13164</v>
      </c>
      <c r="E1694" t="s">
        <v>41</v>
      </c>
      <c r="F1694" t="s">
        <v>136</v>
      </c>
      <c r="G1694" t="s">
        <v>29544</v>
      </c>
      <c r="H1694">
        <v>15.53</v>
      </c>
      <c r="I1694">
        <v>0</v>
      </c>
      <c r="J1694">
        <v>0</v>
      </c>
      <c r="K1694">
        <v>0</v>
      </c>
      <c r="N1694">
        <v>3</v>
      </c>
      <c r="O1694">
        <v>3</v>
      </c>
      <c r="P1694">
        <v>4</v>
      </c>
      <c r="Q1694">
        <v>0</v>
      </c>
      <c r="R1694">
        <v>22.53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6</v>
      </c>
      <c r="AC1694">
        <v>0</v>
      </c>
      <c r="AH1694">
        <v>28.53</v>
      </c>
    </row>
    <row r="1695" spans="1:34" x14ac:dyDescent="0.3">
      <c r="A1695" s="4">
        <v>1880</v>
      </c>
      <c r="B1695" s="5">
        <v>1688</v>
      </c>
      <c r="C1695">
        <v>7547</v>
      </c>
      <c r="D1695" t="s">
        <v>17430</v>
      </c>
      <c r="E1695" t="s">
        <v>208</v>
      </c>
      <c r="F1695" t="s">
        <v>38</v>
      </c>
      <c r="G1695" t="s">
        <v>29545</v>
      </c>
      <c r="H1695">
        <v>17.53</v>
      </c>
      <c r="I1695">
        <v>0</v>
      </c>
      <c r="J1695">
        <v>0</v>
      </c>
      <c r="K1695">
        <v>0</v>
      </c>
      <c r="L1695">
        <v>7</v>
      </c>
      <c r="O1695">
        <v>7</v>
      </c>
      <c r="P1695">
        <v>4</v>
      </c>
      <c r="Q1695">
        <v>0</v>
      </c>
      <c r="R1695">
        <v>28.53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H1695">
        <v>28.53</v>
      </c>
    </row>
    <row r="1696" spans="1:34" x14ac:dyDescent="0.3">
      <c r="A1696" s="4">
        <v>1881</v>
      </c>
      <c r="B1696" s="5">
        <v>1689</v>
      </c>
      <c r="C1696">
        <v>1014</v>
      </c>
      <c r="D1696" t="s">
        <v>29546</v>
      </c>
      <c r="E1696" t="s">
        <v>1997</v>
      </c>
      <c r="F1696" t="s">
        <v>20</v>
      </c>
      <c r="G1696" t="s">
        <v>29547</v>
      </c>
      <c r="H1696">
        <v>17.53</v>
      </c>
      <c r="I1696">
        <v>0</v>
      </c>
      <c r="J1696">
        <v>0</v>
      </c>
      <c r="K1696">
        <v>0</v>
      </c>
      <c r="L1696">
        <v>7</v>
      </c>
      <c r="O1696">
        <v>7</v>
      </c>
      <c r="P1696">
        <v>4</v>
      </c>
      <c r="Q1696">
        <v>0</v>
      </c>
      <c r="R1696">
        <v>28.53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H1696">
        <v>28.53</v>
      </c>
    </row>
    <row r="1697" spans="1:34" x14ac:dyDescent="0.3">
      <c r="A1697" s="4">
        <v>1882</v>
      </c>
      <c r="B1697" s="5">
        <v>1690</v>
      </c>
      <c r="C1697">
        <v>12401</v>
      </c>
      <c r="D1697" t="s">
        <v>29548</v>
      </c>
      <c r="E1697" t="s">
        <v>258</v>
      </c>
      <c r="F1697" t="s">
        <v>892</v>
      </c>
      <c r="G1697" t="s">
        <v>29549</v>
      </c>
      <c r="H1697">
        <v>17.48</v>
      </c>
      <c r="I1697">
        <v>0</v>
      </c>
      <c r="J1697">
        <v>0</v>
      </c>
      <c r="K1697">
        <v>0</v>
      </c>
      <c r="M1697">
        <v>5</v>
      </c>
      <c r="O1697">
        <v>5</v>
      </c>
      <c r="P1697">
        <v>4</v>
      </c>
      <c r="Q1697">
        <v>2</v>
      </c>
      <c r="R1697">
        <v>28.48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H1697">
        <v>28.48</v>
      </c>
    </row>
    <row r="1698" spans="1:34" x14ac:dyDescent="0.3">
      <c r="A1698" s="4">
        <v>1883</v>
      </c>
      <c r="B1698" s="5">
        <v>1691</v>
      </c>
      <c r="C1698">
        <v>6232</v>
      </c>
      <c r="D1698" t="s">
        <v>29550</v>
      </c>
      <c r="E1698" t="s">
        <v>88</v>
      </c>
      <c r="F1698" t="s">
        <v>539</v>
      </c>
      <c r="G1698" t="s">
        <v>29551</v>
      </c>
      <c r="H1698">
        <v>17.45</v>
      </c>
      <c r="I1698">
        <v>0</v>
      </c>
      <c r="J1698">
        <v>0</v>
      </c>
      <c r="K1698">
        <v>0</v>
      </c>
      <c r="L1698">
        <v>7</v>
      </c>
      <c r="O1698">
        <v>7</v>
      </c>
      <c r="P1698">
        <v>4</v>
      </c>
      <c r="Q1698">
        <v>0</v>
      </c>
      <c r="R1698">
        <v>28.45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H1698">
        <v>28.45</v>
      </c>
    </row>
    <row r="1699" spans="1:34" x14ac:dyDescent="0.3">
      <c r="A1699" s="4">
        <v>1884</v>
      </c>
      <c r="B1699" s="5">
        <v>1692</v>
      </c>
      <c r="C1699">
        <v>2962</v>
      </c>
      <c r="D1699" t="s">
        <v>29552</v>
      </c>
      <c r="E1699" t="s">
        <v>29</v>
      </c>
      <c r="F1699" t="s">
        <v>81</v>
      </c>
      <c r="G1699" t="s">
        <v>29553</v>
      </c>
      <c r="H1699">
        <v>17.43</v>
      </c>
      <c r="I1699">
        <v>0</v>
      </c>
      <c r="J1699">
        <v>0</v>
      </c>
      <c r="K1699">
        <v>0</v>
      </c>
      <c r="M1699">
        <v>5</v>
      </c>
      <c r="O1699">
        <v>5</v>
      </c>
      <c r="P1699">
        <v>4</v>
      </c>
      <c r="Q1699">
        <v>2</v>
      </c>
      <c r="R1699">
        <v>28.43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 t="s">
        <v>130</v>
      </c>
      <c r="AH1699">
        <v>28.43</v>
      </c>
    </row>
    <row r="1700" spans="1:34" x14ac:dyDescent="0.3">
      <c r="A1700" s="4">
        <v>1885</v>
      </c>
      <c r="B1700" s="5">
        <v>1693</v>
      </c>
      <c r="C1700">
        <v>3228</v>
      </c>
      <c r="D1700" t="s">
        <v>317</v>
      </c>
      <c r="E1700" t="s">
        <v>789</v>
      </c>
      <c r="F1700" t="s">
        <v>570</v>
      </c>
      <c r="G1700" t="s">
        <v>29554</v>
      </c>
      <c r="H1700">
        <v>21.38</v>
      </c>
      <c r="I1700">
        <v>0</v>
      </c>
      <c r="J1700">
        <v>0</v>
      </c>
      <c r="K1700">
        <v>0</v>
      </c>
      <c r="N1700">
        <v>3</v>
      </c>
      <c r="O1700">
        <v>3</v>
      </c>
      <c r="P1700">
        <v>4</v>
      </c>
      <c r="Q1700">
        <v>0</v>
      </c>
      <c r="R1700">
        <v>28.38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H1700">
        <v>28.38</v>
      </c>
    </row>
    <row r="1701" spans="1:34" x14ac:dyDescent="0.3">
      <c r="A1701" s="4">
        <v>1886</v>
      </c>
      <c r="B1701" s="5">
        <v>1694</v>
      </c>
      <c r="C1701">
        <v>7668</v>
      </c>
      <c r="D1701" t="s">
        <v>18939</v>
      </c>
      <c r="E1701" t="s">
        <v>41</v>
      </c>
      <c r="F1701" t="s">
        <v>124</v>
      </c>
      <c r="G1701" t="s">
        <v>29555</v>
      </c>
      <c r="H1701">
        <v>17.38</v>
      </c>
      <c r="I1701">
        <v>0</v>
      </c>
      <c r="J1701">
        <v>0</v>
      </c>
      <c r="K1701">
        <v>0</v>
      </c>
      <c r="L1701">
        <v>7</v>
      </c>
      <c r="O1701">
        <v>7</v>
      </c>
      <c r="P1701">
        <v>4</v>
      </c>
      <c r="Q1701">
        <v>0</v>
      </c>
      <c r="R1701">
        <v>28.38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H1701">
        <v>28.38</v>
      </c>
    </row>
    <row r="1702" spans="1:34" x14ac:dyDescent="0.3">
      <c r="A1702" s="4">
        <v>1887</v>
      </c>
      <c r="B1702" s="5">
        <v>1695</v>
      </c>
      <c r="C1702">
        <v>10584</v>
      </c>
      <c r="D1702" t="s">
        <v>29556</v>
      </c>
      <c r="E1702" t="s">
        <v>143</v>
      </c>
      <c r="F1702" t="s">
        <v>782</v>
      </c>
      <c r="G1702" t="s">
        <v>29557</v>
      </c>
      <c r="H1702">
        <v>18.350000000000001</v>
      </c>
      <c r="I1702">
        <v>0</v>
      </c>
      <c r="J1702">
        <v>0</v>
      </c>
      <c r="K1702">
        <v>0</v>
      </c>
      <c r="N1702">
        <v>6</v>
      </c>
      <c r="O1702">
        <v>6</v>
      </c>
      <c r="P1702">
        <v>4</v>
      </c>
      <c r="Q1702">
        <v>0</v>
      </c>
      <c r="R1702">
        <v>28.35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H1702">
        <v>28.35</v>
      </c>
    </row>
    <row r="1703" spans="1:34" x14ac:dyDescent="0.3">
      <c r="A1703" s="4">
        <v>1888</v>
      </c>
      <c r="B1703" s="5">
        <v>1696</v>
      </c>
      <c r="C1703">
        <v>8898</v>
      </c>
      <c r="D1703" t="s">
        <v>29558</v>
      </c>
      <c r="E1703" t="s">
        <v>1331</v>
      </c>
      <c r="F1703" t="s">
        <v>10326</v>
      </c>
      <c r="G1703" t="s">
        <v>29559</v>
      </c>
      <c r="H1703">
        <v>17.350000000000001</v>
      </c>
      <c r="I1703">
        <v>0</v>
      </c>
      <c r="J1703">
        <v>0</v>
      </c>
      <c r="K1703">
        <v>0</v>
      </c>
      <c r="L1703">
        <v>7</v>
      </c>
      <c r="O1703">
        <v>7</v>
      </c>
      <c r="P1703">
        <v>4</v>
      </c>
      <c r="Q1703">
        <v>0</v>
      </c>
      <c r="R1703">
        <v>28.35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H1703">
        <v>28.35</v>
      </c>
    </row>
    <row r="1704" spans="1:34" x14ac:dyDescent="0.3">
      <c r="A1704" s="4">
        <v>1889</v>
      </c>
      <c r="B1704" s="5">
        <v>1697</v>
      </c>
      <c r="C1704">
        <v>6355</v>
      </c>
      <c r="D1704" t="s">
        <v>29560</v>
      </c>
      <c r="E1704" t="s">
        <v>258</v>
      </c>
      <c r="F1704" t="s">
        <v>9636</v>
      </c>
      <c r="G1704" t="s">
        <v>29561</v>
      </c>
      <c r="H1704">
        <v>22.25</v>
      </c>
      <c r="I1704">
        <v>0</v>
      </c>
      <c r="J1704">
        <v>0</v>
      </c>
      <c r="K1704">
        <v>0</v>
      </c>
      <c r="N1704">
        <v>6</v>
      </c>
      <c r="O1704">
        <v>6</v>
      </c>
      <c r="P1704">
        <v>0</v>
      </c>
      <c r="Q1704">
        <v>0</v>
      </c>
      <c r="R1704">
        <v>28.25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H1704">
        <v>28.25</v>
      </c>
    </row>
    <row r="1705" spans="1:34" x14ac:dyDescent="0.3">
      <c r="A1705" s="4">
        <v>1890</v>
      </c>
      <c r="B1705" s="5">
        <v>1698</v>
      </c>
      <c r="C1705">
        <v>6113</v>
      </c>
      <c r="D1705" t="s">
        <v>29562</v>
      </c>
      <c r="E1705" t="s">
        <v>29563</v>
      </c>
      <c r="F1705" t="s">
        <v>81</v>
      </c>
      <c r="G1705" t="s">
        <v>29564</v>
      </c>
      <c r="H1705">
        <v>21.25</v>
      </c>
      <c r="I1705">
        <v>0</v>
      </c>
      <c r="J1705">
        <v>0</v>
      </c>
      <c r="K1705">
        <v>0</v>
      </c>
      <c r="N1705">
        <v>3</v>
      </c>
      <c r="O1705">
        <v>3</v>
      </c>
      <c r="P1705">
        <v>4</v>
      </c>
      <c r="Q1705">
        <v>0</v>
      </c>
      <c r="R1705">
        <v>28.25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H1705">
        <v>28.25</v>
      </c>
    </row>
    <row r="1706" spans="1:34" x14ac:dyDescent="0.3">
      <c r="A1706" s="4">
        <v>1891</v>
      </c>
      <c r="B1706" s="5">
        <v>1699</v>
      </c>
      <c r="C1706">
        <v>6245</v>
      </c>
      <c r="D1706" t="s">
        <v>4010</v>
      </c>
      <c r="E1706" t="s">
        <v>161</v>
      </c>
      <c r="F1706" t="s">
        <v>17</v>
      </c>
      <c r="G1706" t="s">
        <v>29565</v>
      </c>
      <c r="H1706">
        <v>17.25</v>
      </c>
      <c r="I1706">
        <v>0</v>
      </c>
      <c r="J1706">
        <v>0</v>
      </c>
      <c r="K1706">
        <v>0</v>
      </c>
      <c r="L1706">
        <v>7</v>
      </c>
      <c r="O1706">
        <v>7</v>
      </c>
      <c r="P1706">
        <v>4</v>
      </c>
      <c r="Q1706">
        <v>0</v>
      </c>
      <c r="R1706">
        <v>28.25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H1706">
        <v>28.25</v>
      </c>
    </row>
    <row r="1707" spans="1:34" x14ac:dyDescent="0.3">
      <c r="A1707" s="4">
        <v>1892</v>
      </c>
      <c r="B1707" s="5">
        <v>1700</v>
      </c>
      <c r="C1707">
        <v>242</v>
      </c>
      <c r="D1707" t="s">
        <v>29566</v>
      </c>
      <c r="E1707" t="s">
        <v>2372</v>
      </c>
      <c r="F1707" t="s">
        <v>17</v>
      </c>
      <c r="G1707" t="s">
        <v>29567</v>
      </c>
      <c r="H1707">
        <v>19.23</v>
      </c>
      <c r="I1707">
        <v>0</v>
      </c>
      <c r="J1707">
        <v>0</v>
      </c>
      <c r="K1707">
        <v>0</v>
      </c>
      <c r="N1707">
        <v>3</v>
      </c>
      <c r="O1707">
        <v>3</v>
      </c>
      <c r="P1707">
        <v>4</v>
      </c>
      <c r="Q1707">
        <v>2</v>
      </c>
      <c r="R1707">
        <v>28.23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 t="s">
        <v>130</v>
      </c>
      <c r="AH1707">
        <v>28.23</v>
      </c>
    </row>
    <row r="1708" spans="1:34" x14ac:dyDescent="0.3">
      <c r="A1708" s="4">
        <v>1893</v>
      </c>
      <c r="B1708" s="5">
        <v>1701</v>
      </c>
      <c r="C1708">
        <v>11016</v>
      </c>
      <c r="D1708" t="s">
        <v>29568</v>
      </c>
      <c r="E1708" t="s">
        <v>265</v>
      </c>
      <c r="F1708" t="s">
        <v>38</v>
      </c>
      <c r="G1708" t="s">
        <v>29569</v>
      </c>
      <c r="H1708">
        <v>17.23</v>
      </c>
      <c r="I1708">
        <v>0</v>
      </c>
      <c r="J1708">
        <v>0</v>
      </c>
      <c r="K1708">
        <v>0</v>
      </c>
      <c r="L1708">
        <v>7</v>
      </c>
      <c r="O1708">
        <v>7</v>
      </c>
      <c r="P1708">
        <v>4</v>
      </c>
      <c r="Q1708">
        <v>0</v>
      </c>
      <c r="R1708">
        <v>28.23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 t="s">
        <v>130</v>
      </c>
      <c r="AH1708">
        <v>28.23</v>
      </c>
    </row>
    <row r="1709" spans="1:34" x14ac:dyDescent="0.3">
      <c r="A1709" s="4">
        <v>1894</v>
      </c>
      <c r="B1709" s="5">
        <v>1702</v>
      </c>
      <c r="C1709">
        <v>11137</v>
      </c>
      <c r="D1709" t="s">
        <v>1129</v>
      </c>
      <c r="E1709" t="s">
        <v>54</v>
      </c>
      <c r="F1709" t="s">
        <v>81</v>
      </c>
      <c r="G1709" t="s">
        <v>29570</v>
      </c>
      <c r="H1709">
        <v>17.2</v>
      </c>
      <c r="I1709">
        <v>0</v>
      </c>
      <c r="J1709">
        <v>0</v>
      </c>
      <c r="K1709">
        <v>0</v>
      </c>
      <c r="L1709">
        <v>7</v>
      </c>
      <c r="O1709">
        <v>7</v>
      </c>
      <c r="P1709">
        <v>4</v>
      </c>
      <c r="Q1709">
        <v>0</v>
      </c>
      <c r="R1709">
        <v>28.2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H1709">
        <v>28.2</v>
      </c>
    </row>
    <row r="1710" spans="1:34" x14ac:dyDescent="0.3">
      <c r="A1710" s="4">
        <v>1895</v>
      </c>
      <c r="B1710" s="5">
        <v>1703</v>
      </c>
      <c r="C1710">
        <v>5788</v>
      </c>
      <c r="D1710" t="s">
        <v>1630</v>
      </c>
      <c r="E1710" t="s">
        <v>71</v>
      </c>
      <c r="F1710" t="s">
        <v>230</v>
      </c>
      <c r="G1710" t="s">
        <v>29571</v>
      </c>
      <c r="H1710">
        <v>17.2</v>
      </c>
      <c r="I1710">
        <v>0</v>
      </c>
      <c r="J1710">
        <v>0</v>
      </c>
      <c r="K1710">
        <v>0</v>
      </c>
      <c r="L1710">
        <v>7</v>
      </c>
      <c r="O1710">
        <v>7</v>
      </c>
      <c r="P1710">
        <v>4</v>
      </c>
      <c r="Q1710">
        <v>0</v>
      </c>
      <c r="R1710">
        <v>28.2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H1710">
        <v>28.2</v>
      </c>
    </row>
    <row r="1711" spans="1:34" x14ac:dyDescent="0.3">
      <c r="A1711" s="4">
        <v>1896</v>
      </c>
      <c r="B1711" s="5">
        <v>1704</v>
      </c>
      <c r="C1711">
        <v>5011</v>
      </c>
      <c r="D1711" t="s">
        <v>9096</v>
      </c>
      <c r="E1711" t="s">
        <v>29572</v>
      </c>
      <c r="F1711" t="s">
        <v>81</v>
      </c>
      <c r="G1711" t="s">
        <v>29573</v>
      </c>
      <c r="H1711">
        <v>19.18</v>
      </c>
      <c r="I1711">
        <v>0</v>
      </c>
      <c r="J1711">
        <v>0</v>
      </c>
      <c r="K1711">
        <v>0</v>
      </c>
      <c r="N1711">
        <v>3</v>
      </c>
      <c r="O1711">
        <v>3</v>
      </c>
      <c r="P1711">
        <v>4</v>
      </c>
      <c r="Q1711">
        <v>2</v>
      </c>
      <c r="R1711">
        <v>28.18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H1711">
        <v>28.18</v>
      </c>
    </row>
    <row r="1712" spans="1:34" x14ac:dyDescent="0.3">
      <c r="A1712" s="4">
        <v>1897</v>
      </c>
      <c r="B1712" s="5">
        <v>1705</v>
      </c>
      <c r="C1712">
        <v>4094</v>
      </c>
      <c r="D1712" t="s">
        <v>5254</v>
      </c>
      <c r="E1712" t="s">
        <v>104</v>
      </c>
      <c r="F1712" t="s">
        <v>626</v>
      </c>
      <c r="G1712" t="s">
        <v>29574</v>
      </c>
      <c r="H1712">
        <v>17.18</v>
      </c>
      <c r="I1712">
        <v>0</v>
      </c>
      <c r="J1712">
        <v>0</v>
      </c>
      <c r="K1712">
        <v>0</v>
      </c>
      <c r="L1712">
        <v>7</v>
      </c>
      <c r="O1712">
        <v>7</v>
      </c>
      <c r="P1712">
        <v>4</v>
      </c>
      <c r="Q1712">
        <v>0</v>
      </c>
      <c r="R1712">
        <v>28.18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H1712">
        <v>28.18</v>
      </c>
    </row>
    <row r="1713" spans="1:34" x14ac:dyDescent="0.3">
      <c r="A1713" s="4">
        <v>1898</v>
      </c>
      <c r="B1713" s="5">
        <v>1706</v>
      </c>
      <c r="C1713">
        <v>9726</v>
      </c>
      <c r="D1713" t="s">
        <v>29575</v>
      </c>
      <c r="E1713" t="s">
        <v>1743</v>
      </c>
      <c r="F1713" t="s">
        <v>29576</v>
      </c>
      <c r="G1713" t="s">
        <v>29577</v>
      </c>
      <c r="H1713">
        <v>17.149999999999999</v>
      </c>
      <c r="I1713">
        <v>0</v>
      </c>
      <c r="J1713">
        <v>0</v>
      </c>
      <c r="K1713">
        <v>0</v>
      </c>
      <c r="L1713">
        <v>7</v>
      </c>
      <c r="O1713">
        <v>7</v>
      </c>
      <c r="P1713">
        <v>4</v>
      </c>
      <c r="Q1713">
        <v>0</v>
      </c>
      <c r="R1713">
        <v>28.15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H1713">
        <v>28.15</v>
      </c>
    </row>
    <row r="1714" spans="1:34" x14ac:dyDescent="0.3">
      <c r="A1714" s="4">
        <v>1899</v>
      </c>
      <c r="B1714" s="5">
        <v>1707</v>
      </c>
      <c r="C1714">
        <v>14276</v>
      </c>
      <c r="D1714" t="s">
        <v>15705</v>
      </c>
      <c r="E1714" t="s">
        <v>2150</v>
      </c>
      <c r="F1714" t="s">
        <v>11286</v>
      </c>
      <c r="G1714" t="s">
        <v>29578</v>
      </c>
      <c r="H1714">
        <v>19.13</v>
      </c>
      <c r="I1714">
        <v>0</v>
      </c>
      <c r="J1714">
        <v>0</v>
      </c>
      <c r="K1714">
        <v>0</v>
      </c>
      <c r="N1714">
        <v>3</v>
      </c>
      <c r="O1714">
        <v>3</v>
      </c>
      <c r="P1714">
        <v>4</v>
      </c>
      <c r="Q1714">
        <v>2</v>
      </c>
      <c r="R1714">
        <v>28.13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H1714">
        <v>28.13</v>
      </c>
    </row>
    <row r="1715" spans="1:34" x14ac:dyDescent="0.3">
      <c r="A1715" s="4">
        <v>1900</v>
      </c>
      <c r="B1715" s="5">
        <v>1708</v>
      </c>
      <c r="C1715">
        <v>2389</v>
      </c>
      <c r="D1715" t="s">
        <v>2176</v>
      </c>
      <c r="E1715" t="s">
        <v>29579</v>
      </c>
      <c r="F1715" t="s">
        <v>782</v>
      </c>
      <c r="G1715" t="s">
        <v>29580</v>
      </c>
      <c r="H1715">
        <v>17.13</v>
      </c>
      <c r="I1715">
        <v>0</v>
      </c>
      <c r="J1715">
        <v>0</v>
      </c>
      <c r="K1715">
        <v>0</v>
      </c>
      <c r="L1715">
        <v>7</v>
      </c>
      <c r="O1715">
        <v>7</v>
      </c>
      <c r="P1715">
        <v>4</v>
      </c>
      <c r="Q1715">
        <v>0</v>
      </c>
      <c r="R1715">
        <v>28.13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 t="s">
        <v>130</v>
      </c>
      <c r="AH1715">
        <v>28.13</v>
      </c>
    </row>
    <row r="1716" spans="1:34" x14ac:dyDescent="0.3">
      <c r="A1716" s="4">
        <v>1901</v>
      </c>
      <c r="B1716" s="5">
        <v>1709</v>
      </c>
      <c r="C1716">
        <v>4995</v>
      </c>
      <c r="D1716" t="s">
        <v>6423</v>
      </c>
      <c r="E1716" t="s">
        <v>166</v>
      </c>
      <c r="F1716" t="s">
        <v>101</v>
      </c>
      <c r="G1716" t="s">
        <v>29581</v>
      </c>
      <c r="H1716">
        <v>18.100000000000001</v>
      </c>
      <c r="I1716">
        <v>0</v>
      </c>
      <c r="J1716">
        <v>0</v>
      </c>
      <c r="K1716">
        <v>0</v>
      </c>
      <c r="N1716">
        <v>3</v>
      </c>
      <c r="O1716">
        <v>3</v>
      </c>
      <c r="P1716">
        <v>4</v>
      </c>
      <c r="Q1716">
        <v>0</v>
      </c>
      <c r="R1716">
        <v>25.1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3</v>
      </c>
      <c r="AC1716">
        <v>0</v>
      </c>
      <c r="AH1716">
        <v>28.1</v>
      </c>
    </row>
    <row r="1717" spans="1:34" x14ac:dyDescent="0.3">
      <c r="A1717" s="4">
        <v>1902</v>
      </c>
      <c r="B1717" s="5">
        <v>1710</v>
      </c>
      <c r="C1717">
        <v>3448</v>
      </c>
      <c r="D1717" t="s">
        <v>29582</v>
      </c>
      <c r="E1717" t="s">
        <v>7864</v>
      </c>
      <c r="F1717" t="s">
        <v>124</v>
      </c>
      <c r="G1717" t="s">
        <v>29583</v>
      </c>
      <c r="H1717">
        <v>19.100000000000001</v>
      </c>
      <c r="I1717">
        <v>0</v>
      </c>
      <c r="J1717">
        <v>0</v>
      </c>
      <c r="K1717">
        <v>0</v>
      </c>
      <c r="M1717">
        <v>5</v>
      </c>
      <c r="O1717">
        <v>5</v>
      </c>
      <c r="P1717">
        <v>4</v>
      </c>
      <c r="Q1717">
        <v>0</v>
      </c>
      <c r="R1717">
        <v>28.1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 t="s">
        <v>130</v>
      </c>
      <c r="AH1717">
        <v>28.1</v>
      </c>
    </row>
    <row r="1718" spans="1:34" x14ac:dyDescent="0.3">
      <c r="A1718" s="4">
        <v>1903</v>
      </c>
      <c r="B1718" s="5">
        <v>1711</v>
      </c>
      <c r="C1718">
        <v>10676</v>
      </c>
      <c r="D1718" t="s">
        <v>29584</v>
      </c>
      <c r="E1718" t="s">
        <v>51</v>
      </c>
      <c r="F1718" t="s">
        <v>570</v>
      </c>
      <c r="G1718" t="s">
        <v>29585</v>
      </c>
      <c r="H1718">
        <v>21.08</v>
      </c>
      <c r="I1718">
        <v>0</v>
      </c>
      <c r="J1718">
        <v>0</v>
      </c>
      <c r="K1718">
        <v>0</v>
      </c>
      <c r="N1718">
        <v>3</v>
      </c>
      <c r="O1718">
        <v>3</v>
      </c>
      <c r="P1718">
        <v>4</v>
      </c>
      <c r="Q1718">
        <v>0</v>
      </c>
      <c r="R1718">
        <v>28.08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H1718">
        <v>28.08</v>
      </c>
    </row>
    <row r="1719" spans="1:34" x14ac:dyDescent="0.3">
      <c r="A1719" s="4">
        <v>1904</v>
      </c>
      <c r="B1719" s="5">
        <v>1712</v>
      </c>
      <c r="C1719">
        <v>10141</v>
      </c>
      <c r="D1719" t="s">
        <v>832</v>
      </c>
      <c r="E1719" t="s">
        <v>29586</v>
      </c>
      <c r="F1719" t="s">
        <v>626</v>
      </c>
      <c r="G1719" t="s">
        <v>29587</v>
      </c>
      <c r="H1719">
        <v>19.079999999999998</v>
      </c>
      <c r="I1719">
        <v>0</v>
      </c>
      <c r="J1719">
        <v>0</v>
      </c>
      <c r="K1719">
        <v>0</v>
      </c>
      <c r="M1719">
        <v>5</v>
      </c>
      <c r="O1719">
        <v>5</v>
      </c>
      <c r="P1719">
        <v>4</v>
      </c>
      <c r="Q1719">
        <v>0</v>
      </c>
      <c r="R1719">
        <v>28.08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H1719">
        <v>28.08</v>
      </c>
    </row>
    <row r="1720" spans="1:34" x14ac:dyDescent="0.3">
      <c r="A1720" s="4">
        <v>1905</v>
      </c>
      <c r="B1720" s="5">
        <v>1713</v>
      </c>
      <c r="C1720">
        <v>2208</v>
      </c>
      <c r="D1720" t="s">
        <v>1604</v>
      </c>
      <c r="E1720" t="s">
        <v>22956</v>
      </c>
      <c r="F1720" t="s">
        <v>20</v>
      </c>
      <c r="G1720" t="s">
        <v>29588</v>
      </c>
      <c r="H1720">
        <v>18.03</v>
      </c>
      <c r="I1720">
        <v>0</v>
      </c>
      <c r="J1720">
        <v>0</v>
      </c>
      <c r="K1720">
        <v>0</v>
      </c>
      <c r="O1720">
        <v>0</v>
      </c>
      <c r="P1720">
        <v>4</v>
      </c>
      <c r="Q1720">
        <v>0</v>
      </c>
      <c r="R1720">
        <v>22.03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6</v>
      </c>
      <c r="AC1720">
        <v>0</v>
      </c>
      <c r="AH1720">
        <v>28.03</v>
      </c>
    </row>
    <row r="1721" spans="1:34" x14ac:dyDescent="0.3">
      <c r="A1721" s="4">
        <v>1906</v>
      </c>
      <c r="B1721" s="5">
        <v>1714</v>
      </c>
      <c r="C1721">
        <v>13218</v>
      </c>
      <c r="D1721" t="s">
        <v>3072</v>
      </c>
      <c r="E1721" t="s">
        <v>37</v>
      </c>
      <c r="F1721" t="s">
        <v>117</v>
      </c>
      <c r="G1721" t="s">
        <v>29589</v>
      </c>
      <c r="H1721">
        <v>18.03</v>
      </c>
      <c r="I1721">
        <v>0</v>
      </c>
      <c r="J1721">
        <v>0</v>
      </c>
      <c r="K1721">
        <v>0</v>
      </c>
      <c r="N1721">
        <v>3</v>
      </c>
      <c r="O1721">
        <v>3</v>
      </c>
      <c r="P1721">
        <v>4</v>
      </c>
      <c r="Q1721">
        <v>0</v>
      </c>
      <c r="R1721">
        <v>25.03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3</v>
      </c>
      <c r="AC1721">
        <v>0</v>
      </c>
      <c r="AH1721">
        <v>28.03</v>
      </c>
    </row>
    <row r="1722" spans="1:34" x14ac:dyDescent="0.3">
      <c r="A1722" s="4">
        <v>1907</v>
      </c>
      <c r="B1722" s="5">
        <v>1715</v>
      </c>
      <c r="C1722">
        <v>3504</v>
      </c>
      <c r="D1722" t="s">
        <v>29590</v>
      </c>
      <c r="E1722" t="s">
        <v>30</v>
      </c>
      <c r="F1722" t="s">
        <v>91</v>
      </c>
      <c r="G1722" t="s">
        <v>29591</v>
      </c>
      <c r="H1722">
        <v>17.03</v>
      </c>
      <c r="I1722">
        <v>0</v>
      </c>
      <c r="J1722">
        <v>0</v>
      </c>
      <c r="K1722">
        <v>0</v>
      </c>
      <c r="L1722">
        <v>7</v>
      </c>
      <c r="O1722">
        <v>7</v>
      </c>
      <c r="P1722">
        <v>4</v>
      </c>
      <c r="Q1722">
        <v>0</v>
      </c>
      <c r="R1722">
        <v>28.03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H1722">
        <v>28.03</v>
      </c>
    </row>
    <row r="1723" spans="1:34" x14ac:dyDescent="0.3">
      <c r="A1723" s="4">
        <v>1908</v>
      </c>
      <c r="B1723" s="5">
        <v>1716</v>
      </c>
      <c r="C1723">
        <v>4418</v>
      </c>
      <c r="D1723" t="s">
        <v>29592</v>
      </c>
      <c r="E1723" t="s">
        <v>173</v>
      </c>
      <c r="F1723" t="s">
        <v>9300</v>
      </c>
      <c r="G1723" t="s">
        <v>29593</v>
      </c>
      <c r="H1723">
        <v>17.03</v>
      </c>
      <c r="I1723">
        <v>0</v>
      </c>
      <c r="J1723">
        <v>0</v>
      </c>
      <c r="K1723">
        <v>0</v>
      </c>
      <c r="L1723">
        <v>7</v>
      </c>
      <c r="O1723">
        <v>7</v>
      </c>
      <c r="P1723">
        <v>4</v>
      </c>
      <c r="Q1723">
        <v>0</v>
      </c>
      <c r="R1723">
        <v>28.03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H1723">
        <v>28.03</v>
      </c>
    </row>
    <row r="1724" spans="1:34" x14ac:dyDescent="0.3">
      <c r="A1724" s="4">
        <v>1909</v>
      </c>
      <c r="B1724" s="5">
        <v>1717</v>
      </c>
      <c r="C1724">
        <v>14365</v>
      </c>
      <c r="D1724" t="s">
        <v>1337</v>
      </c>
      <c r="E1724" t="s">
        <v>29594</v>
      </c>
      <c r="F1724" t="s">
        <v>878</v>
      </c>
      <c r="G1724" t="s">
        <v>29595</v>
      </c>
      <c r="H1724">
        <v>16.03</v>
      </c>
      <c r="I1724">
        <v>0</v>
      </c>
      <c r="J1724">
        <v>0</v>
      </c>
      <c r="K1724">
        <v>0</v>
      </c>
      <c r="N1724">
        <v>3</v>
      </c>
      <c r="O1724">
        <v>3</v>
      </c>
      <c r="P1724">
        <v>4</v>
      </c>
      <c r="Q1724">
        <v>2</v>
      </c>
      <c r="R1724">
        <v>25.03</v>
      </c>
      <c r="S1724">
        <v>3</v>
      </c>
      <c r="T1724">
        <v>3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3</v>
      </c>
      <c r="AB1724">
        <v>0</v>
      </c>
      <c r="AC1724">
        <v>0</v>
      </c>
      <c r="AH1724">
        <v>28.03</v>
      </c>
    </row>
    <row r="1725" spans="1:34" x14ac:dyDescent="0.3">
      <c r="A1725" s="4">
        <v>1910</v>
      </c>
      <c r="B1725" s="5">
        <v>1718</v>
      </c>
      <c r="C1725">
        <v>5154</v>
      </c>
      <c r="D1725" t="s">
        <v>15325</v>
      </c>
      <c r="E1725" t="s">
        <v>41</v>
      </c>
      <c r="F1725" t="s">
        <v>652</v>
      </c>
      <c r="G1725" t="s">
        <v>29596</v>
      </c>
      <c r="H1725">
        <v>18</v>
      </c>
      <c r="I1725">
        <v>0</v>
      </c>
      <c r="J1725">
        <v>0</v>
      </c>
      <c r="K1725">
        <v>0</v>
      </c>
      <c r="N1725">
        <v>3</v>
      </c>
      <c r="O1725">
        <v>3</v>
      </c>
      <c r="P1725">
        <v>4</v>
      </c>
      <c r="Q1725">
        <v>0</v>
      </c>
      <c r="R1725">
        <v>25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3</v>
      </c>
      <c r="AC1725">
        <v>0</v>
      </c>
      <c r="AH1725">
        <v>28</v>
      </c>
    </row>
    <row r="1726" spans="1:34" x14ac:dyDescent="0.3">
      <c r="A1726" s="4">
        <v>1911</v>
      </c>
      <c r="B1726" s="5">
        <v>1719</v>
      </c>
      <c r="C1726">
        <v>14721</v>
      </c>
      <c r="D1726" t="s">
        <v>4650</v>
      </c>
      <c r="E1726" t="s">
        <v>26</v>
      </c>
      <c r="F1726" t="s">
        <v>136</v>
      </c>
      <c r="G1726" t="s">
        <v>29597</v>
      </c>
      <c r="H1726">
        <v>17</v>
      </c>
      <c r="I1726">
        <v>0</v>
      </c>
      <c r="J1726">
        <v>0</v>
      </c>
      <c r="K1726">
        <v>0</v>
      </c>
      <c r="L1726">
        <v>7</v>
      </c>
      <c r="O1726">
        <v>7</v>
      </c>
      <c r="P1726">
        <v>4</v>
      </c>
      <c r="Q1726">
        <v>0</v>
      </c>
      <c r="R1726">
        <v>28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H1726">
        <v>28</v>
      </c>
    </row>
    <row r="1727" spans="1:34" x14ac:dyDescent="0.3">
      <c r="A1727" s="4">
        <v>1912</v>
      </c>
      <c r="B1727" s="5">
        <v>1720</v>
      </c>
      <c r="C1727">
        <v>7488</v>
      </c>
      <c r="D1727" t="s">
        <v>29598</v>
      </c>
      <c r="E1727" t="s">
        <v>29599</v>
      </c>
      <c r="F1727" t="s">
        <v>29600</v>
      </c>
      <c r="G1727" t="s">
        <v>29601</v>
      </c>
      <c r="H1727">
        <v>17</v>
      </c>
      <c r="I1727">
        <v>0</v>
      </c>
      <c r="J1727">
        <v>0</v>
      </c>
      <c r="K1727">
        <v>0</v>
      </c>
      <c r="L1727">
        <v>7</v>
      </c>
      <c r="O1727">
        <v>7</v>
      </c>
      <c r="P1727">
        <v>4</v>
      </c>
      <c r="Q1727">
        <v>0</v>
      </c>
      <c r="R1727">
        <v>28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H1727">
        <v>28</v>
      </c>
    </row>
    <row r="1728" spans="1:34" x14ac:dyDescent="0.3">
      <c r="A1728" s="4">
        <v>1913</v>
      </c>
      <c r="B1728" s="5">
        <v>1721</v>
      </c>
      <c r="C1728">
        <v>13524</v>
      </c>
      <c r="D1728" t="s">
        <v>29602</v>
      </c>
      <c r="E1728" t="s">
        <v>166</v>
      </c>
      <c r="F1728" t="s">
        <v>34</v>
      </c>
      <c r="G1728" t="s">
        <v>29603</v>
      </c>
      <c r="H1728">
        <v>17.98</v>
      </c>
      <c r="I1728">
        <v>0</v>
      </c>
      <c r="J1728">
        <v>0</v>
      </c>
      <c r="K1728">
        <v>0</v>
      </c>
      <c r="O1728">
        <v>0</v>
      </c>
      <c r="P1728">
        <v>4</v>
      </c>
      <c r="Q1728">
        <v>0</v>
      </c>
      <c r="R1728">
        <v>21.98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6</v>
      </c>
      <c r="AC1728">
        <v>0</v>
      </c>
      <c r="AH1728">
        <v>27.98</v>
      </c>
    </row>
    <row r="1729" spans="1:34" x14ac:dyDescent="0.3">
      <c r="A1729" s="4">
        <v>1914</v>
      </c>
      <c r="B1729" s="5">
        <v>1722</v>
      </c>
      <c r="C1729">
        <v>6606</v>
      </c>
      <c r="D1729" t="s">
        <v>5613</v>
      </c>
      <c r="E1729" t="s">
        <v>550</v>
      </c>
      <c r="F1729" t="s">
        <v>81</v>
      </c>
      <c r="G1729" t="s">
        <v>29604</v>
      </c>
      <c r="H1729">
        <v>17.98</v>
      </c>
      <c r="I1729">
        <v>0</v>
      </c>
      <c r="J1729">
        <v>0</v>
      </c>
      <c r="K1729">
        <v>0</v>
      </c>
      <c r="N1729">
        <v>3</v>
      </c>
      <c r="O1729">
        <v>3</v>
      </c>
      <c r="P1729">
        <v>4</v>
      </c>
      <c r="Q1729">
        <v>0</v>
      </c>
      <c r="R1729">
        <v>24.98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3</v>
      </c>
      <c r="AC1729">
        <v>0</v>
      </c>
      <c r="AH1729">
        <v>27.98</v>
      </c>
    </row>
    <row r="1730" spans="1:34" x14ac:dyDescent="0.3">
      <c r="A1730" s="4">
        <v>1915</v>
      </c>
      <c r="B1730" s="5">
        <v>1723</v>
      </c>
      <c r="C1730">
        <v>8119</v>
      </c>
      <c r="D1730" t="s">
        <v>29605</v>
      </c>
      <c r="E1730" t="s">
        <v>283</v>
      </c>
      <c r="F1730" t="s">
        <v>17</v>
      </c>
      <c r="G1730" t="s">
        <v>29606</v>
      </c>
      <c r="H1730">
        <v>18.98</v>
      </c>
      <c r="I1730">
        <v>0</v>
      </c>
      <c r="J1730">
        <v>0</v>
      </c>
      <c r="K1730">
        <v>0</v>
      </c>
      <c r="N1730">
        <v>3</v>
      </c>
      <c r="O1730">
        <v>3</v>
      </c>
      <c r="P1730">
        <v>4</v>
      </c>
      <c r="Q1730">
        <v>2</v>
      </c>
      <c r="R1730">
        <v>27.98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 t="s">
        <v>130</v>
      </c>
      <c r="AH1730">
        <v>27.98</v>
      </c>
    </row>
    <row r="1731" spans="1:34" x14ac:dyDescent="0.3">
      <c r="A1731" s="4">
        <v>1916</v>
      </c>
      <c r="B1731" s="5">
        <v>1724</v>
      </c>
      <c r="C1731">
        <v>3653</v>
      </c>
      <c r="D1731" t="s">
        <v>2206</v>
      </c>
      <c r="E1731" t="s">
        <v>454</v>
      </c>
      <c r="F1731" t="s">
        <v>124</v>
      </c>
      <c r="G1731" t="s">
        <v>29607</v>
      </c>
      <c r="H1731">
        <v>17.95</v>
      </c>
      <c r="I1731">
        <v>0</v>
      </c>
      <c r="J1731">
        <v>0</v>
      </c>
      <c r="K1731">
        <v>0</v>
      </c>
      <c r="N1731">
        <v>3</v>
      </c>
      <c r="O1731">
        <v>3</v>
      </c>
      <c r="P1731">
        <v>4</v>
      </c>
      <c r="Q1731">
        <v>0</v>
      </c>
      <c r="R1731">
        <v>24.95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3</v>
      </c>
      <c r="AC1731">
        <v>0</v>
      </c>
      <c r="AH1731">
        <v>27.95</v>
      </c>
    </row>
    <row r="1732" spans="1:34" x14ac:dyDescent="0.3">
      <c r="A1732" s="4">
        <v>1917</v>
      </c>
      <c r="B1732" s="5">
        <v>1725</v>
      </c>
      <c r="C1732">
        <v>8277</v>
      </c>
      <c r="D1732" t="s">
        <v>2043</v>
      </c>
      <c r="E1732" t="s">
        <v>454</v>
      </c>
      <c r="F1732" t="s">
        <v>62</v>
      </c>
      <c r="G1732" t="s">
        <v>29608</v>
      </c>
      <c r="H1732">
        <v>16.95</v>
      </c>
      <c r="I1732">
        <v>0</v>
      </c>
      <c r="J1732">
        <v>0</v>
      </c>
      <c r="K1732">
        <v>0</v>
      </c>
      <c r="L1732">
        <v>7</v>
      </c>
      <c r="O1732">
        <v>7</v>
      </c>
      <c r="P1732">
        <v>4</v>
      </c>
      <c r="Q1732">
        <v>0</v>
      </c>
      <c r="R1732">
        <v>27.95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H1732">
        <v>27.95</v>
      </c>
    </row>
    <row r="1733" spans="1:34" x14ac:dyDescent="0.3">
      <c r="A1733" s="4">
        <v>1918</v>
      </c>
      <c r="B1733" s="5">
        <v>1726</v>
      </c>
      <c r="C1733">
        <v>6395</v>
      </c>
      <c r="D1733" t="s">
        <v>8083</v>
      </c>
      <c r="E1733" t="s">
        <v>289</v>
      </c>
      <c r="F1733" t="s">
        <v>29609</v>
      </c>
      <c r="G1733" t="s">
        <v>29610</v>
      </c>
      <c r="H1733">
        <v>17.93</v>
      </c>
      <c r="I1733">
        <v>0</v>
      </c>
      <c r="J1733">
        <v>0</v>
      </c>
      <c r="K1733">
        <v>0</v>
      </c>
      <c r="N1733">
        <v>3</v>
      </c>
      <c r="O1733">
        <v>3</v>
      </c>
      <c r="P1733">
        <v>4</v>
      </c>
      <c r="Q1733">
        <v>0</v>
      </c>
      <c r="R1733">
        <v>24.93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3</v>
      </c>
      <c r="AC1733">
        <v>0</v>
      </c>
      <c r="AH1733">
        <v>27.93</v>
      </c>
    </row>
    <row r="1734" spans="1:34" x14ac:dyDescent="0.3">
      <c r="A1734" s="4">
        <v>1919</v>
      </c>
      <c r="B1734" s="5">
        <v>1727</v>
      </c>
      <c r="C1734">
        <v>14493</v>
      </c>
      <c r="D1734" t="s">
        <v>5342</v>
      </c>
      <c r="E1734" t="s">
        <v>2601</v>
      </c>
      <c r="F1734" t="s">
        <v>892</v>
      </c>
      <c r="G1734" t="s">
        <v>29611</v>
      </c>
      <c r="H1734">
        <v>16.93</v>
      </c>
      <c r="I1734">
        <v>0</v>
      </c>
      <c r="J1734">
        <v>0</v>
      </c>
      <c r="K1734">
        <v>0</v>
      </c>
      <c r="L1734">
        <v>7</v>
      </c>
      <c r="O1734">
        <v>7</v>
      </c>
      <c r="P1734">
        <v>4</v>
      </c>
      <c r="Q1734">
        <v>0</v>
      </c>
      <c r="R1734">
        <v>27.93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 t="s">
        <v>130</v>
      </c>
      <c r="AH1734">
        <v>27.93</v>
      </c>
    </row>
    <row r="1735" spans="1:34" x14ac:dyDescent="0.3">
      <c r="A1735" s="4">
        <v>1920</v>
      </c>
      <c r="B1735" s="5">
        <v>1728</v>
      </c>
      <c r="C1735">
        <v>14792</v>
      </c>
      <c r="D1735" t="s">
        <v>29612</v>
      </c>
      <c r="E1735" t="s">
        <v>41</v>
      </c>
      <c r="F1735" t="s">
        <v>158</v>
      </c>
      <c r="G1735" t="s">
        <v>29613</v>
      </c>
      <c r="H1735">
        <v>16.93</v>
      </c>
      <c r="I1735">
        <v>0</v>
      </c>
      <c r="J1735">
        <v>0</v>
      </c>
      <c r="K1735">
        <v>0</v>
      </c>
      <c r="L1735">
        <v>7</v>
      </c>
      <c r="O1735">
        <v>7</v>
      </c>
      <c r="P1735">
        <v>4</v>
      </c>
      <c r="Q1735">
        <v>0</v>
      </c>
      <c r="R1735">
        <v>27.93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H1735">
        <v>27.93</v>
      </c>
    </row>
    <row r="1736" spans="1:34" x14ac:dyDescent="0.3">
      <c r="A1736" s="4">
        <v>1921</v>
      </c>
      <c r="B1736" s="5">
        <v>1729</v>
      </c>
      <c r="C1736">
        <v>5015</v>
      </c>
      <c r="D1736" t="s">
        <v>752</v>
      </c>
      <c r="E1736" t="s">
        <v>161</v>
      </c>
      <c r="F1736" t="s">
        <v>3968</v>
      </c>
      <c r="G1736" t="s">
        <v>29614</v>
      </c>
      <c r="H1736">
        <v>18.899999999999999</v>
      </c>
      <c r="I1736">
        <v>0</v>
      </c>
      <c r="J1736">
        <v>0</v>
      </c>
      <c r="K1736">
        <v>0</v>
      </c>
      <c r="N1736">
        <v>3</v>
      </c>
      <c r="O1736">
        <v>3</v>
      </c>
      <c r="P1736">
        <v>4</v>
      </c>
      <c r="Q1736">
        <v>2</v>
      </c>
      <c r="R1736">
        <v>27.9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H1736">
        <v>27.9</v>
      </c>
    </row>
    <row r="1737" spans="1:34" x14ac:dyDescent="0.3">
      <c r="A1737" s="4">
        <v>1922</v>
      </c>
      <c r="B1737" s="5">
        <v>1730</v>
      </c>
      <c r="C1737">
        <v>13983</v>
      </c>
      <c r="D1737" t="s">
        <v>932</v>
      </c>
      <c r="E1737" t="s">
        <v>29</v>
      </c>
      <c r="F1737" t="s">
        <v>230</v>
      </c>
      <c r="G1737" t="s">
        <v>29615</v>
      </c>
      <c r="H1737">
        <v>18.899999999999999</v>
      </c>
      <c r="I1737">
        <v>0</v>
      </c>
      <c r="J1737">
        <v>0</v>
      </c>
      <c r="K1737">
        <v>0</v>
      </c>
      <c r="N1737">
        <v>3</v>
      </c>
      <c r="O1737">
        <v>3</v>
      </c>
      <c r="P1737">
        <v>4</v>
      </c>
      <c r="Q1737">
        <v>2</v>
      </c>
      <c r="R1737">
        <v>27.9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H1737">
        <v>27.9</v>
      </c>
    </row>
    <row r="1738" spans="1:34" x14ac:dyDescent="0.3">
      <c r="A1738" s="4">
        <v>1923</v>
      </c>
      <c r="B1738" s="5">
        <v>1731</v>
      </c>
      <c r="C1738">
        <v>5548</v>
      </c>
      <c r="D1738" t="s">
        <v>18543</v>
      </c>
      <c r="E1738" t="s">
        <v>132</v>
      </c>
      <c r="F1738" t="s">
        <v>328</v>
      </c>
      <c r="G1738" t="s">
        <v>29616</v>
      </c>
      <c r="H1738">
        <v>17.899999999999999</v>
      </c>
      <c r="I1738">
        <v>0</v>
      </c>
      <c r="J1738">
        <v>0</v>
      </c>
      <c r="K1738">
        <v>0</v>
      </c>
      <c r="N1738">
        <v>6</v>
      </c>
      <c r="O1738">
        <v>6</v>
      </c>
      <c r="P1738">
        <v>4</v>
      </c>
      <c r="Q1738">
        <v>0</v>
      </c>
      <c r="R1738">
        <v>27.9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 t="s">
        <v>130</v>
      </c>
      <c r="AH1738">
        <v>27.9</v>
      </c>
    </row>
    <row r="1739" spans="1:34" x14ac:dyDescent="0.3">
      <c r="A1739" s="4">
        <v>1924</v>
      </c>
      <c r="B1739" s="5">
        <v>1732</v>
      </c>
      <c r="C1739">
        <v>6181</v>
      </c>
      <c r="D1739" t="s">
        <v>29617</v>
      </c>
      <c r="E1739" t="s">
        <v>613</v>
      </c>
      <c r="F1739" t="s">
        <v>20</v>
      </c>
      <c r="G1739" t="s">
        <v>29618</v>
      </c>
      <c r="H1739">
        <v>16.899999999999999</v>
      </c>
      <c r="I1739">
        <v>0</v>
      </c>
      <c r="J1739">
        <v>0</v>
      </c>
      <c r="K1739">
        <v>0</v>
      </c>
      <c r="L1739">
        <v>7</v>
      </c>
      <c r="O1739">
        <v>7</v>
      </c>
      <c r="P1739">
        <v>4</v>
      </c>
      <c r="Q1739">
        <v>0</v>
      </c>
      <c r="R1739">
        <v>27.9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H1739">
        <v>27.9</v>
      </c>
    </row>
    <row r="1740" spans="1:34" x14ac:dyDescent="0.3">
      <c r="A1740" s="4">
        <v>1925</v>
      </c>
      <c r="B1740" s="5">
        <v>1733</v>
      </c>
      <c r="C1740">
        <v>6336</v>
      </c>
      <c r="D1740" t="s">
        <v>1271</v>
      </c>
      <c r="E1740" t="s">
        <v>132</v>
      </c>
      <c r="F1740" t="s">
        <v>457</v>
      </c>
      <c r="G1740" t="s">
        <v>29619</v>
      </c>
      <c r="H1740">
        <v>20.88</v>
      </c>
      <c r="I1740">
        <v>0</v>
      </c>
      <c r="J1740">
        <v>0</v>
      </c>
      <c r="K1740">
        <v>0</v>
      </c>
      <c r="N1740">
        <v>3</v>
      </c>
      <c r="O1740">
        <v>3</v>
      </c>
      <c r="P1740">
        <v>4</v>
      </c>
      <c r="Q1740">
        <v>0</v>
      </c>
      <c r="R1740">
        <v>27.88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H1740">
        <v>27.88</v>
      </c>
    </row>
    <row r="1741" spans="1:34" x14ac:dyDescent="0.3">
      <c r="A1741" s="4">
        <v>1926</v>
      </c>
      <c r="B1741" s="5">
        <v>1734</v>
      </c>
      <c r="C1741">
        <v>6530</v>
      </c>
      <c r="D1741" t="s">
        <v>3522</v>
      </c>
      <c r="E1741" t="s">
        <v>358</v>
      </c>
      <c r="F1741" t="s">
        <v>17</v>
      </c>
      <c r="G1741" t="s">
        <v>29620</v>
      </c>
      <c r="H1741">
        <v>18.88</v>
      </c>
      <c r="I1741">
        <v>0</v>
      </c>
      <c r="J1741">
        <v>0</v>
      </c>
      <c r="K1741">
        <v>0</v>
      </c>
      <c r="N1741">
        <v>3</v>
      </c>
      <c r="O1741">
        <v>3</v>
      </c>
      <c r="P1741">
        <v>4</v>
      </c>
      <c r="Q1741">
        <v>2</v>
      </c>
      <c r="R1741">
        <v>27.88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H1741">
        <v>27.88</v>
      </c>
    </row>
    <row r="1742" spans="1:34" x14ac:dyDescent="0.3">
      <c r="A1742" s="4">
        <v>1927</v>
      </c>
      <c r="B1742" s="5">
        <v>1735</v>
      </c>
      <c r="C1742">
        <v>10464</v>
      </c>
      <c r="D1742" t="s">
        <v>29621</v>
      </c>
      <c r="E1742" t="s">
        <v>51</v>
      </c>
      <c r="F1742" t="s">
        <v>457</v>
      </c>
      <c r="G1742" t="s">
        <v>29622</v>
      </c>
      <c r="H1742">
        <v>17.850000000000001</v>
      </c>
      <c r="I1742">
        <v>0</v>
      </c>
      <c r="J1742">
        <v>0</v>
      </c>
      <c r="K1742">
        <v>0</v>
      </c>
      <c r="N1742">
        <v>3</v>
      </c>
      <c r="O1742">
        <v>3</v>
      </c>
      <c r="P1742">
        <v>4</v>
      </c>
      <c r="Q1742">
        <v>0</v>
      </c>
      <c r="R1742">
        <v>24.85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3</v>
      </c>
      <c r="AC1742">
        <v>0</v>
      </c>
      <c r="AH1742">
        <v>27.85</v>
      </c>
    </row>
    <row r="1743" spans="1:34" x14ac:dyDescent="0.3">
      <c r="A1743" s="4">
        <v>1928</v>
      </c>
      <c r="B1743" s="5">
        <v>1736</v>
      </c>
      <c r="C1743">
        <v>8023</v>
      </c>
      <c r="D1743" t="s">
        <v>29623</v>
      </c>
      <c r="E1743" t="s">
        <v>789</v>
      </c>
      <c r="F1743" t="s">
        <v>158</v>
      </c>
      <c r="G1743" t="s">
        <v>29624</v>
      </c>
      <c r="H1743">
        <v>16.829999999999998</v>
      </c>
      <c r="I1743">
        <v>0</v>
      </c>
      <c r="J1743">
        <v>0</v>
      </c>
      <c r="K1743">
        <v>0</v>
      </c>
      <c r="L1743">
        <v>7</v>
      </c>
      <c r="O1743">
        <v>7</v>
      </c>
      <c r="P1743">
        <v>4</v>
      </c>
      <c r="Q1743">
        <v>0</v>
      </c>
      <c r="R1743">
        <v>27.83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H1743">
        <v>27.83</v>
      </c>
    </row>
    <row r="1744" spans="1:34" x14ac:dyDescent="0.3">
      <c r="A1744" s="4">
        <v>1929</v>
      </c>
      <c r="B1744" s="5">
        <v>1737</v>
      </c>
      <c r="C1744">
        <v>9453</v>
      </c>
      <c r="D1744" t="s">
        <v>29625</v>
      </c>
      <c r="E1744" t="s">
        <v>166</v>
      </c>
      <c r="F1744" t="s">
        <v>20</v>
      </c>
      <c r="G1744" t="s">
        <v>29626</v>
      </c>
      <c r="H1744">
        <v>15.8</v>
      </c>
      <c r="I1744">
        <v>0</v>
      </c>
      <c r="J1744">
        <v>0</v>
      </c>
      <c r="K1744">
        <v>0</v>
      </c>
      <c r="N1744">
        <v>3</v>
      </c>
      <c r="O1744">
        <v>3</v>
      </c>
      <c r="P1744">
        <v>4</v>
      </c>
      <c r="Q1744">
        <v>2</v>
      </c>
      <c r="R1744">
        <v>24.8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3</v>
      </c>
      <c r="AC1744">
        <v>0</v>
      </c>
      <c r="AH1744">
        <v>27.8</v>
      </c>
    </row>
    <row r="1745" spans="1:34" x14ac:dyDescent="0.3">
      <c r="A1745" s="4">
        <v>1930</v>
      </c>
      <c r="B1745" s="5">
        <v>1738</v>
      </c>
      <c r="C1745">
        <v>4232</v>
      </c>
      <c r="D1745" t="s">
        <v>1425</v>
      </c>
      <c r="E1745" t="s">
        <v>380</v>
      </c>
      <c r="F1745" t="s">
        <v>14</v>
      </c>
      <c r="G1745" t="s">
        <v>4640</v>
      </c>
      <c r="H1745">
        <v>14.75</v>
      </c>
      <c r="I1745">
        <v>0</v>
      </c>
      <c r="J1745">
        <v>0</v>
      </c>
      <c r="K1745">
        <v>0</v>
      </c>
      <c r="O1745">
        <v>0</v>
      </c>
      <c r="P1745">
        <v>4</v>
      </c>
      <c r="Q1745">
        <v>0</v>
      </c>
      <c r="R1745">
        <v>18.75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9</v>
      </c>
      <c r="AC1745">
        <v>0</v>
      </c>
      <c r="AH1745">
        <v>27.75</v>
      </c>
    </row>
    <row r="1746" spans="1:34" x14ac:dyDescent="0.3">
      <c r="A1746" s="4">
        <v>1931</v>
      </c>
      <c r="B1746" s="5">
        <v>1739</v>
      </c>
      <c r="C1746">
        <v>11325</v>
      </c>
      <c r="D1746" t="s">
        <v>3889</v>
      </c>
      <c r="E1746" t="s">
        <v>29</v>
      </c>
      <c r="F1746" t="s">
        <v>91</v>
      </c>
      <c r="G1746" t="s">
        <v>29627</v>
      </c>
      <c r="H1746">
        <v>17.75</v>
      </c>
      <c r="I1746">
        <v>0</v>
      </c>
      <c r="J1746">
        <v>0</v>
      </c>
      <c r="K1746">
        <v>0</v>
      </c>
      <c r="O1746">
        <v>0</v>
      </c>
      <c r="P1746">
        <v>4</v>
      </c>
      <c r="Q1746">
        <v>0</v>
      </c>
      <c r="R1746">
        <v>21.75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6</v>
      </c>
      <c r="AC1746">
        <v>0</v>
      </c>
      <c r="AH1746">
        <v>27.75</v>
      </c>
    </row>
    <row r="1747" spans="1:34" x14ac:dyDescent="0.3">
      <c r="A1747" s="4">
        <v>1932</v>
      </c>
      <c r="B1747" s="5">
        <v>1740</v>
      </c>
      <c r="C1747">
        <v>977</v>
      </c>
      <c r="D1747" t="s">
        <v>29628</v>
      </c>
      <c r="E1747" t="s">
        <v>343</v>
      </c>
      <c r="F1747" t="s">
        <v>259</v>
      </c>
      <c r="G1747" t="s">
        <v>29629</v>
      </c>
      <c r="H1747">
        <v>18.75</v>
      </c>
      <c r="I1747">
        <v>0</v>
      </c>
      <c r="J1747">
        <v>0</v>
      </c>
      <c r="K1747">
        <v>0</v>
      </c>
      <c r="N1747">
        <v>3</v>
      </c>
      <c r="O1747">
        <v>3</v>
      </c>
      <c r="P1747">
        <v>4</v>
      </c>
      <c r="Q1747">
        <v>2</v>
      </c>
      <c r="R1747">
        <v>27.75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H1747">
        <v>27.75</v>
      </c>
    </row>
    <row r="1748" spans="1:34" x14ac:dyDescent="0.3">
      <c r="A1748" s="4">
        <v>1933</v>
      </c>
      <c r="B1748" s="5">
        <v>1741</v>
      </c>
      <c r="C1748">
        <v>3457</v>
      </c>
      <c r="D1748" t="s">
        <v>29630</v>
      </c>
      <c r="E1748" t="s">
        <v>29631</v>
      </c>
      <c r="F1748" t="s">
        <v>136</v>
      </c>
      <c r="G1748" t="s">
        <v>29632</v>
      </c>
      <c r="H1748">
        <v>16.75</v>
      </c>
      <c r="I1748">
        <v>0</v>
      </c>
      <c r="J1748">
        <v>0</v>
      </c>
      <c r="K1748">
        <v>0</v>
      </c>
      <c r="L1748">
        <v>7</v>
      </c>
      <c r="O1748">
        <v>7</v>
      </c>
      <c r="P1748">
        <v>4</v>
      </c>
      <c r="Q1748">
        <v>0</v>
      </c>
      <c r="R1748">
        <v>27.75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 t="s">
        <v>130</v>
      </c>
      <c r="AH1748">
        <v>27.75</v>
      </c>
    </row>
    <row r="1749" spans="1:34" x14ac:dyDescent="0.3">
      <c r="A1749" s="4">
        <v>1934</v>
      </c>
      <c r="B1749" s="5">
        <v>1742</v>
      </c>
      <c r="C1749">
        <v>385</v>
      </c>
      <c r="D1749" t="s">
        <v>29633</v>
      </c>
      <c r="E1749" t="s">
        <v>2542</v>
      </c>
      <c r="F1749" t="s">
        <v>26236</v>
      </c>
      <c r="G1749" t="s">
        <v>29634</v>
      </c>
      <c r="H1749">
        <v>16.75</v>
      </c>
      <c r="I1749">
        <v>0</v>
      </c>
      <c r="J1749">
        <v>0</v>
      </c>
      <c r="K1749">
        <v>0</v>
      </c>
      <c r="M1749">
        <v>5</v>
      </c>
      <c r="O1749">
        <v>5</v>
      </c>
      <c r="P1749">
        <v>4</v>
      </c>
      <c r="Q1749">
        <v>2</v>
      </c>
      <c r="R1749">
        <v>27.75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H1749">
        <v>27.75</v>
      </c>
    </row>
    <row r="1750" spans="1:34" x14ac:dyDescent="0.3">
      <c r="A1750" s="4">
        <v>1935</v>
      </c>
      <c r="B1750" s="5">
        <v>1743</v>
      </c>
      <c r="C1750">
        <v>13857</v>
      </c>
      <c r="D1750" t="s">
        <v>4893</v>
      </c>
      <c r="E1750" t="s">
        <v>110</v>
      </c>
      <c r="F1750" t="s">
        <v>136</v>
      </c>
      <c r="G1750" t="s">
        <v>29635</v>
      </c>
      <c r="H1750">
        <v>16.75</v>
      </c>
      <c r="I1750">
        <v>0</v>
      </c>
      <c r="J1750">
        <v>0</v>
      </c>
      <c r="K1750">
        <v>0</v>
      </c>
      <c r="L1750">
        <v>7</v>
      </c>
      <c r="O1750">
        <v>7</v>
      </c>
      <c r="P1750">
        <v>4</v>
      </c>
      <c r="Q1750">
        <v>0</v>
      </c>
      <c r="R1750">
        <v>27.75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 t="s">
        <v>130</v>
      </c>
      <c r="AH1750">
        <v>27.75</v>
      </c>
    </row>
    <row r="1751" spans="1:34" x14ac:dyDescent="0.3">
      <c r="A1751" s="4">
        <v>1936</v>
      </c>
      <c r="B1751" s="5">
        <v>1744</v>
      </c>
      <c r="C1751">
        <v>8261</v>
      </c>
      <c r="D1751" t="s">
        <v>29636</v>
      </c>
      <c r="E1751" t="s">
        <v>957</v>
      </c>
      <c r="F1751" t="s">
        <v>29637</v>
      </c>
      <c r="G1751" t="s">
        <v>29638</v>
      </c>
      <c r="H1751">
        <v>17.7</v>
      </c>
      <c r="I1751">
        <v>0</v>
      </c>
      <c r="J1751">
        <v>0</v>
      </c>
      <c r="K1751">
        <v>0</v>
      </c>
      <c r="L1751">
        <v>7</v>
      </c>
      <c r="O1751">
        <v>7</v>
      </c>
      <c r="P1751">
        <v>0</v>
      </c>
      <c r="Q1751">
        <v>0</v>
      </c>
      <c r="R1751">
        <v>24.7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3</v>
      </c>
      <c r="AC1751">
        <v>0</v>
      </c>
      <c r="AH1751">
        <v>27.7</v>
      </c>
    </row>
    <row r="1752" spans="1:34" x14ac:dyDescent="0.3">
      <c r="A1752" s="4">
        <v>1937</v>
      </c>
      <c r="B1752" s="5">
        <v>1745</v>
      </c>
      <c r="C1752">
        <v>14941</v>
      </c>
      <c r="D1752" t="s">
        <v>429</v>
      </c>
      <c r="E1752" t="s">
        <v>132</v>
      </c>
      <c r="F1752" t="s">
        <v>136</v>
      </c>
      <c r="G1752" t="s">
        <v>29639</v>
      </c>
      <c r="H1752">
        <v>20.7</v>
      </c>
      <c r="I1752">
        <v>0</v>
      </c>
      <c r="J1752">
        <v>0</v>
      </c>
      <c r="K1752">
        <v>0</v>
      </c>
      <c r="L1752">
        <v>7</v>
      </c>
      <c r="O1752">
        <v>7</v>
      </c>
      <c r="P1752">
        <v>0</v>
      </c>
      <c r="Q1752">
        <v>0</v>
      </c>
      <c r="R1752">
        <v>27.7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H1752">
        <v>27.7</v>
      </c>
    </row>
    <row r="1753" spans="1:34" x14ac:dyDescent="0.3">
      <c r="A1753" s="4">
        <v>1938</v>
      </c>
      <c r="B1753" s="5">
        <v>1746</v>
      </c>
      <c r="C1753">
        <v>7811</v>
      </c>
      <c r="D1753" t="s">
        <v>682</v>
      </c>
      <c r="E1753" t="s">
        <v>29640</v>
      </c>
      <c r="F1753" t="s">
        <v>343</v>
      </c>
      <c r="G1753" t="s">
        <v>29641</v>
      </c>
      <c r="H1753">
        <v>18.7</v>
      </c>
      <c r="I1753">
        <v>0</v>
      </c>
      <c r="J1753">
        <v>0</v>
      </c>
      <c r="K1753">
        <v>0</v>
      </c>
      <c r="N1753">
        <v>3</v>
      </c>
      <c r="O1753">
        <v>3</v>
      </c>
      <c r="P1753">
        <v>4</v>
      </c>
      <c r="Q1753">
        <v>2</v>
      </c>
      <c r="R1753">
        <v>27.7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H1753">
        <v>27.7</v>
      </c>
    </row>
    <row r="1754" spans="1:34" x14ac:dyDescent="0.3">
      <c r="A1754" s="4">
        <v>1939</v>
      </c>
      <c r="B1754" s="5">
        <v>1747</v>
      </c>
      <c r="C1754">
        <v>3256</v>
      </c>
      <c r="D1754" t="s">
        <v>29642</v>
      </c>
      <c r="E1754" t="s">
        <v>54</v>
      </c>
      <c r="F1754" t="s">
        <v>346</v>
      </c>
      <c r="G1754" t="s">
        <v>29643</v>
      </c>
      <c r="H1754">
        <v>20.68</v>
      </c>
      <c r="I1754">
        <v>0</v>
      </c>
      <c r="J1754">
        <v>0</v>
      </c>
      <c r="K1754">
        <v>0</v>
      </c>
      <c r="N1754">
        <v>3</v>
      </c>
      <c r="O1754">
        <v>3</v>
      </c>
      <c r="P1754">
        <v>4</v>
      </c>
      <c r="Q1754">
        <v>0</v>
      </c>
      <c r="R1754">
        <v>27.68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H1754">
        <v>27.68</v>
      </c>
    </row>
    <row r="1755" spans="1:34" x14ac:dyDescent="0.3">
      <c r="A1755" s="4">
        <v>1940</v>
      </c>
      <c r="B1755" s="5">
        <v>1748</v>
      </c>
      <c r="C1755">
        <v>9053</v>
      </c>
      <c r="D1755" t="s">
        <v>3072</v>
      </c>
      <c r="E1755" t="s">
        <v>161</v>
      </c>
      <c r="F1755" t="s">
        <v>385</v>
      </c>
      <c r="G1755" t="s">
        <v>29644</v>
      </c>
      <c r="H1755">
        <v>18.649999999999999</v>
      </c>
      <c r="I1755">
        <v>0</v>
      </c>
      <c r="J1755">
        <v>0</v>
      </c>
      <c r="K1755">
        <v>0</v>
      </c>
      <c r="N1755">
        <v>3</v>
      </c>
      <c r="O1755">
        <v>3</v>
      </c>
      <c r="P1755">
        <v>0</v>
      </c>
      <c r="Q1755">
        <v>0</v>
      </c>
      <c r="R1755">
        <v>21.65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6</v>
      </c>
      <c r="AC1755">
        <v>0</v>
      </c>
      <c r="AH1755">
        <v>27.65</v>
      </c>
    </row>
    <row r="1756" spans="1:34" x14ac:dyDescent="0.3">
      <c r="A1756" s="4">
        <v>1941</v>
      </c>
      <c r="B1756" s="5">
        <v>1749</v>
      </c>
      <c r="C1756">
        <v>13591</v>
      </c>
      <c r="D1756" t="s">
        <v>29645</v>
      </c>
      <c r="E1756" t="s">
        <v>243</v>
      </c>
      <c r="F1756" t="s">
        <v>30</v>
      </c>
      <c r="G1756" t="s">
        <v>29646</v>
      </c>
      <c r="H1756">
        <v>16.649999999999999</v>
      </c>
      <c r="I1756">
        <v>0</v>
      </c>
      <c r="J1756">
        <v>0</v>
      </c>
      <c r="K1756">
        <v>0</v>
      </c>
      <c r="L1756">
        <v>7</v>
      </c>
      <c r="O1756">
        <v>7</v>
      </c>
      <c r="P1756">
        <v>4</v>
      </c>
      <c r="Q1756">
        <v>0</v>
      </c>
      <c r="R1756">
        <v>27.65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H1756">
        <v>27.65</v>
      </c>
    </row>
    <row r="1757" spans="1:34" x14ac:dyDescent="0.3">
      <c r="A1757" s="4">
        <v>1942</v>
      </c>
      <c r="B1757" s="5">
        <v>1750</v>
      </c>
      <c r="C1757">
        <v>10245</v>
      </c>
      <c r="D1757" t="s">
        <v>15199</v>
      </c>
      <c r="E1757" t="s">
        <v>120</v>
      </c>
      <c r="F1757" t="s">
        <v>243</v>
      </c>
      <c r="G1757" t="s">
        <v>29647</v>
      </c>
      <c r="H1757">
        <v>14.65</v>
      </c>
      <c r="I1757">
        <v>0</v>
      </c>
      <c r="J1757">
        <v>0</v>
      </c>
      <c r="K1757">
        <v>0</v>
      </c>
      <c r="L1757">
        <v>7</v>
      </c>
      <c r="O1757">
        <v>7</v>
      </c>
      <c r="P1757">
        <v>4</v>
      </c>
      <c r="Q1757">
        <v>2</v>
      </c>
      <c r="R1757">
        <v>27.65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 t="s">
        <v>130</v>
      </c>
      <c r="AH1757">
        <v>27.65</v>
      </c>
    </row>
    <row r="1758" spans="1:34" x14ac:dyDescent="0.3">
      <c r="A1758" s="4">
        <v>1943</v>
      </c>
      <c r="B1758" s="5">
        <v>1751</v>
      </c>
      <c r="C1758">
        <v>14618</v>
      </c>
      <c r="D1758" t="s">
        <v>2668</v>
      </c>
      <c r="E1758" t="s">
        <v>88</v>
      </c>
      <c r="F1758" t="s">
        <v>17</v>
      </c>
      <c r="G1758" t="s">
        <v>2669</v>
      </c>
      <c r="H1758">
        <v>17.63</v>
      </c>
      <c r="I1758">
        <v>0</v>
      </c>
      <c r="J1758">
        <v>0</v>
      </c>
      <c r="K1758">
        <v>0</v>
      </c>
      <c r="N1758">
        <v>3</v>
      </c>
      <c r="O1758">
        <v>3</v>
      </c>
      <c r="P1758">
        <v>4</v>
      </c>
      <c r="Q1758">
        <v>0</v>
      </c>
      <c r="R1758">
        <v>24.63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3</v>
      </c>
      <c r="AC1758">
        <v>0</v>
      </c>
      <c r="AD1758" t="s">
        <v>130</v>
      </c>
      <c r="AH1758">
        <v>27.63</v>
      </c>
    </row>
    <row r="1759" spans="1:34" x14ac:dyDescent="0.3">
      <c r="A1759" s="4">
        <v>1944</v>
      </c>
      <c r="B1759" s="5">
        <v>1752</v>
      </c>
      <c r="C1759">
        <v>4000</v>
      </c>
      <c r="D1759" t="s">
        <v>317</v>
      </c>
      <c r="E1759" t="s">
        <v>2795</v>
      </c>
      <c r="F1759" t="s">
        <v>55</v>
      </c>
      <c r="G1759" t="s">
        <v>29648</v>
      </c>
      <c r="H1759">
        <v>17.63</v>
      </c>
      <c r="I1759">
        <v>0</v>
      </c>
      <c r="J1759">
        <v>0</v>
      </c>
      <c r="K1759">
        <v>0</v>
      </c>
      <c r="N1759">
        <v>3</v>
      </c>
      <c r="O1759">
        <v>3</v>
      </c>
      <c r="P1759">
        <v>4</v>
      </c>
      <c r="Q1759">
        <v>0</v>
      </c>
      <c r="R1759">
        <v>24.63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3</v>
      </c>
      <c r="AC1759">
        <v>0</v>
      </c>
      <c r="AH1759">
        <v>27.63</v>
      </c>
    </row>
    <row r="1760" spans="1:34" x14ac:dyDescent="0.3">
      <c r="A1760" s="4">
        <v>1945</v>
      </c>
      <c r="B1760" s="5">
        <v>1753</v>
      </c>
      <c r="C1760">
        <v>4894</v>
      </c>
      <c r="D1760" t="s">
        <v>357</v>
      </c>
      <c r="E1760" t="s">
        <v>837</v>
      </c>
      <c r="F1760" t="s">
        <v>91</v>
      </c>
      <c r="G1760" t="s">
        <v>29649</v>
      </c>
      <c r="H1760">
        <v>15.63</v>
      </c>
      <c r="I1760">
        <v>0</v>
      </c>
      <c r="J1760">
        <v>0</v>
      </c>
      <c r="K1760">
        <v>0</v>
      </c>
      <c r="N1760">
        <v>3</v>
      </c>
      <c r="O1760">
        <v>3</v>
      </c>
      <c r="P1760">
        <v>4</v>
      </c>
      <c r="Q1760">
        <v>2</v>
      </c>
      <c r="R1760">
        <v>24.63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3</v>
      </c>
      <c r="AC1760">
        <v>0</v>
      </c>
      <c r="AH1760">
        <v>27.63</v>
      </c>
    </row>
    <row r="1761" spans="1:34" x14ac:dyDescent="0.3">
      <c r="A1761" s="4">
        <v>1946</v>
      </c>
      <c r="B1761" s="5">
        <v>1754</v>
      </c>
      <c r="C1761">
        <v>404</v>
      </c>
      <c r="D1761" t="s">
        <v>29650</v>
      </c>
      <c r="E1761" t="s">
        <v>41</v>
      </c>
      <c r="F1761" t="s">
        <v>2598</v>
      </c>
      <c r="G1761" t="s">
        <v>29651</v>
      </c>
      <c r="H1761">
        <v>18.63</v>
      </c>
      <c r="I1761">
        <v>0</v>
      </c>
      <c r="J1761">
        <v>0</v>
      </c>
      <c r="K1761">
        <v>0</v>
      </c>
      <c r="M1761">
        <v>5</v>
      </c>
      <c r="O1761">
        <v>5</v>
      </c>
      <c r="P1761">
        <v>4</v>
      </c>
      <c r="Q1761">
        <v>0</v>
      </c>
      <c r="R1761">
        <v>27.63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H1761">
        <v>27.63</v>
      </c>
    </row>
    <row r="1762" spans="1:34" x14ac:dyDescent="0.3">
      <c r="A1762" s="4">
        <v>1947</v>
      </c>
      <c r="B1762" s="5">
        <v>1755</v>
      </c>
      <c r="C1762">
        <v>2899</v>
      </c>
      <c r="D1762" t="s">
        <v>29652</v>
      </c>
      <c r="E1762" t="s">
        <v>792</v>
      </c>
      <c r="F1762" t="s">
        <v>79</v>
      </c>
      <c r="G1762" t="s">
        <v>29653</v>
      </c>
      <c r="H1762">
        <v>20.6</v>
      </c>
      <c r="I1762">
        <v>0</v>
      </c>
      <c r="J1762">
        <v>0</v>
      </c>
      <c r="K1762">
        <v>0</v>
      </c>
      <c r="N1762">
        <v>3</v>
      </c>
      <c r="O1762">
        <v>3</v>
      </c>
      <c r="P1762">
        <v>4</v>
      </c>
      <c r="Q1762">
        <v>0</v>
      </c>
      <c r="R1762">
        <v>27.6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 t="s">
        <v>130</v>
      </c>
      <c r="AE1762" t="s">
        <v>130</v>
      </c>
      <c r="AH1762">
        <v>27.6</v>
      </c>
    </row>
    <row r="1763" spans="1:34" x14ac:dyDescent="0.3">
      <c r="A1763" s="4">
        <v>1948</v>
      </c>
      <c r="B1763" s="5">
        <v>1756</v>
      </c>
      <c r="C1763">
        <v>14838</v>
      </c>
      <c r="D1763" t="s">
        <v>29654</v>
      </c>
      <c r="E1763" t="s">
        <v>29655</v>
      </c>
      <c r="F1763" t="s">
        <v>167</v>
      </c>
      <c r="G1763" t="s">
        <v>29656</v>
      </c>
      <c r="H1763">
        <v>18.600000000000001</v>
      </c>
      <c r="I1763">
        <v>0</v>
      </c>
      <c r="J1763">
        <v>0</v>
      </c>
      <c r="K1763">
        <v>0</v>
      </c>
      <c r="M1763">
        <v>5</v>
      </c>
      <c r="O1763">
        <v>5</v>
      </c>
      <c r="P1763">
        <v>4</v>
      </c>
      <c r="Q1763">
        <v>0</v>
      </c>
      <c r="R1763">
        <v>27.6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H1763">
        <v>27.6</v>
      </c>
    </row>
    <row r="1764" spans="1:34" x14ac:dyDescent="0.3">
      <c r="A1764" s="4">
        <v>1949</v>
      </c>
      <c r="B1764" s="5">
        <v>1757</v>
      </c>
      <c r="C1764">
        <v>10956</v>
      </c>
      <c r="D1764" t="s">
        <v>29657</v>
      </c>
      <c r="E1764" t="s">
        <v>23182</v>
      </c>
      <c r="F1764" t="s">
        <v>20</v>
      </c>
      <c r="G1764" t="s">
        <v>29658</v>
      </c>
      <c r="H1764">
        <v>16.600000000000001</v>
      </c>
      <c r="I1764">
        <v>0</v>
      </c>
      <c r="J1764">
        <v>0</v>
      </c>
      <c r="K1764">
        <v>0</v>
      </c>
      <c r="L1764">
        <v>7</v>
      </c>
      <c r="O1764">
        <v>7</v>
      </c>
      <c r="P1764">
        <v>4</v>
      </c>
      <c r="Q1764">
        <v>0</v>
      </c>
      <c r="R1764">
        <v>27.6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H1764">
        <v>27.6</v>
      </c>
    </row>
    <row r="1765" spans="1:34" x14ac:dyDescent="0.3">
      <c r="A1765" s="4">
        <v>1950</v>
      </c>
      <c r="B1765" s="5">
        <v>1758</v>
      </c>
      <c r="C1765">
        <v>11372</v>
      </c>
      <c r="D1765" t="s">
        <v>29659</v>
      </c>
      <c r="E1765" t="s">
        <v>33</v>
      </c>
      <c r="F1765" t="s">
        <v>38</v>
      </c>
      <c r="G1765" t="s">
        <v>29660</v>
      </c>
      <c r="H1765">
        <v>18.579999999999998</v>
      </c>
      <c r="I1765">
        <v>0</v>
      </c>
      <c r="J1765">
        <v>0</v>
      </c>
      <c r="K1765">
        <v>0</v>
      </c>
      <c r="N1765">
        <v>3</v>
      </c>
      <c r="O1765">
        <v>3</v>
      </c>
      <c r="P1765">
        <v>4</v>
      </c>
      <c r="Q1765">
        <v>2</v>
      </c>
      <c r="R1765">
        <v>27.58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H1765">
        <v>27.58</v>
      </c>
    </row>
    <row r="1766" spans="1:34" x14ac:dyDescent="0.3">
      <c r="A1766" s="4">
        <v>1951</v>
      </c>
      <c r="B1766" s="5">
        <v>1759</v>
      </c>
      <c r="C1766">
        <v>12936</v>
      </c>
      <c r="D1766" t="s">
        <v>11582</v>
      </c>
      <c r="E1766" t="s">
        <v>54</v>
      </c>
      <c r="F1766" t="s">
        <v>81</v>
      </c>
      <c r="G1766" t="s">
        <v>29661</v>
      </c>
      <c r="H1766">
        <v>17.55</v>
      </c>
      <c r="I1766">
        <v>0</v>
      </c>
      <c r="J1766">
        <v>0</v>
      </c>
      <c r="K1766">
        <v>0</v>
      </c>
      <c r="N1766">
        <v>3</v>
      </c>
      <c r="O1766">
        <v>3</v>
      </c>
      <c r="P1766">
        <v>4</v>
      </c>
      <c r="Q1766">
        <v>0</v>
      </c>
      <c r="R1766">
        <v>24.55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3</v>
      </c>
      <c r="AC1766">
        <v>0</v>
      </c>
      <c r="AH1766">
        <v>27.55</v>
      </c>
    </row>
    <row r="1767" spans="1:34" x14ac:dyDescent="0.3">
      <c r="A1767" s="4">
        <v>1952</v>
      </c>
      <c r="B1767" s="5">
        <v>1760</v>
      </c>
      <c r="C1767">
        <v>1425</v>
      </c>
      <c r="D1767" t="s">
        <v>18097</v>
      </c>
      <c r="E1767" t="s">
        <v>29</v>
      </c>
      <c r="F1767" t="s">
        <v>158</v>
      </c>
      <c r="G1767" t="s">
        <v>29662</v>
      </c>
      <c r="H1767">
        <v>17.55</v>
      </c>
      <c r="I1767">
        <v>0</v>
      </c>
      <c r="J1767">
        <v>0</v>
      </c>
      <c r="K1767">
        <v>0</v>
      </c>
      <c r="N1767">
        <v>3</v>
      </c>
      <c r="O1767">
        <v>3</v>
      </c>
      <c r="P1767">
        <v>4</v>
      </c>
      <c r="Q1767">
        <v>0</v>
      </c>
      <c r="R1767">
        <v>24.55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3</v>
      </c>
      <c r="AC1767">
        <v>0</v>
      </c>
      <c r="AH1767">
        <v>27.55</v>
      </c>
    </row>
    <row r="1768" spans="1:34" x14ac:dyDescent="0.3">
      <c r="A1768" s="4">
        <v>1953</v>
      </c>
      <c r="B1768" s="5">
        <v>1761</v>
      </c>
      <c r="C1768">
        <v>10063</v>
      </c>
      <c r="D1768" t="s">
        <v>29663</v>
      </c>
      <c r="E1768" t="s">
        <v>88</v>
      </c>
      <c r="F1768" t="s">
        <v>343</v>
      </c>
      <c r="G1768" t="s">
        <v>29664</v>
      </c>
      <c r="H1768">
        <v>17.55</v>
      </c>
      <c r="I1768">
        <v>0</v>
      </c>
      <c r="J1768">
        <v>0</v>
      </c>
      <c r="K1768">
        <v>0</v>
      </c>
      <c r="N1768">
        <v>3</v>
      </c>
      <c r="O1768">
        <v>3</v>
      </c>
      <c r="P1768">
        <v>4</v>
      </c>
      <c r="Q1768">
        <v>0</v>
      </c>
      <c r="R1768">
        <v>24.55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3</v>
      </c>
      <c r="AC1768">
        <v>0</v>
      </c>
      <c r="AH1768">
        <v>27.55</v>
      </c>
    </row>
    <row r="1769" spans="1:34" x14ac:dyDescent="0.3">
      <c r="A1769" s="4">
        <v>1954</v>
      </c>
      <c r="B1769" s="5">
        <v>1762</v>
      </c>
      <c r="C1769">
        <v>11783</v>
      </c>
      <c r="D1769" t="s">
        <v>3181</v>
      </c>
      <c r="E1769" t="s">
        <v>258</v>
      </c>
      <c r="F1769" t="s">
        <v>17</v>
      </c>
      <c r="G1769" t="s">
        <v>29665</v>
      </c>
      <c r="H1769">
        <v>18.55</v>
      </c>
      <c r="I1769">
        <v>0</v>
      </c>
      <c r="J1769">
        <v>0</v>
      </c>
      <c r="K1769">
        <v>0</v>
      </c>
      <c r="N1769">
        <v>3</v>
      </c>
      <c r="O1769">
        <v>3</v>
      </c>
      <c r="P1769">
        <v>4</v>
      </c>
      <c r="Q1769">
        <v>2</v>
      </c>
      <c r="R1769">
        <v>27.55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H1769">
        <v>27.55</v>
      </c>
    </row>
    <row r="1770" spans="1:34" x14ac:dyDescent="0.3">
      <c r="A1770" s="4">
        <v>1955</v>
      </c>
      <c r="B1770" s="5">
        <v>1763</v>
      </c>
      <c r="C1770">
        <v>11206</v>
      </c>
      <c r="D1770" t="s">
        <v>29666</v>
      </c>
      <c r="E1770" t="s">
        <v>29667</v>
      </c>
      <c r="F1770" t="s">
        <v>21934</v>
      </c>
      <c r="G1770" t="s">
        <v>29668</v>
      </c>
      <c r="H1770">
        <v>18.55</v>
      </c>
      <c r="I1770">
        <v>0</v>
      </c>
      <c r="J1770">
        <v>0</v>
      </c>
      <c r="K1770">
        <v>0</v>
      </c>
      <c r="N1770">
        <v>3</v>
      </c>
      <c r="O1770">
        <v>3</v>
      </c>
      <c r="P1770">
        <v>4</v>
      </c>
      <c r="Q1770">
        <v>2</v>
      </c>
      <c r="R1770">
        <v>27.55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 t="s">
        <v>130</v>
      </c>
      <c r="AE1770" t="s">
        <v>130</v>
      </c>
      <c r="AH1770">
        <v>27.55</v>
      </c>
    </row>
    <row r="1771" spans="1:34" x14ac:dyDescent="0.3">
      <c r="A1771" s="4">
        <v>1956</v>
      </c>
      <c r="B1771" s="5">
        <v>1764</v>
      </c>
      <c r="C1771">
        <v>12473</v>
      </c>
      <c r="D1771" t="s">
        <v>29669</v>
      </c>
      <c r="E1771" t="s">
        <v>29670</v>
      </c>
      <c r="F1771" t="s">
        <v>230</v>
      </c>
      <c r="G1771" t="s">
        <v>29671</v>
      </c>
      <c r="H1771">
        <v>18.53</v>
      </c>
      <c r="I1771">
        <v>0</v>
      </c>
      <c r="J1771">
        <v>0</v>
      </c>
      <c r="K1771">
        <v>0</v>
      </c>
      <c r="N1771">
        <v>3</v>
      </c>
      <c r="O1771">
        <v>3</v>
      </c>
      <c r="P1771">
        <v>4</v>
      </c>
      <c r="Q1771">
        <v>2</v>
      </c>
      <c r="R1771">
        <v>27.53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H1771">
        <v>27.53</v>
      </c>
    </row>
    <row r="1772" spans="1:34" x14ac:dyDescent="0.3">
      <c r="A1772" s="4">
        <v>1957</v>
      </c>
      <c r="B1772" s="5">
        <v>1765</v>
      </c>
      <c r="C1772">
        <v>7183</v>
      </c>
      <c r="D1772" t="s">
        <v>29672</v>
      </c>
      <c r="E1772" t="s">
        <v>29</v>
      </c>
      <c r="F1772" t="s">
        <v>19015</v>
      </c>
      <c r="G1772" t="s">
        <v>29673</v>
      </c>
      <c r="H1772">
        <v>18.53</v>
      </c>
      <c r="I1772">
        <v>0</v>
      </c>
      <c r="J1772">
        <v>0</v>
      </c>
      <c r="K1772">
        <v>0</v>
      </c>
      <c r="N1772">
        <v>3</v>
      </c>
      <c r="O1772">
        <v>3</v>
      </c>
      <c r="P1772">
        <v>4</v>
      </c>
      <c r="Q1772">
        <v>2</v>
      </c>
      <c r="R1772">
        <v>27.53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H1772">
        <v>27.53</v>
      </c>
    </row>
    <row r="1773" spans="1:34" x14ac:dyDescent="0.3">
      <c r="A1773" s="4">
        <v>1958</v>
      </c>
      <c r="B1773" s="5">
        <v>1766</v>
      </c>
      <c r="C1773">
        <v>7910</v>
      </c>
      <c r="D1773" t="s">
        <v>15614</v>
      </c>
      <c r="E1773" t="s">
        <v>29674</v>
      </c>
      <c r="F1773" t="s">
        <v>34</v>
      </c>
      <c r="G1773" t="s">
        <v>29675</v>
      </c>
      <c r="H1773">
        <v>16.53</v>
      </c>
      <c r="I1773">
        <v>0</v>
      </c>
      <c r="J1773">
        <v>0</v>
      </c>
      <c r="K1773">
        <v>0</v>
      </c>
      <c r="L1773">
        <v>7</v>
      </c>
      <c r="O1773">
        <v>7</v>
      </c>
      <c r="P1773">
        <v>4</v>
      </c>
      <c r="Q1773">
        <v>0</v>
      </c>
      <c r="R1773">
        <v>27.53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H1773">
        <v>27.53</v>
      </c>
    </row>
    <row r="1774" spans="1:34" x14ac:dyDescent="0.3">
      <c r="A1774" s="4">
        <v>1959</v>
      </c>
      <c r="B1774" s="5">
        <v>1767</v>
      </c>
      <c r="C1774">
        <v>13640</v>
      </c>
      <c r="D1774" t="s">
        <v>29676</v>
      </c>
      <c r="E1774" t="s">
        <v>88</v>
      </c>
      <c r="F1774" t="s">
        <v>864</v>
      </c>
      <c r="G1774" t="s">
        <v>29677</v>
      </c>
      <c r="H1774">
        <v>18.5</v>
      </c>
      <c r="I1774">
        <v>0</v>
      </c>
      <c r="J1774">
        <v>0</v>
      </c>
      <c r="K1774">
        <v>0</v>
      </c>
      <c r="N1774">
        <v>3</v>
      </c>
      <c r="O1774">
        <v>3</v>
      </c>
      <c r="P1774">
        <v>0</v>
      </c>
      <c r="Q1774">
        <v>0</v>
      </c>
      <c r="R1774">
        <v>21.5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6</v>
      </c>
      <c r="AC1774">
        <v>0</v>
      </c>
      <c r="AH1774">
        <v>27.5</v>
      </c>
    </row>
    <row r="1775" spans="1:34" x14ac:dyDescent="0.3">
      <c r="A1775" s="4">
        <v>1960</v>
      </c>
      <c r="B1775" s="5">
        <v>1768</v>
      </c>
      <c r="C1775">
        <v>13690</v>
      </c>
      <c r="D1775" t="s">
        <v>29678</v>
      </c>
      <c r="E1775" t="s">
        <v>33</v>
      </c>
      <c r="F1775" t="s">
        <v>38</v>
      </c>
      <c r="G1775" t="s">
        <v>29679</v>
      </c>
      <c r="H1775">
        <v>20.5</v>
      </c>
      <c r="I1775">
        <v>0</v>
      </c>
      <c r="J1775">
        <v>0</v>
      </c>
      <c r="K1775">
        <v>0</v>
      </c>
      <c r="L1775">
        <v>7</v>
      </c>
      <c r="O1775">
        <v>7</v>
      </c>
      <c r="P1775">
        <v>0</v>
      </c>
      <c r="Q1775">
        <v>0</v>
      </c>
      <c r="R1775">
        <v>27.5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H1775">
        <v>27.5</v>
      </c>
    </row>
    <row r="1776" spans="1:34" x14ac:dyDescent="0.3">
      <c r="A1776" s="4">
        <v>1961</v>
      </c>
      <c r="B1776" s="5">
        <v>1769</v>
      </c>
      <c r="C1776">
        <v>6875</v>
      </c>
      <c r="D1776" t="s">
        <v>29680</v>
      </c>
      <c r="E1776" t="s">
        <v>15918</v>
      </c>
      <c r="F1776" t="s">
        <v>29681</v>
      </c>
      <c r="G1776" t="s">
        <v>29682</v>
      </c>
      <c r="H1776">
        <v>18.5</v>
      </c>
      <c r="I1776">
        <v>0</v>
      </c>
      <c r="J1776">
        <v>0</v>
      </c>
      <c r="K1776">
        <v>0</v>
      </c>
      <c r="N1776">
        <v>3</v>
      </c>
      <c r="O1776">
        <v>3</v>
      </c>
      <c r="P1776">
        <v>4</v>
      </c>
      <c r="Q1776">
        <v>2</v>
      </c>
      <c r="R1776">
        <v>27.5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H1776">
        <v>27.5</v>
      </c>
    </row>
    <row r="1777" spans="1:34" x14ac:dyDescent="0.3">
      <c r="A1777" s="4">
        <v>1962</v>
      </c>
      <c r="B1777" s="5">
        <v>1770</v>
      </c>
      <c r="C1777">
        <v>13212</v>
      </c>
      <c r="D1777" t="s">
        <v>12427</v>
      </c>
      <c r="E1777" t="s">
        <v>41</v>
      </c>
      <c r="F1777" t="s">
        <v>117</v>
      </c>
      <c r="G1777" t="s">
        <v>29683</v>
      </c>
      <c r="H1777">
        <v>16.5</v>
      </c>
      <c r="I1777">
        <v>0</v>
      </c>
      <c r="J1777">
        <v>0</v>
      </c>
      <c r="K1777">
        <v>0</v>
      </c>
      <c r="L1777">
        <v>7</v>
      </c>
      <c r="O1777">
        <v>7</v>
      </c>
      <c r="P1777">
        <v>4</v>
      </c>
      <c r="Q1777">
        <v>0</v>
      </c>
      <c r="R1777">
        <v>27.5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 t="s">
        <v>130</v>
      </c>
      <c r="AH1777">
        <v>27.5</v>
      </c>
    </row>
    <row r="1778" spans="1:34" x14ac:dyDescent="0.3">
      <c r="A1778" s="4">
        <v>1963</v>
      </c>
      <c r="B1778" s="5">
        <v>1771</v>
      </c>
      <c r="C1778">
        <v>12213</v>
      </c>
      <c r="D1778" t="s">
        <v>29684</v>
      </c>
      <c r="E1778" t="s">
        <v>37</v>
      </c>
      <c r="F1778" t="s">
        <v>20</v>
      </c>
      <c r="G1778" t="s">
        <v>29685</v>
      </c>
      <c r="H1778">
        <v>18.45</v>
      </c>
      <c r="I1778">
        <v>0</v>
      </c>
      <c r="J1778">
        <v>0</v>
      </c>
      <c r="K1778">
        <v>0</v>
      </c>
      <c r="N1778">
        <v>3</v>
      </c>
      <c r="O1778">
        <v>3</v>
      </c>
      <c r="P1778">
        <v>0</v>
      </c>
      <c r="Q1778">
        <v>0</v>
      </c>
      <c r="R1778">
        <v>21.45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6</v>
      </c>
      <c r="AC1778">
        <v>0</v>
      </c>
      <c r="AH1778">
        <v>27.45</v>
      </c>
    </row>
    <row r="1779" spans="1:34" x14ac:dyDescent="0.3">
      <c r="A1779" s="4">
        <v>1964</v>
      </c>
      <c r="B1779" s="5">
        <v>1772</v>
      </c>
      <c r="C1779">
        <v>11319</v>
      </c>
      <c r="D1779" t="s">
        <v>18869</v>
      </c>
      <c r="E1779" t="s">
        <v>41</v>
      </c>
      <c r="F1779" t="s">
        <v>20</v>
      </c>
      <c r="G1779" t="s">
        <v>29686</v>
      </c>
      <c r="H1779">
        <v>18.45</v>
      </c>
      <c r="I1779">
        <v>0</v>
      </c>
      <c r="J1779">
        <v>0</v>
      </c>
      <c r="K1779">
        <v>0</v>
      </c>
      <c r="N1779">
        <v>3</v>
      </c>
      <c r="O1779">
        <v>3</v>
      </c>
      <c r="P1779">
        <v>4</v>
      </c>
      <c r="Q1779">
        <v>2</v>
      </c>
      <c r="R1779">
        <v>27.45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H1779">
        <v>27.45</v>
      </c>
    </row>
    <row r="1780" spans="1:34" x14ac:dyDescent="0.3">
      <c r="A1780" s="4">
        <v>1965</v>
      </c>
      <c r="B1780" s="5">
        <v>1773</v>
      </c>
      <c r="C1780">
        <v>8248</v>
      </c>
      <c r="D1780" t="s">
        <v>29687</v>
      </c>
      <c r="E1780" t="s">
        <v>208</v>
      </c>
      <c r="F1780" t="s">
        <v>124</v>
      </c>
      <c r="G1780" t="s">
        <v>29688</v>
      </c>
      <c r="H1780">
        <v>16.43</v>
      </c>
      <c r="I1780">
        <v>0</v>
      </c>
      <c r="J1780">
        <v>0</v>
      </c>
      <c r="K1780">
        <v>0</v>
      </c>
      <c r="L1780">
        <v>7</v>
      </c>
      <c r="O1780">
        <v>7</v>
      </c>
      <c r="P1780">
        <v>4</v>
      </c>
      <c r="Q1780">
        <v>0</v>
      </c>
      <c r="R1780">
        <v>27.43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 t="s">
        <v>130</v>
      </c>
      <c r="AH1780">
        <v>27.43</v>
      </c>
    </row>
    <row r="1781" spans="1:34" x14ac:dyDescent="0.3">
      <c r="A1781" s="4">
        <v>1966</v>
      </c>
      <c r="B1781" s="5">
        <v>1774</v>
      </c>
      <c r="C1781">
        <v>15285</v>
      </c>
      <c r="D1781" t="s">
        <v>1101</v>
      </c>
      <c r="E1781" t="s">
        <v>149</v>
      </c>
      <c r="F1781" t="s">
        <v>346</v>
      </c>
      <c r="G1781" t="s">
        <v>29689</v>
      </c>
      <c r="H1781">
        <v>14.4</v>
      </c>
      <c r="I1781">
        <v>0</v>
      </c>
      <c r="J1781">
        <v>0</v>
      </c>
      <c r="K1781">
        <v>0</v>
      </c>
      <c r="N1781">
        <v>3</v>
      </c>
      <c r="O1781">
        <v>3</v>
      </c>
      <c r="P1781">
        <v>4</v>
      </c>
      <c r="Q1781">
        <v>0</v>
      </c>
      <c r="R1781">
        <v>21.4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6</v>
      </c>
      <c r="AC1781">
        <v>0</v>
      </c>
      <c r="AH1781">
        <v>27.4</v>
      </c>
    </row>
    <row r="1782" spans="1:34" x14ac:dyDescent="0.3">
      <c r="A1782" s="4">
        <v>1967</v>
      </c>
      <c r="B1782" s="5">
        <v>1775</v>
      </c>
      <c r="C1782">
        <v>3906</v>
      </c>
      <c r="D1782" t="s">
        <v>29690</v>
      </c>
      <c r="E1782" t="s">
        <v>10934</v>
      </c>
      <c r="F1782" t="s">
        <v>14</v>
      </c>
      <c r="G1782" t="s">
        <v>29691</v>
      </c>
      <c r="H1782">
        <v>17.38</v>
      </c>
      <c r="I1782">
        <v>0</v>
      </c>
      <c r="J1782">
        <v>0</v>
      </c>
      <c r="K1782">
        <v>0</v>
      </c>
      <c r="O1782">
        <v>0</v>
      </c>
      <c r="P1782">
        <v>4</v>
      </c>
      <c r="Q1782">
        <v>0</v>
      </c>
      <c r="R1782">
        <v>21.38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6</v>
      </c>
      <c r="AC1782">
        <v>0</v>
      </c>
      <c r="AH1782">
        <v>27.38</v>
      </c>
    </row>
    <row r="1783" spans="1:34" x14ac:dyDescent="0.3">
      <c r="A1783" s="4">
        <v>1968</v>
      </c>
      <c r="B1783" s="5">
        <v>1776</v>
      </c>
      <c r="C1783">
        <v>6366</v>
      </c>
      <c r="D1783" t="s">
        <v>19160</v>
      </c>
      <c r="E1783" t="s">
        <v>29</v>
      </c>
      <c r="F1783" t="s">
        <v>375</v>
      </c>
      <c r="G1783" t="s">
        <v>29692</v>
      </c>
      <c r="H1783">
        <v>20.38</v>
      </c>
      <c r="I1783">
        <v>0</v>
      </c>
      <c r="J1783">
        <v>0</v>
      </c>
      <c r="K1783">
        <v>0</v>
      </c>
      <c r="N1783">
        <v>3</v>
      </c>
      <c r="O1783">
        <v>3</v>
      </c>
      <c r="P1783">
        <v>4</v>
      </c>
      <c r="Q1783">
        <v>0</v>
      </c>
      <c r="R1783">
        <v>27.38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H1783">
        <v>27.38</v>
      </c>
    </row>
    <row r="1784" spans="1:34" x14ac:dyDescent="0.3">
      <c r="A1784" s="4">
        <v>1969</v>
      </c>
      <c r="B1784" s="5">
        <v>1777</v>
      </c>
      <c r="C1784">
        <v>7445</v>
      </c>
      <c r="D1784" t="s">
        <v>9969</v>
      </c>
      <c r="E1784" t="s">
        <v>132</v>
      </c>
      <c r="F1784" t="s">
        <v>230</v>
      </c>
      <c r="G1784" t="s">
        <v>29693</v>
      </c>
      <c r="H1784">
        <v>16.350000000000001</v>
      </c>
      <c r="I1784">
        <v>0</v>
      </c>
      <c r="J1784">
        <v>0</v>
      </c>
      <c r="K1784">
        <v>0</v>
      </c>
      <c r="M1784">
        <v>5</v>
      </c>
      <c r="O1784">
        <v>5</v>
      </c>
      <c r="P1784">
        <v>4</v>
      </c>
      <c r="Q1784">
        <v>2</v>
      </c>
      <c r="R1784">
        <v>27.35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H1784">
        <v>27.35</v>
      </c>
    </row>
    <row r="1785" spans="1:34" x14ac:dyDescent="0.3">
      <c r="A1785" s="4">
        <v>1970</v>
      </c>
      <c r="B1785" s="5">
        <v>1778</v>
      </c>
      <c r="C1785">
        <v>317</v>
      </c>
      <c r="D1785" t="s">
        <v>29694</v>
      </c>
      <c r="E1785" t="s">
        <v>328</v>
      </c>
      <c r="F1785" t="s">
        <v>17</v>
      </c>
      <c r="G1785" t="s">
        <v>29695</v>
      </c>
      <c r="H1785">
        <v>16.350000000000001</v>
      </c>
      <c r="I1785">
        <v>0</v>
      </c>
      <c r="J1785">
        <v>0</v>
      </c>
      <c r="K1785">
        <v>0</v>
      </c>
      <c r="L1785">
        <v>7</v>
      </c>
      <c r="O1785">
        <v>7</v>
      </c>
      <c r="P1785">
        <v>4</v>
      </c>
      <c r="Q1785">
        <v>0</v>
      </c>
      <c r="R1785">
        <v>27.35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H1785">
        <v>27.35</v>
      </c>
    </row>
    <row r="1786" spans="1:34" x14ac:dyDescent="0.3">
      <c r="A1786" s="4">
        <v>1971</v>
      </c>
      <c r="B1786" s="5">
        <v>1779</v>
      </c>
      <c r="C1786">
        <v>5033</v>
      </c>
      <c r="D1786" t="s">
        <v>569</v>
      </c>
      <c r="E1786" t="s">
        <v>33</v>
      </c>
      <c r="F1786" t="s">
        <v>79</v>
      </c>
      <c r="G1786" t="s">
        <v>29696</v>
      </c>
      <c r="H1786">
        <v>18.329999999999998</v>
      </c>
      <c r="I1786">
        <v>0</v>
      </c>
      <c r="J1786">
        <v>0</v>
      </c>
      <c r="K1786">
        <v>0</v>
      </c>
      <c r="N1786">
        <v>3</v>
      </c>
      <c r="O1786">
        <v>3</v>
      </c>
      <c r="P1786">
        <v>4</v>
      </c>
      <c r="Q1786">
        <v>2</v>
      </c>
      <c r="R1786">
        <v>27.33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H1786">
        <v>27.33</v>
      </c>
    </row>
    <row r="1787" spans="1:34" x14ac:dyDescent="0.3">
      <c r="A1787" s="4">
        <v>1972</v>
      </c>
      <c r="B1787" s="5">
        <v>1780</v>
      </c>
      <c r="C1787">
        <v>4898</v>
      </c>
      <c r="D1787" t="s">
        <v>5353</v>
      </c>
      <c r="E1787" t="s">
        <v>88</v>
      </c>
      <c r="F1787" t="s">
        <v>190</v>
      </c>
      <c r="G1787" t="s">
        <v>29697</v>
      </c>
      <c r="H1787">
        <v>18.329999999999998</v>
      </c>
      <c r="I1787">
        <v>0</v>
      </c>
      <c r="J1787">
        <v>0</v>
      </c>
      <c r="K1787">
        <v>0</v>
      </c>
      <c r="M1787">
        <v>5</v>
      </c>
      <c r="O1787">
        <v>5</v>
      </c>
      <c r="P1787">
        <v>4</v>
      </c>
      <c r="Q1787">
        <v>0</v>
      </c>
      <c r="R1787">
        <v>27.33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H1787">
        <v>27.33</v>
      </c>
    </row>
    <row r="1788" spans="1:34" x14ac:dyDescent="0.3">
      <c r="A1788" s="4">
        <v>1973</v>
      </c>
      <c r="B1788" s="5">
        <v>1781</v>
      </c>
      <c r="C1788">
        <v>14847</v>
      </c>
      <c r="D1788" t="s">
        <v>16849</v>
      </c>
      <c r="E1788" t="s">
        <v>479</v>
      </c>
      <c r="F1788" t="s">
        <v>55</v>
      </c>
      <c r="G1788" t="s">
        <v>29698</v>
      </c>
      <c r="H1788">
        <v>20.3</v>
      </c>
      <c r="I1788">
        <v>0</v>
      </c>
      <c r="J1788">
        <v>0</v>
      </c>
      <c r="K1788">
        <v>0</v>
      </c>
      <c r="O1788">
        <v>0</v>
      </c>
      <c r="P1788">
        <v>4</v>
      </c>
      <c r="Q1788">
        <v>0</v>
      </c>
      <c r="R1788">
        <v>24.3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3</v>
      </c>
      <c r="AC1788">
        <v>0</v>
      </c>
      <c r="AH1788">
        <v>27.3</v>
      </c>
    </row>
    <row r="1789" spans="1:34" x14ac:dyDescent="0.3">
      <c r="A1789" s="4">
        <v>1974</v>
      </c>
      <c r="B1789" s="5">
        <v>1782</v>
      </c>
      <c r="C1789">
        <v>9372</v>
      </c>
      <c r="D1789" t="s">
        <v>12342</v>
      </c>
      <c r="E1789" t="s">
        <v>132</v>
      </c>
      <c r="F1789" t="s">
        <v>20</v>
      </c>
      <c r="G1789" t="s">
        <v>29699</v>
      </c>
      <c r="H1789">
        <v>18.3</v>
      </c>
      <c r="I1789">
        <v>0</v>
      </c>
      <c r="J1789">
        <v>0</v>
      </c>
      <c r="K1789">
        <v>0</v>
      </c>
      <c r="N1789">
        <v>3</v>
      </c>
      <c r="O1789">
        <v>3</v>
      </c>
      <c r="P1789">
        <v>4</v>
      </c>
      <c r="Q1789">
        <v>2</v>
      </c>
      <c r="R1789">
        <v>27.3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H1789">
        <v>27.3</v>
      </c>
    </row>
    <row r="1790" spans="1:34" x14ac:dyDescent="0.3">
      <c r="A1790" s="4">
        <v>1975</v>
      </c>
      <c r="B1790" s="5">
        <v>1783</v>
      </c>
      <c r="C1790">
        <v>14367</v>
      </c>
      <c r="D1790" t="s">
        <v>29700</v>
      </c>
      <c r="E1790" t="s">
        <v>15218</v>
      </c>
      <c r="F1790" t="s">
        <v>29701</v>
      </c>
      <c r="G1790" t="s">
        <v>29702</v>
      </c>
      <c r="H1790">
        <v>20.28</v>
      </c>
      <c r="I1790">
        <v>0</v>
      </c>
      <c r="J1790">
        <v>0</v>
      </c>
      <c r="K1790">
        <v>0</v>
      </c>
      <c r="N1790">
        <v>3</v>
      </c>
      <c r="O1790">
        <v>3</v>
      </c>
      <c r="P1790">
        <v>4</v>
      </c>
      <c r="Q1790">
        <v>0</v>
      </c>
      <c r="R1790">
        <v>27.28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H1790">
        <v>27.28</v>
      </c>
    </row>
    <row r="1791" spans="1:34" x14ac:dyDescent="0.3">
      <c r="A1791" s="4">
        <v>1976</v>
      </c>
      <c r="B1791" s="5">
        <v>1784</v>
      </c>
      <c r="C1791">
        <v>4010</v>
      </c>
      <c r="D1791" t="s">
        <v>29703</v>
      </c>
      <c r="E1791" t="s">
        <v>29704</v>
      </c>
      <c r="F1791" t="s">
        <v>81</v>
      </c>
      <c r="G1791" t="s">
        <v>29705</v>
      </c>
      <c r="H1791">
        <v>16.28</v>
      </c>
      <c r="I1791">
        <v>0</v>
      </c>
      <c r="J1791">
        <v>0</v>
      </c>
      <c r="K1791">
        <v>0</v>
      </c>
      <c r="L1791">
        <v>7</v>
      </c>
      <c r="O1791">
        <v>7</v>
      </c>
      <c r="P1791">
        <v>4</v>
      </c>
      <c r="Q1791">
        <v>0</v>
      </c>
      <c r="R1791">
        <v>27.28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 t="s">
        <v>130</v>
      </c>
      <c r="AH1791">
        <v>27.28</v>
      </c>
    </row>
    <row r="1792" spans="1:34" x14ac:dyDescent="0.3">
      <c r="A1792" s="4">
        <v>1977</v>
      </c>
      <c r="B1792" s="5">
        <v>1785</v>
      </c>
      <c r="C1792">
        <v>11385</v>
      </c>
      <c r="D1792" t="s">
        <v>29706</v>
      </c>
      <c r="E1792" t="s">
        <v>88</v>
      </c>
      <c r="F1792" t="s">
        <v>310</v>
      </c>
      <c r="G1792" t="s">
        <v>29707</v>
      </c>
      <c r="H1792">
        <v>17.23</v>
      </c>
      <c r="I1792">
        <v>0</v>
      </c>
      <c r="J1792">
        <v>0</v>
      </c>
      <c r="K1792">
        <v>0</v>
      </c>
      <c r="O1792">
        <v>0</v>
      </c>
      <c r="P1792">
        <v>4</v>
      </c>
      <c r="Q1792">
        <v>0</v>
      </c>
      <c r="R1792">
        <v>21.23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6</v>
      </c>
      <c r="AC1792">
        <v>0</v>
      </c>
      <c r="AH1792">
        <v>27.23</v>
      </c>
    </row>
    <row r="1793" spans="1:34" x14ac:dyDescent="0.3">
      <c r="A1793" s="4">
        <v>1978</v>
      </c>
      <c r="B1793" s="5">
        <v>1786</v>
      </c>
      <c r="C1793">
        <v>12347</v>
      </c>
      <c r="D1793" t="s">
        <v>15709</v>
      </c>
      <c r="E1793" t="s">
        <v>110</v>
      </c>
      <c r="F1793" t="s">
        <v>17</v>
      </c>
      <c r="G1793" t="s">
        <v>29708</v>
      </c>
      <c r="H1793">
        <v>17.23</v>
      </c>
      <c r="I1793">
        <v>0</v>
      </c>
      <c r="J1793">
        <v>0</v>
      </c>
      <c r="K1793">
        <v>0</v>
      </c>
      <c r="N1793">
        <v>3</v>
      </c>
      <c r="O1793">
        <v>3</v>
      </c>
      <c r="P1793">
        <v>4</v>
      </c>
      <c r="Q1793">
        <v>0</v>
      </c>
      <c r="R1793">
        <v>24.23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3</v>
      </c>
      <c r="AC1793">
        <v>0</v>
      </c>
      <c r="AH1793">
        <v>27.23</v>
      </c>
    </row>
    <row r="1794" spans="1:34" x14ac:dyDescent="0.3">
      <c r="A1794" s="4">
        <v>1979</v>
      </c>
      <c r="B1794" s="5">
        <v>1787</v>
      </c>
      <c r="C1794">
        <v>14709</v>
      </c>
      <c r="D1794" t="s">
        <v>29709</v>
      </c>
      <c r="E1794" t="s">
        <v>479</v>
      </c>
      <c r="F1794" t="s">
        <v>385</v>
      </c>
      <c r="G1794" t="s">
        <v>29710</v>
      </c>
      <c r="H1794">
        <v>20.23</v>
      </c>
      <c r="I1794">
        <v>0</v>
      </c>
      <c r="J1794">
        <v>0</v>
      </c>
      <c r="K1794">
        <v>0</v>
      </c>
      <c r="N1794">
        <v>3</v>
      </c>
      <c r="O1794">
        <v>3</v>
      </c>
      <c r="P1794">
        <v>4</v>
      </c>
      <c r="Q1794">
        <v>0</v>
      </c>
      <c r="R1794">
        <v>27.23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H1794">
        <v>27.23</v>
      </c>
    </row>
    <row r="1795" spans="1:34" x14ac:dyDescent="0.3">
      <c r="A1795" s="4">
        <v>1980</v>
      </c>
      <c r="B1795" s="5">
        <v>1788</v>
      </c>
      <c r="C1795">
        <v>8908</v>
      </c>
      <c r="D1795" t="s">
        <v>784</v>
      </c>
      <c r="E1795" t="s">
        <v>51</v>
      </c>
      <c r="F1795" t="s">
        <v>2595</v>
      </c>
      <c r="G1795" t="s">
        <v>29711</v>
      </c>
      <c r="H1795">
        <v>18.23</v>
      </c>
      <c r="I1795">
        <v>0</v>
      </c>
      <c r="J1795">
        <v>0</v>
      </c>
      <c r="K1795">
        <v>0</v>
      </c>
      <c r="M1795">
        <v>5</v>
      </c>
      <c r="O1795">
        <v>5</v>
      </c>
      <c r="P1795">
        <v>4</v>
      </c>
      <c r="Q1795">
        <v>0</v>
      </c>
      <c r="R1795">
        <v>27.23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H1795">
        <v>27.23</v>
      </c>
    </row>
    <row r="1796" spans="1:34" x14ac:dyDescent="0.3">
      <c r="A1796" s="4">
        <v>1981</v>
      </c>
      <c r="B1796" s="5">
        <v>1789</v>
      </c>
      <c r="C1796">
        <v>7008</v>
      </c>
      <c r="D1796" t="s">
        <v>1530</v>
      </c>
      <c r="E1796" t="s">
        <v>37</v>
      </c>
      <c r="F1796" t="s">
        <v>29712</v>
      </c>
      <c r="G1796" t="s">
        <v>29713</v>
      </c>
      <c r="H1796">
        <v>18.2</v>
      </c>
      <c r="I1796">
        <v>0</v>
      </c>
      <c r="J1796">
        <v>0</v>
      </c>
      <c r="K1796">
        <v>0</v>
      </c>
      <c r="N1796">
        <v>3</v>
      </c>
      <c r="O1796">
        <v>3</v>
      </c>
      <c r="P1796">
        <v>4</v>
      </c>
      <c r="Q1796">
        <v>2</v>
      </c>
      <c r="R1796">
        <v>27.2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H1796">
        <v>27.2</v>
      </c>
    </row>
    <row r="1797" spans="1:34" x14ac:dyDescent="0.3">
      <c r="A1797" s="4">
        <v>1982</v>
      </c>
      <c r="B1797" s="5">
        <v>1790</v>
      </c>
      <c r="C1797">
        <v>12131</v>
      </c>
      <c r="D1797" t="s">
        <v>29714</v>
      </c>
      <c r="E1797" t="s">
        <v>161</v>
      </c>
      <c r="F1797" t="s">
        <v>136</v>
      </c>
      <c r="G1797" t="s">
        <v>29715</v>
      </c>
      <c r="H1797">
        <v>16.2</v>
      </c>
      <c r="I1797">
        <v>0</v>
      </c>
      <c r="J1797">
        <v>0</v>
      </c>
      <c r="K1797">
        <v>0</v>
      </c>
      <c r="M1797">
        <v>5</v>
      </c>
      <c r="O1797">
        <v>5</v>
      </c>
      <c r="P1797">
        <v>4</v>
      </c>
      <c r="Q1797">
        <v>2</v>
      </c>
      <c r="R1797">
        <v>27.2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H1797">
        <v>27.2</v>
      </c>
    </row>
    <row r="1798" spans="1:34" x14ac:dyDescent="0.3">
      <c r="A1798" s="4">
        <v>1983</v>
      </c>
      <c r="B1798" s="5">
        <v>1791</v>
      </c>
      <c r="C1798">
        <v>11339</v>
      </c>
      <c r="D1798" t="s">
        <v>8222</v>
      </c>
      <c r="E1798" t="s">
        <v>12525</v>
      </c>
      <c r="F1798" t="s">
        <v>38</v>
      </c>
      <c r="G1798" t="s">
        <v>29716</v>
      </c>
      <c r="H1798">
        <v>17.13</v>
      </c>
      <c r="I1798">
        <v>0</v>
      </c>
      <c r="J1798">
        <v>0</v>
      </c>
      <c r="K1798">
        <v>0</v>
      </c>
      <c r="N1798">
        <v>3</v>
      </c>
      <c r="O1798">
        <v>3</v>
      </c>
      <c r="P1798">
        <v>4</v>
      </c>
      <c r="Q1798">
        <v>0</v>
      </c>
      <c r="R1798">
        <v>24.13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3</v>
      </c>
      <c r="AC1798">
        <v>0</v>
      </c>
      <c r="AH1798">
        <v>27.13</v>
      </c>
    </row>
    <row r="1799" spans="1:34" x14ac:dyDescent="0.3">
      <c r="A1799" s="4">
        <v>1984</v>
      </c>
      <c r="B1799" s="5">
        <v>1792</v>
      </c>
      <c r="C1799">
        <v>4327</v>
      </c>
      <c r="D1799" t="s">
        <v>29717</v>
      </c>
      <c r="E1799" t="s">
        <v>100</v>
      </c>
      <c r="F1799" t="s">
        <v>259</v>
      </c>
      <c r="G1799" t="s">
        <v>29718</v>
      </c>
      <c r="H1799">
        <v>17.13</v>
      </c>
      <c r="I1799">
        <v>0</v>
      </c>
      <c r="J1799">
        <v>0</v>
      </c>
      <c r="K1799">
        <v>0</v>
      </c>
      <c r="N1799">
        <v>3</v>
      </c>
      <c r="O1799">
        <v>3</v>
      </c>
      <c r="P1799">
        <v>4</v>
      </c>
      <c r="Q1799">
        <v>0</v>
      </c>
      <c r="R1799">
        <v>24.13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3</v>
      </c>
      <c r="AC1799">
        <v>0</v>
      </c>
      <c r="AH1799">
        <v>27.13</v>
      </c>
    </row>
    <row r="1800" spans="1:34" x14ac:dyDescent="0.3">
      <c r="A1800" s="4">
        <v>1985</v>
      </c>
      <c r="B1800" s="5">
        <v>1793</v>
      </c>
      <c r="C1800">
        <v>2597</v>
      </c>
      <c r="D1800" t="s">
        <v>29719</v>
      </c>
      <c r="E1800" t="s">
        <v>255</v>
      </c>
      <c r="F1800" t="s">
        <v>20</v>
      </c>
      <c r="G1800" t="s">
        <v>29720</v>
      </c>
      <c r="H1800">
        <v>18.079999999999998</v>
      </c>
      <c r="I1800">
        <v>0</v>
      </c>
      <c r="J1800">
        <v>0</v>
      </c>
      <c r="K1800">
        <v>0</v>
      </c>
      <c r="N1800">
        <v>3</v>
      </c>
      <c r="O1800">
        <v>3</v>
      </c>
      <c r="P1800">
        <v>4</v>
      </c>
      <c r="Q1800">
        <v>2</v>
      </c>
      <c r="R1800">
        <v>27.08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H1800">
        <v>27.08</v>
      </c>
    </row>
    <row r="1801" spans="1:34" x14ac:dyDescent="0.3">
      <c r="A1801" s="4">
        <v>1986</v>
      </c>
      <c r="B1801" s="5">
        <v>1794</v>
      </c>
      <c r="C1801">
        <v>8761</v>
      </c>
      <c r="D1801" t="s">
        <v>29721</v>
      </c>
      <c r="E1801" t="s">
        <v>100</v>
      </c>
      <c r="F1801" t="s">
        <v>136</v>
      </c>
      <c r="G1801" t="s">
        <v>29722</v>
      </c>
      <c r="H1801">
        <v>17.05</v>
      </c>
      <c r="I1801">
        <v>0</v>
      </c>
      <c r="J1801">
        <v>0</v>
      </c>
      <c r="K1801">
        <v>0</v>
      </c>
      <c r="O1801">
        <v>0</v>
      </c>
      <c r="P1801">
        <v>4</v>
      </c>
      <c r="Q1801">
        <v>0</v>
      </c>
      <c r="R1801">
        <v>21.05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6</v>
      </c>
      <c r="AC1801">
        <v>0</v>
      </c>
      <c r="AH1801">
        <v>27.05</v>
      </c>
    </row>
    <row r="1802" spans="1:34" x14ac:dyDescent="0.3">
      <c r="A1802" s="4">
        <v>1987</v>
      </c>
      <c r="B1802" s="5">
        <v>1795</v>
      </c>
      <c r="C1802">
        <v>3405</v>
      </c>
      <c r="D1802" t="s">
        <v>29723</v>
      </c>
      <c r="E1802" t="s">
        <v>161</v>
      </c>
      <c r="F1802" t="s">
        <v>68</v>
      </c>
      <c r="G1802" t="s">
        <v>29724</v>
      </c>
      <c r="H1802">
        <v>15.05</v>
      </c>
      <c r="I1802">
        <v>0</v>
      </c>
      <c r="J1802">
        <v>0</v>
      </c>
      <c r="K1802">
        <v>0</v>
      </c>
      <c r="M1802">
        <v>5</v>
      </c>
      <c r="O1802">
        <v>5</v>
      </c>
      <c r="P1802">
        <v>4</v>
      </c>
      <c r="Q1802">
        <v>0</v>
      </c>
      <c r="R1802">
        <v>24.05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3</v>
      </c>
      <c r="AC1802">
        <v>0</v>
      </c>
      <c r="AH1802">
        <v>27.05</v>
      </c>
    </row>
    <row r="1803" spans="1:34" x14ac:dyDescent="0.3">
      <c r="A1803" s="4">
        <v>1988</v>
      </c>
      <c r="B1803" s="5">
        <v>1796</v>
      </c>
      <c r="C1803">
        <v>6844</v>
      </c>
      <c r="D1803" t="s">
        <v>29725</v>
      </c>
      <c r="E1803" t="s">
        <v>29726</v>
      </c>
      <c r="F1803" t="s">
        <v>81</v>
      </c>
      <c r="G1803" t="s">
        <v>29727</v>
      </c>
      <c r="H1803">
        <v>20.05</v>
      </c>
      <c r="I1803">
        <v>0</v>
      </c>
      <c r="J1803">
        <v>0</v>
      </c>
      <c r="K1803">
        <v>0</v>
      </c>
      <c r="N1803">
        <v>3</v>
      </c>
      <c r="O1803">
        <v>3</v>
      </c>
      <c r="P1803">
        <v>4</v>
      </c>
      <c r="Q1803">
        <v>0</v>
      </c>
      <c r="R1803">
        <v>27.05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H1803">
        <v>27.05</v>
      </c>
    </row>
    <row r="1804" spans="1:34" x14ac:dyDescent="0.3">
      <c r="A1804" s="4">
        <v>1989</v>
      </c>
      <c r="B1804" s="5">
        <v>1797</v>
      </c>
      <c r="C1804">
        <v>5348</v>
      </c>
      <c r="D1804" t="s">
        <v>1752</v>
      </c>
      <c r="E1804" t="s">
        <v>54</v>
      </c>
      <c r="F1804" t="s">
        <v>167</v>
      </c>
      <c r="G1804" t="s">
        <v>29728</v>
      </c>
      <c r="H1804">
        <v>20.03</v>
      </c>
      <c r="I1804">
        <v>0</v>
      </c>
      <c r="J1804">
        <v>0</v>
      </c>
      <c r="K1804">
        <v>0</v>
      </c>
      <c r="N1804">
        <v>3</v>
      </c>
      <c r="O1804">
        <v>3</v>
      </c>
      <c r="P1804">
        <v>4</v>
      </c>
      <c r="Q1804">
        <v>0</v>
      </c>
      <c r="R1804">
        <v>27.03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H1804">
        <v>27.03</v>
      </c>
    </row>
    <row r="1805" spans="1:34" x14ac:dyDescent="0.3">
      <c r="A1805" s="4">
        <v>1990</v>
      </c>
      <c r="B1805" s="5">
        <v>1798</v>
      </c>
      <c r="C1805">
        <v>8471</v>
      </c>
      <c r="D1805" t="s">
        <v>9310</v>
      </c>
      <c r="E1805" t="s">
        <v>33</v>
      </c>
      <c r="F1805" t="s">
        <v>136</v>
      </c>
      <c r="G1805" t="s">
        <v>29729</v>
      </c>
      <c r="H1805">
        <v>20.03</v>
      </c>
      <c r="I1805">
        <v>0</v>
      </c>
      <c r="J1805">
        <v>0</v>
      </c>
      <c r="K1805">
        <v>0</v>
      </c>
      <c r="N1805">
        <v>3</v>
      </c>
      <c r="O1805">
        <v>3</v>
      </c>
      <c r="P1805">
        <v>4</v>
      </c>
      <c r="Q1805">
        <v>0</v>
      </c>
      <c r="R1805">
        <v>27.03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H1805">
        <v>27.03</v>
      </c>
    </row>
    <row r="1806" spans="1:34" x14ac:dyDescent="0.3">
      <c r="A1806" s="4">
        <v>1991</v>
      </c>
      <c r="B1806" s="5">
        <v>1799</v>
      </c>
      <c r="C1806">
        <v>6220</v>
      </c>
      <c r="D1806" t="s">
        <v>13997</v>
      </c>
      <c r="E1806" t="s">
        <v>97</v>
      </c>
      <c r="F1806" t="s">
        <v>117</v>
      </c>
      <c r="G1806" t="s">
        <v>29730</v>
      </c>
      <c r="H1806">
        <v>18.03</v>
      </c>
      <c r="I1806">
        <v>0</v>
      </c>
      <c r="J1806">
        <v>0</v>
      </c>
      <c r="K1806">
        <v>0</v>
      </c>
      <c r="N1806">
        <v>3</v>
      </c>
      <c r="O1806">
        <v>3</v>
      </c>
      <c r="P1806">
        <v>4</v>
      </c>
      <c r="Q1806">
        <v>2</v>
      </c>
      <c r="R1806">
        <v>27.03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H1806">
        <v>27.03</v>
      </c>
    </row>
    <row r="1807" spans="1:34" x14ac:dyDescent="0.3">
      <c r="A1807" s="4">
        <v>1992</v>
      </c>
      <c r="B1807" s="5">
        <v>1800</v>
      </c>
      <c r="C1807">
        <v>9375</v>
      </c>
      <c r="D1807" t="s">
        <v>5559</v>
      </c>
      <c r="E1807" t="s">
        <v>100</v>
      </c>
      <c r="F1807" t="s">
        <v>2237</v>
      </c>
      <c r="G1807" t="s">
        <v>29731</v>
      </c>
      <c r="H1807">
        <v>18.03</v>
      </c>
      <c r="I1807">
        <v>0</v>
      </c>
      <c r="J1807">
        <v>0</v>
      </c>
      <c r="K1807">
        <v>0</v>
      </c>
      <c r="N1807">
        <v>3</v>
      </c>
      <c r="O1807">
        <v>3</v>
      </c>
      <c r="P1807">
        <v>4</v>
      </c>
      <c r="Q1807">
        <v>2</v>
      </c>
      <c r="R1807">
        <v>27.03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H1807">
        <v>27.03</v>
      </c>
    </row>
    <row r="1808" spans="1:34" x14ac:dyDescent="0.3">
      <c r="A1808" s="4">
        <v>1993</v>
      </c>
      <c r="B1808" s="5">
        <v>1801</v>
      </c>
      <c r="C1808">
        <v>13483</v>
      </c>
      <c r="D1808" t="s">
        <v>29732</v>
      </c>
      <c r="E1808" t="s">
        <v>26</v>
      </c>
      <c r="F1808" t="s">
        <v>38</v>
      </c>
      <c r="G1808" t="s">
        <v>29733</v>
      </c>
      <c r="H1808">
        <v>16.03</v>
      </c>
      <c r="I1808">
        <v>0</v>
      </c>
      <c r="J1808">
        <v>0</v>
      </c>
      <c r="K1808">
        <v>0</v>
      </c>
      <c r="L1808">
        <v>7</v>
      </c>
      <c r="O1808">
        <v>7</v>
      </c>
      <c r="P1808">
        <v>4</v>
      </c>
      <c r="Q1808">
        <v>0</v>
      </c>
      <c r="R1808">
        <v>27.03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H1808">
        <v>27.03</v>
      </c>
    </row>
    <row r="1809" spans="1:34" x14ac:dyDescent="0.3">
      <c r="A1809" s="4">
        <v>1994</v>
      </c>
      <c r="B1809" s="5">
        <v>1802</v>
      </c>
      <c r="C1809">
        <v>10595</v>
      </c>
      <c r="D1809" t="s">
        <v>506</v>
      </c>
      <c r="E1809" t="s">
        <v>29</v>
      </c>
      <c r="F1809" t="s">
        <v>29734</v>
      </c>
      <c r="G1809" t="s">
        <v>29735</v>
      </c>
      <c r="H1809">
        <v>17</v>
      </c>
      <c r="I1809">
        <v>0</v>
      </c>
      <c r="J1809">
        <v>0</v>
      </c>
      <c r="K1809">
        <v>0</v>
      </c>
      <c r="N1809">
        <v>3</v>
      </c>
      <c r="O1809">
        <v>3</v>
      </c>
      <c r="P1809">
        <v>4</v>
      </c>
      <c r="Q1809">
        <v>0</v>
      </c>
      <c r="R1809">
        <v>24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3</v>
      </c>
      <c r="AC1809">
        <v>0</v>
      </c>
      <c r="AD1809" t="s">
        <v>130</v>
      </c>
      <c r="AH1809">
        <v>27</v>
      </c>
    </row>
    <row r="1810" spans="1:34" x14ac:dyDescent="0.3">
      <c r="A1810" s="4">
        <v>1995</v>
      </c>
      <c r="B1810" s="5">
        <v>1803</v>
      </c>
      <c r="C1810">
        <v>15403</v>
      </c>
      <c r="D1810" t="s">
        <v>29736</v>
      </c>
      <c r="E1810" t="s">
        <v>208</v>
      </c>
      <c r="F1810" t="s">
        <v>117</v>
      </c>
      <c r="G1810" t="s">
        <v>29737</v>
      </c>
      <c r="H1810">
        <v>17</v>
      </c>
      <c r="I1810">
        <v>0</v>
      </c>
      <c r="J1810">
        <v>0</v>
      </c>
      <c r="K1810">
        <v>0</v>
      </c>
      <c r="N1810">
        <v>3</v>
      </c>
      <c r="O1810">
        <v>3</v>
      </c>
      <c r="P1810">
        <v>4</v>
      </c>
      <c r="Q1810">
        <v>0</v>
      </c>
      <c r="R1810">
        <v>24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3</v>
      </c>
      <c r="AC1810">
        <v>0</v>
      </c>
      <c r="AH1810">
        <v>27</v>
      </c>
    </row>
    <row r="1811" spans="1:34" x14ac:dyDescent="0.3">
      <c r="A1811" s="4">
        <v>1996</v>
      </c>
      <c r="B1811" s="5">
        <v>1804</v>
      </c>
      <c r="C1811">
        <v>6706</v>
      </c>
      <c r="D1811" t="s">
        <v>29738</v>
      </c>
      <c r="E1811" t="s">
        <v>88</v>
      </c>
      <c r="F1811" t="s">
        <v>17</v>
      </c>
      <c r="G1811" t="s">
        <v>29739</v>
      </c>
      <c r="H1811">
        <v>17</v>
      </c>
      <c r="I1811">
        <v>0</v>
      </c>
      <c r="J1811">
        <v>0</v>
      </c>
      <c r="K1811">
        <v>0</v>
      </c>
      <c r="N1811">
        <v>6</v>
      </c>
      <c r="O1811">
        <v>6</v>
      </c>
      <c r="P1811">
        <v>4</v>
      </c>
      <c r="Q1811">
        <v>0</v>
      </c>
      <c r="R1811">
        <v>27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H1811">
        <v>27</v>
      </c>
    </row>
    <row r="1812" spans="1:34" x14ac:dyDescent="0.3">
      <c r="A1812" s="4">
        <v>1997</v>
      </c>
      <c r="B1812" s="5">
        <v>1805</v>
      </c>
      <c r="C1812">
        <v>3622</v>
      </c>
      <c r="D1812" t="s">
        <v>29740</v>
      </c>
      <c r="E1812" t="s">
        <v>29741</v>
      </c>
      <c r="F1812" t="s">
        <v>1000</v>
      </c>
      <c r="G1812" t="s">
        <v>29742</v>
      </c>
      <c r="H1812">
        <v>15</v>
      </c>
      <c r="I1812">
        <v>0</v>
      </c>
      <c r="J1812">
        <v>0</v>
      </c>
      <c r="K1812">
        <v>0</v>
      </c>
      <c r="N1812">
        <v>3</v>
      </c>
      <c r="O1812">
        <v>3</v>
      </c>
      <c r="P1812">
        <v>4</v>
      </c>
      <c r="Q1812">
        <v>0</v>
      </c>
      <c r="R1812">
        <v>22</v>
      </c>
      <c r="S1812">
        <v>5</v>
      </c>
      <c r="T1812">
        <v>5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5</v>
      </c>
      <c r="AB1812">
        <v>0</v>
      </c>
      <c r="AC1812">
        <v>0</v>
      </c>
      <c r="AH1812">
        <v>27</v>
      </c>
    </row>
    <row r="1813" spans="1:34" x14ac:dyDescent="0.3">
      <c r="A1813" s="4">
        <v>1998</v>
      </c>
      <c r="B1813" s="5">
        <v>1806</v>
      </c>
      <c r="C1813">
        <v>1598</v>
      </c>
      <c r="D1813" t="s">
        <v>7503</v>
      </c>
      <c r="E1813" t="s">
        <v>2792</v>
      </c>
      <c r="F1813" t="s">
        <v>7504</v>
      </c>
      <c r="G1813" t="s">
        <v>7505</v>
      </c>
      <c r="H1813">
        <v>17.98</v>
      </c>
      <c r="I1813">
        <v>0</v>
      </c>
      <c r="J1813">
        <v>0</v>
      </c>
      <c r="K1813">
        <v>0</v>
      </c>
      <c r="O1813">
        <v>0</v>
      </c>
      <c r="P1813">
        <v>4</v>
      </c>
      <c r="Q1813">
        <v>2</v>
      </c>
      <c r="R1813">
        <v>23.98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3</v>
      </c>
      <c r="AC1813">
        <v>0</v>
      </c>
      <c r="AH1813">
        <v>26.98</v>
      </c>
    </row>
    <row r="1814" spans="1:34" x14ac:dyDescent="0.3">
      <c r="A1814" s="4">
        <v>1999</v>
      </c>
      <c r="B1814" s="5">
        <v>1807</v>
      </c>
      <c r="C1814">
        <v>4772</v>
      </c>
      <c r="D1814" t="s">
        <v>29743</v>
      </c>
      <c r="E1814" t="s">
        <v>166</v>
      </c>
      <c r="F1814" t="s">
        <v>38</v>
      </c>
      <c r="G1814" t="s">
        <v>29744</v>
      </c>
      <c r="H1814">
        <v>16.95</v>
      </c>
      <c r="I1814">
        <v>0</v>
      </c>
      <c r="J1814">
        <v>0</v>
      </c>
      <c r="K1814">
        <v>0</v>
      </c>
      <c r="N1814">
        <v>3</v>
      </c>
      <c r="O1814">
        <v>3</v>
      </c>
      <c r="P1814">
        <v>4</v>
      </c>
      <c r="Q1814">
        <v>0</v>
      </c>
      <c r="R1814">
        <v>23.95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3</v>
      </c>
      <c r="AC1814">
        <v>0</v>
      </c>
      <c r="AH1814">
        <v>26.95</v>
      </c>
    </row>
    <row r="1815" spans="1:34" x14ac:dyDescent="0.3">
      <c r="A1815" s="4">
        <v>2000</v>
      </c>
      <c r="B1815" s="5">
        <v>1808</v>
      </c>
      <c r="C1815">
        <v>4204</v>
      </c>
      <c r="D1815" t="s">
        <v>7688</v>
      </c>
      <c r="E1815" t="s">
        <v>19960</v>
      </c>
      <c r="F1815" t="s">
        <v>158</v>
      </c>
      <c r="G1815" t="s">
        <v>29745</v>
      </c>
      <c r="H1815">
        <v>15.95</v>
      </c>
      <c r="I1815">
        <v>0</v>
      </c>
      <c r="J1815">
        <v>0</v>
      </c>
      <c r="K1815">
        <v>0</v>
      </c>
      <c r="L1815">
        <v>7</v>
      </c>
      <c r="O1815">
        <v>7</v>
      </c>
      <c r="P1815">
        <v>4</v>
      </c>
      <c r="Q1815">
        <v>0</v>
      </c>
      <c r="R1815">
        <v>26.95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H1815">
        <v>26.95</v>
      </c>
    </row>
    <row r="1816" spans="1:34" x14ac:dyDescent="0.3">
      <c r="A1816" s="4">
        <v>2001</v>
      </c>
      <c r="B1816" s="5">
        <v>1809</v>
      </c>
      <c r="C1816">
        <v>1185</v>
      </c>
      <c r="D1816" t="s">
        <v>29746</v>
      </c>
      <c r="E1816" t="s">
        <v>41</v>
      </c>
      <c r="F1816" t="s">
        <v>190</v>
      </c>
      <c r="G1816" t="s">
        <v>29747</v>
      </c>
      <c r="H1816">
        <v>15.95</v>
      </c>
      <c r="I1816">
        <v>0</v>
      </c>
      <c r="J1816">
        <v>0</v>
      </c>
      <c r="K1816">
        <v>0</v>
      </c>
      <c r="L1816">
        <v>7</v>
      </c>
      <c r="O1816">
        <v>7</v>
      </c>
      <c r="P1816">
        <v>4</v>
      </c>
      <c r="Q1816">
        <v>0</v>
      </c>
      <c r="R1816">
        <v>26.95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H1816">
        <v>26.95</v>
      </c>
    </row>
    <row r="1817" spans="1:34" x14ac:dyDescent="0.3">
      <c r="A1817" s="4">
        <v>2002</v>
      </c>
      <c r="B1817" s="5">
        <v>1810</v>
      </c>
      <c r="C1817">
        <v>14946</v>
      </c>
      <c r="D1817" t="s">
        <v>511</v>
      </c>
      <c r="E1817" t="s">
        <v>2795</v>
      </c>
      <c r="F1817" t="s">
        <v>38</v>
      </c>
      <c r="G1817" t="s">
        <v>29748</v>
      </c>
      <c r="H1817">
        <v>16.93</v>
      </c>
      <c r="I1817">
        <v>0</v>
      </c>
      <c r="J1817">
        <v>0</v>
      </c>
      <c r="K1817">
        <v>0</v>
      </c>
      <c r="N1817">
        <v>3</v>
      </c>
      <c r="O1817">
        <v>3</v>
      </c>
      <c r="P1817">
        <v>4</v>
      </c>
      <c r="Q1817">
        <v>0</v>
      </c>
      <c r="R1817">
        <v>23.93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3</v>
      </c>
      <c r="AC1817">
        <v>0</v>
      </c>
      <c r="AH1817">
        <v>26.93</v>
      </c>
    </row>
    <row r="1818" spans="1:34" x14ac:dyDescent="0.3">
      <c r="A1818" s="4">
        <v>2003</v>
      </c>
      <c r="B1818" s="5">
        <v>1811</v>
      </c>
      <c r="C1818">
        <v>4751</v>
      </c>
      <c r="D1818" t="s">
        <v>2184</v>
      </c>
      <c r="E1818" t="s">
        <v>301</v>
      </c>
      <c r="F1818" t="s">
        <v>136</v>
      </c>
      <c r="G1818" t="s">
        <v>29749</v>
      </c>
      <c r="H1818">
        <v>17.93</v>
      </c>
      <c r="I1818">
        <v>0</v>
      </c>
      <c r="J1818">
        <v>0</v>
      </c>
      <c r="K1818">
        <v>0</v>
      </c>
      <c r="L1818">
        <v>7</v>
      </c>
      <c r="O1818">
        <v>7</v>
      </c>
      <c r="P1818">
        <v>0</v>
      </c>
      <c r="Q1818">
        <v>2</v>
      </c>
      <c r="R1818">
        <v>26.93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H1818">
        <v>26.93</v>
      </c>
    </row>
    <row r="1819" spans="1:34" x14ac:dyDescent="0.3">
      <c r="A1819" s="4">
        <v>2004</v>
      </c>
      <c r="B1819" s="5">
        <v>1812</v>
      </c>
      <c r="C1819">
        <v>14004</v>
      </c>
      <c r="D1819" t="s">
        <v>19074</v>
      </c>
      <c r="E1819" t="s">
        <v>3221</v>
      </c>
      <c r="F1819" t="s">
        <v>975</v>
      </c>
      <c r="G1819" t="s">
        <v>29750</v>
      </c>
      <c r="H1819">
        <v>15.93</v>
      </c>
      <c r="I1819">
        <v>0</v>
      </c>
      <c r="J1819">
        <v>0</v>
      </c>
      <c r="K1819">
        <v>0</v>
      </c>
      <c r="L1819">
        <v>7</v>
      </c>
      <c r="O1819">
        <v>7</v>
      </c>
      <c r="P1819">
        <v>4</v>
      </c>
      <c r="Q1819">
        <v>0</v>
      </c>
      <c r="R1819">
        <v>26.93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H1819">
        <v>26.93</v>
      </c>
    </row>
    <row r="1820" spans="1:34" x14ac:dyDescent="0.3">
      <c r="A1820" s="4">
        <v>2005</v>
      </c>
      <c r="B1820" s="5">
        <v>1813</v>
      </c>
      <c r="C1820">
        <v>9003</v>
      </c>
      <c r="D1820" t="s">
        <v>1911</v>
      </c>
      <c r="E1820" t="s">
        <v>100</v>
      </c>
      <c r="F1820" t="s">
        <v>68</v>
      </c>
      <c r="G1820" t="s">
        <v>29751</v>
      </c>
      <c r="H1820">
        <v>15.93</v>
      </c>
      <c r="I1820">
        <v>0</v>
      </c>
      <c r="J1820">
        <v>0</v>
      </c>
      <c r="K1820">
        <v>0</v>
      </c>
      <c r="L1820">
        <v>7</v>
      </c>
      <c r="O1820">
        <v>7</v>
      </c>
      <c r="P1820">
        <v>4</v>
      </c>
      <c r="Q1820">
        <v>0</v>
      </c>
      <c r="R1820">
        <v>26.93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H1820">
        <v>26.93</v>
      </c>
    </row>
    <row r="1821" spans="1:34" x14ac:dyDescent="0.3">
      <c r="A1821" s="4">
        <v>2006</v>
      </c>
      <c r="B1821" s="5">
        <v>1814</v>
      </c>
      <c r="C1821">
        <v>11386</v>
      </c>
      <c r="D1821" t="s">
        <v>4603</v>
      </c>
      <c r="E1821" t="s">
        <v>208</v>
      </c>
      <c r="F1821" t="s">
        <v>972</v>
      </c>
      <c r="G1821" t="s">
        <v>29752</v>
      </c>
      <c r="H1821">
        <v>17.899999999999999</v>
      </c>
      <c r="I1821">
        <v>0</v>
      </c>
      <c r="J1821">
        <v>0</v>
      </c>
      <c r="K1821">
        <v>0</v>
      </c>
      <c r="M1821">
        <v>5</v>
      </c>
      <c r="O1821">
        <v>5</v>
      </c>
      <c r="P1821">
        <v>4</v>
      </c>
      <c r="Q1821">
        <v>0</v>
      </c>
      <c r="R1821">
        <v>26.9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H1821">
        <v>26.9</v>
      </c>
    </row>
    <row r="1822" spans="1:34" x14ac:dyDescent="0.3">
      <c r="A1822" s="4">
        <v>2007</v>
      </c>
      <c r="B1822" s="5">
        <v>1815</v>
      </c>
      <c r="C1822">
        <v>5144</v>
      </c>
      <c r="D1822" t="s">
        <v>29753</v>
      </c>
      <c r="E1822" t="s">
        <v>550</v>
      </c>
      <c r="F1822" t="s">
        <v>466</v>
      </c>
      <c r="G1822" t="s">
        <v>29754</v>
      </c>
      <c r="H1822">
        <v>16.88</v>
      </c>
      <c r="I1822">
        <v>0</v>
      </c>
      <c r="J1822">
        <v>0</v>
      </c>
      <c r="K1822">
        <v>0</v>
      </c>
      <c r="O1822">
        <v>0</v>
      </c>
      <c r="P1822">
        <v>4</v>
      </c>
      <c r="Q1822">
        <v>0</v>
      </c>
      <c r="R1822">
        <v>20.88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6</v>
      </c>
      <c r="AC1822">
        <v>0</v>
      </c>
      <c r="AH1822">
        <v>26.88</v>
      </c>
    </row>
    <row r="1823" spans="1:34" x14ac:dyDescent="0.3">
      <c r="A1823" s="4">
        <v>2008</v>
      </c>
      <c r="B1823" s="5">
        <v>1816</v>
      </c>
      <c r="C1823">
        <v>15543</v>
      </c>
      <c r="D1823" t="s">
        <v>29755</v>
      </c>
      <c r="E1823" t="s">
        <v>178</v>
      </c>
      <c r="F1823" t="s">
        <v>20</v>
      </c>
      <c r="G1823" t="s">
        <v>29756</v>
      </c>
      <c r="H1823">
        <v>17.88</v>
      </c>
      <c r="I1823">
        <v>0</v>
      </c>
      <c r="J1823">
        <v>0</v>
      </c>
      <c r="K1823">
        <v>0</v>
      </c>
      <c r="N1823">
        <v>3</v>
      </c>
      <c r="O1823">
        <v>3</v>
      </c>
      <c r="P1823">
        <v>4</v>
      </c>
      <c r="Q1823">
        <v>2</v>
      </c>
      <c r="R1823">
        <v>26.88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H1823">
        <v>26.88</v>
      </c>
    </row>
    <row r="1824" spans="1:34" x14ac:dyDescent="0.3">
      <c r="A1824" s="4">
        <v>2009</v>
      </c>
      <c r="B1824" s="5">
        <v>1817</v>
      </c>
      <c r="C1824">
        <v>6455</v>
      </c>
      <c r="D1824" t="s">
        <v>29757</v>
      </c>
      <c r="E1824" t="s">
        <v>100</v>
      </c>
      <c r="F1824" t="s">
        <v>38</v>
      </c>
      <c r="G1824" t="s">
        <v>29758</v>
      </c>
      <c r="H1824">
        <v>16.850000000000001</v>
      </c>
      <c r="I1824">
        <v>0</v>
      </c>
      <c r="J1824">
        <v>0</v>
      </c>
      <c r="K1824">
        <v>0</v>
      </c>
      <c r="O1824">
        <v>0</v>
      </c>
      <c r="P1824">
        <v>4</v>
      </c>
      <c r="Q1824">
        <v>0</v>
      </c>
      <c r="R1824">
        <v>20.85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6</v>
      </c>
      <c r="AC1824">
        <v>0</v>
      </c>
      <c r="AH1824">
        <v>26.85</v>
      </c>
    </row>
    <row r="1825" spans="1:34" x14ac:dyDescent="0.3">
      <c r="A1825" s="4">
        <v>2010</v>
      </c>
      <c r="B1825" s="5">
        <v>1818</v>
      </c>
      <c r="C1825">
        <v>6828</v>
      </c>
      <c r="D1825" t="s">
        <v>10664</v>
      </c>
      <c r="E1825" t="s">
        <v>20</v>
      </c>
      <c r="F1825" t="s">
        <v>81</v>
      </c>
      <c r="G1825" t="s">
        <v>29759</v>
      </c>
      <c r="H1825">
        <v>17.850000000000001</v>
      </c>
      <c r="I1825">
        <v>0</v>
      </c>
      <c r="J1825">
        <v>0</v>
      </c>
      <c r="K1825">
        <v>0</v>
      </c>
      <c r="N1825">
        <v>3</v>
      </c>
      <c r="O1825">
        <v>3</v>
      </c>
      <c r="P1825">
        <v>4</v>
      </c>
      <c r="Q1825">
        <v>2</v>
      </c>
      <c r="R1825">
        <v>26.85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H1825">
        <v>26.85</v>
      </c>
    </row>
    <row r="1826" spans="1:34" x14ac:dyDescent="0.3">
      <c r="A1826" s="4">
        <v>2011</v>
      </c>
      <c r="B1826" s="5">
        <v>1819</v>
      </c>
      <c r="C1826">
        <v>3006</v>
      </c>
      <c r="D1826" t="s">
        <v>947</v>
      </c>
      <c r="E1826" t="s">
        <v>613</v>
      </c>
      <c r="F1826" t="s">
        <v>346</v>
      </c>
      <c r="G1826" t="s">
        <v>29760</v>
      </c>
      <c r="H1826">
        <v>17.850000000000001</v>
      </c>
      <c r="I1826">
        <v>0</v>
      </c>
      <c r="J1826">
        <v>0</v>
      </c>
      <c r="K1826">
        <v>0</v>
      </c>
      <c r="N1826">
        <v>3</v>
      </c>
      <c r="O1826">
        <v>3</v>
      </c>
      <c r="P1826">
        <v>4</v>
      </c>
      <c r="Q1826">
        <v>2</v>
      </c>
      <c r="R1826">
        <v>26.85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H1826">
        <v>26.85</v>
      </c>
    </row>
    <row r="1827" spans="1:34" x14ac:dyDescent="0.3">
      <c r="A1827" s="4">
        <v>2012</v>
      </c>
      <c r="B1827" s="5">
        <v>1820</v>
      </c>
      <c r="C1827">
        <v>8916</v>
      </c>
      <c r="D1827" t="s">
        <v>2503</v>
      </c>
      <c r="E1827" t="s">
        <v>29</v>
      </c>
      <c r="F1827" t="s">
        <v>190</v>
      </c>
      <c r="G1827" t="s">
        <v>29761</v>
      </c>
      <c r="H1827">
        <v>17.8</v>
      </c>
      <c r="I1827">
        <v>0</v>
      </c>
      <c r="J1827">
        <v>0</v>
      </c>
      <c r="K1827">
        <v>0</v>
      </c>
      <c r="N1827">
        <v>3</v>
      </c>
      <c r="O1827">
        <v>3</v>
      </c>
      <c r="P1827">
        <v>4</v>
      </c>
      <c r="Q1827">
        <v>2</v>
      </c>
      <c r="R1827">
        <v>26.8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H1827">
        <v>26.8</v>
      </c>
    </row>
    <row r="1828" spans="1:34" x14ac:dyDescent="0.3">
      <c r="A1828" s="4">
        <v>2013</v>
      </c>
      <c r="B1828" s="5">
        <v>1821</v>
      </c>
      <c r="C1828">
        <v>7181</v>
      </c>
      <c r="D1828" t="s">
        <v>20956</v>
      </c>
      <c r="E1828" t="s">
        <v>51</v>
      </c>
      <c r="F1828" t="s">
        <v>20</v>
      </c>
      <c r="G1828" t="s">
        <v>29762</v>
      </c>
      <c r="H1828">
        <v>17.78</v>
      </c>
      <c r="I1828">
        <v>0</v>
      </c>
      <c r="J1828">
        <v>0</v>
      </c>
      <c r="K1828">
        <v>0</v>
      </c>
      <c r="M1828">
        <v>5</v>
      </c>
      <c r="O1828">
        <v>5</v>
      </c>
      <c r="P1828">
        <v>4</v>
      </c>
      <c r="Q1828">
        <v>0</v>
      </c>
      <c r="R1828">
        <v>26.78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 t="s">
        <v>130</v>
      </c>
      <c r="AH1828">
        <v>26.78</v>
      </c>
    </row>
    <row r="1829" spans="1:34" x14ac:dyDescent="0.3">
      <c r="A1829" s="4">
        <v>2014</v>
      </c>
      <c r="B1829" s="5">
        <v>1822</v>
      </c>
      <c r="C1829">
        <v>10409</v>
      </c>
      <c r="D1829" t="s">
        <v>4908</v>
      </c>
      <c r="E1829" t="s">
        <v>471</v>
      </c>
      <c r="F1829" t="s">
        <v>30</v>
      </c>
      <c r="G1829" t="s">
        <v>29763</v>
      </c>
      <c r="H1829">
        <v>17.78</v>
      </c>
      <c r="I1829">
        <v>0</v>
      </c>
      <c r="J1829">
        <v>0</v>
      </c>
      <c r="K1829">
        <v>0</v>
      </c>
      <c r="N1829">
        <v>3</v>
      </c>
      <c r="O1829">
        <v>3</v>
      </c>
      <c r="P1829">
        <v>4</v>
      </c>
      <c r="Q1829">
        <v>2</v>
      </c>
      <c r="R1829">
        <v>26.78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H1829">
        <v>26.78</v>
      </c>
    </row>
    <row r="1830" spans="1:34" x14ac:dyDescent="0.3">
      <c r="A1830" s="4">
        <v>2015</v>
      </c>
      <c r="B1830" s="5">
        <v>1823</v>
      </c>
      <c r="C1830">
        <v>6354</v>
      </c>
      <c r="D1830" t="s">
        <v>29764</v>
      </c>
      <c r="E1830" t="s">
        <v>166</v>
      </c>
      <c r="F1830" t="s">
        <v>30</v>
      </c>
      <c r="G1830" t="s">
        <v>29765</v>
      </c>
      <c r="H1830">
        <v>15.78</v>
      </c>
      <c r="I1830">
        <v>0</v>
      </c>
      <c r="J1830">
        <v>0</v>
      </c>
      <c r="K1830">
        <v>0</v>
      </c>
      <c r="L1830">
        <v>7</v>
      </c>
      <c r="O1830">
        <v>7</v>
      </c>
      <c r="P1830">
        <v>4</v>
      </c>
      <c r="Q1830">
        <v>0</v>
      </c>
      <c r="R1830">
        <v>26.78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H1830">
        <v>26.78</v>
      </c>
    </row>
    <row r="1831" spans="1:34" x14ac:dyDescent="0.3">
      <c r="A1831" s="4">
        <v>2016</v>
      </c>
      <c r="B1831" s="5">
        <v>1824</v>
      </c>
      <c r="C1831">
        <v>3555</v>
      </c>
      <c r="D1831" t="s">
        <v>24482</v>
      </c>
      <c r="E1831" t="s">
        <v>227</v>
      </c>
      <c r="F1831" t="s">
        <v>801</v>
      </c>
      <c r="G1831" t="s">
        <v>29766</v>
      </c>
      <c r="H1831">
        <v>15.78</v>
      </c>
      <c r="I1831">
        <v>0</v>
      </c>
      <c r="J1831">
        <v>0</v>
      </c>
      <c r="K1831">
        <v>0</v>
      </c>
      <c r="L1831">
        <v>7</v>
      </c>
      <c r="O1831">
        <v>7</v>
      </c>
      <c r="P1831">
        <v>4</v>
      </c>
      <c r="Q1831">
        <v>0</v>
      </c>
      <c r="R1831">
        <v>26.78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H1831">
        <v>26.78</v>
      </c>
    </row>
    <row r="1832" spans="1:34" x14ac:dyDescent="0.3">
      <c r="A1832" s="4">
        <v>2017</v>
      </c>
      <c r="B1832" s="5">
        <v>1825</v>
      </c>
      <c r="C1832">
        <v>14469</v>
      </c>
      <c r="D1832" t="s">
        <v>17632</v>
      </c>
      <c r="E1832" t="s">
        <v>29767</v>
      </c>
      <c r="F1832" t="s">
        <v>136</v>
      </c>
      <c r="G1832" t="s">
        <v>29768</v>
      </c>
      <c r="H1832">
        <v>19.75</v>
      </c>
      <c r="I1832">
        <v>0</v>
      </c>
      <c r="J1832">
        <v>0</v>
      </c>
      <c r="K1832">
        <v>0</v>
      </c>
      <c r="N1832">
        <v>3</v>
      </c>
      <c r="O1832">
        <v>3</v>
      </c>
      <c r="P1832">
        <v>4</v>
      </c>
      <c r="Q1832">
        <v>0</v>
      </c>
      <c r="R1832">
        <v>26.75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H1832">
        <v>26.75</v>
      </c>
    </row>
    <row r="1833" spans="1:34" x14ac:dyDescent="0.3">
      <c r="A1833" s="4">
        <v>2018</v>
      </c>
      <c r="B1833" s="5">
        <v>1826</v>
      </c>
      <c r="C1833">
        <v>13513</v>
      </c>
      <c r="D1833" t="s">
        <v>3850</v>
      </c>
      <c r="E1833" t="s">
        <v>5549</v>
      </c>
      <c r="F1833" t="s">
        <v>18967</v>
      </c>
      <c r="G1833" t="s">
        <v>29769</v>
      </c>
      <c r="H1833">
        <v>19.75</v>
      </c>
      <c r="I1833">
        <v>0</v>
      </c>
      <c r="J1833">
        <v>0</v>
      </c>
      <c r="K1833">
        <v>0</v>
      </c>
      <c r="N1833">
        <v>3</v>
      </c>
      <c r="O1833">
        <v>3</v>
      </c>
      <c r="P1833">
        <v>4</v>
      </c>
      <c r="Q1833">
        <v>0</v>
      </c>
      <c r="R1833">
        <v>26.75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 t="s">
        <v>130</v>
      </c>
      <c r="AH1833">
        <v>26.75</v>
      </c>
    </row>
    <row r="1834" spans="1:34" x14ac:dyDescent="0.3">
      <c r="A1834" s="4">
        <v>2019</v>
      </c>
      <c r="B1834" s="5">
        <v>1827</v>
      </c>
      <c r="C1834">
        <v>7204</v>
      </c>
      <c r="D1834" t="s">
        <v>29770</v>
      </c>
      <c r="E1834" t="s">
        <v>149</v>
      </c>
      <c r="F1834" t="s">
        <v>81</v>
      </c>
      <c r="G1834" t="s">
        <v>29771</v>
      </c>
      <c r="H1834">
        <v>15.75</v>
      </c>
      <c r="I1834">
        <v>0</v>
      </c>
      <c r="J1834">
        <v>0</v>
      </c>
      <c r="K1834">
        <v>0</v>
      </c>
      <c r="L1834">
        <v>7</v>
      </c>
      <c r="O1834">
        <v>7</v>
      </c>
      <c r="P1834">
        <v>4</v>
      </c>
      <c r="Q1834">
        <v>0</v>
      </c>
      <c r="R1834">
        <v>26.75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H1834">
        <v>26.75</v>
      </c>
    </row>
    <row r="1835" spans="1:34" x14ac:dyDescent="0.3">
      <c r="A1835" s="4">
        <v>2020</v>
      </c>
      <c r="B1835" s="5">
        <v>1828</v>
      </c>
      <c r="C1835">
        <v>13041</v>
      </c>
      <c r="D1835" t="s">
        <v>18894</v>
      </c>
      <c r="E1835" t="s">
        <v>166</v>
      </c>
      <c r="F1835" t="s">
        <v>68</v>
      </c>
      <c r="G1835" t="s">
        <v>29772</v>
      </c>
      <c r="H1835">
        <v>16.75</v>
      </c>
      <c r="I1835">
        <v>0</v>
      </c>
      <c r="J1835">
        <v>0</v>
      </c>
      <c r="K1835">
        <v>0</v>
      </c>
      <c r="O1835">
        <v>0</v>
      </c>
      <c r="P1835">
        <v>4</v>
      </c>
      <c r="Q1835">
        <v>0</v>
      </c>
      <c r="R1835">
        <v>20.75</v>
      </c>
      <c r="S1835">
        <v>6</v>
      </c>
      <c r="T1835">
        <v>6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6</v>
      </c>
      <c r="AB1835">
        <v>0</v>
      </c>
      <c r="AC1835">
        <v>0</v>
      </c>
      <c r="AH1835">
        <v>26.75</v>
      </c>
    </row>
    <row r="1836" spans="1:34" x14ac:dyDescent="0.3">
      <c r="A1836" s="4">
        <v>2021</v>
      </c>
      <c r="B1836" s="5">
        <v>1829</v>
      </c>
      <c r="C1836">
        <v>8233</v>
      </c>
      <c r="D1836" t="s">
        <v>717</v>
      </c>
      <c r="E1836" t="s">
        <v>406</v>
      </c>
      <c r="F1836" t="s">
        <v>466</v>
      </c>
      <c r="G1836" t="s">
        <v>29773</v>
      </c>
      <c r="H1836">
        <v>17.73</v>
      </c>
      <c r="I1836">
        <v>0</v>
      </c>
      <c r="J1836">
        <v>0</v>
      </c>
      <c r="K1836">
        <v>0</v>
      </c>
      <c r="O1836">
        <v>0</v>
      </c>
      <c r="P1836">
        <v>4</v>
      </c>
      <c r="Q1836">
        <v>2</v>
      </c>
      <c r="R1836">
        <v>23.73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3</v>
      </c>
      <c r="AC1836">
        <v>0</v>
      </c>
      <c r="AD1836" t="s">
        <v>130</v>
      </c>
      <c r="AH1836">
        <v>26.73</v>
      </c>
    </row>
    <row r="1837" spans="1:34" x14ac:dyDescent="0.3">
      <c r="A1837" s="4">
        <v>2022</v>
      </c>
      <c r="B1837" s="5">
        <v>1830</v>
      </c>
      <c r="C1837">
        <v>11409</v>
      </c>
      <c r="D1837" t="s">
        <v>17973</v>
      </c>
      <c r="E1837" t="s">
        <v>6996</v>
      </c>
      <c r="F1837" t="s">
        <v>20</v>
      </c>
      <c r="G1837" t="s">
        <v>29774</v>
      </c>
      <c r="H1837">
        <v>17.73</v>
      </c>
      <c r="I1837">
        <v>0</v>
      </c>
      <c r="J1837">
        <v>0</v>
      </c>
      <c r="K1837">
        <v>0</v>
      </c>
      <c r="N1837">
        <v>3</v>
      </c>
      <c r="O1837">
        <v>3</v>
      </c>
      <c r="P1837">
        <v>4</v>
      </c>
      <c r="Q1837">
        <v>2</v>
      </c>
      <c r="R1837">
        <v>26.73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H1837">
        <v>26.73</v>
      </c>
    </row>
    <row r="1838" spans="1:34" x14ac:dyDescent="0.3">
      <c r="A1838" s="4">
        <v>2023</v>
      </c>
      <c r="B1838" s="5">
        <v>1831</v>
      </c>
      <c r="C1838">
        <v>8953</v>
      </c>
      <c r="D1838" t="s">
        <v>29775</v>
      </c>
      <c r="E1838" t="s">
        <v>243</v>
      </c>
      <c r="F1838" t="s">
        <v>30</v>
      </c>
      <c r="G1838" t="s">
        <v>29776</v>
      </c>
      <c r="H1838">
        <v>15.7</v>
      </c>
      <c r="I1838">
        <v>0</v>
      </c>
      <c r="J1838">
        <v>0</v>
      </c>
      <c r="K1838">
        <v>0</v>
      </c>
      <c r="N1838">
        <v>3</v>
      </c>
      <c r="O1838">
        <v>3</v>
      </c>
      <c r="P1838">
        <v>0</v>
      </c>
      <c r="Q1838">
        <v>2</v>
      </c>
      <c r="R1838">
        <v>20.7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6</v>
      </c>
      <c r="AC1838">
        <v>0</v>
      </c>
      <c r="AH1838">
        <v>26.7</v>
      </c>
    </row>
    <row r="1839" spans="1:34" x14ac:dyDescent="0.3">
      <c r="A1839" s="4">
        <v>2024</v>
      </c>
      <c r="B1839" s="5">
        <v>1832</v>
      </c>
      <c r="C1839">
        <v>8921</v>
      </c>
      <c r="D1839" t="s">
        <v>3434</v>
      </c>
      <c r="E1839" t="s">
        <v>71</v>
      </c>
      <c r="F1839" t="s">
        <v>62</v>
      </c>
      <c r="G1839" t="s">
        <v>29777</v>
      </c>
      <c r="H1839">
        <v>19.7</v>
      </c>
      <c r="I1839">
        <v>0</v>
      </c>
      <c r="J1839">
        <v>0</v>
      </c>
      <c r="K1839">
        <v>0</v>
      </c>
      <c r="N1839">
        <v>3</v>
      </c>
      <c r="O1839">
        <v>3</v>
      </c>
      <c r="P1839">
        <v>4</v>
      </c>
      <c r="Q1839">
        <v>0</v>
      </c>
      <c r="R1839">
        <v>26.7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H1839">
        <v>26.7</v>
      </c>
    </row>
    <row r="1840" spans="1:34" x14ac:dyDescent="0.3">
      <c r="A1840" s="4">
        <v>2025</v>
      </c>
      <c r="B1840" s="5">
        <v>1833</v>
      </c>
      <c r="C1840">
        <v>13244</v>
      </c>
      <c r="D1840" t="s">
        <v>29778</v>
      </c>
      <c r="E1840" t="s">
        <v>188</v>
      </c>
      <c r="F1840" t="s">
        <v>17</v>
      </c>
      <c r="G1840" t="s">
        <v>29779</v>
      </c>
      <c r="H1840">
        <v>15.7</v>
      </c>
      <c r="I1840">
        <v>0</v>
      </c>
      <c r="J1840">
        <v>0</v>
      </c>
      <c r="K1840">
        <v>0</v>
      </c>
      <c r="N1840">
        <v>3</v>
      </c>
      <c r="O1840">
        <v>3</v>
      </c>
      <c r="P1840">
        <v>4</v>
      </c>
      <c r="Q1840">
        <v>0</v>
      </c>
      <c r="R1840">
        <v>22.7</v>
      </c>
      <c r="S1840">
        <v>4</v>
      </c>
      <c r="T1840">
        <v>4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4</v>
      </c>
      <c r="AB1840">
        <v>0</v>
      </c>
      <c r="AC1840">
        <v>0</v>
      </c>
      <c r="AH1840">
        <v>26.7</v>
      </c>
    </row>
    <row r="1841" spans="1:34" x14ac:dyDescent="0.3">
      <c r="A1841" s="4">
        <v>2026</v>
      </c>
      <c r="B1841" s="5">
        <v>1834</v>
      </c>
      <c r="C1841">
        <v>693</v>
      </c>
      <c r="D1841" t="s">
        <v>29780</v>
      </c>
      <c r="E1841" t="s">
        <v>1155</v>
      </c>
      <c r="F1841" t="s">
        <v>124</v>
      </c>
      <c r="G1841" t="s">
        <v>29781</v>
      </c>
      <c r="H1841">
        <v>15.68</v>
      </c>
      <c r="I1841">
        <v>0</v>
      </c>
      <c r="J1841">
        <v>0</v>
      </c>
      <c r="K1841">
        <v>0</v>
      </c>
      <c r="N1841">
        <v>3</v>
      </c>
      <c r="O1841">
        <v>3</v>
      </c>
      <c r="P1841">
        <v>4</v>
      </c>
      <c r="Q1841">
        <v>0</v>
      </c>
      <c r="R1841">
        <v>22.68</v>
      </c>
      <c r="S1841">
        <v>1</v>
      </c>
      <c r="T1841">
        <v>1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1</v>
      </c>
      <c r="AB1841">
        <v>3</v>
      </c>
      <c r="AC1841">
        <v>0</v>
      </c>
      <c r="AH1841">
        <v>26.68</v>
      </c>
    </row>
    <row r="1842" spans="1:34" x14ac:dyDescent="0.3">
      <c r="A1842" s="4">
        <v>2027</v>
      </c>
      <c r="B1842" s="5">
        <v>1835</v>
      </c>
      <c r="C1842">
        <v>14198</v>
      </c>
      <c r="D1842" t="s">
        <v>29782</v>
      </c>
      <c r="E1842" t="s">
        <v>22</v>
      </c>
      <c r="F1842" t="s">
        <v>20</v>
      </c>
      <c r="G1842" t="s">
        <v>29783</v>
      </c>
      <c r="H1842">
        <v>17.68</v>
      </c>
      <c r="I1842">
        <v>0</v>
      </c>
      <c r="J1842">
        <v>0</v>
      </c>
      <c r="K1842">
        <v>0</v>
      </c>
      <c r="N1842">
        <v>3</v>
      </c>
      <c r="O1842">
        <v>3</v>
      </c>
      <c r="P1842">
        <v>4</v>
      </c>
      <c r="Q1842">
        <v>2</v>
      </c>
      <c r="R1842">
        <v>26.68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 t="s">
        <v>130</v>
      </c>
      <c r="AH1842">
        <v>26.68</v>
      </c>
    </row>
    <row r="1843" spans="1:34" x14ac:dyDescent="0.3">
      <c r="A1843" s="4">
        <v>2028</v>
      </c>
      <c r="B1843" s="5">
        <v>1836</v>
      </c>
      <c r="C1843">
        <v>5714</v>
      </c>
      <c r="D1843" t="s">
        <v>1279</v>
      </c>
      <c r="E1843" t="s">
        <v>283</v>
      </c>
      <c r="F1843" t="s">
        <v>68</v>
      </c>
      <c r="G1843" t="s">
        <v>2273</v>
      </c>
      <c r="H1843">
        <v>17.649999999999999</v>
      </c>
      <c r="I1843">
        <v>0</v>
      </c>
      <c r="J1843">
        <v>0</v>
      </c>
      <c r="K1843">
        <v>0</v>
      </c>
      <c r="N1843">
        <v>3</v>
      </c>
      <c r="O1843">
        <v>3</v>
      </c>
      <c r="P1843">
        <v>0</v>
      </c>
      <c r="Q1843">
        <v>0</v>
      </c>
      <c r="R1843">
        <v>20.65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6</v>
      </c>
      <c r="AC1843">
        <v>0</v>
      </c>
      <c r="AH1843">
        <v>26.65</v>
      </c>
    </row>
    <row r="1844" spans="1:34" x14ac:dyDescent="0.3">
      <c r="A1844" s="4">
        <v>2029</v>
      </c>
      <c r="B1844" s="5">
        <v>1837</v>
      </c>
      <c r="C1844">
        <v>9821</v>
      </c>
      <c r="D1844" t="s">
        <v>5299</v>
      </c>
      <c r="E1844" t="s">
        <v>1659</v>
      </c>
      <c r="F1844" t="s">
        <v>158</v>
      </c>
      <c r="G1844" t="s">
        <v>29784</v>
      </c>
      <c r="H1844">
        <v>15.65</v>
      </c>
      <c r="I1844">
        <v>0</v>
      </c>
      <c r="J1844">
        <v>0</v>
      </c>
      <c r="K1844">
        <v>0</v>
      </c>
      <c r="L1844">
        <v>7</v>
      </c>
      <c r="O1844">
        <v>7</v>
      </c>
      <c r="P1844">
        <v>4</v>
      </c>
      <c r="Q1844">
        <v>0</v>
      </c>
      <c r="R1844">
        <v>26.65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H1844">
        <v>26.65</v>
      </c>
    </row>
    <row r="1845" spans="1:34" x14ac:dyDescent="0.3">
      <c r="A1845" s="4">
        <v>2030</v>
      </c>
      <c r="B1845" s="5">
        <v>1838</v>
      </c>
      <c r="C1845">
        <v>13430</v>
      </c>
      <c r="D1845" t="s">
        <v>29785</v>
      </c>
      <c r="E1845" t="s">
        <v>1526</v>
      </c>
      <c r="F1845" t="s">
        <v>68</v>
      </c>
      <c r="G1845" t="s">
        <v>29786</v>
      </c>
      <c r="H1845">
        <v>15.65</v>
      </c>
      <c r="I1845">
        <v>0</v>
      </c>
      <c r="J1845">
        <v>0</v>
      </c>
      <c r="K1845">
        <v>0</v>
      </c>
      <c r="L1845">
        <v>7</v>
      </c>
      <c r="O1845">
        <v>7</v>
      </c>
      <c r="P1845">
        <v>4</v>
      </c>
      <c r="Q1845">
        <v>0</v>
      </c>
      <c r="R1845">
        <v>26.65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H1845">
        <v>26.65</v>
      </c>
    </row>
    <row r="1846" spans="1:34" x14ac:dyDescent="0.3">
      <c r="A1846" s="4">
        <v>2031</v>
      </c>
      <c r="B1846" s="5">
        <v>1839</v>
      </c>
      <c r="C1846">
        <v>3313</v>
      </c>
      <c r="D1846" t="s">
        <v>29787</v>
      </c>
      <c r="E1846" t="s">
        <v>33</v>
      </c>
      <c r="F1846" t="s">
        <v>20</v>
      </c>
      <c r="G1846" t="s">
        <v>29788</v>
      </c>
      <c r="H1846">
        <v>15.65</v>
      </c>
      <c r="I1846">
        <v>0</v>
      </c>
      <c r="J1846">
        <v>0</v>
      </c>
      <c r="K1846">
        <v>0</v>
      </c>
      <c r="L1846">
        <v>7</v>
      </c>
      <c r="O1846">
        <v>7</v>
      </c>
      <c r="P1846">
        <v>4</v>
      </c>
      <c r="Q1846">
        <v>0</v>
      </c>
      <c r="R1846">
        <v>26.65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H1846">
        <v>26.65</v>
      </c>
    </row>
    <row r="1847" spans="1:34" x14ac:dyDescent="0.3">
      <c r="A1847" s="4">
        <v>2032</v>
      </c>
      <c r="B1847" s="5">
        <v>1840</v>
      </c>
      <c r="C1847">
        <v>11224</v>
      </c>
      <c r="D1847" t="s">
        <v>3585</v>
      </c>
      <c r="E1847" t="s">
        <v>560</v>
      </c>
      <c r="F1847" t="s">
        <v>91</v>
      </c>
      <c r="G1847" t="s">
        <v>29789</v>
      </c>
      <c r="H1847">
        <v>16.63</v>
      </c>
      <c r="I1847">
        <v>0</v>
      </c>
      <c r="J1847">
        <v>0</v>
      </c>
      <c r="K1847">
        <v>0</v>
      </c>
      <c r="N1847">
        <v>3</v>
      </c>
      <c r="O1847">
        <v>3</v>
      </c>
      <c r="P1847">
        <v>4</v>
      </c>
      <c r="Q1847">
        <v>0</v>
      </c>
      <c r="R1847">
        <v>23.63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3</v>
      </c>
      <c r="AC1847">
        <v>0</v>
      </c>
      <c r="AH1847">
        <v>26.63</v>
      </c>
    </row>
    <row r="1848" spans="1:34" x14ac:dyDescent="0.3">
      <c r="A1848" s="4">
        <v>2033</v>
      </c>
      <c r="B1848" s="5">
        <v>1841</v>
      </c>
      <c r="C1848">
        <v>10923</v>
      </c>
      <c r="D1848" t="s">
        <v>1467</v>
      </c>
      <c r="E1848" t="s">
        <v>29790</v>
      </c>
      <c r="F1848" t="s">
        <v>539</v>
      </c>
      <c r="G1848" t="s">
        <v>29791</v>
      </c>
      <c r="H1848">
        <v>19.63</v>
      </c>
      <c r="I1848">
        <v>0</v>
      </c>
      <c r="J1848">
        <v>0</v>
      </c>
      <c r="K1848">
        <v>0</v>
      </c>
      <c r="N1848">
        <v>3</v>
      </c>
      <c r="O1848">
        <v>3</v>
      </c>
      <c r="P1848">
        <v>4</v>
      </c>
      <c r="Q1848">
        <v>0</v>
      </c>
      <c r="R1848">
        <v>26.63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H1848">
        <v>26.63</v>
      </c>
    </row>
    <row r="1849" spans="1:34" x14ac:dyDescent="0.3">
      <c r="A1849" s="4">
        <v>2034</v>
      </c>
      <c r="B1849" s="5">
        <v>1842</v>
      </c>
      <c r="C1849">
        <v>5965</v>
      </c>
      <c r="D1849" t="s">
        <v>29792</v>
      </c>
      <c r="E1849" t="s">
        <v>188</v>
      </c>
      <c r="F1849" t="s">
        <v>17</v>
      </c>
      <c r="G1849" t="s">
        <v>29793</v>
      </c>
      <c r="H1849">
        <v>17.600000000000001</v>
      </c>
      <c r="I1849">
        <v>0</v>
      </c>
      <c r="J1849">
        <v>0</v>
      </c>
      <c r="K1849">
        <v>0</v>
      </c>
      <c r="O1849">
        <v>0</v>
      </c>
      <c r="P1849">
        <v>4</v>
      </c>
      <c r="Q1849">
        <v>2</v>
      </c>
      <c r="R1849">
        <v>23.6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3</v>
      </c>
      <c r="AC1849">
        <v>0</v>
      </c>
      <c r="AH1849">
        <v>26.6</v>
      </c>
    </row>
    <row r="1850" spans="1:34" x14ac:dyDescent="0.3">
      <c r="A1850" s="4">
        <v>2035</v>
      </c>
      <c r="B1850" s="5">
        <v>1843</v>
      </c>
      <c r="C1850">
        <v>2879</v>
      </c>
      <c r="D1850" t="s">
        <v>15429</v>
      </c>
      <c r="E1850" t="s">
        <v>6996</v>
      </c>
      <c r="F1850" t="s">
        <v>81</v>
      </c>
      <c r="G1850" t="s">
        <v>29794</v>
      </c>
      <c r="H1850">
        <v>17.600000000000001</v>
      </c>
      <c r="I1850">
        <v>0</v>
      </c>
      <c r="J1850">
        <v>0</v>
      </c>
      <c r="K1850">
        <v>0</v>
      </c>
      <c r="N1850">
        <v>3</v>
      </c>
      <c r="O1850">
        <v>3</v>
      </c>
      <c r="P1850">
        <v>4</v>
      </c>
      <c r="Q1850">
        <v>2</v>
      </c>
      <c r="R1850">
        <v>26.6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 t="s">
        <v>130</v>
      </c>
      <c r="AH1850">
        <v>26.6</v>
      </c>
    </row>
    <row r="1851" spans="1:34" x14ac:dyDescent="0.3">
      <c r="A1851" s="4">
        <v>2036</v>
      </c>
      <c r="B1851" s="5">
        <v>1844</v>
      </c>
      <c r="C1851">
        <v>4294</v>
      </c>
      <c r="D1851" t="s">
        <v>19621</v>
      </c>
      <c r="E1851" t="s">
        <v>54</v>
      </c>
      <c r="F1851" t="s">
        <v>68</v>
      </c>
      <c r="G1851" t="s">
        <v>29795</v>
      </c>
      <c r="H1851">
        <v>17.600000000000001</v>
      </c>
      <c r="I1851">
        <v>0</v>
      </c>
      <c r="J1851">
        <v>0</v>
      </c>
      <c r="K1851">
        <v>0</v>
      </c>
      <c r="M1851">
        <v>5</v>
      </c>
      <c r="O1851">
        <v>5</v>
      </c>
      <c r="P1851">
        <v>4</v>
      </c>
      <c r="Q1851">
        <v>0</v>
      </c>
      <c r="R1851">
        <v>26.6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H1851">
        <v>26.6</v>
      </c>
    </row>
    <row r="1852" spans="1:34" x14ac:dyDescent="0.3">
      <c r="A1852" s="4">
        <v>2037</v>
      </c>
      <c r="B1852" s="5">
        <v>1845</v>
      </c>
      <c r="C1852">
        <v>5309</v>
      </c>
      <c r="D1852" t="s">
        <v>21565</v>
      </c>
      <c r="E1852" t="s">
        <v>29796</v>
      </c>
      <c r="F1852" t="s">
        <v>328</v>
      </c>
      <c r="G1852" t="s">
        <v>29797</v>
      </c>
      <c r="H1852">
        <v>19.579999999999998</v>
      </c>
      <c r="I1852">
        <v>0</v>
      </c>
      <c r="J1852">
        <v>0</v>
      </c>
      <c r="K1852">
        <v>0</v>
      </c>
      <c r="O1852">
        <v>0</v>
      </c>
      <c r="P1852">
        <v>4</v>
      </c>
      <c r="Q1852">
        <v>0</v>
      </c>
      <c r="R1852">
        <v>23.58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3</v>
      </c>
      <c r="AC1852">
        <v>0</v>
      </c>
      <c r="AH1852">
        <v>26.58</v>
      </c>
    </row>
    <row r="1853" spans="1:34" x14ac:dyDescent="0.3">
      <c r="A1853" s="4">
        <v>2038</v>
      </c>
      <c r="B1853" s="5">
        <v>1846</v>
      </c>
      <c r="C1853">
        <v>11043</v>
      </c>
      <c r="D1853" t="s">
        <v>26704</v>
      </c>
      <c r="E1853" t="s">
        <v>3680</v>
      </c>
      <c r="F1853" t="s">
        <v>30</v>
      </c>
      <c r="G1853" t="s">
        <v>29798</v>
      </c>
      <c r="H1853">
        <v>19.579999999999998</v>
      </c>
      <c r="I1853">
        <v>0</v>
      </c>
      <c r="J1853">
        <v>0</v>
      </c>
      <c r="K1853">
        <v>0</v>
      </c>
      <c r="N1853">
        <v>3</v>
      </c>
      <c r="O1853">
        <v>3</v>
      </c>
      <c r="P1853">
        <v>4</v>
      </c>
      <c r="Q1853">
        <v>0</v>
      </c>
      <c r="R1853">
        <v>26.58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H1853">
        <v>26.58</v>
      </c>
    </row>
    <row r="1854" spans="1:34" x14ac:dyDescent="0.3">
      <c r="A1854" s="4">
        <v>2039</v>
      </c>
      <c r="B1854" s="5">
        <v>1847</v>
      </c>
      <c r="C1854">
        <v>13437</v>
      </c>
      <c r="D1854" t="s">
        <v>29799</v>
      </c>
      <c r="E1854" t="s">
        <v>22</v>
      </c>
      <c r="F1854" t="s">
        <v>1526</v>
      </c>
      <c r="G1854" t="s">
        <v>29800</v>
      </c>
      <c r="H1854">
        <v>15.58</v>
      </c>
      <c r="I1854">
        <v>0</v>
      </c>
      <c r="J1854">
        <v>0</v>
      </c>
      <c r="K1854">
        <v>0</v>
      </c>
      <c r="L1854">
        <v>7</v>
      </c>
      <c r="O1854">
        <v>7</v>
      </c>
      <c r="P1854">
        <v>4</v>
      </c>
      <c r="Q1854">
        <v>0</v>
      </c>
      <c r="R1854">
        <v>26.58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H1854">
        <v>26.58</v>
      </c>
    </row>
    <row r="1855" spans="1:34" x14ac:dyDescent="0.3">
      <c r="A1855" s="4">
        <v>2040</v>
      </c>
      <c r="B1855" s="5">
        <v>1848</v>
      </c>
      <c r="C1855">
        <v>5595</v>
      </c>
      <c r="D1855" t="s">
        <v>29246</v>
      </c>
      <c r="E1855" t="s">
        <v>161</v>
      </c>
      <c r="F1855" t="s">
        <v>136</v>
      </c>
      <c r="G1855" t="s">
        <v>29801</v>
      </c>
      <c r="H1855">
        <v>17.55</v>
      </c>
      <c r="I1855">
        <v>0</v>
      </c>
      <c r="J1855">
        <v>0</v>
      </c>
      <c r="K1855">
        <v>0</v>
      </c>
      <c r="N1855">
        <v>3</v>
      </c>
      <c r="O1855">
        <v>3</v>
      </c>
      <c r="P1855">
        <v>4</v>
      </c>
      <c r="Q1855">
        <v>2</v>
      </c>
      <c r="R1855">
        <v>26.55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 t="s">
        <v>130</v>
      </c>
      <c r="AH1855">
        <v>26.55</v>
      </c>
    </row>
    <row r="1856" spans="1:34" x14ac:dyDescent="0.3">
      <c r="A1856" s="4">
        <v>2041</v>
      </c>
      <c r="B1856" s="5">
        <v>1849</v>
      </c>
      <c r="C1856">
        <v>7295</v>
      </c>
      <c r="D1856" t="s">
        <v>2008</v>
      </c>
      <c r="E1856" t="s">
        <v>29</v>
      </c>
      <c r="F1856" t="s">
        <v>20</v>
      </c>
      <c r="G1856" t="s">
        <v>29802</v>
      </c>
      <c r="H1856">
        <v>16.55</v>
      </c>
      <c r="I1856">
        <v>0</v>
      </c>
      <c r="J1856">
        <v>0</v>
      </c>
      <c r="K1856">
        <v>0</v>
      </c>
      <c r="N1856">
        <v>6</v>
      </c>
      <c r="O1856">
        <v>6</v>
      </c>
      <c r="P1856">
        <v>4</v>
      </c>
      <c r="Q1856">
        <v>0</v>
      </c>
      <c r="R1856">
        <v>26.55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H1856">
        <v>26.55</v>
      </c>
    </row>
    <row r="1857" spans="1:34" x14ac:dyDescent="0.3">
      <c r="A1857" s="4">
        <v>2042</v>
      </c>
      <c r="B1857" s="5">
        <v>1850</v>
      </c>
      <c r="C1857">
        <v>15046</v>
      </c>
      <c r="D1857" t="s">
        <v>22900</v>
      </c>
      <c r="E1857" t="s">
        <v>132</v>
      </c>
      <c r="F1857" t="s">
        <v>5255</v>
      </c>
      <c r="G1857" t="s">
        <v>29803</v>
      </c>
      <c r="H1857">
        <v>19.53</v>
      </c>
      <c r="I1857">
        <v>0</v>
      </c>
      <c r="J1857">
        <v>0</v>
      </c>
      <c r="K1857">
        <v>0</v>
      </c>
      <c r="O1857">
        <v>0</v>
      </c>
      <c r="P1857">
        <v>4</v>
      </c>
      <c r="Q1857">
        <v>0</v>
      </c>
      <c r="R1857">
        <v>23.53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3</v>
      </c>
      <c r="AC1857">
        <v>0</v>
      </c>
      <c r="AH1857">
        <v>26.53</v>
      </c>
    </row>
    <row r="1858" spans="1:34" x14ac:dyDescent="0.3">
      <c r="A1858" s="4">
        <v>2043</v>
      </c>
      <c r="B1858" s="5">
        <v>1851</v>
      </c>
      <c r="C1858">
        <v>501</v>
      </c>
      <c r="D1858" t="s">
        <v>1528</v>
      </c>
      <c r="E1858" t="s">
        <v>166</v>
      </c>
      <c r="F1858" t="s">
        <v>488</v>
      </c>
      <c r="G1858" t="s">
        <v>29804</v>
      </c>
      <c r="H1858">
        <v>15.5</v>
      </c>
      <c r="I1858">
        <v>0</v>
      </c>
      <c r="J1858">
        <v>0</v>
      </c>
      <c r="K1858">
        <v>0</v>
      </c>
      <c r="L1858">
        <v>7</v>
      </c>
      <c r="O1858">
        <v>7</v>
      </c>
      <c r="P1858">
        <v>4</v>
      </c>
      <c r="Q1858">
        <v>0</v>
      </c>
      <c r="R1858">
        <v>26.5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H1858">
        <v>26.5</v>
      </c>
    </row>
    <row r="1859" spans="1:34" x14ac:dyDescent="0.3">
      <c r="A1859" s="4">
        <v>2044</v>
      </c>
      <c r="B1859" s="5">
        <v>1852</v>
      </c>
      <c r="C1859">
        <v>14880</v>
      </c>
      <c r="D1859" t="s">
        <v>29805</v>
      </c>
      <c r="E1859" t="s">
        <v>400</v>
      </c>
      <c r="F1859" t="s">
        <v>136</v>
      </c>
      <c r="G1859" t="s">
        <v>29806</v>
      </c>
      <c r="H1859">
        <v>19.48</v>
      </c>
      <c r="I1859">
        <v>0</v>
      </c>
      <c r="J1859">
        <v>0</v>
      </c>
      <c r="K1859">
        <v>0</v>
      </c>
      <c r="N1859">
        <v>3</v>
      </c>
      <c r="O1859">
        <v>3</v>
      </c>
      <c r="P1859">
        <v>4</v>
      </c>
      <c r="Q1859">
        <v>0</v>
      </c>
      <c r="R1859">
        <v>26.48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H1859">
        <v>26.48</v>
      </c>
    </row>
    <row r="1860" spans="1:34" x14ac:dyDescent="0.3">
      <c r="A1860" s="4">
        <v>2045</v>
      </c>
      <c r="B1860" s="5">
        <v>1853</v>
      </c>
      <c r="C1860">
        <v>2615</v>
      </c>
      <c r="D1860" t="s">
        <v>24752</v>
      </c>
      <c r="E1860" t="s">
        <v>29807</v>
      </c>
      <c r="F1860" t="s">
        <v>230</v>
      </c>
      <c r="G1860" t="s">
        <v>29808</v>
      </c>
      <c r="H1860">
        <v>17.48</v>
      </c>
      <c r="I1860">
        <v>0</v>
      </c>
      <c r="J1860">
        <v>0</v>
      </c>
      <c r="K1860">
        <v>0</v>
      </c>
      <c r="N1860">
        <v>3</v>
      </c>
      <c r="O1860">
        <v>3</v>
      </c>
      <c r="P1860">
        <v>4</v>
      </c>
      <c r="Q1860">
        <v>2</v>
      </c>
      <c r="R1860">
        <v>26.48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 t="s">
        <v>130</v>
      </c>
      <c r="AH1860">
        <v>26.48</v>
      </c>
    </row>
    <row r="1861" spans="1:34" x14ac:dyDescent="0.3">
      <c r="A1861" s="4">
        <v>2046</v>
      </c>
      <c r="B1861" s="5">
        <v>1854</v>
      </c>
      <c r="C1861">
        <v>8762</v>
      </c>
      <c r="D1861" t="s">
        <v>29809</v>
      </c>
      <c r="E1861" t="s">
        <v>166</v>
      </c>
      <c r="F1861" t="s">
        <v>136</v>
      </c>
      <c r="G1861" t="s">
        <v>29810</v>
      </c>
      <c r="H1861">
        <v>17.45</v>
      </c>
      <c r="I1861">
        <v>0</v>
      </c>
      <c r="J1861">
        <v>0</v>
      </c>
      <c r="K1861">
        <v>0</v>
      </c>
      <c r="N1861">
        <v>3</v>
      </c>
      <c r="O1861">
        <v>3</v>
      </c>
      <c r="P1861">
        <v>4</v>
      </c>
      <c r="Q1861">
        <v>2</v>
      </c>
      <c r="R1861">
        <v>26.45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H1861">
        <v>26.45</v>
      </c>
    </row>
    <row r="1862" spans="1:34" x14ac:dyDescent="0.3">
      <c r="A1862" s="4">
        <v>2047</v>
      </c>
      <c r="B1862" s="5">
        <v>1855</v>
      </c>
      <c r="C1862">
        <v>7539</v>
      </c>
      <c r="D1862" t="s">
        <v>29811</v>
      </c>
      <c r="E1862" t="s">
        <v>71</v>
      </c>
      <c r="F1862" t="s">
        <v>124</v>
      </c>
      <c r="G1862" t="s">
        <v>29812</v>
      </c>
      <c r="H1862">
        <v>16.43</v>
      </c>
      <c r="I1862">
        <v>0</v>
      </c>
      <c r="J1862">
        <v>0</v>
      </c>
      <c r="K1862">
        <v>0</v>
      </c>
      <c r="N1862">
        <v>3</v>
      </c>
      <c r="O1862">
        <v>3</v>
      </c>
      <c r="P1862">
        <v>4</v>
      </c>
      <c r="Q1862">
        <v>0</v>
      </c>
      <c r="R1862">
        <v>23.43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3</v>
      </c>
      <c r="AC1862">
        <v>0</v>
      </c>
      <c r="AH1862">
        <v>26.43</v>
      </c>
    </row>
    <row r="1863" spans="1:34" x14ac:dyDescent="0.3">
      <c r="A1863" s="4">
        <v>2048</v>
      </c>
      <c r="B1863" s="5">
        <v>1856</v>
      </c>
      <c r="C1863">
        <v>13683</v>
      </c>
      <c r="D1863" t="s">
        <v>29813</v>
      </c>
      <c r="E1863" t="s">
        <v>9998</v>
      </c>
      <c r="F1863" t="s">
        <v>1265</v>
      </c>
      <c r="G1863" t="s">
        <v>29814</v>
      </c>
      <c r="H1863">
        <v>17.43</v>
      </c>
      <c r="I1863">
        <v>0</v>
      </c>
      <c r="J1863">
        <v>0</v>
      </c>
      <c r="K1863">
        <v>0</v>
      </c>
      <c r="N1863">
        <v>3</v>
      </c>
      <c r="O1863">
        <v>3</v>
      </c>
      <c r="P1863">
        <v>4</v>
      </c>
      <c r="Q1863">
        <v>2</v>
      </c>
      <c r="R1863">
        <v>26.43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H1863">
        <v>26.43</v>
      </c>
    </row>
    <row r="1864" spans="1:34" x14ac:dyDescent="0.3">
      <c r="A1864" s="4">
        <v>2049</v>
      </c>
      <c r="B1864" s="5">
        <v>1857</v>
      </c>
      <c r="C1864">
        <v>3190</v>
      </c>
      <c r="D1864" t="s">
        <v>2786</v>
      </c>
      <c r="E1864" t="s">
        <v>166</v>
      </c>
      <c r="F1864" t="s">
        <v>81</v>
      </c>
      <c r="G1864" t="s">
        <v>29815</v>
      </c>
      <c r="H1864">
        <v>17.43</v>
      </c>
      <c r="I1864">
        <v>0</v>
      </c>
      <c r="J1864">
        <v>0</v>
      </c>
      <c r="K1864">
        <v>0</v>
      </c>
      <c r="N1864">
        <v>3</v>
      </c>
      <c r="O1864">
        <v>3</v>
      </c>
      <c r="P1864">
        <v>4</v>
      </c>
      <c r="Q1864">
        <v>2</v>
      </c>
      <c r="R1864">
        <v>26.43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H1864">
        <v>26.43</v>
      </c>
    </row>
    <row r="1865" spans="1:34" x14ac:dyDescent="0.3">
      <c r="A1865" s="4">
        <v>2050</v>
      </c>
      <c r="B1865" s="5">
        <v>1858</v>
      </c>
      <c r="C1865">
        <v>11894</v>
      </c>
      <c r="D1865" t="s">
        <v>29816</v>
      </c>
      <c r="E1865" t="s">
        <v>12643</v>
      </c>
      <c r="F1865" t="s">
        <v>1450</v>
      </c>
      <c r="G1865" t="s">
        <v>29817</v>
      </c>
      <c r="H1865">
        <v>15.43</v>
      </c>
      <c r="I1865">
        <v>0</v>
      </c>
      <c r="J1865">
        <v>0</v>
      </c>
      <c r="K1865">
        <v>0</v>
      </c>
      <c r="L1865">
        <v>7</v>
      </c>
      <c r="O1865">
        <v>7</v>
      </c>
      <c r="P1865">
        <v>4</v>
      </c>
      <c r="Q1865">
        <v>0</v>
      </c>
      <c r="R1865">
        <v>26.43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 t="s">
        <v>130</v>
      </c>
      <c r="AH1865">
        <v>26.43</v>
      </c>
    </row>
    <row r="1866" spans="1:34" x14ac:dyDescent="0.3">
      <c r="A1866" s="4">
        <v>2051</v>
      </c>
      <c r="B1866" s="5">
        <v>1859</v>
      </c>
      <c r="C1866">
        <v>13490</v>
      </c>
      <c r="D1866" t="s">
        <v>285</v>
      </c>
      <c r="E1866" t="s">
        <v>29818</v>
      </c>
      <c r="F1866" t="s">
        <v>81</v>
      </c>
      <c r="G1866" t="s">
        <v>29819</v>
      </c>
      <c r="H1866">
        <v>17.399999999999999</v>
      </c>
      <c r="I1866">
        <v>0</v>
      </c>
      <c r="J1866">
        <v>0</v>
      </c>
      <c r="K1866">
        <v>0</v>
      </c>
      <c r="N1866">
        <v>3</v>
      </c>
      <c r="O1866">
        <v>3</v>
      </c>
      <c r="P1866">
        <v>4</v>
      </c>
      <c r="Q1866">
        <v>2</v>
      </c>
      <c r="R1866">
        <v>26.4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H1866">
        <v>26.4</v>
      </c>
    </row>
    <row r="1867" spans="1:34" x14ac:dyDescent="0.3">
      <c r="A1867" s="4">
        <v>2052</v>
      </c>
      <c r="B1867" s="5">
        <v>1860</v>
      </c>
      <c r="C1867">
        <v>10087</v>
      </c>
      <c r="D1867" t="s">
        <v>3831</v>
      </c>
      <c r="E1867" t="s">
        <v>1280</v>
      </c>
      <c r="F1867" t="s">
        <v>30</v>
      </c>
      <c r="G1867" t="s">
        <v>29820</v>
      </c>
      <c r="H1867">
        <v>15.4</v>
      </c>
      <c r="I1867">
        <v>0</v>
      </c>
      <c r="J1867">
        <v>0</v>
      </c>
      <c r="K1867">
        <v>0</v>
      </c>
      <c r="L1867">
        <v>7</v>
      </c>
      <c r="O1867">
        <v>7</v>
      </c>
      <c r="P1867">
        <v>4</v>
      </c>
      <c r="Q1867">
        <v>0</v>
      </c>
      <c r="R1867">
        <v>26.4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H1867">
        <v>26.4</v>
      </c>
    </row>
    <row r="1868" spans="1:34" x14ac:dyDescent="0.3">
      <c r="A1868" s="4">
        <v>2053</v>
      </c>
      <c r="B1868" s="5">
        <v>1861</v>
      </c>
      <c r="C1868">
        <v>4765</v>
      </c>
      <c r="D1868" t="s">
        <v>29821</v>
      </c>
      <c r="E1868" t="s">
        <v>68</v>
      </c>
      <c r="F1868" t="s">
        <v>238</v>
      </c>
      <c r="G1868" t="s">
        <v>29822</v>
      </c>
      <c r="H1868">
        <v>15.4</v>
      </c>
      <c r="I1868">
        <v>0</v>
      </c>
      <c r="J1868">
        <v>0</v>
      </c>
      <c r="K1868">
        <v>0</v>
      </c>
      <c r="L1868">
        <v>7</v>
      </c>
      <c r="O1868">
        <v>7</v>
      </c>
      <c r="P1868">
        <v>4</v>
      </c>
      <c r="Q1868">
        <v>0</v>
      </c>
      <c r="R1868">
        <v>26.4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H1868">
        <v>26.4</v>
      </c>
    </row>
    <row r="1869" spans="1:34" x14ac:dyDescent="0.3">
      <c r="A1869" s="4">
        <v>2054</v>
      </c>
      <c r="B1869" s="5">
        <v>1862</v>
      </c>
      <c r="C1869">
        <v>7535</v>
      </c>
      <c r="D1869" t="s">
        <v>29823</v>
      </c>
      <c r="E1869" t="s">
        <v>4695</v>
      </c>
      <c r="F1869" t="s">
        <v>17</v>
      </c>
      <c r="G1869" t="s">
        <v>29824</v>
      </c>
      <c r="H1869">
        <v>16.38</v>
      </c>
      <c r="I1869">
        <v>0</v>
      </c>
      <c r="J1869">
        <v>0</v>
      </c>
      <c r="K1869">
        <v>0</v>
      </c>
      <c r="N1869">
        <v>3</v>
      </c>
      <c r="O1869">
        <v>3</v>
      </c>
      <c r="P1869">
        <v>4</v>
      </c>
      <c r="Q1869">
        <v>0</v>
      </c>
      <c r="R1869">
        <v>23.38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3</v>
      </c>
      <c r="AC1869">
        <v>0</v>
      </c>
      <c r="AH1869">
        <v>26.38</v>
      </c>
    </row>
    <row r="1870" spans="1:34" x14ac:dyDescent="0.3">
      <c r="A1870" s="4">
        <v>2055</v>
      </c>
      <c r="B1870" s="5">
        <v>1863</v>
      </c>
      <c r="C1870">
        <v>2488</v>
      </c>
      <c r="D1870" t="s">
        <v>3850</v>
      </c>
      <c r="E1870" t="s">
        <v>161</v>
      </c>
      <c r="F1870" t="s">
        <v>20</v>
      </c>
      <c r="G1870" t="s">
        <v>29825</v>
      </c>
      <c r="H1870">
        <v>19.38</v>
      </c>
      <c r="I1870">
        <v>0</v>
      </c>
      <c r="J1870">
        <v>0</v>
      </c>
      <c r="K1870">
        <v>0</v>
      </c>
      <c r="N1870">
        <v>3</v>
      </c>
      <c r="O1870">
        <v>3</v>
      </c>
      <c r="P1870">
        <v>4</v>
      </c>
      <c r="Q1870">
        <v>0</v>
      </c>
      <c r="R1870">
        <v>26.38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H1870">
        <v>26.38</v>
      </c>
    </row>
    <row r="1871" spans="1:34" x14ac:dyDescent="0.3">
      <c r="A1871" s="4">
        <v>2056</v>
      </c>
      <c r="B1871" s="5">
        <v>1864</v>
      </c>
      <c r="C1871">
        <v>6794</v>
      </c>
      <c r="D1871" t="s">
        <v>29826</v>
      </c>
      <c r="E1871" t="s">
        <v>41</v>
      </c>
      <c r="F1871" t="s">
        <v>20</v>
      </c>
      <c r="G1871" t="s">
        <v>29827</v>
      </c>
      <c r="H1871">
        <v>17.350000000000001</v>
      </c>
      <c r="I1871">
        <v>0</v>
      </c>
      <c r="J1871">
        <v>0</v>
      </c>
      <c r="K1871">
        <v>0</v>
      </c>
      <c r="N1871">
        <v>3</v>
      </c>
      <c r="O1871">
        <v>3</v>
      </c>
      <c r="P1871">
        <v>0</v>
      </c>
      <c r="Q1871">
        <v>0</v>
      </c>
      <c r="R1871">
        <v>20.350000000000001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6</v>
      </c>
      <c r="AC1871">
        <v>0</v>
      </c>
      <c r="AH1871">
        <v>26.35</v>
      </c>
    </row>
    <row r="1872" spans="1:34" x14ac:dyDescent="0.3">
      <c r="A1872" s="4">
        <v>2057</v>
      </c>
      <c r="B1872" s="5">
        <v>1865</v>
      </c>
      <c r="C1872">
        <v>5579</v>
      </c>
      <c r="D1872" t="s">
        <v>3649</v>
      </c>
      <c r="E1872" t="s">
        <v>54</v>
      </c>
      <c r="F1872" t="s">
        <v>539</v>
      </c>
      <c r="G1872" t="s">
        <v>29828</v>
      </c>
      <c r="H1872">
        <v>19.350000000000001</v>
      </c>
      <c r="I1872">
        <v>0</v>
      </c>
      <c r="J1872">
        <v>0</v>
      </c>
      <c r="K1872">
        <v>0</v>
      </c>
      <c r="N1872">
        <v>3</v>
      </c>
      <c r="O1872">
        <v>3</v>
      </c>
      <c r="P1872">
        <v>4</v>
      </c>
      <c r="Q1872">
        <v>0</v>
      </c>
      <c r="R1872">
        <v>26.35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 t="s">
        <v>130</v>
      </c>
      <c r="AH1872">
        <v>26.35</v>
      </c>
    </row>
    <row r="1873" spans="1:34" x14ac:dyDescent="0.3">
      <c r="A1873" s="4">
        <v>2058</v>
      </c>
      <c r="B1873" s="5">
        <v>1866</v>
      </c>
      <c r="C1873">
        <v>12189</v>
      </c>
      <c r="D1873" t="s">
        <v>1932</v>
      </c>
      <c r="E1873" t="s">
        <v>41</v>
      </c>
      <c r="F1873" t="s">
        <v>38</v>
      </c>
      <c r="G1873" t="s">
        <v>29829</v>
      </c>
      <c r="H1873">
        <v>16.350000000000001</v>
      </c>
      <c r="I1873">
        <v>0</v>
      </c>
      <c r="J1873">
        <v>0</v>
      </c>
      <c r="K1873">
        <v>0</v>
      </c>
      <c r="N1873">
        <v>6</v>
      </c>
      <c r="O1873">
        <v>6</v>
      </c>
      <c r="P1873">
        <v>4</v>
      </c>
      <c r="Q1873">
        <v>0</v>
      </c>
      <c r="R1873">
        <v>26.35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H1873">
        <v>26.35</v>
      </c>
    </row>
    <row r="1874" spans="1:34" x14ac:dyDescent="0.3">
      <c r="A1874" s="4">
        <v>2059</v>
      </c>
      <c r="B1874" s="5">
        <v>1867</v>
      </c>
      <c r="C1874">
        <v>4568</v>
      </c>
      <c r="D1874" t="s">
        <v>29830</v>
      </c>
      <c r="E1874" t="s">
        <v>29831</v>
      </c>
      <c r="F1874" t="s">
        <v>20</v>
      </c>
      <c r="G1874" t="s">
        <v>29832</v>
      </c>
      <c r="H1874">
        <v>19.329999999999998</v>
      </c>
      <c r="I1874">
        <v>0</v>
      </c>
      <c r="J1874">
        <v>0</v>
      </c>
      <c r="K1874">
        <v>0</v>
      </c>
      <c r="N1874">
        <v>3</v>
      </c>
      <c r="O1874">
        <v>3</v>
      </c>
      <c r="P1874">
        <v>4</v>
      </c>
      <c r="Q1874">
        <v>0</v>
      </c>
      <c r="R1874">
        <v>26.33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H1874">
        <v>26.33</v>
      </c>
    </row>
    <row r="1875" spans="1:34" x14ac:dyDescent="0.3">
      <c r="A1875" s="4">
        <v>2060</v>
      </c>
      <c r="B1875" s="5">
        <v>1868</v>
      </c>
      <c r="C1875">
        <v>8475</v>
      </c>
      <c r="D1875" t="s">
        <v>27540</v>
      </c>
      <c r="E1875" t="s">
        <v>29833</v>
      </c>
      <c r="F1875" t="s">
        <v>68</v>
      </c>
      <c r="G1875" t="s">
        <v>29834</v>
      </c>
      <c r="H1875">
        <v>19.329999999999998</v>
      </c>
      <c r="I1875">
        <v>0</v>
      </c>
      <c r="J1875">
        <v>0</v>
      </c>
      <c r="K1875">
        <v>0</v>
      </c>
      <c r="N1875">
        <v>3</v>
      </c>
      <c r="O1875">
        <v>3</v>
      </c>
      <c r="P1875">
        <v>4</v>
      </c>
      <c r="Q1875">
        <v>0</v>
      </c>
      <c r="R1875">
        <v>26.33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H1875">
        <v>26.33</v>
      </c>
    </row>
    <row r="1876" spans="1:34" x14ac:dyDescent="0.3">
      <c r="A1876" s="4">
        <v>2061</v>
      </c>
      <c r="B1876" s="5">
        <v>1869</v>
      </c>
      <c r="C1876">
        <v>2842</v>
      </c>
      <c r="D1876" t="s">
        <v>28568</v>
      </c>
      <c r="E1876" t="s">
        <v>3313</v>
      </c>
      <c r="F1876" t="s">
        <v>81</v>
      </c>
      <c r="G1876" t="s">
        <v>29835</v>
      </c>
      <c r="H1876">
        <v>19.3</v>
      </c>
      <c r="I1876">
        <v>0</v>
      </c>
      <c r="J1876">
        <v>0</v>
      </c>
      <c r="K1876">
        <v>0</v>
      </c>
      <c r="N1876">
        <v>3</v>
      </c>
      <c r="O1876">
        <v>3</v>
      </c>
      <c r="P1876">
        <v>4</v>
      </c>
      <c r="Q1876">
        <v>0</v>
      </c>
      <c r="R1876">
        <v>26.3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H1876">
        <v>26.3</v>
      </c>
    </row>
    <row r="1877" spans="1:34" x14ac:dyDescent="0.3">
      <c r="A1877" s="4">
        <v>2062</v>
      </c>
      <c r="B1877" s="5">
        <v>1870</v>
      </c>
      <c r="C1877">
        <v>15627</v>
      </c>
      <c r="D1877" t="s">
        <v>405</v>
      </c>
      <c r="E1877" t="s">
        <v>1576</v>
      </c>
      <c r="F1877" t="s">
        <v>38</v>
      </c>
      <c r="G1877" t="s">
        <v>29836</v>
      </c>
      <c r="H1877">
        <v>17.3</v>
      </c>
      <c r="I1877">
        <v>0</v>
      </c>
      <c r="J1877">
        <v>0</v>
      </c>
      <c r="K1877">
        <v>0</v>
      </c>
      <c r="N1877">
        <v>3</v>
      </c>
      <c r="O1877">
        <v>3</v>
      </c>
      <c r="P1877">
        <v>4</v>
      </c>
      <c r="Q1877">
        <v>2</v>
      </c>
      <c r="R1877">
        <v>26.3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H1877">
        <v>26.3</v>
      </c>
    </row>
    <row r="1878" spans="1:34" x14ac:dyDescent="0.3">
      <c r="A1878" s="4">
        <v>2063</v>
      </c>
      <c r="B1878" s="5">
        <v>1871</v>
      </c>
      <c r="C1878">
        <v>7021</v>
      </c>
      <c r="D1878" t="s">
        <v>17273</v>
      </c>
      <c r="E1878" t="s">
        <v>54</v>
      </c>
      <c r="F1878" t="s">
        <v>29837</v>
      </c>
      <c r="G1878" t="s">
        <v>29838</v>
      </c>
      <c r="H1878">
        <v>15.3</v>
      </c>
      <c r="I1878">
        <v>0</v>
      </c>
      <c r="J1878">
        <v>0</v>
      </c>
      <c r="K1878">
        <v>0</v>
      </c>
      <c r="L1878">
        <v>7</v>
      </c>
      <c r="O1878">
        <v>7</v>
      </c>
      <c r="P1878">
        <v>4</v>
      </c>
      <c r="Q1878">
        <v>0</v>
      </c>
      <c r="R1878">
        <v>26.3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H1878">
        <v>26.3</v>
      </c>
    </row>
    <row r="1879" spans="1:34" x14ac:dyDescent="0.3">
      <c r="A1879" s="4">
        <v>2064</v>
      </c>
      <c r="B1879" s="5">
        <v>1872</v>
      </c>
      <c r="C1879">
        <v>11259</v>
      </c>
      <c r="D1879" t="s">
        <v>29839</v>
      </c>
      <c r="E1879" t="s">
        <v>147</v>
      </c>
      <c r="F1879" t="s">
        <v>136</v>
      </c>
      <c r="G1879" t="s">
        <v>29840</v>
      </c>
      <c r="H1879">
        <v>19.28</v>
      </c>
      <c r="I1879">
        <v>0</v>
      </c>
      <c r="J1879">
        <v>0</v>
      </c>
      <c r="K1879">
        <v>0</v>
      </c>
      <c r="L1879">
        <v>7</v>
      </c>
      <c r="O1879">
        <v>7</v>
      </c>
      <c r="P1879">
        <v>0</v>
      </c>
      <c r="Q1879">
        <v>0</v>
      </c>
      <c r="R1879">
        <v>26.28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 t="s">
        <v>130</v>
      </c>
      <c r="AH1879">
        <v>26.28</v>
      </c>
    </row>
    <row r="1880" spans="1:34" x14ac:dyDescent="0.3">
      <c r="A1880" s="4">
        <v>2065</v>
      </c>
      <c r="B1880" s="5">
        <v>1873</v>
      </c>
      <c r="C1880">
        <v>4105</v>
      </c>
      <c r="D1880" t="s">
        <v>481</v>
      </c>
      <c r="E1880" t="s">
        <v>1694</v>
      </c>
      <c r="F1880" t="s">
        <v>117</v>
      </c>
      <c r="G1880" t="s">
        <v>29841</v>
      </c>
      <c r="H1880">
        <v>19.28</v>
      </c>
      <c r="I1880">
        <v>0</v>
      </c>
      <c r="J1880">
        <v>0</v>
      </c>
      <c r="K1880">
        <v>0</v>
      </c>
      <c r="N1880">
        <v>3</v>
      </c>
      <c r="O1880">
        <v>3</v>
      </c>
      <c r="P1880">
        <v>4</v>
      </c>
      <c r="Q1880">
        <v>0</v>
      </c>
      <c r="R1880">
        <v>26.28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H1880">
        <v>26.28</v>
      </c>
    </row>
    <row r="1881" spans="1:34" x14ac:dyDescent="0.3">
      <c r="A1881" s="4">
        <v>2066</v>
      </c>
      <c r="B1881" s="5">
        <v>1874</v>
      </c>
      <c r="C1881">
        <v>9860</v>
      </c>
      <c r="D1881" t="s">
        <v>5674</v>
      </c>
      <c r="E1881" t="s">
        <v>29842</v>
      </c>
      <c r="F1881" t="s">
        <v>167</v>
      </c>
      <c r="G1881" t="s">
        <v>29843</v>
      </c>
      <c r="H1881">
        <v>16.25</v>
      </c>
      <c r="I1881">
        <v>0</v>
      </c>
      <c r="J1881">
        <v>0</v>
      </c>
      <c r="K1881">
        <v>0</v>
      </c>
      <c r="O1881">
        <v>0</v>
      </c>
      <c r="P1881">
        <v>4</v>
      </c>
      <c r="Q1881">
        <v>0</v>
      </c>
      <c r="R1881">
        <v>20.25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6</v>
      </c>
      <c r="AC1881">
        <v>0</v>
      </c>
      <c r="AH1881">
        <v>26.25</v>
      </c>
    </row>
    <row r="1882" spans="1:34" x14ac:dyDescent="0.3">
      <c r="A1882" s="4">
        <v>2067</v>
      </c>
      <c r="B1882" s="5">
        <v>1875</v>
      </c>
      <c r="C1882">
        <v>248</v>
      </c>
      <c r="D1882" t="s">
        <v>8937</v>
      </c>
      <c r="E1882" t="s">
        <v>286</v>
      </c>
      <c r="F1882" t="s">
        <v>124</v>
      </c>
      <c r="G1882" t="s">
        <v>29844</v>
      </c>
      <c r="H1882">
        <v>19.25</v>
      </c>
      <c r="I1882">
        <v>0</v>
      </c>
      <c r="J1882">
        <v>0</v>
      </c>
      <c r="K1882">
        <v>0</v>
      </c>
      <c r="N1882">
        <v>3</v>
      </c>
      <c r="O1882">
        <v>3</v>
      </c>
      <c r="P1882">
        <v>4</v>
      </c>
      <c r="Q1882">
        <v>0</v>
      </c>
      <c r="R1882">
        <v>26.25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H1882">
        <v>26.25</v>
      </c>
    </row>
    <row r="1883" spans="1:34" x14ac:dyDescent="0.3">
      <c r="A1883" s="4">
        <v>2068</v>
      </c>
      <c r="B1883" s="5">
        <v>1876</v>
      </c>
      <c r="C1883">
        <v>15135</v>
      </c>
      <c r="D1883" t="s">
        <v>29845</v>
      </c>
      <c r="E1883" t="s">
        <v>41</v>
      </c>
      <c r="F1883" t="s">
        <v>190</v>
      </c>
      <c r="G1883" t="s">
        <v>29846</v>
      </c>
      <c r="H1883">
        <v>18.25</v>
      </c>
      <c r="I1883">
        <v>0</v>
      </c>
      <c r="J1883">
        <v>0</v>
      </c>
      <c r="K1883">
        <v>0</v>
      </c>
      <c r="N1883">
        <v>6</v>
      </c>
      <c r="O1883">
        <v>6</v>
      </c>
      <c r="P1883">
        <v>0</v>
      </c>
      <c r="Q1883">
        <v>2</v>
      </c>
      <c r="R1883">
        <v>26.25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H1883">
        <v>26.25</v>
      </c>
    </row>
    <row r="1884" spans="1:34" x14ac:dyDescent="0.3">
      <c r="A1884" s="4">
        <v>2069</v>
      </c>
      <c r="B1884" s="5">
        <v>1877</v>
      </c>
      <c r="C1884">
        <v>619</v>
      </c>
      <c r="D1884" t="s">
        <v>29847</v>
      </c>
      <c r="E1884" t="s">
        <v>1000</v>
      </c>
      <c r="F1884" t="s">
        <v>30</v>
      </c>
      <c r="G1884" t="s">
        <v>29848</v>
      </c>
      <c r="H1884">
        <v>17.25</v>
      </c>
      <c r="I1884">
        <v>0</v>
      </c>
      <c r="J1884">
        <v>0</v>
      </c>
      <c r="K1884">
        <v>0</v>
      </c>
      <c r="N1884">
        <v>3</v>
      </c>
      <c r="O1884">
        <v>3</v>
      </c>
      <c r="P1884">
        <v>4</v>
      </c>
      <c r="Q1884">
        <v>2</v>
      </c>
      <c r="R1884">
        <v>26.25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H1884">
        <v>26.25</v>
      </c>
    </row>
    <row r="1885" spans="1:34" x14ac:dyDescent="0.3">
      <c r="A1885" s="4">
        <v>2070</v>
      </c>
      <c r="B1885" s="5">
        <v>1878</v>
      </c>
      <c r="C1885">
        <v>1868</v>
      </c>
      <c r="D1885" t="s">
        <v>3404</v>
      </c>
      <c r="E1885" t="s">
        <v>54</v>
      </c>
      <c r="F1885" t="s">
        <v>20</v>
      </c>
      <c r="G1885" t="s">
        <v>29849</v>
      </c>
      <c r="H1885">
        <v>15.25</v>
      </c>
      <c r="I1885">
        <v>0</v>
      </c>
      <c r="J1885">
        <v>0</v>
      </c>
      <c r="K1885">
        <v>0</v>
      </c>
      <c r="M1885">
        <v>5</v>
      </c>
      <c r="O1885">
        <v>5</v>
      </c>
      <c r="P1885">
        <v>4</v>
      </c>
      <c r="Q1885">
        <v>2</v>
      </c>
      <c r="R1885">
        <v>26.25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H1885">
        <v>26.25</v>
      </c>
    </row>
    <row r="1886" spans="1:34" x14ac:dyDescent="0.3">
      <c r="A1886" s="4">
        <v>2071</v>
      </c>
      <c r="B1886" s="5">
        <v>1879</v>
      </c>
      <c r="C1886">
        <v>4827</v>
      </c>
      <c r="D1886" t="s">
        <v>29850</v>
      </c>
      <c r="E1886" t="s">
        <v>97</v>
      </c>
      <c r="F1886" t="s">
        <v>136</v>
      </c>
      <c r="G1886" t="s">
        <v>29851</v>
      </c>
      <c r="H1886">
        <v>16.23</v>
      </c>
      <c r="I1886">
        <v>0</v>
      </c>
      <c r="J1886">
        <v>0</v>
      </c>
      <c r="K1886">
        <v>0</v>
      </c>
      <c r="O1886">
        <v>0</v>
      </c>
      <c r="P1886">
        <v>4</v>
      </c>
      <c r="Q1886">
        <v>0</v>
      </c>
      <c r="R1886">
        <v>20.23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6</v>
      </c>
      <c r="AC1886">
        <v>0</v>
      </c>
      <c r="AH1886">
        <v>26.23</v>
      </c>
    </row>
    <row r="1887" spans="1:34" x14ac:dyDescent="0.3">
      <c r="A1887" s="4">
        <v>2072</v>
      </c>
      <c r="B1887" s="5">
        <v>1880</v>
      </c>
      <c r="C1887">
        <v>11907</v>
      </c>
      <c r="D1887" t="s">
        <v>29852</v>
      </c>
      <c r="E1887" t="s">
        <v>255</v>
      </c>
      <c r="F1887" t="s">
        <v>30</v>
      </c>
      <c r="G1887" t="s">
        <v>29853</v>
      </c>
      <c r="H1887">
        <v>16.23</v>
      </c>
      <c r="I1887">
        <v>0</v>
      </c>
      <c r="J1887">
        <v>0</v>
      </c>
      <c r="K1887">
        <v>0</v>
      </c>
      <c r="O1887">
        <v>0</v>
      </c>
      <c r="P1887">
        <v>4</v>
      </c>
      <c r="Q1887">
        <v>0</v>
      </c>
      <c r="R1887">
        <v>20.23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6</v>
      </c>
      <c r="AC1887">
        <v>0</v>
      </c>
      <c r="AH1887">
        <v>26.23</v>
      </c>
    </row>
    <row r="1888" spans="1:34" x14ac:dyDescent="0.3">
      <c r="A1888" s="4">
        <v>2073</v>
      </c>
      <c r="B1888" s="5">
        <v>1881</v>
      </c>
      <c r="C1888">
        <v>13971</v>
      </c>
      <c r="D1888" t="s">
        <v>7037</v>
      </c>
      <c r="E1888" t="s">
        <v>20</v>
      </c>
      <c r="F1888" t="s">
        <v>136</v>
      </c>
      <c r="G1888" t="s">
        <v>29854</v>
      </c>
      <c r="H1888">
        <v>17.2</v>
      </c>
      <c r="I1888">
        <v>0</v>
      </c>
      <c r="J1888">
        <v>0</v>
      </c>
      <c r="K1888">
        <v>0</v>
      </c>
      <c r="N1888">
        <v>3</v>
      </c>
      <c r="O1888">
        <v>3</v>
      </c>
      <c r="P1888">
        <v>4</v>
      </c>
      <c r="Q1888">
        <v>2</v>
      </c>
      <c r="R1888">
        <v>26.2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H1888">
        <v>26.2</v>
      </c>
    </row>
    <row r="1889" spans="1:34" x14ac:dyDescent="0.3">
      <c r="A1889" s="4">
        <v>2074</v>
      </c>
      <c r="B1889" s="5">
        <v>1882</v>
      </c>
      <c r="C1889">
        <v>6881</v>
      </c>
      <c r="D1889" t="s">
        <v>6657</v>
      </c>
      <c r="E1889" t="s">
        <v>338</v>
      </c>
      <c r="F1889" t="s">
        <v>20</v>
      </c>
      <c r="G1889" t="s">
        <v>29855</v>
      </c>
      <c r="H1889">
        <v>17.2</v>
      </c>
      <c r="I1889">
        <v>0</v>
      </c>
      <c r="J1889">
        <v>0</v>
      </c>
      <c r="K1889">
        <v>0</v>
      </c>
      <c r="N1889">
        <v>3</v>
      </c>
      <c r="O1889">
        <v>3</v>
      </c>
      <c r="P1889">
        <v>4</v>
      </c>
      <c r="Q1889">
        <v>2</v>
      </c>
      <c r="R1889">
        <v>26.2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H1889">
        <v>26.2</v>
      </c>
    </row>
    <row r="1890" spans="1:34" x14ac:dyDescent="0.3">
      <c r="A1890" s="4">
        <v>2075</v>
      </c>
      <c r="B1890" s="5">
        <v>1883</v>
      </c>
      <c r="C1890">
        <v>676</v>
      </c>
      <c r="D1890" t="s">
        <v>1286</v>
      </c>
      <c r="E1890" t="s">
        <v>161</v>
      </c>
      <c r="F1890" t="s">
        <v>539</v>
      </c>
      <c r="G1890" t="s">
        <v>29856</v>
      </c>
      <c r="H1890">
        <v>19.18</v>
      </c>
      <c r="I1890">
        <v>0</v>
      </c>
      <c r="J1890">
        <v>0</v>
      </c>
      <c r="K1890">
        <v>0</v>
      </c>
      <c r="N1890">
        <v>3</v>
      </c>
      <c r="O1890">
        <v>3</v>
      </c>
      <c r="P1890">
        <v>4</v>
      </c>
      <c r="Q1890">
        <v>0</v>
      </c>
      <c r="R1890">
        <v>26.18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H1890">
        <v>26.18</v>
      </c>
    </row>
    <row r="1891" spans="1:34" x14ac:dyDescent="0.3">
      <c r="A1891" s="4">
        <v>2076</v>
      </c>
      <c r="B1891" s="5">
        <v>1884</v>
      </c>
      <c r="C1891">
        <v>8602</v>
      </c>
      <c r="D1891" t="s">
        <v>14294</v>
      </c>
      <c r="E1891" t="s">
        <v>8182</v>
      </c>
      <c r="F1891" t="s">
        <v>167</v>
      </c>
      <c r="G1891" t="s">
        <v>29857</v>
      </c>
      <c r="H1891">
        <v>17.18</v>
      </c>
      <c r="I1891">
        <v>0</v>
      </c>
      <c r="J1891">
        <v>0</v>
      </c>
      <c r="K1891">
        <v>0</v>
      </c>
      <c r="N1891">
        <v>3</v>
      </c>
      <c r="O1891">
        <v>3</v>
      </c>
      <c r="P1891">
        <v>4</v>
      </c>
      <c r="Q1891">
        <v>2</v>
      </c>
      <c r="R1891">
        <v>26.18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H1891">
        <v>26.18</v>
      </c>
    </row>
    <row r="1892" spans="1:34" x14ac:dyDescent="0.3">
      <c r="A1892" s="4">
        <v>2077</v>
      </c>
      <c r="B1892" s="5">
        <v>1885</v>
      </c>
      <c r="C1892">
        <v>13546</v>
      </c>
      <c r="D1892" t="s">
        <v>29858</v>
      </c>
      <c r="E1892" t="s">
        <v>54</v>
      </c>
      <c r="F1892" t="s">
        <v>20</v>
      </c>
      <c r="G1892" t="s">
        <v>29859</v>
      </c>
      <c r="H1892">
        <v>16.149999999999999</v>
      </c>
      <c r="I1892">
        <v>0</v>
      </c>
      <c r="J1892">
        <v>0</v>
      </c>
      <c r="K1892">
        <v>0</v>
      </c>
      <c r="O1892">
        <v>0</v>
      </c>
      <c r="P1892">
        <v>4</v>
      </c>
      <c r="Q1892">
        <v>0</v>
      </c>
      <c r="R1892">
        <v>20.149999999999999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6</v>
      </c>
      <c r="AC1892">
        <v>0</v>
      </c>
      <c r="AH1892">
        <v>26.15</v>
      </c>
    </row>
    <row r="1893" spans="1:34" x14ac:dyDescent="0.3">
      <c r="A1893" s="4">
        <v>2078</v>
      </c>
      <c r="B1893" s="5">
        <v>1886</v>
      </c>
      <c r="C1893">
        <v>5032</v>
      </c>
      <c r="D1893" t="s">
        <v>577</v>
      </c>
      <c r="E1893" t="s">
        <v>10767</v>
      </c>
      <c r="F1893" t="s">
        <v>38</v>
      </c>
      <c r="G1893" t="s">
        <v>29860</v>
      </c>
      <c r="H1893">
        <v>20.13</v>
      </c>
      <c r="I1893">
        <v>0</v>
      </c>
      <c r="J1893">
        <v>0</v>
      </c>
      <c r="K1893">
        <v>0</v>
      </c>
      <c r="O1893">
        <v>0</v>
      </c>
      <c r="P1893">
        <v>4</v>
      </c>
      <c r="Q1893">
        <v>2</v>
      </c>
      <c r="R1893">
        <v>26.13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 t="s">
        <v>130</v>
      </c>
      <c r="AH1893">
        <v>26.13</v>
      </c>
    </row>
    <row r="1894" spans="1:34" x14ac:dyDescent="0.3">
      <c r="A1894" s="4">
        <v>2079</v>
      </c>
      <c r="B1894" s="5">
        <v>1887</v>
      </c>
      <c r="C1894">
        <v>11152</v>
      </c>
      <c r="D1894" t="s">
        <v>29861</v>
      </c>
      <c r="E1894" t="s">
        <v>227</v>
      </c>
      <c r="F1894" t="s">
        <v>136</v>
      </c>
      <c r="G1894" t="s">
        <v>32087</v>
      </c>
      <c r="H1894">
        <v>15.13</v>
      </c>
      <c r="I1894">
        <v>0</v>
      </c>
      <c r="J1894">
        <v>0</v>
      </c>
      <c r="K1894">
        <v>0</v>
      </c>
      <c r="M1894">
        <v>5</v>
      </c>
      <c r="O1894">
        <v>5</v>
      </c>
      <c r="P1894">
        <v>4</v>
      </c>
      <c r="Q1894">
        <v>2</v>
      </c>
      <c r="R1894">
        <v>26.13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 t="s">
        <v>130</v>
      </c>
      <c r="AH1894">
        <v>26.13</v>
      </c>
    </row>
    <row r="1895" spans="1:34" x14ac:dyDescent="0.3">
      <c r="A1895" s="4">
        <v>2080</v>
      </c>
      <c r="B1895" s="5">
        <v>1888</v>
      </c>
      <c r="C1895">
        <v>12581</v>
      </c>
      <c r="D1895" t="s">
        <v>29862</v>
      </c>
      <c r="E1895" t="s">
        <v>5470</v>
      </c>
      <c r="F1895" t="s">
        <v>38</v>
      </c>
      <c r="G1895" t="s">
        <v>29863</v>
      </c>
      <c r="H1895">
        <v>19.079999999999998</v>
      </c>
      <c r="I1895">
        <v>0</v>
      </c>
      <c r="J1895">
        <v>0</v>
      </c>
      <c r="K1895">
        <v>0</v>
      </c>
      <c r="N1895">
        <v>3</v>
      </c>
      <c r="O1895">
        <v>3</v>
      </c>
      <c r="P1895">
        <v>4</v>
      </c>
      <c r="Q1895">
        <v>0</v>
      </c>
      <c r="R1895">
        <v>26.08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H1895">
        <v>26.08</v>
      </c>
    </row>
    <row r="1896" spans="1:34" x14ac:dyDescent="0.3">
      <c r="A1896" s="4">
        <v>2081</v>
      </c>
      <c r="B1896" s="5">
        <v>1889</v>
      </c>
      <c r="C1896">
        <v>13596</v>
      </c>
      <c r="D1896" t="s">
        <v>29864</v>
      </c>
      <c r="E1896" t="s">
        <v>29</v>
      </c>
      <c r="F1896" t="s">
        <v>1526</v>
      </c>
      <c r="G1896" t="s">
        <v>29865</v>
      </c>
      <c r="H1896">
        <v>19.05</v>
      </c>
      <c r="I1896">
        <v>0</v>
      </c>
      <c r="J1896">
        <v>0</v>
      </c>
      <c r="K1896">
        <v>0</v>
      </c>
      <c r="N1896">
        <v>3</v>
      </c>
      <c r="O1896">
        <v>3</v>
      </c>
      <c r="P1896">
        <v>4</v>
      </c>
      <c r="Q1896">
        <v>0</v>
      </c>
      <c r="R1896">
        <v>26.05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H1896">
        <v>26.05</v>
      </c>
    </row>
    <row r="1897" spans="1:34" x14ac:dyDescent="0.3">
      <c r="A1897" s="4">
        <v>2082</v>
      </c>
      <c r="B1897" s="5">
        <v>1890</v>
      </c>
      <c r="C1897">
        <v>2561</v>
      </c>
      <c r="D1897" t="s">
        <v>29866</v>
      </c>
      <c r="E1897" t="s">
        <v>41</v>
      </c>
      <c r="F1897" t="s">
        <v>17</v>
      </c>
      <c r="G1897" t="s">
        <v>29867</v>
      </c>
      <c r="H1897">
        <v>17.05</v>
      </c>
      <c r="I1897">
        <v>0</v>
      </c>
      <c r="J1897">
        <v>0</v>
      </c>
      <c r="K1897">
        <v>0</v>
      </c>
      <c r="N1897">
        <v>3</v>
      </c>
      <c r="O1897">
        <v>3</v>
      </c>
      <c r="P1897">
        <v>4</v>
      </c>
      <c r="Q1897">
        <v>2</v>
      </c>
      <c r="R1897">
        <v>26.05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H1897">
        <v>26.05</v>
      </c>
    </row>
    <row r="1898" spans="1:34" x14ac:dyDescent="0.3">
      <c r="A1898" s="4">
        <v>2083</v>
      </c>
      <c r="B1898" s="5">
        <v>1891</v>
      </c>
      <c r="C1898">
        <v>7795</v>
      </c>
      <c r="D1898" t="s">
        <v>5874</v>
      </c>
      <c r="E1898" t="s">
        <v>29868</v>
      </c>
      <c r="F1898" t="s">
        <v>20</v>
      </c>
      <c r="G1898" t="s">
        <v>29869</v>
      </c>
      <c r="H1898">
        <v>17.03</v>
      </c>
      <c r="I1898">
        <v>0</v>
      </c>
      <c r="J1898">
        <v>0</v>
      </c>
      <c r="K1898">
        <v>0</v>
      </c>
      <c r="O1898">
        <v>0</v>
      </c>
      <c r="P1898">
        <v>4</v>
      </c>
      <c r="Q1898">
        <v>2</v>
      </c>
      <c r="R1898">
        <v>23.03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3</v>
      </c>
      <c r="AC1898">
        <v>0</v>
      </c>
      <c r="AH1898">
        <v>26.03</v>
      </c>
    </row>
    <row r="1899" spans="1:34" x14ac:dyDescent="0.3">
      <c r="A1899" s="4">
        <v>2084</v>
      </c>
      <c r="B1899" s="5">
        <v>1892</v>
      </c>
      <c r="C1899">
        <v>15038</v>
      </c>
      <c r="D1899" t="s">
        <v>622</v>
      </c>
      <c r="E1899" t="s">
        <v>41</v>
      </c>
      <c r="F1899" t="s">
        <v>167</v>
      </c>
      <c r="G1899" t="s">
        <v>29870</v>
      </c>
      <c r="H1899">
        <v>19.03</v>
      </c>
      <c r="I1899">
        <v>0</v>
      </c>
      <c r="J1899">
        <v>0</v>
      </c>
      <c r="K1899">
        <v>0</v>
      </c>
      <c r="N1899">
        <v>3</v>
      </c>
      <c r="O1899">
        <v>3</v>
      </c>
      <c r="P1899">
        <v>4</v>
      </c>
      <c r="Q1899">
        <v>0</v>
      </c>
      <c r="R1899">
        <v>26.03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H1899">
        <v>26.03</v>
      </c>
    </row>
    <row r="1900" spans="1:34" x14ac:dyDescent="0.3">
      <c r="A1900" s="4">
        <v>2085</v>
      </c>
      <c r="B1900" s="5">
        <v>1893</v>
      </c>
      <c r="C1900">
        <v>7442</v>
      </c>
      <c r="D1900" t="s">
        <v>25456</v>
      </c>
      <c r="E1900" t="s">
        <v>1331</v>
      </c>
      <c r="F1900" t="s">
        <v>1511</v>
      </c>
      <c r="G1900" t="s">
        <v>29871</v>
      </c>
      <c r="H1900">
        <v>19.03</v>
      </c>
      <c r="I1900">
        <v>0</v>
      </c>
      <c r="J1900">
        <v>0</v>
      </c>
      <c r="K1900">
        <v>0</v>
      </c>
      <c r="N1900">
        <v>3</v>
      </c>
      <c r="O1900">
        <v>3</v>
      </c>
      <c r="P1900">
        <v>4</v>
      </c>
      <c r="Q1900">
        <v>0</v>
      </c>
      <c r="R1900">
        <v>26.03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H1900">
        <v>26.03</v>
      </c>
    </row>
    <row r="1901" spans="1:34" x14ac:dyDescent="0.3">
      <c r="A1901" s="4">
        <v>2086</v>
      </c>
      <c r="B1901" s="5">
        <v>1894</v>
      </c>
      <c r="C1901">
        <v>1960</v>
      </c>
      <c r="D1901" t="s">
        <v>294</v>
      </c>
      <c r="E1901" t="s">
        <v>825</v>
      </c>
      <c r="F1901" t="s">
        <v>136</v>
      </c>
      <c r="G1901" t="s">
        <v>8119</v>
      </c>
      <c r="H1901">
        <v>17</v>
      </c>
      <c r="I1901">
        <v>0</v>
      </c>
      <c r="J1901">
        <v>0</v>
      </c>
      <c r="K1901">
        <v>0</v>
      </c>
      <c r="O1901">
        <v>0</v>
      </c>
      <c r="P1901">
        <v>0</v>
      </c>
      <c r="Q1901">
        <v>0</v>
      </c>
      <c r="R1901">
        <v>17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9</v>
      </c>
      <c r="AC1901">
        <v>0</v>
      </c>
      <c r="AH1901">
        <v>26</v>
      </c>
    </row>
    <row r="1902" spans="1:34" x14ac:dyDescent="0.3">
      <c r="A1902" s="4">
        <v>2087</v>
      </c>
      <c r="B1902" s="5">
        <v>1895</v>
      </c>
      <c r="C1902">
        <v>5621</v>
      </c>
      <c r="D1902" t="s">
        <v>29872</v>
      </c>
      <c r="E1902" t="s">
        <v>97</v>
      </c>
      <c r="F1902" t="s">
        <v>14</v>
      </c>
      <c r="G1902" t="s">
        <v>29873</v>
      </c>
      <c r="H1902">
        <v>16</v>
      </c>
      <c r="I1902">
        <v>0</v>
      </c>
      <c r="J1902">
        <v>0</v>
      </c>
      <c r="K1902">
        <v>0</v>
      </c>
      <c r="N1902">
        <v>3</v>
      </c>
      <c r="O1902">
        <v>3</v>
      </c>
      <c r="P1902">
        <v>4</v>
      </c>
      <c r="Q1902">
        <v>0</v>
      </c>
      <c r="R1902">
        <v>23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3</v>
      </c>
      <c r="AC1902">
        <v>0</v>
      </c>
      <c r="AH1902">
        <v>26</v>
      </c>
    </row>
    <row r="1903" spans="1:34" x14ac:dyDescent="0.3">
      <c r="A1903" s="4">
        <v>2088</v>
      </c>
      <c r="B1903" s="5">
        <v>1896</v>
      </c>
      <c r="C1903">
        <v>7365</v>
      </c>
      <c r="D1903" t="s">
        <v>8800</v>
      </c>
      <c r="E1903" t="s">
        <v>188</v>
      </c>
      <c r="F1903" t="s">
        <v>328</v>
      </c>
      <c r="G1903" t="s">
        <v>29874</v>
      </c>
      <c r="H1903">
        <v>18.98</v>
      </c>
      <c r="I1903">
        <v>0</v>
      </c>
      <c r="J1903">
        <v>0</v>
      </c>
      <c r="K1903">
        <v>0</v>
      </c>
      <c r="N1903">
        <v>3</v>
      </c>
      <c r="O1903">
        <v>3</v>
      </c>
      <c r="P1903">
        <v>4</v>
      </c>
      <c r="Q1903">
        <v>0</v>
      </c>
      <c r="R1903">
        <v>25.98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H1903">
        <v>25.98</v>
      </c>
    </row>
    <row r="1904" spans="1:34" x14ac:dyDescent="0.3">
      <c r="A1904" s="4">
        <v>2089</v>
      </c>
      <c r="B1904" s="5">
        <v>1897</v>
      </c>
      <c r="C1904">
        <v>8984</v>
      </c>
      <c r="D1904" t="s">
        <v>4343</v>
      </c>
      <c r="E1904" t="s">
        <v>54</v>
      </c>
      <c r="F1904" t="s">
        <v>136</v>
      </c>
      <c r="G1904" t="s">
        <v>29875</v>
      </c>
      <c r="H1904">
        <v>15.95</v>
      </c>
      <c r="I1904">
        <v>0</v>
      </c>
      <c r="J1904">
        <v>0</v>
      </c>
      <c r="K1904">
        <v>0</v>
      </c>
      <c r="N1904">
        <v>3</v>
      </c>
      <c r="O1904">
        <v>3</v>
      </c>
      <c r="P1904">
        <v>4</v>
      </c>
      <c r="Q1904">
        <v>0</v>
      </c>
      <c r="R1904">
        <v>22.95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3</v>
      </c>
      <c r="AC1904">
        <v>0</v>
      </c>
      <c r="AH1904">
        <v>25.95</v>
      </c>
    </row>
    <row r="1905" spans="1:34" x14ac:dyDescent="0.3">
      <c r="A1905" s="4">
        <v>2090</v>
      </c>
      <c r="B1905" s="5">
        <v>1898</v>
      </c>
      <c r="C1905">
        <v>12173</v>
      </c>
      <c r="D1905" t="s">
        <v>2857</v>
      </c>
      <c r="E1905" t="s">
        <v>33</v>
      </c>
      <c r="F1905" t="s">
        <v>801</v>
      </c>
      <c r="G1905" t="s">
        <v>29876</v>
      </c>
      <c r="H1905">
        <v>18.95</v>
      </c>
      <c r="I1905">
        <v>0</v>
      </c>
      <c r="J1905">
        <v>0</v>
      </c>
      <c r="K1905">
        <v>0</v>
      </c>
      <c r="N1905">
        <v>3</v>
      </c>
      <c r="O1905">
        <v>3</v>
      </c>
      <c r="P1905">
        <v>4</v>
      </c>
      <c r="Q1905">
        <v>0</v>
      </c>
      <c r="R1905">
        <v>25.95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H1905">
        <v>25.95</v>
      </c>
    </row>
    <row r="1906" spans="1:34" x14ac:dyDescent="0.3">
      <c r="A1906" s="4">
        <v>2091</v>
      </c>
      <c r="B1906" s="5">
        <v>1899</v>
      </c>
      <c r="C1906">
        <v>10686</v>
      </c>
      <c r="D1906" t="s">
        <v>29877</v>
      </c>
      <c r="E1906" t="s">
        <v>117</v>
      </c>
      <c r="F1906" t="s">
        <v>346</v>
      </c>
      <c r="G1906" t="s">
        <v>29878</v>
      </c>
      <c r="H1906">
        <v>16.95</v>
      </c>
      <c r="I1906">
        <v>0</v>
      </c>
      <c r="J1906">
        <v>0</v>
      </c>
      <c r="K1906">
        <v>0</v>
      </c>
      <c r="N1906">
        <v>3</v>
      </c>
      <c r="O1906">
        <v>3</v>
      </c>
      <c r="P1906">
        <v>4</v>
      </c>
      <c r="Q1906">
        <v>2</v>
      </c>
      <c r="R1906">
        <v>25.95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H1906">
        <v>25.95</v>
      </c>
    </row>
    <row r="1907" spans="1:34" x14ac:dyDescent="0.3">
      <c r="A1907" s="4">
        <v>2092</v>
      </c>
      <c r="B1907" s="5">
        <v>1900</v>
      </c>
      <c r="C1907">
        <v>14521</v>
      </c>
      <c r="D1907" t="s">
        <v>15722</v>
      </c>
      <c r="E1907" t="s">
        <v>29</v>
      </c>
      <c r="F1907" t="s">
        <v>385</v>
      </c>
      <c r="G1907" t="s">
        <v>29879</v>
      </c>
      <c r="H1907">
        <v>15.95</v>
      </c>
      <c r="I1907">
        <v>0</v>
      </c>
      <c r="J1907">
        <v>0</v>
      </c>
      <c r="K1907">
        <v>0</v>
      </c>
      <c r="N1907">
        <v>6</v>
      </c>
      <c r="O1907">
        <v>6</v>
      </c>
      <c r="P1907">
        <v>4</v>
      </c>
      <c r="Q1907">
        <v>0</v>
      </c>
      <c r="R1907">
        <v>25.95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 t="s">
        <v>130</v>
      </c>
      <c r="AH1907">
        <v>25.95</v>
      </c>
    </row>
    <row r="1908" spans="1:34" x14ac:dyDescent="0.3">
      <c r="A1908" s="4">
        <v>2093</v>
      </c>
      <c r="B1908" s="5">
        <v>1901</v>
      </c>
      <c r="C1908">
        <v>9605</v>
      </c>
      <c r="D1908" t="s">
        <v>10614</v>
      </c>
      <c r="E1908" t="s">
        <v>132</v>
      </c>
      <c r="F1908" t="s">
        <v>20</v>
      </c>
      <c r="G1908" t="s">
        <v>29880</v>
      </c>
      <c r="H1908">
        <v>16.93</v>
      </c>
      <c r="I1908">
        <v>0</v>
      </c>
      <c r="J1908">
        <v>0</v>
      </c>
      <c r="K1908">
        <v>0</v>
      </c>
      <c r="N1908">
        <v>3</v>
      </c>
      <c r="O1908">
        <v>3</v>
      </c>
      <c r="P1908">
        <v>4</v>
      </c>
      <c r="Q1908">
        <v>2</v>
      </c>
      <c r="R1908">
        <v>25.93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H1908">
        <v>25.93</v>
      </c>
    </row>
    <row r="1909" spans="1:34" x14ac:dyDescent="0.3">
      <c r="A1909" s="4">
        <v>2094</v>
      </c>
      <c r="B1909" s="5">
        <v>1902</v>
      </c>
      <c r="C1909">
        <v>13009</v>
      </c>
      <c r="D1909" t="s">
        <v>2100</v>
      </c>
      <c r="E1909" t="s">
        <v>161</v>
      </c>
      <c r="F1909" t="s">
        <v>62</v>
      </c>
      <c r="G1909" t="s">
        <v>29881</v>
      </c>
      <c r="H1909">
        <v>14.93</v>
      </c>
      <c r="I1909">
        <v>0</v>
      </c>
      <c r="J1909">
        <v>0</v>
      </c>
      <c r="K1909">
        <v>0</v>
      </c>
      <c r="L1909">
        <v>7</v>
      </c>
      <c r="O1909">
        <v>7</v>
      </c>
      <c r="P1909">
        <v>4</v>
      </c>
      <c r="Q1909">
        <v>0</v>
      </c>
      <c r="R1909">
        <v>25.93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 t="s">
        <v>130</v>
      </c>
      <c r="AH1909">
        <v>25.93</v>
      </c>
    </row>
    <row r="1910" spans="1:34" x14ac:dyDescent="0.3">
      <c r="A1910" s="4">
        <v>2095</v>
      </c>
      <c r="B1910" s="5">
        <v>1903</v>
      </c>
      <c r="C1910">
        <v>9259</v>
      </c>
      <c r="D1910" t="s">
        <v>18793</v>
      </c>
      <c r="E1910" t="s">
        <v>29</v>
      </c>
      <c r="F1910" t="s">
        <v>62</v>
      </c>
      <c r="G1910" t="s">
        <v>29882</v>
      </c>
      <c r="H1910">
        <v>15.9</v>
      </c>
      <c r="I1910">
        <v>0</v>
      </c>
      <c r="J1910">
        <v>0</v>
      </c>
      <c r="K1910">
        <v>0</v>
      </c>
      <c r="O1910">
        <v>0</v>
      </c>
      <c r="P1910">
        <v>4</v>
      </c>
      <c r="Q1910">
        <v>0</v>
      </c>
      <c r="R1910">
        <v>19.899999999999999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6</v>
      </c>
      <c r="AC1910">
        <v>0</v>
      </c>
      <c r="AH1910">
        <v>25.9</v>
      </c>
    </row>
    <row r="1911" spans="1:34" x14ac:dyDescent="0.3">
      <c r="A1911" s="4">
        <v>2096</v>
      </c>
      <c r="B1911" s="5">
        <v>1904</v>
      </c>
      <c r="C1911">
        <v>12237</v>
      </c>
      <c r="D1911" t="s">
        <v>775</v>
      </c>
      <c r="E1911" t="s">
        <v>88</v>
      </c>
      <c r="F1911" t="s">
        <v>20</v>
      </c>
      <c r="G1911" t="s">
        <v>29883</v>
      </c>
      <c r="H1911">
        <v>18.899999999999999</v>
      </c>
      <c r="I1911">
        <v>0</v>
      </c>
      <c r="J1911">
        <v>0</v>
      </c>
      <c r="K1911">
        <v>0</v>
      </c>
      <c r="N1911">
        <v>3</v>
      </c>
      <c r="O1911">
        <v>3</v>
      </c>
      <c r="P1911">
        <v>4</v>
      </c>
      <c r="Q1911">
        <v>0</v>
      </c>
      <c r="R1911">
        <v>25.9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H1911">
        <v>25.9</v>
      </c>
    </row>
    <row r="1912" spans="1:34" x14ac:dyDescent="0.3">
      <c r="A1912" s="4">
        <v>2097</v>
      </c>
      <c r="B1912" s="5">
        <v>1905</v>
      </c>
      <c r="C1912">
        <v>7168</v>
      </c>
      <c r="D1912" t="s">
        <v>1404</v>
      </c>
      <c r="E1912" t="s">
        <v>29884</v>
      </c>
      <c r="F1912" t="s">
        <v>167</v>
      </c>
      <c r="G1912" t="s">
        <v>29885</v>
      </c>
      <c r="H1912">
        <v>16.899999999999999</v>
      </c>
      <c r="I1912">
        <v>0</v>
      </c>
      <c r="J1912">
        <v>0</v>
      </c>
      <c r="K1912">
        <v>0</v>
      </c>
      <c r="N1912">
        <v>3</v>
      </c>
      <c r="O1912">
        <v>3</v>
      </c>
      <c r="P1912">
        <v>4</v>
      </c>
      <c r="Q1912">
        <v>2</v>
      </c>
      <c r="R1912">
        <v>25.9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 t="s">
        <v>130</v>
      </c>
      <c r="AH1912">
        <v>25.9</v>
      </c>
    </row>
    <row r="1913" spans="1:34" x14ac:dyDescent="0.3">
      <c r="A1913" s="4">
        <v>2098</v>
      </c>
      <c r="B1913" s="5">
        <v>1906</v>
      </c>
      <c r="C1913">
        <v>7898</v>
      </c>
      <c r="D1913" t="s">
        <v>8663</v>
      </c>
      <c r="E1913" t="s">
        <v>789</v>
      </c>
      <c r="F1913" t="s">
        <v>30</v>
      </c>
      <c r="G1913" t="s">
        <v>29886</v>
      </c>
      <c r="H1913">
        <v>16.899999999999999</v>
      </c>
      <c r="I1913">
        <v>0</v>
      </c>
      <c r="J1913">
        <v>0</v>
      </c>
      <c r="K1913">
        <v>0</v>
      </c>
      <c r="N1913">
        <v>3</v>
      </c>
      <c r="O1913">
        <v>3</v>
      </c>
      <c r="P1913">
        <v>4</v>
      </c>
      <c r="Q1913">
        <v>2</v>
      </c>
      <c r="R1913">
        <v>25.9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H1913">
        <v>25.9</v>
      </c>
    </row>
    <row r="1914" spans="1:34" x14ac:dyDescent="0.3">
      <c r="A1914" s="4">
        <v>2099</v>
      </c>
      <c r="B1914" s="5">
        <v>1907</v>
      </c>
      <c r="C1914">
        <v>2441</v>
      </c>
      <c r="D1914" t="s">
        <v>3487</v>
      </c>
      <c r="E1914" t="s">
        <v>4033</v>
      </c>
      <c r="F1914" t="s">
        <v>62</v>
      </c>
      <c r="G1914" t="s">
        <v>29887</v>
      </c>
      <c r="H1914">
        <v>18.88</v>
      </c>
      <c r="I1914">
        <v>0</v>
      </c>
      <c r="J1914">
        <v>0</v>
      </c>
      <c r="K1914">
        <v>0</v>
      </c>
      <c r="N1914">
        <v>3</v>
      </c>
      <c r="O1914">
        <v>3</v>
      </c>
      <c r="P1914">
        <v>4</v>
      </c>
      <c r="Q1914">
        <v>0</v>
      </c>
      <c r="R1914">
        <v>25.88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H1914">
        <v>25.88</v>
      </c>
    </row>
    <row r="1915" spans="1:34" x14ac:dyDescent="0.3">
      <c r="A1915" s="4">
        <v>2100</v>
      </c>
      <c r="B1915" s="5">
        <v>1908</v>
      </c>
      <c r="C1915">
        <v>5181</v>
      </c>
      <c r="D1915" t="s">
        <v>29888</v>
      </c>
      <c r="E1915" t="s">
        <v>29</v>
      </c>
      <c r="F1915" t="s">
        <v>4176</v>
      </c>
      <c r="G1915" t="s">
        <v>29889</v>
      </c>
      <c r="H1915">
        <v>16.88</v>
      </c>
      <c r="I1915">
        <v>0</v>
      </c>
      <c r="J1915">
        <v>0</v>
      </c>
      <c r="K1915">
        <v>0</v>
      </c>
      <c r="N1915">
        <v>3</v>
      </c>
      <c r="O1915">
        <v>3</v>
      </c>
      <c r="P1915">
        <v>4</v>
      </c>
      <c r="Q1915">
        <v>2</v>
      </c>
      <c r="R1915">
        <v>25.88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H1915">
        <v>25.88</v>
      </c>
    </row>
    <row r="1916" spans="1:34" x14ac:dyDescent="0.3">
      <c r="A1916" s="4">
        <v>2101</v>
      </c>
      <c r="B1916" s="5">
        <v>1909</v>
      </c>
      <c r="C1916">
        <v>11764</v>
      </c>
      <c r="D1916" t="s">
        <v>12367</v>
      </c>
      <c r="E1916" t="s">
        <v>26</v>
      </c>
      <c r="F1916" t="s">
        <v>20</v>
      </c>
      <c r="G1916" t="s">
        <v>29890</v>
      </c>
      <c r="H1916">
        <v>18.850000000000001</v>
      </c>
      <c r="I1916">
        <v>0</v>
      </c>
      <c r="J1916">
        <v>0</v>
      </c>
      <c r="K1916">
        <v>0</v>
      </c>
      <c r="M1916">
        <v>5</v>
      </c>
      <c r="O1916">
        <v>5</v>
      </c>
      <c r="P1916">
        <v>0</v>
      </c>
      <c r="Q1916">
        <v>2</v>
      </c>
      <c r="R1916">
        <v>25.85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H1916">
        <v>25.85</v>
      </c>
    </row>
    <row r="1917" spans="1:34" x14ac:dyDescent="0.3">
      <c r="A1917" s="4">
        <v>2102</v>
      </c>
      <c r="B1917" s="5">
        <v>1910</v>
      </c>
      <c r="C1917">
        <v>14486</v>
      </c>
      <c r="D1917" t="s">
        <v>29891</v>
      </c>
      <c r="E1917" t="s">
        <v>789</v>
      </c>
      <c r="F1917" t="s">
        <v>136</v>
      </c>
      <c r="G1917" t="s">
        <v>29892</v>
      </c>
      <c r="H1917">
        <v>16.850000000000001</v>
      </c>
      <c r="I1917">
        <v>0</v>
      </c>
      <c r="J1917">
        <v>0</v>
      </c>
      <c r="K1917">
        <v>0</v>
      </c>
      <c r="N1917">
        <v>3</v>
      </c>
      <c r="O1917">
        <v>3</v>
      </c>
      <c r="P1917">
        <v>4</v>
      </c>
      <c r="Q1917">
        <v>2</v>
      </c>
      <c r="R1917">
        <v>25.85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H1917">
        <v>25.85</v>
      </c>
    </row>
    <row r="1918" spans="1:34" x14ac:dyDescent="0.3">
      <c r="A1918" s="4">
        <v>2103</v>
      </c>
      <c r="B1918" s="5">
        <v>1911</v>
      </c>
      <c r="C1918">
        <v>4754</v>
      </c>
      <c r="D1918" t="s">
        <v>29893</v>
      </c>
      <c r="E1918" t="s">
        <v>2792</v>
      </c>
      <c r="F1918" t="s">
        <v>81</v>
      </c>
      <c r="G1918" t="s">
        <v>29894</v>
      </c>
      <c r="H1918">
        <v>16.850000000000001</v>
      </c>
      <c r="I1918">
        <v>0</v>
      </c>
      <c r="J1918">
        <v>0</v>
      </c>
      <c r="K1918">
        <v>0</v>
      </c>
      <c r="N1918">
        <v>3</v>
      </c>
      <c r="O1918">
        <v>3</v>
      </c>
      <c r="P1918">
        <v>4</v>
      </c>
      <c r="Q1918">
        <v>2</v>
      </c>
      <c r="R1918">
        <v>25.85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 t="s">
        <v>130</v>
      </c>
      <c r="AH1918">
        <v>25.85</v>
      </c>
    </row>
    <row r="1919" spans="1:34" x14ac:dyDescent="0.3">
      <c r="A1919" s="4">
        <v>2104</v>
      </c>
      <c r="B1919" s="5">
        <v>1912</v>
      </c>
      <c r="C1919">
        <v>6377</v>
      </c>
      <c r="D1919" t="s">
        <v>803</v>
      </c>
      <c r="E1919" t="s">
        <v>550</v>
      </c>
      <c r="F1919" t="s">
        <v>124</v>
      </c>
      <c r="H1919">
        <v>18.829999999999998</v>
      </c>
      <c r="I1919">
        <v>0</v>
      </c>
      <c r="J1919">
        <v>0</v>
      </c>
      <c r="K1919">
        <v>0</v>
      </c>
      <c r="N1919">
        <v>3</v>
      </c>
      <c r="O1919">
        <v>3</v>
      </c>
      <c r="P1919">
        <v>4</v>
      </c>
      <c r="Q1919">
        <v>0</v>
      </c>
      <c r="R1919">
        <v>25.83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H1919">
        <v>25.83</v>
      </c>
    </row>
    <row r="1920" spans="1:34" x14ac:dyDescent="0.3">
      <c r="A1920" s="4">
        <v>2105</v>
      </c>
      <c r="B1920" s="5">
        <v>1913</v>
      </c>
      <c r="C1920">
        <v>6969</v>
      </c>
      <c r="D1920" t="s">
        <v>29895</v>
      </c>
      <c r="E1920" t="s">
        <v>2193</v>
      </c>
      <c r="F1920" t="s">
        <v>652</v>
      </c>
      <c r="G1920" t="s">
        <v>29896</v>
      </c>
      <c r="H1920">
        <v>16.829999999999998</v>
      </c>
      <c r="I1920">
        <v>0</v>
      </c>
      <c r="J1920">
        <v>0</v>
      </c>
      <c r="K1920">
        <v>0</v>
      </c>
      <c r="N1920">
        <v>3</v>
      </c>
      <c r="O1920">
        <v>3</v>
      </c>
      <c r="P1920">
        <v>4</v>
      </c>
      <c r="Q1920">
        <v>2</v>
      </c>
      <c r="R1920">
        <v>25.83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H1920">
        <v>25.83</v>
      </c>
    </row>
    <row r="1921" spans="1:34" x14ac:dyDescent="0.3">
      <c r="A1921" s="4">
        <v>2106</v>
      </c>
      <c r="B1921" s="5">
        <v>1914</v>
      </c>
      <c r="C1921">
        <v>3082</v>
      </c>
      <c r="D1921" t="s">
        <v>29897</v>
      </c>
      <c r="E1921" t="s">
        <v>3968</v>
      </c>
      <c r="F1921" t="s">
        <v>117</v>
      </c>
      <c r="G1921" t="s">
        <v>29898</v>
      </c>
      <c r="H1921">
        <v>16.829999999999998</v>
      </c>
      <c r="I1921">
        <v>0</v>
      </c>
      <c r="J1921">
        <v>0</v>
      </c>
      <c r="K1921">
        <v>0</v>
      </c>
      <c r="N1921">
        <v>3</v>
      </c>
      <c r="O1921">
        <v>3</v>
      </c>
      <c r="P1921">
        <v>4</v>
      </c>
      <c r="Q1921">
        <v>2</v>
      </c>
      <c r="R1921">
        <v>25.83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H1921">
        <v>25.83</v>
      </c>
    </row>
    <row r="1922" spans="1:34" x14ac:dyDescent="0.3">
      <c r="A1922" s="4">
        <v>2107</v>
      </c>
      <c r="B1922" s="5">
        <v>1915</v>
      </c>
      <c r="C1922">
        <v>2905</v>
      </c>
      <c r="D1922" t="s">
        <v>195</v>
      </c>
      <c r="E1922" t="s">
        <v>22</v>
      </c>
      <c r="F1922" t="s">
        <v>1854</v>
      </c>
      <c r="G1922" t="s">
        <v>29899</v>
      </c>
      <c r="H1922">
        <v>16.8</v>
      </c>
      <c r="I1922">
        <v>0</v>
      </c>
      <c r="J1922">
        <v>0</v>
      </c>
      <c r="K1922">
        <v>0</v>
      </c>
      <c r="N1922">
        <v>3</v>
      </c>
      <c r="O1922">
        <v>3</v>
      </c>
      <c r="P1922">
        <v>4</v>
      </c>
      <c r="Q1922">
        <v>2</v>
      </c>
      <c r="R1922">
        <v>25.8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 t="s">
        <v>130</v>
      </c>
      <c r="AH1922">
        <v>25.8</v>
      </c>
    </row>
    <row r="1923" spans="1:34" x14ac:dyDescent="0.3">
      <c r="A1923" s="4">
        <v>2108</v>
      </c>
      <c r="B1923" s="5">
        <v>1916</v>
      </c>
      <c r="C1923">
        <v>1924</v>
      </c>
      <c r="D1923" t="s">
        <v>29900</v>
      </c>
      <c r="E1923" t="s">
        <v>17</v>
      </c>
      <c r="F1923" t="s">
        <v>38</v>
      </c>
      <c r="G1923" t="s">
        <v>29901</v>
      </c>
      <c r="H1923">
        <v>18.78</v>
      </c>
      <c r="I1923">
        <v>0</v>
      </c>
      <c r="J1923">
        <v>0</v>
      </c>
      <c r="K1923">
        <v>0</v>
      </c>
      <c r="N1923">
        <v>3</v>
      </c>
      <c r="O1923">
        <v>3</v>
      </c>
      <c r="P1923">
        <v>4</v>
      </c>
      <c r="Q1923">
        <v>0</v>
      </c>
      <c r="R1923">
        <v>25.78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H1923">
        <v>25.78</v>
      </c>
    </row>
    <row r="1924" spans="1:34" x14ac:dyDescent="0.3">
      <c r="A1924" s="4">
        <v>2109</v>
      </c>
      <c r="B1924" s="5">
        <v>1917</v>
      </c>
      <c r="C1924">
        <v>3782</v>
      </c>
      <c r="D1924" t="s">
        <v>29902</v>
      </c>
      <c r="E1924" t="s">
        <v>110</v>
      </c>
      <c r="F1924" t="s">
        <v>136</v>
      </c>
      <c r="G1924" t="s">
        <v>29903</v>
      </c>
      <c r="H1924">
        <v>18.78</v>
      </c>
      <c r="I1924">
        <v>0</v>
      </c>
      <c r="J1924">
        <v>0</v>
      </c>
      <c r="K1924">
        <v>0</v>
      </c>
      <c r="L1924">
        <v>7</v>
      </c>
      <c r="O1924">
        <v>7</v>
      </c>
      <c r="P1924">
        <v>0</v>
      </c>
      <c r="Q1924">
        <v>0</v>
      </c>
      <c r="R1924">
        <v>25.78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H1924">
        <v>25.78</v>
      </c>
    </row>
    <row r="1925" spans="1:34" x14ac:dyDescent="0.3">
      <c r="A1925" s="4">
        <v>2110</v>
      </c>
      <c r="B1925" s="5">
        <v>1918</v>
      </c>
      <c r="C1925">
        <v>599</v>
      </c>
      <c r="D1925" t="s">
        <v>15656</v>
      </c>
      <c r="E1925" t="s">
        <v>563</v>
      </c>
      <c r="F1925" t="s">
        <v>17</v>
      </c>
      <c r="G1925" t="s">
        <v>29904</v>
      </c>
      <c r="H1925">
        <v>16.78</v>
      </c>
      <c r="I1925">
        <v>0</v>
      </c>
      <c r="J1925">
        <v>0</v>
      </c>
      <c r="K1925">
        <v>0</v>
      </c>
      <c r="N1925">
        <v>3</v>
      </c>
      <c r="O1925">
        <v>3</v>
      </c>
      <c r="P1925">
        <v>4</v>
      </c>
      <c r="Q1925">
        <v>2</v>
      </c>
      <c r="R1925">
        <v>25.78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H1925">
        <v>25.78</v>
      </c>
    </row>
    <row r="1926" spans="1:34" x14ac:dyDescent="0.3">
      <c r="A1926" s="4">
        <v>2111</v>
      </c>
      <c r="B1926" s="5">
        <v>1919</v>
      </c>
      <c r="C1926">
        <v>230</v>
      </c>
      <c r="D1926" t="s">
        <v>6336</v>
      </c>
      <c r="E1926" t="s">
        <v>161</v>
      </c>
      <c r="F1926" t="s">
        <v>30</v>
      </c>
      <c r="G1926" t="s">
        <v>29905</v>
      </c>
      <c r="H1926">
        <v>16.78</v>
      </c>
      <c r="I1926">
        <v>0</v>
      </c>
      <c r="J1926">
        <v>0</v>
      </c>
      <c r="K1926">
        <v>0</v>
      </c>
      <c r="N1926">
        <v>3</v>
      </c>
      <c r="O1926">
        <v>3</v>
      </c>
      <c r="P1926">
        <v>4</v>
      </c>
      <c r="Q1926">
        <v>2</v>
      </c>
      <c r="R1926">
        <v>25.78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 t="s">
        <v>130</v>
      </c>
      <c r="AH1926">
        <v>25.78</v>
      </c>
    </row>
    <row r="1927" spans="1:34" x14ac:dyDescent="0.3">
      <c r="A1927" s="4">
        <v>2112</v>
      </c>
      <c r="B1927" s="5">
        <v>1920</v>
      </c>
      <c r="C1927">
        <v>5133</v>
      </c>
      <c r="D1927" t="s">
        <v>29906</v>
      </c>
      <c r="E1927" t="s">
        <v>3130</v>
      </c>
      <c r="F1927" t="s">
        <v>62</v>
      </c>
      <c r="G1927" t="s">
        <v>29907</v>
      </c>
      <c r="H1927">
        <v>16.78</v>
      </c>
      <c r="I1927">
        <v>0</v>
      </c>
      <c r="J1927">
        <v>0</v>
      </c>
      <c r="K1927">
        <v>0</v>
      </c>
      <c r="N1927">
        <v>3</v>
      </c>
      <c r="O1927">
        <v>3</v>
      </c>
      <c r="P1927">
        <v>4</v>
      </c>
      <c r="Q1927">
        <v>2</v>
      </c>
      <c r="R1927">
        <v>25.78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H1927">
        <v>25.78</v>
      </c>
    </row>
    <row r="1928" spans="1:34" x14ac:dyDescent="0.3">
      <c r="A1928" s="4">
        <v>2113</v>
      </c>
      <c r="B1928" s="5">
        <v>1921</v>
      </c>
      <c r="C1928">
        <v>13345</v>
      </c>
      <c r="D1928" t="s">
        <v>5294</v>
      </c>
      <c r="E1928" t="s">
        <v>21156</v>
      </c>
      <c r="F1928" t="s">
        <v>81</v>
      </c>
      <c r="G1928" t="s">
        <v>29908</v>
      </c>
      <c r="H1928">
        <v>15.75</v>
      </c>
      <c r="I1928">
        <v>0</v>
      </c>
      <c r="J1928">
        <v>0</v>
      </c>
      <c r="K1928">
        <v>0</v>
      </c>
      <c r="N1928">
        <v>3</v>
      </c>
      <c r="O1928">
        <v>3</v>
      </c>
      <c r="P1928">
        <v>4</v>
      </c>
      <c r="Q1928">
        <v>0</v>
      </c>
      <c r="R1928">
        <v>22.75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3</v>
      </c>
      <c r="AC1928">
        <v>0</v>
      </c>
      <c r="AH1928">
        <v>25.75</v>
      </c>
    </row>
    <row r="1929" spans="1:34" x14ac:dyDescent="0.3">
      <c r="A1929" s="4">
        <v>2114</v>
      </c>
      <c r="B1929" s="5">
        <v>1922</v>
      </c>
      <c r="C1929">
        <v>832</v>
      </c>
      <c r="D1929" t="s">
        <v>29909</v>
      </c>
      <c r="E1929" t="s">
        <v>178</v>
      </c>
      <c r="F1929" t="s">
        <v>20</v>
      </c>
      <c r="G1929" t="s">
        <v>29910</v>
      </c>
      <c r="H1929">
        <v>18.75</v>
      </c>
      <c r="I1929">
        <v>0</v>
      </c>
      <c r="J1929">
        <v>0</v>
      </c>
      <c r="K1929">
        <v>0</v>
      </c>
      <c r="N1929">
        <v>3</v>
      </c>
      <c r="O1929">
        <v>3</v>
      </c>
      <c r="P1929">
        <v>4</v>
      </c>
      <c r="Q1929">
        <v>0</v>
      </c>
      <c r="R1929">
        <v>25.75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H1929">
        <v>25.75</v>
      </c>
    </row>
    <row r="1930" spans="1:34" x14ac:dyDescent="0.3">
      <c r="A1930" s="4">
        <v>2115</v>
      </c>
      <c r="B1930" s="5">
        <v>1923</v>
      </c>
      <c r="C1930">
        <v>731</v>
      </c>
      <c r="D1930" t="s">
        <v>29911</v>
      </c>
      <c r="E1930" t="s">
        <v>29912</v>
      </c>
      <c r="F1930" t="s">
        <v>38</v>
      </c>
      <c r="G1930" t="s">
        <v>29913</v>
      </c>
      <c r="H1930">
        <v>14.75</v>
      </c>
      <c r="I1930">
        <v>0</v>
      </c>
      <c r="J1930">
        <v>0</v>
      </c>
      <c r="K1930">
        <v>0</v>
      </c>
      <c r="L1930">
        <v>7</v>
      </c>
      <c r="O1930">
        <v>7</v>
      </c>
      <c r="P1930">
        <v>4</v>
      </c>
      <c r="Q1930">
        <v>0</v>
      </c>
      <c r="R1930">
        <v>25.75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H1930">
        <v>25.75</v>
      </c>
    </row>
    <row r="1931" spans="1:34" x14ac:dyDescent="0.3">
      <c r="A1931" s="4">
        <v>2116</v>
      </c>
      <c r="B1931" s="5">
        <v>1924</v>
      </c>
      <c r="C1931">
        <v>14194</v>
      </c>
      <c r="D1931" t="s">
        <v>3209</v>
      </c>
      <c r="E1931" t="s">
        <v>161</v>
      </c>
      <c r="F1931" t="s">
        <v>34</v>
      </c>
      <c r="G1931" t="s">
        <v>29914</v>
      </c>
      <c r="H1931">
        <v>18.73</v>
      </c>
      <c r="I1931">
        <v>0</v>
      </c>
      <c r="J1931">
        <v>0</v>
      </c>
      <c r="K1931">
        <v>0</v>
      </c>
      <c r="L1931">
        <v>7</v>
      </c>
      <c r="O1931">
        <v>7</v>
      </c>
      <c r="P1931">
        <v>0</v>
      </c>
      <c r="Q1931">
        <v>0</v>
      </c>
      <c r="R1931">
        <v>25.73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H1931">
        <v>25.73</v>
      </c>
    </row>
    <row r="1932" spans="1:34" x14ac:dyDescent="0.3">
      <c r="A1932" s="4">
        <v>2117</v>
      </c>
      <c r="B1932" s="5">
        <v>1925</v>
      </c>
      <c r="C1932">
        <v>7650</v>
      </c>
      <c r="D1932" t="s">
        <v>181</v>
      </c>
      <c r="E1932" t="s">
        <v>29915</v>
      </c>
      <c r="F1932" t="s">
        <v>62</v>
      </c>
      <c r="G1932" t="s">
        <v>29916</v>
      </c>
      <c r="H1932">
        <v>16.73</v>
      </c>
      <c r="I1932">
        <v>0</v>
      </c>
      <c r="J1932">
        <v>0</v>
      </c>
      <c r="K1932">
        <v>0</v>
      </c>
      <c r="N1932">
        <v>3</v>
      </c>
      <c r="O1932">
        <v>3</v>
      </c>
      <c r="P1932">
        <v>4</v>
      </c>
      <c r="Q1932">
        <v>2</v>
      </c>
      <c r="R1932">
        <v>25.73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 t="s">
        <v>130</v>
      </c>
      <c r="AH1932">
        <v>25.73</v>
      </c>
    </row>
    <row r="1933" spans="1:34" x14ac:dyDescent="0.3">
      <c r="A1933" s="4">
        <v>2118</v>
      </c>
      <c r="B1933" s="5">
        <v>1926</v>
      </c>
      <c r="C1933">
        <v>5029</v>
      </c>
      <c r="D1933" t="s">
        <v>405</v>
      </c>
      <c r="E1933" t="s">
        <v>97</v>
      </c>
      <c r="F1933" t="s">
        <v>14209</v>
      </c>
      <c r="G1933" t="s">
        <v>29917</v>
      </c>
      <c r="H1933">
        <v>16.73</v>
      </c>
      <c r="I1933">
        <v>0</v>
      </c>
      <c r="J1933">
        <v>0</v>
      </c>
      <c r="K1933">
        <v>0</v>
      </c>
      <c r="N1933">
        <v>3</v>
      </c>
      <c r="O1933">
        <v>3</v>
      </c>
      <c r="P1933">
        <v>4</v>
      </c>
      <c r="Q1933">
        <v>2</v>
      </c>
      <c r="R1933">
        <v>25.73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H1933">
        <v>25.73</v>
      </c>
    </row>
    <row r="1934" spans="1:34" x14ac:dyDescent="0.3">
      <c r="A1934" s="4">
        <v>2119</v>
      </c>
      <c r="B1934" s="5">
        <v>1927</v>
      </c>
      <c r="C1934">
        <v>8251</v>
      </c>
      <c r="D1934" t="s">
        <v>29918</v>
      </c>
      <c r="E1934" t="s">
        <v>560</v>
      </c>
      <c r="F1934" t="s">
        <v>158</v>
      </c>
      <c r="G1934" t="s">
        <v>29919</v>
      </c>
      <c r="H1934">
        <v>18.7</v>
      </c>
      <c r="I1934">
        <v>0</v>
      </c>
      <c r="J1934">
        <v>0</v>
      </c>
      <c r="K1934">
        <v>0</v>
      </c>
      <c r="N1934">
        <v>3</v>
      </c>
      <c r="O1934">
        <v>3</v>
      </c>
      <c r="P1934">
        <v>4</v>
      </c>
      <c r="Q1934">
        <v>0</v>
      </c>
      <c r="R1934">
        <v>25.7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H1934">
        <v>25.7</v>
      </c>
    </row>
    <row r="1935" spans="1:34" x14ac:dyDescent="0.3">
      <c r="A1935" s="4">
        <v>2120</v>
      </c>
      <c r="B1935" s="5">
        <v>1928</v>
      </c>
      <c r="C1935">
        <v>5313</v>
      </c>
      <c r="D1935" t="s">
        <v>1447</v>
      </c>
      <c r="E1935" t="s">
        <v>149</v>
      </c>
      <c r="F1935" t="s">
        <v>91</v>
      </c>
      <c r="G1935" t="s">
        <v>29920</v>
      </c>
      <c r="H1935">
        <v>16.7</v>
      </c>
      <c r="I1935">
        <v>0</v>
      </c>
      <c r="J1935">
        <v>0</v>
      </c>
      <c r="K1935">
        <v>0</v>
      </c>
      <c r="L1935">
        <v>7</v>
      </c>
      <c r="O1935">
        <v>7</v>
      </c>
      <c r="P1935">
        <v>0</v>
      </c>
      <c r="Q1935">
        <v>2</v>
      </c>
      <c r="R1935">
        <v>25.7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H1935">
        <v>25.7</v>
      </c>
    </row>
    <row r="1936" spans="1:34" x14ac:dyDescent="0.3">
      <c r="A1936" s="4">
        <v>2121</v>
      </c>
      <c r="B1936" s="5">
        <v>1929</v>
      </c>
      <c r="C1936">
        <v>10953</v>
      </c>
      <c r="D1936" t="s">
        <v>29921</v>
      </c>
      <c r="E1936" t="s">
        <v>17</v>
      </c>
      <c r="F1936" t="s">
        <v>136</v>
      </c>
      <c r="G1936" t="s">
        <v>29922</v>
      </c>
      <c r="H1936">
        <v>22.65</v>
      </c>
      <c r="I1936">
        <v>0</v>
      </c>
      <c r="J1936">
        <v>0</v>
      </c>
      <c r="K1936">
        <v>0</v>
      </c>
      <c r="N1936">
        <v>3</v>
      </c>
      <c r="O1936">
        <v>3</v>
      </c>
      <c r="P1936">
        <v>0</v>
      </c>
      <c r="Q1936">
        <v>0</v>
      </c>
      <c r="R1936">
        <v>25.65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H1936">
        <v>25.65</v>
      </c>
    </row>
    <row r="1937" spans="1:34" x14ac:dyDescent="0.3">
      <c r="A1937" s="4">
        <v>2122</v>
      </c>
      <c r="B1937" s="5">
        <v>1930</v>
      </c>
      <c r="C1937">
        <v>9081</v>
      </c>
      <c r="D1937" t="s">
        <v>3072</v>
      </c>
      <c r="E1937" t="s">
        <v>166</v>
      </c>
      <c r="F1937" t="s">
        <v>539</v>
      </c>
      <c r="G1937" t="s">
        <v>29923</v>
      </c>
      <c r="H1937">
        <v>18.649999999999999</v>
      </c>
      <c r="I1937">
        <v>0</v>
      </c>
      <c r="J1937">
        <v>0</v>
      </c>
      <c r="K1937">
        <v>0</v>
      </c>
      <c r="N1937">
        <v>3</v>
      </c>
      <c r="O1937">
        <v>3</v>
      </c>
      <c r="P1937">
        <v>4</v>
      </c>
      <c r="Q1937">
        <v>0</v>
      </c>
      <c r="R1937">
        <v>25.65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H1937">
        <v>25.65</v>
      </c>
    </row>
    <row r="1938" spans="1:34" x14ac:dyDescent="0.3">
      <c r="A1938" s="4">
        <v>2123</v>
      </c>
      <c r="B1938" s="5">
        <v>1931</v>
      </c>
      <c r="C1938">
        <v>110</v>
      </c>
      <c r="D1938" t="s">
        <v>929</v>
      </c>
      <c r="E1938" t="s">
        <v>4717</v>
      </c>
      <c r="F1938" t="s">
        <v>17</v>
      </c>
      <c r="G1938" t="s">
        <v>29924</v>
      </c>
      <c r="H1938">
        <v>18.649999999999999</v>
      </c>
      <c r="I1938">
        <v>0</v>
      </c>
      <c r="J1938">
        <v>0</v>
      </c>
      <c r="K1938">
        <v>0</v>
      </c>
      <c r="N1938">
        <v>3</v>
      </c>
      <c r="O1938">
        <v>3</v>
      </c>
      <c r="P1938">
        <v>4</v>
      </c>
      <c r="Q1938">
        <v>0</v>
      </c>
      <c r="R1938">
        <v>25.65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H1938">
        <v>25.65</v>
      </c>
    </row>
    <row r="1939" spans="1:34" x14ac:dyDescent="0.3">
      <c r="A1939" s="4">
        <v>2124</v>
      </c>
      <c r="B1939" s="5">
        <v>1932</v>
      </c>
      <c r="C1939">
        <v>456</v>
      </c>
      <c r="D1939" t="s">
        <v>29925</v>
      </c>
      <c r="E1939" t="s">
        <v>6225</v>
      </c>
      <c r="F1939" t="s">
        <v>29926</v>
      </c>
      <c r="G1939" t="s">
        <v>29927</v>
      </c>
      <c r="H1939">
        <v>16.649999999999999</v>
      </c>
      <c r="I1939">
        <v>0</v>
      </c>
      <c r="J1939">
        <v>0</v>
      </c>
      <c r="K1939">
        <v>0</v>
      </c>
      <c r="N1939">
        <v>3</v>
      </c>
      <c r="O1939">
        <v>3</v>
      </c>
      <c r="P1939">
        <v>4</v>
      </c>
      <c r="Q1939">
        <v>2</v>
      </c>
      <c r="R1939">
        <v>25.65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H1939">
        <v>25.65</v>
      </c>
    </row>
    <row r="1940" spans="1:34" x14ac:dyDescent="0.3">
      <c r="A1940" s="4">
        <v>2125</v>
      </c>
      <c r="B1940" s="5">
        <v>1933</v>
      </c>
      <c r="C1940">
        <v>6781</v>
      </c>
      <c r="D1940" t="s">
        <v>737</v>
      </c>
      <c r="E1940" t="s">
        <v>22</v>
      </c>
      <c r="F1940" t="s">
        <v>91</v>
      </c>
      <c r="G1940" t="s">
        <v>29928</v>
      </c>
      <c r="H1940">
        <v>18.63</v>
      </c>
      <c r="I1940">
        <v>0</v>
      </c>
      <c r="J1940">
        <v>0</v>
      </c>
      <c r="K1940">
        <v>0</v>
      </c>
      <c r="N1940">
        <v>3</v>
      </c>
      <c r="O1940">
        <v>3</v>
      </c>
      <c r="P1940">
        <v>4</v>
      </c>
      <c r="Q1940">
        <v>0</v>
      </c>
      <c r="R1940">
        <v>25.63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H1940">
        <v>25.63</v>
      </c>
    </row>
    <row r="1941" spans="1:34" x14ac:dyDescent="0.3">
      <c r="A1941" s="4">
        <v>2126</v>
      </c>
      <c r="B1941" s="5">
        <v>1934</v>
      </c>
      <c r="C1941">
        <v>1947</v>
      </c>
      <c r="D1941" t="s">
        <v>29929</v>
      </c>
      <c r="E1941" t="s">
        <v>88</v>
      </c>
      <c r="F1941" t="s">
        <v>79</v>
      </c>
      <c r="G1941" t="s">
        <v>29930</v>
      </c>
      <c r="H1941">
        <v>16.63</v>
      </c>
      <c r="I1941">
        <v>0</v>
      </c>
      <c r="J1941">
        <v>0</v>
      </c>
      <c r="K1941">
        <v>0</v>
      </c>
      <c r="N1941">
        <v>3</v>
      </c>
      <c r="O1941">
        <v>3</v>
      </c>
      <c r="P1941">
        <v>4</v>
      </c>
      <c r="Q1941">
        <v>2</v>
      </c>
      <c r="R1941">
        <v>25.63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H1941">
        <v>25.63</v>
      </c>
    </row>
    <row r="1942" spans="1:34" x14ac:dyDescent="0.3">
      <c r="A1942" s="4">
        <v>2127</v>
      </c>
      <c r="B1942" s="5">
        <v>1935</v>
      </c>
      <c r="C1942">
        <v>9203</v>
      </c>
      <c r="D1942" t="s">
        <v>29931</v>
      </c>
      <c r="E1942" t="s">
        <v>4236</v>
      </c>
      <c r="F1942" t="s">
        <v>649</v>
      </c>
      <c r="G1942" t="s">
        <v>29932</v>
      </c>
      <c r="H1942">
        <v>16.63</v>
      </c>
      <c r="I1942">
        <v>0</v>
      </c>
      <c r="J1942">
        <v>0</v>
      </c>
      <c r="K1942">
        <v>0</v>
      </c>
      <c r="N1942">
        <v>3</v>
      </c>
      <c r="O1942">
        <v>3</v>
      </c>
      <c r="P1942">
        <v>4</v>
      </c>
      <c r="Q1942">
        <v>2</v>
      </c>
      <c r="R1942">
        <v>25.63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 t="s">
        <v>130</v>
      </c>
      <c r="AH1942">
        <v>25.63</v>
      </c>
    </row>
    <row r="1943" spans="1:34" x14ac:dyDescent="0.3">
      <c r="A1943" s="4">
        <v>2128</v>
      </c>
      <c r="B1943" s="5">
        <v>1936</v>
      </c>
      <c r="C1943">
        <v>7153</v>
      </c>
      <c r="D1943" t="s">
        <v>29933</v>
      </c>
      <c r="E1943" t="s">
        <v>48</v>
      </c>
      <c r="F1943" t="s">
        <v>158</v>
      </c>
      <c r="G1943" t="s">
        <v>29934</v>
      </c>
      <c r="H1943">
        <v>16.63</v>
      </c>
      <c r="I1943">
        <v>0</v>
      </c>
      <c r="J1943">
        <v>0</v>
      </c>
      <c r="K1943">
        <v>0</v>
      </c>
      <c r="M1943">
        <v>5</v>
      </c>
      <c r="O1943">
        <v>5</v>
      </c>
      <c r="P1943">
        <v>4</v>
      </c>
      <c r="Q1943">
        <v>0</v>
      </c>
      <c r="R1943">
        <v>25.63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H1943">
        <v>25.63</v>
      </c>
    </row>
    <row r="1944" spans="1:34" x14ac:dyDescent="0.3">
      <c r="A1944" s="4">
        <v>2129</v>
      </c>
      <c r="B1944" s="5">
        <v>1937</v>
      </c>
      <c r="C1944">
        <v>11446</v>
      </c>
      <c r="D1944" t="s">
        <v>29935</v>
      </c>
      <c r="E1944" t="s">
        <v>100</v>
      </c>
      <c r="F1944" t="s">
        <v>328</v>
      </c>
      <c r="G1944" t="s">
        <v>29936</v>
      </c>
      <c r="H1944">
        <v>14.6</v>
      </c>
      <c r="I1944">
        <v>0</v>
      </c>
      <c r="J1944">
        <v>0</v>
      </c>
      <c r="K1944">
        <v>0</v>
      </c>
      <c r="N1944">
        <v>3</v>
      </c>
      <c r="O1944">
        <v>3</v>
      </c>
      <c r="P1944">
        <v>0</v>
      </c>
      <c r="Q1944">
        <v>2</v>
      </c>
      <c r="R1944">
        <v>19.600000000000001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6</v>
      </c>
      <c r="AC1944">
        <v>0</v>
      </c>
      <c r="AH1944">
        <v>25.6</v>
      </c>
    </row>
    <row r="1945" spans="1:34" x14ac:dyDescent="0.3">
      <c r="A1945" s="4">
        <v>2130</v>
      </c>
      <c r="B1945" s="5">
        <v>1938</v>
      </c>
      <c r="C1945">
        <v>3937</v>
      </c>
      <c r="D1945" t="s">
        <v>1035</v>
      </c>
      <c r="E1945" t="s">
        <v>81</v>
      </c>
      <c r="F1945" t="s">
        <v>1450</v>
      </c>
      <c r="G1945" t="s">
        <v>29937</v>
      </c>
      <c r="H1945">
        <v>15.6</v>
      </c>
      <c r="I1945">
        <v>0</v>
      </c>
      <c r="J1945">
        <v>0</v>
      </c>
      <c r="K1945">
        <v>0</v>
      </c>
      <c r="N1945">
        <v>3</v>
      </c>
      <c r="O1945">
        <v>3</v>
      </c>
      <c r="P1945">
        <v>4</v>
      </c>
      <c r="Q1945">
        <v>0</v>
      </c>
      <c r="R1945">
        <v>22.6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3</v>
      </c>
      <c r="AC1945">
        <v>0</v>
      </c>
      <c r="AH1945">
        <v>25.6</v>
      </c>
    </row>
    <row r="1946" spans="1:34" x14ac:dyDescent="0.3">
      <c r="A1946" s="4">
        <v>2131</v>
      </c>
      <c r="B1946" s="5">
        <v>1939</v>
      </c>
      <c r="C1946">
        <v>8900</v>
      </c>
      <c r="D1946" t="s">
        <v>4615</v>
      </c>
      <c r="E1946" t="s">
        <v>41</v>
      </c>
      <c r="F1946" t="s">
        <v>2237</v>
      </c>
      <c r="G1946" t="s">
        <v>29938</v>
      </c>
      <c r="H1946">
        <v>18.600000000000001</v>
      </c>
      <c r="I1946">
        <v>0</v>
      </c>
      <c r="J1946">
        <v>0</v>
      </c>
      <c r="K1946">
        <v>0</v>
      </c>
      <c r="N1946">
        <v>3</v>
      </c>
      <c r="O1946">
        <v>3</v>
      </c>
      <c r="P1946">
        <v>4</v>
      </c>
      <c r="Q1946">
        <v>0</v>
      </c>
      <c r="R1946">
        <v>25.6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H1946">
        <v>25.6</v>
      </c>
    </row>
    <row r="1947" spans="1:34" x14ac:dyDescent="0.3">
      <c r="A1947" s="4">
        <v>2132</v>
      </c>
      <c r="B1947" s="5">
        <v>1940</v>
      </c>
      <c r="C1947">
        <v>14369</v>
      </c>
      <c r="D1947" t="s">
        <v>29939</v>
      </c>
      <c r="E1947" t="s">
        <v>161</v>
      </c>
      <c r="F1947" t="s">
        <v>6351</v>
      </c>
      <c r="G1947" t="s">
        <v>29940</v>
      </c>
      <c r="H1947">
        <v>18.579999999999998</v>
      </c>
      <c r="I1947">
        <v>0</v>
      </c>
      <c r="J1947">
        <v>0</v>
      </c>
      <c r="K1947">
        <v>0</v>
      </c>
      <c r="L1947">
        <v>7</v>
      </c>
      <c r="O1947">
        <v>7</v>
      </c>
      <c r="P1947">
        <v>0</v>
      </c>
      <c r="Q1947">
        <v>0</v>
      </c>
      <c r="R1947">
        <v>25.58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H1947">
        <v>25.58</v>
      </c>
    </row>
    <row r="1948" spans="1:34" x14ac:dyDescent="0.3">
      <c r="A1948" s="4">
        <v>2133</v>
      </c>
      <c r="B1948" s="5">
        <v>1941</v>
      </c>
      <c r="C1948">
        <v>3147</v>
      </c>
      <c r="D1948" t="s">
        <v>12628</v>
      </c>
      <c r="E1948" t="s">
        <v>88</v>
      </c>
      <c r="F1948" t="s">
        <v>81</v>
      </c>
      <c r="G1948" t="s">
        <v>29941</v>
      </c>
      <c r="H1948">
        <v>18.579999999999998</v>
      </c>
      <c r="I1948">
        <v>0</v>
      </c>
      <c r="J1948">
        <v>0</v>
      </c>
      <c r="K1948">
        <v>0</v>
      </c>
      <c r="N1948">
        <v>3</v>
      </c>
      <c r="O1948">
        <v>3</v>
      </c>
      <c r="P1948">
        <v>4</v>
      </c>
      <c r="Q1948">
        <v>0</v>
      </c>
      <c r="R1948">
        <v>25.58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H1948">
        <v>25.58</v>
      </c>
    </row>
    <row r="1949" spans="1:34" x14ac:dyDescent="0.3">
      <c r="A1949" s="4">
        <v>2134</v>
      </c>
      <c r="B1949" s="5">
        <v>1942</v>
      </c>
      <c r="C1949">
        <v>13149</v>
      </c>
      <c r="D1949" t="s">
        <v>29942</v>
      </c>
      <c r="E1949" t="s">
        <v>149</v>
      </c>
      <c r="F1949" t="s">
        <v>442</v>
      </c>
      <c r="G1949" t="s">
        <v>29943</v>
      </c>
      <c r="H1949">
        <v>18.579999999999998</v>
      </c>
      <c r="I1949">
        <v>0</v>
      </c>
      <c r="J1949">
        <v>0</v>
      </c>
      <c r="K1949">
        <v>0</v>
      </c>
      <c r="N1949">
        <v>3</v>
      </c>
      <c r="O1949">
        <v>3</v>
      </c>
      <c r="P1949">
        <v>4</v>
      </c>
      <c r="Q1949">
        <v>0</v>
      </c>
      <c r="R1949">
        <v>25.58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H1949">
        <v>25.58</v>
      </c>
    </row>
    <row r="1950" spans="1:34" x14ac:dyDescent="0.3">
      <c r="A1950" s="4">
        <v>2135</v>
      </c>
      <c r="B1950" s="5">
        <v>1943</v>
      </c>
      <c r="C1950">
        <v>3675</v>
      </c>
      <c r="D1950" t="s">
        <v>6906</v>
      </c>
      <c r="E1950" t="s">
        <v>268</v>
      </c>
      <c r="F1950" t="s">
        <v>20</v>
      </c>
      <c r="G1950" t="s">
        <v>29944</v>
      </c>
      <c r="H1950">
        <v>16.579999999999998</v>
      </c>
      <c r="I1950">
        <v>0</v>
      </c>
      <c r="J1950">
        <v>0</v>
      </c>
      <c r="K1950">
        <v>0</v>
      </c>
      <c r="N1950">
        <v>3</v>
      </c>
      <c r="O1950">
        <v>3</v>
      </c>
      <c r="P1950">
        <v>4</v>
      </c>
      <c r="Q1950">
        <v>2</v>
      </c>
      <c r="R1950">
        <v>25.58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H1950">
        <v>25.58</v>
      </c>
    </row>
    <row r="1951" spans="1:34" x14ac:dyDescent="0.3">
      <c r="A1951" s="4">
        <v>2136</v>
      </c>
      <c r="B1951" s="5">
        <v>1944</v>
      </c>
      <c r="C1951">
        <v>8342</v>
      </c>
      <c r="D1951" t="s">
        <v>29945</v>
      </c>
      <c r="E1951" t="s">
        <v>740</v>
      </c>
      <c r="F1951" t="s">
        <v>20</v>
      </c>
      <c r="G1951" t="s">
        <v>29946</v>
      </c>
      <c r="H1951">
        <v>17.55</v>
      </c>
      <c r="I1951">
        <v>0</v>
      </c>
      <c r="J1951">
        <v>0</v>
      </c>
      <c r="K1951">
        <v>0</v>
      </c>
      <c r="N1951">
        <v>3</v>
      </c>
      <c r="O1951">
        <v>3</v>
      </c>
      <c r="P1951">
        <v>0</v>
      </c>
      <c r="Q1951">
        <v>2</v>
      </c>
      <c r="R1951">
        <v>22.55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3</v>
      </c>
      <c r="AC1951">
        <v>0</v>
      </c>
      <c r="AH1951">
        <v>25.55</v>
      </c>
    </row>
    <row r="1952" spans="1:34" x14ac:dyDescent="0.3">
      <c r="A1952" s="4">
        <v>2137</v>
      </c>
      <c r="B1952" s="5">
        <v>1945</v>
      </c>
      <c r="C1952">
        <v>636</v>
      </c>
      <c r="D1952" t="s">
        <v>29947</v>
      </c>
      <c r="E1952" t="s">
        <v>158</v>
      </c>
      <c r="F1952" t="s">
        <v>10049</v>
      </c>
      <c r="G1952" t="s">
        <v>29948</v>
      </c>
      <c r="H1952">
        <v>14.53</v>
      </c>
      <c r="I1952">
        <v>0</v>
      </c>
      <c r="J1952">
        <v>0</v>
      </c>
      <c r="K1952">
        <v>0</v>
      </c>
      <c r="L1952">
        <v>7</v>
      </c>
      <c r="O1952">
        <v>7</v>
      </c>
      <c r="P1952">
        <v>4</v>
      </c>
      <c r="Q1952">
        <v>0</v>
      </c>
      <c r="R1952">
        <v>25.53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H1952">
        <v>25.53</v>
      </c>
    </row>
    <row r="1953" spans="1:34" x14ac:dyDescent="0.3">
      <c r="A1953" s="4">
        <v>2138</v>
      </c>
      <c r="B1953" s="5">
        <v>1946</v>
      </c>
      <c r="C1953">
        <v>5243</v>
      </c>
      <c r="D1953" t="s">
        <v>17632</v>
      </c>
      <c r="E1953" t="s">
        <v>816</v>
      </c>
      <c r="F1953" t="s">
        <v>17</v>
      </c>
      <c r="G1953" t="s">
        <v>29949</v>
      </c>
      <c r="H1953">
        <v>18.5</v>
      </c>
      <c r="I1953">
        <v>0</v>
      </c>
      <c r="J1953">
        <v>0</v>
      </c>
      <c r="K1953">
        <v>0</v>
      </c>
      <c r="N1953">
        <v>3</v>
      </c>
      <c r="O1953">
        <v>3</v>
      </c>
      <c r="P1953">
        <v>4</v>
      </c>
      <c r="Q1953">
        <v>0</v>
      </c>
      <c r="R1953">
        <v>25.5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H1953">
        <v>25.5</v>
      </c>
    </row>
    <row r="1954" spans="1:34" x14ac:dyDescent="0.3">
      <c r="A1954" s="4">
        <v>2139</v>
      </c>
      <c r="B1954" s="5">
        <v>1947</v>
      </c>
      <c r="C1954">
        <v>12810</v>
      </c>
      <c r="D1954" t="s">
        <v>387</v>
      </c>
      <c r="E1954" t="s">
        <v>744</v>
      </c>
      <c r="F1954" t="s">
        <v>892</v>
      </c>
      <c r="G1954" t="s">
        <v>29950</v>
      </c>
      <c r="H1954">
        <v>18.5</v>
      </c>
      <c r="I1954">
        <v>0</v>
      </c>
      <c r="J1954">
        <v>0</v>
      </c>
      <c r="K1954">
        <v>0</v>
      </c>
      <c r="N1954">
        <v>3</v>
      </c>
      <c r="O1954">
        <v>3</v>
      </c>
      <c r="P1954">
        <v>4</v>
      </c>
      <c r="Q1954">
        <v>0</v>
      </c>
      <c r="R1954">
        <v>25.5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H1954">
        <v>25.5</v>
      </c>
    </row>
    <row r="1955" spans="1:34" x14ac:dyDescent="0.3">
      <c r="A1955" s="4">
        <v>2140</v>
      </c>
      <c r="B1955" s="5">
        <v>1948</v>
      </c>
      <c r="C1955">
        <v>4045</v>
      </c>
      <c r="D1955" t="s">
        <v>29951</v>
      </c>
      <c r="E1955" t="s">
        <v>7466</v>
      </c>
      <c r="F1955" t="s">
        <v>117</v>
      </c>
      <c r="G1955" t="s">
        <v>29952</v>
      </c>
      <c r="H1955">
        <v>18.5</v>
      </c>
      <c r="I1955">
        <v>0</v>
      </c>
      <c r="J1955">
        <v>0</v>
      </c>
      <c r="K1955">
        <v>0</v>
      </c>
      <c r="N1955">
        <v>3</v>
      </c>
      <c r="O1955">
        <v>3</v>
      </c>
      <c r="P1955">
        <v>4</v>
      </c>
      <c r="Q1955">
        <v>0</v>
      </c>
      <c r="R1955">
        <v>25.5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H1955">
        <v>25.5</v>
      </c>
    </row>
    <row r="1956" spans="1:34" x14ac:dyDescent="0.3">
      <c r="A1956" s="4">
        <v>2141</v>
      </c>
      <c r="B1956" s="5">
        <v>1949</v>
      </c>
      <c r="C1956">
        <v>2509</v>
      </c>
      <c r="D1956" t="s">
        <v>29953</v>
      </c>
      <c r="E1956" t="s">
        <v>33</v>
      </c>
      <c r="F1956" t="s">
        <v>892</v>
      </c>
      <c r="G1956" t="s">
        <v>29954</v>
      </c>
      <c r="H1956">
        <v>16.48</v>
      </c>
      <c r="I1956">
        <v>0</v>
      </c>
      <c r="J1956">
        <v>0</v>
      </c>
      <c r="K1956">
        <v>0</v>
      </c>
      <c r="N1956">
        <v>3</v>
      </c>
      <c r="O1956">
        <v>3</v>
      </c>
      <c r="P1956">
        <v>4</v>
      </c>
      <c r="Q1956">
        <v>2</v>
      </c>
      <c r="R1956">
        <v>25.48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H1956">
        <v>25.48</v>
      </c>
    </row>
    <row r="1957" spans="1:34" x14ac:dyDescent="0.3">
      <c r="A1957" s="4">
        <v>2142</v>
      </c>
      <c r="B1957" s="5">
        <v>1950</v>
      </c>
      <c r="C1957">
        <v>13900</v>
      </c>
      <c r="D1957" t="s">
        <v>29955</v>
      </c>
      <c r="E1957" t="s">
        <v>208</v>
      </c>
      <c r="F1957" t="s">
        <v>167</v>
      </c>
      <c r="G1957" t="s">
        <v>29956</v>
      </c>
      <c r="H1957">
        <v>18.43</v>
      </c>
      <c r="I1957">
        <v>0</v>
      </c>
      <c r="J1957">
        <v>0</v>
      </c>
      <c r="K1957">
        <v>0</v>
      </c>
      <c r="L1957">
        <v>7</v>
      </c>
      <c r="O1957">
        <v>7</v>
      </c>
      <c r="P1957">
        <v>0</v>
      </c>
      <c r="Q1957">
        <v>0</v>
      </c>
      <c r="R1957">
        <v>25.43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H1957">
        <v>25.43</v>
      </c>
    </row>
    <row r="1958" spans="1:34" x14ac:dyDescent="0.3">
      <c r="A1958" s="4">
        <v>2143</v>
      </c>
      <c r="B1958" s="5">
        <v>1951</v>
      </c>
      <c r="C1958">
        <v>14757</v>
      </c>
      <c r="D1958" t="s">
        <v>29957</v>
      </c>
      <c r="E1958" t="s">
        <v>178</v>
      </c>
      <c r="F1958" t="s">
        <v>328</v>
      </c>
      <c r="G1958" t="s">
        <v>29958</v>
      </c>
      <c r="H1958">
        <v>16.43</v>
      </c>
      <c r="I1958">
        <v>0</v>
      </c>
      <c r="J1958">
        <v>0</v>
      </c>
      <c r="K1958">
        <v>0</v>
      </c>
      <c r="N1958">
        <v>3</v>
      </c>
      <c r="O1958">
        <v>3</v>
      </c>
      <c r="P1958">
        <v>4</v>
      </c>
      <c r="Q1958">
        <v>2</v>
      </c>
      <c r="R1958">
        <v>25.43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H1958">
        <v>25.43</v>
      </c>
    </row>
    <row r="1959" spans="1:34" x14ac:dyDescent="0.3">
      <c r="A1959" s="4">
        <v>2144</v>
      </c>
      <c r="B1959" s="5">
        <v>1952</v>
      </c>
      <c r="C1959">
        <v>1452</v>
      </c>
      <c r="D1959" t="s">
        <v>5149</v>
      </c>
      <c r="E1959" t="s">
        <v>471</v>
      </c>
      <c r="F1959" t="s">
        <v>68</v>
      </c>
      <c r="G1959" t="s">
        <v>29959</v>
      </c>
      <c r="H1959">
        <v>15.4</v>
      </c>
      <c r="I1959">
        <v>0</v>
      </c>
      <c r="J1959">
        <v>0</v>
      </c>
      <c r="K1959">
        <v>0</v>
      </c>
      <c r="N1959">
        <v>3</v>
      </c>
      <c r="O1959">
        <v>3</v>
      </c>
      <c r="P1959">
        <v>4</v>
      </c>
      <c r="Q1959">
        <v>0</v>
      </c>
      <c r="R1959">
        <v>22.4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3</v>
      </c>
      <c r="AC1959">
        <v>0</v>
      </c>
      <c r="AH1959">
        <v>25.4</v>
      </c>
    </row>
    <row r="1960" spans="1:34" x14ac:dyDescent="0.3">
      <c r="A1960" s="4">
        <v>2145</v>
      </c>
      <c r="B1960" s="5">
        <v>1953</v>
      </c>
      <c r="C1960">
        <v>13498</v>
      </c>
      <c r="D1960" t="s">
        <v>4332</v>
      </c>
      <c r="E1960" t="s">
        <v>1576</v>
      </c>
      <c r="F1960" t="s">
        <v>29960</v>
      </c>
      <c r="G1960" t="s">
        <v>29961</v>
      </c>
      <c r="H1960">
        <v>18.399999999999999</v>
      </c>
      <c r="I1960">
        <v>0</v>
      </c>
      <c r="J1960">
        <v>0</v>
      </c>
      <c r="K1960">
        <v>0</v>
      </c>
      <c r="N1960">
        <v>3</v>
      </c>
      <c r="O1960">
        <v>3</v>
      </c>
      <c r="P1960">
        <v>4</v>
      </c>
      <c r="Q1960">
        <v>0</v>
      </c>
      <c r="R1960">
        <v>25.4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 t="s">
        <v>130</v>
      </c>
      <c r="AH1960">
        <v>25.4</v>
      </c>
    </row>
    <row r="1961" spans="1:34" x14ac:dyDescent="0.3">
      <c r="A1961" s="4">
        <v>2146</v>
      </c>
      <c r="B1961" s="5">
        <v>1954</v>
      </c>
      <c r="C1961">
        <v>8676</v>
      </c>
      <c r="D1961" t="s">
        <v>29962</v>
      </c>
      <c r="E1961" t="s">
        <v>249</v>
      </c>
      <c r="F1961" t="s">
        <v>136</v>
      </c>
      <c r="G1961" t="s">
        <v>29963</v>
      </c>
      <c r="H1961">
        <v>18.399999999999999</v>
      </c>
      <c r="I1961">
        <v>0</v>
      </c>
      <c r="J1961">
        <v>0</v>
      </c>
      <c r="K1961">
        <v>0</v>
      </c>
      <c r="N1961">
        <v>3</v>
      </c>
      <c r="O1961">
        <v>3</v>
      </c>
      <c r="P1961">
        <v>4</v>
      </c>
      <c r="Q1961">
        <v>0</v>
      </c>
      <c r="R1961">
        <v>25.4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H1961">
        <v>25.4</v>
      </c>
    </row>
    <row r="1962" spans="1:34" x14ac:dyDescent="0.3">
      <c r="A1962" s="4">
        <v>2147</v>
      </c>
      <c r="B1962" s="5">
        <v>1955</v>
      </c>
      <c r="C1962">
        <v>14109</v>
      </c>
      <c r="D1962" t="s">
        <v>29964</v>
      </c>
      <c r="E1962" t="s">
        <v>5237</v>
      </c>
      <c r="F1962" t="s">
        <v>12716</v>
      </c>
      <c r="G1962" t="s">
        <v>29965</v>
      </c>
      <c r="H1962">
        <v>18.399999999999999</v>
      </c>
      <c r="I1962">
        <v>0</v>
      </c>
      <c r="J1962">
        <v>0</v>
      </c>
      <c r="K1962">
        <v>0</v>
      </c>
      <c r="N1962">
        <v>3</v>
      </c>
      <c r="O1962">
        <v>3</v>
      </c>
      <c r="P1962">
        <v>4</v>
      </c>
      <c r="Q1962">
        <v>0</v>
      </c>
      <c r="R1962">
        <v>25.4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H1962">
        <v>25.4</v>
      </c>
    </row>
    <row r="1963" spans="1:34" x14ac:dyDescent="0.3">
      <c r="A1963" s="4">
        <v>2148</v>
      </c>
      <c r="B1963" s="5">
        <v>1956</v>
      </c>
      <c r="C1963">
        <v>14605</v>
      </c>
      <c r="D1963" t="s">
        <v>12522</v>
      </c>
      <c r="E1963" t="s">
        <v>38</v>
      </c>
      <c r="F1963" t="s">
        <v>30</v>
      </c>
      <c r="G1963" t="s">
        <v>29966</v>
      </c>
      <c r="H1963">
        <v>18.38</v>
      </c>
      <c r="I1963">
        <v>0</v>
      </c>
      <c r="J1963">
        <v>0</v>
      </c>
      <c r="K1963">
        <v>0</v>
      </c>
      <c r="N1963">
        <v>3</v>
      </c>
      <c r="O1963">
        <v>3</v>
      </c>
      <c r="P1963">
        <v>4</v>
      </c>
      <c r="Q1963">
        <v>0</v>
      </c>
      <c r="R1963">
        <v>25.38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H1963">
        <v>25.38</v>
      </c>
    </row>
    <row r="1964" spans="1:34" x14ac:dyDescent="0.3">
      <c r="A1964" s="4">
        <v>2149</v>
      </c>
      <c r="B1964" s="5">
        <v>1957</v>
      </c>
      <c r="C1964">
        <v>4168</v>
      </c>
      <c r="D1964" t="s">
        <v>4108</v>
      </c>
      <c r="E1964" t="s">
        <v>286</v>
      </c>
      <c r="F1964" t="s">
        <v>2225</v>
      </c>
      <c r="G1964" t="s">
        <v>29967</v>
      </c>
      <c r="H1964">
        <v>18.350000000000001</v>
      </c>
      <c r="I1964">
        <v>0</v>
      </c>
      <c r="J1964">
        <v>0</v>
      </c>
      <c r="K1964">
        <v>0</v>
      </c>
      <c r="N1964">
        <v>3</v>
      </c>
      <c r="O1964">
        <v>3</v>
      </c>
      <c r="P1964">
        <v>4</v>
      </c>
      <c r="Q1964">
        <v>0</v>
      </c>
      <c r="R1964">
        <v>25.35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H1964">
        <v>25.35</v>
      </c>
    </row>
    <row r="1965" spans="1:34" x14ac:dyDescent="0.3">
      <c r="A1965" s="4">
        <v>2150</v>
      </c>
      <c r="B1965" s="5">
        <v>1958</v>
      </c>
      <c r="C1965">
        <v>5851</v>
      </c>
      <c r="D1965" t="s">
        <v>16202</v>
      </c>
      <c r="E1965" t="s">
        <v>38</v>
      </c>
      <c r="F1965" t="s">
        <v>68</v>
      </c>
      <c r="G1965" t="s">
        <v>29968</v>
      </c>
      <c r="H1965">
        <v>18.329999999999998</v>
      </c>
      <c r="I1965">
        <v>0</v>
      </c>
      <c r="J1965">
        <v>0</v>
      </c>
      <c r="K1965">
        <v>0</v>
      </c>
      <c r="N1965">
        <v>3</v>
      </c>
      <c r="O1965">
        <v>3</v>
      </c>
      <c r="P1965">
        <v>4</v>
      </c>
      <c r="Q1965">
        <v>0</v>
      </c>
      <c r="R1965">
        <v>25.33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H1965">
        <v>25.33</v>
      </c>
    </row>
    <row r="1966" spans="1:34" x14ac:dyDescent="0.3">
      <c r="A1966" s="4">
        <v>2151</v>
      </c>
      <c r="B1966" s="5">
        <v>1959</v>
      </c>
      <c r="C1966">
        <v>12997</v>
      </c>
      <c r="D1966" t="s">
        <v>255</v>
      </c>
      <c r="E1966" t="s">
        <v>29969</v>
      </c>
      <c r="F1966" t="s">
        <v>68</v>
      </c>
      <c r="G1966" t="s">
        <v>29970</v>
      </c>
      <c r="H1966">
        <v>18.329999999999998</v>
      </c>
      <c r="I1966">
        <v>0</v>
      </c>
      <c r="J1966">
        <v>0</v>
      </c>
      <c r="K1966">
        <v>0</v>
      </c>
      <c r="L1966">
        <v>7</v>
      </c>
      <c r="O1966">
        <v>7</v>
      </c>
      <c r="P1966">
        <v>0</v>
      </c>
      <c r="Q1966">
        <v>0</v>
      </c>
      <c r="R1966">
        <v>25.33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H1966">
        <v>25.33</v>
      </c>
    </row>
    <row r="1967" spans="1:34" x14ac:dyDescent="0.3">
      <c r="A1967" s="4">
        <v>2152</v>
      </c>
      <c r="B1967" s="5">
        <v>1960</v>
      </c>
      <c r="C1967">
        <v>15599</v>
      </c>
      <c r="D1967" t="s">
        <v>28170</v>
      </c>
      <c r="E1967" t="s">
        <v>161</v>
      </c>
      <c r="F1967" t="s">
        <v>238</v>
      </c>
      <c r="G1967" t="s">
        <v>29971</v>
      </c>
      <c r="H1967">
        <v>18.28</v>
      </c>
      <c r="I1967">
        <v>0</v>
      </c>
      <c r="J1967">
        <v>0</v>
      </c>
      <c r="K1967">
        <v>0</v>
      </c>
      <c r="N1967">
        <v>3</v>
      </c>
      <c r="O1967">
        <v>3</v>
      </c>
      <c r="P1967">
        <v>4</v>
      </c>
      <c r="Q1967">
        <v>0</v>
      </c>
      <c r="R1967">
        <v>25.28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H1967">
        <v>25.28</v>
      </c>
    </row>
    <row r="1968" spans="1:34" x14ac:dyDescent="0.3">
      <c r="A1968" s="4">
        <v>2153</v>
      </c>
      <c r="B1968" s="5">
        <v>1961</v>
      </c>
      <c r="C1968">
        <v>13972</v>
      </c>
      <c r="D1968" t="s">
        <v>29972</v>
      </c>
      <c r="E1968" t="s">
        <v>1189</v>
      </c>
      <c r="F1968" t="s">
        <v>17</v>
      </c>
      <c r="G1968" t="s">
        <v>29973</v>
      </c>
      <c r="H1968">
        <v>18.28</v>
      </c>
      <c r="I1968">
        <v>0</v>
      </c>
      <c r="J1968">
        <v>0</v>
      </c>
      <c r="K1968">
        <v>0</v>
      </c>
      <c r="N1968">
        <v>3</v>
      </c>
      <c r="O1968">
        <v>3</v>
      </c>
      <c r="P1968">
        <v>4</v>
      </c>
      <c r="Q1968">
        <v>0</v>
      </c>
      <c r="R1968">
        <v>25.28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H1968">
        <v>25.28</v>
      </c>
    </row>
    <row r="1969" spans="1:34" x14ac:dyDescent="0.3">
      <c r="A1969" s="4">
        <v>2154</v>
      </c>
      <c r="B1969" s="5">
        <v>1962</v>
      </c>
      <c r="C1969">
        <v>12187</v>
      </c>
      <c r="D1969" t="s">
        <v>5874</v>
      </c>
      <c r="E1969" t="s">
        <v>213</v>
      </c>
      <c r="F1969" t="s">
        <v>158</v>
      </c>
      <c r="G1969" t="s">
        <v>29974</v>
      </c>
      <c r="H1969">
        <v>18.28</v>
      </c>
      <c r="I1969">
        <v>0</v>
      </c>
      <c r="J1969">
        <v>0</v>
      </c>
      <c r="K1969">
        <v>0</v>
      </c>
      <c r="N1969">
        <v>3</v>
      </c>
      <c r="O1969">
        <v>3</v>
      </c>
      <c r="P1969">
        <v>4</v>
      </c>
      <c r="Q1969">
        <v>0</v>
      </c>
      <c r="R1969">
        <v>25.28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H1969">
        <v>25.28</v>
      </c>
    </row>
    <row r="1970" spans="1:34" x14ac:dyDescent="0.3">
      <c r="A1970" s="4">
        <v>2155</v>
      </c>
      <c r="B1970" s="5">
        <v>1963</v>
      </c>
      <c r="C1970">
        <v>9570</v>
      </c>
      <c r="D1970" t="s">
        <v>29975</v>
      </c>
      <c r="E1970" t="s">
        <v>255</v>
      </c>
      <c r="F1970" t="s">
        <v>62</v>
      </c>
      <c r="G1970" t="s">
        <v>29976</v>
      </c>
      <c r="H1970">
        <v>15.25</v>
      </c>
      <c r="I1970">
        <v>0</v>
      </c>
      <c r="J1970">
        <v>0</v>
      </c>
      <c r="K1970">
        <v>0</v>
      </c>
      <c r="N1970">
        <v>3</v>
      </c>
      <c r="O1970">
        <v>3</v>
      </c>
      <c r="P1970">
        <v>4</v>
      </c>
      <c r="Q1970">
        <v>0</v>
      </c>
      <c r="R1970">
        <v>22.25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3</v>
      </c>
      <c r="AC1970">
        <v>0</v>
      </c>
      <c r="AH1970">
        <v>25.25</v>
      </c>
    </row>
    <row r="1971" spans="1:34" x14ac:dyDescent="0.3">
      <c r="A1971" s="4">
        <v>2156</v>
      </c>
      <c r="B1971" s="5">
        <v>1964</v>
      </c>
      <c r="C1971">
        <v>9220</v>
      </c>
      <c r="D1971" t="s">
        <v>267</v>
      </c>
      <c r="E1971" t="s">
        <v>41</v>
      </c>
      <c r="F1971" t="s">
        <v>136</v>
      </c>
      <c r="G1971" t="s">
        <v>29977</v>
      </c>
      <c r="H1971">
        <v>20.25</v>
      </c>
      <c r="I1971">
        <v>0</v>
      </c>
      <c r="J1971">
        <v>0</v>
      </c>
      <c r="K1971">
        <v>0</v>
      </c>
      <c r="N1971">
        <v>3</v>
      </c>
      <c r="O1971">
        <v>3</v>
      </c>
      <c r="P1971">
        <v>0</v>
      </c>
      <c r="Q1971">
        <v>2</v>
      </c>
      <c r="R1971">
        <v>25.25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H1971">
        <v>25.25</v>
      </c>
    </row>
    <row r="1972" spans="1:34" x14ac:dyDescent="0.3">
      <c r="A1972" s="4">
        <v>2157</v>
      </c>
      <c r="B1972" s="5">
        <v>1965</v>
      </c>
      <c r="C1972">
        <v>612</v>
      </c>
      <c r="D1972" t="s">
        <v>29978</v>
      </c>
      <c r="E1972" t="s">
        <v>1222</v>
      </c>
      <c r="F1972" t="s">
        <v>136</v>
      </c>
      <c r="G1972" t="s">
        <v>29979</v>
      </c>
      <c r="H1972">
        <v>18.25</v>
      </c>
      <c r="I1972">
        <v>0</v>
      </c>
      <c r="J1972">
        <v>0</v>
      </c>
      <c r="K1972">
        <v>0</v>
      </c>
      <c r="N1972">
        <v>3</v>
      </c>
      <c r="O1972">
        <v>3</v>
      </c>
      <c r="P1972">
        <v>4</v>
      </c>
      <c r="Q1972">
        <v>0</v>
      </c>
      <c r="R1972">
        <v>25.25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 t="s">
        <v>130</v>
      </c>
      <c r="AH1972">
        <v>25.25</v>
      </c>
    </row>
    <row r="1973" spans="1:34" x14ac:dyDescent="0.3">
      <c r="A1973" s="4">
        <v>2158</v>
      </c>
      <c r="B1973" s="5">
        <v>1966</v>
      </c>
      <c r="C1973">
        <v>2848</v>
      </c>
      <c r="D1973" t="s">
        <v>29980</v>
      </c>
      <c r="E1973" t="s">
        <v>29981</v>
      </c>
      <c r="F1973" t="s">
        <v>29982</v>
      </c>
      <c r="G1973" t="s">
        <v>29983</v>
      </c>
      <c r="H1973">
        <v>18.25</v>
      </c>
      <c r="I1973">
        <v>0</v>
      </c>
      <c r="J1973">
        <v>0</v>
      </c>
      <c r="K1973">
        <v>0</v>
      </c>
      <c r="N1973">
        <v>3</v>
      </c>
      <c r="O1973">
        <v>3</v>
      </c>
      <c r="P1973">
        <v>4</v>
      </c>
      <c r="Q1973">
        <v>0</v>
      </c>
      <c r="R1973">
        <v>25.25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H1973">
        <v>25.25</v>
      </c>
    </row>
    <row r="1974" spans="1:34" x14ac:dyDescent="0.3">
      <c r="A1974" s="4">
        <v>2159</v>
      </c>
      <c r="B1974" s="5">
        <v>1967</v>
      </c>
      <c r="C1974">
        <v>14363</v>
      </c>
      <c r="D1974" t="s">
        <v>29984</v>
      </c>
      <c r="E1974" t="s">
        <v>22</v>
      </c>
      <c r="F1974" t="s">
        <v>801</v>
      </c>
      <c r="G1974" t="s">
        <v>29985</v>
      </c>
      <c r="H1974">
        <v>16.25</v>
      </c>
      <c r="I1974">
        <v>0</v>
      </c>
      <c r="J1974">
        <v>0</v>
      </c>
      <c r="K1974">
        <v>0</v>
      </c>
      <c r="M1974">
        <v>5</v>
      </c>
      <c r="O1974">
        <v>5</v>
      </c>
      <c r="P1974">
        <v>4</v>
      </c>
      <c r="Q1974">
        <v>0</v>
      </c>
      <c r="R1974">
        <v>25.25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H1974">
        <v>25.25</v>
      </c>
    </row>
    <row r="1975" spans="1:34" x14ac:dyDescent="0.3">
      <c r="A1975" s="4">
        <v>2160</v>
      </c>
      <c r="B1975" s="5">
        <v>1968</v>
      </c>
      <c r="C1975">
        <v>5444</v>
      </c>
      <c r="D1975" t="s">
        <v>29986</v>
      </c>
      <c r="E1975" t="s">
        <v>71</v>
      </c>
      <c r="F1975" t="s">
        <v>136</v>
      </c>
      <c r="G1975" t="s">
        <v>29987</v>
      </c>
      <c r="H1975">
        <v>16.23</v>
      </c>
      <c r="I1975">
        <v>0</v>
      </c>
      <c r="J1975">
        <v>0</v>
      </c>
      <c r="K1975">
        <v>0</v>
      </c>
      <c r="N1975">
        <v>3</v>
      </c>
      <c r="O1975">
        <v>3</v>
      </c>
      <c r="P1975">
        <v>0</v>
      </c>
      <c r="Q1975">
        <v>0</v>
      </c>
      <c r="R1975">
        <v>19.23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6</v>
      </c>
      <c r="AC1975">
        <v>0</v>
      </c>
      <c r="AH1975">
        <v>25.23</v>
      </c>
    </row>
    <row r="1976" spans="1:34" x14ac:dyDescent="0.3">
      <c r="A1976" s="4">
        <v>2161</v>
      </c>
      <c r="B1976" s="5">
        <v>1969</v>
      </c>
      <c r="C1976">
        <v>8180</v>
      </c>
      <c r="D1976" t="s">
        <v>23516</v>
      </c>
      <c r="E1976" t="s">
        <v>858</v>
      </c>
      <c r="F1976" t="s">
        <v>124</v>
      </c>
      <c r="G1976" t="s">
        <v>29988</v>
      </c>
      <c r="H1976">
        <v>15.23</v>
      </c>
      <c r="I1976">
        <v>0</v>
      </c>
      <c r="J1976">
        <v>0</v>
      </c>
      <c r="K1976">
        <v>0</v>
      </c>
      <c r="N1976">
        <v>3</v>
      </c>
      <c r="O1976">
        <v>3</v>
      </c>
      <c r="P1976">
        <v>4</v>
      </c>
      <c r="Q1976">
        <v>0</v>
      </c>
      <c r="R1976">
        <v>22.23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3</v>
      </c>
      <c r="AC1976">
        <v>0</v>
      </c>
      <c r="AD1976" t="s">
        <v>130</v>
      </c>
      <c r="AH1976">
        <v>25.23</v>
      </c>
    </row>
    <row r="1977" spans="1:34" x14ac:dyDescent="0.3">
      <c r="A1977" s="4">
        <v>2162</v>
      </c>
      <c r="B1977" s="5">
        <v>1970</v>
      </c>
      <c r="C1977">
        <v>12765</v>
      </c>
      <c r="D1977" t="s">
        <v>29989</v>
      </c>
      <c r="E1977" t="s">
        <v>22</v>
      </c>
      <c r="F1977" t="s">
        <v>81</v>
      </c>
      <c r="G1977" t="s">
        <v>29990</v>
      </c>
      <c r="H1977">
        <v>18.23</v>
      </c>
      <c r="I1977">
        <v>0</v>
      </c>
      <c r="J1977">
        <v>0</v>
      </c>
      <c r="K1977">
        <v>0</v>
      </c>
      <c r="N1977">
        <v>3</v>
      </c>
      <c r="O1977">
        <v>3</v>
      </c>
      <c r="P1977">
        <v>4</v>
      </c>
      <c r="Q1977">
        <v>0</v>
      </c>
      <c r="R1977">
        <v>25.23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H1977">
        <v>25.23</v>
      </c>
    </row>
    <row r="1978" spans="1:34" x14ac:dyDescent="0.3">
      <c r="A1978" s="4">
        <v>2163</v>
      </c>
      <c r="B1978" s="5">
        <v>1971</v>
      </c>
      <c r="C1978">
        <v>12950</v>
      </c>
      <c r="D1978" t="s">
        <v>29991</v>
      </c>
      <c r="E1978" t="s">
        <v>173</v>
      </c>
      <c r="F1978" t="s">
        <v>17</v>
      </c>
      <c r="G1978" t="s">
        <v>29992</v>
      </c>
      <c r="H1978">
        <v>18.23</v>
      </c>
      <c r="I1978">
        <v>0</v>
      </c>
      <c r="J1978">
        <v>0</v>
      </c>
      <c r="K1978">
        <v>0</v>
      </c>
      <c r="N1978">
        <v>3</v>
      </c>
      <c r="O1978">
        <v>3</v>
      </c>
      <c r="P1978">
        <v>4</v>
      </c>
      <c r="Q1978">
        <v>0</v>
      </c>
      <c r="R1978">
        <v>25.23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H1978">
        <v>25.23</v>
      </c>
    </row>
    <row r="1979" spans="1:34" x14ac:dyDescent="0.3">
      <c r="A1979" s="4">
        <v>2164</v>
      </c>
      <c r="B1979" s="5">
        <v>1972</v>
      </c>
      <c r="C1979">
        <v>9604</v>
      </c>
      <c r="D1979" t="s">
        <v>22804</v>
      </c>
      <c r="E1979" t="s">
        <v>173</v>
      </c>
      <c r="F1979" t="s">
        <v>136</v>
      </c>
      <c r="G1979" t="s">
        <v>29993</v>
      </c>
      <c r="H1979">
        <v>16.23</v>
      </c>
      <c r="I1979">
        <v>0</v>
      </c>
      <c r="J1979">
        <v>0</v>
      </c>
      <c r="K1979">
        <v>0</v>
      </c>
      <c r="N1979">
        <v>3</v>
      </c>
      <c r="O1979">
        <v>3</v>
      </c>
      <c r="P1979">
        <v>4</v>
      </c>
      <c r="Q1979">
        <v>2</v>
      </c>
      <c r="R1979">
        <v>25.23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H1979">
        <v>25.23</v>
      </c>
    </row>
    <row r="1980" spans="1:34" x14ac:dyDescent="0.3">
      <c r="A1980" s="4">
        <v>2165</v>
      </c>
      <c r="B1980" s="5">
        <v>1973</v>
      </c>
      <c r="C1980">
        <v>4730</v>
      </c>
      <c r="D1980" t="s">
        <v>3910</v>
      </c>
      <c r="E1980" t="s">
        <v>100</v>
      </c>
      <c r="F1980" t="s">
        <v>34</v>
      </c>
      <c r="G1980" t="s">
        <v>29994</v>
      </c>
      <c r="H1980">
        <v>15.2</v>
      </c>
      <c r="I1980">
        <v>0</v>
      </c>
      <c r="J1980">
        <v>0</v>
      </c>
      <c r="K1980">
        <v>0</v>
      </c>
      <c r="N1980">
        <v>3</v>
      </c>
      <c r="O1980">
        <v>3</v>
      </c>
      <c r="P1980">
        <v>4</v>
      </c>
      <c r="Q1980">
        <v>0</v>
      </c>
      <c r="R1980">
        <v>22.2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3</v>
      </c>
      <c r="AC1980">
        <v>0</v>
      </c>
      <c r="AH1980">
        <v>25.2</v>
      </c>
    </row>
    <row r="1981" spans="1:34" x14ac:dyDescent="0.3">
      <c r="A1981" s="4">
        <v>2166</v>
      </c>
      <c r="B1981" s="5">
        <v>1974</v>
      </c>
      <c r="C1981">
        <v>7391</v>
      </c>
      <c r="D1981" t="s">
        <v>4366</v>
      </c>
      <c r="E1981" t="s">
        <v>208</v>
      </c>
      <c r="F1981" t="s">
        <v>20</v>
      </c>
      <c r="G1981" t="s">
        <v>29995</v>
      </c>
      <c r="H1981">
        <v>18.2</v>
      </c>
      <c r="I1981">
        <v>0</v>
      </c>
      <c r="J1981">
        <v>0</v>
      </c>
      <c r="K1981">
        <v>0</v>
      </c>
      <c r="N1981">
        <v>3</v>
      </c>
      <c r="O1981">
        <v>3</v>
      </c>
      <c r="P1981">
        <v>4</v>
      </c>
      <c r="Q1981">
        <v>0</v>
      </c>
      <c r="R1981">
        <v>25.2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H1981">
        <v>25.2</v>
      </c>
    </row>
    <row r="1982" spans="1:34" x14ac:dyDescent="0.3">
      <c r="A1982" s="4">
        <v>2167</v>
      </c>
      <c r="B1982" s="5">
        <v>1975</v>
      </c>
      <c r="C1982">
        <v>11627</v>
      </c>
      <c r="D1982" t="s">
        <v>12030</v>
      </c>
      <c r="E1982" t="s">
        <v>166</v>
      </c>
      <c r="F1982" t="s">
        <v>20</v>
      </c>
      <c r="G1982" t="s">
        <v>29996</v>
      </c>
      <c r="H1982">
        <v>18.2</v>
      </c>
      <c r="I1982">
        <v>0</v>
      </c>
      <c r="J1982">
        <v>0</v>
      </c>
      <c r="K1982">
        <v>0</v>
      </c>
      <c r="N1982">
        <v>3</v>
      </c>
      <c r="O1982">
        <v>3</v>
      </c>
      <c r="P1982">
        <v>4</v>
      </c>
      <c r="Q1982">
        <v>0</v>
      </c>
      <c r="R1982">
        <v>25.2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H1982">
        <v>25.2</v>
      </c>
    </row>
    <row r="1983" spans="1:34" x14ac:dyDescent="0.3">
      <c r="A1983" s="4">
        <v>2168</v>
      </c>
      <c r="B1983" s="5">
        <v>1976</v>
      </c>
      <c r="C1983">
        <v>7902</v>
      </c>
      <c r="D1983" t="s">
        <v>8681</v>
      </c>
      <c r="E1983" t="s">
        <v>170</v>
      </c>
      <c r="F1983" t="s">
        <v>17205</v>
      </c>
      <c r="G1983" t="s">
        <v>29997</v>
      </c>
      <c r="H1983">
        <v>18.2</v>
      </c>
      <c r="I1983">
        <v>0</v>
      </c>
      <c r="J1983">
        <v>0</v>
      </c>
      <c r="K1983">
        <v>0</v>
      </c>
      <c r="N1983">
        <v>3</v>
      </c>
      <c r="O1983">
        <v>3</v>
      </c>
      <c r="P1983">
        <v>4</v>
      </c>
      <c r="Q1983">
        <v>0</v>
      </c>
      <c r="R1983">
        <v>25.2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H1983">
        <v>25.2</v>
      </c>
    </row>
    <row r="1984" spans="1:34" x14ac:dyDescent="0.3">
      <c r="A1984" s="4">
        <v>2169</v>
      </c>
      <c r="B1984" s="5">
        <v>1977</v>
      </c>
      <c r="C1984">
        <v>12804</v>
      </c>
      <c r="D1984" t="s">
        <v>5542</v>
      </c>
      <c r="E1984" t="s">
        <v>166</v>
      </c>
      <c r="F1984" t="s">
        <v>17</v>
      </c>
      <c r="G1984" t="s">
        <v>29998</v>
      </c>
      <c r="H1984">
        <v>18.2</v>
      </c>
      <c r="I1984">
        <v>0</v>
      </c>
      <c r="J1984">
        <v>0</v>
      </c>
      <c r="K1984">
        <v>0</v>
      </c>
      <c r="N1984">
        <v>3</v>
      </c>
      <c r="O1984">
        <v>3</v>
      </c>
      <c r="P1984">
        <v>4</v>
      </c>
      <c r="Q1984">
        <v>0</v>
      </c>
      <c r="R1984">
        <v>25.2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H1984">
        <v>25.2</v>
      </c>
    </row>
    <row r="1985" spans="1:34" x14ac:dyDescent="0.3">
      <c r="A1985" s="4">
        <v>2170</v>
      </c>
      <c r="B1985" s="5">
        <v>1978</v>
      </c>
      <c r="C1985">
        <v>15486</v>
      </c>
      <c r="D1985" t="s">
        <v>1342</v>
      </c>
      <c r="E1985" t="s">
        <v>22</v>
      </c>
      <c r="F1985" t="s">
        <v>30</v>
      </c>
      <c r="G1985" t="s">
        <v>29999</v>
      </c>
      <c r="H1985">
        <v>18.18</v>
      </c>
      <c r="I1985">
        <v>0</v>
      </c>
      <c r="J1985">
        <v>0</v>
      </c>
      <c r="K1985">
        <v>0</v>
      </c>
      <c r="N1985">
        <v>3</v>
      </c>
      <c r="O1985">
        <v>3</v>
      </c>
      <c r="P1985">
        <v>4</v>
      </c>
      <c r="Q1985">
        <v>0</v>
      </c>
      <c r="R1985">
        <v>25.18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H1985">
        <v>25.18</v>
      </c>
    </row>
    <row r="1986" spans="1:34" x14ac:dyDescent="0.3">
      <c r="A1986" s="4">
        <v>2171</v>
      </c>
      <c r="B1986" s="5">
        <v>1979</v>
      </c>
      <c r="C1986">
        <v>14878</v>
      </c>
      <c r="D1986" t="s">
        <v>2354</v>
      </c>
      <c r="E1986" t="s">
        <v>161</v>
      </c>
      <c r="F1986" t="s">
        <v>892</v>
      </c>
      <c r="G1986" t="s">
        <v>30000</v>
      </c>
      <c r="H1986">
        <v>18.18</v>
      </c>
      <c r="I1986">
        <v>0</v>
      </c>
      <c r="J1986">
        <v>0</v>
      </c>
      <c r="K1986">
        <v>0</v>
      </c>
      <c r="N1986">
        <v>3</v>
      </c>
      <c r="O1986">
        <v>3</v>
      </c>
      <c r="P1986">
        <v>4</v>
      </c>
      <c r="Q1986">
        <v>0</v>
      </c>
      <c r="R1986">
        <v>25.18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H1986">
        <v>25.18</v>
      </c>
    </row>
    <row r="1987" spans="1:34" x14ac:dyDescent="0.3">
      <c r="A1987" s="4">
        <v>2172</v>
      </c>
      <c r="B1987" s="5">
        <v>1980</v>
      </c>
      <c r="C1987">
        <v>6821</v>
      </c>
      <c r="D1987" t="s">
        <v>30001</v>
      </c>
      <c r="E1987" t="s">
        <v>33</v>
      </c>
      <c r="F1987" t="s">
        <v>81</v>
      </c>
      <c r="G1987" t="s">
        <v>32088</v>
      </c>
      <c r="H1987">
        <v>18.18</v>
      </c>
      <c r="I1987">
        <v>0</v>
      </c>
      <c r="J1987">
        <v>0</v>
      </c>
      <c r="K1987">
        <v>0</v>
      </c>
      <c r="N1987">
        <v>3</v>
      </c>
      <c r="O1987">
        <v>3</v>
      </c>
      <c r="P1987">
        <v>4</v>
      </c>
      <c r="Q1987">
        <v>0</v>
      </c>
      <c r="R1987">
        <v>25.18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 t="s">
        <v>130</v>
      </c>
      <c r="AH1987">
        <v>25.18</v>
      </c>
    </row>
    <row r="1988" spans="1:34" x14ac:dyDescent="0.3">
      <c r="A1988" s="4">
        <v>2173</v>
      </c>
      <c r="B1988" s="5">
        <v>1981</v>
      </c>
      <c r="C1988">
        <v>9438</v>
      </c>
      <c r="D1988" t="s">
        <v>5144</v>
      </c>
      <c r="E1988" t="s">
        <v>268</v>
      </c>
      <c r="F1988" t="s">
        <v>17</v>
      </c>
      <c r="G1988" t="s">
        <v>5145</v>
      </c>
      <c r="H1988">
        <v>18.18</v>
      </c>
      <c r="I1988">
        <v>0</v>
      </c>
      <c r="J1988">
        <v>0</v>
      </c>
      <c r="K1988">
        <v>0</v>
      </c>
      <c r="N1988">
        <v>3</v>
      </c>
      <c r="O1988">
        <v>3</v>
      </c>
      <c r="P1988">
        <v>4</v>
      </c>
      <c r="Q1988">
        <v>0</v>
      </c>
      <c r="R1988">
        <v>25.18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H1988">
        <v>25.18</v>
      </c>
    </row>
    <row r="1989" spans="1:34" x14ac:dyDescent="0.3">
      <c r="A1989" s="4">
        <v>2174</v>
      </c>
      <c r="B1989" s="5">
        <v>1982</v>
      </c>
      <c r="C1989">
        <v>7088</v>
      </c>
      <c r="D1989" t="s">
        <v>13778</v>
      </c>
      <c r="E1989" t="s">
        <v>8570</v>
      </c>
      <c r="F1989" t="s">
        <v>38</v>
      </c>
      <c r="G1989" t="s">
        <v>30002</v>
      </c>
      <c r="H1989">
        <v>18.149999999999999</v>
      </c>
      <c r="I1989">
        <v>0</v>
      </c>
      <c r="J1989">
        <v>0</v>
      </c>
      <c r="K1989">
        <v>0</v>
      </c>
      <c r="N1989">
        <v>3</v>
      </c>
      <c r="O1989">
        <v>3</v>
      </c>
      <c r="P1989">
        <v>4</v>
      </c>
      <c r="Q1989">
        <v>0</v>
      </c>
      <c r="R1989">
        <v>25.15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H1989">
        <v>25.15</v>
      </c>
    </row>
    <row r="1990" spans="1:34" x14ac:dyDescent="0.3">
      <c r="A1990" s="4">
        <v>2175</v>
      </c>
      <c r="B1990" s="5">
        <v>1983</v>
      </c>
      <c r="C1990">
        <v>10139</v>
      </c>
      <c r="D1990" t="s">
        <v>3651</v>
      </c>
      <c r="E1990" t="s">
        <v>100</v>
      </c>
      <c r="F1990" t="s">
        <v>243</v>
      </c>
      <c r="G1990" t="s">
        <v>30003</v>
      </c>
      <c r="H1990">
        <v>18.149999999999999</v>
      </c>
      <c r="I1990">
        <v>0</v>
      </c>
      <c r="J1990">
        <v>0</v>
      </c>
      <c r="K1990">
        <v>0</v>
      </c>
      <c r="N1990">
        <v>3</v>
      </c>
      <c r="O1990">
        <v>3</v>
      </c>
      <c r="P1990">
        <v>4</v>
      </c>
      <c r="Q1990">
        <v>0</v>
      </c>
      <c r="R1990">
        <v>25.15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H1990">
        <v>25.15</v>
      </c>
    </row>
    <row r="1991" spans="1:34" x14ac:dyDescent="0.3">
      <c r="A1991" s="4">
        <v>2176</v>
      </c>
      <c r="B1991" s="5">
        <v>1984</v>
      </c>
      <c r="C1991">
        <v>9163</v>
      </c>
      <c r="D1991" t="s">
        <v>30004</v>
      </c>
      <c r="E1991" t="s">
        <v>1465</v>
      </c>
      <c r="F1991" t="s">
        <v>6208</v>
      </c>
      <c r="G1991" t="s">
        <v>30005</v>
      </c>
      <c r="H1991">
        <v>18.13</v>
      </c>
      <c r="I1991">
        <v>0</v>
      </c>
      <c r="J1991">
        <v>0</v>
      </c>
      <c r="K1991">
        <v>0</v>
      </c>
      <c r="N1991">
        <v>3</v>
      </c>
      <c r="O1991">
        <v>3</v>
      </c>
      <c r="P1991">
        <v>4</v>
      </c>
      <c r="Q1991">
        <v>0</v>
      </c>
      <c r="R1991">
        <v>25.13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H1991">
        <v>25.13</v>
      </c>
    </row>
    <row r="1992" spans="1:34" x14ac:dyDescent="0.3">
      <c r="A1992" s="4">
        <v>2177</v>
      </c>
      <c r="B1992" s="5">
        <v>1985</v>
      </c>
      <c r="C1992">
        <v>4247</v>
      </c>
      <c r="D1992" t="s">
        <v>2073</v>
      </c>
      <c r="E1992" t="s">
        <v>182</v>
      </c>
      <c r="F1992" t="s">
        <v>20</v>
      </c>
      <c r="G1992" t="s">
        <v>30006</v>
      </c>
      <c r="H1992">
        <v>16.13</v>
      </c>
      <c r="I1992">
        <v>0</v>
      </c>
      <c r="J1992">
        <v>0</v>
      </c>
      <c r="K1992">
        <v>0</v>
      </c>
      <c r="N1992">
        <v>3</v>
      </c>
      <c r="O1992">
        <v>3</v>
      </c>
      <c r="P1992">
        <v>4</v>
      </c>
      <c r="Q1992">
        <v>2</v>
      </c>
      <c r="R1992">
        <v>25.13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H1992">
        <v>25.13</v>
      </c>
    </row>
    <row r="1993" spans="1:34" x14ac:dyDescent="0.3">
      <c r="A1993" s="4">
        <v>2178</v>
      </c>
      <c r="B1993" s="5">
        <v>1986</v>
      </c>
      <c r="C1993">
        <v>9684</v>
      </c>
      <c r="D1993" t="s">
        <v>30007</v>
      </c>
      <c r="E1993" t="s">
        <v>30008</v>
      </c>
      <c r="F1993" t="s">
        <v>5807</v>
      </c>
      <c r="G1993" t="s">
        <v>30009</v>
      </c>
      <c r="H1993">
        <v>16.13</v>
      </c>
      <c r="I1993">
        <v>0</v>
      </c>
      <c r="J1993">
        <v>0</v>
      </c>
      <c r="K1993">
        <v>0</v>
      </c>
      <c r="N1993">
        <v>3</v>
      </c>
      <c r="O1993">
        <v>3</v>
      </c>
      <c r="P1993">
        <v>4</v>
      </c>
      <c r="Q1993">
        <v>2</v>
      </c>
      <c r="R1993">
        <v>25.13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H1993">
        <v>25.13</v>
      </c>
    </row>
    <row r="1994" spans="1:34" x14ac:dyDescent="0.3">
      <c r="A1994" s="4">
        <v>2179</v>
      </c>
      <c r="B1994" s="5">
        <v>1987</v>
      </c>
      <c r="C1994">
        <v>13008</v>
      </c>
      <c r="D1994" t="s">
        <v>30010</v>
      </c>
      <c r="E1994" t="s">
        <v>5060</v>
      </c>
      <c r="F1994" t="s">
        <v>30</v>
      </c>
      <c r="G1994" t="s">
        <v>30011</v>
      </c>
      <c r="H1994">
        <v>22.1</v>
      </c>
      <c r="I1994">
        <v>0</v>
      </c>
      <c r="J1994">
        <v>0</v>
      </c>
      <c r="K1994">
        <v>0</v>
      </c>
      <c r="N1994">
        <v>3</v>
      </c>
      <c r="O1994">
        <v>3</v>
      </c>
      <c r="P1994">
        <v>0</v>
      </c>
      <c r="Q1994">
        <v>0</v>
      </c>
      <c r="R1994">
        <v>25.1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H1994">
        <v>25.1</v>
      </c>
    </row>
    <row r="1995" spans="1:34" x14ac:dyDescent="0.3">
      <c r="A1995" s="4">
        <v>2180</v>
      </c>
      <c r="B1995" s="5">
        <v>1988</v>
      </c>
      <c r="C1995">
        <v>656</v>
      </c>
      <c r="D1995" t="s">
        <v>3642</v>
      </c>
      <c r="E1995" t="s">
        <v>37</v>
      </c>
      <c r="F1995" t="s">
        <v>20</v>
      </c>
      <c r="G1995" t="s">
        <v>30012</v>
      </c>
      <c r="H1995">
        <v>18.100000000000001</v>
      </c>
      <c r="I1995">
        <v>0</v>
      </c>
      <c r="J1995">
        <v>0</v>
      </c>
      <c r="K1995">
        <v>0</v>
      </c>
      <c r="N1995">
        <v>3</v>
      </c>
      <c r="O1995">
        <v>3</v>
      </c>
      <c r="P1995">
        <v>4</v>
      </c>
      <c r="Q1995">
        <v>0</v>
      </c>
      <c r="R1995">
        <v>25.1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H1995">
        <v>25.1</v>
      </c>
    </row>
    <row r="1996" spans="1:34" x14ac:dyDescent="0.3">
      <c r="A1996" s="4">
        <v>2181</v>
      </c>
      <c r="B1996" s="5">
        <v>1989</v>
      </c>
      <c r="C1996">
        <v>5911</v>
      </c>
      <c r="D1996" t="s">
        <v>7289</v>
      </c>
      <c r="E1996" t="s">
        <v>26</v>
      </c>
      <c r="F1996" t="s">
        <v>34</v>
      </c>
      <c r="G1996" t="s">
        <v>30013</v>
      </c>
      <c r="H1996">
        <v>18.100000000000001</v>
      </c>
      <c r="I1996">
        <v>0</v>
      </c>
      <c r="J1996">
        <v>0</v>
      </c>
      <c r="K1996">
        <v>0</v>
      </c>
      <c r="N1996">
        <v>3</v>
      </c>
      <c r="O1996">
        <v>3</v>
      </c>
      <c r="P1996">
        <v>4</v>
      </c>
      <c r="Q1996">
        <v>0</v>
      </c>
      <c r="R1996">
        <v>25.1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H1996">
        <v>25.1</v>
      </c>
    </row>
    <row r="1997" spans="1:34" x14ac:dyDescent="0.3">
      <c r="A1997" s="4">
        <v>2182</v>
      </c>
      <c r="B1997" s="5">
        <v>1990</v>
      </c>
      <c r="C1997">
        <v>15209</v>
      </c>
      <c r="D1997" t="s">
        <v>7818</v>
      </c>
      <c r="E1997" t="s">
        <v>11654</v>
      </c>
      <c r="F1997" t="s">
        <v>442</v>
      </c>
      <c r="G1997" t="s">
        <v>30014</v>
      </c>
      <c r="H1997">
        <v>18.079999999999998</v>
      </c>
      <c r="I1997">
        <v>0</v>
      </c>
      <c r="J1997">
        <v>0</v>
      </c>
      <c r="K1997">
        <v>0</v>
      </c>
      <c r="N1997">
        <v>3</v>
      </c>
      <c r="O1997">
        <v>3</v>
      </c>
      <c r="P1997">
        <v>4</v>
      </c>
      <c r="Q1997">
        <v>0</v>
      </c>
      <c r="R1997">
        <v>25.08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H1997">
        <v>25.08</v>
      </c>
    </row>
    <row r="1998" spans="1:34" x14ac:dyDescent="0.3">
      <c r="A1998" s="4">
        <v>2183</v>
      </c>
      <c r="B1998" s="5">
        <v>1991</v>
      </c>
      <c r="C1998">
        <v>14953</v>
      </c>
      <c r="D1998" t="s">
        <v>30015</v>
      </c>
      <c r="E1998" t="s">
        <v>41</v>
      </c>
      <c r="F1998" t="s">
        <v>38</v>
      </c>
      <c r="G1998" t="s">
        <v>30016</v>
      </c>
      <c r="H1998">
        <v>16.079999999999998</v>
      </c>
      <c r="I1998">
        <v>0</v>
      </c>
      <c r="J1998">
        <v>0</v>
      </c>
      <c r="K1998">
        <v>0</v>
      </c>
      <c r="L1998">
        <v>7</v>
      </c>
      <c r="O1998">
        <v>7</v>
      </c>
      <c r="P1998">
        <v>0</v>
      </c>
      <c r="Q1998">
        <v>2</v>
      </c>
      <c r="R1998">
        <v>25.08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H1998">
        <v>25.08</v>
      </c>
    </row>
    <row r="1999" spans="1:34" x14ac:dyDescent="0.3">
      <c r="A1999" s="4">
        <v>2184</v>
      </c>
      <c r="B1999" s="5">
        <v>1992</v>
      </c>
      <c r="C1999">
        <v>1742</v>
      </c>
      <c r="D1999" t="s">
        <v>17273</v>
      </c>
      <c r="E1999" t="s">
        <v>30017</v>
      </c>
      <c r="F1999" t="s">
        <v>20</v>
      </c>
      <c r="G1999" t="s">
        <v>30018</v>
      </c>
      <c r="H1999">
        <v>16.079999999999998</v>
      </c>
      <c r="I1999">
        <v>0</v>
      </c>
      <c r="J1999">
        <v>0</v>
      </c>
      <c r="K1999">
        <v>0</v>
      </c>
      <c r="N1999">
        <v>3</v>
      </c>
      <c r="O1999">
        <v>3</v>
      </c>
      <c r="P1999">
        <v>4</v>
      </c>
      <c r="Q1999">
        <v>2</v>
      </c>
      <c r="R1999">
        <v>25.08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 t="s">
        <v>130</v>
      </c>
      <c r="AH1999">
        <v>25.08</v>
      </c>
    </row>
    <row r="2000" spans="1:34" x14ac:dyDescent="0.3">
      <c r="A2000" s="4">
        <v>2185</v>
      </c>
      <c r="B2000" s="5">
        <v>1993</v>
      </c>
      <c r="C2000">
        <v>9134</v>
      </c>
      <c r="D2000" t="s">
        <v>3200</v>
      </c>
      <c r="E2000" t="s">
        <v>173</v>
      </c>
      <c r="F2000" t="s">
        <v>136</v>
      </c>
      <c r="G2000" t="s">
        <v>30019</v>
      </c>
      <c r="H2000">
        <v>18.05</v>
      </c>
      <c r="I2000">
        <v>0</v>
      </c>
      <c r="J2000">
        <v>0</v>
      </c>
      <c r="K2000">
        <v>0</v>
      </c>
      <c r="N2000">
        <v>3</v>
      </c>
      <c r="O2000">
        <v>3</v>
      </c>
      <c r="P2000">
        <v>4</v>
      </c>
      <c r="Q2000">
        <v>0</v>
      </c>
      <c r="R2000">
        <v>25.05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H2000">
        <v>25.05</v>
      </c>
    </row>
    <row r="2001" spans="1:34" x14ac:dyDescent="0.3">
      <c r="A2001" s="4">
        <v>2186</v>
      </c>
      <c r="B2001" s="5">
        <v>1994</v>
      </c>
      <c r="C2001">
        <v>7948</v>
      </c>
      <c r="D2001" t="s">
        <v>30020</v>
      </c>
      <c r="E2001" t="s">
        <v>33</v>
      </c>
      <c r="F2001" t="s">
        <v>17</v>
      </c>
      <c r="G2001" t="s">
        <v>30021</v>
      </c>
      <c r="H2001">
        <v>16.05</v>
      </c>
      <c r="I2001">
        <v>0</v>
      </c>
      <c r="J2001">
        <v>0</v>
      </c>
      <c r="K2001">
        <v>0</v>
      </c>
      <c r="M2001">
        <v>5</v>
      </c>
      <c r="O2001">
        <v>5</v>
      </c>
      <c r="P2001">
        <v>4</v>
      </c>
      <c r="Q2001">
        <v>0</v>
      </c>
      <c r="R2001">
        <v>25.05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H2001">
        <v>25.05</v>
      </c>
    </row>
    <row r="2002" spans="1:34" x14ac:dyDescent="0.3">
      <c r="A2002" s="4">
        <v>2187</v>
      </c>
      <c r="B2002" s="5">
        <v>1995</v>
      </c>
      <c r="C2002">
        <v>14788</v>
      </c>
      <c r="D2002" t="s">
        <v>4118</v>
      </c>
      <c r="E2002" t="s">
        <v>51</v>
      </c>
      <c r="F2002" t="s">
        <v>81</v>
      </c>
      <c r="G2002" t="s">
        <v>30022</v>
      </c>
      <c r="H2002">
        <v>21.03</v>
      </c>
      <c r="I2002">
        <v>0</v>
      </c>
      <c r="J2002">
        <v>0</v>
      </c>
      <c r="K2002">
        <v>0</v>
      </c>
      <c r="O2002">
        <v>0</v>
      </c>
      <c r="P2002">
        <v>4</v>
      </c>
      <c r="Q2002">
        <v>0</v>
      </c>
      <c r="R2002">
        <v>25.03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H2002">
        <v>25.03</v>
      </c>
    </row>
    <row r="2003" spans="1:34" x14ac:dyDescent="0.3">
      <c r="A2003" s="4">
        <v>2188</v>
      </c>
      <c r="B2003" s="5">
        <v>1996</v>
      </c>
      <c r="C2003">
        <v>4815</v>
      </c>
      <c r="D2003" t="s">
        <v>30023</v>
      </c>
      <c r="E2003" t="s">
        <v>132</v>
      </c>
      <c r="F2003" t="s">
        <v>81</v>
      </c>
      <c r="G2003" t="s">
        <v>30024</v>
      </c>
      <c r="H2003">
        <v>18.03</v>
      </c>
      <c r="I2003">
        <v>0</v>
      </c>
      <c r="J2003">
        <v>0</v>
      </c>
      <c r="K2003">
        <v>0</v>
      </c>
      <c r="N2003">
        <v>3</v>
      </c>
      <c r="O2003">
        <v>3</v>
      </c>
      <c r="P2003">
        <v>4</v>
      </c>
      <c r="Q2003">
        <v>0</v>
      </c>
      <c r="R2003">
        <v>25.03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H2003">
        <v>25.03</v>
      </c>
    </row>
    <row r="2004" spans="1:34" x14ac:dyDescent="0.3">
      <c r="A2004" s="4">
        <v>2189</v>
      </c>
      <c r="B2004" s="5">
        <v>1997</v>
      </c>
      <c r="C2004">
        <v>6327</v>
      </c>
      <c r="D2004" t="s">
        <v>181</v>
      </c>
      <c r="E2004" t="s">
        <v>780</v>
      </c>
      <c r="F2004" t="s">
        <v>193</v>
      </c>
      <c r="G2004" t="s">
        <v>30025</v>
      </c>
      <c r="H2004">
        <v>18.03</v>
      </c>
      <c r="I2004">
        <v>0</v>
      </c>
      <c r="J2004">
        <v>0</v>
      </c>
      <c r="K2004">
        <v>0</v>
      </c>
      <c r="N2004">
        <v>3</v>
      </c>
      <c r="O2004">
        <v>3</v>
      </c>
      <c r="P2004">
        <v>4</v>
      </c>
      <c r="Q2004">
        <v>0</v>
      </c>
      <c r="R2004">
        <v>25.03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H2004">
        <v>25.03</v>
      </c>
    </row>
    <row r="2005" spans="1:34" x14ac:dyDescent="0.3">
      <c r="A2005" s="4">
        <v>2190</v>
      </c>
      <c r="B2005" s="5">
        <v>1998</v>
      </c>
      <c r="C2005">
        <v>6971</v>
      </c>
      <c r="D2005" t="s">
        <v>14266</v>
      </c>
      <c r="E2005" t="s">
        <v>29</v>
      </c>
      <c r="F2005" t="s">
        <v>1526</v>
      </c>
      <c r="G2005" t="s">
        <v>30026</v>
      </c>
      <c r="H2005">
        <v>18.03</v>
      </c>
      <c r="I2005">
        <v>0</v>
      </c>
      <c r="J2005">
        <v>0</v>
      </c>
      <c r="K2005">
        <v>0</v>
      </c>
      <c r="L2005">
        <v>7</v>
      </c>
      <c r="O2005">
        <v>7</v>
      </c>
      <c r="P2005">
        <v>0</v>
      </c>
      <c r="Q2005">
        <v>0</v>
      </c>
      <c r="R2005">
        <v>25.03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 t="s">
        <v>130</v>
      </c>
      <c r="AH2005">
        <v>25.03</v>
      </c>
    </row>
    <row r="2006" spans="1:34" x14ac:dyDescent="0.3">
      <c r="A2006" s="4">
        <v>2191</v>
      </c>
      <c r="B2006" s="5">
        <v>1999</v>
      </c>
      <c r="C2006">
        <v>13268</v>
      </c>
      <c r="D2006" t="s">
        <v>3179</v>
      </c>
      <c r="E2006" t="s">
        <v>30027</v>
      </c>
      <c r="F2006" t="s">
        <v>68</v>
      </c>
      <c r="G2006" t="s">
        <v>30028</v>
      </c>
      <c r="H2006">
        <v>18.03</v>
      </c>
      <c r="I2006">
        <v>0</v>
      </c>
      <c r="J2006">
        <v>0</v>
      </c>
      <c r="K2006">
        <v>0</v>
      </c>
      <c r="N2006">
        <v>3</v>
      </c>
      <c r="O2006">
        <v>3</v>
      </c>
      <c r="P2006">
        <v>4</v>
      </c>
      <c r="Q2006">
        <v>0</v>
      </c>
      <c r="R2006">
        <v>25.03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H2006">
        <v>25.03</v>
      </c>
    </row>
    <row r="2007" spans="1:34" x14ac:dyDescent="0.3">
      <c r="A2007" s="4">
        <v>2192</v>
      </c>
      <c r="B2007" s="5">
        <v>2000</v>
      </c>
      <c r="C2007">
        <v>1259</v>
      </c>
      <c r="D2007" t="s">
        <v>7421</v>
      </c>
      <c r="E2007" t="s">
        <v>744</v>
      </c>
      <c r="F2007" t="s">
        <v>375</v>
      </c>
      <c r="G2007" t="s">
        <v>30029</v>
      </c>
      <c r="H2007">
        <v>18</v>
      </c>
      <c r="I2007">
        <v>0</v>
      </c>
      <c r="J2007">
        <v>0</v>
      </c>
      <c r="K2007">
        <v>0</v>
      </c>
      <c r="N2007">
        <v>3</v>
      </c>
      <c r="O2007">
        <v>3</v>
      </c>
      <c r="P2007">
        <v>4</v>
      </c>
      <c r="Q2007">
        <v>0</v>
      </c>
      <c r="R2007">
        <v>25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H2007">
        <v>25</v>
      </c>
    </row>
    <row r="2008" spans="1:34" x14ac:dyDescent="0.3">
      <c r="A2008" s="4">
        <v>2193</v>
      </c>
      <c r="B2008" s="5">
        <v>2001</v>
      </c>
      <c r="C2008">
        <v>11469</v>
      </c>
      <c r="D2008" t="s">
        <v>30030</v>
      </c>
      <c r="E2008" t="s">
        <v>51</v>
      </c>
      <c r="F2008" t="s">
        <v>892</v>
      </c>
      <c r="G2008" t="s">
        <v>30031</v>
      </c>
      <c r="H2008">
        <v>18</v>
      </c>
      <c r="I2008">
        <v>0</v>
      </c>
      <c r="J2008">
        <v>0</v>
      </c>
      <c r="K2008">
        <v>0</v>
      </c>
      <c r="N2008">
        <v>3</v>
      </c>
      <c r="O2008">
        <v>3</v>
      </c>
      <c r="P2008">
        <v>4</v>
      </c>
      <c r="Q2008">
        <v>0</v>
      </c>
      <c r="R2008">
        <v>25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H2008">
        <v>25</v>
      </c>
    </row>
    <row r="2009" spans="1:34" x14ac:dyDescent="0.3">
      <c r="A2009" s="4">
        <v>2194</v>
      </c>
      <c r="B2009" s="5">
        <v>2002</v>
      </c>
      <c r="C2009">
        <v>9271</v>
      </c>
      <c r="D2009" t="s">
        <v>30032</v>
      </c>
      <c r="E2009" t="s">
        <v>68</v>
      </c>
      <c r="F2009" t="s">
        <v>5375</v>
      </c>
      <c r="G2009" t="s">
        <v>30033</v>
      </c>
      <c r="H2009">
        <v>16</v>
      </c>
      <c r="I2009">
        <v>0</v>
      </c>
      <c r="J2009">
        <v>0</v>
      </c>
      <c r="K2009">
        <v>0</v>
      </c>
      <c r="M2009">
        <v>5</v>
      </c>
      <c r="O2009">
        <v>5</v>
      </c>
      <c r="P2009">
        <v>4</v>
      </c>
      <c r="Q2009">
        <v>0</v>
      </c>
      <c r="R2009">
        <v>25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H2009">
        <v>25</v>
      </c>
    </row>
    <row r="2010" spans="1:34" x14ac:dyDescent="0.3">
      <c r="A2010" s="4">
        <v>2195</v>
      </c>
      <c r="B2010" s="5">
        <v>2003</v>
      </c>
      <c r="C2010">
        <v>13121</v>
      </c>
      <c r="D2010" t="s">
        <v>30034</v>
      </c>
      <c r="E2010" t="s">
        <v>3775</v>
      </c>
      <c r="F2010" t="s">
        <v>20</v>
      </c>
      <c r="G2010" t="s">
        <v>30035</v>
      </c>
      <c r="H2010">
        <v>16</v>
      </c>
      <c r="I2010">
        <v>0</v>
      </c>
      <c r="J2010">
        <v>0</v>
      </c>
      <c r="K2010">
        <v>0</v>
      </c>
      <c r="N2010">
        <v>3</v>
      </c>
      <c r="O2010">
        <v>3</v>
      </c>
      <c r="P2010">
        <v>4</v>
      </c>
      <c r="Q2010">
        <v>2</v>
      </c>
      <c r="R2010">
        <v>25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H2010">
        <v>25</v>
      </c>
    </row>
    <row r="2011" spans="1:34" x14ac:dyDescent="0.3">
      <c r="A2011" s="4">
        <v>2196</v>
      </c>
      <c r="B2011" s="5">
        <v>2004</v>
      </c>
      <c r="C2011">
        <v>8772</v>
      </c>
      <c r="D2011" t="s">
        <v>30036</v>
      </c>
      <c r="E2011" t="s">
        <v>81</v>
      </c>
      <c r="F2011" t="s">
        <v>55</v>
      </c>
      <c r="G2011" t="s">
        <v>30037</v>
      </c>
      <c r="H2011">
        <v>17.98</v>
      </c>
      <c r="I2011">
        <v>0</v>
      </c>
      <c r="J2011">
        <v>0</v>
      </c>
      <c r="K2011">
        <v>0</v>
      </c>
      <c r="N2011">
        <v>3</v>
      </c>
      <c r="O2011">
        <v>3</v>
      </c>
      <c r="P2011">
        <v>4</v>
      </c>
      <c r="Q2011">
        <v>0</v>
      </c>
      <c r="R2011">
        <v>24.98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H2011">
        <v>24.98</v>
      </c>
    </row>
    <row r="2012" spans="1:34" x14ac:dyDescent="0.3">
      <c r="A2012" s="4">
        <v>2197</v>
      </c>
      <c r="B2012" s="5">
        <v>2005</v>
      </c>
      <c r="C2012">
        <v>2409</v>
      </c>
      <c r="D2012" t="s">
        <v>54</v>
      </c>
      <c r="E2012" t="s">
        <v>858</v>
      </c>
      <c r="F2012" t="s">
        <v>20</v>
      </c>
      <c r="G2012" t="s">
        <v>30038</v>
      </c>
      <c r="H2012">
        <v>17.95</v>
      </c>
      <c r="I2012">
        <v>0</v>
      </c>
      <c r="J2012">
        <v>0</v>
      </c>
      <c r="K2012">
        <v>0</v>
      </c>
      <c r="N2012">
        <v>3</v>
      </c>
      <c r="O2012">
        <v>3</v>
      </c>
      <c r="P2012">
        <v>4</v>
      </c>
      <c r="Q2012">
        <v>0</v>
      </c>
      <c r="R2012">
        <v>24.95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H2012">
        <v>24.95</v>
      </c>
    </row>
    <row r="2013" spans="1:34" x14ac:dyDescent="0.3">
      <c r="A2013" s="4">
        <v>2198</v>
      </c>
      <c r="B2013" s="5">
        <v>2006</v>
      </c>
      <c r="C2013">
        <v>5654</v>
      </c>
      <c r="D2013" t="s">
        <v>30039</v>
      </c>
      <c r="E2013" t="s">
        <v>29</v>
      </c>
      <c r="F2013" t="s">
        <v>652</v>
      </c>
      <c r="G2013" t="s">
        <v>30040</v>
      </c>
      <c r="H2013">
        <v>15.95</v>
      </c>
      <c r="I2013">
        <v>0</v>
      </c>
      <c r="J2013">
        <v>0</v>
      </c>
      <c r="K2013">
        <v>0</v>
      </c>
      <c r="N2013">
        <v>3</v>
      </c>
      <c r="O2013">
        <v>3</v>
      </c>
      <c r="P2013">
        <v>4</v>
      </c>
      <c r="Q2013">
        <v>2</v>
      </c>
      <c r="R2013">
        <v>24.95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H2013">
        <v>24.95</v>
      </c>
    </row>
    <row r="2014" spans="1:34" x14ac:dyDescent="0.3">
      <c r="A2014" s="4">
        <v>2199</v>
      </c>
      <c r="B2014" s="5">
        <v>2007</v>
      </c>
      <c r="C2014">
        <v>13128</v>
      </c>
      <c r="D2014" t="s">
        <v>30041</v>
      </c>
      <c r="E2014" t="s">
        <v>33</v>
      </c>
      <c r="F2014" t="s">
        <v>652</v>
      </c>
      <c r="G2014" t="s">
        <v>30042</v>
      </c>
      <c r="H2014">
        <v>15.93</v>
      </c>
      <c r="I2014">
        <v>0</v>
      </c>
      <c r="J2014">
        <v>0</v>
      </c>
      <c r="K2014">
        <v>0</v>
      </c>
      <c r="N2014">
        <v>3</v>
      </c>
      <c r="O2014">
        <v>3</v>
      </c>
      <c r="P2014">
        <v>0</v>
      </c>
      <c r="Q2014">
        <v>0</v>
      </c>
      <c r="R2014">
        <v>18.93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6</v>
      </c>
      <c r="AC2014">
        <v>0</v>
      </c>
      <c r="AH2014">
        <v>24.93</v>
      </c>
    </row>
    <row r="2015" spans="1:34" x14ac:dyDescent="0.3">
      <c r="A2015" s="4">
        <v>2200</v>
      </c>
      <c r="B2015" s="5">
        <v>2008</v>
      </c>
      <c r="C2015">
        <v>3125</v>
      </c>
      <c r="D2015" t="s">
        <v>5587</v>
      </c>
      <c r="E2015" t="s">
        <v>789</v>
      </c>
      <c r="F2015" t="s">
        <v>136</v>
      </c>
      <c r="G2015" t="s">
        <v>30043</v>
      </c>
      <c r="H2015">
        <v>17.93</v>
      </c>
      <c r="I2015">
        <v>0</v>
      </c>
      <c r="J2015">
        <v>0</v>
      </c>
      <c r="K2015">
        <v>0</v>
      </c>
      <c r="N2015">
        <v>3</v>
      </c>
      <c r="O2015">
        <v>3</v>
      </c>
      <c r="P2015">
        <v>4</v>
      </c>
      <c r="Q2015">
        <v>0</v>
      </c>
      <c r="R2015">
        <v>24.93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H2015">
        <v>24.93</v>
      </c>
    </row>
    <row r="2016" spans="1:34" x14ac:dyDescent="0.3">
      <c r="A2016" s="4">
        <v>2201</v>
      </c>
      <c r="B2016" s="5">
        <v>2009</v>
      </c>
      <c r="C2016">
        <v>11844</v>
      </c>
      <c r="D2016" t="s">
        <v>14058</v>
      </c>
      <c r="E2016" t="s">
        <v>104</v>
      </c>
      <c r="F2016" t="s">
        <v>1854</v>
      </c>
      <c r="G2016" t="s">
        <v>30044</v>
      </c>
      <c r="H2016">
        <v>17.93</v>
      </c>
      <c r="I2016">
        <v>0</v>
      </c>
      <c r="J2016">
        <v>0</v>
      </c>
      <c r="K2016">
        <v>0</v>
      </c>
      <c r="N2016">
        <v>3</v>
      </c>
      <c r="O2016">
        <v>3</v>
      </c>
      <c r="P2016">
        <v>4</v>
      </c>
      <c r="Q2016">
        <v>0</v>
      </c>
      <c r="R2016">
        <v>24.93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H2016">
        <v>24.93</v>
      </c>
    </row>
    <row r="2017" spans="1:34" x14ac:dyDescent="0.3">
      <c r="A2017" s="4">
        <v>2202</v>
      </c>
      <c r="B2017" s="5">
        <v>2010</v>
      </c>
      <c r="C2017">
        <v>14310</v>
      </c>
      <c r="D2017" t="s">
        <v>30045</v>
      </c>
      <c r="E2017" t="s">
        <v>29</v>
      </c>
      <c r="F2017" t="s">
        <v>243</v>
      </c>
      <c r="G2017" t="s">
        <v>30046</v>
      </c>
      <c r="H2017">
        <v>17.899999999999999</v>
      </c>
      <c r="I2017">
        <v>0</v>
      </c>
      <c r="J2017">
        <v>0</v>
      </c>
      <c r="K2017">
        <v>0</v>
      </c>
      <c r="N2017">
        <v>3</v>
      </c>
      <c r="O2017">
        <v>3</v>
      </c>
      <c r="P2017">
        <v>4</v>
      </c>
      <c r="Q2017">
        <v>0</v>
      </c>
      <c r="R2017">
        <v>24.9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H2017">
        <v>24.9</v>
      </c>
    </row>
    <row r="2018" spans="1:34" x14ac:dyDescent="0.3">
      <c r="A2018" s="4">
        <v>2203</v>
      </c>
      <c r="B2018" s="5">
        <v>2011</v>
      </c>
      <c r="C2018">
        <v>14193</v>
      </c>
      <c r="D2018" t="s">
        <v>17552</v>
      </c>
      <c r="E2018" t="s">
        <v>97</v>
      </c>
      <c r="F2018" t="s">
        <v>55</v>
      </c>
      <c r="G2018" t="s">
        <v>30047</v>
      </c>
      <c r="H2018">
        <v>15.9</v>
      </c>
      <c r="I2018">
        <v>0</v>
      </c>
      <c r="J2018">
        <v>0</v>
      </c>
      <c r="K2018">
        <v>0</v>
      </c>
      <c r="N2018">
        <v>3</v>
      </c>
      <c r="O2018">
        <v>3</v>
      </c>
      <c r="P2018">
        <v>4</v>
      </c>
      <c r="Q2018">
        <v>2</v>
      </c>
      <c r="R2018">
        <v>24.9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H2018">
        <v>24.9</v>
      </c>
    </row>
    <row r="2019" spans="1:34" x14ac:dyDescent="0.3">
      <c r="A2019" s="4">
        <v>2204</v>
      </c>
      <c r="B2019" s="5">
        <v>2012</v>
      </c>
      <c r="C2019">
        <v>6059</v>
      </c>
      <c r="D2019" t="s">
        <v>30048</v>
      </c>
      <c r="E2019" t="s">
        <v>161</v>
      </c>
      <c r="F2019" t="s">
        <v>20</v>
      </c>
      <c r="G2019" t="s">
        <v>30049</v>
      </c>
      <c r="H2019">
        <v>17.88</v>
      </c>
      <c r="I2019">
        <v>0</v>
      </c>
      <c r="J2019">
        <v>0</v>
      </c>
      <c r="K2019">
        <v>0</v>
      </c>
      <c r="O2019">
        <v>0</v>
      </c>
      <c r="P2019">
        <v>4</v>
      </c>
      <c r="Q2019">
        <v>0</v>
      </c>
      <c r="R2019">
        <v>21.88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3</v>
      </c>
      <c r="AC2019">
        <v>0</v>
      </c>
      <c r="AH2019">
        <v>24.88</v>
      </c>
    </row>
    <row r="2020" spans="1:34" x14ac:dyDescent="0.3">
      <c r="A2020" s="4">
        <v>2205</v>
      </c>
      <c r="B2020" s="5">
        <v>2013</v>
      </c>
      <c r="C2020">
        <v>15127</v>
      </c>
      <c r="D2020" t="s">
        <v>23628</v>
      </c>
      <c r="E2020" t="s">
        <v>37</v>
      </c>
      <c r="F2020" t="s">
        <v>2855</v>
      </c>
      <c r="G2020" t="s">
        <v>30050</v>
      </c>
      <c r="H2020">
        <v>17.88</v>
      </c>
      <c r="I2020">
        <v>0</v>
      </c>
      <c r="J2020">
        <v>0</v>
      </c>
      <c r="K2020">
        <v>0</v>
      </c>
      <c r="N2020">
        <v>3</v>
      </c>
      <c r="O2020">
        <v>3</v>
      </c>
      <c r="P2020">
        <v>4</v>
      </c>
      <c r="Q2020">
        <v>0</v>
      </c>
      <c r="R2020">
        <v>24.88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 t="s">
        <v>130</v>
      </c>
      <c r="AH2020">
        <v>24.88</v>
      </c>
    </row>
    <row r="2021" spans="1:34" x14ac:dyDescent="0.3">
      <c r="A2021" s="4">
        <v>2206</v>
      </c>
      <c r="B2021" s="5">
        <v>2014</v>
      </c>
      <c r="C2021">
        <v>4505</v>
      </c>
      <c r="D2021" t="s">
        <v>7337</v>
      </c>
      <c r="E2021" t="s">
        <v>3866</v>
      </c>
      <c r="F2021" t="s">
        <v>972</v>
      </c>
      <c r="G2021" t="s">
        <v>30051</v>
      </c>
      <c r="H2021">
        <v>17.88</v>
      </c>
      <c r="I2021">
        <v>0</v>
      </c>
      <c r="J2021">
        <v>0</v>
      </c>
      <c r="K2021">
        <v>0</v>
      </c>
      <c r="N2021">
        <v>3</v>
      </c>
      <c r="O2021">
        <v>3</v>
      </c>
      <c r="P2021">
        <v>4</v>
      </c>
      <c r="Q2021">
        <v>0</v>
      </c>
      <c r="R2021">
        <v>24.88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H2021">
        <v>24.88</v>
      </c>
    </row>
    <row r="2022" spans="1:34" x14ac:dyDescent="0.3">
      <c r="A2022" s="4">
        <v>2207</v>
      </c>
      <c r="B2022" s="5">
        <v>2015</v>
      </c>
      <c r="C2022">
        <v>15666</v>
      </c>
      <c r="D2022" t="s">
        <v>30052</v>
      </c>
      <c r="E2022" t="s">
        <v>30053</v>
      </c>
      <c r="F2022" t="s">
        <v>23</v>
      </c>
      <c r="G2022" t="s">
        <v>30054</v>
      </c>
      <c r="H2022">
        <v>17.88</v>
      </c>
      <c r="I2022">
        <v>0</v>
      </c>
      <c r="J2022">
        <v>0</v>
      </c>
      <c r="K2022">
        <v>0</v>
      </c>
      <c r="N2022">
        <v>3</v>
      </c>
      <c r="O2022">
        <v>3</v>
      </c>
      <c r="P2022">
        <v>4</v>
      </c>
      <c r="Q2022">
        <v>0</v>
      </c>
      <c r="R2022">
        <v>24.88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H2022">
        <v>24.88</v>
      </c>
    </row>
    <row r="2023" spans="1:34" x14ac:dyDescent="0.3">
      <c r="A2023" s="4">
        <v>2208</v>
      </c>
      <c r="B2023" s="5">
        <v>2016</v>
      </c>
      <c r="C2023">
        <v>10025</v>
      </c>
      <c r="D2023" t="s">
        <v>2103</v>
      </c>
      <c r="E2023" t="s">
        <v>283</v>
      </c>
      <c r="F2023" t="s">
        <v>136</v>
      </c>
      <c r="G2023" t="s">
        <v>30055</v>
      </c>
      <c r="H2023">
        <v>17.850000000000001</v>
      </c>
      <c r="I2023">
        <v>0</v>
      </c>
      <c r="J2023">
        <v>0</v>
      </c>
      <c r="K2023">
        <v>0</v>
      </c>
      <c r="N2023">
        <v>3</v>
      </c>
      <c r="O2023">
        <v>3</v>
      </c>
      <c r="P2023">
        <v>4</v>
      </c>
      <c r="Q2023">
        <v>0</v>
      </c>
      <c r="R2023">
        <v>24.85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H2023">
        <v>24.85</v>
      </c>
    </row>
    <row r="2024" spans="1:34" x14ac:dyDescent="0.3">
      <c r="A2024" s="4">
        <v>2209</v>
      </c>
      <c r="B2024" s="5">
        <v>2017</v>
      </c>
      <c r="C2024">
        <v>14703</v>
      </c>
      <c r="D2024" t="s">
        <v>1170</v>
      </c>
      <c r="E2024" t="s">
        <v>342</v>
      </c>
      <c r="F2024" t="s">
        <v>892</v>
      </c>
      <c r="G2024" t="s">
        <v>30056</v>
      </c>
      <c r="H2024">
        <v>17.829999999999998</v>
      </c>
      <c r="I2024">
        <v>0</v>
      </c>
      <c r="J2024">
        <v>0</v>
      </c>
      <c r="K2024">
        <v>0</v>
      </c>
      <c r="O2024">
        <v>0</v>
      </c>
      <c r="P2024">
        <v>4</v>
      </c>
      <c r="Q2024">
        <v>0</v>
      </c>
      <c r="R2024">
        <v>21.83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3</v>
      </c>
      <c r="AC2024">
        <v>0</v>
      </c>
      <c r="AH2024">
        <v>24.83</v>
      </c>
    </row>
    <row r="2025" spans="1:34" x14ac:dyDescent="0.3">
      <c r="A2025" s="4">
        <v>2210</v>
      </c>
      <c r="B2025" s="5">
        <v>2018</v>
      </c>
      <c r="C2025">
        <v>14360</v>
      </c>
      <c r="D2025" t="s">
        <v>30057</v>
      </c>
      <c r="E2025" t="s">
        <v>563</v>
      </c>
      <c r="F2025" t="s">
        <v>17</v>
      </c>
      <c r="G2025" t="s">
        <v>30058</v>
      </c>
      <c r="H2025">
        <v>17.829999999999998</v>
      </c>
      <c r="I2025">
        <v>0</v>
      </c>
      <c r="J2025">
        <v>0</v>
      </c>
      <c r="K2025">
        <v>0</v>
      </c>
      <c r="N2025">
        <v>3</v>
      </c>
      <c r="O2025">
        <v>3</v>
      </c>
      <c r="P2025">
        <v>4</v>
      </c>
      <c r="Q2025">
        <v>0</v>
      </c>
      <c r="R2025">
        <v>24.83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H2025">
        <v>24.83</v>
      </c>
    </row>
    <row r="2026" spans="1:34" x14ac:dyDescent="0.3">
      <c r="A2026" s="4">
        <v>2211</v>
      </c>
      <c r="B2026" s="5">
        <v>2019</v>
      </c>
      <c r="C2026">
        <v>5704</v>
      </c>
      <c r="D2026" t="s">
        <v>30059</v>
      </c>
      <c r="E2026" t="s">
        <v>166</v>
      </c>
      <c r="F2026" t="s">
        <v>81</v>
      </c>
      <c r="G2026" t="s">
        <v>30060</v>
      </c>
      <c r="H2026">
        <v>17.829999999999998</v>
      </c>
      <c r="I2026">
        <v>0</v>
      </c>
      <c r="J2026">
        <v>0</v>
      </c>
      <c r="K2026">
        <v>0</v>
      </c>
      <c r="N2026">
        <v>3</v>
      </c>
      <c r="O2026">
        <v>3</v>
      </c>
      <c r="P2026">
        <v>4</v>
      </c>
      <c r="Q2026">
        <v>0</v>
      </c>
      <c r="R2026">
        <v>24.83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H2026">
        <v>24.83</v>
      </c>
    </row>
    <row r="2027" spans="1:34" x14ac:dyDescent="0.3">
      <c r="A2027" s="4">
        <v>2212</v>
      </c>
      <c r="B2027" s="5">
        <v>2020</v>
      </c>
      <c r="C2027">
        <v>10459</v>
      </c>
      <c r="D2027" t="s">
        <v>30061</v>
      </c>
      <c r="E2027" t="s">
        <v>132</v>
      </c>
      <c r="F2027" t="s">
        <v>136</v>
      </c>
      <c r="G2027" t="s">
        <v>30062</v>
      </c>
      <c r="H2027">
        <v>15.83</v>
      </c>
      <c r="I2027">
        <v>0</v>
      </c>
      <c r="J2027">
        <v>0</v>
      </c>
      <c r="K2027">
        <v>0</v>
      </c>
      <c r="N2027">
        <v>3</v>
      </c>
      <c r="O2027">
        <v>3</v>
      </c>
      <c r="P2027">
        <v>4</v>
      </c>
      <c r="Q2027">
        <v>2</v>
      </c>
      <c r="R2027">
        <v>24.83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H2027">
        <v>24.83</v>
      </c>
    </row>
    <row r="2028" spans="1:34" x14ac:dyDescent="0.3">
      <c r="A2028" s="4">
        <v>2213</v>
      </c>
      <c r="B2028" s="5">
        <v>2021</v>
      </c>
      <c r="C2028">
        <v>3310</v>
      </c>
      <c r="D2028" t="s">
        <v>30063</v>
      </c>
      <c r="E2028" t="s">
        <v>2375</v>
      </c>
      <c r="F2028" t="s">
        <v>81</v>
      </c>
      <c r="G2028" t="s">
        <v>30064</v>
      </c>
      <c r="H2028">
        <v>18.8</v>
      </c>
      <c r="I2028">
        <v>0</v>
      </c>
      <c r="J2028">
        <v>0</v>
      </c>
      <c r="K2028">
        <v>0</v>
      </c>
      <c r="O2028">
        <v>0</v>
      </c>
      <c r="P2028">
        <v>4</v>
      </c>
      <c r="Q2028">
        <v>2</v>
      </c>
      <c r="R2028">
        <v>24.8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H2028">
        <v>24.8</v>
      </c>
    </row>
    <row r="2029" spans="1:34" x14ac:dyDescent="0.3">
      <c r="A2029" s="4">
        <v>2214</v>
      </c>
      <c r="B2029" s="5">
        <v>2022</v>
      </c>
      <c r="C2029">
        <v>11575</v>
      </c>
      <c r="D2029" t="s">
        <v>30065</v>
      </c>
      <c r="E2029" t="s">
        <v>789</v>
      </c>
      <c r="F2029" t="s">
        <v>20</v>
      </c>
      <c r="G2029" t="s">
        <v>30066</v>
      </c>
      <c r="H2029">
        <v>17.8</v>
      </c>
      <c r="I2029">
        <v>0</v>
      </c>
      <c r="J2029">
        <v>0</v>
      </c>
      <c r="K2029">
        <v>0</v>
      </c>
      <c r="N2029">
        <v>3</v>
      </c>
      <c r="O2029">
        <v>3</v>
      </c>
      <c r="P2029">
        <v>4</v>
      </c>
      <c r="Q2029">
        <v>0</v>
      </c>
      <c r="R2029">
        <v>24.8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H2029">
        <v>24.8</v>
      </c>
    </row>
    <row r="2030" spans="1:34" x14ac:dyDescent="0.3">
      <c r="A2030" s="4">
        <v>2215</v>
      </c>
      <c r="B2030" s="5">
        <v>2023</v>
      </c>
      <c r="C2030">
        <v>868</v>
      </c>
      <c r="D2030" t="s">
        <v>30067</v>
      </c>
      <c r="E2030" t="s">
        <v>161</v>
      </c>
      <c r="F2030" t="s">
        <v>81</v>
      </c>
      <c r="G2030" t="s">
        <v>30068</v>
      </c>
      <c r="H2030">
        <v>17.8</v>
      </c>
      <c r="I2030">
        <v>0</v>
      </c>
      <c r="J2030">
        <v>0</v>
      </c>
      <c r="K2030">
        <v>0</v>
      </c>
      <c r="L2030">
        <v>7</v>
      </c>
      <c r="O2030">
        <v>7</v>
      </c>
      <c r="P2030">
        <v>0</v>
      </c>
      <c r="Q2030">
        <v>0</v>
      </c>
      <c r="R2030">
        <v>24.8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H2030">
        <v>24.8</v>
      </c>
    </row>
    <row r="2031" spans="1:34" x14ac:dyDescent="0.3">
      <c r="A2031" s="4">
        <v>2216</v>
      </c>
      <c r="B2031" s="5">
        <v>2024</v>
      </c>
      <c r="C2031">
        <v>13617</v>
      </c>
      <c r="D2031" t="s">
        <v>30069</v>
      </c>
      <c r="E2031" t="s">
        <v>54</v>
      </c>
      <c r="F2031" t="s">
        <v>68</v>
      </c>
      <c r="G2031" t="s">
        <v>30070</v>
      </c>
      <c r="H2031">
        <v>17.8</v>
      </c>
      <c r="I2031">
        <v>0</v>
      </c>
      <c r="J2031">
        <v>0</v>
      </c>
      <c r="K2031">
        <v>0</v>
      </c>
      <c r="N2031">
        <v>3</v>
      </c>
      <c r="O2031">
        <v>3</v>
      </c>
      <c r="P2031">
        <v>4</v>
      </c>
      <c r="Q2031">
        <v>0</v>
      </c>
      <c r="R2031">
        <v>24.8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H2031">
        <v>24.8</v>
      </c>
    </row>
    <row r="2032" spans="1:34" x14ac:dyDescent="0.3">
      <c r="A2032" s="4">
        <v>2217</v>
      </c>
      <c r="B2032" s="5">
        <v>2025</v>
      </c>
      <c r="C2032">
        <v>3542</v>
      </c>
      <c r="D2032" t="s">
        <v>4593</v>
      </c>
      <c r="E2032" t="s">
        <v>208</v>
      </c>
      <c r="F2032" t="s">
        <v>14</v>
      </c>
      <c r="G2032" t="s">
        <v>30071</v>
      </c>
      <c r="H2032">
        <v>17.8</v>
      </c>
      <c r="I2032">
        <v>0</v>
      </c>
      <c r="J2032">
        <v>0</v>
      </c>
      <c r="K2032">
        <v>0</v>
      </c>
      <c r="N2032">
        <v>3</v>
      </c>
      <c r="O2032">
        <v>3</v>
      </c>
      <c r="P2032">
        <v>4</v>
      </c>
      <c r="Q2032">
        <v>0</v>
      </c>
      <c r="R2032">
        <v>24.8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H2032">
        <v>24.8</v>
      </c>
    </row>
    <row r="2033" spans="1:34" x14ac:dyDescent="0.3">
      <c r="A2033" s="4">
        <v>2218</v>
      </c>
      <c r="B2033" s="5">
        <v>2026</v>
      </c>
      <c r="C2033">
        <v>13355</v>
      </c>
      <c r="D2033" t="s">
        <v>2227</v>
      </c>
      <c r="E2033" t="s">
        <v>37</v>
      </c>
      <c r="F2033" t="s">
        <v>328</v>
      </c>
      <c r="G2033" t="s">
        <v>30072</v>
      </c>
      <c r="H2033">
        <v>17.78</v>
      </c>
      <c r="I2033">
        <v>0</v>
      </c>
      <c r="J2033">
        <v>0</v>
      </c>
      <c r="K2033">
        <v>0</v>
      </c>
      <c r="N2033">
        <v>3</v>
      </c>
      <c r="O2033">
        <v>3</v>
      </c>
      <c r="P2033">
        <v>4</v>
      </c>
      <c r="Q2033">
        <v>0</v>
      </c>
      <c r="R2033">
        <v>24.78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H2033">
        <v>24.78</v>
      </c>
    </row>
    <row r="2034" spans="1:34" x14ac:dyDescent="0.3">
      <c r="A2034" s="4">
        <v>2219</v>
      </c>
      <c r="B2034" s="5">
        <v>2027</v>
      </c>
      <c r="C2034">
        <v>2359</v>
      </c>
      <c r="D2034" t="s">
        <v>30073</v>
      </c>
      <c r="E2034" t="s">
        <v>188</v>
      </c>
      <c r="F2034" t="s">
        <v>20</v>
      </c>
      <c r="G2034" t="s">
        <v>30074</v>
      </c>
      <c r="H2034">
        <v>17.78</v>
      </c>
      <c r="I2034">
        <v>0</v>
      </c>
      <c r="J2034">
        <v>0</v>
      </c>
      <c r="K2034">
        <v>0</v>
      </c>
      <c r="N2034">
        <v>3</v>
      </c>
      <c r="O2034">
        <v>3</v>
      </c>
      <c r="P2034">
        <v>4</v>
      </c>
      <c r="Q2034">
        <v>0</v>
      </c>
      <c r="R2034">
        <v>24.78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H2034">
        <v>24.78</v>
      </c>
    </row>
    <row r="2035" spans="1:34" x14ac:dyDescent="0.3">
      <c r="A2035" s="4">
        <v>2220</v>
      </c>
      <c r="B2035" s="5">
        <v>2028</v>
      </c>
      <c r="C2035">
        <v>13833</v>
      </c>
      <c r="D2035" t="s">
        <v>5254</v>
      </c>
      <c r="E2035" t="s">
        <v>8234</v>
      </c>
      <c r="F2035" t="s">
        <v>124</v>
      </c>
      <c r="G2035" t="s">
        <v>30075</v>
      </c>
      <c r="H2035">
        <v>18.75</v>
      </c>
      <c r="I2035">
        <v>0</v>
      </c>
      <c r="J2035">
        <v>0</v>
      </c>
      <c r="K2035">
        <v>0</v>
      </c>
      <c r="O2035">
        <v>0</v>
      </c>
      <c r="P2035">
        <v>4</v>
      </c>
      <c r="Q2035">
        <v>2</v>
      </c>
      <c r="R2035">
        <v>24.75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H2035">
        <v>24.75</v>
      </c>
    </row>
    <row r="2036" spans="1:34" x14ac:dyDescent="0.3">
      <c r="A2036" s="4">
        <v>2221</v>
      </c>
      <c r="B2036" s="5">
        <v>2029</v>
      </c>
      <c r="C2036">
        <v>13696</v>
      </c>
      <c r="D2036" t="s">
        <v>30076</v>
      </c>
      <c r="E2036" t="s">
        <v>136</v>
      </c>
      <c r="F2036" t="s">
        <v>17</v>
      </c>
      <c r="G2036" t="s">
        <v>30077</v>
      </c>
      <c r="H2036">
        <v>15.75</v>
      </c>
      <c r="I2036">
        <v>0</v>
      </c>
      <c r="J2036">
        <v>0</v>
      </c>
      <c r="K2036">
        <v>0</v>
      </c>
      <c r="M2036">
        <v>5</v>
      </c>
      <c r="O2036">
        <v>5</v>
      </c>
      <c r="P2036">
        <v>4</v>
      </c>
      <c r="Q2036">
        <v>0</v>
      </c>
      <c r="R2036">
        <v>24.75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H2036">
        <v>24.75</v>
      </c>
    </row>
    <row r="2037" spans="1:34" x14ac:dyDescent="0.3">
      <c r="A2037" s="4">
        <v>2222</v>
      </c>
      <c r="B2037" s="5">
        <v>2030</v>
      </c>
      <c r="C2037">
        <v>15271</v>
      </c>
      <c r="D2037" t="s">
        <v>30078</v>
      </c>
      <c r="E2037" t="s">
        <v>88</v>
      </c>
      <c r="F2037" t="s">
        <v>38</v>
      </c>
      <c r="G2037" t="s">
        <v>30079</v>
      </c>
      <c r="H2037">
        <v>17.73</v>
      </c>
      <c r="I2037">
        <v>0</v>
      </c>
      <c r="J2037">
        <v>0</v>
      </c>
      <c r="K2037">
        <v>0</v>
      </c>
      <c r="N2037">
        <v>3</v>
      </c>
      <c r="O2037">
        <v>3</v>
      </c>
      <c r="P2037">
        <v>4</v>
      </c>
      <c r="Q2037">
        <v>0</v>
      </c>
      <c r="R2037">
        <v>24.73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H2037">
        <v>24.73</v>
      </c>
    </row>
    <row r="2038" spans="1:34" x14ac:dyDescent="0.3">
      <c r="A2038" s="4">
        <v>2223</v>
      </c>
      <c r="B2038" s="5">
        <v>2031</v>
      </c>
      <c r="C2038">
        <v>9542</v>
      </c>
      <c r="D2038" t="s">
        <v>30080</v>
      </c>
      <c r="E2038" t="s">
        <v>170</v>
      </c>
      <c r="F2038" t="s">
        <v>38</v>
      </c>
      <c r="G2038" t="s">
        <v>30081</v>
      </c>
      <c r="H2038">
        <v>17.7</v>
      </c>
      <c r="I2038">
        <v>0</v>
      </c>
      <c r="J2038">
        <v>0</v>
      </c>
      <c r="K2038">
        <v>0</v>
      </c>
      <c r="N2038">
        <v>3</v>
      </c>
      <c r="O2038">
        <v>3</v>
      </c>
      <c r="P2038">
        <v>4</v>
      </c>
      <c r="Q2038">
        <v>0</v>
      </c>
      <c r="R2038">
        <v>24.7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H2038">
        <v>24.7</v>
      </c>
    </row>
    <row r="2039" spans="1:34" x14ac:dyDescent="0.3">
      <c r="A2039" s="4">
        <v>2224</v>
      </c>
      <c r="B2039" s="5">
        <v>2032</v>
      </c>
      <c r="C2039">
        <v>13294</v>
      </c>
      <c r="D2039" t="s">
        <v>971</v>
      </c>
      <c r="E2039" t="s">
        <v>957</v>
      </c>
      <c r="F2039" t="s">
        <v>17</v>
      </c>
      <c r="G2039" t="s">
        <v>30082</v>
      </c>
      <c r="H2039">
        <v>17.7</v>
      </c>
      <c r="I2039">
        <v>0</v>
      </c>
      <c r="J2039">
        <v>0</v>
      </c>
      <c r="K2039">
        <v>0</v>
      </c>
      <c r="L2039">
        <v>7</v>
      </c>
      <c r="O2039">
        <v>7</v>
      </c>
      <c r="P2039">
        <v>0</v>
      </c>
      <c r="Q2039">
        <v>0</v>
      </c>
      <c r="R2039">
        <v>24.7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H2039">
        <v>24.7</v>
      </c>
    </row>
    <row r="2040" spans="1:34" x14ac:dyDescent="0.3">
      <c r="A2040" s="4">
        <v>2225</v>
      </c>
      <c r="B2040" s="5">
        <v>2033</v>
      </c>
      <c r="C2040">
        <v>4856</v>
      </c>
      <c r="D2040" t="s">
        <v>12090</v>
      </c>
      <c r="E2040" t="s">
        <v>182</v>
      </c>
      <c r="F2040" t="s">
        <v>117</v>
      </c>
      <c r="G2040" t="s">
        <v>30083</v>
      </c>
      <c r="H2040">
        <v>17.7</v>
      </c>
      <c r="I2040">
        <v>0</v>
      </c>
      <c r="J2040">
        <v>0</v>
      </c>
      <c r="K2040">
        <v>0</v>
      </c>
      <c r="N2040">
        <v>3</v>
      </c>
      <c r="O2040">
        <v>3</v>
      </c>
      <c r="P2040">
        <v>4</v>
      </c>
      <c r="Q2040">
        <v>0</v>
      </c>
      <c r="R2040">
        <v>24.7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H2040">
        <v>24.7</v>
      </c>
    </row>
    <row r="2041" spans="1:34" x14ac:dyDescent="0.3">
      <c r="A2041" s="4">
        <v>2226</v>
      </c>
      <c r="B2041" s="5">
        <v>2034</v>
      </c>
      <c r="C2041">
        <v>3358</v>
      </c>
      <c r="D2041" t="s">
        <v>671</v>
      </c>
      <c r="E2041" t="s">
        <v>208</v>
      </c>
      <c r="F2041" t="s">
        <v>230</v>
      </c>
      <c r="G2041" t="s">
        <v>30084</v>
      </c>
      <c r="H2041">
        <v>15.7</v>
      </c>
      <c r="I2041">
        <v>0</v>
      </c>
      <c r="J2041">
        <v>0</v>
      </c>
      <c r="K2041">
        <v>0</v>
      </c>
      <c r="N2041">
        <v>3</v>
      </c>
      <c r="O2041">
        <v>3</v>
      </c>
      <c r="P2041">
        <v>4</v>
      </c>
      <c r="Q2041">
        <v>2</v>
      </c>
      <c r="R2041">
        <v>24.7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 t="s">
        <v>130</v>
      </c>
      <c r="AH2041">
        <v>24.7</v>
      </c>
    </row>
    <row r="2042" spans="1:34" x14ac:dyDescent="0.3">
      <c r="A2042" s="4">
        <v>2227</v>
      </c>
      <c r="B2042" s="5">
        <v>2035</v>
      </c>
      <c r="C2042">
        <v>4292</v>
      </c>
      <c r="D2042" t="s">
        <v>645</v>
      </c>
      <c r="E2042" t="s">
        <v>182</v>
      </c>
      <c r="F2042" t="s">
        <v>243</v>
      </c>
      <c r="G2042" t="s">
        <v>30085</v>
      </c>
      <c r="H2042">
        <v>17.68</v>
      </c>
      <c r="I2042">
        <v>0</v>
      </c>
      <c r="J2042">
        <v>0</v>
      </c>
      <c r="K2042">
        <v>0</v>
      </c>
      <c r="N2042">
        <v>3</v>
      </c>
      <c r="O2042">
        <v>3</v>
      </c>
      <c r="P2042">
        <v>4</v>
      </c>
      <c r="Q2042">
        <v>0</v>
      </c>
      <c r="R2042">
        <v>24.68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H2042">
        <v>24.68</v>
      </c>
    </row>
    <row r="2043" spans="1:34" x14ac:dyDescent="0.3">
      <c r="A2043" s="4">
        <v>2228</v>
      </c>
      <c r="B2043" s="5">
        <v>2036</v>
      </c>
      <c r="C2043">
        <v>11136</v>
      </c>
      <c r="D2043" t="s">
        <v>14942</v>
      </c>
      <c r="E2043" t="s">
        <v>54</v>
      </c>
      <c r="F2043" t="s">
        <v>30</v>
      </c>
      <c r="G2043" t="s">
        <v>30086</v>
      </c>
      <c r="H2043">
        <v>17.68</v>
      </c>
      <c r="I2043">
        <v>0</v>
      </c>
      <c r="J2043">
        <v>0</v>
      </c>
      <c r="K2043">
        <v>0</v>
      </c>
      <c r="N2043">
        <v>3</v>
      </c>
      <c r="O2043">
        <v>3</v>
      </c>
      <c r="P2043">
        <v>4</v>
      </c>
      <c r="Q2043">
        <v>0</v>
      </c>
      <c r="R2043">
        <v>24.68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H2043">
        <v>24.68</v>
      </c>
    </row>
    <row r="2044" spans="1:34" x14ac:dyDescent="0.3">
      <c r="A2044" s="4">
        <v>2229</v>
      </c>
      <c r="B2044" s="5">
        <v>2037</v>
      </c>
      <c r="C2044">
        <v>15154</v>
      </c>
      <c r="D2044" t="s">
        <v>11435</v>
      </c>
      <c r="E2044" t="s">
        <v>68</v>
      </c>
      <c r="F2044" t="s">
        <v>17</v>
      </c>
      <c r="G2044" t="s">
        <v>30087</v>
      </c>
      <c r="H2044">
        <v>17.649999999999999</v>
      </c>
      <c r="I2044">
        <v>0</v>
      </c>
      <c r="J2044">
        <v>0</v>
      </c>
      <c r="K2044">
        <v>0</v>
      </c>
      <c r="N2044">
        <v>3</v>
      </c>
      <c r="O2044">
        <v>3</v>
      </c>
      <c r="P2044">
        <v>4</v>
      </c>
      <c r="Q2044">
        <v>0</v>
      </c>
      <c r="R2044">
        <v>24.65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H2044">
        <v>24.65</v>
      </c>
    </row>
    <row r="2045" spans="1:34" x14ac:dyDescent="0.3">
      <c r="A2045" s="4">
        <v>2230</v>
      </c>
      <c r="B2045" s="5">
        <v>2038</v>
      </c>
      <c r="C2045">
        <v>11083</v>
      </c>
      <c r="D2045" t="s">
        <v>317</v>
      </c>
      <c r="E2045" t="s">
        <v>1576</v>
      </c>
      <c r="F2045" t="s">
        <v>124</v>
      </c>
      <c r="G2045" t="s">
        <v>30088</v>
      </c>
      <c r="H2045">
        <v>17.649999999999999</v>
      </c>
      <c r="I2045">
        <v>0</v>
      </c>
      <c r="J2045">
        <v>0</v>
      </c>
      <c r="K2045">
        <v>0</v>
      </c>
      <c r="N2045">
        <v>3</v>
      </c>
      <c r="O2045">
        <v>3</v>
      </c>
      <c r="P2045">
        <v>4</v>
      </c>
      <c r="Q2045">
        <v>0</v>
      </c>
      <c r="R2045">
        <v>24.65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H2045">
        <v>24.65</v>
      </c>
    </row>
    <row r="2046" spans="1:34" x14ac:dyDescent="0.3">
      <c r="A2046" s="4">
        <v>2231</v>
      </c>
      <c r="B2046" s="5">
        <v>2039</v>
      </c>
      <c r="C2046">
        <v>11301</v>
      </c>
      <c r="D2046" t="s">
        <v>30089</v>
      </c>
      <c r="E2046" t="s">
        <v>789</v>
      </c>
      <c r="F2046" t="s">
        <v>20</v>
      </c>
      <c r="G2046" t="s">
        <v>30090</v>
      </c>
      <c r="H2046">
        <v>15.65</v>
      </c>
      <c r="I2046">
        <v>0</v>
      </c>
      <c r="J2046">
        <v>0</v>
      </c>
      <c r="K2046">
        <v>0</v>
      </c>
      <c r="N2046">
        <v>3</v>
      </c>
      <c r="O2046">
        <v>3</v>
      </c>
      <c r="P2046">
        <v>4</v>
      </c>
      <c r="Q2046">
        <v>2</v>
      </c>
      <c r="R2046">
        <v>24.65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H2046">
        <v>24.65</v>
      </c>
    </row>
    <row r="2047" spans="1:34" x14ac:dyDescent="0.3">
      <c r="A2047" s="4">
        <v>2232</v>
      </c>
      <c r="B2047" s="5">
        <v>2040</v>
      </c>
      <c r="C2047">
        <v>7312</v>
      </c>
      <c r="D2047" t="s">
        <v>30091</v>
      </c>
      <c r="E2047" t="s">
        <v>30092</v>
      </c>
      <c r="F2047" t="s">
        <v>81</v>
      </c>
      <c r="G2047" t="s">
        <v>30093</v>
      </c>
      <c r="H2047">
        <v>17.600000000000001</v>
      </c>
      <c r="I2047">
        <v>0</v>
      </c>
      <c r="J2047">
        <v>0</v>
      </c>
      <c r="K2047">
        <v>0</v>
      </c>
      <c r="N2047">
        <v>3</v>
      </c>
      <c r="O2047">
        <v>3</v>
      </c>
      <c r="P2047">
        <v>4</v>
      </c>
      <c r="Q2047">
        <v>0</v>
      </c>
      <c r="R2047">
        <v>24.6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H2047">
        <v>24.6</v>
      </c>
    </row>
    <row r="2048" spans="1:34" x14ac:dyDescent="0.3">
      <c r="A2048" s="4">
        <v>2233</v>
      </c>
      <c r="B2048" s="5">
        <v>2041</v>
      </c>
      <c r="C2048">
        <v>15111</v>
      </c>
      <c r="D2048" t="s">
        <v>1604</v>
      </c>
      <c r="E2048" t="s">
        <v>22956</v>
      </c>
      <c r="F2048" t="s">
        <v>20</v>
      </c>
      <c r="G2048" t="s">
        <v>30094</v>
      </c>
      <c r="H2048">
        <v>17.579999999999998</v>
      </c>
      <c r="I2048">
        <v>0</v>
      </c>
      <c r="J2048">
        <v>0</v>
      </c>
      <c r="K2048">
        <v>0</v>
      </c>
      <c r="N2048">
        <v>3</v>
      </c>
      <c r="O2048">
        <v>3</v>
      </c>
      <c r="P2048">
        <v>4</v>
      </c>
      <c r="Q2048">
        <v>0</v>
      </c>
      <c r="R2048">
        <v>24.58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H2048">
        <v>24.58</v>
      </c>
    </row>
    <row r="2049" spans="1:34" x14ac:dyDescent="0.3">
      <c r="A2049" s="4">
        <v>2234</v>
      </c>
      <c r="B2049" s="5">
        <v>2042</v>
      </c>
      <c r="C2049">
        <v>2709</v>
      </c>
      <c r="D2049" t="s">
        <v>14354</v>
      </c>
      <c r="E2049" t="s">
        <v>789</v>
      </c>
      <c r="F2049" t="s">
        <v>117</v>
      </c>
      <c r="G2049" t="s">
        <v>30095</v>
      </c>
      <c r="H2049">
        <v>17.579999999999998</v>
      </c>
      <c r="I2049">
        <v>0</v>
      </c>
      <c r="J2049">
        <v>0</v>
      </c>
      <c r="K2049">
        <v>0</v>
      </c>
      <c r="N2049">
        <v>3</v>
      </c>
      <c r="O2049">
        <v>3</v>
      </c>
      <c r="P2049">
        <v>4</v>
      </c>
      <c r="Q2049">
        <v>0</v>
      </c>
      <c r="R2049">
        <v>24.58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H2049">
        <v>24.58</v>
      </c>
    </row>
    <row r="2050" spans="1:34" x14ac:dyDescent="0.3">
      <c r="A2050" s="4">
        <v>2235</v>
      </c>
      <c r="B2050" s="5">
        <v>2043</v>
      </c>
      <c r="C2050">
        <v>6419</v>
      </c>
      <c r="D2050" t="s">
        <v>5306</v>
      </c>
      <c r="E2050" t="s">
        <v>166</v>
      </c>
      <c r="F2050" t="s">
        <v>68</v>
      </c>
      <c r="G2050" t="s">
        <v>30096</v>
      </c>
      <c r="H2050">
        <v>17.55</v>
      </c>
      <c r="I2050">
        <v>0</v>
      </c>
      <c r="J2050">
        <v>0</v>
      </c>
      <c r="K2050">
        <v>0</v>
      </c>
      <c r="N2050">
        <v>3</v>
      </c>
      <c r="O2050">
        <v>3</v>
      </c>
      <c r="P2050">
        <v>4</v>
      </c>
      <c r="Q2050">
        <v>0</v>
      </c>
      <c r="R2050">
        <v>24.55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H2050">
        <v>24.55</v>
      </c>
    </row>
    <row r="2051" spans="1:34" x14ac:dyDescent="0.3">
      <c r="A2051" s="4">
        <v>2236</v>
      </c>
      <c r="B2051" s="5">
        <v>2044</v>
      </c>
      <c r="C2051">
        <v>7269</v>
      </c>
      <c r="D2051" t="s">
        <v>30097</v>
      </c>
      <c r="E2051" t="s">
        <v>563</v>
      </c>
      <c r="F2051" t="s">
        <v>52</v>
      </c>
      <c r="G2051" t="s">
        <v>30098</v>
      </c>
      <c r="H2051">
        <v>15.55</v>
      </c>
      <c r="I2051">
        <v>0</v>
      </c>
      <c r="J2051">
        <v>0</v>
      </c>
      <c r="K2051">
        <v>0</v>
      </c>
      <c r="N2051">
        <v>3</v>
      </c>
      <c r="O2051">
        <v>3</v>
      </c>
      <c r="P2051">
        <v>4</v>
      </c>
      <c r="Q2051">
        <v>2</v>
      </c>
      <c r="R2051">
        <v>24.55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H2051">
        <v>24.55</v>
      </c>
    </row>
    <row r="2052" spans="1:34" x14ac:dyDescent="0.3">
      <c r="A2052" s="4">
        <v>2237</v>
      </c>
      <c r="B2052" s="5">
        <v>2045</v>
      </c>
      <c r="C2052">
        <v>9522</v>
      </c>
      <c r="D2052" t="s">
        <v>30099</v>
      </c>
      <c r="E2052" t="s">
        <v>29</v>
      </c>
      <c r="F2052" t="s">
        <v>117</v>
      </c>
      <c r="G2052" t="s">
        <v>30100</v>
      </c>
      <c r="H2052">
        <v>18.53</v>
      </c>
      <c r="I2052">
        <v>0</v>
      </c>
      <c r="J2052">
        <v>0</v>
      </c>
      <c r="K2052">
        <v>0</v>
      </c>
      <c r="O2052">
        <v>0</v>
      </c>
      <c r="P2052">
        <v>4</v>
      </c>
      <c r="Q2052">
        <v>2</v>
      </c>
      <c r="R2052">
        <v>24.53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H2052">
        <v>24.53</v>
      </c>
    </row>
    <row r="2053" spans="1:34" x14ac:dyDescent="0.3">
      <c r="A2053" s="4">
        <v>2238</v>
      </c>
      <c r="B2053" s="5">
        <v>2046</v>
      </c>
      <c r="C2053">
        <v>13080</v>
      </c>
      <c r="D2053" t="s">
        <v>12469</v>
      </c>
      <c r="E2053" t="s">
        <v>48</v>
      </c>
      <c r="F2053" t="s">
        <v>158</v>
      </c>
      <c r="G2053" t="s">
        <v>30101</v>
      </c>
      <c r="H2053">
        <v>17.53</v>
      </c>
      <c r="I2053">
        <v>0</v>
      </c>
      <c r="J2053">
        <v>0</v>
      </c>
      <c r="K2053">
        <v>0</v>
      </c>
      <c r="N2053">
        <v>3</v>
      </c>
      <c r="O2053">
        <v>3</v>
      </c>
      <c r="P2053">
        <v>4</v>
      </c>
      <c r="Q2053">
        <v>0</v>
      </c>
      <c r="R2053">
        <v>24.53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H2053">
        <v>24.53</v>
      </c>
    </row>
    <row r="2054" spans="1:34" x14ac:dyDescent="0.3">
      <c r="A2054" s="4">
        <v>2239</v>
      </c>
      <c r="B2054" s="5">
        <v>2047</v>
      </c>
      <c r="C2054">
        <v>12740</v>
      </c>
      <c r="D2054" t="s">
        <v>8308</v>
      </c>
      <c r="E2054" t="s">
        <v>15811</v>
      </c>
      <c r="F2054" t="s">
        <v>20</v>
      </c>
      <c r="G2054" t="s">
        <v>30102</v>
      </c>
      <c r="H2054">
        <v>17.53</v>
      </c>
      <c r="I2054">
        <v>0</v>
      </c>
      <c r="J2054">
        <v>0</v>
      </c>
      <c r="K2054">
        <v>0</v>
      </c>
      <c r="N2054">
        <v>3</v>
      </c>
      <c r="O2054">
        <v>3</v>
      </c>
      <c r="P2054">
        <v>4</v>
      </c>
      <c r="Q2054">
        <v>0</v>
      </c>
      <c r="R2054">
        <v>24.53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H2054">
        <v>24.53</v>
      </c>
    </row>
    <row r="2055" spans="1:34" x14ac:dyDescent="0.3">
      <c r="A2055" s="4">
        <v>2240</v>
      </c>
      <c r="B2055" s="5">
        <v>2048</v>
      </c>
      <c r="C2055">
        <v>13935</v>
      </c>
      <c r="D2055" t="s">
        <v>30103</v>
      </c>
      <c r="E2055" t="s">
        <v>550</v>
      </c>
      <c r="F2055" t="s">
        <v>17</v>
      </c>
      <c r="G2055" t="s">
        <v>30104</v>
      </c>
      <c r="H2055">
        <v>17.5</v>
      </c>
      <c r="I2055">
        <v>0</v>
      </c>
      <c r="J2055">
        <v>0</v>
      </c>
      <c r="K2055">
        <v>0</v>
      </c>
      <c r="L2055">
        <v>7</v>
      </c>
      <c r="O2055">
        <v>7</v>
      </c>
      <c r="P2055">
        <v>0</v>
      </c>
      <c r="Q2055">
        <v>0</v>
      </c>
      <c r="R2055">
        <v>24.5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H2055">
        <v>24.5</v>
      </c>
    </row>
    <row r="2056" spans="1:34" x14ac:dyDescent="0.3">
      <c r="A2056" s="4">
        <v>2241</v>
      </c>
      <c r="B2056" s="5">
        <v>2049</v>
      </c>
      <c r="C2056">
        <v>14873</v>
      </c>
      <c r="D2056" t="s">
        <v>30105</v>
      </c>
      <c r="E2056" t="s">
        <v>29</v>
      </c>
      <c r="F2056" t="s">
        <v>1806</v>
      </c>
      <c r="G2056" t="s">
        <v>30106</v>
      </c>
      <c r="H2056">
        <v>17.5</v>
      </c>
      <c r="I2056">
        <v>0</v>
      </c>
      <c r="J2056">
        <v>0</v>
      </c>
      <c r="K2056">
        <v>0</v>
      </c>
      <c r="L2056">
        <v>7</v>
      </c>
      <c r="O2056">
        <v>7</v>
      </c>
      <c r="P2056">
        <v>0</v>
      </c>
      <c r="Q2056">
        <v>0</v>
      </c>
      <c r="R2056">
        <v>24.5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H2056">
        <v>24.5</v>
      </c>
    </row>
    <row r="2057" spans="1:34" x14ac:dyDescent="0.3">
      <c r="A2057" s="4">
        <v>2242</v>
      </c>
      <c r="B2057" s="5">
        <v>2050</v>
      </c>
      <c r="C2057">
        <v>1266</v>
      </c>
      <c r="D2057" t="s">
        <v>3169</v>
      </c>
      <c r="E2057" t="s">
        <v>161</v>
      </c>
      <c r="F2057" t="s">
        <v>442</v>
      </c>
      <c r="G2057" t="s">
        <v>30107</v>
      </c>
      <c r="H2057">
        <v>17.5</v>
      </c>
      <c r="I2057">
        <v>0</v>
      </c>
      <c r="J2057">
        <v>0</v>
      </c>
      <c r="K2057">
        <v>0</v>
      </c>
      <c r="N2057">
        <v>3</v>
      </c>
      <c r="O2057">
        <v>3</v>
      </c>
      <c r="P2057">
        <v>4</v>
      </c>
      <c r="Q2057">
        <v>0</v>
      </c>
      <c r="R2057">
        <v>24.5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H2057">
        <v>24.5</v>
      </c>
    </row>
    <row r="2058" spans="1:34" x14ac:dyDescent="0.3">
      <c r="A2058" s="4">
        <v>2243</v>
      </c>
      <c r="B2058" s="5">
        <v>2051</v>
      </c>
      <c r="C2058">
        <v>2084</v>
      </c>
      <c r="D2058" t="s">
        <v>30108</v>
      </c>
      <c r="E2058" t="s">
        <v>100</v>
      </c>
      <c r="F2058" t="s">
        <v>136</v>
      </c>
      <c r="G2058" t="s">
        <v>30109</v>
      </c>
      <c r="H2058">
        <v>17.5</v>
      </c>
      <c r="I2058">
        <v>0</v>
      </c>
      <c r="J2058">
        <v>0</v>
      </c>
      <c r="K2058">
        <v>0</v>
      </c>
      <c r="N2058">
        <v>3</v>
      </c>
      <c r="O2058">
        <v>3</v>
      </c>
      <c r="P2058">
        <v>4</v>
      </c>
      <c r="Q2058">
        <v>0</v>
      </c>
      <c r="R2058">
        <v>24.5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H2058">
        <v>24.5</v>
      </c>
    </row>
    <row r="2059" spans="1:34" x14ac:dyDescent="0.3">
      <c r="A2059" s="4">
        <v>2244</v>
      </c>
      <c r="B2059" s="5">
        <v>2052</v>
      </c>
      <c r="C2059">
        <v>10955</v>
      </c>
      <c r="D2059" t="s">
        <v>30110</v>
      </c>
      <c r="E2059" t="s">
        <v>816</v>
      </c>
      <c r="F2059" t="s">
        <v>20</v>
      </c>
      <c r="G2059" t="s">
        <v>30111</v>
      </c>
      <c r="H2059">
        <v>14.5</v>
      </c>
      <c r="I2059">
        <v>0</v>
      </c>
      <c r="J2059">
        <v>0</v>
      </c>
      <c r="K2059">
        <v>0</v>
      </c>
      <c r="O2059">
        <v>0</v>
      </c>
      <c r="P2059">
        <v>4</v>
      </c>
      <c r="Q2059">
        <v>0</v>
      </c>
      <c r="R2059">
        <v>18.5</v>
      </c>
      <c r="S2059">
        <v>6</v>
      </c>
      <c r="T2059">
        <v>6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6</v>
      </c>
      <c r="AB2059">
        <v>0</v>
      </c>
      <c r="AC2059">
        <v>0</v>
      </c>
      <c r="AH2059">
        <v>24.5</v>
      </c>
    </row>
    <row r="2060" spans="1:34" x14ac:dyDescent="0.3">
      <c r="A2060" s="4">
        <v>2245</v>
      </c>
      <c r="B2060" s="5">
        <v>2053</v>
      </c>
      <c r="C2060">
        <v>9790</v>
      </c>
      <c r="D2060" t="s">
        <v>25325</v>
      </c>
      <c r="E2060" t="s">
        <v>894</v>
      </c>
      <c r="F2060" t="s">
        <v>62</v>
      </c>
      <c r="G2060" t="s">
        <v>30112</v>
      </c>
      <c r="H2060">
        <v>17.45</v>
      </c>
      <c r="I2060">
        <v>0</v>
      </c>
      <c r="J2060">
        <v>0</v>
      </c>
      <c r="K2060">
        <v>0</v>
      </c>
      <c r="N2060">
        <v>3</v>
      </c>
      <c r="O2060">
        <v>3</v>
      </c>
      <c r="P2060">
        <v>4</v>
      </c>
      <c r="Q2060">
        <v>0</v>
      </c>
      <c r="R2060">
        <v>24.45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 t="s">
        <v>130</v>
      </c>
      <c r="AH2060">
        <v>24.45</v>
      </c>
    </row>
    <row r="2061" spans="1:34" x14ac:dyDescent="0.3">
      <c r="A2061" s="4">
        <v>2246</v>
      </c>
      <c r="B2061" s="5">
        <v>2054</v>
      </c>
      <c r="C2061">
        <v>14638</v>
      </c>
      <c r="D2061" t="s">
        <v>30113</v>
      </c>
      <c r="E2061" t="s">
        <v>283</v>
      </c>
      <c r="F2061" t="s">
        <v>488</v>
      </c>
      <c r="G2061" t="s">
        <v>30114</v>
      </c>
      <c r="H2061">
        <v>17.45</v>
      </c>
      <c r="I2061">
        <v>0</v>
      </c>
      <c r="J2061">
        <v>0</v>
      </c>
      <c r="K2061">
        <v>0</v>
      </c>
      <c r="N2061">
        <v>3</v>
      </c>
      <c r="O2061">
        <v>3</v>
      </c>
      <c r="P2061">
        <v>4</v>
      </c>
      <c r="Q2061">
        <v>0</v>
      </c>
      <c r="R2061">
        <v>24.45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H2061">
        <v>24.45</v>
      </c>
    </row>
    <row r="2062" spans="1:34" x14ac:dyDescent="0.3">
      <c r="A2062" s="4">
        <v>2247</v>
      </c>
      <c r="B2062" s="5">
        <v>2055</v>
      </c>
      <c r="C2062">
        <v>13407</v>
      </c>
      <c r="D2062" t="s">
        <v>30115</v>
      </c>
      <c r="E2062" t="s">
        <v>68</v>
      </c>
      <c r="F2062" t="s">
        <v>878</v>
      </c>
      <c r="G2062" t="s">
        <v>30116</v>
      </c>
      <c r="H2062">
        <v>17.45</v>
      </c>
      <c r="I2062">
        <v>0</v>
      </c>
      <c r="J2062">
        <v>0</v>
      </c>
      <c r="K2062">
        <v>0</v>
      </c>
      <c r="N2062">
        <v>3</v>
      </c>
      <c r="O2062">
        <v>3</v>
      </c>
      <c r="P2062">
        <v>4</v>
      </c>
      <c r="Q2062">
        <v>0</v>
      </c>
      <c r="R2062">
        <v>24.45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H2062">
        <v>24.45</v>
      </c>
    </row>
    <row r="2063" spans="1:34" x14ac:dyDescent="0.3">
      <c r="A2063" s="4">
        <v>2248</v>
      </c>
      <c r="B2063" s="5">
        <v>2056</v>
      </c>
      <c r="C2063">
        <v>6491</v>
      </c>
      <c r="D2063" t="s">
        <v>9742</v>
      </c>
      <c r="E2063" t="s">
        <v>110</v>
      </c>
      <c r="F2063" t="s">
        <v>30</v>
      </c>
      <c r="G2063" t="s">
        <v>30117</v>
      </c>
      <c r="H2063">
        <v>20.43</v>
      </c>
      <c r="I2063">
        <v>0</v>
      </c>
      <c r="J2063">
        <v>0</v>
      </c>
      <c r="K2063">
        <v>0</v>
      </c>
      <c r="O2063">
        <v>0</v>
      </c>
      <c r="P2063">
        <v>4</v>
      </c>
      <c r="Q2063">
        <v>0</v>
      </c>
      <c r="R2063">
        <v>24.43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H2063">
        <v>24.43</v>
      </c>
    </row>
    <row r="2064" spans="1:34" x14ac:dyDescent="0.3">
      <c r="A2064" s="4">
        <v>2249</v>
      </c>
      <c r="B2064" s="5">
        <v>2057</v>
      </c>
      <c r="C2064">
        <v>11871</v>
      </c>
      <c r="D2064" t="s">
        <v>30118</v>
      </c>
      <c r="E2064" t="s">
        <v>178</v>
      </c>
      <c r="F2064" t="s">
        <v>81</v>
      </c>
      <c r="G2064" t="s">
        <v>30119</v>
      </c>
      <c r="H2064">
        <v>17.43</v>
      </c>
      <c r="I2064">
        <v>0</v>
      </c>
      <c r="J2064">
        <v>0</v>
      </c>
      <c r="K2064">
        <v>0</v>
      </c>
      <c r="N2064">
        <v>3</v>
      </c>
      <c r="O2064">
        <v>3</v>
      </c>
      <c r="P2064">
        <v>4</v>
      </c>
      <c r="Q2064">
        <v>0</v>
      </c>
      <c r="R2064">
        <v>24.43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H2064">
        <v>24.43</v>
      </c>
    </row>
    <row r="2065" spans="1:34" x14ac:dyDescent="0.3">
      <c r="A2065" s="4">
        <v>2250</v>
      </c>
      <c r="B2065" s="5">
        <v>2058</v>
      </c>
      <c r="C2065">
        <v>7687</v>
      </c>
      <c r="D2065" t="s">
        <v>18016</v>
      </c>
      <c r="E2065" t="s">
        <v>161</v>
      </c>
      <c r="F2065" t="s">
        <v>20</v>
      </c>
      <c r="G2065" t="s">
        <v>30120</v>
      </c>
      <c r="H2065">
        <v>15.43</v>
      </c>
      <c r="I2065">
        <v>0</v>
      </c>
      <c r="J2065">
        <v>0</v>
      </c>
      <c r="K2065">
        <v>0</v>
      </c>
      <c r="N2065">
        <v>3</v>
      </c>
      <c r="O2065">
        <v>3</v>
      </c>
      <c r="P2065">
        <v>4</v>
      </c>
      <c r="Q2065">
        <v>2</v>
      </c>
      <c r="R2065">
        <v>24.43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H2065">
        <v>24.43</v>
      </c>
    </row>
    <row r="2066" spans="1:34" x14ac:dyDescent="0.3">
      <c r="A2066" s="4">
        <v>2251</v>
      </c>
      <c r="B2066" s="5">
        <v>2059</v>
      </c>
      <c r="C2066">
        <v>5657</v>
      </c>
      <c r="D2066" t="s">
        <v>30121</v>
      </c>
      <c r="E2066" t="s">
        <v>30122</v>
      </c>
      <c r="F2066" t="s">
        <v>17</v>
      </c>
      <c r="G2066" t="s">
        <v>30123</v>
      </c>
      <c r="H2066">
        <v>17.399999999999999</v>
      </c>
      <c r="I2066">
        <v>0</v>
      </c>
      <c r="J2066">
        <v>0</v>
      </c>
      <c r="K2066">
        <v>0</v>
      </c>
      <c r="N2066">
        <v>3</v>
      </c>
      <c r="O2066">
        <v>3</v>
      </c>
      <c r="P2066">
        <v>4</v>
      </c>
      <c r="Q2066">
        <v>0</v>
      </c>
      <c r="R2066">
        <v>24.4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H2066">
        <v>24.4</v>
      </c>
    </row>
    <row r="2067" spans="1:34" x14ac:dyDescent="0.3">
      <c r="A2067" s="4">
        <v>2252</v>
      </c>
      <c r="B2067" s="5">
        <v>2060</v>
      </c>
      <c r="C2067">
        <v>10090</v>
      </c>
      <c r="D2067" t="s">
        <v>30124</v>
      </c>
      <c r="E2067" t="s">
        <v>41</v>
      </c>
      <c r="F2067" t="s">
        <v>328</v>
      </c>
      <c r="G2067" t="s">
        <v>30125</v>
      </c>
      <c r="H2067">
        <v>15.4</v>
      </c>
      <c r="I2067">
        <v>0</v>
      </c>
      <c r="J2067">
        <v>0</v>
      </c>
      <c r="K2067">
        <v>0</v>
      </c>
      <c r="N2067">
        <v>3</v>
      </c>
      <c r="O2067">
        <v>3</v>
      </c>
      <c r="P2067">
        <v>4</v>
      </c>
      <c r="Q2067">
        <v>2</v>
      </c>
      <c r="R2067">
        <v>24.4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H2067">
        <v>24.4</v>
      </c>
    </row>
    <row r="2068" spans="1:34" x14ac:dyDescent="0.3">
      <c r="A2068" s="4">
        <v>2253</v>
      </c>
      <c r="B2068" s="5">
        <v>2061</v>
      </c>
      <c r="C2068">
        <v>4110</v>
      </c>
      <c r="D2068" t="s">
        <v>30126</v>
      </c>
      <c r="E2068" t="s">
        <v>957</v>
      </c>
      <c r="F2068" t="s">
        <v>38</v>
      </c>
      <c r="G2068" t="s">
        <v>30127</v>
      </c>
      <c r="H2068">
        <v>17.38</v>
      </c>
      <c r="I2068">
        <v>0</v>
      </c>
      <c r="J2068">
        <v>0</v>
      </c>
      <c r="K2068">
        <v>0</v>
      </c>
      <c r="N2068">
        <v>3</v>
      </c>
      <c r="O2068">
        <v>3</v>
      </c>
      <c r="P2068">
        <v>4</v>
      </c>
      <c r="Q2068">
        <v>0</v>
      </c>
      <c r="R2068">
        <v>24.38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H2068">
        <v>24.38</v>
      </c>
    </row>
    <row r="2069" spans="1:34" x14ac:dyDescent="0.3">
      <c r="A2069" s="4">
        <v>2254</v>
      </c>
      <c r="B2069" s="5">
        <v>2062</v>
      </c>
      <c r="C2069">
        <v>7536</v>
      </c>
      <c r="D2069" t="s">
        <v>932</v>
      </c>
      <c r="E2069" t="s">
        <v>1280</v>
      </c>
      <c r="F2069" t="s">
        <v>38</v>
      </c>
      <c r="G2069" t="s">
        <v>30128</v>
      </c>
      <c r="H2069">
        <v>18.350000000000001</v>
      </c>
      <c r="I2069">
        <v>0</v>
      </c>
      <c r="J2069">
        <v>0</v>
      </c>
      <c r="K2069">
        <v>0</v>
      </c>
      <c r="O2069">
        <v>0</v>
      </c>
      <c r="P2069">
        <v>4</v>
      </c>
      <c r="Q2069">
        <v>2</v>
      </c>
      <c r="R2069">
        <v>24.35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 t="s">
        <v>130</v>
      </c>
      <c r="AH2069">
        <v>24.35</v>
      </c>
    </row>
    <row r="2070" spans="1:34" x14ac:dyDescent="0.3">
      <c r="A2070" s="4">
        <v>2255</v>
      </c>
      <c r="B2070" s="5">
        <v>2063</v>
      </c>
      <c r="C2070">
        <v>6440</v>
      </c>
      <c r="D2070" t="s">
        <v>19247</v>
      </c>
      <c r="E2070" t="s">
        <v>178</v>
      </c>
      <c r="F2070" t="s">
        <v>81</v>
      </c>
      <c r="G2070" t="s">
        <v>30129</v>
      </c>
      <c r="H2070">
        <v>17.350000000000001</v>
      </c>
      <c r="I2070">
        <v>0</v>
      </c>
      <c r="J2070">
        <v>0</v>
      </c>
      <c r="K2070">
        <v>0</v>
      </c>
      <c r="N2070">
        <v>3</v>
      </c>
      <c r="O2070">
        <v>3</v>
      </c>
      <c r="P2070">
        <v>4</v>
      </c>
      <c r="Q2070">
        <v>0</v>
      </c>
      <c r="R2070">
        <v>24.35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H2070">
        <v>24.35</v>
      </c>
    </row>
    <row r="2071" spans="1:34" x14ac:dyDescent="0.3">
      <c r="A2071" s="4">
        <v>2256</v>
      </c>
      <c r="B2071" s="5">
        <v>2064</v>
      </c>
      <c r="C2071">
        <v>13107</v>
      </c>
      <c r="D2071" t="s">
        <v>7881</v>
      </c>
      <c r="E2071" t="s">
        <v>54</v>
      </c>
      <c r="F2071" t="s">
        <v>81</v>
      </c>
      <c r="G2071" t="s">
        <v>30130</v>
      </c>
      <c r="H2071">
        <v>17.329999999999998</v>
      </c>
      <c r="I2071">
        <v>0</v>
      </c>
      <c r="J2071">
        <v>0</v>
      </c>
      <c r="K2071">
        <v>0</v>
      </c>
      <c r="O2071">
        <v>0</v>
      </c>
      <c r="P2071">
        <v>4</v>
      </c>
      <c r="Q2071">
        <v>0</v>
      </c>
      <c r="R2071">
        <v>21.33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3</v>
      </c>
      <c r="AC2071">
        <v>0</v>
      </c>
      <c r="AH2071">
        <v>24.33</v>
      </c>
    </row>
    <row r="2072" spans="1:34" x14ac:dyDescent="0.3">
      <c r="A2072" s="4">
        <v>2257</v>
      </c>
      <c r="B2072" s="5">
        <v>2065</v>
      </c>
      <c r="C2072">
        <v>6976</v>
      </c>
      <c r="D2072" t="s">
        <v>22098</v>
      </c>
      <c r="E2072" t="s">
        <v>37</v>
      </c>
      <c r="F2072" t="s">
        <v>81</v>
      </c>
      <c r="G2072" t="s">
        <v>30131</v>
      </c>
      <c r="H2072">
        <v>17.329999999999998</v>
      </c>
      <c r="I2072">
        <v>0</v>
      </c>
      <c r="J2072">
        <v>0</v>
      </c>
      <c r="K2072">
        <v>0</v>
      </c>
      <c r="N2072">
        <v>3</v>
      </c>
      <c r="O2072">
        <v>3</v>
      </c>
      <c r="P2072">
        <v>4</v>
      </c>
      <c r="Q2072">
        <v>0</v>
      </c>
      <c r="R2072">
        <v>24.33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H2072">
        <v>24.33</v>
      </c>
    </row>
    <row r="2073" spans="1:34" x14ac:dyDescent="0.3">
      <c r="A2073" s="4">
        <v>2258</v>
      </c>
      <c r="B2073" s="5">
        <v>2066</v>
      </c>
      <c r="C2073">
        <v>4831</v>
      </c>
      <c r="D2073" t="s">
        <v>30132</v>
      </c>
      <c r="E2073" t="s">
        <v>2843</v>
      </c>
      <c r="F2073" t="s">
        <v>521</v>
      </c>
      <c r="G2073" t="s">
        <v>30133</v>
      </c>
      <c r="H2073">
        <v>17.3</v>
      </c>
      <c r="I2073">
        <v>0</v>
      </c>
      <c r="J2073">
        <v>0</v>
      </c>
      <c r="K2073">
        <v>0</v>
      </c>
      <c r="N2073">
        <v>3</v>
      </c>
      <c r="O2073">
        <v>3</v>
      </c>
      <c r="P2073">
        <v>4</v>
      </c>
      <c r="Q2073">
        <v>0</v>
      </c>
      <c r="R2073">
        <v>24.3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H2073">
        <v>24.3</v>
      </c>
    </row>
    <row r="2074" spans="1:34" x14ac:dyDescent="0.3">
      <c r="A2074" s="4">
        <v>2259</v>
      </c>
      <c r="B2074" s="5">
        <v>2067</v>
      </c>
      <c r="C2074">
        <v>9519</v>
      </c>
      <c r="D2074" t="s">
        <v>17829</v>
      </c>
      <c r="E2074" t="s">
        <v>26</v>
      </c>
      <c r="F2074" t="s">
        <v>150</v>
      </c>
      <c r="G2074" t="s">
        <v>30134</v>
      </c>
      <c r="H2074">
        <v>17.3</v>
      </c>
      <c r="I2074">
        <v>0</v>
      </c>
      <c r="J2074">
        <v>0</v>
      </c>
      <c r="K2074">
        <v>0</v>
      </c>
      <c r="L2074">
        <v>7</v>
      </c>
      <c r="O2074">
        <v>7</v>
      </c>
      <c r="P2074">
        <v>0</v>
      </c>
      <c r="Q2074">
        <v>0</v>
      </c>
      <c r="R2074">
        <v>24.3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H2074">
        <v>24.3</v>
      </c>
    </row>
    <row r="2075" spans="1:34" x14ac:dyDescent="0.3">
      <c r="A2075" s="4">
        <v>2260</v>
      </c>
      <c r="B2075" s="5">
        <v>2068</v>
      </c>
      <c r="C2075">
        <v>13684</v>
      </c>
      <c r="D2075" t="s">
        <v>30135</v>
      </c>
      <c r="E2075" t="s">
        <v>894</v>
      </c>
      <c r="F2075" t="s">
        <v>17868</v>
      </c>
      <c r="G2075" t="s">
        <v>30136</v>
      </c>
      <c r="H2075">
        <v>17.28</v>
      </c>
      <c r="I2075">
        <v>0</v>
      </c>
      <c r="J2075">
        <v>0</v>
      </c>
      <c r="K2075">
        <v>0</v>
      </c>
      <c r="N2075">
        <v>3</v>
      </c>
      <c r="O2075">
        <v>3</v>
      </c>
      <c r="P2075">
        <v>4</v>
      </c>
      <c r="Q2075">
        <v>0</v>
      </c>
      <c r="R2075">
        <v>24.28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H2075">
        <v>24.28</v>
      </c>
    </row>
    <row r="2076" spans="1:34" x14ac:dyDescent="0.3">
      <c r="A2076" s="4">
        <v>2261</v>
      </c>
      <c r="B2076" s="5">
        <v>2069</v>
      </c>
      <c r="C2076">
        <v>8504</v>
      </c>
      <c r="D2076" t="s">
        <v>30137</v>
      </c>
      <c r="E2076" t="s">
        <v>54</v>
      </c>
      <c r="F2076" t="s">
        <v>91</v>
      </c>
      <c r="G2076" t="s">
        <v>30138</v>
      </c>
      <c r="H2076">
        <v>17.25</v>
      </c>
      <c r="I2076">
        <v>0</v>
      </c>
      <c r="J2076">
        <v>0</v>
      </c>
      <c r="K2076">
        <v>0</v>
      </c>
      <c r="N2076">
        <v>3</v>
      </c>
      <c r="O2076">
        <v>3</v>
      </c>
      <c r="P2076">
        <v>4</v>
      </c>
      <c r="Q2076">
        <v>0</v>
      </c>
      <c r="R2076">
        <v>24.25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H2076">
        <v>24.25</v>
      </c>
    </row>
    <row r="2077" spans="1:34" x14ac:dyDescent="0.3">
      <c r="A2077" s="4">
        <v>2262</v>
      </c>
      <c r="B2077" s="5">
        <v>2070</v>
      </c>
      <c r="C2077">
        <v>3486</v>
      </c>
      <c r="D2077" t="s">
        <v>28318</v>
      </c>
      <c r="E2077" t="s">
        <v>71</v>
      </c>
      <c r="F2077" t="s">
        <v>38</v>
      </c>
      <c r="G2077" t="s">
        <v>30139</v>
      </c>
      <c r="H2077">
        <v>15.23</v>
      </c>
      <c r="I2077">
        <v>0</v>
      </c>
      <c r="J2077">
        <v>0</v>
      </c>
      <c r="K2077">
        <v>0</v>
      </c>
      <c r="N2077">
        <v>3</v>
      </c>
      <c r="O2077">
        <v>3</v>
      </c>
      <c r="P2077">
        <v>4</v>
      </c>
      <c r="Q2077">
        <v>2</v>
      </c>
      <c r="R2077">
        <v>24.23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H2077">
        <v>24.23</v>
      </c>
    </row>
    <row r="2078" spans="1:34" x14ac:dyDescent="0.3">
      <c r="A2078" s="4">
        <v>2263</v>
      </c>
      <c r="B2078" s="5">
        <v>2071</v>
      </c>
      <c r="C2078">
        <v>2196</v>
      </c>
      <c r="D2078" t="s">
        <v>9603</v>
      </c>
      <c r="E2078" t="s">
        <v>136</v>
      </c>
      <c r="F2078" t="s">
        <v>30140</v>
      </c>
      <c r="G2078" t="s">
        <v>30141</v>
      </c>
      <c r="H2078">
        <v>20.18</v>
      </c>
      <c r="I2078">
        <v>0</v>
      </c>
      <c r="J2078">
        <v>0</v>
      </c>
      <c r="K2078">
        <v>0</v>
      </c>
      <c r="O2078">
        <v>0</v>
      </c>
      <c r="P2078">
        <v>4</v>
      </c>
      <c r="Q2078">
        <v>0</v>
      </c>
      <c r="R2078">
        <v>24.18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H2078">
        <v>24.18</v>
      </c>
    </row>
    <row r="2079" spans="1:34" x14ac:dyDescent="0.3">
      <c r="A2079" s="4">
        <v>2264</v>
      </c>
      <c r="B2079" s="5">
        <v>2072</v>
      </c>
      <c r="C2079">
        <v>3853</v>
      </c>
      <c r="D2079" t="s">
        <v>30142</v>
      </c>
      <c r="E2079" t="s">
        <v>17</v>
      </c>
      <c r="F2079" t="s">
        <v>20</v>
      </c>
      <c r="G2079" t="s">
        <v>30143</v>
      </c>
      <c r="H2079">
        <v>20.18</v>
      </c>
      <c r="I2079">
        <v>0</v>
      </c>
      <c r="J2079">
        <v>0</v>
      </c>
      <c r="K2079">
        <v>0</v>
      </c>
      <c r="O2079">
        <v>0</v>
      </c>
      <c r="P2079">
        <v>4</v>
      </c>
      <c r="Q2079">
        <v>0</v>
      </c>
      <c r="R2079">
        <v>24.18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 t="s">
        <v>130</v>
      </c>
      <c r="AH2079">
        <v>24.18</v>
      </c>
    </row>
    <row r="2080" spans="1:34" x14ac:dyDescent="0.3">
      <c r="A2080" s="4">
        <v>2265</v>
      </c>
      <c r="B2080" s="5">
        <v>2073</v>
      </c>
      <c r="C2080">
        <v>14069</v>
      </c>
      <c r="D2080" t="s">
        <v>775</v>
      </c>
      <c r="E2080" t="s">
        <v>30144</v>
      </c>
      <c r="F2080" t="s">
        <v>30</v>
      </c>
      <c r="G2080" t="s">
        <v>30145</v>
      </c>
      <c r="H2080">
        <v>18.149999999999999</v>
      </c>
      <c r="I2080">
        <v>0</v>
      </c>
      <c r="J2080">
        <v>0</v>
      </c>
      <c r="K2080">
        <v>0</v>
      </c>
      <c r="O2080">
        <v>0</v>
      </c>
      <c r="P2080">
        <v>4</v>
      </c>
      <c r="Q2080">
        <v>2</v>
      </c>
      <c r="R2080">
        <v>24.15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H2080">
        <v>24.15</v>
      </c>
    </row>
    <row r="2081" spans="1:34" x14ac:dyDescent="0.3">
      <c r="A2081" s="4">
        <v>2266</v>
      </c>
      <c r="B2081" s="5">
        <v>2074</v>
      </c>
      <c r="C2081">
        <v>11305</v>
      </c>
      <c r="D2081" t="s">
        <v>1736</v>
      </c>
      <c r="E2081" t="s">
        <v>208</v>
      </c>
      <c r="F2081" t="s">
        <v>34</v>
      </c>
      <c r="G2081" t="s">
        <v>30146</v>
      </c>
      <c r="H2081">
        <v>17.149999999999999</v>
      </c>
      <c r="I2081">
        <v>0</v>
      </c>
      <c r="J2081">
        <v>0</v>
      </c>
      <c r="K2081">
        <v>0</v>
      </c>
      <c r="N2081">
        <v>3</v>
      </c>
      <c r="O2081">
        <v>3</v>
      </c>
      <c r="P2081">
        <v>4</v>
      </c>
      <c r="Q2081">
        <v>0</v>
      </c>
      <c r="R2081">
        <v>24.15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H2081">
        <v>24.15</v>
      </c>
    </row>
    <row r="2082" spans="1:34" x14ac:dyDescent="0.3">
      <c r="A2082" s="4">
        <v>2267</v>
      </c>
      <c r="B2082" s="5">
        <v>2075</v>
      </c>
      <c r="C2082">
        <v>10450</v>
      </c>
      <c r="D2082" t="s">
        <v>30147</v>
      </c>
      <c r="E2082" t="s">
        <v>88</v>
      </c>
      <c r="F2082" t="s">
        <v>81</v>
      </c>
      <c r="G2082" t="s">
        <v>30148</v>
      </c>
      <c r="H2082">
        <v>17.13</v>
      </c>
      <c r="I2082">
        <v>0</v>
      </c>
      <c r="J2082">
        <v>0</v>
      </c>
      <c r="K2082">
        <v>0</v>
      </c>
      <c r="O2082">
        <v>0</v>
      </c>
      <c r="P2082">
        <v>4</v>
      </c>
      <c r="Q2082">
        <v>0</v>
      </c>
      <c r="R2082">
        <v>21.13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3</v>
      </c>
      <c r="AC2082">
        <v>0</v>
      </c>
      <c r="AH2082">
        <v>24.13</v>
      </c>
    </row>
    <row r="2083" spans="1:34" x14ac:dyDescent="0.3">
      <c r="A2083" s="4">
        <v>2268</v>
      </c>
      <c r="B2083" s="5">
        <v>2076</v>
      </c>
      <c r="C2083">
        <v>11282</v>
      </c>
      <c r="D2083" t="s">
        <v>30149</v>
      </c>
      <c r="E2083" t="s">
        <v>97</v>
      </c>
      <c r="F2083" t="s">
        <v>782</v>
      </c>
      <c r="G2083" t="s">
        <v>30150</v>
      </c>
      <c r="H2083">
        <v>17.13</v>
      </c>
      <c r="I2083">
        <v>0</v>
      </c>
      <c r="J2083">
        <v>0</v>
      </c>
      <c r="K2083">
        <v>0</v>
      </c>
      <c r="N2083">
        <v>3</v>
      </c>
      <c r="O2083">
        <v>3</v>
      </c>
      <c r="P2083">
        <v>4</v>
      </c>
      <c r="Q2083">
        <v>0</v>
      </c>
      <c r="R2083">
        <v>24.13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H2083">
        <v>24.13</v>
      </c>
    </row>
    <row r="2084" spans="1:34" x14ac:dyDescent="0.3">
      <c r="A2084" s="4">
        <v>2269</v>
      </c>
      <c r="B2084" s="5">
        <v>2077</v>
      </c>
      <c r="C2084">
        <v>9665</v>
      </c>
      <c r="D2084" t="s">
        <v>16548</v>
      </c>
      <c r="E2084" t="s">
        <v>132</v>
      </c>
      <c r="F2084" t="s">
        <v>243</v>
      </c>
      <c r="G2084" t="s">
        <v>30151</v>
      </c>
      <c r="H2084">
        <v>17.13</v>
      </c>
      <c r="I2084">
        <v>0</v>
      </c>
      <c r="J2084">
        <v>0</v>
      </c>
      <c r="K2084">
        <v>0</v>
      </c>
      <c r="N2084">
        <v>3</v>
      </c>
      <c r="O2084">
        <v>3</v>
      </c>
      <c r="P2084">
        <v>4</v>
      </c>
      <c r="Q2084">
        <v>0</v>
      </c>
      <c r="R2084">
        <v>24.13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H2084">
        <v>24.13</v>
      </c>
    </row>
    <row r="2085" spans="1:34" x14ac:dyDescent="0.3">
      <c r="A2085" s="4">
        <v>2270</v>
      </c>
      <c r="B2085" s="5">
        <v>2078</v>
      </c>
      <c r="C2085">
        <v>15218</v>
      </c>
      <c r="D2085" t="s">
        <v>6423</v>
      </c>
      <c r="E2085" t="s">
        <v>170</v>
      </c>
      <c r="F2085" t="s">
        <v>17</v>
      </c>
      <c r="G2085" t="s">
        <v>30152</v>
      </c>
      <c r="H2085">
        <v>17.13</v>
      </c>
      <c r="I2085">
        <v>0</v>
      </c>
      <c r="J2085">
        <v>0</v>
      </c>
      <c r="K2085">
        <v>0</v>
      </c>
      <c r="L2085">
        <v>7</v>
      </c>
      <c r="O2085">
        <v>7</v>
      </c>
      <c r="P2085">
        <v>0</v>
      </c>
      <c r="Q2085">
        <v>0</v>
      </c>
      <c r="R2085">
        <v>24.13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H2085">
        <v>24.13</v>
      </c>
    </row>
    <row r="2086" spans="1:34" x14ac:dyDescent="0.3">
      <c r="A2086" s="4">
        <v>2271</v>
      </c>
      <c r="B2086" s="5">
        <v>2079</v>
      </c>
      <c r="C2086">
        <v>6155</v>
      </c>
      <c r="D2086" t="s">
        <v>30153</v>
      </c>
      <c r="E2086" t="s">
        <v>789</v>
      </c>
      <c r="F2086" t="s">
        <v>62</v>
      </c>
      <c r="G2086" t="s">
        <v>30154</v>
      </c>
      <c r="H2086">
        <v>18.100000000000001</v>
      </c>
      <c r="I2086">
        <v>0</v>
      </c>
      <c r="J2086">
        <v>0</v>
      </c>
      <c r="K2086">
        <v>0</v>
      </c>
      <c r="O2086">
        <v>0</v>
      </c>
      <c r="P2086">
        <v>0</v>
      </c>
      <c r="Q2086">
        <v>0</v>
      </c>
      <c r="R2086">
        <v>18.100000000000001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6</v>
      </c>
      <c r="AC2086">
        <v>0</v>
      </c>
      <c r="AH2086">
        <v>24.1</v>
      </c>
    </row>
    <row r="2087" spans="1:34" x14ac:dyDescent="0.3">
      <c r="A2087" s="4">
        <v>2272</v>
      </c>
      <c r="B2087" s="5">
        <v>2080</v>
      </c>
      <c r="C2087">
        <v>530</v>
      </c>
      <c r="D2087" t="s">
        <v>3621</v>
      </c>
      <c r="E2087" t="s">
        <v>170</v>
      </c>
      <c r="F2087" t="s">
        <v>136</v>
      </c>
      <c r="G2087" t="s">
        <v>30155</v>
      </c>
      <c r="H2087">
        <v>17.079999999999998</v>
      </c>
      <c r="I2087">
        <v>0</v>
      </c>
      <c r="J2087">
        <v>0</v>
      </c>
      <c r="K2087">
        <v>0</v>
      </c>
      <c r="N2087">
        <v>3</v>
      </c>
      <c r="O2087">
        <v>3</v>
      </c>
      <c r="P2087">
        <v>4</v>
      </c>
      <c r="Q2087">
        <v>0</v>
      </c>
      <c r="R2087">
        <v>24.08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H2087">
        <v>24.08</v>
      </c>
    </row>
    <row r="2088" spans="1:34" x14ac:dyDescent="0.3">
      <c r="A2088" s="4">
        <v>2273</v>
      </c>
      <c r="B2088" s="5">
        <v>2081</v>
      </c>
      <c r="C2088">
        <v>3680</v>
      </c>
      <c r="D2088" t="s">
        <v>30156</v>
      </c>
      <c r="E2088" t="s">
        <v>789</v>
      </c>
      <c r="F2088" t="s">
        <v>17</v>
      </c>
      <c r="G2088" t="s">
        <v>30157</v>
      </c>
      <c r="H2088">
        <v>17.079999999999998</v>
      </c>
      <c r="I2088">
        <v>0</v>
      </c>
      <c r="J2088">
        <v>0</v>
      </c>
      <c r="K2088">
        <v>0</v>
      </c>
      <c r="L2088">
        <v>7</v>
      </c>
      <c r="O2088">
        <v>7</v>
      </c>
      <c r="P2088">
        <v>0</v>
      </c>
      <c r="Q2088">
        <v>0</v>
      </c>
      <c r="R2088">
        <v>24.08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H2088">
        <v>24.08</v>
      </c>
    </row>
    <row r="2089" spans="1:34" x14ac:dyDescent="0.3">
      <c r="A2089" s="4">
        <v>2274</v>
      </c>
      <c r="B2089" s="5">
        <v>2082</v>
      </c>
      <c r="C2089">
        <v>14754</v>
      </c>
      <c r="D2089" t="s">
        <v>10951</v>
      </c>
      <c r="E2089" t="s">
        <v>136</v>
      </c>
      <c r="F2089" t="s">
        <v>117</v>
      </c>
      <c r="G2089" t="s">
        <v>30158</v>
      </c>
      <c r="H2089">
        <v>17.05</v>
      </c>
      <c r="I2089">
        <v>0</v>
      </c>
      <c r="J2089">
        <v>0</v>
      </c>
      <c r="K2089">
        <v>0</v>
      </c>
      <c r="N2089">
        <v>3</v>
      </c>
      <c r="O2089">
        <v>3</v>
      </c>
      <c r="P2089">
        <v>4</v>
      </c>
      <c r="Q2089">
        <v>0</v>
      </c>
      <c r="R2089">
        <v>24.05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H2089">
        <v>24.05</v>
      </c>
    </row>
    <row r="2090" spans="1:34" x14ac:dyDescent="0.3">
      <c r="A2090" s="4">
        <v>2275</v>
      </c>
      <c r="B2090" s="5">
        <v>2083</v>
      </c>
      <c r="C2090">
        <v>200</v>
      </c>
      <c r="D2090" t="s">
        <v>30159</v>
      </c>
      <c r="E2090" t="s">
        <v>957</v>
      </c>
      <c r="F2090" t="s">
        <v>230</v>
      </c>
      <c r="G2090" t="s">
        <v>30160</v>
      </c>
      <c r="H2090">
        <v>15.05</v>
      </c>
      <c r="I2090">
        <v>0</v>
      </c>
      <c r="J2090">
        <v>0</v>
      </c>
      <c r="K2090">
        <v>0</v>
      </c>
      <c r="N2090">
        <v>3</v>
      </c>
      <c r="O2090">
        <v>3</v>
      </c>
      <c r="P2090">
        <v>4</v>
      </c>
      <c r="Q2090">
        <v>2</v>
      </c>
      <c r="R2090">
        <v>24.05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 t="s">
        <v>130</v>
      </c>
      <c r="AH2090">
        <v>24.05</v>
      </c>
    </row>
    <row r="2091" spans="1:34" x14ac:dyDescent="0.3">
      <c r="A2091" s="4">
        <v>2276</v>
      </c>
      <c r="B2091" s="5">
        <v>2084</v>
      </c>
      <c r="C2091">
        <v>7513</v>
      </c>
      <c r="D2091" t="s">
        <v>27684</v>
      </c>
      <c r="E2091" t="s">
        <v>2582</v>
      </c>
      <c r="F2091" t="s">
        <v>1450</v>
      </c>
      <c r="G2091" t="s">
        <v>30161</v>
      </c>
      <c r="H2091">
        <v>15.05</v>
      </c>
      <c r="I2091">
        <v>0</v>
      </c>
      <c r="J2091">
        <v>0</v>
      </c>
      <c r="K2091">
        <v>0</v>
      </c>
      <c r="M2091">
        <v>5</v>
      </c>
      <c r="O2091">
        <v>5</v>
      </c>
      <c r="P2091">
        <v>4</v>
      </c>
      <c r="Q2091">
        <v>0</v>
      </c>
      <c r="R2091">
        <v>24.05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H2091">
        <v>24.05</v>
      </c>
    </row>
    <row r="2092" spans="1:34" x14ac:dyDescent="0.3">
      <c r="A2092" s="4">
        <v>2277</v>
      </c>
      <c r="B2092" s="5">
        <v>2085</v>
      </c>
      <c r="C2092">
        <v>9701</v>
      </c>
      <c r="D2092" t="s">
        <v>1791</v>
      </c>
      <c r="E2092" t="s">
        <v>29</v>
      </c>
      <c r="F2092" t="s">
        <v>1806</v>
      </c>
      <c r="G2092" t="s">
        <v>30162</v>
      </c>
      <c r="H2092">
        <v>18.03</v>
      </c>
      <c r="I2092">
        <v>0</v>
      </c>
      <c r="J2092">
        <v>0</v>
      </c>
      <c r="K2092">
        <v>0</v>
      </c>
      <c r="O2092">
        <v>0</v>
      </c>
      <c r="P2092">
        <v>4</v>
      </c>
      <c r="Q2092">
        <v>2</v>
      </c>
      <c r="R2092">
        <v>24.03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H2092">
        <v>24.03</v>
      </c>
    </row>
    <row r="2093" spans="1:34" x14ac:dyDescent="0.3">
      <c r="A2093" s="4">
        <v>2278</v>
      </c>
      <c r="B2093" s="5">
        <v>2086</v>
      </c>
      <c r="C2093">
        <v>14079</v>
      </c>
      <c r="D2093" t="s">
        <v>5245</v>
      </c>
      <c r="E2093" t="s">
        <v>54</v>
      </c>
      <c r="F2093" t="s">
        <v>38</v>
      </c>
      <c r="G2093" t="s">
        <v>30163</v>
      </c>
      <c r="H2093">
        <v>17.03</v>
      </c>
      <c r="I2093">
        <v>0</v>
      </c>
      <c r="J2093">
        <v>0</v>
      </c>
      <c r="K2093">
        <v>0</v>
      </c>
      <c r="N2093">
        <v>3</v>
      </c>
      <c r="O2093">
        <v>3</v>
      </c>
      <c r="P2093">
        <v>4</v>
      </c>
      <c r="Q2093">
        <v>0</v>
      </c>
      <c r="R2093">
        <v>24.03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H2093">
        <v>24.03</v>
      </c>
    </row>
    <row r="2094" spans="1:34" x14ac:dyDescent="0.3">
      <c r="A2094" s="4">
        <v>2279</v>
      </c>
      <c r="B2094" s="5">
        <v>2087</v>
      </c>
      <c r="C2094">
        <v>7813</v>
      </c>
      <c r="D2094" t="s">
        <v>30164</v>
      </c>
      <c r="E2094" t="s">
        <v>213</v>
      </c>
      <c r="F2094" t="s">
        <v>9291</v>
      </c>
      <c r="G2094" t="s">
        <v>30165</v>
      </c>
      <c r="H2094">
        <v>17.03</v>
      </c>
      <c r="I2094">
        <v>0</v>
      </c>
      <c r="J2094">
        <v>0</v>
      </c>
      <c r="K2094">
        <v>0</v>
      </c>
      <c r="N2094">
        <v>3</v>
      </c>
      <c r="O2094">
        <v>3</v>
      </c>
      <c r="P2094">
        <v>4</v>
      </c>
      <c r="Q2094">
        <v>0</v>
      </c>
      <c r="R2094">
        <v>24.03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H2094">
        <v>24.03</v>
      </c>
    </row>
    <row r="2095" spans="1:34" x14ac:dyDescent="0.3">
      <c r="A2095" s="4">
        <v>2280</v>
      </c>
      <c r="B2095" s="5">
        <v>2088</v>
      </c>
      <c r="C2095">
        <v>15432</v>
      </c>
      <c r="D2095" t="s">
        <v>30166</v>
      </c>
      <c r="E2095" t="s">
        <v>15271</v>
      </c>
      <c r="F2095" t="s">
        <v>20</v>
      </c>
      <c r="G2095" t="s">
        <v>30167</v>
      </c>
      <c r="H2095">
        <v>17</v>
      </c>
      <c r="I2095">
        <v>0</v>
      </c>
      <c r="J2095">
        <v>0</v>
      </c>
      <c r="K2095">
        <v>0</v>
      </c>
      <c r="N2095">
        <v>3</v>
      </c>
      <c r="O2095">
        <v>3</v>
      </c>
      <c r="P2095">
        <v>4</v>
      </c>
      <c r="Q2095">
        <v>0</v>
      </c>
      <c r="R2095">
        <v>24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H2095">
        <v>24</v>
      </c>
    </row>
    <row r="2096" spans="1:34" x14ac:dyDescent="0.3">
      <c r="A2096" s="4">
        <v>2281</v>
      </c>
      <c r="B2096" s="5">
        <v>2089</v>
      </c>
      <c r="C2096">
        <v>5188</v>
      </c>
      <c r="D2096" t="s">
        <v>30168</v>
      </c>
      <c r="E2096" t="s">
        <v>33</v>
      </c>
      <c r="F2096" t="s">
        <v>570</v>
      </c>
      <c r="G2096" t="s">
        <v>30169</v>
      </c>
      <c r="H2096">
        <v>17</v>
      </c>
      <c r="I2096">
        <v>0</v>
      </c>
      <c r="J2096">
        <v>0</v>
      </c>
      <c r="K2096">
        <v>0</v>
      </c>
      <c r="N2096">
        <v>3</v>
      </c>
      <c r="O2096">
        <v>3</v>
      </c>
      <c r="P2096">
        <v>4</v>
      </c>
      <c r="Q2096">
        <v>0</v>
      </c>
      <c r="R2096">
        <v>24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H2096">
        <v>24</v>
      </c>
    </row>
    <row r="2097" spans="1:34" x14ac:dyDescent="0.3">
      <c r="A2097" s="4">
        <v>2282</v>
      </c>
      <c r="B2097" s="5">
        <v>2090</v>
      </c>
      <c r="C2097">
        <v>14713</v>
      </c>
      <c r="D2097" t="s">
        <v>30170</v>
      </c>
      <c r="E2097" t="s">
        <v>20</v>
      </c>
      <c r="F2097" t="s">
        <v>343</v>
      </c>
      <c r="G2097" t="s">
        <v>30171</v>
      </c>
      <c r="H2097">
        <v>17</v>
      </c>
      <c r="I2097">
        <v>0</v>
      </c>
      <c r="J2097">
        <v>0</v>
      </c>
      <c r="K2097">
        <v>0</v>
      </c>
      <c r="N2097">
        <v>3</v>
      </c>
      <c r="O2097">
        <v>3</v>
      </c>
      <c r="P2097">
        <v>4</v>
      </c>
      <c r="Q2097">
        <v>0</v>
      </c>
      <c r="R2097">
        <v>24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H2097">
        <v>24</v>
      </c>
    </row>
    <row r="2098" spans="1:34" x14ac:dyDescent="0.3">
      <c r="A2098" s="4">
        <v>2283</v>
      </c>
      <c r="B2098" s="5">
        <v>2091</v>
      </c>
      <c r="C2098">
        <v>9483</v>
      </c>
      <c r="D2098" t="s">
        <v>857</v>
      </c>
      <c r="E2098" t="s">
        <v>648</v>
      </c>
      <c r="F2098" t="s">
        <v>14</v>
      </c>
      <c r="G2098" t="s">
        <v>30172</v>
      </c>
      <c r="H2098">
        <v>16.98</v>
      </c>
      <c r="I2098">
        <v>0</v>
      </c>
      <c r="J2098">
        <v>0</v>
      </c>
      <c r="K2098">
        <v>0</v>
      </c>
      <c r="L2098">
        <v>7</v>
      </c>
      <c r="O2098">
        <v>7</v>
      </c>
      <c r="P2098">
        <v>0</v>
      </c>
      <c r="Q2098">
        <v>0</v>
      </c>
      <c r="R2098">
        <v>23.98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H2098">
        <v>23.98</v>
      </c>
    </row>
    <row r="2099" spans="1:34" x14ac:dyDescent="0.3">
      <c r="A2099" s="4">
        <v>2284</v>
      </c>
      <c r="B2099" s="5">
        <v>2092</v>
      </c>
      <c r="C2099">
        <v>12134</v>
      </c>
      <c r="D2099" t="s">
        <v>14523</v>
      </c>
      <c r="E2099" t="s">
        <v>68</v>
      </c>
      <c r="F2099" t="s">
        <v>117</v>
      </c>
      <c r="G2099" t="s">
        <v>30173</v>
      </c>
      <c r="H2099">
        <v>16.98</v>
      </c>
      <c r="I2099">
        <v>0</v>
      </c>
      <c r="J2099">
        <v>0</v>
      </c>
      <c r="K2099">
        <v>0</v>
      </c>
      <c r="N2099">
        <v>3</v>
      </c>
      <c r="O2099">
        <v>3</v>
      </c>
      <c r="P2099">
        <v>4</v>
      </c>
      <c r="Q2099">
        <v>0</v>
      </c>
      <c r="R2099">
        <v>23.98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H2099">
        <v>23.98</v>
      </c>
    </row>
    <row r="2100" spans="1:34" x14ac:dyDescent="0.3">
      <c r="A2100" s="4">
        <v>2285</v>
      </c>
      <c r="B2100" s="5">
        <v>2093</v>
      </c>
      <c r="C2100">
        <v>1377</v>
      </c>
      <c r="D2100" t="s">
        <v>12781</v>
      </c>
      <c r="E2100" t="s">
        <v>166</v>
      </c>
      <c r="F2100" t="s">
        <v>892</v>
      </c>
      <c r="G2100" t="s">
        <v>30174</v>
      </c>
      <c r="H2100">
        <v>16.95</v>
      </c>
      <c r="I2100">
        <v>0</v>
      </c>
      <c r="J2100">
        <v>0</v>
      </c>
      <c r="K2100">
        <v>0</v>
      </c>
      <c r="N2100">
        <v>3</v>
      </c>
      <c r="O2100">
        <v>3</v>
      </c>
      <c r="P2100">
        <v>4</v>
      </c>
      <c r="Q2100">
        <v>0</v>
      </c>
      <c r="R2100">
        <v>23.95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H2100">
        <v>23.95</v>
      </c>
    </row>
    <row r="2101" spans="1:34" x14ac:dyDescent="0.3">
      <c r="A2101" s="4">
        <v>2286</v>
      </c>
      <c r="B2101" s="5">
        <v>2094</v>
      </c>
      <c r="C2101">
        <v>2184</v>
      </c>
      <c r="D2101" t="s">
        <v>19815</v>
      </c>
      <c r="E2101" t="s">
        <v>29</v>
      </c>
      <c r="F2101" t="s">
        <v>416</v>
      </c>
      <c r="G2101" t="s">
        <v>30175</v>
      </c>
      <c r="H2101">
        <v>16.95</v>
      </c>
      <c r="I2101">
        <v>0</v>
      </c>
      <c r="J2101">
        <v>0</v>
      </c>
      <c r="K2101">
        <v>0</v>
      </c>
      <c r="N2101">
        <v>3</v>
      </c>
      <c r="O2101">
        <v>3</v>
      </c>
      <c r="P2101">
        <v>4</v>
      </c>
      <c r="Q2101">
        <v>0</v>
      </c>
      <c r="R2101">
        <v>23.95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H2101">
        <v>23.95</v>
      </c>
    </row>
    <row r="2102" spans="1:34" x14ac:dyDescent="0.3">
      <c r="A2102" s="4">
        <v>2287</v>
      </c>
      <c r="B2102" s="5">
        <v>2095</v>
      </c>
      <c r="C2102">
        <v>12128</v>
      </c>
      <c r="D2102" t="s">
        <v>1980</v>
      </c>
      <c r="E2102" t="s">
        <v>2088</v>
      </c>
      <c r="F2102" t="s">
        <v>81</v>
      </c>
      <c r="G2102" t="s">
        <v>30176</v>
      </c>
      <c r="H2102">
        <v>16.93</v>
      </c>
      <c r="I2102">
        <v>0</v>
      </c>
      <c r="J2102">
        <v>0</v>
      </c>
      <c r="K2102">
        <v>0</v>
      </c>
      <c r="O2102">
        <v>0</v>
      </c>
      <c r="P2102">
        <v>4</v>
      </c>
      <c r="Q2102">
        <v>0</v>
      </c>
      <c r="R2102">
        <v>20.93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3</v>
      </c>
      <c r="AC2102">
        <v>0</v>
      </c>
      <c r="AH2102">
        <v>23.93</v>
      </c>
    </row>
    <row r="2103" spans="1:34" x14ac:dyDescent="0.3">
      <c r="A2103" s="4">
        <v>2288</v>
      </c>
      <c r="B2103" s="5">
        <v>2096</v>
      </c>
      <c r="C2103">
        <v>6682</v>
      </c>
      <c r="D2103" t="s">
        <v>30177</v>
      </c>
      <c r="E2103" t="s">
        <v>11323</v>
      </c>
      <c r="F2103" t="s">
        <v>17</v>
      </c>
      <c r="G2103" t="s">
        <v>30178</v>
      </c>
      <c r="H2103">
        <v>16.93</v>
      </c>
      <c r="I2103">
        <v>0</v>
      </c>
      <c r="J2103">
        <v>0</v>
      </c>
      <c r="K2103">
        <v>0</v>
      </c>
      <c r="L2103">
        <v>7</v>
      </c>
      <c r="O2103">
        <v>7</v>
      </c>
      <c r="P2103">
        <v>0</v>
      </c>
      <c r="Q2103">
        <v>0</v>
      </c>
      <c r="R2103">
        <v>23.93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H2103">
        <v>23.93</v>
      </c>
    </row>
    <row r="2104" spans="1:34" x14ac:dyDescent="0.3">
      <c r="A2104" s="4">
        <v>2289</v>
      </c>
      <c r="B2104" s="5">
        <v>2097</v>
      </c>
      <c r="C2104">
        <v>14898</v>
      </c>
      <c r="D2104" t="s">
        <v>30179</v>
      </c>
      <c r="E2104" t="s">
        <v>1659</v>
      </c>
      <c r="F2104" t="s">
        <v>17</v>
      </c>
      <c r="G2104" t="s">
        <v>30180</v>
      </c>
      <c r="H2104">
        <v>16.899999999999999</v>
      </c>
      <c r="I2104">
        <v>0</v>
      </c>
      <c r="J2104">
        <v>0</v>
      </c>
      <c r="K2104">
        <v>0</v>
      </c>
      <c r="O2104">
        <v>0</v>
      </c>
      <c r="P2104">
        <v>4</v>
      </c>
      <c r="Q2104">
        <v>0</v>
      </c>
      <c r="R2104">
        <v>20.9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3</v>
      </c>
      <c r="AC2104">
        <v>0</v>
      </c>
      <c r="AH2104">
        <v>23.9</v>
      </c>
    </row>
    <row r="2105" spans="1:34" x14ac:dyDescent="0.3">
      <c r="A2105" s="4">
        <v>2290</v>
      </c>
      <c r="B2105" s="5">
        <v>2098</v>
      </c>
      <c r="C2105">
        <v>14686</v>
      </c>
      <c r="D2105" t="s">
        <v>30181</v>
      </c>
      <c r="E2105" t="s">
        <v>967</v>
      </c>
      <c r="F2105" t="s">
        <v>62</v>
      </c>
      <c r="G2105" t="s">
        <v>30182</v>
      </c>
      <c r="H2105">
        <v>16.899999999999999</v>
      </c>
      <c r="I2105">
        <v>0</v>
      </c>
      <c r="J2105">
        <v>0</v>
      </c>
      <c r="K2105">
        <v>0</v>
      </c>
      <c r="O2105">
        <v>0</v>
      </c>
      <c r="P2105">
        <v>4</v>
      </c>
      <c r="Q2105">
        <v>0</v>
      </c>
      <c r="R2105">
        <v>20.9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3</v>
      </c>
      <c r="AC2105">
        <v>0</v>
      </c>
      <c r="AH2105">
        <v>23.9</v>
      </c>
    </row>
    <row r="2106" spans="1:34" x14ac:dyDescent="0.3">
      <c r="A2106" s="4">
        <v>2291</v>
      </c>
      <c r="B2106" s="5">
        <v>2099</v>
      </c>
      <c r="C2106">
        <v>6345</v>
      </c>
      <c r="D2106" t="s">
        <v>30183</v>
      </c>
      <c r="E2106" t="s">
        <v>1174</v>
      </c>
      <c r="F2106" t="s">
        <v>62</v>
      </c>
      <c r="G2106" t="s">
        <v>30184</v>
      </c>
      <c r="H2106">
        <v>16.88</v>
      </c>
      <c r="I2106">
        <v>0</v>
      </c>
      <c r="J2106">
        <v>0</v>
      </c>
      <c r="K2106">
        <v>0</v>
      </c>
      <c r="N2106">
        <v>3</v>
      </c>
      <c r="O2106">
        <v>3</v>
      </c>
      <c r="P2106">
        <v>4</v>
      </c>
      <c r="Q2106">
        <v>0</v>
      </c>
      <c r="R2106">
        <v>23.88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H2106">
        <v>23.88</v>
      </c>
    </row>
    <row r="2107" spans="1:34" x14ac:dyDescent="0.3">
      <c r="A2107" s="4">
        <v>2292</v>
      </c>
      <c r="B2107" s="5">
        <v>2100</v>
      </c>
      <c r="C2107">
        <v>10733</v>
      </c>
      <c r="D2107" t="s">
        <v>30185</v>
      </c>
      <c r="E2107" t="s">
        <v>789</v>
      </c>
      <c r="F2107" t="s">
        <v>136</v>
      </c>
      <c r="G2107" t="s">
        <v>30186</v>
      </c>
      <c r="H2107">
        <v>16.850000000000001</v>
      </c>
      <c r="I2107">
        <v>0</v>
      </c>
      <c r="J2107">
        <v>0</v>
      </c>
      <c r="K2107">
        <v>0</v>
      </c>
      <c r="N2107">
        <v>3</v>
      </c>
      <c r="O2107">
        <v>3</v>
      </c>
      <c r="P2107">
        <v>4</v>
      </c>
      <c r="Q2107">
        <v>0</v>
      </c>
      <c r="R2107">
        <v>23.85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H2107">
        <v>23.85</v>
      </c>
    </row>
    <row r="2108" spans="1:34" x14ac:dyDescent="0.3">
      <c r="A2108" s="4">
        <v>2293</v>
      </c>
      <c r="B2108" s="5">
        <v>2101</v>
      </c>
      <c r="C2108">
        <v>7867</v>
      </c>
      <c r="D2108" t="s">
        <v>30187</v>
      </c>
      <c r="E2108" t="s">
        <v>22549</v>
      </c>
      <c r="F2108" t="s">
        <v>20</v>
      </c>
      <c r="G2108" t="s">
        <v>30188</v>
      </c>
      <c r="H2108">
        <v>16.850000000000001</v>
      </c>
      <c r="I2108">
        <v>0</v>
      </c>
      <c r="J2108">
        <v>0</v>
      </c>
      <c r="K2108">
        <v>0</v>
      </c>
      <c r="N2108">
        <v>3</v>
      </c>
      <c r="O2108">
        <v>3</v>
      </c>
      <c r="P2108">
        <v>4</v>
      </c>
      <c r="Q2108">
        <v>0</v>
      </c>
      <c r="R2108">
        <v>23.85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H2108">
        <v>23.85</v>
      </c>
    </row>
    <row r="2109" spans="1:34" x14ac:dyDescent="0.3">
      <c r="A2109" s="4">
        <v>2294</v>
      </c>
      <c r="B2109" s="5">
        <v>2102</v>
      </c>
      <c r="C2109">
        <v>3778</v>
      </c>
      <c r="D2109" t="s">
        <v>30189</v>
      </c>
      <c r="E2109" t="s">
        <v>17</v>
      </c>
      <c r="F2109" t="s">
        <v>298</v>
      </c>
      <c r="G2109" t="s">
        <v>30190</v>
      </c>
      <c r="H2109">
        <v>14.85</v>
      </c>
      <c r="I2109">
        <v>0</v>
      </c>
      <c r="J2109">
        <v>0</v>
      </c>
      <c r="K2109">
        <v>0</v>
      </c>
      <c r="N2109">
        <v>3</v>
      </c>
      <c r="O2109">
        <v>3</v>
      </c>
      <c r="P2109">
        <v>4</v>
      </c>
      <c r="Q2109">
        <v>2</v>
      </c>
      <c r="R2109">
        <v>23.85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H2109">
        <v>23.85</v>
      </c>
    </row>
    <row r="2110" spans="1:34" x14ac:dyDescent="0.3">
      <c r="A2110" s="4">
        <v>2295</v>
      </c>
      <c r="B2110" s="5">
        <v>2103</v>
      </c>
      <c r="C2110">
        <v>1147</v>
      </c>
      <c r="D2110" t="s">
        <v>30191</v>
      </c>
      <c r="E2110" t="s">
        <v>149</v>
      </c>
      <c r="F2110" t="s">
        <v>416</v>
      </c>
      <c r="G2110" t="s">
        <v>30192</v>
      </c>
      <c r="H2110">
        <v>16.829999999999998</v>
      </c>
      <c r="I2110">
        <v>0</v>
      </c>
      <c r="J2110">
        <v>0</v>
      </c>
      <c r="K2110">
        <v>0</v>
      </c>
      <c r="N2110">
        <v>3</v>
      </c>
      <c r="O2110">
        <v>3</v>
      </c>
      <c r="P2110">
        <v>4</v>
      </c>
      <c r="Q2110">
        <v>0</v>
      </c>
      <c r="R2110">
        <v>23.83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H2110">
        <v>23.83</v>
      </c>
    </row>
    <row r="2111" spans="1:34" x14ac:dyDescent="0.3">
      <c r="A2111" s="4">
        <v>2296</v>
      </c>
      <c r="B2111" s="5">
        <v>2104</v>
      </c>
      <c r="C2111">
        <v>15018</v>
      </c>
      <c r="D2111" t="s">
        <v>30193</v>
      </c>
      <c r="E2111" t="s">
        <v>41</v>
      </c>
      <c r="F2111" t="s">
        <v>190</v>
      </c>
      <c r="G2111" t="s">
        <v>30194</v>
      </c>
      <c r="H2111">
        <v>16.8</v>
      </c>
      <c r="I2111">
        <v>0</v>
      </c>
      <c r="J2111">
        <v>0</v>
      </c>
      <c r="K2111">
        <v>0</v>
      </c>
      <c r="N2111">
        <v>3</v>
      </c>
      <c r="O2111">
        <v>3</v>
      </c>
      <c r="P2111">
        <v>4</v>
      </c>
      <c r="Q2111">
        <v>0</v>
      </c>
      <c r="R2111">
        <v>23.8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H2111">
        <v>23.8</v>
      </c>
    </row>
    <row r="2112" spans="1:34" x14ac:dyDescent="0.3">
      <c r="A2112" s="4">
        <v>2297</v>
      </c>
      <c r="B2112" s="5">
        <v>2105</v>
      </c>
      <c r="C2112">
        <v>5977</v>
      </c>
      <c r="D2112" t="s">
        <v>20911</v>
      </c>
      <c r="E2112" t="s">
        <v>21014</v>
      </c>
      <c r="F2112" t="s">
        <v>38</v>
      </c>
      <c r="G2112" t="s">
        <v>30195</v>
      </c>
      <c r="H2112">
        <v>16.78</v>
      </c>
      <c r="I2112">
        <v>0</v>
      </c>
      <c r="J2112">
        <v>0</v>
      </c>
      <c r="K2112">
        <v>0</v>
      </c>
      <c r="N2112">
        <v>3</v>
      </c>
      <c r="O2112">
        <v>3</v>
      </c>
      <c r="P2112">
        <v>4</v>
      </c>
      <c r="Q2112">
        <v>0</v>
      </c>
      <c r="R2112">
        <v>23.78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H2112">
        <v>23.78</v>
      </c>
    </row>
    <row r="2113" spans="1:34" x14ac:dyDescent="0.3">
      <c r="A2113" s="4">
        <v>2298</v>
      </c>
      <c r="B2113" s="5">
        <v>2106</v>
      </c>
      <c r="C2113">
        <v>15033</v>
      </c>
      <c r="D2113" t="s">
        <v>29780</v>
      </c>
      <c r="E2113" t="s">
        <v>182</v>
      </c>
      <c r="F2113" t="s">
        <v>7403</v>
      </c>
      <c r="G2113" t="s">
        <v>30196</v>
      </c>
      <c r="H2113">
        <v>16.75</v>
      </c>
      <c r="I2113">
        <v>0</v>
      </c>
      <c r="J2113">
        <v>0</v>
      </c>
      <c r="K2113">
        <v>0</v>
      </c>
      <c r="N2113">
        <v>3</v>
      </c>
      <c r="O2113">
        <v>3</v>
      </c>
      <c r="P2113">
        <v>4</v>
      </c>
      <c r="Q2113">
        <v>0</v>
      </c>
      <c r="R2113">
        <v>23.75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H2113">
        <v>23.75</v>
      </c>
    </row>
    <row r="2114" spans="1:34" x14ac:dyDescent="0.3">
      <c r="A2114" s="4">
        <v>2299</v>
      </c>
      <c r="B2114" s="5">
        <v>2107</v>
      </c>
      <c r="C2114">
        <v>12838</v>
      </c>
      <c r="D2114" t="s">
        <v>30197</v>
      </c>
      <c r="E2114" t="s">
        <v>5331</v>
      </c>
      <c r="F2114" t="s">
        <v>17</v>
      </c>
      <c r="G2114" t="s">
        <v>30198</v>
      </c>
      <c r="H2114">
        <v>14.75</v>
      </c>
      <c r="I2114">
        <v>0</v>
      </c>
      <c r="J2114">
        <v>0</v>
      </c>
      <c r="K2114">
        <v>0</v>
      </c>
      <c r="N2114">
        <v>3</v>
      </c>
      <c r="O2114">
        <v>3</v>
      </c>
      <c r="P2114">
        <v>4</v>
      </c>
      <c r="Q2114">
        <v>2</v>
      </c>
      <c r="R2114">
        <v>23.75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H2114">
        <v>23.75</v>
      </c>
    </row>
    <row r="2115" spans="1:34" x14ac:dyDescent="0.3">
      <c r="A2115" s="4">
        <v>2300</v>
      </c>
      <c r="B2115" s="5">
        <v>2108</v>
      </c>
      <c r="C2115">
        <v>1417</v>
      </c>
      <c r="D2115" t="s">
        <v>30199</v>
      </c>
      <c r="E2115" t="s">
        <v>5767</v>
      </c>
      <c r="F2115" t="s">
        <v>81</v>
      </c>
      <c r="G2115" t="s">
        <v>30200</v>
      </c>
      <c r="H2115">
        <v>16.73</v>
      </c>
      <c r="I2115">
        <v>0</v>
      </c>
      <c r="J2115">
        <v>0</v>
      </c>
      <c r="K2115">
        <v>0</v>
      </c>
      <c r="N2115">
        <v>3</v>
      </c>
      <c r="O2115">
        <v>3</v>
      </c>
      <c r="P2115">
        <v>4</v>
      </c>
      <c r="Q2115">
        <v>0</v>
      </c>
      <c r="R2115">
        <v>23.73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H2115">
        <v>23.73</v>
      </c>
    </row>
    <row r="2116" spans="1:34" x14ac:dyDescent="0.3">
      <c r="A2116" s="4">
        <v>2301</v>
      </c>
      <c r="B2116" s="5">
        <v>2109</v>
      </c>
      <c r="C2116">
        <v>13200</v>
      </c>
      <c r="D2116" t="s">
        <v>283</v>
      </c>
      <c r="E2116" t="s">
        <v>825</v>
      </c>
      <c r="F2116" t="s">
        <v>17</v>
      </c>
      <c r="G2116" t="s">
        <v>30201</v>
      </c>
      <c r="H2116">
        <v>16.7</v>
      </c>
      <c r="I2116">
        <v>0</v>
      </c>
      <c r="J2116">
        <v>0</v>
      </c>
      <c r="K2116">
        <v>0</v>
      </c>
      <c r="N2116">
        <v>3</v>
      </c>
      <c r="O2116">
        <v>3</v>
      </c>
      <c r="P2116">
        <v>4</v>
      </c>
      <c r="Q2116">
        <v>0</v>
      </c>
      <c r="R2116">
        <v>23.7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H2116">
        <v>23.7</v>
      </c>
    </row>
    <row r="2117" spans="1:34" x14ac:dyDescent="0.3">
      <c r="A2117" s="4">
        <v>2302</v>
      </c>
      <c r="B2117" s="5">
        <v>2110</v>
      </c>
      <c r="C2117">
        <v>12634</v>
      </c>
      <c r="D2117" t="s">
        <v>7337</v>
      </c>
      <c r="E2117" t="s">
        <v>550</v>
      </c>
      <c r="F2117" t="s">
        <v>117</v>
      </c>
      <c r="G2117" t="s">
        <v>30202</v>
      </c>
      <c r="H2117">
        <v>20.68</v>
      </c>
      <c r="I2117">
        <v>0</v>
      </c>
      <c r="J2117">
        <v>0</v>
      </c>
      <c r="K2117">
        <v>0</v>
      </c>
      <c r="O2117">
        <v>0</v>
      </c>
      <c r="P2117">
        <v>0</v>
      </c>
      <c r="Q2117">
        <v>0</v>
      </c>
      <c r="R2117">
        <v>20.68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3</v>
      </c>
      <c r="AC2117">
        <v>0</v>
      </c>
      <c r="AH2117">
        <v>23.68</v>
      </c>
    </row>
    <row r="2118" spans="1:34" x14ac:dyDescent="0.3">
      <c r="A2118" s="4">
        <v>2303</v>
      </c>
      <c r="B2118" s="5">
        <v>2111</v>
      </c>
      <c r="C2118">
        <v>8826</v>
      </c>
      <c r="D2118" t="s">
        <v>30203</v>
      </c>
      <c r="E2118" t="s">
        <v>22</v>
      </c>
      <c r="F2118" t="s">
        <v>17</v>
      </c>
      <c r="G2118" t="s">
        <v>30204</v>
      </c>
      <c r="H2118">
        <v>16.68</v>
      </c>
      <c r="I2118">
        <v>0</v>
      </c>
      <c r="J2118">
        <v>0</v>
      </c>
      <c r="K2118">
        <v>0</v>
      </c>
      <c r="O2118">
        <v>0</v>
      </c>
      <c r="P2118">
        <v>4</v>
      </c>
      <c r="Q2118">
        <v>0</v>
      </c>
      <c r="R2118">
        <v>20.68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3</v>
      </c>
      <c r="AC2118">
        <v>0</v>
      </c>
      <c r="AH2118">
        <v>23.68</v>
      </c>
    </row>
    <row r="2119" spans="1:34" x14ac:dyDescent="0.3">
      <c r="A2119" s="4">
        <v>2304</v>
      </c>
      <c r="B2119" s="5">
        <v>2112</v>
      </c>
      <c r="C2119">
        <v>5842</v>
      </c>
      <c r="D2119" t="s">
        <v>30205</v>
      </c>
      <c r="E2119" t="s">
        <v>29</v>
      </c>
      <c r="F2119" t="s">
        <v>124</v>
      </c>
      <c r="G2119" t="s">
        <v>30206</v>
      </c>
      <c r="H2119">
        <v>16.68</v>
      </c>
      <c r="I2119">
        <v>0</v>
      </c>
      <c r="J2119">
        <v>0</v>
      </c>
      <c r="K2119">
        <v>0</v>
      </c>
      <c r="N2119">
        <v>3</v>
      </c>
      <c r="O2119">
        <v>3</v>
      </c>
      <c r="P2119">
        <v>4</v>
      </c>
      <c r="Q2119">
        <v>0</v>
      </c>
      <c r="R2119">
        <v>23.68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H2119">
        <v>23.68</v>
      </c>
    </row>
    <row r="2120" spans="1:34" x14ac:dyDescent="0.3">
      <c r="A2120" s="4">
        <v>2305</v>
      </c>
      <c r="B2120" s="5">
        <v>2113</v>
      </c>
      <c r="C2120">
        <v>8948</v>
      </c>
      <c r="D2120" t="s">
        <v>30207</v>
      </c>
      <c r="E2120" t="s">
        <v>91</v>
      </c>
      <c r="F2120" t="s">
        <v>81</v>
      </c>
      <c r="G2120" t="s">
        <v>30208</v>
      </c>
      <c r="H2120">
        <v>16.68</v>
      </c>
      <c r="I2120">
        <v>0</v>
      </c>
      <c r="J2120">
        <v>0</v>
      </c>
      <c r="K2120">
        <v>0</v>
      </c>
      <c r="N2120">
        <v>3</v>
      </c>
      <c r="O2120">
        <v>3</v>
      </c>
      <c r="P2120">
        <v>4</v>
      </c>
      <c r="Q2120">
        <v>0</v>
      </c>
      <c r="R2120">
        <v>23.68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H2120">
        <v>23.68</v>
      </c>
    </row>
    <row r="2121" spans="1:34" x14ac:dyDescent="0.3">
      <c r="A2121" s="4">
        <v>2306</v>
      </c>
      <c r="B2121" s="5">
        <v>2114</v>
      </c>
      <c r="C2121">
        <v>4883</v>
      </c>
      <c r="D2121" t="s">
        <v>6432</v>
      </c>
      <c r="E2121" t="s">
        <v>33</v>
      </c>
      <c r="F2121" t="s">
        <v>81</v>
      </c>
      <c r="G2121" t="s">
        <v>30209</v>
      </c>
      <c r="H2121">
        <v>16.68</v>
      </c>
      <c r="I2121">
        <v>0</v>
      </c>
      <c r="J2121">
        <v>0</v>
      </c>
      <c r="K2121">
        <v>0</v>
      </c>
      <c r="N2121">
        <v>3</v>
      </c>
      <c r="O2121">
        <v>3</v>
      </c>
      <c r="P2121">
        <v>4</v>
      </c>
      <c r="Q2121">
        <v>0</v>
      </c>
      <c r="R2121">
        <v>23.68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H2121">
        <v>23.68</v>
      </c>
    </row>
    <row r="2122" spans="1:34" x14ac:dyDescent="0.3">
      <c r="A2122" s="4">
        <v>2307</v>
      </c>
      <c r="B2122" s="5">
        <v>2115</v>
      </c>
      <c r="C2122">
        <v>14937</v>
      </c>
      <c r="D2122" t="s">
        <v>1711</v>
      </c>
      <c r="E2122" t="s">
        <v>166</v>
      </c>
      <c r="F2122" t="s">
        <v>124</v>
      </c>
      <c r="G2122" t="s">
        <v>30210</v>
      </c>
      <c r="H2122">
        <v>16.649999999999999</v>
      </c>
      <c r="I2122">
        <v>0</v>
      </c>
      <c r="J2122">
        <v>0</v>
      </c>
      <c r="K2122">
        <v>0</v>
      </c>
      <c r="L2122">
        <v>7</v>
      </c>
      <c r="O2122">
        <v>7</v>
      </c>
      <c r="P2122">
        <v>0</v>
      </c>
      <c r="Q2122">
        <v>0</v>
      </c>
      <c r="R2122">
        <v>23.65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H2122">
        <v>23.65</v>
      </c>
    </row>
    <row r="2123" spans="1:34" x14ac:dyDescent="0.3">
      <c r="A2123" s="4">
        <v>2308</v>
      </c>
      <c r="B2123" s="5">
        <v>2116</v>
      </c>
      <c r="C2123">
        <v>4103</v>
      </c>
      <c r="D2123" t="s">
        <v>30211</v>
      </c>
      <c r="E2123" t="s">
        <v>29</v>
      </c>
      <c r="F2123" t="s">
        <v>442</v>
      </c>
      <c r="G2123" t="s">
        <v>30212</v>
      </c>
      <c r="H2123">
        <v>17.63</v>
      </c>
      <c r="I2123">
        <v>0</v>
      </c>
      <c r="J2123">
        <v>0</v>
      </c>
      <c r="K2123">
        <v>0</v>
      </c>
      <c r="O2123">
        <v>0</v>
      </c>
      <c r="P2123">
        <v>4</v>
      </c>
      <c r="Q2123">
        <v>2</v>
      </c>
      <c r="R2123">
        <v>23.63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H2123">
        <v>23.63</v>
      </c>
    </row>
    <row r="2124" spans="1:34" x14ac:dyDescent="0.3">
      <c r="A2124" s="4">
        <v>2309</v>
      </c>
      <c r="B2124" s="5">
        <v>2117</v>
      </c>
      <c r="C2124">
        <v>1036</v>
      </c>
      <c r="D2124" t="s">
        <v>30213</v>
      </c>
      <c r="E2124" t="s">
        <v>1053</v>
      </c>
      <c r="F2124" t="s">
        <v>259</v>
      </c>
      <c r="G2124" t="s">
        <v>30214</v>
      </c>
      <c r="H2124">
        <v>16.63</v>
      </c>
      <c r="I2124">
        <v>0</v>
      </c>
      <c r="J2124">
        <v>0</v>
      </c>
      <c r="K2124">
        <v>0</v>
      </c>
      <c r="N2124">
        <v>3</v>
      </c>
      <c r="O2124">
        <v>3</v>
      </c>
      <c r="P2124">
        <v>4</v>
      </c>
      <c r="Q2124">
        <v>0</v>
      </c>
      <c r="R2124">
        <v>23.63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H2124">
        <v>23.63</v>
      </c>
    </row>
    <row r="2125" spans="1:34" x14ac:dyDescent="0.3">
      <c r="A2125" s="4">
        <v>2310</v>
      </c>
      <c r="B2125" s="5">
        <v>2118</v>
      </c>
      <c r="C2125">
        <v>13287</v>
      </c>
      <c r="D2125" t="s">
        <v>3487</v>
      </c>
      <c r="E2125" t="s">
        <v>110</v>
      </c>
      <c r="F2125" t="s">
        <v>539</v>
      </c>
      <c r="G2125" t="s">
        <v>30215</v>
      </c>
      <c r="H2125">
        <v>16.600000000000001</v>
      </c>
      <c r="I2125">
        <v>0</v>
      </c>
      <c r="J2125">
        <v>0</v>
      </c>
      <c r="K2125">
        <v>0</v>
      </c>
      <c r="N2125">
        <v>3</v>
      </c>
      <c r="O2125">
        <v>3</v>
      </c>
      <c r="P2125">
        <v>4</v>
      </c>
      <c r="Q2125">
        <v>0</v>
      </c>
      <c r="R2125">
        <v>23.6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H2125">
        <v>23.6</v>
      </c>
    </row>
    <row r="2126" spans="1:34" x14ac:dyDescent="0.3">
      <c r="A2126" s="4">
        <v>2311</v>
      </c>
      <c r="B2126" s="5">
        <v>2119</v>
      </c>
      <c r="C2126">
        <v>14890</v>
      </c>
      <c r="D2126" t="s">
        <v>30216</v>
      </c>
      <c r="E2126" t="s">
        <v>30217</v>
      </c>
      <c r="F2126" t="s">
        <v>30218</v>
      </c>
      <c r="G2126" t="s">
        <v>30219</v>
      </c>
      <c r="H2126">
        <v>16.55</v>
      </c>
      <c r="I2126">
        <v>0</v>
      </c>
      <c r="J2126">
        <v>0</v>
      </c>
      <c r="K2126">
        <v>0</v>
      </c>
      <c r="N2126">
        <v>3</v>
      </c>
      <c r="O2126">
        <v>3</v>
      </c>
      <c r="P2126">
        <v>4</v>
      </c>
      <c r="Q2126">
        <v>0</v>
      </c>
      <c r="R2126">
        <v>23.55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H2126">
        <v>23.55</v>
      </c>
    </row>
    <row r="2127" spans="1:34" x14ac:dyDescent="0.3">
      <c r="A2127" s="4">
        <v>2312</v>
      </c>
      <c r="B2127" s="5">
        <v>2120</v>
      </c>
      <c r="C2127">
        <v>14417</v>
      </c>
      <c r="D2127" t="s">
        <v>30220</v>
      </c>
      <c r="E2127" t="s">
        <v>957</v>
      </c>
      <c r="F2127" t="s">
        <v>14</v>
      </c>
      <c r="G2127" t="s">
        <v>30221</v>
      </c>
      <c r="H2127">
        <v>17.53</v>
      </c>
      <c r="I2127">
        <v>0</v>
      </c>
      <c r="J2127">
        <v>0</v>
      </c>
      <c r="K2127">
        <v>0</v>
      </c>
      <c r="N2127">
        <v>3</v>
      </c>
      <c r="O2127">
        <v>3</v>
      </c>
      <c r="P2127">
        <v>0</v>
      </c>
      <c r="Q2127">
        <v>0</v>
      </c>
      <c r="R2127">
        <v>20.53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3</v>
      </c>
      <c r="AC2127">
        <v>0</v>
      </c>
      <c r="AD2127" t="s">
        <v>130</v>
      </c>
      <c r="AH2127">
        <v>23.53</v>
      </c>
    </row>
    <row r="2128" spans="1:34" x14ac:dyDescent="0.3">
      <c r="A2128" s="4">
        <v>2313</v>
      </c>
      <c r="B2128" s="5">
        <v>2121</v>
      </c>
      <c r="C2128">
        <v>14793</v>
      </c>
      <c r="D2128" t="s">
        <v>30222</v>
      </c>
      <c r="E2128" t="s">
        <v>30223</v>
      </c>
      <c r="F2128" t="s">
        <v>7183</v>
      </c>
      <c r="G2128" t="s">
        <v>30224</v>
      </c>
      <c r="H2128">
        <v>16.53</v>
      </c>
      <c r="I2128">
        <v>0</v>
      </c>
      <c r="J2128">
        <v>0</v>
      </c>
      <c r="K2128">
        <v>0</v>
      </c>
      <c r="N2128">
        <v>3</v>
      </c>
      <c r="O2128">
        <v>3</v>
      </c>
      <c r="P2128">
        <v>4</v>
      </c>
      <c r="Q2128">
        <v>0</v>
      </c>
      <c r="R2128">
        <v>23.53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H2128">
        <v>23.53</v>
      </c>
    </row>
    <row r="2129" spans="1:34" x14ac:dyDescent="0.3">
      <c r="A2129" s="4">
        <v>2314</v>
      </c>
      <c r="B2129" s="5">
        <v>2122</v>
      </c>
      <c r="C2129">
        <v>3052</v>
      </c>
      <c r="D2129" t="s">
        <v>30225</v>
      </c>
      <c r="E2129" t="s">
        <v>81</v>
      </c>
      <c r="F2129" t="s">
        <v>17</v>
      </c>
      <c r="G2129" t="s">
        <v>30226</v>
      </c>
      <c r="H2129">
        <v>16.53</v>
      </c>
      <c r="I2129">
        <v>0</v>
      </c>
      <c r="J2129">
        <v>0</v>
      </c>
      <c r="K2129">
        <v>0</v>
      </c>
      <c r="N2129">
        <v>3</v>
      </c>
      <c r="O2129">
        <v>3</v>
      </c>
      <c r="P2129">
        <v>4</v>
      </c>
      <c r="Q2129">
        <v>0</v>
      </c>
      <c r="R2129">
        <v>23.53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H2129">
        <v>23.53</v>
      </c>
    </row>
    <row r="2130" spans="1:34" x14ac:dyDescent="0.3">
      <c r="A2130" s="4">
        <v>2315</v>
      </c>
      <c r="B2130" s="5">
        <v>2123</v>
      </c>
      <c r="C2130">
        <v>334</v>
      </c>
      <c r="D2130" t="s">
        <v>16513</v>
      </c>
      <c r="E2130" t="s">
        <v>30</v>
      </c>
      <c r="F2130" t="s">
        <v>466</v>
      </c>
      <c r="G2130" t="s">
        <v>30227</v>
      </c>
      <c r="H2130">
        <v>16.53</v>
      </c>
      <c r="I2130">
        <v>0</v>
      </c>
      <c r="J2130">
        <v>0</v>
      </c>
      <c r="K2130">
        <v>0</v>
      </c>
      <c r="M2130">
        <v>5</v>
      </c>
      <c r="O2130">
        <v>5</v>
      </c>
      <c r="P2130">
        <v>0</v>
      </c>
      <c r="Q2130">
        <v>2</v>
      </c>
      <c r="R2130">
        <v>23.53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H2130">
        <v>23.53</v>
      </c>
    </row>
    <row r="2131" spans="1:34" x14ac:dyDescent="0.3">
      <c r="A2131" s="4">
        <v>2316</v>
      </c>
      <c r="B2131" s="5">
        <v>2124</v>
      </c>
      <c r="C2131">
        <v>2524</v>
      </c>
      <c r="D2131" t="s">
        <v>5359</v>
      </c>
      <c r="E2131" t="s">
        <v>132</v>
      </c>
      <c r="F2131" t="s">
        <v>2408</v>
      </c>
      <c r="G2131" t="s">
        <v>30228</v>
      </c>
      <c r="H2131">
        <v>16.5</v>
      </c>
      <c r="I2131">
        <v>0</v>
      </c>
      <c r="J2131">
        <v>0</v>
      </c>
      <c r="K2131">
        <v>0</v>
      </c>
      <c r="O2131">
        <v>0</v>
      </c>
      <c r="P2131">
        <v>4</v>
      </c>
      <c r="Q2131">
        <v>0</v>
      </c>
      <c r="R2131">
        <v>20.5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3</v>
      </c>
      <c r="AC2131">
        <v>0</v>
      </c>
      <c r="AH2131">
        <v>23.5</v>
      </c>
    </row>
    <row r="2132" spans="1:34" x14ac:dyDescent="0.3">
      <c r="A2132" s="4">
        <v>2317</v>
      </c>
      <c r="B2132" s="5">
        <v>2125</v>
      </c>
      <c r="C2132">
        <v>10348</v>
      </c>
      <c r="D2132" t="s">
        <v>5294</v>
      </c>
      <c r="E2132" t="s">
        <v>22</v>
      </c>
      <c r="F2132" t="s">
        <v>343</v>
      </c>
      <c r="G2132" t="s">
        <v>30229</v>
      </c>
      <c r="H2132">
        <v>16.5</v>
      </c>
      <c r="I2132">
        <v>0</v>
      </c>
      <c r="J2132">
        <v>0</v>
      </c>
      <c r="K2132">
        <v>0</v>
      </c>
      <c r="O2132">
        <v>0</v>
      </c>
      <c r="P2132">
        <v>4</v>
      </c>
      <c r="Q2132">
        <v>0</v>
      </c>
      <c r="R2132">
        <v>20.5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3</v>
      </c>
      <c r="AC2132">
        <v>0</v>
      </c>
      <c r="AH2132">
        <v>23.5</v>
      </c>
    </row>
    <row r="2133" spans="1:34" x14ac:dyDescent="0.3">
      <c r="A2133" s="4">
        <v>2318</v>
      </c>
      <c r="B2133" s="5">
        <v>2126</v>
      </c>
      <c r="C2133">
        <v>15453</v>
      </c>
      <c r="D2133" t="s">
        <v>30230</v>
      </c>
      <c r="E2133" t="s">
        <v>117</v>
      </c>
      <c r="F2133" t="s">
        <v>38</v>
      </c>
      <c r="G2133" t="s">
        <v>30231</v>
      </c>
      <c r="H2133">
        <v>19.5</v>
      </c>
      <c r="I2133">
        <v>0</v>
      </c>
      <c r="J2133">
        <v>0</v>
      </c>
      <c r="K2133">
        <v>0</v>
      </c>
      <c r="O2133">
        <v>0</v>
      </c>
      <c r="P2133">
        <v>4</v>
      </c>
      <c r="Q2133">
        <v>0</v>
      </c>
      <c r="R2133">
        <v>23.5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H2133">
        <v>23.5</v>
      </c>
    </row>
    <row r="2134" spans="1:34" x14ac:dyDescent="0.3">
      <c r="A2134" s="4">
        <v>2319</v>
      </c>
      <c r="B2134" s="5">
        <v>2127</v>
      </c>
      <c r="C2134">
        <v>14538</v>
      </c>
      <c r="D2134" t="s">
        <v>7199</v>
      </c>
      <c r="E2134" t="s">
        <v>173</v>
      </c>
      <c r="F2134" t="s">
        <v>909</v>
      </c>
      <c r="G2134" t="s">
        <v>30232</v>
      </c>
      <c r="H2134">
        <v>17.5</v>
      </c>
      <c r="I2134">
        <v>0</v>
      </c>
      <c r="J2134">
        <v>0</v>
      </c>
      <c r="K2134">
        <v>0</v>
      </c>
      <c r="O2134">
        <v>0</v>
      </c>
      <c r="P2134">
        <v>4</v>
      </c>
      <c r="Q2134">
        <v>2</v>
      </c>
      <c r="R2134">
        <v>23.5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H2134">
        <v>23.5</v>
      </c>
    </row>
    <row r="2135" spans="1:34" x14ac:dyDescent="0.3">
      <c r="A2135" s="4">
        <v>2320</v>
      </c>
      <c r="B2135" s="5">
        <v>2128</v>
      </c>
      <c r="C2135">
        <v>12210</v>
      </c>
      <c r="D2135" t="s">
        <v>348</v>
      </c>
      <c r="E2135" t="s">
        <v>110</v>
      </c>
      <c r="F2135" t="s">
        <v>68</v>
      </c>
      <c r="G2135" t="s">
        <v>32089</v>
      </c>
      <c r="H2135">
        <v>16.5</v>
      </c>
      <c r="I2135">
        <v>0</v>
      </c>
      <c r="J2135">
        <v>0</v>
      </c>
      <c r="K2135">
        <v>0</v>
      </c>
      <c r="N2135">
        <v>3</v>
      </c>
      <c r="O2135">
        <v>3</v>
      </c>
      <c r="P2135">
        <v>4</v>
      </c>
      <c r="Q2135">
        <v>0</v>
      </c>
      <c r="R2135">
        <v>23.5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H2135">
        <v>23.5</v>
      </c>
    </row>
    <row r="2136" spans="1:34" x14ac:dyDescent="0.3">
      <c r="A2136" s="4">
        <v>2321</v>
      </c>
      <c r="B2136" s="5">
        <v>2129</v>
      </c>
      <c r="C2136">
        <v>9881</v>
      </c>
      <c r="D2136" t="s">
        <v>3764</v>
      </c>
      <c r="E2136" t="s">
        <v>1277</v>
      </c>
      <c r="F2136" t="s">
        <v>346</v>
      </c>
      <c r="G2136" t="s">
        <v>30233</v>
      </c>
      <c r="H2136">
        <v>16.5</v>
      </c>
      <c r="I2136">
        <v>0</v>
      </c>
      <c r="J2136">
        <v>0</v>
      </c>
      <c r="K2136">
        <v>0</v>
      </c>
      <c r="N2136">
        <v>3</v>
      </c>
      <c r="O2136">
        <v>3</v>
      </c>
      <c r="P2136">
        <v>4</v>
      </c>
      <c r="Q2136">
        <v>0</v>
      </c>
      <c r="R2136">
        <v>23.5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H2136">
        <v>23.5</v>
      </c>
    </row>
    <row r="2137" spans="1:34" x14ac:dyDescent="0.3">
      <c r="A2137" s="4">
        <v>2322</v>
      </c>
      <c r="B2137" s="5">
        <v>2130</v>
      </c>
      <c r="C2137">
        <v>4209</v>
      </c>
      <c r="D2137" t="s">
        <v>28</v>
      </c>
      <c r="E2137" t="s">
        <v>170</v>
      </c>
      <c r="F2137" t="s">
        <v>68</v>
      </c>
      <c r="G2137" t="s">
        <v>30234</v>
      </c>
      <c r="H2137">
        <v>16.48</v>
      </c>
      <c r="I2137">
        <v>0</v>
      </c>
      <c r="J2137">
        <v>0</v>
      </c>
      <c r="K2137">
        <v>0</v>
      </c>
      <c r="N2137">
        <v>3</v>
      </c>
      <c r="O2137">
        <v>3</v>
      </c>
      <c r="P2137">
        <v>4</v>
      </c>
      <c r="Q2137">
        <v>0</v>
      </c>
      <c r="R2137">
        <v>23.48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H2137">
        <v>23.48</v>
      </c>
    </row>
    <row r="2138" spans="1:34" x14ac:dyDescent="0.3">
      <c r="A2138" s="4">
        <v>2323</v>
      </c>
      <c r="B2138" s="5">
        <v>2131</v>
      </c>
      <c r="C2138">
        <v>8121</v>
      </c>
      <c r="D2138" t="s">
        <v>14781</v>
      </c>
      <c r="E2138" t="s">
        <v>29</v>
      </c>
      <c r="F2138" t="s">
        <v>52</v>
      </c>
      <c r="G2138" t="s">
        <v>30235</v>
      </c>
      <c r="H2138">
        <v>17.45</v>
      </c>
      <c r="I2138">
        <v>0</v>
      </c>
      <c r="J2138">
        <v>0</v>
      </c>
      <c r="K2138">
        <v>0</v>
      </c>
      <c r="N2138">
        <v>6</v>
      </c>
      <c r="O2138">
        <v>6</v>
      </c>
      <c r="P2138">
        <v>0</v>
      </c>
      <c r="Q2138">
        <v>0</v>
      </c>
      <c r="R2138">
        <v>23.45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H2138">
        <v>23.45</v>
      </c>
    </row>
    <row r="2139" spans="1:34" x14ac:dyDescent="0.3">
      <c r="A2139" s="4">
        <v>2324</v>
      </c>
      <c r="B2139" s="5">
        <v>2132</v>
      </c>
      <c r="C2139">
        <v>7559</v>
      </c>
      <c r="D2139" t="s">
        <v>12813</v>
      </c>
      <c r="E2139" t="s">
        <v>5537</v>
      </c>
      <c r="F2139" t="s">
        <v>167</v>
      </c>
      <c r="G2139" t="s">
        <v>30236</v>
      </c>
      <c r="H2139">
        <v>16.45</v>
      </c>
      <c r="I2139">
        <v>0</v>
      </c>
      <c r="J2139">
        <v>0</v>
      </c>
      <c r="K2139">
        <v>0</v>
      </c>
      <c r="N2139">
        <v>3</v>
      </c>
      <c r="O2139">
        <v>3</v>
      </c>
      <c r="P2139">
        <v>4</v>
      </c>
      <c r="Q2139">
        <v>0</v>
      </c>
      <c r="R2139">
        <v>23.45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H2139">
        <v>23.45</v>
      </c>
    </row>
    <row r="2140" spans="1:34" x14ac:dyDescent="0.3">
      <c r="A2140" s="4">
        <v>2325</v>
      </c>
      <c r="B2140" s="5">
        <v>2133</v>
      </c>
      <c r="C2140">
        <v>3089</v>
      </c>
      <c r="D2140" t="s">
        <v>14026</v>
      </c>
      <c r="E2140" t="s">
        <v>892</v>
      </c>
      <c r="F2140" t="s">
        <v>3642</v>
      </c>
      <c r="G2140" t="s">
        <v>30237</v>
      </c>
      <c r="H2140">
        <v>16.43</v>
      </c>
      <c r="I2140">
        <v>0</v>
      </c>
      <c r="J2140">
        <v>0</v>
      </c>
      <c r="K2140">
        <v>0</v>
      </c>
      <c r="N2140">
        <v>3</v>
      </c>
      <c r="O2140">
        <v>3</v>
      </c>
      <c r="P2140">
        <v>4</v>
      </c>
      <c r="Q2140">
        <v>0</v>
      </c>
      <c r="R2140">
        <v>23.43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H2140">
        <v>23.43</v>
      </c>
    </row>
    <row r="2141" spans="1:34" x14ac:dyDescent="0.3">
      <c r="A2141" s="4">
        <v>2326</v>
      </c>
      <c r="B2141" s="5">
        <v>2134</v>
      </c>
      <c r="C2141">
        <v>15658</v>
      </c>
      <c r="D2141" t="s">
        <v>28701</v>
      </c>
      <c r="E2141" t="s">
        <v>550</v>
      </c>
      <c r="F2141" t="s">
        <v>649</v>
      </c>
      <c r="G2141" t="s">
        <v>30238</v>
      </c>
      <c r="H2141">
        <v>16.399999999999999</v>
      </c>
      <c r="I2141">
        <v>0</v>
      </c>
      <c r="J2141">
        <v>0</v>
      </c>
      <c r="K2141">
        <v>0</v>
      </c>
      <c r="L2141">
        <v>7</v>
      </c>
      <c r="O2141">
        <v>7</v>
      </c>
      <c r="P2141">
        <v>0</v>
      </c>
      <c r="Q2141">
        <v>0</v>
      </c>
      <c r="R2141">
        <v>23.4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H2141">
        <v>23.4</v>
      </c>
    </row>
    <row r="2142" spans="1:34" x14ac:dyDescent="0.3">
      <c r="A2142" s="4">
        <v>2327</v>
      </c>
      <c r="B2142" s="5">
        <v>2135</v>
      </c>
      <c r="C2142">
        <v>5289</v>
      </c>
      <c r="D2142" t="s">
        <v>950</v>
      </c>
      <c r="E2142" t="s">
        <v>110</v>
      </c>
      <c r="F2142" t="s">
        <v>17</v>
      </c>
      <c r="G2142" t="s">
        <v>30239</v>
      </c>
      <c r="H2142">
        <v>16.399999999999999</v>
      </c>
      <c r="I2142">
        <v>0</v>
      </c>
      <c r="J2142">
        <v>0</v>
      </c>
      <c r="K2142">
        <v>0</v>
      </c>
      <c r="N2142">
        <v>3</v>
      </c>
      <c r="O2142">
        <v>3</v>
      </c>
      <c r="P2142">
        <v>4</v>
      </c>
      <c r="Q2142">
        <v>0</v>
      </c>
      <c r="R2142">
        <v>23.4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H2142">
        <v>23.4</v>
      </c>
    </row>
    <row r="2143" spans="1:34" x14ac:dyDescent="0.3">
      <c r="A2143" s="4">
        <v>2328</v>
      </c>
      <c r="B2143" s="5">
        <v>2136</v>
      </c>
      <c r="C2143">
        <v>7882</v>
      </c>
      <c r="D2143" t="s">
        <v>2582</v>
      </c>
      <c r="E2143" t="s">
        <v>289</v>
      </c>
      <c r="F2143" t="s">
        <v>238</v>
      </c>
      <c r="G2143" t="s">
        <v>32090</v>
      </c>
      <c r="H2143">
        <v>16.38</v>
      </c>
      <c r="I2143">
        <v>0</v>
      </c>
      <c r="J2143">
        <v>0</v>
      </c>
      <c r="K2143">
        <v>0</v>
      </c>
      <c r="N2143">
        <v>3</v>
      </c>
      <c r="O2143">
        <v>3</v>
      </c>
      <c r="P2143">
        <v>4</v>
      </c>
      <c r="Q2143">
        <v>0</v>
      </c>
      <c r="R2143">
        <v>23.38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H2143">
        <v>23.38</v>
      </c>
    </row>
    <row r="2144" spans="1:34" x14ac:dyDescent="0.3">
      <c r="A2144" s="4">
        <v>2329</v>
      </c>
      <c r="B2144" s="5">
        <v>2137</v>
      </c>
      <c r="C2144">
        <v>11058</v>
      </c>
      <c r="D2144" t="s">
        <v>1663</v>
      </c>
      <c r="E2144" t="s">
        <v>37</v>
      </c>
      <c r="F2144" t="s">
        <v>20</v>
      </c>
      <c r="G2144" t="s">
        <v>30240</v>
      </c>
      <c r="H2144">
        <v>16.350000000000001</v>
      </c>
      <c r="I2144">
        <v>0</v>
      </c>
      <c r="J2144">
        <v>0</v>
      </c>
      <c r="K2144">
        <v>0</v>
      </c>
      <c r="N2144">
        <v>3</v>
      </c>
      <c r="O2144">
        <v>3</v>
      </c>
      <c r="P2144">
        <v>4</v>
      </c>
      <c r="Q2144">
        <v>0</v>
      </c>
      <c r="R2144">
        <v>23.35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H2144">
        <v>23.35</v>
      </c>
    </row>
    <row r="2145" spans="1:34" x14ac:dyDescent="0.3">
      <c r="A2145" s="4">
        <v>2330</v>
      </c>
      <c r="B2145" s="5">
        <v>2138</v>
      </c>
      <c r="C2145">
        <v>2887</v>
      </c>
      <c r="D2145" t="s">
        <v>3764</v>
      </c>
      <c r="E2145" t="s">
        <v>22</v>
      </c>
      <c r="F2145" t="s">
        <v>38</v>
      </c>
      <c r="G2145" t="s">
        <v>30241</v>
      </c>
      <c r="H2145">
        <v>16.350000000000001</v>
      </c>
      <c r="I2145">
        <v>0</v>
      </c>
      <c r="J2145">
        <v>0</v>
      </c>
      <c r="K2145">
        <v>0</v>
      </c>
      <c r="N2145">
        <v>3</v>
      </c>
      <c r="O2145">
        <v>3</v>
      </c>
      <c r="P2145">
        <v>4</v>
      </c>
      <c r="Q2145">
        <v>0</v>
      </c>
      <c r="R2145">
        <v>23.35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H2145">
        <v>23.35</v>
      </c>
    </row>
    <row r="2146" spans="1:34" x14ac:dyDescent="0.3">
      <c r="A2146" s="4">
        <v>2331</v>
      </c>
      <c r="B2146" s="5">
        <v>2139</v>
      </c>
      <c r="C2146">
        <v>5855</v>
      </c>
      <c r="D2146" t="s">
        <v>30242</v>
      </c>
      <c r="E2146" t="s">
        <v>34</v>
      </c>
      <c r="F2146" t="s">
        <v>30</v>
      </c>
      <c r="G2146" t="s">
        <v>30243</v>
      </c>
      <c r="H2146">
        <v>16.350000000000001</v>
      </c>
      <c r="I2146">
        <v>0</v>
      </c>
      <c r="J2146">
        <v>0</v>
      </c>
      <c r="K2146">
        <v>0</v>
      </c>
      <c r="N2146">
        <v>3</v>
      </c>
      <c r="O2146">
        <v>3</v>
      </c>
      <c r="P2146">
        <v>4</v>
      </c>
      <c r="Q2146">
        <v>0</v>
      </c>
      <c r="R2146">
        <v>23.35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H2146">
        <v>23.35</v>
      </c>
    </row>
    <row r="2147" spans="1:34" x14ac:dyDescent="0.3">
      <c r="A2147" s="4">
        <v>2332</v>
      </c>
      <c r="B2147" s="5">
        <v>2140</v>
      </c>
      <c r="C2147">
        <v>15044</v>
      </c>
      <c r="D2147" t="s">
        <v>577</v>
      </c>
      <c r="E2147" t="s">
        <v>41</v>
      </c>
      <c r="F2147" t="s">
        <v>81</v>
      </c>
      <c r="G2147" t="s">
        <v>30244</v>
      </c>
      <c r="H2147">
        <v>19.28</v>
      </c>
      <c r="I2147">
        <v>0</v>
      </c>
      <c r="J2147">
        <v>0</v>
      </c>
      <c r="K2147">
        <v>0</v>
      </c>
      <c r="O2147">
        <v>0</v>
      </c>
      <c r="P2147">
        <v>4</v>
      </c>
      <c r="Q2147">
        <v>0</v>
      </c>
      <c r="R2147">
        <v>23.28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H2147">
        <v>23.28</v>
      </c>
    </row>
    <row r="2148" spans="1:34" x14ac:dyDescent="0.3">
      <c r="A2148" s="4">
        <v>2333</v>
      </c>
      <c r="B2148" s="5">
        <v>2141</v>
      </c>
      <c r="C2148">
        <v>12636</v>
      </c>
      <c r="D2148" t="s">
        <v>498</v>
      </c>
      <c r="E2148" t="s">
        <v>935</v>
      </c>
      <c r="F2148" t="s">
        <v>20</v>
      </c>
      <c r="G2148" t="s">
        <v>30245</v>
      </c>
      <c r="H2148">
        <v>16.28</v>
      </c>
      <c r="I2148">
        <v>0</v>
      </c>
      <c r="J2148">
        <v>0</v>
      </c>
      <c r="K2148">
        <v>0</v>
      </c>
      <c r="N2148">
        <v>3</v>
      </c>
      <c r="O2148">
        <v>3</v>
      </c>
      <c r="P2148">
        <v>4</v>
      </c>
      <c r="Q2148">
        <v>0</v>
      </c>
      <c r="R2148">
        <v>23.28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H2148">
        <v>23.28</v>
      </c>
    </row>
    <row r="2149" spans="1:34" x14ac:dyDescent="0.3">
      <c r="A2149" s="4">
        <v>2334</v>
      </c>
      <c r="B2149" s="5">
        <v>2142</v>
      </c>
      <c r="C2149">
        <v>1229</v>
      </c>
      <c r="D2149" t="s">
        <v>4905</v>
      </c>
      <c r="E2149" t="s">
        <v>30246</v>
      </c>
      <c r="F2149" t="s">
        <v>416</v>
      </c>
      <c r="G2149" t="s">
        <v>30247</v>
      </c>
      <c r="H2149">
        <v>16.25</v>
      </c>
      <c r="I2149">
        <v>0</v>
      </c>
      <c r="J2149">
        <v>0</v>
      </c>
      <c r="K2149">
        <v>0</v>
      </c>
      <c r="O2149">
        <v>0</v>
      </c>
      <c r="P2149">
        <v>4</v>
      </c>
      <c r="Q2149">
        <v>0</v>
      </c>
      <c r="R2149">
        <v>20.25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3</v>
      </c>
      <c r="AC2149">
        <v>0</v>
      </c>
      <c r="AD2149" t="s">
        <v>130</v>
      </c>
      <c r="AH2149">
        <v>23.25</v>
      </c>
    </row>
    <row r="2150" spans="1:34" x14ac:dyDescent="0.3">
      <c r="A2150" s="4">
        <v>2335</v>
      </c>
      <c r="B2150" s="5">
        <v>2143</v>
      </c>
      <c r="C2150">
        <v>13984</v>
      </c>
      <c r="D2150" t="s">
        <v>30248</v>
      </c>
      <c r="E2150" t="s">
        <v>110</v>
      </c>
      <c r="F2150" t="s">
        <v>117</v>
      </c>
      <c r="G2150" t="s">
        <v>30249</v>
      </c>
      <c r="H2150">
        <v>16.25</v>
      </c>
      <c r="I2150">
        <v>0</v>
      </c>
      <c r="J2150">
        <v>0</v>
      </c>
      <c r="K2150">
        <v>0</v>
      </c>
      <c r="N2150">
        <v>3</v>
      </c>
      <c r="O2150">
        <v>3</v>
      </c>
      <c r="P2150">
        <v>4</v>
      </c>
      <c r="Q2150">
        <v>0</v>
      </c>
      <c r="R2150">
        <v>23.25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H2150">
        <v>23.25</v>
      </c>
    </row>
    <row r="2151" spans="1:34" x14ac:dyDescent="0.3">
      <c r="A2151" s="4">
        <v>2336</v>
      </c>
      <c r="B2151" s="5">
        <v>2144</v>
      </c>
      <c r="C2151">
        <v>9825</v>
      </c>
      <c r="D2151" t="s">
        <v>22215</v>
      </c>
      <c r="E2151" t="s">
        <v>5311</v>
      </c>
      <c r="F2151" t="s">
        <v>328</v>
      </c>
      <c r="G2151" t="s">
        <v>30250</v>
      </c>
      <c r="H2151">
        <v>16.25</v>
      </c>
      <c r="I2151">
        <v>0</v>
      </c>
      <c r="J2151">
        <v>0</v>
      </c>
      <c r="K2151">
        <v>0</v>
      </c>
      <c r="N2151">
        <v>3</v>
      </c>
      <c r="O2151">
        <v>3</v>
      </c>
      <c r="P2151">
        <v>4</v>
      </c>
      <c r="Q2151">
        <v>0</v>
      </c>
      <c r="R2151">
        <v>23.25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H2151">
        <v>23.25</v>
      </c>
    </row>
    <row r="2152" spans="1:34" x14ac:dyDescent="0.3">
      <c r="A2152" s="4">
        <v>2337</v>
      </c>
      <c r="B2152" s="5">
        <v>2145</v>
      </c>
      <c r="C2152">
        <v>14028</v>
      </c>
      <c r="D2152" t="s">
        <v>30251</v>
      </c>
      <c r="E2152" t="s">
        <v>54</v>
      </c>
      <c r="F2152" t="s">
        <v>17</v>
      </c>
      <c r="G2152" t="s">
        <v>30252</v>
      </c>
      <c r="H2152">
        <v>16.25</v>
      </c>
      <c r="I2152">
        <v>0</v>
      </c>
      <c r="J2152">
        <v>0</v>
      </c>
      <c r="K2152">
        <v>0</v>
      </c>
      <c r="N2152">
        <v>3</v>
      </c>
      <c r="O2152">
        <v>3</v>
      </c>
      <c r="P2152">
        <v>4</v>
      </c>
      <c r="Q2152">
        <v>0</v>
      </c>
      <c r="R2152">
        <v>23.25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H2152">
        <v>23.25</v>
      </c>
    </row>
    <row r="2153" spans="1:34" x14ac:dyDescent="0.3">
      <c r="A2153" s="4">
        <v>2338</v>
      </c>
      <c r="B2153" s="5">
        <v>2146</v>
      </c>
      <c r="C2153">
        <v>9931</v>
      </c>
      <c r="D2153" t="s">
        <v>2609</v>
      </c>
      <c r="E2153" t="s">
        <v>1953</v>
      </c>
      <c r="F2153" t="s">
        <v>5996</v>
      </c>
      <c r="G2153" t="s">
        <v>30253</v>
      </c>
      <c r="H2153">
        <v>14.25</v>
      </c>
      <c r="I2153">
        <v>0</v>
      </c>
      <c r="J2153">
        <v>0</v>
      </c>
      <c r="K2153">
        <v>0</v>
      </c>
      <c r="N2153">
        <v>3</v>
      </c>
      <c r="O2153">
        <v>3</v>
      </c>
      <c r="P2153">
        <v>4</v>
      </c>
      <c r="Q2153">
        <v>2</v>
      </c>
      <c r="R2153">
        <v>23.25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H2153">
        <v>23.25</v>
      </c>
    </row>
    <row r="2154" spans="1:34" x14ac:dyDescent="0.3">
      <c r="A2154" s="4">
        <v>2339</v>
      </c>
      <c r="B2154" s="5">
        <v>2147</v>
      </c>
      <c r="C2154">
        <v>6198</v>
      </c>
      <c r="D2154" t="s">
        <v>27304</v>
      </c>
      <c r="E2154" t="s">
        <v>41</v>
      </c>
      <c r="F2154" t="s">
        <v>20</v>
      </c>
      <c r="G2154" t="s">
        <v>30254</v>
      </c>
      <c r="H2154">
        <v>16.23</v>
      </c>
      <c r="I2154">
        <v>0</v>
      </c>
      <c r="J2154">
        <v>0</v>
      </c>
      <c r="K2154">
        <v>0</v>
      </c>
      <c r="O2154">
        <v>0</v>
      </c>
      <c r="P2154">
        <v>4</v>
      </c>
      <c r="Q2154">
        <v>0</v>
      </c>
      <c r="R2154">
        <v>20.23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3</v>
      </c>
      <c r="AC2154">
        <v>0</v>
      </c>
      <c r="AH2154">
        <v>23.23</v>
      </c>
    </row>
    <row r="2155" spans="1:34" x14ac:dyDescent="0.3">
      <c r="A2155" s="4">
        <v>2340</v>
      </c>
      <c r="B2155" s="5">
        <v>2148</v>
      </c>
      <c r="C2155">
        <v>10009</v>
      </c>
      <c r="D2155" t="s">
        <v>784</v>
      </c>
      <c r="E2155" t="s">
        <v>30255</v>
      </c>
      <c r="F2155" t="s">
        <v>68</v>
      </c>
      <c r="G2155" t="s">
        <v>30256</v>
      </c>
      <c r="H2155">
        <v>20.23</v>
      </c>
      <c r="I2155">
        <v>0</v>
      </c>
      <c r="J2155">
        <v>0</v>
      </c>
      <c r="K2155">
        <v>0</v>
      </c>
      <c r="N2155">
        <v>3</v>
      </c>
      <c r="O2155">
        <v>3</v>
      </c>
      <c r="P2155">
        <v>0</v>
      </c>
      <c r="Q2155">
        <v>0</v>
      </c>
      <c r="R2155">
        <v>23.23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H2155">
        <v>23.23</v>
      </c>
    </row>
    <row r="2156" spans="1:34" x14ac:dyDescent="0.3">
      <c r="A2156" s="4">
        <v>2341</v>
      </c>
      <c r="B2156" s="5">
        <v>2149</v>
      </c>
      <c r="C2156">
        <v>3851</v>
      </c>
      <c r="D2156" t="s">
        <v>30257</v>
      </c>
      <c r="E2156" t="s">
        <v>816</v>
      </c>
      <c r="F2156" t="s">
        <v>3359</v>
      </c>
      <c r="G2156" t="s">
        <v>30258</v>
      </c>
      <c r="H2156">
        <v>19.23</v>
      </c>
      <c r="I2156">
        <v>0</v>
      </c>
      <c r="J2156">
        <v>0</v>
      </c>
      <c r="K2156">
        <v>0</v>
      </c>
      <c r="O2156">
        <v>0</v>
      </c>
      <c r="P2156">
        <v>4</v>
      </c>
      <c r="Q2156">
        <v>0</v>
      </c>
      <c r="R2156">
        <v>23.23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H2156">
        <v>23.23</v>
      </c>
    </row>
    <row r="2157" spans="1:34" x14ac:dyDescent="0.3">
      <c r="A2157" s="4">
        <v>2342</v>
      </c>
      <c r="B2157" s="5">
        <v>2150</v>
      </c>
      <c r="C2157">
        <v>14165</v>
      </c>
      <c r="D2157" t="s">
        <v>30259</v>
      </c>
      <c r="E2157" t="s">
        <v>124</v>
      </c>
      <c r="F2157" t="s">
        <v>626</v>
      </c>
      <c r="G2157" t="s">
        <v>30260</v>
      </c>
      <c r="H2157">
        <v>16.149999999999999</v>
      </c>
      <c r="I2157">
        <v>0</v>
      </c>
      <c r="J2157">
        <v>0</v>
      </c>
      <c r="K2157">
        <v>0</v>
      </c>
      <c r="N2157">
        <v>3</v>
      </c>
      <c r="O2157">
        <v>3</v>
      </c>
      <c r="P2157">
        <v>4</v>
      </c>
      <c r="Q2157">
        <v>0</v>
      </c>
      <c r="R2157">
        <v>23.15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H2157">
        <v>23.15</v>
      </c>
    </row>
    <row r="2158" spans="1:34" x14ac:dyDescent="0.3">
      <c r="A2158" s="4">
        <v>2343</v>
      </c>
      <c r="B2158" s="5">
        <v>2151</v>
      </c>
      <c r="C2158">
        <v>14819</v>
      </c>
      <c r="D2158" t="s">
        <v>7071</v>
      </c>
      <c r="E2158" t="s">
        <v>173</v>
      </c>
      <c r="F2158" t="s">
        <v>328</v>
      </c>
      <c r="G2158" t="s">
        <v>32091</v>
      </c>
      <c r="H2158">
        <v>16.13</v>
      </c>
      <c r="I2158">
        <v>0</v>
      </c>
      <c r="J2158">
        <v>0</v>
      </c>
      <c r="K2158">
        <v>0</v>
      </c>
      <c r="N2158">
        <v>3</v>
      </c>
      <c r="O2158">
        <v>3</v>
      </c>
      <c r="P2158">
        <v>4</v>
      </c>
      <c r="Q2158">
        <v>0</v>
      </c>
      <c r="R2158">
        <v>23.13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H2158">
        <v>23.13</v>
      </c>
    </row>
    <row r="2159" spans="1:34" x14ac:dyDescent="0.3">
      <c r="A2159" s="4">
        <v>2344</v>
      </c>
      <c r="B2159" s="5">
        <v>2152</v>
      </c>
      <c r="C2159">
        <v>1223</v>
      </c>
      <c r="D2159" t="s">
        <v>30261</v>
      </c>
      <c r="E2159" t="s">
        <v>4873</v>
      </c>
      <c r="F2159" t="s">
        <v>30</v>
      </c>
      <c r="G2159" t="s">
        <v>30262</v>
      </c>
      <c r="H2159">
        <v>16.13</v>
      </c>
      <c r="I2159">
        <v>0</v>
      </c>
      <c r="J2159">
        <v>0</v>
      </c>
      <c r="K2159">
        <v>0</v>
      </c>
      <c r="N2159">
        <v>3</v>
      </c>
      <c r="O2159">
        <v>3</v>
      </c>
      <c r="P2159">
        <v>4</v>
      </c>
      <c r="Q2159">
        <v>0</v>
      </c>
      <c r="R2159">
        <v>23.13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H2159">
        <v>23.13</v>
      </c>
    </row>
    <row r="2160" spans="1:34" x14ac:dyDescent="0.3">
      <c r="A2160" s="4">
        <v>2345</v>
      </c>
      <c r="B2160" s="5">
        <v>2153</v>
      </c>
      <c r="C2160">
        <v>11619</v>
      </c>
      <c r="D2160" t="s">
        <v>549</v>
      </c>
      <c r="E2160" t="s">
        <v>5101</v>
      </c>
      <c r="F2160" t="s">
        <v>91</v>
      </c>
      <c r="G2160" t="s">
        <v>30263</v>
      </c>
      <c r="H2160">
        <v>16.100000000000001</v>
      </c>
      <c r="I2160">
        <v>0</v>
      </c>
      <c r="J2160">
        <v>0</v>
      </c>
      <c r="K2160">
        <v>0</v>
      </c>
      <c r="O2160">
        <v>0</v>
      </c>
      <c r="P2160">
        <v>4</v>
      </c>
      <c r="Q2160">
        <v>0</v>
      </c>
      <c r="R2160">
        <v>20.100000000000001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3</v>
      </c>
      <c r="AC2160">
        <v>0</v>
      </c>
      <c r="AD2160" t="s">
        <v>130</v>
      </c>
      <c r="AH2160">
        <v>23.1</v>
      </c>
    </row>
    <row r="2161" spans="1:34" x14ac:dyDescent="0.3">
      <c r="A2161" s="4">
        <v>2346</v>
      </c>
      <c r="B2161" s="5">
        <v>2154</v>
      </c>
      <c r="C2161">
        <v>8252</v>
      </c>
      <c r="D2161" t="s">
        <v>4201</v>
      </c>
      <c r="E2161" t="s">
        <v>1694</v>
      </c>
      <c r="F2161" t="s">
        <v>62</v>
      </c>
      <c r="G2161" t="s">
        <v>30264</v>
      </c>
      <c r="H2161">
        <v>20.05</v>
      </c>
      <c r="I2161">
        <v>0</v>
      </c>
      <c r="J2161">
        <v>0</v>
      </c>
      <c r="K2161">
        <v>0</v>
      </c>
      <c r="N2161">
        <v>3</v>
      </c>
      <c r="O2161">
        <v>3</v>
      </c>
      <c r="P2161">
        <v>0</v>
      </c>
      <c r="Q2161">
        <v>0</v>
      </c>
      <c r="R2161">
        <v>23.05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H2161">
        <v>23.05</v>
      </c>
    </row>
    <row r="2162" spans="1:34" x14ac:dyDescent="0.3">
      <c r="A2162" s="4">
        <v>2347</v>
      </c>
      <c r="B2162" s="5">
        <v>2155</v>
      </c>
      <c r="C2162">
        <v>5945</v>
      </c>
      <c r="D2162" t="s">
        <v>10581</v>
      </c>
      <c r="E2162" t="s">
        <v>255</v>
      </c>
      <c r="F2162" t="s">
        <v>136</v>
      </c>
      <c r="G2162" t="s">
        <v>30265</v>
      </c>
      <c r="H2162">
        <v>16.03</v>
      </c>
      <c r="I2162">
        <v>0</v>
      </c>
      <c r="J2162">
        <v>0</v>
      </c>
      <c r="K2162">
        <v>0</v>
      </c>
      <c r="O2162">
        <v>0</v>
      </c>
      <c r="P2162">
        <v>4</v>
      </c>
      <c r="Q2162">
        <v>0</v>
      </c>
      <c r="R2162">
        <v>20.03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3</v>
      </c>
      <c r="AC2162">
        <v>0</v>
      </c>
      <c r="AH2162">
        <v>23.03</v>
      </c>
    </row>
    <row r="2163" spans="1:34" x14ac:dyDescent="0.3">
      <c r="A2163" s="4">
        <v>2348</v>
      </c>
      <c r="B2163" s="5">
        <v>2156</v>
      </c>
      <c r="C2163">
        <v>12613</v>
      </c>
      <c r="D2163" t="s">
        <v>891</v>
      </c>
      <c r="E2163" t="s">
        <v>54</v>
      </c>
      <c r="F2163" t="s">
        <v>20</v>
      </c>
      <c r="G2163" t="s">
        <v>30266</v>
      </c>
      <c r="H2163">
        <v>17</v>
      </c>
      <c r="I2163">
        <v>0</v>
      </c>
      <c r="J2163">
        <v>0</v>
      </c>
      <c r="K2163">
        <v>0</v>
      </c>
      <c r="O2163">
        <v>0</v>
      </c>
      <c r="P2163">
        <v>4</v>
      </c>
      <c r="Q2163">
        <v>2</v>
      </c>
      <c r="R2163">
        <v>23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H2163">
        <v>23</v>
      </c>
    </row>
    <row r="2164" spans="1:34" x14ac:dyDescent="0.3">
      <c r="A2164" s="4">
        <v>2349</v>
      </c>
      <c r="B2164" s="5">
        <v>2157</v>
      </c>
      <c r="C2164">
        <v>5403</v>
      </c>
      <c r="D2164" t="s">
        <v>181</v>
      </c>
      <c r="E2164" t="s">
        <v>166</v>
      </c>
      <c r="F2164" t="s">
        <v>38</v>
      </c>
      <c r="G2164" t="s">
        <v>30267</v>
      </c>
      <c r="H2164">
        <v>16</v>
      </c>
      <c r="I2164">
        <v>0</v>
      </c>
      <c r="J2164">
        <v>0</v>
      </c>
      <c r="K2164">
        <v>0</v>
      </c>
      <c r="N2164">
        <v>3</v>
      </c>
      <c r="O2164">
        <v>3</v>
      </c>
      <c r="P2164">
        <v>4</v>
      </c>
      <c r="Q2164">
        <v>0</v>
      </c>
      <c r="R2164">
        <v>23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H2164">
        <v>23</v>
      </c>
    </row>
    <row r="2165" spans="1:34" x14ac:dyDescent="0.3">
      <c r="A2165" s="4">
        <v>2350</v>
      </c>
      <c r="B2165" s="5">
        <v>2158</v>
      </c>
      <c r="C2165">
        <v>6872</v>
      </c>
      <c r="D2165" t="s">
        <v>1033</v>
      </c>
      <c r="E2165" t="s">
        <v>30268</v>
      </c>
      <c r="F2165" t="s">
        <v>136</v>
      </c>
      <c r="G2165" t="s">
        <v>30269</v>
      </c>
      <c r="H2165">
        <v>16</v>
      </c>
      <c r="I2165">
        <v>0</v>
      </c>
      <c r="J2165">
        <v>0</v>
      </c>
      <c r="K2165">
        <v>0</v>
      </c>
      <c r="L2165">
        <v>7</v>
      </c>
      <c r="O2165">
        <v>7</v>
      </c>
      <c r="P2165">
        <v>0</v>
      </c>
      <c r="Q2165">
        <v>0</v>
      </c>
      <c r="R2165">
        <v>23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E2165" t="s">
        <v>130</v>
      </c>
      <c r="AH2165">
        <v>23</v>
      </c>
    </row>
    <row r="2166" spans="1:34" x14ac:dyDescent="0.3">
      <c r="A2166" s="4">
        <v>2351</v>
      </c>
      <c r="B2166" s="5">
        <v>2159</v>
      </c>
      <c r="C2166">
        <v>10145</v>
      </c>
      <c r="D2166" t="s">
        <v>4325</v>
      </c>
      <c r="E2166" t="s">
        <v>29</v>
      </c>
      <c r="F2166" t="s">
        <v>81</v>
      </c>
      <c r="G2166" t="s">
        <v>30270</v>
      </c>
      <c r="H2166">
        <v>16</v>
      </c>
      <c r="I2166">
        <v>0</v>
      </c>
      <c r="J2166">
        <v>0</v>
      </c>
      <c r="K2166">
        <v>0</v>
      </c>
      <c r="N2166">
        <v>3</v>
      </c>
      <c r="O2166">
        <v>3</v>
      </c>
      <c r="P2166">
        <v>4</v>
      </c>
      <c r="Q2166">
        <v>0</v>
      </c>
      <c r="R2166">
        <v>23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H2166">
        <v>23</v>
      </c>
    </row>
    <row r="2167" spans="1:34" x14ac:dyDescent="0.3">
      <c r="A2167" s="4">
        <v>2352</v>
      </c>
      <c r="B2167" s="5">
        <v>2160</v>
      </c>
      <c r="C2167">
        <v>8476</v>
      </c>
      <c r="D2167" t="s">
        <v>30271</v>
      </c>
      <c r="E2167" t="s">
        <v>29</v>
      </c>
      <c r="F2167" t="s">
        <v>20</v>
      </c>
      <c r="G2167" t="s">
        <v>30272</v>
      </c>
      <c r="H2167">
        <v>16</v>
      </c>
      <c r="I2167">
        <v>0</v>
      </c>
      <c r="J2167">
        <v>0</v>
      </c>
      <c r="K2167">
        <v>0</v>
      </c>
      <c r="N2167">
        <v>3</v>
      </c>
      <c r="O2167">
        <v>3</v>
      </c>
      <c r="P2167">
        <v>4</v>
      </c>
      <c r="Q2167">
        <v>0</v>
      </c>
      <c r="R2167">
        <v>23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H2167">
        <v>23</v>
      </c>
    </row>
    <row r="2168" spans="1:34" x14ac:dyDescent="0.3">
      <c r="A2168" s="4">
        <v>2353</v>
      </c>
      <c r="B2168" s="5">
        <v>2161</v>
      </c>
      <c r="C2168">
        <v>3524</v>
      </c>
      <c r="D2168" t="s">
        <v>10540</v>
      </c>
      <c r="E2168" t="s">
        <v>208</v>
      </c>
      <c r="F2168" t="s">
        <v>10541</v>
      </c>
      <c r="G2168" t="s">
        <v>30273</v>
      </c>
      <c r="H2168">
        <v>19.98</v>
      </c>
      <c r="I2168">
        <v>0</v>
      </c>
      <c r="J2168">
        <v>0</v>
      </c>
      <c r="K2168">
        <v>0</v>
      </c>
      <c r="N2168">
        <v>3</v>
      </c>
      <c r="O2168">
        <v>3</v>
      </c>
      <c r="P2168">
        <v>0</v>
      </c>
      <c r="Q2168">
        <v>0</v>
      </c>
      <c r="R2168">
        <v>22.98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H2168">
        <v>22.98</v>
      </c>
    </row>
    <row r="2169" spans="1:34" x14ac:dyDescent="0.3">
      <c r="A2169" s="4">
        <v>2354</v>
      </c>
      <c r="B2169" s="5">
        <v>2162</v>
      </c>
      <c r="C2169">
        <v>4954</v>
      </c>
      <c r="D2169" t="s">
        <v>28049</v>
      </c>
      <c r="E2169" t="s">
        <v>29</v>
      </c>
      <c r="F2169" t="s">
        <v>124</v>
      </c>
      <c r="G2169" t="s">
        <v>30274</v>
      </c>
      <c r="H2169">
        <v>19.98</v>
      </c>
      <c r="I2169">
        <v>0</v>
      </c>
      <c r="J2169">
        <v>0</v>
      </c>
      <c r="K2169">
        <v>0</v>
      </c>
      <c r="N2169">
        <v>3</v>
      </c>
      <c r="O2169">
        <v>3</v>
      </c>
      <c r="P2169">
        <v>0</v>
      </c>
      <c r="Q2169">
        <v>0</v>
      </c>
      <c r="R2169">
        <v>22.98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H2169">
        <v>22.98</v>
      </c>
    </row>
    <row r="2170" spans="1:34" x14ac:dyDescent="0.3">
      <c r="A2170" s="4">
        <v>2355</v>
      </c>
      <c r="B2170" s="5">
        <v>2163</v>
      </c>
      <c r="C2170">
        <v>2907</v>
      </c>
      <c r="D2170" t="s">
        <v>30275</v>
      </c>
      <c r="E2170" t="s">
        <v>100</v>
      </c>
      <c r="F2170" t="s">
        <v>649</v>
      </c>
      <c r="G2170" t="s">
        <v>30276</v>
      </c>
      <c r="H2170">
        <v>18.98</v>
      </c>
      <c r="I2170">
        <v>0</v>
      </c>
      <c r="J2170">
        <v>0</v>
      </c>
      <c r="K2170">
        <v>0</v>
      </c>
      <c r="O2170">
        <v>0</v>
      </c>
      <c r="P2170">
        <v>4</v>
      </c>
      <c r="Q2170">
        <v>0</v>
      </c>
      <c r="R2170">
        <v>22.98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H2170">
        <v>22.98</v>
      </c>
    </row>
    <row r="2171" spans="1:34" x14ac:dyDescent="0.3">
      <c r="A2171" s="4">
        <v>2356</v>
      </c>
      <c r="B2171" s="5">
        <v>2164</v>
      </c>
      <c r="C2171">
        <v>2396</v>
      </c>
      <c r="D2171" t="s">
        <v>30277</v>
      </c>
      <c r="E2171" t="s">
        <v>132</v>
      </c>
      <c r="F2171" t="s">
        <v>17</v>
      </c>
      <c r="G2171" t="s">
        <v>30278</v>
      </c>
      <c r="H2171">
        <v>16.98</v>
      </c>
      <c r="I2171">
        <v>0</v>
      </c>
      <c r="J2171">
        <v>0</v>
      </c>
      <c r="K2171">
        <v>0</v>
      </c>
      <c r="O2171">
        <v>0</v>
      </c>
      <c r="P2171">
        <v>4</v>
      </c>
      <c r="Q2171">
        <v>2</v>
      </c>
      <c r="R2171">
        <v>22.98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H2171">
        <v>22.98</v>
      </c>
    </row>
    <row r="2172" spans="1:34" x14ac:dyDescent="0.3">
      <c r="A2172" s="4">
        <v>2357</v>
      </c>
      <c r="B2172" s="5">
        <v>2165</v>
      </c>
      <c r="C2172">
        <v>11710</v>
      </c>
      <c r="D2172" t="s">
        <v>1693</v>
      </c>
      <c r="E2172" t="s">
        <v>100</v>
      </c>
      <c r="F2172" t="s">
        <v>30</v>
      </c>
      <c r="G2172" t="s">
        <v>30279</v>
      </c>
      <c r="H2172">
        <v>18.95</v>
      </c>
      <c r="I2172">
        <v>0</v>
      </c>
      <c r="J2172">
        <v>0</v>
      </c>
      <c r="K2172">
        <v>0</v>
      </c>
      <c r="O2172">
        <v>0</v>
      </c>
      <c r="P2172">
        <v>4</v>
      </c>
      <c r="Q2172">
        <v>0</v>
      </c>
      <c r="R2172">
        <v>22.95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H2172">
        <v>22.95</v>
      </c>
    </row>
    <row r="2173" spans="1:34" x14ac:dyDescent="0.3">
      <c r="A2173" s="4">
        <v>2358</v>
      </c>
      <c r="B2173" s="5">
        <v>2166</v>
      </c>
      <c r="C2173">
        <v>6058</v>
      </c>
      <c r="D2173" t="s">
        <v>30280</v>
      </c>
      <c r="E2173" t="s">
        <v>792</v>
      </c>
      <c r="F2173" t="s">
        <v>259</v>
      </c>
      <c r="G2173" t="s">
        <v>30281</v>
      </c>
      <c r="H2173">
        <v>15.95</v>
      </c>
      <c r="I2173">
        <v>0</v>
      </c>
      <c r="J2173">
        <v>0</v>
      </c>
      <c r="K2173">
        <v>0</v>
      </c>
      <c r="L2173">
        <v>7</v>
      </c>
      <c r="O2173">
        <v>7</v>
      </c>
      <c r="P2173">
        <v>0</v>
      </c>
      <c r="Q2173">
        <v>0</v>
      </c>
      <c r="R2173">
        <v>22.95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 t="s">
        <v>130</v>
      </c>
      <c r="AH2173">
        <v>22.95</v>
      </c>
    </row>
    <row r="2174" spans="1:34" x14ac:dyDescent="0.3">
      <c r="A2174" s="4">
        <v>2359</v>
      </c>
      <c r="B2174" s="5">
        <v>2167</v>
      </c>
      <c r="C2174">
        <v>2304</v>
      </c>
      <c r="D2174" t="s">
        <v>2978</v>
      </c>
      <c r="E2174" t="s">
        <v>575</v>
      </c>
      <c r="F2174" t="s">
        <v>38</v>
      </c>
      <c r="G2174" t="s">
        <v>30282</v>
      </c>
      <c r="H2174">
        <v>15.95</v>
      </c>
      <c r="I2174">
        <v>0</v>
      </c>
      <c r="J2174">
        <v>0</v>
      </c>
      <c r="K2174">
        <v>0</v>
      </c>
      <c r="N2174">
        <v>3</v>
      </c>
      <c r="O2174">
        <v>3</v>
      </c>
      <c r="P2174">
        <v>4</v>
      </c>
      <c r="Q2174">
        <v>0</v>
      </c>
      <c r="R2174">
        <v>22.95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H2174">
        <v>22.95</v>
      </c>
    </row>
    <row r="2175" spans="1:34" x14ac:dyDescent="0.3">
      <c r="A2175" s="4">
        <v>2360</v>
      </c>
      <c r="B2175" s="5">
        <v>2168</v>
      </c>
      <c r="C2175">
        <v>4257</v>
      </c>
      <c r="D2175" t="s">
        <v>30283</v>
      </c>
      <c r="E2175" t="s">
        <v>1076</v>
      </c>
      <c r="F2175" t="s">
        <v>425</v>
      </c>
      <c r="G2175">
        <v>829541</v>
      </c>
      <c r="H2175">
        <v>14.88</v>
      </c>
      <c r="I2175">
        <v>0</v>
      </c>
      <c r="J2175">
        <v>0</v>
      </c>
      <c r="K2175">
        <v>0</v>
      </c>
      <c r="O2175">
        <v>0</v>
      </c>
      <c r="P2175">
        <v>0</v>
      </c>
      <c r="Q2175">
        <v>0</v>
      </c>
      <c r="R2175">
        <v>14.88</v>
      </c>
      <c r="S2175">
        <v>2</v>
      </c>
      <c r="T2175">
        <v>2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2</v>
      </c>
      <c r="AB2175">
        <v>6</v>
      </c>
      <c r="AC2175">
        <v>0</v>
      </c>
      <c r="AD2175" t="s">
        <v>130</v>
      </c>
      <c r="AH2175">
        <v>22.88</v>
      </c>
    </row>
    <row r="2176" spans="1:34" x14ac:dyDescent="0.3">
      <c r="A2176" s="4">
        <v>2361</v>
      </c>
      <c r="B2176" s="5">
        <v>2169</v>
      </c>
      <c r="C2176">
        <v>10608</v>
      </c>
      <c r="D2176" t="s">
        <v>30284</v>
      </c>
      <c r="E2176" t="s">
        <v>30285</v>
      </c>
      <c r="F2176" t="s">
        <v>1399</v>
      </c>
      <c r="G2176" t="s">
        <v>30286</v>
      </c>
      <c r="H2176">
        <v>18.850000000000001</v>
      </c>
      <c r="I2176">
        <v>0</v>
      </c>
      <c r="J2176">
        <v>0</v>
      </c>
      <c r="K2176">
        <v>0</v>
      </c>
      <c r="O2176">
        <v>0</v>
      </c>
      <c r="P2176">
        <v>4</v>
      </c>
      <c r="Q2176">
        <v>0</v>
      </c>
      <c r="R2176">
        <v>22.85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H2176">
        <v>22.85</v>
      </c>
    </row>
    <row r="2177" spans="1:34" x14ac:dyDescent="0.3">
      <c r="A2177" s="4">
        <v>2362</v>
      </c>
      <c r="B2177" s="5">
        <v>2170</v>
      </c>
      <c r="C2177">
        <v>15609</v>
      </c>
      <c r="D2177" t="s">
        <v>30287</v>
      </c>
      <c r="E2177" t="s">
        <v>30288</v>
      </c>
      <c r="F2177" t="s">
        <v>81</v>
      </c>
      <c r="G2177" t="s">
        <v>30289</v>
      </c>
      <c r="H2177">
        <v>18.829999999999998</v>
      </c>
      <c r="I2177">
        <v>0</v>
      </c>
      <c r="J2177">
        <v>0</v>
      </c>
      <c r="K2177">
        <v>0</v>
      </c>
      <c r="O2177">
        <v>0</v>
      </c>
      <c r="P2177">
        <v>4</v>
      </c>
      <c r="Q2177">
        <v>0</v>
      </c>
      <c r="R2177">
        <v>22.83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H2177">
        <v>22.83</v>
      </c>
    </row>
    <row r="2178" spans="1:34" x14ac:dyDescent="0.3">
      <c r="A2178" s="4">
        <v>2363</v>
      </c>
      <c r="B2178" s="5">
        <v>2171</v>
      </c>
      <c r="C2178">
        <v>11968</v>
      </c>
      <c r="D2178" t="s">
        <v>30290</v>
      </c>
      <c r="E2178" t="s">
        <v>255</v>
      </c>
      <c r="F2178" t="s">
        <v>17</v>
      </c>
      <c r="G2178" t="s">
        <v>30291</v>
      </c>
      <c r="H2178">
        <v>18.8</v>
      </c>
      <c r="I2178">
        <v>0</v>
      </c>
      <c r="J2178">
        <v>0</v>
      </c>
      <c r="K2178">
        <v>0</v>
      </c>
      <c r="O2178">
        <v>0</v>
      </c>
      <c r="P2178">
        <v>4</v>
      </c>
      <c r="Q2178">
        <v>0</v>
      </c>
      <c r="R2178">
        <v>22.8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H2178">
        <v>22.8</v>
      </c>
    </row>
    <row r="2179" spans="1:34" x14ac:dyDescent="0.3">
      <c r="A2179" s="4">
        <v>2364</v>
      </c>
      <c r="B2179" s="5">
        <v>2172</v>
      </c>
      <c r="C2179">
        <v>8053</v>
      </c>
      <c r="D2179" t="s">
        <v>15675</v>
      </c>
      <c r="E2179" t="s">
        <v>132</v>
      </c>
      <c r="F2179" t="s">
        <v>230</v>
      </c>
      <c r="G2179" t="s">
        <v>30292</v>
      </c>
      <c r="H2179">
        <v>15.8</v>
      </c>
      <c r="I2179">
        <v>0</v>
      </c>
      <c r="J2179">
        <v>0</v>
      </c>
      <c r="K2179">
        <v>0</v>
      </c>
      <c r="N2179">
        <v>3</v>
      </c>
      <c r="O2179">
        <v>3</v>
      </c>
      <c r="P2179">
        <v>4</v>
      </c>
      <c r="Q2179">
        <v>0</v>
      </c>
      <c r="R2179">
        <v>22.8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H2179">
        <v>22.8</v>
      </c>
    </row>
    <row r="2180" spans="1:34" x14ac:dyDescent="0.3">
      <c r="A2180" s="4">
        <v>2365</v>
      </c>
      <c r="B2180" s="5">
        <v>2173</v>
      </c>
      <c r="C2180">
        <v>6223</v>
      </c>
      <c r="D2180" t="s">
        <v>30293</v>
      </c>
      <c r="E2180" t="s">
        <v>30294</v>
      </c>
      <c r="F2180" t="s">
        <v>81</v>
      </c>
      <c r="G2180" t="s">
        <v>30295</v>
      </c>
      <c r="H2180">
        <v>15.78</v>
      </c>
      <c r="I2180">
        <v>0</v>
      </c>
      <c r="J2180">
        <v>0</v>
      </c>
      <c r="K2180">
        <v>0</v>
      </c>
      <c r="N2180">
        <v>3</v>
      </c>
      <c r="O2180">
        <v>3</v>
      </c>
      <c r="P2180">
        <v>4</v>
      </c>
      <c r="Q2180">
        <v>0</v>
      </c>
      <c r="R2180">
        <v>22.78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H2180">
        <v>22.78</v>
      </c>
    </row>
    <row r="2181" spans="1:34" x14ac:dyDescent="0.3">
      <c r="A2181" s="4">
        <v>2366</v>
      </c>
      <c r="B2181" s="5">
        <v>2174</v>
      </c>
      <c r="C2181">
        <v>7090</v>
      </c>
      <c r="D2181" t="s">
        <v>2115</v>
      </c>
      <c r="E2181" t="s">
        <v>8000</v>
      </c>
      <c r="F2181" t="s">
        <v>782</v>
      </c>
      <c r="G2181" t="s">
        <v>30296</v>
      </c>
      <c r="H2181">
        <v>15.78</v>
      </c>
      <c r="I2181">
        <v>0</v>
      </c>
      <c r="J2181">
        <v>0</v>
      </c>
      <c r="K2181">
        <v>0</v>
      </c>
      <c r="N2181">
        <v>3</v>
      </c>
      <c r="O2181">
        <v>3</v>
      </c>
      <c r="P2181">
        <v>4</v>
      </c>
      <c r="Q2181">
        <v>0</v>
      </c>
      <c r="R2181">
        <v>22.78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H2181">
        <v>22.78</v>
      </c>
    </row>
    <row r="2182" spans="1:34" x14ac:dyDescent="0.3">
      <c r="A2182" s="4">
        <v>2367</v>
      </c>
      <c r="B2182" s="5">
        <v>2175</v>
      </c>
      <c r="C2182">
        <v>1569</v>
      </c>
      <c r="D2182" t="s">
        <v>969</v>
      </c>
      <c r="E2182" t="s">
        <v>81</v>
      </c>
      <c r="F2182" t="s">
        <v>20</v>
      </c>
      <c r="G2182" t="s">
        <v>30297</v>
      </c>
      <c r="H2182">
        <v>18.73</v>
      </c>
      <c r="I2182">
        <v>0</v>
      </c>
      <c r="J2182">
        <v>0</v>
      </c>
      <c r="K2182">
        <v>0</v>
      </c>
      <c r="O2182">
        <v>0</v>
      </c>
      <c r="P2182">
        <v>4</v>
      </c>
      <c r="Q2182">
        <v>0</v>
      </c>
      <c r="R2182">
        <v>22.73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H2182">
        <v>22.73</v>
      </c>
    </row>
    <row r="2183" spans="1:34" x14ac:dyDescent="0.3">
      <c r="A2183" s="4">
        <v>2368</v>
      </c>
      <c r="B2183" s="5">
        <v>2176</v>
      </c>
      <c r="C2183">
        <v>8530</v>
      </c>
      <c r="D2183" t="s">
        <v>30298</v>
      </c>
      <c r="E2183" t="s">
        <v>132</v>
      </c>
      <c r="F2183" t="s">
        <v>20</v>
      </c>
      <c r="G2183" t="s">
        <v>30299</v>
      </c>
      <c r="H2183">
        <v>19.7</v>
      </c>
      <c r="I2183">
        <v>0</v>
      </c>
      <c r="J2183">
        <v>0</v>
      </c>
      <c r="K2183">
        <v>0</v>
      </c>
      <c r="N2183">
        <v>3</v>
      </c>
      <c r="O2183">
        <v>3</v>
      </c>
      <c r="P2183">
        <v>0</v>
      </c>
      <c r="Q2183">
        <v>0</v>
      </c>
      <c r="R2183">
        <v>22.7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H2183">
        <v>22.7</v>
      </c>
    </row>
    <row r="2184" spans="1:34" x14ac:dyDescent="0.3">
      <c r="A2184" s="4">
        <v>2369</v>
      </c>
      <c r="B2184" s="5">
        <v>2177</v>
      </c>
      <c r="C2184">
        <v>14616</v>
      </c>
      <c r="D2184" t="s">
        <v>30300</v>
      </c>
      <c r="E2184" t="s">
        <v>5470</v>
      </c>
      <c r="F2184" t="s">
        <v>17</v>
      </c>
      <c r="G2184" t="s">
        <v>30301</v>
      </c>
      <c r="H2184">
        <v>15.68</v>
      </c>
      <c r="I2184">
        <v>0</v>
      </c>
      <c r="J2184">
        <v>0</v>
      </c>
      <c r="K2184">
        <v>0</v>
      </c>
      <c r="N2184">
        <v>3</v>
      </c>
      <c r="O2184">
        <v>3</v>
      </c>
      <c r="P2184">
        <v>4</v>
      </c>
      <c r="Q2184">
        <v>0</v>
      </c>
      <c r="R2184">
        <v>22.68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H2184">
        <v>22.68</v>
      </c>
    </row>
    <row r="2185" spans="1:34" x14ac:dyDescent="0.3">
      <c r="A2185" s="4">
        <v>2370</v>
      </c>
      <c r="B2185" s="5">
        <v>2178</v>
      </c>
      <c r="C2185">
        <v>6750</v>
      </c>
      <c r="D2185" t="s">
        <v>4995</v>
      </c>
      <c r="E2185" t="s">
        <v>29</v>
      </c>
      <c r="F2185" t="s">
        <v>214</v>
      </c>
      <c r="G2185" t="s">
        <v>30302</v>
      </c>
      <c r="H2185">
        <v>16.649999999999999</v>
      </c>
      <c r="I2185">
        <v>0</v>
      </c>
      <c r="J2185">
        <v>0</v>
      </c>
      <c r="K2185">
        <v>0</v>
      </c>
      <c r="O2185">
        <v>0</v>
      </c>
      <c r="P2185">
        <v>0</v>
      </c>
      <c r="Q2185">
        <v>0</v>
      </c>
      <c r="R2185">
        <v>16.649999999999999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6</v>
      </c>
      <c r="AC2185">
        <v>0</v>
      </c>
      <c r="AH2185">
        <v>22.65</v>
      </c>
    </row>
    <row r="2186" spans="1:34" x14ac:dyDescent="0.3">
      <c r="A2186" s="4">
        <v>2371</v>
      </c>
      <c r="B2186" s="5">
        <v>2179</v>
      </c>
      <c r="C2186">
        <v>1520</v>
      </c>
      <c r="D2186" t="s">
        <v>30303</v>
      </c>
      <c r="E2186" t="s">
        <v>100</v>
      </c>
      <c r="F2186" t="s">
        <v>55</v>
      </c>
      <c r="G2186" t="s">
        <v>30304</v>
      </c>
      <c r="H2186">
        <v>18.649999999999999</v>
      </c>
      <c r="I2186">
        <v>0</v>
      </c>
      <c r="J2186">
        <v>0</v>
      </c>
      <c r="K2186">
        <v>0</v>
      </c>
      <c r="O2186">
        <v>0</v>
      </c>
      <c r="P2186">
        <v>4</v>
      </c>
      <c r="Q2186">
        <v>0</v>
      </c>
      <c r="R2186">
        <v>22.65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H2186">
        <v>22.65</v>
      </c>
    </row>
    <row r="2187" spans="1:34" x14ac:dyDescent="0.3">
      <c r="A2187" s="4">
        <v>2372</v>
      </c>
      <c r="B2187" s="5">
        <v>2180</v>
      </c>
      <c r="C2187">
        <v>11172</v>
      </c>
      <c r="D2187" t="s">
        <v>20390</v>
      </c>
      <c r="E2187" t="s">
        <v>110</v>
      </c>
      <c r="F2187" t="s">
        <v>442</v>
      </c>
      <c r="G2187" t="s">
        <v>30305</v>
      </c>
      <c r="H2187">
        <v>16.649999999999999</v>
      </c>
      <c r="I2187">
        <v>0</v>
      </c>
      <c r="J2187">
        <v>0</v>
      </c>
      <c r="K2187">
        <v>0</v>
      </c>
      <c r="O2187">
        <v>0</v>
      </c>
      <c r="P2187">
        <v>4</v>
      </c>
      <c r="Q2187">
        <v>2</v>
      </c>
      <c r="R2187">
        <v>22.65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H2187">
        <v>22.65</v>
      </c>
    </row>
    <row r="2188" spans="1:34" x14ac:dyDescent="0.3">
      <c r="A2188" s="4">
        <v>2373</v>
      </c>
      <c r="B2188" s="5">
        <v>2181</v>
      </c>
      <c r="C2188">
        <v>4159</v>
      </c>
      <c r="D2188" t="s">
        <v>9615</v>
      </c>
      <c r="E2188" t="s">
        <v>30306</v>
      </c>
      <c r="F2188" t="s">
        <v>10541</v>
      </c>
      <c r="G2188" t="s">
        <v>30307</v>
      </c>
      <c r="H2188">
        <v>17.63</v>
      </c>
      <c r="I2188">
        <v>0</v>
      </c>
      <c r="J2188">
        <v>0</v>
      </c>
      <c r="K2188">
        <v>0</v>
      </c>
      <c r="O2188">
        <v>0</v>
      </c>
      <c r="P2188">
        <v>0</v>
      </c>
      <c r="Q2188">
        <v>2</v>
      </c>
      <c r="R2188">
        <v>19.63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3</v>
      </c>
      <c r="AC2188">
        <v>0</v>
      </c>
      <c r="AD2188" t="s">
        <v>130</v>
      </c>
      <c r="AH2188">
        <v>22.63</v>
      </c>
    </row>
    <row r="2189" spans="1:34" x14ac:dyDescent="0.3">
      <c r="A2189" s="4">
        <v>2374</v>
      </c>
      <c r="B2189" s="5">
        <v>2182</v>
      </c>
      <c r="C2189">
        <v>13307</v>
      </c>
      <c r="D2189" t="s">
        <v>1035</v>
      </c>
      <c r="E2189" t="s">
        <v>29</v>
      </c>
      <c r="F2189" t="s">
        <v>68</v>
      </c>
      <c r="G2189" t="s">
        <v>30308</v>
      </c>
      <c r="H2189">
        <v>18.63</v>
      </c>
      <c r="I2189">
        <v>0</v>
      </c>
      <c r="J2189">
        <v>0</v>
      </c>
      <c r="K2189">
        <v>0</v>
      </c>
      <c r="O2189">
        <v>0</v>
      </c>
      <c r="P2189">
        <v>4</v>
      </c>
      <c r="Q2189">
        <v>0</v>
      </c>
      <c r="R2189">
        <v>22.63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H2189">
        <v>22.63</v>
      </c>
    </row>
    <row r="2190" spans="1:34" x14ac:dyDescent="0.3">
      <c r="A2190" s="4">
        <v>2375</v>
      </c>
      <c r="B2190" s="5">
        <v>2183</v>
      </c>
      <c r="C2190">
        <v>10887</v>
      </c>
      <c r="D2190" t="s">
        <v>4294</v>
      </c>
      <c r="E2190" t="s">
        <v>170</v>
      </c>
      <c r="F2190" t="s">
        <v>26767</v>
      </c>
      <c r="G2190" t="s">
        <v>30309</v>
      </c>
      <c r="H2190">
        <v>19.600000000000001</v>
      </c>
      <c r="I2190">
        <v>0</v>
      </c>
      <c r="J2190">
        <v>0</v>
      </c>
      <c r="K2190">
        <v>0</v>
      </c>
      <c r="N2190">
        <v>3</v>
      </c>
      <c r="O2190">
        <v>3</v>
      </c>
      <c r="P2190">
        <v>0</v>
      </c>
      <c r="Q2190">
        <v>0</v>
      </c>
      <c r="R2190">
        <v>22.6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H2190">
        <v>22.6</v>
      </c>
    </row>
    <row r="2191" spans="1:34" x14ac:dyDescent="0.3">
      <c r="A2191" s="4">
        <v>2376</v>
      </c>
      <c r="B2191" s="5">
        <v>2184</v>
      </c>
      <c r="C2191">
        <v>14054</v>
      </c>
      <c r="D2191" t="s">
        <v>30310</v>
      </c>
      <c r="E2191" t="s">
        <v>173</v>
      </c>
      <c r="F2191" t="s">
        <v>167</v>
      </c>
      <c r="G2191" t="s">
        <v>30311</v>
      </c>
      <c r="H2191">
        <v>18.579999999999998</v>
      </c>
      <c r="I2191">
        <v>0</v>
      </c>
      <c r="J2191">
        <v>0</v>
      </c>
      <c r="K2191">
        <v>0</v>
      </c>
      <c r="O2191">
        <v>0</v>
      </c>
      <c r="P2191">
        <v>4</v>
      </c>
      <c r="Q2191">
        <v>0</v>
      </c>
      <c r="R2191">
        <v>22.58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H2191">
        <v>22.58</v>
      </c>
    </row>
    <row r="2192" spans="1:34" x14ac:dyDescent="0.3">
      <c r="A2192" s="4">
        <v>2377</v>
      </c>
      <c r="B2192" s="5">
        <v>2185</v>
      </c>
      <c r="C2192">
        <v>12427</v>
      </c>
      <c r="D2192" t="s">
        <v>30312</v>
      </c>
      <c r="E2192" t="s">
        <v>41</v>
      </c>
      <c r="F2192" t="s">
        <v>30</v>
      </c>
      <c r="G2192" t="s">
        <v>30313</v>
      </c>
      <c r="H2192">
        <v>15.58</v>
      </c>
      <c r="I2192">
        <v>0</v>
      </c>
      <c r="J2192">
        <v>0</v>
      </c>
      <c r="K2192">
        <v>0</v>
      </c>
      <c r="N2192">
        <v>3</v>
      </c>
      <c r="O2192">
        <v>3</v>
      </c>
      <c r="P2192">
        <v>4</v>
      </c>
      <c r="Q2192">
        <v>0</v>
      </c>
      <c r="R2192">
        <v>22.58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H2192">
        <v>22.58</v>
      </c>
    </row>
    <row r="2193" spans="1:34" x14ac:dyDescent="0.3">
      <c r="A2193" s="4">
        <v>2378</v>
      </c>
      <c r="B2193" s="5">
        <v>2186</v>
      </c>
      <c r="C2193">
        <v>5561</v>
      </c>
      <c r="D2193" t="s">
        <v>30314</v>
      </c>
      <c r="E2193" t="s">
        <v>219</v>
      </c>
      <c r="F2193" t="s">
        <v>62</v>
      </c>
      <c r="G2193" t="s">
        <v>30315</v>
      </c>
      <c r="H2193">
        <v>18.55</v>
      </c>
      <c r="I2193">
        <v>0</v>
      </c>
      <c r="J2193">
        <v>0</v>
      </c>
      <c r="K2193">
        <v>0</v>
      </c>
      <c r="O2193">
        <v>0</v>
      </c>
      <c r="P2193">
        <v>4</v>
      </c>
      <c r="Q2193">
        <v>0</v>
      </c>
      <c r="R2193">
        <v>22.55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H2193">
        <v>22.55</v>
      </c>
    </row>
    <row r="2194" spans="1:34" x14ac:dyDescent="0.3">
      <c r="A2194" s="4">
        <v>2379</v>
      </c>
      <c r="B2194" s="5">
        <v>2187</v>
      </c>
      <c r="C2194">
        <v>11601</v>
      </c>
      <c r="D2194" t="s">
        <v>20833</v>
      </c>
      <c r="E2194" t="s">
        <v>33</v>
      </c>
      <c r="F2194" t="s">
        <v>34</v>
      </c>
      <c r="G2194" t="s">
        <v>30316</v>
      </c>
      <c r="H2194">
        <v>17.55</v>
      </c>
      <c r="I2194">
        <v>0</v>
      </c>
      <c r="J2194">
        <v>0</v>
      </c>
      <c r="K2194">
        <v>0</v>
      </c>
      <c r="N2194">
        <v>3</v>
      </c>
      <c r="O2194">
        <v>3</v>
      </c>
      <c r="P2194">
        <v>0</v>
      </c>
      <c r="Q2194">
        <v>2</v>
      </c>
      <c r="R2194">
        <v>22.55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H2194">
        <v>22.55</v>
      </c>
    </row>
    <row r="2195" spans="1:34" x14ac:dyDescent="0.3">
      <c r="A2195" s="4">
        <v>2380</v>
      </c>
      <c r="B2195" s="5">
        <v>2188</v>
      </c>
      <c r="C2195">
        <v>8393</v>
      </c>
      <c r="D2195" t="s">
        <v>20200</v>
      </c>
      <c r="E2195" t="s">
        <v>1815</v>
      </c>
      <c r="F2195" t="s">
        <v>2513</v>
      </c>
      <c r="G2195" t="s">
        <v>30317</v>
      </c>
      <c r="H2195">
        <v>18.53</v>
      </c>
      <c r="I2195">
        <v>0</v>
      </c>
      <c r="J2195">
        <v>0</v>
      </c>
      <c r="K2195">
        <v>0</v>
      </c>
      <c r="O2195">
        <v>0</v>
      </c>
      <c r="P2195">
        <v>4</v>
      </c>
      <c r="Q2195">
        <v>0</v>
      </c>
      <c r="R2195">
        <v>22.53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H2195">
        <v>22.53</v>
      </c>
    </row>
    <row r="2196" spans="1:34" x14ac:dyDescent="0.3">
      <c r="A2196" s="4">
        <v>2381</v>
      </c>
      <c r="B2196" s="5">
        <v>2189</v>
      </c>
      <c r="C2196">
        <v>5504</v>
      </c>
      <c r="D2196" t="s">
        <v>30318</v>
      </c>
      <c r="E2196" t="s">
        <v>792</v>
      </c>
      <c r="F2196" t="s">
        <v>38</v>
      </c>
      <c r="G2196" t="s">
        <v>30319</v>
      </c>
      <c r="H2196">
        <v>18.53</v>
      </c>
      <c r="I2196">
        <v>0</v>
      </c>
      <c r="J2196">
        <v>0</v>
      </c>
      <c r="K2196">
        <v>0</v>
      </c>
      <c r="O2196">
        <v>0</v>
      </c>
      <c r="P2196">
        <v>4</v>
      </c>
      <c r="Q2196">
        <v>0</v>
      </c>
      <c r="R2196">
        <v>22.53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H2196">
        <v>22.53</v>
      </c>
    </row>
    <row r="2197" spans="1:34" x14ac:dyDescent="0.3">
      <c r="A2197" s="4">
        <v>2382</v>
      </c>
      <c r="B2197" s="5">
        <v>2190</v>
      </c>
      <c r="C2197">
        <v>3</v>
      </c>
      <c r="D2197" t="s">
        <v>30320</v>
      </c>
      <c r="E2197" t="s">
        <v>30321</v>
      </c>
      <c r="F2197" t="s">
        <v>62</v>
      </c>
      <c r="G2197" t="s">
        <v>30322</v>
      </c>
      <c r="H2197">
        <v>17.53</v>
      </c>
      <c r="I2197">
        <v>0</v>
      </c>
      <c r="J2197">
        <v>0</v>
      </c>
      <c r="K2197">
        <v>0</v>
      </c>
      <c r="M2197">
        <v>5</v>
      </c>
      <c r="O2197">
        <v>5</v>
      </c>
      <c r="P2197">
        <v>0</v>
      </c>
      <c r="Q2197">
        <v>0</v>
      </c>
      <c r="R2197">
        <v>22.53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H2197">
        <v>22.53</v>
      </c>
    </row>
    <row r="2198" spans="1:34" x14ac:dyDescent="0.3">
      <c r="A2198" s="4">
        <v>2383</v>
      </c>
      <c r="B2198" s="5">
        <v>2191</v>
      </c>
      <c r="C2198">
        <v>15095</v>
      </c>
      <c r="D2198" t="s">
        <v>30323</v>
      </c>
      <c r="E2198" t="s">
        <v>30324</v>
      </c>
      <c r="F2198" t="s">
        <v>1450</v>
      </c>
      <c r="G2198" t="s">
        <v>30325</v>
      </c>
      <c r="H2198">
        <v>15.53</v>
      </c>
      <c r="I2198">
        <v>0</v>
      </c>
      <c r="J2198">
        <v>0</v>
      </c>
      <c r="K2198">
        <v>0</v>
      </c>
      <c r="N2198">
        <v>3</v>
      </c>
      <c r="O2198">
        <v>3</v>
      </c>
      <c r="P2198">
        <v>4</v>
      </c>
      <c r="Q2198">
        <v>0</v>
      </c>
      <c r="R2198">
        <v>22.53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 t="s">
        <v>130</v>
      </c>
      <c r="AH2198">
        <v>22.53</v>
      </c>
    </row>
    <row r="2199" spans="1:34" x14ac:dyDescent="0.3">
      <c r="A2199" s="4">
        <v>2384</v>
      </c>
      <c r="B2199" s="5">
        <v>2192</v>
      </c>
      <c r="C2199">
        <v>12373</v>
      </c>
      <c r="D2199" t="s">
        <v>30326</v>
      </c>
      <c r="E2199" t="s">
        <v>132</v>
      </c>
      <c r="F2199" t="s">
        <v>649</v>
      </c>
      <c r="G2199" t="s">
        <v>30327</v>
      </c>
      <c r="H2199">
        <v>16.5</v>
      </c>
      <c r="I2199">
        <v>0</v>
      </c>
      <c r="J2199">
        <v>0</v>
      </c>
      <c r="K2199">
        <v>0</v>
      </c>
      <c r="O2199">
        <v>0</v>
      </c>
      <c r="P2199">
        <v>4</v>
      </c>
      <c r="Q2199">
        <v>2</v>
      </c>
      <c r="R2199">
        <v>22.5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H2199">
        <v>22.5</v>
      </c>
    </row>
    <row r="2200" spans="1:34" x14ac:dyDescent="0.3">
      <c r="A2200" s="4">
        <v>2385</v>
      </c>
      <c r="B2200" s="5">
        <v>2193</v>
      </c>
      <c r="C2200">
        <v>9422</v>
      </c>
      <c r="D2200" t="s">
        <v>30328</v>
      </c>
      <c r="E2200" t="s">
        <v>100</v>
      </c>
      <c r="F2200" t="s">
        <v>91</v>
      </c>
      <c r="G2200" t="s">
        <v>30329</v>
      </c>
      <c r="H2200">
        <v>18.48</v>
      </c>
      <c r="I2200">
        <v>0</v>
      </c>
      <c r="J2200">
        <v>0</v>
      </c>
      <c r="K2200">
        <v>0</v>
      </c>
      <c r="O2200">
        <v>0</v>
      </c>
      <c r="P2200">
        <v>4</v>
      </c>
      <c r="Q2200">
        <v>0</v>
      </c>
      <c r="R2200">
        <v>22.48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H2200">
        <v>22.48</v>
      </c>
    </row>
    <row r="2201" spans="1:34" x14ac:dyDescent="0.3">
      <c r="A2201" s="4">
        <v>2386</v>
      </c>
      <c r="B2201" s="5">
        <v>2194</v>
      </c>
      <c r="C2201">
        <v>9523</v>
      </c>
      <c r="D2201" t="s">
        <v>30330</v>
      </c>
      <c r="E2201" t="s">
        <v>789</v>
      </c>
      <c r="F2201" t="s">
        <v>38</v>
      </c>
      <c r="G2201" t="s">
        <v>30331</v>
      </c>
      <c r="H2201">
        <v>15.48</v>
      </c>
      <c r="I2201">
        <v>0</v>
      </c>
      <c r="J2201">
        <v>0</v>
      </c>
      <c r="K2201">
        <v>0</v>
      </c>
      <c r="L2201">
        <v>7</v>
      </c>
      <c r="O2201">
        <v>7</v>
      </c>
      <c r="P2201">
        <v>0</v>
      </c>
      <c r="Q2201">
        <v>0</v>
      </c>
      <c r="R2201">
        <v>22.48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H2201">
        <v>22.48</v>
      </c>
    </row>
    <row r="2202" spans="1:34" x14ac:dyDescent="0.3">
      <c r="A2202" s="4">
        <v>2387</v>
      </c>
      <c r="B2202" s="5">
        <v>2195</v>
      </c>
      <c r="C2202">
        <v>714</v>
      </c>
      <c r="D2202" t="s">
        <v>93</v>
      </c>
      <c r="E2202" t="s">
        <v>1371</v>
      </c>
      <c r="F2202" t="s">
        <v>81</v>
      </c>
      <c r="G2202" t="s">
        <v>30332</v>
      </c>
      <c r="H2202">
        <v>18.45</v>
      </c>
      <c r="I2202">
        <v>0</v>
      </c>
      <c r="J2202">
        <v>0</v>
      </c>
      <c r="K2202">
        <v>0</v>
      </c>
      <c r="O2202">
        <v>0</v>
      </c>
      <c r="P2202">
        <v>4</v>
      </c>
      <c r="Q2202">
        <v>0</v>
      </c>
      <c r="R2202">
        <v>22.45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H2202">
        <v>22.45</v>
      </c>
    </row>
    <row r="2203" spans="1:34" x14ac:dyDescent="0.3">
      <c r="A2203" s="4">
        <v>2388</v>
      </c>
      <c r="B2203" s="5">
        <v>2196</v>
      </c>
      <c r="C2203">
        <v>14378</v>
      </c>
      <c r="D2203" t="s">
        <v>30333</v>
      </c>
      <c r="E2203" t="s">
        <v>117</v>
      </c>
      <c r="F2203" t="s">
        <v>38</v>
      </c>
      <c r="G2203" t="s">
        <v>30334</v>
      </c>
      <c r="H2203">
        <v>16.399999999999999</v>
      </c>
      <c r="I2203">
        <v>0</v>
      </c>
      <c r="J2203">
        <v>0</v>
      </c>
      <c r="K2203">
        <v>0</v>
      </c>
      <c r="N2203">
        <v>6</v>
      </c>
      <c r="O2203">
        <v>6</v>
      </c>
      <c r="P2203">
        <v>0</v>
      </c>
      <c r="Q2203">
        <v>0</v>
      </c>
      <c r="R2203">
        <v>22.4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H2203">
        <v>22.4</v>
      </c>
    </row>
    <row r="2204" spans="1:34" x14ac:dyDescent="0.3">
      <c r="A2204" s="4">
        <v>2389</v>
      </c>
      <c r="B2204" s="5">
        <v>2197</v>
      </c>
      <c r="C2204">
        <v>12133</v>
      </c>
      <c r="D2204" t="s">
        <v>30335</v>
      </c>
      <c r="E2204" t="s">
        <v>255</v>
      </c>
      <c r="F2204" t="s">
        <v>1023</v>
      </c>
      <c r="G2204" t="s">
        <v>30336</v>
      </c>
      <c r="H2204">
        <v>15.35</v>
      </c>
      <c r="I2204">
        <v>0</v>
      </c>
      <c r="J2204">
        <v>0</v>
      </c>
      <c r="K2204">
        <v>0</v>
      </c>
      <c r="N2204">
        <v>3</v>
      </c>
      <c r="O2204">
        <v>3</v>
      </c>
      <c r="P2204">
        <v>4</v>
      </c>
      <c r="Q2204">
        <v>0</v>
      </c>
      <c r="R2204">
        <v>22.35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H2204">
        <v>22.35</v>
      </c>
    </row>
    <row r="2205" spans="1:34" x14ac:dyDescent="0.3">
      <c r="A2205" s="4">
        <v>2390</v>
      </c>
      <c r="B2205" s="5">
        <v>2198</v>
      </c>
      <c r="C2205">
        <v>7625</v>
      </c>
      <c r="D2205" t="s">
        <v>30337</v>
      </c>
      <c r="E2205" t="s">
        <v>935</v>
      </c>
      <c r="F2205" t="s">
        <v>1526</v>
      </c>
      <c r="G2205" t="s">
        <v>30338</v>
      </c>
      <c r="H2205">
        <v>18.28</v>
      </c>
      <c r="I2205">
        <v>0</v>
      </c>
      <c r="J2205">
        <v>0</v>
      </c>
      <c r="K2205">
        <v>0</v>
      </c>
      <c r="O2205">
        <v>0</v>
      </c>
      <c r="P2205">
        <v>4</v>
      </c>
      <c r="Q2205">
        <v>0</v>
      </c>
      <c r="R2205">
        <v>22.28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H2205">
        <v>22.28</v>
      </c>
    </row>
    <row r="2206" spans="1:34" x14ac:dyDescent="0.3">
      <c r="A2206" s="4">
        <v>2391</v>
      </c>
      <c r="B2206" s="5">
        <v>2199</v>
      </c>
      <c r="C2206">
        <v>14295</v>
      </c>
      <c r="D2206" t="s">
        <v>30339</v>
      </c>
      <c r="E2206" t="s">
        <v>575</v>
      </c>
      <c r="F2206" t="s">
        <v>79</v>
      </c>
      <c r="G2206" t="s">
        <v>30340</v>
      </c>
      <c r="H2206">
        <v>16.28</v>
      </c>
      <c r="I2206">
        <v>0</v>
      </c>
      <c r="J2206">
        <v>0</v>
      </c>
      <c r="K2206">
        <v>0</v>
      </c>
      <c r="O2206">
        <v>0</v>
      </c>
      <c r="P2206">
        <v>4</v>
      </c>
      <c r="Q2206">
        <v>2</v>
      </c>
      <c r="R2206">
        <v>22.28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 t="s">
        <v>130</v>
      </c>
      <c r="AH2206">
        <v>22.28</v>
      </c>
    </row>
    <row r="2207" spans="1:34" x14ac:dyDescent="0.3">
      <c r="A2207" s="4">
        <v>2392</v>
      </c>
      <c r="B2207" s="5">
        <v>2200</v>
      </c>
      <c r="C2207">
        <v>4131</v>
      </c>
      <c r="D2207" t="s">
        <v>181</v>
      </c>
      <c r="E2207" t="s">
        <v>166</v>
      </c>
      <c r="F2207" t="s">
        <v>343</v>
      </c>
      <c r="G2207" t="s">
        <v>30341</v>
      </c>
      <c r="H2207">
        <v>15.25</v>
      </c>
      <c r="I2207">
        <v>0</v>
      </c>
      <c r="J2207">
        <v>0</v>
      </c>
      <c r="K2207">
        <v>0</v>
      </c>
      <c r="N2207">
        <v>3</v>
      </c>
      <c r="O2207">
        <v>3</v>
      </c>
      <c r="P2207">
        <v>4</v>
      </c>
      <c r="Q2207">
        <v>0</v>
      </c>
      <c r="R2207">
        <v>22.25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H2207">
        <v>22.25</v>
      </c>
    </row>
    <row r="2208" spans="1:34" x14ac:dyDescent="0.3">
      <c r="A2208" s="4">
        <v>2393</v>
      </c>
      <c r="B2208" s="5">
        <v>2201</v>
      </c>
      <c r="C2208">
        <v>10369</v>
      </c>
      <c r="D2208" t="s">
        <v>12928</v>
      </c>
      <c r="E2208" t="s">
        <v>173</v>
      </c>
      <c r="F2208" t="s">
        <v>136</v>
      </c>
      <c r="G2208" t="s">
        <v>30342</v>
      </c>
      <c r="H2208">
        <v>17.2</v>
      </c>
      <c r="I2208">
        <v>0</v>
      </c>
      <c r="J2208">
        <v>0</v>
      </c>
      <c r="K2208">
        <v>0</v>
      </c>
      <c r="M2208">
        <v>5</v>
      </c>
      <c r="O2208">
        <v>5</v>
      </c>
      <c r="P2208">
        <v>0</v>
      </c>
      <c r="Q2208">
        <v>0</v>
      </c>
      <c r="R2208">
        <v>22.2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H2208">
        <v>22.2</v>
      </c>
    </row>
    <row r="2209" spans="1:34" x14ac:dyDescent="0.3">
      <c r="A2209" s="4">
        <v>2394</v>
      </c>
      <c r="B2209" s="5">
        <v>2202</v>
      </c>
      <c r="C2209">
        <v>12508</v>
      </c>
      <c r="D2209" t="s">
        <v>7293</v>
      </c>
      <c r="E2209" t="s">
        <v>132</v>
      </c>
      <c r="F2209" t="s">
        <v>81</v>
      </c>
      <c r="G2209" t="s">
        <v>30343</v>
      </c>
      <c r="H2209">
        <v>15.15</v>
      </c>
      <c r="I2209">
        <v>0</v>
      </c>
      <c r="J2209">
        <v>0</v>
      </c>
      <c r="K2209">
        <v>0</v>
      </c>
      <c r="N2209">
        <v>3</v>
      </c>
      <c r="O2209">
        <v>3</v>
      </c>
      <c r="P2209">
        <v>4</v>
      </c>
      <c r="Q2209">
        <v>0</v>
      </c>
      <c r="R2209">
        <v>22.15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H2209">
        <v>22.15</v>
      </c>
    </row>
    <row r="2210" spans="1:34" x14ac:dyDescent="0.3">
      <c r="A2210" s="4">
        <v>2395</v>
      </c>
      <c r="B2210" s="5">
        <v>2203</v>
      </c>
      <c r="C2210">
        <v>10769</v>
      </c>
      <c r="D2210" t="s">
        <v>30344</v>
      </c>
      <c r="E2210" t="s">
        <v>29</v>
      </c>
      <c r="F2210" t="s">
        <v>38</v>
      </c>
      <c r="G2210" t="s">
        <v>30345</v>
      </c>
      <c r="H2210">
        <v>18.100000000000001</v>
      </c>
      <c r="I2210">
        <v>0</v>
      </c>
      <c r="J2210">
        <v>0</v>
      </c>
      <c r="K2210">
        <v>0</v>
      </c>
      <c r="O2210">
        <v>0</v>
      </c>
      <c r="P2210">
        <v>4</v>
      </c>
      <c r="Q2210">
        <v>0</v>
      </c>
      <c r="R2210">
        <v>22.1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H2210">
        <v>22.1</v>
      </c>
    </row>
    <row r="2211" spans="1:34" x14ac:dyDescent="0.3">
      <c r="A2211" s="4">
        <v>2396</v>
      </c>
      <c r="B2211" s="5">
        <v>2204</v>
      </c>
      <c r="C2211">
        <v>670</v>
      </c>
      <c r="D2211" t="s">
        <v>15614</v>
      </c>
      <c r="E2211" t="s">
        <v>255</v>
      </c>
      <c r="F2211" t="s">
        <v>124</v>
      </c>
      <c r="G2211" t="s">
        <v>30346</v>
      </c>
      <c r="H2211">
        <v>15.1</v>
      </c>
      <c r="I2211">
        <v>0</v>
      </c>
      <c r="J2211">
        <v>0</v>
      </c>
      <c r="K2211">
        <v>0</v>
      </c>
      <c r="N2211">
        <v>3</v>
      </c>
      <c r="O2211">
        <v>3</v>
      </c>
      <c r="P2211">
        <v>4</v>
      </c>
      <c r="Q2211">
        <v>0</v>
      </c>
      <c r="R2211">
        <v>22.1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H2211">
        <v>22.1</v>
      </c>
    </row>
    <row r="2212" spans="1:34" x14ac:dyDescent="0.3">
      <c r="A2212" s="4">
        <v>2397</v>
      </c>
      <c r="B2212" s="5">
        <v>2205</v>
      </c>
      <c r="C2212">
        <v>991</v>
      </c>
      <c r="D2212" t="s">
        <v>22306</v>
      </c>
      <c r="E2212" t="s">
        <v>41</v>
      </c>
      <c r="F2212" t="s">
        <v>158</v>
      </c>
      <c r="G2212" t="s">
        <v>30347</v>
      </c>
      <c r="H2212">
        <v>16.079999999999998</v>
      </c>
      <c r="I2212">
        <v>0</v>
      </c>
      <c r="J2212">
        <v>0</v>
      </c>
      <c r="K2212">
        <v>0</v>
      </c>
      <c r="O2212">
        <v>0</v>
      </c>
      <c r="P2212">
        <v>4</v>
      </c>
      <c r="Q2212">
        <v>2</v>
      </c>
      <c r="R2212">
        <v>22.08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H2212">
        <v>22.08</v>
      </c>
    </row>
    <row r="2213" spans="1:34" x14ac:dyDescent="0.3">
      <c r="A2213" s="4">
        <v>2398</v>
      </c>
      <c r="B2213" s="5">
        <v>2206</v>
      </c>
      <c r="C2213">
        <v>15661</v>
      </c>
      <c r="D2213" t="s">
        <v>30348</v>
      </c>
      <c r="E2213" t="s">
        <v>88</v>
      </c>
      <c r="F2213" t="s">
        <v>81</v>
      </c>
      <c r="G2213" t="s">
        <v>30349</v>
      </c>
      <c r="H2213">
        <v>16.079999999999998</v>
      </c>
      <c r="I2213">
        <v>0</v>
      </c>
      <c r="J2213">
        <v>0</v>
      </c>
      <c r="K2213">
        <v>0</v>
      </c>
      <c r="O2213">
        <v>0</v>
      </c>
      <c r="P2213">
        <v>4</v>
      </c>
      <c r="Q2213">
        <v>2</v>
      </c>
      <c r="R2213">
        <v>22.08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H2213">
        <v>22.08</v>
      </c>
    </row>
    <row r="2214" spans="1:34" x14ac:dyDescent="0.3">
      <c r="A2214" s="4">
        <v>2399</v>
      </c>
      <c r="B2214" s="5">
        <v>2207</v>
      </c>
      <c r="C2214">
        <v>6084</v>
      </c>
      <c r="D2214" t="s">
        <v>645</v>
      </c>
      <c r="E2214" t="s">
        <v>29</v>
      </c>
      <c r="F2214" t="s">
        <v>20</v>
      </c>
      <c r="G2214" t="s">
        <v>30350</v>
      </c>
      <c r="H2214">
        <v>15.05</v>
      </c>
      <c r="I2214">
        <v>0</v>
      </c>
      <c r="J2214">
        <v>0</v>
      </c>
      <c r="K2214">
        <v>0</v>
      </c>
      <c r="N2214">
        <v>3</v>
      </c>
      <c r="O2214">
        <v>3</v>
      </c>
      <c r="P2214">
        <v>4</v>
      </c>
      <c r="Q2214">
        <v>0</v>
      </c>
      <c r="R2214">
        <v>22.05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 t="s">
        <v>130</v>
      </c>
      <c r="AH2214">
        <v>22.05</v>
      </c>
    </row>
    <row r="2215" spans="1:34" x14ac:dyDescent="0.3">
      <c r="A2215" s="4">
        <v>2400</v>
      </c>
      <c r="B2215" s="5">
        <v>2208</v>
      </c>
      <c r="C2215">
        <v>10390</v>
      </c>
      <c r="D2215" t="s">
        <v>30351</v>
      </c>
      <c r="E2215" t="s">
        <v>18599</v>
      </c>
      <c r="F2215" t="s">
        <v>38</v>
      </c>
      <c r="G2215" t="s">
        <v>30352</v>
      </c>
      <c r="H2215">
        <v>18.03</v>
      </c>
      <c r="I2215">
        <v>0</v>
      </c>
      <c r="J2215">
        <v>0</v>
      </c>
      <c r="K2215">
        <v>0</v>
      </c>
      <c r="O2215">
        <v>0</v>
      </c>
      <c r="P2215">
        <v>4</v>
      </c>
      <c r="Q2215">
        <v>0</v>
      </c>
      <c r="R2215">
        <v>22.03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H2215">
        <v>22.03</v>
      </c>
    </row>
    <row r="2216" spans="1:34" x14ac:dyDescent="0.3">
      <c r="A2216" s="4">
        <v>2401</v>
      </c>
      <c r="B2216" s="5">
        <v>2209</v>
      </c>
      <c r="C2216">
        <v>9064</v>
      </c>
      <c r="D2216" t="s">
        <v>7519</v>
      </c>
      <c r="E2216" t="s">
        <v>26</v>
      </c>
      <c r="F2216" t="s">
        <v>972</v>
      </c>
      <c r="G2216" t="s">
        <v>7520</v>
      </c>
      <c r="H2216">
        <v>17.03</v>
      </c>
      <c r="I2216">
        <v>0</v>
      </c>
      <c r="J2216">
        <v>0</v>
      </c>
      <c r="K2216">
        <v>0</v>
      </c>
      <c r="N2216">
        <v>3</v>
      </c>
      <c r="O2216">
        <v>3</v>
      </c>
      <c r="P2216">
        <v>0</v>
      </c>
      <c r="Q2216">
        <v>2</v>
      </c>
      <c r="R2216">
        <v>22.03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H2216">
        <v>22.03</v>
      </c>
    </row>
    <row r="2217" spans="1:34" x14ac:dyDescent="0.3">
      <c r="A2217" s="4">
        <v>2402</v>
      </c>
      <c r="B2217" s="5">
        <v>2210</v>
      </c>
      <c r="C2217">
        <v>1647</v>
      </c>
      <c r="D2217" t="s">
        <v>30353</v>
      </c>
      <c r="E2217" t="s">
        <v>110</v>
      </c>
      <c r="F2217" t="s">
        <v>68</v>
      </c>
      <c r="G2217" t="s">
        <v>30354</v>
      </c>
      <c r="H2217">
        <v>17.03</v>
      </c>
      <c r="I2217">
        <v>0</v>
      </c>
      <c r="J2217">
        <v>0</v>
      </c>
      <c r="K2217">
        <v>0</v>
      </c>
      <c r="N2217">
        <v>3</v>
      </c>
      <c r="O2217">
        <v>3</v>
      </c>
      <c r="P2217">
        <v>0</v>
      </c>
      <c r="Q2217">
        <v>2</v>
      </c>
      <c r="R2217">
        <v>22.03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H2217">
        <v>22.03</v>
      </c>
    </row>
    <row r="2218" spans="1:34" x14ac:dyDescent="0.3">
      <c r="A2218" s="4">
        <v>2403</v>
      </c>
      <c r="B2218" s="5">
        <v>2211</v>
      </c>
      <c r="C2218">
        <v>5511</v>
      </c>
      <c r="D2218" t="s">
        <v>30355</v>
      </c>
      <c r="E2218" t="s">
        <v>26</v>
      </c>
      <c r="F2218" t="s">
        <v>17</v>
      </c>
      <c r="G2218" t="s">
        <v>30356</v>
      </c>
      <c r="H2218">
        <v>22</v>
      </c>
      <c r="I2218">
        <v>0</v>
      </c>
      <c r="J2218">
        <v>0</v>
      </c>
      <c r="K2218">
        <v>0</v>
      </c>
      <c r="O2218">
        <v>0</v>
      </c>
      <c r="P2218">
        <v>0</v>
      </c>
      <c r="Q2218">
        <v>0</v>
      </c>
      <c r="R2218">
        <v>22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H2218">
        <v>22</v>
      </c>
    </row>
    <row r="2219" spans="1:34" x14ac:dyDescent="0.3">
      <c r="A2219" s="4">
        <v>2404</v>
      </c>
      <c r="B2219" s="5">
        <v>2212</v>
      </c>
      <c r="C2219">
        <v>15515</v>
      </c>
      <c r="D2219" t="s">
        <v>30357</v>
      </c>
      <c r="E2219" t="s">
        <v>132</v>
      </c>
      <c r="F2219" t="s">
        <v>3094</v>
      </c>
      <c r="G2219" t="s">
        <v>30358</v>
      </c>
      <c r="H2219">
        <v>19</v>
      </c>
      <c r="I2219">
        <v>0</v>
      </c>
      <c r="J2219">
        <v>0</v>
      </c>
      <c r="K2219">
        <v>0</v>
      </c>
      <c r="N2219">
        <v>3</v>
      </c>
      <c r="O2219">
        <v>3</v>
      </c>
      <c r="P2219">
        <v>0</v>
      </c>
      <c r="Q2219">
        <v>0</v>
      </c>
      <c r="R2219">
        <v>22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H2219">
        <v>22</v>
      </c>
    </row>
    <row r="2220" spans="1:34" x14ac:dyDescent="0.3">
      <c r="A2220" s="4">
        <v>2405</v>
      </c>
      <c r="B2220" s="5">
        <v>2213</v>
      </c>
      <c r="C2220">
        <v>5016</v>
      </c>
      <c r="D2220" t="s">
        <v>9434</v>
      </c>
      <c r="E2220" t="s">
        <v>29</v>
      </c>
      <c r="F2220" t="s">
        <v>17</v>
      </c>
      <c r="G2220" t="s">
        <v>30359</v>
      </c>
      <c r="H2220">
        <v>19</v>
      </c>
      <c r="I2220">
        <v>0</v>
      </c>
      <c r="J2220">
        <v>0</v>
      </c>
      <c r="K2220">
        <v>0</v>
      </c>
      <c r="N2220">
        <v>3</v>
      </c>
      <c r="O2220">
        <v>3</v>
      </c>
      <c r="P2220">
        <v>0</v>
      </c>
      <c r="Q2220">
        <v>0</v>
      </c>
      <c r="R2220">
        <v>22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H2220">
        <v>22</v>
      </c>
    </row>
    <row r="2221" spans="1:34" x14ac:dyDescent="0.3">
      <c r="A2221" s="4">
        <v>2406</v>
      </c>
      <c r="B2221" s="5">
        <v>2214</v>
      </c>
      <c r="C2221">
        <v>11134</v>
      </c>
      <c r="D2221" t="s">
        <v>6302</v>
      </c>
      <c r="E2221" t="s">
        <v>1474</v>
      </c>
      <c r="F2221" t="s">
        <v>10326</v>
      </c>
      <c r="G2221" t="s">
        <v>30360</v>
      </c>
      <c r="H2221">
        <v>19</v>
      </c>
      <c r="I2221">
        <v>0</v>
      </c>
      <c r="J2221">
        <v>0</v>
      </c>
      <c r="K2221">
        <v>0</v>
      </c>
      <c r="N2221">
        <v>3</v>
      </c>
      <c r="O2221">
        <v>3</v>
      </c>
      <c r="P2221">
        <v>0</v>
      </c>
      <c r="Q2221">
        <v>0</v>
      </c>
      <c r="R2221">
        <v>22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H2221">
        <v>22</v>
      </c>
    </row>
    <row r="2222" spans="1:34" x14ac:dyDescent="0.3">
      <c r="A2222" s="4">
        <v>2407</v>
      </c>
      <c r="B2222" s="5">
        <v>2215</v>
      </c>
      <c r="C2222">
        <v>13003</v>
      </c>
      <c r="D2222" t="s">
        <v>30361</v>
      </c>
      <c r="E2222" t="s">
        <v>29</v>
      </c>
      <c r="F2222" t="s">
        <v>28066</v>
      </c>
      <c r="G2222" t="s">
        <v>30362</v>
      </c>
      <c r="H2222">
        <v>16</v>
      </c>
      <c r="I2222">
        <v>0</v>
      </c>
      <c r="J2222">
        <v>0</v>
      </c>
      <c r="K2222">
        <v>0</v>
      </c>
      <c r="O2222">
        <v>0</v>
      </c>
      <c r="P2222">
        <v>4</v>
      </c>
      <c r="Q2222">
        <v>2</v>
      </c>
      <c r="R2222">
        <v>22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 t="s">
        <v>130</v>
      </c>
      <c r="AH2222">
        <v>22</v>
      </c>
    </row>
    <row r="2223" spans="1:34" x14ac:dyDescent="0.3">
      <c r="A2223" s="4">
        <v>2408</v>
      </c>
      <c r="B2223" s="5">
        <v>2216</v>
      </c>
      <c r="C2223">
        <v>13705</v>
      </c>
      <c r="D2223" t="s">
        <v>181</v>
      </c>
      <c r="E2223" t="s">
        <v>307</v>
      </c>
      <c r="F2223" t="s">
        <v>136</v>
      </c>
      <c r="G2223" t="s">
        <v>30363</v>
      </c>
      <c r="H2223">
        <v>15</v>
      </c>
      <c r="I2223">
        <v>0</v>
      </c>
      <c r="J2223">
        <v>0</v>
      </c>
      <c r="K2223">
        <v>0</v>
      </c>
      <c r="L2223">
        <v>7</v>
      </c>
      <c r="O2223">
        <v>7</v>
      </c>
      <c r="P2223">
        <v>0</v>
      </c>
      <c r="Q2223">
        <v>0</v>
      </c>
      <c r="R2223">
        <v>22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H2223">
        <v>22</v>
      </c>
    </row>
    <row r="2224" spans="1:34" x14ac:dyDescent="0.3">
      <c r="A2224" s="4">
        <v>2409</v>
      </c>
      <c r="B2224" s="5">
        <v>2217</v>
      </c>
      <c r="C2224">
        <v>9200</v>
      </c>
      <c r="D2224" t="s">
        <v>30364</v>
      </c>
      <c r="E2224" t="s">
        <v>5539</v>
      </c>
      <c r="F2224" t="s">
        <v>17</v>
      </c>
      <c r="G2224" t="s">
        <v>30365</v>
      </c>
      <c r="H2224">
        <v>17.98</v>
      </c>
      <c r="I2224">
        <v>0</v>
      </c>
      <c r="J2224">
        <v>0</v>
      </c>
      <c r="K2224">
        <v>0</v>
      </c>
      <c r="O2224">
        <v>0</v>
      </c>
      <c r="P2224">
        <v>4</v>
      </c>
      <c r="Q2224">
        <v>0</v>
      </c>
      <c r="R2224">
        <v>21.98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H2224">
        <v>21.98</v>
      </c>
    </row>
    <row r="2225" spans="1:34" x14ac:dyDescent="0.3">
      <c r="A2225" s="4">
        <v>2410</v>
      </c>
      <c r="B2225" s="5">
        <v>2218</v>
      </c>
      <c r="C2225">
        <v>11199</v>
      </c>
      <c r="D2225" t="s">
        <v>30366</v>
      </c>
      <c r="E2225" t="s">
        <v>37</v>
      </c>
      <c r="F2225" t="s">
        <v>38</v>
      </c>
      <c r="G2225" t="s">
        <v>30367</v>
      </c>
      <c r="H2225">
        <v>14.98</v>
      </c>
      <c r="I2225">
        <v>0</v>
      </c>
      <c r="J2225">
        <v>0</v>
      </c>
      <c r="K2225">
        <v>0</v>
      </c>
      <c r="N2225">
        <v>3</v>
      </c>
      <c r="O2225">
        <v>3</v>
      </c>
      <c r="P2225">
        <v>4</v>
      </c>
      <c r="Q2225">
        <v>0</v>
      </c>
      <c r="R2225">
        <v>21.98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H2225">
        <v>21.98</v>
      </c>
    </row>
    <row r="2226" spans="1:34" x14ac:dyDescent="0.3">
      <c r="A2226" s="4">
        <v>2411</v>
      </c>
      <c r="B2226" s="5">
        <v>2219</v>
      </c>
      <c r="C2226">
        <v>13819</v>
      </c>
      <c r="D2226" t="s">
        <v>7037</v>
      </c>
      <c r="E2226" t="s">
        <v>38</v>
      </c>
      <c r="F2226" t="s">
        <v>652</v>
      </c>
      <c r="G2226" t="s">
        <v>30368</v>
      </c>
      <c r="H2226">
        <v>17.88</v>
      </c>
      <c r="I2226">
        <v>0</v>
      </c>
      <c r="J2226">
        <v>0</v>
      </c>
      <c r="K2226">
        <v>0</v>
      </c>
      <c r="O2226">
        <v>0</v>
      </c>
      <c r="P2226">
        <v>4</v>
      </c>
      <c r="Q2226">
        <v>0</v>
      </c>
      <c r="R2226">
        <v>21.88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H2226">
        <v>21.88</v>
      </c>
    </row>
    <row r="2227" spans="1:34" x14ac:dyDescent="0.3">
      <c r="A2227" s="4">
        <v>2412</v>
      </c>
      <c r="B2227" s="5">
        <v>2220</v>
      </c>
      <c r="C2227">
        <v>4288</v>
      </c>
      <c r="D2227" t="s">
        <v>607</v>
      </c>
      <c r="E2227" t="s">
        <v>594</v>
      </c>
      <c r="F2227" t="s">
        <v>68</v>
      </c>
      <c r="G2227" t="s">
        <v>30369</v>
      </c>
      <c r="H2227">
        <v>14.88</v>
      </c>
      <c r="I2227">
        <v>0</v>
      </c>
      <c r="J2227">
        <v>0</v>
      </c>
      <c r="K2227">
        <v>0</v>
      </c>
      <c r="N2227">
        <v>3</v>
      </c>
      <c r="O2227">
        <v>3</v>
      </c>
      <c r="P2227">
        <v>4</v>
      </c>
      <c r="Q2227">
        <v>0</v>
      </c>
      <c r="R2227">
        <v>21.88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H2227">
        <v>21.88</v>
      </c>
    </row>
    <row r="2228" spans="1:34" x14ac:dyDescent="0.3">
      <c r="A2228" s="4">
        <v>2413</v>
      </c>
      <c r="B2228" s="5">
        <v>2221</v>
      </c>
      <c r="C2228">
        <v>2586</v>
      </c>
      <c r="D2228" t="s">
        <v>30370</v>
      </c>
      <c r="E2228" t="s">
        <v>208</v>
      </c>
      <c r="F2228" t="s">
        <v>83</v>
      </c>
      <c r="G2228" t="s">
        <v>30371</v>
      </c>
      <c r="H2228">
        <v>18.8</v>
      </c>
      <c r="I2228">
        <v>0</v>
      </c>
      <c r="J2228">
        <v>0</v>
      </c>
      <c r="K2228">
        <v>0</v>
      </c>
      <c r="N2228">
        <v>3</v>
      </c>
      <c r="O2228">
        <v>3</v>
      </c>
      <c r="P2228">
        <v>0</v>
      </c>
      <c r="Q2228">
        <v>0</v>
      </c>
      <c r="R2228">
        <v>21.8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H2228">
        <v>21.8</v>
      </c>
    </row>
    <row r="2229" spans="1:34" x14ac:dyDescent="0.3">
      <c r="A2229" s="4">
        <v>2414</v>
      </c>
      <c r="B2229" s="5">
        <v>2222</v>
      </c>
      <c r="C2229">
        <v>7694</v>
      </c>
      <c r="D2229" t="s">
        <v>6336</v>
      </c>
      <c r="E2229" t="s">
        <v>41</v>
      </c>
      <c r="F2229" t="s">
        <v>17</v>
      </c>
      <c r="G2229" t="s">
        <v>30372</v>
      </c>
      <c r="H2229">
        <v>14.8</v>
      </c>
      <c r="I2229">
        <v>0</v>
      </c>
      <c r="J2229">
        <v>0</v>
      </c>
      <c r="K2229">
        <v>0</v>
      </c>
      <c r="N2229">
        <v>3</v>
      </c>
      <c r="O2229">
        <v>3</v>
      </c>
      <c r="P2229">
        <v>4</v>
      </c>
      <c r="Q2229">
        <v>0</v>
      </c>
      <c r="R2229">
        <v>21.8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H2229">
        <v>21.8</v>
      </c>
    </row>
    <row r="2230" spans="1:34" x14ac:dyDescent="0.3">
      <c r="A2230" s="4">
        <v>2415</v>
      </c>
      <c r="B2230" s="5">
        <v>2223</v>
      </c>
      <c r="C2230">
        <v>8543</v>
      </c>
      <c r="D2230" t="s">
        <v>30373</v>
      </c>
      <c r="E2230" t="s">
        <v>37</v>
      </c>
      <c r="F2230" t="s">
        <v>81</v>
      </c>
      <c r="G2230" t="s">
        <v>30374</v>
      </c>
      <c r="H2230">
        <v>14.8</v>
      </c>
      <c r="I2230">
        <v>0</v>
      </c>
      <c r="J2230">
        <v>0</v>
      </c>
      <c r="K2230">
        <v>0</v>
      </c>
      <c r="N2230">
        <v>3</v>
      </c>
      <c r="O2230">
        <v>3</v>
      </c>
      <c r="P2230">
        <v>4</v>
      </c>
      <c r="Q2230">
        <v>0</v>
      </c>
      <c r="R2230">
        <v>21.8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H2230">
        <v>21.8</v>
      </c>
    </row>
    <row r="2231" spans="1:34" x14ac:dyDescent="0.3">
      <c r="A2231" s="4">
        <v>2416</v>
      </c>
      <c r="B2231" s="5">
        <v>2224</v>
      </c>
      <c r="C2231">
        <v>8031</v>
      </c>
      <c r="D2231" t="s">
        <v>8010</v>
      </c>
      <c r="E2231" t="s">
        <v>419</v>
      </c>
      <c r="F2231" t="s">
        <v>972</v>
      </c>
      <c r="G2231" t="s">
        <v>30375</v>
      </c>
      <c r="H2231">
        <v>14.78</v>
      </c>
      <c r="I2231">
        <v>0</v>
      </c>
      <c r="J2231">
        <v>0</v>
      </c>
      <c r="K2231">
        <v>0</v>
      </c>
      <c r="N2231">
        <v>3</v>
      </c>
      <c r="O2231">
        <v>3</v>
      </c>
      <c r="P2231">
        <v>4</v>
      </c>
      <c r="Q2231">
        <v>0</v>
      </c>
      <c r="R2231">
        <v>21.78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H2231">
        <v>21.78</v>
      </c>
    </row>
    <row r="2232" spans="1:34" x14ac:dyDescent="0.3">
      <c r="A2232" s="4">
        <v>2417</v>
      </c>
      <c r="B2232" s="5">
        <v>2225</v>
      </c>
      <c r="C2232">
        <v>14904</v>
      </c>
      <c r="D2232" t="s">
        <v>30376</v>
      </c>
      <c r="E2232" t="s">
        <v>22</v>
      </c>
      <c r="F2232" t="s">
        <v>2225</v>
      </c>
      <c r="G2232" t="s">
        <v>30377</v>
      </c>
      <c r="H2232">
        <v>18.75</v>
      </c>
      <c r="I2232">
        <v>0</v>
      </c>
      <c r="J2232">
        <v>0</v>
      </c>
      <c r="K2232">
        <v>0</v>
      </c>
      <c r="N2232">
        <v>3</v>
      </c>
      <c r="O2232">
        <v>3</v>
      </c>
      <c r="P2232">
        <v>0</v>
      </c>
      <c r="Q2232">
        <v>0</v>
      </c>
      <c r="R2232">
        <v>21.75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H2232">
        <v>21.75</v>
      </c>
    </row>
    <row r="2233" spans="1:34" x14ac:dyDescent="0.3">
      <c r="A2233" s="4">
        <v>2418</v>
      </c>
      <c r="B2233" s="5">
        <v>2226</v>
      </c>
      <c r="C2233">
        <v>508</v>
      </c>
      <c r="D2233" t="s">
        <v>18677</v>
      </c>
      <c r="E2233" t="s">
        <v>30378</v>
      </c>
      <c r="F2233" t="s">
        <v>136</v>
      </c>
      <c r="G2233" t="s">
        <v>30379</v>
      </c>
      <c r="H2233">
        <v>15.75</v>
      </c>
      <c r="I2233">
        <v>0</v>
      </c>
      <c r="J2233">
        <v>0</v>
      </c>
      <c r="K2233">
        <v>0</v>
      </c>
      <c r="O2233">
        <v>0</v>
      </c>
      <c r="P2233">
        <v>4</v>
      </c>
      <c r="Q2233">
        <v>2</v>
      </c>
      <c r="R2233">
        <v>21.75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H2233">
        <v>21.75</v>
      </c>
    </row>
    <row r="2234" spans="1:34" x14ac:dyDescent="0.3">
      <c r="A2234" s="4">
        <v>2419</v>
      </c>
      <c r="B2234" s="5">
        <v>2227</v>
      </c>
      <c r="C2234">
        <v>1795</v>
      </c>
      <c r="D2234" t="s">
        <v>24909</v>
      </c>
      <c r="E2234" t="s">
        <v>208</v>
      </c>
      <c r="F2234" t="s">
        <v>68</v>
      </c>
      <c r="G2234" t="s">
        <v>30380</v>
      </c>
      <c r="H2234">
        <v>14.75</v>
      </c>
      <c r="I2234">
        <v>0</v>
      </c>
      <c r="J2234">
        <v>0</v>
      </c>
      <c r="K2234">
        <v>0</v>
      </c>
      <c r="N2234">
        <v>3</v>
      </c>
      <c r="O2234">
        <v>3</v>
      </c>
      <c r="P2234">
        <v>4</v>
      </c>
      <c r="Q2234">
        <v>0</v>
      </c>
      <c r="R2234">
        <v>21.75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H2234">
        <v>21.75</v>
      </c>
    </row>
    <row r="2235" spans="1:34" x14ac:dyDescent="0.3">
      <c r="A2235" s="4">
        <v>2420</v>
      </c>
      <c r="B2235" s="5">
        <v>2228</v>
      </c>
      <c r="C2235">
        <v>7997</v>
      </c>
      <c r="D2235" t="s">
        <v>4607</v>
      </c>
      <c r="E2235" t="s">
        <v>54</v>
      </c>
      <c r="F2235" t="s">
        <v>38</v>
      </c>
      <c r="G2235" t="s">
        <v>30381</v>
      </c>
      <c r="H2235">
        <v>17.68</v>
      </c>
      <c r="I2235">
        <v>0</v>
      </c>
      <c r="J2235">
        <v>0</v>
      </c>
      <c r="K2235">
        <v>0</v>
      </c>
      <c r="O2235">
        <v>0</v>
      </c>
      <c r="P2235">
        <v>4</v>
      </c>
      <c r="Q2235">
        <v>0</v>
      </c>
      <c r="R2235">
        <v>21.68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H2235">
        <v>21.68</v>
      </c>
    </row>
    <row r="2236" spans="1:34" x14ac:dyDescent="0.3">
      <c r="A2236" s="4">
        <v>2421</v>
      </c>
      <c r="B2236" s="5">
        <v>2229</v>
      </c>
      <c r="C2236">
        <v>8262</v>
      </c>
      <c r="D2236" t="s">
        <v>30382</v>
      </c>
      <c r="E2236" t="s">
        <v>8253</v>
      </c>
      <c r="F2236" t="s">
        <v>30383</v>
      </c>
      <c r="G2236" t="s">
        <v>30384</v>
      </c>
      <c r="H2236">
        <v>17.68</v>
      </c>
      <c r="I2236">
        <v>0</v>
      </c>
      <c r="J2236">
        <v>0</v>
      </c>
      <c r="K2236">
        <v>0</v>
      </c>
      <c r="O2236">
        <v>0</v>
      </c>
      <c r="P2236">
        <v>4</v>
      </c>
      <c r="Q2236">
        <v>0</v>
      </c>
      <c r="R2236">
        <v>21.68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H2236">
        <v>21.68</v>
      </c>
    </row>
    <row r="2237" spans="1:34" x14ac:dyDescent="0.3">
      <c r="A2237" s="4">
        <v>2422</v>
      </c>
      <c r="B2237" s="5">
        <v>2230</v>
      </c>
      <c r="C2237">
        <v>12928</v>
      </c>
      <c r="D2237" t="s">
        <v>1707</v>
      </c>
      <c r="E2237" t="s">
        <v>178</v>
      </c>
      <c r="F2237" t="s">
        <v>8771</v>
      </c>
      <c r="G2237" t="s">
        <v>30385</v>
      </c>
      <c r="H2237">
        <v>17.649999999999999</v>
      </c>
      <c r="I2237">
        <v>0</v>
      </c>
      <c r="J2237">
        <v>0</v>
      </c>
      <c r="K2237">
        <v>0</v>
      </c>
      <c r="O2237">
        <v>0</v>
      </c>
      <c r="P2237">
        <v>4</v>
      </c>
      <c r="Q2237">
        <v>0</v>
      </c>
      <c r="R2237">
        <v>21.65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H2237">
        <v>21.65</v>
      </c>
    </row>
    <row r="2238" spans="1:34" x14ac:dyDescent="0.3">
      <c r="A2238" s="4">
        <v>2423</v>
      </c>
      <c r="B2238" s="5">
        <v>2231</v>
      </c>
      <c r="C2238">
        <v>15665</v>
      </c>
      <c r="D2238" t="s">
        <v>30386</v>
      </c>
      <c r="E2238" t="s">
        <v>110</v>
      </c>
      <c r="F2238" t="s">
        <v>62</v>
      </c>
      <c r="G2238" t="s">
        <v>30387</v>
      </c>
      <c r="H2238">
        <v>18.600000000000001</v>
      </c>
      <c r="I2238">
        <v>0</v>
      </c>
      <c r="J2238">
        <v>0</v>
      </c>
      <c r="K2238">
        <v>0</v>
      </c>
      <c r="N2238">
        <v>3</v>
      </c>
      <c r="O2238">
        <v>3</v>
      </c>
      <c r="P2238">
        <v>0</v>
      </c>
      <c r="Q2238">
        <v>0</v>
      </c>
      <c r="R2238">
        <v>21.6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H2238">
        <v>21.6</v>
      </c>
    </row>
    <row r="2239" spans="1:34" x14ac:dyDescent="0.3">
      <c r="A2239" s="4">
        <v>2424</v>
      </c>
      <c r="B2239" s="5">
        <v>2232</v>
      </c>
      <c r="C2239">
        <v>14029</v>
      </c>
      <c r="D2239" t="s">
        <v>30388</v>
      </c>
      <c r="E2239" t="s">
        <v>110</v>
      </c>
      <c r="F2239" t="s">
        <v>136</v>
      </c>
      <c r="G2239" t="s">
        <v>30389</v>
      </c>
      <c r="H2239">
        <v>16.579999999999998</v>
      </c>
      <c r="I2239">
        <v>0</v>
      </c>
      <c r="J2239">
        <v>0</v>
      </c>
      <c r="K2239">
        <v>0</v>
      </c>
      <c r="M2239">
        <v>5</v>
      </c>
      <c r="O2239">
        <v>5</v>
      </c>
      <c r="P2239">
        <v>0</v>
      </c>
      <c r="Q2239">
        <v>0</v>
      </c>
      <c r="R2239">
        <v>21.58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H2239">
        <v>21.58</v>
      </c>
    </row>
    <row r="2240" spans="1:34" x14ac:dyDescent="0.3">
      <c r="A2240" s="4">
        <v>2425</v>
      </c>
      <c r="B2240" s="5">
        <v>2233</v>
      </c>
      <c r="C2240">
        <v>9609</v>
      </c>
      <c r="D2240" t="s">
        <v>2254</v>
      </c>
      <c r="E2240" t="s">
        <v>613</v>
      </c>
      <c r="F2240" t="s">
        <v>38</v>
      </c>
      <c r="G2240" t="s">
        <v>30390</v>
      </c>
      <c r="H2240">
        <v>18.55</v>
      </c>
      <c r="I2240">
        <v>0</v>
      </c>
      <c r="J2240">
        <v>0</v>
      </c>
      <c r="K2240">
        <v>0</v>
      </c>
      <c r="N2240">
        <v>3</v>
      </c>
      <c r="O2240">
        <v>3</v>
      </c>
      <c r="P2240">
        <v>0</v>
      </c>
      <c r="Q2240">
        <v>0</v>
      </c>
      <c r="R2240">
        <v>21.55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H2240">
        <v>21.55</v>
      </c>
    </row>
    <row r="2241" spans="1:34" x14ac:dyDescent="0.3">
      <c r="A2241" s="4">
        <v>2426</v>
      </c>
      <c r="B2241" s="5">
        <v>2234</v>
      </c>
      <c r="C2241">
        <v>6379</v>
      </c>
      <c r="D2241" t="s">
        <v>24641</v>
      </c>
      <c r="E2241" t="s">
        <v>335</v>
      </c>
      <c r="F2241" t="s">
        <v>68</v>
      </c>
      <c r="G2241" t="s">
        <v>30391</v>
      </c>
      <c r="H2241">
        <v>17.55</v>
      </c>
      <c r="I2241">
        <v>0</v>
      </c>
      <c r="J2241">
        <v>0</v>
      </c>
      <c r="K2241">
        <v>0</v>
      </c>
      <c r="O2241">
        <v>0</v>
      </c>
      <c r="P2241">
        <v>4</v>
      </c>
      <c r="Q2241">
        <v>0</v>
      </c>
      <c r="R2241">
        <v>21.55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H2241">
        <v>21.55</v>
      </c>
    </row>
    <row r="2242" spans="1:34" x14ac:dyDescent="0.3">
      <c r="A2242" s="4">
        <v>2427</v>
      </c>
      <c r="B2242" s="5">
        <v>2235</v>
      </c>
      <c r="C2242">
        <v>13871</v>
      </c>
      <c r="D2242" t="s">
        <v>3691</v>
      </c>
      <c r="E2242" t="s">
        <v>5009</v>
      </c>
      <c r="F2242" t="s">
        <v>30</v>
      </c>
      <c r="G2242" t="s">
        <v>30392</v>
      </c>
      <c r="H2242">
        <v>17.5</v>
      </c>
      <c r="I2242">
        <v>0</v>
      </c>
      <c r="J2242">
        <v>0</v>
      </c>
      <c r="K2242">
        <v>0</v>
      </c>
      <c r="O2242">
        <v>0</v>
      </c>
      <c r="P2242">
        <v>4</v>
      </c>
      <c r="Q2242">
        <v>0</v>
      </c>
      <c r="R2242">
        <v>21.5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H2242">
        <v>21.5</v>
      </c>
    </row>
    <row r="2243" spans="1:34" x14ac:dyDescent="0.3">
      <c r="A2243" s="4">
        <v>2428</v>
      </c>
      <c r="B2243" s="5">
        <v>2236</v>
      </c>
      <c r="C2243">
        <v>7352</v>
      </c>
      <c r="D2243" t="s">
        <v>30393</v>
      </c>
      <c r="E2243" t="s">
        <v>4890</v>
      </c>
      <c r="F2243" t="s">
        <v>117</v>
      </c>
      <c r="G2243" t="s">
        <v>30394</v>
      </c>
      <c r="H2243">
        <v>15.48</v>
      </c>
      <c r="I2243">
        <v>0</v>
      </c>
      <c r="J2243">
        <v>0</v>
      </c>
      <c r="K2243">
        <v>0</v>
      </c>
      <c r="O2243">
        <v>0</v>
      </c>
      <c r="P2243">
        <v>4</v>
      </c>
      <c r="Q2243">
        <v>2</v>
      </c>
      <c r="R2243">
        <v>21.48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H2243">
        <v>21.48</v>
      </c>
    </row>
    <row r="2244" spans="1:34" x14ac:dyDescent="0.3">
      <c r="A2244" s="4">
        <v>2429</v>
      </c>
      <c r="B2244" s="5">
        <v>2237</v>
      </c>
      <c r="C2244">
        <v>8741</v>
      </c>
      <c r="D2244" t="s">
        <v>30395</v>
      </c>
      <c r="E2244" t="s">
        <v>100</v>
      </c>
      <c r="F2244" t="s">
        <v>17</v>
      </c>
      <c r="G2244" t="s">
        <v>30396</v>
      </c>
      <c r="H2244">
        <v>17.45</v>
      </c>
      <c r="I2244">
        <v>0</v>
      </c>
      <c r="J2244">
        <v>0</v>
      </c>
      <c r="K2244">
        <v>0</v>
      </c>
      <c r="O2244">
        <v>0</v>
      </c>
      <c r="P2244">
        <v>4</v>
      </c>
      <c r="Q2244">
        <v>0</v>
      </c>
      <c r="R2244">
        <v>21.45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H2244">
        <v>21.45</v>
      </c>
    </row>
    <row r="2245" spans="1:34" x14ac:dyDescent="0.3">
      <c r="A2245" s="4">
        <v>2430</v>
      </c>
      <c r="B2245" s="5">
        <v>2238</v>
      </c>
      <c r="C2245">
        <v>15355</v>
      </c>
      <c r="D2245" t="s">
        <v>7093</v>
      </c>
      <c r="E2245" t="s">
        <v>789</v>
      </c>
      <c r="F2245" t="s">
        <v>190</v>
      </c>
      <c r="H2245">
        <v>18.43</v>
      </c>
      <c r="I2245">
        <v>0</v>
      </c>
      <c r="J2245">
        <v>0</v>
      </c>
      <c r="K2245">
        <v>0</v>
      </c>
      <c r="N2245">
        <v>3</v>
      </c>
      <c r="O2245">
        <v>3</v>
      </c>
      <c r="P2245">
        <v>0</v>
      </c>
      <c r="Q2245">
        <v>0</v>
      </c>
      <c r="R2245">
        <v>21.43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H2245">
        <v>21.43</v>
      </c>
    </row>
    <row r="2246" spans="1:34" x14ac:dyDescent="0.3">
      <c r="A2246" s="4">
        <v>2431</v>
      </c>
      <c r="B2246" s="5">
        <v>2239</v>
      </c>
      <c r="C2246">
        <v>7670</v>
      </c>
      <c r="D2246" t="s">
        <v>30397</v>
      </c>
      <c r="E2246" t="s">
        <v>30</v>
      </c>
      <c r="F2246" t="s">
        <v>158</v>
      </c>
      <c r="G2246" t="s">
        <v>30398</v>
      </c>
      <c r="H2246">
        <v>15.4</v>
      </c>
      <c r="I2246">
        <v>0</v>
      </c>
      <c r="J2246">
        <v>0</v>
      </c>
      <c r="K2246">
        <v>0</v>
      </c>
      <c r="O2246">
        <v>0</v>
      </c>
      <c r="P2246">
        <v>4</v>
      </c>
      <c r="Q2246">
        <v>2</v>
      </c>
      <c r="R2246">
        <v>21.4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H2246">
        <v>21.4</v>
      </c>
    </row>
    <row r="2247" spans="1:34" x14ac:dyDescent="0.3">
      <c r="A2247" s="4">
        <v>2432</v>
      </c>
      <c r="B2247" s="5">
        <v>2240</v>
      </c>
      <c r="C2247">
        <v>1191</v>
      </c>
      <c r="D2247" t="s">
        <v>1035</v>
      </c>
      <c r="E2247" t="s">
        <v>30399</v>
      </c>
      <c r="F2247" t="s">
        <v>227</v>
      </c>
      <c r="G2247" t="s">
        <v>30400</v>
      </c>
      <c r="H2247">
        <v>17.350000000000001</v>
      </c>
      <c r="I2247">
        <v>0</v>
      </c>
      <c r="J2247">
        <v>0</v>
      </c>
      <c r="K2247">
        <v>0</v>
      </c>
      <c r="O2247">
        <v>0</v>
      </c>
      <c r="P2247">
        <v>4</v>
      </c>
      <c r="Q2247">
        <v>0</v>
      </c>
      <c r="R2247">
        <v>21.35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H2247">
        <v>21.35</v>
      </c>
    </row>
    <row r="2248" spans="1:34" x14ac:dyDescent="0.3">
      <c r="A2248" s="4">
        <v>2433</v>
      </c>
      <c r="B2248" s="5">
        <v>2241</v>
      </c>
      <c r="C2248">
        <v>5516</v>
      </c>
      <c r="D2248" t="s">
        <v>3704</v>
      </c>
      <c r="E2248" t="s">
        <v>29</v>
      </c>
      <c r="F2248" t="s">
        <v>55</v>
      </c>
      <c r="G2248" t="s">
        <v>30401</v>
      </c>
      <c r="H2248">
        <v>21.25</v>
      </c>
      <c r="I2248">
        <v>0</v>
      </c>
      <c r="J2248">
        <v>0</v>
      </c>
      <c r="K2248">
        <v>0</v>
      </c>
      <c r="O2248">
        <v>0</v>
      </c>
      <c r="P2248">
        <v>0</v>
      </c>
      <c r="Q2248">
        <v>0</v>
      </c>
      <c r="R2248">
        <v>21.25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H2248">
        <v>21.25</v>
      </c>
    </row>
    <row r="2249" spans="1:34" x14ac:dyDescent="0.3">
      <c r="A2249" s="4">
        <v>2434</v>
      </c>
      <c r="B2249" s="5">
        <v>2242</v>
      </c>
      <c r="C2249">
        <v>8950</v>
      </c>
      <c r="D2249" t="s">
        <v>1654</v>
      </c>
      <c r="E2249" t="s">
        <v>166</v>
      </c>
      <c r="F2249" t="s">
        <v>38</v>
      </c>
      <c r="G2249" t="s">
        <v>30402</v>
      </c>
      <c r="H2249">
        <v>17.25</v>
      </c>
      <c r="I2249">
        <v>0</v>
      </c>
      <c r="J2249">
        <v>0</v>
      </c>
      <c r="K2249">
        <v>0</v>
      </c>
      <c r="O2249">
        <v>0</v>
      </c>
      <c r="P2249">
        <v>4</v>
      </c>
      <c r="Q2249">
        <v>0</v>
      </c>
      <c r="R2249">
        <v>21.25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H2249">
        <v>21.25</v>
      </c>
    </row>
    <row r="2250" spans="1:34" x14ac:dyDescent="0.3">
      <c r="A2250" s="4">
        <v>2435</v>
      </c>
      <c r="B2250" s="5">
        <v>2243</v>
      </c>
      <c r="C2250">
        <v>4826</v>
      </c>
      <c r="D2250" t="s">
        <v>1822</v>
      </c>
      <c r="E2250" t="s">
        <v>115</v>
      </c>
      <c r="F2250" t="s">
        <v>38</v>
      </c>
      <c r="G2250" t="s">
        <v>30403</v>
      </c>
      <c r="H2250">
        <v>15.25</v>
      </c>
      <c r="I2250">
        <v>0</v>
      </c>
      <c r="J2250">
        <v>0</v>
      </c>
      <c r="K2250">
        <v>0</v>
      </c>
      <c r="O2250">
        <v>0</v>
      </c>
      <c r="P2250">
        <v>4</v>
      </c>
      <c r="Q2250">
        <v>2</v>
      </c>
      <c r="R2250">
        <v>21.25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H2250">
        <v>21.25</v>
      </c>
    </row>
    <row r="2251" spans="1:34" x14ac:dyDescent="0.3">
      <c r="A2251" s="4">
        <v>2436</v>
      </c>
      <c r="B2251" s="5">
        <v>2244</v>
      </c>
      <c r="C2251">
        <v>13373</v>
      </c>
      <c r="D2251" t="s">
        <v>30404</v>
      </c>
      <c r="E2251" t="s">
        <v>6779</v>
      </c>
      <c r="F2251" t="s">
        <v>52</v>
      </c>
      <c r="G2251" t="s">
        <v>30405</v>
      </c>
      <c r="H2251">
        <v>18.23</v>
      </c>
      <c r="I2251">
        <v>0</v>
      </c>
      <c r="J2251">
        <v>0</v>
      </c>
      <c r="K2251">
        <v>0</v>
      </c>
      <c r="N2251">
        <v>3</v>
      </c>
      <c r="O2251">
        <v>3</v>
      </c>
      <c r="P2251">
        <v>0</v>
      </c>
      <c r="Q2251">
        <v>0</v>
      </c>
      <c r="R2251">
        <v>21.23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H2251">
        <v>21.23</v>
      </c>
    </row>
    <row r="2252" spans="1:34" x14ac:dyDescent="0.3">
      <c r="A2252" s="4">
        <v>2437</v>
      </c>
      <c r="B2252" s="5">
        <v>2245</v>
      </c>
      <c r="C2252">
        <v>12796</v>
      </c>
      <c r="D2252" t="s">
        <v>1822</v>
      </c>
      <c r="E2252" t="s">
        <v>37</v>
      </c>
      <c r="F2252" t="s">
        <v>158</v>
      </c>
      <c r="G2252" t="s">
        <v>30406</v>
      </c>
      <c r="H2252">
        <v>17.23</v>
      </c>
      <c r="I2252">
        <v>0</v>
      </c>
      <c r="J2252">
        <v>0</v>
      </c>
      <c r="K2252">
        <v>0</v>
      </c>
      <c r="O2252">
        <v>0</v>
      </c>
      <c r="P2252">
        <v>4</v>
      </c>
      <c r="Q2252">
        <v>0</v>
      </c>
      <c r="R2252">
        <v>21.23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H2252">
        <v>21.23</v>
      </c>
    </row>
    <row r="2253" spans="1:34" x14ac:dyDescent="0.3">
      <c r="A2253" s="4">
        <v>2438</v>
      </c>
      <c r="B2253" s="5">
        <v>2246</v>
      </c>
      <c r="C2253">
        <v>11869</v>
      </c>
      <c r="D2253" t="s">
        <v>30407</v>
      </c>
      <c r="E2253" t="s">
        <v>41</v>
      </c>
      <c r="F2253" t="s">
        <v>52</v>
      </c>
      <c r="G2253" t="s">
        <v>30408</v>
      </c>
      <c r="H2253">
        <v>17.23</v>
      </c>
      <c r="I2253">
        <v>0</v>
      </c>
      <c r="J2253">
        <v>0</v>
      </c>
      <c r="K2253">
        <v>0</v>
      </c>
      <c r="O2253">
        <v>0</v>
      </c>
      <c r="P2253">
        <v>4</v>
      </c>
      <c r="Q2253">
        <v>0</v>
      </c>
      <c r="R2253">
        <v>21.23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 t="s">
        <v>130</v>
      </c>
      <c r="AH2253">
        <v>21.23</v>
      </c>
    </row>
    <row r="2254" spans="1:34" x14ac:dyDescent="0.3">
      <c r="A2254" s="4">
        <v>2439</v>
      </c>
      <c r="B2254" s="5">
        <v>2247</v>
      </c>
      <c r="C2254">
        <v>15398</v>
      </c>
      <c r="D2254" t="s">
        <v>10012</v>
      </c>
      <c r="E2254" t="s">
        <v>1152</v>
      </c>
      <c r="F2254" t="s">
        <v>243</v>
      </c>
      <c r="G2254" t="s">
        <v>30409</v>
      </c>
      <c r="H2254">
        <v>17.13</v>
      </c>
      <c r="I2254">
        <v>0</v>
      </c>
      <c r="J2254">
        <v>0</v>
      </c>
      <c r="K2254">
        <v>0</v>
      </c>
      <c r="O2254">
        <v>0</v>
      </c>
      <c r="P2254">
        <v>4</v>
      </c>
      <c r="Q2254">
        <v>0</v>
      </c>
      <c r="R2254">
        <v>21.13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H2254">
        <v>21.13</v>
      </c>
    </row>
    <row r="2255" spans="1:34" x14ac:dyDescent="0.3">
      <c r="A2255" s="4">
        <v>2440</v>
      </c>
      <c r="B2255" s="5">
        <v>2248</v>
      </c>
      <c r="C2255">
        <v>2361</v>
      </c>
      <c r="D2255" t="s">
        <v>30410</v>
      </c>
      <c r="E2255" t="s">
        <v>6265</v>
      </c>
      <c r="F2255" t="s">
        <v>442</v>
      </c>
      <c r="G2255" t="s">
        <v>30411</v>
      </c>
      <c r="H2255">
        <v>17.100000000000001</v>
      </c>
      <c r="I2255">
        <v>0</v>
      </c>
      <c r="J2255">
        <v>0</v>
      </c>
      <c r="K2255">
        <v>0</v>
      </c>
      <c r="O2255">
        <v>0</v>
      </c>
      <c r="P2255">
        <v>4</v>
      </c>
      <c r="Q2255">
        <v>0</v>
      </c>
      <c r="R2255">
        <v>21.1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H2255">
        <v>21.1</v>
      </c>
    </row>
    <row r="2256" spans="1:34" x14ac:dyDescent="0.3">
      <c r="A2256" s="4">
        <v>2441</v>
      </c>
      <c r="B2256" s="5">
        <v>2249</v>
      </c>
      <c r="C2256">
        <v>11611</v>
      </c>
      <c r="D2256" t="s">
        <v>3340</v>
      </c>
      <c r="E2256" t="s">
        <v>30412</v>
      </c>
      <c r="F2256" t="s">
        <v>442</v>
      </c>
      <c r="G2256" t="s">
        <v>30413</v>
      </c>
      <c r="H2256">
        <v>17.100000000000001</v>
      </c>
      <c r="I2256">
        <v>0</v>
      </c>
      <c r="J2256">
        <v>0</v>
      </c>
      <c r="K2256">
        <v>0</v>
      </c>
      <c r="O2256">
        <v>0</v>
      </c>
      <c r="P2256">
        <v>4</v>
      </c>
      <c r="Q2256">
        <v>0</v>
      </c>
      <c r="R2256">
        <v>21.1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H2256">
        <v>21.1</v>
      </c>
    </row>
    <row r="2257" spans="1:34" x14ac:dyDescent="0.3">
      <c r="A2257" s="4">
        <v>2442</v>
      </c>
      <c r="B2257" s="5">
        <v>2250</v>
      </c>
      <c r="C2257">
        <v>9901</v>
      </c>
      <c r="D2257" t="s">
        <v>30414</v>
      </c>
      <c r="E2257" t="s">
        <v>789</v>
      </c>
      <c r="F2257" t="s">
        <v>136</v>
      </c>
      <c r="G2257" t="s">
        <v>30415</v>
      </c>
      <c r="H2257">
        <v>18.03</v>
      </c>
      <c r="I2257">
        <v>0</v>
      </c>
      <c r="J2257">
        <v>0</v>
      </c>
      <c r="K2257">
        <v>0</v>
      </c>
      <c r="N2257">
        <v>3</v>
      </c>
      <c r="O2257">
        <v>3</v>
      </c>
      <c r="P2257">
        <v>0</v>
      </c>
      <c r="Q2257">
        <v>0</v>
      </c>
      <c r="R2257">
        <v>21.03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H2257">
        <v>21.03</v>
      </c>
    </row>
    <row r="2258" spans="1:34" x14ac:dyDescent="0.3">
      <c r="A2258" s="4">
        <v>2443</v>
      </c>
      <c r="B2258" s="5">
        <v>2251</v>
      </c>
      <c r="C2258">
        <v>3556</v>
      </c>
      <c r="D2258" t="s">
        <v>30416</v>
      </c>
      <c r="E2258" t="s">
        <v>1997</v>
      </c>
      <c r="F2258" t="s">
        <v>328</v>
      </c>
      <c r="G2258" t="s">
        <v>30417</v>
      </c>
      <c r="H2258">
        <v>18.95</v>
      </c>
      <c r="I2258">
        <v>0</v>
      </c>
      <c r="J2258">
        <v>0</v>
      </c>
      <c r="K2258">
        <v>0</v>
      </c>
      <c r="O2258">
        <v>0</v>
      </c>
      <c r="P2258">
        <v>0</v>
      </c>
      <c r="Q2258">
        <v>2</v>
      </c>
      <c r="R2258">
        <v>20.95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H2258">
        <v>20.95</v>
      </c>
    </row>
    <row r="2259" spans="1:34" x14ac:dyDescent="0.3">
      <c r="A2259" s="4">
        <v>2444</v>
      </c>
      <c r="B2259" s="5">
        <v>2252</v>
      </c>
      <c r="C2259">
        <v>12185</v>
      </c>
      <c r="D2259" t="s">
        <v>30418</v>
      </c>
      <c r="E2259" t="s">
        <v>2542</v>
      </c>
      <c r="F2259" t="s">
        <v>30419</v>
      </c>
      <c r="G2259" t="s">
        <v>30420</v>
      </c>
      <c r="H2259">
        <v>16.829999999999998</v>
      </c>
      <c r="I2259">
        <v>0</v>
      </c>
      <c r="J2259">
        <v>0</v>
      </c>
      <c r="K2259">
        <v>0</v>
      </c>
      <c r="O2259">
        <v>0</v>
      </c>
      <c r="P2259">
        <v>4</v>
      </c>
      <c r="Q2259">
        <v>0</v>
      </c>
      <c r="R2259">
        <v>20.83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 t="s">
        <v>130</v>
      </c>
      <c r="AH2259">
        <v>20.83</v>
      </c>
    </row>
    <row r="2260" spans="1:34" x14ac:dyDescent="0.3">
      <c r="A2260" s="4">
        <v>2445</v>
      </c>
      <c r="B2260" s="5">
        <v>2253</v>
      </c>
      <c r="C2260">
        <v>12409</v>
      </c>
      <c r="D2260" t="s">
        <v>30421</v>
      </c>
      <c r="E2260" t="s">
        <v>29</v>
      </c>
      <c r="F2260" t="s">
        <v>17</v>
      </c>
      <c r="G2260" t="s">
        <v>30422</v>
      </c>
      <c r="H2260">
        <v>20.8</v>
      </c>
      <c r="I2260">
        <v>0</v>
      </c>
      <c r="J2260">
        <v>0</v>
      </c>
      <c r="K2260">
        <v>0</v>
      </c>
      <c r="O2260">
        <v>0</v>
      </c>
      <c r="P2260">
        <v>0</v>
      </c>
      <c r="Q2260">
        <v>0</v>
      </c>
      <c r="R2260">
        <v>20.8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H2260">
        <v>20.8</v>
      </c>
    </row>
    <row r="2261" spans="1:34" x14ac:dyDescent="0.3">
      <c r="A2261" s="4">
        <v>2446</v>
      </c>
      <c r="B2261" s="5">
        <v>2254</v>
      </c>
      <c r="C2261">
        <v>2653</v>
      </c>
      <c r="D2261" t="s">
        <v>6107</v>
      </c>
      <c r="E2261" t="s">
        <v>3307</v>
      </c>
      <c r="F2261" t="s">
        <v>343</v>
      </c>
      <c r="G2261" t="s">
        <v>30423</v>
      </c>
      <c r="H2261">
        <v>17.8</v>
      </c>
      <c r="I2261">
        <v>0</v>
      </c>
      <c r="J2261">
        <v>0</v>
      </c>
      <c r="K2261">
        <v>0</v>
      </c>
      <c r="N2261">
        <v>3</v>
      </c>
      <c r="O2261">
        <v>3</v>
      </c>
      <c r="P2261">
        <v>0</v>
      </c>
      <c r="Q2261">
        <v>0</v>
      </c>
      <c r="R2261">
        <v>20.8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H2261">
        <v>20.8</v>
      </c>
    </row>
    <row r="2262" spans="1:34" x14ac:dyDescent="0.3">
      <c r="A2262" s="4">
        <v>2447</v>
      </c>
      <c r="B2262" s="5">
        <v>2255</v>
      </c>
      <c r="C2262">
        <v>12296</v>
      </c>
      <c r="D2262" t="s">
        <v>30424</v>
      </c>
      <c r="E2262" t="s">
        <v>166</v>
      </c>
      <c r="F2262" t="s">
        <v>38</v>
      </c>
      <c r="G2262" t="s">
        <v>30425</v>
      </c>
      <c r="H2262">
        <v>17.8</v>
      </c>
      <c r="I2262">
        <v>0</v>
      </c>
      <c r="J2262">
        <v>0</v>
      </c>
      <c r="K2262">
        <v>0</v>
      </c>
      <c r="N2262">
        <v>3</v>
      </c>
      <c r="O2262">
        <v>3</v>
      </c>
      <c r="P2262">
        <v>0</v>
      </c>
      <c r="Q2262">
        <v>0</v>
      </c>
      <c r="R2262">
        <v>20.8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H2262">
        <v>20.8</v>
      </c>
    </row>
    <row r="2263" spans="1:34" x14ac:dyDescent="0.3">
      <c r="A2263" s="4">
        <v>2448</v>
      </c>
      <c r="B2263" s="5">
        <v>2256</v>
      </c>
      <c r="C2263">
        <v>4688</v>
      </c>
      <c r="D2263" t="s">
        <v>2154</v>
      </c>
      <c r="E2263" t="s">
        <v>283</v>
      </c>
      <c r="F2263" t="s">
        <v>38</v>
      </c>
      <c r="G2263" t="s">
        <v>30426</v>
      </c>
      <c r="H2263">
        <v>16.8</v>
      </c>
      <c r="I2263">
        <v>0</v>
      </c>
      <c r="J2263">
        <v>0</v>
      </c>
      <c r="K2263">
        <v>0</v>
      </c>
      <c r="O2263">
        <v>0</v>
      </c>
      <c r="P2263">
        <v>4</v>
      </c>
      <c r="Q2263">
        <v>0</v>
      </c>
      <c r="R2263">
        <v>20.8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H2263">
        <v>20.8</v>
      </c>
    </row>
    <row r="2264" spans="1:34" x14ac:dyDescent="0.3">
      <c r="A2264" s="4">
        <v>2449</v>
      </c>
      <c r="B2264" s="5">
        <v>2257</v>
      </c>
      <c r="C2264">
        <v>10129</v>
      </c>
      <c r="D2264" t="s">
        <v>30427</v>
      </c>
      <c r="E2264" t="s">
        <v>258</v>
      </c>
      <c r="F2264" t="s">
        <v>30</v>
      </c>
      <c r="G2264" t="s">
        <v>30428</v>
      </c>
      <c r="H2264">
        <v>17.78</v>
      </c>
      <c r="I2264">
        <v>0</v>
      </c>
      <c r="J2264">
        <v>0</v>
      </c>
      <c r="K2264">
        <v>0</v>
      </c>
      <c r="N2264">
        <v>3</v>
      </c>
      <c r="O2264">
        <v>3</v>
      </c>
      <c r="P2264">
        <v>0</v>
      </c>
      <c r="Q2264">
        <v>0</v>
      </c>
      <c r="R2264">
        <v>20.78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H2264">
        <v>20.78</v>
      </c>
    </row>
    <row r="2265" spans="1:34" x14ac:dyDescent="0.3">
      <c r="A2265" s="4">
        <v>2450</v>
      </c>
      <c r="B2265" s="5">
        <v>2258</v>
      </c>
      <c r="C2265">
        <v>12012</v>
      </c>
      <c r="D2265" t="s">
        <v>10119</v>
      </c>
      <c r="E2265" t="s">
        <v>54</v>
      </c>
      <c r="F2265" t="s">
        <v>38</v>
      </c>
      <c r="G2265" t="s">
        <v>30429</v>
      </c>
      <c r="H2265">
        <v>16.75</v>
      </c>
      <c r="I2265">
        <v>0</v>
      </c>
      <c r="J2265">
        <v>0</v>
      </c>
      <c r="K2265">
        <v>0</v>
      </c>
      <c r="O2265">
        <v>0</v>
      </c>
      <c r="P2265">
        <v>4</v>
      </c>
      <c r="Q2265">
        <v>0</v>
      </c>
      <c r="R2265">
        <v>20.75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H2265">
        <v>20.75</v>
      </c>
    </row>
    <row r="2266" spans="1:34" x14ac:dyDescent="0.3">
      <c r="A2266" s="4">
        <v>2451</v>
      </c>
      <c r="B2266" s="5">
        <v>2259</v>
      </c>
      <c r="C2266">
        <v>11821</v>
      </c>
      <c r="D2266" t="s">
        <v>5130</v>
      </c>
      <c r="E2266" t="s">
        <v>738</v>
      </c>
      <c r="F2266" t="s">
        <v>17</v>
      </c>
      <c r="G2266" t="s">
        <v>30430</v>
      </c>
      <c r="H2266">
        <v>17.73</v>
      </c>
      <c r="I2266">
        <v>0</v>
      </c>
      <c r="J2266">
        <v>0</v>
      </c>
      <c r="K2266">
        <v>0</v>
      </c>
      <c r="N2266">
        <v>3</v>
      </c>
      <c r="O2266">
        <v>3</v>
      </c>
      <c r="P2266">
        <v>0</v>
      </c>
      <c r="Q2266">
        <v>0</v>
      </c>
      <c r="R2266">
        <v>20.73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H2266">
        <v>20.73</v>
      </c>
    </row>
    <row r="2267" spans="1:34" x14ac:dyDescent="0.3">
      <c r="A2267" s="4">
        <v>2452</v>
      </c>
      <c r="B2267" s="5">
        <v>2260</v>
      </c>
      <c r="C2267">
        <v>8361</v>
      </c>
      <c r="D2267" t="s">
        <v>30431</v>
      </c>
      <c r="E2267" t="s">
        <v>161</v>
      </c>
      <c r="F2267" t="s">
        <v>328</v>
      </c>
      <c r="G2267" t="s">
        <v>30432</v>
      </c>
      <c r="H2267">
        <v>17.55</v>
      </c>
      <c r="I2267">
        <v>0</v>
      </c>
      <c r="J2267">
        <v>0</v>
      </c>
      <c r="K2267">
        <v>0</v>
      </c>
      <c r="N2267">
        <v>3</v>
      </c>
      <c r="O2267">
        <v>3</v>
      </c>
      <c r="P2267">
        <v>0</v>
      </c>
      <c r="Q2267">
        <v>0</v>
      </c>
      <c r="R2267">
        <v>20.55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H2267">
        <v>20.55</v>
      </c>
    </row>
    <row r="2268" spans="1:34" x14ac:dyDescent="0.3">
      <c r="A2268" s="4">
        <v>2453</v>
      </c>
      <c r="B2268" s="5">
        <v>2261</v>
      </c>
      <c r="C2268">
        <v>3735</v>
      </c>
      <c r="D2268" t="s">
        <v>1530</v>
      </c>
      <c r="E2268" t="s">
        <v>6225</v>
      </c>
      <c r="F2268" t="s">
        <v>68</v>
      </c>
      <c r="G2268" t="s">
        <v>32092</v>
      </c>
      <c r="H2268">
        <v>17.5</v>
      </c>
      <c r="I2268">
        <v>0</v>
      </c>
      <c r="J2268">
        <v>0</v>
      </c>
      <c r="K2268">
        <v>0</v>
      </c>
      <c r="N2268">
        <v>3</v>
      </c>
      <c r="O2268">
        <v>3</v>
      </c>
      <c r="P2268">
        <v>0</v>
      </c>
      <c r="Q2268">
        <v>0</v>
      </c>
      <c r="R2268">
        <v>20.5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H2268">
        <v>20.5</v>
      </c>
    </row>
    <row r="2269" spans="1:34" x14ac:dyDescent="0.3">
      <c r="A2269" s="4">
        <v>2454</v>
      </c>
      <c r="B2269" s="5">
        <v>2262</v>
      </c>
      <c r="C2269">
        <v>5448</v>
      </c>
      <c r="D2269" t="s">
        <v>22247</v>
      </c>
      <c r="E2269" t="s">
        <v>26</v>
      </c>
      <c r="F2269" t="s">
        <v>17</v>
      </c>
      <c r="G2269" t="s">
        <v>30433</v>
      </c>
      <c r="H2269">
        <v>16.48</v>
      </c>
      <c r="I2269">
        <v>0</v>
      </c>
      <c r="J2269">
        <v>0</v>
      </c>
      <c r="K2269">
        <v>0</v>
      </c>
      <c r="O2269">
        <v>0</v>
      </c>
      <c r="P2269">
        <v>4</v>
      </c>
      <c r="Q2269">
        <v>0</v>
      </c>
      <c r="R2269">
        <v>20.48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H2269">
        <v>20.48</v>
      </c>
    </row>
    <row r="2270" spans="1:34" x14ac:dyDescent="0.3">
      <c r="A2270" s="4">
        <v>2455</v>
      </c>
      <c r="B2270" s="5">
        <v>2263</v>
      </c>
      <c r="C2270">
        <v>12755</v>
      </c>
      <c r="D2270" t="s">
        <v>1693</v>
      </c>
      <c r="E2270" t="s">
        <v>471</v>
      </c>
      <c r="F2270" t="s">
        <v>20</v>
      </c>
      <c r="G2270" t="s">
        <v>30434</v>
      </c>
      <c r="H2270">
        <v>17.45</v>
      </c>
      <c r="I2270">
        <v>0</v>
      </c>
      <c r="J2270">
        <v>0</v>
      </c>
      <c r="K2270">
        <v>0</v>
      </c>
      <c r="O2270">
        <v>0</v>
      </c>
      <c r="P2270">
        <v>0</v>
      </c>
      <c r="Q2270">
        <v>0</v>
      </c>
      <c r="R2270">
        <v>17.45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3</v>
      </c>
      <c r="AC2270">
        <v>0</v>
      </c>
      <c r="AH2270">
        <v>20.45</v>
      </c>
    </row>
    <row r="2271" spans="1:34" x14ac:dyDescent="0.3">
      <c r="A2271" s="4">
        <v>2456</v>
      </c>
      <c r="B2271" s="5">
        <v>2264</v>
      </c>
      <c r="C2271">
        <v>10321</v>
      </c>
      <c r="D2271" t="s">
        <v>4693</v>
      </c>
      <c r="E2271" t="s">
        <v>100</v>
      </c>
      <c r="F2271" t="s">
        <v>20</v>
      </c>
      <c r="G2271" t="s">
        <v>30435</v>
      </c>
      <c r="H2271">
        <v>16.350000000000001</v>
      </c>
      <c r="I2271">
        <v>0</v>
      </c>
      <c r="J2271">
        <v>0</v>
      </c>
      <c r="K2271">
        <v>0</v>
      </c>
      <c r="O2271">
        <v>0</v>
      </c>
      <c r="P2271">
        <v>4</v>
      </c>
      <c r="Q2271">
        <v>0</v>
      </c>
      <c r="R2271">
        <v>20.350000000000001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H2271">
        <v>20.350000000000001</v>
      </c>
    </row>
    <row r="2272" spans="1:34" x14ac:dyDescent="0.3">
      <c r="A2272" s="4">
        <v>2457</v>
      </c>
      <c r="B2272" s="5">
        <v>2265</v>
      </c>
      <c r="C2272">
        <v>14314</v>
      </c>
      <c r="D2272" t="s">
        <v>30436</v>
      </c>
      <c r="E2272" t="s">
        <v>361</v>
      </c>
      <c r="F2272" t="s">
        <v>259</v>
      </c>
      <c r="G2272" t="s">
        <v>30437</v>
      </c>
      <c r="H2272">
        <v>16.3</v>
      </c>
      <c r="I2272">
        <v>0</v>
      </c>
      <c r="J2272">
        <v>0</v>
      </c>
      <c r="K2272">
        <v>0</v>
      </c>
      <c r="O2272">
        <v>0</v>
      </c>
      <c r="P2272">
        <v>4</v>
      </c>
      <c r="Q2272">
        <v>0</v>
      </c>
      <c r="R2272">
        <v>20.3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H2272">
        <v>20.3</v>
      </c>
    </row>
    <row r="2273" spans="1:34" x14ac:dyDescent="0.3">
      <c r="A2273" s="4">
        <v>2458</v>
      </c>
      <c r="B2273" s="5">
        <v>2266</v>
      </c>
      <c r="C2273">
        <v>13115</v>
      </c>
      <c r="D2273" t="s">
        <v>30438</v>
      </c>
      <c r="E2273" t="s">
        <v>132</v>
      </c>
      <c r="F2273" t="s">
        <v>158</v>
      </c>
      <c r="G2273" t="s">
        <v>30439</v>
      </c>
      <c r="H2273">
        <v>17.2</v>
      </c>
      <c r="I2273">
        <v>0</v>
      </c>
      <c r="J2273">
        <v>0</v>
      </c>
      <c r="K2273">
        <v>0</v>
      </c>
      <c r="N2273">
        <v>3</v>
      </c>
      <c r="O2273">
        <v>3</v>
      </c>
      <c r="P2273">
        <v>0</v>
      </c>
      <c r="Q2273">
        <v>0</v>
      </c>
      <c r="R2273">
        <v>20.2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H2273">
        <v>20.2</v>
      </c>
    </row>
    <row r="2274" spans="1:34" x14ac:dyDescent="0.3">
      <c r="A2274" s="4">
        <v>2459</v>
      </c>
      <c r="B2274" s="5">
        <v>2267</v>
      </c>
      <c r="C2274">
        <v>15226</v>
      </c>
      <c r="D2274" t="s">
        <v>30440</v>
      </c>
      <c r="E2274" t="s">
        <v>29</v>
      </c>
      <c r="F2274" t="s">
        <v>30441</v>
      </c>
      <c r="G2274" t="s">
        <v>30442</v>
      </c>
      <c r="H2274">
        <v>16.18</v>
      </c>
      <c r="I2274">
        <v>0</v>
      </c>
      <c r="J2274">
        <v>0</v>
      </c>
      <c r="K2274">
        <v>0</v>
      </c>
      <c r="O2274">
        <v>0</v>
      </c>
      <c r="P2274">
        <v>4</v>
      </c>
      <c r="Q2274">
        <v>0</v>
      </c>
      <c r="R2274">
        <v>20.18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H2274">
        <v>20.18</v>
      </c>
    </row>
    <row r="2275" spans="1:34" x14ac:dyDescent="0.3">
      <c r="A2275" s="4">
        <v>2460</v>
      </c>
      <c r="B2275" s="5">
        <v>2268</v>
      </c>
      <c r="C2275">
        <v>304</v>
      </c>
      <c r="D2275" t="s">
        <v>1033</v>
      </c>
      <c r="E2275" t="s">
        <v>255</v>
      </c>
      <c r="F2275" t="s">
        <v>136</v>
      </c>
      <c r="G2275" t="s">
        <v>30443</v>
      </c>
      <c r="H2275">
        <v>17</v>
      </c>
      <c r="I2275">
        <v>0</v>
      </c>
      <c r="J2275">
        <v>0</v>
      </c>
      <c r="K2275">
        <v>0</v>
      </c>
      <c r="N2275">
        <v>3</v>
      </c>
      <c r="O2275">
        <v>3</v>
      </c>
      <c r="P2275">
        <v>0</v>
      </c>
      <c r="Q2275">
        <v>0</v>
      </c>
      <c r="R2275">
        <v>20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H2275">
        <v>20</v>
      </c>
    </row>
    <row r="2276" spans="1:34" x14ac:dyDescent="0.3">
      <c r="A2276" s="4">
        <v>2461</v>
      </c>
      <c r="B2276" s="5">
        <v>2269</v>
      </c>
      <c r="C2276">
        <v>8160</v>
      </c>
      <c r="D2276" t="s">
        <v>30444</v>
      </c>
      <c r="E2276" t="s">
        <v>17</v>
      </c>
      <c r="F2276" t="s">
        <v>4947</v>
      </c>
      <c r="G2276" t="s">
        <v>30445</v>
      </c>
      <c r="H2276">
        <v>16</v>
      </c>
      <c r="I2276">
        <v>0</v>
      </c>
      <c r="J2276">
        <v>0</v>
      </c>
      <c r="K2276">
        <v>0</v>
      </c>
      <c r="O2276">
        <v>0</v>
      </c>
      <c r="P2276">
        <v>4</v>
      </c>
      <c r="Q2276">
        <v>0</v>
      </c>
      <c r="R2276">
        <v>20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H2276">
        <v>20</v>
      </c>
    </row>
    <row r="2277" spans="1:34" x14ac:dyDescent="0.3">
      <c r="A2277" s="4">
        <v>2462</v>
      </c>
      <c r="B2277" s="5">
        <v>2270</v>
      </c>
      <c r="C2277">
        <v>11071</v>
      </c>
      <c r="D2277" t="s">
        <v>6854</v>
      </c>
      <c r="E2277" t="s">
        <v>100</v>
      </c>
      <c r="F2277" t="s">
        <v>136</v>
      </c>
      <c r="G2277" t="s">
        <v>30446</v>
      </c>
      <c r="H2277">
        <v>16.899999999999999</v>
      </c>
      <c r="I2277">
        <v>0</v>
      </c>
      <c r="J2277">
        <v>0</v>
      </c>
      <c r="K2277">
        <v>0</v>
      </c>
      <c r="N2277">
        <v>3</v>
      </c>
      <c r="O2277">
        <v>3</v>
      </c>
      <c r="P2277">
        <v>0</v>
      </c>
      <c r="Q2277">
        <v>0</v>
      </c>
      <c r="R2277">
        <v>19.899999999999999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H2277">
        <v>19.899999999999999</v>
      </c>
    </row>
    <row r="2278" spans="1:34" x14ac:dyDescent="0.3">
      <c r="A2278" s="4">
        <v>2463</v>
      </c>
      <c r="B2278" s="5">
        <v>2271</v>
      </c>
      <c r="C2278">
        <v>14797</v>
      </c>
      <c r="D2278" t="s">
        <v>1746</v>
      </c>
      <c r="E2278" t="s">
        <v>2643</v>
      </c>
      <c r="F2278" t="s">
        <v>17</v>
      </c>
      <c r="G2278" t="s">
        <v>30447</v>
      </c>
      <c r="H2278">
        <v>16.88</v>
      </c>
      <c r="I2278">
        <v>0</v>
      </c>
      <c r="J2278">
        <v>0</v>
      </c>
      <c r="K2278">
        <v>0</v>
      </c>
      <c r="N2278">
        <v>3</v>
      </c>
      <c r="O2278">
        <v>3</v>
      </c>
      <c r="P2278">
        <v>0</v>
      </c>
      <c r="Q2278">
        <v>0</v>
      </c>
      <c r="R2278">
        <v>19.88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H2278">
        <v>19.88</v>
      </c>
    </row>
    <row r="2279" spans="1:34" x14ac:dyDescent="0.3">
      <c r="A2279" s="4">
        <v>2464</v>
      </c>
      <c r="B2279" s="5">
        <v>2272</v>
      </c>
      <c r="C2279">
        <v>3020</v>
      </c>
      <c r="D2279" t="s">
        <v>30448</v>
      </c>
      <c r="E2279" t="s">
        <v>30449</v>
      </c>
      <c r="F2279" t="s">
        <v>17</v>
      </c>
      <c r="G2279" t="s">
        <v>30450</v>
      </c>
      <c r="H2279">
        <v>17.850000000000001</v>
      </c>
      <c r="I2279">
        <v>0</v>
      </c>
      <c r="J2279">
        <v>0</v>
      </c>
      <c r="K2279">
        <v>0</v>
      </c>
      <c r="O2279">
        <v>0</v>
      </c>
      <c r="P2279">
        <v>0</v>
      </c>
      <c r="Q2279">
        <v>2</v>
      </c>
      <c r="R2279">
        <v>19.850000000000001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H2279">
        <v>19.850000000000001</v>
      </c>
    </row>
    <row r="2280" spans="1:34" x14ac:dyDescent="0.3">
      <c r="A2280" s="4">
        <v>2465</v>
      </c>
      <c r="B2280" s="5">
        <v>2273</v>
      </c>
      <c r="C2280">
        <v>9830</v>
      </c>
      <c r="D2280" t="s">
        <v>30451</v>
      </c>
      <c r="E2280" t="s">
        <v>100</v>
      </c>
      <c r="F2280" t="s">
        <v>81</v>
      </c>
      <c r="G2280" t="s">
        <v>30452</v>
      </c>
      <c r="H2280">
        <v>16.78</v>
      </c>
      <c r="I2280">
        <v>0</v>
      </c>
      <c r="J2280">
        <v>0</v>
      </c>
      <c r="K2280">
        <v>0</v>
      </c>
      <c r="N2280">
        <v>3</v>
      </c>
      <c r="O2280">
        <v>3</v>
      </c>
      <c r="P2280">
        <v>0</v>
      </c>
      <c r="Q2280">
        <v>0</v>
      </c>
      <c r="R2280">
        <v>19.78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H2280">
        <v>19.78</v>
      </c>
    </row>
    <row r="2281" spans="1:34" x14ac:dyDescent="0.3">
      <c r="A2281" s="4">
        <v>2466</v>
      </c>
      <c r="B2281" s="5">
        <v>2274</v>
      </c>
      <c r="C2281">
        <v>2995</v>
      </c>
      <c r="D2281" t="s">
        <v>30453</v>
      </c>
      <c r="E2281" t="s">
        <v>5300</v>
      </c>
      <c r="F2281" t="s">
        <v>17</v>
      </c>
      <c r="G2281" t="s">
        <v>30454</v>
      </c>
      <c r="H2281">
        <v>16.75</v>
      </c>
      <c r="I2281">
        <v>0</v>
      </c>
      <c r="J2281">
        <v>0</v>
      </c>
      <c r="K2281">
        <v>0</v>
      </c>
      <c r="N2281">
        <v>3</v>
      </c>
      <c r="O2281">
        <v>3</v>
      </c>
      <c r="P2281">
        <v>0</v>
      </c>
      <c r="Q2281">
        <v>0</v>
      </c>
      <c r="R2281">
        <v>19.75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H2281">
        <v>19.75</v>
      </c>
    </row>
    <row r="2282" spans="1:34" x14ac:dyDescent="0.3">
      <c r="A2282" s="4">
        <v>2467</v>
      </c>
      <c r="B2282" s="5">
        <v>2275</v>
      </c>
      <c r="C2282">
        <v>12095</v>
      </c>
      <c r="D2282" t="s">
        <v>30455</v>
      </c>
      <c r="E2282" t="s">
        <v>188</v>
      </c>
      <c r="F2282" t="s">
        <v>20</v>
      </c>
      <c r="G2282" t="s">
        <v>30456</v>
      </c>
      <c r="H2282">
        <v>16.649999999999999</v>
      </c>
      <c r="I2282">
        <v>0</v>
      </c>
      <c r="J2282">
        <v>0</v>
      </c>
      <c r="K2282">
        <v>0</v>
      </c>
      <c r="N2282">
        <v>3</v>
      </c>
      <c r="O2282">
        <v>3</v>
      </c>
      <c r="P2282">
        <v>0</v>
      </c>
      <c r="Q2282">
        <v>0</v>
      </c>
      <c r="R2282">
        <v>19.649999999999999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H2282">
        <v>19.649999999999999</v>
      </c>
    </row>
    <row r="2283" spans="1:34" x14ac:dyDescent="0.3">
      <c r="A2283" s="4">
        <v>2468</v>
      </c>
      <c r="B2283" s="5">
        <v>2276</v>
      </c>
      <c r="C2283">
        <v>11393</v>
      </c>
      <c r="D2283" t="s">
        <v>2416</v>
      </c>
      <c r="E2283" t="s">
        <v>29</v>
      </c>
      <c r="F2283" t="s">
        <v>832</v>
      </c>
      <c r="G2283" t="s">
        <v>30457</v>
      </c>
      <c r="H2283">
        <v>16.53</v>
      </c>
      <c r="I2283">
        <v>0</v>
      </c>
      <c r="J2283">
        <v>0</v>
      </c>
      <c r="K2283">
        <v>0</v>
      </c>
      <c r="N2283">
        <v>3</v>
      </c>
      <c r="O2283">
        <v>3</v>
      </c>
      <c r="P2283">
        <v>0</v>
      </c>
      <c r="Q2283">
        <v>0</v>
      </c>
      <c r="R2283">
        <v>19.53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H2283">
        <v>19.53</v>
      </c>
    </row>
    <row r="2284" spans="1:34" x14ac:dyDescent="0.3">
      <c r="A2284" s="4">
        <v>2469</v>
      </c>
      <c r="B2284" s="5">
        <v>2277</v>
      </c>
      <c r="C2284">
        <v>14357</v>
      </c>
      <c r="D2284" t="s">
        <v>30458</v>
      </c>
      <c r="E2284" t="s">
        <v>97</v>
      </c>
      <c r="F2284" t="s">
        <v>30459</v>
      </c>
      <c r="G2284" t="s">
        <v>30460</v>
      </c>
      <c r="H2284">
        <v>12.5</v>
      </c>
      <c r="I2284">
        <v>0</v>
      </c>
      <c r="J2284">
        <v>0</v>
      </c>
      <c r="K2284">
        <v>0</v>
      </c>
      <c r="O2284">
        <v>0</v>
      </c>
      <c r="P2284">
        <v>4</v>
      </c>
      <c r="Q2284">
        <v>0</v>
      </c>
      <c r="R2284">
        <v>16.5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3</v>
      </c>
      <c r="AC2284">
        <v>0</v>
      </c>
      <c r="AH2284">
        <v>19.5</v>
      </c>
    </row>
    <row r="2285" spans="1:34" x14ac:dyDescent="0.3">
      <c r="A2285" s="4">
        <v>2470</v>
      </c>
      <c r="B2285" s="5">
        <v>2278</v>
      </c>
      <c r="C2285">
        <v>982</v>
      </c>
      <c r="D2285" t="s">
        <v>25778</v>
      </c>
      <c r="E2285" t="s">
        <v>147</v>
      </c>
      <c r="F2285" t="s">
        <v>1806</v>
      </c>
      <c r="G2285" t="s">
        <v>30461</v>
      </c>
      <c r="H2285">
        <v>14.5</v>
      </c>
      <c r="I2285">
        <v>0</v>
      </c>
      <c r="J2285">
        <v>0</v>
      </c>
      <c r="K2285">
        <v>0</v>
      </c>
      <c r="N2285">
        <v>3</v>
      </c>
      <c r="O2285">
        <v>3</v>
      </c>
      <c r="P2285">
        <v>0</v>
      </c>
      <c r="Q2285">
        <v>2</v>
      </c>
      <c r="R2285">
        <v>19.5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H2285">
        <v>19.5</v>
      </c>
    </row>
    <row r="2286" spans="1:34" x14ac:dyDescent="0.3">
      <c r="A2286" s="4">
        <v>2471</v>
      </c>
      <c r="B2286" s="5">
        <v>2279</v>
      </c>
      <c r="C2286">
        <v>8201</v>
      </c>
      <c r="D2286" t="s">
        <v>17868</v>
      </c>
      <c r="E2286" t="s">
        <v>30462</v>
      </c>
      <c r="F2286" t="s">
        <v>20</v>
      </c>
      <c r="G2286" t="s">
        <v>30463</v>
      </c>
      <c r="H2286">
        <v>16.48</v>
      </c>
      <c r="I2286">
        <v>0</v>
      </c>
      <c r="J2286">
        <v>0</v>
      </c>
      <c r="K2286">
        <v>0</v>
      </c>
      <c r="N2286">
        <v>3</v>
      </c>
      <c r="O2286">
        <v>3</v>
      </c>
      <c r="P2286">
        <v>0</v>
      </c>
      <c r="Q2286">
        <v>0</v>
      </c>
      <c r="R2286">
        <v>19.48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H2286">
        <v>19.48</v>
      </c>
    </row>
    <row r="2287" spans="1:34" x14ac:dyDescent="0.3">
      <c r="A2287" s="4">
        <v>2472</v>
      </c>
      <c r="B2287" s="5">
        <v>2280</v>
      </c>
      <c r="C2287">
        <v>785</v>
      </c>
      <c r="D2287" t="s">
        <v>4297</v>
      </c>
      <c r="E2287" t="s">
        <v>88</v>
      </c>
      <c r="F2287" t="s">
        <v>243</v>
      </c>
      <c r="G2287" t="s">
        <v>30464</v>
      </c>
      <c r="H2287">
        <v>16.43</v>
      </c>
      <c r="I2287">
        <v>0</v>
      </c>
      <c r="J2287">
        <v>0</v>
      </c>
      <c r="K2287">
        <v>0</v>
      </c>
      <c r="N2287">
        <v>3</v>
      </c>
      <c r="O2287">
        <v>3</v>
      </c>
      <c r="P2287">
        <v>0</v>
      </c>
      <c r="Q2287">
        <v>0</v>
      </c>
      <c r="R2287">
        <v>19.43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H2287">
        <v>19.43</v>
      </c>
    </row>
    <row r="2288" spans="1:34" x14ac:dyDescent="0.3">
      <c r="A2288" s="4">
        <v>2473</v>
      </c>
      <c r="B2288" s="5">
        <v>2281</v>
      </c>
      <c r="C2288">
        <v>14157</v>
      </c>
      <c r="D2288" t="s">
        <v>30465</v>
      </c>
      <c r="E2288" t="s">
        <v>88</v>
      </c>
      <c r="F2288" t="s">
        <v>52</v>
      </c>
      <c r="G2288" t="s">
        <v>30466</v>
      </c>
      <c r="H2288">
        <v>16.329999999999998</v>
      </c>
      <c r="I2288">
        <v>0</v>
      </c>
      <c r="J2288">
        <v>0</v>
      </c>
      <c r="K2288">
        <v>0</v>
      </c>
      <c r="N2288">
        <v>3</v>
      </c>
      <c r="O2288">
        <v>3</v>
      </c>
      <c r="P2288">
        <v>0</v>
      </c>
      <c r="Q2288">
        <v>0</v>
      </c>
      <c r="R2288">
        <v>19.329999999999998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H2288">
        <v>19.329999999999998</v>
      </c>
    </row>
    <row r="2289" spans="1:34" x14ac:dyDescent="0.3">
      <c r="A2289" s="4">
        <v>2474</v>
      </c>
      <c r="B2289" s="5">
        <v>2282</v>
      </c>
      <c r="C2289">
        <v>5331</v>
      </c>
      <c r="D2289" t="s">
        <v>6899</v>
      </c>
      <c r="E2289" t="s">
        <v>667</v>
      </c>
      <c r="F2289" t="s">
        <v>117</v>
      </c>
      <c r="G2289" t="s">
        <v>30467</v>
      </c>
      <c r="H2289">
        <v>16.3</v>
      </c>
      <c r="I2289">
        <v>0</v>
      </c>
      <c r="J2289">
        <v>0</v>
      </c>
      <c r="K2289">
        <v>0</v>
      </c>
      <c r="N2289">
        <v>3</v>
      </c>
      <c r="O2289">
        <v>3</v>
      </c>
      <c r="P2289">
        <v>0</v>
      </c>
      <c r="Q2289">
        <v>0</v>
      </c>
      <c r="R2289">
        <v>19.3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H2289">
        <v>19.3</v>
      </c>
    </row>
    <row r="2290" spans="1:34" x14ac:dyDescent="0.3">
      <c r="A2290" s="4">
        <v>2475</v>
      </c>
      <c r="B2290" s="5">
        <v>2283</v>
      </c>
      <c r="C2290">
        <v>15183</v>
      </c>
      <c r="D2290" t="s">
        <v>24836</v>
      </c>
      <c r="E2290" t="s">
        <v>182</v>
      </c>
      <c r="F2290" t="s">
        <v>972</v>
      </c>
      <c r="G2290" t="s">
        <v>30468</v>
      </c>
      <c r="H2290">
        <v>16.28</v>
      </c>
      <c r="I2290">
        <v>0</v>
      </c>
      <c r="J2290">
        <v>0</v>
      </c>
      <c r="K2290">
        <v>0</v>
      </c>
      <c r="N2290">
        <v>3</v>
      </c>
      <c r="O2290">
        <v>3</v>
      </c>
      <c r="P2290">
        <v>0</v>
      </c>
      <c r="Q2290">
        <v>0</v>
      </c>
      <c r="R2290">
        <v>19.28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H2290">
        <v>19.28</v>
      </c>
    </row>
    <row r="2291" spans="1:34" x14ac:dyDescent="0.3">
      <c r="A2291" s="4">
        <v>2476</v>
      </c>
      <c r="B2291" s="5">
        <v>2284</v>
      </c>
      <c r="C2291">
        <v>3308</v>
      </c>
      <c r="D2291" t="s">
        <v>389</v>
      </c>
      <c r="E2291" t="s">
        <v>182</v>
      </c>
      <c r="F2291" t="s">
        <v>55</v>
      </c>
      <c r="G2291" t="s">
        <v>30469</v>
      </c>
      <c r="H2291">
        <v>15.23</v>
      </c>
      <c r="I2291">
        <v>0</v>
      </c>
      <c r="J2291">
        <v>0</v>
      </c>
      <c r="K2291">
        <v>0</v>
      </c>
      <c r="O2291">
        <v>0</v>
      </c>
      <c r="P2291">
        <v>4</v>
      </c>
      <c r="Q2291">
        <v>0</v>
      </c>
      <c r="R2291">
        <v>19.23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H2291">
        <v>19.23</v>
      </c>
    </row>
    <row r="2292" spans="1:34" x14ac:dyDescent="0.3">
      <c r="A2292" s="4">
        <v>2477</v>
      </c>
      <c r="B2292" s="5">
        <v>2285</v>
      </c>
      <c r="C2292">
        <v>11766</v>
      </c>
      <c r="D2292" t="s">
        <v>2405</v>
      </c>
      <c r="E2292" t="s">
        <v>19</v>
      </c>
      <c r="F2292" t="s">
        <v>81</v>
      </c>
      <c r="G2292" t="s">
        <v>30470</v>
      </c>
      <c r="H2292">
        <v>16.18</v>
      </c>
      <c r="I2292">
        <v>0</v>
      </c>
      <c r="J2292">
        <v>0</v>
      </c>
      <c r="K2292">
        <v>0</v>
      </c>
      <c r="N2292">
        <v>3</v>
      </c>
      <c r="O2292">
        <v>3</v>
      </c>
      <c r="P2292">
        <v>0</v>
      </c>
      <c r="Q2292">
        <v>0</v>
      </c>
      <c r="R2292">
        <v>19.18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H2292">
        <v>19.18</v>
      </c>
    </row>
    <row r="2293" spans="1:34" x14ac:dyDescent="0.3">
      <c r="A2293" s="4">
        <v>2478</v>
      </c>
      <c r="B2293" s="5">
        <v>2286</v>
      </c>
      <c r="C2293">
        <v>3170</v>
      </c>
      <c r="D2293" t="s">
        <v>22893</v>
      </c>
      <c r="E2293" t="s">
        <v>41</v>
      </c>
      <c r="F2293" t="s">
        <v>171</v>
      </c>
      <c r="G2293" t="s">
        <v>30471</v>
      </c>
      <c r="H2293">
        <v>15.18</v>
      </c>
      <c r="I2293">
        <v>0</v>
      </c>
      <c r="J2293">
        <v>0</v>
      </c>
      <c r="K2293">
        <v>0</v>
      </c>
      <c r="O2293">
        <v>0</v>
      </c>
      <c r="P2293">
        <v>4</v>
      </c>
      <c r="Q2293">
        <v>0</v>
      </c>
      <c r="R2293">
        <v>19.18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H2293">
        <v>19.18</v>
      </c>
    </row>
    <row r="2294" spans="1:34" x14ac:dyDescent="0.3">
      <c r="A2294" s="4">
        <v>2479</v>
      </c>
      <c r="B2294" s="5">
        <v>2287</v>
      </c>
      <c r="C2294">
        <v>12872</v>
      </c>
      <c r="D2294" t="s">
        <v>30472</v>
      </c>
      <c r="E2294" t="s">
        <v>243</v>
      </c>
      <c r="F2294" t="s">
        <v>328</v>
      </c>
      <c r="G2294" t="s">
        <v>30473</v>
      </c>
      <c r="H2294">
        <v>16</v>
      </c>
      <c r="I2294">
        <v>0</v>
      </c>
      <c r="J2294">
        <v>0</v>
      </c>
      <c r="K2294">
        <v>0</v>
      </c>
      <c r="N2294">
        <v>3</v>
      </c>
      <c r="O2294">
        <v>3</v>
      </c>
      <c r="P2294">
        <v>0</v>
      </c>
      <c r="Q2294">
        <v>0</v>
      </c>
      <c r="R2294">
        <v>19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H2294">
        <v>19</v>
      </c>
    </row>
    <row r="2295" spans="1:34" x14ac:dyDescent="0.3">
      <c r="A2295" s="4">
        <v>2480</v>
      </c>
      <c r="B2295" s="5">
        <v>2288</v>
      </c>
      <c r="C2295">
        <v>8466</v>
      </c>
      <c r="D2295" t="s">
        <v>30474</v>
      </c>
      <c r="E2295" t="s">
        <v>4923</v>
      </c>
      <c r="F2295" t="s">
        <v>30475</v>
      </c>
      <c r="G2295" t="s">
        <v>30476</v>
      </c>
      <c r="H2295">
        <v>15</v>
      </c>
      <c r="I2295">
        <v>0</v>
      </c>
      <c r="J2295">
        <v>0</v>
      </c>
      <c r="K2295">
        <v>0</v>
      </c>
      <c r="O2295">
        <v>0</v>
      </c>
      <c r="P2295">
        <v>4</v>
      </c>
      <c r="Q2295">
        <v>0</v>
      </c>
      <c r="R2295">
        <v>19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H2295">
        <v>19</v>
      </c>
    </row>
    <row r="2296" spans="1:34" x14ac:dyDescent="0.3">
      <c r="A2296" s="4">
        <v>2481</v>
      </c>
      <c r="B2296" s="5">
        <v>2289</v>
      </c>
      <c r="C2296">
        <v>14247</v>
      </c>
      <c r="D2296" t="s">
        <v>30477</v>
      </c>
      <c r="E2296" t="s">
        <v>30478</v>
      </c>
      <c r="F2296" t="s">
        <v>4923</v>
      </c>
      <c r="G2296" t="s">
        <v>30479</v>
      </c>
      <c r="H2296">
        <v>15.88</v>
      </c>
      <c r="I2296">
        <v>0</v>
      </c>
      <c r="J2296">
        <v>0</v>
      </c>
      <c r="K2296">
        <v>0</v>
      </c>
      <c r="O2296">
        <v>0</v>
      </c>
      <c r="P2296">
        <v>0</v>
      </c>
      <c r="Q2296">
        <v>0</v>
      </c>
      <c r="R2296">
        <v>15.88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3</v>
      </c>
      <c r="AC2296">
        <v>0</v>
      </c>
      <c r="AH2296">
        <v>18.88</v>
      </c>
    </row>
    <row r="2297" spans="1:34" x14ac:dyDescent="0.3">
      <c r="A2297" s="4">
        <v>2482</v>
      </c>
      <c r="B2297" s="5">
        <v>2290</v>
      </c>
      <c r="C2297">
        <v>3097</v>
      </c>
      <c r="D2297" t="s">
        <v>3831</v>
      </c>
      <c r="E2297" t="s">
        <v>182</v>
      </c>
      <c r="F2297" t="s">
        <v>20</v>
      </c>
      <c r="G2297" t="s">
        <v>30480</v>
      </c>
      <c r="H2297">
        <v>15.83</v>
      </c>
      <c r="I2297">
        <v>0</v>
      </c>
      <c r="J2297">
        <v>0</v>
      </c>
      <c r="K2297">
        <v>0</v>
      </c>
      <c r="N2297">
        <v>3</v>
      </c>
      <c r="O2297">
        <v>3</v>
      </c>
      <c r="P2297">
        <v>0</v>
      </c>
      <c r="Q2297">
        <v>0</v>
      </c>
      <c r="R2297">
        <v>18.829999999999998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 t="s">
        <v>130</v>
      </c>
      <c r="AH2297">
        <v>18.829999999999998</v>
      </c>
    </row>
    <row r="2298" spans="1:34" x14ac:dyDescent="0.3">
      <c r="A2298" s="4">
        <v>2483</v>
      </c>
      <c r="B2298" s="5">
        <v>2291</v>
      </c>
      <c r="C2298">
        <v>14624</v>
      </c>
      <c r="D2298" t="s">
        <v>181</v>
      </c>
      <c r="E2298" t="s">
        <v>439</v>
      </c>
      <c r="F2298" t="s">
        <v>20</v>
      </c>
      <c r="G2298" t="s">
        <v>30481</v>
      </c>
      <c r="H2298">
        <v>18.579999999999998</v>
      </c>
      <c r="I2298">
        <v>0</v>
      </c>
      <c r="J2298">
        <v>0</v>
      </c>
      <c r="K2298">
        <v>0</v>
      </c>
      <c r="O2298">
        <v>0</v>
      </c>
      <c r="P2298">
        <v>0</v>
      </c>
      <c r="Q2298">
        <v>0</v>
      </c>
      <c r="R2298">
        <v>18.579999999999998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H2298">
        <v>18.579999999999998</v>
      </c>
    </row>
    <row r="2299" spans="1:34" x14ac:dyDescent="0.3">
      <c r="A2299" s="4">
        <v>2484</v>
      </c>
      <c r="B2299" s="5">
        <v>2292</v>
      </c>
      <c r="C2299">
        <v>15428</v>
      </c>
      <c r="D2299" t="s">
        <v>30482</v>
      </c>
      <c r="E2299" t="s">
        <v>439</v>
      </c>
      <c r="F2299" t="s">
        <v>117</v>
      </c>
      <c r="G2299" t="s">
        <v>30483</v>
      </c>
      <c r="H2299">
        <v>14.45</v>
      </c>
      <c r="I2299">
        <v>0</v>
      </c>
      <c r="J2299">
        <v>0</v>
      </c>
      <c r="K2299">
        <v>0</v>
      </c>
      <c r="O2299">
        <v>0</v>
      </c>
      <c r="P2299">
        <v>4</v>
      </c>
      <c r="Q2299">
        <v>0</v>
      </c>
      <c r="R2299">
        <v>18.45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H2299">
        <v>18.45</v>
      </c>
    </row>
    <row r="2300" spans="1:34" x14ac:dyDescent="0.3">
      <c r="A2300" s="4">
        <v>2485</v>
      </c>
      <c r="B2300" s="5">
        <v>2293</v>
      </c>
      <c r="C2300">
        <v>7017</v>
      </c>
      <c r="D2300" t="s">
        <v>30484</v>
      </c>
      <c r="E2300" t="s">
        <v>30485</v>
      </c>
      <c r="F2300" t="s">
        <v>190</v>
      </c>
      <c r="G2300" t="s">
        <v>30486</v>
      </c>
      <c r="H2300">
        <v>18.149999999999999</v>
      </c>
      <c r="I2300">
        <v>0</v>
      </c>
      <c r="J2300">
        <v>0</v>
      </c>
      <c r="K2300">
        <v>0</v>
      </c>
      <c r="O2300">
        <v>0</v>
      </c>
      <c r="P2300">
        <v>0</v>
      </c>
      <c r="Q2300">
        <v>0</v>
      </c>
      <c r="R2300">
        <v>18.149999999999999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H2300">
        <v>18.149999999999999</v>
      </c>
    </row>
    <row r="2301" spans="1:34" x14ac:dyDescent="0.3">
      <c r="A2301" s="4">
        <v>2486</v>
      </c>
      <c r="B2301" s="5">
        <v>2294</v>
      </c>
      <c r="C2301">
        <v>11787</v>
      </c>
      <c r="D2301" t="s">
        <v>1337</v>
      </c>
      <c r="E2301" t="s">
        <v>188</v>
      </c>
      <c r="F2301" t="s">
        <v>17</v>
      </c>
      <c r="G2301" t="s">
        <v>30487</v>
      </c>
      <c r="H2301">
        <v>18.13</v>
      </c>
      <c r="I2301">
        <v>0</v>
      </c>
      <c r="J2301">
        <v>0</v>
      </c>
      <c r="K2301">
        <v>0</v>
      </c>
      <c r="O2301">
        <v>0</v>
      </c>
      <c r="P2301">
        <v>0</v>
      </c>
      <c r="Q2301">
        <v>0</v>
      </c>
      <c r="R2301">
        <v>18.13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H2301">
        <v>18.13</v>
      </c>
    </row>
    <row r="2302" spans="1:34" x14ac:dyDescent="0.3">
      <c r="A2302" s="4">
        <v>2487</v>
      </c>
      <c r="B2302" s="5">
        <v>2295</v>
      </c>
      <c r="C2302">
        <v>1123</v>
      </c>
      <c r="D2302" t="s">
        <v>12762</v>
      </c>
      <c r="E2302" t="s">
        <v>23816</v>
      </c>
      <c r="F2302" t="s">
        <v>466</v>
      </c>
      <c r="G2302" t="s">
        <v>30488</v>
      </c>
      <c r="H2302">
        <v>15.13</v>
      </c>
      <c r="I2302">
        <v>0</v>
      </c>
      <c r="J2302">
        <v>0</v>
      </c>
      <c r="K2302">
        <v>0</v>
      </c>
      <c r="N2302">
        <v>3</v>
      </c>
      <c r="O2302">
        <v>3</v>
      </c>
      <c r="P2302">
        <v>0</v>
      </c>
      <c r="Q2302">
        <v>0</v>
      </c>
      <c r="R2302">
        <v>18.13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H2302">
        <v>18.13</v>
      </c>
    </row>
    <row r="2303" spans="1:34" x14ac:dyDescent="0.3">
      <c r="A2303" s="4">
        <v>2488</v>
      </c>
      <c r="B2303" s="5">
        <v>2296</v>
      </c>
      <c r="C2303">
        <v>14874</v>
      </c>
      <c r="D2303" t="s">
        <v>30489</v>
      </c>
      <c r="E2303" t="s">
        <v>136</v>
      </c>
      <c r="F2303" t="s">
        <v>892</v>
      </c>
      <c r="G2303" t="s">
        <v>30490</v>
      </c>
      <c r="H2303">
        <v>18.05</v>
      </c>
      <c r="I2303">
        <v>0</v>
      </c>
      <c r="J2303">
        <v>0</v>
      </c>
      <c r="K2303">
        <v>0</v>
      </c>
      <c r="O2303">
        <v>0</v>
      </c>
      <c r="P2303">
        <v>0</v>
      </c>
      <c r="Q2303">
        <v>0</v>
      </c>
      <c r="R2303">
        <v>18.05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H2303">
        <v>18.05</v>
      </c>
    </row>
    <row r="2304" spans="1:34" x14ac:dyDescent="0.3">
      <c r="A2304" s="4">
        <v>2489</v>
      </c>
      <c r="B2304" s="5">
        <v>2297</v>
      </c>
      <c r="C2304">
        <v>2516</v>
      </c>
      <c r="D2304" t="s">
        <v>30491</v>
      </c>
      <c r="E2304" t="s">
        <v>626</v>
      </c>
      <c r="F2304" t="s">
        <v>117</v>
      </c>
      <c r="G2304" t="s">
        <v>30492</v>
      </c>
      <c r="H2304">
        <v>17.98</v>
      </c>
      <c r="I2304">
        <v>0</v>
      </c>
      <c r="J2304">
        <v>0</v>
      </c>
      <c r="K2304">
        <v>0</v>
      </c>
      <c r="O2304">
        <v>0</v>
      </c>
      <c r="P2304">
        <v>0</v>
      </c>
      <c r="Q2304">
        <v>0</v>
      </c>
      <c r="R2304">
        <v>17.98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H2304">
        <v>17.98</v>
      </c>
    </row>
    <row r="2305" spans="1:34" x14ac:dyDescent="0.3">
      <c r="A2305" s="4">
        <v>2490</v>
      </c>
      <c r="B2305" s="5">
        <v>2298</v>
      </c>
      <c r="C2305">
        <v>1190</v>
      </c>
      <c r="D2305" t="s">
        <v>7653</v>
      </c>
      <c r="E2305" t="s">
        <v>2843</v>
      </c>
      <c r="F2305" t="s">
        <v>652</v>
      </c>
      <c r="G2305" t="s">
        <v>30493</v>
      </c>
      <c r="H2305">
        <v>14.75</v>
      </c>
      <c r="I2305">
        <v>0</v>
      </c>
      <c r="J2305">
        <v>0</v>
      </c>
      <c r="K2305">
        <v>0</v>
      </c>
      <c r="O2305">
        <v>0</v>
      </c>
      <c r="P2305">
        <v>0</v>
      </c>
      <c r="Q2305">
        <v>0</v>
      </c>
      <c r="R2305">
        <v>14.75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3</v>
      </c>
      <c r="AC2305">
        <v>0</v>
      </c>
      <c r="AH2305">
        <v>17.75</v>
      </c>
    </row>
    <row r="2306" spans="1:34" x14ac:dyDescent="0.3">
      <c r="A2306" s="4">
        <v>2491</v>
      </c>
      <c r="B2306" s="5">
        <v>2299</v>
      </c>
      <c r="C2306">
        <v>10240</v>
      </c>
      <c r="D2306" t="s">
        <v>3434</v>
      </c>
      <c r="E2306" t="s">
        <v>30494</v>
      </c>
      <c r="F2306" t="s">
        <v>361</v>
      </c>
      <c r="G2306" t="s">
        <v>30495</v>
      </c>
      <c r="H2306">
        <v>17.75</v>
      </c>
      <c r="I2306">
        <v>0</v>
      </c>
      <c r="J2306">
        <v>0</v>
      </c>
      <c r="K2306">
        <v>0</v>
      </c>
      <c r="O2306">
        <v>0</v>
      </c>
      <c r="P2306">
        <v>0</v>
      </c>
      <c r="Q2306">
        <v>0</v>
      </c>
      <c r="R2306">
        <v>17.75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H2306">
        <v>17.75</v>
      </c>
    </row>
    <row r="2307" spans="1:34" x14ac:dyDescent="0.3">
      <c r="A2307" s="4">
        <v>2492</v>
      </c>
      <c r="B2307" s="5">
        <v>2300</v>
      </c>
      <c r="C2307">
        <v>6669</v>
      </c>
      <c r="D2307" t="s">
        <v>969</v>
      </c>
      <c r="E2307" t="s">
        <v>81</v>
      </c>
      <c r="F2307" t="s">
        <v>20</v>
      </c>
      <c r="G2307" t="s">
        <v>970</v>
      </c>
      <c r="H2307">
        <v>17.600000000000001</v>
      </c>
      <c r="I2307">
        <v>0</v>
      </c>
      <c r="J2307">
        <v>0</v>
      </c>
      <c r="K2307">
        <v>0</v>
      </c>
      <c r="O2307">
        <v>0</v>
      </c>
      <c r="P2307">
        <v>0</v>
      </c>
      <c r="Q2307">
        <v>0</v>
      </c>
      <c r="R2307">
        <v>17.600000000000001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H2307">
        <v>17.600000000000001</v>
      </c>
    </row>
    <row r="2308" spans="1:34" x14ac:dyDescent="0.3">
      <c r="A2308" s="4">
        <v>2493</v>
      </c>
      <c r="B2308" s="5">
        <v>2301</v>
      </c>
      <c r="C2308">
        <v>10503</v>
      </c>
      <c r="D2308" t="s">
        <v>30496</v>
      </c>
      <c r="E2308" t="s">
        <v>1508</v>
      </c>
      <c r="F2308" t="s">
        <v>385</v>
      </c>
      <c r="G2308" t="s">
        <v>30497</v>
      </c>
      <c r="H2308">
        <v>14.58</v>
      </c>
      <c r="I2308">
        <v>0</v>
      </c>
      <c r="J2308">
        <v>0</v>
      </c>
      <c r="K2308">
        <v>0</v>
      </c>
      <c r="N2308">
        <v>3</v>
      </c>
      <c r="O2308">
        <v>3</v>
      </c>
      <c r="P2308">
        <v>0</v>
      </c>
      <c r="Q2308">
        <v>0</v>
      </c>
      <c r="R2308">
        <v>17.579999999999998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H2308">
        <v>17.579999999999998</v>
      </c>
    </row>
    <row r="2309" spans="1:34" x14ac:dyDescent="0.3">
      <c r="A2309" s="4">
        <v>2494</v>
      </c>
      <c r="B2309" s="5">
        <v>2302</v>
      </c>
      <c r="C2309">
        <v>14774</v>
      </c>
      <c r="D2309" t="s">
        <v>30498</v>
      </c>
      <c r="E2309" t="s">
        <v>967</v>
      </c>
      <c r="F2309" t="s">
        <v>117</v>
      </c>
      <c r="G2309" t="s">
        <v>30499</v>
      </c>
      <c r="H2309">
        <v>17.53</v>
      </c>
      <c r="I2309">
        <v>0</v>
      </c>
      <c r="J2309">
        <v>0</v>
      </c>
      <c r="K2309">
        <v>0</v>
      </c>
      <c r="O2309">
        <v>0</v>
      </c>
      <c r="P2309">
        <v>0</v>
      </c>
      <c r="Q2309">
        <v>0</v>
      </c>
      <c r="R2309">
        <v>17.53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H2309">
        <v>17.53</v>
      </c>
    </row>
    <row r="2310" spans="1:34" x14ac:dyDescent="0.3">
      <c r="A2310" s="4">
        <v>2495</v>
      </c>
      <c r="B2310" s="5">
        <v>2303</v>
      </c>
      <c r="C2310">
        <v>3409</v>
      </c>
      <c r="D2310" t="s">
        <v>30500</v>
      </c>
      <c r="E2310" t="s">
        <v>68</v>
      </c>
      <c r="F2310" t="s">
        <v>972</v>
      </c>
      <c r="G2310" t="s">
        <v>30501</v>
      </c>
      <c r="H2310">
        <v>17.25</v>
      </c>
      <c r="I2310">
        <v>0</v>
      </c>
      <c r="J2310">
        <v>0</v>
      </c>
      <c r="K2310">
        <v>0</v>
      </c>
      <c r="O2310">
        <v>0</v>
      </c>
      <c r="P2310">
        <v>0</v>
      </c>
      <c r="Q2310">
        <v>0</v>
      </c>
      <c r="R2310">
        <v>17.25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H2310">
        <v>17.25</v>
      </c>
    </row>
    <row r="2311" spans="1:34" x14ac:dyDescent="0.3">
      <c r="A2311" s="4">
        <v>2496</v>
      </c>
      <c r="B2311" s="5">
        <v>2304</v>
      </c>
      <c r="C2311">
        <v>11640</v>
      </c>
      <c r="D2311" t="s">
        <v>5649</v>
      </c>
      <c r="E2311" t="s">
        <v>161</v>
      </c>
      <c r="F2311" t="s">
        <v>68</v>
      </c>
      <c r="G2311" t="s">
        <v>30502</v>
      </c>
      <c r="H2311">
        <v>17.2</v>
      </c>
      <c r="I2311">
        <v>0</v>
      </c>
      <c r="J2311">
        <v>0</v>
      </c>
      <c r="K2311">
        <v>0</v>
      </c>
      <c r="O2311">
        <v>0</v>
      </c>
      <c r="P2311">
        <v>0</v>
      </c>
      <c r="Q2311">
        <v>0</v>
      </c>
      <c r="R2311">
        <v>17.2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H2311">
        <v>17.2</v>
      </c>
    </row>
    <row r="2312" spans="1:34" x14ac:dyDescent="0.3">
      <c r="A2312" s="4">
        <v>2497</v>
      </c>
      <c r="B2312" s="5">
        <v>2305</v>
      </c>
      <c r="C2312">
        <v>14877</v>
      </c>
      <c r="D2312" t="s">
        <v>2881</v>
      </c>
      <c r="E2312" t="s">
        <v>178</v>
      </c>
      <c r="F2312" t="s">
        <v>587</v>
      </c>
      <c r="G2312" t="s">
        <v>30503</v>
      </c>
      <c r="H2312">
        <v>16.93</v>
      </c>
      <c r="I2312">
        <v>0</v>
      </c>
      <c r="J2312">
        <v>0</v>
      </c>
      <c r="K2312">
        <v>0</v>
      </c>
      <c r="O2312">
        <v>0</v>
      </c>
      <c r="P2312">
        <v>0</v>
      </c>
      <c r="Q2312">
        <v>0</v>
      </c>
      <c r="R2312">
        <v>16.93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H2312">
        <v>16.93</v>
      </c>
    </row>
    <row r="2313" spans="1:34" x14ac:dyDescent="0.3">
      <c r="A2313" s="4">
        <v>2498</v>
      </c>
      <c r="B2313" s="5">
        <v>2306</v>
      </c>
      <c r="C2313">
        <v>8858</v>
      </c>
      <c r="D2313" t="s">
        <v>9127</v>
      </c>
      <c r="E2313" t="s">
        <v>136</v>
      </c>
      <c r="F2313" t="s">
        <v>20</v>
      </c>
      <c r="G2313" t="s">
        <v>30504</v>
      </c>
      <c r="H2313">
        <v>16.93</v>
      </c>
      <c r="I2313">
        <v>0</v>
      </c>
      <c r="J2313">
        <v>0</v>
      </c>
      <c r="K2313">
        <v>0</v>
      </c>
      <c r="O2313">
        <v>0</v>
      </c>
      <c r="P2313">
        <v>0</v>
      </c>
      <c r="Q2313">
        <v>0</v>
      </c>
      <c r="R2313">
        <v>16.93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H2313">
        <v>16.93</v>
      </c>
    </row>
    <row r="2314" spans="1:34" x14ac:dyDescent="0.3">
      <c r="A2314" s="4">
        <v>2499</v>
      </c>
      <c r="B2314" s="5">
        <v>2307</v>
      </c>
      <c r="C2314">
        <v>7025</v>
      </c>
      <c r="D2314" t="s">
        <v>30505</v>
      </c>
      <c r="E2314" t="s">
        <v>33</v>
      </c>
      <c r="F2314" t="s">
        <v>38</v>
      </c>
      <c r="G2314" t="s">
        <v>30506</v>
      </c>
      <c r="H2314">
        <v>16.25</v>
      </c>
      <c r="I2314">
        <v>0</v>
      </c>
      <c r="J2314">
        <v>0</v>
      </c>
      <c r="K2314">
        <v>0</v>
      </c>
      <c r="O2314">
        <v>0</v>
      </c>
      <c r="P2314">
        <v>0</v>
      </c>
      <c r="Q2314">
        <v>0</v>
      </c>
      <c r="R2314">
        <v>16.25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H2314">
        <v>16.25</v>
      </c>
    </row>
    <row r="2315" spans="1:34" x14ac:dyDescent="0.3">
      <c r="A2315" s="4">
        <v>2500</v>
      </c>
      <c r="B2315" s="5">
        <v>2308</v>
      </c>
      <c r="C2315">
        <v>5225</v>
      </c>
      <c r="D2315" t="s">
        <v>181</v>
      </c>
      <c r="E2315" t="s">
        <v>9791</v>
      </c>
      <c r="F2315" t="s">
        <v>34</v>
      </c>
      <c r="G2315" t="s">
        <v>30507</v>
      </c>
      <c r="H2315">
        <v>16.100000000000001</v>
      </c>
      <c r="I2315">
        <v>0</v>
      </c>
      <c r="J2315">
        <v>0</v>
      </c>
      <c r="K2315">
        <v>0</v>
      </c>
      <c r="O2315">
        <v>0</v>
      </c>
      <c r="P2315">
        <v>0</v>
      </c>
      <c r="Q2315">
        <v>0</v>
      </c>
      <c r="R2315">
        <v>16.100000000000001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 t="s">
        <v>130</v>
      </c>
      <c r="AH2315">
        <v>16.100000000000001</v>
      </c>
    </row>
    <row r="2316" spans="1:34" x14ac:dyDescent="0.3">
      <c r="A2316" s="4">
        <v>2501</v>
      </c>
      <c r="B2316" s="5">
        <v>2309</v>
      </c>
      <c r="C2316">
        <v>5827</v>
      </c>
      <c r="D2316" t="s">
        <v>30508</v>
      </c>
      <c r="E2316" t="s">
        <v>268</v>
      </c>
      <c r="F2316" t="s">
        <v>68</v>
      </c>
      <c r="G2316" t="s">
        <v>30509</v>
      </c>
      <c r="H2316">
        <v>15.6</v>
      </c>
      <c r="I2316">
        <v>0</v>
      </c>
      <c r="J2316">
        <v>0</v>
      </c>
      <c r="K2316">
        <v>0</v>
      </c>
      <c r="O2316">
        <v>0</v>
      </c>
      <c r="P2316">
        <v>0</v>
      </c>
      <c r="Q2316">
        <v>0</v>
      </c>
      <c r="R2316">
        <v>15.6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H2316">
        <v>15.6</v>
      </c>
    </row>
    <row r="2317" spans="1:34" x14ac:dyDescent="0.3">
      <c r="A2317" s="4">
        <v>2502</v>
      </c>
      <c r="B2317" s="5">
        <v>2310</v>
      </c>
      <c r="C2317">
        <v>7433</v>
      </c>
      <c r="D2317" t="s">
        <v>30510</v>
      </c>
      <c r="E2317" t="s">
        <v>29</v>
      </c>
      <c r="F2317" t="s">
        <v>416</v>
      </c>
      <c r="G2317" t="s">
        <v>30511</v>
      </c>
      <c r="H2317">
        <v>15.5</v>
      </c>
      <c r="I2317">
        <v>0</v>
      </c>
      <c r="J2317">
        <v>0</v>
      </c>
      <c r="K2317">
        <v>0</v>
      </c>
      <c r="O2317">
        <v>0</v>
      </c>
      <c r="P2317">
        <v>0</v>
      </c>
      <c r="Q2317">
        <v>0</v>
      </c>
      <c r="R2317">
        <v>15.5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H2317">
        <v>15.5</v>
      </c>
    </row>
    <row r="2318" spans="1:34" x14ac:dyDescent="0.3">
      <c r="A2318" s="4">
        <v>2503</v>
      </c>
      <c r="B2318" s="5">
        <v>2311</v>
      </c>
      <c r="C2318">
        <v>2255</v>
      </c>
      <c r="D2318" t="s">
        <v>15248</v>
      </c>
      <c r="E2318" t="s">
        <v>213</v>
      </c>
      <c r="F2318" t="s">
        <v>136</v>
      </c>
      <c r="G2318" t="s">
        <v>30512</v>
      </c>
      <c r="H2318">
        <v>15</v>
      </c>
      <c r="I2318">
        <v>0</v>
      </c>
      <c r="J2318">
        <v>0</v>
      </c>
      <c r="K2318">
        <v>0</v>
      </c>
      <c r="O2318">
        <v>0</v>
      </c>
      <c r="P2318">
        <v>0</v>
      </c>
      <c r="Q2318">
        <v>0</v>
      </c>
      <c r="R2318">
        <v>15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H2318">
        <v>15</v>
      </c>
    </row>
    <row r="2319" spans="1:34" x14ac:dyDescent="0.3">
      <c r="A2319" s="4">
        <v>2504</v>
      </c>
      <c r="B2319" s="5">
        <v>2312</v>
      </c>
      <c r="C2319">
        <v>6601</v>
      </c>
      <c r="D2319" t="s">
        <v>30513</v>
      </c>
      <c r="E2319" t="s">
        <v>147</v>
      </c>
      <c r="F2319" t="s">
        <v>68</v>
      </c>
      <c r="G2319" t="s">
        <v>30514</v>
      </c>
      <c r="H2319">
        <v>14.58</v>
      </c>
      <c r="I2319">
        <v>0</v>
      </c>
      <c r="J2319">
        <v>0</v>
      </c>
      <c r="K2319">
        <v>0</v>
      </c>
      <c r="O2319">
        <v>0</v>
      </c>
      <c r="P2319">
        <v>0</v>
      </c>
      <c r="Q2319">
        <v>0</v>
      </c>
      <c r="R2319">
        <v>14.58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H2319">
        <v>14.58</v>
      </c>
    </row>
    <row r="2321" spans="1:34" s="4" customFormat="1" x14ac:dyDescent="0.3">
      <c r="A2321" s="3" t="s">
        <v>8356</v>
      </c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</row>
    <row r="2322" spans="1:34" s="4" customFormat="1" x14ac:dyDescent="0.3">
      <c r="A2322" s="3" t="s">
        <v>10724</v>
      </c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</row>
    <row r="2323" spans="1:34" s="4" customFormat="1" x14ac:dyDescent="0.3">
      <c r="A2323" s="3" t="s">
        <v>10725</v>
      </c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</row>
    <row r="2324" spans="1:34" s="4" customFormat="1" x14ac:dyDescent="0.3">
      <c r="A2324" s="3" t="s">
        <v>10726</v>
      </c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</row>
    <row r="2325" spans="1:34" s="4" customFormat="1" x14ac:dyDescent="0.3">
      <c r="A2325" s="3" t="s">
        <v>10727</v>
      </c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</row>
    <row r="2326" spans="1:34" s="4" customFormat="1" x14ac:dyDescent="0.3">
      <c r="A2326" s="3" t="s">
        <v>10728</v>
      </c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</row>
    <row r="2327" spans="1:34" s="4" customFormat="1" x14ac:dyDescent="0.3">
      <c r="A2327" s="3" t="s">
        <v>10729</v>
      </c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</row>
    <row r="2328" spans="1:34" s="4" customFormat="1" x14ac:dyDescent="0.3">
      <c r="A2328" s="3" t="s">
        <v>10730</v>
      </c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</row>
    <row r="2329" spans="1:34" s="4" customFormat="1" x14ac:dyDescent="0.3">
      <c r="A2329" s="3" t="s">
        <v>10731</v>
      </c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</row>
    <row r="2330" spans="1:34" s="4" customFormat="1" x14ac:dyDescent="0.3">
      <c r="A2330" s="3" t="s">
        <v>10732</v>
      </c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</row>
    <row r="2331" spans="1:34" s="4" customFormat="1" x14ac:dyDescent="0.3">
      <c r="A2331" s="3" t="s">
        <v>10733</v>
      </c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</row>
    <row r="2332" spans="1:34" s="4" customFormat="1" x14ac:dyDescent="0.3">
      <c r="A2332" s="3" t="s">
        <v>10734</v>
      </c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</row>
    <row r="2333" spans="1:34" s="4" customFormat="1" x14ac:dyDescent="0.3">
      <c r="A2333" s="3" t="s">
        <v>10735</v>
      </c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</row>
    <row r="2334" spans="1:34" s="4" customFormat="1" x14ac:dyDescent="0.3">
      <c r="A2334" s="3" t="s">
        <v>10736</v>
      </c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</row>
    <row r="2335" spans="1:34" s="4" customFormat="1" x14ac:dyDescent="0.3">
      <c r="A2335" s="3" t="s">
        <v>10737</v>
      </c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</row>
    <row r="2336" spans="1:34" s="4" customFormat="1" x14ac:dyDescent="0.3">
      <c r="A2336" s="3" t="s">
        <v>10738</v>
      </c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</row>
    <row r="2337" spans="1:34" s="4" customFormat="1" x14ac:dyDescent="0.3">
      <c r="A2337" s="3" t="s">
        <v>10739</v>
      </c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</row>
    <row r="2338" spans="1:34" s="4" customFormat="1" x14ac:dyDescent="0.3">
      <c r="A2338" s="3" t="s">
        <v>10740</v>
      </c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</row>
    <row r="2339" spans="1:34" s="4" customFormat="1" x14ac:dyDescent="0.3">
      <c r="A2339" s="3" t="s">
        <v>10741</v>
      </c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</row>
    <row r="2340" spans="1:34" s="4" customFormat="1" x14ac:dyDescent="0.3">
      <c r="A2340" s="3" t="s">
        <v>10742</v>
      </c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</row>
    <row r="2341" spans="1:34" s="4" customFormat="1" x14ac:dyDescent="0.3">
      <c r="A2341" s="3" t="s">
        <v>10743</v>
      </c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</row>
    <row r="2342" spans="1:34" s="4" customFormat="1" x14ac:dyDescent="0.3">
      <c r="A2342" s="3" t="s">
        <v>10744</v>
      </c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</row>
    <row r="2343" spans="1:34" s="4" customFormat="1" x14ac:dyDescent="0.3">
      <c r="A2343" s="3" t="s">
        <v>10745</v>
      </c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</row>
    <row r="2344" spans="1:34" s="4" customFormat="1" x14ac:dyDescent="0.3">
      <c r="A2344" s="3" t="s">
        <v>10746</v>
      </c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</row>
    <row r="2345" spans="1:34" s="4" customFormat="1" x14ac:dyDescent="0.3">
      <c r="A2345" s="3" t="s">
        <v>10747</v>
      </c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</row>
    <row r="2346" spans="1:34" s="4" customFormat="1" x14ac:dyDescent="0.3">
      <c r="A2346" s="3" t="s">
        <v>10748</v>
      </c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</row>
    <row r="2347" spans="1:34" s="4" customFormat="1" x14ac:dyDescent="0.3">
      <c r="A2347" s="3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</row>
    <row r="2348" spans="1:34" s="4" customFormat="1" x14ac:dyDescent="0.3">
      <c r="A2348" s="3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</row>
    <row r="2349" spans="1:34" s="4" customFormat="1" x14ac:dyDescent="0.3">
      <c r="A2349" s="3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Φύλλο17"/>
  <dimension ref="A1:AH37"/>
  <sheetViews>
    <sheetView workbookViewId="0">
      <selection activeCell="A8" sqref="A8:AH8"/>
    </sheetView>
  </sheetViews>
  <sheetFormatPr defaultRowHeight="14.4" x14ac:dyDescent="0.3"/>
  <cols>
    <col min="1" max="2" width="9.109375" style="4"/>
    <col min="3" max="3" width="5.109375" customWidth="1"/>
    <col min="4" max="4" width="10.33203125" customWidth="1"/>
    <col min="5" max="5" width="8.33203125" customWidth="1"/>
    <col min="6" max="6" width="12.6640625" bestFit="1" customWidth="1"/>
    <col min="7" max="7" width="6.109375" customWidth="1"/>
    <col min="8" max="8" width="2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30515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9" spans="1:34" x14ac:dyDescent="0.3">
      <c r="A9" s="3" t="s">
        <v>8356</v>
      </c>
    </row>
    <row r="10" spans="1:34" x14ac:dyDescent="0.3">
      <c r="A10" s="3" t="s">
        <v>10724</v>
      </c>
    </row>
    <row r="11" spans="1:34" x14ac:dyDescent="0.3">
      <c r="A11" s="3" t="s">
        <v>10725</v>
      </c>
    </row>
    <row r="12" spans="1:34" x14ac:dyDescent="0.3">
      <c r="A12" s="3" t="s">
        <v>10726</v>
      </c>
    </row>
    <row r="13" spans="1:34" x14ac:dyDescent="0.3">
      <c r="A13" s="3" t="s">
        <v>10727</v>
      </c>
    </row>
    <row r="14" spans="1:34" x14ac:dyDescent="0.3">
      <c r="A14" s="3" t="s">
        <v>10728</v>
      </c>
    </row>
    <row r="15" spans="1:34" x14ac:dyDescent="0.3">
      <c r="A15" s="3" t="s">
        <v>10729</v>
      </c>
    </row>
    <row r="16" spans="1:34" s="4" customFormat="1" x14ac:dyDescent="0.3">
      <c r="A16" s="3" t="s">
        <v>10730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s="4" customFormat="1" x14ac:dyDescent="0.3">
      <c r="A17" s="3" t="s">
        <v>10731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s="4" customFormat="1" x14ac:dyDescent="0.3">
      <c r="A18" s="3" t="s">
        <v>10732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s="4" customFormat="1" x14ac:dyDescent="0.3">
      <c r="A19" s="3" t="s">
        <v>10733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s="4" customFormat="1" x14ac:dyDescent="0.3">
      <c r="A20" s="3" t="s">
        <v>10734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s="4" customFormat="1" x14ac:dyDescent="0.3">
      <c r="A21" s="3" t="s">
        <v>10735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s="4" customFormat="1" x14ac:dyDescent="0.3">
      <c r="A22" s="3" t="s">
        <v>10736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s="4" customFormat="1" x14ac:dyDescent="0.3">
      <c r="A23" s="3" t="s">
        <v>10737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4" customFormat="1" x14ac:dyDescent="0.3">
      <c r="A24" s="3" t="s">
        <v>10738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4" customFormat="1" x14ac:dyDescent="0.3">
      <c r="A25" s="3" t="s">
        <v>10739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4" customFormat="1" x14ac:dyDescent="0.3">
      <c r="A26" s="3" t="s">
        <v>10740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4" customFormat="1" x14ac:dyDescent="0.3">
      <c r="A27" s="3" t="s">
        <v>10741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4" customFormat="1" x14ac:dyDescent="0.3">
      <c r="A28" s="3" t="s">
        <v>10742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4" customFormat="1" x14ac:dyDescent="0.3">
      <c r="A29" s="3" t="s">
        <v>10743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4" customFormat="1" x14ac:dyDescent="0.3">
      <c r="A30" s="3" t="s">
        <v>10744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4" customFormat="1" x14ac:dyDescent="0.3">
      <c r="A31" s="3" t="s">
        <v>10745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4" customFormat="1" x14ac:dyDescent="0.3">
      <c r="A32" s="3" t="s">
        <v>10746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4" customFormat="1" x14ac:dyDescent="0.3">
      <c r="A33" s="3" t="s">
        <v>10747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4" customFormat="1" x14ac:dyDescent="0.3">
      <c r="A34" s="3" t="s">
        <v>10748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Φύλλο18"/>
  <dimension ref="A1:AF42"/>
  <sheetViews>
    <sheetView workbookViewId="0">
      <selection activeCell="A8" sqref="A8:AF17"/>
    </sheetView>
  </sheetViews>
  <sheetFormatPr defaultRowHeight="14.4" x14ac:dyDescent="0.3"/>
  <cols>
    <col min="1" max="2" width="9.109375" style="4"/>
    <col min="3" max="3" width="5.109375" customWidth="1"/>
    <col min="4" max="5" width="11.88671875" customWidth="1"/>
    <col min="6" max="6" width="12.6640625" bestFit="1" customWidth="1"/>
    <col min="7" max="7" width="9.6640625" bestFit="1" customWidth="1"/>
    <col min="8" max="8" width="5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30518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3</v>
      </c>
      <c r="B8" s="5">
        <v>1</v>
      </c>
      <c r="C8">
        <v>1474</v>
      </c>
      <c r="D8" t="s">
        <v>30521</v>
      </c>
      <c r="E8" t="s">
        <v>182</v>
      </c>
      <c r="F8" t="s">
        <v>38</v>
      </c>
      <c r="G8" t="s">
        <v>30522</v>
      </c>
      <c r="H8">
        <v>58.8</v>
      </c>
      <c r="I8">
        <v>0</v>
      </c>
      <c r="J8">
        <v>20</v>
      </c>
      <c r="L8">
        <v>10</v>
      </c>
      <c r="M8">
        <v>20</v>
      </c>
      <c r="N8">
        <v>20</v>
      </c>
      <c r="O8">
        <v>10</v>
      </c>
      <c r="P8">
        <v>108.8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 t="s">
        <v>130</v>
      </c>
      <c r="AF8">
        <v>114.8</v>
      </c>
    </row>
    <row r="9" spans="1:32" x14ac:dyDescent="0.3">
      <c r="A9" s="4">
        <v>4</v>
      </c>
      <c r="B9" s="5">
        <v>2</v>
      </c>
      <c r="C9">
        <v>1149</v>
      </c>
      <c r="D9" t="s">
        <v>2635</v>
      </c>
      <c r="E9" t="s">
        <v>30523</v>
      </c>
      <c r="F9" t="s">
        <v>11853</v>
      </c>
      <c r="G9" t="s">
        <v>30524</v>
      </c>
      <c r="H9">
        <v>57.3</v>
      </c>
      <c r="I9">
        <v>0</v>
      </c>
      <c r="J9">
        <v>20</v>
      </c>
      <c r="M9">
        <v>20</v>
      </c>
      <c r="N9">
        <v>20</v>
      </c>
      <c r="O9">
        <v>10</v>
      </c>
      <c r="P9">
        <v>107.3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B9" t="s">
        <v>130</v>
      </c>
      <c r="AD9" t="s">
        <v>130</v>
      </c>
      <c r="AF9">
        <v>113.3</v>
      </c>
    </row>
    <row r="10" spans="1:32" x14ac:dyDescent="0.3">
      <c r="A10" s="4">
        <v>5</v>
      </c>
      <c r="B10" s="5">
        <v>3</v>
      </c>
      <c r="C10">
        <v>1259</v>
      </c>
      <c r="D10" t="s">
        <v>3295</v>
      </c>
      <c r="E10" t="s">
        <v>2150</v>
      </c>
      <c r="F10" t="s">
        <v>343</v>
      </c>
      <c r="G10" t="s">
        <v>3296</v>
      </c>
      <c r="H10">
        <v>59.7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109.7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t="s">
        <v>130</v>
      </c>
      <c r="AD10" t="s">
        <v>130</v>
      </c>
      <c r="AF10">
        <v>109.7</v>
      </c>
    </row>
    <row r="11" spans="1:32" x14ac:dyDescent="0.3">
      <c r="A11" s="4">
        <v>8</v>
      </c>
      <c r="B11" s="5">
        <v>4</v>
      </c>
      <c r="C11">
        <v>1310</v>
      </c>
      <c r="D11" t="s">
        <v>5911</v>
      </c>
      <c r="E11" t="s">
        <v>213</v>
      </c>
      <c r="F11" t="s">
        <v>30</v>
      </c>
      <c r="G11" t="s">
        <v>30525</v>
      </c>
      <c r="H11">
        <v>51.6</v>
      </c>
      <c r="I11">
        <v>0</v>
      </c>
      <c r="K11">
        <v>15</v>
      </c>
      <c r="M11">
        <v>15</v>
      </c>
      <c r="N11">
        <v>20</v>
      </c>
      <c r="O11">
        <v>10</v>
      </c>
      <c r="P11">
        <v>96.6</v>
      </c>
      <c r="Q11">
        <v>9</v>
      </c>
      <c r="R11">
        <v>9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9</v>
      </c>
      <c r="Z11">
        <v>0</v>
      </c>
      <c r="AA11">
        <v>0</v>
      </c>
      <c r="AB11" t="s">
        <v>130</v>
      </c>
      <c r="AD11" t="s">
        <v>130</v>
      </c>
      <c r="AF11">
        <v>105.6</v>
      </c>
    </row>
    <row r="12" spans="1:32" x14ac:dyDescent="0.3">
      <c r="A12" s="4">
        <v>9</v>
      </c>
      <c r="B12" s="5">
        <v>5</v>
      </c>
      <c r="C12">
        <v>146</v>
      </c>
      <c r="D12" t="s">
        <v>30526</v>
      </c>
      <c r="E12" t="s">
        <v>149</v>
      </c>
      <c r="F12" t="s">
        <v>17</v>
      </c>
      <c r="G12" t="s">
        <v>30527</v>
      </c>
      <c r="H12">
        <v>57</v>
      </c>
      <c r="I12">
        <v>0</v>
      </c>
      <c r="K12">
        <v>15</v>
      </c>
      <c r="L12">
        <v>10</v>
      </c>
      <c r="M12">
        <v>15</v>
      </c>
      <c r="N12">
        <v>20</v>
      </c>
      <c r="O12">
        <v>10</v>
      </c>
      <c r="P12">
        <v>102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D12" t="s">
        <v>130</v>
      </c>
      <c r="AF12">
        <v>102</v>
      </c>
    </row>
    <row r="14" spans="1:32" x14ac:dyDescent="0.3">
      <c r="A14" s="3" t="s">
        <v>8356</v>
      </c>
    </row>
    <row r="15" spans="1:32" x14ac:dyDescent="0.3">
      <c r="A15" s="3" t="s">
        <v>30528</v>
      </c>
    </row>
    <row r="16" spans="1:32" x14ac:dyDescent="0.3">
      <c r="A16" s="3" t="s">
        <v>30529</v>
      </c>
    </row>
    <row r="17" spans="1:32" x14ac:dyDescent="0.3">
      <c r="A17" s="3" t="s">
        <v>30530</v>
      </c>
    </row>
    <row r="18" spans="1:32" x14ac:dyDescent="0.3">
      <c r="A18" s="3" t="s">
        <v>30531</v>
      </c>
    </row>
    <row r="19" spans="1:32" x14ac:dyDescent="0.3">
      <c r="A19" s="3" t="s">
        <v>30532</v>
      </c>
    </row>
    <row r="20" spans="1:32" x14ac:dyDescent="0.3">
      <c r="A20" s="3" t="s">
        <v>30533</v>
      </c>
    </row>
    <row r="21" spans="1:32" x14ac:dyDescent="0.3">
      <c r="A21" s="3" t="s">
        <v>30534</v>
      </c>
    </row>
    <row r="22" spans="1:32" x14ac:dyDescent="0.3">
      <c r="A22" s="3" t="s">
        <v>30535</v>
      </c>
    </row>
    <row r="23" spans="1:32" x14ac:dyDescent="0.3">
      <c r="A23" s="3" t="s">
        <v>8365</v>
      </c>
    </row>
    <row r="24" spans="1:32" x14ac:dyDescent="0.3">
      <c r="A24" s="3" t="s">
        <v>8366</v>
      </c>
    </row>
    <row r="25" spans="1:32" x14ac:dyDescent="0.3">
      <c r="A25" s="3" t="s">
        <v>30536</v>
      </c>
    </row>
    <row r="26" spans="1:32" x14ac:dyDescent="0.3">
      <c r="A26" s="3" t="s">
        <v>30537</v>
      </c>
    </row>
    <row r="27" spans="1:32" x14ac:dyDescent="0.3">
      <c r="A27" s="3" t="s">
        <v>30538</v>
      </c>
    </row>
    <row r="28" spans="1:32" s="4" customFormat="1" x14ac:dyDescent="0.3">
      <c r="A28" s="3" t="s">
        <v>30539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30540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30541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30542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30543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30544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30545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30546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30547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30548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Φύλλο19"/>
  <dimension ref="A1:AF120"/>
  <sheetViews>
    <sheetView workbookViewId="0">
      <selection activeCell="A8" sqref="A8:AF103"/>
    </sheetView>
  </sheetViews>
  <sheetFormatPr defaultRowHeight="14.4" x14ac:dyDescent="0.3"/>
  <cols>
    <col min="1" max="2" width="9.109375" style="4"/>
    <col min="3" max="3" width="5.109375" customWidth="1"/>
    <col min="4" max="4" width="18.44140625" bestFit="1" customWidth="1"/>
    <col min="5" max="5" width="21.44140625" customWidth="1"/>
    <col min="6" max="6" width="15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30518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1759</v>
      </c>
      <c r="D8" t="s">
        <v>1528</v>
      </c>
      <c r="E8" t="s">
        <v>29</v>
      </c>
      <c r="F8" t="s">
        <v>34</v>
      </c>
      <c r="G8" t="s">
        <v>30549</v>
      </c>
      <c r="H8">
        <v>39</v>
      </c>
      <c r="I8">
        <v>0</v>
      </c>
      <c r="M8">
        <v>0</v>
      </c>
      <c r="N8">
        <v>20</v>
      </c>
      <c r="O8">
        <v>10</v>
      </c>
      <c r="P8">
        <v>69</v>
      </c>
      <c r="Q8">
        <v>96</v>
      </c>
      <c r="R8">
        <v>96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96</v>
      </c>
      <c r="Z8">
        <v>3</v>
      </c>
      <c r="AA8">
        <v>0</v>
      </c>
      <c r="AD8" t="s">
        <v>130</v>
      </c>
      <c r="AF8">
        <v>168</v>
      </c>
    </row>
    <row r="9" spans="1:32" x14ac:dyDescent="0.3">
      <c r="A9" s="4">
        <v>3</v>
      </c>
      <c r="B9" s="5">
        <v>2</v>
      </c>
      <c r="C9">
        <v>1351</v>
      </c>
      <c r="D9" t="s">
        <v>30550</v>
      </c>
      <c r="E9" t="s">
        <v>132</v>
      </c>
      <c r="F9" t="s">
        <v>81</v>
      </c>
      <c r="G9" t="s">
        <v>30551</v>
      </c>
      <c r="H9">
        <v>54.9</v>
      </c>
      <c r="I9">
        <v>0</v>
      </c>
      <c r="M9">
        <v>0</v>
      </c>
      <c r="N9">
        <v>0</v>
      </c>
      <c r="O9">
        <v>0</v>
      </c>
      <c r="P9">
        <v>54.9</v>
      </c>
      <c r="Q9">
        <v>107</v>
      </c>
      <c r="R9">
        <v>107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107</v>
      </c>
      <c r="Z9">
        <v>0</v>
      </c>
      <c r="AA9">
        <v>0</v>
      </c>
      <c r="AD9" t="s">
        <v>130</v>
      </c>
      <c r="AF9">
        <v>161.9</v>
      </c>
    </row>
    <row r="10" spans="1:32" x14ac:dyDescent="0.3">
      <c r="A10" s="4">
        <v>9</v>
      </c>
      <c r="B10" s="5">
        <v>3</v>
      </c>
      <c r="C10">
        <v>75</v>
      </c>
      <c r="D10" t="s">
        <v>8414</v>
      </c>
      <c r="E10" t="s">
        <v>166</v>
      </c>
      <c r="F10" t="s">
        <v>117</v>
      </c>
      <c r="G10" t="s">
        <v>8415</v>
      </c>
      <c r="H10">
        <v>55.2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105.2</v>
      </c>
      <c r="Q10">
        <v>44</v>
      </c>
      <c r="R10">
        <v>44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44</v>
      </c>
      <c r="Z10">
        <v>0</v>
      </c>
      <c r="AA10">
        <v>0</v>
      </c>
      <c r="AB10" t="s">
        <v>130</v>
      </c>
      <c r="AD10" t="s">
        <v>130</v>
      </c>
      <c r="AF10">
        <v>149.19999999999999</v>
      </c>
    </row>
    <row r="11" spans="1:32" x14ac:dyDescent="0.3">
      <c r="A11" s="4">
        <v>11</v>
      </c>
      <c r="B11" s="5">
        <v>4</v>
      </c>
      <c r="C11">
        <v>402</v>
      </c>
      <c r="D11" t="s">
        <v>8401</v>
      </c>
      <c r="E11" t="s">
        <v>132</v>
      </c>
      <c r="F11" t="s">
        <v>328</v>
      </c>
      <c r="G11" t="s">
        <v>8402</v>
      </c>
      <c r="H11">
        <v>55.8</v>
      </c>
      <c r="I11">
        <v>0</v>
      </c>
      <c r="K11">
        <v>15</v>
      </c>
      <c r="M11">
        <v>15</v>
      </c>
      <c r="N11">
        <v>20</v>
      </c>
      <c r="O11">
        <v>10</v>
      </c>
      <c r="P11">
        <v>100.8</v>
      </c>
      <c r="Q11">
        <v>41</v>
      </c>
      <c r="R11">
        <v>41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41</v>
      </c>
      <c r="Z11">
        <v>6</v>
      </c>
      <c r="AA11">
        <v>0</v>
      </c>
      <c r="AD11" t="s">
        <v>130</v>
      </c>
      <c r="AF11">
        <v>147.80000000000001</v>
      </c>
    </row>
    <row r="12" spans="1:32" x14ac:dyDescent="0.3">
      <c r="A12" s="4">
        <v>12</v>
      </c>
      <c r="B12" s="5">
        <v>5</v>
      </c>
      <c r="C12">
        <v>232</v>
      </c>
      <c r="D12" t="s">
        <v>30552</v>
      </c>
      <c r="E12" t="s">
        <v>613</v>
      </c>
      <c r="F12" t="s">
        <v>687</v>
      </c>
      <c r="G12" t="s">
        <v>30553</v>
      </c>
      <c r="H12">
        <v>56.7</v>
      </c>
      <c r="I12">
        <v>10</v>
      </c>
      <c r="J12">
        <v>20</v>
      </c>
      <c r="M12">
        <v>20</v>
      </c>
      <c r="N12">
        <v>20</v>
      </c>
      <c r="O12">
        <v>10</v>
      </c>
      <c r="P12">
        <v>116.7</v>
      </c>
      <c r="Q12">
        <v>18</v>
      </c>
      <c r="R12">
        <v>18</v>
      </c>
      <c r="S12">
        <v>0</v>
      </c>
      <c r="T12">
        <v>0</v>
      </c>
      <c r="U12">
        <v>4</v>
      </c>
      <c r="V12">
        <v>6</v>
      </c>
      <c r="W12">
        <v>0</v>
      </c>
      <c r="X12">
        <v>0</v>
      </c>
      <c r="Y12">
        <v>24</v>
      </c>
      <c r="Z12">
        <v>6</v>
      </c>
      <c r="AA12">
        <v>0</v>
      </c>
      <c r="AB12" t="s">
        <v>130</v>
      </c>
      <c r="AD12" t="s">
        <v>130</v>
      </c>
      <c r="AF12">
        <v>146.69999999999999</v>
      </c>
    </row>
    <row r="13" spans="1:32" x14ac:dyDescent="0.3">
      <c r="A13" s="4">
        <v>14</v>
      </c>
      <c r="B13" s="5">
        <v>6</v>
      </c>
      <c r="C13">
        <v>1114</v>
      </c>
      <c r="D13" t="s">
        <v>7050</v>
      </c>
      <c r="E13" t="s">
        <v>110</v>
      </c>
      <c r="F13" t="s">
        <v>68</v>
      </c>
      <c r="G13" t="s">
        <v>8400</v>
      </c>
      <c r="H13">
        <v>60</v>
      </c>
      <c r="I13">
        <v>10</v>
      </c>
      <c r="J13">
        <v>20</v>
      </c>
      <c r="M13">
        <v>20</v>
      </c>
      <c r="N13">
        <v>20</v>
      </c>
      <c r="O13">
        <v>10</v>
      </c>
      <c r="P13">
        <v>120</v>
      </c>
      <c r="Q13">
        <v>19</v>
      </c>
      <c r="R13">
        <v>19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19</v>
      </c>
      <c r="Z13">
        <v>0</v>
      </c>
      <c r="AA13">
        <v>0</v>
      </c>
      <c r="AD13" t="s">
        <v>130</v>
      </c>
      <c r="AF13">
        <v>139</v>
      </c>
    </row>
    <row r="14" spans="1:32" x14ac:dyDescent="0.3">
      <c r="A14" s="4">
        <v>15</v>
      </c>
      <c r="B14" s="5">
        <v>7</v>
      </c>
      <c r="C14">
        <v>757</v>
      </c>
      <c r="D14" t="s">
        <v>13997</v>
      </c>
      <c r="E14" t="s">
        <v>29</v>
      </c>
      <c r="F14" t="s">
        <v>91</v>
      </c>
      <c r="G14" t="s">
        <v>30554</v>
      </c>
      <c r="H14">
        <v>50.4</v>
      </c>
      <c r="I14">
        <v>0</v>
      </c>
      <c r="M14">
        <v>0</v>
      </c>
      <c r="N14">
        <v>20</v>
      </c>
      <c r="O14">
        <v>10</v>
      </c>
      <c r="P14">
        <v>80.400000000000006</v>
      </c>
      <c r="Q14">
        <v>50</v>
      </c>
      <c r="R14">
        <v>50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50</v>
      </c>
      <c r="Z14">
        <v>3</v>
      </c>
      <c r="AA14">
        <v>0</v>
      </c>
      <c r="AD14" t="s">
        <v>130</v>
      </c>
      <c r="AF14">
        <v>133.4</v>
      </c>
    </row>
    <row r="15" spans="1:32" x14ac:dyDescent="0.3">
      <c r="A15" s="4">
        <v>16</v>
      </c>
      <c r="B15" s="5">
        <v>8</v>
      </c>
      <c r="C15">
        <v>927</v>
      </c>
      <c r="D15" t="s">
        <v>8407</v>
      </c>
      <c r="E15" t="s">
        <v>38</v>
      </c>
      <c r="F15" t="s">
        <v>81</v>
      </c>
      <c r="G15" t="s">
        <v>8408</v>
      </c>
      <c r="H15">
        <v>44.1</v>
      </c>
      <c r="I15">
        <v>0</v>
      </c>
      <c r="J15">
        <v>20</v>
      </c>
      <c r="M15">
        <v>20</v>
      </c>
      <c r="N15">
        <v>20</v>
      </c>
      <c r="O15">
        <v>10</v>
      </c>
      <c r="P15">
        <v>94.1</v>
      </c>
      <c r="Q15">
        <v>36</v>
      </c>
      <c r="R15">
        <v>36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36</v>
      </c>
      <c r="Z15">
        <v>3</v>
      </c>
      <c r="AA15">
        <v>0</v>
      </c>
      <c r="AD15" t="s">
        <v>130</v>
      </c>
      <c r="AF15">
        <v>133.1</v>
      </c>
    </row>
    <row r="16" spans="1:32" x14ac:dyDescent="0.3">
      <c r="A16" s="4">
        <v>17</v>
      </c>
      <c r="B16" s="5">
        <v>9</v>
      </c>
      <c r="C16">
        <v>545</v>
      </c>
      <c r="D16" t="s">
        <v>30555</v>
      </c>
      <c r="E16" t="s">
        <v>749</v>
      </c>
      <c r="F16" t="s">
        <v>38</v>
      </c>
      <c r="G16" t="s">
        <v>30556</v>
      </c>
      <c r="H16">
        <v>57.9</v>
      </c>
      <c r="I16">
        <v>0</v>
      </c>
      <c r="K16">
        <v>15</v>
      </c>
      <c r="L16">
        <v>10</v>
      </c>
      <c r="M16">
        <v>15</v>
      </c>
      <c r="N16">
        <v>20</v>
      </c>
      <c r="O16">
        <v>10</v>
      </c>
      <c r="P16">
        <v>102.9</v>
      </c>
      <c r="Q16">
        <v>0</v>
      </c>
      <c r="R16">
        <v>0</v>
      </c>
      <c r="S16">
        <v>0</v>
      </c>
      <c r="T16">
        <v>0</v>
      </c>
      <c r="U16">
        <v>11</v>
      </c>
      <c r="V16">
        <v>16</v>
      </c>
      <c r="W16">
        <v>0</v>
      </c>
      <c r="X16">
        <v>0</v>
      </c>
      <c r="Y16">
        <v>16</v>
      </c>
      <c r="Z16">
        <v>6</v>
      </c>
      <c r="AA16">
        <v>0</v>
      </c>
      <c r="AD16" t="s">
        <v>130</v>
      </c>
      <c r="AF16">
        <v>124.9</v>
      </c>
    </row>
    <row r="17" spans="1:32" x14ac:dyDescent="0.3">
      <c r="A17" s="4">
        <v>19</v>
      </c>
      <c r="B17" s="5">
        <v>10</v>
      </c>
      <c r="C17">
        <v>470</v>
      </c>
      <c r="D17" t="s">
        <v>8412</v>
      </c>
      <c r="E17" t="s">
        <v>594</v>
      </c>
      <c r="F17" t="s">
        <v>2101</v>
      </c>
      <c r="G17" t="s">
        <v>8413</v>
      </c>
      <c r="H17">
        <v>57.3</v>
      </c>
      <c r="I17">
        <v>10</v>
      </c>
      <c r="L17">
        <v>10</v>
      </c>
      <c r="M17">
        <v>10</v>
      </c>
      <c r="N17">
        <v>20</v>
      </c>
      <c r="O17">
        <v>10</v>
      </c>
      <c r="P17">
        <v>107.3</v>
      </c>
      <c r="Q17">
        <v>2</v>
      </c>
      <c r="R17">
        <v>2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2</v>
      </c>
      <c r="Z17">
        <v>9</v>
      </c>
      <c r="AA17">
        <v>0</v>
      </c>
      <c r="AD17" t="s">
        <v>130</v>
      </c>
      <c r="AF17">
        <v>118.3</v>
      </c>
    </row>
    <row r="18" spans="1:32" x14ac:dyDescent="0.3">
      <c r="A18" s="4">
        <v>20</v>
      </c>
      <c r="B18" s="5">
        <v>11</v>
      </c>
      <c r="C18">
        <v>480</v>
      </c>
      <c r="D18" t="s">
        <v>30558</v>
      </c>
      <c r="E18" t="s">
        <v>626</v>
      </c>
      <c r="F18" t="s">
        <v>136</v>
      </c>
      <c r="G18" t="s">
        <v>30559</v>
      </c>
      <c r="H18">
        <v>57</v>
      </c>
      <c r="I18">
        <v>0</v>
      </c>
      <c r="M18">
        <v>0</v>
      </c>
      <c r="N18">
        <v>20</v>
      </c>
      <c r="O18">
        <v>10</v>
      </c>
      <c r="P18">
        <v>87</v>
      </c>
      <c r="Q18">
        <v>2</v>
      </c>
      <c r="R18">
        <v>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2</v>
      </c>
      <c r="Z18">
        <v>6</v>
      </c>
      <c r="AA18">
        <v>20</v>
      </c>
      <c r="AD18" t="s">
        <v>130</v>
      </c>
      <c r="AF18">
        <v>115</v>
      </c>
    </row>
    <row r="19" spans="1:32" x14ac:dyDescent="0.3">
      <c r="A19" s="4">
        <v>21</v>
      </c>
      <c r="B19" s="5">
        <v>12</v>
      </c>
      <c r="C19">
        <v>23</v>
      </c>
      <c r="D19" t="s">
        <v>1256</v>
      </c>
      <c r="E19" t="s">
        <v>560</v>
      </c>
      <c r="F19" t="s">
        <v>190</v>
      </c>
      <c r="G19" t="s">
        <v>1257</v>
      </c>
      <c r="H19">
        <v>58.2</v>
      </c>
      <c r="I19">
        <v>0</v>
      </c>
      <c r="J19">
        <v>20</v>
      </c>
      <c r="M19">
        <v>20</v>
      </c>
      <c r="N19">
        <v>20</v>
      </c>
      <c r="O19">
        <v>10</v>
      </c>
      <c r="P19">
        <v>108.2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B19" t="s">
        <v>130</v>
      </c>
      <c r="AD19" t="s">
        <v>130</v>
      </c>
      <c r="AF19">
        <v>114.2</v>
      </c>
    </row>
    <row r="20" spans="1:32" x14ac:dyDescent="0.3">
      <c r="A20" s="4">
        <v>22</v>
      </c>
      <c r="B20" s="5">
        <v>13</v>
      </c>
      <c r="C20">
        <v>1752</v>
      </c>
      <c r="D20" t="s">
        <v>30560</v>
      </c>
      <c r="E20" t="s">
        <v>88</v>
      </c>
      <c r="F20" t="s">
        <v>2237</v>
      </c>
      <c r="G20" t="s">
        <v>30561</v>
      </c>
      <c r="H20">
        <v>53.7</v>
      </c>
      <c r="I20">
        <v>0</v>
      </c>
      <c r="M20">
        <v>0</v>
      </c>
      <c r="N20">
        <v>20</v>
      </c>
      <c r="O20">
        <v>10</v>
      </c>
      <c r="P20">
        <v>83.7</v>
      </c>
      <c r="Q20">
        <v>17</v>
      </c>
      <c r="R20">
        <v>17</v>
      </c>
      <c r="S20">
        <v>0</v>
      </c>
      <c r="T20">
        <v>0</v>
      </c>
      <c r="U20">
        <v>4</v>
      </c>
      <c r="V20">
        <v>6</v>
      </c>
      <c r="W20">
        <v>0</v>
      </c>
      <c r="X20">
        <v>0</v>
      </c>
      <c r="Y20">
        <v>23</v>
      </c>
      <c r="Z20">
        <v>3</v>
      </c>
      <c r="AA20">
        <v>0</v>
      </c>
      <c r="AB20" t="s">
        <v>130</v>
      </c>
      <c r="AD20" t="s">
        <v>130</v>
      </c>
      <c r="AF20">
        <v>109.7</v>
      </c>
    </row>
    <row r="21" spans="1:32" x14ac:dyDescent="0.3">
      <c r="A21" s="4">
        <v>23</v>
      </c>
      <c r="B21" s="5">
        <v>14</v>
      </c>
      <c r="C21">
        <v>231</v>
      </c>
      <c r="D21" t="s">
        <v>4841</v>
      </c>
      <c r="E21" t="s">
        <v>4391</v>
      </c>
      <c r="F21" t="s">
        <v>298</v>
      </c>
      <c r="G21" t="s">
        <v>30562</v>
      </c>
      <c r="H21">
        <v>56.4</v>
      </c>
      <c r="I21">
        <v>0</v>
      </c>
      <c r="K21">
        <v>15</v>
      </c>
      <c r="M21">
        <v>15</v>
      </c>
      <c r="N21">
        <v>20</v>
      </c>
      <c r="O21">
        <v>10</v>
      </c>
      <c r="P21">
        <v>101.4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6</v>
      </c>
      <c r="AA21">
        <v>0</v>
      </c>
      <c r="AD21" t="s">
        <v>130</v>
      </c>
      <c r="AF21">
        <v>107.4</v>
      </c>
    </row>
    <row r="22" spans="1:32" x14ac:dyDescent="0.3">
      <c r="A22" s="4">
        <v>24</v>
      </c>
      <c r="B22" s="5">
        <v>15</v>
      </c>
      <c r="C22">
        <v>799</v>
      </c>
      <c r="D22" t="s">
        <v>30563</v>
      </c>
      <c r="E22" t="s">
        <v>166</v>
      </c>
      <c r="F22" t="s">
        <v>17</v>
      </c>
      <c r="G22" t="s">
        <v>30564</v>
      </c>
      <c r="H22">
        <v>56.4</v>
      </c>
      <c r="I22">
        <v>0</v>
      </c>
      <c r="J22">
        <v>20</v>
      </c>
      <c r="L22">
        <v>10</v>
      </c>
      <c r="M22">
        <v>20</v>
      </c>
      <c r="N22">
        <v>20</v>
      </c>
      <c r="O22">
        <v>10</v>
      </c>
      <c r="P22">
        <v>106.4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t="s">
        <v>130</v>
      </c>
      <c r="AD22" t="s">
        <v>130</v>
      </c>
      <c r="AF22">
        <v>106.4</v>
      </c>
    </row>
    <row r="23" spans="1:32" x14ac:dyDescent="0.3">
      <c r="A23" s="4">
        <v>25</v>
      </c>
      <c r="B23" s="5">
        <v>16</v>
      </c>
      <c r="C23">
        <v>591</v>
      </c>
      <c r="D23" t="s">
        <v>8410</v>
      </c>
      <c r="E23" t="s">
        <v>54</v>
      </c>
      <c r="F23" t="s">
        <v>124</v>
      </c>
      <c r="G23" t="s">
        <v>8411</v>
      </c>
      <c r="H23">
        <v>54</v>
      </c>
      <c r="I23">
        <v>0</v>
      </c>
      <c r="L23">
        <v>10</v>
      </c>
      <c r="M23">
        <v>10</v>
      </c>
      <c r="N23">
        <v>20</v>
      </c>
      <c r="O23">
        <v>10</v>
      </c>
      <c r="P23">
        <v>94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12</v>
      </c>
      <c r="AA23">
        <v>0</v>
      </c>
      <c r="AB23" t="s">
        <v>130</v>
      </c>
      <c r="AD23" t="s">
        <v>130</v>
      </c>
      <c r="AF23">
        <v>106</v>
      </c>
    </row>
    <row r="24" spans="1:32" x14ac:dyDescent="0.3">
      <c r="A24" s="4">
        <v>26</v>
      </c>
      <c r="B24" s="5">
        <v>17</v>
      </c>
      <c r="C24">
        <v>1770</v>
      </c>
      <c r="D24" t="s">
        <v>15698</v>
      </c>
      <c r="E24" t="s">
        <v>51</v>
      </c>
      <c r="F24" t="s">
        <v>52</v>
      </c>
      <c r="G24" t="s">
        <v>30565</v>
      </c>
      <c r="H24">
        <v>49.2</v>
      </c>
      <c r="I24">
        <v>0</v>
      </c>
      <c r="J24">
        <v>20</v>
      </c>
      <c r="K24">
        <v>15</v>
      </c>
      <c r="M24">
        <v>20</v>
      </c>
      <c r="N24">
        <v>20</v>
      </c>
      <c r="O24">
        <v>10</v>
      </c>
      <c r="P24">
        <v>99.2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6</v>
      </c>
      <c r="AA24">
        <v>0</v>
      </c>
      <c r="AD24" t="s">
        <v>130</v>
      </c>
      <c r="AF24">
        <v>105.2</v>
      </c>
    </row>
    <row r="25" spans="1:32" x14ac:dyDescent="0.3">
      <c r="A25" s="4">
        <v>27</v>
      </c>
      <c r="B25" s="5">
        <v>18</v>
      </c>
      <c r="C25">
        <v>1223</v>
      </c>
      <c r="D25" t="s">
        <v>30566</v>
      </c>
      <c r="E25" t="s">
        <v>1815</v>
      </c>
      <c r="F25" t="s">
        <v>243</v>
      </c>
      <c r="G25" t="s">
        <v>30567</v>
      </c>
      <c r="H25">
        <v>58.2</v>
      </c>
      <c r="I25">
        <v>0</v>
      </c>
      <c r="L25">
        <v>10</v>
      </c>
      <c r="M25">
        <v>10</v>
      </c>
      <c r="N25">
        <v>20</v>
      </c>
      <c r="O25">
        <v>10</v>
      </c>
      <c r="P25">
        <v>98.2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</v>
      </c>
      <c r="AA25">
        <v>0</v>
      </c>
      <c r="AB25" t="s">
        <v>130</v>
      </c>
      <c r="AD25" t="s">
        <v>130</v>
      </c>
      <c r="AF25">
        <v>104.2</v>
      </c>
    </row>
    <row r="26" spans="1:32" x14ac:dyDescent="0.3">
      <c r="A26" s="4">
        <v>28</v>
      </c>
      <c r="B26" s="5">
        <v>19</v>
      </c>
      <c r="C26">
        <v>415</v>
      </c>
      <c r="D26" t="s">
        <v>30568</v>
      </c>
      <c r="E26" t="s">
        <v>243</v>
      </c>
      <c r="F26" t="s">
        <v>190</v>
      </c>
      <c r="G26" t="s">
        <v>30569</v>
      </c>
      <c r="H26">
        <v>55.2</v>
      </c>
      <c r="I26">
        <v>0</v>
      </c>
      <c r="L26">
        <v>10</v>
      </c>
      <c r="M26">
        <v>10</v>
      </c>
      <c r="N26">
        <v>20</v>
      </c>
      <c r="O26">
        <v>10</v>
      </c>
      <c r="P26">
        <v>95.2</v>
      </c>
      <c r="Q26">
        <v>9</v>
      </c>
      <c r="R26">
        <v>9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9</v>
      </c>
      <c r="Z26">
        <v>0</v>
      </c>
      <c r="AA26">
        <v>0</v>
      </c>
      <c r="AD26" t="s">
        <v>130</v>
      </c>
      <c r="AF26">
        <v>104.2</v>
      </c>
    </row>
    <row r="27" spans="1:32" x14ac:dyDescent="0.3">
      <c r="A27" s="4">
        <v>29</v>
      </c>
      <c r="B27" s="5">
        <v>20</v>
      </c>
      <c r="C27">
        <v>259</v>
      </c>
      <c r="D27" t="s">
        <v>30570</v>
      </c>
      <c r="E27" t="s">
        <v>166</v>
      </c>
      <c r="F27" t="s">
        <v>136</v>
      </c>
      <c r="G27" t="s">
        <v>30571</v>
      </c>
      <c r="H27">
        <v>56.1</v>
      </c>
      <c r="I27">
        <v>0</v>
      </c>
      <c r="L27">
        <v>10</v>
      </c>
      <c r="M27">
        <v>10</v>
      </c>
      <c r="N27">
        <v>20</v>
      </c>
      <c r="O27">
        <v>10</v>
      </c>
      <c r="P27">
        <v>96.1</v>
      </c>
      <c r="Q27">
        <v>8</v>
      </c>
      <c r="R27">
        <v>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8</v>
      </c>
      <c r="Z27">
        <v>0</v>
      </c>
      <c r="AA27">
        <v>0</v>
      </c>
      <c r="AD27" t="s">
        <v>130</v>
      </c>
      <c r="AF27">
        <v>104.1</v>
      </c>
    </row>
    <row r="28" spans="1:32" x14ac:dyDescent="0.3">
      <c r="A28" s="4">
        <v>30</v>
      </c>
      <c r="B28" s="5">
        <v>21</v>
      </c>
      <c r="C28">
        <v>1300</v>
      </c>
      <c r="D28" t="s">
        <v>30572</v>
      </c>
      <c r="E28" t="s">
        <v>188</v>
      </c>
      <c r="F28" t="s">
        <v>2595</v>
      </c>
      <c r="G28" t="s">
        <v>30573</v>
      </c>
      <c r="H28">
        <v>54</v>
      </c>
      <c r="I28">
        <v>0</v>
      </c>
      <c r="J28">
        <v>20</v>
      </c>
      <c r="M28">
        <v>20</v>
      </c>
      <c r="N28">
        <v>20</v>
      </c>
      <c r="O28">
        <v>10</v>
      </c>
      <c r="P28">
        <v>104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t="s">
        <v>130</v>
      </c>
      <c r="AD28" t="s">
        <v>130</v>
      </c>
      <c r="AF28">
        <v>104</v>
      </c>
    </row>
    <row r="29" spans="1:32" x14ac:dyDescent="0.3">
      <c r="A29" s="4">
        <v>32</v>
      </c>
      <c r="B29" s="5">
        <v>22</v>
      </c>
      <c r="C29">
        <v>387</v>
      </c>
      <c r="D29" t="s">
        <v>18541</v>
      </c>
      <c r="E29" t="s">
        <v>132</v>
      </c>
      <c r="F29" t="s">
        <v>193</v>
      </c>
      <c r="G29" t="s">
        <v>18542</v>
      </c>
      <c r="H29">
        <v>52.5</v>
      </c>
      <c r="I29">
        <v>0</v>
      </c>
      <c r="K29">
        <v>15</v>
      </c>
      <c r="M29">
        <v>15</v>
      </c>
      <c r="N29">
        <v>20</v>
      </c>
      <c r="O29">
        <v>10</v>
      </c>
      <c r="P29">
        <v>97.5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6</v>
      </c>
      <c r="AA29">
        <v>0</v>
      </c>
      <c r="AD29" t="s">
        <v>130</v>
      </c>
      <c r="AF29">
        <v>103.5</v>
      </c>
    </row>
    <row r="30" spans="1:32" x14ac:dyDescent="0.3">
      <c r="A30" s="4">
        <v>33</v>
      </c>
      <c r="B30" s="5">
        <v>23</v>
      </c>
      <c r="C30">
        <v>320</v>
      </c>
      <c r="D30" t="s">
        <v>226</v>
      </c>
      <c r="E30" t="s">
        <v>54</v>
      </c>
      <c r="F30" t="s">
        <v>343</v>
      </c>
      <c r="G30" t="s">
        <v>30574</v>
      </c>
      <c r="H30">
        <v>56.4</v>
      </c>
      <c r="I30">
        <v>0</v>
      </c>
      <c r="L30">
        <v>10</v>
      </c>
      <c r="M30">
        <v>10</v>
      </c>
      <c r="N30">
        <v>20</v>
      </c>
      <c r="O30">
        <v>10</v>
      </c>
      <c r="P30">
        <v>96.4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6</v>
      </c>
      <c r="AA30">
        <v>0</v>
      </c>
      <c r="AD30" t="s">
        <v>130</v>
      </c>
      <c r="AF30">
        <v>102.4</v>
      </c>
    </row>
    <row r="31" spans="1:32" x14ac:dyDescent="0.3">
      <c r="A31" s="4">
        <v>34</v>
      </c>
      <c r="B31" s="5">
        <v>24</v>
      </c>
      <c r="C31">
        <v>167</v>
      </c>
      <c r="D31" t="s">
        <v>30575</v>
      </c>
      <c r="E31" t="s">
        <v>29</v>
      </c>
      <c r="F31" t="s">
        <v>14</v>
      </c>
      <c r="G31" t="s">
        <v>30576</v>
      </c>
      <c r="H31">
        <v>59.7</v>
      </c>
      <c r="I31">
        <v>0</v>
      </c>
      <c r="L31">
        <v>10</v>
      </c>
      <c r="M31">
        <v>10</v>
      </c>
      <c r="N31">
        <v>20</v>
      </c>
      <c r="O31">
        <v>0</v>
      </c>
      <c r="P31">
        <v>89.7</v>
      </c>
      <c r="Q31">
        <v>0</v>
      </c>
      <c r="R31">
        <v>0</v>
      </c>
      <c r="S31">
        <v>0</v>
      </c>
      <c r="T31">
        <v>0</v>
      </c>
      <c r="U31">
        <v>4</v>
      </c>
      <c r="V31">
        <v>6</v>
      </c>
      <c r="W31">
        <v>0</v>
      </c>
      <c r="X31">
        <v>0</v>
      </c>
      <c r="Y31">
        <v>6</v>
      </c>
      <c r="Z31">
        <v>6</v>
      </c>
      <c r="AA31">
        <v>0</v>
      </c>
      <c r="AD31" t="s">
        <v>130</v>
      </c>
      <c r="AF31">
        <v>101.7</v>
      </c>
    </row>
    <row r="32" spans="1:32" x14ac:dyDescent="0.3">
      <c r="A32" s="4">
        <v>35</v>
      </c>
      <c r="B32" s="5">
        <v>25</v>
      </c>
      <c r="C32">
        <v>401</v>
      </c>
      <c r="D32" t="s">
        <v>30577</v>
      </c>
      <c r="E32" t="s">
        <v>10939</v>
      </c>
      <c r="F32" t="s">
        <v>62</v>
      </c>
      <c r="G32" t="s">
        <v>30578</v>
      </c>
      <c r="H32">
        <v>44.7</v>
      </c>
      <c r="I32">
        <v>0</v>
      </c>
      <c r="M32">
        <v>0</v>
      </c>
      <c r="N32">
        <v>20</v>
      </c>
      <c r="O32">
        <v>10</v>
      </c>
      <c r="P32">
        <v>74.7</v>
      </c>
      <c r="Q32">
        <v>25</v>
      </c>
      <c r="R32">
        <v>25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25</v>
      </c>
      <c r="Z32">
        <v>0</v>
      </c>
      <c r="AA32">
        <v>0</v>
      </c>
      <c r="AD32" t="s">
        <v>130</v>
      </c>
      <c r="AF32">
        <v>99.7</v>
      </c>
    </row>
    <row r="33" spans="1:32" x14ac:dyDescent="0.3">
      <c r="A33" s="4">
        <v>36</v>
      </c>
      <c r="B33" s="5">
        <v>26</v>
      </c>
      <c r="C33">
        <v>1741</v>
      </c>
      <c r="D33" t="s">
        <v>30579</v>
      </c>
      <c r="E33" t="s">
        <v>29</v>
      </c>
      <c r="F33" t="s">
        <v>442</v>
      </c>
      <c r="G33" t="s">
        <v>30580</v>
      </c>
      <c r="H33">
        <v>56.4</v>
      </c>
      <c r="I33">
        <v>0</v>
      </c>
      <c r="L33">
        <v>10</v>
      </c>
      <c r="M33">
        <v>10</v>
      </c>
      <c r="N33">
        <v>20</v>
      </c>
      <c r="O33">
        <v>10</v>
      </c>
      <c r="P33">
        <v>96.4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3</v>
      </c>
      <c r="AA33">
        <v>0</v>
      </c>
      <c r="AB33" t="s">
        <v>130</v>
      </c>
      <c r="AD33" t="s">
        <v>130</v>
      </c>
      <c r="AF33">
        <v>99.4</v>
      </c>
    </row>
    <row r="34" spans="1:32" x14ac:dyDescent="0.3">
      <c r="A34" s="4">
        <v>37</v>
      </c>
      <c r="B34" s="5">
        <v>27</v>
      </c>
      <c r="C34">
        <v>872</v>
      </c>
      <c r="D34" t="s">
        <v>30581</v>
      </c>
      <c r="E34" t="s">
        <v>4236</v>
      </c>
      <c r="F34" t="s">
        <v>124</v>
      </c>
      <c r="G34" t="s">
        <v>30582</v>
      </c>
      <c r="H34">
        <v>58.2</v>
      </c>
      <c r="I34">
        <v>0</v>
      </c>
      <c r="L34">
        <v>10</v>
      </c>
      <c r="M34">
        <v>10</v>
      </c>
      <c r="N34">
        <v>20</v>
      </c>
      <c r="O34">
        <v>10</v>
      </c>
      <c r="P34">
        <v>98.2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D34" t="s">
        <v>130</v>
      </c>
      <c r="AF34">
        <v>98.2</v>
      </c>
    </row>
    <row r="35" spans="1:32" x14ac:dyDescent="0.3">
      <c r="A35" s="4">
        <v>38</v>
      </c>
      <c r="B35" s="5">
        <v>28</v>
      </c>
      <c r="C35">
        <v>288</v>
      </c>
      <c r="D35" t="s">
        <v>30583</v>
      </c>
      <c r="E35" t="s">
        <v>132</v>
      </c>
      <c r="F35" t="s">
        <v>243</v>
      </c>
      <c r="G35" t="s">
        <v>30584</v>
      </c>
      <c r="H35">
        <v>57</v>
      </c>
      <c r="I35">
        <v>0</v>
      </c>
      <c r="L35">
        <v>10</v>
      </c>
      <c r="M35">
        <v>10</v>
      </c>
      <c r="N35">
        <v>20</v>
      </c>
      <c r="O35">
        <v>10</v>
      </c>
      <c r="P35">
        <v>97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D35" t="s">
        <v>130</v>
      </c>
      <c r="AF35">
        <v>97</v>
      </c>
    </row>
    <row r="36" spans="1:32" x14ac:dyDescent="0.3">
      <c r="A36" s="4">
        <v>39</v>
      </c>
      <c r="B36" s="5">
        <v>29</v>
      </c>
      <c r="C36">
        <v>4</v>
      </c>
      <c r="D36" t="s">
        <v>8416</v>
      </c>
      <c r="E36" t="s">
        <v>335</v>
      </c>
      <c r="F36" t="s">
        <v>38</v>
      </c>
      <c r="G36" t="s">
        <v>8417</v>
      </c>
      <c r="H36">
        <v>60</v>
      </c>
      <c r="I36">
        <v>0</v>
      </c>
      <c r="M36">
        <v>0</v>
      </c>
      <c r="N36">
        <v>20</v>
      </c>
      <c r="O36">
        <v>10</v>
      </c>
      <c r="P36">
        <v>90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D36" t="s">
        <v>130</v>
      </c>
      <c r="AF36">
        <v>96</v>
      </c>
    </row>
    <row r="37" spans="1:32" x14ac:dyDescent="0.3">
      <c r="A37" s="4">
        <v>40</v>
      </c>
      <c r="B37" s="5">
        <v>30</v>
      </c>
      <c r="C37">
        <v>1389</v>
      </c>
      <c r="D37" t="s">
        <v>8420</v>
      </c>
      <c r="E37" t="s">
        <v>88</v>
      </c>
      <c r="F37" t="s">
        <v>81</v>
      </c>
      <c r="G37" t="s">
        <v>8421</v>
      </c>
      <c r="H37">
        <v>56.7</v>
      </c>
      <c r="I37">
        <v>0</v>
      </c>
      <c r="M37">
        <v>0</v>
      </c>
      <c r="N37">
        <v>20</v>
      </c>
      <c r="O37">
        <v>10</v>
      </c>
      <c r="P37">
        <v>86.7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D37" t="s">
        <v>130</v>
      </c>
      <c r="AF37">
        <v>86.7</v>
      </c>
    </row>
    <row r="38" spans="1:32" x14ac:dyDescent="0.3">
      <c r="A38" s="4">
        <v>41</v>
      </c>
      <c r="B38" s="5">
        <v>31</v>
      </c>
      <c r="C38">
        <v>172</v>
      </c>
      <c r="D38" t="s">
        <v>30585</v>
      </c>
      <c r="E38" t="s">
        <v>97</v>
      </c>
      <c r="F38" t="s">
        <v>117</v>
      </c>
      <c r="G38" t="s">
        <v>30586</v>
      </c>
      <c r="H38">
        <v>53.4</v>
      </c>
      <c r="I38">
        <v>0</v>
      </c>
      <c r="K38">
        <v>15</v>
      </c>
      <c r="M38">
        <v>15</v>
      </c>
      <c r="N38">
        <v>20</v>
      </c>
      <c r="O38">
        <v>10</v>
      </c>
      <c r="P38">
        <v>98.4</v>
      </c>
      <c r="Q38">
        <v>76</v>
      </c>
      <c r="R38">
        <v>76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76</v>
      </c>
      <c r="Z38">
        <v>6</v>
      </c>
      <c r="AA38">
        <v>29.6</v>
      </c>
      <c r="AF38">
        <v>210</v>
      </c>
    </row>
    <row r="39" spans="1:32" x14ac:dyDescent="0.3">
      <c r="A39" s="4">
        <v>42</v>
      </c>
      <c r="B39" s="5">
        <v>32</v>
      </c>
      <c r="C39">
        <v>174</v>
      </c>
      <c r="D39" t="s">
        <v>30587</v>
      </c>
      <c r="E39" t="s">
        <v>1511</v>
      </c>
      <c r="F39" t="s">
        <v>328</v>
      </c>
      <c r="G39" t="s">
        <v>30588</v>
      </c>
      <c r="H39">
        <v>57.9</v>
      </c>
      <c r="I39">
        <v>0</v>
      </c>
      <c r="M39">
        <v>0</v>
      </c>
      <c r="N39">
        <v>20</v>
      </c>
      <c r="O39">
        <v>10</v>
      </c>
      <c r="P39">
        <v>87.9</v>
      </c>
      <c r="Q39">
        <v>46</v>
      </c>
      <c r="R39">
        <v>46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46</v>
      </c>
      <c r="Z39">
        <v>6</v>
      </c>
      <c r="AA39">
        <v>29.6</v>
      </c>
      <c r="AF39">
        <v>169.5</v>
      </c>
    </row>
    <row r="40" spans="1:32" x14ac:dyDescent="0.3">
      <c r="A40" s="4">
        <v>43</v>
      </c>
      <c r="B40" s="5">
        <v>33</v>
      </c>
      <c r="C40">
        <v>1197</v>
      </c>
      <c r="D40" t="s">
        <v>30589</v>
      </c>
      <c r="E40" t="s">
        <v>161</v>
      </c>
      <c r="F40" t="s">
        <v>81</v>
      </c>
      <c r="G40" t="s">
        <v>30590</v>
      </c>
      <c r="H40">
        <v>54.9</v>
      </c>
      <c r="I40">
        <v>0</v>
      </c>
      <c r="J40">
        <v>20</v>
      </c>
      <c r="M40">
        <v>20</v>
      </c>
      <c r="N40">
        <v>20</v>
      </c>
      <c r="O40">
        <v>10</v>
      </c>
      <c r="P40">
        <v>104.9</v>
      </c>
      <c r="Q40">
        <v>60</v>
      </c>
      <c r="R40">
        <v>60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60</v>
      </c>
      <c r="Z40">
        <v>3</v>
      </c>
      <c r="AA40">
        <v>0</v>
      </c>
      <c r="AF40">
        <v>167.9</v>
      </c>
    </row>
    <row r="41" spans="1:32" x14ac:dyDescent="0.3">
      <c r="A41" s="4">
        <v>44</v>
      </c>
      <c r="B41" s="5">
        <v>34</v>
      </c>
      <c r="C41">
        <v>392</v>
      </c>
      <c r="D41" t="s">
        <v>30591</v>
      </c>
      <c r="E41" t="s">
        <v>41</v>
      </c>
      <c r="F41" t="s">
        <v>892</v>
      </c>
      <c r="G41" t="s">
        <v>30592</v>
      </c>
      <c r="H41">
        <v>48.6</v>
      </c>
      <c r="I41">
        <v>10</v>
      </c>
      <c r="J41">
        <v>20</v>
      </c>
      <c r="M41">
        <v>20</v>
      </c>
      <c r="N41">
        <v>20</v>
      </c>
      <c r="O41">
        <v>10</v>
      </c>
      <c r="P41">
        <v>108.6</v>
      </c>
      <c r="Q41">
        <v>59</v>
      </c>
      <c r="R41">
        <v>59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59</v>
      </c>
      <c r="Z41">
        <v>0</v>
      </c>
      <c r="AA41">
        <v>0</v>
      </c>
      <c r="AF41">
        <v>167.6</v>
      </c>
    </row>
    <row r="42" spans="1:32" x14ac:dyDescent="0.3">
      <c r="A42" s="4">
        <v>45</v>
      </c>
      <c r="B42" s="5">
        <v>35</v>
      </c>
      <c r="C42">
        <v>844</v>
      </c>
      <c r="D42" t="s">
        <v>10270</v>
      </c>
      <c r="E42" t="s">
        <v>88</v>
      </c>
      <c r="F42" t="s">
        <v>20</v>
      </c>
      <c r="G42" t="s">
        <v>30593</v>
      </c>
      <c r="H42">
        <v>54</v>
      </c>
      <c r="I42">
        <v>0</v>
      </c>
      <c r="M42">
        <v>0</v>
      </c>
      <c r="N42">
        <v>20</v>
      </c>
      <c r="O42">
        <v>10</v>
      </c>
      <c r="P42">
        <v>84</v>
      </c>
      <c r="Q42">
        <v>83</v>
      </c>
      <c r="R42">
        <v>83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83</v>
      </c>
      <c r="Z42">
        <v>0</v>
      </c>
      <c r="AA42">
        <v>0</v>
      </c>
      <c r="AF42">
        <v>167</v>
      </c>
    </row>
    <row r="43" spans="1:32" x14ac:dyDescent="0.3">
      <c r="A43" s="4">
        <v>48</v>
      </c>
      <c r="B43" s="5">
        <v>36</v>
      </c>
      <c r="C43">
        <v>569</v>
      </c>
      <c r="D43" t="s">
        <v>8435</v>
      </c>
      <c r="E43" t="s">
        <v>170</v>
      </c>
      <c r="F43" t="s">
        <v>158</v>
      </c>
      <c r="G43" t="s">
        <v>8436</v>
      </c>
      <c r="H43">
        <v>57.9</v>
      </c>
      <c r="I43">
        <v>10</v>
      </c>
      <c r="J43">
        <v>20</v>
      </c>
      <c r="M43">
        <v>20</v>
      </c>
      <c r="N43">
        <v>20</v>
      </c>
      <c r="O43">
        <v>10</v>
      </c>
      <c r="P43">
        <v>117.9</v>
      </c>
      <c r="Q43">
        <v>28</v>
      </c>
      <c r="R43">
        <v>28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28</v>
      </c>
      <c r="Z43">
        <v>6</v>
      </c>
      <c r="AA43">
        <v>0</v>
      </c>
      <c r="AF43">
        <v>151.9</v>
      </c>
    </row>
    <row r="44" spans="1:32" x14ac:dyDescent="0.3">
      <c r="A44" s="4">
        <v>50</v>
      </c>
      <c r="B44" s="5">
        <v>37</v>
      </c>
      <c r="C44">
        <v>227</v>
      </c>
      <c r="D44" t="s">
        <v>24606</v>
      </c>
      <c r="E44" t="s">
        <v>161</v>
      </c>
      <c r="F44" t="s">
        <v>117</v>
      </c>
      <c r="G44" t="s">
        <v>30594</v>
      </c>
      <c r="H44">
        <v>42.6</v>
      </c>
      <c r="I44">
        <v>10</v>
      </c>
      <c r="J44">
        <v>20</v>
      </c>
      <c r="M44">
        <v>20</v>
      </c>
      <c r="N44">
        <v>20</v>
      </c>
      <c r="O44">
        <v>0</v>
      </c>
      <c r="P44">
        <v>92.6</v>
      </c>
      <c r="Q44">
        <v>51</v>
      </c>
      <c r="R44">
        <v>51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51</v>
      </c>
      <c r="Z44">
        <v>6</v>
      </c>
      <c r="AA44">
        <v>0</v>
      </c>
      <c r="AF44">
        <v>149.6</v>
      </c>
    </row>
    <row r="45" spans="1:32" x14ac:dyDescent="0.3">
      <c r="A45" s="4">
        <v>51</v>
      </c>
      <c r="B45" s="5">
        <v>38</v>
      </c>
      <c r="C45">
        <v>407</v>
      </c>
      <c r="D45" t="s">
        <v>2651</v>
      </c>
      <c r="E45" t="s">
        <v>16336</v>
      </c>
      <c r="F45" t="s">
        <v>17</v>
      </c>
      <c r="G45" t="s">
        <v>30595</v>
      </c>
      <c r="H45">
        <v>55.8</v>
      </c>
      <c r="I45">
        <v>0</v>
      </c>
      <c r="L45">
        <v>10</v>
      </c>
      <c r="M45">
        <v>10</v>
      </c>
      <c r="N45">
        <v>20</v>
      </c>
      <c r="O45">
        <v>10</v>
      </c>
      <c r="P45">
        <v>95.8</v>
      </c>
      <c r="Q45">
        <v>47</v>
      </c>
      <c r="R45">
        <v>47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47</v>
      </c>
      <c r="Z45">
        <v>0</v>
      </c>
      <c r="AA45">
        <v>0</v>
      </c>
      <c r="AF45">
        <v>142.80000000000001</v>
      </c>
    </row>
    <row r="46" spans="1:32" x14ac:dyDescent="0.3">
      <c r="A46" s="4">
        <v>52</v>
      </c>
      <c r="B46" s="5">
        <v>39</v>
      </c>
      <c r="C46">
        <v>289</v>
      </c>
      <c r="D46" t="s">
        <v>944</v>
      </c>
      <c r="E46" t="s">
        <v>29</v>
      </c>
      <c r="F46" t="s">
        <v>167</v>
      </c>
      <c r="G46" t="s">
        <v>30596</v>
      </c>
      <c r="H46">
        <v>60</v>
      </c>
      <c r="I46">
        <v>0</v>
      </c>
      <c r="M46">
        <v>0</v>
      </c>
      <c r="N46">
        <v>20</v>
      </c>
      <c r="O46">
        <v>10</v>
      </c>
      <c r="P46">
        <v>90</v>
      </c>
      <c r="Q46">
        <v>49</v>
      </c>
      <c r="R46">
        <v>49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49</v>
      </c>
      <c r="Z46">
        <v>3</v>
      </c>
      <c r="AA46">
        <v>0</v>
      </c>
      <c r="AF46">
        <v>142</v>
      </c>
    </row>
    <row r="47" spans="1:32" x14ac:dyDescent="0.3">
      <c r="A47" s="4">
        <v>53</v>
      </c>
      <c r="B47" s="5">
        <v>40</v>
      </c>
      <c r="C47">
        <v>897</v>
      </c>
      <c r="D47" t="s">
        <v>30597</v>
      </c>
      <c r="E47" t="s">
        <v>29</v>
      </c>
      <c r="F47" t="s">
        <v>38</v>
      </c>
      <c r="G47" t="s">
        <v>30598</v>
      </c>
      <c r="H47">
        <v>49.8</v>
      </c>
      <c r="I47">
        <v>0</v>
      </c>
      <c r="J47">
        <v>20</v>
      </c>
      <c r="M47">
        <v>20</v>
      </c>
      <c r="N47">
        <v>20</v>
      </c>
      <c r="O47">
        <v>10</v>
      </c>
      <c r="P47">
        <v>99.8</v>
      </c>
      <c r="Q47">
        <v>39</v>
      </c>
      <c r="R47">
        <v>39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39</v>
      </c>
      <c r="Z47">
        <v>0</v>
      </c>
      <c r="AA47">
        <v>0</v>
      </c>
      <c r="AF47">
        <v>138.80000000000001</v>
      </c>
    </row>
    <row r="48" spans="1:32" x14ac:dyDescent="0.3">
      <c r="A48" s="4">
        <v>54</v>
      </c>
      <c r="B48" s="5">
        <v>41</v>
      </c>
      <c r="C48">
        <v>626</v>
      </c>
      <c r="D48" t="s">
        <v>30599</v>
      </c>
      <c r="E48" t="s">
        <v>166</v>
      </c>
      <c r="F48" t="s">
        <v>3359</v>
      </c>
      <c r="G48" t="s">
        <v>30600</v>
      </c>
      <c r="H48">
        <v>59.4</v>
      </c>
      <c r="I48">
        <v>0</v>
      </c>
      <c r="J48">
        <v>20</v>
      </c>
      <c r="M48">
        <v>20</v>
      </c>
      <c r="N48">
        <v>20</v>
      </c>
      <c r="O48">
        <v>10</v>
      </c>
      <c r="P48">
        <v>109.4</v>
      </c>
      <c r="Q48">
        <v>29</v>
      </c>
      <c r="R48">
        <v>29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29</v>
      </c>
      <c r="Z48">
        <v>0</v>
      </c>
      <c r="AA48">
        <v>0</v>
      </c>
      <c r="AF48">
        <v>138.4</v>
      </c>
    </row>
    <row r="49" spans="1:32" x14ac:dyDescent="0.3">
      <c r="A49" s="4">
        <v>55</v>
      </c>
      <c r="B49" s="5">
        <v>42</v>
      </c>
      <c r="C49">
        <v>1361</v>
      </c>
      <c r="D49" t="s">
        <v>20586</v>
      </c>
      <c r="E49" t="s">
        <v>110</v>
      </c>
      <c r="F49" t="s">
        <v>136</v>
      </c>
      <c r="G49" t="s">
        <v>30601</v>
      </c>
      <c r="H49">
        <v>42</v>
      </c>
      <c r="I49">
        <v>10</v>
      </c>
      <c r="L49">
        <v>10</v>
      </c>
      <c r="M49">
        <v>10</v>
      </c>
      <c r="N49">
        <v>20</v>
      </c>
      <c r="O49">
        <v>0</v>
      </c>
      <c r="P49">
        <v>82</v>
      </c>
      <c r="Q49">
        <v>55</v>
      </c>
      <c r="R49">
        <v>55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55</v>
      </c>
      <c r="Z49">
        <v>0</v>
      </c>
      <c r="AA49">
        <v>0</v>
      </c>
      <c r="AF49">
        <v>137</v>
      </c>
    </row>
    <row r="50" spans="1:32" x14ac:dyDescent="0.3">
      <c r="A50" s="4">
        <v>56</v>
      </c>
      <c r="B50" s="5">
        <v>43</v>
      </c>
      <c r="C50">
        <v>1280</v>
      </c>
      <c r="D50" t="s">
        <v>30602</v>
      </c>
      <c r="E50" t="s">
        <v>575</v>
      </c>
      <c r="F50" t="s">
        <v>587</v>
      </c>
      <c r="G50" t="s">
        <v>30603</v>
      </c>
      <c r="H50">
        <v>55.2</v>
      </c>
      <c r="I50">
        <v>0</v>
      </c>
      <c r="J50">
        <v>20</v>
      </c>
      <c r="M50">
        <v>20</v>
      </c>
      <c r="N50">
        <v>20</v>
      </c>
      <c r="O50">
        <v>10</v>
      </c>
      <c r="P50">
        <v>105.2</v>
      </c>
      <c r="Q50">
        <v>24</v>
      </c>
      <c r="R50">
        <v>24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24</v>
      </c>
      <c r="Z50">
        <v>6</v>
      </c>
      <c r="AA50">
        <v>0</v>
      </c>
      <c r="AF50">
        <v>135.19999999999999</v>
      </c>
    </row>
    <row r="51" spans="1:32" x14ac:dyDescent="0.3">
      <c r="A51" s="4">
        <v>57</v>
      </c>
      <c r="B51" s="5">
        <v>44</v>
      </c>
      <c r="C51">
        <v>1554</v>
      </c>
      <c r="D51" t="s">
        <v>3682</v>
      </c>
      <c r="E51" t="s">
        <v>403</v>
      </c>
      <c r="F51" t="s">
        <v>158</v>
      </c>
      <c r="G51" t="s">
        <v>3683</v>
      </c>
      <c r="H51">
        <v>56.1</v>
      </c>
      <c r="I51">
        <v>0</v>
      </c>
      <c r="J51">
        <v>20</v>
      </c>
      <c r="M51">
        <v>20</v>
      </c>
      <c r="N51">
        <v>20</v>
      </c>
      <c r="O51">
        <v>10</v>
      </c>
      <c r="P51">
        <v>106.1</v>
      </c>
      <c r="Q51">
        <v>25</v>
      </c>
      <c r="R51">
        <v>25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25</v>
      </c>
      <c r="Z51">
        <v>0</v>
      </c>
      <c r="AA51">
        <v>0</v>
      </c>
      <c r="AF51">
        <v>131.1</v>
      </c>
    </row>
    <row r="52" spans="1:32" x14ac:dyDescent="0.3">
      <c r="A52" s="4">
        <v>58</v>
      </c>
      <c r="B52" s="5">
        <v>45</v>
      </c>
      <c r="C52">
        <v>719</v>
      </c>
      <c r="D52" t="s">
        <v>30604</v>
      </c>
      <c r="E52" t="s">
        <v>29</v>
      </c>
      <c r="F52" t="s">
        <v>30</v>
      </c>
      <c r="G52" t="s">
        <v>30605</v>
      </c>
      <c r="H52">
        <v>54</v>
      </c>
      <c r="I52">
        <v>0</v>
      </c>
      <c r="J52">
        <v>20</v>
      </c>
      <c r="M52">
        <v>20</v>
      </c>
      <c r="N52">
        <v>20</v>
      </c>
      <c r="O52">
        <v>10</v>
      </c>
      <c r="P52">
        <v>104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7</v>
      </c>
      <c r="X52">
        <v>20</v>
      </c>
      <c r="Y52">
        <v>20</v>
      </c>
      <c r="Z52">
        <v>0</v>
      </c>
      <c r="AA52">
        <v>0</v>
      </c>
      <c r="AF52">
        <v>124</v>
      </c>
    </row>
    <row r="53" spans="1:32" x14ac:dyDescent="0.3">
      <c r="A53" s="4">
        <v>59</v>
      </c>
      <c r="B53" s="5">
        <v>46</v>
      </c>
      <c r="C53">
        <v>738</v>
      </c>
      <c r="D53" t="s">
        <v>8448</v>
      </c>
      <c r="E53" t="s">
        <v>789</v>
      </c>
      <c r="F53" t="s">
        <v>1806</v>
      </c>
      <c r="G53" t="s">
        <v>8449</v>
      </c>
      <c r="H53">
        <v>44.64</v>
      </c>
      <c r="I53">
        <v>0</v>
      </c>
      <c r="J53">
        <v>20</v>
      </c>
      <c r="M53">
        <v>20</v>
      </c>
      <c r="N53">
        <v>20</v>
      </c>
      <c r="O53">
        <v>10</v>
      </c>
      <c r="P53">
        <v>94.64</v>
      </c>
      <c r="Q53">
        <v>21</v>
      </c>
      <c r="R53">
        <v>21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21</v>
      </c>
      <c r="Z53">
        <v>6</v>
      </c>
      <c r="AA53">
        <v>0</v>
      </c>
      <c r="AF53">
        <v>121.64</v>
      </c>
    </row>
    <row r="54" spans="1:32" x14ac:dyDescent="0.3">
      <c r="A54" s="4">
        <v>60</v>
      </c>
      <c r="B54" s="5">
        <v>47</v>
      </c>
      <c r="C54">
        <v>1158</v>
      </c>
      <c r="D54" t="s">
        <v>30606</v>
      </c>
      <c r="E54" t="s">
        <v>29</v>
      </c>
      <c r="F54" t="s">
        <v>339</v>
      </c>
      <c r="G54" t="s">
        <v>30607</v>
      </c>
      <c r="H54">
        <v>55.8</v>
      </c>
      <c r="I54">
        <v>0</v>
      </c>
      <c r="J54">
        <v>20</v>
      </c>
      <c r="M54">
        <v>20</v>
      </c>
      <c r="N54">
        <v>20</v>
      </c>
      <c r="O54">
        <v>10</v>
      </c>
      <c r="P54">
        <v>105.8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9</v>
      </c>
      <c r="AA54">
        <v>0</v>
      </c>
      <c r="AF54">
        <v>114.8</v>
      </c>
    </row>
    <row r="55" spans="1:32" x14ac:dyDescent="0.3">
      <c r="A55" s="4">
        <v>61</v>
      </c>
      <c r="B55" s="5">
        <v>48</v>
      </c>
      <c r="C55">
        <v>1176</v>
      </c>
      <c r="D55" t="s">
        <v>30608</v>
      </c>
      <c r="E55" t="s">
        <v>964</v>
      </c>
      <c r="F55" t="s">
        <v>81</v>
      </c>
      <c r="G55" t="s">
        <v>30609</v>
      </c>
      <c r="H55">
        <v>51.3</v>
      </c>
      <c r="I55">
        <v>10</v>
      </c>
      <c r="M55">
        <v>0</v>
      </c>
      <c r="N55">
        <v>20</v>
      </c>
      <c r="O55">
        <v>10</v>
      </c>
      <c r="P55">
        <v>91.3</v>
      </c>
      <c r="Q55">
        <v>19</v>
      </c>
      <c r="R55">
        <v>19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19</v>
      </c>
      <c r="Z55">
        <v>0</v>
      </c>
      <c r="AA55">
        <v>0</v>
      </c>
      <c r="AF55">
        <v>110.3</v>
      </c>
    </row>
    <row r="56" spans="1:32" x14ac:dyDescent="0.3">
      <c r="A56" s="6">
        <v>62</v>
      </c>
      <c r="B56" s="5">
        <v>49</v>
      </c>
      <c r="C56" s="1">
        <v>112</v>
      </c>
      <c r="D56" s="1" t="s">
        <v>30610</v>
      </c>
      <c r="E56" s="1" t="s">
        <v>149</v>
      </c>
      <c r="F56" s="1" t="s">
        <v>1806</v>
      </c>
      <c r="G56" s="1" t="s">
        <v>30611</v>
      </c>
      <c r="H56" s="1">
        <v>57</v>
      </c>
      <c r="I56" s="1">
        <v>10</v>
      </c>
      <c r="J56" s="1"/>
      <c r="K56" s="1"/>
      <c r="L56" s="1">
        <v>10</v>
      </c>
      <c r="M56" s="1">
        <v>10</v>
      </c>
      <c r="N56" s="1">
        <v>20</v>
      </c>
      <c r="O56" s="1">
        <v>10</v>
      </c>
      <c r="P56" s="1">
        <v>107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3</v>
      </c>
      <c r="AA56" s="1">
        <v>0</v>
      </c>
      <c r="AB56" s="1" t="s">
        <v>130</v>
      </c>
      <c r="AC56" s="1"/>
      <c r="AD56" s="1"/>
      <c r="AE56" s="1"/>
      <c r="AF56" s="1">
        <v>110</v>
      </c>
    </row>
    <row r="57" spans="1:32" x14ac:dyDescent="0.3">
      <c r="A57" s="4">
        <v>63</v>
      </c>
      <c r="B57" s="5">
        <v>50</v>
      </c>
      <c r="C57">
        <v>489</v>
      </c>
      <c r="D57" t="s">
        <v>1630</v>
      </c>
      <c r="E57" t="s">
        <v>29</v>
      </c>
      <c r="F57" t="s">
        <v>1526</v>
      </c>
      <c r="G57" t="s">
        <v>3427</v>
      </c>
      <c r="H57">
        <v>54</v>
      </c>
      <c r="I57">
        <v>0</v>
      </c>
      <c r="K57">
        <v>15</v>
      </c>
      <c r="M57">
        <v>15</v>
      </c>
      <c r="N57">
        <v>20</v>
      </c>
      <c r="O57">
        <v>10</v>
      </c>
      <c r="P57">
        <v>99</v>
      </c>
      <c r="Q57">
        <v>8</v>
      </c>
      <c r="R57">
        <v>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8</v>
      </c>
      <c r="Z57">
        <v>3</v>
      </c>
      <c r="AA57">
        <v>0</v>
      </c>
      <c r="AF57">
        <v>110</v>
      </c>
    </row>
    <row r="58" spans="1:32" x14ac:dyDescent="0.3">
      <c r="A58" s="4">
        <v>64</v>
      </c>
      <c r="B58" s="5">
        <v>51</v>
      </c>
      <c r="C58">
        <v>271</v>
      </c>
      <c r="D58" t="s">
        <v>8430</v>
      </c>
      <c r="E58" t="s">
        <v>8431</v>
      </c>
      <c r="F58" t="s">
        <v>55</v>
      </c>
      <c r="G58" t="s">
        <v>8432</v>
      </c>
      <c r="H58">
        <v>56.7</v>
      </c>
      <c r="I58">
        <v>0</v>
      </c>
      <c r="J58">
        <v>20</v>
      </c>
      <c r="M58">
        <v>20</v>
      </c>
      <c r="N58">
        <v>20</v>
      </c>
      <c r="O58">
        <v>10</v>
      </c>
      <c r="P58">
        <v>106.7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3</v>
      </c>
      <c r="AA58">
        <v>0</v>
      </c>
      <c r="AB58" t="s">
        <v>130</v>
      </c>
      <c r="AF58">
        <v>109.7</v>
      </c>
    </row>
    <row r="59" spans="1:32" x14ac:dyDescent="0.3">
      <c r="A59" s="4">
        <v>65</v>
      </c>
      <c r="B59" s="5">
        <v>52</v>
      </c>
      <c r="C59">
        <v>850</v>
      </c>
      <c r="D59" t="s">
        <v>8458</v>
      </c>
      <c r="E59" t="s">
        <v>8459</v>
      </c>
      <c r="F59" t="s">
        <v>62</v>
      </c>
      <c r="G59" t="s">
        <v>8460</v>
      </c>
      <c r="H59">
        <v>59.4</v>
      </c>
      <c r="I59">
        <v>0</v>
      </c>
      <c r="J59">
        <v>20</v>
      </c>
      <c r="M59">
        <v>20</v>
      </c>
      <c r="N59">
        <v>20</v>
      </c>
      <c r="O59">
        <v>10</v>
      </c>
      <c r="P59">
        <v>109.4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F59">
        <v>109.4</v>
      </c>
    </row>
    <row r="60" spans="1:32" x14ac:dyDescent="0.3">
      <c r="A60" s="4">
        <v>66</v>
      </c>
      <c r="B60" s="5">
        <v>53</v>
      </c>
      <c r="C60">
        <v>652</v>
      </c>
      <c r="D60" t="s">
        <v>3083</v>
      </c>
      <c r="E60" t="s">
        <v>110</v>
      </c>
      <c r="F60" t="s">
        <v>892</v>
      </c>
      <c r="G60" t="s">
        <v>3084</v>
      </c>
      <c r="H60">
        <v>58.2</v>
      </c>
      <c r="I60">
        <v>0</v>
      </c>
      <c r="J60">
        <v>20</v>
      </c>
      <c r="M60">
        <v>20</v>
      </c>
      <c r="N60">
        <v>20</v>
      </c>
      <c r="O60">
        <v>10</v>
      </c>
      <c r="P60">
        <v>108.2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F60">
        <v>108.2</v>
      </c>
    </row>
    <row r="61" spans="1:32" x14ac:dyDescent="0.3">
      <c r="A61" s="4">
        <v>67</v>
      </c>
      <c r="B61" s="5">
        <v>54</v>
      </c>
      <c r="C61">
        <v>570</v>
      </c>
      <c r="D61" t="s">
        <v>67</v>
      </c>
      <c r="E61" t="s">
        <v>335</v>
      </c>
      <c r="F61" t="s">
        <v>3968</v>
      </c>
      <c r="G61" t="s">
        <v>8469</v>
      </c>
      <c r="H61">
        <v>57.9</v>
      </c>
      <c r="I61">
        <v>0</v>
      </c>
      <c r="J61">
        <v>20</v>
      </c>
      <c r="M61">
        <v>20</v>
      </c>
      <c r="N61">
        <v>20</v>
      </c>
      <c r="O61">
        <v>10</v>
      </c>
      <c r="P61">
        <v>107.9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F61">
        <v>107.9</v>
      </c>
    </row>
    <row r="62" spans="1:32" x14ac:dyDescent="0.3">
      <c r="A62" s="4">
        <v>68</v>
      </c>
      <c r="B62" s="5">
        <v>55</v>
      </c>
      <c r="C62">
        <v>1336</v>
      </c>
      <c r="D62" t="s">
        <v>8437</v>
      </c>
      <c r="E62" t="s">
        <v>88</v>
      </c>
      <c r="F62" t="s">
        <v>782</v>
      </c>
      <c r="G62" t="s">
        <v>8438</v>
      </c>
      <c r="H62">
        <v>55.2</v>
      </c>
      <c r="I62">
        <v>0</v>
      </c>
      <c r="L62">
        <v>10</v>
      </c>
      <c r="M62">
        <v>10</v>
      </c>
      <c r="N62">
        <v>20</v>
      </c>
      <c r="O62">
        <v>10</v>
      </c>
      <c r="P62">
        <v>95.2</v>
      </c>
      <c r="Q62">
        <v>9</v>
      </c>
      <c r="R62">
        <v>9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9</v>
      </c>
      <c r="Z62">
        <v>3</v>
      </c>
      <c r="AA62">
        <v>0</v>
      </c>
      <c r="AF62">
        <v>107.2</v>
      </c>
    </row>
    <row r="63" spans="1:32" x14ac:dyDescent="0.3">
      <c r="A63" s="4">
        <v>69</v>
      </c>
      <c r="B63" s="5">
        <v>56</v>
      </c>
      <c r="C63">
        <v>682</v>
      </c>
      <c r="D63" t="s">
        <v>8428</v>
      </c>
      <c r="E63" t="s">
        <v>1815</v>
      </c>
      <c r="F63" t="s">
        <v>38</v>
      </c>
      <c r="G63" t="s">
        <v>8429</v>
      </c>
      <c r="H63">
        <v>53.7</v>
      </c>
      <c r="I63">
        <v>0</v>
      </c>
      <c r="J63">
        <v>20</v>
      </c>
      <c r="M63">
        <v>20</v>
      </c>
      <c r="N63">
        <v>20</v>
      </c>
      <c r="O63">
        <v>10</v>
      </c>
      <c r="P63">
        <v>103.7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3</v>
      </c>
      <c r="AA63">
        <v>0</v>
      </c>
      <c r="AF63">
        <v>106.7</v>
      </c>
    </row>
    <row r="64" spans="1:32" x14ac:dyDescent="0.3">
      <c r="A64" s="4">
        <v>70</v>
      </c>
      <c r="B64" s="5">
        <v>57</v>
      </c>
      <c r="C64">
        <v>622</v>
      </c>
      <c r="D64" t="s">
        <v>8426</v>
      </c>
      <c r="E64" t="s">
        <v>88</v>
      </c>
      <c r="F64" t="s">
        <v>55</v>
      </c>
      <c r="G64" t="s">
        <v>8427</v>
      </c>
      <c r="H64">
        <v>53.4</v>
      </c>
      <c r="I64">
        <v>0</v>
      </c>
      <c r="J64">
        <v>20</v>
      </c>
      <c r="M64">
        <v>20</v>
      </c>
      <c r="N64">
        <v>20</v>
      </c>
      <c r="O64">
        <v>10</v>
      </c>
      <c r="P64">
        <v>103.4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3</v>
      </c>
      <c r="AA64">
        <v>0</v>
      </c>
      <c r="AF64">
        <v>106.4</v>
      </c>
    </row>
    <row r="65" spans="1:32" x14ac:dyDescent="0.3">
      <c r="A65" s="4">
        <v>71</v>
      </c>
      <c r="B65" s="5">
        <v>58</v>
      </c>
      <c r="C65">
        <v>535</v>
      </c>
      <c r="D65" t="s">
        <v>3947</v>
      </c>
      <c r="E65" t="s">
        <v>3948</v>
      </c>
      <c r="F65" t="s">
        <v>230</v>
      </c>
      <c r="G65" t="s">
        <v>3949</v>
      </c>
      <c r="H65">
        <v>59.1</v>
      </c>
      <c r="I65">
        <v>0</v>
      </c>
      <c r="L65">
        <v>10</v>
      </c>
      <c r="M65">
        <v>10</v>
      </c>
      <c r="N65">
        <v>20</v>
      </c>
      <c r="O65">
        <v>10</v>
      </c>
      <c r="P65">
        <v>99.1</v>
      </c>
      <c r="Q65">
        <v>1</v>
      </c>
      <c r="R65">
        <v>1</v>
      </c>
      <c r="S65">
        <v>0</v>
      </c>
      <c r="T65">
        <v>0</v>
      </c>
      <c r="U65">
        <v>4</v>
      </c>
      <c r="V65">
        <v>6</v>
      </c>
      <c r="W65">
        <v>0</v>
      </c>
      <c r="X65">
        <v>0</v>
      </c>
      <c r="Y65">
        <v>7</v>
      </c>
      <c r="Z65">
        <v>0</v>
      </c>
      <c r="AA65">
        <v>0</v>
      </c>
      <c r="AF65">
        <v>106.1</v>
      </c>
    </row>
    <row r="66" spans="1:32" x14ac:dyDescent="0.3">
      <c r="A66" s="4">
        <v>72</v>
      </c>
      <c r="B66" s="5">
        <v>59</v>
      </c>
      <c r="C66">
        <v>1123</v>
      </c>
      <c r="D66" t="s">
        <v>30612</v>
      </c>
      <c r="E66" t="s">
        <v>9636</v>
      </c>
      <c r="F66" t="s">
        <v>328</v>
      </c>
      <c r="G66" t="s">
        <v>30613</v>
      </c>
      <c r="H66">
        <v>46.2</v>
      </c>
      <c r="I66">
        <v>0</v>
      </c>
      <c r="J66">
        <v>20</v>
      </c>
      <c r="M66">
        <v>20</v>
      </c>
      <c r="N66">
        <v>20</v>
      </c>
      <c r="O66">
        <v>10</v>
      </c>
      <c r="P66">
        <v>96.2</v>
      </c>
      <c r="Q66">
        <v>7</v>
      </c>
      <c r="R66">
        <v>7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7</v>
      </c>
      <c r="Z66">
        <v>0</v>
      </c>
      <c r="AA66">
        <v>0</v>
      </c>
      <c r="AB66" t="s">
        <v>130</v>
      </c>
      <c r="AF66">
        <v>103.2</v>
      </c>
    </row>
    <row r="67" spans="1:32" x14ac:dyDescent="0.3">
      <c r="A67" s="4">
        <v>73</v>
      </c>
      <c r="B67" s="5">
        <v>60</v>
      </c>
      <c r="C67">
        <v>295</v>
      </c>
      <c r="D67" t="s">
        <v>1250</v>
      </c>
      <c r="E67" t="s">
        <v>147</v>
      </c>
      <c r="F67" t="s">
        <v>117</v>
      </c>
      <c r="G67" t="s">
        <v>30614</v>
      </c>
      <c r="H67">
        <v>44.4</v>
      </c>
      <c r="I67">
        <v>0</v>
      </c>
      <c r="M67">
        <v>0</v>
      </c>
      <c r="N67">
        <v>0</v>
      </c>
      <c r="O67">
        <v>10</v>
      </c>
      <c r="P67">
        <v>54.4</v>
      </c>
      <c r="Q67">
        <v>13</v>
      </c>
      <c r="R67">
        <v>13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13</v>
      </c>
      <c r="Z67">
        <v>6</v>
      </c>
      <c r="AA67">
        <v>29.6</v>
      </c>
      <c r="AF67">
        <v>103</v>
      </c>
    </row>
    <row r="68" spans="1:32" x14ac:dyDescent="0.3">
      <c r="A68" s="4">
        <v>74</v>
      </c>
      <c r="B68" s="5">
        <v>61</v>
      </c>
      <c r="C68">
        <v>316</v>
      </c>
      <c r="D68" t="s">
        <v>30615</v>
      </c>
      <c r="E68" t="s">
        <v>30616</v>
      </c>
      <c r="F68" t="s">
        <v>158</v>
      </c>
      <c r="G68" t="s">
        <v>30617</v>
      </c>
      <c r="H68">
        <v>47.4</v>
      </c>
      <c r="I68">
        <v>0</v>
      </c>
      <c r="M68">
        <v>0</v>
      </c>
      <c r="N68">
        <v>20</v>
      </c>
      <c r="O68">
        <v>10</v>
      </c>
      <c r="P68">
        <v>77.400000000000006</v>
      </c>
      <c r="Q68">
        <v>12</v>
      </c>
      <c r="R68">
        <v>12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12</v>
      </c>
      <c r="Z68">
        <v>12</v>
      </c>
      <c r="AA68">
        <v>0</v>
      </c>
      <c r="AF68">
        <v>101.4</v>
      </c>
    </row>
    <row r="69" spans="1:32" x14ac:dyDescent="0.3">
      <c r="A69" s="4">
        <v>75</v>
      </c>
      <c r="B69" s="5">
        <v>62</v>
      </c>
      <c r="C69">
        <v>1042</v>
      </c>
      <c r="D69" t="s">
        <v>8440</v>
      </c>
      <c r="E69" t="s">
        <v>1084</v>
      </c>
      <c r="F69" t="s">
        <v>117</v>
      </c>
      <c r="G69" t="s">
        <v>8441</v>
      </c>
      <c r="H69">
        <v>45.3</v>
      </c>
      <c r="I69">
        <v>0</v>
      </c>
      <c r="M69">
        <v>0</v>
      </c>
      <c r="N69">
        <v>20</v>
      </c>
      <c r="O69">
        <v>10</v>
      </c>
      <c r="P69">
        <v>75.3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6</v>
      </c>
      <c r="AA69">
        <v>20</v>
      </c>
      <c r="AF69">
        <v>101.3</v>
      </c>
    </row>
    <row r="70" spans="1:32" x14ac:dyDescent="0.3">
      <c r="A70" s="4">
        <v>76</v>
      </c>
      <c r="B70" s="5">
        <v>63</v>
      </c>
      <c r="C70">
        <v>204</v>
      </c>
      <c r="D70" t="s">
        <v>30618</v>
      </c>
      <c r="E70" t="s">
        <v>20</v>
      </c>
      <c r="F70" t="s">
        <v>38</v>
      </c>
      <c r="G70" t="s">
        <v>30619</v>
      </c>
      <c r="H70">
        <v>59.4</v>
      </c>
      <c r="I70">
        <v>0</v>
      </c>
      <c r="L70">
        <v>10</v>
      </c>
      <c r="M70">
        <v>10</v>
      </c>
      <c r="N70">
        <v>20</v>
      </c>
      <c r="O70">
        <v>10</v>
      </c>
      <c r="P70">
        <v>99.4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F70">
        <v>99.4</v>
      </c>
    </row>
    <row r="71" spans="1:32" x14ac:dyDescent="0.3">
      <c r="A71" s="4">
        <v>77</v>
      </c>
      <c r="B71" s="5">
        <v>64</v>
      </c>
      <c r="C71">
        <v>1412</v>
      </c>
      <c r="D71" t="s">
        <v>784</v>
      </c>
      <c r="E71" t="s">
        <v>400</v>
      </c>
      <c r="F71" t="s">
        <v>927</v>
      </c>
      <c r="G71" t="s">
        <v>8439</v>
      </c>
      <c r="H71">
        <v>58.5</v>
      </c>
      <c r="I71">
        <v>0</v>
      </c>
      <c r="J71">
        <v>20</v>
      </c>
      <c r="M71">
        <v>20</v>
      </c>
      <c r="N71">
        <v>20</v>
      </c>
      <c r="O71">
        <v>0</v>
      </c>
      <c r="P71">
        <v>98.5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F71">
        <v>98.5</v>
      </c>
    </row>
    <row r="72" spans="1:32" x14ac:dyDescent="0.3">
      <c r="A72" s="4">
        <v>78</v>
      </c>
      <c r="B72" s="5">
        <v>65</v>
      </c>
      <c r="C72">
        <v>958</v>
      </c>
      <c r="D72" t="s">
        <v>752</v>
      </c>
      <c r="E72" t="s">
        <v>491</v>
      </c>
      <c r="F72" t="s">
        <v>801</v>
      </c>
      <c r="G72" t="s">
        <v>30620</v>
      </c>
      <c r="H72">
        <v>57</v>
      </c>
      <c r="I72">
        <v>0</v>
      </c>
      <c r="L72">
        <v>10</v>
      </c>
      <c r="M72">
        <v>10</v>
      </c>
      <c r="N72">
        <v>20</v>
      </c>
      <c r="O72">
        <v>10</v>
      </c>
      <c r="P72">
        <v>97</v>
      </c>
      <c r="Q72">
        <v>1</v>
      </c>
      <c r="R72">
        <v>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0</v>
      </c>
      <c r="AA72">
        <v>0</v>
      </c>
      <c r="AB72" t="s">
        <v>130</v>
      </c>
      <c r="AF72">
        <v>98</v>
      </c>
    </row>
    <row r="73" spans="1:32" x14ac:dyDescent="0.3">
      <c r="A73" s="4">
        <v>79</v>
      </c>
      <c r="B73" s="5">
        <v>66</v>
      </c>
      <c r="C73">
        <v>1241</v>
      </c>
      <c r="D73" t="s">
        <v>8465</v>
      </c>
      <c r="E73" t="s">
        <v>8466</v>
      </c>
      <c r="F73" t="s">
        <v>4924</v>
      </c>
      <c r="G73" t="s">
        <v>8467</v>
      </c>
      <c r="H73">
        <v>47.7</v>
      </c>
      <c r="I73">
        <v>0</v>
      </c>
      <c r="J73">
        <v>40</v>
      </c>
      <c r="M73">
        <v>20</v>
      </c>
      <c r="N73">
        <v>20</v>
      </c>
      <c r="O73">
        <v>10</v>
      </c>
      <c r="P73">
        <v>97.7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F73">
        <v>97.7</v>
      </c>
    </row>
    <row r="74" spans="1:32" x14ac:dyDescent="0.3">
      <c r="A74" s="4">
        <v>80</v>
      </c>
      <c r="B74" s="5">
        <v>67</v>
      </c>
      <c r="C74">
        <v>1277</v>
      </c>
      <c r="D74" t="s">
        <v>7685</v>
      </c>
      <c r="E74" t="s">
        <v>30621</v>
      </c>
      <c r="F74" t="s">
        <v>17</v>
      </c>
      <c r="G74" t="s">
        <v>30622</v>
      </c>
      <c r="H74">
        <v>52.2</v>
      </c>
      <c r="I74">
        <v>0</v>
      </c>
      <c r="K74">
        <v>15</v>
      </c>
      <c r="M74">
        <v>15</v>
      </c>
      <c r="N74">
        <v>20</v>
      </c>
      <c r="O74">
        <v>10</v>
      </c>
      <c r="P74">
        <v>97.2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F74">
        <v>97.2</v>
      </c>
    </row>
    <row r="75" spans="1:32" x14ac:dyDescent="0.3">
      <c r="A75" s="4">
        <v>81</v>
      </c>
      <c r="B75" s="5">
        <v>68</v>
      </c>
      <c r="C75">
        <v>1119</v>
      </c>
      <c r="D75" t="s">
        <v>30623</v>
      </c>
      <c r="E75" t="s">
        <v>789</v>
      </c>
      <c r="F75" t="s">
        <v>38</v>
      </c>
      <c r="G75" t="s">
        <v>30624</v>
      </c>
      <c r="H75">
        <v>50.4</v>
      </c>
      <c r="I75">
        <v>0</v>
      </c>
      <c r="L75">
        <v>10</v>
      </c>
      <c r="M75">
        <v>10</v>
      </c>
      <c r="N75">
        <v>20</v>
      </c>
      <c r="O75">
        <v>10</v>
      </c>
      <c r="P75">
        <v>90.4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6</v>
      </c>
      <c r="AA75">
        <v>0</v>
      </c>
      <c r="AF75">
        <v>96.4</v>
      </c>
    </row>
    <row r="76" spans="1:32" x14ac:dyDescent="0.3">
      <c r="A76" s="4">
        <v>82</v>
      </c>
      <c r="B76" s="5">
        <v>69</v>
      </c>
      <c r="C76">
        <v>1434</v>
      </c>
      <c r="D76" t="s">
        <v>421</v>
      </c>
      <c r="E76" t="s">
        <v>5526</v>
      </c>
      <c r="F76" t="s">
        <v>79</v>
      </c>
      <c r="G76" t="s">
        <v>5527</v>
      </c>
      <c r="H76">
        <v>53.19</v>
      </c>
      <c r="I76">
        <v>0</v>
      </c>
      <c r="L76">
        <v>10</v>
      </c>
      <c r="M76">
        <v>10</v>
      </c>
      <c r="N76">
        <v>20</v>
      </c>
      <c r="O76">
        <v>10</v>
      </c>
      <c r="P76">
        <v>93.19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3</v>
      </c>
      <c r="AA76">
        <v>0</v>
      </c>
      <c r="AF76">
        <v>96.19</v>
      </c>
    </row>
    <row r="77" spans="1:32" x14ac:dyDescent="0.3">
      <c r="A77" s="4">
        <v>83</v>
      </c>
      <c r="B77" s="5">
        <v>70</v>
      </c>
      <c r="C77">
        <v>29</v>
      </c>
      <c r="D77" t="s">
        <v>8442</v>
      </c>
      <c r="E77" t="s">
        <v>29</v>
      </c>
      <c r="F77" t="s">
        <v>230</v>
      </c>
      <c r="G77" t="s">
        <v>8443</v>
      </c>
      <c r="H77">
        <v>60</v>
      </c>
      <c r="I77">
        <v>0</v>
      </c>
      <c r="M77">
        <v>0</v>
      </c>
      <c r="N77">
        <v>20</v>
      </c>
      <c r="O77">
        <v>10</v>
      </c>
      <c r="P77">
        <v>90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6</v>
      </c>
      <c r="AA77">
        <v>0</v>
      </c>
      <c r="AF77">
        <v>96</v>
      </c>
    </row>
    <row r="78" spans="1:32" x14ac:dyDescent="0.3">
      <c r="A78" s="4">
        <v>84</v>
      </c>
      <c r="B78" s="5">
        <v>71</v>
      </c>
      <c r="C78">
        <v>886</v>
      </c>
      <c r="D78" t="s">
        <v>2658</v>
      </c>
      <c r="E78" t="s">
        <v>88</v>
      </c>
      <c r="F78" t="s">
        <v>2225</v>
      </c>
      <c r="G78" t="s">
        <v>2659</v>
      </c>
      <c r="H78">
        <v>54.9</v>
      </c>
      <c r="I78">
        <v>0</v>
      </c>
      <c r="J78">
        <v>20</v>
      </c>
      <c r="M78">
        <v>20</v>
      </c>
      <c r="N78">
        <v>20</v>
      </c>
      <c r="O78">
        <v>0</v>
      </c>
      <c r="P78">
        <v>94.9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F78">
        <v>94.9</v>
      </c>
    </row>
    <row r="79" spans="1:32" x14ac:dyDescent="0.3">
      <c r="A79" s="4">
        <v>85</v>
      </c>
      <c r="B79" s="5">
        <v>72</v>
      </c>
      <c r="C79">
        <v>592</v>
      </c>
      <c r="D79" t="s">
        <v>8444</v>
      </c>
      <c r="E79" t="s">
        <v>471</v>
      </c>
      <c r="F79" t="s">
        <v>124</v>
      </c>
      <c r="G79" t="s">
        <v>8445</v>
      </c>
      <c r="H79">
        <v>51.3</v>
      </c>
      <c r="I79">
        <v>0</v>
      </c>
      <c r="L79">
        <v>10</v>
      </c>
      <c r="M79">
        <v>10</v>
      </c>
      <c r="N79">
        <v>20</v>
      </c>
      <c r="O79">
        <v>10</v>
      </c>
      <c r="P79">
        <v>91.3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3</v>
      </c>
      <c r="AA79">
        <v>0</v>
      </c>
      <c r="AB79" t="s">
        <v>130</v>
      </c>
      <c r="AF79">
        <v>94.3</v>
      </c>
    </row>
    <row r="80" spans="1:32" x14ac:dyDescent="0.3">
      <c r="A80" s="4">
        <v>86</v>
      </c>
      <c r="B80" s="5">
        <v>73</v>
      </c>
      <c r="C80">
        <v>1134</v>
      </c>
      <c r="D80" t="s">
        <v>3651</v>
      </c>
      <c r="E80" t="s">
        <v>110</v>
      </c>
      <c r="F80" t="s">
        <v>17</v>
      </c>
      <c r="G80" t="s">
        <v>3652</v>
      </c>
      <c r="H80">
        <v>40.68</v>
      </c>
      <c r="I80">
        <v>0</v>
      </c>
      <c r="J80">
        <v>20</v>
      </c>
      <c r="M80">
        <v>20</v>
      </c>
      <c r="N80">
        <v>20</v>
      </c>
      <c r="O80">
        <v>10</v>
      </c>
      <c r="P80">
        <v>90.68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3</v>
      </c>
      <c r="AA80">
        <v>0</v>
      </c>
      <c r="AF80">
        <v>93.68</v>
      </c>
    </row>
    <row r="81" spans="1:32" x14ac:dyDescent="0.3">
      <c r="A81" s="4">
        <v>87</v>
      </c>
      <c r="B81" s="5">
        <v>74</v>
      </c>
      <c r="C81">
        <v>1458</v>
      </c>
      <c r="D81" t="s">
        <v>8446</v>
      </c>
      <c r="E81" t="s">
        <v>1280</v>
      </c>
      <c r="F81" t="s">
        <v>17</v>
      </c>
      <c r="G81" t="s">
        <v>8447</v>
      </c>
      <c r="H81">
        <v>57.3</v>
      </c>
      <c r="I81">
        <v>0</v>
      </c>
      <c r="M81">
        <v>0</v>
      </c>
      <c r="N81">
        <v>20</v>
      </c>
      <c r="O81">
        <v>10</v>
      </c>
      <c r="P81">
        <v>87.3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6</v>
      </c>
      <c r="AA81">
        <v>0</v>
      </c>
      <c r="AF81">
        <v>93.3</v>
      </c>
    </row>
    <row r="82" spans="1:32" x14ac:dyDescent="0.3">
      <c r="A82" s="4">
        <v>88</v>
      </c>
      <c r="B82" s="5">
        <v>75</v>
      </c>
      <c r="C82">
        <v>440</v>
      </c>
      <c r="D82" t="s">
        <v>1425</v>
      </c>
      <c r="E82" t="s">
        <v>88</v>
      </c>
      <c r="F82" t="s">
        <v>38</v>
      </c>
      <c r="G82" t="s">
        <v>32026</v>
      </c>
      <c r="H82">
        <v>55.8</v>
      </c>
      <c r="I82">
        <v>0</v>
      </c>
      <c r="M82">
        <v>0</v>
      </c>
      <c r="N82">
        <v>20</v>
      </c>
      <c r="O82">
        <v>10</v>
      </c>
      <c r="P82">
        <v>85.8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6</v>
      </c>
      <c r="AA82">
        <v>0</v>
      </c>
      <c r="AF82">
        <v>91.8</v>
      </c>
    </row>
    <row r="83" spans="1:32" x14ac:dyDescent="0.3">
      <c r="A83" s="4">
        <v>89</v>
      </c>
      <c r="B83" s="5">
        <v>76</v>
      </c>
      <c r="C83">
        <v>124</v>
      </c>
      <c r="D83" t="s">
        <v>30625</v>
      </c>
      <c r="E83" t="s">
        <v>19</v>
      </c>
      <c r="F83" t="s">
        <v>158</v>
      </c>
      <c r="G83" t="s">
        <v>30626</v>
      </c>
      <c r="H83">
        <v>54.3</v>
      </c>
      <c r="I83">
        <v>0</v>
      </c>
      <c r="M83">
        <v>0</v>
      </c>
      <c r="N83">
        <v>20</v>
      </c>
      <c r="O83">
        <v>10</v>
      </c>
      <c r="P83">
        <v>84.3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</v>
      </c>
      <c r="AA83">
        <v>0</v>
      </c>
      <c r="AF83">
        <v>90.3</v>
      </c>
    </row>
    <row r="84" spans="1:32" x14ac:dyDescent="0.3">
      <c r="A84" s="4">
        <v>90</v>
      </c>
      <c r="B84" s="5">
        <v>77</v>
      </c>
      <c r="C84">
        <v>1339</v>
      </c>
      <c r="D84" t="s">
        <v>30627</v>
      </c>
      <c r="E84" t="s">
        <v>29</v>
      </c>
      <c r="F84" t="s">
        <v>17</v>
      </c>
      <c r="G84" t="s">
        <v>30628</v>
      </c>
      <c r="H84">
        <v>52.5</v>
      </c>
      <c r="I84">
        <v>0</v>
      </c>
      <c r="M84">
        <v>0</v>
      </c>
      <c r="N84">
        <v>20</v>
      </c>
      <c r="O84">
        <v>10</v>
      </c>
      <c r="P84">
        <v>82.5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6</v>
      </c>
      <c r="AA84">
        <v>0</v>
      </c>
      <c r="AC84" t="s">
        <v>130</v>
      </c>
      <c r="AF84">
        <v>88.5</v>
      </c>
    </row>
    <row r="85" spans="1:32" x14ac:dyDescent="0.3">
      <c r="A85" s="4">
        <v>91</v>
      </c>
      <c r="B85" s="5">
        <v>78</v>
      </c>
      <c r="C85">
        <v>1082</v>
      </c>
      <c r="D85" t="s">
        <v>30629</v>
      </c>
      <c r="E85" t="s">
        <v>22</v>
      </c>
      <c r="F85" t="s">
        <v>158</v>
      </c>
      <c r="G85" t="s">
        <v>30630</v>
      </c>
      <c r="H85">
        <v>51.9</v>
      </c>
      <c r="I85">
        <v>0</v>
      </c>
      <c r="M85">
        <v>0</v>
      </c>
      <c r="N85">
        <v>20</v>
      </c>
      <c r="O85">
        <v>10</v>
      </c>
      <c r="P85">
        <v>81.900000000000006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</v>
      </c>
      <c r="AA85">
        <v>0</v>
      </c>
      <c r="AF85">
        <v>87.9</v>
      </c>
    </row>
    <row r="86" spans="1:32" x14ac:dyDescent="0.3">
      <c r="A86" s="4">
        <v>92</v>
      </c>
      <c r="B86" s="5">
        <v>79</v>
      </c>
      <c r="C86">
        <v>1477</v>
      </c>
      <c r="D86" t="s">
        <v>13249</v>
      </c>
      <c r="E86" t="s">
        <v>283</v>
      </c>
      <c r="F86" t="s">
        <v>34</v>
      </c>
      <c r="G86" t="s">
        <v>30631</v>
      </c>
      <c r="H86">
        <v>41.34</v>
      </c>
      <c r="I86">
        <v>0</v>
      </c>
      <c r="L86">
        <v>10</v>
      </c>
      <c r="M86">
        <v>10</v>
      </c>
      <c r="N86">
        <v>20</v>
      </c>
      <c r="O86">
        <v>10</v>
      </c>
      <c r="P86">
        <v>81.34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6</v>
      </c>
      <c r="AA86">
        <v>0</v>
      </c>
      <c r="AF86">
        <v>87.34</v>
      </c>
    </row>
    <row r="87" spans="1:32" x14ac:dyDescent="0.3">
      <c r="A87" s="4">
        <v>93</v>
      </c>
      <c r="B87" s="5">
        <v>80</v>
      </c>
      <c r="C87">
        <v>250</v>
      </c>
      <c r="D87" t="s">
        <v>30632</v>
      </c>
      <c r="E87" t="s">
        <v>147</v>
      </c>
      <c r="F87" t="s">
        <v>136</v>
      </c>
      <c r="G87" t="s">
        <v>30633</v>
      </c>
      <c r="H87">
        <v>48.9</v>
      </c>
      <c r="I87">
        <v>0</v>
      </c>
      <c r="M87">
        <v>0</v>
      </c>
      <c r="N87">
        <v>20</v>
      </c>
      <c r="O87">
        <v>10</v>
      </c>
      <c r="P87">
        <v>78.900000000000006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F87">
        <v>78.900000000000006</v>
      </c>
    </row>
    <row r="88" spans="1:32" x14ac:dyDescent="0.3">
      <c r="A88" s="4">
        <v>94</v>
      </c>
      <c r="B88" s="5">
        <v>81</v>
      </c>
      <c r="C88">
        <v>471</v>
      </c>
      <c r="D88" t="s">
        <v>2786</v>
      </c>
      <c r="E88" t="s">
        <v>342</v>
      </c>
      <c r="F88" t="s">
        <v>30</v>
      </c>
      <c r="G88" t="s">
        <v>30634</v>
      </c>
      <c r="H88">
        <v>52.8</v>
      </c>
      <c r="I88">
        <v>0</v>
      </c>
      <c r="M88">
        <v>0</v>
      </c>
      <c r="N88">
        <v>20</v>
      </c>
      <c r="O88">
        <v>0</v>
      </c>
      <c r="P88">
        <v>72.8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6</v>
      </c>
      <c r="AA88">
        <v>0</v>
      </c>
      <c r="AF88">
        <v>78.8</v>
      </c>
    </row>
    <row r="89" spans="1:32" x14ac:dyDescent="0.3">
      <c r="A89" s="4">
        <v>95</v>
      </c>
      <c r="B89" s="5">
        <v>82</v>
      </c>
      <c r="C89">
        <v>691</v>
      </c>
      <c r="D89" t="s">
        <v>30635</v>
      </c>
      <c r="E89" t="s">
        <v>139</v>
      </c>
      <c r="F89" t="s">
        <v>298</v>
      </c>
      <c r="G89" t="s">
        <v>30636</v>
      </c>
      <c r="H89">
        <v>58.2</v>
      </c>
      <c r="I89">
        <v>0</v>
      </c>
      <c r="M89">
        <v>0</v>
      </c>
      <c r="N89">
        <v>0</v>
      </c>
      <c r="O89">
        <v>10</v>
      </c>
      <c r="P89">
        <v>68.2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6</v>
      </c>
      <c r="AA89">
        <v>0</v>
      </c>
      <c r="AF89">
        <v>74.2</v>
      </c>
    </row>
    <row r="90" spans="1:32" x14ac:dyDescent="0.3">
      <c r="A90" s="4">
        <v>96</v>
      </c>
      <c r="B90" s="5">
        <v>83</v>
      </c>
      <c r="C90">
        <v>314</v>
      </c>
      <c r="D90" t="s">
        <v>4332</v>
      </c>
      <c r="E90" t="s">
        <v>22</v>
      </c>
      <c r="F90" t="s">
        <v>38</v>
      </c>
      <c r="G90" t="s">
        <v>30637</v>
      </c>
      <c r="H90">
        <v>48.9</v>
      </c>
      <c r="I90">
        <v>0</v>
      </c>
      <c r="M90">
        <v>0</v>
      </c>
      <c r="N90">
        <v>0</v>
      </c>
      <c r="O90">
        <v>10</v>
      </c>
      <c r="P90">
        <v>58.9</v>
      </c>
      <c r="Q90">
        <v>2</v>
      </c>
      <c r="R90">
        <v>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2</v>
      </c>
      <c r="Z90">
        <v>0</v>
      </c>
      <c r="AA90">
        <v>0</v>
      </c>
      <c r="AF90">
        <v>60.9</v>
      </c>
    </row>
    <row r="92" spans="1:32" x14ac:dyDescent="0.3">
      <c r="A92" s="3" t="s">
        <v>8356</v>
      </c>
    </row>
    <row r="93" spans="1:32" x14ac:dyDescent="0.3">
      <c r="A93" s="3" t="s">
        <v>30528</v>
      </c>
    </row>
    <row r="94" spans="1:32" x14ac:dyDescent="0.3">
      <c r="A94" s="3" t="s">
        <v>30529</v>
      </c>
    </row>
    <row r="95" spans="1:32" x14ac:dyDescent="0.3">
      <c r="A95" s="3" t="s">
        <v>30530</v>
      </c>
    </row>
    <row r="96" spans="1:32" x14ac:dyDescent="0.3">
      <c r="A96" s="3" t="s">
        <v>30531</v>
      </c>
    </row>
    <row r="97" spans="1:32" x14ac:dyDescent="0.3">
      <c r="A97" s="3" t="s">
        <v>30532</v>
      </c>
    </row>
    <row r="98" spans="1:32" x14ac:dyDescent="0.3">
      <c r="A98" s="3" t="s">
        <v>30533</v>
      </c>
    </row>
    <row r="99" spans="1:32" x14ac:dyDescent="0.3">
      <c r="A99" s="3" t="s">
        <v>30534</v>
      </c>
    </row>
    <row r="100" spans="1:32" s="4" customFormat="1" x14ac:dyDescent="0.3">
      <c r="A100" s="3" t="s">
        <v>30535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1:32" s="4" customFormat="1" x14ac:dyDescent="0.3">
      <c r="A101" s="3" t="s">
        <v>8365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1:32" s="4" customFormat="1" x14ac:dyDescent="0.3">
      <c r="A102" s="3" t="s">
        <v>8366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</row>
    <row r="103" spans="1:32" s="4" customFormat="1" x14ac:dyDescent="0.3">
      <c r="A103" s="3" t="s">
        <v>30536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</row>
    <row r="104" spans="1:32" s="4" customFormat="1" x14ac:dyDescent="0.3">
      <c r="A104" s="3" t="s">
        <v>30537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</row>
    <row r="105" spans="1:32" s="4" customFormat="1" x14ac:dyDescent="0.3">
      <c r="A105" s="3" t="s">
        <v>30538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</row>
    <row r="106" spans="1:32" s="4" customFormat="1" x14ac:dyDescent="0.3">
      <c r="A106" s="3" t="s">
        <v>30539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</row>
    <row r="107" spans="1:32" s="4" customFormat="1" x14ac:dyDescent="0.3">
      <c r="A107" s="3" t="s">
        <v>30540</v>
      </c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</row>
    <row r="108" spans="1:32" s="4" customFormat="1" x14ac:dyDescent="0.3">
      <c r="A108" s="3" t="s">
        <v>30541</v>
      </c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</row>
    <row r="109" spans="1:32" s="4" customFormat="1" x14ac:dyDescent="0.3">
      <c r="A109" s="3" t="s">
        <v>30542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</row>
    <row r="110" spans="1:32" s="4" customFormat="1" x14ac:dyDescent="0.3">
      <c r="A110" s="3" t="s">
        <v>30543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</row>
    <row r="111" spans="1:32" s="4" customFormat="1" x14ac:dyDescent="0.3">
      <c r="A111" s="3" t="s">
        <v>30544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</row>
    <row r="112" spans="1:32" s="4" customFormat="1" x14ac:dyDescent="0.3">
      <c r="A112" s="3" t="s">
        <v>30545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</row>
    <row r="113" spans="1:32" s="4" customFormat="1" x14ac:dyDescent="0.3">
      <c r="A113" s="3" t="s">
        <v>30546</v>
      </c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</row>
    <row r="114" spans="1:32" s="4" customFormat="1" x14ac:dyDescent="0.3">
      <c r="A114" s="3" t="s">
        <v>30547</v>
      </c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</row>
    <row r="115" spans="1:32" s="4" customFormat="1" x14ac:dyDescent="0.3">
      <c r="A115" s="3" t="s">
        <v>30548</v>
      </c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</row>
    <row r="116" spans="1:32" s="4" customFormat="1" x14ac:dyDescent="0.3">
      <c r="A116" s="3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</row>
    <row r="117" spans="1:32" s="4" customFormat="1" x14ac:dyDescent="0.3">
      <c r="A117" s="3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</row>
    <row r="118" spans="1:32" s="4" customFormat="1" x14ac:dyDescent="0.3">
      <c r="A118" s="3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</row>
    <row r="119" spans="1:32" s="4" customFormat="1" x14ac:dyDescent="0.3">
      <c r="A119" s="3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2" s="4" customFormat="1" x14ac:dyDescent="0.3">
      <c r="A120" s="3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Φύλλο20"/>
  <dimension ref="A1:AF37"/>
  <sheetViews>
    <sheetView workbookViewId="0">
      <selection activeCell="A8" sqref="A8:AF8"/>
    </sheetView>
  </sheetViews>
  <sheetFormatPr defaultRowHeight="14.4" x14ac:dyDescent="0.3"/>
  <cols>
    <col min="1" max="2" width="9.109375" style="4"/>
    <col min="3" max="3" width="5.109375" customWidth="1"/>
    <col min="4" max="4" width="10.33203125" customWidth="1"/>
    <col min="5" max="5" width="8.33203125" customWidth="1"/>
    <col min="6" max="6" width="12.6640625" customWidth="1"/>
    <col min="7" max="7" width="6.109375" customWidth="1"/>
    <col min="8" max="8" width="2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30638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9" spans="1:32" x14ac:dyDescent="0.3">
      <c r="A9" s="3"/>
    </row>
    <row r="10" spans="1:32" x14ac:dyDescent="0.3">
      <c r="A10" s="3" t="s">
        <v>8356</v>
      </c>
    </row>
    <row r="11" spans="1:32" x14ac:dyDescent="0.3">
      <c r="A11" s="3" t="s">
        <v>30528</v>
      </c>
    </row>
    <row r="12" spans="1:32" x14ac:dyDescent="0.3">
      <c r="A12" s="3" t="s">
        <v>30529</v>
      </c>
    </row>
    <row r="13" spans="1:32" x14ac:dyDescent="0.3">
      <c r="A13" s="3" t="s">
        <v>30530</v>
      </c>
    </row>
    <row r="14" spans="1:32" x14ac:dyDescent="0.3">
      <c r="A14" s="3" t="s">
        <v>30531</v>
      </c>
    </row>
    <row r="15" spans="1:32" x14ac:dyDescent="0.3">
      <c r="A15" s="3" t="s">
        <v>30532</v>
      </c>
    </row>
    <row r="16" spans="1:32" s="4" customFormat="1" x14ac:dyDescent="0.3">
      <c r="A16" s="3" t="s">
        <v>30533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8365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30540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30542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30543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30545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30547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30548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Φύλλο3"/>
  <dimension ref="A1:AD4153"/>
  <sheetViews>
    <sheetView workbookViewId="0">
      <selection activeCell="A8" sqref="A8:AC4152"/>
    </sheetView>
  </sheetViews>
  <sheetFormatPr defaultRowHeight="14.4" x14ac:dyDescent="0.3"/>
  <cols>
    <col min="1" max="2" width="9.109375" style="4"/>
    <col min="3" max="3" width="5.109375" customWidth="1"/>
    <col min="4" max="4" width="31.44140625" bestFit="1" customWidth="1"/>
    <col min="5" max="5" width="26.88671875" bestFit="1" customWidth="1"/>
    <col min="6" max="6" width="24.44140625" bestFit="1" customWidth="1"/>
    <col min="7" max="7" width="10.6640625" bestFit="1" customWidth="1"/>
    <col min="8" max="8" width="20.6640625" bestFit="1" customWidth="1"/>
  </cols>
  <sheetData>
    <row r="1" spans="1:30" x14ac:dyDescent="0.3">
      <c r="A1" s="3" t="s">
        <v>0</v>
      </c>
    </row>
    <row r="2" spans="1:30" x14ac:dyDescent="0.3">
      <c r="A2" s="3" t="s">
        <v>1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3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 t="s">
        <v>10</v>
      </c>
      <c r="I7">
        <v>1</v>
      </c>
      <c r="J7">
        <v>2</v>
      </c>
      <c r="K7">
        <v>3</v>
      </c>
      <c r="L7">
        <v>4</v>
      </c>
      <c r="M7">
        <v>5</v>
      </c>
      <c r="N7">
        <v>6</v>
      </c>
      <c r="O7">
        <v>7</v>
      </c>
      <c r="P7">
        <v>8</v>
      </c>
      <c r="Q7">
        <v>9</v>
      </c>
      <c r="R7">
        <v>10</v>
      </c>
      <c r="S7">
        <v>11</v>
      </c>
      <c r="T7">
        <v>12</v>
      </c>
      <c r="U7">
        <v>13</v>
      </c>
      <c r="V7">
        <v>14</v>
      </c>
      <c r="W7">
        <v>15</v>
      </c>
      <c r="X7">
        <v>16</v>
      </c>
      <c r="Y7">
        <v>17</v>
      </c>
      <c r="Z7">
        <v>18</v>
      </c>
      <c r="AA7">
        <v>19</v>
      </c>
      <c r="AB7">
        <v>20</v>
      </c>
      <c r="AC7">
        <v>21</v>
      </c>
      <c r="AD7" t="s">
        <v>11</v>
      </c>
    </row>
    <row r="8" spans="1:30" x14ac:dyDescent="0.3">
      <c r="A8" s="4">
        <v>1</v>
      </c>
      <c r="B8" s="5">
        <v>1</v>
      </c>
      <c r="C8">
        <v>337</v>
      </c>
      <c r="D8" t="s">
        <v>12</v>
      </c>
      <c r="E8" t="s">
        <v>13</v>
      </c>
      <c r="F8" t="s">
        <v>14</v>
      </c>
      <c r="G8" t="s">
        <v>15</v>
      </c>
      <c r="H8" t="str">
        <f>"00504540"</f>
        <v>00504540</v>
      </c>
      <c r="I8">
        <v>72</v>
      </c>
      <c r="J8">
        <v>10</v>
      </c>
      <c r="N8">
        <v>0</v>
      </c>
      <c r="O8">
        <v>4</v>
      </c>
      <c r="P8">
        <v>2</v>
      </c>
      <c r="Q8">
        <v>88</v>
      </c>
      <c r="R8">
        <v>87</v>
      </c>
      <c r="S8">
        <v>87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87</v>
      </c>
      <c r="AA8">
        <v>0</v>
      </c>
      <c r="AB8">
        <v>0</v>
      </c>
      <c r="AD8">
        <v>175</v>
      </c>
    </row>
    <row r="9" spans="1:30" x14ac:dyDescent="0.3">
      <c r="A9" s="4">
        <v>2</v>
      </c>
      <c r="B9" s="5">
        <v>2</v>
      </c>
      <c r="C9">
        <v>995</v>
      </c>
      <c r="D9" t="s">
        <v>16</v>
      </c>
      <c r="E9" t="s">
        <v>16</v>
      </c>
      <c r="F9" t="s">
        <v>17</v>
      </c>
      <c r="G9" t="s">
        <v>18</v>
      </c>
      <c r="H9" t="str">
        <f>"00516848"</f>
        <v>00516848</v>
      </c>
      <c r="I9">
        <v>72</v>
      </c>
      <c r="J9">
        <v>10</v>
      </c>
      <c r="M9">
        <v>4</v>
      </c>
      <c r="N9">
        <v>4</v>
      </c>
      <c r="O9">
        <v>4</v>
      </c>
      <c r="P9">
        <v>2</v>
      </c>
      <c r="Q9">
        <v>92</v>
      </c>
      <c r="R9">
        <v>77</v>
      </c>
      <c r="S9">
        <v>77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77</v>
      </c>
      <c r="AA9">
        <v>3</v>
      </c>
      <c r="AB9">
        <v>0</v>
      </c>
      <c r="AD9">
        <v>172</v>
      </c>
    </row>
    <row r="10" spans="1:30" x14ac:dyDescent="0.3">
      <c r="A10" s="4">
        <v>4</v>
      </c>
      <c r="B10" s="5">
        <v>3</v>
      </c>
      <c r="C10">
        <v>123</v>
      </c>
      <c r="D10" t="s">
        <v>21</v>
      </c>
      <c r="E10" t="s">
        <v>22</v>
      </c>
      <c r="F10" t="s">
        <v>23</v>
      </c>
      <c r="G10" t="s">
        <v>24</v>
      </c>
      <c r="H10" t="str">
        <f>"00150403"</f>
        <v>00150403</v>
      </c>
      <c r="I10">
        <v>57.6</v>
      </c>
      <c r="J10">
        <v>10</v>
      </c>
      <c r="M10">
        <v>4</v>
      </c>
      <c r="N10">
        <v>4</v>
      </c>
      <c r="O10">
        <v>4</v>
      </c>
      <c r="P10">
        <v>2</v>
      </c>
      <c r="Q10">
        <v>77.599999999999994</v>
      </c>
      <c r="R10">
        <v>79</v>
      </c>
      <c r="S10">
        <v>79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79</v>
      </c>
      <c r="AA10">
        <v>6</v>
      </c>
      <c r="AB10">
        <v>0</v>
      </c>
      <c r="AD10">
        <v>162.6</v>
      </c>
    </row>
    <row r="11" spans="1:30" x14ac:dyDescent="0.3">
      <c r="A11" s="4">
        <v>5</v>
      </c>
      <c r="B11" s="5">
        <v>4</v>
      </c>
      <c r="C11">
        <v>3831</v>
      </c>
      <c r="D11" t="s">
        <v>25</v>
      </c>
      <c r="E11" t="s">
        <v>26</v>
      </c>
      <c r="F11" t="s">
        <v>20</v>
      </c>
      <c r="G11" t="s">
        <v>27</v>
      </c>
      <c r="H11" t="str">
        <f>"00530678"</f>
        <v>00530678</v>
      </c>
      <c r="I11">
        <v>50.4</v>
      </c>
      <c r="J11">
        <v>10</v>
      </c>
      <c r="K11">
        <v>8</v>
      </c>
      <c r="N11">
        <v>8</v>
      </c>
      <c r="O11">
        <v>4</v>
      </c>
      <c r="P11">
        <v>2</v>
      </c>
      <c r="Q11">
        <v>74.400000000000006</v>
      </c>
      <c r="R11">
        <v>84</v>
      </c>
      <c r="S11">
        <v>84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84</v>
      </c>
      <c r="AA11">
        <v>0</v>
      </c>
      <c r="AB11">
        <v>0</v>
      </c>
      <c r="AD11">
        <v>158.4</v>
      </c>
    </row>
    <row r="12" spans="1:30" x14ac:dyDescent="0.3">
      <c r="A12" s="4">
        <v>6</v>
      </c>
      <c r="B12" s="5">
        <v>5</v>
      </c>
      <c r="C12">
        <v>157</v>
      </c>
      <c r="D12" t="s">
        <v>28</v>
      </c>
      <c r="E12" t="s">
        <v>29</v>
      </c>
      <c r="F12" t="s">
        <v>30</v>
      </c>
      <c r="G12" t="s">
        <v>31</v>
      </c>
      <c r="H12" t="str">
        <f>"00498410"</f>
        <v>00498410</v>
      </c>
      <c r="I12">
        <v>43.2</v>
      </c>
      <c r="J12">
        <v>10</v>
      </c>
      <c r="M12">
        <v>4</v>
      </c>
      <c r="N12">
        <v>4</v>
      </c>
      <c r="O12">
        <v>4</v>
      </c>
      <c r="P12">
        <v>0</v>
      </c>
      <c r="Q12">
        <v>61.2</v>
      </c>
      <c r="R12">
        <v>94</v>
      </c>
      <c r="S12">
        <v>94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94</v>
      </c>
      <c r="AA12">
        <v>3</v>
      </c>
      <c r="AB12">
        <v>0</v>
      </c>
      <c r="AD12">
        <v>158.19999999999999</v>
      </c>
    </row>
    <row r="13" spans="1:30" x14ac:dyDescent="0.3">
      <c r="A13" s="4">
        <v>7</v>
      </c>
      <c r="B13" s="5">
        <v>6</v>
      </c>
      <c r="C13">
        <v>4089</v>
      </c>
      <c r="D13" t="s">
        <v>32</v>
      </c>
      <c r="E13" t="s">
        <v>33</v>
      </c>
      <c r="F13" t="s">
        <v>34</v>
      </c>
      <c r="G13" t="s">
        <v>35</v>
      </c>
      <c r="H13" t="str">
        <f>"201510002078"</f>
        <v>201510002078</v>
      </c>
      <c r="I13">
        <v>64.8</v>
      </c>
      <c r="J13">
        <v>10</v>
      </c>
      <c r="M13">
        <v>4</v>
      </c>
      <c r="N13">
        <v>4</v>
      </c>
      <c r="O13">
        <v>4</v>
      </c>
      <c r="P13">
        <v>2</v>
      </c>
      <c r="Q13">
        <v>84.8</v>
      </c>
      <c r="R13">
        <v>66</v>
      </c>
      <c r="S13">
        <v>66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66</v>
      </c>
      <c r="AA13">
        <v>6</v>
      </c>
      <c r="AB13">
        <v>0</v>
      </c>
      <c r="AD13">
        <v>156.80000000000001</v>
      </c>
    </row>
    <row r="14" spans="1:30" x14ac:dyDescent="0.3">
      <c r="A14" s="4">
        <v>8</v>
      </c>
      <c r="B14" s="5">
        <v>7</v>
      </c>
      <c r="C14">
        <v>4439</v>
      </c>
      <c r="D14" t="s">
        <v>36</v>
      </c>
      <c r="E14" t="s">
        <v>37</v>
      </c>
      <c r="F14" t="s">
        <v>38</v>
      </c>
      <c r="G14" t="s">
        <v>39</v>
      </c>
      <c r="H14" t="str">
        <f>"00490807"</f>
        <v>00490807</v>
      </c>
      <c r="I14">
        <v>26.56</v>
      </c>
      <c r="J14">
        <v>0</v>
      </c>
      <c r="N14">
        <v>0</v>
      </c>
      <c r="O14">
        <v>4</v>
      </c>
      <c r="P14">
        <v>2</v>
      </c>
      <c r="Q14">
        <v>32.56</v>
      </c>
      <c r="R14">
        <v>91</v>
      </c>
      <c r="S14">
        <v>91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91</v>
      </c>
      <c r="AA14">
        <v>12</v>
      </c>
      <c r="AB14">
        <v>20</v>
      </c>
      <c r="AD14">
        <v>155.56</v>
      </c>
    </row>
    <row r="15" spans="1:30" x14ac:dyDescent="0.3">
      <c r="A15" s="4">
        <v>9</v>
      </c>
      <c r="B15" s="5">
        <v>8</v>
      </c>
      <c r="C15">
        <v>3641</v>
      </c>
      <c r="D15" t="s">
        <v>40</v>
      </c>
      <c r="E15" t="s">
        <v>41</v>
      </c>
      <c r="F15" t="s">
        <v>38</v>
      </c>
      <c r="G15" t="s">
        <v>42</v>
      </c>
      <c r="H15" t="str">
        <f>"00479971"</f>
        <v>00479971</v>
      </c>
      <c r="I15">
        <v>64.8</v>
      </c>
      <c r="J15">
        <v>10</v>
      </c>
      <c r="M15">
        <v>4</v>
      </c>
      <c r="N15">
        <v>4</v>
      </c>
      <c r="O15">
        <v>4</v>
      </c>
      <c r="P15">
        <v>2</v>
      </c>
      <c r="Q15">
        <v>84.8</v>
      </c>
      <c r="R15">
        <v>67</v>
      </c>
      <c r="S15">
        <v>67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67</v>
      </c>
      <c r="AA15">
        <v>3</v>
      </c>
      <c r="AB15">
        <v>0</v>
      </c>
      <c r="AD15">
        <v>154.80000000000001</v>
      </c>
    </row>
    <row r="16" spans="1:30" x14ac:dyDescent="0.3">
      <c r="A16" s="4">
        <v>10</v>
      </c>
      <c r="B16" s="5">
        <v>9</v>
      </c>
      <c r="C16">
        <v>933</v>
      </c>
      <c r="D16" t="s">
        <v>43</v>
      </c>
      <c r="E16" t="s">
        <v>44</v>
      </c>
      <c r="F16" t="s">
        <v>45</v>
      </c>
      <c r="G16" t="s">
        <v>46</v>
      </c>
      <c r="H16" t="str">
        <f>"200811000675"</f>
        <v>200811000675</v>
      </c>
      <c r="I16">
        <v>43.2</v>
      </c>
      <c r="J16">
        <v>10</v>
      </c>
      <c r="M16">
        <v>4</v>
      </c>
      <c r="N16">
        <v>4</v>
      </c>
      <c r="O16">
        <v>4</v>
      </c>
      <c r="P16">
        <v>2</v>
      </c>
      <c r="Q16">
        <v>63.2</v>
      </c>
      <c r="R16">
        <v>89</v>
      </c>
      <c r="S16">
        <v>89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89</v>
      </c>
      <c r="AA16">
        <v>0</v>
      </c>
      <c r="AB16">
        <v>0</v>
      </c>
      <c r="AD16">
        <v>152.19999999999999</v>
      </c>
    </row>
    <row r="17" spans="1:30" x14ac:dyDescent="0.3">
      <c r="A17" s="4">
        <v>11</v>
      </c>
      <c r="B17" s="5">
        <v>10</v>
      </c>
      <c r="C17">
        <v>4432</v>
      </c>
      <c r="D17" t="s">
        <v>47</v>
      </c>
      <c r="E17" t="s">
        <v>48</v>
      </c>
      <c r="F17" t="s">
        <v>17</v>
      </c>
      <c r="G17" t="s">
        <v>49</v>
      </c>
      <c r="H17" t="str">
        <f>"00482897"</f>
        <v>00482897</v>
      </c>
      <c r="I17">
        <v>30.92</v>
      </c>
      <c r="J17">
        <v>10</v>
      </c>
      <c r="M17">
        <v>4</v>
      </c>
      <c r="N17">
        <v>4</v>
      </c>
      <c r="O17">
        <v>4</v>
      </c>
      <c r="P17">
        <v>2</v>
      </c>
      <c r="Q17">
        <v>50.92</v>
      </c>
      <c r="R17">
        <v>95</v>
      </c>
      <c r="S17">
        <v>95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95</v>
      </c>
      <c r="AA17">
        <v>6</v>
      </c>
      <c r="AB17">
        <v>0</v>
      </c>
      <c r="AD17">
        <v>151.91999999999999</v>
      </c>
    </row>
    <row r="18" spans="1:30" x14ac:dyDescent="0.3">
      <c r="A18" s="4">
        <v>12</v>
      </c>
      <c r="B18" s="5">
        <v>11</v>
      </c>
      <c r="C18">
        <v>4865</v>
      </c>
      <c r="D18" t="s">
        <v>50</v>
      </c>
      <c r="E18" t="s">
        <v>51</v>
      </c>
      <c r="F18" t="s">
        <v>52</v>
      </c>
      <c r="G18" t="s">
        <v>53</v>
      </c>
      <c r="H18" t="str">
        <f>"201509000030"</f>
        <v>201509000030</v>
      </c>
      <c r="I18">
        <v>39.6</v>
      </c>
      <c r="J18">
        <v>10</v>
      </c>
      <c r="L18">
        <v>6</v>
      </c>
      <c r="M18">
        <v>4</v>
      </c>
      <c r="N18">
        <v>10</v>
      </c>
      <c r="O18">
        <v>4</v>
      </c>
      <c r="P18">
        <v>2</v>
      </c>
      <c r="Q18">
        <v>64</v>
      </c>
      <c r="R18">
        <v>87</v>
      </c>
      <c r="S18">
        <v>87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87</v>
      </c>
      <c r="AA18">
        <v>0</v>
      </c>
      <c r="AB18">
        <v>0</v>
      </c>
      <c r="AD18">
        <v>151</v>
      </c>
    </row>
    <row r="19" spans="1:30" x14ac:dyDescent="0.3">
      <c r="A19" s="4">
        <v>14</v>
      </c>
      <c r="B19" s="5">
        <v>12</v>
      </c>
      <c r="C19">
        <v>2735</v>
      </c>
      <c r="D19" t="s">
        <v>56</v>
      </c>
      <c r="E19" t="s">
        <v>57</v>
      </c>
      <c r="F19" t="s">
        <v>58</v>
      </c>
      <c r="G19" t="s">
        <v>59</v>
      </c>
      <c r="H19" t="str">
        <f>"00519862"</f>
        <v>00519862</v>
      </c>
      <c r="I19">
        <v>50.4</v>
      </c>
      <c r="J19">
        <v>10</v>
      </c>
      <c r="K19">
        <v>8</v>
      </c>
      <c r="N19">
        <v>8</v>
      </c>
      <c r="O19">
        <v>4</v>
      </c>
      <c r="P19">
        <v>2</v>
      </c>
      <c r="Q19">
        <v>74.400000000000006</v>
      </c>
      <c r="R19">
        <v>69</v>
      </c>
      <c r="S19">
        <v>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69</v>
      </c>
      <c r="AA19">
        <v>6</v>
      </c>
      <c r="AB19">
        <v>0</v>
      </c>
      <c r="AD19">
        <v>149.4</v>
      </c>
    </row>
    <row r="20" spans="1:30" x14ac:dyDescent="0.3">
      <c r="A20" s="4">
        <v>15</v>
      </c>
      <c r="B20" s="5">
        <v>13</v>
      </c>
      <c r="C20">
        <v>2450</v>
      </c>
      <c r="D20" t="s">
        <v>60</v>
      </c>
      <c r="E20" t="s">
        <v>61</v>
      </c>
      <c r="F20" t="s">
        <v>62</v>
      </c>
      <c r="G20" t="s">
        <v>63</v>
      </c>
      <c r="H20" t="str">
        <f>"00161729"</f>
        <v>00161729</v>
      </c>
      <c r="I20">
        <v>50.4</v>
      </c>
      <c r="J20">
        <v>10</v>
      </c>
      <c r="M20">
        <v>4</v>
      </c>
      <c r="N20">
        <v>4</v>
      </c>
      <c r="O20">
        <v>4</v>
      </c>
      <c r="P20">
        <v>2</v>
      </c>
      <c r="Q20">
        <v>70.400000000000006</v>
      </c>
      <c r="R20">
        <v>76</v>
      </c>
      <c r="S20">
        <v>76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76</v>
      </c>
      <c r="AA20">
        <v>3</v>
      </c>
      <c r="AB20">
        <v>0</v>
      </c>
      <c r="AD20">
        <v>149.4</v>
      </c>
    </row>
    <row r="21" spans="1:30" x14ac:dyDescent="0.3">
      <c r="A21" s="4">
        <v>16</v>
      </c>
      <c r="B21" s="5">
        <v>14</v>
      </c>
      <c r="C21">
        <v>1424</v>
      </c>
      <c r="D21" t="s">
        <v>64</v>
      </c>
      <c r="E21" t="s">
        <v>65</v>
      </c>
      <c r="F21" t="s">
        <v>17</v>
      </c>
      <c r="G21" t="s">
        <v>66</v>
      </c>
      <c r="H21" t="str">
        <f>"00441493"</f>
        <v>00441493</v>
      </c>
      <c r="I21">
        <v>64.8</v>
      </c>
      <c r="J21">
        <v>10</v>
      </c>
      <c r="L21">
        <v>6</v>
      </c>
      <c r="N21">
        <v>6</v>
      </c>
      <c r="O21">
        <v>4</v>
      </c>
      <c r="P21">
        <v>2</v>
      </c>
      <c r="Q21">
        <v>86.8</v>
      </c>
      <c r="R21">
        <v>62</v>
      </c>
      <c r="S21">
        <v>62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62</v>
      </c>
      <c r="AA21">
        <v>0</v>
      </c>
      <c r="AB21">
        <v>0</v>
      </c>
      <c r="AD21">
        <v>148.80000000000001</v>
      </c>
    </row>
    <row r="22" spans="1:30" x14ac:dyDescent="0.3">
      <c r="A22" s="4">
        <v>17</v>
      </c>
      <c r="B22" s="5">
        <v>15</v>
      </c>
      <c r="C22">
        <v>3614</v>
      </c>
      <c r="D22" t="s">
        <v>67</v>
      </c>
      <c r="E22" t="s">
        <v>29</v>
      </c>
      <c r="F22" t="s">
        <v>68</v>
      </c>
      <c r="G22" t="s">
        <v>69</v>
      </c>
      <c r="H22" t="str">
        <f>"00484612"</f>
        <v>00484612</v>
      </c>
      <c r="I22">
        <v>43.2</v>
      </c>
      <c r="J22">
        <v>0</v>
      </c>
      <c r="M22">
        <v>4</v>
      </c>
      <c r="N22">
        <v>4</v>
      </c>
      <c r="O22">
        <v>4</v>
      </c>
      <c r="P22">
        <v>2</v>
      </c>
      <c r="Q22">
        <v>53.2</v>
      </c>
      <c r="R22">
        <v>95</v>
      </c>
      <c r="S22">
        <v>95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95</v>
      </c>
      <c r="AA22">
        <v>0</v>
      </c>
      <c r="AB22">
        <v>0</v>
      </c>
      <c r="AD22">
        <v>148.19999999999999</v>
      </c>
    </row>
    <row r="23" spans="1:30" x14ac:dyDescent="0.3">
      <c r="A23" s="4">
        <v>18</v>
      </c>
      <c r="B23" s="5">
        <v>16</v>
      </c>
      <c r="C23">
        <v>3891</v>
      </c>
      <c r="D23" t="s">
        <v>70</v>
      </c>
      <c r="E23" t="s">
        <v>71</v>
      </c>
      <c r="F23" t="s">
        <v>72</v>
      </c>
      <c r="G23" t="s">
        <v>73</v>
      </c>
      <c r="H23" t="str">
        <f>"00504113"</f>
        <v>00504113</v>
      </c>
      <c r="I23">
        <v>50.4</v>
      </c>
      <c r="J23">
        <v>0</v>
      </c>
      <c r="N23">
        <v>0</v>
      </c>
      <c r="O23">
        <v>0</v>
      </c>
      <c r="P23">
        <v>2</v>
      </c>
      <c r="Q23">
        <v>52.4</v>
      </c>
      <c r="R23">
        <v>89</v>
      </c>
      <c r="S23">
        <v>89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89</v>
      </c>
      <c r="AA23">
        <v>6</v>
      </c>
      <c r="AB23">
        <v>0</v>
      </c>
      <c r="AD23">
        <v>147.4</v>
      </c>
    </row>
    <row r="24" spans="1:30" x14ac:dyDescent="0.3">
      <c r="A24" s="4">
        <v>19</v>
      </c>
      <c r="B24" s="5">
        <v>17</v>
      </c>
      <c r="C24">
        <v>3543</v>
      </c>
      <c r="D24" t="s">
        <v>74</v>
      </c>
      <c r="E24" t="s">
        <v>75</v>
      </c>
      <c r="F24" t="s">
        <v>76</v>
      </c>
      <c r="G24" t="s">
        <v>77</v>
      </c>
      <c r="H24" t="str">
        <f>"00477642"</f>
        <v>00477642</v>
      </c>
      <c r="I24">
        <v>36</v>
      </c>
      <c r="J24">
        <v>10</v>
      </c>
      <c r="M24">
        <v>4</v>
      </c>
      <c r="N24">
        <v>4</v>
      </c>
      <c r="O24">
        <v>4</v>
      </c>
      <c r="P24">
        <v>2</v>
      </c>
      <c r="Q24">
        <v>56</v>
      </c>
      <c r="R24">
        <v>91</v>
      </c>
      <c r="S24">
        <v>91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91</v>
      </c>
      <c r="AA24">
        <v>0</v>
      </c>
      <c r="AB24">
        <v>0</v>
      </c>
      <c r="AD24">
        <v>147</v>
      </c>
    </row>
    <row r="25" spans="1:30" x14ac:dyDescent="0.3">
      <c r="A25" s="4">
        <v>20</v>
      </c>
      <c r="B25" s="5">
        <v>18</v>
      </c>
      <c r="C25">
        <v>530</v>
      </c>
      <c r="D25" t="s">
        <v>78</v>
      </c>
      <c r="E25" t="s">
        <v>54</v>
      </c>
      <c r="F25" t="s">
        <v>79</v>
      </c>
      <c r="G25" t="s">
        <v>80</v>
      </c>
      <c r="H25" t="str">
        <f>"00507800"</f>
        <v>00507800</v>
      </c>
      <c r="I25">
        <v>38.68</v>
      </c>
      <c r="J25">
        <v>0</v>
      </c>
      <c r="N25">
        <v>0</v>
      </c>
      <c r="O25">
        <v>4</v>
      </c>
      <c r="P25">
        <v>0</v>
      </c>
      <c r="Q25">
        <v>42.68</v>
      </c>
      <c r="R25">
        <v>104</v>
      </c>
      <c r="S25">
        <v>104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104</v>
      </c>
      <c r="AA25">
        <v>0</v>
      </c>
      <c r="AB25">
        <v>0</v>
      </c>
      <c r="AD25">
        <v>146.68</v>
      </c>
    </row>
    <row r="26" spans="1:30" x14ac:dyDescent="0.3">
      <c r="A26" s="4">
        <v>22</v>
      </c>
      <c r="B26" s="5">
        <v>19</v>
      </c>
      <c r="C26">
        <v>939</v>
      </c>
      <c r="D26" t="s">
        <v>82</v>
      </c>
      <c r="E26" t="s">
        <v>54</v>
      </c>
      <c r="F26" t="s">
        <v>83</v>
      </c>
      <c r="G26" t="s">
        <v>84</v>
      </c>
      <c r="H26" t="str">
        <f>"00516321"</f>
        <v>00516321</v>
      </c>
      <c r="I26">
        <v>28.8</v>
      </c>
      <c r="J26">
        <v>0</v>
      </c>
      <c r="M26">
        <v>4</v>
      </c>
      <c r="N26">
        <v>4</v>
      </c>
      <c r="O26">
        <v>4</v>
      </c>
      <c r="P26">
        <v>2</v>
      </c>
      <c r="Q26">
        <v>38.799999999999997</v>
      </c>
      <c r="R26">
        <v>107</v>
      </c>
      <c r="S26">
        <v>107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107</v>
      </c>
      <c r="AA26">
        <v>0</v>
      </c>
      <c r="AB26">
        <v>0</v>
      </c>
      <c r="AD26">
        <v>145.80000000000001</v>
      </c>
    </row>
    <row r="27" spans="1:30" x14ac:dyDescent="0.3">
      <c r="A27" s="4">
        <v>23</v>
      </c>
      <c r="B27" s="5">
        <v>20</v>
      </c>
      <c r="C27">
        <v>543</v>
      </c>
      <c r="D27" t="s">
        <v>85</v>
      </c>
      <c r="E27" t="s">
        <v>41</v>
      </c>
      <c r="F27" t="s">
        <v>81</v>
      </c>
      <c r="G27" t="s">
        <v>86</v>
      </c>
      <c r="H27" t="str">
        <f>"00529419"</f>
        <v>00529419</v>
      </c>
      <c r="I27">
        <v>26.48</v>
      </c>
      <c r="J27">
        <v>0</v>
      </c>
      <c r="N27">
        <v>0</v>
      </c>
      <c r="O27">
        <v>4</v>
      </c>
      <c r="P27">
        <v>0</v>
      </c>
      <c r="Q27">
        <v>30.48</v>
      </c>
      <c r="R27">
        <v>92</v>
      </c>
      <c r="S27">
        <v>92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92</v>
      </c>
      <c r="AA27">
        <v>3</v>
      </c>
      <c r="AB27">
        <v>20</v>
      </c>
      <c r="AD27">
        <v>145.47999999999999</v>
      </c>
    </row>
    <row r="28" spans="1:30" x14ac:dyDescent="0.3">
      <c r="A28" s="4">
        <v>24</v>
      </c>
      <c r="B28" s="5">
        <v>21</v>
      </c>
      <c r="C28">
        <v>3531</v>
      </c>
      <c r="D28" t="s">
        <v>87</v>
      </c>
      <c r="E28" t="s">
        <v>88</v>
      </c>
      <c r="F28" t="s">
        <v>81</v>
      </c>
      <c r="G28" t="s">
        <v>89</v>
      </c>
      <c r="H28" t="str">
        <f>"00520517"</f>
        <v>00520517</v>
      </c>
      <c r="I28">
        <v>50.4</v>
      </c>
      <c r="J28">
        <v>10</v>
      </c>
      <c r="M28">
        <v>4</v>
      </c>
      <c r="N28">
        <v>4</v>
      </c>
      <c r="O28">
        <v>4</v>
      </c>
      <c r="P28">
        <v>2</v>
      </c>
      <c r="Q28">
        <v>70.400000000000006</v>
      </c>
      <c r="R28">
        <v>69</v>
      </c>
      <c r="S28">
        <v>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69</v>
      </c>
      <c r="AA28">
        <v>6</v>
      </c>
      <c r="AB28">
        <v>0</v>
      </c>
      <c r="AD28">
        <v>145.4</v>
      </c>
    </row>
    <row r="29" spans="1:30" x14ac:dyDescent="0.3">
      <c r="A29" s="4">
        <v>25</v>
      </c>
      <c r="B29" s="5">
        <v>22</v>
      </c>
      <c r="C29">
        <v>2819</v>
      </c>
      <c r="D29" t="s">
        <v>90</v>
      </c>
      <c r="E29" t="s">
        <v>41</v>
      </c>
      <c r="F29" t="s">
        <v>91</v>
      </c>
      <c r="G29" t="s">
        <v>92</v>
      </c>
      <c r="H29" t="str">
        <f>"00506611"</f>
        <v>00506611</v>
      </c>
      <c r="I29">
        <v>31.12</v>
      </c>
      <c r="J29">
        <v>0</v>
      </c>
      <c r="M29">
        <v>4</v>
      </c>
      <c r="N29">
        <v>4</v>
      </c>
      <c r="O29">
        <v>4</v>
      </c>
      <c r="P29">
        <v>2</v>
      </c>
      <c r="Q29">
        <v>41.12</v>
      </c>
      <c r="R29">
        <v>98</v>
      </c>
      <c r="S29">
        <v>98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98</v>
      </c>
      <c r="AA29">
        <v>6</v>
      </c>
      <c r="AB29">
        <v>0</v>
      </c>
      <c r="AD29">
        <v>145.12</v>
      </c>
    </row>
    <row r="30" spans="1:30" x14ac:dyDescent="0.3">
      <c r="A30" s="4">
        <v>26</v>
      </c>
      <c r="B30" s="5">
        <v>23</v>
      </c>
      <c r="C30">
        <v>588</v>
      </c>
      <c r="D30" t="s">
        <v>93</v>
      </c>
      <c r="E30" t="s">
        <v>22</v>
      </c>
      <c r="F30" t="s">
        <v>94</v>
      </c>
      <c r="G30" t="s">
        <v>95</v>
      </c>
      <c r="H30" t="str">
        <f>"00515074"</f>
        <v>00515074</v>
      </c>
      <c r="I30">
        <v>18.920000000000002</v>
      </c>
      <c r="J30">
        <v>0</v>
      </c>
      <c r="N30">
        <v>0</v>
      </c>
      <c r="O30">
        <v>4</v>
      </c>
      <c r="P30">
        <v>0</v>
      </c>
      <c r="Q30">
        <v>22.92</v>
      </c>
      <c r="R30">
        <v>116</v>
      </c>
      <c r="S30">
        <v>116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116</v>
      </c>
      <c r="AA30">
        <v>6</v>
      </c>
      <c r="AB30">
        <v>0</v>
      </c>
      <c r="AD30">
        <v>144.91999999999999</v>
      </c>
    </row>
    <row r="31" spans="1:30" x14ac:dyDescent="0.3">
      <c r="A31" s="4">
        <v>27</v>
      </c>
      <c r="B31" s="5">
        <v>24</v>
      </c>
      <c r="C31">
        <v>3441</v>
      </c>
      <c r="D31" t="s">
        <v>96</v>
      </c>
      <c r="E31" t="s">
        <v>97</v>
      </c>
      <c r="F31" t="s">
        <v>20</v>
      </c>
      <c r="G31" t="s">
        <v>98</v>
      </c>
      <c r="H31" t="str">
        <f>"00513625"</f>
        <v>00513625</v>
      </c>
      <c r="I31">
        <v>64.8</v>
      </c>
      <c r="J31">
        <v>10</v>
      </c>
      <c r="M31">
        <v>4</v>
      </c>
      <c r="N31">
        <v>4</v>
      </c>
      <c r="O31">
        <v>4</v>
      </c>
      <c r="P31">
        <v>2</v>
      </c>
      <c r="Q31">
        <v>84.8</v>
      </c>
      <c r="R31">
        <v>54</v>
      </c>
      <c r="S31">
        <v>54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54</v>
      </c>
      <c r="AA31">
        <v>6</v>
      </c>
      <c r="AB31">
        <v>0</v>
      </c>
      <c r="AD31">
        <v>144.80000000000001</v>
      </c>
    </row>
    <row r="32" spans="1:30" x14ac:dyDescent="0.3">
      <c r="A32" s="4">
        <v>28</v>
      </c>
      <c r="B32" s="5">
        <v>25</v>
      </c>
      <c r="C32">
        <v>4294</v>
      </c>
      <c r="D32" t="s">
        <v>99</v>
      </c>
      <c r="E32" t="s">
        <v>100</v>
      </c>
      <c r="F32" t="s">
        <v>101</v>
      </c>
      <c r="G32" t="s">
        <v>102</v>
      </c>
      <c r="H32" t="str">
        <f>"00484160"</f>
        <v>00484160</v>
      </c>
      <c r="I32">
        <v>28.8</v>
      </c>
      <c r="J32">
        <v>0</v>
      </c>
      <c r="N32">
        <v>0</v>
      </c>
      <c r="O32">
        <v>4</v>
      </c>
      <c r="P32">
        <v>0</v>
      </c>
      <c r="Q32">
        <v>32.799999999999997</v>
      </c>
      <c r="R32">
        <v>82</v>
      </c>
      <c r="S32">
        <v>82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82</v>
      </c>
      <c r="AA32">
        <v>3</v>
      </c>
      <c r="AB32">
        <v>26.8</v>
      </c>
      <c r="AD32">
        <v>144.6</v>
      </c>
    </row>
    <row r="33" spans="1:30" x14ac:dyDescent="0.3">
      <c r="A33" s="4">
        <v>29</v>
      </c>
      <c r="B33" s="5">
        <v>26</v>
      </c>
      <c r="C33">
        <v>506</v>
      </c>
      <c r="D33" t="s">
        <v>103</v>
      </c>
      <c r="E33" t="s">
        <v>104</v>
      </c>
      <c r="F33" t="s">
        <v>105</v>
      </c>
      <c r="G33" t="s">
        <v>106</v>
      </c>
      <c r="H33" t="str">
        <f>"00442052"</f>
        <v>00442052</v>
      </c>
      <c r="I33">
        <v>40</v>
      </c>
      <c r="J33">
        <v>10</v>
      </c>
      <c r="K33">
        <v>8</v>
      </c>
      <c r="N33">
        <v>8</v>
      </c>
      <c r="O33">
        <v>4</v>
      </c>
      <c r="P33">
        <v>0</v>
      </c>
      <c r="Q33">
        <v>62</v>
      </c>
      <c r="R33">
        <v>79</v>
      </c>
      <c r="S33">
        <v>79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79</v>
      </c>
      <c r="AA33">
        <v>3</v>
      </c>
      <c r="AB33">
        <v>0</v>
      </c>
      <c r="AD33">
        <v>144</v>
      </c>
    </row>
    <row r="34" spans="1:30" x14ac:dyDescent="0.3">
      <c r="A34" s="4">
        <v>30</v>
      </c>
      <c r="B34" s="5">
        <v>27</v>
      </c>
      <c r="C34">
        <v>2722</v>
      </c>
      <c r="D34" t="s">
        <v>107</v>
      </c>
      <c r="E34" t="s">
        <v>54</v>
      </c>
      <c r="F34" t="s">
        <v>20</v>
      </c>
      <c r="G34" t="s">
        <v>108</v>
      </c>
      <c r="H34" t="str">
        <f>"00499943"</f>
        <v>00499943</v>
      </c>
      <c r="I34">
        <v>43.2</v>
      </c>
      <c r="J34">
        <v>10</v>
      </c>
      <c r="M34">
        <v>4</v>
      </c>
      <c r="N34">
        <v>4</v>
      </c>
      <c r="O34">
        <v>4</v>
      </c>
      <c r="P34">
        <v>2</v>
      </c>
      <c r="Q34">
        <v>63.2</v>
      </c>
      <c r="R34">
        <v>77</v>
      </c>
      <c r="S34">
        <v>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77</v>
      </c>
      <c r="AA34">
        <v>3</v>
      </c>
      <c r="AB34">
        <v>0</v>
      </c>
      <c r="AD34">
        <v>143.19999999999999</v>
      </c>
    </row>
    <row r="35" spans="1:30" x14ac:dyDescent="0.3">
      <c r="A35" s="4">
        <v>31</v>
      </c>
      <c r="B35" s="5">
        <v>28</v>
      </c>
      <c r="C35">
        <v>6</v>
      </c>
      <c r="D35" t="s">
        <v>109</v>
      </c>
      <c r="E35" t="s">
        <v>110</v>
      </c>
      <c r="F35" t="s">
        <v>30</v>
      </c>
      <c r="G35" t="s">
        <v>111</v>
      </c>
      <c r="H35" t="str">
        <f>"00149044"</f>
        <v>00149044</v>
      </c>
      <c r="I35">
        <v>36</v>
      </c>
      <c r="J35">
        <v>10</v>
      </c>
      <c r="K35">
        <v>8</v>
      </c>
      <c r="N35">
        <v>8</v>
      </c>
      <c r="O35">
        <v>4</v>
      </c>
      <c r="P35">
        <v>2</v>
      </c>
      <c r="Q35">
        <v>60</v>
      </c>
      <c r="R35">
        <v>80</v>
      </c>
      <c r="S35">
        <v>80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80</v>
      </c>
      <c r="AA35">
        <v>3</v>
      </c>
      <c r="AB35">
        <v>0</v>
      </c>
      <c r="AD35">
        <v>143</v>
      </c>
    </row>
    <row r="36" spans="1:30" x14ac:dyDescent="0.3">
      <c r="A36" s="4">
        <v>32</v>
      </c>
      <c r="B36" s="5">
        <v>29</v>
      </c>
      <c r="C36">
        <v>4219</v>
      </c>
      <c r="D36" t="s">
        <v>112</v>
      </c>
      <c r="E36" t="s">
        <v>41</v>
      </c>
      <c r="F36" t="s">
        <v>17</v>
      </c>
      <c r="G36" t="s">
        <v>113</v>
      </c>
      <c r="H36" t="str">
        <f>"00019959"</f>
        <v>00019959</v>
      </c>
      <c r="I36">
        <v>57.6</v>
      </c>
      <c r="J36">
        <v>10</v>
      </c>
      <c r="N36">
        <v>0</v>
      </c>
      <c r="O36">
        <v>4</v>
      </c>
      <c r="P36">
        <v>2</v>
      </c>
      <c r="Q36">
        <v>73.599999999999994</v>
      </c>
      <c r="R36">
        <v>60</v>
      </c>
      <c r="S36">
        <v>60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60</v>
      </c>
      <c r="AA36">
        <v>9</v>
      </c>
      <c r="AB36">
        <v>0</v>
      </c>
      <c r="AD36">
        <v>142.6</v>
      </c>
    </row>
    <row r="37" spans="1:30" x14ac:dyDescent="0.3">
      <c r="A37" s="4">
        <v>34</v>
      </c>
      <c r="B37" s="5">
        <v>30</v>
      </c>
      <c r="C37">
        <v>785</v>
      </c>
      <c r="D37" t="s">
        <v>116</v>
      </c>
      <c r="E37" t="s">
        <v>97</v>
      </c>
      <c r="F37" t="s">
        <v>117</v>
      </c>
      <c r="G37" t="s">
        <v>118</v>
      </c>
      <c r="H37" t="str">
        <f>"00441872"</f>
        <v>00441872</v>
      </c>
      <c r="I37">
        <v>21.6</v>
      </c>
      <c r="J37">
        <v>10</v>
      </c>
      <c r="K37">
        <v>8</v>
      </c>
      <c r="N37">
        <v>8</v>
      </c>
      <c r="O37">
        <v>4</v>
      </c>
      <c r="P37">
        <v>2</v>
      </c>
      <c r="Q37">
        <v>45.6</v>
      </c>
      <c r="R37">
        <v>97</v>
      </c>
      <c r="S37">
        <v>97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97</v>
      </c>
      <c r="AA37">
        <v>0</v>
      </c>
      <c r="AB37">
        <v>0</v>
      </c>
      <c r="AD37">
        <v>142.6</v>
      </c>
    </row>
    <row r="38" spans="1:30" x14ac:dyDescent="0.3">
      <c r="A38" s="4">
        <v>35</v>
      </c>
      <c r="B38" s="5">
        <v>31</v>
      </c>
      <c r="C38">
        <v>866</v>
      </c>
      <c r="D38" t="s">
        <v>119</v>
      </c>
      <c r="E38" t="s">
        <v>120</v>
      </c>
      <c r="F38" t="s">
        <v>58</v>
      </c>
      <c r="G38" t="s">
        <v>121</v>
      </c>
      <c r="H38" t="str">
        <f>"00001885"</f>
        <v>00001885</v>
      </c>
      <c r="I38">
        <v>50.4</v>
      </c>
      <c r="J38">
        <v>10</v>
      </c>
      <c r="K38">
        <v>8</v>
      </c>
      <c r="N38">
        <v>8</v>
      </c>
      <c r="O38">
        <v>4</v>
      </c>
      <c r="P38">
        <v>2</v>
      </c>
      <c r="Q38">
        <v>74.400000000000006</v>
      </c>
      <c r="R38">
        <v>62</v>
      </c>
      <c r="S38">
        <v>62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62</v>
      </c>
      <c r="AA38">
        <v>6</v>
      </c>
      <c r="AB38">
        <v>0</v>
      </c>
      <c r="AD38">
        <v>142.4</v>
      </c>
    </row>
    <row r="39" spans="1:30" x14ac:dyDescent="0.3">
      <c r="A39" s="4">
        <v>36</v>
      </c>
      <c r="B39" s="5">
        <v>32</v>
      </c>
      <c r="C39">
        <v>2861</v>
      </c>
      <c r="D39" t="s">
        <v>122</v>
      </c>
      <c r="E39" t="s">
        <v>123</v>
      </c>
      <c r="F39" t="s">
        <v>124</v>
      </c>
      <c r="G39" t="s">
        <v>125</v>
      </c>
      <c r="H39" t="str">
        <f>"00529747"</f>
        <v>00529747</v>
      </c>
      <c r="I39">
        <v>50.4</v>
      </c>
      <c r="J39">
        <v>10</v>
      </c>
      <c r="K39">
        <v>8</v>
      </c>
      <c r="N39">
        <v>8</v>
      </c>
      <c r="O39">
        <v>4</v>
      </c>
      <c r="P39">
        <v>2</v>
      </c>
      <c r="Q39">
        <v>74.400000000000006</v>
      </c>
      <c r="R39">
        <v>65</v>
      </c>
      <c r="S39">
        <v>65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65</v>
      </c>
      <c r="AA39">
        <v>3</v>
      </c>
      <c r="AB39">
        <v>0</v>
      </c>
      <c r="AD39">
        <v>142.4</v>
      </c>
    </row>
    <row r="40" spans="1:30" x14ac:dyDescent="0.3">
      <c r="A40" s="4">
        <v>38</v>
      </c>
      <c r="B40" s="5">
        <v>33</v>
      </c>
      <c r="C40">
        <v>2185</v>
      </c>
      <c r="D40" t="s">
        <v>127</v>
      </c>
      <c r="E40" t="s">
        <v>128</v>
      </c>
      <c r="F40" t="s">
        <v>17</v>
      </c>
      <c r="G40" t="s">
        <v>129</v>
      </c>
      <c r="H40" t="str">
        <f>"200802009174"</f>
        <v>200802009174</v>
      </c>
      <c r="I40">
        <v>57.6</v>
      </c>
      <c r="J40">
        <v>10</v>
      </c>
      <c r="K40">
        <v>8</v>
      </c>
      <c r="M40">
        <v>4</v>
      </c>
      <c r="N40">
        <v>12</v>
      </c>
      <c r="O40">
        <v>4</v>
      </c>
      <c r="P40">
        <v>2</v>
      </c>
      <c r="Q40">
        <v>85.6</v>
      </c>
      <c r="R40">
        <v>53</v>
      </c>
      <c r="S40">
        <v>53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53</v>
      </c>
      <c r="AA40">
        <v>3</v>
      </c>
      <c r="AB40">
        <v>0</v>
      </c>
      <c r="AC40" t="s">
        <v>130</v>
      </c>
      <c r="AD40">
        <v>141.6</v>
      </c>
    </row>
    <row r="41" spans="1:30" x14ac:dyDescent="0.3">
      <c r="A41" s="4">
        <v>39</v>
      </c>
      <c r="B41" s="5">
        <v>34</v>
      </c>
      <c r="C41">
        <v>1572</v>
      </c>
      <c r="D41" t="s">
        <v>131</v>
      </c>
      <c r="E41" t="s">
        <v>132</v>
      </c>
      <c r="F41" t="s">
        <v>91</v>
      </c>
      <c r="G41" t="s">
        <v>133</v>
      </c>
      <c r="H41" t="str">
        <f>"00481417"</f>
        <v>00481417</v>
      </c>
      <c r="I41">
        <v>43.2</v>
      </c>
      <c r="J41">
        <v>10</v>
      </c>
      <c r="M41">
        <v>4</v>
      </c>
      <c r="N41">
        <v>4</v>
      </c>
      <c r="O41">
        <v>4</v>
      </c>
      <c r="P41">
        <v>2</v>
      </c>
      <c r="Q41">
        <v>63.2</v>
      </c>
      <c r="R41">
        <v>78</v>
      </c>
      <c r="S41">
        <v>78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78</v>
      </c>
      <c r="AA41">
        <v>0</v>
      </c>
      <c r="AB41">
        <v>0</v>
      </c>
      <c r="AD41">
        <v>141.19999999999999</v>
      </c>
    </row>
    <row r="42" spans="1:30" x14ac:dyDescent="0.3">
      <c r="A42" s="4">
        <v>40</v>
      </c>
      <c r="B42" s="5">
        <v>35</v>
      </c>
      <c r="C42">
        <v>3766</v>
      </c>
      <c r="D42" t="s">
        <v>134</v>
      </c>
      <c r="E42" t="s">
        <v>135</v>
      </c>
      <c r="F42" t="s">
        <v>136</v>
      </c>
      <c r="G42" t="s">
        <v>137</v>
      </c>
      <c r="H42" t="str">
        <f>"00513973"</f>
        <v>00513973</v>
      </c>
      <c r="I42">
        <v>36</v>
      </c>
      <c r="J42">
        <v>10</v>
      </c>
      <c r="M42">
        <v>4</v>
      </c>
      <c r="N42">
        <v>4</v>
      </c>
      <c r="O42">
        <v>4</v>
      </c>
      <c r="P42">
        <v>2</v>
      </c>
      <c r="Q42">
        <v>56</v>
      </c>
      <c r="R42">
        <v>79</v>
      </c>
      <c r="S42">
        <v>79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79</v>
      </c>
      <c r="AA42">
        <v>6</v>
      </c>
      <c r="AB42">
        <v>0</v>
      </c>
      <c r="AD42">
        <v>141</v>
      </c>
    </row>
    <row r="43" spans="1:30" x14ac:dyDescent="0.3">
      <c r="A43" s="4">
        <v>41</v>
      </c>
      <c r="B43" s="5">
        <v>36</v>
      </c>
      <c r="C43">
        <v>3686</v>
      </c>
      <c r="D43" t="s">
        <v>138</v>
      </c>
      <c r="E43" t="s">
        <v>139</v>
      </c>
      <c r="F43" t="s">
        <v>140</v>
      </c>
      <c r="G43" t="s">
        <v>141</v>
      </c>
      <c r="H43" t="str">
        <f>"200911000237"</f>
        <v>200911000237</v>
      </c>
      <c r="I43">
        <v>28</v>
      </c>
      <c r="J43">
        <v>0</v>
      </c>
      <c r="K43">
        <v>8</v>
      </c>
      <c r="N43">
        <v>8</v>
      </c>
      <c r="O43">
        <v>4</v>
      </c>
      <c r="P43">
        <v>2</v>
      </c>
      <c r="Q43">
        <v>42</v>
      </c>
      <c r="R43">
        <v>93</v>
      </c>
      <c r="S43">
        <v>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93</v>
      </c>
      <c r="AA43">
        <v>6</v>
      </c>
      <c r="AB43">
        <v>0</v>
      </c>
      <c r="AD43">
        <v>141</v>
      </c>
    </row>
    <row r="44" spans="1:30" x14ac:dyDescent="0.3">
      <c r="A44" s="4">
        <v>42</v>
      </c>
      <c r="B44" s="5">
        <v>37</v>
      </c>
      <c r="C44">
        <v>2480</v>
      </c>
      <c r="D44" t="s">
        <v>142</v>
      </c>
      <c r="E44" t="s">
        <v>143</v>
      </c>
      <c r="F44" t="s">
        <v>20</v>
      </c>
      <c r="G44" t="s">
        <v>144</v>
      </c>
      <c r="H44" t="str">
        <f>"00505665"</f>
        <v>00505665</v>
      </c>
      <c r="I44">
        <v>72</v>
      </c>
      <c r="J44">
        <v>0</v>
      </c>
      <c r="M44">
        <v>4</v>
      </c>
      <c r="N44">
        <v>4</v>
      </c>
      <c r="O44">
        <v>4</v>
      </c>
      <c r="P44">
        <v>0</v>
      </c>
      <c r="Q44">
        <v>80</v>
      </c>
      <c r="R44">
        <v>61</v>
      </c>
      <c r="S44">
        <v>61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61</v>
      </c>
      <c r="AA44">
        <v>0</v>
      </c>
      <c r="AB44">
        <v>0</v>
      </c>
      <c r="AD44">
        <v>141</v>
      </c>
    </row>
    <row r="45" spans="1:30" x14ac:dyDescent="0.3">
      <c r="A45" s="4">
        <v>43</v>
      </c>
      <c r="B45" s="5">
        <v>38</v>
      </c>
      <c r="C45">
        <v>1818</v>
      </c>
      <c r="D45" t="s">
        <v>145</v>
      </c>
      <c r="E45" t="s">
        <v>88</v>
      </c>
      <c r="F45" t="s">
        <v>136</v>
      </c>
      <c r="G45" t="s">
        <v>146</v>
      </c>
      <c r="H45" t="str">
        <f>"00518762"</f>
        <v>00518762</v>
      </c>
      <c r="I45">
        <v>28.8</v>
      </c>
      <c r="J45">
        <v>0</v>
      </c>
      <c r="K45">
        <v>8</v>
      </c>
      <c r="N45">
        <v>8</v>
      </c>
      <c r="O45">
        <v>4</v>
      </c>
      <c r="P45">
        <v>2</v>
      </c>
      <c r="Q45">
        <v>42.8</v>
      </c>
      <c r="R45">
        <v>95</v>
      </c>
      <c r="S45">
        <v>95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95</v>
      </c>
      <c r="AA45">
        <v>3</v>
      </c>
      <c r="AB45">
        <v>0</v>
      </c>
      <c r="AD45">
        <v>140.80000000000001</v>
      </c>
    </row>
    <row r="46" spans="1:30" x14ac:dyDescent="0.3">
      <c r="A46" s="4">
        <v>46</v>
      </c>
      <c r="B46" s="5">
        <v>39</v>
      </c>
      <c r="C46">
        <v>3229</v>
      </c>
      <c r="D46" t="s">
        <v>148</v>
      </c>
      <c r="E46" t="s">
        <v>149</v>
      </c>
      <c r="F46" t="s">
        <v>150</v>
      </c>
      <c r="G46" t="s">
        <v>151</v>
      </c>
      <c r="H46" t="str">
        <f>"00514450"</f>
        <v>00514450</v>
      </c>
      <c r="I46">
        <v>50.4</v>
      </c>
      <c r="J46">
        <v>0</v>
      </c>
      <c r="N46">
        <v>0</v>
      </c>
      <c r="O46">
        <v>4</v>
      </c>
      <c r="P46">
        <v>2</v>
      </c>
      <c r="Q46">
        <v>56.4</v>
      </c>
      <c r="R46">
        <v>52</v>
      </c>
      <c r="S46">
        <v>52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52</v>
      </c>
      <c r="AA46">
        <v>0</v>
      </c>
      <c r="AB46">
        <v>32</v>
      </c>
      <c r="AD46">
        <v>140.4</v>
      </c>
    </row>
    <row r="47" spans="1:30" x14ac:dyDescent="0.3">
      <c r="A47" s="4">
        <v>47</v>
      </c>
      <c r="B47" s="5">
        <v>40</v>
      </c>
      <c r="C47">
        <v>1615</v>
      </c>
      <c r="D47" t="s">
        <v>152</v>
      </c>
      <c r="E47" t="s">
        <v>110</v>
      </c>
      <c r="F47" t="s">
        <v>68</v>
      </c>
      <c r="G47" t="s">
        <v>153</v>
      </c>
      <c r="H47" t="str">
        <f>"201511019548"</f>
        <v>201511019548</v>
      </c>
      <c r="I47">
        <v>43.2</v>
      </c>
      <c r="J47">
        <v>0</v>
      </c>
      <c r="N47">
        <v>0</v>
      </c>
      <c r="O47">
        <v>4</v>
      </c>
      <c r="P47">
        <v>2</v>
      </c>
      <c r="Q47">
        <v>49.2</v>
      </c>
      <c r="R47">
        <v>85</v>
      </c>
      <c r="S47">
        <v>85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85</v>
      </c>
      <c r="AA47">
        <v>6</v>
      </c>
      <c r="AB47">
        <v>0</v>
      </c>
      <c r="AD47">
        <v>140.19999999999999</v>
      </c>
    </row>
    <row r="48" spans="1:30" x14ac:dyDescent="0.3">
      <c r="A48" s="4">
        <v>48</v>
      </c>
      <c r="B48" s="5">
        <v>41</v>
      </c>
      <c r="C48">
        <v>3679</v>
      </c>
      <c r="D48" t="s">
        <v>154</v>
      </c>
      <c r="E48" t="s">
        <v>41</v>
      </c>
      <c r="F48" t="s">
        <v>38</v>
      </c>
      <c r="G48" t="s">
        <v>155</v>
      </c>
      <c r="H48" t="str">
        <f>"00525078"</f>
        <v>00525078</v>
      </c>
      <c r="I48">
        <v>72</v>
      </c>
      <c r="J48">
        <v>0</v>
      </c>
      <c r="K48">
        <v>8</v>
      </c>
      <c r="N48">
        <v>8</v>
      </c>
      <c r="O48">
        <v>4</v>
      </c>
      <c r="P48">
        <v>0</v>
      </c>
      <c r="Q48">
        <v>84</v>
      </c>
      <c r="R48">
        <v>56</v>
      </c>
      <c r="S48">
        <v>56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56</v>
      </c>
      <c r="AA48">
        <v>0</v>
      </c>
      <c r="AB48">
        <v>0</v>
      </c>
      <c r="AD48">
        <v>140</v>
      </c>
    </row>
    <row r="49" spans="1:30" x14ac:dyDescent="0.3">
      <c r="A49" s="4">
        <v>50</v>
      </c>
      <c r="B49" s="5">
        <v>42</v>
      </c>
      <c r="C49">
        <v>1745</v>
      </c>
      <c r="D49" t="s">
        <v>156</v>
      </c>
      <c r="E49" t="s">
        <v>157</v>
      </c>
      <c r="F49" t="s">
        <v>158</v>
      </c>
      <c r="G49" t="s">
        <v>159</v>
      </c>
      <c r="H49" t="str">
        <f>"00503152"</f>
        <v>00503152</v>
      </c>
      <c r="I49">
        <v>31.56</v>
      </c>
      <c r="J49">
        <v>0</v>
      </c>
      <c r="K49">
        <v>8</v>
      </c>
      <c r="N49">
        <v>8</v>
      </c>
      <c r="O49">
        <v>4</v>
      </c>
      <c r="P49">
        <v>2</v>
      </c>
      <c r="Q49">
        <v>45.56</v>
      </c>
      <c r="R49">
        <v>91</v>
      </c>
      <c r="S49">
        <v>91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91</v>
      </c>
      <c r="AA49">
        <v>3</v>
      </c>
      <c r="AB49">
        <v>0</v>
      </c>
      <c r="AD49">
        <v>139.56</v>
      </c>
    </row>
    <row r="50" spans="1:30" x14ac:dyDescent="0.3">
      <c r="A50" s="4">
        <v>52</v>
      </c>
      <c r="B50" s="5">
        <v>43</v>
      </c>
      <c r="C50">
        <v>30</v>
      </c>
      <c r="D50" t="s">
        <v>160</v>
      </c>
      <c r="E50" t="s">
        <v>161</v>
      </c>
      <c r="F50" t="s">
        <v>136</v>
      </c>
      <c r="G50" t="s">
        <v>162</v>
      </c>
      <c r="H50" t="str">
        <f>"00153639"</f>
        <v>00153639</v>
      </c>
      <c r="I50">
        <v>50.4</v>
      </c>
      <c r="J50">
        <v>10</v>
      </c>
      <c r="K50">
        <v>8</v>
      </c>
      <c r="N50">
        <v>8</v>
      </c>
      <c r="O50">
        <v>4</v>
      </c>
      <c r="P50">
        <v>2</v>
      </c>
      <c r="Q50">
        <v>74.400000000000006</v>
      </c>
      <c r="R50">
        <v>65</v>
      </c>
      <c r="S50">
        <v>65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65</v>
      </c>
      <c r="AA50">
        <v>0</v>
      </c>
      <c r="AB50">
        <v>0</v>
      </c>
      <c r="AD50">
        <v>139.4</v>
      </c>
    </row>
    <row r="51" spans="1:30" x14ac:dyDescent="0.3">
      <c r="A51" s="4">
        <v>53</v>
      </c>
      <c r="B51" s="5">
        <v>44</v>
      </c>
      <c r="C51">
        <v>1569</v>
      </c>
      <c r="D51" t="s">
        <v>163</v>
      </c>
      <c r="E51" t="s">
        <v>33</v>
      </c>
      <c r="F51" t="s">
        <v>117</v>
      </c>
      <c r="G51" t="s">
        <v>164</v>
      </c>
      <c r="H51" t="str">
        <f>"00509357"</f>
        <v>00509357</v>
      </c>
      <c r="I51">
        <v>43.2</v>
      </c>
      <c r="J51">
        <v>10</v>
      </c>
      <c r="M51">
        <v>4</v>
      </c>
      <c r="N51">
        <v>4</v>
      </c>
      <c r="O51">
        <v>0</v>
      </c>
      <c r="P51">
        <v>0</v>
      </c>
      <c r="Q51">
        <v>57.2</v>
      </c>
      <c r="R51">
        <v>55</v>
      </c>
      <c r="S51">
        <v>55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55</v>
      </c>
      <c r="AA51">
        <v>0</v>
      </c>
      <c r="AB51">
        <v>26.8</v>
      </c>
      <c r="AD51">
        <v>139</v>
      </c>
    </row>
    <row r="52" spans="1:30" x14ac:dyDescent="0.3">
      <c r="A52" s="4">
        <v>54</v>
      </c>
      <c r="B52" s="5">
        <v>45</v>
      </c>
      <c r="C52">
        <v>1891</v>
      </c>
      <c r="D52" t="s">
        <v>165</v>
      </c>
      <c r="E52" t="s">
        <v>166</v>
      </c>
      <c r="F52" t="s">
        <v>167</v>
      </c>
      <c r="G52" t="s">
        <v>168</v>
      </c>
      <c r="H52" t="str">
        <f>"00524974"</f>
        <v>00524974</v>
      </c>
      <c r="I52">
        <v>36</v>
      </c>
      <c r="J52">
        <v>10</v>
      </c>
      <c r="M52">
        <v>4</v>
      </c>
      <c r="N52">
        <v>4</v>
      </c>
      <c r="O52">
        <v>4</v>
      </c>
      <c r="P52">
        <v>2</v>
      </c>
      <c r="Q52">
        <v>56</v>
      </c>
      <c r="R52">
        <v>77</v>
      </c>
      <c r="S52">
        <v>77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77</v>
      </c>
      <c r="AA52">
        <v>6</v>
      </c>
      <c r="AB52">
        <v>0</v>
      </c>
      <c r="AD52">
        <v>139</v>
      </c>
    </row>
    <row r="53" spans="1:30" x14ac:dyDescent="0.3">
      <c r="A53" s="4">
        <v>56</v>
      </c>
      <c r="B53" s="5">
        <v>46</v>
      </c>
      <c r="C53">
        <v>452</v>
      </c>
      <c r="D53" t="s">
        <v>172</v>
      </c>
      <c r="E53" t="s">
        <v>173</v>
      </c>
      <c r="F53" t="s">
        <v>91</v>
      </c>
      <c r="G53" t="s">
        <v>174</v>
      </c>
      <c r="H53" t="str">
        <f>"00497322"</f>
        <v>00497322</v>
      </c>
      <c r="I53">
        <v>57.6</v>
      </c>
      <c r="J53">
        <v>10</v>
      </c>
      <c r="N53">
        <v>0</v>
      </c>
      <c r="O53">
        <v>4</v>
      </c>
      <c r="P53">
        <v>2</v>
      </c>
      <c r="Q53">
        <v>73.599999999999994</v>
      </c>
      <c r="R53">
        <v>62</v>
      </c>
      <c r="S53">
        <v>62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62</v>
      </c>
      <c r="AA53">
        <v>3</v>
      </c>
      <c r="AB53">
        <v>0</v>
      </c>
      <c r="AD53">
        <v>138.6</v>
      </c>
    </row>
    <row r="54" spans="1:30" x14ac:dyDescent="0.3">
      <c r="A54" s="4">
        <v>57</v>
      </c>
      <c r="B54" s="5">
        <v>47</v>
      </c>
      <c r="C54">
        <v>3832</v>
      </c>
      <c r="D54" t="s">
        <v>175</v>
      </c>
      <c r="E54" t="s">
        <v>54</v>
      </c>
      <c r="F54" t="s">
        <v>136</v>
      </c>
      <c r="G54" t="s">
        <v>176</v>
      </c>
      <c r="H54" t="str">
        <f>"00531736"</f>
        <v>00531736</v>
      </c>
      <c r="I54">
        <v>22.4</v>
      </c>
      <c r="J54">
        <v>10</v>
      </c>
      <c r="N54">
        <v>0</v>
      </c>
      <c r="O54">
        <v>4</v>
      </c>
      <c r="P54">
        <v>0</v>
      </c>
      <c r="Q54">
        <v>36.4</v>
      </c>
      <c r="R54">
        <v>64</v>
      </c>
      <c r="S54">
        <v>64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64</v>
      </c>
      <c r="AA54">
        <v>6</v>
      </c>
      <c r="AB54">
        <v>32</v>
      </c>
      <c r="AD54">
        <v>138.4</v>
      </c>
    </row>
    <row r="55" spans="1:30" x14ac:dyDescent="0.3">
      <c r="A55" s="4">
        <v>58</v>
      </c>
      <c r="B55" s="5">
        <v>48</v>
      </c>
      <c r="C55">
        <v>2499</v>
      </c>
      <c r="D55" t="s">
        <v>177</v>
      </c>
      <c r="E55" t="s">
        <v>178</v>
      </c>
      <c r="F55" t="s">
        <v>179</v>
      </c>
      <c r="G55" t="s">
        <v>180</v>
      </c>
      <c r="H55" t="str">
        <f>"00514563"</f>
        <v>00514563</v>
      </c>
      <c r="I55">
        <v>43.2</v>
      </c>
      <c r="J55">
        <v>0</v>
      </c>
      <c r="N55">
        <v>0</v>
      </c>
      <c r="O55">
        <v>4</v>
      </c>
      <c r="P55">
        <v>0</v>
      </c>
      <c r="Q55">
        <v>47.2</v>
      </c>
      <c r="R55">
        <v>85</v>
      </c>
      <c r="S55">
        <v>85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85</v>
      </c>
      <c r="AA55">
        <v>6</v>
      </c>
      <c r="AB55">
        <v>0</v>
      </c>
      <c r="AD55">
        <v>138.19999999999999</v>
      </c>
    </row>
    <row r="56" spans="1:30" x14ac:dyDescent="0.3">
      <c r="A56" s="4">
        <v>60</v>
      </c>
      <c r="B56" s="5">
        <v>49</v>
      </c>
      <c r="C56">
        <v>103</v>
      </c>
      <c r="D56" t="s">
        <v>183</v>
      </c>
      <c r="E56" t="s">
        <v>178</v>
      </c>
      <c r="F56" t="s">
        <v>38</v>
      </c>
      <c r="G56" t="s">
        <v>184</v>
      </c>
      <c r="H56" t="str">
        <f>"00483712"</f>
        <v>00483712</v>
      </c>
      <c r="I56">
        <v>35.119999999999997</v>
      </c>
      <c r="J56">
        <v>0</v>
      </c>
      <c r="N56">
        <v>0</v>
      </c>
      <c r="O56">
        <v>0</v>
      </c>
      <c r="P56">
        <v>0</v>
      </c>
      <c r="Q56">
        <v>35.119999999999997</v>
      </c>
      <c r="R56">
        <v>97</v>
      </c>
      <c r="S56">
        <v>97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97</v>
      </c>
      <c r="AA56">
        <v>6</v>
      </c>
      <c r="AB56">
        <v>0</v>
      </c>
      <c r="AD56">
        <v>138.12</v>
      </c>
    </row>
    <row r="57" spans="1:30" x14ac:dyDescent="0.3">
      <c r="A57" s="4">
        <v>61</v>
      </c>
      <c r="B57" s="5">
        <v>50</v>
      </c>
      <c r="C57">
        <v>2110</v>
      </c>
      <c r="D57" t="s">
        <v>185</v>
      </c>
      <c r="E57" t="s">
        <v>54</v>
      </c>
      <c r="F57" t="s">
        <v>38</v>
      </c>
      <c r="G57" t="s">
        <v>186</v>
      </c>
      <c r="H57" t="str">
        <f>"00532553"</f>
        <v>00532553</v>
      </c>
      <c r="I57">
        <v>36</v>
      </c>
      <c r="J57">
        <v>0</v>
      </c>
      <c r="N57">
        <v>0</v>
      </c>
      <c r="O57">
        <v>4</v>
      </c>
      <c r="P57">
        <v>0</v>
      </c>
      <c r="Q57">
        <v>40</v>
      </c>
      <c r="R57">
        <v>98</v>
      </c>
      <c r="S57">
        <v>98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98</v>
      </c>
      <c r="AA57">
        <v>0</v>
      </c>
      <c r="AB57">
        <v>0</v>
      </c>
      <c r="AD57">
        <v>138</v>
      </c>
    </row>
    <row r="58" spans="1:30" x14ac:dyDescent="0.3">
      <c r="A58" s="4">
        <v>62</v>
      </c>
      <c r="B58" s="5">
        <v>51</v>
      </c>
      <c r="C58">
        <v>2156</v>
      </c>
      <c r="D58" t="s">
        <v>187</v>
      </c>
      <c r="E58" t="s">
        <v>188</v>
      </c>
      <c r="F58" t="s">
        <v>124</v>
      </c>
      <c r="G58" t="s">
        <v>189</v>
      </c>
      <c r="H58" t="str">
        <f>"00531941"</f>
        <v>00531941</v>
      </c>
      <c r="I58">
        <v>28.8</v>
      </c>
      <c r="J58">
        <v>10</v>
      </c>
      <c r="K58">
        <v>8</v>
      </c>
      <c r="N58">
        <v>8</v>
      </c>
      <c r="O58">
        <v>4</v>
      </c>
      <c r="P58">
        <v>2</v>
      </c>
      <c r="Q58">
        <v>52.8</v>
      </c>
      <c r="R58">
        <v>76</v>
      </c>
      <c r="S58">
        <v>76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76</v>
      </c>
      <c r="AA58">
        <v>9</v>
      </c>
      <c r="AB58">
        <v>0</v>
      </c>
      <c r="AD58">
        <v>137.80000000000001</v>
      </c>
    </row>
    <row r="59" spans="1:30" x14ac:dyDescent="0.3">
      <c r="A59" s="4">
        <v>63</v>
      </c>
      <c r="B59" s="5">
        <v>52</v>
      </c>
      <c r="C59">
        <v>3644</v>
      </c>
      <c r="D59" t="s">
        <v>93</v>
      </c>
      <c r="E59" t="s">
        <v>22</v>
      </c>
      <c r="F59" t="s">
        <v>190</v>
      </c>
      <c r="G59" t="s">
        <v>191</v>
      </c>
      <c r="H59" t="str">
        <f>"00442176"</f>
        <v>00442176</v>
      </c>
      <c r="I59">
        <v>64.8</v>
      </c>
      <c r="J59">
        <v>10</v>
      </c>
      <c r="K59">
        <v>8</v>
      </c>
      <c r="N59">
        <v>8</v>
      </c>
      <c r="O59">
        <v>4</v>
      </c>
      <c r="P59">
        <v>2</v>
      </c>
      <c r="Q59">
        <v>88.8</v>
      </c>
      <c r="R59">
        <v>46</v>
      </c>
      <c r="S59">
        <v>46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46</v>
      </c>
      <c r="AA59">
        <v>3</v>
      </c>
      <c r="AB59">
        <v>0</v>
      </c>
      <c r="AD59">
        <v>137.80000000000001</v>
      </c>
    </row>
    <row r="60" spans="1:30" x14ac:dyDescent="0.3">
      <c r="A60" s="4">
        <v>64</v>
      </c>
      <c r="B60" s="5">
        <v>53</v>
      </c>
      <c r="C60">
        <v>2763</v>
      </c>
      <c r="D60" t="s">
        <v>192</v>
      </c>
      <c r="E60" t="s">
        <v>29</v>
      </c>
      <c r="F60" t="s">
        <v>193</v>
      </c>
      <c r="G60" t="s">
        <v>194</v>
      </c>
      <c r="H60" t="str">
        <f>"00531211"</f>
        <v>00531211</v>
      </c>
      <c r="I60">
        <v>57.6</v>
      </c>
      <c r="J60">
        <v>10</v>
      </c>
      <c r="N60">
        <v>0</v>
      </c>
      <c r="O60">
        <v>4</v>
      </c>
      <c r="P60">
        <v>2</v>
      </c>
      <c r="Q60">
        <v>73.599999999999994</v>
      </c>
      <c r="R60">
        <v>38</v>
      </c>
      <c r="S60">
        <v>38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38</v>
      </c>
      <c r="AA60">
        <v>6</v>
      </c>
      <c r="AB60">
        <v>20</v>
      </c>
      <c r="AD60">
        <v>137.6</v>
      </c>
    </row>
    <row r="61" spans="1:30" x14ac:dyDescent="0.3">
      <c r="A61" s="4">
        <v>65</v>
      </c>
      <c r="B61" s="5">
        <v>54</v>
      </c>
      <c r="C61">
        <v>1101</v>
      </c>
      <c r="D61" t="s">
        <v>195</v>
      </c>
      <c r="E61" t="s">
        <v>196</v>
      </c>
      <c r="F61" t="s">
        <v>68</v>
      </c>
      <c r="G61" t="s">
        <v>197</v>
      </c>
      <c r="H61" t="str">
        <f>"00501836"</f>
        <v>00501836</v>
      </c>
      <c r="I61">
        <v>57.6</v>
      </c>
      <c r="J61">
        <v>10</v>
      </c>
      <c r="M61">
        <v>4</v>
      </c>
      <c r="N61">
        <v>4</v>
      </c>
      <c r="O61">
        <v>4</v>
      </c>
      <c r="P61">
        <v>2</v>
      </c>
      <c r="Q61">
        <v>77.599999999999994</v>
      </c>
      <c r="R61">
        <v>60</v>
      </c>
      <c r="S61">
        <v>60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60</v>
      </c>
      <c r="AA61">
        <v>0</v>
      </c>
      <c r="AB61">
        <v>0</v>
      </c>
      <c r="AD61">
        <v>137.6</v>
      </c>
    </row>
    <row r="62" spans="1:30" x14ac:dyDescent="0.3">
      <c r="A62" s="4">
        <v>66</v>
      </c>
      <c r="B62" s="5">
        <v>55</v>
      </c>
      <c r="C62">
        <v>548</v>
      </c>
      <c r="D62" t="s">
        <v>198</v>
      </c>
      <c r="E62" t="s">
        <v>199</v>
      </c>
      <c r="F62" t="s">
        <v>117</v>
      </c>
      <c r="G62" t="s">
        <v>200</v>
      </c>
      <c r="H62" t="str">
        <f>"00524947"</f>
        <v>00524947</v>
      </c>
      <c r="I62">
        <v>57.6</v>
      </c>
      <c r="J62">
        <v>10</v>
      </c>
      <c r="M62">
        <v>4</v>
      </c>
      <c r="N62">
        <v>4</v>
      </c>
      <c r="O62">
        <v>4</v>
      </c>
      <c r="P62">
        <v>0</v>
      </c>
      <c r="Q62">
        <v>75.599999999999994</v>
      </c>
      <c r="R62">
        <v>62</v>
      </c>
      <c r="S62">
        <v>62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62</v>
      </c>
      <c r="AA62">
        <v>0</v>
      </c>
      <c r="AB62">
        <v>0</v>
      </c>
      <c r="AD62">
        <v>137.6</v>
      </c>
    </row>
    <row r="63" spans="1:30" x14ac:dyDescent="0.3">
      <c r="A63" s="4">
        <v>67</v>
      </c>
      <c r="B63" s="5">
        <v>56</v>
      </c>
      <c r="C63">
        <v>3116</v>
      </c>
      <c r="D63" t="s">
        <v>201</v>
      </c>
      <c r="E63" t="s">
        <v>54</v>
      </c>
      <c r="F63" t="s">
        <v>17</v>
      </c>
      <c r="G63" t="s">
        <v>202</v>
      </c>
      <c r="H63" t="str">
        <f>"00507470"</f>
        <v>00507470</v>
      </c>
      <c r="I63">
        <v>14.4</v>
      </c>
      <c r="J63">
        <v>0</v>
      </c>
      <c r="M63">
        <v>4</v>
      </c>
      <c r="N63">
        <v>4</v>
      </c>
      <c r="O63">
        <v>4</v>
      </c>
      <c r="P63">
        <v>2</v>
      </c>
      <c r="Q63">
        <v>24.4</v>
      </c>
      <c r="R63">
        <v>107</v>
      </c>
      <c r="S63">
        <v>107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107</v>
      </c>
      <c r="AA63">
        <v>6</v>
      </c>
      <c r="AB63">
        <v>0</v>
      </c>
      <c r="AD63">
        <v>137.4</v>
      </c>
    </row>
    <row r="64" spans="1:30" x14ac:dyDescent="0.3">
      <c r="A64" s="4">
        <v>68</v>
      </c>
      <c r="B64" s="5">
        <v>57</v>
      </c>
      <c r="C64">
        <v>1646</v>
      </c>
      <c r="D64" t="s">
        <v>203</v>
      </c>
      <c r="E64" t="s">
        <v>161</v>
      </c>
      <c r="F64" t="s">
        <v>38</v>
      </c>
      <c r="G64" t="s">
        <v>204</v>
      </c>
      <c r="H64" t="str">
        <f>"00156803"</f>
        <v>00156803</v>
      </c>
      <c r="I64">
        <v>14.4</v>
      </c>
      <c r="J64">
        <v>10</v>
      </c>
      <c r="K64">
        <v>8</v>
      </c>
      <c r="N64">
        <v>8</v>
      </c>
      <c r="O64">
        <v>4</v>
      </c>
      <c r="P64">
        <v>0</v>
      </c>
      <c r="Q64">
        <v>36.4</v>
      </c>
      <c r="R64">
        <v>98</v>
      </c>
      <c r="S64">
        <v>98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98</v>
      </c>
      <c r="AA64">
        <v>3</v>
      </c>
      <c r="AB64">
        <v>0</v>
      </c>
      <c r="AD64">
        <v>137.4</v>
      </c>
    </row>
    <row r="65" spans="1:30" x14ac:dyDescent="0.3">
      <c r="A65" s="4">
        <v>69</v>
      </c>
      <c r="B65" s="5">
        <v>58</v>
      </c>
      <c r="C65">
        <v>1383</v>
      </c>
      <c r="D65" t="s">
        <v>205</v>
      </c>
      <c r="E65" t="s">
        <v>65</v>
      </c>
      <c r="F65" t="s">
        <v>17</v>
      </c>
      <c r="G65" t="s">
        <v>206</v>
      </c>
      <c r="H65" t="str">
        <f>"00162974"</f>
        <v>00162974</v>
      </c>
      <c r="I65">
        <v>38.24</v>
      </c>
      <c r="J65">
        <v>0</v>
      </c>
      <c r="N65">
        <v>0</v>
      </c>
      <c r="O65">
        <v>4</v>
      </c>
      <c r="P65">
        <v>0</v>
      </c>
      <c r="Q65">
        <v>42.24</v>
      </c>
      <c r="R65">
        <v>89</v>
      </c>
      <c r="S65">
        <v>89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89</v>
      </c>
      <c r="AA65">
        <v>6</v>
      </c>
      <c r="AB65">
        <v>0</v>
      </c>
      <c r="AD65">
        <v>137.24</v>
      </c>
    </row>
    <row r="66" spans="1:30" x14ac:dyDescent="0.3">
      <c r="A66" s="4">
        <v>70</v>
      </c>
      <c r="B66" s="5">
        <v>59</v>
      </c>
      <c r="C66">
        <v>1950</v>
      </c>
      <c r="D66" t="s">
        <v>207</v>
      </c>
      <c r="E66" t="s">
        <v>208</v>
      </c>
      <c r="F66" t="s">
        <v>17</v>
      </c>
      <c r="G66" t="s">
        <v>209</v>
      </c>
      <c r="H66" t="str">
        <f>"00533000"</f>
        <v>00533000</v>
      </c>
      <c r="I66">
        <v>7.2</v>
      </c>
      <c r="J66">
        <v>0</v>
      </c>
      <c r="N66">
        <v>0</v>
      </c>
      <c r="O66">
        <v>4</v>
      </c>
      <c r="P66">
        <v>0</v>
      </c>
      <c r="Q66">
        <v>11.2</v>
      </c>
      <c r="R66">
        <v>80</v>
      </c>
      <c r="S66">
        <v>80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80</v>
      </c>
      <c r="AA66">
        <v>6</v>
      </c>
      <c r="AB66">
        <v>40</v>
      </c>
      <c r="AD66">
        <v>137.19999999999999</v>
      </c>
    </row>
    <row r="67" spans="1:30" x14ac:dyDescent="0.3">
      <c r="A67" s="4">
        <v>71</v>
      </c>
      <c r="B67" s="5">
        <v>60</v>
      </c>
      <c r="C67">
        <v>2803</v>
      </c>
      <c r="D67" t="s">
        <v>210</v>
      </c>
      <c r="E67" t="s">
        <v>29</v>
      </c>
      <c r="F67" t="s">
        <v>30</v>
      </c>
      <c r="G67" t="s">
        <v>211</v>
      </c>
      <c r="H67" t="str">
        <f>"00525314"</f>
        <v>00525314</v>
      </c>
      <c r="I67">
        <v>43.2</v>
      </c>
      <c r="J67">
        <v>10</v>
      </c>
      <c r="M67">
        <v>4</v>
      </c>
      <c r="N67">
        <v>4</v>
      </c>
      <c r="O67">
        <v>4</v>
      </c>
      <c r="P67">
        <v>2</v>
      </c>
      <c r="Q67">
        <v>63.2</v>
      </c>
      <c r="R67">
        <v>68</v>
      </c>
      <c r="S67">
        <v>68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68</v>
      </c>
      <c r="AA67">
        <v>6</v>
      </c>
      <c r="AB67">
        <v>0</v>
      </c>
      <c r="AD67">
        <v>137.19999999999999</v>
      </c>
    </row>
    <row r="68" spans="1:30" x14ac:dyDescent="0.3">
      <c r="A68" s="4">
        <v>72</v>
      </c>
      <c r="B68" s="5">
        <v>61</v>
      </c>
      <c r="C68">
        <v>3541</v>
      </c>
      <c r="D68" t="s">
        <v>212</v>
      </c>
      <c r="E68" t="s">
        <v>213</v>
      </c>
      <c r="F68" t="s">
        <v>214</v>
      </c>
      <c r="G68" t="s">
        <v>215</v>
      </c>
      <c r="H68" t="str">
        <f>"200802004952"</f>
        <v>200802004952</v>
      </c>
      <c r="I68">
        <v>72</v>
      </c>
      <c r="J68">
        <v>10</v>
      </c>
      <c r="M68">
        <v>4</v>
      </c>
      <c r="N68">
        <v>4</v>
      </c>
      <c r="O68">
        <v>4</v>
      </c>
      <c r="P68">
        <v>0</v>
      </c>
      <c r="Q68">
        <v>90</v>
      </c>
      <c r="R68">
        <v>38</v>
      </c>
      <c r="S68">
        <v>38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38</v>
      </c>
      <c r="AA68">
        <v>9</v>
      </c>
      <c r="AB68">
        <v>0</v>
      </c>
      <c r="AD68">
        <v>137</v>
      </c>
    </row>
    <row r="69" spans="1:30" x14ac:dyDescent="0.3">
      <c r="A69" s="4">
        <v>73</v>
      </c>
      <c r="B69" s="5">
        <v>62</v>
      </c>
      <c r="C69">
        <v>983</v>
      </c>
      <c r="D69" t="s">
        <v>216</v>
      </c>
      <c r="E69" t="s">
        <v>147</v>
      </c>
      <c r="F69" t="s">
        <v>81</v>
      </c>
      <c r="G69" t="s">
        <v>217</v>
      </c>
      <c r="H69" t="str">
        <f>"00441500"</f>
        <v>00441500</v>
      </c>
      <c r="I69">
        <v>36</v>
      </c>
      <c r="J69">
        <v>0</v>
      </c>
      <c r="L69">
        <v>6</v>
      </c>
      <c r="N69">
        <v>6</v>
      </c>
      <c r="O69">
        <v>4</v>
      </c>
      <c r="P69">
        <v>2</v>
      </c>
      <c r="Q69">
        <v>48</v>
      </c>
      <c r="R69">
        <v>89</v>
      </c>
      <c r="S69">
        <v>89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89</v>
      </c>
      <c r="AA69">
        <v>0</v>
      </c>
      <c r="AB69">
        <v>0</v>
      </c>
      <c r="AD69">
        <v>137</v>
      </c>
    </row>
    <row r="70" spans="1:30" x14ac:dyDescent="0.3">
      <c r="A70" s="4">
        <v>74</v>
      </c>
      <c r="B70" s="5">
        <v>63</v>
      </c>
      <c r="C70">
        <v>2673</v>
      </c>
      <c r="D70" t="s">
        <v>218</v>
      </c>
      <c r="E70" t="s">
        <v>219</v>
      </c>
      <c r="F70" t="s">
        <v>117</v>
      </c>
      <c r="G70" t="s">
        <v>220</v>
      </c>
      <c r="H70" t="str">
        <f>"00441525"</f>
        <v>00441525</v>
      </c>
      <c r="I70">
        <v>28.8</v>
      </c>
      <c r="J70">
        <v>0</v>
      </c>
      <c r="N70">
        <v>0</v>
      </c>
      <c r="O70">
        <v>4</v>
      </c>
      <c r="P70">
        <v>0</v>
      </c>
      <c r="Q70">
        <v>32.799999999999997</v>
      </c>
      <c r="R70">
        <v>98</v>
      </c>
      <c r="S70">
        <v>98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98</v>
      </c>
      <c r="AA70">
        <v>6</v>
      </c>
      <c r="AB70">
        <v>0</v>
      </c>
      <c r="AD70">
        <v>136.80000000000001</v>
      </c>
    </row>
    <row r="71" spans="1:30" x14ac:dyDescent="0.3">
      <c r="A71" s="4">
        <v>75</v>
      </c>
      <c r="B71" s="5">
        <v>64</v>
      </c>
      <c r="C71">
        <v>312</v>
      </c>
      <c r="D71" t="s">
        <v>221</v>
      </c>
      <c r="E71" t="s">
        <v>115</v>
      </c>
      <c r="F71" t="s">
        <v>222</v>
      </c>
      <c r="G71" t="s">
        <v>223</v>
      </c>
      <c r="H71" t="str">
        <f>"00480060"</f>
        <v>00480060</v>
      </c>
      <c r="I71">
        <v>64.8</v>
      </c>
      <c r="J71">
        <v>0</v>
      </c>
      <c r="M71">
        <v>4</v>
      </c>
      <c r="N71">
        <v>4</v>
      </c>
      <c r="O71">
        <v>4</v>
      </c>
      <c r="P71">
        <v>2</v>
      </c>
      <c r="Q71">
        <v>74.8</v>
      </c>
      <c r="R71">
        <v>62</v>
      </c>
      <c r="S71">
        <v>62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62</v>
      </c>
      <c r="AA71">
        <v>0</v>
      </c>
      <c r="AB71">
        <v>0</v>
      </c>
      <c r="AD71">
        <v>136.80000000000001</v>
      </c>
    </row>
    <row r="72" spans="1:30" x14ac:dyDescent="0.3">
      <c r="A72" s="4">
        <v>76</v>
      </c>
      <c r="B72" s="5">
        <v>65</v>
      </c>
      <c r="C72">
        <v>1243</v>
      </c>
      <c r="D72" t="s">
        <v>224</v>
      </c>
      <c r="E72" t="s">
        <v>100</v>
      </c>
      <c r="F72" t="s">
        <v>38</v>
      </c>
      <c r="G72" t="s">
        <v>225</v>
      </c>
      <c r="H72" t="str">
        <f>"00508303"</f>
        <v>00508303</v>
      </c>
      <c r="I72">
        <v>57.6</v>
      </c>
      <c r="J72">
        <v>0</v>
      </c>
      <c r="N72">
        <v>0</v>
      </c>
      <c r="O72">
        <v>4</v>
      </c>
      <c r="P72">
        <v>2</v>
      </c>
      <c r="Q72">
        <v>63.6</v>
      </c>
      <c r="R72">
        <v>70</v>
      </c>
      <c r="S72">
        <v>70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70</v>
      </c>
      <c r="AA72">
        <v>3</v>
      </c>
      <c r="AB72">
        <v>0</v>
      </c>
      <c r="AD72">
        <v>136.6</v>
      </c>
    </row>
    <row r="73" spans="1:30" x14ac:dyDescent="0.3">
      <c r="A73" s="4">
        <v>77</v>
      </c>
      <c r="B73" s="5">
        <v>66</v>
      </c>
      <c r="C73">
        <v>3983</v>
      </c>
      <c r="D73" t="s">
        <v>226</v>
      </c>
      <c r="E73" t="s">
        <v>22</v>
      </c>
      <c r="F73" t="s">
        <v>227</v>
      </c>
      <c r="G73" t="s">
        <v>228</v>
      </c>
      <c r="H73" t="str">
        <f>"00475394"</f>
        <v>00475394</v>
      </c>
      <c r="I73">
        <v>50.4</v>
      </c>
      <c r="J73">
        <v>0</v>
      </c>
      <c r="M73">
        <v>8</v>
      </c>
      <c r="N73">
        <v>8</v>
      </c>
      <c r="O73">
        <v>4</v>
      </c>
      <c r="P73">
        <v>2</v>
      </c>
      <c r="Q73">
        <v>64.400000000000006</v>
      </c>
      <c r="R73">
        <v>72</v>
      </c>
      <c r="S73">
        <v>72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72</v>
      </c>
      <c r="AA73">
        <v>0</v>
      </c>
      <c r="AB73">
        <v>0</v>
      </c>
      <c r="AD73">
        <v>136.4</v>
      </c>
    </row>
    <row r="74" spans="1:30" x14ac:dyDescent="0.3">
      <c r="A74" s="4">
        <v>78</v>
      </c>
      <c r="B74" s="5">
        <v>67</v>
      </c>
      <c r="C74">
        <v>2993</v>
      </c>
      <c r="D74" t="s">
        <v>229</v>
      </c>
      <c r="E74" t="s">
        <v>161</v>
      </c>
      <c r="F74" t="s">
        <v>230</v>
      </c>
      <c r="G74" t="s">
        <v>231</v>
      </c>
      <c r="H74" t="str">
        <f>"00442424"</f>
        <v>00442424</v>
      </c>
      <c r="I74">
        <v>23.28</v>
      </c>
      <c r="J74">
        <v>10</v>
      </c>
      <c r="M74">
        <v>4</v>
      </c>
      <c r="N74">
        <v>4</v>
      </c>
      <c r="O74">
        <v>0</v>
      </c>
      <c r="P74">
        <v>0</v>
      </c>
      <c r="Q74">
        <v>37.28</v>
      </c>
      <c r="R74">
        <v>93</v>
      </c>
      <c r="S74">
        <v>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93</v>
      </c>
      <c r="AA74">
        <v>6</v>
      </c>
      <c r="AB74">
        <v>0</v>
      </c>
      <c r="AD74">
        <v>136.28</v>
      </c>
    </row>
    <row r="75" spans="1:30" x14ac:dyDescent="0.3">
      <c r="A75" s="4">
        <v>79</v>
      </c>
      <c r="B75" s="5">
        <v>68</v>
      </c>
      <c r="C75">
        <v>2339</v>
      </c>
      <c r="D75" t="s">
        <v>232</v>
      </c>
      <c r="E75" t="s">
        <v>139</v>
      </c>
      <c r="F75" t="s">
        <v>158</v>
      </c>
      <c r="G75" t="s">
        <v>233</v>
      </c>
      <c r="H75" t="str">
        <f>"00441905"</f>
        <v>00441905</v>
      </c>
      <c r="I75">
        <v>43.2</v>
      </c>
      <c r="J75">
        <v>10</v>
      </c>
      <c r="M75">
        <v>4</v>
      </c>
      <c r="N75">
        <v>4</v>
      </c>
      <c r="O75">
        <v>4</v>
      </c>
      <c r="P75">
        <v>2</v>
      </c>
      <c r="Q75">
        <v>63.2</v>
      </c>
      <c r="R75">
        <v>70</v>
      </c>
      <c r="S75">
        <v>70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70</v>
      </c>
      <c r="AA75">
        <v>3</v>
      </c>
      <c r="AB75">
        <v>0</v>
      </c>
      <c r="AD75">
        <v>136.19999999999999</v>
      </c>
    </row>
    <row r="76" spans="1:30" x14ac:dyDescent="0.3">
      <c r="A76" s="4">
        <v>81</v>
      </c>
      <c r="B76" s="5">
        <v>69</v>
      </c>
      <c r="C76">
        <v>1312</v>
      </c>
      <c r="D76" t="s">
        <v>236</v>
      </c>
      <c r="E76" t="s">
        <v>237</v>
      </c>
      <c r="F76" t="s">
        <v>238</v>
      </c>
      <c r="G76" t="s">
        <v>239</v>
      </c>
      <c r="H76" t="str">
        <f>"00480409"</f>
        <v>00480409</v>
      </c>
      <c r="I76">
        <v>22.84</v>
      </c>
      <c r="J76">
        <v>10</v>
      </c>
      <c r="L76">
        <v>6</v>
      </c>
      <c r="M76">
        <v>4</v>
      </c>
      <c r="N76">
        <v>10</v>
      </c>
      <c r="O76">
        <v>4</v>
      </c>
      <c r="P76">
        <v>2</v>
      </c>
      <c r="Q76">
        <v>48.84</v>
      </c>
      <c r="R76">
        <v>84</v>
      </c>
      <c r="S76">
        <v>84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84</v>
      </c>
      <c r="AA76">
        <v>3</v>
      </c>
      <c r="AB76">
        <v>0</v>
      </c>
      <c r="AD76">
        <v>135.84</v>
      </c>
    </row>
    <row r="77" spans="1:30" x14ac:dyDescent="0.3">
      <c r="A77" s="4">
        <v>83</v>
      </c>
      <c r="B77" s="5">
        <v>70</v>
      </c>
      <c r="C77">
        <v>2139</v>
      </c>
      <c r="D77" t="s">
        <v>241</v>
      </c>
      <c r="E77" t="s">
        <v>242</v>
      </c>
      <c r="F77" t="s">
        <v>243</v>
      </c>
      <c r="G77" t="s">
        <v>244</v>
      </c>
      <c r="H77" t="str">
        <f>"00510199"</f>
        <v>00510199</v>
      </c>
      <c r="I77">
        <v>26.56</v>
      </c>
      <c r="J77">
        <v>0</v>
      </c>
      <c r="N77">
        <v>0</v>
      </c>
      <c r="O77">
        <v>0</v>
      </c>
      <c r="P77">
        <v>2</v>
      </c>
      <c r="Q77">
        <v>28.56</v>
      </c>
      <c r="R77">
        <v>98</v>
      </c>
      <c r="S77">
        <v>98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98</v>
      </c>
      <c r="AA77">
        <v>9</v>
      </c>
      <c r="AB77">
        <v>0</v>
      </c>
      <c r="AD77">
        <v>135.56</v>
      </c>
    </row>
    <row r="78" spans="1:30" x14ac:dyDescent="0.3">
      <c r="A78" s="4">
        <v>86</v>
      </c>
      <c r="B78" s="5">
        <v>71</v>
      </c>
      <c r="C78">
        <v>191</v>
      </c>
      <c r="D78" t="s">
        <v>246</v>
      </c>
      <c r="E78" t="s">
        <v>54</v>
      </c>
      <c r="F78" t="s">
        <v>38</v>
      </c>
      <c r="G78" t="s">
        <v>247</v>
      </c>
      <c r="H78" t="str">
        <f>"00509000"</f>
        <v>00509000</v>
      </c>
      <c r="I78">
        <v>50.4</v>
      </c>
      <c r="J78">
        <v>10</v>
      </c>
      <c r="M78">
        <v>4</v>
      </c>
      <c r="N78">
        <v>4</v>
      </c>
      <c r="O78">
        <v>4</v>
      </c>
      <c r="P78">
        <v>0</v>
      </c>
      <c r="Q78">
        <v>68.400000000000006</v>
      </c>
      <c r="R78">
        <v>67</v>
      </c>
      <c r="S78">
        <v>67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67</v>
      </c>
      <c r="AA78">
        <v>0</v>
      </c>
      <c r="AB78">
        <v>0</v>
      </c>
      <c r="AD78">
        <v>135.4</v>
      </c>
    </row>
    <row r="79" spans="1:30" x14ac:dyDescent="0.3">
      <c r="A79" s="4">
        <v>87</v>
      </c>
      <c r="B79" s="5">
        <v>72</v>
      </c>
      <c r="C79">
        <v>2213</v>
      </c>
      <c r="D79" t="s">
        <v>248</v>
      </c>
      <c r="E79" t="s">
        <v>249</v>
      </c>
      <c r="F79" t="s">
        <v>243</v>
      </c>
      <c r="G79" t="s">
        <v>250</v>
      </c>
      <c r="H79" t="str">
        <f>"00480073"</f>
        <v>00480073</v>
      </c>
      <c r="I79">
        <v>50.4</v>
      </c>
      <c r="J79">
        <v>0</v>
      </c>
      <c r="N79">
        <v>0</v>
      </c>
      <c r="O79">
        <v>4</v>
      </c>
      <c r="P79">
        <v>0</v>
      </c>
      <c r="Q79">
        <v>54.4</v>
      </c>
      <c r="R79">
        <v>81</v>
      </c>
      <c r="S79">
        <v>81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81</v>
      </c>
      <c r="AA79">
        <v>0</v>
      </c>
      <c r="AB79">
        <v>0</v>
      </c>
      <c r="AD79">
        <v>135.4</v>
      </c>
    </row>
    <row r="80" spans="1:30" x14ac:dyDescent="0.3">
      <c r="A80" s="4">
        <v>88</v>
      </c>
      <c r="B80" s="5">
        <v>73</v>
      </c>
      <c r="C80">
        <v>444</v>
      </c>
      <c r="D80" t="s">
        <v>251</v>
      </c>
      <c r="E80" t="s">
        <v>29</v>
      </c>
      <c r="F80" t="s">
        <v>252</v>
      </c>
      <c r="G80" t="s">
        <v>253</v>
      </c>
      <c r="H80" t="str">
        <f>"00530675"</f>
        <v>00530675</v>
      </c>
      <c r="I80">
        <v>31.28</v>
      </c>
      <c r="J80">
        <v>0</v>
      </c>
      <c r="N80">
        <v>0</v>
      </c>
      <c r="O80">
        <v>0</v>
      </c>
      <c r="P80">
        <v>0</v>
      </c>
      <c r="Q80">
        <v>31.28</v>
      </c>
      <c r="R80">
        <v>98</v>
      </c>
      <c r="S80">
        <v>98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98</v>
      </c>
      <c r="AA80">
        <v>6</v>
      </c>
      <c r="AB80">
        <v>0</v>
      </c>
      <c r="AD80">
        <v>135.28</v>
      </c>
    </row>
    <row r="81" spans="1:30" x14ac:dyDescent="0.3">
      <c r="A81" s="4">
        <v>89</v>
      </c>
      <c r="B81" s="5">
        <v>74</v>
      </c>
      <c r="C81">
        <v>3626</v>
      </c>
      <c r="D81" t="s">
        <v>254</v>
      </c>
      <c r="E81" t="s">
        <v>255</v>
      </c>
      <c r="F81" t="s">
        <v>68</v>
      </c>
      <c r="G81" t="s">
        <v>256</v>
      </c>
      <c r="H81" t="str">
        <f>"00511810"</f>
        <v>00511810</v>
      </c>
      <c r="I81">
        <v>43.2</v>
      </c>
      <c r="J81">
        <v>0</v>
      </c>
      <c r="N81">
        <v>0</v>
      </c>
      <c r="O81">
        <v>4</v>
      </c>
      <c r="P81">
        <v>0</v>
      </c>
      <c r="Q81">
        <v>47.2</v>
      </c>
      <c r="R81">
        <v>82</v>
      </c>
      <c r="S81">
        <v>82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82</v>
      </c>
      <c r="AA81">
        <v>6</v>
      </c>
      <c r="AB81">
        <v>0</v>
      </c>
      <c r="AD81">
        <v>135.19999999999999</v>
      </c>
    </row>
    <row r="82" spans="1:30" x14ac:dyDescent="0.3">
      <c r="A82" s="4">
        <v>90</v>
      </c>
      <c r="B82" s="5">
        <v>75</v>
      </c>
      <c r="C82">
        <v>568</v>
      </c>
      <c r="D82" t="s">
        <v>257</v>
      </c>
      <c r="E82" t="s">
        <v>258</v>
      </c>
      <c r="F82" t="s">
        <v>259</v>
      </c>
      <c r="G82" t="s">
        <v>260</v>
      </c>
      <c r="H82" t="str">
        <f>"201409003284"</f>
        <v>201409003284</v>
      </c>
      <c r="I82">
        <v>37.08</v>
      </c>
      <c r="J82">
        <v>0</v>
      </c>
      <c r="M82">
        <v>4</v>
      </c>
      <c r="N82">
        <v>4</v>
      </c>
      <c r="O82">
        <v>4</v>
      </c>
      <c r="P82">
        <v>0</v>
      </c>
      <c r="Q82">
        <v>45.08</v>
      </c>
      <c r="R82">
        <v>84</v>
      </c>
      <c r="S82">
        <v>84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84</v>
      </c>
      <c r="AA82">
        <v>6</v>
      </c>
      <c r="AB82">
        <v>0</v>
      </c>
      <c r="AD82">
        <v>135.08000000000001</v>
      </c>
    </row>
    <row r="83" spans="1:30" x14ac:dyDescent="0.3">
      <c r="A83" s="4">
        <v>91</v>
      </c>
      <c r="B83" s="5">
        <v>76</v>
      </c>
      <c r="C83">
        <v>4367</v>
      </c>
      <c r="D83" t="s">
        <v>261</v>
      </c>
      <c r="E83" t="s">
        <v>262</v>
      </c>
      <c r="F83" t="s">
        <v>17</v>
      </c>
      <c r="G83" t="s">
        <v>263</v>
      </c>
      <c r="H83" t="str">
        <f>"00497950"</f>
        <v>00497950</v>
      </c>
      <c r="I83">
        <v>36</v>
      </c>
      <c r="J83">
        <v>10</v>
      </c>
      <c r="K83">
        <v>8</v>
      </c>
      <c r="N83">
        <v>8</v>
      </c>
      <c r="O83">
        <v>4</v>
      </c>
      <c r="P83">
        <v>0</v>
      </c>
      <c r="Q83">
        <v>58</v>
      </c>
      <c r="R83">
        <v>68</v>
      </c>
      <c r="S83">
        <v>68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68</v>
      </c>
      <c r="AA83">
        <v>9</v>
      </c>
      <c r="AB83">
        <v>0</v>
      </c>
      <c r="AD83">
        <v>135</v>
      </c>
    </row>
    <row r="84" spans="1:30" x14ac:dyDescent="0.3">
      <c r="A84" s="4">
        <v>92</v>
      </c>
      <c r="B84" s="5">
        <v>77</v>
      </c>
      <c r="C84">
        <v>490</v>
      </c>
      <c r="D84" t="s">
        <v>264</v>
      </c>
      <c r="E84" t="s">
        <v>265</v>
      </c>
      <c r="F84" t="s">
        <v>30</v>
      </c>
      <c r="G84" t="s">
        <v>266</v>
      </c>
      <c r="H84" t="str">
        <f>"00505116"</f>
        <v>00505116</v>
      </c>
      <c r="I84">
        <v>36</v>
      </c>
      <c r="J84">
        <v>10</v>
      </c>
      <c r="K84">
        <v>8</v>
      </c>
      <c r="N84">
        <v>8</v>
      </c>
      <c r="O84">
        <v>4</v>
      </c>
      <c r="P84">
        <v>2</v>
      </c>
      <c r="Q84">
        <v>60</v>
      </c>
      <c r="R84">
        <v>69</v>
      </c>
      <c r="S84">
        <v>69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69</v>
      </c>
      <c r="AA84">
        <v>6</v>
      </c>
      <c r="AB84">
        <v>0</v>
      </c>
      <c r="AD84">
        <v>135</v>
      </c>
    </row>
    <row r="85" spans="1:30" x14ac:dyDescent="0.3">
      <c r="A85" s="4">
        <v>93</v>
      </c>
      <c r="B85" s="5">
        <v>78</v>
      </c>
      <c r="C85">
        <v>2472</v>
      </c>
      <c r="D85" t="s">
        <v>267</v>
      </c>
      <c r="E85" t="s">
        <v>268</v>
      </c>
      <c r="F85" t="s">
        <v>68</v>
      </c>
      <c r="G85" t="s">
        <v>269</v>
      </c>
      <c r="H85" t="str">
        <f>"00500407"</f>
        <v>00500407</v>
      </c>
      <c r="I85">
        <v>57.6</v>
      </c>
      <c r="J85">
        <v>0</v>
      </c>
      <c r="L85">
        <v>6</v>
      </c>
      <c r="N85">
        <v>6</v>
      </c>
      <c r="O85">
        <v>4</v>
      </c>
      <c r="P85">
        <v>2</v>
      </c>
      <c r="Q85">
        <v>69.599999999999994</v>
      </c>
      <c r="R85">
        <v>62</v>
      </c>
      <c r="S85">
        <v>62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62</v>
      </c>
      <c r="AA85">
        <v>3</v>
      </c>
      <c r="AB85">
        <v>0</v>
      </c>
      <c r="AD85">
        <v>134.6</v>
      </c>
    </row>
    <row r="86" spans="1:30" x14ac:dyDescent="0.3">
      <c r="A86" s="4">
        <v>94</v>
      </c>
      <c r="B86" s="5">
        <v>79</v>
      </c>
      <c r="C86">
        <v>379</v>
      </c>
      <c r="D86" t="s">
        <v>270</v>
      </c>
      <c r="E86" t="s">
        <v>41</v>
      </c>
      <c r="F86" t="s">
        <v>124</v>
      </c>
      <c r="G86" t="s">
        <v>271</v>
      </c>
      <c r="H86" t="str">
        <f>"201406017884"</f>
        <v>201406017884</v>
      </c>
      <c r="I86">
        <v>50.4</v>
      </c>
      <c r="J86">
        <v>10</v>
      </c>
      <c r="K86">
        <v>8</v>
      </c>
      <c r="M86">
        <v>4</v>
      </c>
      <c r="N86">
        <v>12</v>
      </c>
      <c r="O86">
        <v>4</v>
      </c>
      <c r="P86">
        <v>2</v>
      </c>
      <c r="Q86">
        <v>78.400000000000006</v>
      </c>
      <c r="R86">
        <v>47</v>
      </c>
      <c r="S86">
        <v>47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47</v>
      </c>
      <c r="AA86">
        <v>9</v>
      </c>
      <c r="AB86">
        <v>0</v>
      </c>
      <c r="AD86">
        <v>134.4</v>
      </c>
    </row>
    <row r="87" spans="1:30" x14ac:dyDescent="0.3">
      <c r="A87" s="4">
        <v>95</v>
      </c>
      <c r="B87" s="5">
        <v>80</v>
      </c>
      <c r="C87">
        <v>1007</v>
      </c>
      <c r="D87" t="s">
        <v>272</v>
      </c>
      <c r="E87" t="s">
        <v>273</v>
      </c>
      <c r="F87" t="s">
        <v>158</v>
      </c>
      <c r="G87" t="s">
        <v>274</v>
      </c>
      <c r="H87" t="str">
        <f>"00523079"</f>
        <v>00523079</v>
      </c>
      <c r="I87">
        <v>43.2</v>
      </c>
      <c r="J87">
        <v>0</v>
      </c>
      <c r="N87">
        <v>0</v>
      </c>
      <c r="O87">
        <v>4</v>
      </c>
      <c r="P87">
        <v>2</v>
      </c>
      <c r="Q87">
        <v>49.2</v>
      </c>
      <c r="R87">
        <v>82</v>
      </c>
      <c r="S87">
        <v>82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82</v>
      </c>
      <c r="AA87">
        <v>3</v>
      </c>
      <c r="AB87">
        <v>0</v>
      </c>
      <c r="AD87">
        <v>134.19999999999999</v>
      </c>
    </row>
    <row r="88" spans="1:30" x14ac:dyDescent="0.3">
      <c r="A88" s="4">
        <v>96</v>
      </c>
      <c r="B88" s="5">
        <v>81</v>
      </c>
      <c r="C88">
        <v>4628</v>
      </c>
      <c r="D88" t="s">
        <v>275</v>
      </c>
      <c r="E88" t="s">
        <v>276</v>
      </c>
      <c r="F88" t="s">
        <v>52</v>
      </c>
      <c r="G88" t="s">
        <v>277</v>
      </c>
      <c r="H88" t="str">
        <f>"200712004708"</f>
        <v>200712004708</v>
      </c>
      <c r="I88">
        <v>37.08</v>
      </c>
      <c r="J88">
        <v>10</v>
      </c>
      <c r="M88">
        <v>4</v>
      </c>
      <c r="N88">
        <v>4</v>
      </c>
      <c r="O88">
        <v>4</v>
      </c>
      <c r="P88">
        <v>2</v>
      </c>
      <c r="Q88">
        <v>57.08</v>
      </c>
      <c r="R88">
        <v>77</v>
      </c>
      <c r="S88">
        <v>77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77</v>
      </c>
      <c r="AA88">
        <v>0</v>
      </c>
      <c r="AB88">
        <v>0</v>
      </c>
      <c r="AD88">
        <v>134.08000000000001</v>
      </c>
    </row>
    <row r="89" spans="1:30" x14ac:dyDescent="0.3">
      <c r="A89" s="4">
        <v>97</v>
      </c>
      <c r="B89" s="5">
        <v>82</v>
      </c>
      <c r="C89">
        <v>2742</v>
      </c>
      <c r="D89" t="s">
        <v>181</v>
      </c>
      <c r="E89" t="s">
        <v>54</v>
      </c>
      <c r="F89" t="s">
        <v>20</v>
      </c>
      <c r="G89" t="s">
        <v>278</v>
      </c>
      <c r="H89" t="str">
        <f>"201304000531"</f>
        <v>201304000531</v>
      </c>
      <c r="I89">
        <v>36</v>
      </c>
      <c r="J89">
        <v>0</v>
      </c>
      <c r="K89">
        <v>8</v>
      </c>
      <c r="L89">
        <v>6</v>
      </c>
      <c r="N89">
        <v>14</v>
      </c>
      <c r="O89">
        <v>4</v>
      </c>
      <c r="P89">
        <v>2</v>
      </c>
      <c r="Q89">
        <v>56</v>
      </c>
      <c r="R89">
        <v>75</v>
      </c>
      <c r="S89">
        <v>75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75</v>
      </c>
      <c r="AA89">
        <v>3</v>
      </c>
      <c r="AB89">
        <v>0</v>
      </c>
      <c r="AD89">
        <v>134</v>
      </c>
    </row>
    <row r="90" spans="1:30" x14ac:dyDescent="0.3">
      <c r="A90" s="4">
        <v>98</v>
      </c>
      <c r="B90" s="5">
        <v>83</v>
      </c>
      <c r="C90">
        <v>668</v>
      </c>
      <c r="D90" t="s">
        <v>279</v>
      </c>
      <c r="E90" t="s">
        <v>280</v>
      </c>
      <c r="F90" t="s">
        <v>30</v>
      </c>
      <c r="G90" t="s">
        <v>281</v>
      </c>
      <c r="H90" t="str">
        <f>"00530800"</f>
        <v>00530800</v>
      </c>
      <c r="I90">
        <v>28.8</v>
      </c>
      <c r="J90">
        <v>10</v>
      </c>
      <c r="N90">
        <v>0</v>
      </c>
      <c r="O90">
        <v>4</v>
      </c>
      <c r="P90">
        <v>2</v>
      </c>
      <c r="Q90">
        <v>44.8</v>
      </c>
      <c r="R90">
        <v>62</v>
      </c>
      <c r="S90">
        <v>62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62</v>
      </c>
      <c r="AA90">
        <v>0</v>
      </c>
      <c r="AB90">
        <v>26.8</v>
      </c>
      <c r="AD90">
        <v>133.6</v>
      </c>
    </row>
    <row r="91" spans="1:30" x14ac:dyDescent="0.3">
      <c r="A91" s="4">
        <v>99</v>
      </c>
      <c r="B91" s="5">
        <v>84</v>
      </c>
      <c r="C91">
        <v>1654</v>
      </c>
      <c r="D91" t="s">
        <v>282</v>
      </c>
      <c r="E91" t="s">
        <v>283</v>
      </c>
      <c r="F91" t="s">
        <v>158</v>
      </c>
      <c r="G91" t="s">
        <v>284</v>
      </c>
      <c r="H91" t="str">
        <f>"00534466"</f>
        <v>00534466</v>
      </c>
      <c r="I91">
        <v>57.6</v>
      </c>
      <c r="J91">
        <v>10</v>
      </c>
      <c r="N91">
        <v>0</v>
      </c>
      <c r="O91">
        <v>4</v>
      </c>
      <c r="P91">
        <v>2</v>
      </c>
      <c r="Q91">
        <v>73.599999999999994</v>
      </c>
      <c r="R91">
        <v>60</v>
      </c>
      <c r="S91">
        <v>60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60</v>
      </c>
      <c r="AA91">
        <v>0</v>
      </c>
      <c r="AB91">
        <v>0</v>
      </c>
      <c r="AD91">
        <v>133.6</v>
      </c>
    </row>
    <row r="92" spans="1:30" x14ac:dyDescent="0.3">
      <c r="A92" s="4">
        <v>100</v>
      </c>
      <c r="B92" s="5">
        <v>85</v>
      </c>
      <c r="C92">
        <v>2216</v>
      </c>
      <c r="D92" t="s">
        <v>285</v>
      </c>
      <c r="E92" t="s">
        <v>286</v>
      </c>
      <c r="F92" t="s">
        <v>23</v>
      </c>
      <c r="G92" t="s">
        <v>287</v>
      </c>
      <c r="H92" t="str">
        <f>"00531222"</f>
        <v>00531222</v>
      </c>
      <c r="I92">
        <v>35.44</v>
      </c>
      <c r="J92">
        <v>10</v>
      </c>
      <c r="N92">
        <v>0</v>
      </c>
      <c r="O92">
        <v>4</v>
      </c>
      <c r="P92">
        <v>2</v>
      </c>
      <c r="Q92">
        <v>51.44</v>
      </c>
      <c r="R92">
        <v>73</v>
      </c>
      <c r="S92">
        <v>73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73</v>
      </c>
      <c r="AA92">
        <v>9</v>
      </c>
      <c r="AB92">
        <v>0</v>
      </c>
      <c r="AD92">
        <v>133.44</v>
      </c>
    </row>
    <row r="93" spans="1:30" x14ac:dyDescent="0.3">
      <c r="A93" s="4">
        <v>101</v>
      </c>
      <c r="B93" s="5">
        <v>86</v>
      </c>
      <c r="C93">
        <v>1447</v>
      </c>
      <c r="D93" t="s">
        <v>288</v>
      </c>
      <c r="E93" t="s">
        <v>289</v>
      </c>
      <c r="F93" t="s">
        <v>17</v>
      </c>
      <c r="G93" t="s">
        <v>290</v>
      </c>
      <c r="H93" t="str">
        <f>"00442279"</f>
        <v>00442279</v>
      </c>
      <c r="I93">
        <v>50.4</v>
      </c>
      <c r="J93">
        <v>0</v>
      </c>
      <c r="K93">
        <v>8</v>
      </c>
      <c r="N93">
        <v>8</v>
      </c>
      <c r="O93">
        <v>4</v>
      </c>
      <c r="P93">
        <v>0</v>
      </c>
      <c r="Q93">
        <v>62.4</v>
      </c>
      <c r="R93">
        <v>62</v>
      </c>
      <c r="S93">
        <v>62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62</v>
      </c>
      <c r="AA93">
        <v>9</v>
      </c>
      <c r="AB93">
        <v>0</v>
      </c>
      <c r="AD93">
        <v>133.4</v>
      </c>
    </row>
    <row r="94" spans="1:30" x14ac:dyDescent="0.3">
      <c r="A94" s="4">
        <v>102</v>
      </c>
      <c r="B94" s="5">
        <v>87</v>
      </c>
      <c r="C94">
        <v>214</v>
      </c>
      <c r="D94" t="s">
        <v>291</v>
      </c>
      <c r="E94" t="s">
        <v>292</v>
      </c>
      <c r="F94" t="s">
        <v>20</v>
      </c>
      <c r="G94" t="s">
        <v>293</v>
      </c>
      <c r="H94" t="str">
        <f>"00496756"</f>
        <v>00496756</v>
      </c>
      <c r="I94">
        <v>14.4</v>
      </c>
      <c r="J94">
        <v>0</v>
      </c>
      <c r="N94">
        <v>0</v>
      </c>
      <c r="O94">
        <v>0</v>
      </c>
      <c r="P94">
        <v>0</v>
      </c>
      <c r="Q94">
        <v>14.4</v>
      </c>
      <c r="R94">
        <v>116</v>
      </c>
      <c r="S94">
        <v>116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116</v>
      </c>
      <c r="AA94">
        <v>3</v>
      </c>
      <c r="AB94">
        <v>0</v>
      </c>
      <c r="AD94">
        <v>133.4</v>
      </c>
    </row>
    <row r="95" spans="1:30" x14ac:dyDescent="0.3">
      <c r="A95" s="4">
        <v>103</v>
      </c>
      <c r="B95" s="5">
        <v>88</v>
      </c>
      <c r="C95">
        <v>1562</v>
      </c>
      <c r="D95" t="s">
        <v>294</v>
      </c>
      <c r="E95" t="s">
        <v>41</v>
      </c>
      <c r="F95" t="s">
        <v>62</v>
      </c>
      <c r="G95" t="s">
        <v>295</v>
      </c>
      <c r="H95" t="str">
        <f>"00529861"</f>
        <v>00529861</v>
      </c>
      <c r="I95">
        <v>50.4</v>
      </c>
      <c r="J95">
        <v>0</v>
      </c>
      <c r="N95">
        <v>0</v>
      </c>
      <c r="O95">
        <v>4</v>
      </c>
      <c r="P95">
        <v>0</v>
      </c>
      <c r="Q95">
        <v>54.4</v>
      </c>
      <c r="R95">
        <v>79</v>
      </c>
      <c r="S95">
        <v>79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79</v>
      </c>
      <c r="AA95">
        <v>0</v>
      </c>
      <c r="AB95">
        <v>0</v>
      </c>
      <c r="AD95">
        <v>133.4</v>
      </c>
    </row>
    <row r="96" spans="1:30" x14ac:dyDescent="0.3">
      <c r="A96" s="4">
        <v>105</v>
      </c>
      <c r="B96" s="5">
        <v>89</v>
      </c>
      <c r="C96">
        <v>3797</v>
      </c>
      <c r="D96" t="s">
        <v>296</v>
      </c>
      <c r="E96" t="s">
        <v>41</v>
      </c>
      <c r="F96" t="s">
        <v>20</v>
      </c>
      <c r="G96" t="s">
        <v>32023</v>
      </c>
      <c r="H96" t="str">
        <f>"00504701"</f>
        <v>00504701</v>
      </c>
      <c r="I96">
        <v>43.2</v>
      </c>
      <c r="J96">
        <v>0</v>
      </c>
      <c r="K96">
        <v>8</v>
      </c>
      <c r="N96">
        <v>8</v>
      </c>
      <c r="O96">
        <v>4</v>
      </c>
      <c r="P96">
        <v>2</v>
      </c>
      <c r="Q96">
        <v>57.2</v>
      </c>
      <c r="R96">
        <v>70</v>
      </c>
      <c r="S96">
        <v>70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70</v>
      </c>
      <c r="AA96">
        <v>6</v>
      </c>
      <c r="AB96">
        <v>0</v>
      </c>
      <c r="AD96">
        <v>133.19999999999999</v>
      </c>
    </row>
    <row r="97" spans="1:30" x14ac:dyDescent="0.3">
      <c r="A97" s="4">
        <v>106</v>
      </c>
      <c r="B97" s="5">
        <v>90</v>
      </c>
      <c r="C97">
        <v>2875</v>
      </c>
      <c r="D97" t="s">
        <v>297</v>
      </c>
      <c r="E97" t="s">
        <v>41</v>
      </c>
      <c r="F97" t="s">
        <v>298</v>
      </c>
      <c r="G97" t="s">
        <v>299</v>
      </c>
      <c r="H97" t="str">
        <f>"00504852"</f>
        <v>00504852</v>
      </c>
      <c r="I97">
        <v>43.2</v>
      </c>
      <c r="J97">
        <v>0</v>
      </c>
      <c r="L97">
        <v>6</v>
      </c>
      <c r="N97">
        <v>6</v>
      </c>
      <c r="O97">
        <v>0</v>
      </c>
      <c r="P97">
        <v>0</v>
      </c>
      <c r="Q97">
        <v>49.2</v>
      </c>
      <c r="R97">
        <v>78</v>
      </c>
      <c r="S97">
        <v>78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78</v>
      </c>
      <c r="AA97">
        <v>6</v>
      </c>
      <c r="AB97">
        <v>0</v>
      </c>
      <c r="AD97">
        <v>133.19999999999999</v>
      </c>
    </row>
    <row r="98" spans="1:30" x14ac:dyDescent="0.3">
      <c r="A98" s="4">
        <v>107</v>
      </c>
      <c r="B98" s="5">
        <v>91</v>
      </c>
      <c r="C98">
        <v>4333</v>
      </c>
      <c r="D98" t="s">
        <v>300</v>
      </c>
      <c r="E98" t="s">
        <v>301</v>
      </c>
      <c r="F98" t="s">
        <v>302</v>
      </c>
      <c r="G98" t="s">
        <v>303</v>
      </c>
      <c r="H98" t="str">
        <f>"00441668"</f>
        <v>00441668</v>
      </c>
      <c r="I98">
        <v>43.2</v>
      </c>
      <c r="J98">
        <v>10</v>
      </c>
      <c r="N98">
        <v>0</v>
      </c>
      <c r="O98">
        <v>0</v>
      </c>
      <c r="P98">
        <v>2</v>
      </c>
      <c r="Q98">
        <v>55.2</v>
      </c>
      <c r="R98">
        <v>78</v>
      </c>
      <c r="S98">
        <v>78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78</v>
      </c>
      <c r="AA98">
        <v>0</v>
      </c>
      <c r="AB98">
        <v>0</v>
      </c>
      <c r="AD98">
        <v>133.19999999999999</v>
      </c>
    </row>
    <row r="99" spans="1:30" x14ac:dyDescent="0.3">
      <c r="A99" s="4">
        <v>108</v>
      </c>
      <c r="B99" s="5">
        <v>92</v>
      </c>
      <c r="C99">
        <v>2846</v>
      </c>
      <c r="D99" t="s">
        <v>304</v>
      </c>
      <c r="E99" t="s">
        <v>29</v>
      </c>
      <c r="F99" t="s">
        <v>81</v>
      </c>
      <c r="G99" t="s">
        <v>305</v>
      </c>
      <c r="H99" t="str">
        <f>"00152427"</f>
        <v>00152427</v>
      </c>
      <c r="I99">
        <v>7.2</v>
      </c>
      <c r="J99">
        <v>0</v>
      </c>
      <c r="M99">
        <v>4</v>
      </c>
      <c r="N99">
        <v>4</v>
      </c>
      <c r="O99">
        <v>4</v>
      </c>
      <c r="P99">
        <v>2</v>
      </c>
      <c r="Q99">
        <v>17.2</v>
      </c>
      <c r="R99">
        <v>116</v>
      </c>
      <c r="S99">
        <v>116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116</v>
      </c>
      <c r="AA99">
        <v>0</v>
      </c>
      <c r="AB99">
        <v>0</v>
      </c>
      <c r="AD99">
        <v>133.19999999999999</v>
      </c>
    </row>
    <row r="100" spans="1:30" x14ac:dyDescent="0.3">
      <c r="A100" s="4">
        <v>109</v>
      </c>
      <c r="B100" s="5">
        <v>93</v>
      </c>
      <c r="C100">
        <v>4091</v>
      </c>
      <c r="D100" t="s">
        <v>306</v>
      </c>
      <c r="E100" t="s">
        <v>307</v>
      </c>
      <c r="F100" t="s">
        <v>81</v>
      </c>
      <c r="G100" t="s">
        <v>308</v>
      </c>
      <c r="H100" t="str">
        <f>"00506591"</f>
        <v>00506591</v>
      </c>
      <c r="I100">
        <v>36</v>
      </c>
      <c r="J100">
        <v>10</v>
      </c>
      <c r="N100">
        <v>0</v>
      </c>
      <c r="O100">
        <v>4</v>
      </c>
      <c r="P100">
        <v>2</v>
      </c>
      <c r="Q100">
        <v>52</v>
      </c>
      <c r="R100">
        <v>78</v>
      </c>
      <c r="S100">
        <v>78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78</v>
      </c>
      <c r="AA100">
        <v>3</v>
      </c>
      <c r="AB100">
        <v>0</v>
      </c>
      <c r="AD100">
        <v>133</v>
      </c>
    </row>
    <row r="101" spans="1:30" x14ac:dyDescent="0.3">
      <c r="A101" s="4">
        <v>110</v>
      </c>
      <c r="B101" s="5">
        <v>94</v>
      </c>
      <c r="C101">
        <v>975</v>
      </c>
      <c r="D101" t="s">
        <v>309</v>
      </c>
      <c r="E101" t="s">
        <v>100</v>
      </c>
      <c r="F101" t="s">
        <v>310</v>
      </c>
      <c r="G101" t="s">
        <v>311</v>
      </c>
      <c r="H101" t="str">
        <f>"00530466"</f>
        <v>00530466</v>
      </c>
      <c r="I101">
        <v>28.8</v>
      </c>
      <c r="J101">
        <v>10</v>
      </c>
      <c r="K101">
        <v>8</v>
      </c>
      <c r="N101">
        <v>8</v>
      </c>
      <c r="O101">
        <v>4</v>
      </c>
      <c r="P101">
        <v>2</v>
      </c>
      <c r="Q101">
        <v>52.8</v>
      </c>
      <c r="R101">
        <v>77</v>
      </c>
      <c r="S101">
        <v>77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77</v>
      </c>
      <c r="AA101">
        <v>3</v>
      </c>
      <c r="AB101">
        <v>0</v>
      </c>
      <c r="AD101">
        <v>132.80000000000001</v>
      </c>
    </row>
    <row r="102" spans="1:30" x14ac:dyDescent="0.3">
      <c r="A102" s="4">
        <v>111</v>
      </c>
      <c r="B102" s="5">
        <v>95</v>
      </c>
      <c r="C102">
        <v>3318</v>
      </c>
      <c r="D102" t="s">
        <v>312</v>
      </c>
      <c r="E102" t="s">
        <v>161</v>
      </c>
      <c r="F102" t="s">
        <v>30</v>
      </c>
      <c r="G102" t="s">
        <v>313</v>
      </c>
      <c r="H102" t="str">
        <f>"00499043"</f>
        <v>00499043</v>
      </c>
      <c r="I102">
        <v>64.8</v>
      </c>
      <c r="J102">
        <v>0</v>
      </c>
      <c r="N102">
        <v>0</v>
      </c>
      <c r="O102">
        <v>4</v>
      </c>
      <c r="P102">
        <v>2</v>
      </c>
      <c r="Q102">
        <v>70.8</v>
      </c>
      <c r="R102">
        <v>62</v>
      </c>
      <c r="S102">
        <v>62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62</v>
      </c>
      <c r="AA102">
        <v>0</v>
      </c>
      <c r="AB102">
        <v>0</v>
      </c>
      <c r="AD102">
        <v>132.80000000000001</v>
      </c>
    </row>
    <row r="103" spans="1:30" x14ac:dyDescent="0.3">
      <c r="A103" s="4">
        <v>112</v>
      </c>
      <c r="B103" s="5">
        <v>96</v>
      </c>
      <c r="C103">
        <v>3151</v>
      </c>
      <c r="D103" t="s">
        <v>314</v>
      </c>
      <c r="E103" t="s">
        <v>315</v>
      </c>
      <c r="F103" t="s">
        <v>30</v>
      </c>
      <c r="G103" t="s">
        <v>316</v>
      </c>
      <c r="H103" t="str">
        <f>"00499329"</f>
        <v>00499329</v>
      </c>
      <c r="I103">
        <v>64.8</v>
      </c>
      <c r="J103">
        <v>0</v>
      </c>
      <c r="N103">
        <v>0</v>
      </c>
      <c r="O103">
        <v>4</v>
      </c>
      <c r="P103">
        <v>2</v>
      </c>
      <c r="Q103">
        <v>70.8</v>
      </c>
      <c r="R103">
        <v>62</v>
      </c>
      <c r="S103">
        <v>62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62</v>
      </c>
      <c r="AA103">
        <v>0</v>
      </c>
      <c r="AB103">
        <v>0</v>
      </c>
      <c r="AD103">
        <v>132.80000000000001</v>
      </c>
    </row>
    <row r="104" spans="1:30" x14ac:dyDescent="0.3">
      <c r="A104" s="4">
        <v>113</v>
      </c>
      <c r="B104" s="5">
        <v>97</v>
      </c>
      <c r="C104">
        <v>2921</v>
      </c>
      <c r="D104" t="s">
        <v>317</v>
      </c>
      <c r="E104" t="s">
        <v>110</v>
      </c>
      <c r="F104" t="s">
        <v>124</v>
      </c>
      <c r="G104" t="s">
        <v>318</v>
      </c>
      <c r="H104" t="str">
        <f>"00485610"</f>
        <v>00485610</v>
      </c>
      <c r="I104">
        <v>57.6</v>
      </c>
      <c r="J104">
        <v>10</v>
      </c>
      <c r="M104">
        <v>4</v>
      </c>
      <c r="N104">
        <v>4</v>
      </c>
      <c r="O104">
        <v>4</v>
      </c>
      <c r="P104">
        <v>2</v>
      </c>
      <c r="Q104">
        <v>77.599999999999994</v>
      </c>
      <c r="R104">
        <v>52</v>
      </c>
      <c r="S104">
        <v>52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52</v>
      </c>
      <c r="AA104">
        <v>3</v>
      </c>
      <c r="AB104">
        <v>0</v>
      </c>
      <c r="AD104">
        <v>132.6</v>
      </c>
    </row>
    <row r="105" spans="1:30" x14ac:dyDescent="0.3">
      <c r="A105" s="4">
        <v>114</v>
      </c>
      <c r="B105" s="5">
        <v>98</v>
      </c>
      <c r="C105">
        <v>4250</v>
      </c>
      <c r="D105" t="s">
        <v>319</v>
      </c>
      <c r="E105" t="s">
        <v>320</v>
      </c>
      <c r="F105" t="s">
        <v>158</v>
      </c>
      <c r="G105" t="s">
        <v>321</v>
      </c>
      <c r="H105" t="str">
        <f>"00507598"</f>
        <v>00507598</v>
      </c>
      <c r="I105">
        <v>57.6</v>
      </c>
      <c r="J105">
        <v>10</v>
      </c>
      <c r="L105">
        <v>6</v>
      </c>
      <c r="N105">
        <v>6</v>
      </c>
      <c r="O105">
        <v>4</v>
      </c>
      <c r="P105">
        <v>0</v>
      </c>
      <c r="Q105">
        <v>77.599999999999994</v>
      </c>
      <c r="R105">
        <v>55</v>
      </c>
      <c r="S105">
        <v>55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55</v>
      </c>
      <c r="AA105">
        <v>0</v>
      </c>
      <c r="AB105">
        <v>0</v>
      </c>
      <c r="AD105">
        <v>132.6</v>
      </c>
    </row>
    <row r="106" spans="1:30" x14ac:dyDescent="0.3">
      <c r="A106" s="4">
        <v>115</v>
      </c>
      <c r="B106" s="5">
        <v>99</v>
      </c>
      <c r="C106">
        <v>2529</v>
      </c>
      <c r="D106" t="s">
        <v>322</v>
      </c>
      <c r="E106" t="s">
        <v>115</v>
      </c>
      <c r="F106" t="s">
        <v>17</v>
      </c>
      <c r="G106" t="s">
        <v>323</v>
      </c>
      <c r="H106" t="str">
        <f>"201511027344"</f>
        <v>201511027344</v>
      </c>
      <c r="I106">
        <v>50.4</v>
      </c>
      <c r="J106">
        <v>10</v>
      </c>
      <c r="K106">
        <v>8</v>
      </c>
      <c r="N106">
        <v>8</v>
      </c>
      <c r="O106">
        <v>4</v>
      </c>
      <c r="P106">
        <v>2</v>
      </c>
      <c r="Q106">
        <v>74.400000000000006</v>
      </c>
      <c r="R106">
        <v>52</v>
      </c>
      <c r="S106">
        <v>52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52</v>
      </c>
      <c r="AA106">
        <v>6</v>
      </c>
      <c r="AB106">
        <v>0</v>
      </c>
      <c r="AC106" t="s">
        <v>130</v>
      </c>
      <c r="AD106">
        <v>132.4</v>
      </c>
    </row>
    <row r="107" spans="1:30" x14ac:dyDescent="0.3">
      <c r="A107" s="4">
        <v>116</v>
      </c>
      <c r="B107" s="5">
        <v>100</v>
      </c>
      <c r="C107">
        <v>3664</v>
      </c>
      <c r="D107" t="s">
        <v>324</v>
      </c>
      <c r="E107" t="s">
        <v>54</v>
      </c>
      <c r="F107" t="s">
        <v>325</v>
      </c>
      <c r="G107" t="s">
        <v>326</v>
      </c>
      <c r="H107" t="str">
        <f>"00531393"</f>
        <v>00531393</v>
      </c>
      <c r="I107">
        <v>14.4</v>
      </c>
      <c r="J107">
        <v>0</v>
      </c>
      <c r="N107">
        <v>0</v>
      </c>
      <c r="O107">
        <v>4</v>
      </c>
      <c r="P107">
        <v>2</v>
      </c>
      <c r="Q107">
        <v>20.399999999999999</v>
      </c>
      <c r="R107">
        <v>109</v>
      </c>
      <c r="S107">
        <v>109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109</v>
      </c>
      <c r="AA107">
        <v>3</v>
      </c>
      <c r="AB107">
        <v>0</v>
      </c>
      <c r="AD107">
        <v>132.4</v>
      </c>
    </row>
    <row r="108" spans="1:30" x14ac:dyDescent="0.3">
      <c r="A108" s="4">
        <v>117</v>
      </c>
      <c r="B108" s="5">
        <v>101</v>
      </c>
      <c r="C108">
        <v>3554</v>
      </c>
      <c r="D108" t="s">
        <v>327</v>
      </c>
      <c r="E108" t="s">
        <v>161</v>
      </c>
      <c r="F108" t="s">
        <v>328</v>
      </c>
      <c r="G108" t="s">
        <v>329</v>
      </c>
      <c r="H108" t="str">
        <f>"00511608"</f>
        <v>00511608</v>
      </c>
      <c r="I108">
        <v>14.4</v>
      </c>
      <c r="J108">
        <v>0</v>
      </c>
      <c r="M108">
        <v>4</v>
      </c>
      <c r="N108">
        <v>4</v>
      </c>
      <c r="O108">
        <v>0</v>
      </c>
      <c r="P108">
        <v>0</v>
      </c>
      <c r="Q108">
        <v>18.399999999999999</v>
      </c>
      <c r="R108">
        <v>114</v>
      </c>
      <c r="S108">
        <v>114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114</v>
      </c>
      <c r="AA108">
        <v>0</v>
      </c>
      <c r="AB108">
        <v>0</v>
      </c>
      <c r="AD108">
        <v>132.4</v>
      </c>
    </row>
    <row r="109" spans="1:30" x14ac:dyDescent="0.3">
      <c r="A109" s="4">
        <v>118</v>
      </c>
      <c r="B109" s="5">
        <v>102</v>
      </c>
      <c r="C109">
        <v>743</v>
      </c>
      <c r="D109" t="s">
        <v>330</v>
      </c>
      <c r="E109" t="s">
        <v>54</v>
      </c>
      <c r="F109" t="s">
        <v>136</v>
      </c>
      <c r="G109" t="s">
        <v>331</v>
      </c>
      <c r="H109" t="str">
        <f>"201510004072"</f>
        <v>201510004072</v>
      </c>
      <c r="I109">
        <v>37.200000000000003</v>
      </c>
      <c r="J109">
        <v>10</v>
      </c>
      <c r="K109">
        <v>8</v>
      </c>
      <c r="N109">
        <v>8</v>
      </c>
      <c r="O109">
        <v>4</v>
      </c>
      <c r="P109">
        <v>2</v>
      </c>
      <c r="Q109">
        <v>61.2</v>
      </c>
      <c r="R109">
        <v>62</v>
      </c>
      <c r="S109">
        <v>62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62</v>
      </c>
      <c r="AA109">
        <v>9</v>
      </c>
      <c r="AB109">
        <v>0</v>
      </c>
      <c r="AD109">
        <v>132.19999999999999</v>
      </c>
    </row>
    <row r="110" spans="1:30" x14ac:dyDescent="0.3">
      <c r="A110" s="4">
        <v>119</v>
      </c>
      <c r="B110" s="5">
        <v>103</v>
      </c>
      <c r="C110">
        <v>2107</v>
      </c>
      <c r="D110" t="s">
        <v>332</v>
      </c>
      <c r="E110" t="s">
        <v>213</v>
      </c>
      <c r="F110" t="s">
        <v>136</v>
      </c>
      <c r="G110" t="s">
        <v>333</v>
      </c>
      <c r="H110" t="str">
        <f>"00526534"</f>
        <v>00526534</v>
      </c>
      <c r="I110">
        <v>43.2</v>
      </c>
      <c r="J110">
        <v>10</v>
      </c>
      <c r="N110">
        <v>0</v>
      </c>
      <c r="O110">
        <v>4</v>
      </c>
      <c r="P110">
        <v>2</v>
      </c>
      <c r="Q110">
        <v>59.2</v>
      </c>
      <c r="R110">
        <v>67</v>
      </c>
      <c r="S110">
        <v>67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67</v>
      </c>
      <c r="AA110">
        <v>6</v>
      </c>
      <c r="AB110">
        <v>0</v>
      </c>
      <c r="AD110">
        <v>132.19999999999999</v>
      </c>
    </row>
    <row r="111" spans="1:30" x14ac:dyDescent="0.3">
      <c r="A111" s="4">
        <v>120</v>
      </c>
      <c r="B111" s="5">
        <v>104</v>
      </c>
      <c r="C111">
        <v>3768</v>
      </c>
      <c r="D111" t="s">
        <v>334</v>
      </c>
      <c r="E111" t="s">
        <v>335</v>
      </c>
      <c r="F111" t="s">
        <v>34</v>
      </c>
      <c r="G111" t="s">
        <v>336</v>
      </c>
      <c r="H111" t="str">
        <f>"00530163"</f>
        <v>00530163</v>
      </c>
      <c r="I111">
        <v>7.2</v>
      </c>
      <c r="J111">
        <v>0</v>
      </c>
      <c r="K111">
        <v>8</v>
      </c>
      <c r="N111">
        <v>8</v>
      </c>
      <c r="O111">
        <v>4</v>
      </c>
      <c r="P111">
        <v>0</v>
      </c>
      <c r="Q111">
        <v>19.2</v>
      </c>
      <c r="R111">
        <v>110</v>
      </c>
      <c r="S111">
        <v>110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110</v>
      </c>
      <c r="AA111">
        <v>3</v>
      </c>
      <c r="AB111">
        <v>0</v>
      </c>
      <c r="AD111">
        <v>132.19999999999999</v>
      </c>
    </row>
    <row r="112" spans="1:30" x14ac:dyDescent="0.3">
      <c r="A112" s="4">
        <v>121</v>
      </c>
      <c r="B112" s="5">
        <v>105</v>
      </c>
      <c r="C112">
        <v>3978</v>
      </c>
      <c r="D112" t="s">
        <v>337</v>
      </c>
      <c r="E112" t="s">
        <v>338</v>
      </c>
      <c r="F112" t="s">
        <v>339</v>
      </c>
      <c r="G112" t="s">
        <v>340</v>
      </c>
      <c r="H112" t="str">
        <f>"00513306"</f>
        <v>00513306</v>
      </c>
      <c r="I112">
        <v>43.2</v>
      </c>
      <c r="J112">
        <v>10</v>
      </c>
      <c r="K112">
        <v>16</v>
      </c>
      <c r="N112">
        <v>16</v>
      </c>
      <c r="O112">
        <v>4</v>
      </c>
      <c r="P112">
        <v>2</v>
      </c>
      <c r="Q112">
        <v>75.2</v>
      </c>
      <c r="R112">
        <v>57</v>
      </c>
      <c r="S112">
        <v>57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57</v>
      </c>
      <c r="AA112">
        <v>0</v>
      </c>
      <c r="AB112">
        <v>0</v>
      </c>
      <c r="AD112">
        <v>132.19999999999999</v>
      </c>
    </row>
    <row r="113" spans="1:30" x14ac:dyDescent="0.3">
      <c r="A113" s="4">
        <v>122</v>
      </c>
      <c r="B113" s="5">
        <v>106</v>
      </c>
      <c r="C113">
        <v>2944</v>
      </c>
      <c r="D113" t="s">
        <v>341</v>
      </c>
      <c r="E113" t="s">
        <v>342</v>
      </c>
      <c r="F113" t="s">
        <v>343</v>
      </c>
      <c r="G113" t="s">
        <v>344</v>
      </c>
      <c r="H113" t="str">
        <f>"00531576"</f>
        <v>00531576</v>
      </c>
      <c r="I113">
        <v>43.2</v>
      </c>
      <c r="J113">
        <v>0</v>
      </c>
      <c r="N113">
        <v>0</v>
      </c>
      <c r="O113">
        <v>0</v>
      </c>
      <c r="P113">
        <v>0</v>
      </c>
      <c r="Q113">
        <v>43.2</v>
      </c>
      <c r="R113">
        <v>89</v>
      </c>
      <c r="S113">
        <v>89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89</v>
      </c>
      <c r="AA113">
        <v>0</v>
      </c>
      <c r="AB113">
        <v>0</v>
      </c>
      <c r="AD113">
        <v>132.19999999999999</v>
      </c>
    </row>
    <row r="114" spans="1:30" x14ac:dyDescent="0.3">
      <c r="A114" s="4">
        <v>123</v>
      </c>
      <c r="B114" s="5">
        <v>107</v>
      </c>
      <c r="C114">
        <v>1976</v>
      </c>
      <c r="D114" t="s">
        <v>345</v>
      </c>
      <c r="E114" t="s">
        <v>161</v>
      </c>
      <c r="F114" t="s">
        <v>346</v>
      </c>
      <c r="G114" t="s">
        <v>347</v>
      </c>
      <c r="H114" t="str">
        <f>"00508919"</f>
        <v>00508919</v>
      </c>
      <c r="I114">
        <v>72</v>
      </c>
      <c r="J114">
        <v>10</v>
      </c>
      <c r="N114">
        <v>0</v>
      </c>
      <c r="O114">
        <v>4</v>
      </c>
      <c r="P114">
        <v>2</v>
      </c>
      <c r="Q114">
        <v>88</v>
      </c>
      <c r="R114">
        <v>38</v>
      </c>
      <c r="S114">
        <v>38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38</v>
      </c>
      <c r="AA114">
        <v>6</v>
      </c>
      <c r="AB114">
        <v>0</v>
      </c>
      <c r="AD114">
        <v>132</v>
      </c>
    </row>
    <row r="115" spans="1:30" x14ac:dyDescent="0.3">
      <c r="A115" s="4">
        <v>124</v>
      </c>
      <c r="B115" s="5">
        <v>108</v>
      </c>
      <c r="C115">
        <v>238</v>
      </c>
      <c r="D115" t="s">
        <v>348</v>
      </c>
      <c r="E115" t="s">
        <v>349</v>
      </c>
      <c r="F115" t="s">
        <v>136</v>
      </c>
      <c r="G115" t="s">
        <v>350</v>
      </c>
      <c r="H115" t="str">
        <f>"201511021760"</f>
        <v>201511021760</v>
      </c>
      <c r="I115">
        <v>24.8</v>
      </c>
      <c r="J115">
        <v>10</v>
      </c>
      <c r="M115">
        <v>4</v>
      </c>
      <c r="N115">
        <v>4</v>
      </c>
      <c r="O115">
        <v>4</v>
      </c>
      <c r="P115">
        <v>2</v>
      </c>
      <c r="Q115">
        <v>44.8</v>
      </c>
      <c r="R115">
        <v>87</v>
      </c>
      <c r="S115">
        <v>87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87</v>
      </c>
      <c r="AA115">
        <v>0</v>
      </c>
      <c r="AB115">
        <v>0</v>
      </c>
      <c r="AD115">
        <v>131.80000000000001</v>
      </c>
    </row>
    <row r="116" spans="1:30" x14ac:dyDescent="0.3">
      <c r="A116" s="4">
        <v>125</v>
      </c>
      <c r="B116" s="5">
        <v>109</v>
      </c>
      <c r="C116">
        <v>4943</v>
      </c>
      <c r="D116" t="s">
        <v>351</v>
      </c>
      <c r="E116" t="s">
        <v>352</v>
      </c>
      <c r="F116" t="s">
        <v>20</v>
      </c>
      <c r="G116" t="s">
        <v>353</v>
      </c>
      <c r="H116" t="str">
        <f>"00526607"</f>
        <v>00526607</v>
      </c>
      <c r="I116">
        <v>36.72</v>
      </c>
      <c r="J116">
        <v>10</v>
      </c>
      <c r="M116">
        <v>4</v>
      </c>
      <c r="N116">
        <v>4</v>
      </c>
      <c r="O116">
        <v>4</v>
      </c>
      <c r="P116">
        <v>2</v>
      </c>
      <c r="Q116">
        <v>56.72</v>
      </c>
      <c r="R116">
        <v>72</v>
      </c>
      <c r="S116">
        <v>72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72</v>
      </c>
      <c r="AA116">
        <v>3</v>
      </c>
      <c r="AB116">
        <v>0</v>
      </c>
      <c r="AD116">
        <v>131.72</v>
      </c>
    </row>
    <row r="117" spans="1:30" x14ac:dyDescent="0.3">
      <c r="A117" s="4">
        <v>126</v>
      </c>
      <c r="B117" s="5">
        <v>110</v>
      </c>
      <c r="C117">
        <v>83</v>
      </c>
      <c r="D117" t="s">
        <v>354</v>
      </c>
      <c r="E117" t="s">
        <v>355</v>
      </c>
      <c r="F117" t="s">
        <v>68</v>
      </c>
      <c r="G117" t="s">
        <v>356</v>
      </c>
      <c r="H117" t="str">
        <f>"00474607"</f>
        <v>00474607</v>
      </c>
      <c r="I117">
        <v>57.6</v>
      </c>
      <c r="J117">
        <v>10</v>
      </c>
      <c r="K117">
        <v>8</v>
      </c>
      <c r="N117">
        <v>8</v>
      </c>
      <c r="O117">
        <v>4</v>
      </c>
      <c r="P117">
        <v>2</v>
      </c>
      <c r="Q117">
        <v>81.599999999999994</v>
      </c>
      <c r="R117">
        <v>47</v>
      </c>
      <c r="S117">
        <v>47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47</v>
      </c>
      <c r="AA117">
        <v>3</v>
      </c>
      <c r="AB117">
        <v>0</v>
      </c>
      <c r="AD117">
        <v>131.6</v>
      </c>
    </row>
    <row r="118" spans="1:30" x14ac:dyDescent="0.3">
      <c r="A118" s="4">
        <v>127</v>
      </c>
      <c r="B118" s="5">
        <v>111</v>
      </c>
      <c r="C118">
        <v>1324</v>
      </c>
      <c r="D118" t="s">
        <v>357</v>
      </c>
      <c r="E118" t="s">
        <v>358</v>
      </c>
      <c r="F118" t="s">
        <v>68</v>
      </c>
      <c r="G118" t="s">
        <v>359</v>
      </c>
      <c r="H118" t="str">
        <f>"201511031404"</f>
        <v>201511031404</v>
      </c>
      <c r="I118">
        <v>57.6</v>
      </c>
      <c r="J118">
        <v>0</v>
      </c>
      <c r="K118">
        <v>8</v>
      </c>
      <c r="M118">
        <v>4</v>
      </c>
      <c r="N118">
        <v>12</v>
      </c>
      <c r="O118">
        <v>4</v>
      </c>
      <c r="P118">
        <v>2</v>
      </c>
      <c r="Q118">
        <v>75.599999999999994</v>
      </c>
      <c r="R118">
        <v>56</v>
      </c>
      <c r="S118">
        <v>56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56</v>
      </c>
      <c r="AA118">
        <v>0</v>
      </c>
      <c r="AB118">
        <v>0</v>
      </c>
      <c r="AD118">
        <v>131.6</v>
      </c>
    </row>
    <row r="119" spans="1:30" x14ac:dyDescent="0.3">
      <c r="A119" s="4">
        <v>128</v>
      </c>
      <c r="B119" s="5">
        <v>112</v>
      </c>
      <c r="C119">
        <v>2665</v>
      </c>
      <c r="D119" t="s">
        <v>360</v>
      </c>
      <c r="E119" t="s">
        <v>182</v>
      </c>
      <c r="F119" t="s">
        <v>361</v>
      </c>
      <c r="G119" t="s">
        <v>362</v>
      </c>
      <c r="H119" t="str">
        <f>"00090441"</f>
        <v>00090441</v>
      </c>
      <c r="I119">
        <v>29.44</v>
      </c>
      <c r="J119">
        <v>10</v>
      </c>
      <c r="N119">
        <v>0</v>
      </c>
      <c r="O119">
        <v>4</v>
      </c>
      <c r="P119">
        <v>2</v>
      </c>
      <c r="Q119">
        <v>45.44</v>
      </c>
      <c r="R119">
        <v>83</v>
      </c>
      <c r="S119">
        <v>83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83</v>
      </c>
      <c r="AA119">
        <v>3</v>
      </c>
      <c r="AB119">
        <v>0</v>
      </c>
      <c r="AC119" t="s">
        <v>130</v>
      </c>
      <c r="AD119">
        <v>131.44</v>
      </c>
    </row>
    <row r="120" spans="1:30" x14ac:dyDescent="0.3">
      <c r="A120" s="4">
        <v>129</v>
      </c>
      <c r="B120" s="5">
        <v>113</v>
      </c>
      <c r="C120">
        <v>2899</v>
      </c>
      <c r="D120" t="s">
        <v>363</v>
      </c>
      <c r="E120" t="s">
        <v>110</v>
      </c>
      <c r="F120" t="s">
        <v>167</v>
      </c>
      <c r="G120" t="s">
        <v>364</v>
      </c>
      <c r="H120" t="str">
        <f>"00531796"</f>
        <v>00531796</v>
      </c>
      <c r="I120">
        <v>20.36</v>
      </c>
      <c r="J120">
        <v>10</v>
      </c>
      <c r="K120">
        <v>8</v>
      </c>
      <c r="N120">
        <v>8</v>
      </c>
      <c r="O120">
        <v>4</v>
      </c>
      <c r="P120">
        <v>2</v>
      </c>
      <c r="Q120">
        <v>44.36</v>
      </c>
      <c r="R120">
        <v>81</v>
      </c>
      <c r="S120">
        <v>81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81</v>
      </c>
      <c r="AA120">
        <v>6</v>
      </c>
      <c r="AB120">
        <v>0</v>
      </c>
      <c r="AD120">
        <v>131.36000000000001</v>
      </c>
    </row>
    <row r="121" spans="1:30" x14ac:dyDescent="0.3">
      <c r="A121" s="4">
        <v>130</v>
      </c>
      <c r="B121" s="5">
        <v>114</v>
      </c>
      <c r="C121">
        <v>929</v>
      </c>
      <c r="D121" t="s">
        <v>365</v>
      </c>
      <c r="E121" t="s">
        <v>366</v>
      </c>
      <c r="F121" t="s">
        <v>38</v>
      </c>
      <c r="G121" t="s">
        <v>367</v>
      </c>
      <c r="H121" t="str">
        <f>"201512003041"</f>
        <v>201512003041</v>
      </c>
      <c r="I121">
        <v>43.2</v>
      </c>
      <c r="J121">
        <v>10</v>
      </c>
      <c r="K121">
        <v>8</v>
      </c>
      <c r="N121">
        <v>8</v>
      </c>
      <c r="O121">
        <v>4</v>
      </c>
      <c r="P121">
        <v>2</v>
      </c>
      <c r="Q121">
        <v>67.2</v>
      </c>
      <c r="R121">
        <v>55</v>
      </c>
      <c r="S121">
        <v>55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55</v>
      </c>
      <c r="AA121">
        <v>9</v>
      </c>
      <c r="AB121">
        <v>0</v>
      </c>
      <c r="AD121">
        <v>131.19999999999999</v>
      </c>
    </row>
    <row r="122" spans="1:30" x14ac:dyDescent="0.3">
      <c r="A122" s="4">
        <v>131</v>
      </c>
      <c r="B122" s="5">
        <v>115</v>
      </c>
      <c r="C122">
        <v>2120</v>
      </c>
      <c r="D122" t="s">
        <v>368</v>
      </c>
      <c r="E122" t="s">
        <v>369</v>
      </c>
      <c r="F122" t="s">
        <v>136</v>
      </c>
      <c r="G122" t="s">
        <v>370</v>
      </c>
      <c r="H122" t="str">
        <f>"00530400"</f>
        <v>00530400</v>
      </c>
      <c r="I122">
        <v>38.200000000000003</v>
      </c>
      <c r="J122">
        <v>0</v>
      </c>
      <c r="M122">
        <v>4</v>
      </c>
      <c r="N122">
        <v>4</v>
      </c>
      <c r="O122">
        <v>4</v>
      </c>
      <c r="P122">
        <v>2</v>
      </c>
      <c r="Q122">
        <v>48.2</v>
      </c>
      <c r="R122">
        <v>80</v>
      </c>
      <c r="S122">
        <v>80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80</v>
      </c>
      <c r="AA122">
        <v>3</v>
      </c>
      <c r="AB122">
        <v>0</v>
      </c>
      <c r="AD122">
        <v>131.19999999999999</v>
      </c>
    </row>
    <row r="123" spans="1:30" x14ac:dyDescent="0.3">
      <c r="A123" s="4">
        <v>132</v>
      </c>
      <c r="B123" s="5">
        <v>116</v>
      </c>
      <c r="C123">
        <v>130</v>
      </c>
      <c r="D123" t="s">
        <v>371</v>
      </c>
      <c r="E123" t="s">
        <v>372</v>
      </c>
      <c r="F123" t="s">
        <v>81</v>
      </c>
      <c r="G123" t="s">
        <v>373</v>
      </c>
      <c r="H123" t="str">
        <f>"00499480"</f>
        <v>00499480</v>
      </c>
      <c r="I123">
        <v>7.2</v>
      </c>
      <c r="J123">
        <v>10</v>
      </c>
      <c r="K123">
        <v>8</v>
      </c>
      <c r="L123">
        <v>6</v>
      </c>
      <c r="N123">
        <v>14</v>
      </c>
      <c r="O123">
        <v>4</v>
      </c>
      <c r="P123">
        <v>2</v>
      </c>
      <c r="Q123">
        <v>37.200000000000003</v>
      </c>
      <c r="R123">
        <v>91</v>
      </c>
      <c r="S123">
        <v>91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91</v>
      </c>
      <c r="AA123">
        <v>3</v>
      </c>
      <c r="AB123">
        <v>0</v>
      </c>
      <c r="AD123">
        <v>131.19999999999999</v>
      </c>
    </row>
    <row r="124" spans="1:30" x14ac:dyDescent="0.3">
      <c r="A124" s="4">
        <v>133</v>
      </c>
      <c r="B124" s="5">
        <v>117</v>
      </c>
      <c r="C124">
        <v>2732</v>
      </c>
      <c r="D124" t="s">
        <v>374</v>
      </c>
      <c r="E124" t="s">
        <v>208</v>
      </c>
      <c r="F124" t="s">
        <v>375</v>
      </c>
      <c r="G124" t="s">
        <v>376</v>
      </c>
      <c r="H124" t="str">
        <f>"00531373"</f>
        <v>00531373</v>
      </c>
      <c r="I124">
        <v>43.2</v>
      </c>
      <c r="J124">
        <v>0</v>
      </c>
      <c r="M124">
        <v>4</v>
      </c>
      <c r="N124">
        <v>4</v>
      </c>
      <c r="O124">
        <v>4</v>
      </c>
      <c r="P124">
        <v>2</v>
      </c>
      <c r="Q124">
        <v>53.2</v>
      </c>
      <c r="R124">
        <v>78</v>
      </c>
      <c r="S124">
        <v>78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78</v>
      </c>
      <c r="AA124">
        <v>0</v>
      </c>
      <c r="AB124">
        <v>0</v>
      </c>
      <c r="AD124">
        <v>131.19999999999999</v>
      </c>
    </row>
    <row r="125" spans="1:30" x14ac:dyDescent="0.3">
      <c r="A125" s="4">
        <v>134</v>
      </c>
      <c r="B125" s="5">
        <v>118</v>
      </c>
      <c r="C125">
        <v>623</v>
      </c>
      <c r="D125" t="s">
        <v>377</v>
      </c>
      <c r="E125" t="s">
        <v>33</v>
      </c>
      <c r="F125" t="s">
        <v>17</v>
      </c>
      <c r="G125" t="s">
        <v>378</v>
      </c>
      <c r="H125" t="str">
        <f>"00507178"</f>
        <v>00507178</v>
      </c>
      <c r="I125">
        <v>36</v>
      </c>
      <c r="J125">
        <v>0</v>
      </c>
      <c r="N125">
        <v>0</v>
      </c>
      <c r="O125">
        <v>0</v>
      </c>
      <c r="P125">
        <v>0</v>
      </c>
      <c r="Q125">
        <v>36</v>
      </c>
      <c r="R125">
        <v>89</v>
      </c>
      <c r="S125">
        <v>89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89</v>
      </c>
      <c r="AA125">
        <v>6</v>
      </c>
      <c r="AB125">
        <v>0</v>
      </c>
      <c r="AD125">
        <v>131</v>
      </c>
    </row>
    <row r="126" spans="1:30" x14ac:dyDescent="0.3">
      <c r="A126" s="4">
        <v>135</v>
      </c>
      <c r="B126" s="5">
        <v>119</v>
      </c>
      <c r="C126">
        <v>2247</v>
      </c>
      <c r="D126" t="s">
        <v>379</v>
      </c>
      <c r="E126" t="s">
        <v>380</v>
      </c>
      <c r="F126" t="s">
        <v>381</v>
      </c>
      <c r="G126" t="s">
        <v>382</v>
      </c>
      <c r="H126" t="str">
        <f>"00529157"</f>
        <v>00529157</v>
      </c>
      <c r="I126">
        <v>21.6</v>
      </c>
      <c r="J126">
        <v>0</v>
      </c>
      <c r="M126">
        <v>4</v>
      </c>
      <c r="N126">
        <v>4</v>
      </c>
      <c r="O126">
        <v>4</v>
      </c>
      <c r="P126">
        <v>2</v>
      </c>
      <c r="Q126">
        <v>31.6</v>
      </c>
      <c r="R126">
        <v>93</v>
      </c>
      <c r="S126">
        <v>93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93</v>
      </c>
      <c r="AA126">
        <v>6</v>
      </c>
      <c r="AB126">
        <v>0</v>
      </c>
      <c r="AD126">
        <v>130.6</v>
      </c>
    </row>
    <row r="127" spans="1:30" x14ac:dyDescent="0.3">
      <c r="A127" s="4">
        <v>136</v>
      </c>
      <c r="B127" s="5">
        <v>120</v>
      </c>
      <c r="C127">
        <v>1724</v>
      </c>
      <c r="D127" t="s">
        <v>383</v>
      </c>
      <c r="E127" t="s">
        <v>384</v>
      </c>
      <c r="F127" t="s">
        <v>385</v>
      </c>
      <c r="G127" t="s">
        <v>386</v>
      </c>
      <c r="H127" t="str">
        <f>"00498894"</f>
        <v>00498894</v>
      </c>
      <c r="I127">
        <v>57.6</v>
      </c>
      <c r="J127">
        <v>10</v>
      </c>
      <c r="M127">
        <v>4</v>
      </c>
      <c r="N127">
        <v>4</v>
      </c>
      <c r="O127">
        <v>4</v>
      </c>
      <c r="P127">
        <v>0</v>
      </c>
      <c r="Q127">
        <v>75.599999999999994</v>
      </c>
      <c r="R127">
        <v>52</v>
      </c>
      <c r="S127">
        <v>52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52</v>
      </c>
      <c r="AA127">
        <v>3</v>
      </c>
      <c r="AB127">
        <v>0</v>
      </c>
      <c r="AD127">
        <v>130.6</v>
      </c>
    </row>
    <row r="128" spans="1:30" x14ac:dyDescent="0.3">
      <c r="A128" s="4">
        <v>137</v>
      </c>
      <c r="B128" s="5">
        <v>121</v>
      </c>
      <c r="C128">
        <v>4295</v>
      </c>
      <c r="D128" t="s">
        <v>387</v>
      </c>
      <c r="E128" t="s">
        <v>188</v>
      </c>
      <c r="F128" t="s">
        <v>117</v>
      </c>
      <c r="G128" t="s">
        <v>388</v>
      </c>
      <c r="H128" t="str">
        <f>"00442237"</f>
        <v>00442237</v>
      </c>
      <c r="I128">
        <v>57.6</v>
      </c>
      <c r="J128">
        <v>0</v>
      </c>
      <c r="K128">
        <v>8</v>
      </c>
      <c r="N128">
        <v>8</v>
      </c>
      <c r="O128">
        <v>4</v>
      </c>
      <c r="P128">
        <v>2</v>
      </c>
      <c r="Q128">
        <v>71.599999999999994</v>
      </c>
      <c r="R128">
        <v>56</v>
      </c>
      <c r="S128">
        <v>56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56</v>
      </c>
      <c r="AA128">
        <v>3</v>
      </c>
      <c r="AB128">
        <v>0</v>
      </c>
      <c r="AD128">
        <v>130.6</v>
      </c>
    </row>
    <row r="129" spans="1:30" x14ac:dyDescent="0.3">
      <c r="A129" s="4">
        <v>138</v>
      </c>
      <c r="B129" s="5">
        <v>122</v>
      </c>
      <c r="C129">
        <v>992</v>
      </c>
      <c r="D129" t="s">
        <v>389</v>
      </c>
      <c r="E129" t="s">
        <v>390</v>
      </c>
      <c r="F129" t="s">
        <v>55</v>
      </c>
      <c r="G129" t="s">
        <v>391</v>
      </c>
      <c r="H129" t="str">
        <f>"201511005442"</f>
        <v>201511005442</v>
      </c>
      <c r="I129">
        <v>57.6</v>
      </c>
      <c r="J129">
        <v>10</v>
      </c>
      <c r="K129">
        <v>8</v>
      </c>
      <c r="N129">
        <v>8</v>
      </c>
      <c r="O129">
        <v>4</v>
      </c>
      <c r="P129">
        <v>2</v>
      </c>
      <c r="Q129">
        <v>81.599999999999994</v>
      </c>
      <c r="R129">
        <v>49</v>
      </c>
      <c r="S129">
        <v>49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49</v>
      </c>
      <c r="AA129">
        <v>0</v>
      </c>
      <c r="AB129">
        <v>0</v>
      </c>
      <c r="AD129">
        <v>130.6</v>
      </c>
    </row>
    <row r="130" spans="1:30" x14ac:dyDescent="0.3">
      <c r="A130" s="4">
        <v>139</v>
      </c>
      <c r="B130" s="5">
        <v>123</v>
      </c>
      <c r="C130">
        <v>672</v>
      </c>
      <c r="D130" t="s">
        <v>392</v>
      </c>
      <c r="E130" t="s">
        <v>100</v>
      </c>
      <c r="F130" t="s">
        <v>393</v>
      </c>
      <c r="G130" t="s">
        <v>394</v>
      </c>
      <c r="H130" t="str">
        <f>"00523612"</f>
        <v>00523612</v>
      </c>
      <c r="I130">
        <v>21.6</v>
      </c>
      <c r="J130">
        <v>10</v>
      </c>
      <c r="N130">
        <v>0</v>
      </c>
      <c r="O130">
        <v>4</v>
      </c>
      <c r="P130">
        <v>2</v>
      </c>
      <c r="Q130">
        <v>37.6</v>
      </c>
      <c r="R130">
        <v>93</v>
      </c>
      <c r="S130">
        <v>93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93</v>
      </c>
      <c r="AA130">
        <v>0</v>
      </c>
      <c r="AB130">
        <v>0</v>
      </c>
      <c r="AD130">
        <v>130.6</v>
      </c>
    </row>
    <row r="131" spans="1:30" x14ac:dyDescent="0.3">
      <c r="A131" s="4">
        <v>140</v>
      </c>
      <c r="B131" s="5">
        <v>124</v>
      </c>
      <c r="C131">
        <v>858</v>
      </c>
      <c r="D131" t="s">
        <v>395</v>
      </c>
      <c r="E131" t="s">
        <v>188</v>
      </c>
      <c r="F131" t="s">
        <v>230</v>
      </c>
      <c r="G131" t="s">
        <v>396</v>
      </c>
      <c r="H131" t="str">
        <f>"00511066"</f>
        <v>00511066</v>
      </c>
      <c r="I131">
        <v>35.4</v>
      </c>
      <c r="J131">
        <v>0</v>
      </c>
      <c r="M131">
        <v>4</v>
      </c>
      <c r="N131">
        <v>4</v>
      </c>
      <c r="O131">
        <v>4</v>
      </c>
      <c r="P131">
        <v>2</v>
      </c>
      <c r="Q131">
        <v>45.4</v>
      </c>
      <c r="R131">
        <v>82</v>
      </c>
      <c r="S131">
        <v>82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82</v>
      </c>
      <c r="AA131">
        <v>3</v>
      </c>
      <c r="AB131">
        <v>0</v>
      </c>
      <c r="AD131">
        <v>130.4</v>
      </c>
    </row>
    <row r="132" spans="1:30" x14ac:dyDescent="0.3">
      <c r="A132" s="4">
        <v>141</v>
      </c>
      <c r="B132" s="5">
        <v>125</v>
      </c>
      <c r="C132">
        <v>1241</v>
      </c>
      <c r="D132" t="s">
        <v>397</v>
      </c>
      <c r="E132" t="s">
        <v>166</v>
      </c>
      <c r="F132" t="s">
        <v>81</v>
      </c>
      <c r="G132" t="s">
        <v>398</v>
      </c>
      <c r="H132" t="str">
        <f>"00531980"</f>
        <v>00531980</v>
      </c>
      <c r="I132">
        <v>43.2</v>
      </c>
      <c r="J132">
        <v>10</v>
      </c>
      <c r="N132">
        <v>0</v>
      </c>
      <c r="O132">
        <v>4</v>
      </c>
      <c r="P132">
        <v>2</v>
      </c>
      <c r="Q132">
        <v>59.2</v>
      </c>
      <c r="R132">
        <v>38</v>
      </c>
      <c r="S132">
        <v>38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38</v>
      </c>
      <c r="AA132">
        <v>9</v>
      </c>
      <c r="AB132">
        <v>24</v>
      </c>
      <c r="AD132">
        <v>130.19999999999999</v>
      </c>
    </row>
    <row r="133" spans="1:30" x14ac:dyDescent="0.3">
      <c r="A133" s="4">
        <v>142</v>
      </c>
      <c r="B133" s="5">
        <v>126</v>
      </c>
      <c r="C133">
        <v>1917</v>
      </c>
      <c r="D133" t="s">
        <v>399</v>
      </c>
      <c r="E133" t="s">
        <v>400</v>
      </c>
      <c r="F133" t="s">
        <v>158</v>
      </c>
      <c r="G133" t="s">
        <v>401</v>
      </c>
      <c r="H133" t="str">
        <f>"00161269"</f>
        <v>00161269</v>
      </c>
      <c r="I133">
        <v>7.2</v>
      </c>
      <c r="J133">
        <v>0</v>
      </c>
      <c r="N133">
        <v>0</v>
      </c>
      <c r="O133">
        <v>0</v>
      </c>
      <c r="P133">
        <v>0</v>
      </c>
      <c r="Q133">
        <v>7.2</v>
      </c>
      <c r="R133">
        <v>120</v>
      </c>
      <c r="S133">
        <v>120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120</v>
      </c>
      <c r="AA133">
        <v>3</v>
      </c>
      <c r="AB133">
        <v>0</v>
      </c>
      <c r="AD133">
        <v>130.19999999999999</v>
      </c>
    </row>
    <row r="134" spans="1:30" x14ac:dyDescent="0.3">
      <c r="A134" s="4">
        <v>143</v>
      </c>
      <c r="B134" s="5">
        <v>127</v>
      </c>
      <c r="C134">
        <v>2243</v>
      </c>
      <c r="D134" t="s">
        <v>402</v>
      </c>
      <c r="E134" t="s">
        <v>403</v>
      </c>
      <c r="F134" t="s">
        <v>38</v>
      </c>
      <c r="G134" t="s">
        <v>404</v>
      </c>
      <c r="H134" t="str">
        <f>"00485040"</f>
        <v>00485040</v>
      </c>
      <c r="I134">
        <v>36</v>
      </c>
      <c r="J134">
        <v>0</v>
      </c>
      <c r="K134">
        <v>8</v>
      </c>
      <c r="N134">
        <v>8</v>
      </c>
      <c r="O134">
        <v>4</v>
      </c>
      <c r="P134">
        <v>2</v>
      </c>
      <c r="Q134">
        <v>50</v>
      </c>
      <c r="R134">
        <v>77</v>
      </c>
      <c r="S134">
        <v>77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77</v>
      </c>
      <c r="AA134">
        <v>3</v>
      </c>
      <c r="AB134">
        <v>0</v>
      </c>
      <c r="AD134">
        <v>130</v>
      </c>
    </row>
    <row r="135" spans="1:30" x14ac:dyDescent="0.3">
      <c r="A135" s="4">
        <v>144</v>
      </c>
      <c r="B135" s="5">
        <v>128</v>
      </c>
      <c r="C135">
        <v>1589</v>
      </c>
      <c r="D135" t="s">
        <v>405</v>
      </c>
      <c r="E135" t="s">
        <v>406</v>
      </c>
      <c r="F135" t="s">
        <v>20</v>
      </c>
      <c r="G135" t="s">
        <v>407</v>
      </c>
      <c r="H135" t="str">
        <f>"00158417"</f>
        <v>00158417</v>
      </c>
      <c r="I135">
        <v>72</v>
      </c>
      <c r="J135">
        <v>10</v>
      </c>
      <c r="M135">
        <v>4</v>
      </c>
      <c r="N135">
        <v>4</v>
      </c>
      <c r="O135">
        <v>4</v>
      </c>
      <c r="P135">
        <v>2</v>
      </c>
      <c r="Q135">
        <v>92</v>
      </c>
      <c r="R135">
        <v>38</v>
      </c>
      <c r="S135">
        <v>38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38</v>
      </c>
      <c r="AA135">
        <v>0</v>
      </c>
      <c r="AB135">
        <v>0</v>
      </c>
      <c r="AD135">
        <v>130</v>
      </c>
    </row>
    <row r="136" spans="1:30" x14ac:dyDescent="0.3">
      <c r="A136" s="4">
        <v>145</v>
      </c>
      <c r="B136" s="5">
        <v>129</v>
      </c>
      <c r="C136">
        <v>2715</v>
      </c>
      <c r="D136" t="s">
        <v>408</v>
      </c>
      <c r="E136" t="s">
        <v>188</v>
      </c>
      <c r="F136" t="s">
        <v>20</v>
      </c>
      <c r="G136" t="s">
        <v>409</v>
      </c>
      <c r="H136" t="str">
        <f>"00161316"</f>
        <v>00161316</v>
      </c>
      <c r="I136">
        <v>21.84</v>
      </c>
      <c r="J136">
        <v>10</v>
      </c>
      <c r="N136">
        <v>0</v>
      </c>
      <c r="O136">
        <v>4</v>
      </c>
      <c r="P136">
        <v>2</v>
      </c>
      <c r="Q136">
        <v>37.840000000000003</v>
      </c>
      <c r="R136">
        <v>61</v>
      </c>
      <c r="S136">
        <v>61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61</v>
      </c>
      <c r="AA136">
        <v>3</v>
      </c>
      <c r="AB136">
        <v>28</v>
      </c>
      <c r="AD136">
        <v>129.84</v>
      </c>
    </row>
    <row r="137" spans="1:30" x14ac:dyDescent="0.3">
      <c r="A137" s="4">
        <v>146</v>
      </c>
      <c r="B137" s="5">
        <v>130</v>
      </c>
      <c r="C137">
        <v>888</v>
      </c>
      <c r="D137" t="s">
        <v>410</v>
      </c>
      <c r="E137" t="s">
        <v>54</v>
      </c>
      <c r="F137" t="s">
        <v>20</v>
      </c>
      <c r="G137" t="s">
        <v>411</v>
      </c>
      <c r="H137" t="str">
        <f>"00198008"</f>
        <v>00198008</v>
      </c>
      <c r="I137">
        <v>28.8</v>
      </c>
      <c r="J137">
        <v>10</v>
      </c>
      <c r="K137">
        <v>8</v>
      </c>
      <c r="N137">
        <v>8</v>
      </c>
      <c r="O137">
        <v>4</v>
      </c>
      <c r="P137">
        <v>2</v>
      </c>
      <c r="Q137">
        <v>52.8</v>
      </c>
      <c r="R137">
        <v>77</v>
      </c>
      <c r="S137">
        <v>77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77</v>
      </c>
      <c r="AA137">
        <v>0</v>
      </c>
      <c r="AB137">
        <v>0</v>
      </c>
      <c r="AD137">
        <v>129.80000000000001</v>
      </c>
    </row>
    <row r="138" spans="1:30" x14ac:dyDescent="0.3">
      <c r="A138" s="4">
        <v>147</v>
      </c>
      <c r="B138" s="5">
        <v>131</v>
      </c>
      <c r="C138">
        <v>2319</v>
      </c>
      <c r="D138" t="s">
        <v>412</v>
      </c>
      <c r="E138" t="s">
        <v>413</v>
      </c>
      <c r="F138" t="s">
        <v>17</v>
      </c>
      <c r="G138" t="s">
        <v>414</v>
      </c>
      <c r="H138" t="str">
        <f>"00518358"</f>
        <v>00518358</v>
      </c>
      <c r="I138">
        <v>28.8</v>
      </c>
      <c r="J138">
        <v>0</v>
      </c>
      <c r="M138">
        <v>4</v>
      </c>
      <c r="N138">
        <v>4</v>
      </c>
      <c r="O138">
        <v>4</v>
      </c>
      <c r="P138">
        <v>0</v>
      </c>
      <c r="Q138">
        <v>36.799999999999997</v>
      </c>
      <c r="R138">
        <v>93</v>
      </c>
      <c r="S138">
        <v>93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93</v>
      </c>
      <c r="AA138">
        <v>0</v>
      </c>
      <c r="AB138">
        <v>0</v>
      </c>
      <c r="AD138">
        <v>129.80000000000001</v>
      </c>
    </row>
    <row r="139" spans="1:30" x14ac:dyDescent="0.3">
      <c r="A139" s="4">
        <v>148</v>
      </c>
      <c r="B139" s="5">
        <v>132</v>
      </c>
      <c r="C139">
        <v>4916</v>
      </c>
      <c r="D139" t="s">
        <v>415</v>
      </c>
      <c r="E139" t="s">
        <v>255</v>
      </c>
      <c r="F139" t="s">
        <v>416</v>
      </c>
      <c r="G139" t="s">
        <v>417</v>
      </c>
      <c r="H139" t="str">
        <f>"00864906"</f>
        <v>00864906</v>
      </c>
      <c r="I139">
        <v>37.520000000000003</v>
      </c>
      <c r="J139">
        <v>10</v>
      </c>
      <c r="L139">
        <v>6</v>
      </c>
      <c r="N139">
        <v>6</v>
      </c>
      <c r="O139">
        <v>0</v>
      </c>
      <c r="P139">
        <v>2</v>
      </c>
      <c r="Q139">
        <v>55.52</v>
      </c>
      <c r="R139">
        <v>71</v>
      </c>
      <c r="S139">
        <v>71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71</v>
      </c>
      <c r="AA139">
        <v>3</v>
      </c>
      <c r="AB139">
        <v>0</v>
      </c>
      <c r="AD139">
        <v>129.52000000000001</v>
      </c>
    </row>
    <row r="140" spans="1:30" x14ac:dyDescent="0.3">
      <c r="A140" s="4">
        <v>149</v>
      </c>
      <c r="B140" s="5">
        <v>133</v>
      </c>
      <c r="C140">
        <v>3182</v>
      </c>
      <c r="D140" t="s">
        <v>418</v>
      </c>
      <c r="E140" t="s">
        <v>419</v>
      </c>
      <c r="F140" t="s">
        <v>124</v>
      </c>
      <c r="G140" t="s">
        <v>420</v>
      </c>
      <c r="H140" t="str">
        <f>"201604006086"</f>
        <v>201604006086</v>
      </c>
      <c r="I140">
        <v>50.4</v>
      </c>
      <c r="J140">
        <v>10</v>
      </c>
      <c r="N140">
        <v>0</v>
      </c>
      <c r="O140">
        <v>4</v>
      </c>
      <c r="P140">
        <v>0</v>
      </c>
      <c r="Q140">
        <v>64.400000000000006</v>
      </c>
      <c r="R140">
        <v>56</v>
      </c>
      <c r="S140">
        <v>56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56</v>
      </c>
      <c r="AA140">
        <v>9</v>
      </c>
      <c r="AB140">
        <v>0</v>
      </c>
      <c r="AD140">
        <v>129.4</v>
      </c>
    </row>
    <row r="141" spans="1:30" x14ac:dyDescent="0.3">
      <c r="A141" s="4">
        <v>150</v>
      </c>
      <c r="B141" s="5">
        <v>134</v>
      </c>
      <c r="C141">
        <v>2165</v>
      </c>
      <c r="D141" t="s">
        <v>421</v>
      </c>
      <c r="E141" t="s">
        <v>29</v>
      </c>
      <c r="F141" t="s">
        <v>79</v>
      </c>
      <c r="G141" t="s">
        <v>422</v>
      </c>
      <c r="H141" t="str">
        <f>"00480020"</f>
        <v>00480020</v>
      </c>
      <c r="I141">
        <v>50.4</v>
      </c>
      <c r="J141">
        <v>0</v>
      </c>
      <c r="M141">
        <v>4</v>
      </c>
      <c r="N141">
        <v>4</v>
      </c>
      <c r="O141">
        <v>4</v>
      </c>
      <c r="P141">
        <v>2</v>
      </c>
      <c r="Q141">
        <v>60.4</v>
      </c>
      <c r="R141">
        <v>63</v>
      </c>
      <c r="S141">
        <v>63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63</v>
      </c>
      <c r="AA141">
        <v>6</v>
      </c>
      <c r="AB141">
        <v>0</v>
      </c>
      <c r="AD141">
        <v>129.4</v>
      </c>
    </row>
    <row r="142" spans="1:30" x14ac:dyDescent="0.3">
      <c r="A142" s="4">
        <v>151</v>
      </c>
      <c r="B142" s="5">
        <v>135</v>
      </c>
      <c r="C142">
        <v>2989</v>
      </c>
      <c r="D142" t="s">
        <v>423</v>
      </c>
      <c r="E142" t="s">
        <v>424</v>
      </c>
      <c r="F142" t="s">
        <v>425</v>
      </c>
      <c r="G142" t="s">
        <v>426</v>
      </c>
      <c r="H142" t="str">
        <f>"00151911"</f>
        <v>00151911</v>
      </c>
      <c r="I142">
        <v>50.4</v>
      </c>
      <c r="J142">
        <v>10</v>
      </c>
      <c r="K142">
        <v>8</v>
      </c>
      <c r="N142">
        <v>8</v>
      </c>
      <c r="O142">
        <v>4</v>
      </c>
      <c r="P142">
        <v>2</v>
      </c>
      <c r="Q142">
        <v>74.400000000000006</v>
      </c>
      <c r="R142">
        <v>55</v>
      </c>
      <c r="S142">
        <v>55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55</v>
      </c>
      <c r="AA142">
        <v>0</v>
      </c>
      <c r="AB142">
        <v>0</v>
      </c>
      <c r="AD142">
        <v>129.4</v>
      </c>
    </row>
    <row r="143" spans="1:30" x14ac:dyDescent="0.3">
      <c r="A143" s="4">
        <v>152</v>
      </c>
      <c r="B143" s="5">
        <v>136</v>
      </c>
      <c r="C143">
        <v>3287</v>
      </c>
      <c r="D143" t="s">
        <v>427</v>
      </c>
      <c r="E143" t="s">
        <v>255</v>
      </c>
      <c r="F143" t="s">
        <v>20</v>
      </c>
      <c r="G143" t="s">
        <v>428</v>
      </c>
      <c r="H143" t="str">
        <f>"00531213"</f>
        <v>00531213</v>
      </c>
      <c r="I143">
        <v>43.2</v>
      </c>
      <c r="J143">
        <v>0</v>
      </c>
      <c r="M143">
        <v>4</v>
      </c>
      <c r="N143">
        <v>4</v>
      </c>
      <c r="O143">
        <v>4</v>
      </c>
      <c r="P143">
        <v>0</v>
      </c>
      <c r="Q143">
        <v>51.2</v>
      </c>
      <c r="R143">
        <v>72</v>
      </c>
      <c r="S143">
        <v>72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72</v>
      </c>
      <c r="AA143">
        <v>6</v>
      </c>
      <c r="AB143">
        <v>0</v>
      </c>
      <c r="AD143">
        <v>129.19999999999999</v>
      </c>
    </row>
    <row r="144" spans="1:30" x14ac:dyDescent="0.3">
      <c r="A144" s="4">
        <v>153</v>
      </c>
      <c r="B144" s="5">
        <v>137</v>
      </c>
      <c r="C144">
        <v>970</v>
      </c>
      <c r="D144" t="s">
        <v>429</v>
      </c>
      <c r="E144" t="s">
        <v>188</v>
      </c>
      <c r="F144" t="s">
        <v>430</v>
      </c>
      <c r="G144" t="s">
        <v>431</v>
      </c>
      <c r="H144" t="str">
        <f>"00504377"</f>
        <v>00504377</v>
      </c>
      <c r="I144">
        <v>43.2</v>
      </c>
      <c r="J144">
        <v>10</v>
      </c>
      <c r="N144">
        <v>0</v>
      </c>
      <c r="O144">
        <v>4</v>
      </c>
      <c r="P144">
        <v>0</v>
      </c>
      <c r="Q144">
        <v>57.2</v>
      </c>
      <c r="R144">
        <v>69</v>
      </c>
      <c r="S144">
        <v>69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69</v>
      </c>
      <c r="AA144">
        <v>3</v>
      </c>
      <c r="AB144">
        <v>0</v>
      </c>
      <c r="AD144">
        <v>129.19999999999999</v>
      </c>
    </row>
    <row r="145" spans="1:30" x14ac:dyDescent="0.3">
      <c r="A145" s="4">
        <v>154</v>
      </c>
      <c r="B145" s="5">
        <v>138</v>
      </c>
      <c r="C145">
        <v>3713</v>
      </c>
      <c r="D145" t="s">
        <v>432</v>
      </c>
      <c r="E145" t="s">
        <v>88</v>
      </c>
      <c r="F145" t="s">
        <v>17</v>
      </c>
      <c r="G145" t="s">
        <v>433</v>
      </c>
      <c r="H145" t="str">
        <f>"00493087"</f>
        <v>00493087</v>
      </c>
      <c r="I145">
        <v>36</v>
      </c>
      <c r="J145">
        <v>0</v>
      </c>
      <c r="N145">
        <v>0</v>
      </c>
      <c r="O145">
        <v>4</v>
      </c>
      <c r="P145">
        <v>0</v>
      </c>
      <c r="Q145">
        <v>40</v>
      </c>
      <c r="R145">
        <v>83</v>
      </c>
      <c r="S145">
        <v>83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83</v>
      </c>
      <c r="AA145">
        <v>6</v>
      </c>
      <c r="AB145">
        <v>0</v>
      </c>
      <c r="AD145">
        <v>129</v>
      </c>
    </row>
    <row r="146" spans="1:30" x14ac:dyDescent="0.3">
      <c r="A146" s="4">
        <v>155</v>
      </c>
      <c r="B146" s="5">
        <v>139</v>
      </c>
      <c r="C146">
        <v>1047</v>
      </c>
      <c r="D146" t="s">
        <v>434</v>
      </c>
      <c r="E146" t="s">
        <v>29</v>
      </c>
      <c r="F146" t="s">
        <v>124</v>
      </c>
      <c r="G146" t="s">
        <v>435</v>
      </c>
      <c r="H146" t="str">
        <f>"00442205"</f>
        <v>00442205</v>
      </c>
      <c r="I146">
        <v>30.92</v>
      </c>
      <c r="J146">
        <v>10</v>
      </c>
      <c r="K146">
        <v>8</v>
      </c>
      <c r="N146">
        <v>8</v>
      </c>
      <c r="O146">
        <v>4</v>
      </c>
      <c r="P146">
        <v>2</v>
      </c>
      <c r="Q146">
        <v>54.92</v>
      </c>
      <c r="R146">
        <v>74</v>
      </c>
      <c r="S146">
        <v>74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74</v>
      </c>
      <c r="AA146">
        <v>0</v>
      </c>
      <c r="AB146">
        <v>0</v>
      </c>
      <c r="AD146">
        <v>128.91999999999999</v>
      </c>
    </row>
    <row r="147" spans="1:30" x14ac:dyDescent="0.3">
      <c r="A147" s="4">
        <v>156</v>
      </c>
      <c r="B147" s="5">
        <v>140</v>
      </c>
      <c r="C147">
        <v>2618</v>
      </c>
      <c r="D147" t="s">
        <v>436</v>
      </c>
      <c r="E147" t="s">
        <v>29</v>
      </c>
      <c r="F147" t="s">
        <v>68</v>
      </c>
      <c r="G147" t="s">
        <v>437</v>
      </c>
      <c r="H147" t="str">
        <f>"00477107"</f>
        <v>00477107</v>
      </c>
      <c r="I147">
        <v>20.8</v>
      </c>
      <c r="J147">
        <v>0</v>
      </c>
      <c r="K147">
        <v>8</v>
      </c>
      <c r="N147">
        <v>8</v>
      </c>
      <c r="O147">
        <v>4</v>
      </c>
      <c r="P147">
        <v>2</v>
      </c>
      <c r="Q147">
        <v>34.799999999999997</v>
      </c>
      <c r="R147">
        <v>58</v>
      </c>
      <c r="S147">
        <v>58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58</v>
      </c>
      <c r="AA147">
        <v>6</v>
      </c>
      <c r="AB147">
        <v>30</v>
      </c>
      <c r="AD147">
        <v>128.80000000000001</v>
      </c>
    </row>
    <row r="148" spans="1:30" x14ac:dyDescent="0.3">
      <c r="A148" s="4">
        <v>157</v>
      </c>
      <c r="B148" s="5">
        <v>141</v>
      </c>
      <c r="C148">
        <v>380</v>
      </c>
      <c r="D148" t="s">
        <v>438</v>
      </c>
      <c r="E148" t="s">
        <v>439</v>
      </c>
      <c r="F148" t="s">
        <v>38</v>
      </c>
      <c r="G148" t="s">
        <v>440</v>
      </c>
      <c r="H148" t="str">
        <f>"00492719"</f>
        <v>00492719</v>
      </c>
      <c r="I148">
        <v>64.8</v>
      </c>
      <c r="J148">
        <v>0</v>
      </c>
      <c r="N148">
        <v>0</v>
      </c>
      <c r="O148">
        <v>4</v>
      </c>
      <c r="P148">
        <v>0</v>
      </c>
      <c r="Q148">
        <v>68.8</v>
      </c>
      <c r="R148">
        <v>54</v>
      </c>
      <c r="S148">
        <v>54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54</v>
      </c>
      <c r="AA148">
        <v>6</v>
      </c>
      <c r="AB148">
        <v>0</v>
      </c>
      <c r="AD148">
        <v>128.80000000000001</v>
      </c>
    </row>
    <row r="149" spans="1:30" x14ac:dyDescent="0.3">
      <c r="A149" s="4">
        <v>158</v>
      </c>
      <c r="B149" s="5">
        <v>142</v>
      </c>
      <c r="C149">
        <v>1564</v>
      </c>
      <c r="D149" t="s">
        <v>441</v>
      </c>
      <c r="E149" t="s">
        <v>97</v>
      </c>
      <c r="F149" t="s">
        <v>442</v>
      </c>
      <c r="G149" t="s">
        <v>443</v>
      </c>
      <c r="H149" t="str">
        <f>"00479920"</f>
        <v>00479920</v>
      </c>
      <c r="I149">
        <v>64.8</v>
      </c>
      <c r="J149">
        <v>0</v>
      </c>
      <c r="M149">
        <v>4</v>
      </c>
      <c r="N149">
        <v>4</v>
      </c>
      <c r="O149">
        <v>4</v>
      </c>
      <c r="P149">
        <v>2</v>
      </c>
      <c r="Q149">
        <v>74.8</v>
      </c>
      <c r="R149">
        <v>54</v>
      </c>
      <c r="S149">
        <v>54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54</v>
      </c>
      <c r="AA149">
        <v>0</v>
      </c>
      <c r="AB149">
        <v>0</v>
      </c>
      <c r="AD149">
        <v>128.80000000000001</v>
      </c>
    </row>
    <row r="150" spans="1:30" x14ac:dyDescent="0.3">
      <c r="A150" s="4">
        <v>159</v>
      </c>
      <c r="B150" s="5">
        <v>143</v>
      </c>
      <c r="C150">
        <v>2025</v>
      </c>
      <c r="D150" t="s">
        <v>444</v>
      </c>
      <c r="E150" t="s">
        <v>110</v>
      </c>
      <c r="F150" t="s">
        <v>55</v>
      </c>
      <c r="G150" t="s">
        <v>445</v>
      </c>
      <c r="H150" t="str">
        <f>"00500445"</f>
        <v>00500445</v>
      </c>
      <c r="I150">
        <v>37.76</v>
      </c>
      <c r="J150">
        <v>0</v>
      </c>
      <c r="N150">
        <v>0</v>
      </c>
      <c r="O150">
        <v>4</v>
      </c>
      <c r="P150">
        <v>2</v>
      </c>
      <c r="Q150">
        <v>43.76</v>
      </c>
      <c r="R150">
        <v>79</v>
      </c>
      <c r="S150">
        <v>79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79</v>
      </c>
      <c r="AA150">
        <v>6</v>
      </c>
      <c r="AB150">
        <v>0</v>
      </c>
      <c r="AD150">
        <v>128.76</v>
      </c>
    </row>
    <row r="151" spans="1:30" x14ac:dyDescent="0.3">
      <c r="A151" s="4">
        <v>160</v>
      </c>
      <c r="B151" s="5">
        <v>144</v>
      </c>
      <c r="C151">
        <v>1457</v>
      </c>
      <c r="D151" t="s">
        <v>264</v>
      </c>
      <c r="E151" t="s">
        <v>439</v>
      </c>
      <c r="F151" t="s">
        <v>124</v>
      </c>
      <c r="G151" t="s">
        <v>446</v>
      </c>
      <c r="H151" t="str">
        <f>"00530129"</f>
        <v>00530129</v>
      </c>
      <c r="I151">
        <v>23.72</v>
      </c>
      <c r="J151">
        <v>0</v>
      </c>
      <c r="N151">
        <v>0</v>
      </c>
      <c r="O151">
        <v>4</v>
      </c>
      <c r="P151">
        <v>2</v>
      </c>
      <c r="Q151">
        <v>29.72</v>
      </c>
      <c r="R151">
        <v>99</v>
      </c>
      <c r="S151">
        <v>99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99</v>
      </c>
      <c r="AA151">
        <v>0</v>
      </c>
      <c r="AB151">
        <v>0</v>
      </c>
      <c r="AD151">
        <v>128.72</v>
      </c>
    </row>
    <row r="152" spans="1:30" x14ac:dyDescent="0.3">
      <c r="A152" s="4">
        <v>161</v>
      </c>
      <c r="B152" s="5">
        <v>145</v>
      </c>
      <c r="C152">
        <v>1696</v>
      </c>
      <c r="D152" t="s">
        <v>447</v>
      </c>
      <c r="E152" t="s">
        <v>30</v>
      </c>
      <c r="F152" t="s">
        <v>30</v>
      </c>
      <c r="G152" t="s">
        <v>448</v>
      </c>
      <c r="H152" t="str">
        <f>"00503843"</f>
        <v>00503843</v>
      </c>
      <c r="I152">
        <v>57.6</v>
      </c>
      <c r="J152">
        <v>10</v>
      </c>
      <c r="K152">
        <v>8</v>
      </c>
      <c r="N152">
        <v>8</v>
      </c>
      <c r="O152">
        <v>4</v>
      </c>
      <c r="P152">
        <v>2</v>
      </c>
      <c r="Q152">
        <v>81.599999999999994</v>
      </c>
      <c r="R152">
        <v>47</v>
      </c>
      <c r="S152">
        <v>47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47</v>
      </c>
      <c r="AA152">
        <v>0</v>
      </c>
      <c r="AB152">
        <v>0</v>
      </c>
      <c r="AD152">
        <v>128.6</v>
      </c>
    </row>
    <row r="153" spans="1:30" x14ac:dyDescent="0.3">
      <c r="A153" s="4">
        <v>162</v>
      </c>
      <c r="B153" s="5">
        <v>146</v>
      </c>
      <c r="C153">
        <v>4002</v>
      </c>
      <c r="D153" t="s">
        <v>449</v>
      </c>
      <c r="E153" t="s">
        <v>188</v>
      </c>
      <c r="F153" t="s">
        <v>230</v>
      </c>
      <c r="G153" t="s">
        <v>450</v>
      </c>
      <c r="H153" t="str">
        <f>"00148570"</f>
        <v>00148570</v>
      </c>
      <c r="I153">
        <v>14.4</v>
      </c>
      <c r="J153">
        <v>0</v>
      </c>
      <c r="N153">
        <v>0</v>
      </c>
      <c r="O153">
        <v>4</v>
      </c>
      <c r="P153">
        <v>0</v>
      </c>
      <c r="Q153">
        <v>18.399999999999999</v>
      </c>
      <c r="R153">
        <v>104</v>
      </c>
      <c r="S153">
        <v>104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104</v>
      </c>
      <c r="AA153">
        <v>6</v>
      </c>
      <c r="AB153">
        <v>0</v>
      </c>
      <c r="AD153">
        <v>128.4</v>
      </c>
    </row>
    <row r="154" spans="1:30" x14ac:dyDescent="0.3">
      <c r="A154" s="4">
        <v>163</v>
      </c>
      <c r="B154" s="5">
        <v>147</v>
      </c>
      <c r="C154">
        <v>2119</v>
      </c>
      <c r="D154" t="s">
        <v>451</v>
      </c>
      <c r="E154" t="s">
        <v>29</v>
      </c>
      <c r="F154" t="s">
        <v>117</v>
      </c>
      <c r="G154" t="s">
        <v>452</v>
      </c>
      <c r="H154" t="str">
        <f>"00163879"</f>
        <v>00163879</v>
      </c>
      <c r="I154">
        <v>50.4</v>
      </c>
      <c r="J154">
        <v>10</v>
      </c>
      <c r="M154">
        <v>4</v>
      </c>
      <c r="N154">
        <v>4</v>
      </c>
      <c r="O154">
        <v>4</v>
      </c>
      <c r="P154">
        <v>2</v>
      </c>
      <c r="Q154">
        <v>70.400000000000006</v>
      </c>
      <c r="R154">
        <v>58</v>
      </c>
      <c r="S154">
        <v>58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58</v>
      </c>
      <c r="AA154">
        <v>0</v>
      </c>
      <c r="AB154">
        <v>0</v>
      </c>
      <c r="AD154">
        <v>128.4</v>
      </c>
    </row>
    <row r="155" spans="1:30" x14ac:dyDescent="0.3">
      <c r="A155" s="4">
        <v>164</v>
      </c>
      <c r="B155" s="5">
        <v>148</v>
      </c>
      <c r="C155">
        <v>925</v>
      </c>
      <c r="D155" t="s">
        <v>453</v>
      </c>
      <c r="E155" t="s">
        <v>454</v>
      </c>
      <c r="F155" t="s">
        <v>136</v>
      </c>
      <c r="G155" t="s">
        <v>455</v>
      </c>
      <c r="H155" t="str">
        <f>"00151347"</f>
        <v>00151347</v>
      </c>
      <c r="I155">
        <v>43.2</v>
      </c>
      <c r="J155">
        <v>10</v>
      </c>
      <c r="M155">
        <v>4</v>
      </c>
      <c r="N155">
        <v>4</v>
      </c>
      <c r="O155">
        <v>4</v>
      </c>
      <c r="P155">
        <v>2</v>
      </c>
      <c r="Q155">
        <v>63.2</v>
      </c>
      <c r="R155">
        <v>62</v>
      </c>
      <c r="S155">
        <v>62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62</v>
      </c>
      <c r="AA155">
        <v>3</v>
      </c>
      <c r="AB155">
        <v>0</v>
      </c>
      <c r="AD155">
        <v>128.19999999999999</v>
      </c>
    </row>
    <row r="156" spans="1:30" x14ac:dyDescent="0.3">
      <c r="A156" s="4">
        <v>165</v>
      </c>
      <c r="B156" s="5">
        <v>149</v>
      </c>
      <c r="C156">
        <v>1418</v>
      </c>
      <c r="D156" t="s">
        <v>456</v>
      </c>
      <c r="E156" t="s">
        <v>29</v>
      </c>
      <c r="F156" t="s">
        <v>457</v>
      </c>
      <c r="G156" t="s">
        <v>458</v>
      </c>
      <c r="H156" t="str">
        <f>"00157726"</f>
        <v>00157726</v>
      </c>
      <c r="I156">
        <v>38</v>
      </c>
      <c r="J156">
        <v>10</v>
      </c>
      <c r="K156">
        <v>8</v>
      </c>
      <c r="N156">
        <v>8</v>
      </c>
      <c r="O156">
        <v>4</v>
      </c>
      <c r="P156">
        <v>2</v>
      </c>
      <c r="Q156">
        <v>62</v>
      </c>
      <c r="R156">
        <v>60</v>
      </c>
      <c r="S156">
        <v>60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60</v>
      </c>
      <c r="AA156">
        <v>6</v>
      </c>
      <c r="AB156">
        <v>0</v>
      </c>
      <c r="AD156">
        <v>128</v>
      </c>
    </row>
    <row r="157" spans="1:30" x14ac:dyDescent="0.3">
      <c r="A157" s="4">
        <v>166</v>
      </c>
      <c r="B157" s="5">
        <v>150</v>
      </c>
      <c r="C157">
        <v>1071</v>
      </c>
      <c r="D157" t="s">
        <v>459</v>
      </c>
      <c r="E157" t="s">
        <v>219</v>
      </c>
      <c r="F157" t="s">
        <v>17</v>
      </c>
      <c r="G157" t="s">
        <v>460</v>
      </c>
      <c r="H157" t="str">
        <f>"00503018"</f>
        <v>00503018</v>
      </c>
      <c r="I157">
        <v>36</v>
      </c>
      <c r="J157">
        <v>10</v>
      </c>
      <c r="M157">
        <v>4</v>
      </c>
      <c r="N157">
        <v>4</v>
      </c>
      <c r="O157">
        <v>4</v>
      </c>
      <c r="P157">
        <v>2</v>
      </c>
      <c r="Q157">
        <v>56</v>
      </c>
      <c r="R157">
        <v>69</v>
      </c>
      <c r="S157">
        <v>69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69</v>
      </c>
      <c r="AA157">
        <v>3</v>
      </c>
      <c r="AB157">
        <v>0</v>
      </c>
      <c r="AD157">
        <v>128</v>
      </c>
    </row>
    <row r="158" spans="1:30" x14ac:dyDescent="0.3">
      <c r="A158" s="4">
        <v>167</v>
      </c>
      <c r="B158" s="5">
        <v>151</v>
      </c>
      <c r="C158">
        <v>1843</v>
      </c>
      <c r="D158" t="s">
        <v>461</v>
      </c>
      <c r="E158" t="s">
        <v>400</v>
      </c>
      <c r="F158" t="s">
        <v>62</v>
      </c>
      <c r="G158" t="s">
        <v>462</v>
      </c>
      <c r="H158" t="str">
        <f>"00503780"</f>
        <v>00503780</v>
      </c>
      <c r="I158">
        <v>32</v>
      </c>
      <c r="J158">
        <v>10</v>
      </c>
      <c r="M158">
        <v>4</v>
      </c>
      <c r="N158">
        <v>4</v>
      </c>
      <c r="O158">
        <v>4</v>
      </c>
      <c r="P158">
        <v>2</v>
      </c>
      <c r="Q158">
        <v>52</v>
      </c>
      <c r="R158">
        <v>73</v>
      </c>
      <c r="S158">
        <v>73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73</v>
      </c>
      <c r="AA158">
        <v>3</v>
      </c>
      <c r="AB158">
        <v>0</v>
      </c>
      <c r="AD158">
        <v>128</v>
      </c>
    </row>
    <row r="159" spans="1:30" x14ac:dyDescent="0.3">
      <c r="A159" s="4">
        <v>168</v>
      </c>
      <c r="B159" s="5">
        <v>152</v>
      </c>
      <c r="C159">
        <v>417</v>
      </c>
      <c r="D159" t="s">
        <v>463</v>
      </c>
      <c r="E159" t="s">
        <v>29</v>
      </c>
      <c r="F159" t="s">
        <v>30</v>
      </c>
      <c r="G159" t="s">
        <v>464</v>
      </c>
      <c r="H159" t="str">
        <f>"00255618"</f>
        <v>00255618</v>
      </c>
      <c r="I159">
        <v>28.8</v>
      </c>
      <c r="J159">
        <v>10</v>
      </c>
      <c r="K159">
        <v>8</v>
      </c>
      <c r="N159">
        <v>8</v>
      </c>
      <c r="O159">
        <v>4</v>
      </c>
      <c r="P159">
        <v>2</v>
      </c>
      <c r="Q159">
        <v>52.8</v>
      </c>
      <c r="R159">
        <v>69</v>
      </c>
      <c r="S159">
        <v>69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69</v>
      </c>
      <c r="AA159">
        <v>6</v>
      </c>
      <c r="AB159">
        <v>0</v>
      </c>
      <c r="AD159">
        <v>127.8</v>
      </c>
    </row>
    <row r="160" spans="1:30" x14ac:dyDescent="0.3">
      <c r="A160" s="4">
        <v>169</v>
      </c>
      <c r="B160" s="5">
        <v>153</v>
      </c>
      <c r="C160">
        <v>479</v>
      </c>
      <c r="D160" t="s">
        <v>465</v>
      </c>
      <c r="E160" t="s">
        <v>88</v>
      </c>
      <c r="F160" t="s">
        <v>466</v>
      </c>
      <c r="G160" t="s">
        <v>467</v>
      </c>
      <c r="H160" t="str">
        <f>"20160705524"</f>
        <v>20160705524</v>
      </c>
      <c r="I160">
        <v>32.880000000000003</v>
      </c>
      <c r="J160">
        <v>0</v>
      </c>
      <c r="M160">
        <v>4</v>
      </c>
      <c r="N160">
        <v>4</v>
      </c>
      <c r="O160">
        <v>4</v>
      </c>
      <c r="P160">
        <v>2</v>
      </c>
      <c r="Q160">
        <v>42.88</v>
      </c>
      <c r="R160">
        <v>55</v>
      </c>
      <c r="S160">
        <v>55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55</v>
      </c>
      <c r="AA160">
        <v>3</v>
      </c>
      <c r="AB160">
        <v>26.8</v>
      </c>
      <c r="AD160">
        <v>127.68</v>
      </c>
    </row>
    <row r="161" spans="1:30" x14ac:dyDescent="0.3">
      <c r="A161" s="4">
        <v>170</v>
      </c>
      <c r="B161" s="5">
        <v>154</v>
      </c>
      <c r="C161">
        <v>910</v>
      </c>
      <c r="D161" t="s">
        <v>468</v>
      </c>
      <c r="E161" t="s">
        <v>33</v>
      </c>
      <c r="F161" t="s">
        <v>136</v>
      </c>
      <c r="G161" t="s">
        <v>469</v>
      </c>
      <c r="H161" t="str">
        <f>"00510932"</f>
        <v>00510932</v>
      </c>
      <c r="I161">
        <v>57.6</v>
      </c>
      <c r="J161">
        <v>0</v>
      </c>
      <c r="K161">
        <v>8</v>
      </c>
      <c r="N161">
        <v>8</v>
      </c>
      <c r="O161">
        <v>4</v>
      </c>
      <c r="P161">
        <v>0</v>
      </c>
      <c r="Q161">
        <v>69.599999999999994</v>
      </c>
      <c r="R161">
        <v>55</v>
      </c>
      <c r="S161">
        <v>55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55</v>
      </c>
      <c r="AA161">
        <v>3</v>
      </c>
      <c r="AB161">
        <v>0</v>
      </c>
      <c r="AD161">
        <v>127.6</v>
      </c>
    </row>
    <row r="162" spans="1:30" x14ac:dyDescent="0.3">
      <c r="A162" s="4">
        <v>171</v>
      </c>
      <c r="B162" s="5">
        <v>155</v>
      </c>
      <c r="C162">
        <v>1684</v>
      </c>
      <c r="D162" t="s">
        <v>470</v>
      </c>
      <c r="E162" t="s">
        <v>471</v>
      </c>
      <c r="F162" t="s">
        <v>158</v>
      </c>
      <c r="G162" t="s">
        <v>472</v>
      </c>
      <c r="H162" t="str">
        <f>"00512362"</f>
        <v>00512362</v>
      </c>
      <c r="I162">
        <v>57.6</v>
      </c>
      <c r="J162">
        <v>10</v>
      </c>
      <c r="N162">
        <v>0</v>
      </c>
      <c r="O162">
        <v>4</v>
      </c>
      <c r="P162">
        <v>0</v>
      </c>
      <c r="Q162">
        <v>71.599999999999994</v>
      </c>
      <c r="R162">
        <v>56</v>
      </c>
      <c r="S162">
        <v>56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56</v>
      </c>
      <c r="AA162">
        <v>0</v>
      </c>
      <c r="AB162">
        <v>0</v>
      </c>
      <c r="AD162">
        <v>127.6</v>
      </c>
    </row>
    <row r="163" spans="1:30" x14ac:dyDescent="0.3">
      <c r="A163" s="4">
        <v>172</v>
      </c>
      <c r="B163" s="5">
        <v>156</v>
      </c>
      <c r="C163">
        <v>2925</v>
      </c>
      <c r="D163" t="s">
        <v>473</v>
      </c>
      <c r="E163" t="s">
        <v>166</v>
      </c>
      <c r="F163" t="s">
        <v>68</v>
      </c>
      <c r="G163" t="s">
        <v>474</v>
      </c>
      <c r="H163" t="str">
        <f>"00525481"</f>
        <v>00525481</v>
      </c>
      <c r="I163">
        <v>21.6</v>
      </c>
      <c r="J163">
        <v>0</v>
      </c>
      <c r="N163">
        <v>0</v>
      </c>
      <c r="O163">
        <v>4</v>
      </c>
      <c r="P163">
        <v>2</v>
      </c>
      <c r="Q163">
        <v>27.6</v>
      </c>
      <c r="R163">
        <v>100</v>
      </c>
      <c r="S163">
        <v>100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100</v>
      </c>
      <c r="AA163">
        <v>0</v>
      </c>
      <c r="AB163">
        <v>0</v>
      </c>
      <c r="AD163">
        <v>127.6</v>
      </c>
    </row>
    <row r="164" spans="1:30" x14ac:dyDescent="0.3">
      <c r="A164" s="4">
        <v>173</v>
      </c>
      <c r="B164" s="5">
        <v>157</v>
      </c>
      <c r="C164">
        <v>3568</v>
      </c>
      <c r="D164" t="s">
        <v>475</v>
      </c>
      <c r="E164" t="s">
        <v>182</v>
      </c>
      <c r="F164" t="s">
        <v>117</v>
      </c>
      <c r="G164" t="s">
        <v>476</v>
      </c>
      <c r="H164" t="str">
        <f>"00529712"</f>
        <v>00529712</v>
      </c>
      <c r="I164">
        <v>50.4</v>
      </c>
      <c r="J164">
        <v>10</v>
      </c>
      <c r="N164">
        <v>0</v>
      </c>
      <c r="O164">
        <v>4</v>
      </c>
      <c r="P164">
        <v>2</v>
      </c>
      <c r="Q164">
        <v>66.400000000000006</v>
      </c>
      <c r="R164">
        <v>61</v>
      </c>
      <c r="S164">
        <v>61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61</v>
      </c>
      <c r="AA164">
        <v>0</v>
      </c>
      <c r="AB164">
        <v>0</v>
      </c>
      <c r="AD164">
        <v>127.4</v>
      </c>
    </row>
    <row r="165" spans="1:30" x14ac:dyDescent="0.3">
      <c r="A165" s="4">
        <v>174</v>
      </c>
      <c r="B165" s="5">
        <v>158</v>
      </c>
      <c r="C165">
        <v>989</v>
      </c>
      <c r="D165" t="s">
        <v>477</v>
      </c>
      <c r="E165" t="s">
        <v>51</v>
      </c>
      <c r="F165" t="s">
        <v>20</v>
      </c>
      <c r="G165" t="s">
        <v>478</v>
      </c>
      <c r="H165" t="str">
        <f>"00291075"</f>
        <v>00291075</v>
      </c>
      <c r="I165">
        <v>50.4</v>
      </c>
      <c r="J165">
        <v>10</v>
      </c>
      <c r="M165">
        <v>4</v>
      </c>
      <c r="N165">
        <v>4</v>
      </c>
      <c r="O165">
        <v>4</v>
      </c>
      <c r="P165">
        <v>2</v>
      </c>
      <c r="Q165">
        <v>70.400000000000006</v>
      </c>
      <c r="R165">
        <v>27</v>
      </c>
      <c r="S165">
        <v>27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27</v>
      </c>
      <c r="AA165">
        <v>3</v>
      </c>
      <c r="AB165">
        <v>26.8</v>
      </c>
      <c r="AD165">
        <v>127.2</v>
      </c>
    </row>
    <row r="166" spans="1:30" x14ac:dyDescent="0.3">
      <c r="A166" s="4">
        <v>175</v>
      </c>
      <c r="B166" s="5">
        <v>159</v>
      </c>
      <c r="C166">
        <v>3007</v>
      </c>
      <c r="D166" t="s">
        <v>267</v>
      </c>
      <c r="E166" t="s">
        <v>479</v>
      </c>
      <c r="F166" t="s">
        <v>381</v>
      </c>
      <c r="G166" t="s">
        <v>480</v>
      </c>
      <c r="H166" t="str">
        <f>"00532058"</f>
        <v>00532058</v>
      </c>
      <c r="I166">
        <v>7.2</v>
      </c>
      <c r="J166">
        <v>10</v>
      </c>
      <c r="M166">
        <v>8</v>
      </c>
      <c r="N166">
        <v>8</v>
      </c>
      <c r="O166">
        <v>4</v>
      </c>
      <c r="P166">
        <v>2</v>
      </c>
      <c r="Q166">
        <v>31.2</v>
      </c>
      <c r="R166">
        <v>90</v>
      </c>
      <c r="S166">
        <v>90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90</v>
      </c>
      <c r="AA166">
        <v>6</v>
      </c>
      <c r="AB166">
        <v>0</v>
      </c>
      <c r="AD166">
        <v>127.2</v>
      </c>
    </row>
    <row r="167" spans="1:30" x14ac:dyDescent="0.3">
      <c r="A167" s="4">
        <v>176</v>
      </c>
      <c r="B167" s="5">
        <v>160</v>
      </c>
      <c r="C167">
        <v>971</v>
      </c>
      <c r="D167" t="s">
        <v>481</v>
      </c>
      <c r="E167" t="s">
        <v>342</v>
      </c>
      <c r="F167" t="s">
        <v>38</v>
      </c>
      <c r="G167" t="s">
        <v>482</v>
      </c>
      <c r="H167" t="str">
        <f>"00153742"</f>
        <v>00153742</v>
      </c>
      <c r="I167">
        <v>43.2</v>
      </c>
      <c r="J167">
        <v>0</v>
      </c>
      <c r="N167">
        <v>0</v>
      </c>
      <c r="O167">
        <v>4</v>
      </c>
      <c r="P167">
        <v>2</v>
      </c>
      <c r="Q167">
        <v>49.2</v>
      </c>
      <c r="R167">
        <v>78</v>
      </c>
      <c r="S167">
        <v>78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78</v>
      </c>
      <c r="AA167">
        <v>0</v>
      </c>
      <c r="AB167">
        <v>0</v>
      </c>
      <c r="AD167">
        <v>127.2</v>
      </c>
    </row>
    <row r="168" spans="1:30" x14ac:dyDescent="0.3">
      <c r="A168" s="4">
        <v>177</v>
      </c>
      <c r="B168" s="5">
        <v>161</v>
      </c>
      <c r="C168">
        <v>1320</v>
      </c>
      <c r="D168" t="s">
        <v>483</v>
      </c>
      <c r="E168" t="s">
        <v>29</v>
      </c>
      <c r="F168" t="s">
        <v>484</v>
      </c>
      <c r="G168" t="s">
        <v>485</v>
      </c>
      <c r="H168" t="str">
        <f>"00532288"</f>
        <v>00532288</v>
      </c>
      <c r="I168">
        <v>26.92</v>
      </c>
      <c r="J168">
        <v>10</v>
      </c>
      <c r="M168">
        <v>4</v>
      </c>
      <c r="N168">
        <v>4</v>
      </c>
      <c r="O168">
        <v>0</v>
      </c>
      <c r="P168">
        <v>2</v>
      </c>
      <c r="Q168">
        <v>42.92</v>
      </c>
      <c r="R168">
        <v>78</v>
      </c>
      <c r="S168">
        <v>78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78</v>
      </c>
      <c r="AA168">
        <v>6</v>
      </c>
      <c r="AB168">
        <v>0</v>
      </c>
      <c r="AD168">
        <v>126.92</v>
      </c>
    </row>
    <row r="169" spans="1:30" x14ac:dyDescent="0.3">
      <c r="A169" s="4">
        <v>178</v>
      </c>
      <c r="B169" s="5">
        <v>162</v>
      </c>
      <c r="C169">
        <v>1149</v>
      </c>
      <c r="D169" t="s">
        <v>486</v>
      </c>
      <c r="E169" t="s">
        <v>487</v>
      </c>
      <c r="F169" t="s">
        <v>488</v>
      </c>
      <c r="G169" t="s">
        <v>489</v>
      </c>
      <c r="H169" t="str">
        <f>"00469337"</f>
        <v>00469337</v>
      </c>
      <c r="I169">
        <v>39.6</v>
      </c>
      <c r="J169">
        <v>10</v>
      </c>
      <c r="N169">
        <v>0</v>
      </c>
      <c r="O169">
        <v>4</v>
      </c>
      <c r="P169">
        <v>0</v>
      </c>
      <c r="Q169">
        <v>53.6</v>
      </c>
      <c r="R169">
        <v>70</v>
      </c>
      <c r="S169">
        <v>70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70</v>
      </c>
      <c r="AA169">
        <v>3</v>
      </c>
      <c r="AB169">
        <v>0</v>
      </c>
      <c r="AD169">
        <v>126.6</v>
      </c>
    </row>
    <row r="170" spans="1:30" x14ac:dyDescent="0.3">
      <c r="A170" s="4">
        <v>179</v>
      </c>
      <c r="B170" s="5">
        <v>163</v>
      </c>
      <c r="C170">
        <v>100</v>
      </c>
      <c r="D170" t="s">
        <v>490</v>
      </c>
      <c r="E170" t="s">
        <v>491</v>
      </c>
      <c r="F170" t="s">
        <v>230</v>
      </c>
      <c r="G170" t="s">
        <v>492</v>
      </c>
      <c r="H170" t="str">
        <f>"00501149"</f>
        <v>00501149</v>
      </c>
      <c r="I170">
        <v>57.6</v>
      </c>
      <c r="J170">
        <v>10</v>
      </c>
      <c r="N170">
        <v>0</v>
      </c>
      <c r="O170">
        <v>4</v>
      </c>
      <c r="P170">
        <v>2</v>
      </c>
      <c r="Q170">
        <v>73.599999999999994</v>
      </c>
      <c r="R170">
        <v>53</v>
      </c>
      <c r="S170">
        <v>53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53</v>
      </c>
      <c r="AA170">
        <v>0</v>
      </c>
      <c r="AB170">
        <v>0</v>
      </c>
      <c r="AD170">
        <v>126.6</v>
      </c>
    </row>
    <row r="171" spans="1:30" x14ac:dyDescent="0.3">
      <c r="A171" s="4">
        <v>180</v>
      </c>
      <c r="B171" s="5">
        <v>164</v>
      </c>
      <c r="C171">
        <v>2106</v>
      </c>
      <c r="D171" t="s">
        <v>493</v>
      </c>
      <c r="E171" t="s">
        <v>494</v>
      </c>
      <c r="F171" t="s">
        <v>17</v>
      </c>
      <c r="G171" t="s">
        <v>495</v>
      </c>
      <c r="H171" t="str">
        <f>"00524348"</f>
        <v>00524348</v>
      </c>
      <c r="I171">
        <v>57.6</v>
      </c>
      <c r="J171">
        <v>10</v>
      </c>
      <c r="N171">
        <v>0</v>
      </c>
      <c r="O171">
        <v>4</v>
      </c>
      <c r="P171">
        <v>0</v>
      </c>
      <c r="Q171">
        <v>71.599999999999994</v>
      </c>
      <c r="R171">
        <v>55</v>
      </c>
      <c r="S171">
        <v>55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55</v>
      </c>
      <c r="AA171">
        <v>0</v>
      </c>
      <c r="AB171">
        <v>0</v>
      </c>
      <c r="AD171">
        <v>126.6</v>
      </c>
    </row>
    <row r="172" spans="1:30" x14ac:dyDescent="0.3">
      <c r="A172" s="4">
        <v>181</v>
      </c>
      <c r="B172" s="5">
        <v>165</v>
      </c>
      <c r="C172">
        <v>1079</v>
      </c>
      <c r="D172" t="s">
        <v>496</v>
      </c>
      <c r="E172" t="s">
        <v>26</v>
      </c>
      <c r="F172" t="s">
        <v>14</v>
      </c>
      <c r="G172" t="s">
        <v>497</v>
      </c>
      <c r="H172" t="str">
        <f>"00517164"</f>
        <v>00517164</v>
      </c>
      <c r="I172">
        <v>57.6</v>
      </c>
      <c r="J172">
        <v>0</v>
      </c>
      <c r="M172">
        <v>4</v>
      </c>
      <c r="N172">
        <v>4</v>
      </c>
      <c r="O172">
        <v>4</v>
      </c>
      <c r="P172">
        <v>0</v>
      </c>
      <c r="Q172">
        <v>65.599999999999994</v>
      </c>
      <c r="R172">
        <v>61</v>
      </c>
      <c r="S172">
        <v>61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61</v>
      </c>
      <c r="AA172">
        <v>0</v>
      </c>
      <c r="AB172">
        <v>0</v>
      </c>
      <c r="AD172">
        <v>126.6</v>
      </c>
    </row>
    <row r="173" spans="1:30" x14ac:dyDescent="0.3">
      <c r="A173" s="4">
        <v>182</v>
      </c>
      <c r="B173" s="5">
        <v>166</v>
      </c>
      <c r="C173">
        <v>2629</v>
      </c>
      <c r="D173" t="s">
        <v>498</v>
      </c>
      <c r="E173" t="s">
        <v>499</v>
      </c>
      <c r="F173" t="s">
        <v>68</v>
      </c>
      <c r="G173" t="s">
        <v>500</v>
      </c>
      <c r="H173" t="str">
        <f>"00531495"</f>
        <v>00531495</v>
      </c>
      <c r="I173">
        <v>57.6</v>
      </c>
      <c r="J173">
        <v>0</v>
      </c>
      <c r="N173">
        <v>0</v>
      </c>
      <c r="O173">
        <v>4</v>
      </c>
      <c r="P173">
        <v>2</v>
      </c>
      <c r="Q173">
        <v>63.6</v>
      </c>
      <c r="R173">
        <v>63</v>
      </c>
      <c r="S173">
        <v>63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63</v>
      </c>
      <c r="AA173">
        <v>0</v>
      </c>
      <c r="AB173">
        <v>0</v>
      </c>
      <c r="AD173">
        <v>126.6</v>
      </c>
    </row>
    <row r="174" spans="1:30" x14ac:dyDescent="0.3">
      <c r="A174" s="4">
        <v>183</v>
      </c>
      <c r="B174" s="5">
        <v>167</v>
      </c>
      <c r="C174">
        <v>1678</v>
      </c>
      <c r="D174" t="s">
        <v>501</v>
      </c>
      <c r="E174" t="s">
        <v>502</v>
      </c>
      <c r="F174" t="s">
        <v>38</v>
      </c>
      <c r="G174" t="s">
        <v>503</v>
      </c>
      <c r="H174" t="str">
        <f>"00504116"</f>
        <v>00504116</v>
      </c>
      <c r="I174">
        <v>50.4</v>
      </c>
      <c r="J174">
        <v>0</v>
      </c>
      <c r="L174">
        <v>6</v>
      </c>
      <c r="M174">
        <v>4</v>
      </c>
      <c r="N174">
        <v>10</v>
      </c>
      <c r="O174">
        <v>4</v>
      </c>
      <c r="P174">
        <v>2</v>
      </c>
      <c r="Q174">
        <v>66.400000000000006</v>
      </c>
      <c r="R174">
        <v>60</v>
      </c>
      <c r="S174">
        <v>60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60</v>
      </c>
      <c r="AA174">
        <v>0</v>
      </c>
      <c r="AB174">
        <v>0</v>
      </c>
      <c r="AD174">
        <v>126.4</v>
      </c>
    </row>
    <row r="175" spans="1:30" x14ac:dyDescent="0.3">
      <c r="A175" s="4">
        <v>184</v>
      </c>
      <c r="B175" s="5">
        <v>168</v>
      </c>
      <c r="C175">
        <v>3617</v>
      </c>
      <c r="D175" t="s">
        <v>504</v>
      </c>
      <c r="E175" t="s">
        <v>97</v>
      </c>
      <c r="F175" t="s">
        <v>117</v>
      </c>
      <c r="G175" t="s">
        <v>505</v>
      </c>
      <c r="H175" t="str">
        <f>"00516699"</f>
        <v>00516699</v>
      </c>
      <c r="I175">
        <v>50.4</v>
      </c>
      <c r="J175">
        <v>0</v>
      </c>
      <c r="K175">
        <v>8</v>
      </c>
      <c r="M175">
        <v>4</v>
      </c>
      <c r="N175">
        <v>12</v>
      </c>
      <c r="O175">
        <v>0</v>
      </c>
      <c r="P175">
        <v>2</v>
      </c>
      <c r="Q175">
        <v>64.400000000000006</v>
      </c>
      <c r="R175">
        <v>62</v>
      </c>
      <c r="S175">
        <v>62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62</v>
      </c>
      <c r="AA175">
        <v>0</v>
      </c>
      <c r="AB175">
        <v>0</v>
      </c>
      <c r="AD175">
        <v>126.4</v>
      </c>
    </row>
    <row r="176" spans="1:30" x14ac:dyDescent="0.3">
      <c r="A176" s="4">
        <v>185</v>
      </c>
      <c r="B176" s="5">
        <v>169</v>
      </c>
      <c r="C176">
        <v>1245</v>
      </c>
      <c r="D176" t="s">
        <v>506</v>
      </c>
      <c r="E176" t="s">
        <v>29</v>
      </c>
      <c r="F176" t="s">
        <v>55</v>
      </c>
      <c r="G176" t="s">
        <v>507</v>
      </c>
      <c r="H176" t="str">
        <f>"00501104"</f>
        <v>00501104</v>
      </c>
      <c r="I176">
        <v>50.4</v>
      </c>
      <c r="J176">
        <v>0</v>
      </c>
      <c r="K176">
        <v>8</v>
      </c>
      <c r="N176">
        <v>8</v>
      </c>
      <c r="O176">
        <v>4</v>
      </c>
      <c r="P176">
        <v>2</v>
      </c>
      <c r="Q176">
        <v>64.400000000000006</v>
      </c>
      <c r="R176">
        <v>62</v>
      </c>
      <c r="S176">
        <v>62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62</v>
      </c>
      <c r="AA176">
        <v>0</v>
      </c>
      <c r="AB176">
        <v>0</v>
      </c>
      <c r="AD176">
        <v>126.4</v>
      </c>
    </row>
    <row r="177" spans="1:30" x14ac:dyDescent="0.3">
      <c r="A177" s="4">
        <v>186</v>
      </c>
      <c r="B177" s="5">
        <v>170</v>
      </c>
      <c r="C177">
        <v>276</v>
      </c>
      <c r="D177" t="s">
        <v>181</v>
      </c>
      <c r="E177" t="s">
        <v>22</v>
      </c>
      <c r="F177" t="s">
        <v>55</v>
      </c>
      <c r="G177" t="s">
        <v>508</v>
      </c>
      <c r="H177" t="str">
        <f>"00532808"</f>
        <v>00532808</v>
      </c>
      <c r="I177">
        <v>14.4</v>
      </c>
      <c r="J177">
        <v>0</v>
      </c>
      <c r="N177">
        <v>0</v>
      </c>
      <c r="O177">
        <v>4</v>
      </c>
      <c r="P177">
        <v>0</v>
      </c>
      <c r="Q177">
        <v>18.399999999999999</v>
      </c>
      <c r="R177">
        <v>108</v>
      </c>
      <c r="S177">
        <v>108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108</v>
      </c>
      <c r="AA177">
        <v>0</v>
      </c>
      <c r="AB177">
        <v>0</v>
      </c>
      <c r="AD177">
        <v>126.4</v>
      </c>
    </row>
    <row r="178" spans="1:30" x14ac:dyDescent="0.3">
      <c r="A178" s="4">
        <v>187</v>
      </c>
      <c r="B178" s="5">
        <v>171</v>
      </c>
      <c r="C178">
        <v>3491</v>
      </c>
      <c r="D178" t="s">
        <v>509</v>
      </c>
      <c r="E178" t="s">
        <v>29</v>
      </c>
      <c r="F178" t="s">
        <v>230</v>
      </c>
      <c r="G178" t="s">
        <v>510</v>
      </c>
      <c r="H178" t="str">
        <f>"00532285"</f>
        <v>00532285</v>
      </c>
      <c r="I178">
        <v>21.6</v>
      </c>
      <c r="J178">
        <v>0</v>
      </c>
      <c r="N178">
        <v>0</v>
      </c>
      <c r="O178">
        <v>4</v>
      </c>
      <c r="P178">
        <v>0</v>
      </c>
      <c r="Q178">
        <v>25.6</v>
      </c>
      <c r="R178">
        <v>62</v>
      </c>
      <c r="S178">
        <v>62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62</v>
      </c>
      <c r="AA178">
        <v>0</v>
      </c>
      <c r="AB178">
        <v>38.4</v>
      </c>
      <c r="AD178">
        <v>126</v>
      </c>
    </row>
    <row r="179" spans="1:30" x14ac:dyDescent="0.3">
      <c r="A179" s="4">
        <v>188</v>
      </c>
      <c r="B179" s="5">
        <v>172</v>
      </c>
      <c r="C179">
        <v>3437</v>
      </c>
      <c r="D179" t="s">
        <v>511</v>
      </c>
      <c r="E179" t="s">
        <v>54</v>
      </c>
      <c r="F179" t="s">
        <v>158</v>
      </c>
      <c r="G179" t="s">
        <v>512</v>
      </c>
      <c r="H179" t="str">
        <f>"00482830"</f>
        <v>00482830</v>
      </c>
      <c r="I179">
        <v>72</v>
      </c>
      <c r="J179">
        <v>0</v>
      </c>
      <c r="K179">
        <v>8</v>
      </c>
      <c r="N179">
        <v>8</v>
      </c>
      <c r="O179">
        <v>4</v>
      </c>
      <c r="P179">
        <v>2</v>
      </c>
      <c r="Q179">
        <v>86</v>
      </c>
      <c r="R179">
        <v>37</v>
      </c>
      <c r="S179">
        <v>37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37</v>
      </c>
      <c r="AA179">
        <v>3</v>
      </c>
      <c r="AB179">
        <v>0</v>
      </c>
      <c r="AD179">
        <v>126</v>
      </c>
    </row>
    <row r="180" spans="1:30" x14ac:dyDescent="0.3">
      <c r="A180" s="4">
        <v>189</v>
      </c>
      <c r="B180" s="5">
        <v>173</v>
      </c>
      <c r="C180">
        <v>480</v>
      </c>
      <c r="D180" t="s">
        <v>513</v>
      </c>
      <c r="E180" t="s">
        <v>29</v>
      </c>
      <c r="F180" t="s">
        <v>20</v>
      </c>
      <c r="G180" t="s">
        <v>514</v>
      </c>
      <c r="H180" t="str">
        <f>"00510962"</f>
        <v>00510962</v>
      </c>
      <c r="I180">
        <v>36</v>
      </c>
      <c r="J180">
        <v>10</v>
      </c>
      <c r="N180">
        <v>0</v>
      </c>
      <c r="O180">
        <v>4</v>
      </c>
      <c r="P180">
        <v>2</v>
      </c>
      <c r="Q180">
        <v>52</v>
      </c>
      <c r="R180">
        <v>71</v>
      </c>
      <c r="S180">
        <v>71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71</v>
      </c>
      <c r="AA180">
        <v>3</v>
      </c>
      <c r="AB180">
        <v>0</v>
      </c>
      <c r="AD180">
        <v>126</v>
      </c>
    </row>
    <row r="181" spans="1:30" x14ac:dyDescent="0.3">
      <c r="A181" s="4">
        <v>190</v>
      </c>
      <c r="B181" s="5">
        <v>174</v>
      </c>
      <c r="C181">
        <v>688</v>
      </c>
      <c r="D181" t="s">
        <v>515</v>
      </c>
      <c r="E181" t="s">
        <v>516</v>
      </c>
      <c r="F181" t="s">
        <v>136</v>
      </c>
      <c r="G181" t="s">
        <v>517</v>
      </c>
      <c r="H181" t="str">
        <f>"00488167"</f>
        <v>00488167</v>
      </c>
      <c r="I181">
        <v>36</v>
      </c>
      <c r="J181">
        <v>10</v>
      </c>
      <c r="N181">
        <v>0</v>
      </c>
      <c r="O181">
        <v>4</v>
      </c>
      <c r="P181">
        <v>2</v>
      </c>
      <c r="Q181">
        <v>52</v>
      </c>
      <c r="R181">
        <v>74</v>
      </c>
      <c r="S181">
        <v>74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74</v>
      </c>
      <c r="AA181">
        <v>0</v>
      </c>
      <c r="AB181">
        <v>0</v>
      </c>
      <c r="AD181">
        <v>126</v>
      </c>
    </row>
    <row r="182" spans="1:30" x14ac:dyDescent="0.3">
      <c r="A182" s="4">
        <v>191</v>
      </c>
      <c r="B182" s="5">
        <v>175</v>
      </c>
      <c r="C182">
        <v>1840</v>
      </c>
      <c r="D182" t="s">
        <v>93</v>
      </c>
      <c r="E182" t="s">
        <v>88</v>
      </c>
      <c r="F182" t="s">
        <v>136</v>
      </c>
      <c r="G182" t="s">
        <v>518</v>
      </c>
      <c r="H182" t="str">
        <f>"00482150"</f>
        <v>00482150</v>
      </c>
      <c r="I182">
        <v>36</v>
      </c>
      <c r="J182">
        <v>0</v>
      </c>
      <c r="M182">
        <v>4</v>
      </c>
      <c r="N182">
        <v>4</v>
      </c>
      <c r="O182">
        <v>4</v>
      </c>
      <c r="P182">
        <v>2</v>
      </c>
      <c r="Q182">
        <v>46</v>
      </c>
      <c r="R182">
        <v>80</v>
      </c>
      <c r="S182">
        <v>80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80</v>
      </c>
      <c r="AA182">
        <v>0</v>
      </c>
      <c r="AB182">
        <v>0</v>
      </c>
      <c r="AD182">
        <v>126</v>
      </c>
    </row>
    <row r="183" spans="1:30" x14ac:dyDescent="0.3">
      <c r="A183" s="4">
        <v>192</v>
      </c>
      <c r="B183" s="5">
        <v>176</v>
      </c>
      <c r="C183">
        <v>264</v>
      </c>
      <c r="D183" t="s">
        <v>519</v>
      </c>
      <c r="E183" t="s">
        <v>520</v>
      </c>
      <c r="F183" t="s">
        <v>521</v>
      </c>
      <c r="G183" t="s">
        <v>522</v>
      </c>
      <c r="H183" t="str">
        <f>"00511312"</f>
        <v>00511312</v>
      </c>
      <c r="I183">
        <v>0</v>
      </c>
      <c r="J183">
        <v>0</v>
      </c>
      <c r="M183">
        <v>4</v>
      </c>
      <c r="N183">
        <v>4</v>
      </c>
      <c r="O183">
        <v>4</v>
      </c>
      <c r="P183">
        <v>2</v>
      </c>
      <c r="Q183">
        <v>10</v>
      </c>
      <c r="R183">
        <v>116</v>
      </c>
      <c r="S183">
        <v>116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116</v>
      </c>
      <c r="AA183">
        <v>0</v>
      </c>
      <c r="AB183">
        <v>0</v>
      </c>
      <c r="AD183">
        <v>126</v>
      </c>
    </row>
    <row r="184" spans="1:30" x14ac:dyDescent="0.3">
      <c r="A184" s="4">
        <v>193</v>
      </c>
      <c r="B184" s="5">
        <v>177</v>
      </c>
      <c r="C184">
        <v>799</v>
      </c>
      <c r="D184" t="s">
        <v>523</v>
      </c>
      <c r="E184" t="s">
        <v>132</v>
      </c>
      <c r="F184" t="s">
        <v>38</v>
      </c>
      <c r="G184" t="s">
        <v>524</v>
      </c>
      <c r="H184" t="str">
        <f>"00473423"</f>
        <v>00473423</v>
      </c>
      <c r="I184">
        <v>64.8</v>
      </c>
      <c r="J184">
        <v>10</v>
      </c>
      <c r="L184">
        <v>6</v>
      </c>
      <c r="N184">
        <v>6</v>
      </c>
      <c r="O184">
        <v>4</v>
      </c>
      <c r="P184">
        <v>0</v>
      </c>
      <c r="Q184">
        <v>84.8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9</v>
      </c>
      <c r="AB184">
        <v>32</v>
      </c>
      <c r="AD184">
        <v>125.8</v>
      </c>
    </row>
    <row r="185" spans="1:30" x14ac:dyDescent="0.3">
      <c r="A185" s="4">
        <v>194</v>
      </c>
      <c r="B185" s="5">
        <v>178</v>
      </c>
      <c r="C185">
        <v>2099</v>
      </c>
      <c r="D185" t="s">
        <v>525</v>
      </c>
      <c r="E185" t="s">
        <v>54</v>
      </c>
      <c r="F185" t="s">
        <v>34</v>
      </c>
      <c r="G185" t="s">
        <v>526</v>
      </c>
      <c r="H185" t="str">
        <f>"00152219"</f>
        <v>00152219</v>
      </c>
      <c r="I185">
        <v>28.8</v>
      </c>
      <c r="J185">
        <v>0</v>
      </c>
      <c r="M185">
        <v>4</v>
      </c>
      <c r="N185">
        <v>4</v>
      </c>
      <c r="O185">
        <v>0</v>
      </c>
      <c r="P185">
        <v>0</v>
      </c>
      <c r="Q185">
        <v>32.799999999999997</v>
      </c>
      <c r="R185">
        <v>87</v>
      </c>
      <c r="S185">
        <v>87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87</v>
      </c>
      <c r="AA185">
        <v>6</v>
      </c>
      <c r="AB185">
        <v>0</v>
      </c>
      <c r="AD185">
        <v>125.8</v>
      </c>
    </row>
    <row r="186" spans="1:30" x14ac:dyDescent="0.3">
      <c r="A186" s="4">
        <v>195</v>
      </c>
      <c r="B186" s="5">
        <v>179</v>
      </c>
      <c r="C186">
        <v>3562</v>
      </c>
      <c r="D186" t="s">
        <v>527</v>
      </c>
      <c r="E186" t="s">
        <v>97</v>
      </c>
      <c r="F186" t="s">
        <v>81</v>
      </c>
      <c r="G186" t="s">
        <v>528</v>
      </c>
      <c r="H186" t="str">
        <f>"00442548"</f>
        <v>00442548</v>
      </c>
      <c r="I186">
        <v>64.8</v>
      </c>
      <c r="J186">
        <v>10</v>
      </c>
      <c r="K186">
        <v>8</v>
      </c>
      <c r="N186">
        <v>8</v>
      </c>
      <c r="O186">
        <v>4</v>
      </c>
      <c r="P186">
        <v>2</v>
      </c>
      <c r="Q186">
        <v>88.8</v>
      </c>
      <c r="R186">
        <v>37</v>
      </c>
      <c r="S186">
        <v>37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37</v>
      </c>
      <c r="AA186">
        <v>0</v>
      </c>
      <c r="AB186">
        <v>0</v>
      </c>
      <c r="AD186">
        <v>125.8</v>
      </c>
    </row>
    <row r="187" spans="1:30" x14ac:dyDescent="0.3">
      <c r="A187" s="4">
        <v>196</v>
      </c>
      <c r="B187" s="5">
        <v>180</v>
      </c>
      <c r="C187">
        <v>3508</v>
      </c>
      <c r="D187" t="s">
        <v>529</v>
      </c>
      <c r="E187" t="s">
        <v>188</v>
      </c>
      <c r="F187" t="s">
        <v>117</v>
      </c>
      <c r="G187" t="s">
        <v>530</v>
      </c>
      <c r="H187" t="str">
        <f>"00487248"</f>
        <v>00487248</v>
      </c>
      <c r="I187">
        <v>64.8</v>
      </c>
      <c r="J187">
        <v>10</v>
      </c>
      <c r="K187">
        <v>8</v>
      </c>
      <c r="N187">
        <v>8</v>
      </c>
      <c r="O187">
        <v>4</v>
      </c>
      <c r="P187">
        <v>2</v>
      </c>
      <c r="Q187">
        <v>88.8</v>
      </c>
      <c r="R187">
        <v>37</v>
      </c>
      <c r="S187">
        <v>37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37</v>
      </c>
      <c r="AA187">
        <v>0</v>
      </c>
      <c r="AB187">
        <v>0</v>
      </c>
      <c r="AD187">
        <v>125.8</v>
      </c>
    </row>
    <row r="188" spans="1:30" x14ac:dyDescent="0.3">
      <c r="A188" s="4">
        <v>197</v>
      </c>
      <c r="B188" s="5">
        <v>181</v>
      </c>
      <c r="C188">
        <v>1306</v>
      </c>
      <c r="D188" t="s">
        <v>531</v>
      </c>
      <c r="E188" t="s">
        <v>54</v>
      </c>
      <c r="F188" t="s">
        <v>17</v>
      </c>
      <c r="G188" t="s">
        <v>532</v>
      </c>
      <c r="H188" t="str">
        <f>"201406012859"</f>
        <v>201406012859</v>
      </c>
      <c r="I188">
        <v>64.8</v>
      </c>
      <c r="J188">
        <v>10</v>
      </c>
      <c r="K188">
        <v>8</v>
      </c>
      <c r="N188">
        <v>8</v>
      </c>
      <c r="O188">
        <v>4</v>
      </c>
      <c r="P188">
        <v>2</v>
      </c>
      <c r="Q188">
        <v>88.8</v>
      </c>
      <c r="R188">
        <v>37</v>
      </c>
      <c r="S188">
        <v>37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37</v>
      </c>
      <c r="AA188">
        <v>0</v>
      </c>
      <c r="AB188">
        <v>0</v>
      </c>
      <c r="AD188">
        <v>125.8</v>
      </c>
    </row>
    <row r="189" spans="1:30" x14ac:dyDescent="0.3">
      <c r="A189" s="4">
        <v>198</v>
      </c>
      <c r="B189" s="5">
        <v>182</v>
      </c>
      <c r="C189">
        <v>249</v>
      </c>
      <c r="D189" t="s">
        <v>533</v>
      </c>
      <c r="E189" t="s">
        <v>219</v>
      </c>
      <c r="F189" t="s">
        <v>38</v>
      </c>
      <c r="G189" t="s">
        <v>534</v>
      </c>
      <c r="H189" t="str">
        <f>"00441764"</f>
        <v>00441764</v>
      </c>
      <c r="I189">
        <v>64.8</v>
      </c>
      <c r="J189">
        <v>10</v>
      </c>
      <c r="N189">
        <v>0</v>
      </c>
      <c r="O189">
        <v>4</v>
      </c>
      <c r="P189">
        <v>0</v>
      </c>
      <c r="Q189">
        <v>78.8</v>
      </c>
      <c r="R189">
        <v>47</v>
      </c>
      <c r="S189">
        <v>47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47</v>
      </c>
      <c r="AA189">
        <v>0</v>
      </c>
      <c r="AB189">
        <v>0</v>
      </c>
      <c r="AD189">
        <v>125.8</v>
      </c>
    </row>
    <row r="190" spans="1:30" x14ac:dyDescent="0.3">
      <c r="A190" s="4">
        <v>199</v>
      </c>
      <c r="B190" s="5">
        <v>183</v>
      </c>
      <c r="C190">
        <v>1360</v>
      </c>
      <c r="D190" t="s">
        <v>535</v>
      </c>
      <c r="E190" t="s">
        <v>536</v>
      </c>
      <c r="F190" t="s">
        <v>190</v>
      </c>
      <c r="G190" t="s">
        <v>537</v>
      </c>
      <c r="H190" t="str">
        <f>"00503748"</f>
        <v>00503748</v>
      </c>
      <c r="I190">
        <v>14.4</v>
      </c>
      <c r="J190">
        <v>0</v>
      </c>
      <c r="K190">
        <v>8</v>
      </c>
      <c r="N190">
        <v>8</v>
      </c>
      <c r="O190">
        <v>4</v>
      </c>
      <c r="P190">
        <v>0</v>
      </c>
      <c r="Q190">
        <v>26.4</v>
      </c>
      <c r="R190">
        <v>90</v>
      </c>
      <c r="S190">
        <v>90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90</v>
      </c>
      <c r="AA190">
        <v>9</v>
      </c>
      <c r="AB190">
        <v>0</v>
      </c>
      <c r="AD190">
        <v>125.4</v>
      </c>
    </row>
    <row r="191" spans="1:30" x14ac:dyDescent="0.3">
      <c r="A191" s="4">
        <v>200</v>
      </c>
      <c r="B191" s="5">
        <v>184</v>
      </c>
      <c r="C191">
        <v>2547</v>
      </c>
      <c r="D191" t="s">
        <v>538</v>
      </c>
      <c r="E191" t="s">
        <v>51</v>
      </c>
      <c r="F191" t="s">
        <v>539</v>
      </c>
      <c r="G191" t="s">
        <v>540</v>
      </c>
      <c r="H191" t="str">
        <f>"00508104"</f>
        <v>00508104</v>
      </c>
      <c r="I191">
        <v>50.4</v>
      </c>
      <c r="J191">
        <v>0</v>
      </c>
      <c r="M191">
        <v>4</v>
      </c>
      <c r="N191">
        <v>4</v>
      </c>
      <c r="O191">
        <v>4</v>
      </c>
      <c r="P191">
        <v>2</v>
      </c>
      <c r="Q191">
        <v>60.4</v>
      </c>
      <c r="R191">
        <v>62</v>
      </c>
      <c r="S191">
        <v>62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62</v>
      </c>
      <c r="AA191">
        <v>3</v>
      </c>
      <c r="AB191">
        <v>0</v>
      </c>
      <c r="AD191">
        <v>125.4</v>
      </c>
    </row>
    <row r="192" spans="1:30" x14ac:dyDescent="0.3">
      <c r="A192" s="4">
        <v>201</v>
      </c>
      <c r="B192" s="5">
        <v>185</v>
      </c>
      <c r="C192">
        <v>2839</v>
      </c>
      <c r="D192" t="s">
        <v>541</v>
      </c>
      <c r="E192" t="s">
        <v>188</v>
      </c>
      <c r="F192" t="s">
        <v>81</v>
      </c>
      <c r="G192" t="s">
        <v>542</v>
      </c>
      <c r="H192" t="str">
        <f>"00533215"</f>
        <v>00533215</v>
      </c>
      <c r="I192">
        <v>50.4</v>
      </c>
      <c r="J192">
        <v>10</v>
      </c>
      <c r="K192">
        <v>8</v>
      </c>
      <c r="N192">
        <v>8</v>
      </c>
      <c r="O192">
        <v>4</v>
      </c>
      <c r="P192">
        <v>2</v>
      </c>
      <c r="Q192">
        <v>74.400000000000006</v>
      </c>
      <c r="R192">
        <v>51</v>
      </c>
      <c r="S192">
        <v>51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51</v>
      </c>
      <c r="AA192">
        <v>0</v>
      </c>
      <c r="AB192">
        <v>0</v>
      </c>
      <c r="AD192">
        <v>125.4</v>
      </c>
    </row>
    <row r="193" spans="1:30" x14ac:dyDescent="0.3">
      <c r="A193" s="4">
        <v>202</v>
      </c>
      <c r="B193" s="5">
        <v>186</v>
      </c>
      <c r="C193">
        <v>987</v>
      </c>
      <c r="D193" t="s">
        <v>543</v>
      </c>
      <c r="E193" t="s">
        <v>88</v>
      </c>
      <c r="F193" t="s">
        <v>81</v>
      </c>
      <c r="G193" t="s">
        <v>544</v>
      </c>
      <c r="H193" t="str">
        <f>"00480740"</f>
        <v>00480740</v>
      </c>
      <c r="I193">
        <v>36</v>
      </c>
      <c r="J193">
        <v>0</v>
      </c>
      <c r="N193">
        <v>0</v>
      </c>
      <c r="O193">
        <v>4</v>
      </c>
      <c r="P193">
        <v>0</v>
      </c>
      <c r="Q193">
        <v>40</v>
      </c>
      <c r="R193">
        <v>44</v>
      </c>
      <c r="S193">
        <v>44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44</v>
      </c>
      <c r="AA193">
        <v>6</v>
      </c>
      <c r="AB193">
        <v>35.200000000000003</v>
      </c>
      <c r="AD193">
        <v>125.2</v>
      </c>
    </row>
    <row r="194" spans="1:30" x14ac:dyDescent="0.3">
      <c r="A194" s="4">
        <v>203</v>
      </c>
      <c r="B194" s="5">
        <v>187</v>
      </c>
      <c r="C194">
        <v>900</v>
      </c>
      <c r="D194" t="s">
        <v>545</v>
      </c>
      <c r="E194" t="s">
        <v>100</v>
      </c>
      <c r="F194" t="s">
        <v>17</v>
      </c>
      <c r="G194" t="s">
        <v>546</v>
      </c>
      <c r="H194" t="str">
        <f>"00515048"</f>
        <v>00515048</v>
      </c>
      <c r="I194">
        <v>12</v>
      </c>
      <c r="J194">
        <v>0</v>
      </c>
      <c r="N194">
        <v>0</v>
      </c>
      <c r="O194">
        <v>4</v>
      </c>
      <c r="P194">
        <v>0</v>
      </c>
      <c r="Q194">
        <v>16</v>
      </c>
      <c r="R194">
        <v>100</v>
      </c>
      <c r="S194">
        <v>100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100</v>
      </c>
      <c r="AA194">
        <v>9</v>
      </c>
      <c r="AB194">
        <v>0</v>
      </c>
      <c r="AD194">
        <v>125</v>
      </c>
    </row>
    <row r="195" spans="1:30" x14ac:dyDescent="0.3">
      <c r="A195" s="4">
        <v>204</v>
      </c>
      <c r="B195" s="5">
        <v>188</v>
      </c>
      <c r="C195">
        <v>687</v>
      </c>
      <c r="D195" t="s">
        <v>547</v>
      </c>
      <c r="E195" t="s">
        <v>380</v>
      </c>
      <c r="F195" t="s">
        <v>55</v>
      </c>
      <c r="G195" t="s">
        <v>548</v>
      </c>
      <c r="H195" t="str">
        <f>"00503913"</f>
        <v>00503913</v>
      </c>
      <c r="I195">
        <v>72</v>
      </c>
      <c r="J195">
        <v>0</v>
      </c>
      <c r="M195">
        <v>4</v>
      </c>
      <c r="N195">
        <v>4</v>
      </c>
      <c r="O195">
        <v>4</v>
      </c>
      <c r="P195">
        <v>2</v>
      </c>
      <c r="Q195">
        <v>82</v>
      </c>
      <c r="R195">
        <v>37</v>
      </c>
      <c r="S195">
        <v>37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37</v>
      </c>
      <c r="AA195">
        <v>6</v>
      </c>
      <c r="AB195">
        <v>0</v>
      </c>
      <c r="AD195">
        <v>125</v>
      </c>
    </row>
    <row r="196" spans="1:30" x14ac:dyDescent="0.3">
      <c r="A196" s="4">
        <v>205</v>
      </c>
      <c r="B196" s="5">
        <v>189</v>
      </c>
      <c r="C196">
        <v>1113</v>
      </c>
      <c r="D196" t="s">
        <v>549</v>
      </c>
      <c r="E196" t="s">
        <v>550</v>
      </c>
      <c r="F196" t="s">
        <v>20</v>
      </c>
      <c r="G196" t="s">
        <v>551</v>
      </c>
      <c r="H196" t="str">
        <f>"00482802"</f>
        <v>00482802</v>
      </c>
      <c r="I196">
        <v>72</v>
      </c>
      <c r="J196">
        <v>10</v>
      </c>
      <c r="K196">
        <v>8</v>
      </c>
      <c r="N196">
        <v>8</v>
      </c>
      <c r="O196">
        <v>4</v>
      </c>
      <c r="P196">
        <v>0</v>
      </c>
      <c r="Q196">
        <v>94</v>
      </c>
      <c r="R196">
        <v>28</v>
      </c>
      <c r="S196">
        <v>28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28</v>
      </c>
      <c r="AA196">
        <v>3</v>
      </c>
      <c r="AB196">
        <v>0</v>
      </c>
      <c r="AD196">
        <v>125</v>
      </c>
    </row>
    <row r="197" spans="1:30" x14ac:dyDescent="0.3">
      <c r="A197" s="4">
        <v>206</v>
      </c>
      <c r="B197" s="5">
        <v>190</v>
      </c>
      <c r="C197">
        <v>1719</v>
      </c>
      <c r="D197" t="s">
        <v>552</v>
      </c>
      <c r="E197" t="s">
        <v>33</v>
      </c>
      <c r="F197" t="s">
        <v>17</v>
      </c>
      <c r="G197" t="s">
        <v>553</v>
      </c>
      <c r="H197" t="str">
        <f>"00442506"</f>
        <v>00442506</v>
      </c>
      <c r="I197">
        <v>28.8</v>
      </c>
      <c r="J197">
        <v>0</v>
      </c>
      <c r="K197">
        <v>8</v>
      </c>
      <c r="M197">
        <v>4</v>
      </c>
      <c r="N197">
        <v>12</v>
      </c>
      <c r="O197">
        <v>4</v>
      </c>
      <c r="P197">
        <v>0</v>
      </c>
      <c r="Q197">
        <v>44.8</v>
      </c>
      <c r="R197">
        <v>80</v>
      </c>
      <c r="S197">
        <v>80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80</v>
      </c>
      <c r="AA197">
        <v>0</v>
      </c>
      <c r="AB197">
        <v>0</v>
      </c>
      <c r="AD197">
        <v>124.8</v>
      </c>
    </row>
    <row r="198" spans="1:30" x14ac:dyDescent="0.3">
      <c r="A198" s="4">
        <v>207</v>
      </c>
      <c r="B198" s="5">
        <v>191</v>
      </c>
      <c r="C198">
        <v>4509</v>
      </c>
      <c r="D198" t="s">
        <v>554</v>
      </c>
      <c r="E198" t="s">
        <v>555</v>
      </c>
      <c r="F198" t="s">
        <v>556</v>
      </c>
      <c r="G198" t="s">
        <v>557</v>
      </c>
      <c r="H198" t="str">
        <f>"00481953"</f>
        <v>00481953</v>
      </c>
      <c r="I198">
        <v>31.6</v>
      </c>
      <c r="J198">
        <v>10</v>
      </c>
      <c r="N198">
        <v>0</v>
      </c>
      <c r="O198">
        <v>0</v>
      </c>
      <c r="P198">
        <v>0</v>
      </c>
      <c r="Q198">
        <v>41.6</v>
      </c>
      <c r="R198">
        <v>71</v>
      </c>
      <c r="S198">
        <v>71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71</v>
      </c>
      <c r="AA198">
        <v>12</v>
      </c>
      <c r="AB198">
        <v>0</v>
      </c>
      <c r="AD198">
        <v>124.6</v>
      </c>
    </row>
    <row r="199" spans="1:30" x14ac:dyDescent="0.3">
      <c r="A199" s="4">
        <v>208</v>
      </c>
      <c r="B199" s="5">
        <v>192</v>
      </c>
      <c r="C199">
        <v>4265</v>
      </c>
      <c r="D199" t="s">
        <v>348</v>
      </c>
      <c r="E199" t="s">
        <v>71</v>
      </c>
      <c r="F199" t="s">
        <v>91</v>
      </c>
      <c r="G199" t="s">
        <v>558</v>
      </c>
      <c r="H199" t="str">
        <f>"00441831"</f>
        <v>00441831</v>
      </c>
      <c r="I199">
        <v>57.6</v>
      </c>
      <c r="J199">
        <v>10</v>
      </c>
      <c r="N199">
        <v>0</v>
      </c>
      <c r="O199">
        <v>4</v>
      </c>
      <c r="P199">
        <v>2</v>
      </c>
      <c r="Q199">
        <v>73.599999999999994</v>
      </c>
      <c r="R199">
        <v>45</v>
      </c>
      <c r="S199">
        <v>45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45</v>
      </c>
      <c r="AA199">
        <v>6</v>
      </c>
      <c r="AB199">
        <v>0</v>
      </c>
      <c r="AD199">
        <v>124.6</v>
      </c>
    </row>
    <row r="200" spans="1:30" x14ac:dyDescent="0.3">
      <c r="A200" s="4">
        <v>209</v>
      </c>
      <c r="B200" s="5">
        <v>193</v>
      </c>
      <c r="C200">
        <v>1365</v>
      </c>
      <c r="D200" t="s">
        <v>559</v>
      </c>
      <c r="E200" t="s">
        <v>560</v>
      </c>
      <c r="F200" t="s">
        <v>158</v>
      </c>
      <c r="G200" t="s">
        <v>561</v>
      </c>
      <c r="H200" t="str">
        <f>"00206589"</f>
        <v>00206589</v>
      </c>
      <c r="I200">
        <v>21.6</v>
      </c>
      <c r="J200">
        <v>10</v>
      </c>
      <c r="N200">
        <v>0</v>
      </c>
      <c r="O200">
        <v>4</v>
      </c>
      <c r="P200">
        <v>0</v>
      </c>
      <c r="Q200">
        <v>35.6</v>
      </c>
      <c r="R200">
        <v>83</v>
      </c>
      <c r="S200">
        <v>83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83</v>
      </c>
      <c r="AA200">
        <v>6</v>
      </c>
      <c r="AB200">
        <v>0</v>
      </c>
      <c r="AD200">
        <v>124.6</v>
      </c>
    </row>
    <row r="201" spans="1:30" x14ac:dyDescent="0.3">
      <c r="A201" s="4">
        <v>210</v>
      </c>
      <c r="B201" s="5">
        <v>194</v>
      </c>
      <c r="C201">
        <v>3790</v>
      </c>
      <c r="D201" t="s">
        <v>562</v>
      </c>
      <c r="E201" t="s">
        <v>563</v>
      </c>
      <c r="F201" t="s">
        <v>55</v>
      </c>
      <c r="G201" t="s">
        <v>564</v>
      </c>
      <c r="H201" t="str">
        <f>"00477622"</f>
        <v>00477622</v>
      </c>
      <c r="I201">
        <v>57.6</v>
      </c>
      <c r="J201">
        <v>0</v>
      </c>
      <c r="K201">
        <v>8</v>
      </c>
      <c r="N201">
        <v>8</v>
      </c>
      <c r="O201">
        <v>4</v>
      </c>
      <c r="P201">
        <v>0</v>
      </c>
      <c r="Q201">
        <v>69.599999999999994</v>
      </c>
      <c r="R201">
        <v>55</v>
      </c>
      <c r="S201">
        <v>55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55</v>
      </c>
      <c r="AA201">
        <v>0</v>
      </c>
      <c r="AB201">
        <v>0</v>
      </c>
      <c r="AD201">
        <v>124.6</v>
      </c>
    </row>
    <row r="202" spans="1:30" x14ac:dyDescent="0.3">
      <c r="A202" s="4">
        <v>211</v>
      </c>
      <c r="B202" s="5">
        <v>195</v>
      </c>
      <c r="C202">
        <v>3408</v>
      </c>
      <c r="D202" t="s">
        <v>565</v>
      </c>
      <c r="E202" t="s">
        <v>33</v>
      </c>
      <c r="F202" t="s">
        <v>124</v>
      </c>
      <c r="G202" t="s">
        <v>566</v>
      </c>
      <c r="H202" t="str">
        <f>"00527126"</f>
        <v>00527126</v>
      </c>
      <c r="I202">
        <v>50.4</v>
      </c>
      <c r="J202">
        <v>10</v>
      </c>
      <c r="K202">
        <v>8</v>
      </c>
      <c r="N202">
        <v>8</v>
      </c>
      <c r="O202">
        <v>4</v>
      </c>
      <c r="P202">
        <v>0</v>
      </c>
      <c r="Q202">
        <v>72.400000000000006</v>
      </c>
      <c r="R202">
        <v>52</v>
      </c>
      <c r="S202">
        <v>52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52</v>
      </c>
      <c r="AA202">
        <v>0</v>
      </c>
      <c r="AB202">
        <v>0</v>
      </c>
      <c r="AD202">
        <v>124.4</v>
      </c>
    </row>
    <row r="203" spans="1:30" x14ac:dyDescent="0.3">
      <c r="A203" s="4">
        <v>212</v>
      </c>
      <c r="B203" s="5">
        <v>196</v>
      </c>
      <c r="C203">
        <v>1659</v>
      </c>
      <c r="D203" t="s">
        <v>567</v>
      </c>
      <c r="E203" t="s">
        <v>41</v>
      </c>
      <c r="F203" t="s">
        <v>81</v>
      </c>
      <c r="G203" t="s">
        <v>568</v>
      </c>
      <c r="H203" t="str">
        <f>"201406006513"</f>
        <v>201406006513</v>
      </c>
      <c r="I203">
        <v>50.4</v>
      </c>
      <c r="J203">
        <v>10</v>
      </c>
      <c r="M203">
        <v>4</v>
      </c>
      <c r="N203">
        <v>4</v>
      </c>
      <c r="O203">
        <v>4</v>
      </c>
      <c r="P203">
        <v>2</v>
      </c>
      <c r="Q203">
        <v>70.400000000000006</v>
      </c>
      <c r="R203">
        <v>54</v>
      </c>
      <c r="S203">
        <v>54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54</v>
      </c>
      <c r="AA203">
        <v>0</v>
      </c>
      <c r="AB203">
        <v>0</v>
      </c>
      <c r="AD203">
        <v>124.4</v>
      </c>
    </row>
    <row r="204" spans="1:30" x14ac:dyDescent="0.3">
      <c r="A204" s="4">
        <v>213</v>
      </c>
      <c r="B204" s="5">
        <v>197</v>
      </c>
      <c r="C204">
        <v>2328</v>
      </c>
      <c r="D204" t="s">
        <v>569</v>
      </c>
      <c r="E204" t="s">
        <v>29</v>
      </c>
      <c r="F204" t="s">
        <v>570</v>
      </c>
      <c r="G204" t="s">
        <v>571</v>
      </c>
      <c r="H204" t="str">
        <f>"00483025"</f>
        <v>00483025</v>
      </c>
      <c r="I204">
        <v>26.28</v>
      </c>
      <c r="J204">
        <v>10</v>
      </c>
      <c r="K204">
        <v>8</v>
      </c>
      <c r="N204">
        <v>8</v>
      </c>
      <c r="O204">
        <v>4</v>
      </c>
      <c r="P204">
        <v>2</v>
      </c>
      <c r="Q204">
        <v>50.28</v>
      </c>
      <c r="R204">
        <v>74</v>
      </c>
      <c r="S204">
        <v>74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74</v>
      </c>
      <c r="AA204">
        <v>0</v>
      </c>
      <c r="AB204">
        <v>0</v>
      </c>
      <c r="AD204">
        <v>124.28</v>
      </c>
    </row>
    <row r="205" spans="1:30" x14ac:dyDescent="0.3">
      <c r="A205" s="4">
        <v>214</v>
      </c>
      <c r="B205" s="5">
        <v>198</v>
      </c>
      <c r="C205">
        <v>1246</v>
      </c>
      <c r="D205" t="s">
        <v>572</v>
      </c>
      <c r="E205" t="s">
        <v>100</v>
      </c>
      <c r="F205" t="s">
        <v>328</v>
      </c>
      <c r="G205" t="s">
        <v>573</v>
      </c>
      <c r="H205" t="str">
        <f>"00499057"</f>
        <v>00499057</v>
      </c>
      <c r="I205">
        <v>43.2</v>
      </c>
      <c r="J205">
        <v>10</v>
      </c>
      <c r="N205">
        <v>0</v>
      </c>
      <c r="O205">
        <v>4</v>
      </c>
      <c r="P205">
        <v>0</v>
      </c>
      <c r="Q205">
        <v>57.2</v>
      </c>
      <c r="R205">
        <v>61</v>
      </c>
      <c r="S205">
        <v>61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61</v>
      </c>
      <c r="AA205">
        <v>6</v>
      </c>
      <c r="AB205">
        <v>0</v>
      </c>
      <c r="AD205">
        <v>124.2</v>
      </c>
    </row>
    <row r="206" spans="1:30" x14ac:dyDescent="0.3">
      <c r="A206" s="4">
        <v>215</v>
      </c>
      <c r="B206" s="5">
        <v>199</v>
      </c>
      <c r="C206">
        <v>234</v>
      </c>
      <c r="D206" t="s">
        <v>574</v>
      </c>
      <c r="E206" t="s">
        <v>575</v>
      </c>
      <c r="F206" t="s">
        <v>20</v>
      </c>
      <c r="G206" t="s">
        <v>576</v>
      </c>
      <c r="H206" t="str">
        <f>"201412001855"</f>
        <v>201412001855</v>
      </c>
      <c r="I206">
        <v>32</v>
      </c>
      <c r="J206">
        <v>0</v>
      </c>
      <c r="M206">
        <v>8</v>
      </c>
      <c r="N206">
        <v>8</v>
      </c>
      <c r="O206">
        <v>4</v>
      </c>
      <c r="P206">
        <v>2</v>
      </c>
      <c r="Q206">
        <v>46</v>
      </c>
      <c r="R206">
        <v>78</v>
      </c>
      <c r="S206">
        <v>78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78</v>
      </c>
      <c r="AA206">
        <v>0</v>
      </c>
      <c r="AB206">
        <v>0</v>
      </c>
      <c r="AD206">
        <v>124</v>
      </c>
    </row>
    <row r="207" spans="1:30" x14ac:dyDescent="0.3">
      <c r="A207" s="4">
        <v>216</v>
      </c>
      <c r="B207" s="5">
        <v>200</v>
      </c>
      <c r="C207">
        <v>1143</v>
      </c>
      <c r="D207" t="s">
        <v>577</v>
      </c>
      <c r="E207" t="s">
        <v>479</v>
      </c>
      <c r="F207" t="s">
        <v>30</v>
      </c>
      <c r="G207" t="s">
        <v>578</v>
      </c>
      <c r="H207" t="str">
        <f>"00508598"</f>
        <v>00508598</v>
      </c>
      <c r="I207">
        <v>64.8</v>
      </c>
      <c r="J207">
        <v>10</v>
      </c>
      <c r="K207">
        <v>8</v>
      </c>
      <c r="N207">
        <v>8</v>
      </c>
      <c r="O207">
        <v>4</v>
      </c>
      <c r="P207">
        <v>2</v>
      </c>
      <c r="Q207">
        <v>88.8</v>
      </c>
      <c r="R207">
        <v>35</v>
      </c>
      <c r="S207">
        <v>35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35</v>
      </c>
      <c r="AA207">
        <v>0</v>
      </c>
      <c r="AB207">
        <v>0</v>
      </c>
      <c r="AD207">
        <v>123.8</v>
      </c>
    </row>
    <row r="208" spans="1:30" x14ac:dyDescent="0.3">
      <c r="A208" s="4">
        <v>217</v>
      </c>
      <c r="B208" s="5">
        <v>201</v>
      </c>
      <c r="C208">
        <v>2178</v>
      </c>
      <c r="D208" t="s">
        <v>579</v>
      </c>
      <c r="E208" t="s">
        <v>88</v>
      </c>
      <c r="F208" t="s">
        <v>416</v>
      </c>
      <c r="G208" t="s">
        <v>580</v>
      </c>
      <c r="H208" t="str">
        <f>"201110000099"</f>
        <v>201110000099</v>
      </c>
      <c r="I208">
        <v>64.8</v>
      </c>
      <c r="J208">
        <v>0</v>
      </c>
      <c r="K208">
        <v>8</v>
      </c>
      <c r="N208">
        <v>8</v>
      </c>
      <c r="O208">
        <v>4</v>
      </c>
      <c r="P208">
        <v>0</v>
      </c>
      <c r="Q208">
        <v>76.8</v>
      </c>
      <c r="R208">
        <v>47</v>
      </c>
      <c r="S208">
        <v>47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47</v>
      </c>
      <c r="AA208">
        <v>0</v>
      </c>
      <c r="AB208">
        <v>0</v>
      </c>
      <c r="AD208">
        <v>123.8</v>
      </c>
    </row>
    <row r="209" spans="1:30" x14ac:dyDescent="0.3">
      <c r="A209" s="4">
        <v>218</v>
      </c>
      <c r="B209" s="5">
        <v>202</v>
      </c>
      <c r="C209">
        <v>2709</v>
      </c>
      <c r="D209" t="s">
        <v>581</v>
      </c>
      <c r="E209" t="s">
        <v>37</v>
      </c>
      <c r="F209" t="s">
        <v>81</v>
      </c>
      <c r="G209" t="s">
        <v>582</v>
      </c>
      <c r="H209" t="str">
        <f>"00151941"</f>
        <v>00151941</v>
      </c>
      <c r="I209">
        <v>21.6</v>
      </c>
      <c r="J209">
        <v>0</v>
      </c>
      <c r="M209">
        <v>4</v>
      </c>
      <c r="N209">
        <v>4</v>
      </c>
      <c r="O209">
        <v>4</v>
      </c>
      <c r="P209">
        <v>2</v>
      </c>
      <c r="Q209">
        <v>31.6</v>
      </c>
      <c r="R209">
        <v>92</v>
      </c>
      <c r="S209">
        <v>92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92</v>
      </c>
      <c r="AA209">
        <v>0</v>
      </c>
      <c r="AB209">
        <v>0</v>
      </c>
      <c r="AD209">
        <v>123.6</v>
      </c>
    </row>
    <row r="210" spans="1:30" x14ac:dyDescent="0.3">
      <c r="A210" s="4">
        <v>219</v>
      </c>
      <c r="B210" s="5">
        <v>203</v>
      </c>
      <c r="C210">
        <v>3945</v>
      </c>
      <c r="D210" t="s">
        <v>583</v>
      </c>
      <c r="E210" t="s">
        <v>37</v>
      </c>
      <c r="F210" t="s">
        <v>193</v>
      </c>
      <c r="G210" t="s">
        <v>584</v>
      </c>
      <c r="H210" t="str">
        <f>"00516524"</f>
        <v>00516524</v>
      </c>
      <c r="I210">
        <v>38.56</v>
      </c>
      <c r="J210">
        <v>0</v>
      </c>
      <c r="N210">
        <v>0</v>
      </c>
      <c r="O210">
        <v>4</v>
      </c>
      <c r="P210">
        <v>2</v>
      </c>
      <c r="Q210">
        <v>44.56</v>
      </c>
      <c r="R210">
        <v>70</v>
      </c>
      <c r="S210">
        <v>70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70</v>
      </c>
      <c r="AA210">
        <v>9</v>
      </c>
      <c r="AB210">
        <v>0</v>
      </c>
      <c r="AD210">
        <v>123.56</v>
      </c>
    </row>
    <row r="211" spans="1:30" x14ac:dyDescent="0.3">
      <c r="A211" s="4">
        <v>220</v>
      </c>
      <c r="B211" s="5">
        <v>204</v>
      </c>
      <c r="C211">
        <v>2776</v>
      </c>
      <c r="D211" t="s">
        <v>585</v>
      </c>
      <c r="E211" t="s">
        <v>586</v>
      </c>
      <c r="F211" t="s">
        <v>587</v>
      </c>
      <c r="G211" t="s">
        <v>588</v>
      </c>
      <c r="H211" t="str">
        <f>"00509072"</f>
        <v>00509072</v>
      </c>
      <c r="I211">
        <v>16.52</v>
      </c>
      <c r="J211">
        <v>10</v>
      </c>
      <c r="N211">
        <v>0</v>
      </c>
      <c r="O211">
        <v>4</v>
      </c>
      <c r="P211">
        <v>0</v>
      </c>
      <c r="Q211">
        <v>30.52</v>
      </c>
      <c r="R211">
        <v>93</v>
      </c>
      <c r="S211">
        <v>93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93</v>
      </c>
      <c r="AA211">
        <v>0</v>
      </c>
      <c r="AB211">
        <v>0</v>
      </c>
      <c r="AD211">
        <v>123.52</v>
      </c>
    </row>
    <row r="212" spans="1:30" x14ac:dyDescent="0.3">
      <c r="A212" s="4">
        <v>221</v>
      </c>
      <c r="B212" s="5">
        <v>205</v>
      </c>
      <c r="C212">
        <v>3477</v>
      </c>
      <c r="D212" t="s">
        <v>589</v>
      </c>
      <c r="E212" t="s">
        <v>590</v>
      </c>
      <c r="F212" t="s">
        <v>591</v>
      </c>
      <c r="G212" t="s">
        <v>592</v>
      </c>
      <c r="H212" t="str">
        <f>"00483686"</f>
        <v>00483686</v>
      </c>
      <c r="I212">
        <v>50.4</v>
      </c>
      <c r="J212">
        <v>10</v>
      </c>
      <c r="M212">
        <v>4</v>
      </c>
      <c r="N212">
        <v>4</v>
      </c>
      <c r="O212">
        <v>4</v>
      </c>
      <c r="P212">
        <v>2</v>
      </c>
      <c r="Q212">
        <v>70.400000000000006</v>
      </c>
      <c r="R212">
        <v>50</v>
      </c>
      <c r="S212">
        <v>50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50</v>
      </c>
      <c r="AA212">
        <v>3</v>
      </c>
      <c r="AB212">
        <v>0</v>
      </c>
      <c r="AD212">
        <v>123.4</v>
      </c>
    </row>
    <row r="213" spans="1:30" x14ac:dyDescent="0.3">
      <c r="A213" s="4">
        <v>222</v>
      </c>
      <c r="B213" s="5">
        <v>206</v>
      </c>
      <c r="C213">
        <v>3070</v>
      </c>
      <c r="D213" t="s">
        <v>593</v>
      </c>
      <c r="E213" t="s">
        <v>594</v>
      </c>
      <c r="F213" t="s">
        <v>81</v>
      </c>
      <c r="G213" t="s">
        <v>595</v>
      </c>
      <c r="H213" t="str">
        <f>"201511036880"</f>
        <v>201511036880</v>
      </c>
      <c r="I213">
        <v>50.4</v>
      </c>
      <c r="J213">
        <v>0</v>
      </c>
      <c r="M213">
        <v>4</v>
      </c>
      <c r="N213">
        <v>4</v>
      </c>
      <c r="O213">
        <v>4</v>
      </c>
      <c r="P213">
        <v>2</v>
      </c>
      <c r="Q213">
        <v>60.4</v>
      </c>
      <c r="R213">
        <v>63</v>
      </c>
      <c r="S213">
        <v>63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63</v>
      </c>
      <c r="AA213">
        <v>0</v>
      </c>
      <c r="AB213">
        <v>0</v>
      </c>
      <c r="AD213">
        <v>123.4</v>
      </c>
    </row>
    <row r="214" spans="1:30" x14ac:dyDescent="0.3">
      <c r="A214" s="4">
        <v>223</v>
      </c>
      <c r="B214" s="5">
        <v>207</v>
      </c>
      <c r="C214">
        <v>2714</v>
      </c>
      <c r="D214" t="s">
        <v>596</v>
      </c>
      <c r="E214" t="s">
        <v>68</v>
      </c>
      <c r="F214" t="s">
        <v>230</v>
      </c>
      <c r="G214" t="s">
        <v>597</v>
      </c>
      <c r="H214" t="str">
        <f>"00441812"</f>
        <v>00441812</v>
      </c>
      <c r="I214">
        <v>0</v>
      </c>
      <c r="J214">
        <v>0</v>
      </c>
      <c r="M214">
        <v>4</v>
      </c>
      <c r="N214">
        <v>4</v>
      </c>
      <c r="O214">
        <v>4</v>
      </c>
      <c r="P214">
        <v>2</v>
      </c>
      <c r="Q214">
        <v>10</v>
      </c>
      <c r="R214">
        <v>107</v>
      </c>
      <c r="S214">
        <v>107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107</v>
      </c>
      <c r="AA214">
        <v>6</v>
      </c>
      <c r="AB214">
        <v>0</v>
      </c>
      <c r="AD214">
        <v>123</v>
      </c>
    </row>
    <row r="215" spans="1:30" x14ac:dyDescent="0.3">
      <c r="A215" s="4">
        <v>224</v>
      </c>
      <c r="B215" s="5">
        <v>208</v>
      </c>
      <c r="C215">
        <v>739</v>
      </c>
      <c r="D215" t="s">
        <v>598</v>
      </c>
      <c r="E215" t="s">
        <v>188</v>
      </c>
      <c r="F215" t="s">
        <v>136</v>
      </c>
      <c r="G215" t="s">
        <v>599</v>
      </c>
      <c r="H215" t="str">
        <f>"00518430"</f>
        <v>00518430</v>
      </c>
      <c r="I215">
        <v>72</v>
      </c>
      <c r="J215">
        <v>0</v>
      </c>
      <c r="K215">
        <v>8</v>
      </c>
      <c r="N215">
        <v>8</v>
      </c>
      <c r="O215">
        <v>4</v>
      </c>
      <c r="P215">
        <v>2</v>
      </c>
      <c r="Q215">
        <v>86</v>
      </c>
      <c r="R215">
        <v>37</v>
      </c>
      <c r="S215">
        <v>37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37</v>
      </c>
      <c r="AA215">
        <v>0</v>
      </c>
      <c r="AB215">
        <v>0</v>
      </c>
      <c r="AD215">
        <v>123</v>
      </c>
    </row>
    <row r="216" spans="1:30" x14ac:dyDescent="0.3">
      <c r="A216" s="4">
        <v>225</v>
      </c>
      <c r="B216" s="5">
        <v>209</v>
      </c>
      <c r="C216">
        <v>414</v>
      </c>
      <c r="D216" t="s">
        <v>600</v>
      </c>
      <c r="E216" t="s">
        <v>208</v>
      </c>
      <c r="F216" t="s">
        <v>38</v>
      </c>
      <c r="G216" t="s">
        <v>601</v>
      </c>
      <c r="H216" t="str">
        <f>"201511030223"</f>
        <v>201511030223</v>
      </c>
      <c r="I216">
        <v>64.8</v>
      </c>
      <c r="J216">
        <v>10</v>
      </c>
      <c r="N216">
        <v>0</v>
      </c>
      <c r="O216">
        <v>4</v>
      </c>
      <c r="P216">
        <v>0</v>
      </c>
      <c r="Q216">
        <v>78.8</v>
      </c>
      <c r="R216">
        <v>35</v>
      </c>
      <c r="S216">
        <v>35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35</v>
      </c>
      <c r="AA216">
        <v>9</v>
      </c>
      <c r="AB216">
        <v>0</v>
      </c>
      <c r="AD216">
        <v>122.8</v>
      </c>
    </row>
    <row r="217" spans="1:30" x14ac:dyDescent="0.3">
      <c r="A217" s="4">
        <v>226</v>
      </c>
      <c r="B217" s="5">
        <v>210</v>
      </c>
      <c r="C217">
        <v>746</v>
      </c>
      <c r="D217" t="s">
        <v>602</v>
      </c>
      <c r="E217" t="s">
        <v>550</v>
      </c>
      <c r="F217" t="s">
        <v>238</v>
      </c>
      <c r="G217" t="s">
        <v>603</v>
      </c>
      <c r="H217" t="str">
        <f>"00508510"</f>
        <v>00508510</v>
      </c>
      <c r="I217">
        <v>28.8</v>
      </c>
      <c r="J217">
        <v>0</v>
      </c>
      <c r="M217">
        <v>4</v>
      </c>
      <c r="N217">
        <v>4</v>
      </c>
      <c r="O217">
        <v>4</v>
      </c>
      <c r="P217">
        <v>0</v>
      </c>
      <c r="Q217">
        <v>36.799999999999997</v>
      </c>
      <c r="R217">
        <v>80</v>
      </c>
      <c r="S217">
        <v>80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80</v>
      </c>
      <c r="AA217">
        <v>6</v>
      </c>
      <c r="AB217">
        <v>0</v>
      </c>
      <c r="AD217">
        <v>122.8</v>
      </c>
    </row>
    <row r="218" spans="1:30" x14ac:dyDescent="0.3">
      <c r="A218" s="4">
        <v>227</v>
      </c>
      <c r="B218" s="5">
        <v>211</v>
      </c>
      <c r="C218">
        <v>409</v>
      </c>
      <c r="D218" t="s">
        <v>604</v>
      </c>
      <c r="E218" t="s">
        <v>54</v>
      </c>
      <c r="F218" t="s">
        <v>55</v>
      </c>
      <c r="G218" t="s">
        <v>605</v>
      </c>
      <c r="H218" t="str">
        <f>"00161242"</f>
        <v>00161242</v>
      </c>
      <c r="I218">
        <v>33.72</v>
      </c>
      <c r="J218">
        <v>10</v>
      </c>
      <c r="N218">
        <v>0</v>
      </c>
      <c r="O218">
        <v>4</v>
      </c>
      <c r="P218">
        <v>2</v>
      </c>
      <c r="Q218">
        <v>49.72</v>
      </c>
      <c r="R218">
        <v>67</v>
      </c>
      <c r="S218">
        <v>67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67</v>
      </c>
      <c r="AA218">
        <v>6</v>
      </c>
      <c r="AB218">
        <v>0</v>
      </c>
      <c r="AD218">
        <v>122.72</v>
      </c>
    </row>
    <row r="219" spans="1:30" x14ac:dyDescent="0.3">
      <c r="A219" s="4">
        <v>228</v>
      </c>
      <c r="B219" s="5">
        <v>212</v>
      </c>
      <c r="C219">
        <v>3823</v>
      </c>
      <c r="D219" t="s">
        <v>181</v>
      </c>
      <c r="E219" t="s">
        <v>97</v>
      </c>
      <c r="F219" t="s">
        <v>230</v>
      </c>
      <c r="G219" t="s">
        <v>606</v>
      </c>
      <c r="H219" t="str">
        <f>"201512003622"</f>
        <v>201512003622</v>
      </c>
      <c r="I219">
        <v>57.6</v>
      </c>
      <c r="J219">
        <v>10</v>
      </c>
      <c r="M219">
        <v>4</v>
      </c>
      <c r="N219">
        <v>4</v>
      </c>
      <c r="O219">
        <v>4</v>
      </c>
      <c r="P219">
        <v>0</v>
      </c>
      <c r="Q219">
        <v>75.599999999999994</v>
      </c>
      <c r="R219">
        <v>47</v>
      </c>
      <c r="S219">
        <v>47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47</v>
      </c>
      <c r="AA219">
        <v>0</v>
      </c>
      <c r="AB219">
        <v>0</v>
      </c>
      <c r="AD219">
        <v>122.6</v>
      </c>
    </row>
    <row r="220" spans="1:30" x14ac:dyDescent="0.3">
      <c r="A220" s="4">
        <v>229</v>
      </c>
      <c r="B220" s="5">
        <v>213</v>
      </c>
      <c r="C220">
        <v>4814</v>
      </c>
      <c r="D220" t="s">
        <v>607</v>
      </c>
      <c r="E220" t="s">
        <v>273</v>
      </c>
      <c r="F220" t="s">
        <v>30</v>
      </c>
      <c r="G220" t="s">
        <v>608</v>
      </c>
      <c r="H220" t="str">
        <f>"00163333"</f>
        <v>00163333</v>
      </c>
      <c r="I220">
        <v>36.44</v>
      </c>
      <c r="J220">
        <v>10</v>
      </c>
      <c r="N220">
        <v>0</v>
      </c>
      <c r="O220">
        <v>4</v>
      </c>
      <c r="P220">
        <v>2</v>
      </c>
      <c r="Q220">
        <v>52.44</v>
      </c>
      <c r="R220">
        <v>64</v>
      </c>
      <c r="S220">
        <v>64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64</v>
      </c>
      <c r="AA220">
        <v>6</v>
      </c>
      <c r="AB220">
        <v>0</v>
      </c>
      <c r="AD220">
        <v>122.44</v>
      </c>
    </row>
    <row r="221" spans="1:30" x14ac:dyDescent="0.3">
      <c r="A221" s="4">
        <v>231</v>
      </c>
      <c r="B221" s="5">
        <v>214</v>
      </c>
      <c r="C221">
        <v>1083</v>
      </c>
      <c r="D221" t="s">
        <v>610</v>
      </c>
      <c r="E221" t="s">
        <v>54</v>
      </c>
      <c r="F221" t="s">
        <v>124</v>
      </c>
      <c r="G221" t="s">
        <v>611</v>
      </c>
      <c r="H221" t="str">
        <f>"00486108"</f>
        <v>00486108</v>
      </c>
      <c r="I221">
        <v>43.2</v>
      </c>
      <c r="J221">
        <v>10</v>
      </c>
      <c r="M221">
        <v>4</v>
      </c>
      <c r="N221">
        <v>4</v>
      </c>
      <c r="O221">
        <v>4</v>
      </c>
      <c r="P221">
        <v>2</v>
      </c>
      <c r="Q221">
        <v>63.2</v>
      </c>
      <c r="R221">
        <v>53</v>
      </c>
      <c r="S221">
        <v>53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53</v>
      </c>
      <c r="AA221">
        <v>6</v>
      </c>
      <c r="AB221">
        <v>0</v>
      </c>
      <c r="AD221">
        <v>122.2</v>
      </c>
    </row>
    <row r="222" spans="1:30" x14ac:dyDescent="0.3">
      <c r="A222" s="4">
        <v>232</v>
      </c>
      <c r="B222" s="5">
        <v>215</v>
      </c>
      <c r="C222">
        <v>1607</v>
      </c>
      <c r="D222" t="s">
        <v>612</v>
      </c>
      <c r="E222" t="s">
        <v>613</v>
      </c>
      <c r="F222" t="s">
        <v>20</v>
      </c>
      <c r="G222" t="s">
        <v>614</v>
      </c>
      <c r="H222" t="str">
        <f>"00441484"</f>
        <v>00441484</v>
      </c>
      <c r="I222">
        <v>43.2</v>
      </c>
      <c r="J222">
        <v>10</v>
      </c>
      <c r="M222">
        <v>4</v>
      </c>
      <c r="N222">
        <v>4</v>
      </c>
      <c r="O222">
        <v>4</v>
      </c>
      <c r="P222">
        <v>2</v>
      </c>
      <c r="Q222">
        <v>63.2</v>
      </c>
      <c r="R222">
        <v>53</v>
      </c>
      <c r="S222">
        <v>53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53</v>
      </c>
      <c r="AA222">
        <v>6</v>
      </c>
      <c r="AB222">
        <v>0</v>
      </c>
      <c r="AD222">
        <v>122.2</v>
      </c>
    </row>
    <row r="223" spans="1:30" x14ac:dyDescent="0.3">
      <c r="A223" s="4">
        <v>233</v>
      </c>
      <c r="B223" s="5">
        <v>216</v>
      </c>
      <c r="C223">
        <v>3808</v>
      </c>
      <c r="D223" t="s">
        <v>615</v>
      </c>
      <c r="E223" t="s">
        <v>219</v>
      </c>
      <c r="F223" t="s">
        <v>616</v>
      </c>
      <c r="G223" t="s">
        <v>617</v>
      </c>
      <c r="H223" t="str">
        <f>"00481675"</f>
        <v>00481675</v>
      </c>
      <c r="I223">
        <v>43.2</v>
      </c>
      <c r="J223">
        <v>10</v>
      </c>
      <c r="M223">
        <v>4</v>
      </c>
      <c r="N223">
        <v>4</v>
      </c>
      <c r="O223">
        <v>4</v>
      </c>
      <c r="P223">
        <v>0</v>
      </c>
      <c r="Q223">
        <v>61.2</v>
      </c>
      <c r="R223">
        <v>58</v>
      </c>
      <c r="S223">
        <v>58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58</v>
      </c>
      <c r="AA223">
        <v>3</v>
      </c>
      <c r="AB223">
        <v>0</v>
      </c>
      <c r="AD223">
        <v>122.2</v>
      </c>
    </row>
    <row r="224" spans="1:30" x14ac:dyDescent="0.3">
      <c r="A224" s="4">
        <v>234</v>
      </c>
      <c r="B224" s="5">
        <v>217</v>
      </c>
      <c r="C224">
        <v>604</v>
      </c>
      <c r="D224" t="s">
        <v>618</v>
      </c>
      <c r="E224" t="s">
        <v>273</v>
      </c>
      <c r="F224" t="s">
        <v>328</v>
      </c>
      <c r="G224" t="s">
        <v>619</v>
      </c>
      <c r="H224" t="str">
        <f>"00004910"</f>
        <v>00004910</v>
      </c>
      <c r="I224">
        <v>40</v>
      </c>
      <c r="J224">
        <v>10</v>
      </c>
      <c r="M224">
        <v>4</v>
      </c>
      <c r="N224">
        <v>4</v>
      </c>
      <c r="O224">
        <v>4</v>
      </c>
      <c r="P224">
        <v>2</v>
      </c>
      <c r="Q224">
        <v>60</v>
      </c>
      <c r="R224">
        <v>18</v>
      </c>
      <c r="S224">
        <v>18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18</v>
      </c>
      <c r="AA224">
        <v>6</v>
      </c>
      <c r="AB224">
        <v>38</v>
      </c>
      <c r="AD224">
        <v>122</v>
      </c>
    </row>
    <row r="225" spans="1:30" x14ac:dyDescent="0.3">
      <c r="A225" s="4">
        <v>235</v>
      </c>
      <c r="B225" s="5">
        <v>218</v>
      </c>
      <c r="C225">
        <v>755</v>
      </c>
      <c r="D225" t="s">
        <v>620</v>
      </c>
      <c r="E225" t="s">
        <v>33</v>
      </c>
      <c r="F225" t="s">
        <v>193</v>
      </c>
      <c r="G225" t="s">
        <v>621</v>
      </c>
      <c r="H225" t="str">
        <f>"00475251"</f>
        <v>00475251</v>
      </c>
      <c r="I225">
        <v>36.880000000000003</v>
      </c>
      <c r="J225">
        <v>10</v>
      </c>
      <c r="K225">
        <v>8</v>
      </c>
      <c r="N225">
        <v>8</v>
      </c>
      <c r="O225">
        <v>4</v>
      </c>
      <c r="P225">
        <v>2</v>
      </c>
      <c r="Q225">
        <v>60.88</v>
      </c>
      <c r="R225">
        <v>61</v>
      </c>
      <c r="S225">
        <v>61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61</v>
      </c>
      <c r="AA225">
        <v>0</v>
      </c>
      <c r="AB225">
        <v>0</v>
      </c>
      <c r="AD225">
        <v>121.88</v>
      </c>
    </row>
    <row r="226" spans="1:30" x14ac:dyDescent="0.3">
      <c r="A226" s="4">
        <v>236</v>
      </c>
      <c r="B226" s="5">
        <v>219</v>
      </c>
      <c r="C226">
        <v>3354</v>
      </c>
      <c r="D226" t="s">
        <v>622</v>
      </c>
      <c r="E226" t="s">
        <v>126</v>
      </c>
      <c r="F226" t="s">
        <v>68</v>
      </c>
      <c r="G226" t="s">
        <v>623</v>
      </c>
      <c r="H226" t="str">
        <f>"201406007756"</f>
        <v>201406007756</v>
      </c>
      <c r="I226">
        <v>34.840000000000003</v>
      </c>
      <c r="J226">
        <v>10</v>
      </c>
      <c r="M226">
        <v>4</v>
      </c>
      <c r="N226">
        <v>4</v>
      </c>
      <c r="O226">
        <v>4</v>
      </c>
      <c r="P226">
        <v>2</v>
      </c>
      <c r="Q226">
        <v>54.84</v>
      </c>
      <c r="R226">
        <v>61</v>
      </c>
      <c r="S226">
        <v>61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61</v>
      </c>
      <c r="AA226">
        <v>6</v>
      </c>
      <c r="AB226">
        <v>0</v>
      </c>
      <c r="AD226">
        <v>121.84</v>
      </c>
    </row>
    <row r="227" spans="1:30" x14ac:dyDescent="0.3">
      <c r="A227" s="4">
        <v>237</v>
      </c>
      <c r="B227" s="5">
        <v>220</v>
      </c>
      <c r="C227">
        <v>2469</v>
      </c>
      <c r="D227" t="s">
        <v>624</v>
      </c>
      <c r="E227" t="s">
        <v>625</v>
      </c>
      <c r="F227" t="s">
        <v>626</v>
      </c>
      <c r="G227" t="s">
        <v>627</v>
      </c>
      <c r="H227" t="str">
        <f>"00441819"</f>
        <v>00441819</v>
      </c>
      <c r="I227">
        <v>21.6</v>
      </c>
      <c r="J227">
        <v>10</v>
      </c>
      <c r="K227">
        <v>8</v>
      </c>
      <c r="N227">
        <v>8</v>
      </c>
      <c r="O227">
        <v>4</v>
      </c>
      <c r="P227">
        <v>2</v>
      </c>
      <c r="Q227">
        <v>45.6</v>
      </c>
      <c r="R227">
        <v>70</v>
      </c>
      <c r="S227">
        <v>70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70</v>
      </c>
      <c r="AA227">
        <v>6</v>
      </c>
      <c r="AB227">
        <v>0</v>
      </c>
      <c r="AD227">
        <v>121.6</v>
      </c>
    </row>
    <row r="228" spans="1:30" x14ac:dyDescent="0.3">
      <c r="A228" s="4">
        <v>238</v>
      </c>
      <c r="B228" s="5">
        <v>221</v>
      </c>
      <c r="C228">
        <v>2630</v>
      </c>
      <c r="D228" t="s">
        <v>628</v>
      </c>
      <c r="E228" t="s">
        <v>230</v>
      </c>
      <c r="F228" t="s">
        <v>117</v>
      </c>
      <c r="G228" t="s">
        <v>629</v>
      </c>
      <c r="H228" t="str">
        <f>"00442058"</f>
        <v>00442058</v>
      </c>
      <c r="I228">
        <v>21.6</v>
      </c>
      <c r="J228">
        <v>0</v>
      </c>
      <c r="M228">
        <v>4</v>
      </c>
      <c r="N228">
        <v>4</v>
      </c>
      <c r="O228">
        <v>0</v>
      </c>
      <c r="P228">
        <v>0</v>
      </c>
      <c r="Q228">
        <v>25.6</v>
      </c>
      <c r="R228">
        <v>90</v>
      </c>
      <c r="S228">
        <v>90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90</v>
      </c>
      <c r="AA228">
        <v>6</v>
      </c>
      <c r="AB228">
        <v>0</v>
      </c>
      <c r="AD228">
        <v>121.6</v>
      </c>
    </row>
    <row r="229" spans="1:30" x14ac:dyDescent="0.3">
      <c r="A229" s="4">
        <v>239</v>
      </c>
      <c r="B229" s="5">
        <v>222</v>
      </c>
      <c r="C229">
        <v>3600</v>
      </c>
      <c r="D229" t="s">
        <v>630</v>
      </c>
      <c r="E229" t="s">
        <v>29</v>
      </c>
      <c r="F229" t="s">
        <v>68</v>
      </c>
      <c r="G229" t="s">
        <v>631</v>
      </c>
      <c r="H229" t="str">
        <f>"00530673"</f>
        <v>00530673</v>
      </c>
      <c r="I229">
        <v>57.6</v>
      </c>
      <c r="J229">
        <v>0</v>
      </c>
      <c r="K229">
        <v>8</v>
      </c>
      <c r="N229">
        <v>8</v>
      </c>
      <c r="O229">
        <v>0</v>
      </c>
      <c r="P229">
        <v>2</v>
      </c>
      <c r="Q229">
        <v>67.599999999999994</v>
      </c>
      <c r="R229">
        <v>54</v>
      </c>
      <c r="S229">
        <v>54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54</v>
      </c>
      <c r="AA229">
        <v>0</v>
      </c>
      <c r="AB229">
        <v>0</v>
      </c>
      <c r="AD229">
        <v>121.6</v>
      </c>
    </row>
    <row r="230" spans="1:30" x14ac:dyDescent="0.3">
      <c r="A230" s="4">
        <v>240</v>
      </c>
      <c r="B230" s="5">
        <v>223</v>
      </c>
      <c r="C230">
        <v>2338</v>
      </c>
      <c r="D230" t="s">
        <v>632</v>
      </c>
      <c r="E230" t="s">
        <v>88</v>
      </c>
      <c r="F230" t="s">
        <v>633</v>
      </c>
      <c r="G230" t="s">
        <v>634</v>
      </c>
      <c r="H230" t="str">
        <f>"200712002506"</f>
        <v>200712002506</v>
      </c>
      <c r="I230">
        <v>9.6</v>
      </c>
      <c r="J230">
        <v>0</v>
      </c>
      <c r="N230">
        <v>0</v>
      </c>
      <c r="O230">
        <v>4</v>
      </c>
      <c r="P230">
        <v>2</v>
      </c>
      <c r="Q230">
        <v>15.6</v>
      </c>
      <c r="R230">
        <v>106</v>
      </c>
      <c r="S230">
        <v>106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106</v>
      </c>
      <c r="AA230">
        <v>0</v>
      </c>
      <c r="AB230">
        <v>0</v>
      </c>
      <c r="AD230">
        <v>121.6</v>
      </c>
    </row>
    <row r="231" spans="1:30" x14ac:dyDescent="0.3">
      <c r="A231" s="4">
        <v>241</v>
      </c>
      <c r="B231" s="5">
        <v>224</v>
      </c>
      <c r="C231">
        <v>1824</v>
      </c>
      <c r="D231" t="s">
        <v>635</v>
      </c>
      <c r="E231" t="s">
        <v>636</v>
      </c>
      <c r="F231" t="s">
        <v>38</v>
      </c>
      <c r="G231" t="s">
        <v>637</v>
      </c>
      <c r="H231" t="str">
        <f>"00154755"</f>
        <v>00154755</v>
      </c>
      <c r="I231">
        <v>21.6</v>
      </c>
      <c r="J231">
        <v>10</v>
      </c>
      <c r="M231">
        <v>4</v>
      </c>
      <c r="N231">
        <v>4</v>
      </c>
      <c r="O231">
        <v>4</v>
      </c>
      <c r="P231">
        <v>2</v>
      </c>
      <c r="Q231">
        <v>41.6</v>
      </c>
      <c r="R231">
        <v>53</v>
      </c>
      <c r="S231">
        <v>53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53</v>
      </c>
      <c r="AA231">
        <v>0</v>
      </c>
      <c r="AB231">
        <v>26.8</v>
      </c>
      <c r="AD231">
        <v>121.4</v>
      </c>
    </row>
    <row r="232" spans="1:30" x14ac:dyDescent="0.3">
      <c r="A232" s="4">
        <v>242</v>
      </c>
      <c r="B232" s="5">
        <v>225</v>
      </c>
      <c r="C232">
        <v>1077</v>
      </c>
      <c r="D232" t="s">
        <v>638</v>
      </c>
      <c r="E232" t="s">
        <v>110</v>
      </c>
      <c r="F232" t="s">
        <v>639</v>
      </c>
      <c r="G232" t="s">
        <v>640</v>
      </c>
      <c r="H232" t="str">
        <f>"00401396"</f>
        <v>00401396</v>
      </c>
      <c r="I232">
        <v>50.4</v>
      </c>
      <c r="J232">
        <v>0</v>
      </c>
      <c r="M232">
        <v>4</v>
      </c>
      <c r="N232">
        <v>4</v>
      </c>
      <c r="O232">
        <v>4</v>
      </c>
      <c r="P232">
        <v>0</v>
      </c>
      <c r="Q232">
        <v>58.4</v>
      </c>
      <c r="R232">
        <v>18</v>
      </c>
      <c r="S232">
        <v>18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18</v>
      </c>
      <c r="AA232">
        <v>15</v>
      </c>
      <c r="AB232">
        <v>30</v>
      </c>
      <c r="AD232">
        <v>121.4</v>
      </c>
    </row>
    <row r="233" spans="1:30" x14ac:dyDescent="0.3">
      <c r="A233" s="4">
        <v>243</v>
      </c>
      <c r="B233" s="5">
        <v>226</v>
      </c>
      <c r="C233">
        <v>1981</v>
      </c>
      <c r="D233" t="s">
        <v>641</v>
      </c>
      <c r="E233" t="s">
        <v>208</v>
      </c>
      <c r="F233" t="s">
        <v>136</v>
      </c>
      <c r="G233" t="s">
        <v>642</v>
      </c>
      <c r="H233" t="str">
        <f>"00531188"</f>
        <v>00531188</v>
      </c>
      <c r="I233">
        <v>50.4</v>
      </c>
      <c r="J233">
        <v>10</v>
      </c>
      <c r="M233">
        <v>4</v>
      </c>
      <c r="N233">
        <v>4</v>
      </c>
      <c r="O233">
        <v>4</v>
      </c>
      <c r="P233">
        <v>0</v>
      </c>
      <c r="Q233">
        <v>68.400000000000006</v>
      </c>
      <c r="R233">
        <v>44</v>
      </c>
      <c r="S233">
        <v>44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44</v>
      </c>
      <c r="AA233">
        <v>9</v>
      </c>
      <c r="AB233">
        <v>0</v>
      </c>
      <c r="AD233">
        <v>121.4</v>
      </c>
    </row>
    <row r="234" spans="1:30" x14ac:dyDescent="0.3">
      <c r="A234" s="4">
        <v>244</v>
      </c>
      <c r="B234" s="5">
        <v>227</v>
      </c>
      <c r="C234">
        <v>1038</v>
      </c>
      <c r="D234" t="s">
        <v>643</v>
      </c>
      <c r="E234" t="s">
        <v>33</v>
      </c>
      <c r="F234" t="s">
        <v>81</v>
      </c>
      <c r="G234" t="s">
        <v>644</v>
      </c>
      <c r="H234" t="str">
        <f>"00162738"</f>
        <v>00162738</v>
      </c>
      <c r="I234">
        <v>50.4</v>
      </c>
      <c r="J234">
        <v>10</v>
      </c>
      <c r="N234">
        <v>0</v>
      </c>
      <c r="O234">
        <v>4</v>
      </c>
      <c r="P234">
        <v>2</v>
      </c>
      <c r="Q234">
        <v>66.400000000000006</v>
      </c>
      <c r="R234">
        <v>46</v>
      </c>
      <c r="S234">
        <v>46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46</v>
      </c>
      <c r="AA234">
        <v>9</v>
      </c>
      <c r="AB234">
        <v>0</v>
      </c>
      <c r="AD234">
        <v>121.4</v>
      </c>
    </row>
    <row r="235" spans="1:30" x14ac:dyDescent="0.3">
      <c r="A235" s="4">
        <v>245</v>
      </c>
      <c r="B235" s="5">
        <v>228</v>
      </c>
      <c r="C235">
        <v>3181</v>
      </c>
      <c r="D235" t="s">
        <v>645</v>
      </c>
      <c r="E235" t="s">
        <v>342</v>
      </c>
      <c r="F235" t="s">
        <v>343</v>
      </c>
      <c r="G235" t="s">
        <v>646</v>
      </c>
      <c r="H235" t="str">
        <f>"00441581"</f>
        <v>00441581</v>
      </c>
      <c r="I235">
        <v>50.4</v>
      </c>
      <c r="J235">
        <v>10</v>
      </c>
      <c r="N235">
        <v>0</v>
      </c>
      <c r="O235">
        <v>4</v>
      </c>
      <c r="P235">
        <v>2</v>
      </c>
      <c r="Q235">
        <v>66.400000000000006</v>
      </c>
      <c r="R235">
        <v>55</v>
      </c>
      <c r="S235">
        <v>55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55</v>
      </c>
      <c r="AA235">
        <v>0</v>
      </c>
      <c r="AB235">
        <v>0</v>
      </c>
      <c r="AD235">
        <v>121.4</v>
      </c>
    </row>
    <row r="236" spans="1:30" x14ac:dyDescent="0.3">
      <c r="A236" s="4">
        <v>246</v>
      </c>
      <c r="B236" s="5">
        <v>229</v>
      </c>
      <c r="C236">
        <v>2503</v>
      </c>
      <c r="D236" t="s">
        <v>647</v>
      </c>
      <c r="E236" t="s">
        <v>648</v>
      </c>
      <c r="F236" t="s">
        <v>649</v>
      </c>
      <c r="G236" t="s">
        <v>650</v>
      </c>
      <c r="H236" t="str">
        <f>"00441622"</f>
        <v>00441622</v>
      </c>
      <c r="I236">
        <v>50.4</v>
      </c>
      <c r="J236">
        <v>0</v>
      </c>
      <c r="M236">
        <v>4</v>
      </c>
      <c r="N236">
        <v>4</v>
      </c>
      <c r="O236">
        <v>4</v>
      </c>
      <c r="P236">
        <v>0</v>
      </c>
      <c r="Q236">
        <v>58.4</v>
      </c>
      <c r="R236">
        <v>63</v>
      </c>
      <c r="S236">
        <v>63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63</v>
      </c>
      <c r="AA236">
        <v>0</v>
      </c>
      <c r="AB236">
        <v>0</v>
      </c>
      <c r="AD236">
        <v>121.4</v>
      </c>
    </row>
    <row r="237" spans="1:30" x14ac:dyDescent="0.3">
      <c r="A237" s="4">
        <v>247</v>
      </c>
      <c r="B237" s="5">
        <v>230</v>
      </c>
      <c r="C237">
        <v>154</v>
      </c>
      <c r="D237" t="s">
        <v>651</v>
      </c>
      <c r="E237" t="s">
        <v>100</v>
      </c>
      <c r="F237" t="s">
        <v>652</v>
      </c>
      <c r="G237" t="s">
        <v>653</v>
      </c>
      <c r="H237" t="str">
        <f>"00527115"</f>
        <v>00527115</v>
      </c>
      <c r="I237">
        <v>43.2</v>
      </c>
      <c r="J237">
        <v>0</v>
      </c>
      <c r="N237">
        <v>0</v>
      </c>
      <c r="O237">
        <v>4</v>
      </c>
      <c r="P237">
        <v>2</v>
      </c>
      <c r="Q237">
        <v>49.2</v>
      </c>
      <c r="R237">
        <v>66</v>
      </c>
      <c r="S237">
        <v>66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66</v>
      </c>
      <c r="AA237">
        <v>6</v>
      </c>
      <c r="AB237">
        <v>0</v>
      </c>
      <c r="AD237">
        <v>121.2</v>
      </c>
    </row>
    <row r="238" spans="1:30" x14ac:dyDescent="0.3">
      <c r="A238" s="4">
        <v>248</v>
      </c>
      <c r="B238" s="5">
        <v>231</v>
      </c>
      <c r="C238">
        <v>3019</v>
      </c>
      <c r="D238" t="s">
        <v>654</v>
      </c>
      <c r="E238" t="s">
        <v>161</v>
      </c>
      <c r="F238" t="s">
        <v>17</v>
      </c>
      <c r="G238" t="s">
        <v>655</v>
      </c>
      <c r="H238" t="str">
        <f>"201406004743"</f>
        <v>201406004743</v>
      </c>
      <c r="I238">
        <v>43.2</v>
      </c>
      <c r="J238">
        <v>0</v>
      </c>
      <c r="N238">
        <v>0</v>
      </c>
      <c r="O238">
        <v>4</v>
      </c>
      <c r="P238">
        <v>2</v>
      </c>
      <c r="Q238">
        <v>49.2</v>
      </c>
      <c r="R238">
        <v>69</v>
      </c>
      <c r="S238">
        <v>69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69</v>
      </c>
      <c r="AA238">
        <v>3</v>
      </c>
      <c r="AB238">
        <v>0</v>
      </c>
      <c r="AD238">
        <v>121.2</v>
      </c>
    </row>
    <row r="239" spans="1:30" x14ac:dyDescent="0.3">
      <c r="A239" s="4">
        <v>249</v>
      </c>
      <c r="B239" s="5">
        <v>232</v>
      </c>
      <c r="C239">
        <v>2700</v>
      </c>
      <c r="D239" t="s">
        <v>656</v>
      </c>
      <c r="E239" t="s">
        <v>54</v>
      </c>
      <c r="F239" t="s">
        <v>38</v>
      </c>
      <c r="G239" t="s">
        <v>657</v>
      </c>
      <c r="H239" t="str">
        <f>"00516406"</f>
        <v>00516406</v>
      </c>
      <c r="I239">
        <v>7.2</v>
      </c>
      <c r="J239">
        <v>0</v>
      </c>
      <c r="K239">
        <v>8</v>
      </c>
      <c r="N239">
        <v>8</v>
      </c>
      <c r="O239">
        <v>4</v>
      </c>
      <c r="P239">
        <v>2</v>
      </c>
      <c r="Q239">
        <v>21.2</v>
      </c>
      <c r="R239">
        <v>97</v>
      </c>
      <c r="S239">
        <v>97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97</v>
      </c>
      <c r="AA239">
        <v>3</v>
      </c>
      <c r="AB239">
        <v>0</v>
      </c>
      <c r="AD239">
        <v>121.2</v>
      </c>
    </row>
    <row r="240" spans="1:30" x14ac:dyDescent="0.3">
      <c r="A240" s="4">
        <v>250</v>
      </c>
      <c r="B240" s="5">
        <v>233</v>
      </c>
      <c r="C240">
        <v>3172</v>
      </c>
      <c r="D240" t="s">
        <v>658</v>
      </c>
      <c r="E240" t="s">
        <v>454</v>
      </c>
      <c r="F240" t="s">
        <v>34</v>
      </c>
      <c r="G240" t="s">
        <v>659</v>
      </c>
      <c r="H240" t="str">
        <f>"00159641"</f>
        <v>00159641</v>
      </c>
      <c r="I240">
        <v>43.2</v>
      </c>
      <c r="J240">
        <v>0</v>
      </c>
      <c r="K240">
        <v>8</v>
      </c>
      <c r="N240">
        <v>8</v>
      </c>
      <c r="O240">
        <v>4</v>
      </c>
      <c r="P240">
        <v>2</v>
      </c>
      <c r="Q240">
        <v>57.2</v>
      </c>
      <c r="R240">
        <v>64</v>
      </c>
      <c r="S240">
        <v>64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64</v>
      </c>
      <c r="AA240">
        <v>0</v>
      </c>
      <c r="AB240">
        <v>0</v>
      </c>
      <c r="AD240">
        <v>121.2</v>
      </c>
    </row>
    <row r="241" spans="1:30" x14ac:dyDescent="0.3">
      <c r="A241" s="4">
        <v>251</v>
      </c>
      <c r="B241" s="5">
        <v>234</v>
      </c>
      <c r="C241">
        <v>4176</v>
      </c>
      <c r="D241" t="s">
        <v>660</v>
      </c>
      <c r="E241" t="s">
        <v>104</v>
      </c>
      <c r="F241" t="s">
        <v>34</v>
      </c>
      <c r="G241" t="s">
        <v>661</v>
      </c>
      <c r="H241" t="str">
        <f>"00532076"</f>
        <v>00532076</v>
      </c>
      <c r="I241">
        <v>36</v>
      </c>
      <c r="J241">
        <v>0</v>
      </c>
      <c r="K241">
        <v>8</v>
      </c>
      <c r="L241">
        <v>6</v>
      </c>
      <c r="N241">
        <v>14</v>
      </c>
      <c r="O241">
        <v>4</v>
      </c>
      <c r="P241">
        <v>0</v>
      </c>
      <c r="Q241">
        <v>54</v>
      </c>
      <c r="R241">
        <v>61</v>
      </c>
      <c r="S241">
        <v>61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61</v>
      </c>
      <c r="AA241">
        <v>6</v>
      </c>
      <c r="AB241">
        <v>0</v>
      </c>
      <c r="AD241">
        <v>121</v>
      </c>
    </row>
    <row r="242" spans="1:30" x14ac:dyDescent="0.3">
      <c r="A242" s="4">
        <v>252</v>
      </c>
      <c r="B242" s="5">
        <v>235</v>
      </c>
      <c r="C242">
        <v>4352</v>
      </c>
      <c r="D242" t="s">
        <v>549</v>
      </c>
      <c r="E242" t="s">
        <v>41</v>
      </c>
      <c r="F242" t="s">
        <v>62</v>
      </c>
      <c r="G242" t="s">
        <v>662</v>
      </c>
      <c r="H242" t="str">
        <f>"00223076"</f>
        <v>00223076</v>
      </c>
      <c r="I242">
        <v>36</v>
      </c>
      <c r="J242">
        <v>0</v>
      </c>
      <c r="L242">
        <v>6</v>
      </c>
      <c r="N242">
        <v>6</v>
      </c>
      <c r="O242">
        <v>4</v>
      </c>
      <c r="P242">
        <v>2</v>
      </c>
      <c r="Q242">
        <v>48</v>
      </c>
      <c r="R242">
        <v>67</v>
      </c>
      <c r="S242">
        <v>67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67</v>
      </c>
      <c r="AA242">
        <v>6</v>
      </c>
      <c r="AB242">
        <v>0</v>
      </c>
      <c r="AD242">
        <v>121</v>
      </c>
    </row>
    <row r="243" spans="1:30" x14ac:dyDescent="0.3">
      <c r="A243" s="4">
        <v>253</v>
      </c>
      <c r="B243" s="5">
        <v>236</v>
      </c>
      <c r="C243">
        <v>1510</v>
      </c>
      <c r="D243" t="s">
        <v>663</v>
      </c>
      <c r="E243" t="s">
        <v>29</v>
      </c>
      <c r="F243" t="s">
        <v>190</v>
      </c>
      <c r="G243" t="s">
        <v>664</v>
      </c>
      <c r="H243" t="str">
        <f>"00481113"</f>
        <v>00481113</v>
      </c>
      <c r="I243">
        <v>36</v>
      </c>
      <c r="J243">
        <v>0</v>
      </c>
      <c r="N243">
        <v>0</v>
      </c>
      <c r="O243">
        <v>4</v>
      </c>
      <c r="P243">
        <v>0</v>
      </c>
      <c r="Q243">
        <v>40</v>
      </c>
      <c r="R243">
        <v>78</v>
      </c>
      <c r="S243">
        <v>78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78</v>
      </c>
      <c r="AA243">
        <v>3</v>
      </c>
      <c r="AB243">
        <v>0</v>
      </c>
      <c r="AD243">
        <v>121</v>
      </c>
    </row>
    <row r="244" spans="1:30" x14ac:dyDescent="0.3">
      <c r="A244" s="4">
        <v>254</v>
      </c>
      <c r="B244" s="5">
        <v>237</v>
      </c>
      <c r="C244">
        <v>2786</v>
      </c>
      <c r="D244" t="s">
        <v>665</v>
      </c>
      <c r="E244" t="s">
        <v>22</v>
      </c>
      <c r="F244" t="s">
        <v>158</v>
      </c>
      <c r="G244" t="s">
        <v>666</v>
      </c>
      <c r="H244" t="str">
        <f>"00529743"</f>
        <v>00529743</v>
      </c>
      <c r="I244">
        <v>36</v>
      </c>
      <c r="J244">
        <v>0</v>
      </c>
      <c r="M244">
        <v>4</v>
      </c>
      <c r="N244">
        <v>4</v>
      </c>
      <c r="O244">
        <v>0</v>
      </c>
      <c r="P244">
        <v>0</v>
      </c>
      <c r="Q244">
        <v>40</v>
      </c>
      <c r="R244">
        <v>78</v>
      </c>
      <c r="S244">
        <v>78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78</v>
      </c>
      <c r="AA244">
        <v>3</v>
      </c>
      <c r="AB244">
        <v>0</v>
      </c>
      <c r="AD244">
        <v>121</v>
      </c>
    </row>
    <row r="245" spans="1:30" x14ac:dyDescent="0.3">
      <c r="A245" s="4">
        <v>255</v>
      </c>
      <c r="B245" s="5">
        <v>238</v>
      </c>
      <c r="C245">
        <v>2787</v>
      </c>
      <c r="D245" t="s">
        <v>93</v>
      </c>
      <c r="E245" t="s">
        <v>667</v>
      </c>
      <c r="F245" t="s">
        <v>343</v>
      </c>
      <c r="G245" t="s">
        <v>668</v>
      </c>
      <c r="H245" t="str">
        <f>"00529963"</f>
        <v>00529963</v>
      </c>
      <c r="I245">
        <v>72</v>
      </c>
      <c r="J245">
        <v>0</v>
      </c>
      <c r="K245">
        <v>8</v>
      </c>
      <c r="N245">
        <v>8</v>
      </c>
      <c r="O245">
        <v>4</v>
      </c>
      <c r="P245">
        <v>0</v>
      </c>
      <c r="Q245">
        <v>84</v>
      </c>
      <c r="R245">
        <v>37</v>
      </c>
      <c r="S245">
        <v>37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37</v>
      </c>
      <c r="AA245">
        <v>0</v>
      </c>
      <c r="AB245">
        <v>0</v>
      </c>
      <c r="AD245">
        <v>121</v>
      </c>
    </row>
    <row r="246" spans="1:30" x14ac:dyDescent="0.3">
      <c r="A246" s="4">
        <v>256</v>
      </c>
      <c r="B246" s="5">
        <v>239</v>
      </c>
      <c r="C246">
        <v>3312</v>
      </c>
      <c r="D246" t="s">
        <v>669</v>
      </c>
      <c r="E246" t="s">
        <v>97</v>
      </c>
      <c r="F246" t="s">
        <v>158</v>
      </c>
      <c r="G246" t="s">
        <v>670</v>
      </c>
      <c r="H246" t="str">
        <f>"00525294"</f>
        <v>00525294</v>
      </c>
      <c r="I246">
        <v>72</v>
      </c>
      <c r="J246">
        <v>0</v>
      </c>
      <c r="N246">
        <v>0</v>
      </c>
      <c r="O246">
        <v>0</v>
      </c>
      <c r="P246">
        <v>0</v>
      </c>
      <c r="Q246">
        <v>72</v>
      </c>
      <c r="R246">
        <v>49</v>
      </c>
      <c r="S246">
        <v>49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49</v>
      </c>
      <c r="AA246">
        <v>0</v>
      </c>
      <c r="AB246">
        <v>0</v>
      </c>
      <c r="AD246">
        <v>121</v>
      </c>
    </row>
    <row r="247" spans="1:30" x14ac:dyDescent="0.3">
      <c r="A247" s="4">
        <v>257</v>
      </c>
      <c r="B247" s="5">
        <v>240</v>
      </c>
      <c r="C247">
        <v>2761</v>
      </c>
      <c r="D247" t="s">
        <v>671</v>
      </c>
      <c r="E247" t="s">
        <v>471</v>
      </c>
      <c r="F247" t="s">
        <v>38</v>
      </c>
      <c r="G247" t="s">
        <v>672</v>
      </c>
      <c r="H247" t="str">
        <f>"201511018406"</f>
        <v>201511018406</v>
      </c>
      <c r="I247">
        <v>36</v>
      </c>
      <c r="J247">
        <v>10</v>
      </c>
      <c r="K247">
        <v>8</v>
      </c>
      <c r="N247">
        <v>8</v>
      </c>
      <c r="O247">
        <v>4</v>
      </c>
      <c r="P247">
        <v>2</v>
      </c>
      <c r="Q247">
        <v>60</v>
      </c>
      <c r="R247">
        <v>61</v>
      </c>
      <c r="S247">
        <v>61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61</v>
      </c>
      <c r="AA247">
        <v>0</v>
      </c>
      <c r="AB247">
        <v>0</v>
      </c>
      <c r="AD247">
        <v>121</v>
      </c>
    </row>
    <row r="248" spans="1:30" x14ac:dyDescent="0.3">
      <c r="A248" s="4">
        <v>258</v>
      </c>
      <c r="B248" s="5">
        <v>241</v>
      </c>
      <c r="C248">
        <v>1251</v>
      </c>
      <c r="D248" t="s">
        <v>673</v>
      </c>
      <c r="E248" t="s">
        <v>147</v>
      </c>
      <c r="F248" t="s">
        <v>38</v>
      </c>
      <c r="G248" t="s">
        <v>674</v>
      </c>
      <c r="H248" t="str">
        <f>"00532037"</f>
        <v>00532037</v>
      </c>
      <c r="I248">
        <v>64.8</v>
      </c>
      <c r="J248">
        <v>10</v>
      </c>
      <c r="K248">
        <v>8</v>
      </c>
      <c r="N248">
        <v>8</v>
      </c>
      <c r="O248">
        <v>4</v>
      </c>
      <c r="P248">
        <v>2</v>
      </c>
      <c r="Q248">
        <v>88.8</v>
      </c>
      <c r="R248">
        <v>26</v>
      </c>
      <c r="S248">
        <v>26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26</v>
      </c>
      <c r="AA248">
        <v>6</v>
      </c>
      <c r="AB248">
        <v>0</v>
      </c>
      <c r="AD248">
        <v>120.8</v>
      </c>
    </row>
    <row r="249" spans="1:30" x14ac:dyDescent="0.3">
      <c r="A249" s="4">
        <v>259</v>
      </c>
      <c r="B249" s="5">
        <v>242</v>
      </c>
      <c r="C249">
        <v>1744</v>
      </c>
      <c r="D249" t="s">
        <v>675</v>
      </c>
      <c r="E249" t="s">
        <v>208</v>
      </c>
      <c r="F249" t="s">
        <v>587</v>
      </c>
      <c r="G249" t="s">
        <v>676</v>
      </c>
      <c r="H249" t="str">
        <f>"00207437"</f>
        <v>00207437</v>
      </c>
      <c r="I249">
        <v>28.8</v>
      </c>
      <c r="J249">
        <v>10</v>
      </c>
      <c r="K249">
        <v>8</v>
      </c>
      <c r="N249">
        <v>8</v>
      </c>
      <c r="O249">
        <v>4</v>
      </c>
      <c r="P249">
        <v>2</v>
      </c>
      <c r="Q249">
        <v>52.8</v>
      </c>
      <c r="R249">
        <v>62</v>
      </c>
      <c r="S249">
        <v>62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62</v>
      </c>
      <c r="AA249">
        <v>6</v>
      </c>
      <c r="AB249">
        <v>0</v>
      </c>
      <c r="AD249">
        <v>120.8</v>
      </c>
    </row>
    <row r="250" spans="1:30" x14ac:dyDescent="0.3">
      <c r="A250" s="4">
        <v>260</v>
      </c>
      <c r="B250" s="5">
        <v>243</v>
      </c>
      <c r="C250">
        <v>2233</v>
      </c>
      <c r="D250" t="s">
        <v>677</v>
      </c>
      <c r="E250" t="s">
        <v>41</v>
      </c>
      <c r="F250" t="s">
        <v>91</v>
      </c>
      <c r="G250" t="s">
        <v>678</v>
      </c>
      <c r="H250" t="str">
        <f>"00441835"</f>
        <v>00441835</v>
      </c>
      <c r="I250">
        <v>64.8</v>
      </c>
      <c r="J250">
        <v>10</v>
      </c>
      <c r="M250">
        <v>4</v>
      </c>
      <c r="N250">
        <v>4</v>
      </c>
      <c r="O250">
        <v>4</v>
      </c>
      <c r="P250">
        <v>2</v>
      </c>
      <c r="Q250">
        <v>84.8</v>
      </c>
      <c r="R250">
        <v>36</v>
      </c>
      <c r="S250">
        <v>36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36</v>
      </c>
      <c r="AA250">
        <v>0</v>
      </c>
      <c r="AB250">
        <v>0</v>
      </c>
      <c r="AD250">
        <v>120.8</v>
      </c>
    </row>
    <row r="251" spans="1:30" x14ac:dyDescent="0.3">
      <c r="A251" s="4">
        <v>261</v>
      </c>
      <c r="B251" s="5">
        <v>244</v>
      </c>
      <c r="C251">
        <v>2848</v>
      </c>
      <c r="D251" t="s">
        <v>74</v>
      </c>
      <c r="E251" t="s">
        <v>178</v>
      </c>
      <c r="F251" t="s">
        <v>30</v>
      </c>
      <c r="G251" t="s">
        <v>679</v>
      </c>
      <c r="H251" t="str">
        <f>"00441919"</f>
        <v>00441919</v>
      </c>
      <c r="I251">
        <v>28.8</v>
      </c>
      <c r="J251">
        <v>10</v>
      </c>
      <c r="L251">
        <v>6</v>
      </c>
      <c r="N251">
        <v>6</v>
      </c>
      <c r="O251">
        <v>4</v>
      </c>
      <c r="P251">
        <v>2</v>
      </c>
      <c r="Q251">
        <v>50.8</v>
      </c>
      <c r="R251">
        <v>70</v>
      </c>
      <c r="S251">
        <v>70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70</v>
      </c>
      <c r="AA251">
        <v>0</v>
      </c>
      <c r="AB251">
        <v>0</v>
      </c>
      <c r="AD251">
        <v>120.8</v>
      </c>
    </row>
    <row r="252" spans="1:30" x14ac:dyDescent="0.3">
      <c r="A252" s="4">
        <v>262</v>
      </c>
      <c r="B252" s="5">
        <v>245</v>
      </c>
      <c r="C252">
        <v>4030</v>
      </c>
      <c r="D252" t="s">
        <v>680</v>
      </c>
      <c r="E252" t="s">
        <v>516</v>
      </c>
      <c r="F252" t="s">
        <v>62</v>
      </c>
      <c r="G252" t="s">
        <v>681</v>
      </c>
      <c r="H252" t="str">
        <f>"00527227"</f>
        <v>00527227</v>
      </c>
      <c r="I252">
        <v>34.56</v>
      </c>
      <c r="J252">
        <v>10</v>
      </c>
      <c r="M252">
        <v>4</v>
      </c>
      <c r="N252">
        <v>4</v>
      </c>
      <c r="O252">
        <v>4</v>
      </c>
      <c r="P252">
        <v>0</v>
      </c>
      <c r="Q252">
        <v>52.56</v>
      </c>
      <c r="R252">
        <v>62</v>
      </c>
      <c r="S252">
        <v>62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62</v>
      </c>
      <c r="AA252">
        <v>6</v>
      </c>
      <c r="AB252">
        <v>0</v>
      </c>
      <c r="AD252">
        <v>120.56</v>
      </c>
    </row>
    <row r="253" spans="1:30" x14ac:dyDescent="0.3">
      <c r="A253" s="4">
        <v>263</v>
      </c>
      <c r="B253" s="5">
        <v>246</v>
      </c>
      <c r="C253">
        <v>206</v>
      </c>
      <c r="D253" t="s">
        <v>682</v>
      </c>
      <c r="E253" t="s">
        <v>29</v>
      </c>
      <c r="F253" t="s">
        <v>136</v>
      </c>
      <c r="G253" t="s">
        <v>683</v>
      </c>
      <c r="H253" t="str">
        <f>"00519828"</f>
        <v>00519828</v>
      </c>
      <c r="I253">
        <v>35.479999999999997</v>
      </c>
      <c r="J253">
        <v>10</v>
      </c>
      <c r="K253">
        <v>8</v>
      </c>
      <c r="N253">
        <v>8</v>
      </c>
      <c r="O253">
        <v>4</v>
      </c>
      <c r="P253">
        <v>2</v>
      </c>
      <c r="Q253">
        <v>59.48</v>
      </c>
      <c r="R253">
        <v>58</v>
      </c>
      <c r="S253">
        <v>58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58</v>
      </c>
      <c r="AA253">
        <v>3</v>
      </c>
      <c r="AB253">
        <v>0</v>
      </c>
      <c r="AD253">
        <v>120.48</v>
      </c>
    </row>
    <row r="254" spans="1:30" x14ac:dyDescent="0.3">
      <c r="A254" s="4">
        <v>264</v>
      </c>
      <c r="B254" s="5">
        <v>247</v>
      </c>
      <c r="C254">
        <v>1693</v>
      </c>
      <c r="D254" t="s">
        <v>684</v>
      </c>
      <c r="E254" t="s">
        <v>37</v>
      </c>
      <c r="F254" t="s">
        <v>343</v>
      </c>
      <c r="G254" t="s">
        <v>685</v>
      </c>
      <c r="H254" t="str">
        <f>"00477777"</f>
        <v>00477777</v>
      </c>
      <c r="I254">
        <v>50.4</v>
      </c>
      <c r="J254">
        <v>10</v>
      </c>
      <c r="K254">
        <v>8</v>
      </c>
      <c r="N254">
        <v>8</v>
      </c>
      <c r="O254">
        <v>4</v>
      </c>
      <c r="P254">
        <v>2</v>
      </c>
      <c r="Q254">
        <v>74.400000000000006</v>
      </c>
      <c r="R254">
        <v>43</v>
      </c>
      <c r="S254">
        <v>43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43</v>
      </c>
      <c r="AA254">
        <v>3</v>
      </c>
      <c r="AB254">
        <v>0</v>
      </c>
      <c r="AD254">
        <v>120.4</v>
      </c>
    </row>
    <row r="255" spans="1:30" x14ac:dyDescent="0.3">
      <c r="A255" s="4">
        <v>265</v>
      </c>
      <c r="B255" s="5">
        <v>248</v>
      </c>
      <c r="C255">
        <v>2797</v>
      </c>
      <c r="D255" t="s">
        <v>686</v>
      </c>
      <c r="E255" t="s">
        <v>54</v>
      </c>
      <c r="F255" t="s">
        <v>687</v>
      </c>
      <c r="G255" t="s">
        <v>688</v>
      </c>
      <c r="H255" t="str">
        <f>"00512365"</f>
        <v>00512365</v>
      </c>
      <c r="I255">
        <v>43.2</v>
      </c>
      <c r="J255">
        <v>10</v>
      </c>
      <c r="L255">
        <v>6</v>
      </c>
      <c r="N255">
        <v>6</v>
      </c>
      <c r="O255">
        <v>4</v>
      </c>
      <c r="P255">
        <v>2</v>
      </c>
      <c r="Q255">
        <v>65.2</v>
      </c>
      <c r="R255">
        <v>55</v>
      </c>
      <c r="S255">
        <v>55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55</v>
      </c>
      <c r="AA255">
        <v>0</v>
      </c>
      <c r="AB255">
        <v>0</v>
      </c>
      <c r="AD255">
        <v>120.2</v>
      </c>
    </row>
    <row r="256" spans="1:30" x14ac:dyDescent="0.3">
      <c r="A256" s="4">
        <v>266</v>
      </c>
      <c r="B256" s="5">
        <v>249</v>
      </c>
      <c r="C256">
        <v>1129</v>
      </c>
      <c r="D256" t="s">
        <v>689</v>
      </c>
      <c r="E256" t="s">
        <v>166</v>
      </c>
      <c r="F256" t="s">
        <v>136</v>
      </c>
      <c r="G256" t="s">
        <v>690</v>
      </c>
      <c r="H256" t="str">
        <f>"00511302"</f>
        <v>00511302</v>
      </c>
      <c r="I256">
        <v>43.2</v>
      </c>
      <c r="J256">
        <v>10</v>
      </c>
      <c r="N256">
        <v>0</v>
      </c>
      <c r="O256">
        <v>4</v>
      </c>
      <c r="P256">
        <v>0</v>
      </c>
      <c r="Q256">
        <v>57.2</v>
      </c>
      <c r="R256">
        <v>63</v>
      </c>
      <c r="S256">
        <v>63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63</v>
      </c>
      <c r="AA256">
        <v>0</v>
      </c>
      <c r="AB256">
        <v>0</v>
      </c>
      <c r="AD256">
        <v>120.2</v>
      </c>
    </row>
    <row r="257" spans="1:30" x14ac:dyDescent="0.3">
      <c r="A257" s="4">
        <v>267</v>
      </c>
      <c r="B257" s="5">
        <v>250</v>
      </c>
      <c r="C257">
        <v>3552</v>
      </c>
      <c r="D257" t="s">
        <v>691</v>
      </c>
      <c r="E257" t="s">
        <v>692</v>
      </c>
      <c r="F257" t="s">
        <v>81</v>
      </c>
      <c r="G257" t="s">
        <v>693</v>
      </c>
      <c r="H257" t="str">
        <f>"00509195"</f>
        <v>00509195</v>
      </c>
      <c r="I257">
        <v>31.16</v>
      </c>
      <c r="J257">
        <v>0</v>
      </c>
      <c r="K257">
        <v>8</v>
      </c>
      <c r="L257">
        <v>6</v>
      </c>
      <c r="N257">
        <v>14</v>
      </c>
      <c r="O257">
        <v>4</v>
      </c>
      <c r="P257">
        <v>0</v>
      </c>
      <c r="Q257">
        <v>49.16</v>
      </c>
      <c r="R257">
        <v>68</v>
      </c>
      <c r="S257">
        <v>68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68</v>
      </c>
      <c r="AA257">
        <v>3</v>
      </c>
      <c r="AB257">
        <v>0</v>
      </c>
      <c r="AD257">
        <v>120.16</v>
      </c>
    </row>
    <row r="258" spans="1:30" x14ac:dyDescent="0.3">
      <c r="A258" s="4">
        <v>268</v>
      </c>
      <c r="B258" s="5">
        <v>251</v>
      </c>
      <c r="C258">
        <v>1664</v>
      </c>
      <c r="D258" t="s">
        <v>694</v>
      </c>
      <c r="E258" t="s">
        <v>29</v>
      </c>
      <c r="F258" t="s">
        <v>81</v>
      </c>
      <c r="G258" t="s">
        <v>695</v>
      </c>
      <c r="H258" t="str">
        <f>"201511020226"</f>
        <v>201511020226</v>
      </c>
      <c r="I258">
        <v>36</v>
      </c>
      <c r="J258">
        <v>10</v>
      </c>
      <c r="K258">
        <v>8</v>
      </c>
      <c r="N258">
        <v>8</v>
      </c>
      <c r="O258">
        <v>4</v>
      </c>
      <c r="P258">
        <v>2</v>
      </c>
      <c r="Q258">
        <v>60</v>
      </c>
      <c r="R258">
        <v>60</v>
      </c>
      <c r="S258">
        <v>60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60</v>
      </c>
      <c r="AA258">
        <v>0</v>
      </c>
      <c r="AB258">
        <v>0</v>
      </c>
      <c r="AD258">
        <v>120</v>
      </c>
    </row>
    <row r="259" spans="1:30" x14ac:dyDescent="0.3">
      <c r="A259" s="4">
        <v>269</v>
      </c>
      <c r="B259" s="5">
        <v>252</v>
      </c>
      <c r="C259">
        <v>2584</v>
      </c>
      <c r="D259" t="s">
        <v>696</v>
      </c>
      <c r="E259" t="s">
        <v>697</v>
      </c>
      <c r="F259" t="s">
        <v>171</v>
      </c>
      <c r="G259" t="s">
        <v>698</v>
      </c>
      <c r="H259" t="str">
        <f>"00499006"</f>
        <v>00499006</v>
      </c>
      <c r="I259">
        <v>64.8</v>
      </c>
      <c r="J259">
        <v>0</v>
      </c>
      <c r="K259">
        <v>8</v>
      </c>
      <c r="M259">
        <v>4</v>
      </c>
      <c r="N259">
        <v>12</v>
      </c>
      <c r="O259">
        <v>4</v>
      </c>
      <c r="P259">
        <v>2</v>
      </c>
      <c r="Q259">
        <v>82.8</v>
      </c>
      <c r="R259">
        <v>37</v>
      </c>
      <c r="S259">
        <v>37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37</v>
      </c>
      <c r="AA259">
        <v>0</v>
      </c>
      <c r="AB259">
        <v>0</v>
      </c>
      <c r="AD259">
        <v>119.8</v>
      </c>
    </row>
    <row r="260" spans="1:30" x14ac:dyDescent="0.3">
      <c r="A260" s="4">
        <v>270</v>
      </c>
      <c r="B260" s="5">
        <v>253</v>
      </c>
      <c r="C260">
        <v>1175</v>
      </c>
      <c r="D260" t="s">
        <v>699</v>
      </c>
      <c r="E260" t="s">
        <v>213</v>
      </c>
      <c r="F260" t="s">
        <v>79</v>
      </c>
      <c r="G260" t="s">
        <v>700</v>
      </c>
      <c r="H260" t="str">
        <f>"00512570"</f>
        <v>00512570</v>
      </c>
      <c r="I260">
        <v>64.8</v>
      </c>
      <c r="J260">
        <v>0</v>
      </c>
      <c r="K260">
        <v>8</v>
      </c>
      <c r="M260">
        <v>4</v>
      </c>
      <c r="N260">
        <v>12</v>
      </c>
      <c r="O260">
        <v>4</v>
      </c>
      <c r="P260">
        <v>2</v>
      </c>
      <c r="Q260">
        <v>82.8</v>
      </c>
      <c r="R260">
        <v>37</v>
      </c>
      <c r="S260">
        <v>37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37</v>
      </c>
      <c r="AA260">
        <v>0</v>
      </c>
      <c r="AB260">
        <v>0</v>
      </c>
      <c r="AD260">
        <v>119.8</v>
      </c>
    </row>
    <row r="261" spans="1:30" x14ac:dyDescent="0.3">
      <c r="A261" s="4">
        <v>271</v>
      </c>
      <c r="B261" s="5">
        <v>254</v>
      </c>
      <c r="C261">
        <v>1893</v>
      </c>
      <c r="D261" t="s">
        <v>701</v>
      </c>
      <c r="E261" t="s">
        <v>208</v>
      </c>
      <c r="F261" t="s">
        <v>230</v>
      </c>
      <c r="G261" t="s">
        <v>702</v>
      </c>
      <c r="H261" t="str">
        <f>"201511039246"</f>
        <v>201511039246</v>
      </c>
      <c r="I261">
        <v>33.799999999999997</v>
      </c>
      <c r="J261">
        <v>10</v>
      </c>
      <c r="K261">
        <v>8</v>
      </c>
      <c r="N261">
        <v>8</v>
      </c>
      <c r="O261">
        <v>4</v>
      </c>
      <c r="P261">
        <v>2</v>
      </c>
      <c r="Q261">
        <v>57.8</v>
      </c>
      <c r="R261">
        <v>62</v>
      </c>
      <c r="S261">
        <v>62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62</v>
      </c>
      <c r="AA261">
        <v>0</v>
      </c>
      <c r="AB261">
        <v>0</v>
      </c>
      <c r="AD261">
        <v>119.8</v>
      </c>
    </row>
    <row r="262" spans="1:30" x14ac:dyDescent="0.3">
      <c r="A262" s="4">
        <v>272</v>
      </c>
      <c r="B262" s="5">
        <v>255</v>
      </c>
      <c r="C262">
        <v>817</v>
      </c>
      <c r="D262" t="s">
        <v>703</v>
      </c>
      <c r="E262" t="s">
        <v>41</v>
      </c>
      <c r="F262" t="s">
        <v>539</v>
      </c>
      <c r="G262" t="s">
        <v>704</v>
      </c>
      <c r="H262" t="str">
        <f>"201406004051"</f>
        <v>201406004051</v>
      </c>
      <c r="I262">
        <v>39.6</v>
      </c>
      <c r="J262">
        <v>10</v>
      </c>
      <c r="L262">
        <v>6</v>
      </c>
      <c r="N262">
        <v>6</v>
      </c>
      <c r="O262">
        <v>4</v>
      </c>
      <c r="P262">
        <v>2</v>
      </c>
      <c r="Q262">
        <v>61.6</v>
      </c>
      <c r="R262">
        <v>49</v>
      </c>
      <c r="S262">
        <v>49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49</v>
      </c>
      <c r="AA262">
        <v>9</v>
      </c>
      <c r="AB262">
        <v>0</v>
      </c>
      <c r="AD262">
        <v>119.6</v>
      </c>
    </row>
    <row r="263" spans="1:30" x14ac:dyDescent="0.3">
      <c r="A263" s="4">
        <v>273</v>
      </c>
      <c r="B263" s="5">
        <v>256</v>
      </c>
      <c r="C263">
        <v>761</v>
      </c>
      <c r="D263" t="s">
        <v>705</v>
      </c>
      <c r="E263" t="s">
        <v>166</v>
      </c>
      <c r="F263" t="s">
        <v>38</v>
      </c>
      <c r="G263" t="s">
        <v>706</v>
      </c>
      <c r="H263" t="str">
        <f>"00480029"</f>
        <v>00480029</v>
      </c>
      <c r="I263">
        <v>36.6</v>
      </c>
      <c r="J263">
        <v>10</v>
      </c>
      <c r="N263">
        <v>0</v>
      </c>
      <c r="O263">
        <v>4</v>
      </c>
      <c r="P263">
        <v>2</v>
      </c>
      <c r="Q263">
        <v>52.6</v>
      </c>
      <c r="R263">
        <v>61</v>
      </c>
      <c r="S263">
        <v>61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61</v>
      </c>
      <c r="AA263">
        <v>6</v>
      </c>
      <c r="AB263">
        <v>0</v>
      </c>
      <c r="AD263">
        <v>119.6</v>
      </c>
    </row>
    <row r="264" spans="1:30" x14ac:dyDescent="0.3">
      <c r="A264" s="4">
        <v>274</v>
      </c>
      <c r="B264" s="5">
        <v>257</v>
      </c>
      <c r="C264">
        <v>4500</v>
      </c>
      <c r="D264" t="s">
        <v>549</v>
      </c>
      <c r="E264" t="s">
        <v>97</v>
      </c>
      <c r="F264" t="s">
        <v>30</v>
      </c>
      <c r="G264" t="s">
        <v>707</v>
      </c>
      <c r="H264" t="str">
        <f>"200801002316"</f>
        <v>200801002316</v>
      </c>
      <c r="I264">
        <v>21.6</v>
      </c>
      <c r="J264">
        <v>10</v>
      </c>
      <c r="M264">
        <v>4</v>
      </c>
      <c r="N264">
        <v>4</v>
      </c>
      <c r="O264">
        <v>4</v>
      </c>
      <c r="P264">
        <v>0</v>
      </c>
      <c r="Q264">
        <v>39.6</v>
      </c>
      <c r="R264">
        <v>80</v>
      </c>
      <c r="S264">
        <v>80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80</v>
      </c>
      <c r="AA264">
        <v>0</v>
      </c>
      <c r="AB264">
        <v>0</v>
      </c>
      <c r="AD264">
        <v>119.6</v>
      </c>
    </row>
    <row r="265" spans="1:30" x14ac:dyDescent="0.3">
      <c r="A265" s="4">
        <v>275</v>
      </c>
      <c r="B265" s="5">
        <v>258</v>
      </c>
      <c r="C265">
        <v>3774</v>
      </c>
      <c r="D265" t="s">
        <v>708</v>
      </c>
      <c r="E265" t="s">
        <v>479</v>
      </c>
      <c r="F265" t="s">
        <v>709</v>
      </c>
      <c r="G265" t="s">
        <v>710</v>
      </c>
      <c r="H265" t="str">
        <f>"00529880"</f>
        <v>00529880</v>
      </c>
      <c r="I265">
        <v>50.4</v>
      </c>
      <c r="J265">
        <v>10</v>
      </c>
      <c r="M265">
        <v>4</v>
      </c>
      <c r="N265">
        <v>4</v>
      </c>
      <c r="O265">
        <v>4</v>
      </c>
      <c r="P265">
        <v>2</v>
      </c>
      <c r="Q265">
        <v>70.400000000000006</v>
      </c>
      <c r="R265">
        <v>43</v>
      </c>
      <c r="S265">
        <v>43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43</v>
      </c>
      <c r="AA265">
        <v>6</v>
      </c>
      <c r="AB265">
        <v>0</v>
      </c>
      <c r="AD265">
        <v>119.4</v>
      </c>
    </row>
    <row r="266" spans="1:30" x14ac:dyDescent="0.3">
      <c r="A266" s="4">
        <v>276</v>
      </c>
      <c r="B266" s="5">
        <v>259</v>
      </c>
      <c r="C266">
        <v>4788</v>
      </c>
      <c r="D266" t="s">
        <v>711</v>
      </c>
      <c r="E266" t="s">
        <v>712</v>
      </c>
      <c r="F266" t="s">
        <v>20</v>
      </c>
      <c r="G266" t="s">
        <v>713</v>
      </c>
      <c r="H266" t="str">
        <f>"00442359"</f>
        <v>00442359</v>
      </c>
      <c r="I266">
        <v>14.4</v>
      </c>
      <c r="J266">
        <v>0</v>
      </c>
      <c r="K266">
        <v>8</v>
      </c>
      <c r="N266">
        <v>8</v>
      </c>
      <c r="O266">
        <v>4</v>
      </c>
      <c r="P266">
        <v>0</v>
      </c>
      <c r="Q266">
        <v>26.4</v>
      </c>
      <c r="R266">
        <v>90</v>
      </c>
      <c r="S266">
        <v>90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90</v>
      </c>
      <c r="AA266">
        <v>3</v>
      </c>
      <c r="AB266">
        <v>0</v>
      </c>
      <c r="AD266">
        <v>119.4</v>
      </c>
    </row>
    <row r="267" spans="1:30" x14ac:dyDescent="0.3">
      <c r="A267" s="4">
        <v>277</v>
      </c>
      <c r="B267" s="5">
        <v>260</v>
      </c>
      <c r="C267">
        <v>2473</v>
      </c>
      <c r="D267" t="s">
        <v>714</v>
      </c>
      <c r="E267" t="s">
        <v>88</v>
      </c>
      <c r="F267" t="s">
        <v>715</v>
      </c>
      <c r="G267" t="s">
        <v>716</v>
      </c>
      <c r="H267" t="str">
        <f>"201603000086"</f>
        <v>201603000086</v>
      </c>
      <c r="I267">
        <v>50.4</v>
      </c>
      <c r="J267">
        <v>10</v>
      </c>
      <c r="K267">
        <v>8</v>
      </c>
      <c r="N267">
        <v>8</v>
      </c>
      <c r="O267">
        <v>4</v>
      </c>
      <c r="P267">
        <v>2</v>
      </c>
      <c r="Q267">
        <v>74.400000000000006</v>
      </c>
      <c r="R267">
        <v>45</v>
      </c>
      <c r="S267">
        <v>45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45</v>
      </c>
      <c r="AA267">
        <v>0</v>
      </c>
      <c r="AB267">
        <v>0</v>
      </c>
      <c r="AD267">
        <v>119.4</v>
      </c>
    </row>
    <row r="268" spans="1:30" x14ac:dyDescent="0.3">
      <c r="A268" s="4">
        <v>278</v>
      </c>
      <c r="B268" s="5">
        <v>261</v>
      </c>
      <c r="C268">
        <v>4645</v>
      </c>
      <c r="D268" t="s">
        <v>717</v>
      </c>
      <c r="E268" t="s">
        <v>54</v>
      </c>
      <c r="F268" t="s">
        <v>17</v>
      </c>
      <c r="G268" t="s">
        <v>718</v>
      </c>
      <c r="H268" t="str">
        <f>"00517020"</f>
        <v>00517020</v>
      </c>
      <c r="I268">
        <v>50.4</v>
      </c>
      <c r="J268">
        <v>0</v>
      </c>
      <c r="M268">
        <v>8</v>
      </c>
      <c r="N268">
        <v>8</v>
      </c>
      <c r="O268">
        <v>4</v>
      </c>
      <c r="P268">
        <v>2</v>
      </c>
      <c r="Q268">
        <v>64.400000000000006</v>
      </c>
      <c r="R268">
        <v>55</v>
      </c>
      <c r="S268">
        <v>55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55</v>
      </c>
      <c r="AA268">
        <v>0</v>
      </c>
      <c r="AB268">
        <v>0</v>
      </c>
      <c r="AD268">
        <v>119.4</v>
      </c>
    </row>
    <row r="269" spans="1:30" x14ac:dyDescent="0.3">
      <c r="A269" s="4">
        <v>279</v>
      </c>
      <c r="B269" s="5">
        <v>262</v>
      </c>
      <c r="C269">
        <v>2090</v>
      </c>
      <c r="D269" t="s">
        <v>719</v>
      </c>
      <c r="E269" t="s">
        <v>182</v>
      </c>
      <c r="F269" t="s">
        <v>17</v>
      </c>
      <c r="G269" t="s">
        <v>720</v>
      </c>
      <c r="H269" t="str">
        <f>"00505102"</f>
        <v>00505102</v>
      </c>
      <c r="I269">
        <v>7.2</v>
      </c>
      <c r="J269">
        <v>0</v>
      </c>
      <c r="K269">
        <v>8</v>
      </c>
      <c r="N269">
        <v>8</v>
      </c>
      <c r="O269">
        <v>4</v>
      </c>
      <c r="P269">
        <v>2</v>
      </c>
      <c r="Q269">
        <v>21.2</v>
      </c>
      <c r="R269">
        <v>98</v>
      </c>
      <c r="S269">
        <v>98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98</v>
      </c>
      <c r="AA269">
        <v>0</v>
      </c>
      <c r="AB269">
        <v>0</v>
      </c>
      <c r="AD269">
        <v>119.2</v>
      </c>
    </row>
    <row r="270" spans="1:30" x14ac:dyDescent="0.3">
      <c r="A270" s="4">
        <v>280</v>
      </c>
      <c r="B270" s="5">
        <v>263</v>
      </c>
      <c r="C270">
        <v>1061</v>
      </c>
      <c r="D270" t="s">
        <v>721</v>
      </c>
      <c r="E270" t="s">
        <v>722</v>
      </c>
      <c r="F270" t="s">
        <v>723</v>
      </c>
      <c r="G270" t="s">
        <v>724</v>
      </c>
      <c r="H270" t="str">
        <f>"00442084"</f>
        <v>00442084</v>
      </c>
      <c r="I270">
        <v>0</v>
      </c>
      <c r="J270">
        <v>0</v>
      </c>
      <c r="K270">
        <v>8</v>
      </c>
      <c r="N270">
        <v>8</v>
      </c>
      <c r="O270">
        <v>4</v>
      </c>
      <c r="P270">
        <v>2</v>
      </c>
      <c r="Q270">
        <v>14</v>
      </c>
      <c r="R270">
        <v>96</v>
      </c>
      <c r="S270">
        <v>96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96</v>
      </c>
      <c r="AA270">
        <v>9</v>
      </c>
      <c r="AB270">
        <v>0</v>
      </c>
      <c r="AD270">
        <v>119</v>
      </c>
    </row>
    <row r="271" spans="1:30" x14ac:dyDescent="0.3">
      <c r="A271" s="4">
        <v>281</v>
      </c>
      <c r="B271" s="5">
        <v>264</v>
      </c>
      <c r="C271">
        <v>4106</v>
      </c>
      <c r="D271" t="s">
        <v>725</v>
      </c>
      <c r="E271" t="s">
        <v>283</v>
      </c>
      <c r="F271" t="s">
        <v>55</v>
      </c>
      <c r="G271" t="s">
        <v>726</v>
      </c>
      <c r="H271" t="str">
        <f>"00530156"</f>
        <v>00530156</v>
      </c>
      <c r="I271">
        <v>32</v>
      </c>
      <c r="J271">
        <v>0</v>
      </c>
      <c r="M271">
        <v>4</v>
      </c>
      <c r="N271">
        <v>4</v>
      </c>
      <c r="O271">
        <v>4</v>
      </c>
      <c r="P271">
        <v>2</v>
      </c>
      <c r="Q271">
        <v>42</v>
      </c>
      <c r="R271">
        <v>71</v>
      </c>
      <c r="S271">
        <v>71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71</v>
      </c>
      <c r="AA271">
        <v>6</v>
      </c>
      <c r="AB271">
        <v>0</v>
      </c>
      <c r="AD271">
        <v>119</v>
      </c>
    </row>
    <row r="272" spans="1:30" x14ac:dyDescent="0.3">
      <c r="A272" s="4">
        <v>282</v>
      </c>
      <c r="B272" s="5">
        <v>265</v>
      </c>
      <c r="C272">
        <v>4951</v>
      </c>
      <c r="D272" t="s">
        <v>727</v>
      </c>
      <c r="E272" t="s">
        <v>182</v>
      </c>
      <c r="F272" t="s">
        <v>38</v>
      </c>
      <c r="G272" t="s">
        <v>728</v>
      </c>
      <c r="H272" t="str">
        <f>"00147619"</f>
        <v>00147619</v>
      </c>
      <c r="I272">
        <v>64.8</v>
      </c>
      <c r="J272">
        <v>10</v>
      </c>
      <c r="M272">
        <v>4</v>
      </c>
      <c r="N272">
        <v>4</v>
      </c>
      <c r="O272">
        <v>4</v>
      </c>
      <c r="P272">
        <v>2</v>
      </c>
      <c r="Q272">
        <v>84.8</v>
      </c>
      <c r="R272">
        <v>31</v>
      </c>
      <c r="S272">
        <v>31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31</v>
      </c>
      <c r="AA272">
        <v>3</v>
      </c>
      <c r="AB272">
        <v>0</v>
      </c>
      <c r="AD272">
        <v>118.8</v>
      </c>
    </row>
    <row r="273" spans="1:30" x14ac:dyDescent="0.3">
      <c r="A273" s="4">
        <v>283</v>
      </c>
      <c r="B273" s="5">
        <v>266</v>
      </c>
      <c r="C273">
        <v>1091</v>
      </c>
      <c r="D273" t="s">
        <v>729</v>
      </c>
      <c r="E273" t="s">
        <v>147</v>
      </c>
      <c r="F273" t="s">
        <v>34</v>
      </c>
      <c r="G273" t="s">
        <v>730</v>
      </c>
      <c r="H273" t="str">
        <f>"201511032804"</f>
        <v>201511032804</v>
      </c>
      <c r="I273">
        <v>64.8</v>
      </c>
      <c r="J273">
        <v>10</v>
      </c>
      <c r="N273">
        <v>0</v>
      </c>
      <c r="O273">
        <v>4</v>
      </c>
      <c r="P273">
        <v>2</v>
      </c>
      <c r="Q273">
        <v>80.8</v>
      </c>
      <c r="R273">
        <v>35</v>
      </c>
      <c r="S273">
        <v>35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35</v>
      </c>
      <c r="AA273">
        <v>3</v>
      </c>
      <c r="AB273">
        <v>0</v>
      </c>
      <c r="AD273">
        <v>118.8</v>
      </c>
    </row>
    <row r="274" spans="1:30" x14ac:dyDescent="0.3">
      <c r="A274" s="4">
        <v>284</v>
      </c>
      <c r="B274" s="5">
        <v>267</v>
      </c>
      <c r="C274">
        <v>1171</v>
      </c>
      <c r="D274" t="s">
        <v>731</v>
      </c>
      <c r="E274" t="s">
        <v>29</v>
      </c>
      <c r="F274" t="s">
        <v>136</v>
      </c>
      <c r="G274" t="s">
        <v>732</v>
      </c>
      <c r="H274" t="str">
        <f>"00505343"</f>
        <v>00505343</v>
      </c>
      <c r="I274">
        <v>57.6</v>
      </c>
      <c r="J274">
        <v>0</v>
      </c>
      <c r="K274">
        <v>8</v>
      </c>
      <c r="M274">
        <v>4</v>
      </c>
      <c r="N274">
        <v>12</v>
      </c>
      <c r="O274">
        <v>4</v>
      </c>
      <c r="P274">
        <v>2</v>
      </c>
      <c r="Q274">
        <v>75.599999999999994</v>
      </c>
      <c r="R274">
        <v>37</v>
      </c>
      <c r="S274">
        <v>37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37</v>
      </c>
      <c r="AA274">
        <v>6</v>
      </c>
      <c r="AB274">
        <v>0</v>
      </c>
      <c r="AD274">
        <v>118.6</v>
      </c>
    </row>
    <row r="275" spans="1:30" x14ac:dyDescent="0.3">
      <c r="A275" s="4">
        <v>285</v>
      </c>
      <c r="B275" s="5">
        <v>268</v>
      </c>
      <c r="C275">
        <v>2651</v>
      </c>
      <c r="D275" t="s">
        <v>733</v>
      </c>
      <c r="E275" t="s">
        <v>636</v>
      </c>
      <c r="F275" t="s">
        <v>52</v>
      </c>
      <c r="G275" t="s">
        <v>734</v>
      </c>
      <c r="H275" t="str">
        <f>"00162235"</f>
        <v>00162235</v>
      </c>
      <c r="I275">
        <v>21.6</v>
      </c>
      <c r="J275">
        <v>0</v>
      </c>
      <c r="M275">
        <v>4</v>
      </c>
      <c r="N275">
        <v>4</v>
      </c>
      <c r="O275">
        <v>0</v>
      </c>
      <c r="P275">
        <v>2</v>
      </c>
      <c r="Q275">
        <v>27.6</v>
      </c>
      <c r="R275">
        <v>88</v>
      </c>
      <c r="S275">
        <v>88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88</v>
      </c>
      <c r="AA275">
        <v>3</v>
      </c>
      <c r="AB275">
        <v>0</v>
      </c>
      <c r="AD275">
        <v>118.6</v>
      </c>
    </row>
    <row r="276" spans="1:30" x14ac:dyDescent="0.3">
      <c r="A276" s="4">
        <v>286</v>
      </c>
      <c r="B276" s="5">
        <v>269</v>
      </c>
      <c r="C276">
        <v>3884</v>
      </c>
      <c r="D276" t="s">
        <v>735</v>
      </c>
      <c r="E276" t="s">
        <v>29</v>
      </c>
      <c r="F276" t="s">
        <v>117</v>
      </c>
      <c r="G276" t="s">
        <v>736</v>
      </c>
      <c r="H276" t="str">
        <f>"00480146"</f>
        <v>00480146</v>
      </c>
      <c r="I276">
        <v>38.24</v>
      </c>
      <c r="J276">
        <v>10</v>
      </c>
      <c r="K276">
        <v>8</v>
      </c>
      <c r="N276">
        <v>8</v>
      </c>
      <c r="O276">
        <v>4</v>
      </c>
      <c r="P276">
        <v>2</v>
      </c>
      <c r="Q276">
        <v>62.24</v>
      </c>
      <c r="R276">
        <v>53</v>
      </c>
      <c r="S276">
        <v>53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53</v>
      </c>
      <c r="AA276">
        <v>3</v>
      </c>
      <c r="AB276">
        <v>0</v>
      </c>
      <c r="AD276">
        <v>118.24</v>
      </c>
    </row>
    <row r="277" spans="1:30" x14ac:dyDescent="0.3">
      <c r="A277" s="4">
        <v>287</v>
      </c>
      <c r="B277" s="5">
        <v>270</v>
      </c>
      <c r="C277">
        <v>225</v>
      </c>
      <c r="D277" t="s">
        <v>737</v>
      </c>
      <c r="E277" t="s">
        <v>738</v>
      </c>
      <c r="F277" t="s">
        <v>52</v>
      </c>
      <c r="G277" t="s">
        <v>739</v>
      </c>
      <c r="H277" t="str">
        <f>"00531938"</f>
        <v>00531938</v>
      </c>
      <c r="I277">
        <v>43.2</v>
      </c>
      <c r="J277">
        <v>0</v>
      </c>
      <c r="M277">
        <v>4</v>
      </c>
      <c r="N277">
        <v>4</v>
      </c>
      <c r="O277">
        <v>4</v>
      </c>
      <c r="P277">
        <v>2</v>
      </c>
      <c r="Q277">
        <v>53.2</v>
      </c>
      <c r="R277">
        <v>62</v>
      </c>
      <c r="S277">
        <v>62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62</v>
      </c>
      <c r="AA277">
        <v>3</v>
      </c>
      <c r="AB277">
        <v>0</v>
      </c>
      <c r="AD277">
        <v>118.2</v>
      </c>
    </row>
    <row r="278" spans="1:30" x14ac:dyDescent="0.3">
      <c r="A278" s="4">
        <v>288</v>
      </c>
      <c r="B278" s="5">
        <v>271</v>
      </c>
      <c r="C278">
        <v>3078</v>
      </c>
      <c r="D278" t="s">
        <v>226</v>
      </c>
      <c r="E278" t="s">
        <v>740</v>
      </c>
      <c r="F278" t="s">
        <v>741</v>
      </c>
      <c r="G278" t="s">
        <v>742</v>
      </c>
      <c r="H278" t="str">
        <f>"00508967"</f>
        <v>00508967</v>
      </c>
      <c r="I278">
        <v>37.200000000000003</v>
      </c>
      <c r="J278">
        <v>0</v>
      </c>
      <c r="N278">
        <v>0</v>
      </c>
      <c r="O278">
        <v>4</v>
      </c>
      <c r="P278">
        <v>2</v>
      </c>
      <c r="Q278">
        <v>43.2</v>
      </c>
      <c r="R278">
        <v>75</v>
      </c>
      <c r="S278">
        <v>75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75</v>
      </c>
      <c r="AA278">
        <v>0</v>
      </c>
      <c r="AB278">
        <v>0</v>
      </c>
      <c r="AD278">
        <v>118.2</v>
      </c>
    </row>
    <row r="279" spans="1:30" x14ac:dyDescent="0.3">
      <c r="A279" s="4">
        <v>289</v>
      </c>
      <c r="B279" s="5">
        <v>272</v>
      </c>
      <c r="C279">
        <v>3211</v>
      </c>
      <c r="D279" t="s">
        <v>743</v>
      </c>
      <c r="E279" t="s">
        <v>744</v>
      </c>
      <c r="F279" t="s">
        <v>136</v>
      </c>
      <c r="G279" t="s">
        <v>745</v>
      </c>
      <c r="H279" t="str">
        <f>"00509442"</f>
        <v>00509442</v>
      </c>
      <c r="I279">
        <v>25.84</v>
      </c>
      <c r="J279">
        <v>0</v>
      </c>
      <c r="N279">
        <v>0</v>
      </c>
      <c r="O279">
        <v>4</v>
      </c>
      <c r="P279">
        <v>0</v>
      </c>
      <c r="Q279">
        <v>29.84</v>
      </c>
      <c r="R279">
        <v>55</v>
      </c>
      <c r="S279">
        <v>55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55</v>
      </c>
      <c r="AA279">
        <v>6</v>
      </c>
      <c r="AB279">
        <v>27.2</v>
      </c>
      <c r="AD279">
        <v>118.04</v>
      </c>
    </row>
    <row r="280" spans="1:30" x14ac:dyDescent="0.3">
      <c r="A280" s="4">
        <v>290</v>
      </c>
      <c r="B280" s="5">
        <v>273</v>
      </c>
      <c r="C280">
        <v>4371</v>
      </c>
      <c r="D280" t="s">
        <v>746</v>
      </c>
      <c r="E280" t="s">
        <v>479</v>
      </c>
      <c r="F280" t="s">
        <v>17</v>
      </c>
      <c r="G280" t="s">
        <v>747</v>
      </c>
      <c r="H280" t="str">
        <f>"201511043184"</f>
        <v>201511043184</v>
      </c>
      <c r="I280">
        <v>40</v>
      </c>
      <c r="J280">
        <v>10</v>
      </c>
      <c r="N280">
        <v>0</v>
      </c>
      <c r="O280">
        <v>4</v>
      </c>
      <c r="P280">
        <v>2</v>
      </c>
      <c r="Q280">
        <v>56</v>
      </c>
      <c r="R280">
        <v>18</v>
      </c>
      <c r="S280">
        <v>18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18</v>
      </c>
      <c r="AA280">
        <v>12</v>
      </c>
      <c r="AB280">
        <v>32</v>
      </c>
      <c r="AD280">
        <v>118</v>
      </c>
    </row>
    <row r="281" spans="1:30" x14ac:dyDescent="0.3">
      <c r="A281" s="4">
        <v>291</v>
      </c>
      <c r="B281" s="5">
        <v>274</v>
      </c>
      <c r="C281">
        <v>1391</v>
      </c>
      <c r="D281" t="s">
        <v>748</v>
      </c>
      <c r="E281" t="s">
        <v>749</v>
      </c>
      <c r="F281" t="s">
        <v>750</v>
      </c>
      <c r="G281" t="s">
        <v>751</v>
      </c>
      <c r="H281" t="str">
        <f>"200809000079"</f>
        <v>200809000079</v>
      </c>
      <c r="I281">
        <v>36</v>
      </c>
      <c r="J281">
        <v>0</v>
      </c>
      <c r="L281">
        <v>6</v>
      </c>
      <c r="N281">
        <v>6</v>
      </c>
      <c r="O281">
        <v>4</v>
      </c>
      <c r="P281">
        <v>0</v>
      </c>
      <c r="Q281">
        <v>46</v>
      </c>
      <c r="R281">
        <v>63</v>
      </c>
      <c r="S281">
        <v>63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63</v>
      </c>
      <c r="AA281">
        <v>9</v>
      </c>
      <c r="AB281">
        <v>0</v>
      </c>
      <c r="AD281">
        <v>118</v>
      </c>
    </row>
    <row r="282" spans="1:30" x14ac:dyDescent="0.3">
      <c r="A282" s="4">
        <v>292</v>
      </c>
      <c r="B282" s="5">
        <v>275</v>
      </c>
      <c r="C282">
        <v>1400</v>
      </c>
      <c r="D282" t="s">
        <v>752</v>
      </c>
      <c r="E282" t="s">
        <v>29</v>
      </c>
      <c r="F282" t="s">
        <v>20</v>
      </c>
      <c r="G282" t="s">
        <v>753</v>
      </c>
      <c r="H282" t="str">
        <f>"00480825"</f>
        <v>00480825</v>
      </c>
      <c r="I282">
        <v>72</v>
      </c>
      <c r="J282">
        <v>0</v>
      </c>
      <c r="M282">
        <v>4</v>
      </c>
      <c r="N282">
        <v>4</v>
      </c>
      <c r="O282">
        <v>4</v>
      </c>
      <c r="P282">
        <v>0</v>
      </c>
      <c r="Q282">
        <v>80</v>
      </c>
      <c r="R282">
        <v>38</v>
      </c>
      <c r="S282">
        <v>38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38</v>
      </c>
      <c r="AA282">
        <v>0</v>
      </c>
      <c r="AB282">
        <v>0</v>
      </c>
      <c r="AD282">
        <v>118</v>
      </c>
    </row>
    <row r="283" spans="1:30" x14ac:dyDescent="0.3">
      <c r="A283" s="4">
        <v>293</v>
      </c>
      <c r="B283" s="5">
        <v>276</v>
      </c>
      <c r="C283">
        <v>190</v>
      </c>
      <c r="D283" t="s">
        <v>754</v>
      </c>
      <c r="E283" t="s">
        <v>41</v>
      </c>
      <c r="F283" t="s">
        <v>136</v>
      </c>
      <c r="G283" t="s">
        <v>755</v>
      </c>
      <c r="H283" t="str">
        <f>"00503759"</f>
        <v>00503759</v>
      </c>
      <c r="I283">
        <v>36</v>
      </c>
      <c r="J283">
        <v>10</v>
      </c>
      <c r="M283">
        <v>4</v>
      </c>
      <c r="N283">
        <v>4</v>
      </c>
      <c r="O283">
        <v>4</v>
      </c>
      <c r="P283">
        <v>2</v>
      </c>
      <c r="Q283">
        <v>56</v>
      </c>
      <c r="R283">
        <v>62</v>
      </c>
      <c r="S283">
        <v>62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62</v>
      </c>
      <c r="AA283">
        <v>0</v>
      </c>
      <c r="AB283">
        <v>0</v>
      </c>
      <c r="AD283">
        <v>118</v>
      </c>
    </row>
    <row r="284" spans="1:30" x14ac:dyDescent="0.3">
      <c r="A284" s="4">
        <v>294</v>
      </c>
      <c r="B284" s="5">
        <v>277</v>
      </c>
      <c r="C284">
        <v>1613</v>
      </c>
      <c r="D284" t="s">
        <v>756</v>
      </c>
      <c r="E284" t="s">
        <v>757</v>
      </c>
      <c r="F284" t="s">
        <v>14</v>
      </c>
      <c r="G284" t="s">
        <v>758</v>
      </c>
      <c r="H284" t="str">
        <f>"00441524"</f>
        <v>00441524</v>
      </c>
      <c r="I284">
        <v>26</v>
      </c>
      <c r="J284">
        <v>10</v>
      </c>
      <c r="L284">
        <v>6</v>
      </c>
      <c r="N284">
        <v>6</v>
      </c>
      <c r="O284">
        <v>4</v>
      </c>
      <c r="P284">
        <v>2</v>
      </c>
      <c r="Q284">
        <v>48</v>
      </c>
      <c r="R284">
        <v>70</v>
      </c>
      <c r="S284">
        <v>70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70</v>
      </c>
      <c r="AA284">
        <v>0</v>
      </c>
      <c r="AB284">
        <v>0</v>
      </c>
      <c r="AD284">
        <v>118</v>
      </c>
    </row>
    <row r="285" spans="1:30" x14ac:dyDescent="0.3">
      <c r="A285" s="4">
        <v>295</v>
      </c>
      <c r="B285" s="5">
        <v>278</v>
      </c>
      <c r="C285">
        <v>1642</v>
      </c>
      <c r="D285" t="s">
        <v>759</v>
      </c>
      <c r="E285" t="s">
        <v>166</v>
      </c>
      <c r="F285" t="s">
        <v>230</v>
      </c>
      <c r="G285" t="s">
        <v>760</v>
      </c>
      <c r="H285" t="str">
        <f>"00441548"</f>
        <v>00441548</v>
      </c>
      <c r="I285">
        <v>36.840000000000003</v>
      </c>
      <c r="J285">
        <v>10</v>
      </c>
      <c r="L285">
        <v>6</v>
      </c>
      <c r="N285">
        <v>6</v>
      </c>
      <c r="O285">
        <v>4</v>
      </c>
      <c r="P285">
        <v>2</v>
      </c>
      <c r="Q285">
        <v>58.84</v>
      </c>
      <c r="R285">
        <v>53</v>
      </c>
      <c r="S285">
        <v>53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53</v>
      </c>
      <c r="AA285">
        <v>6</v>
      </c>
      <c r="AB285">
        <v>0</v>
      </c>
      <c r="AD285">
        <v>117.84</v>
      </c>
    </row>
    <row r="286" spans="1:30" x14ac:dyDescent="0.3">
      <c r="A286" s="4">
        <v>296</v>
      </c>
      <c r="B286" s="5">
        <v>279</v>
      </c>
      <c r="C286">
        <v>482</v>
      </c>
      <c r="D286" t="s">
        <v>761</v>
      </c>
      <c r="E286" t="s">
        <v>132</v>
      </c>
      <c r="F286" t="s">
        <v>136</v>
      </c>
      <c r="G286" t="s">
        <v>762</v>
      </c>
      <c r="H286" t="str">
        <f>"00209804"</f>
        <v>00209804</v>
      </c>
      <c r="I286">
        <v>64.8</v>
      </c>
      <c r="J286">
        <v>0</v>
      </c>
      <c r="K286">
        <v>8</v>
      </c>
      <c r="N286">
        <v>8</v>
      </c>
      <c r="O286">
        <v>4</v>
      </c>
      <c r="P286">
        <v>2</v>
      </c>
      <c r="Q286">
        <v>78.8</v>
      </c>
      <c r="R286">
        <v>36</v>
      </c>
      <c r="S286">
        <v>36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36</v>
      </c>
      <c r="AA286">
        <v>3</v>
      </c>
      <c r="AB286">
        <v>0</v>
      </c>
      <c r="AD286">
        <v>117.8</v>
      </c>
    </row>
    <row r="287" spans="1:30" x14ac:dyDescent="0.3">
      <c r="A287" s="4">
        <v>297</v>
      </c>
      <c r="B287" s="5">
        <v>280</v>
      </c>
      <c r="C287">
        <v>874</v>
      </c>
      <c r="D287" t="s">
        <v>763</v>
      </c>
      <c r="E287" t="s">
        <v>764</v>
      </c>
      <c r="F287" t="s">
        <v>765</v>
      </c>
      <c r="G287" t="s">
        <v>766</v>
      </c>
      <c r="H287" t="str">
        <f>"00525320"</f>
        <v>00525320</v>
      </c>
      <c r="I287">
        <v>28.8</v>
      </c>
      <c r="J287">
        <v>0</v>
      </c>
      <c r="K287">
        <v>8</v>
      </c>
      <c r="N287">
        <v>8</v>
      </c>
      <c r="O287">
        <v>4</v>
      </c>
      <c r="P287">
        <v>2</v>
      </c>
      <c r="Q287">
        <v>42.8</v>
      </c>
      <c r="R287">
        <v>72</v>
      </c>
      <c r="S287">
        <v>72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72</v>
      </c>
      <c r="AA287">
        <v>3</v>
      </c>
      <c r="AB287">
        <v>0</v>
      </c>
      <c r="AD287">
        <v>117.8</v>
      </c>
    </row>
    <row r="288" spans="1:30" x14ac:dyDescent="0.3">
      <c r="A288" s="4">
        <v>298</v>
      </c>
      <c r="B288" s="5">
        <v>281</v>
      </c>
      <c r="C288">
        <v>1588</v>
      </c>
      <c r="D288" t="s">
        <v>767</v>
      </c>
      <c r="E288" t="s">
        <v>97</v>
      </c>
      <c r="F288" t="s">
        <v>136</v>
      </c>
      <c r="G288" t="s">
        <v>768</v>
      </c>
      <c r="H288" t="str">
        <f>"00162612"</f>
        <v>00162612</v>
      </c>
      <c r="I288">
        <v>35.72</v>
      </c>
      <c r="J288">
        <v>10</v>
      </c>
      <c r="N288">
        <v>0</v>
      </c>
      <c r="O288">
        <v>0</v>
      </c>
      <c r="P288">
        <v>2</v>
      </c>
      <c r="Q288">
        <v>47.72</v>
      </c>
      <c r="R288">
        <v>64</v>
      </c>
      <c r="S288">
        <v>64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64</v>
      </c>
      <c r="AA288">
        <v>6</v>
      </c>
      <c r="AB288">
        <v>0</v>
      </c>
      <c r="AD288">
        <v>117.72</v>
      </c>
    </row>
    <row r="289" spans="1:30" x14ac:dyDescent="0.3">
      <c r="A289" s="4">
        <v>299</v>
      </c>
      <c r="B289" s="5">
        <v>282</v>
      </c>
      <c r="C289">
        <v>2103</v>
      </c>
      <c r="D289" t="s">
        <v>769</v>
      </c>
      <c r="E289" t="s">
        <v>132</v>
      </c>
      <c r="F289" t="s">
        <v>626</v>
      </c>
      <c r="G289" t="s">
        <v>770</v>
      </c>
      <c r="H289" t="str">
        <f>"201406009094"</f>
        <v>201406009094</v>
      </c>
      <c r="I289">
        <v>38.68</v>
      </c>
      <c r="J289">
        <v>0</v>
      </c>
      <c r="M289">
        <v>4</v>
      </c>
      <c r="N289">
        <v>4</v>
      </c>
      <c r="O289">
        <v>4</v>
      </c>
      <c r="P289">
        <v>0</v>
      </c>
      <c r="Q289">
        <v>46.68</v>
      </c>
      <c r="R289">
        <v>65</v>
      </c>
      <c r="S289">
        <v>65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65</v>
      </c>
      <c r="AA289">
        <v>6</v>
      </c>
      <c r="AB289">
        <v>0</v>
      </c>
      <c r="AD289">
        <v>117.68</v>
      </c>
    </row>
    <row r="290" spans="1:30" x14ac:dyDescent="0.3">
      <c r="A290" s="4">
        <v>300</v>
      </c>
      <c r="B290" s="5">
        <v>283</v>
      </c>
      <c r="C290">
        <v>599</v>
      </c>
      <c r="D290" t="s">
        <v>771</v>
      </c>
      <c r="E290" t="s">
        <v>88</v>
      </c>
      <c r="F290" t="s">
        <v>68</v>
      </c>
      <c r="G290" t="s">
        <v>772</v>
      </c>
      <c r="H290" t="str">
        <f>"201511033492"</f>
        <v>201511033492</v>
      </c>
      <c r="I290">
        <v>31.64</v>
      </c>
      <c r="J290">
        <v>0</v>
      </c>
      <c r="N290">
        <v>0</v>
      </c>
      <c r="O290">
        <v>4</v>
      </c>
      <c r="P290">
        <v>2</v>
      </c>
      <c r="Q290">
        <v>37.64</v>
      </c>
      <c r="R290">
        <v>80</v>
      </c>
      <c r="S290">
        <v>80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80</v>
      </c>
      <c r="AA290">
        <v>0</v>
      </c>
      <c r="AB290">
        <v>0</v>
      </c>
      <c r="AD290">
        <v>117.64</v>
      </c>
    </row>
    <row r="291" spans="1:30" x14ac:dyDescent="0.3">
      <c r="A291" s="4">
        <v>301</v>
      </c>
      <c r="B291" s="5">
        <v>284</v>
      </c>
      <c r="C291">
        <v>2912</v>
      </c>
      <c r="D291" t="s">
        <v>773</v>
      </c>
      <c r="E291" t="s">
        <v>188</v>
      </c>
      <c r="F291" t="s">
        <v>488</v>
      </c>
      <c r="G291" t="s">
        <v>774</v>
      </c>
      <c r="H291" t="str">
        <f>"00532118"</f>
        <v>00532118</v>
      </c>
      <c r="I291">
        <v>57.6</v>
      </c>
      <c r="J291">
        <v>0</v>
      </c>
      <c r="M291">
        <v>4</v>
      </c>
      <c r="N291">
        <v>4</v>
      </c>
      <c r="O291">
        <v>4</v>
      </c>
      <c r="P291">
        <v>0</v>
      </c>
      <c r="Q291">
        <v>65.599999999999994</v>
      </c>
      <c r="R291">
        <v>46</v>
      </c>
      <c r="S291">
        <v>46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46</v>
      </c>
      <c r="AA291">
        <v>6</v>
      </c>
      <c r="AB291">
        <v>0</v>
      </c>
      <c r="AD291">
        <v>117.6</v>
      </c>
    </row>
    <row r="292" spans="1:30" x14ac:dyDescent="0.3">
      <c r="A292" s="4">
        <v>302</v>
      </c>
      <c r="B292" s="5">
        <v>285</v>
      </c>
      <c r="C292">
        <v>1580</v>
      </c>
      <c r="D292" t="s">
        <v>775</v>
      </c>
      <c r="E292" t="s">
        <v>26</v>
      </c>
      <c r="F292" t="s">
        <v>117</v>
      </c>
      <c r="G292" t="s">
        <v>776</v>
      </c>
      <c r="H292" t="str">
        <f>"00483437"</f>
        <v>00483437</v>
      </c>
      <c r="I292">
        <v>57.6</v>
      </c>
      <c r="J292">
        <v>0</v>
      </c>
      <c r="K292">
        <v>8</v>
      </c>
      <c r="N292">
        <v>8</v>
      </c>
      <c r="O292">
        <v>4</v>
      </c>
      <c r="P292">
        <v>2</v>
      </c>
      <c r="Q292">
        <v>71.599999999999994</v>
      </c>
      <c r="R292">
        <v>46</v>
      </c>
      <c r="S292">
        <v>46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46</v>
      </c>
      <c r="AA292">
        <v>0</v>
      </c>
      <c r="AB292">
        <v>0</v>
      </c>
      <c r="AD292">
        <v>117.6</v>
      </c>
    </row>
    <row r="293" spans="1:30" x14ac:dyDescent="0.3">
      <c r="A293" s="4">
        <v>303</v>
      </c>
      <c r="B293" s="5">
        <v>286</v>
      </c>
      <c r="C293">
        <v>4395</v>
      </c>
      <c r="D293" t="s">
        <v>181</v>
      </c>
      <c r="E293" t="s">
        <v>26</v>
      </c>
      <c r="F293" t="s">
        <v>385</v>
      </c>
      <c r="G293" t="s">
        <v>777</v>
      </c>
      <c r="H293" t="str">
        <f>"00532313"</f>
        <v>00532313</v>
      </c>
      <c r="I293">
        <v>57.6</v>
      </c>
      <c r="J293">
        <v>0</v>
      </c>
      <c r="M293">
        <v>4</v>
      </c>
      <c r="N293">
        <v>4</v>
      </c>
      <c r="O293">
        <v>4</v>
      </c>
      <c r="P293">
        <v>2</v>
      </c>
      <c r="Q293">
        <v>67.599999999999994</v>
      </c>
      <c r="R293">
        <v>50</v>
      </c>
      <c r="S293">
        <v>50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50</v>
      </c>
      <c r="AA293">
        <v>0</v>
      </c>
      <c r="AB293">
        <v>0</v>
      </c>
      <c r="AD293">
        <v>117.6</v>
      </c>
    </row>
    <row r="294" spans="1:30" x14ac:dyDescent="0.3">
      <c r="A294" s="4">
        <v>304</v>
      </c>
      <c r="B294" s="5">
        <v>287</v>
      </c>
      <c r="C294">
        <v>520</v>
      </c>
      <c r="D294" t="s">
        <v>778</v>
      </c>
      <c r="E294" t="s">
        <v>471</v>
      </c>
      <c r="F294" t="s">
        <v>91</v>
      </c>
      <c r="G294" t="s">
        <v>779</v>
      </c>
      <c r="H294" t="str">
        <f>"00441621"</f>
        <v>00441621</v>
      </c>
      <c r="I294">
        <v>50.4</v>
      </c>
      <c r="J294">
        <v>10</v>
      </c>
      <c r="L294">
        <v>6</v>
      </c>
      <c r="N294">
        <v>6</v>
      </c>
      <c r="O294">
        <v>4</v>
      </c>
      <c r="P294">
        <v>2</v>
      </c>
      <c r="Q294">
        <v>72.400000000000006</v>
      </c>
      <c r="R294">
        <v>39</v>
      </c>
      <c r="S294">
        <v>39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39</v>
      </c>
      <c r="AA294">
        <v>6</v>
      </c>
      <c r="AB294">
        <v>0</v>
      </c>
      <c r="AD294">
        <v>117.4</v>
      </c>
    </row>
    <row r="295" spans="1:30" x14ac:dyDescent="0.3">
      <c r="A295" s="4">
        <v>305</v>
      </c>
      <c r="B295" s="5">
        <v>288</v>
      </c>
      <c r="C295">
        <v>2834</v>
      </c>
      <c r="D295" t="s">
        <v>780</v>
      </c>
      <c r="E295" t="s">
        <v>781</v>
      </c>
      <c r="F295" t="s">
        <v>782</v>
      </c>
      <c r="G295" t="s">
        <v>783</v>
      </c>
      <c r="H295" t="str">
        <f>"00441593"</f>
        <v>00441593</v>
      </c>
      <c r="I295">
        <v>14.4</v>
      </c>
      <c r="J295">
        <v>10</v>
      </c>
      <c r="N295">
        <v>0</v>
      </c>
      <c r="O295">
        <v>4</v>
      </c>
      <c r="P295">
        <v>2</v>
      </c>
      <c r="Q295">
        <v>30.4</v>
      </c>
      <c r="R295">
        <v>81</v>
      </c>
      <c r="S295">
        <v>81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81</v>
      </c>
      <c r="AA295">
        <v>6</v>
      </c>
      <c r="AB295">
        <v>0</v>
      </c>
      <c r="AD295">
        <v>117.4</v>
      </c>
    </row>
    <row r="296" spans="1:30" x14ac:dyDescent="0.3">
      <c r="A296" s="4">
        <v>306</v>
      </c>
      <c r="B296" s="5">
        <v>289</v>
      </c>
      <c r="C296">
        <v>566</v>
      </c>
      <c r="D296" t="s">
        <v>784</v>
      </c>
      <c r="E296" t="s">
        <v>355</v>
      </c>
      <c r="F296" t="s">
        <v>30</v>
      </c>
      <c r="G296" t="s">
        <v>785</v>
      </c>
      <c r="H296" t="str">
        <f>"00471722"</f>
        <v>00471722</v>
      </c>
      <c r="I296">
        <v>50.4</v>
      </c>
      <c r="J296">
        <v>10</v>
      </c>
      <c r="K296">
        <v>16</v>
      </c>
      <c r="N296">
        <v>16</v>
      </c>
      <c r="O296">
        <v>4</v>
      </c>
      <c r="P296">
        <v>2</v>
      </c>
      <c r="Q296">
        <v>82.4</v>
      </c>
      <c r="R296">
        <v>32</v>
      </c>
      <c r="S296">
        <v>32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32</v>
      </c>
      <c r="AA296">
        <v>3</v>
      </c>
      <c r="AB296">
        <v>0</v>
      </c>
      <c r="AD296">
        <v>117.4</v>
      </c>
    </row>
    <row r="297" spans="1:30" x14ac:dyDescent="0.3">
      <c r="A297" s="4">
        <v>307</v>
      </c>
      <c r="B297" s="5">
        <v>290</v>
      </c>
      <c r="C297">
        <v>869</v>
      </c>
      <c r="D297" t="s">
        <v>786</v>
      </c>
      <c r="E297" t="s">
        <v>136</v>
      </c>
      <c r="F297" t="s">
        <v>52</v>
      </c>
      <c r="G297" t="s">
        <v>787</v>
      </c>
      <c r="H297" t="str">
        <f>"200802002580"</f>
        <v>200802002580</v>
      </c>
      <c r="I297">
        <v>50.4</v>
      </c>
      <c r="J297">
        <v>0</v>
      </c>
      <c r="K297">
        <v>8</v>
      </c>
      <c r="N297">
        <v>8</v>
      </c>
      <c r="O297">
        <v>4</v>
      </c>
      <c r="P297">
        <v>2</v>
      </c>
      <c r="Q297">
        <v>64.400000000000006</v>
      </c>
      <c r="R297">
        <v>53</v>
      </c>
      <c r="S297">
        <v>53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53</v>
      </c>
      <c r="AA297">
        <v>0</v>
      </c>
      <c r="AB297">
        <v>0</v>
      </c>
      <c r="AD297">
        <v>117.4</v>
      </c>
    </row>
    <row r="298" spans="1:30" x14ac:dyDescent="0.3">
      <c r="A298" s="4">
        <v>308</v>
      </c>
      <c r="B298" s="5">
        <v>291</v>
      </c>
      <c r="C298">
        <v>221</v>
      </c>
      <c r="D298" t="s">
        <v>788</v>
      </c>
      <c r="E298" t="s">
        <v>789</v>
      </c>
      <c r="F298" t="s">
        <v>167</v>
      </c>
      <c r="G298" t="s">
        <v>790</v>
      </c>
      <c r="H298" t="str">
        <f>"200802006531"</f>
        <v>200802006531</v>
      </c>
      <c r="I298">
        <v>43.2</v>
      </c>
      <c r="J298">
        <v>0</v>
      </c>
      <c r="L298">
        <v>6</v>
      </c>
      <c r="N298">
        <v>6</v>
      </c>
      <c r="O298">
        <v>0</v>
      </c>
      <c r="P298">
        <v>0</v>
      </c>
      <c r="Q298">
        <v>49.2</v>
      </c>
      <c r="R298">
        <v>62</v>
      </c>
      <c r="S298">
        <v>62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62</v>
      </c>
      <c r="AA298">
        <v>6</v>
      </c>
      <c r="AB298">
        <v>0</v>
      </c>
      <c r="AD298">
        <v>117.2</v>
      </c>
    </row>
    <row r="299" spans="1:30" x14ac:dyDescent="0.3">
      <c r="A299" s="4">
        <v>309</v>
      </c>
      <c r="B299" s="5">
        <v>292</v>
      </c>
      <c r="C299">
        <v>1887</v>
      </c>
      <c r="D299" t="s">
        <v>791</v>
      </c>
      <c r="E299" t="s">
        <v>792</v>
      </c>
      <c r="F299" t="s">
        <v>20</v>
      </c>
      <c r="G299" t="s">
        <v>793</v>
      </c>
      <c r="H299" t="str">
        <f>"00523692"</f>
        <v>00523692</v>
      </c>
      <c r="I299">
        <v>23.2</v>
      </c>
      <c r="J299">
        <v>10</v>
      </c>
      <c r="N299">
        <v>0</v>
      </c>
      <c r="O299">
        <v>4</v>
      </c>
      <c r="P299">
        <v>0</v>
      </c>
      <c r="Q299">
        <v>37.200000000000003</v>
      </c>
      <c r="R299">
        <v>77</v>
      </c>
      <c r="S299">
        <v>77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77</v>
      </c>
      <c r="AA299">
        <v>3</v>
      </c>
      <c r="AB299">
        <v>0</v>
      </c>
      <c r="AD299">
        <v>117.2</v>
      </c>
    </row>
    <row r="300" spans="1:30" x14ac:dyDescent="0.3">
      <c r="A300" s="4">
        <v>310</v>
      </c>
      <c r="B300" s="5">
        <v>293</v>
      </c>
      <c r="C300">
        <v>3852</v>
      </c>
      <c r="D300" t="s">
        <v>794</v>
      </c>
      <c r="E300" t="s">
        <v>795</v>
      </c>
      <c r="F300" t="s">
        <v>38</v>
      </c>
      <c r="G300" t="s">
        <v>796</v>
      </c>
      <c r="H300" t="str">
        <f>"00485074"</f>
        <v>00485074</v>
      </c>
      <c r="I300">
        <v>43.2</v>
      </c>
      <c r="J300">
        <v>10</v>
      </c>
      <c r="K300">
        <v>8</v>
      </c>
      <c r="N300">
        <v>8</v>
      </c>
      <c r="O300">
        <v>4</v>
      </c>
      <c r="P300">
        <v>2</v>
      </c>
      <c r="Q300">
        <v>67.2</v>
      </c>
      <c r="R300">
        <v>50</v>
      </c>
      <c r="S300">
        <v>50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50</v>
      </c>
      <c r="AA300">
        <v>0</v>
      </c>
      <c r="AB300">
        <v>0</v>
      </c>
      <c r="AD300">
        <v>117.2</v>
      </c>
    </row>
    <row r="301" spans="1:30" x14ac:dyDescent="0.3">
      <c r="A301" s="4">
        <v>311</v>
      </c>
      <c r="B301" s="5">
        <v>294</v>
      </c>
      <c r="C301">
        <v>1529</v>
      </c>
      <c r="D301" t="s">
        <v>797</v>
      </c>
      <c r="E301" t="s">
        <v>19</v>
      </c>
      <c r="F301" t="s">
        <v>230</v>
      </c>
      <c r="G301" t="s">
        <v>798</v>
      </c>
      <c r="H301" t="str">
        <f>"00508097"</f>
        <v>00508097</v>
      </c>
      <c r="I301">
        <v>43.2</v>
      </c>
      <c r="J301">
        <v>10</v>
      </c>
      <c r="K301">
        <v>8</v>
      </c>
      <c r="N301">
        <v>8</v>
      </c>
      <c r="O301">
        <v>4</v>
      </c>
      <c r="P301">
        <v>0</v>
      </c>
      <c r="Q301">
        <v>65.2</v>
      </c>
      <c r="R301">
        <v>52</v>
      </c>
      <c r="S301">
        <v>52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52</v>
      </c>
      <c r="AA301">
        <v>0</v>
      </c>
      <c r="AB301">
        <v>0</v>
      </c>
      <c r="AD301">
        <v>117.2</v>
      </c>
    </row>
    <row r="302" spans="1:30" x14ac:dyDescent="0.3">
      <c r="A302" s="4">
        <v>312</v>
      </c>
      <c r="B302" s="5">
        <v>295</v>
      </c>
      <c r="C302">
        <v>3145</v>
      </c>
      <c r="D302" t="s">
        <v>799</v>
      </c>
      <c r="E302" t="s">
        <v>110</v>
      </c>
      <c r="F302" t="s">
        <v>782</v>
      </c>
      <c r="G302" t="s">
        <v>800</v>
      </c>
      <c r="H302" t="str">
        <f>"00478776"</f>
        <v>00478776</v>
      </c>
      <c r="I302">
        <v>43.2</v>
      </c>
      <c r="J302">
        <v>0</v>
      </c>
      <c r="K302">
        <v>8</v>
      </c>
      <c r="N302">
        <v>8</v>
      </c>
      <c r="O302">
        <v>4</v>
      </c>
      <c r="P302">
        <v>0</v>
      </c>
      <c r="Q302">
        <v>55.2</v>
      </c>
      <c r="R302">
        <v>62</v>
      </c>
      <c r="S302">
        <v>62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62</v>
      </c>
      <c r="AA302">
        <v>0</v>
      </c>
      <c r="AB302">
        <v>0</v>
      </c>
      <c r="AD302">
        <v>117.2</v>
      </c>
    </row>
    <row r="303" spans="1:30" x14ac:dyDescent="0.3">
      <c r="A303" s="4">
        <v>313</v>
      </c>
      <c r="B303" s="5">
        <v>296</v>
      </c>
      <c r="C303">
        <v>2314</v>
      </c>
      <c r="D303" t="s">
        <v>569</v>
      </c>
      <c r="E303" t="s">
        <v>132</v>
      </c>
      <c r="F303" t="s">
        <v>801</v>
      </c>
      <c r="G303" t="s">
        <v>802</v>
      </c>
      <c r="H303" t="str">
        <f>"201511037895"</f>
        <v>201511037895</v>
      </c>
      <c r="I303">
        <v>36</v>
      </c>
      <c r="J303">
        <v>10</v>
      </c>
      <c r="M303">
        <v>4</v>
      </c>
      <c r="N303">
        <v>4</v>
      </c>
      <c r="O303">
        <v>4</v>
      </c>
      <c r="P303">
        <v>2</v>
      </c>
      <c r="Q303">
        <v>56</v>
      </c>
      <c r="R303">
        <v>61</v>
      </c>
      <c r="S303">
        <v>61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61</v>
      </c>
      <c r="AA303">
        <v>0</v>
      </c>
      <c r="AB303">
        <v>0</v>
      </c>
      <c r="AD303">
        <v>117</v>
      </c>
    </row>
    <row r="304" spans="1:30" x14ac:dyDescent="0.3">
      <c r="A304" s="4">
        <v>314</v>
      </c>
      <c r="B304" s="5">
        <v>297</v>
      </c>
      <c r="C304">
        <v>3043</v>
      </c>
      <c r="D304" t="s">
        <v>803</v>
      </c>
      <c r="E304" t="s">
        <v>208</v>
      </c>
      <c r="F304" t="s">
        <v>343</v>
      </c>
      <c r="G304" t="s">
        <v>804</v>
      </c>
      <c r="H304" t="str">
        <f>"00152450"</f>
        <v>00152450</v>
      </c>
      <c r="I304">
        <v>0</v>
      </c>
      <c r="J304">
        <v>10</v>
      </c>
      <c r="M304">
        <v>4</v>
      </c>
      <c r="N304">
        <v>4</v>
      </c>
      <c r="O304">
        <v>4</v>
      </c>
      <c r="P304">
        <v>2</v>
      </c>
      <c r="Q304">
        <v>20</v>
      </c>
      <c r="R304">
        <v>97</v>
      </c>
      <c r="S304">
        <v>97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97</v>
      </c>
      <c r="AA304">
        <v>0</v>
      </c>
      <c r="AB304">
        <v>0</v>
      </c>
      <c r="AD304">
        <v>117</v>
      </c>
    </row>
    <row r="305" spans="1:30" x14ac:dyDescent="0.3">
      <c r="A305" s="4">
        <v>315</v>
      </c>
      <c r="B305" s="5">
        <v>298</v>
      </c>
      <c r="C305">
        <v>2704</v>
      </c>
      <c r="D305" t="s">
        <v>805</v>
      </c>
      <c r="E305" t="s">
        <v>88</v>
      </c>
      <c r="F305" t="s">
        <v>167</v>
      </c>
      <c r="G305" t="s">
        <v>806</v>
      </c>
      <c r="H305" t="str">
        <f>"00504115"</f>
        <v>00504115</v>
      </c>
      <c r="I305">
        <v>28.8</v>
      </c>
      <c r="J305">
        <v>0</v>
      </c>
      <c r="N305">
        <v>0</v>
      </c>
      <c r="O305">
        <v>4</v>
      </c>
      <c r="P305">
        <v>2</v>
      </c>
      <c r="Q305">
        <v>34.799999999999997</v>
      </c>
      <c r="R305">
        <v>73</v>
      </c>
      <c r="S305">
        <v>73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73</v>
      </c>
      <c r="AA305">
        <v>9</v>
      </c>
      <c r="AB305">
        <v>0</v>
      </c>
      <c r="AD305">
        <v>116.8</v>
      </c>
    </row>
    <row r="306" spans="1:30" x14ac:dyDescent="0.3">
      <c r="A306" s="4">
        <v>316</v>
      </c>
      <c r="B306" s="5">
        <v>299</v>
      </c>
      <c r="C306">
        <v>585</v>
      </c>
      <c r="D306" t="s">
        <v>807</v>
      </c>
      <c r="E306" t="s">
        <v>808</v>
      </c>
      <c r="F306" t="s">
        <v>809</v>
      </c>
      <c r="G306" t="s">
        <v>810</v>
      </c>
      <c r="H306" t="str">
        <f>"00504398"</f>
        <v>00504398</v>
      </c>
      <c r="I306">
        <v>28.8</v>
      </c>
      <c r="J306">
        <v>0</v>
      </c>
      <c r="N306">
        <v>0</v>
      </c>
      <c r="O306">
        <v>4</v>
      </c>
      <c r="P306">
        <v>2</v>
      </c>
      <c r="Q306">
        <v>34.799999999999997</v>
      </c>
      <c r="R306">
        <v>79</v>
      </c>
      <c r="S306">
        <v>79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79</v>
      </c>
      <c r="AA306">
        <v>3</v>
      </c>
      <c r="AB306">
        <v>0</v>
      </c>
      <c r="AD306">
        <v>116.8</v>
      </c>
    </row>
    <row r="307" spans="1:30" x14ac:dyDescent="0.3">
      <c r="A307" s="4">
        <v>317</v>
      </c>
      <c r="B307" s="5">
        <v>300</v>
      </c>
      <c r="C307">
        <v>290</v>
      </c>
      <c r="D307" t="s">
        <v>811</v>
      </c>
      <c r="E307" t="s">
        <v>289</v>
      </c>
      <c r="F307" t="s">
        <v>124</v>
      </c>
      <c r="G307" t="s">
        <v>812</v>
      </c>
      <c r="H307" t="str">
        <f>"00523496"</f>
        <v>00523496</v>
      </c>
      <c r="I307">
        <v>28.8</v>
      </c>
      <c r="J307">
        <v>10</v>
      </c>
      <c r="K307">
        <v>8</v>
      </c>
      <c r="M307">
        <v>4</v>
      </c>
      <c r="N307">
        <v>12</v>
      </c>
      <c r="O307">
        <v>4</v>
      </c>
      <c r="P307">
        <v>2</v>
      </c>
      <c r="Q307">
        <v>56.8</v>
      </c>
      <c r="R307">
        <v>60</v>
      </c>
      <c r="S307">
        <v>60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60</v>
      </c>
      <c r="AA307">
        <v>0</v>
      </c>
      <c r="AB307">
        <v>0</v>
      </c>
      <c r="AD307">
        <v>116.8</v>
      </c>
    </row>
    <row r="308" spans="1:30" x14ac:dyDescent="0.3">
      <c r="A308" s="4">
        <v>318</v>
      </c>
      <c r="B308" s="5">
        <v>301</v>
      </c>
      <c r="C308">
        <v>2894</v>
      </c>
      <c r="D308" t="s">
        <v>813</v>
      </c>
      <c r="E308" t="s">
        <v>188</v>
      </c>
      <c r="F308" t="s">
        <v>81</v>
      </c>
      <c r="G308" t="s">
        <v>814</v>
      </c>
      <c r="H308" t="str">
        <f>"00516302"</f>
        <v>00516302</v>
      </c>
      <c r="I308">
        <v>57.6</v>
      </c>
      <c r="J308">
        <v>0</v>
      </c>
      <c r="N308">
        <v>0</v>
      </c>
      <c r="O308">
        <v>4</v>
      </c>
      <c r="P308">
        <v>0</v>
      </c>
      <c r="Q308">
        <v>61.6</v>
      </c>
      <c r="R308">
        <v>55</v>
      </c>
      <c r="S308">
        <v>55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55</v>
      </c>
      <c r="AA308">
        <v>0</v>
      </c>
      <c r="AB308">
        <v>0</v>
      </c>
      <c r="AD308">
        <v>116.6</v>
      </c>
    </row>
    <row r="309" spans="1:30" x14ac:dyDescent="0.3">
      <c r="A309" s="4">
        <v>319</v>
      </c>
      <c r="B309" s="5">
        <v>302</v>
      </c>
      <c r="C309">
        <v>2871</v>
      </c>
      <c r="D309" t="s">
        <v>815</v>
      </c>
      <c r="E309" t="s">
        <v>816</v>
      </c>
      <c r="F309" t="s">
        <v>136</v>
      </c>
      <c r="G309" t="s">
        <v>817</v>
      </c>
      <c r="H309" t="str">
        <f>"00476071"</f>
        <v>00476071</v>
      </c>
      <c r="I309">
        <v>21.6</v>
      </c>
      <c r="J309">
        <v>10</v>
      </c>
      <c r="K309">
        <v>8</v>
      </c>
      <c r="N309">
        <v>8</v>
      </c>
      <c r="O309">
        <v>4</v>
      </c>
      <c r="P309">
        <v>2</v>
      </c>
      <c r="Q309">
        <v>45.6</v>
      </c>
      <c r="R309">
        <v>71</v>
      </c>
      <c r="S309">
        <v>71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71</v>
      </c>
      <c r="AA309">
        <v>0</v>
      </c>
      <c r="AB309">
        <v>0</v>
      </c>
      <c r="AD309">
        <v>116.6</v>
      </c>
    </row>
    <row r="310" spans="1:30" x14ac:dyDescent="0.3">
      <c r="A310" s="4">
        <v>320</v>
      </c>
      <c r="B310" s="5">
        <v>303</v>
      </c>
      <c r="C310">
        <v>1599</v>
      </c>
      <c r="D310" t="s">
        <v>818</v>
      </c>
      <c r="E310" t="s">
        <v>29</v>
      </c>
      <c r="F310" t="s">
        <v>819</v>
      </c>
      <c r="G310" t="s">
        <v>820</v>
      </c>
      <c r="H310" t="str">
        <f>"00511703"</f>
        <v>00511703</v>
      </c>
      <c r="I310">
        <v>35.56</v>
      </c>
      <c r="J310">
        <v>0</v>
      </c>
      <c r="N310">
        <v>0</v>
      </c>
      <c r="O310">
        <v>0</v>
      </c>
      <c r="P310">
        <v>0</v>
      </c>
      <c r="Q310">
        <v>35.56</v>
      </c>
      <c r="R310">
        <v>78</v>
      </c>
      <c r="S310">
        <v>78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78</v>
      </c>
      <c r="AA310">
        <v>3</v>
      </c>
      <c r="AB310">
        <v>0</v>
      </c>
      <c r="AD310">
        <v>116.56</v>
      </c>
    </row>
    <row r="311" spans="1:30" x14ac:dyDescent="0.3">
      <c r="A311" s="4">
        <v>321</v>
      </c>
      <c r="B311" s="5">
        <v>304</v>
      </c>
      <c r="C311">
        <v>3922</v>
      </c>
      <c r="D311" t="s">
        <v>821</v>
      </c>
      <c r="E311" t="s">
        <v>276</v>
      </c>
      <c r="F311" t="s">
        <v>822</v>
      </c>
      <c r="G311" t="s">
        <v>823</v>
      </c>
      <c r="H311" t="str">
        <f>"00506004"</f>
        <v>00506004</v>
      </c>
      <c r="I311">
        <v>50.4</v>
      </c>
      <c r="J311">
        <v>10</v>
      </c>
      <c r="N311">
        <v>0</v>
      </c>
      <c r="O311">
        <v>0</v>
      </c>
      <c r="P311">
        <v>0</v>
      </c>
      <c r="Q311">
        <v>60.4</v>
      </c>
      <c r="R311">
        <v>50</v>
      </c>
      <c r="S311">
        <v>50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50</v>
      </c>
      <c r="AA311">
        <v>6</v>
      </c>
      <c r="AB311">
        <v>0</v>
      </c>
      <c r="AD311">
        <v>116.4</v>
      </c>
    </row>
    <row r="312" spans="1:30" x14ac:dyDescent="0.3">
      <c r="A312" s="4">
        <v>322</v>
      </c>
      <c r="B312" s="5">
        <v>305</v>
      </c>
      <c r="C312">
        <v>3028</v>
      </c>
      <c r="D312" t="s">
        <v>824</v>
      </c>
      <c r="E312" t="s">
        <v>825</v>
      </c>
      <c r="F312" t="s">
        <v>158</v>
      </c>
      <c r="G312" t="s">
        <v>826</v>
      </c>
      <c r="H312" t="str">
        <f>"201406003273"</f>
        <v>201406003273</v>
      </c>
      <c r="I312">
        <v>43.2</v>
      </c>
      <c r="J312">
        <v>0</v>
      </c>
      <c r="M312">
        <v>8</v>
      </c>
      <c r="N312">
        <v>8</v>
      </c>
      <c r="O312">
        <v>4</v>
      </c>
      <c r="P312">
        <v>2</v>
      </c>
      <c r="Q312">
        <v>57.2</v>
      </c>
      <c r="R312">
        <v>53</v>
      </c>
      <c r="S312">
        <v>53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53</v>
      </c>
      <c r="AA312">
        <v>6</v>
      </c>
      <c r="AB312">
        <v>0</v>
      </c>
      <c r="AD312">
        <v>116.2</v>
      </c>
    </row>
    <row r="313" spans="1:30" x14ac:dyDescent="0.3">
      <c r="A313" s="4">
        <v>323</v>
      </c>
      <c r="B313" s="5">
        <v>306</v>
      </c>
      <c r="C313">
        <v>2656</v>
      </c>
      <c r="D313" t="s">
        <v>827</v>
      </c>
      <c r="E313" t="s">
        <v>166</v>
      </c>
      <c r="F313" t="s">
        <v>20</v>
      </c>
      <c r="G313" t="s">
        <v>828</v>
      </c>
      <c r="H313" t="str">
        <f>"00496638"</f>
        <v>00496638</v>
      </c>
      <c r="I313">
        <v>43.2</v>
      </c>
      <c r="J313">
        <v>0</v>
      </c>
      <c r="K313">
        <v>8</v>
      </c>
      <c r="N313">
        <v>8</v>
      </c>
      <c r="O313">
        <v>4</v>
      </c>
      <c r="P313">
        <v>2</v>
      </c>
      <c r="Q313">
        <v>57.2</v>
      </c>
      <c r="R313">
        <v>59</v>
      </c>
      <c r="S313">
        <v>59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59</v>
      </c>
      <c r="AA313">
        <v>0</v>
      </c>
      <c r="AB313">
        <v>0</v>
      </c>
      <c r="AD313">
        <v>116.2</v>
      </c>
    </row>
    <row r="314" spans="1:30" x14ac:dyDescent="0.3">
      <c r="A314" s="4">
        <v>324</v>
      </c>
      <c r="B314" s="5">
        <v>307</v>
      </c>
      <c r="C314">
        <v>3616</v>
      </c>
      <c r="D314" t="s">
        <v>829</v>
      </c>
      <c r="E314" t="s">
        <v>550</v>
      </c>
      <c r="F314" t="s">
        <v>17</v>
      </c>
      <c r="G314" t="s">
        <v>830</v>
      </c>
      <c r="H314" t="str">
        <f>"00507137"</f>
        <v>00507137</v>
      </c>
      <c r="I314">
        <v>43.2</v>
      </c>
      <c r="J314">
        <v>0</v>
      </c>
      <c r="K314">
        <v>8</v>
      </c>
      <c r="N314">
        <v>8</v>
      </c>
      <c r="O314">
        <v>4</v>
      </c>
      <c r="P314">
        <v>0</v>
      </c>
      <c r="Q314">
        <v>55.2</v>
      </c>
      <c r="R314">
        <v>61</v>
      </c>
      <c r="S314">
        <v>61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61</v>
      </c>
      <c r="AA314">
        <v>0</v>
      </c>
      <c r="AB314">
        <v>0</v>
      </c>
      <c r="AD314">
        <v>116.2</v>
      </c>
    </row>
    <row r="315" spans="1:30" x14ac:dyDescent="0.3">
      <c r="A315" s="4">
        <v>325</v>
      </c>
      <c r="B315" s="5">
        <v>308</v>
      </c>
      <c r="C315">
        <v>3979</v>
      </c>
      <c r="D315" t="s">
        <v>831</v>
      </c>
      <c r="E315" t="s">
        <v>219</v>
      </c>
      <c r="F315" t="s">
        <v>832</v>
      </c>
      <c r="G315" t="s">
        <v>833</v>
      </c>
      <c r="H315" t="str">
        <f>"200901000147"</f>
        <v>200901000147</v>
      </c>
      <c r="I315">
        <v>43.2</v>
      </c>
      <c r="J315">
        <v>0</v>
      </c>
      <c r="K315">
        <v>8</v>
      </c>
      <c r="M315">
        <v>4</v>
      </c>
      <c r="N315">
        <v>12</v>
      </c>
      <c r="O315">
        <v>4</v>
      </c>
      <c r="P315">
        <v>0</v>
      </c>
      <c r="Q315">
        <v>59.2</v>
      </c>
      <c r="R315">
        <v>27</v>
      </c>
      <c r="S315">
        <v>27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27</v>
      </c>
      <c r="AA315">
        <v>3</v>
      </c>
      <c r="AB315">
        <v>26.8</v>
      </c>
      <c r="AD315">
        <v>116</v>
      </c>
    </row>
    <row r="316" spans="1:30" x14ac:dyDescent="0.3">
      <c r="A316" s="4">
        <v>326</v>
      </c>
      <c r="B316" s="5">
        <v>309</v>
      </c>
      <c r="C316">
        <v>2710</v>
      </c>
      <c r="D316" t="s">
        <v>834</v>
      </c>
      <c r="E316" t="s">
        <v>139</v>
      </c>
      <c r="F316" t="s">
        <v>136</v>
      </c>
      <c r="G316" t="s">
        <v>835</v>
      </c>
      <c r="H316" t="str">
        <f>"00162223"</f>
        <v>00162223</v>
      </c>
      <c r="I316">
        <v>38</v>
      </c>
      <c r="J316">
        <v>0</v>
      </c>
      <c r="N316">
        <v>0</v>
      </c>
      <c r="O316">
        <v>4</v>
      </c>
      <c r="P316">
        <v>0</v>
      </c>
      <c r="Q316">
        <v>42</v>
      </c>
      <c r="R316">
        <v>62</v>
      </c>
      <c r="S316">
        <v>62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62</v>
      </c>
      <c r="AA316">
        <v>12</v>
      </c>
      <c r="AB316">
        <v>0</v>
      </c>
      <c r="AD316">
        <v>116</v>
      </c>
    </row>
    <row r="317" spans="1:30" x14ac:dyDescent="0.3">
      <c r="A317" s="4">
        <v>327</v>
      </c>
      <c r="B317" s="5">
        <v>310</v>
      </c>
      <c r="C317">
        <v>1965</v>
      </c>
      <c r="D317" t="s">
        <v>836</v>
      </c>
      <c r="E317" t="s">
        <v>837</v>
      </c>
      <c r="F317" t="s">
        <v>81</v>
      </c>
      <c r="G317" t="s">
        <v>838</v>
      </c>
      <c r="H317" t="str">
        <f>"00514971"</f>
        <v>00514971</v>
      </c>
      <c r="I317">
        <v>36</v>
      </c>
      <c r="J317">
        <v>0</v>
      </c>
      <c r="K317">
        <v>8</v>
      </c>
      <c r="N317">
        <v>8</v>
      </c>
      <c r="O317">
        <v>4</v>
      </c>
      <c r="P317">
        <v>0</v>
      </c>
      <c r="Q317">
        <v>48</v>
      </c>
      <c r="R317">
        <v>68</v>
      </c>
      <c r="S317">
        <v>68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68</v>
      </c>
      <c r="AA317">
        <v>0</v>
      </c>
      <c r="AB317">
        <v>0</v>
      </c>
      <c r="AD317">
        <v>116</v>
      </c>
    </row>
    <row r="318" spans="1:30" x14ac:dyDescent="0.3">
      <c r="A318" s="4">
        <v>328</v>
      </c>
      <c r="B318" s="5">
        <v>311</v>
      </c>
      <c r="C318">
        <v>2415</v>
      </c>
      <c r="D318" t="s">
        <v>839</v>
      </c>
      <c r="E318" t="s">
        <v>97</v>
      </c>
      <c r="F318" t="s">
        <v>840</v>
      </c>
      <c r="G318" t="s">
        <v>841</v>
      </c>
      <c r="H318" t="str">
        <f>"00489200"</f>
        <v>00489200</v>
      </c>
      <c r="I318">
        <v>0</v>
      </c>
      <c r="J318">
        <v>0</v>
      </c>
      <c r="M318">
        <v>4</v>
      </c>
      <c r="N318">
        <v>4</v>
      </c>
      <c r="O318">
        <v>4</v>
      </c>
      <c r="P318">
        <v>0</v>
      </c>
      <c r="Q318">
        <v>8</v>
      </c>
      <c r="R318">
        <v>108</v>
      </c>
      <c r="S318">
        <v>108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108</v>
      </c>
      <c r="AA318">
        <v>0</v>
      </c>
      <c r="AB318">
        <v>0</v>
      </c>
      <c r="AD318">
        <v>116</v>
      </c>
    </row>
    <row r="319" spans="1:30" x14ac:dyDescent="0.3">
      <c r="A319" s="4">
        <v>329</v>
      </c>
      <c r="B319" s="5">
        <v>312</v>
      </c>
      <c r="C319">
        <v>3115</v>
      </c>
      <c r="D319" t="s">
        <v>165</v>
      </c>
      <c r="E319" t="s">
        <v>37</v>
      </c>
      <c r="F319" t="s">
        <v>136</v>
      </c>
      <c r="G319" t="s">
        <v>842</v>
      </c>
      <c r="H319" t="str">
        <f>"00530278"</f>
        <v>00530278</v>
      </c>
      <c r="I319">
        <v>64.8</v>
      </c>
      <c r="J319">
        <v>10</v>
      </c>
      <c r="K319">
        <v>8</v>
      </c>
      <c r="N319">
        <v>8</v>
      </c>
      <c r="O319">
        <v>4</v>
      </c>
      <c r="P319">
        <v>2</v>
      </c>
      <c r="Q319">
        <v>88.8</v>
      </c>
      <c r="R319">
        <v>18</v>
      </c>
      <c r="S319">
        <v>18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18</v>
      </c>
      <c r="AA319">
        <v>9</v>
      </c>
      <c r="AB319">
        <v>0</v>
      </c>
      <c r="AD319">
        <v>115.8</v>
      </c>
    </row>
    <row r="320" spans="1:30" x14ac:dyDescent="0.3">
      <c r="A320" s="4">
        <v>330</v>
      </c>
      <c r="B320" s="5">
        <v>313</v>
      </c>
      <c r="C320">
        <v>3281</v>
      </c>
      <c r="D320" t="s">
        <v>181</v>
      </c>
      <c r="E320" t="s">
        <v>843</v>
      </c>
      <c r="F320" t="s">
        <v>38</v>
      </c>
      <c r="G320" t="s">
        <v>844</v>
      </c>
      <c r="H320" t="str">
        <f>"00194144"</f>
        <v>00194144</v>
      </c>
      <c r="I320">
        <v>64.8</v>
      </c>
      <c r="J320">
        <v>0</v>
      </c>
      <c r="K320">
        <v>8</v>
      </c>
      <c r="N320">
        <v>8</v>
      </c>
      <c r="O320">
        <v>4</v>
      </c>
      <c r="P320">
        <v>2</v>
      </c>
      <c r="Q320">
        <v>78.8</v>
      </c>
      <c r="R320">
        <v>37</v>
      </c>
      <c r="S320">
        <v>37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37</v>
      </c>
      <c r="AA320">
        <v>0</v>
      </c>
      <c r="AB320">
        <v>0</v>
      </c>
      <c r="AD320">
        <v>115.8</v>
      </c>
    </row>
    <row r="321" spans="1:30" x14ac:dyDescent="0.3">
      <c r="A321" s="4">
        <v>331</v>
      </c>
      <c r="B321" s="5">
        <v>314</v>
      </c>
      <c r="C321">
        <v>1479</v>
      </c>
      <c r="D321" t="s">
        <v>845</v>
      </c>
      <c r="E321" t="s">
        <v>41</v>
      </c>
      <c r="F321" t="s">
        <v>20</v>
      </c>
      <c r="G321" t="s">
        <v>846</v>
      </c>
      <c r="H321" t="str">
        <f>"00075537"</f>
        <v>00075537</v>
      </c>
      <c r="I321">
        <v>64.8</v>
      </c>
      <c r="J321">
        <v>0</v>
      </c>
      <c r="K321">
        <v>8</v>
      </c>
      <c r="N321">
        <v>8</v>
      </c>
      <c r="O321">
        <v>4</v>
      </c>
      <c r="P321">
        <v>2</v>
      </c>
      <c r="Q321">
        <v>78.8</v>
      </c>
      <c r="R321">
        <v>37</v>
      </c>
      <c r="S321">
        <v>37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37</v>
      </c>
      <c r="AA321">
        <v>0</v>
      </c>
      <c r="AB321">
        <v>0</v>
      </c>
      <c r="AD321">
        <v>115.8</v>
      </c>
    </row>
    <row r="322" spans="1:30" x14ac:dyDescent="0.3">
      <c r="A322" s="4">
        <v>332</v>
      </c>
      <c r="B322" s="5">
        <v>315</v>
      </c>
      <c r="C322">
        <v>3864</v>
      </c>
      <c r="D322" t="s">
        <v>847</v>
      </c>
      <c r="E322" t="s">
        <v>255</v>
      </c>
      <c r="F322" t="s">
        <v>94</v>
      </c>
      <c r="G322" t="s">
        <v>848</v>
      </c>
      <c r="H322" t="str">
        <f>"00497298"</f>
        <v>00497298</v>
      </c>
      <c r="I322">
        <v>34.68</v>
      </c>
      <c r="J322">
        <v>0</v>
      </c>
      <c r="K322">
        <v>8</v>
      </c>
      <c r="N322">
        <v>8</v>
      </c>
      <c r="O322">
        <v>4</v>
      </c>
      <c r="P322">
        <v>2</v>
      </c>
      <c r="Q322">
        <v>48.68</v>
      </c>
      <c r="R322">
        <v>59</v>
      </c>
      <c r="S322">
        <v>59</v>
      </c>
      <c r="T322">
        <v>1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61</v>
      </c>
      <c r="AA322">
        <v>6</v>
      </c>
      <c r="AB322">
        <v>0</v>
      </c>
      <c r="AD322">
        <v>115.68</v>
      </c>
    </row>
    <row r="323" spans="1:30" x14ac:dyDescent="0.3">
      <c r="A323" s="4">
        <v>333</v>
      </c>
      <c r="B323" s="5">
        <v>316</v>
      </c>
      <c r="C323">
        <v>778</v>
      </c>
      <c r="D323" t="s">
        <v>849</v>
      </c>
      <c r="E323" t="s">
        <v>100</v>
      </c>
      <c r="F323" t="s">
        <v>17</v>
      </c>
      <c r="G323" t="s">
        <v>850</v>
      </c>
      <c r="H323" t="str">
        <f>"00503736"</f>
        <v>00503736</v>
      </c>
      <c r="I323">
        <v>38.4</v>
      </c>
      <c r="J323">
        <v>10</v>
      </c>
      <c r="K323">
        <v>8</v>
      </c>
      <c r="N323">
        <v>8</v>
      </c>
      <c r="O323">
        <v>4</v>
      </c>
      <c r="P323">
        <v>2</v>
      </c>
      <c r="Q323">
        <v>62.4</v>
      </c>
      <c r="R323">
        <v>50</v>
      </c>
      <c r="S323">
        <v>50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50</v>
      </c>
      <c r="AA323">
        <v>3</v>
      </c>
      <c r="AB323">
        <v>0</v>
      </c>
      <c r="AD323">
        <v>115.4</v>
      </c>
    </row>
    <row r="324" spans="1:30" x14ac:dyDescent="0.3">
      <c r="A324" s="4">
        <v>334</v>
      </c>
      <c r="B324" s="5">
        <v>317</v>
      </c>
      <c r="C324">
        <v>969</v>
      </c>
      <c r="D324" t="s">
        <v>851</v>
      </c>
      <c r="E324" t="s">
        <v>41</v>
      </c>
      <c r="F324" t="s">
        <v>52</v>
      </c>
      <c r="G324" t="s">
        <v>852</v>
      </c>
      <c r="H324" t="str">
        <f>"201406018756"</f>
        <v>201406018756</v>
      </c>
      <c r="I324">
        <v>50.4</v>
      </c>
      <c r="J324">
        <v>10</v>
      </c>
      <c r="K324">
        <v>8</v>
      </c>
      <c r="N324">
        <v>8</v>
      </c>
      <c r="O324">
        <v>4</v>
      </c>
      <c r="P324">
        <v>2</v>
      </c>
      <c r="Q324">
        <v>74.400000000000006</v>
      </c>
      <c r="R324">
        <v>41</v>
      </c>
      <c r="S324">
        <v>41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41</v>
      </c>
      <c r="AA324">
        <v>0</v>
      </c>
      <c r="AB324">
        <v>0</v>
      </c>
      <c r="AD324">
        <v>115.4</v>
      </c>
    </row>
    <row r="325" spans="1:30" x14ac:dyDescent="0.3">
      <c r="A325" s="4">
        <v>335</v>
      </c>
      <c r="B325" s="5">
        <v>318</v>
      </c>
      <c r="C325">
        <v>2638</v>
      </c>
      <c r="D325" t="s">
        <v>853</v>
      </c>
      <c r="E325" t="s">
        <v>22</v>
      </c>
      <c r="F325" t="s">
        <v>539</v>
      </c>
      <c r="G325" t="s">
        <v>854</v>
      </c>
      <c r="H325" t="str">
        <f>"00504864"</f>
        <v>00504864</v>
      </c>
      <c r="I325">
        <v>50.4</v>
      </c>
      <c r="J325">
        <v>0</v>
      </c>
      <c r="M325">
        <v>4</v>
      </c>
      <c r="N325">
        <v>4</v>
      </c>
      <c r="O325">
        <v>4</v>
      </c>
      <c r="P325">
        <v>2</v>
      </c>
      <c r="Q325">
        <v>60.4</v>
      </c>
      <c r="R325">
        <v>55</v>
      </c>
      <c r="S325">
        <v>55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55</v>
      </c>
      <c r="AA325">
        <v>0</v>
      </c>
      <c r="AB325">
        <v>0</v>
      </c>
      <c r="AD325">
        <v>115.4</v>
      </c>
    </row>
    <row r="326" spans="1:30" x14ac:dyDescent="0.3">
      <c r="A326" s="4">
        <v>336</v>
      </c>
      <c r="B326" s="5">
        <v>319</v>
      </c>
      <c r="C326">
        <v>1517</v>
      </c>
      <c r="D326" t="s">
        <v>855</v>
      </c>
      <c r="E326" t="s">
        <v>816</v>
      </c>
      <c r="F326" t="s">
        <v>17</v>
      </c>
      <c r="G326" t="s">
        <v>856</v>
      </c>
      <c r="H326" t="str">
        <f>"00501260"</f>
        <v>00501260</v>
      </c>
      <c r="I326">
        <v>39.119999999999997</v>
      </c>
      <c r="J326">
        <v>10</v>
      </c>
      <c r="N326">
        <v>0</v>
      </c>
      <c r="O326">
        <v>4</v>
      </c>
      <c r="P326">
        <v>0</v>
      </c>
      <c r="Q326">
        <v>53.12</v>
      </c>
      <c r="R326">
        <v>56</v>
      </c>
      <c r="S326">
        <v>56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56</v>
      </c>
      <c r="AA326">
        <v>6</v>
      </c>
      <c r="AB326">
        <v>0</v>
      </c>
      <c r="AD326">
        <v>115.12</v>
      </c>
    </row>
    <row r="327" spans="1:30" x14ac:dyDescent="0.3">
      <c r="A327" s="4">
        <v>337</v>
      </c>
      <c r="B327" s="5">
        <v>320</v>
      </c>
      <c r="C327">
        <v>953</v>
      </c>
      <c r="D327" t="s">
        <v>857</v>
      </c>
      <c r="E327" t="s">
        <v>858</v>
      </c>
      <c r="F327" t="s">
        <v>14</v>
      </c>
      <c r="G327" t="s">
        <v>859</v>
      </c>
      <c r="H327" t="str">
        <f>"00519837"</f>
        <v>00519837</v>
      </c>
      <c r="I327">
        <v>24.28</v>
      </c>
      <c r="J327">
        <v>0</v>
      </c>
      <c r="N327">
        <v>0</v>
      </c>
      <c r="O327">
        <v>0</v>
      </c>
      <c r="P327">
        <v>0</v>
      </c>
      <c r="Q327">
        <v>24.28</v>
      </c>
      <c r="R327">
        <v>55</v>
      </c>
      <c r="S327">
        <v>55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55</v>
      </c>
      <c r="AA327">
        <v>9</v>
      </c>
      <c r="AB327">
        <v>26.8</v>
      </c>
      <c r="AD327">
        <v>115.08</v>
      </c>
    </row>
    <row r="328" spans="1:30" x14ac:dyDescent="0.3">
      <c r="A328" s="4">
        <v>338</v>
      </c>
      <c r="B328" s="5">
        <v>321</v>
      </c>
      <c r="C328">
        <v>2488</v>
      </c>
      <c r="D328" t="s">
        <v>860</v>
      </c>
      <c r="E328" t="s">
        <v>861</v>
      </c>
      <c r="F328" t="s">
        <v>38</v>
      </c>
      <c r="G328" t="s">
        <v>862</v>
      </c>
      <c r="H328" t="str">
        <f>"00441615"</f>
        <v>00441615</v>
      </c>
      <c r="I328">
        <v>43.2</v>
      </c>
      <c r="J328">
        <v>10</v>
      </c>
      <c r="N328">
        <v>0</v>
      </c>
      <c r="O328">
        <v>4</v>
      </c>
      <c r="P328">
        <v>0</v>
      </c>
      <c r="Q328">
        <v>57.2</v>
      </c>
      <c r="R328">
        <v>28</v>
      </c>
      <c r="S328">
        <v>28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28</v>
      </c>
      <c r="AA328">
        <v>3</v>
      </c>
      <c r="AB328">
        <v>26.8</v>
      </c>
      <c r="AD328">
        <v>115</v>
      </c>
    </row>
    <row r="329" spans="1:30" x14ac:dyDescent="0.3">
      <c r="A329" s="4">
        <v>339</v>
      </c>
      <c r="B329" s="5">
        <v>322</v>
      </c>
      <c r="C329">
        <v>4572</v>
      </c>
      <c r="D329" t="s">
        <v>863</v>
      </c>
      <c r="E329" t="s">
        <v>29</v>
      </c>
      <c r="F329" t="s">
        <v>864</v>
      </c>
      <c r="G329" t="s">
        <v>865</v>
      </c>
      <c r="H329" t="str">
        <f>"00512934"</f>
        <v>00512934</v>
      </c>
      <c r="I329">
        <v>36</v>
      </c>
      <c r="J329">
        <v>0</v>
      </c>
      <c r="M329">
        <v>4</v>
      </c>
      <c r="N329">
        <v>4</v>
      </c>
      <c r="O329">
        <v>4</v>
      </c>
      <c r="P329">
        <v>0</v>
      </c>
      <c r="Q329">
        <v>44</v>
      </c>
      <c r="R329">
        <v>62</v>
      </c>
      <c r="S329">
        <v>62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62</v>
      </c>
      <c r="AA329">
        <v>9</v>
      </c>
      <c r="AB329">
        <v>0</v>
      </c>
      <c r="AD329">
        <v>115</v>
      </c>
    </row>
    <row r="330" spans="1:30" x14ac:dyDescent="0.3">
      <c r="A330" s="4">
        <v>340</v>
      </c>
      <c r="B330" s="5">
        <v>323</v>
      </c>
      <c r="C330">
        <v>3178</v>
      </c>
      <c r="D330" t="s">
        <v>866</v>
      </c>
      <c r="E330" t="s">
        <v>110</v>
      </c>
      <c r="F330" t="s">
        <v>117</v>
      </c>
      <c r="G330" t="s">
        <v>867</v>
      </c>
      <c r="H330" t="str">
        <f>"00503023"</f>
        <v>00503023</v>
      </c>
      <c r="I330">
        <v>29</v>
      </c>
      <c r="J330">
        <v>10</v>
      </c>
      <c r="M330">
        <v>4</v>
      </c>
      <c r="N330">
        <v>4</v>
      </c>
      <c r="O330">
        <v>4</v>
      </c>
      <c r="P330">
        <v>2</v>
      </c>
      <c r="Q330">
        <v>49</v>
      </c>
      <c r="R330">
        <v>60</v>
      </c>
      <c r="S330">
        <v>60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60</v>
      </c>
      <c r="AA330">
        <v>6</v>
      </c>
      <c r="AB330">
        <v>0</v>
      </c>
      <c r="AD330">
        <v>115</v>
      </c>
    </row>
    <row r="331" spans="1:30" x14ac:dyDescent="0.3">
      <c r="A331" s="4">
        <v>341</v>
      </c>
      <c r="B331" s="5">
        <v>324</v>
      </c>
      <c r="C331">
        <v>2427</v>
      </c>
      <c r="D331" t="s">
        <v>868</v>
      </c>
      <c r="E331" t="s">
        <v>869</v>
      </c>
      <c r="F331" t="s">
        <v>38</v>
      </c>
      <c r="G331" t="s">
        <v>870</v>
      </c>
      <c r="H331" t="str">
        <f>"00506875"</f>
        <v>00506875</v>
      </c>
      <c r="I331">
        <v>72</v>
      </c>
      <c r="J331">
        <v>0</v>
      </c>
      <c r="N331">
        <v>0</v>
      </c>
      <c r="O331">
        <v>4</v>
      </c>
      <c r="P331">
        <v>2</v>
      </c>
      <c r="Q331">
        <v>78</v>
      </c>
      <c r="R331">
        <v>37</v>
      </c>
      <c r="S331">
        <v>37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37</v>
      </c>
      <c r="AA331">
        <v>0</v>
      </c>
      <c r="AB331">
        <v>0</v>
      </c>
      <c r="AD331">
        <v>115</v>
      </c>
    </row>
    <row r="332" spans="1:30" x14ac:dyDescent="0.3">
      <c r="A332" s="4">
        <v>342</v>
      </c>
      <c r="B332" s="5">
        <v>325</v>
      </c>
      <c r="C332">
        <v>2745</v>
      </c>
      <c r="D332" t="s">
        <v>871</v>
      </c>
      <c r="E332" t="s">
        <v>61</v>
      </c>
      <c r="F332" t="s">
        <v>17</v>
      </c>
      <c r="G332" t="s">
        <v>872</v>
      </c>
      <c r="H332" t="str">
        <f>"00524941"</f>
        <v>00524941</v>
      </c>
      <c r="I332">
        <v>36</v>
      </c>
      <c r="J332">
        <v>10</v>
      </c>
      <c r="N332">
        <v>0</v>
      </c>
      <c r="O332">
        <v>4</v>
      </c>
      <c r="P332">
        <v>2</v>
      </c>
      <c r="Q332">
        <v>52</v>
      </c>
      <c r="R332">
        <v>63</v>
      </c>
      <c r="S332">
        <v>63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63</v>
      </c>
      <c r="AA332">
        <v>0</v>
      </c>
      <c r="AB332">
        <v>0</v>
      </c>
      <c r="AD332">
        <v>115</v>
      </c>
    </row>
    <row r="333" spans="1:30" x14ac:dyDescent="0.3">
      <c r="A333" s="4">
        <v>343</v>
      </c>
      <c r="B333" s="5">
        <v>326</v>
      </c>
      <c r="C333">
        <v>3237</v>
      </c>
      <c r="D333" t="s">
        <v>873</v>
      </c>
      <c r="E333" t="s">
        <v>29</v>
      </c>
      <c r="F333" t="s">
        <v>158</v>
      </c>
      <c r="G333" t="s">
        <v>874</v>
      </c>
      <c r="H333" t="str">
        <f>"00518102"</f>
        <v>00518102</v>
      </c>
      <c r="I333">
        <v>36</v>
      </c>
      <c r="J333">
        <v>0</v>
      </c>
      <c r="M333">
        <v>4</v>
      </c>
      <c r="N333">
        <v>4</v>
      </c>
      <c r="O333">
        <v>4</v>
      </c>
      <c r="P333">
        <v>2</v>
      </c>
      <c r="Q333">
        <v>46</v>
      </c>
      <c r="R333">
        <v>69</v>
      </c>
      <c r="S333">
        <v>69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69</v>
      </c>
      <c r="AA333">
        <v>0</v>
      </c>
      <c r="AB333">
        <v>0</v>
      </c>
      <c r="AD333">
        <v>115</v>
      </c>
    </row>
    <row r="334" spans="1:30" x14ac:dyDescent="0.3">
      <c r="A334" s="4">
        <v>344</v>
      </c>
      <c r="B334" s="5">
        <v>327</v>
      </c>
      <c r="C334">
        <v>3953</v>
      </c>
      <c r="D334" t="s">
        <v>229</v>
      </c>
      <c r="E334" t="s">
        <v>875</v>
      </c>
      <c r="F334" t="s">
        <v>230</v>
      </c>
      <c r="G334" t="s">
        <v>876</v>
      </c>
      <c r="H334" t="str">
        <f>"00146856"</f>
        <v>00146856</v>
      </c>
      <c r="I334">
        <v>0</v>
      </c>
      <c r="J334">
        <v>0</v>
      </c>
      <c r="M334">
        <v>4</v>
      </c>
      <c r="N334">
        <v>4</v>
      </c>
      <c r="O334">
        <v>4</v>
      </c>
      <c r="P334">
        <v>2</v>
      </c>
      <c r="Q334">
        <v>10</v>
      </c>
      <c r="R334">
        <v>105</v>
      </c>
      <c r="S334">
        <v>105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105</v>
      </c>
      <c r="AA334">
        <v>0</v>
      </c>
      <c r="AB334">
        <v>0</v>
      </c>
      <c r="AD334">
        <v>115</v>
      </c>
    </row>
    <row r="335" spans="1:30" x14ac:dyDescent="0.3">
      <c r="A335" s="4">
        <v>345</v>
      </c>
      <c r="B335" s="5">
        <v>328</v>
      </c>
      <c r="C335">
        <v>3164</v>
      </c>
      <c r="D335" t="s">
        <v>877</v>
      </c>
      <c r="E335" t="s">
        <v>170</v>
      </c>
      <c r="F335" t="s">
        <v>878</v>
      </c>
      <c r="G335" t="s">
        <v>879</v>
      </c>
      <c r="H335" t="str">
        <f>"00530291"</f>
        <v>00530291</v>
      </c>
      <c r="I335">
        <v>34.840000000000003</v>
      </c>
      <c r="J335">
        <v>0</v>
      </c>
      <c r="N335">
        <v>0</v>
      </c>
      <c r="O335">
        <v>0</v>
      </c>
      <c r="P335">
        <v>0</v>
      </c>
      <c r="Q335">
        <v>34.840000000000003</v>
      </c>
      <c r="R335">
        <v>77</v>
      </c>
      <c r="S335">
        <v>77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77</v>
      </c>
      <c r="AA335">
        <v>3</v>
      </c>
      <c r="AB335">
        <v>0</v>
      </c>
      <c r="AD335">
        <v>114.84</v>
      </c>
    </row>
    <row r="336" spans="1:30" x14ac:dyDescent="0.3">
      <c r="A336" s="4">
        <v>346</v>
      </c>
      <c r="B336" s="5">
        <v>329</v>
      </c>
      <c r="C336">
        <v>378</v>
      </c>
      <c r="D336" t="s">
        <v>880</v>
      </c>
      <c r="E336" t="s">
        <v>166</v>
      </c>
      <c r="F336" t="s">
        <v>878</v>
      </c>
      <c r="G336" t="s">
        <v>881</v>
      </c>
      <c r="H336" t="str">
        <f>"00502865"</f>
        <v>00502865</v>
      </c>
      <c r="I336">
        <v>28.8</v>
      </c>
      <c r="J336">
        <v>10</v>
      </c>
      <c r="M336">
        <v>4</v>
      </c>
      <c r="N336">
        <v>4</v>
      </c>
      <c r="O336">
        <v>4</v>
      </c>
      <c r="P336">
        <v>2</v>
      </c>
      <c r="Q336">
        <v>48.8</v>
      </c>
      <c r="R336">
        <v>60</v>
      </c>
      <c r="S336">
        <v>60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60</v>
      </c>
      <c r="AA336">
        <v>6</v>
      </c>
      <c r="AB336">
        <v>0</v>
      </c>
      <c r="AD336">
        <v>114.8</v>
      </c>
    </row>
    <row r="337" spans="1:30" x14ac:dyDescent="0.3">
      <c r="A337" s="4">
        <v>347</v>
      </c>
      <c r="B337" s="5">
        <v>330</v>
      </c>
      <c r="C337">
        <v>2224</v>
      </c>
      <c r="D337" t="s">
        <v>882</v>
      </c>
      <c r="E337" t="s">
        <v>883</v>
      </c>
      <c r="F337" t="s">
        <v>124</v>
      </c>
      <c r="G337" t="s">
        <v>884</v>
      </c>
      <c r="H337" t="str">
        <f>"00163278"</f>
        <v>00163278</v>
      </c>
      <c r="I337">
        <v>38.76</v>
      </c>
      <c r="J337">
        <v>0</v>
      </c>
      <c r="N337">
        <v>0</v>
      </c>
      <c r="O337">
        <v>4</v>
      </c>
      <c r="P337">
        <v>2</v>
      </c>
      <c r="Q337">
        <v>44.76</v>
      </c>
      <c r="R337">
        <v>70</v>
      </c>
      <c r="S337">
        <v>70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70</v>
      </c>
      <c r="AA337">
        <v>0</v>
      </c>
      <c r="AB337">
        <v>0</v>
      </c>
      <c r="AD337">
        <v>114.76</v>
      </c>
    </row>
    <row r="338" spans="1:30" x14ac:dyDescent="0.3">
      <c r="A338" s="4">
        <v>348</v>
      </c>
      <c r="B338" s="5">
        <v>331</v>
      </c>
      <c r="C338">
        <v>2181</v>
      </c>
      <c r="D338" t="s">
        <v>885</v>
      </c>
      <c r="E338" t="s">
        <v>268</v>
      </c>
      <c r="F338" t="s">
        <v>136</v>
      </c>
      <c r="G338" t="s">
        <v>886</v>
      </c>
      <c r="H338" t="str">
        <f>"00442077"</f>
        <v>00442077</v>
      </c>
      <c r="I338">
        <v>28.52</v>
      </c>
      <c r="J338">
        <v>0</v>
      </c>
      <c r="N338">
        <v>0</v>
      </c>
      <c r="O338">
        <v>4</v>
      </c>
      <c r="P338">
        <v>2</v>
      </c>
      <c r="Q338">
        <v>34.520000000000003</v>
      </c>
      <c r="R338">
        <v>74</v>
      </c>
      <c r="S338">
        <v>74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74</v>
      </c>
      <c r="AA338">
        <v>6</v>
      </c>
      <c r="AB338">
        <v>0</v>
      </c>
      <c r="AD338">
        <v>114.52</v>
      </c>
    </row>
    <row r="339" spans="1:30" x14ac:dyDescent="0.3">
      <c r="A339" s="4">
        <v>349</v>
      </c>
      <c r="B339" s="5">
        <v>332</v>
      </c>
      <c r="C339">
        <v>3959</v>
      </c>
      <c r="D339" t="s">
        <v>887</v>
      </c>
      <c r="E339" t="s">
        <v>136</v>
      </c>
      <c r="F339" t="s">
        <v>167</v>
      </c>
      <c r="G339" t="s">
        <v>888</v>
      </c>
      <c r="H339" t="str">
        <f>"00524001"</f>
        <v>00524001</v>
      </c>
      <c r="I339">
        <v>50.4</v>
      </c>
      <c r="J339">
        <v>0</v>
      </c>
      <c r="L339">
        <v>6</v>
      </c>
      <c r="N339">
        <v>6</v>
      </c>
      <c r="O339">
        <v>4</v>
      </c>
      <c r="P339">
        <v>2</v>
      </c>
      <c r="Q339">
        <v>62.4</v>
      </c>
      <c r="R339">
        <v>46</v>
      </c>
      <c r="S339">
        <v>46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46</v>
      </c>
      <c r="AA339">
        <v>6</v>
      </c>
      <c r="AB339">
        <v>0</v>
      </c>
      <c r="AD339">
        <v>114.4</v>
      </c>
    </row>
    <row r="340" spans="1:30" x14ac:dyDescent="0.3">
      <c r="A340" s="4">
        <v>350</v>
      </c>
      <c r="B340" s="5">
        <v>333</v>
      </c>
      <c r="C340">
        <v>3475</v>
      </c>
      <c r="D340" t="s">
        <v>889</v>
      </c>
      <c r="E340" t="s">
        <v>41</v>
      </c>
      <c r="F340" t="s">
        <v>801</v>
      </c>
      <c r="G340" t="s">
        <v>890</v>
      </c>
      <c r="H340" t="str">
        <f>"00533141"</f>
        <v>00533141</v>
      </c>
      <c r="I340">
        <v>50.4</v>
      </c>
      <c r="J340">
        <v>0</v>
      </c>
      <c r="M340">
        <v>4</v>
      </c>
      <c r="N340">
        <v>4</v>
      </c>
      <c r="O340">
        <v>4</v>
      </c>
      <c r="P340">
        <v>2</v>
      </c>
      <c r="Q340">
        <v>60.4</v>
      </c>
      <c r="R340">
        <v>54</v>
      </c>
      <c r="S340">
        <v>54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54</v>
      </c>
      <c r="AA340">
        <v>0</v>
      </c>
      <c r="AB340">
        <v>0</v>
      </c>
      <c r="AD340">
        <v>114.4</v>
      </c>
    </row>
    <row r="341" spans="1:30" x14ac:dyDescent="0.3">
      <c r="A341" s="4">
        <v>351</v>
      </c>
      <c r="B341" s="5">
        <v>334</v>
      </c>
      <c r="C341">
        <v>1076</v>
      </c>
      <c r="D341" t="s">
        <v>891</v>
      </c>
      <c r="E341" t="s">
        <v>276</v>
      </c>
      <c r="F341" t="s">
        <v>892</v>
      </c>
      <c r="G341" t="s">
        <v>893</v>
      </c>
      <c r="H341" t="str">
        <f>"00533162"</f>
        <v>00533162</v>
      </c>
      <c r="I341">
        <v>50.4</v>
      </c>
      <c r="J341">
        <v>0</v>
      </c>
      <c r="M341">
        <v>4</v>
      </c>
      <c r="N341">
        <v>4</v>
      </c>
      <c r="O341">
        <v>4</v>
      </c>
      <c r="P341">
        <v>2</v>
      </c>
      <c r="Q341">
        <v>60.4</v>
      </c>
      <c r="R341">
        <v>54</v>
      </c>
      <c r="S341">
        <v>54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54</v>
      </c>
      <c r="AA341">
        <v>0</v>
      </c>
      <c r="AB341">
        <v>0</v>
      </c>
      <c r="AD341">
        <v>114.4</v>
      </c>
    </row>
    <row r="342" spans="1:30" x14ac:dyDescent="0.3">
      <c r="A342" s="4">
        <v>352</v>
      </c>
      <c r="B342" s="5">
        <v>335</v>
      </c>
      <c r="C342">
        <v>3157</v>
      </c>
      <c r="D342" t="s">
        <v>843</v>
      </c>
      <c r="E342" t="s">
        <v>894</v>
      </c>
      <c r="F342" t="s">
        <v>38</v>
      </c>
      <c r="G342" t="s">
        <v>895</v>
      </c>
      <c r="H342" t="str">
        <f>"00523433"</f>
        <v>00523433</v>
      </c>
      <c r="I342">
        <v>50.4</v>
      </c>
      <c r="J342">
        <v>0</v>
      </c>
      <c r="M342">
        <v>4</v>
      </c>
      <c r="N342">
        <v>4</v>
      </c>
      <c r="O342">
        <v>4</v>
      </c>
      <c r="P342">
        <v>2</v>
      </c>
      <c r="Q342">
        <v>60.4</v>
      </c>
      <c r="R342">
        <v>54</v>
      </c>
      <c r="S342">
        <v>54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54</v>
      </c>
      <c r="AA342">
        <v>0</v>
      </c>
      <c r="AB342">
        <v>0</v>
      </c>
      <c r="AD342">
        <v>114.4</v>
      </c>
    </row>
    <row r="343" spans="1:30" x14ac:dyDescent="0.3">
      <c r="A343" s="4">
        <v>353</v>
      </c>
      <c r="B343" s="5">
        <v>336</v>
      </c>
      <c r="C343">
        <v>1172</v>
      </c>
      <c r="D343" t="s">
        <v>531</v>
      </c>
      <c r="E343" t="s">
        <v>896</v>
      </c>
      <c r="F343" t="s">
        <v>34</v>
      </c>
      <c r="G343" t="s">
        <v>897</v>
      </c>
      <c r="H343" t="str">
        <f>"00061653"</f>
        <v>00061653</v>
      </c>
      <c r="I343">
        <v>36.36</v>
      </c>
      <c r="J343">
        <v>0</v>
      </c>
      <c r="N343">
        <v>0</v>
      </c>
      <c r="O343">
        <v>4</v>
      </c>
      <c r="P343">
        <v>2</v>
      </c>
      <c r="Q343">
        <v>42.36</v>
      </c>
      <c r="R343">
        <v>72</v>
      </c>
      <c r="S343">
        <v>72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72</v>
      </c>
      <c r="AA343">
        <v>0</v>
      </c>
      <c r="AB343">
        <v>0</v>
      </c>
      <c r="AD343">
        <v>114.36</v>
      </c>
    </row>
    <row r="344" spans="1:30" x14ac:dyDescent="0.3">
      <c r="A344" s="4">
        <v>354</v>
      </c>
      <c r="B344" s="5">
        <v>337</v>
      </c>
      <c r="C344">
        <v>3355</v>
      </c>
      <c r="D344" t="s">
        <v>898</v>
      </c>
      <c r="E344" t="s">
        <v>38</v>
      </c>
      <c r="F344" t="s">
        <v>91</v>
      </c>
      <c r="G344" t="s">
        <v>899</v>
      </c>
      <c r="H344" t="str">
        <f>"00430045"</f>
        <v>00430045</v>
      </c>
      <c r="I344">
        <v>38.4</v>
      </c>
      <c r="J344">
        <v>10</v>
      </c>
      <c r="K344">
        <v>8</v>
      </c>
      <c r="N344">
        <v>8</v>
      </c>
      <c r="O344">
        <v>4</v>
      </c>
      <c r="P344">
        <v>2</v>
      </c>
      <c r="Q344">
        <v>62.4</v>
      </c>
      <c r="R344">
        <v>13</v>
      </c>
      <c r="S344">
        <v>13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13</v>
      </c>
      <c r="AA344">
        <v>0</v>
      </c>
      <c r="AB344">
        <v>38.799999999999997</v>
      </c>
      <c r="AD344">
        <v>114.2</v>
      </c>
    </row>
    <row r="345" spans="1:30" x14ac:dyDescent="0.3">
      <c r="A345" s="4">
        <v>355</v>
      </c>
      <c r="B345" s="5">
        <v>338</v>
      </c>
      <c r="C345">
        <v>1637</v>
      </c>
      <c r="D345" t="s">
        <v>900</v>
      </c>
      <c r="E345" t="s">
        <v>29</v>
      </c>
      <c r="F345" t="s">
        <v>259</v>
      </c>
      <c r="G345" t="s">
        <v>901</v>
      </c>
      <c r="H345" t="str">
        <f>"00508229"</f>
        <v>00508229</v>
      </c>
      <c r="I345">
        <v>50.4</v>
      </c>
      <c r="J345">
        <v>10</v>
      </c>
      <c r="N345">
        <v>0</v>
      </c>
      <c r="O345">
        <v>4</v>
      </c>
      <c r="P345">
        <v>2</v>
      </c>
      <c r="Q345">
        <v>66.400000000000006</v>
      </c>
      <c r="R345">
        <v>18</v>
      </c>
      <c r="S345">
        <v>18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18</v>
      </c>
      <c r="AA345">
        <v>3</v>
      </c>
      <c r="AB345">
        <v>26.8</v>
      </c>
      <c r="AD345">
        <v>114.2</v>
      </c>
    </row>
    <row r="346" spans="1:30" x14ac:dyDescent="0.3">
      <c r="A346" s="4">
        <v>356</v>
      </c>
      <c r="B346" s="5">
        <v>339</v>
      </c>
      <c r="C346">
        <v>3185</v>
      </c>
      <c r="D346" t="s">
        <v>902</v>
      </c>
      <c r="E346" t="s">
        <v>903</v>
      </c>
      <c r="F346" t="s">
        <v>158</v>
      </c>
      <c r="G346" t="s">
        <v>904</v>
      </c>
      <c r="H346" t="str">
        <f>"00283367"</f>
        <v>00283367</v>
      </c>
      <c r="I346">
        <v>43.2</v>
      </c>
      <c r="J346">
        <v>0</v>
      </c>
      <c r="N346">
        <v>0</v>
      </c>
      <c r="O346">
        <v>4</v>
      </c>
      <c r="P346">
        <v>2</v>
      </c>
      <c r="Q346">
        <v>49.2</v>
      </c>
      <c r="R346">
        <v>62</v>
      </c>
      <c r="S346">
        <v>62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62</v>
      </c>
      <c r="AA346">
        <v>3</v>
      </c>
      <c r="AB346">
        <v>0</v>
      </c>
      <c r="AD346">
        <v>114.2</v>
      </c>
    </row>
    <row r="347" spans="1:30" x14ac:dyDescent="0.3">
      <c r="A347" s="4">
        <v>357</v>
      </c>
      <c r="B347" s="5">
        <v>340</v>
      </c>
      <c r="C347">
        <v>291</v>
      </c>
      <c r="D347" t="s">
        <v>905</v>
      </c>
      <c r="E347" t="s">
        <v>157</v>
      </c>
      <c r="F347" t="s">
        <v>243</v>
      </c>
      <c r="G347" t="s">
        <v>906</v>
      </c>
      <c r="H347" t="str">
        <f>"00161645"</f>
        <v>00161645</v>
      </c>
      <c r="I347">
        <v>36</v>
      </c>
      <c r="J347">
        <v>10</v>
      </c>
      <c r="K347">
        <v>8</v>
      </c>
      <c r="N347">
        <v>8</v>
      </c>
      <c r="O347">
        <v>4</v>
      </c>
      <c r="P347">
        <v>0</v>
      </c>
      <c r="Q347">
        <v>58</v>
      </c>
      <c r="R347">
        <v>53</v>
      </c>
      <c r="S347">
        <v>53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53</v>
      </c>
      <c r="AA347">
        <v>3</v>
      </c>
      <c r="AB347">
        <v>0</v>
      </c>
      <c r="AD347">
        <v>114</v>
      </c>
    </row>
    <row r="348" spans="1:30" x14ac:dyDescent="0.3">
      <c r="A348" s="4">
        <v>358</v>
      </c>
      <c r="B348" s="5">
        <v>341</v>
      </c>
      <c r="C348">
        <v>4160</v>
      </c>
      <c r="D348" t="s">
        <v>907</v>
      </c>
      <c r="E348" t="s">
        <v>908</v>
      </c>
      <c r="F348" t="s">
        <v>909</v>
      </c>
      <c r="G348" t="s">
        <v>910</v>
      </c>
      <c r="H348" t="str">
        <f>"00489518"</f>
        <v>00489518</v>
      </c>
      <c r="I348">
        <v>36</v>
      </c>
      <c r="J348">
        <v>0</v>
      </c>
      <c r="N348">
        <v>0</v>
      </c>
      <c r="O348">
        <v>4</v>
      </c>
      <c r="P348">
        <v>2</v>
      </c>
      <c r="Q348">
        <v>42</v>
      </c>
      <c r="R348">
        <v>69</v>
      </c>
      <c r="S348">
        <v>69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69</v>
      </c>
      <c r="AA348">
        <v>3</v>
      </c>
      <c r="AB348">
        <v>0</v>
      </c>
      <c r="AD348">
        <v>114</v>
      </c>
    </row>
    <row r="349" spans="1:30" x14ac:dyDescent="0.3">
      <c r="A349" s="4">
        <v>359</v>
      </c>
      <c r="B349" s="5">
        <v>342</v>
      </c>
      <c r="C349">
        <v>4161</v>
      </c>
      <c r="D349" t="s">
        <v>418</v>
      </c>
      <c r="E349" t="s">
        <v>100</v>
      </c>
      <c r="F349" t="s">
        <v>124</v>
      </c>
      <c r="G349" t="s">
        <v>911</v>
      </c>
      <c r="H349" t="str">
        <f>"00442222"</f>
        <v>00442222</v>
      </c>
      <c r="I349">
        <v>36</v>
      </c>
      <c r="J349">
        <v>10</v>
      </c>
      <c r="N349">
        <v>0</v>
      </c>
      <c r="O349">
        <v>4</v>
      </c>
      <c r="P349">
        <v>2</v>
      </c>
      <c r="Q349">
        <v>52</v>
      </c>
      <c r="R349">
        <v>62</v>
      </c>
      <c r="S349">
        <v>62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62</v>
      </c>
      <c r="AA349">
        <v>0</v>
      </c>
      <c r="AB349">
        <v>0</v>
      </c>
      <c r="AD349">
        <v>114</v>
      </c>
    </row>
    <row r="350" spans="1:30" x14ac:dyDescent="0.3">
      <c r="A350" s="4">
        <v>360</v>
      </c>
      <c r="B350" s="5">
        <v>343</v>
      </c>
      <c r="C350">
        <v>1397</v>
      </c>
      <c r="D350" t="s">
        <v>498</v>
      </c>
      <c r="E350" t="s">
        <v>912</v>
      </c>
      <c r="F350" t="s">
        <v>227</v>
      </c>
      <c r="G350" t="s">
        <v>913</v>
      </c>
      <c r="H350" t="str">
        <f>"00484141"</f>
        <v>00484141</v>
      </c>
      <c r="I350">
        <v>36</v>
      </c>
      <c r="J350">
        <v>0</v>
      </c>
      <c r="M350">
        <v>4</v>
      </c>
      <c r="N350">
        <v>4</v>
      </c>
      <c r="O350">
        <v>4</v>
      </c>
      <c r="P350">
        <v>2</v>
      </c>
      <c r="Q350">
        <v>46</v>
      </c>
      <c r="R350">
        <v>68</v>
      </c>
      <c r="S350">
        <v>68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68</v>
      </c>
      <c r="AA350">
        <v>0</v>
      </c>
      <c r="AB350">
        <v>0</v>
      </c>
      <c r="AD350">
        <v>114</v>
      </c>
    </row>
    <row r="351" spans="1:30" x14ac:dyDescent="0.3">
      <c r="A351" s="4">
        <v>361</v>
      </c>
      <c r="B351" s="5">
        <v>344</v>
      </c>
      <c r="C351">
        <v>319</v>
      </c>
      <c r="D351" t="s">
        <v>914</v>
      </c>
      <c r="E351" t="s">
        <v>188</v>
      </c>
      <c r="F351" t="s">
        <v>117</v>
      </c>
      <c r="G351" t="s">
        <v>915</v>
      </c>
      <c r="H351" t="str">
        <f>"00508591"</f>
        <v>00508591</v>
      </c>
      <c r="I351">
        <v>36</v>
      </c>
      <c r="J351">
        <v>0</v>
      </c>
      <c r="N351">
        <v>0</v>
      </c>
      <c r="O351">
        <v>4</v>
      </c>
      <c r="P351">
        <v>2</v>
      </c>
      <c r="Q351">
        <v>42</v>
      </c>
      <c r="R351">
        <v>72</v>
      </c>
      <c r="S351">
        <v>72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72</v>
      </c>
      <c r="AA351">
        <v>0</v>
      </c>
      <c r="AB351">
        <v>0</v>
      </c>
      <c r="AD351">
        <v>114</v>
      </c>
    </row>
    <row r="352" spans="1:30" x14ac:dyDescent="0.3">
      <c r="A352" s="4">
        <v>362</v>
      </c>
      <c r="B352" s="5">
        <v>345</v>
      </c>
      <c r="C352">
        <v>2197</v>
      </c>
      <c r="D352" t="s">
        <v>916</v>
      </c>
      <c r="E352" t="s">
        <v>41</v>
      </c>
      <c r="F352" t="s">
        <v>81</v>
      </c>
      <c r="G352" t="s">
        <v>917</v>
      </c>
      <c r="H352" t="str">
        <f>"00524425"</f>
        <v>00524425</v>
      </c>
      <c r="I352">
        <v>36</v>
      </c>
      <c r="J352">
        <v>0</v>
      </c>
      <c r="N352">
        <v>0</v>
      </c>
      <c r="O352">
        <v>0</v>
      </c>
      <c r="P352">
        <v>0</v>
      </c>
      <c r="Q352">
        <v>36</v>
      </c>
      <c r="R352">
        <v>78</v>
      </c>
      <c r="S352">
        <v>78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78</v>
      </c>
      <c r="AA352">
        <v>0</v>
      </c>
      <c r="AB352">
        <v>0</v>
      </c>
      <c r="AD352">
        <v>114</v>
      </c>
    </row>
    <row r="353" spans="1:30" x14ac:dyDescent="0.3">
      <c r="A353" s="4">
        <v>363</v>
      </c>
      <c r="B353" s="5">
        <v>346</v>
      </c>
      <c r="C353">
        <v>101</v>
      </c>
      <c r="D353" t="s">
        <v>918</v>
      </c>
      <c r="E353" t="s">
        <v>41</v>
      </c>
      <c r="F353" t="s">
        <v>919</v>
      </c>
      <c r="G353" t="s">
        <v>920</v>
      </c>
      <c r="H353" t="str">
        <f>"201511014335"</f>
        <v>201511014335</v>
      </c>
      <c r="I353">
        <v>28.8</v>
      </c>
      <c r="J353">
        <v>10</v>
      </c>
      <c r="K353">
        <v>8</v>
      </c>
      <c r="L353">
        <v>6</v>
      </c>
      <c r="N353">
        <v>14</v>
      </c>
      <c r="O353">
        <v>4</v>
      </c>
      <c r="P353">
        <v>2</v>
      </c>
      <c r="Q353">
        <v>58.8</v>
      </c>
      <c r="R353">
        <v>55</v>
      </c>
      <c r="S353">
        <v>55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55</v>
      </c>
      <c r="AA353">
        <v>0</v>
      </c>
      <c r="AB353">
        <v>0</v>
      </c>
      <c r="AD353">
        <v>113.8</v>
      </c>
    </row>
    <row r="354" spans="1:30" x14ac:dyDescent="0.3">
      <c r="A354" s="4">
        <v>364</v>
      </c>
      <c r="B354" s="5">
        <v>347</v>
      </c>
      <c r="C354">
        <v>703</v>
      </c>
      <c r="D354" t="s">
        <v>756</v>
      </c>
      <c r="E354" t="s">
        <v>100</v>
      </c>
      <c r="F354" t="s">
        <v>14</v>
      </c>
      <c r="G354" t="s">
        <v>921</v>
      </c>
      <c r="H354" t="str">
        <f>"00521569"</f>
        <v>00521569</v>
      </c>
      <c r="I354">
        <v>28.8</v>
      </c>
      <c r="J354">
        <v>10</v>
      </c>
      <c r="N354">
        <v>0</v>
      </c>
      <c r="O354">
        <v>4</v>
      </c>
      <c r="P354">
        <v>2</v>
      </c>
      <c r="Q354">
        <v>44.8</v>
      </c>
      <c r="R354">
        <v>69</v>
      </c>
      <c r="S354">
        <v>69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69</v>
      </c>
      <c r="AA354">
        <v>0</v>
      </c>
      <c r="AB354">
        <v>0</v>
      </c>
      <c r="AD354">
        <v>113.8</v>
      </c>
    </row>
    <row r="355" spans="1:30" x14ac:dyDescent="0.3">
      <c r="A355" s="4">
        <v>365</v>
      </c>
      <c r="B355" s="5">
        <v>348</v>
      </c>
      <c r="C355">
        <v>3234</v>
      </c>
      <c r="D355" t="s">
        <v>922</v>
      </c>
      <c r="E355" t="s">
        <v>29</v>
      </c>
      <c r="F355" t="s">
        <v>17</v>
      </c>
      <c r="G355" t="s">
        <v>923</v>
      </c>
      <c r="H355" t="str">
        <f>"00532502"</f>
        <v>00532502</v>
      </c>
      <c r="I355">
        <v>28.8</v>
      </c>
      <c r="J355">
        <v>0</v>
      </c>
      <c r="N355">
        <v>0</v>
      </c>
      <c r="O355">
        <v>4</v>
      </c>
      <c r="P355">
        <v>2</v>
      </c>
      <c r="Q355">
        <v>34.799999999999997</v>
      </c>
      <c r="R355">
        <v>79</v>
      </c>
      <c r="S355">
        <v>79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79</v>
      </c>
      <c r="AA355">
        <v>0</v>
      </c>
      <c r="AB355">
        <v>0</v>
      </c>
      <c r="AD355">
        <v>113.8</v>
      </c>
    </row>
    <row r="356" spans="1:30" x14ac:dyDescent="0.3">
      <c r="A356" s="4">
        <v>366</v>
      </c>
      <c r="B356" s="5">
        <v>349</v>
      </c>
      <c r="C356">
        <v>2491</v>
      </c>
      <c r="D356" t="s">
        <v>924</v>
      </c>
      <c r="E356" t="s">
        <v>258</v>
      </c>
      <c r="F356" t="s">
        <v>38</v>
      </c>
      <c r="G356" t="s">
        <v>925</v>
      </c>
      <c r="H356" t="str">
        <f>"00525884"</f>
        <v>00525884</v>
      </c>
      <c r="I356">
        <v>28.8</v>
      </c>
      <c r="J356">
        <v>0</v>
      </c>
      <c r="N356">
        <v>0</v>
      </c>
      <c r="O356">
        <v>4</v>
      </c>
      <c r="P356">
        <v>2</v>
      </c>
      <c r="Q356">
        <v>34.799999999999997</v>
      </c>
      <c r="R356">
        <v>79</v>
      </c>
      <c r="S356">
        <v>79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79</v>
      </c>
      <c r="AA356">
        <v>0</v>
      </c>
      <c r="AB356">
        <v>0</v>
      </c>
      <c r="AD356">
        <v>113.8</v>
      </c>
    </row>
    <row r="357" spans="1:30" x14ac:dyDescent="0.3">
      <c r="A357" s="4">
        <v>367</v>
      </c>
      <c r="B357" s="5">
        <v>350</v>
      </c>
      <c r="C357">
        <v>3456</v>
      </c>
      <c r="D357" t="s">
        <v>926</v>
      </c>
      <c r="E357" t="s">
        <v>29</v>
      </c>
      <c r="F357" t="s">
        <v>927</v>
      </c>
      <c r="G357" t="s">
        <v>928</v>
      </c>
      <c r="H357" t="str">
        <f>"00498321"</f>
        <v>00498321</v>
      </c>
      <c r="I357">
        <v>21.6</v>
      </c>
      <c r="J357">
        <v>10</v>
      </c>
      <c r="K357">
        <v>8</v>
      </c>
      <c r="N357">
        <v>8</v>
      </c>
      <c r="O357">
        <v>4</v>
      </c>
      <c r="P357">
        <v>2</v>
      </c>
      <c r="Q357">
        <v>45.6</v>
      </c>
      <c r="R357">
        <v>65</v>
      </c>
      <c r="S357">
        <v>65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65</v>
      </c>
      <c r="AA357">
        <v>3</v>
      </c>
      <c r="AB357">
        <v>0</v>
      </c>
      <c r="AD357">
        <v>113.6</v>
      </c>
    </row>
    <row r="358" spans="1:30" x14ac:dyDescent="0.3">
      <c r="A358" s="4">
        <v>368</v>
      </c>
      <c r="B358" s="5">
        <v>351</v>
      </c>
      <c r="C358">
        <v>2341</v>
      </c>
      <c r="D358" t="s">
        <v>929</v>
      </c>
      <c r="E358" t="s">
        <v>930</v>
      </c>
      <c r="F358" t="s">
        <v>20</v>
      </c>
      <c r="G358" t="s">
        <v>931</v>
      </c>
      <c r="H358" t="str">
        <f>"00532022"</f>
        <v>00532022</v>
      </c>
      <c r="I358">
        <v>57.6</v>
      </c>
      <c r="J358">
        <v>0</v>
      </c>
      <c r="K358">
        <v>8</v>
      </c>
      <c r="L358">
        <v>6</v>
      </c>
      <c r="N358">
        <v>14</v>
      </c>
      <c r="O358">
        <v>4</v>
      </c>
      <c r="P358">
        <v>2</v>
      </c>
      <c r="Q358">
        <v>77.599999999999994</v>
      </c>
      <c r="R358">
        <v>36</v>
      </c>
      <c r="S358">
        <v>36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36</v>
      </c>
      <c r="AA358">
        <v>0</v>
      </c>
      <c r="AB358">
        <v>0</v>
      </c>
      <c r="AD358">
        <v>113.6</v>
      </c>
    </row>
    <row r="359" spans="1:30" x14ac:dyDescent="0.3">
      <c r="A359" s="4">
        <v>369</v>
      </c>
      <c r="B359" s="5">
        <v>352</v>
      </c>
      <c r="C359">
        <v>74</v>
      </c>
      <c r="D359" t="s">
        <v>932</v>
      </c>
      <c r="E359" t="s">
        <v>178</v>
      </c>
      <c r="F359" t="s">
        <v>416</v>
      </c>
      <c r="G359" t="s">
        <v>933</v>
      </c>
      <c r="H359" t="str">
        <f>"00530816"</f>
        <v>00530816</v>
      </c>
      <c r="I359">
        <v>21.6</v>
      </c>
      <c r="J359">
        <v>0</v>
      </c>
      <c r="N359">
        <v>0</v>
      </c>
      <c r="O359">
        <v>4</v>
      </c>
      <c r="P359">
        <v>0</v>
      </c>
      <c r="Q359">
        <v>25.6</v>
      </c>
      <c r="R359">
        <v>88</v>
      </c>
      <c r="S359">
        <v>88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88</v>
      </c>
      <c r="AA359">
        <v>0</v>
      </c>
      <c r="AB359">
        <v>0</v>
      </c>
      <c r="AD359">
        <v>113.6</v>
      </c>
    </row>
    <row r="360" spans="1:30" x14ac:dyDescent="0.3">
      <c r="A360" s="4">
        <v>370</v>
      </c>
      <c r="B360" s="5">
        <v>353</v>
      </c>
      <c r="C360">
        <v>1875</v>
      </c>
      <c r="D360" t="s">
        <v>934</v>
      </c>
      <c r="E360" t="s">
        <v>935</v>
      </c>
      <c r="F360" t="s">
        <v>17</v>
      </c>
      <c r="G360" t="s">
        <v>936</v>
      </c>
      <c r="H360" t="str">
        <f>"00493044"</f>
        <v>00493044</v>
      </c>
      <c r="I360">
        <v>30.56</v>
      </c>
      <c r="J360">
        <v>0</v>
      </c>
      <c r="N360">
        <v>0</v>
      </c>
      <c r="O360">
        <v>4</v>
      </c>
      <c r="P360">
        <v>0</v>
      </c>
      <c r="Q360">
        <v>34.56</v>
      </c>
      <c r="R360">
        <v>70</v>
      </c>
      <c r="S360">
        <v>70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70</v>
      </c>
      <c r="AA360">
        <v>9</v>
      </c>
      <c r="AB360">
        <v>0</v>
      </c>
      <c r="AD360">
        <v>113.56</v>
      </c>
    </row>
    <row r="361" spans="1:30" x14ac:dyDescent="0.3">
      <c r="A361" s="4">
        <v>371</v>
      </c>
      <c r="B361" s="5">
        <v>354</v>
      </c>
      <c r="C361">
        <v>1151</v>
      </c>
      <c r="D361" t="s">
        <v>937</v>
      </c>
      <c r="E361" t="s">
        <v>188</v>
      </c>
      <c r="F361" t="s">
        <v>30</v>
      </c>
      <c r="G361" t="s">
        <v>938</v>
      </c>
      <c r="H361" t="str">
        <f>"00481670"</f>
        <v>00481670</v>
      </c>
      <c r="I361">
        <v>50.4</v>
      </c>
      <c r="J361">
        <v>0</v>
      </c>
      <c r="N361">
        <v>0</v>
      </c>
      <c r="O361">
        <v>4</v>
      </c>
      <c r="P361">
        <v>0</v>
      </c>
      <c r="Q361">
        <v>54.4</v>
      </c>
      <c r="R361">
        <v>59</v>
      </c>
      <c r="S361">
        <v>59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59</v>
      </c>
      <c r="AA361">
        <v>0</v>
      </c>
      <c r="AB361">
        <v>0</v>
      </c>
      <c r="AD361">
        <v>113.4</v>
      </c>
    </row>
    <row r="362" spans="1:30" x14ac:dyDescent="0.3">
      <c r="A362" s="4">
        <v>372</v>
      </c>
      <c r="B362" s="5">
        <v>355</v>
      </c>
      <c r="C362">
        <v>4216</v>
      </c>
      <c r="D362" t="s">
        <v>939</v>
      </c>
      <c r="E362" t="s">
        <v>940</v>
      </c>
      <c r="F362" t="s">
        <v>81</v>
      </c>
      <c r="G362" t="s">
        <v>941</v>
      </c>
      <c r="H362" t="str">
        <f>"00449963"</f>
        <v>00449963</v>
      </c>
      <c r="I362">
        <v>28.36</v>
      </c>
      <c r="J362">
        <v>0</v>
      </c>
      <c r="K362">
        <v>16</v>
      </c>
      <c r="N362">
        <v>16</v>
      </c>
      <c r="O362">
        <v>4</v>
      </c>
      <c r="P362">
        <v>0</v>
      </c>
      <c r="Q362">
        <v>48.36</v>
      </c>
      <c r="R362">
        <v>59</v>
      </c>
      <c r="S362">
        <v>59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59</v>
      </c>
      <c r="AA362">
        <v>6</v>
      </c>
      <c r="AB362">
        <v>0</v>
      </c>
      <c r="AD362">
        <v>113.36</v>
      </c>
    </row>
    <row r="363" spans="1:30" x14ac:dyDescent="0.3">
      <c r="A363" s="4">
        <v>373</v>
      </c>
      <c r="B363" s="5">
        <v>356</v>
      </c>
      <c r="C363">
        <v>205</v>
      </c>
      <c r="D363" t="s">
        <v>942</v>
      </c>
      <c r="E363" t="s">
        <v>219</v>
      </c>
      <c r="F363" t="s">
        <v>81</v>
      </c>
      <c r="G363" t="s">
        <v>943</v>
      </c>
      <c r="H363" t="str">
        <f>"00506070"</f>
        <v>00506070</v>
      </c>
      <c r="I363">
        <v>30.24</v>
      </c>
      <c r="J363">
        <v>10</v>
      </c>
      <c r="K363">
        <v>8</v>
      </c>
      <c r="N363">
        <v>8</v>
      </c>
      <c r="O363">
        <v>4</v>
      </c>
      <c r="P363">
        <v>2</v>
      </c>
      <c r="Q363">
        <v>54.24</v>
      </c>
      <c r="R363">
        <v>56</v>
      </c>
      <c r="S363">
        <v>56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56</v>
      </c>
      <c r="AA363">
        <v>3</v>
      </c>
      <c r="AB363">
        <v>0</v>
      </c>
      <c r="AD363">
        <v>113.24</v>
      </c>
    </row>
    <row r="364" spans="1:30" x14ac:dyDescent="0.3">
      <c r="A364" s="4">
        <v>374</v>
      </c>
      <c r="B364" s="5">
        <v>357</v>
      </c>
      <c r="C364">
        <v>4364</v>
      </c>
      <c r="D364" t="s">
        <v>944</v>
      </c>
      <c r="E364" t="s">
        <v>945</v>
      </c>
      <c r="F364" t="s">
        <v>81</v>
      </c>
      <c r="G364" t="s">
        <v>946</v>
      </c>
      <c r="H364" t="str">
        <f>"00079617"</f>
        <v>00079617</v>
      </c>
      <c r="I364">
        <v>38.24</v>
      </c>
      <c r="J364">
        <v>0</v>
      </c>
      <c r="M364">
        <v>4</v>
      </c>
      <c r="N364">
        <v>4</v>
      </c>
      <c r="O364">
        <v>4</v>
      </c>
      <c r="P364">
        <v>2</v>
      </c>
      <c r="Q364">
        <v>48.24</v>
      </c>
      <c r="R364">
        <v>62</v>
      </c>
      <c r="S364">
        <v>62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62</v>
      </c>
      <c r="AA364">
        <v>3</v>
      </c>
      <c r="AB364">
        <v>0</v>
      </c>
      <c r="AD364">
        <v>113.24</v>
      </c>
    </row>
    <row r="365" spans="1:30" x14ac:dyDescent="0.3">
      <c r="A365" s="4">
        <v>375</v>
      </c>
      <c r="B365" s="5">
        <v>358</v>
      </c>
      <c r="C365">
        <v>4335</v>
      </c>
      <c r="D365" t="s">
        <v>947</v>
      </c>
      <c r="E365" t="s">
        <v>789</v>
      </c>
      <c r="F365" t="s">
        <v>20</v>
      </c>
      <c r="G365" t="s">
        <v>948</v>
      </c>
      <c r="H365" t="str">
        <f>"00531041"</f>
        <v>00531041</v>
      </c>
      <c r="I365">
        <v>43.2</v>
      </c>
      <c r="J365">
        <v>0</v>
      </c>
      <c r="K365">
        <v>8</v>
      </c>
      <c r="N365">
        <v>8</v>
      </c>
      <c r="O365">
        <v>4</v>
      </c>
      <c r="P365">
        <v>2</v>
      </c>
      <c r="Q365">
        <v>57.2</v>
      </c>
      <c r="R365">
        <v>53</v>
      </c>
      <c r="S365">
        <v>53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53</v>
      </c>
      <c r="AA365">
        <v>3</v>
      </c>
      <c r="AB365">
        <v>0</v>
      </c>
      <c r="AD365">
        <v>113.2</v>
      </c>
    </row>
    <row r="366" spans="1:30" x14ac:dyDescent="0.3">
      <c r="A366" s="4">
        <v>376</v>
      </c>
      <c r="B366" s="5">
        <v>359</v>
      </c>
      <c r="C366">
        <v>4096</v>
      </c>
      <c r="D366" t="s">
        <v>181</v>
      </c>
      <c r="E366" t="s">
        <v>19</v>
      </c>
      <c r="F366" t="s">
        <v>38</v>
      </c>
      <c r="G366" t="s">
        <v>949</v>
      </c>
      <c r="H366" t="str">
        <f>"00162123"</f>
        <v>00162123</v>
      </c>
      <c r="I366">
        <v>43.2</v>
      </c>
      <c r="J366">
        <v>0</v>
      </c>
      <c r="K366">
        <v>8</v>
      </c>
      <c r="N366">
        <v>8</v>
      </c>
      <c r="O366">
        <v>4</v>
      </c>
      <c r="P366">
        <v>2</v>
      </c>
      <c r="Q366">
        <v>57.2</v>
      </c>
      <c r="R366">
        <v>53</v>
      </c>
      <c r="S366">
        <v>53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53</v>
      </c>
      <c r="AA366">
        <v>3</v>
      </c>
      <c r="AB366">
        <v>0</v>
      </c>
      <c r="AD366">
        <v>113.2</v>
      </c>
    </row>
    <row r="367" spans="1:30" x14ac:dyDescent="0.3">
      <c r="A367" s="4">
        <v>377</v>
      </c>
      <c r="B367" s="5">
        <v>360</v>
      </c>
      <c r="C367">
        <v>940</v>
      </c>
      <c r="D367" t="s">
        <v>950</v>
      </c>
      <c r="E367" t="s">
        <v>115</v>
      </c>
      <c r="F367" t="s">
        <v>17</v>
      </c>
      <c r="G367" t="s">
        <v>951</v>
      </c>
      <c r="H367" t="str">
        <f>"201511032572"</f>
        <v>201511032572</v>
      </c>
      <c r="I367">
        <v>43.2</v>
      </c>
      <c r="J367">
        <v>10</v>
      </c>
      <c r="K367">
        <v>8</v>
      </c>
      <c r="N367">
        <v>8</v>
      </c>
      <c r="O367">
        <v>4</v>
      </c>
      <c r="P367">
        <v>2</v>
      </c>
      <c r="Q367">
        <v>67.2</v>
      </c>
      <c r="R367">
        <v>46</v>
      </c>
      <c r="S367">
        <v>46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46</v>
      </c>
      <c r="AA367">
        <v>0</v>
      </c>
      <c r="AB367">
        <v>0</v>
      </c>
      <c r="AD367">
        <v>113.2</v>
      </c>
    </row>
    <row r="368" spans="1:30" x14ac:dyDescent="0.3">
      <c r="A368" s="4">
        <v>378</v>
      </c>
      <c r="B368" s="5">
        <v>361</v>
      </c>
      <c r="C368">
        <v>324</v>
      </c>
      <c r="D368" t="s">
        <v>952</v>
      </c>
      <c r="E368" t="s">
        <v>29</v>
      </c>
      <c r="F368" t="s">
        <v>17</v>
      </c>
      <c r="G368" t="s">
        <v>953</v>
      </c>
      <c r="H368" t="str">
        <f>"00480027"</f>
        <v>00480027</v>
      </c>
      <c r="I368">
        <v>40</v>
      </c>
      <c r="J368">
        <v>0</v>
      </c>
      <c r="K368">
        <v>8</v>
      </c>
      <c r="M368">
        <v>4</v>
      </c>
      <c r="N368">
        <v>12</v>
      </c>
      <c r="O368">
        <v>4</v>
      </c>
      <c r="P368">
        <v>2</v>
      </c>
      <c r="Q368">
        <v>58</v>
      </c>
      <c r="R368">
        <v>49</v>
      </c>
      <c r="S368">
        <v>49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49</v>
      </c>
      <c r="AA368">
        <v>6</v>
      </c>
      <c r="AB368">
        <v>0</v>
      </c>
      <c r="AD368">
        <v>113</v>
      </c>
    </row>
    <row r="369" spans="1:30" x14ac:dyDescent="0.3">
      <c r="A369" s="4">
        <v>379</v>
      </c>
      <c r="B369" s="5">
        <v>362</v>
      </c>
      <c r="C369">
        <v>1090</v>
      </c>
      <c r="D369" t="s">
        <v>954</v>
      </c>
      <c r="E369" t="s">
        <v>161</v>
      </c>
      <c r="F369" t="s">
        <v>124</v>
      </c>
      <c r="G369" t="s">
        <v>955</v>
      </c>
      <c r="H369" t="str">
        <f>"201409003647"</f>
        <v>201409003647</v>
      </c>
      <c r="I369">
        <v>36</v>
      </c>
      <c r="J369">
        <v>10</v>
      </c>
      <c r="K369">
        <v>8</v>
      </c>
      <c r="N369">
        <v>8</v>
      </c>
      <c r="O369">
        <v>4</v>
      </c>
      <c r="P369">
        <v>2</v>
      </c>
      <c r="Q369">
        <v>60</v>
      </c>
      <c r="R369">
        <v>53</v>
      </c>
      <c r="S369">
        <v>53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53</v>
      </c>
      <c r="AA369">
        <v>0</v>
      </c>
      <c r="AB369">
        <v>0</v>
      </c>
      <c r="AD369">
        <v>113</v>
      </c>
    </row>
    <row r="370" spans="1:30" x14ac:dyDescent="0.3">
      <c r="A370" s="4">
        <v>380</v>
      </c>
      <c r="B370" s="5">
        <v>363</v>
      </c>
      <c r="C370">
        <v>279</v>
      </c>
      <c r="D370" t="s">
        <v>956</v>
      </c>
      <c r="E370" t="s">
        <v>957</v>
      </c>
      <c r="F370" t="s">
        <v>136</v>
      </c>
      <c r="G370" t="s">
        <v>958</v>
      </c>
      <c r="H370" t="str">
        <f>"00153073"</f>
        <v>00153073</v>
      </c>
      <c r="I370">
        <v>0</v>
      </c>
      <c r="J370">
        <v>10</v>
      </c>
      <c r="N370">
        <v>0</v>
      </c>
      <c r="O370">
        <v>4</v>
      </c>
      <c r="P370">
        <v>0</v>
      </c>
      <c r="Q370">
        <v>14</v>
      </c>
      <c r="R370">
        <v>99</v>
      </c>
      <c r="S370">
        <v>99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99</v>
      </c>
      <c r="AA370">
        <v>0</v>
      </c>
      <c r="AB370">
        <v>0</v>
      </c>
      <c r="AC370" t="s">
        <v>130</v>
      </c>
      <c r="AD370">
        <v>113</v>
      </c>
    </row>
    <row r="371" spans="1:30" x14ac:dyDescent="0.3">
      <c r="A371" s="4">
        <v>381</v>
      </c>
      <c r="B371" s="5">
        <v>364</v>
      </c>
      <c r="C371">
        <v>4357</v>
      </c>
      <c r="D371" t="s">
        <v>959</v>
      </c>
      <c r="E371" t="s">
        <v>648</v>
      </c>
      <c r="F371" t="s">
        <v>81</v>
      </c>
      <c r="G371" t="s">
        <v>960</v>
      </c>
      <c r="H371" t="str">
        <f>"00518991"</f>
        <v>00518991</v>
      </c>
      <c r="I371">
        <v>28.8</v>
      </c>
      <c r="J371">
        <v>0</v>
      </c>
      <c r="N371">
        <v>0</v>
      </c>
      <c r="O371">
        <v>4</v>
      </c>
      <c r="P371">
        <v>0</v>
      </c>
      <c r="Q371">
        <v>32.799999999999997</v>
      </c>
      <c r="R371">
        <v>77</v>
      </c>
      <c r="S371">
        <v>77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77</v>
      </c>
      <c r="AA371">
        <v>3</v>
      </c>
      <c r="AB371">
        <v>0</v>
      </c>
      <c r="AD371">
        <v>112.8</v>
      </c>
    </row>
    <row r="372" spans="1:30" x14ac:dyDescent="0.3">
      <c r="A372" s="4">
        <v>382</v>
      </c>
      <c r="B372" s="5">
        <v>365</v>
      </c>
      <c r="C372">
        <v>1262</v>
      </c>
      <c r="D372" t="s">
        <v>961</v>
      </c>
      <c r="E372" t="s">
        <v>255</v>
      </c>
      <c r="F372" t="s">
        <v>136</v>
      </c>
      <c r="G372" t="s">
        <v>962</v>
      </c>
      <c r="H372" t="str">
        <f>"00148356"</f>
        <v>00148356</v>
      </c>
      <c r="I372">
        <v>28.8</v>
      </c>
      <c r="J372">
        <v>10</v>
      </c>
      <c r="K372">
        <v>8</v>
      </c>
      <c r="N372">
        <v>8</v>
      </c>
      <c r="O372">
        <v>4</v>
      </c>
      <c r="P372">
        <v>0</v>
      </c>
      <c r="Q372">
        <v>50.8</v>
      </c>
      <c r="R372">
        <v>62</v>
      </c>
      <c r="S372">
        <v>62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62</v>
      </c>
      <c r="AA372">
        <v>0</v>
      </c>
      <c r="AB372">
        <v>0</v>
      </c>
      <c r="AC372" t="s">
        <v>130</v>
      </c>
      <c r="AD372">
        <v>112.8</v>
      </c>
    </row>
    <row r="373" spans="1:30" x14ac:dyDescent="0.3">
      <c r="A373" s="4">
        <v>383</v>
      </c>
      <c r="B373" s="5">
        <v>366</v>
      </c>
      <c r="C373">
        <v>1421</v>
      </c>
      <c r="D373" t="s">
        <v>963</v>
      </c>
      <c r="E373" t="s">
        <v>964</v>
      </c>
      <c r="F373" t="s">
        <v>214</v>
      </c>
      <c r="G373" t="s">
        <v>965</v>
      </c>
      <c r="H373" t="str">
        <f>"00513302"</f>
        <v>00513302</v>
      </c>
      <c r="I373">
        <v>28.8</v>
      </c>
      <c r="J373">
        <v>10</v>
      </c>
      <c r="N373">
        <v>0</v>
      </c>
      <c r="O373">
        <v>4</v>
      </c>
      <c r="P373">
        <v>0</v>
      </c>
      <c r="Q373">
        <v>42.8</v>
      </c>
      <c r="R373">
        <v>70</v>
      </c>
      <c r="S373">
        <v>70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70</v>
      </c>
      <c r="AA373">
        <v>0</v>
      </c>
      <c r="AB373">
        <v>0</v>
      </c>
      <c r="AD373">
        <v>112.8</v>
      </c>
    </row>
    <row r="374" spans="1:30" x14ac:dyDescent="0.3">
      <c r="A374" s="4">
        <v>384</v>
      </c>
      <c r="B374" s="5">
        <v>367</v>
      </c>
      <c r="C374">
        <v>1478</v>
      </c>
      <c r="D374" t="s">
        <v>966</v>
      </c>
      <c r="E374" t="s">
        <v>967</v>
      </c>
      <c r="F374" t="s">
        <v>230</v>
      </c>
      <c r="G374" t="s">
        <v>968</v>
      </c>
      <c r="H374" t="str">
        <f>"00504911"</f>
        <v>00504911</v>
      </c>
      <c r="I374">
        <v>28.8</v>
      </c>
      <c r="J374">
        <v>0</v>
      </c>
      <c r="M374">
        <v>4</v>
      </c>
      <c r="N374">
        <v>4</v>
      </c>
      <c r="O374">
        <v>4</v>
      </c>
      <c r="P374">
        <v>0</v>
      </c>
      <c r="Q374">
        <v>36.799999999999997</v>
      </c>
      <c r="R374">
        <v>76</v>
      </c>
      <c r="S374">
        <v>76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76</v>
      </c>
      <c r="AA374">
        <v>0</v>
      </c>
      <c r="AB374">
        <v>0</v>
      </c>
      <c r="AD374">
        <v>112.8</v>
      </c>
    </row>
    <row r="375" spans="1:30" x14ac:dyDescent="0.3">
      <c r="A375" s="4">
        <v>385</v>
      </c>
      <c r="B375" s="5">
        <v>368</v>
      </c>
      <c r="C375">
        <v>3827</v>
      </c>
      <c r="D375" t="s">
        <v>969</v>
      </c>
      <c r="E375" t="s">
        <v>81</v>
      </c>
      <c r="F375" t="s">
        <v>20</v>
      </c>
      <c r="G375" t="s">
        <v>970</v>
      </c>
      <c r="H375" t="str">
        <f>"00096147"</f>
        <v>00096147</v>
      </c>
      <c r="I375">
        <v>29.76</v>
      </c>
      <c r="J375">
        <v>0</v>
      </c>
      <c r="N375">
        <v>0</v>
      </c>
      <c r="O375">
        <v>0</v>
      </c>
      <c r="P375">
        <v>0</v>
      </c>
      <c r="Q375">
        <v>29.76</v>
      </c>
      <c r="R375">
        <v>83</v>
      </c>
      <c r="S375">
        <v>83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83</v>
      </c>
      <c r="AA375">
        <v>0</v>
      </c>
      <c r="AB375">
        <v>0</v>
      </c>
      <c r="AD375">
        <v>112.76</v>
      </c>
    </row>
    <row r="376" spans="1:30" x14ac:dyDescent="0.3">
      <c r="A376" s="4">
        <v>386</v>
      </c>
      <c r="B376" s="5">
        <v>369</v>
      </c>
      <c r="C376">
        <v>3984</v>
      </c>
      <c r="D376" t="s">
        <v>971</v>
      </c>
      <c r="E376" t="s">
        <v>283</v>
      </c>
      <c r="F376" t="s">
        <v>972</v>
      </c>
      <c r="G376" t="s">
        <v>973</v>
      </c>
      <c r="H376" t="str">
        <f>"00442325"</f>
        <v>00442325</v>
      </c>
      <c r="I376">
        <v>39.6</v>
      </c>
      <c r="J376">
        <v>10</v>
      </c>
      <c r="M376">
        <v>4</v>
      </c>
      <c r="N376">
        <v>4</v>
      </c>
      <c r="O376">
        <v>4</v>
      </c>
      <c r="P376">
        <v>0</v>
      </c>
      <c r="Q376">
        <v>57.6</v>
      </c>
      <c r="R376">
        <v>55</v>
      </c>
      <c r="S376">
        <v>55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55</v>
      </c>
      <c r="AA376">
        <v>0</v>
      </c>
      <c r="AB376">
        <v>0</v>
      </c>
      <c r="AC376" t="s">
        <v>130</v>
      </c>
      <c r="AD376">
        <v>112.6</v>
      </c>
    </row>
    <row r="377" spans="1:30" x14ac:dyDescent="0.3">
      <c r="A377" s="4">
        <v>387</v>
      </c>
      <c r="B377" s="5">
        <v>370</v>
      </c>
      <c r="C377">
        <v>883</v>
      </c>
      <c r="D377" t="s">
        <v>974</v>
      </c>
      <c r="E377" t="s">
        <v>26</v>
      </c>
      <c r="F377" t="s">
        <v>975</v>
      </c>
      <c r="G377" t="s">
        <v>976</v>
      </c>
      <c r="H377" t="str">
        <f>"00527945"</f>
        <v>00527945</v>
      </c>
      <c r="I377">
        <v>21.6</v>
      </c>
      <c r="J377">
        <v>0</v>
      </c>
      <c r="M377">
        <v>4</v>
      </c>
      <c r="N377">
        <v>4</v>
      </c>
      <c r="O377">
        <v>4</v>
      </c>
      <c r="P377">
        <v>0</v>
      </c>
      <c r="Q377">
        <v>29.6</v>
      </c>
      <c r="R377">
        <v>83</v>
      </c>
      <c r="S377">
        <v>83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83</v>
      </c>
      <c r="AA377">
        <v>0</v>
      </c>
      <c r="AB377">
        <v>0</v>
      </c>
      <c r="AD377">
        <v>112.6</v>
      </c>
    </row>
    <row r="378" spans="1:30" x14ac:dyDescent="0.3">
      <c r="A378" s="4">
        <v>388</v>
      </c>
      <c r="B378" s="5">
        <v>371</v>
      </c>
      <c r="C378">
        <v>1929</v>
      </c>
      <c r="D378" t="s">
        <v>977</v>
      </c>
      <c r="E378" t="s">
        <v>400</v>
      </c>
      <c r="F378" t="s">
        <v>20</v>
      </c>
      <c r="G378" t="s">
        <v>978</v>
      </c>
      <c r="H378" t="str">
        <f>"00531526"</f>
        <v>00531526</v>
      </c>
      <c r="I378">
        <v>35.56</v>
      </c>
      <c r="J378">
        <v>0</v>
      </c>
      <c r="M378">
        <v>4</v>
      </c>
      <c r="N378">
        <v>4</v>
      </c>
      <c r="O378">
        <v>4</v>
      </c>
      <c r="P378">
        <v>2</v>
      </c>
      <c r="Q378">
        <v>45.56</v>
      </c>
      <c r="R378">
        <v>61</v>
      </c>
      <c r="S378">
        <v>61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61</v>
      </c>
      <c r="AA378">
        <v>6</v>
      </c>
      <c r="AB378">
        <v>0</v>
      </c>
      <c r="AD378">
        <v>112.56</v>
      </c>
    </row>
    <row r="379" spans="1:30" x14ac:dyDescent="0.3">
      <c r="A379" s="4">
        <v>389</v>
      </c>
      <c r="B379" s="5">
        <v>372</v>
      </c>
      <c r="C379">
        <v>4490</v>
      </c>
      <c r="D379" t="s">
        <v>979</v>
      </c>
      <c r="E379" t="s">
        <v>22</v>
      </c>
      <c r="F379" t="s">
        <v>980</v>
      </c>
      <c r="G379" t="s">
        <v>981</v>
      </c>
      <c r="H379" t="str">
        <f>"00336088"</f>
        <v>00336088</v>
      </c>
      <c r="I379">
        <v>21.44</v>
      </c>
      <c r="J379">
        <v>10</v>
      </c>
      <c r="L379">
        <v>6</v>
      </c>
      <c r="N379">
        <v>6</v>
      </c>
      <c r="O379">
        <v>4</v>
      </c>
      <c r="P379">
        <v>2</v>
      </c>
      <c r="Q379">
        <v>43.44</v>
      </c>
      <c r="R379">
        <v>63</v>
      </c>
      <c r="S379">
        <v>63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63</v>
      </c>
      <c r="AA379">
        <v>6</v>
      </c>
      <c r="AB379">
        <v>0</v>
      </c>
      <c r="AD379">
        <v>112.44</v>
      </c>
    </row>
    <row r="380" spans="1:30" x14ac:dyDescent="0.3">
      <c r="A380" s="4">
        <v>390</v>
      </c>
      <c r="B380" s="5">
        <v>373</v>
      </c>
      <c r="C380">
        <v>3361</v>
      </c>
      <c r="D380" t="s">
        <v>982</v>
      </c>
      <c r="E380" t="s">
        <v>173</v>
      </c>
      <c r="F380" t="s">
        <v>91</v>
      </c>
      <c r="G380" t="s">
        <v>983</v>
      </c>
      <c r="H380" t="str">
        <f>"00289382"</f>
        <v>00289382</v>
      </c>
      <c r="I380">
        <v>50.4</v>
      </c>
      <c r="J380">
        <v>0</v>
      </c>
      <c r="N380">
        <v>0</v>
      </c>
      <c r="O380">
        <v>4</v>
      </c>
      <c r="P380">
        <v>2</v>
      </c>
      <c r="Q380">
        <v>56.4</v>
      </c>
      <c r="R380">
        <v>18</v>
      </c>
      <c r="S380">
        <v>18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18</v>
      </c>
      <c r="AA380">
        <v>6</v>
      </c>
      <c r="AB380">
        <v>32</v>
      </c>
      <c r="AD380">
        <v>112.4</v>
      </c>
    </row>
    <row r="381" spans="1:30" x14ac:dyDescent="0.3">
      <c r="A381" s="4">
        <v>391</v>
      </c>
      <c r="B381" s="5">
        <v>374</v>
      </c>
      <c r="C381">
        <v>95</v>
      </c>
      <c r="D381" t="s">
        <v>984</v>
      </c>
      <c r="E381" t="s">
        <v>41</v>
      </c>
      <c r="F381" t="s">
        <v>442</v>
      </c>
      <c r="G381" t="s">
        <v>985</v>
      </c>
      <c r="H381" t="str">
        <f>"00149046"</f>
        <v>00149046</v>
      </c>
      <c r="I381">
        <v>14.4</v>
      </c>
      <c r="J381">
        <v>0</v>
      </c>
      <c r="N381">
        <v>0</v>
      </c>
      <c r="O381">
        <v>4</v>
      </c>
      <c r="P381">
        <v>0</v>
      </c>
      <c r="Q381">
        <v>18.399999999999999</v>
      </c>
      <c r="R381">
        <v>74</v>
      </c>
      <c r="S381">
        <v>74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74</v>
      </c>
      <c r="AA381">
        <v>0</v>
      </c>
      <c r="AB381">
        <v>20</v>
      </c>
      <c r="AD381">
        <v>112.4</v>
      </c>
    </row>
    <row r="382" spans="1:30" x14ac:dyDescent="0.3">
      <c r="A382" s="4">
        <v>392</v>
      </c>
      <c r="B382" s="5">
        <v>375</v>
      </c>
      <c r="C382">
        <v>3056</v>
      </c>
      <c r="D382" t="s">
        <v>731</v>
      </c>
      <c r="E382" t="s">
        <v>986</v>
      </c>
      <c r="F382" t="s">
        <v>20</v>
      </c>
      <c r="G382" t="s">
        <v>987</v>
      </c>
      <c r="H382" t="str">
        <f>"00187974"</f>
        <v>00187974</v>
      </c>
      <c r="I382">
        <v>50.4</v>
      </c>
      <c r="J382">
        <v>0</v>
      </c>
      <c r="K382">
        <v>8</v>
      </c>
      <c r="N382">
        <v>8</v>
      </c>
      <c r="O382">
        <v>4</v>
      </c>
      <c r="P382">
        <v>0</v>
      </c>
      <c r="Q382">
        <v>62.4</v>
      </c>
      <c r="R382">
        <v>47</v>
      </c>
      <c r="S382">
        <v>47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47</v>
      </c>
      <c r="AA382">
        <v>3</v>
      </c>
      <c r="AB382">
        <v>0</v>
      </c>
      <c r="AD382">
        <v>112.4</v>
      </c>
    </row>
    <row r="383" spans="1:30" x14ac:dyDescent="0.3">
      <c r="A383" s="4">
        <v>393</v>
      </c>
      <c r="B383" s="5">
        <v>376</v>
      </c>
      <c r="C383">
        <v>2812</v>
      </c>
      <c r="D383" t="s">
        <v>988</v>
      </c>
      <c r="E383" t="s">
        <v>471</v>
      </c>
      <c r="F383" t="s">
        <v>91</v>
      </c>
      <c r="G383" t="s">
        <v>989</v>
      </c>
      <c r="H383" t="str">
        <f>"00530192"</f>
        <v>00530192</v>
      </c>
      <c r="I383">
        <v>14.4</v>
      </c>
      <c r="J383">
        <v>10</v>
      </c>
      <c r="N383">
        <v>0</v>
      </c>
      <c r="O383">
        <v>4</v>
      </c>
      <c r="P383">
        <v>2</v>
      </c>
      <c r="Q383">
        <v>30.4</v>
      </c>
      <c r="R383">
        <v>82</v>
      </c>
      <c r="S383">
        <v>82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82</v>
      </c>
      <c r="AA383">
        <v>0</v>
      </c>
      <c r="AB383">
        <v>0</v>
      </c>
      <c r="AD383">
        <v>112.4</v>
      </c>
    </row>
    <row r="384" spans="1:30" x14ac:dyDescent="0.3">
      <c r="A384" s="4">
        <v>394</v>
      </c>
      <c r="B384" s="5">
        <v>377</v>
      </c>
      <c r="C384">
        <v>1554</v>
      </c>
      <c r="D384" t="s">
        <v>701</v>
      </c>
      <c r="E384" t="s">
        <v>550</v>
      </c>
      <c r="F384" t="s">
        <v>343</v>
      </c>
      <c r="G384" t="s">
        <v>990</v>
      </c>
      <c r="H384" t="str">
        <f>"201604001732"</f>
        <v>201604001732</v>
      </c>
      <c r="I384">
        <v>24.28</v>
      </c>
      <c r="J384">
        <v>0</v>
      </c>
      <c r="N384">
        <v>0</v>
      </c>
      <c r="O384">
        <v>4</v>
      </c>
      <c r="P384">
        <v>2</v>
      </c>
      <c r="Q384">
        <v>30.28</v>
      </c>
      <c r="R384">
        <v>46</v>
      </c>
      <c r="S384">
        <v>46</v>
      </c>
      <c r="T384">
        <v>18</v>
      </c>
      <c r="U384">
        <v>36</v>
      </c>
      <c r="V384">
        <v>0</v>
      </c>
      <c r="W384">
        <v>0</v>
      </c>
      <c r="X384">
        <v>0</v>
      </c>
      <c r="Y384">
        <v>0</v>
      </c>
      <c r="Z384">
        <v>82</v>
      </c>
      <c r="AA384">
        <v>0</v>
      </c>
      <c r="AB384">
        <v>0</v>
      </c>
      <c r="AD384">
        <v>112.28</v>
      </c>
    </row>
    <row r="385" spans="1:30" x14ac:dyDescent="0.3">
      <c r="A385" s="4">
        <v>395</v>
      </c>
      <c r="B385" s="5">
        <v>378</v>
      </c>
      <c r="C385">
        <v>2246</v>
      </c>
      <c r="D385" t="s">
        <v>991</v>
      </c>
      <c r="E385" t="s">
        <v>992</v>
      </c>
      <c r="F385" t="s">
        <v>442</v>
      </c>
      <c r="G385" t="s">
        <v>993</v>
      </c>
      <c r="H385" t="str">
        <f>"00534043"</f>
        <v>00534043</v>
      </c>
      <c r="I385">
        <v>7.2</v>
      </c>
      <c r="J385">
        <v>0</v>
      </c>
      <c r="M385">
        <v>4</v>
      </c>
      <c r="N385">
        <v>4</v>
      </c>
      <c r="O385">
        <v>4</v>
      </c>
      <c r="P385">
        <v>2</v>
      </c>
      <c r="Q385">
        <v>17.2</v>
      </c>
      <c r="R385">
        <v>92</v>
      </c>
      <c r="S385">
        <v>92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92</v>
      </c>
      <c r="AA385">
        <v>3</v>
      </c>
      <c r="AB385">
        <v>0</v>
      </c>
      <c r="AC385" t="s">
        <v>130</v>
      </c>
      <c r="AD385">
        <v>112.2</v>
      </c>
    </row>
    <row r="386" spans="1:30" x14ac:dyDescent="0.3">
      <c r="A386" s="4">
        <v>396</v>
      </c>
      <c r="B386" s="5">
        <v>379</v>
      </c>
      <c r="C386">
        <v>999</v>
      </c>
      <c r="D386" t="s">
        <v>994</v>
      </c>
      <c r="E386" t="s">
        <v>406</v>
      </c>
      <c r="F386" t="s">
        <v>20</v>
      </c>
      <c r="G386" t="s">
        <v>995</v>
      </c>
      <c r="H386" t="str">
        <f>"00076181"</f>
        <v>00076181</v>
      </c>
      <c r="I386">
        <v>36</v>
      </c>
      <c r="J386">
        <v>10</v>
      </c>
      <c r="K386">
        <v>8</v>
      </c>
      <c r="N386">
        <v>8</v>
      </c>
      <c r="O386">
        <v>4</v>
      </c>
      <c r="P386">
        <v>2</v>
      </c>
      <c r="Q386">
        <v>60</v>
      </c>
      <c r="R386">
        <v>49</v>
      </c>
      <c r="S386">
        <v>49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49</v>
      </c>
      <c r="AA386">
        <v>3</v>
      </c>
      <c r="AB386">
        <v>0</v>
      </c>
      <c r="AD386">
        <v>112</v>
      </c>
    </row>
    <row r="387" spans="1:30" x14ac:dyDescent="0.3">
      <c r="A387" s="4">
        <v>398</v>
      </c>
      <c r="B387" s="5">
        <v>380</v>
      </c>
      <c r="C387">
        <v>2125</v>
      </c>
      <c r="D387" t="s">
        <v>997</v>
      </c>
      <c r="E387" t="s">
        <v>26</v>
      </c>
      <c r="F387" t="s">
        <v>117</v>
      </c>
      <c r="G387" t="s">
        <v>998</v>
      </c>
      <c r="H387" t="str">
        <f>"00507117"</f>
        <v>00507117</v>
      </c>
      <c r="I387">
        <v>36</v>
      </c>
      <c r="J387">
        <v>10</v>
      </c>
      <c r="K387">
        <v>8</v>
      </c>
      <c r="N387">
        <v>8</v>
      </c>
      <c r="O387">
        <v>4</v>
      </c>
      <c r="P387">
        <v>2</v>
      </c>
      <c r="Q387">
        <v>60</v>
      </c>
      <c r="R387">
        <v>52</v>
      </c>
      <c r="S387">
        <v>52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52</v>
      </c>
      <c r="AA387">
        <v>0</v>
      </c>
      <c r="AB387">
        <v>0</v>
      </c>
      <c r="AD387">
        <v>112</v>
      </c>
    </row>
    <row r="388" spans="1:30" x14ac:dyDescent="0.3">
      <c r="A388" s="4">
        <v>399</v>
      </c>
      <c r="B388" s="5">
        <v>381</v>
      </c>
      <c r="C388">
        <v>3836</v>
      </c>
      <c r="D388" t="s">
        <v>999</v>
      </c>
      <c r="E388" t="s">
        <v>100</v>
      </c>
      <c r="F388" t="s">
        <v>1000</v>
      </c>
      <c r="G388" t="s">
        <v>1001</v>
      </c>
      <c r="H388" t="str">
        <f>"00516741"</f>
        <v>00516741</v>
      </c>
      <c r="I388">
        <v>36</v>
      </c>
      <c r="J388">
        <v>0</v>
      </c>
      <c r="N388">
        <v>0</v>
      </c>
      <c r="O388">
        <v>0</v>
      </c>
      <c r="P388">
        <v>0</v>
      </c>
      <c r="Q388">
        <v>36</v>
      </c>
      <c r="R388">
        <v>76</v>
      </c>
      <c r="S388">
        <v>76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76</v>
      </c>
      <c r="AA388">
        <v>0</v>
      </c>
      <c r="AB388">
        <v>0</v>
      </c>
      <c r="AD388">
        <v>112</v>
      </c>
    </row>
    <row r="389" spans="1:30" x14ac:dyDescent="0.3">
      <c r="A389" s="4">
        <v>400</v>
      </c>
      <c r="B389" s="5">
        <v>382</v>
      </c>
      <c r="C389">
        <v>229</v>
      </c>
      <c r="D389" t="s">
        <v>1002</v>
      </c>
      <c r="E389" t="s">
        <v>97</v>
      </c>
      <c r="F389" t="s">
        <v>591</v>
      </c>
      <c r="G389" t="s">
        <v>1003</v>
      </c>
      <c r="H389" t="str">
        <f>"00510164"</f>
        <v>00510164</v>
      </c>
      <c r="I389">
        <v>38.92</v>
      </c>
      <c r="J389">
        <v>0</v>
      </c>
      <c r="L389">
        <v>6</v>
      </c>
      <c r="N389">
        <v>6</v>
      </c>
      <c r="O389">
        <v>4</v>
      </c>
      <c r="P389">
        <v>2</v>
      </c>
      <c r="Q389">
        <v>50.92</v>
      </c>
      <c r="R389">
        <v>55</v>
      </c>
      <c r="S389">
        <v>55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55</v>
      </c>
      <c r="AA389">
        <v>6</v>
      </c>
      <c r="AB389">
        <v>0</v>
      </c>
      <c r="AD389">
        <v>111.92</v>
      </c>
    </row>
    <row r="390" spans="1:30" x14ac:dyDescent="0.3">
      <c r="A390" s="4">
        <v>401</v>
      </c>
      <c r="B390" s="5">
        <v>383</v>
      </c>
      <c r="C390">
        <v>1980</v>
      </c>
      <c r="D390" t="s">
        <v>1004</v>
      </c>
      <c r="E390" t="s">
        <v>439</v>
      </c>
      <c r="F390" t="s">
        <v>55</v>
      </c>
      <c r="G390" t="s">
        <v>1005</v>
      </c>
      <c r="H390" t="str">
        <f>"00517715"</f>
        <v>00517715</v>
      </c>
      <c r="I390">
        <v>34</v>
      </c>
      <c r="J390">
        <v>10</v>
      </c>
      <c r="K390">
        <v>8</v>
      </c>
      <c r="N390">
        <v>8</v>
      </c>
      <c r="O390">
        <v>4</v>
      </c>
      <c r="P390">
        <v>2</v>
      </c>
      <c r="Q390">
        <v>58</v>
      </c>
      <c r="R390">
        <v>18</v>
      </c>
      <c r="S390">
        <v>18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18</v>
      </c>
      <c r="AA390">
        <v>9</v>
      </c>
      <c r="AB390">
        <v>26.8</v>
      </c>
      <c r="AD390">
        <v>111.8</v>
      </c>
    </row>
    <row r="391" spans="1:30" x14ac:dyDescent="0.3">
      <c r="A391" s="4">
        <v>402</v>
      </c>
      <c r="B391" s="5">
        <v>384</v>
      </c>
      <c r="C391">
        <v>389</v>
      </c>
      <c r="D391" t="s">
        <v>1006</v>
      </c>
      <c r="E391" t="s">
        <v>97</v>
      </c>
      <c r="F391" t="s">
        <v>136</v>
      </c>
      <c r="G391" t="s">
        <v>1007</v>
      </c>
      <c r="H391" t="str">
        <f>"00483244"</f>
        <v>00483244</v>
      </c>
      <c r="I391">
        <v>64.8</v>
      </c>
      <c r="J391">
        <v>0</v>
      </c>
      <c r="L391">
        <v>6</v>
      </c>
      <c r="N391">
        <v>6</v>
      </c>
      <c r="O391">
        <v>4</v>
      </c>
      <c r="P391">
        <v>0</v>
      </c>
      <c r="Q391">
        <v>74.8</v>
      </c>
      <c r="R391">
        <v>37</v>
      </c>
      <c r="S391">
        <v>37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37</v>
      </c>
      <c r="AA391">
        <v>0</v>
      </c>
      <c r="AB391">
        <v>0</v>
      </c>
      <c r="AD391">
        <v>111.8</v>
      </c>
    </row>
    <row r="392" spans="1:30" x14ac:dyDescent="0.3">
      <c r="A392" s="4">
        <v>403</v>
      </c>
      <c r="B392" s="5">
        <v>385</v>
      </c>
      <c r="C392">
        <v>3040</v>
      </c>
      <c r="D392" t="s">
        <v>1008</v>
      </c>
      <c r="E392" t="s">
        <v>188</v>
      </c>
      <c r="F392" t="s">
        <v>343</v>
      </c>
      <c r="G392" t="s">
        <v>1009</v>
      </c>
      <c r="H392" t="str">
        <f>"00158899"</f>
        <v>00158899</v>
      </c>
      <c r="I392">
        <v>28.8</v>
      </c>
      <c r="J392">
        <v>10</v>
      </c>
      <c r="M392">
        <v>4</v>
      </c>
      <c r="N392">
        <v>4</v>
      </c>
      <c r="O392">
        <v>4</v>
      </c>
      <c r="P392">
        <v>2</v>
      </c>
      <c r="Q392">
        <v>48.8</v>
      </c>
      <c r="R392">
        <v>63</v>
      </c>
      <c r="S392">
        <v>63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63</v>
      </c>
      <c r="AA392">
        <v>0</v>
      </c>
      <c r="AB392">
        <v>0</v>
      </c>
      <c r="AD392">
        <v>111.8</v>
      </c>
    </row>
    <row r="393" spans="1:30" x14ac:dyDescent="0.3">
      <c r="A393" s="4">
        <v>404</v>
      </c>
      <c r="B393" s="5">
        <v>386</v>
      </c>
      <c r="C393">
        <v>695</v>
      </c>
      <c r="D393" t="s">
        <v>1010</v>
      </c>
      <c r="E393" t="s">
        <v>29</v>
      </c>
      <c r="F393" t="s">
        <v>1011</v>
      </c>
      <c r="G393" t="s">
        <v>1012</v>
      </c>
      <c r="H393" t="str">
        <f>"00157821"</f>
        <v>00157821</v>
      </c>
      <c r="I393">
        <v>38.68</v>
      </c>
      <c r="J393">
        <v>10</v>
      </c>
      <c r="M393">
        <v>4</v>
      </c>
      <c r="N393">
        <v>4</v>
      </c>
      <c r="O393">
        <v>4</v>
      </c>
      <c r="P393">
        <v>0</v>
      </c>
      <c r="Q393">
        <v>56.68</v>
      </c>
      <c r="R393">
        <v>55</v>
      </c>
      <c r="S393">
        <v>55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55</v>
      </c>
      <c r="AA393">
        <v>0</v>
      </c>
      <c r="AB393">
        <v>0</v>
      </c>
      <c r="AD393">
        <v>111.68</v>
      </c>
    </row>
    <row r="394" spans="1:30" x14ac:dyDescent="0.3">
      <c r="A394" s="4">
        <v>405</v>
      </c>
      <c r="B394" s="5">
        <v>387</v>
      </c>
      <c r="C394">
        <v>3866</v>
      </c>
      <c r="D394" t="s">
        <v>1013</v>
      </c>
      <c r="E394" t="s">
        <v>54</v>
      </c>
      <c r="F394" t="s">
        <v>375</v>
      </c>
      <c r="G394" t="s">
        <v>1014</v>
      </c>
      <c r="H394" t="str">
        <f>"20160706542"</f>
        <v>20160706542</v>
      </c>
      <c r="I394">
        <v>57.6</v>
      </c>
      <c r="J394">
        <v>10</v>
      </c>
      <c r="M394">
        <v>4</v>
      </c>
      <c r="N394">
        <v>4</v>
      </c>
      <c r="O394">
        <v>0</v>
      </c>
      <c r="P394">
        <v>0</v>
      </c>
      <c r="Q394">
        <v>71.599999999999994</v>
      </c>
      <c r="R394">
        <v>37</v>
      </c>
      <c r="S394">
        <v>37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37</v>
      </c>
      <c r="AA394">
        <v>3</v>
      </c>
      <c r="AB394">
        <v>0</v>
      </c>
      <c r="AD394">
        <v>111.6</v>
      </c>
    </row>
    <row r="395" spans="1:30" x14ac:dyDescent="0.3">
      <c r="A395" s="4">
        <v>406</v>
      </c>
      <c r="B395" s="5">
        <v>388</v>
      </c>
      <c r="C395">
        <v>4947</v>
      </c>
      <c r="D395" t="s">
        <v>1015</v>
      </c>
      <c r="E395" t="s">
        <v>1016</v>
      </c>
      <c r="F395" t="s">
        <v>81</v>
      </c>
      <c r="G395" t="s">
        <v>1017</v>
      </c>
      <c r="H395" t="str">
        <f>"00530490"</f>
        <v>00530490</v>
      </c>
      <c r="I395">
        <v>37.6</v>
      </c>
      <c r="J395">
        <v>0</v>
      </c>
      <c r="K395">
        <v>8</v>
      </c>
      <c r="L395">
        <v>6</v>
      </c>
      <c r="N395">
        <v>14</v>
      </c>
      <c r="O395">
        <v>4</v>
      </c>
      <c r="P395">
        <v>0</v>
      </c>
      <c r="Q395">
        <v>55.6</v>
      </c>
      <c r="R395">
        <v>56</v>
      </c>
      <c r="S395">
        <v>56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56</v>
      </c>
      <c r="AA395">
        <v>0</v>
      </c>
      <c r="AB395">
        <v>0</v>
      </c>
      <c r="AD395">
        <v>111.6</v>
      </c>
    </row>
    <row r="396" spans="1:30" x14ac:dyDescent="0.3">
      <c r="A396" s="4">
        <v>407</v>
      </c>
      <c r="B396" s="5">
        <v>389</v>
      </c>
      <c r="C396">
        <v>1404</v>
      </c>
      <c r="D396" t="s">
        <v>1018</v>
      </c>
      <c r="E396" t="s">
        <v>1019</v>
      </c>
      <c r="F396" t="s">
        <v>1020</v>
      </c>
      <c r="G396" t="s">
        <v>1021</v>
      </c>
      <c r="H396" t="str">
        <f>"00513142"</f>
        <v>00513142</v>
      </c>
      <c r="I396">
        <v>39.6</v>
      </c>
      <c r="J396">
        <v>0</v>
      </c>
      <c r="M396">
        <v>4</v>
      </c>
      <c r="N396">
        <v>4</v>
      </c>
      <c r="O396">
        <v>4</v>
      </c>
      <c r="P396">
        <v>2</v>
      </c>
      <c r="Q396">
        <v>49.6</v>
      </c>
      <c r="R396">
        <v>62</v>
      </c>
      <c r="S396">
        <v>62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62</v>
      </c>
      <c r="AA396">
        <v>0</v>
      </c>
      <c r="AB396">
        <v>0</v>
      </c>
      <c r="AD396">
        <v>111.6</v>
      </c>
    </row>
    <row r="397" spans="1:30" x14ac:dyDescent="0.3">
      <c r="A397" s="4">
        <v>408</v>
      </c>
      <c r="B397" s="5">
        <v>390</v>
      </c>
      <c r="C397">
        <v>2867</v>
      </c>
      <c r="D397" t="s">
        <v>1022</v>
      </c>
      <c r="E397" t="s">
        <v>219</v>
      </c>
      <c r="F397" t="s">
        <v>1023</v>
      </c>
      <c r="G397" t="s">
        <v>1024</v>
      </c>
      <c r="H397" t="str">
        <f>"00530403"</f>
        <v>00530403</v>
      </c>
      <c r="I397">
        <v>39.56</v>
      </c>
      <c r="J397">
        <v>0</v>
      </c>
      <c r="N397">
        <v>0</v>
      </c>
      <c r="O397">
        <v>4</v>
      </c>
      <c r="P397">
        <v>0</v>
      </c>
      <c r="Q397">
        <v>43.56</v>
      </c>
      <c r="R397">
        <v>62</v>
      </c>
      <c r="S397">
        <v>62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62</v>
      </c>
      <c r="AA397">
        <v>6</v>
      </c>
      <c r="AB397">
        <v>0</v>
      </c>
      <c r="AD397">
        <v>111.56</v>
      </c>
    </row>
    <row r="398" spans="1:30" x14ac:dyDescent="0.3">
      <c r="A398" s="4">
        <v>409</v>
      </c>
      <c r="B398" s="5">
        <v>391</v>
      </c>
      <c r="C398">
        <v>1124</v>
      </c>
      <c r="D398" t="s">
        <v>28</v>
      </c>
      <c r="E398" t="s">
        <v>188</v>
      </c>
      <c r="F398" t="s">
        <v>1025</v>
      </c>
      <c r="G398" t="s">
        <v>1026</v>
      </c>
      <c r="H398" t="str">
        <f>"00476104"</f>
        <v>00476104</v>
      </c>
      <c r="I398">
        <v>50.4</v>
      </c>
      <c r="J398">
        <v>10</v>
      </c>
      <c r="M398">
        <v>8</v>
      </c>
      <c r="N398">
        <v>8</v>
      </c>
      <c r="O398">
        <v>4</v>
      </c>
      <c r="P398">
        <v>2</v>
      </c>
      <c r="Q398">
        <v>74.400000000000006</v>
      </c>
      <c r="R398">
        <v>34</v>
      </c>
      <c r="S398">
        <v>34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34</v>
      </c>
      <c r="AA398">
        <v>3</v>
      </c>
      <c r="AB398">
        <v>0</v>
      </c>
      <c r="AD398">
        <v>111.4</v>
      </c>
    </row>
    <row r="399" spans="1:30" x14ac:dyDescent="0.3">
      <c r="A399" s="4">
        <v>410</v>
      </c>
      <c r="B399" s="5">
        <v>392</v>
      </c>
      <c r="C399">
        <v>3256</v>
      </c>
      <c r="D399" t="s">
        <v>1027</v>
      </c>
      <c r="E399" t="s">
        <v>100</v>
      </c>
      <c r="F399" t="s">
        <v>117</v>
      </c>
      <c r="G399" t="s">
        <v>1028</v>
      </c>
      <c r="H399" t="str">
        <f>"00492473"</f>
        <v>00492473</v>
      </c>
      <c r="I399">
        <v>50.4</v>
      </c>
      <c r="J399">
        <v>10</v>
      </c>
      <c r="K399">
        <v>8</v>
      </c>
      <c r="N399">
        <v>8</v>
      </c>
      <c r="O399">
        <v>4</v>
      </c>
      <c r="P399">
        <v>2</v>
      </c>
      <c r="Q399">
        <v>74.400000000000006</v>
      </c>
      <c r="R399">
        <v>37</v>
      </c>
      <c r="S399">
        <v>37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37</v>
      </c>
      <c r="AA399">
        <v>0</v>
      </c>
      <c r="AB399">
        <v>0</v>
      </c>
      <c r="AD399">
        <v>111.4</v>
      </c>
    </row>
    <row r="400" spans="1:30" x14ac:dyDescent="0.3">
      <c r="A400" s="4">
        <v>411</v>
      </c>
      <c r="B400" s="5">
        <v>393</v>
      </c>
      <c r="C400">
        <v>4125</v>
      </c>
      <c r="D400" t="s">
        <v>1029</v>
      </c>
      <c r="E400" t="s">
        <v>54</v>
      </c>
      <c r="F400" t="s">
        <v>20</v>
      </c>
      <c r="G400" t="s">
        <v>1030</v>
      </c>
      <c r="H400" t="str">
        <f>"00509943"</f>
        <v>00509943</v>
      </c>
      <c r="I400">
        <v>50.4</v>
      </c>
      <c r="J400">
        <v>0</v>
      </c>
      <c r="K400">
        <v>8</v>
      </c>
      <c r="N400">
        <v>8</v>
      </c>
      <c r="O400">
        <v>4</v>
      </c>
      <c r="P400">
        <v>2</v>
      </c>
      <c r="Q400">
        <v>64.400000000000006</v>
      </c>
      <c r="R400">
        <v>47</v>
      </c>
      <c r="S400">
        <v>47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47</v>
      </c>
      <c r="AA400">
        <v>0</v>
      </c>
      <c r="AB400">
        <v>0</v>
      </c>
      <c r="AD400">
        <v>111.4</v>
      </c>
    </row>
    <row r="401" spans="1:30" x14ac:dyDescent="0.3">
      <c r="A401" s="4">
        <v>412</v>
      </c>
      <c r="B401" s="5">
        <v>394</v>
      </c>
      <c r="C401">
        <v>601</v>
      </c>
      <c r="D401" t="s">
        <v>1031</v>
      </c>
      <c r="E401" t="s">
        <v>30</v>
      </c>
      <c r="F401" t="s">
        <v>20</v>
      </c>
      <c r="G401" t="s">
        <v>1032</v>
      </c>
      <c r="H401" t="str">
        <f>"00162236"</f>
        <v>00162236</v>
      </c>
      <c r="I401">
        <v>50.4</v>
      </c>
      <c r="J401">
        <v>0</v>
      </c>
      <c r="N401">
        <v>0</v>
      </c>
      <c r="O401">
        <v>4</v>
      </c>
      <c r="P401">
        <v>2</v>
      </c>
      <c r="Q401">
        <v>56.4</v>
      </c>
      <c r="R401">
        <v>55</v>
      </c>
      <c r="S401">
        <v>55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55</v>
      </c>
      <c r="AA401">
        <v>0</v>
      </c>
      <c r="AB401">
        <v>0</v>
      </c>
      <c r="AD401">
        <v>111.4</v>
      </c>
    </row>
    <row r="402" spans="1:30" x14ac:dyDescent="0.3">
      <c r="A402" s="4">
        <v>413</v>
      </c>
      <c r="B402" s="5">
        <v>395</v>
      </c>
      <c r="C402">
        <v>4080</v>
      </c>
      <c r="D402" t="s">
        <v>1033</v>
      </c>
      <c r="E402" t="s">
        <v>258</v>
      </c>
      <c r="F402" t="s">
        <v>158</v>
      </c>
      <c r="G402" t="s">
        <v>1034</v>
      </c>
      <c r="H402" t="str">
        <f>"00503932"</f>
        <v>00503932</v>
      </c>
      <c r="I402">
        <v>33.32</v>
      </c>
      <c r="J402">
        <v>0</v>
      </c>
      <c r="M402">
        <v>4</v>
      </c>
      <c r="N402">
        <v>4</v>
      </c>
      <c r="O402">
        <v>4</v>
      </c>
      <c r="P402">
        <v>2</v>
      </c>
      <c r="Q402">
        <v>43.32</v>
      </c>
      <c r="R402">
        <v>59</v>
      </c>
      <c r="S402">
        <v>59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59</v>
      </c>
      <c r="AA402">
        <v>9</v>
      </c>
      <c r="AB402">
        <v>0</v>
      </c>
      <c r="AD402">
        <v>111.32</v>
      </c>
    </row>
    <row r="403" spans="1:30" x14ac:dyDescent="0.3">
      <c r="A403" s="4">
        <v>414</v>
      </c>
      <c r="B403" s="5">
        <v>396</v>
      </c>
      <c r="C403">
        <v>2046</v>
      </c>
      <c r="D403" t="s">
        <v>1035</v>
      </c>
      <c r="E403" t="s">
        <v>29</v>
      </c>
      <c r="F403" t="s">
        <v>62</v>
      </c>
      <c r="G403" t="s">
        <v>1036</v>
      </c>
      <c r="H403" t="str">
        <f>"00148201"</f>
        <v>00148201</v>
      </c>
      <c r="I403">
        <v>14.2</v>
      </c>
      <c r="J403">
        <v>0</v>
      </c>
      <c r="N403">
        <v>0</v>
      </c>
      <c r="O403">
        <v>4</v>
      </c>
      <c r="P403">
        <v>2</v>
      </c>
      <c r="Q403">
        <v>20.2</v>
      </c>
      <c r="R403">
        <v>65</v>
      </c>
      <c r="S403">
        <v>65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65</v>
      </c>
      <c r="AA403">
        <v>6</v>
      </c>
      <c r="AB403">
        <v>20</v>
      </c>
      <c r="AD403">
        <v>111.2</v>
      </c>
    </row>
    <row r="404" spans="1:30" x14ac:dyDescent="0.3">
      <c r="A404" s="4">
        <v>415</v>
      </c>
      <c r="B404" s="5">
        <v>397</v>
      </c>
      <c r="C404">
        <v>1325</v>
      </c>
      <c r="D404" t="s">
        <v>1037</v>
      </c>
      <c r="E404" t="s">
        <v>265</v>
      </c>
      <c r="F404" t="s">
        <v>972</v>
      </c>
      <c r="G404" t="s">
        <v>1038</v>
      </c>
      <c r="H404" t="str">
        <f>"201509000128"</f>
        <v>201509000128</v>
      </c>
      <c r="I404">
        <v>39.200000000000003</v>
      </c>
      <c r="J404">
        <v>10</v>
      </c>
      <c r="M404">
        <v>4</v>
      </c>
      <c r="N404">
        <v>4</v>
      </c>
      <c r="O404">
        <v>4</v>
      </c>
      <c r="P404">
        <v>0</v>
      </c>
      <c r="Q404">
        <v>57.2</v>
      </c>
      <c r="R404">
        <v>48</v>
      </c>
      <c r="S404">
        <v>48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48</v>
      </c>
      <c r="AA404">
        <v>6</v>
      </c>
      <c r="AB404">
        <v>0</v>
      </c>
      <c r="AD404">
        <v>111.2</v>
      </c>
    </row>
    <row r="405" spans="1:30" x14ac:dyDescent="0.3">
      <c r="A405" s="4">
        <v>416</v>
      </c>
      <c r="B405" s="5">
        <v>398</v>
      </c>
      <c r="C405">
        <v>2232</v>
      </c>
      <c r="D405" t="s">
        <v>1039</v>
      </c>
      <c r="E405" t="s">
        <v>161</v>
      </c>
      <c r="F405" t="s">
        <v>17</v>
      </c>
      <c r="G405" t="s">
        <v>1040</v>
      </c>
      <c r="H405" t="str">
        <f>"00174004"</f>
        <v>00174004</v>
      </c>
      <c r="I405">
        <v>37.08</v>
      </c>
      <c r="J405">
        <v>0</v>
      </c>
      <c r="K405">
        <v>8</v>
      </c>
      <c r="N405">
        <v>8</v>
      </c>
      <c r="O405">
        <v>4</v>
      </c>
      <c r="P405">
        <v>0</v>
      </c>
      <c r="Q405">
        <v>49.08</v>
      </c>
      <c r="R405">
        <v>53</v>
      </c>
      <c r="S405">
        <v>53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53</v>
      </c>
      <c r="AA405">
        <v>9</v>
      </c>
      <c r="AB405">
        <v>0</v>
      </c>
      <c r="AD405">
        <v>111.08</v>
      </c>
    </row>
    <row r="406" spans="1:30" x14ac:dyDescent="0.3">
      <c r="A406" s="4">
        <v>417</v>
      </c>
      <c r="B406" s="5">
        <v>399</v>
      </c>
      <c r="C406">
        <v>1896</v>
      </c>
      <c r="D406" t="s">
        <v>181</v>
      </c>
      <c r="E406" t="s">
        <v>697</v>
      </c>
      <c r="F406" t="s">
        <v>346</v>
      </c>
      <c r="G406" t="s">
        <v>1041</v>
      </c>
      <c r="H406" t="str">
        <f>"00515110"</f>
        <v>00515110</v>
      </c>
      <c r="I406">
        <v>36</v>
      </c>
      <c r="J406">
        <v>10</v>
      </c>
      <c r="N406">
        <v>0</v>
      </c>
      <c r="O406">
        <v>4</v>
      </c>
      <c r="P406">
        <v>0</v>
      </c>
      <c r="Q406">
        <v>50</v>
      </c>
      <c r="R406">
        <v>61</v>
      </c>
      <c r="S406">
        <v>61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61</v>
      </c>
      <c r="AA406">
        <v>0</v>
      </c>
      <c r="AB406">
        <v>0</v>
      </c>
      <c r="AD406">
        <v>111</v>
      </c>
    </row>
    <row r="407" spans="1:30" x14ac:dyDescent="0.3">
      <c r="A407" s="4">
        <v>418</v>
      </c>
      <c r="B407" s="5">
        <v>400</v>
      </c>
      <c r="C407">
        <v>185</v>
      </c>
      <c r="D407" t="s">
        <v>1042</v>
      </c>
      <c r="E407" t="s">
        <v>54</v>
      </c>
      <c r="F407" t="s">
        <v>81</v>
      </c>
      <c r="G407" t="s">
        <v>32024</v>
      </c>
      <c r="H407" t="str">
        <f>"00482169"</f>
        <v>00482169</v>
      </c>
      <c r="I407">
        <v>36</v>
      </c>
      <c r="J407">
        <v>0</v>
      </c>
      <c r="N407">
        <v>0</v>
      </c>
      <c r="O407">
        <v>0</v>
      </c>
      <c r="P407">
        <v>0</v>
      </c>
      <c r="Q407">
        <v>36</v>
      </c>
      <c r="R407">
        <v>75</v>
      </c>
      <c r="S407">
        <v>75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75</v>
      </c>
      <c r="AA407">
        <v>0</v>
      </c>
      <c r="AB407">
        <v>0</v>
      </c>
      <c r="AD407">
        <v>111</v>
      </c>
    </row>
    <row r="408" spans="1:30" x14ac:dyDescent="0.3">
      <c r="A408" s="4">
        <v>419</v>
      </c>
      <c r="B408" s="5">
        <v>401</v>
      </c>
      <c r="C408">
        <v>3683</v>
      </c>
      <c r="D408" t="s">
        <v>549</v>
      </c>
      <c r="E408" t="s">
        <v>1043</v>
      </c>
      <c r="F408" t="s">
        <v>68</v>
      </c>
      <c r="G408" t="s">
        <v>1044</v>
      </c>
      <c r="H408" t="str">
        <f>"00532151"</f>
        <v>00532151</v>
      </c>
      <c r="I408">
        <v>36.840000000000003</v>
      </c>
      <c r="J408">
        <v>10</v>
      </c>
      <c r="N408">
        <v>0</v>
      </c>
      <c r="O408">
        <v>0</v>
      </c>
      <c r="P408">
        <v>2</v>
      </c>
      <c r="Q408">
        <v>48.84</v>
      </c>
      <c r="R408">
        <v>33</v>
      </c>
      <c r="S408">
        <v>33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33</v>
      </c>
      <c r="AA408">
        <v>9</v>
      </c>
      <c r="AB408">
        <v>20</v>
      </c>
      <c r="AD408">
        <v>110.84</v>
      </c>
    </row>
    <row r="409" spans="1:30" x14ac:dyDescent="0.3">
      <c r="A409" s="4">
        <v>420</v>
      </c>
      <c r="B409" s="5">
        <v>402</v>
      </c>
      <c r="C409">
        <v>2333</v>
      </c>
      <c r="D409" t="s">
        <v>1045</v>
      </c>
      <c r="E409" t="s">
        <v>22</v>
      </c>
      <c r="F409" t="s">
        <v>190</v>
      </c>
      <c r="G409" t="s">
        <v>1046</v>
      </c>
      <c r="H409" t="str">
        <f>"00266529"</f>
        <v>00266529</v>
      </c>
      <c r="I409">
        <v>64.8</v>
      </c>
      <c r="J409">
        <v>0</v>
      </c>
      <c r="N409">
        <v>0</v>
      </c>
      <c r="O409">
        <v>4</v>
      </c>
      <c r="P409">
        <v>2</v>
      </c>
      <c r="Q409">
        <v>70.8</v>
      </c>
      <c r="R409">
        <v>37</v>
      </c>
      <c r="S409">
        <v>37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37</v>
      </c>
      <c r="AA409">
        <v>3</v>
      </c>
      <c r="AB409">
        <v>0</v>
      </c>
      <c r="AD409">
        <v>110.8</v>
      </c>
    </row>
    <row r="410" spans="1:30" x14ac:dyDescent="0.3">
      <c r="A410" s="4">
        <v>421</v>
      </c>
      <c r="B410" s="5">
        <v>403</v>
      </c>
      <c r="C410">
        <v>2130</v>
      </c>
      <c r="D410" t="s">
        <v>805</v>
      </c>
      <c r="E410" t="s">
        <v>286</v>
      </c>
      <c r="F410" t="s">
        <v>167</v>
      </c>
      <c r="G410" t="s">
        <v>1047</v>
      </c>
      <c r="H410" t="str">
        <f>"00153587"</f>
        <v>00153587</v>
      </c>
      <c r="I410">
        <v>28.8</v>
      </c>
      <c r="J410">
        <v>0</v>
      </c>
      <c r="M410">
        <v>4</v>
      </c>
      <c r="N410">
        <v>4</v>
      </c>
      <c r="O410">
        <v>4</v>
      </c>
      <c r="P410">
        <v>2</v>
      </c>
      <c r="Q410">
        <v>38.799999999999997</v>
      </c>
      <c r="R410">
        <v>72</v>
      </c>
      <c r="S410">
        <v>72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72</v>
      </c>
      <c r="AA410">
        <v>0</v>
      </c>
      <c r="AB410">
        <v>0</v>
      </c>
      <c r="AD410">
        <v>110.8</v>
      </c>
    </row>
    <row r="411" spans="1:30" x14ac:dyDescent="0.3">
      <c r="A411" s="4">
        <v>422</v>
      </c>
      <c r="B411" s="5">
        <v>404</v>
      </c>
      <c r="C411">
        <v>4753</v>
      </c>
      <c r="D411" t="s">
        <v>1048</v>
      </c>
      <c r="E411" t="s">
        <v>17</v>
      </c>
      <c r="F411" t="s">
        <v>136</v>
      </c>
      <c r="G411" t="s">
        <v>1049</v>
      </c>
      <c r="H411" t="str">
        <f>"00530591"</f>
        <v>00530591</v>
      </c>
      <c r="I411">
        <v>13.76</v>
      </c>
      <c r="J411">
        <v>10</v>
      </c>
      <c r="N411">
        <v>0</v>
      </c>
      <c r="O411">
        <v>0</v>
      </c>
      <c r="P411">
        <v>0</v>
      </c>
      <c r="Q411">
        <v>23.76</v>
      </c>
      <c r="R411">
        <v>87</v>
      </c>
      <c r="S411">
        <v>87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87</v>
      </c>
      <c r="AA411">
        <v>0</v>
      </c>
      <c r="AB411">
        <v>0</v>
      </c>
      <c r="AD411">
        <v>110.76</v>
      </c>
    </row>
    <row r="412" spans="1:30" x14ac:dyDescent="0.3">
      <c r="A412" s="4">
        <v>423</v>
      </c>
      <c r="B412" s="5">
        <v>405</v>
      </c>
      <c r="C412">
        <v>2816</v>
      </c>
      <c r="D412" t="s">
        <v>1050</v>
      </c>
      <c r="E412" t="s">
        <v>355</v>
      </c>
      <c r="F412" t="s">
        <v>259</v>
      </c>
      <c r="G412" t="s">
        <v>1051</v>
      </c>
      <c r="H412" t="str">
        <f>"00482279"</f>
        <v>00482279</v>
      </c>
      <c r="I412">
        <v>21.6</v>
      </c>
      <c r="J412">
        <v>0</v>
      </c>
      <c r="M412">
        <v>4</v>
      </c>
      <c r="N412">
        <v>4</v>
      </c>
      <c r="O412">
        <v>4</v>
      </c>
      <c r="P412">
        <v>2</v>
      </c>
      <c r="Q412">
        <v>31.6</v>
      </c>
      <c r="R412">
        <v>70</v>
      </c>
      <c r="S412">
        <v>70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70</v>
      </c>
      <c r="AA412">
        <v>9</v>
      </c>
      <c r="AB412">
        <v>0</v>
      </c>
      <c r="AD412">
        <v>110.6</v>
      </c>
    </row>
    <row r="413" spans="1:30" x14ac:dyDescent="0.3">
      <c r="A413" s="4">
        <v>424</v>
      </c>
      <c r="B413" s="5">
        <v>406</v>
      </c>
      <c r="C413">
        <v>2078</v>
      </c>
      <c r="D413" t="s">
        <v>1052</v>
      </c>
      <c r="E413" t="s">
        <v>1053</v>
      </c>
      <c r="F413" t="s">
        <v>20</v>
      </c>
      <c r="G413" t="s">
        <v>1054</v>
      </c>
      <c r="H413" t="str">
        <f>"00530372"</f>
        <v>00530372</v>
      </c>
      <c r="I413">
        <v>57.6</v>
      </c>
      <c r="J413">
        <v>0</v>
      </c>
      <c r="K413">
        <v>8</v>
      </c>
      <c r="N413">
        <v>8</v>
      </c>
      <c r="O413">
        <v>4</v>
      </c>
      <c r="P413">
        <v>0</v>
      </c>
      <c r="Q413">
        <v>69.599999999999994</v>
      </c>
      <c r="R413">
        <v>38</v>
      </c>
      <c r="S413">
        <v>38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38</v>
      </c>
      <c r="AA413">
        <v>3</v>
      </c>
      <c r="AB413">
        <v>0</v>
      </c>
      <c r="AD413">
        <v>110.6</v>
      </c>
    </row>
    <row r="414" spans="1:30" x14ac:dyDescent="0.3">
      <c r="A414" s="4">
        <v>425</v>
      </c>
      <c r="B414" s="5">
        <v>407</v>
      </c>
      <c r="C414">
        <v>1776</v>
      </c>
      <c r="D414" t="s">
        <v>1055</v>
      </c>
      <c r="E414" t="s">
        <v>1056</v>
      </c>
      <c r="F414" t="s">
        <v>17</v>
      </c>
      <c r="G414" t="s">
        <v>1057</v>
      </c>
      <c r="H414" t="str">
        <f>"00511079"</f>
        <v>00511079</v>
      </c>
      <c r="I414">
        <v>28.56</v>
      </c>
      <c r="J414">
        <v>10</v>
      </c>
      <c r="M414">
        <v>4</v>
      </c>
      <c r="N414">
        <v>4</v>
      </c>
      <c r="O414">
        <v>4</v>
      </c>
      <c r="P414">
        <v>2</v>
      </c>
      <c r="Q414">
        <v>48.56</v>
      </c>
      <c r="R414">
        <v>62</v>
      </c>
      <c r="S414">
        <v>62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62</v>
      </c>
      <c r="AA414">
        <v>0</v>
      </c>
      <c r="AB414">
        <v>0</v>
      </c>
      <c r="AD414">
        <v>110.56</v>
      </c>
    </row>
    <row r="415" spans="1:30" x14ac:dyDescent="0.3">
      <c r="A415" s="4">
        <v>426</v>
      </c>
      <c r="B415" s="5">
        <v>408</v>
      </c>
      <c r="C415">
        <v>294</v>
      </c>
      <c r="D415" t="s">
        <v>1058</v>
      </c>
      <c r="E415" t="s">
        <v>161</v>
      </c>
      <c r="F415" t="s">
        <v>30</v>
      </c>
      <c r="G415" t="s">
        <v>1059</v>
      </c>
      <c r="H415" t="str">
        <f>"00528716"</f>
        <v>00528716</v>
      </c>
      <c r="I415">
        <v>23.44</v>
      </c>
      <c r="J415">
        <v>0</v>
      </c>
      <c r="M415">
        <v>4</v>
      </c>
      <c r="N415">
        <v>4</v>
      </c>
      <c r="O415">
        <v>4</v>
      </c>
      <c r="P415">
        <v>2</v>
      </c>
      <c r="Q415">
        <v>33.44</v>
      </c>
      <c r="R415">
        <v>74</v>
      </c>
      <c r="S415">
        <v>74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74</v>
      </c>
      <c r="AA415">
        <v>3</v>
      </c>
      <c r="AB415">
        <v>0</v>
      </c>
      <c r="AD415">
        <v>110.44</v>
      </c>
    </row>
    <row r="416" spans="1:30" x14ac:dyDescent="0.3">
      <c r="A416" s="4">
        <v>427</v>
      </c>
      <c r="B416" s="5">
        <v>409</v>
      </c>
      <c r="C416">
        <v>2650</v>
      </c>
      <c r="D416" t="s">
        <v>1060</v>
      </c>
      <c r="E416" t="s">
        <v>550</v>
      </c>
      <c r="F416" t="s">
        <v>892</v>
      </c>
      <c r="G416" t="s">
        <v>1061</v>
      </c>
      <c r="H416" t="str">
        <f>"00196478"</f>
        <v>00196478</v>
      </c>
      <c r="I416">
        <v>50.4</v>
      </c>
      <c r="J416">
        <v>10</v>
      </c>
      <c r="K416">
        <v>8</v>
      </c>
      <c r="N416">
        <v>8</v>
      </c>
      <c r="O416">
        <v>4</v>
      </c>
      <c r="P416">
        <v>2</v>
      </c>
      <c r="Q416">
        <v>74.400000000000006</v>
      </c>
      <c r="R416">
        <v>30</v>
      </c>
      <c r="S416">
        <v>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30</v>
      </c>
      <c r="AA416">
        <v>6</v>
      </c>
      <c r="AB416">
        <v>0</v>
      </c>
      <c r="AD416">
        <v>110.4</v>
      </c>
    </row>
    <row r="417" spans="1:30" x14ac:dyDescent="0.3">
      <c r="A417" s="4">
        <v>428</v>
      </c>
      <c r="B417" s="5">
        <v>410</v>
      </c>
      <c r="C417">
        <v>200</v>
      </c>
      <c r="D417" t="s">
        <v>1062</v>
      </c>
      <c r="E417" t="s">
        <v>1063</v>
      </c>
      <c r="F417" t="s">
        <v>52</v>
      </c>
      <c r="G417" t="s">
        <v>1064</v>
      </c>
      <c r="H417" t="str">
        <f>"00514887"</f>
        <v>00514887</v>
      </c>
      <c r="I417">
        <v>50.4</v>
      </c>
      <c r="J417">
        <v>0</v>
      </c>
      <c r="M417">
        <v>4</v>
      </c>
      <c r="N417">
        <v>4</v>
      </c>
      <c r="O417">
        <v>4</v>
      </c>
      <c r="P417">
        <v>2</v>
      </c>
      <c r="Q417">
        <v>60.4</v>
      </c>
      <c r="R417">
        <v>47</v>
      </c>
      <c r="S417">
        <v>47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47</v>
      </c>
      <c r="AA417">
        <v>3</v>
      </c>
      <c r="AB417">
        <v>0</v>
      </c>
      <c r="AD417">
        <v>110.4</v>
      </c>
    </row>
    <row r="418" spans="1:30" x14ac:dyDescent="0.3">
      <c r="A418" s="4">
        <v>429</v>
      </c>
      <c r="B418" s="5">
        <v>411</v>
      </c>
      <c r="C418">
        <v>1458</v>
      </c>
      <c r="D418" t="s">
        <v>1065</v>
      </c>
      <c r="E418" t="s">
        <v>188</v>
      </c>
      <c r="F418" t="s">
        <v>38</v>
      </c>
      <c r="G418" t="s">
        <v>1066</v>
      </c>
      <c r="H418" t="str">
        <f>"00500568"</f>
        <v>00500568</v>
      </c>
      <c r="I418">
        <v>50.4</v>
      </c>
      <c r="J418">
        <v>0</v>
      </c>
      <c r="N418">
        <v>0</v>
      </c>
      <c r="O418">
        <v>4</v>
      </c>
      <c r="P418">
        <v>0</v>
      </c>
      <c r="Q418">
        <v>54.4</v>
      </c>
      <c r="R418">
        <v>53</v>
      </c>
      <c r="S418">
        <v>53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53</v>
      </c>
      <c r="AA418">
        <v>3</v>
      </c>
      <c r="AB418">
        <v>0</v>
      </c>
      <c r="AD418">
        <v>110.4</v>
      </c>
    </row>
    <row r="419" spans="1:30" x14ac:dyDescent="0.3">
      <c r="A419" s="4">
        <v>430</v>
      </c>
      <c r="B419" s="5">
        <v>412</v>
      </c>
      <c r="C419">
        <v>1453</v>
      </c>
      <c r="D419" t="s">
        <v>1067</v>
      </c>
      <c r="E419" t="s">
        <v>33</v>
      </c>
      <c r="F419" t="s">
        <v>136</v>
      </c>
      <c r="G419" t="s">
        <v>1068</v>
      </c>
      <c r="H419" t="str">
        <f>"00494455"</f>
        <v>00494455</v>
      </c>
      <c r="I419">
        <v>14.4</v>
      </c>
      <c r="J419">
        <v>0</v>
      </c>
      <c r="N419">
        <v>0</v>
      </c>
      <c r="O419">
        <v>4</v>
      </c>
      <c r="P419">
        <v>2</v>
      </c>
      <c r="Q419">
        <v>20.399999999999999</v>
      </c>
      <c r="R419">
        <v>87</v>
      </c>
      <c r="S419">
        <v>87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87</v>
      </c>
      <c r="AA419">
        <v>3</v>
      </c>
      <c r="AB419">
        <v>0</v>
      </c>
      <c r="AD419">
        <v>110.4</v>
      </c>
    </row>
    <row r="420" spans="1:30" x14ac:dyDescent="0.3">
      <c r="A420" s="4">
        <v>431</v>
      </c>
      <c r="B420" s="5">
        <v>413</v>
      </c>
      <c r="C420">
        <v>605</v>
      </c>
      <c r="D420" t="s">
        <v>1069</v>
      </c>
      <c r="E420" t="s">
        <v>208</v>
      </c>
      <c r="F420" t="s">
        <v>136</v>
      </c>
      <c r="G420" t="s">
        <v>1070</v>
      </c>
      <c r="H420" t="str">
        <f>"201511030751"</f>
        <v>201511030751</v>
      </c>
      <c r="I420">
        <v>50.4</v>
      </c>
      <c r="J420">
        <v>10</v>
      </c>
      <c r="K420">
        <v>8</v>
      </c>
      <c r="N420">
        <v>8</v>
      </c>
      <c r="O420">
        <v>4</v>
      </c>
      <c r="P420">
        <v>2</v>
      </c>
      <c r="Q420">
        <v>74.400000000000006</v>
      </c>
      <c r="R420">
        <v>36</v>
      </c>
      <c r="S420">
        <v>36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36</v>
      </c>
      <c r="AA420">
        <v>0</v>
      </c>
      <c r="AB420">
        <v>0</v>
      </c>
      <c r="AD420">
        <v>110.4</v>
      </c>
    </row>
    <row r="421" spans="1:30" x14ac:dyDescent="0.3">
      <c r="A421" s="4">
        <v>432</v>
      </c>
      <c r="B421" s="5">
        <v>414</v>
      </c>
      <c r="C421">
        <v>2777</v>
      </c>
      <c r="D421" t="s">
        <v>1071</v>
      </c>
      <c r="E421" t="s">
        <v>29</v>
      </c>
      <c r="F421" t="s">
        <v>1072</v>
      </c>
      <c r="G421" t="s">
        <v>1073</v>
      </c>
      <c r="H421" t="str">
        <f>"201402005152"</f>
        <v>201402005152</v>
      </c>
      <c r="I421">
        <v>50.4</v>
      </c>
      <c r="J421">
        <v>10</v>
      </c>
      <c r="K421">
        <v>8</v>
      </c>
      <c r="N421">
        <v>8</v>
      </c>
      <c r="O421">
        <v>4</v>
      </c>
      <c r="P421">
        <v>2</v>
      </c>
      <c r="Q421">
        <v>74.400000000000006</v>
      </c>
      <c r="R421">
        <v>36</v>
      </c>
      <c r="S421">
        <v>36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36</v>
      </c>
      <c r="AA421">
        <v>0</v>
      </c>
      <c r="AB421">
        <v>0</v>
      </c>
      <c r="AD421">
        <v>110.4</v>
      </c>
    </row>
    <row r="422" spans="1:30" x14ac:dyDescent="0.3">
      <c r="A422" s="4">
        <v>433</v>
      </c>
      <c r="B422" s="5">
        <v>415</v>
      </c>
      <c r="C422">
        <v>4313</v>
      </c>
      <c r="D422" t="s">
        <v>1074</v>
      </c>
      <c r="E422" t="s">
        <v>1075</v>
      </c>
      <c r="F422" t="s">
        <v>1076</v>
      </c>
      <c r="G422" t="s">
        <v>1077</v>
      </c>
      <c r="H422" t="str">
        <f>"00531602"</f>
        <v>00531602</v>
      </c>
      <c r="I422">
        <v>50.4</v>
      </c>
      <c r="J422">
        <v>0</v>
      </c>
      <c r="N422">
        <v>0</v>
      </c>
      <c r="O422">
        <v>4</v>
      </c>
      <c r="P422">
        <v>2</v>
      </c>
      <c r="Q422">
        <v>56.4</v>
      </c>
      <c r="R422">
        <v>54</v>
      </c>
      <c r="S422">
        <v>54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54</v>
      </c>
      <c r="AA422">
        <v>0</v>
      </c>
      <c r="AB422">
        <v>0</v>
      </c>
      <c r="AD422">
        <v>110.4</v>
      </c>
    </row>
    <row r="423" spans="1:30" x14ac:dyDescent="0.3">
      <c r="A423" s="4">
        <v>434</v>
      </c>
      <c r="B423" s="5">
        <v>416</v>
      </c>
      <c r="C423">
        <v>2517</v>
      </c>
      <c r="D423" t="s">
        <v>1078</v>
      </c>
      <c r="E423" t="s">
        <v>22</v>
      </c>
      <c r="F423" t="s">
        <v>68</v>
      </c>
      <c r="G423" t="s">
        <v>1079</v>
      </c>
      <c r="H423" t="str">
        <f>"201604000323"</f>
        <v>201604000323</v>
      </c>
      <c r="I423">
        <v>24.32</v>
      </c>
      <c r="J423">
        <v>10</v>
      </c>
      <c r="K423">
        <v>8</v>
      </c>
      <c r="N423">
        <v>8</v>
      </c>
      <c r="O423">
        <v>4</v>
      </c>
      <c r="P423">
        <v>2</v>
      </c>
      <c r="Q423">
        <v>48.32</v>
      </c>
      <c r="R423">
        <v>17</v>
      </c>
      <c r="S423">
        <v>17</v>
      </c>
      <c r="T423">
        <v>18</v>
      </c>
      <c r="U423">
        <v>36</v>
      </c>
      <c r="V423">
        <v>0</v>
      </c>
      <c r="W423">
        <v>0</v>
      </c>
      <c r="X423">
        <v>0</v>
      </c>
      <c r="Y423">
        <v>0</v>
      </c>
      <c r="Z423">
        <v>53</v>
      </c>
      <c r="AA423">
        <v>9</v>
      </c>
      <c r="AB423">
        <v>0</v>
      </c>
      <c r="AD423">
        <v>110.32</v>
      </c>
    </row>
    <row r="424" spans="1:30" x14ac:dyDescent="0.3">
      <c r="A424" s="4">
        <v>435</v>
      </c>
      <c r="B424" s="5">
        <v>417</v>
      </c>
      <c r="C424">
        <v>2041</v>
      </c>
      <c r="D424" t="s">
        <v>1080</v>
      </c>
      <c r="E424" t="s">
        <v>1081</v>
      </c>
      <c r="F424" t="s">
        <v>20</v>
      </c>
      <c r="G424" t="s">
        <v>1082</v>
      </c>
      <c r="H424" t="str">
        <f>"00511638"</f>
        <v>00511638</v>
      </c>
      <c r="I424">
        <v>43.2</v>
      </c>
      <c r="J424">
        <v>0</v>
      </c>
      <c r="N424">
        <v>0</v>
      </c>
      <c r="O424">
        <v>4</v>
      </c>
      <c r="P424">
        <v>2</v>
      </c>
      <c r="Q424">
        <v>49.2</v>
      </c>
      <c r="R424">
        <v>61</v>
      </c>
      <c r="S424">
        <v>61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61</v>
      </c>
      <c r="AA424">
        <v>0</v>
      </c>
      <c r="AB424">
        <v>0</v>
      </c>
      <c r="AD424">
        <v>110.2</v>
      </c>
    </row>
    <row r="425" spans="1:30" x14ac:dyDescent="0.3">
      <c r="A425" s="4">
        <v>436</v>
      </c>
      <c r="B425" s="5">
        <v>418</v>
      </c>
      <c r="C425">
        <v>927</v>
      </c>
      <c r="D425" t="s">
        <v>1083</v>
      </c>
      <c r="E425" t="s">
        <v>1084</v>
      </c>
      <c r="F425" t="s">
        <v>158</v>
      </c>
      <c r="G425" t="s">
        <v>1085</v>
      </c>
      <c r="H425" t="str">
        <f>"00514098"</f>
        <v>00514098</v>
      </c>
      <c r="I425">
        <v>72</v>
      </c>
      <c r="J425">
        <v>0</v>
      </c>
      <c r="M425">
        <v>4</v>
      </c>
      <c r="N425">
        <v>4</v>
      </c>
      <c r="O425">
        <v>4</v>
      </c>
      <c r="P425">
        <v>2</v>
      </c>
      <c r="Q425">
        <v>82</v>
      </c>
      <c r="R425">
        <v>28</v>
      </c>
      <c r="S425">
        <v>28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28</v>
      </c>
      <c r="AA425">
        <v>0</v>
      </c>
      <c r="AB425">
        <v>0</v>
      </c>
      <c r="AD425">
        <v>110</v>
      </c>
    </row>
    <row r="426" spans="1:30" x14ac:dyDescent="0.3">
      <c r="A426" s="4">
        <v>437</v>
      </c>
      <c r="B426" s="5">
        <v>419</v>
      </c>
      <c r="C426">
        <v>1429</v>
      </c>
      <c r="D426" t="s">
        <v>1086</v>
      </c>
      <c r="E426" t="s">
        <v>594</v>
      </c>
      <c r="F426" t="s">
        <v>17</v>
      </c>
      <c r="G426" t="s">
        <v>1087</v>
      </c>
      <c r="H426" t="str">
        <f>"00517180"</f>
        <v>00517180</v>
      </c>
      <c r="I426">
        <v>36</v>
      </c>
      <c r="J426">
        <v>10</v>
      </c>
      <c r="K426">
        <v>8</v>
      </c>
      <c r="N426">
        <v>8</v>
      </c>
      <c r="O426">
        <v>0</v>
      </c>
      <c r="P426">
        <v>2</v>
      </c>
      <c r="Q426">
        <v>56</v>
      </c>
      <c r="R426">
        <v>54</v>
      </c>
      <c r="S426">
        <v>54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54</v>
      </c>
      <c r="AA426">
        <v>0</v>
      </c>
      <c r="AB426">
        <v>0</v>
      </c>
      <c r="AD426">
        <v>110</v>
      </c>
    </row>
    <row r="427" spans="1:30" x14ac:dyDescent="0.3">
      <c r="A427" s="4">
        <v>438</v>
      </c>
      <c r="B427" s="5">
        <v>420</v>
      </c>
      <c r="C427">
        <v>2982</v>
      </c>
      <c r="D427" t="s">
        <v>1088</v>
      </c>
      <c r="E427" t="s">
        <v>1089</v>
      </c>
      <c r="F427" t="s">
        <v>1090</v>
      </c>
      <c r="G427" t="s">
        <v>1091</v>
      </c>
      <c r="H427" t="str">
        <f>"00442331"</f>
        <v>00442331</v>
      </c>
      <c r="I427">
        <v>36</v>
      </c>
      <c r="J427">
        <v>0</v>
      </c>
      <c r="M427">
        <v>4</v>
      </c>
      <c r="N427">
        <v>4</v>
      </c>
      <c r="O427">
        <v>4</v>
      </c>
      <c r="P427">
        <v>2</v>
      </c>
      <c r="Q427">
        <v>46</v>
      </c>
      <c r="R427">
        <v>64</v>
      </c>
      <c r="S427">
        <v>64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64</v>
      </c>
      <c r="AA427">
        <v>0</v>
      </c>
      <c r="AB427">
        <v>0</v>
      </c>
      <c r="AD427">
        <v>110</v>
      </c>
    </row>
    <row r="428" spans="1:30" x14ac:dyDescent="0.3">
      <c r="A428" s="4">
        <v>439</v>
      </c>
      <c r="B428" s="5">
        <v>421</v>
      </c>
      <c r="C428">
        <v>3298</v>
      </c>
      <c r="D428" t="s">
        <v>1092</v>
      </c>
      <c r="E428" t="s">
        <v>1093</v>
      </c>
      <c r="F428" t="s">
        <v>230</v>
      </c>
      <c r="G428" t="s">
        <v>1094</v>
      </c>
      <c r="H428" t="str">
        <f>"00513315"</f>
        <v>00513315</v>
      </c>
      <c r="I428">
        <v>38.92</v>
      </c>
      <c r="J428">
        <v>10</v>
      </c>
      <c r="M428">
        <v>4</v>
      </c>
      <c r="N428">
        <v>4</v>
      </c>
      <c r="O428">
        <v>4</v>
      </c>
      <c r="P428">
        <v>2</v>
      </c>
      <c r="Q428">
        <v>58.92</v>
      </c>
      <c r="R428">
        <v>12</v>
      </c>
      <c r="S428">
        <v>12</v>
      </c>
      <c r="T428">
        <v>18</v>
      </c>
      <c r="U428">
        <v>36</v>
      </c>
      <c r="V428">
        <v>0</v>
      </c>
      <c r="W428">
        <v>0</v>
      </c>
      <c r="X428">
        <v>0</v>
      </c>
      <c r="Y428">
        <v>0</v>
      </c>
      <c r="Z428">
        <v>48</v>
      </c>
      <c r="AA428">
        <v>3</v>
      </c>
      <c r="AB428">
        <v>0</v>
      </c>
      <c r="AD428">
        <v>109.92</v>
      </c>
    </row>
    <row r="429" spans="1:30" x14ac:dyDescent="0.3">
      <c r="A429" s="4">
        <v>440</v>
      </c>
      <c r="B429" s="5">
        <v>422</v>
      </c>
      <c r="C429">
        <v>4783</v>
      </c>
      <c r="D429" t="s">
        <v>1095</v>
      </c>
      <c r="E429" t="s">
        <v>575</v>
      </c>
      <c r="F429" t="s">
        <v>30</v>
      </c>
      <c r="G429" t="s">
        <v>1096</v>
      </c>
      <c r="H429" t="str">
        <f>"00522301"</f>
        <v>00522301</v>
      </c>
      <c r="I429">
        <v>13.08</v>
      </c>
      <c r="J429">
        <v>0</v>
      </c>
      <c r="L429">
        <v>6</v>
      </c>
      <c r="N429">
        <v>6</v>
      </c>
      <c r="O429">
        <v>4</v>
      </c>
      <c r="P429">
        <v>2</v>
      </c>
      <c r="Q429">
        <v>25.08</v>
      </c>
      <c r="R429">
        <v>58</v>
      </c>
      <c r="S429">
        <v>58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58</v>
      </c>
      <c r="AA429">
        <v>0</v>
      </c>
      <c r="AB429">
        <v>26.8</v>
      </c>
      <c r="AD429">
        <v>109.88</v>
      </c>
    </row>
    <row r="430" spans="1:30" x14ac:dyDescent="0.3">
      <c r="A430" s="4">
        <v>441</v>
      </c>
      <c r="B430" s="5">
        <v>423</v>
      </c>
      <c r="C430">
        <v>3199</v>
      </c>
      <c r="D430" t="s">
        <v>1097</v>
      </c>
      <c r="E430" t="s">
        <v>54</v>
      </c>
      <c r="F430" t="s">
        <v>30</v>
      </c>
      <c r="G430" t="s">
        <v>1098</v>
      </c>
      <c r="H430" t="str">
        <f>"00337352"</f>
        <v>00337352</v>
      </c>
      <c r="I430">
        <v>30.84</v>
      </c>
      <c r="J430">
        <v>10</v>
      </c>
      <c r="M430">
        <v>4</v>
      </c>
      <c r="N430">
        <v>4</v>
      </c>
      <c r="O430">
        <v>4</v>
      </c>
      <c r="P430">
        <v>2</v>
      </c>
      <c r="Q430">
        <v>50.84</v>
      </c>
      <c r="R430">
        <v>59</v>
      </c>
      <c r="S430">
        <v>59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59</v>
      </c>
      <c r="AA430">
        <v>0</v>
      </c>
      <c r="AB430">
        <v>0</v>
      </c>
      <c r="AD430">
        <v>109.84</v>
      </c>
    </row>
    <row r="431" spans="1:30" x14ac:dyDescent="0.3">
      <c r="A431" s="4">
        <v>442</v>
      </c>
      <c r="B431" s="5">
        <v>424</v>
      </c>
      <c r="C431">
        <v>138</v>
      </c>
      <c r="D431" t="s">
        <v>1099</v>
      </c>
      <c r="E431" t="s">
        <v>33</v>
      </c>
      <c r="F431" t="s">
        <v>652</v>
      </c>
      <c r="G431" t="s">
        <v>1100</v>
      </c>
      <c r="H431" t="str">
        <f>"200802005274"</f>
        <v>200802005274</v>
      </c>
      <c r="I431">
        <v>28.8</v>
      </c>
      <c r="J431">
        <v>0</v>
      </c>
      <c r="K431">
        <v>8</v>
      </c>
      <c r="N431">
        <v>8</v>
      </c>
      <c r="O431">
        <v>4</v>
      </c>
      <c r="P431">
        <v>2</v>
      </c>
      <c r="Q431">
        <v>42.8</v>
      </c>
      <c r="R431">
        <v>61</v>
      </c>
      <c r="S431">
        <v>61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61</v>
      </c>
      <c r="AA431">
        <v>6</v>
      </c>
      <c r="AB431">
        <v>0</v>
      </c>
      <c r="AD431">
        <v>109.8</v>
      </c>
    </row>
    <row r="432" spans="1:30" x14ac:dyDescent="0.3">
      <c r="A432" s="4">
        <v>443</v>
      </c>
      <c r="B432" s="5">
        <v>425</v>
      </c>
      <c r="C432">
        <v>2187</v>
      </c>
      <c r="D432" t="s">
        <v>1101</v>
      </c>
      <c r="E432" t="s">
        <v>54</v>
      </c>
      <c r="F432" t="s">
        <v>62</v>
      </c>
      <c r="G432" t="s">
        <v>1102</v>
      </c>
      <c r="H432" t="str">
        <f>"00486867"</f>
        <v>00486867</v>
      </c>
      <c r="I432">
        <v>57.6</v>
      </c>
      <c r="J432">
        <v>10</v>
      </c>
      <c r="K432">
        <v>8</v>
      </c>
      <c r="N432">
        <v>8</v>
      </c>
      <c r="O432">
        <v>4</v>
      </c>
      <c r="P432">
        <v>2</v>
      </c>
      <c r="Q432">
        <v>81.599999999999994</v>
      </c>
      <c r="R432">
        <v>25</v>
      </c>
      <c r="S432">
        <v>25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25</v>
      </c>
      <c r="AA432">
        <v>3</v>
      </c>
      <c r="AB432">
        <v>0</v>
      </c>
      <c r="AD432">
        <v>109.6</v>
      </c>
    </row>
    <row r="433" spans="1:30" x14ac:dyDescent="0.3">
      <c r="A433" s="4">
        <v>444</v>
      </c>
      <c r="B433" s="5">
        <v>426</v>
      </c>
      <c r="C433">
        <v>4514</v>
      </c>
      <c r="D433" t="s">
        <v>264</v>
      </c>
      <c r="E433" t="s">
        <v>88</v>
      </c>
      <c r="F433" t="s">
        <v>81</v>
      </c>
      <c r="G433" t="s">
        <v>1103</v>
      </c>
      <c r="H433" t="str">
        <f>"00441540"</f>
        <v>00441540</v>
      </c>
      <c r="I433">
        <v>21.6</v>
      </c>
      <c r="J433">
        <v>10</v>
      </c>
      <c r="K433">
        <v>8</v>
      </c>
      <c r="N433">
        <v>8</v>
      </c>
      <c r="O433">
        <v>4</v>
      </c>
      <c r="P433">
        <v>2</v>
      </c>
      <c r="Q433">
        <v>45.6</v>
      </c>
      <c r="R433">
        <v>61</v>
      </c>
      <c r="S433">
        <v>61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61</v>
      </c>
      <c r="AA433">
        <v>3</v>
      </c>
      <c r="AB433">
        <v>0</v>
      </c>
      <c r="AD433">
        <v>109.6</v>
      </c>
    </row>
    <row r="434" spans="1:30" x14ac:dyDescent="0.3">
      <c r="A434" s="4">
        <v>445</v>
      </c>
      <c r="B434" s="5">
        <v>427</v>
      </c>
      <c r="C434">
        <v>526</v>
      </c>
      <c r="D434" t="s">
        <v>1104</v>
      </c>
      <c r="E434" t="s">
        <v>54</v>
      </c>
      <c r="F434" t="s">
        <v>20</v>
      </c>
      <c r="G434" t="s">
        <v>1105</v>
      </c>
      <c r="H434" t="str">
        <f>"00480075"</f>
        <v>00480075</v>
      </c>
      <c r="I434">
        <v>35.56</v>
      </c>
      <c r="J434">
        <v>0</v>
      </c>
      <c r="M434">
        <v>4</v>
      </c>
      <c r="N434">
        <v>4</v>
      </c>
      <c r="O434">
        <v>4</v>
      </c>
      <c r="P434">
        <v>2</v>
      </c>
      <c r="Q434">
        <v>45.56</v>
      </c>
      <c r="R434">
        <v>61</v>
      </c>
      <c r="S434">
        <v>61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61</v>
      </c>
      <c r="AA434">
        <v>3</v>
      </c>
      <c r="AB434">
        <v>0</v>
      </c>
      <c r="AD434">
        <v>109.56</v>
      </c>
    </row>
    <row r="435" spans="1:30" x14ac:dyDescent="0.3">
      <c r="A435" s="4">
        <v>446</v>
      </c>
      <c r="B435" s="5">
        <v>428</v>
      </c>
      <c r="C435">
        <v>31</v>
      </c>
      <c r="D435" t="s">
        <v>1106</v>
      </c>
      <c r="E435" t="s">
        <v>182</v>
      </c>
      <c r="F435" t="s">
        <v>158</v>
      </c>
      <c r="G435" t="s">
        <v>1107</v>
      </c>
      <c r="H435" t="str">
        <f>"00153180"</f>
        <v>00153180</v>
      </c>
      <c r="I435">
        <v>36.44</v>
      </c>
      <c r="J435">
        <v>0</v>
      </c>
      <c r="K435">
        <v>8</v>
      </c>
      <c r="N435">
        <v>8</v>
      </c>
      <c r="O435">
        <v>4</v>
      </c>
      <c r="P435">
        <v>0</v>
      </c>
      <c r="Q435">
        <v>48.44</v>
      </c>
      <c r="R435">
        <v>55</v>
      </c>
      <c r="S435">
        <v>55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55</v>
      </c>
      <c r="AA435">
        <v>6</v>
      </c>
      <c r="AB435">
        <v>0</v>
      </c>
      <c r="AD435">
        <v>109.44</v>
      </c>
    </row>
    <row r="436" spans="1:30" x14ac:dyDescent="0.3">
      <c r="A436" s="4">
        <v>447</v>
      </c>
      <c r="B436" s="5">
        <v>429</v>
      </c>
      <c r="C436">
        <v>549</v>
      </c>
      <c r="D436" t="s">
        <v>1108</v>
      </c>
      <c r="E436" t="s">
        <v>71</v>
      </c>
      <c r="F436" t="s">
        <v>68</v>
      </c>
      <c r="G436" t="s">
        <v>1109</v>
      </c>
      <c r="H436" t="str">
        <f>"00480875"</f>
        <v>00480875</v>
      </c>
      <c r="I436">
        <v>14.4</v>
      </c>
      <c r="J436">
        <v>0</v>
      </c>
      <c r="M436">
        <v>4</v>
      </c>
      <c r="N436">
        <v>4</v>
      </c>
      <c r="O436">
        <v>4</v>
      </c>
      <c r="P436">
        <v>0</v>
      </c>
      <c r="Q436">
        <v>22.4</v>
      </c>
      <c r="R436">
        <v>81</v>
      </c>
      <c r="S436">
        <v>81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81</v>
      </c>
      <c r="AA436">
        <v>6</v>
      </c>
      <c r="AB436">
        <v>0</v>
      </c>
      <c r="AD436">
        <v>109.4</v>
      </c>
    </row>
    <row r="437" spans="1:30" x14ac:dyDescent="0.3">
      <c r="A437" s="4">
        <v>448</v>
      </c>
      <c r="B437" s="5">
        <v>430</v>
      </c>
      <c r="C437">
        <v>988</v>
      </c>
      <c r="D437" t="s">
        <v>1110</v>
      </c>
      <c r="E437" t="s">
        <v>1111</v>
      </c>
      <c r="F437" t="s">
        <v>243</v>
      </c>
      <c r="G437" t="s">
        <v>1112</v>
      </c>
      <c r="H437" t="str">
        <f>"00025792"</f>
        <v>00025792</v>
      </c>
      <c r="I437">
        <v>25.32</v>
      </c>
      <c r="J437">
        <v>0</v>
      </c>
      <c r="M437">
        <v>4</v>
      </c>
      <c r="N437">
        <v>4</v>
      </c>
      <c r="O437">
        <v>4</v>
      </c>
      <c r="P437">
        <v>0</v>
      </c>
      <c r="Q437">
        <v>33.32</v>
      </c>
      <c r="R437">
        <v>76</v>
      </c>
      <c r="S437">
        <v>76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76</v>
      </c>
      <c r="AA437">
        <v>0</v>
      </c>
      <c r="AB437">
        <v>0</v>
      </c>
      <c r="AD437">
        <v>109.32</v>
      </c>
    </row>
    <row r="438" spans="1:30" x14ac:dyDescent="0.3">
      <c r="A438" s="4">
        <v>449</v>
      </c>
      <c r="B438" s="5">
        <v>431</v>
      </c>
      <c r="C438">
        <v>4062</v>
      </c>
      <c r="D438" t="s">
        <v>1113</v>
      </c>
      <c r="E438" t="s">
        <v>29</v>
      </c>
      <c r="F438" t="s">
        <v>17</v>
      </c>
      <c r="G438" t="s">
        <v>1114</v>
      </c>
      <c r="H438" t="str">
        <f>"201511009110"</f>
        <v>201511009110</v>
      </c>
      <c r="I438">
        <v>34.28</v>
      </c>
      <c r="J438">
        <v>10</v>
      </c>
      <c r="L438">
        <v>6</v>
      </c>
      <c r="N438">
        <v>6</v>
      </c>
      <c r="O438">
        <v>4</v>
      </c>
      <c r="P438">
        <v>0</v>
      </c>
      <c r="Q438">
        <v>54.28</v>
      </c>
      <c r="R438">
        <v>52</v>
      </c>
      <c r="S438">
        <v>52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52</v>
      </c>
      <c r="AA438">
        <v>3</v>
      </c>
      <c r="AB438">
        <v>0</v>
      </c>
      <c r="AD438">
        <v>109.28</v>
      </c>
    </row>
    <row r="439" spans="1:30" x14ac:dyDescent="0.3">
      <c r="A439" s="4">
        <v>450</v>
      </c>
      <c r="B439" s="5">
        <v>432</v>
      </c>
      <c r="C439">
        <v>3428</v>
      </c>
      <c r="D439" t="s">
        <v>1115</v>
      </c>
      <c r="E439" t="s">
        <v>132</v>
      </c>
      <c r="F439" t="s">
        <v>626</v>
      </c>
      <c r="G439" t="s">
        <v>1116</v>
      </c>
      <c r="H439" t="str">
        <f>"00508130"</f>
        <v>00508130</v>
      </c>
      <c r="I439">
        <v>7.2</v>
      </c>
      <c r="J439">
        <v>0</v>
      </c>
      <c r="N439">
        <v>0</v>
      </c>
      <c r="O439">
        <v>4</v>
      </c>
      <c r="P439">
        <v>2</v>
      </c>
      <c r="Q439">
        <v>13.2</v>
      </c>
      <c r="R439">
        <v>87</v>
      </c>
      <c r="S439">
        <v>87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87</v>
      </c>
      <c r="AA439">
        <v>9</v>
      </c>
      <c r="AB439">
        <v>0</v>
      </c>
      <c r="AD439">
        <v>109.2</v>
      </c>
    </row>
    <row r="440" spans="1:30" x14ac:dyDescent="0.3">
      <c r="A440" s="4">
        <v>451</v>
      </c>
      <c r="B440" s="5">
        <v>433</v>
      </c>
      <c r="C440">
        <v>1487</v>
      </c>
      <c r="D440" t="s">
        <v>939</v>
      </c>
      <c r="E440" t="s">
        <v>1117</v>
      </c>
      <c r="F440" t="s">
        <v>79</v>
      </c>
      <c r="G440" t="s">
        <v>1118</v>
      </c>
      <c r="H440" t="str">
        <f>"00210536"</f>
        <v>00210536</v>
      </c>
      <c r="I440">
        <v>43.2</v>
      </c>
      <c r="J440">
        <v>0</v>
      </c>
      <c r="N440">
        <v>0</v>
      </c>
      <c r="O440">
        <v>4</v>
      </c>
      <c r="P440">
        <v>0</v>
      </c>
      <c r="Q440">
        <v>47.2</v>
      </c>
      <c r="R440">
        <v>62</v>
      </c>
      <c r="S440">
        <v>62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62</v>
      </c>
      <c r="AA440">
        <v>0</v>
      </c>
      <c r="AB440">
        <v>0</v>
      </c>
      <c r="AD440">
        <v>109.2</v>
      </c>
    </row>
    <row r="441" spans="1:30" x14ac:dyDescent="0.3">
      <c r="A441" s="4">
        <v>452</v>
      </c>
      <c r="B441" s="5">
        <v>434</v>
      </c>
      <c r="C441">
        <v>1239</v>
      </c>
      <c r="D441" t="s">
        <v>1119</v>
      </c>
      <c r="E441" t="s">
        <v>1120</v>
      </c>
      <c r="F441" t="s">
        <v>1121</v>
      </c>
      <c r="G441" t="s">
        <v>1122</v>
      </c>
      <c r="H441" t="str">
        <f>"00510571"</f>
        <v>00510571</v>
      </c>
      <c r="I441">
        <v>7.2</v>
      </c>
      <c r="J441">
        <v>0</v>
      </c>
      <c r="K441">
        <v>8</v>
      </c>
      <c r="N441">
        <v>8</v>
      </c>
      <c r="O441">
        <v>4</v>
      </c>
      <c r="P441">
        <v>2</v>
      </c>
      <c r="Q441">
        <v>21.2</v>
      </c>
      <c r="R441">
        <v>88</v>
      </c>
      <c r="S441">
        <v>88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88</v>
      </c>
      <c r="AA441">
        <v>0</v>
      </c>
      <c r="AB441">
        <v>0</v>
      </c>
      <c r="AD441">
        <v>109.2</v>
      </c>
    </row>
    <row r="442" spans="1:30" x14ac:dyDescent="0.3">
      <c r="A442" s="4">
        <v>453</v>
      </c>
      <c r="B442" s="5">
        <v>435</v>
      </c>
      <c r="C442">
        <v>3214</v>
      </c>
      <c r="D442" t="s">
        <v>1123</v>
      </c>
      <c r="E442" t="s">
        <v>132</v>
      </c>
      <c r="F442" t="s">
        <v>20</v>
      </c>
      <c r="G442" t="s">
        <v>1124</v>
      </c>
      <c r="H442" t="str">
        <f>"200801004997"</f>
        <v>200801004997</v>
      </c>
      <c r="I442">
        <v>7.2</v>
      </c>
      <c r="J442">
        <v>0</v>
      </c>
      <c r="L442">
        <v>6</v>
      </c>
      <c r="N442">
        <v>6</v>
      </c>
      <c r="O442">
        <v>4</v>
      </c>
      <c r="P442">
        <v>2</v>
      </c>
      <c r="Q442">
        <v>19.2</v>
      </c>
      <c r="R442">
        <v>54</v>
      </c>
      <c r="S442">
        <v>54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54</v>
      </c>
      <c r="AA442">
        <v>9</v>
      </c>
      <c r="AB442">
        <v>26.8</v>
      </c>
      <c r="AD442">
        <v>109</v>
      </c>
    </row>
    <row r="443" spans="1:30" x14ac:dyDescent="0.3">
      <c r="A443" s="4">
        <v>454</v>
      </c>
      <c r="B443" s="5">
        <v>436</v>
      </c>
      <c r="C443">
        <v>2841</v>
      </c>
      <c r="D443" t="s">
        <v>1125</v>
      </c>
      <c r="E443" t="s">
        <v>17</v>
      </c>
      <c r="F443" t="s">
        <v>81</v>
      </c>
      <c r="G443" t="s">
        <v>1126</v>
      </c>
      <c r="H443" t="str">
        <f>"00490540"</f>
        <v>00490540</v>
      </c>
      <c r="I443">
        <v>36</v>
      </c>
      <c r="J443">
        <v>0</v>
      </c>
      <c r="K443">
        <v>8</v>
      </c>
      <c r="N443">
        <v>8</v>
      </c>
      <c r="O443">
        <v>4</v>
      </c>
      <c r="P443">
        <v>2</v>
      </c>
      <c r="Q443">
        <v>50</v>
      </c>
      <c r="R443">
        <v>47</v>
      </c>
      <c r="S443">
        <v>47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47</v>
      </c>
      <c r="AA443">
        <v>12</v>
      </c>
      <c r="AB443">
        <v>0</v>
      </c>
      <c r="AD443">
        <v>109</v>
      </c>
    </row>
    <row r="444" spans="1:30" x14ac:dyDescent="0.3">
      <c r="A444" s="4">
        <v>455</v>
      </c>
      <c r="B444" s="5">
        <v>437</v>
      </c>
      <c r="C444">
        <v>413</v>
      </c>
      <c r="D444" t="s">
        <v>1127</v>
      </c>
      <c r="E444" t="s">
        <v>29</v>
      </c>
      <c r="F444" t="s">
        <v>34</v>
      </c>
      <c r="G444" t="s">
        <v>1128</v>
      </c>
      <c r="H444" t="str">
        <f>"00480373"</f>
        <v>00480373</v>
      </c>
      <c r="I444">
        <v>72</v>
      </c>
      <c r="J444">
        <v>0</v>
      </c>
      <c r="L444">
        <v>6</v>
      </c>
      <c r="N444">
        <v>6</v>
      </c>
      <c r="O444">
        <v>4</v>
      </c>
      <c r="P444">
        <v>0</v>
      </c>
      <c r="Q444">
        <v>82</v>
      </c>
      <c r="R444">
        <v>18</v>
      </c>
      <c r="S444">
        <v>18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18</v>
      </c>
      <c r="AA444">
        <v>9</v>
      </c>
      <c r="AB444">
        <v>0</v>
      </c>
      <c r="AD444">
        <v>109</v>
      </c>
    </row>
    <row r="445" spans="1:30" x14ac:dyDescent="0.3">
      <c r="A445" s="4">
        <v>456</v>
      </c>
      <c r="B445" s="5">
        <v>438</v>
      </c>
      <c r="C445">
        <v>4735</v>
      </c>
      <c r="D445" t="s">
        <v>1129</v>
      </c>
      <c r="E445" t="s">
        <v>54</v>
      </c>
      <c r="F445" t="s">
        <v>79</v>
      </c>
      <c r="G445" t="s">
        <v>1130</v>
      </c>
      <c r="H445" t="str">
        <f>"00471846"</f>
        <v>00471846</v>
      </c>
      <c r="I445">
        <v>72</v>
      </c>
      <c r="J445">
        <v>0</v>
      </c>
      <c r="K445">
        <v>8</v>
      </c>
      <c r="M445">
        <v>4</v>
      </c>
      <c r="N445">
        <v>12</v>
      </c>
      <c r="O445">
        <v>4</v>
      </c>
      <c r="P445">
        <v>0</v>
      </c>
      <c r="Q445">
        <v>88</v>
      </c>
      <c r="R445">
        <v>18</v>
      </c>
      <c r="S445">
        <v>18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18</v>
      </c>
      <c r="AA445">
        <v>3</v>
      </c>
      <c r="AB445">
        <v>0</v>
      </c>
      <c r="AD445">
        <v>109</v>
      </c>
    </row>
    <row r="446" spans="1:30" x14ac:dyDescent="0.3">
      <c r="A446" s="4">
        <v>457</v>
      </c>
      <c r="B446" s="5">
        <v>439</v>
      </c>
      <c r="C446">
        <v>2931</v>
      </c>
      <c r="D446" t="s">
        <v>1131</v>
      </c>
      <c r="E446" t="s">
        <v>935</v>
      </c>
      <c r="F446" t="s">
        <v>17</v>
      </c>
      <c r="G446" t="s">
        <v>1132</v>
      </c>
      <c r="H446" t="str">
        <f>"00500124"</f>
        <v>00500124</v>
      </c>
      <c r="I446">
        <v>36</v>
      </c>
      <c r="J446">
        <v>10</v>
      </c>
      <c r="N446">
        <v>0</v>
      </c>
      <c r="O446">
        <v>4</v>
      </c>
      <c r="P446">
        <v>2</v>
      </c>
      <c r="Q446">
        <v>52</v>
      </c>
      <c r="R446">
        <v>54</v>
      </c>
      <c r="S446">
        <v>54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54</v>
      </c>
      <c r="AA446">
        <v>3</v>
      </c>
      <c r="AB446">
        <v>0</v>
      </c>
      <c r="AD446">
        <v>109</v>
      </c>
    </row>
    <row r="447" spans="1:30" x14ac:dyDescent="0.3">
      <c r="A447" s="4">
        <v>458</v>
      </c>
      <c r="B447" s="5">
        <v>440</v>
      </c>
      <c r="C447">
        <v>2513</v>
      </c>
      <c r="D447" t="s">
        <v>1133</v>
      </c>
      <c r="E447" t="s">
        <v>41</v>
      </c>
      <c r="F447" t="s">
        <v>30</v>
      </c>
      <c r="G447" t="s">
        <v>1134</v>
      </c>
      <c r="H447" t="str">
        <f>"00507203"</f>
        <v>00507203</v>
      </c>
      <c r="I447">
        <v>36</v>
      </c>
      <c r="J447">
        <v>0</v>
      </c>
      <c r="M447">
        <v>4</v>
      </c>
      <c r="N447">
        <v>4</v>
      </c>
      <c r="O447">
        <v>4</v>
      </c>
      <c r="P447">
        <v>2</v>
      </c>
      <c r="Q447">
        <v>46</v>
      </c>
      <c r="R447">
        <v>60</v>
      </c>
      <c r="S447">
        <v>60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60</v>
      </c>
      <c r="AA447">
        <v>3</v>
      </c>
      <c r="AB447">
        <v>0</v>
      </c>
      <c r="AD447">
        <v>109</v>
      </c>
    </row>
    <row r="448" spans="1:30" x14ac:dyDescent="0.3">
      <c r="A448" s="4">
        <v>459</v>
      </c>
      <c r="B448" s="5">
        <v>441</v>
      </c>
      <c r="C448">
        <v>1938</v>
      </c>
      <c r="D448" t="s">
        <v>1135</v>
      </c>
      <c r="E448" t="s">
        <v>115</v>
      </c>
      <c r="F448" t="s">
        <v>20</v>
      </c>
      <c r="G448" t="s">
        <v>1136</v>
      </c>
      <c r="H448" t="str">
        <f>"00483562"</f>
        <v>00483562</v>
      </c>
      <c r="I448">
        <v>36</v>
      </c>
      <c r="J448">
        <v>10</v>
      </c>
      <c r="K448">
        <v>8</v>
      </c>
      <c r="N448">
        <v>8</v>
      </c>
      <c r="O448">
        <v>4</v>
      </c>
      <c r="P448">
        <v>0</v>
      </c>
      <c r="Q448">
        <v>58</v>
      </c>
      <c r="R448">
        <v>51</v>
      </c>
      <c r="S448">
        <v>51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51</v>
      </c>
      <c r="AA448">
        <v>0</v>
      </c>
      <c r="AB448">
        <v>0</v>
      </c>
      <c r="AD448">
        <v>109</v>
      </c>
    </row>
    <row r="449" spans="1:30" x14ac:dyDescent="0.3">
      <c r="A449" s="4">
        <v>460</v>
      </c>
      <c r="B449" s="5">
        <v>442</v>
      </c>
      <c r="C449">
        <v>3700</v>
      </c>
      <c r="D449" t="s">
        <v>1137</v>
      </c>
      <c r="E449" t="s">
        <v>208</v>
      </c>
      <c r="F449" t="s">
        <v>20</v>
      </c>
      <c r="G449" t="s">
        <v>1138</v>
      </c>
      <c r="H449" t="str">
        <f>"00486754"</f>
        <v>00486754</v>
      </c>
      <c r="I449">
        <v>36</v>
      </c>
      <c r="J449">
        <v>10</v>
      </c>
      <c r="M449">
        <v>4</v>
      </c>
      <c r="N449">
        <v>4</v>
      </c>
      <c r="O449">
        <v>4</v>
      </c>
      <c r="P449">
        <v>2</v>
      </c>
      <c r="Q449">
        <v>56</v>
      </c>
      <c r="R449">
        <v>53</v>
      </c>
      <c r="S449">
        <v>53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53</v>
      </c>
      <c r="AA449">
        <v>0</v>
      </c>
      <c r="AB449">
        <v>0</v>
      </c>
      <c r="AD449">
        <v>109</v>
      </c>
    </row>
    <row r="450" spans="1:30" x14ac:dyDescent="0.3">
      <c r="A450" s="4">
        <v>461</v>
      </c>
      <c r="B450" s="5">
        <v>443</v>
      </c>
      <c r="C450">
        <v>4120</v>
      </c>
      <c r="D450" t="s">
        <v>1139</v>
      </c>
      <c r="E450" t="s">
        <v>1140</v>
      </c>
      <c r="F450" t="s">
        <v>1141</v>
      </c>
      <c r="G450" t="s">
        <v>1142</v>
      </c>
      <c r="H450" t="str">
        <f>"00441513"</f>
        <v>00441513</v>
      </c>
      <c r="I450">
        <v>36</v>
      </c>
      <c r="J450">
        <v>10</v>
      </c>
      <c r="N450">
        <v>0</v>
      </c>
      <c r="O450">
        <v>4</v>
      </c>
      <c r="P450">
        <v>0</v>
      </c>
      <c r="Q450">
        <v>50</v>
      </c>
      <c r="R450">
        <v>59</v>
      </c>
      <c r="S450">
        <v>59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59</v>
      </c>
      <c r="AA450">
        <v>0</v>
      </c>
      <c r="AB450">
        <v>0</v>
      </c>
      <c r="AD450">
        <v>109</v>
      </c>
    </row>
    <row r="451" spans="1:30" x14ac:dyDescent="0.3">
      <c r="A451" s="4">
        <v>462</v>
      </c>
      <c r="B451" s="5">
        <v>444</v>
      </c>
      <c r="C451">
        <v>696</v>
      </c>
      <c r="D451" t="s">
        <v>1143</v>
      </c>
      <c r="E451" t="s">
        <v>744</v>
      </c>
      <c r="F451" t="s">
        <v>158</v>
      </c>
      <c r="G451" t="s">
        <v>1144</v>
      </c>
      <c r="H451" t="str">
        <f>"00530571"</f>
        <v>00530571</v>
      </c>
      <c r="I451">
        <v>30</v>
      </c>
      <c r="J451">
        <v>10</v>
      </c>
      <c r="M451">
        <v>4</v>
      </c>
      <c r="N451">
        <v>4</v>
      </c>
      <c r="O451">
        <v>0</v>
      </c>
      <c r="P451">
        <v>2</v>
      </c>
      <c r="Q451">
        <v>46</v>
      </c>
      <c r="R451">
        <v>30</v>
      </c>
      <c r="S451">
        <v>30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30</v>
      </c>
      <c r="AA451">
        <v>6</v>
      </c>
      <c r="AB451">
        <v>26.8</v>
      </c>
      <c r="AD451">
        <v>108.8</v>
      </c>
    </row>
    <row r="452" spans="1:30" x14ac:dyDescent="0.3">
      <c r="A452" s="4">
        <v>463</v>
      </c>
      <c r="B452" s="5">
        <v>445</v>
      </c>
      <c r="C452">
        <v>292</v>
      </c>
      <c r="D452" t="s">
        <v>1145</v>
      </c>
      <c r="E452" t="s">
        <v>406</v>
      </c>
      <c r="F452" t="s">
        <v>782</v>
      </c>
      <c r="G452" t="s">
        <v>1146</v>
      </c>
      <c r="H452" t="str">
        <f>"00531509"</f>
        <v>00531509</v>
      </c>
      <c r="I452">
        <v>64.8</v>
      </c>
      <c r="J452">
        <v>10</v>
      </c>
      <c r="M452">
        <v>4</v>
      </c>
      <c r="N452">
        <v>4</v>
      </c>
      <c r="O452">
        <v>4</v>
      </c>
      <c r="P452">
        <v>2</v>
      </c>
      <c r="Q452">
        <v>84.8</v>
      </c>
      <c r="R452">
        <v>18</v>
      </c>
      <c r="S452">
        <v>18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18</v>
      </c>
      <c r="AA452">
        <v>6</v>
      </c>
      <c r="AB452">
        <v>0</v>
      </c>
      <c r="AD452">
        <v>108.8</v>
      </c>
    </row>
    <row r="453" spans="1:30" x14ac:dyDescent="0.3">
      <c r="A453" s="4">
        <v>464</v>
      </c>
      <c r="B453" s="5">
        <v>446</v>
      </c>
      <c r="C453">
        <v>850</v>
      </c>
      <c r="D453" t="s">
        <v>1147</v>
      </c>
      <c r="E453" t="s">
        <v>29</v>
      </c>
      <c r="F453" t="s">
        <v>52</v>
      </c>
      <c r="G453" t="s">
        <v>1148</v>
      </c>
      <c r="H453" t="str">
        <f>"200802003313"</f>
        <v>200802003313</v>
      </c>
      <c r="I453">
        <v>64.8</v>
      </c>
      <c r="J453">
        <v>0</v>
      </c>
      <c r="M453">
        <v>4</v>
      </c>
      <c r="N453">
        <v>4</v>
      </c>
      <c r="O453">
        <v>4</v>
      </c>
      <c r="P453">
        <v>2</v>
      </c>
      <c r="Q453">
        <v>74.8</v>
      </c>
      <c r="R453">
        <v>28</v>
      </c>
      <c r="S453">
        <v>28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28</v>
      </c>
      <c r="AA453">
        <v>6</v>
      </c>
      <c r="AB453">
        <v>0</v>
      </c>
      <c r="AD453">
        <v>108.8</v>
      </c>
    </row>
    <row r="454" spans="1:30" x14ac:dyDescent="0.3">
      <c r="A454" s="4">
        <v>465</v>
      </c>
      <c r="B454" s="5">
        <v>447</v>
      </c>
      <c r="C454">
        <v>4569</v>
      </c>
      <c r="D454" t="s">
        <v>1149</v>
      </c>
      <c r="E454" t="s">
        <v>816</v>
      </c>
      <c r="F454" t="s">
        <v>81</v>
      </c>
      <c r="G454" t="s">
        <v>1150</v>
      </c>
      <c r="H454" t="str">
        <f>"00498462"</f>
        <v>00498462</v>
      </c>
      <c r="I454">
        <v>28.8</v>
      </c>
      <c r="J454">
        <v>10</v>
      </c>
      <c r="M454">
        <v>4</v>
      </c>
      <c r="N454">
        <v>4</v>
      </c>
      <c r="O454">
        <v>4</v>
      </c>
      <c r="P454">
        <v>0</v>
      </c>
      <c r="Q454">
        <v>46.8</v>
      </c>
      <c r="R454">
        <v>62</v>
      </c>
      <c r="S454">
        <v>62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62</v>
      </c>
      <c r="AA454">
        <v>0</v>
      </c>
      <c r="AB454">
        <v>0</v>
      </c>
      <c r="AC454" t="s">
        <v>130</v>
      </c>
      <c r="AD454">
        <v>108.8</v>
      </c>
    </row>
    <row r="455" spans="1:30" x14ac:dyDescent="0.3">
      <c r="A455" s="4">
        <v>466</v>
      </c>
      <c r="B455" s="5">
        <v>448</v>
      </c>
      <c r="C455">
        <v>4349</v>
      </c>
      <c r="D455" t="s">
        <v>1151</v>
      </c>
      <c r="E455" t="s">
        <v>1152</v>
      </c>
      <c r="F455" t="s">
        <v>375</v>
      </c>
      <c r="G455" t="s">
        <v>1153</v>
      </c>
      <c r="H455" t="str">
        <f>"00557682"</f>
        <v>00557682</v>
      </c>
      <c r="I455">
        <v>57.6</v>
      </c>
      <c r="J455">
        <v>10</v>
      </c>
      <c r="N455">
        <v>0</v>
      </c>
      <c r="O455">
        <v>4</v>
      </c>
      <c r="P455">
        <v>2</v>
      </c>
      <c r="Q455">
        <v>73.599999999999994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3</v>
      </c>
      <c r="AB455">
        <v>32</v>
      </c>
      <c r="AD455">
        <v>108.6</v>
      </c>
    </row>
    <row r="456" spans="1:30" x14ac:dyDescent="0.3">
      <c r="A456" s="4">
        <v>467</v>
      </c>
      <c r="B456" s="5">
        <v>449</v>
      </c>
      <c r="C456">
        <v>1703</v>
      </c>
      <c r="D456" t="s">
        <v>1154</v>
      </c>
      <c r="E456" t="s">
        <v>1155</v>
      </c>
      <c r="F456" t="s">
        <v>38</v>
      </c>
      <c r="G456" t="s">
        <v>1156</v>
      </c>
      <c r="H456" t="str">
        <f>"00093702"</f>
        <v>00093702</v>
      </c>
      <c r="I456">
        <v>39.6</v>
      </c>
      <c r="J456">
        <v>10</v>
      </c>
      <c r="K456">
        <v>8</v>
      </c>
      <c r="N456">
        <v>8</v>
      </c>
      <c r="O456">
        <v>4</v>
      </c>
      <c r="P456">
        <v>2</v>
      </c>
      <c r="Q456">
        <v>63.6</v>
      </c>
      <c r="R456">
        <v>42</v>
      </c>
      <c r="S456">
        <v>42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42</v>
      </c>
      <c r="AA456">
        <v>3</v>
      </c>
      <c r="AB456">
        <v>0</v>
      </c>
      <c r="AD456">
        <v>108.6</v>
      </c>
    </row>
    <row r="457" spans="1:30" x14ac:dyDescent="0.3">
      <c r="A457" s="4">
        <v>468</v>
      </c>
      <c r="B457" s="5">
        <v>450</v>
      </c>
      <c r="C457">
        <v>2429</v>
      </c>
      <c r="D457" t="s">
        <v>1157</v>
      </c>
      <c r="E457" t="s">
        <v>355</v>
      </c>
      <c r="F457" t="s">
        <v>1158</v>
      </c>
      <c r="G457" t="s">
        <v>1159</v>
      </c>
      <c r="H457" t="str">
        <f>"00529336"</f>
        <v>00529336</v>
      </c>
      <c r="I457">
        <v>57.6</v>
      </c>
      <c r="J457">
        <v>0</v>
      </c>
      <c r="K457">
        <v>8</v>
      </c>
      <c r="N457">
        <v>8</v>
      </c>
      <c r="O457">
        <v>4</v>
      </c>
      <c r="P457">
        <v>2</v>
      </c>
      <c r="Q457">
        <v>71.599999999999994</v>
      </c>
      <c r="R457">
        <v>37</v>
      </c>
      <c r="S457">
        <v>37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37</v>
      </c>
      <c r="AA457">
        <v>0</v>
      </c>
      <c r="AB457">
        <v>0</v>
      </c>
      <c r="AD457">
        <v>108.6</v>
      </c>
    </row>
    <row r="458" spans="1:30" x14ac:dyDescent="0.3">
      <c r="A458" s="4">
        <v>469</v>
      </c>
      <c r="B458" s="5">
        <v>451</v>
      </c>
      <c r="C458">
        <v>3908</v>
      </c>
      <c r="D458" t="s">
        <v>1160</v>
      </c>
      <c r="E458" t="s">
        <v>400</v>
      </c>
      <c r="F458" t="s">
        <v>1161</v>
      </c>
      <c r="G458" t="s">
        <v>1162</v>
      </c>
      <c r="H458" t="str">
        <f>"00530395"</f>
        <v>00530395</v>
      </c>
      <c r="I458">
        <v>57.6</v>
      </c>
      <c r="J458">
        <v>0</v>
      </c>
      <c r="K458">
        <v>8</v>
      </c>
      <c r="N458">
        <v>8</v>
      </c>
      <c r="O458">
        <v>4</v>
      </c>
      <c r="P458">
        <v>2</v>
      </c>
      <c r="Q458">
        <v>71.599999999999994</v>
      </c>
      <c r="R458">
        <v>37</v>
      </c>
      <c r="S458">
        <v>37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37</v>
      </c>
      <c r="AA458">
        <v>0</v>
      </c>
      <c r="AB458">
        <v>0</v>
      </c>
      <c r="AD458">
        <v>108.6</v>
      </c>
    </row>
    <row r="459" spans="1:30" x14ac:dyDescent="0.3">
      <c r="A459" s="4">
        <v>470</v>
      </c>
      <c r="B459" s="5">
        <v>452</v>
      </c>
      <c r="C459">
        <v>945</v>
      </c>
      <c r="D459" t="s">
        <v>1163</v>
      </c>
      <c r="E459" t="s">
        <v>188</v>
      </c>
      <c r="F459" t="s">
        <v>343</v>
      </c>
      <c r="G459" t="s">
        <v>1164</v>
      </c>
      <c r="H459" t="str">
        <f>"201402002943"</f>
        <v>201402002943</v>
      </c>
      <c r="I459">
        <v>57.6</v>
      </c>
      <c r="J459">
        <v>0</v>
      </c>
      <c r="K459">
        <v>8</v>
      </c>
      <c r="N459">
        <v>8</v>
      </c>
      <c r="O459">
        <v>4</v>
      </c>
      <c r="P459">
        <v>2</v>
      </c>
      <c r="Q459">
        <v>71.599999999999994</v>
      </c>
      <c r="R459">
        <v>37</v>
      </c>
      <c r="S459">
        <v>37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37</v>
      </c>
      <c r="AA459">
        <v>0</v>
      </c>
      <c r="AB459">
        <v>0</v>
      </c>
      <c r="AD459">
        <v>108.6</v>
      </c>
    </row>
    <row r="460" spans="1:30" x14ac:dyDescent="0.3">
      <c r="A460" s="4">
        <v>471</v>
      </c>
      <c r="B460" s="5">
        <v>453</v>
      </c>
      <c r="C460">
        <v>2958</v>
      </c>
      <c r="D460" t="s">
        <v>1165</v>
      </c>
      <c r="E460" t="s">
        <v>54</v>
      </c>
      <c r="F460" t="s">
        <v>117</v>
      </c>
      <c r="G460" t="s">
        <v>1166</v>
      </c>
      <c r="H460" t="str">
        <f>"00157479"</f>
        <v>00157479</v>
      </c>
      <c r="I460">
        <v>43.2</v>
      </c>
      <c r="J460">
        <v>0</v>
      </c>
      <c r="M460">
        <v>4</v>
      </c>
      <c r="N460">
        <v>4</v>
      </c>
      <c r="O460">
        <v>4</v>
      </c>
      <c r="P460">
        <v>0</v>
      </c>
      <c r="Q460">
        <v>51.2</v>
      </c>
      <c r="R460">
        <v>54</v>
      </c>
      <c r="S460">
        <v>54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54</v>
      </c>
      <c r="AA460">
        <v>3</v>
      </c>
      <c r="AB460">
        <v>0</v>
      </c>
      <c r="AD460">
        <v>108.2</v>
      </c>
    </row>
    <row r="461" spans="1:30" x14ac:dyDescent="0.3">
      <c r="A461" s="4">
        <v>472</v>
      </c>
      <c r="B461" s="5">
        <v>454</v>
      </c>
      <c r="C461">
        <v>4292</v>
      </c>
      <c r="D461" t="s">
        <v>1167</v>
      </c>
      <c r="E461" t="s">
        <v>1168</v>
      </c>
      <c r="F461" t="s">
        <v>136</v>
      </c>
      <c r="G461" t="s">
        <v>1169</v>
      </c>
      <c r="H461" t="str">
        <f>"00504661"</f>
        <v>00504661</v>
      </c>
      <c r="I461">
        <v>30.2</v>
      </c>
      <c r="J461">
        <v>10</v>
      </c>
      <c r="N461">
        <v>0</v>
      </c>
      <c r="O461">
        <v>4</v>
      </c>
      <c r="P461">
        <v>0</v>
      </c>
      <c r="Q461">
        <v>44.2</v>
      </c>
      <c r="R461">
        <v>64</v>
      </c>
      <c r="S461">
        <v>64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64</v>
      </c>
      <c r="AA461">
        <v>0</v>
      </c>
      <c r="AB461">
        <v>0</v>
      </c>
      <c r="AD461">
        <v>108.2</v>
      </c>
    </row>
    <row r="462" spans="1:30" x14ac:dyDescent="0.3">
      <c r="A462" s="4">
        <v>473</v>
      </c>
      <c r="B462" s="5">
        <v>455</v>
      </c>
      <c r="C462">
        <v>1593</v>
      </c>
      <c r="D462" t="s">
        <v>1170</v>
      </c>
      <c r="E462" t="s">
        <v>1171</v>
      </c>
      <c r="F462" t="s">
        <v>17</v>
      </c>
      <c r="G462" t="s">
        <v>1172</v>
      </c>
      <c r="H462" t="str">
        <f>"00037556"</f>
        <v>00037556</v>
      </c>
      <c r="I462">
        <v>40</v>
      </c>
      <c r="J462">
        <v>10</v>
      </c>
      <c r="K462">
        <v>8</v>
      </c>
      <c r="N462">
        <v>8</v>
      </c>
      <c r="O462">
        <v>4</v>
      </c>
      <c r="P462">
        <v>0</v>
      </c>
      <c r="Q462">
        <v>62</v>
      </c>
      <c r="R462">
        <v>37</v>
      </c>
      <c r="S462">
        <v>37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37</v>
      </c>
      <c r="AA462">
        <v>9</v>
      </c>
      <c r="AB462">
        <v>0</v>
      </c>
      <c r="AD462">
        <v>108</v>
      </c>
    </row>
    <row r="463" spans="1:30" x14ac:dyDescent="0.3">
      <c r="A463" s="4">
        <v>474</v>
      </c>
      <c r="B463" s="5">
        <v>456</v>
      </c>
      <c r="C463">
        <v>4129</v>
      </c>
      <c r="D463" t="s">
        <v>1173</v>
      </c>
      <c r="E463" t="s">
        <v>33</v>
      </c>
      <c r="F463" t="s">
        <v>1174</v>
      </c>
      <c r="G463" t="s">
        <v>1175</v>
      </c>
      <c r="H463" t="str">
        <f>"00482757"</f>
        <v>00482757</v>
      </c>
      <c r="I463">
        <v>36</v>
      </c>
      <c r="J463">
        <v>0</v>
      </c>
      <c r="M463">
        <v>4</v>
      </c>
      <c r="N463">
        <v>4</v>
      </c>
      <c r="O463">
        <v>4</v>
      </c>
      <c r="P463">
        <v>2</v>
      </c>
      <c r="Q463">
        <v>46</v>
      </c>
      <c r="R463">
        <v>62</v>
      </c>
      <c r="S463">
        <v>62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62</v>
      </c>
      <c r="AA463">
        <v>0</v>
      </c>
      <c r="AB463">
        <v>0</v>
      </c>
      <c r="AD463">
        <v>108</v>
      </c>
    </row>
    <row r="464" spans="1:30" x14ac:dyDescent="0.3">
      <c r="A464" s="4">
        <v>475</v>
      </c>
      <c r="B464" s="5">
        <v>457</v>
      </c>
      <c r="C464">
        <v>4165</v>
      </c>
      <c r="D464" t="s">
        <v>1176</v>
      </c>
      <c r="E464" t="s">
        <v>479</v>
      </c>
      <c r="F464" t="s">
        <v>425</v>
      </c>
      <c r="G464">
        <v>265839</v>
      </c>
      <c r="H464" t="str">
        <f>"00162945"</f>
        <v>00162945</v>
      </c>
      <c r="I464">
        <v>0</v>
      </c>
      <c r="J464">
        <v>0</v>
      </c>
      <c r="N464">
        <v>0</v>
      </c>
      <c r="O464">
        <v>4</v>
      </c>
      <c r="P464">
        <v>0</v>
      </c>
      <c r="Q464">
        <v>4</v>
      </c>
      <c r="R464">
        <v>104</v>
      </c>
      <c r="S464">
        <v>104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104</v>
      </c>
      <c r="AA464">
        <v>0</v>
      </c>
      <c r="AB464">
        <v>0</v>
      </c>
      <c r="AD464">
        <v>108</v>
      </c>
    </row>
    <row r="465" spans="1:30" x14ac:dyDescent="0.3">
      <c r="A465" s="4">
        <v>476</v>
      </c>
      <c r="B465" s="5">
        <v>458</v>
      </c>
      <c r="C465">
        <v>2585</v>
      </c>
      <c r="D465" t="s">
        <v>1177</v>
      </c>
      <c r="E465" t="s">
        <v>594</v>
      </c>
      <c r="F465" t="s">
        <v>1178</v>
      </c>
      <c r="G465" t="s">
        <v>1179</v>
      </c>
      <c r="H465" t="str">
        <f>"00516152"</f>
        <v>00516152</v>
      </c>
      <c r="I465">
        <v>28.8</v>
      </c>
      <c r="J465">
        <v>10</v>
      </c>
      <c r="N465">
        <v>0</v>
      </c>
      <c r="O465">
        <v>4</v>
      </c>
      <c r="P465">
        <v>2</v>
      </c>
      <c r="Q465">
        <v>44.8</v>
      </c>
      <c r="R465">
        <v>57</v>
      </c>
      <c r="S465">
        <v>57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57</v>
      </c>
      <c r="AA465">
        <v>6</v>
      </c>
      <c r="AB465">
        <v>0</v>
      </c>
      <c r="AD465">
        <v>107.8</v>
      </c>
    </row>
    <row r="466" spans="1:30" x14ac:dyDescent="0.3">
      <c r="A466" s="4">
        <v>477</v>
      </c>
      <c r="B466" s="5">
        <v>459</v>
      </c>
      <c r="C466">
        <v>260</v>
      </c>
      <c r="D466" t="s">
        <v>1180</v>
      </c>
      <c r="E466" t="s">
        <v>1181</v>
      </c>
      <c r="F466" t="s">
        <v>1182</v>
      </c>
      <c r="G466" t="s">
        <v>1183</v>
      </c>
      <c r="H466" t="str">
        <f>"00365161"</f>
        <v>00365161</v>
      </c>
      <c r="I466">
        <v>64.8</v>
      </c>
      <c r="J466">
        <v>0</v>
      </c>
      <c r="N466">
        <v>0</v>
      </c>
      <c r="O466">
        <v>4</v>
      </c>
      <c r="P466">
        <v>2</v>
      </c>
      <c r="Q466">
        <v>70.8</v>
      </c>
      <c r="R466">
        <v>34</v>
      </c>
      <c r="S466">
        <v>34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34</v>
      </c>
      <c r="AA466">
        <v>3</v>
      </c>
      <c r="AB466">
        <v>0</v>
      </c>
      <c r="AD466">
        <v>107.8</v>
      </c>
    </row>
    <row r="467" spans="1:30" x14ac:dyDescent="0.3">
      <c r="A467" s="4">
        <v>478</v>
      </c>
      <c r="B467" s="5">
        <v>460</v>
      </c>
      <c r="C467">
        <v>3533</v>
      </c>
      <c r="D467" t="s">
        <v>1184</v>
      </c>
      <c r="E467" t="s">
        <v>29</v>
      </c>
      <c r="F467" t="s">
        <v>30</v>
      </c>
      <c r="G467" t="s">
        <v>1185</v>
      </c>
      <c r="H467" t="str">
        <f>"00530184"</f>
        <v>00530184</v>
      </c>
      <c r="I467">
        <v>28.8</v>
      </c>
      <c r="J467">
        <v>0</v>
      </c>
      <c r="K467">
        <v>8</v>
      </c>
      <c r="M467">
        <v>4</v>
      </c>
      <c r="N467">
        <v>12</v>
      </c>
      <c r="O467">
        <v>4</v>
      </c>
      <c r="P467">
        <v>2</v>
      </c>
      <c r="Q467">
        <v>46.8</v>
      </c>
      <c r="R467">
        <v>61</v>
      </c>
      <c r="S467">
        <v>61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61</v>
      </c>
      <c r="AA467">
        <v>0</v>
      </c>
      <c r="AB467">
        <v>0</v>
      </c>
      <c r="AC467" t="s">
        <v>130</v>
      </c>
      <c r="AD467">
        <v>107.8</v>
      </c>
    </row>
    <row r="468" spans="1:30" x14ac:dyDescent="0.3">
      <c r="A468" s="4">
        <v>479</v>
      </c>
      <c r="B468" s="5">
        <v>461</v>
      </c>
      <c r="C468">
        <v>1018</v>
      </c>
      <c r="D468" t="s">
        <v>1186</v>
      </c>
      <c r="E468" t="s">
        <v>1084</v>
      </c>
      <c r="F468" t="s">
        <v>652</v>
      </c>
      <c r="G468" t="s">
        <v>1187</v>
      </c>
      <c r="H468" t="str">
        <f>"00492789"</f>
        <v>00492789</v>
      </c>
      <c r="I468">
        <v>28.8</v>
      </c>
      <c r="J468">
        <v>0</v>
      </c>
      <c r="M468">
        <v>4</v>
      </c>
      <c r="N468">
        <v>4</v>
      </c>
      <c r="O468">
        <v>4</v>
      </c>
      <c r="P468">
        <v>2</v>
      </c>
      <c r="Q468">
        <v>38.799999999999997</v>
      </c>
      <c r="R468">
        <v>69</v>
      </c>
      <c r="S468">
        <v>69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69</v>
      </c>
      <c r="AA468">
        <v>0</v>
      </c>
      <c r="AB468">
        <v>0</v>
      </c>
      <c r="AD468">
        <v>107.8</v>
      </c>
    </row>
    <row r="469" spans="1:30" x14ac:dyDescent="0.3">
      <c r="A469" s="4">
        <v>480</v>
      </c>
      <c r="B469" s="5">
        <v>462</v>
      </c>
      <c r="C469">
        <v>3592</v>
      </c>
      <c r="D469" t="s">
        <v>1188</v>
      </c>
      <c r="E469" t="s">
        <v>1189</v>
      </c>
      <c r="F469" t="s">
        <v>1190</v>
      </c>
      <c r="G469" t="s">
        <v>1191</v>
      </c>
      <c r="H469" t="str">
        <f>"00480713"</f>
        <v>00480713</v>
      </c>
      <c r="I469">
        <v>38.68</v>
      </c>
      <c r="J469">
        <v>0</v>
      </c>
      <c r="N469">
        <v>0</v>
      </c>
      <c r="O469">
        <v>4</v>
      </c>
      <c r="P469">
        <v>0</v>
      </c>
      <c r="Q469">
        <v>42.68</v>
      </c>
      <c r="R469">
        <v>27</v>
      </c>
      <c r="S469">
        <v>27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27</v>
      </c>
      <c r="AA469">
        <v>6</v>
      </c>
      <c r="AB469">
        <v>32</v>
      </c>
      <c r="AD469">
        <v>107.68</v>
      </c>
    </row>
    <row r="470" spans="1:30" x14ac:dyDescent="0.3">
      <c r="A470" s="4">
        <v>481</v>
      </c>
      <c r="B470" s="5">
        <v>463</v>
      </c>
      <c r="C470">
        <v>60</v>
      </c>
      <c r="D470" t="s">
        <v>1192</v>
      </c>
      <c r="E470" t="s">
        <v>342</v>
      </c>
      <c r="F470" t="s">
        <v>136</v>
      </c>
      <c r="G470" t="s">
        <v>1193</v>
      </c>
      <c r="H470" t="str">
        <f>"00154848"</f>
        <v>00154848</v>
      </c>
      <c r="I470">
        <v>57.6</v>
      </c>
      <c r="J470">
        <v>0</v>
      </c>
      <c r="M470">
        <v>4</v>
      </c>
      <c r="N470">
        <v>4</v>
      </c>
      <c r="O470">
        <v>4</v>
      </c>
      <c r="P470">
        <v>2</v>
      </c>
      <c r="Q470">
        <v>67.599999999999994</v>
      </c>
      <c r="R470">
        <v>34</v>
      </c>
      <c r="S470">
        <v>34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34</v>
      </c>
      <c r="AA470">
        <v>6</v>
      </c>
      <c r="AB470">
        <v>0</v>
      </c>
      <c r="AD470">
        <v>107.6</v>
      </c>
    </row>
    <row r="471" spans="1:30" x14ac:dyDescent="0.3">
      <c r="A471" s="4">
        <v>482</v>
      </c>
      <c r="B471" s="5">
        <v>464</v>
      </c>
      <c r="C471">
        <v>2277</v>
      </c>
      <c r="D471" t="s">
        <v>1194</v>
      </c>
      <c r="E471" t="s">
        <v>213</v>
      </c>
      <c r="F471" t="s">
        <v>190</v>
      </c>
      <c r="G471" t="s">
        <v>1195</v>
      </c>
      <c r="H471" t="str">
        <f>"00480158"</f>
        <v>00480158</v>
      </c>
      <c r="I471">
        <v>29.6</v>
      </c>
      <c r="J471">
        <v>0</v>
      </c>
      <c r="M471">
        <v>4</v>
      </c>
      <c r="N471">
        <v>4</v>
      </c>
      <c r="O471">
        <v>4</v>
      </c>
      <c r="P471">
        <v>2</v>
      </c>
      <c r="Q471">
        <v>39.6</v>
      </c>
      <c r="R471">
        <v>62</v>
      </c>
      <c r="S471">
        <v>62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62</v>
      </c>
      <c r="AA471">
        <v>6</v>
      </c>
      <c r="AB471">
        <v>0</v>
      </c>
      <c r="AD471">
        <v>107.6</v>
      </c>
    </row>
    <row r="472" spans="1:30" x14ac:dyDescent="0.3">
      <c r="A472" s="4">
        <v>483</v>
      </c>
      <c r="B472" s="5">
        <v>465</v>
      </c>
      <c r="C472">
        <v>1372</v>
      </c>
      <c r="D472" t="s">
        <v>1196</v>
      </c>
      <c r="E472" t="s">
        <v>170</v>
      </c>
      <c r="F472" t="s">
        <v>243</v>
      </c>
      <c r="G472" t="s">
        <v>1197</v>
      </c>
      <c r="H472" t="str">
        <f>"00522658"</f>
        <v>00522658</v>
      </c>
      <c r="I472">
        <v>57.6</v>
      </c>
      <c r="J472">
        <v>0</v>
      </c>
      <c r="M472">
        <v>4</v>
      </c>
      <c r="N472">
        <v>4</v>
      </c>
      <c r="O472">
        <v>4</v>
      </c>
      <c r="P472">
        <v>2</v>
      </c>
      <c r="Q472">
        <v>67.599999999999994</v>
      </c>
      <c r="R472">
        <v>37</v>
      </c>
      <c r="S472">
        <v>37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37</v>
      </c>
      <c r="AA472">
        <v>3</v>
      </c>
      <c r="AB472">
        <v>0</v>
      </c>
      <c r="AD472">
        <v>107.6</v>
      </c>
    </row>
    <row r="473" spans="1:30" x14ac:dyDescent="0.3">
      <c r="A473" s="4">
        <v>484</v>
      </c>
      <c r="B473" s="5">
        <v>466</v>
      </c>
      <c r="C473">
        <v>758</v>
      </c>
      <c r="D473" t="s">
        <v>1198</v>
      </c>
      <c r="E473" t="s">
        <v>400</v>
      </c>
      <c r="F473" t="s">
        <v>1023</v>
      </c>
      <c r="G473" t="s">
        <v>1199</v>
      </c>
      <c r="H473" t="str">
        <f>"00503713"</f>
        <v>00503713</v>
      </c>
      <c r="I473">
        <v>21.6</v>
      </c>
      <c r="J473">
        <v>0</v>
      </c>
      <c r="M473">
        <v>8</v>
      </c>
      <c r="N473">
        <v>8</v>
      </c>
      <c r="O473">
        <v>4</v>
      </c>
      <c r="P473">
        <v>2</v>
      </c>
      <c r="Q473">
        <v>35.6</v>
      </c>
      <c r="R473">
        <v>69</v>
      </c>
      <c r="S473">
        <v>69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69</v>
      </c>
      <c r="AA473">
        <v>3</v>
      </c>
      <c r="AB473">
        <v>0</v>
      </c>
      <c r="AD473">
        <v>107.6</v>
      </c>
    </row>
    <row r="474" spans="1:30" x14ac:dyDescent="0.3">
      <c r="A474" s="4">
        <v>485</v>
      </c>
      <c r="B474" s="5">
        <v>467</v>
      </c>
      <c r="C474">
        <v>1521</v>
      </c>
      <c r="D474" t="s">
        <v>1200</v>
      </c>
      <c r="E474" t="s">
        <v>789</v>
      </c>
      <c r="F474" t="s">
        <v>81</v>
      </c>
      <c r="G474" t="s">
        <v>1201</v>
      </c>
      <c r="H474" t="str">
        <f>"201511029563"</f>
        <v>201511029563</v>
      </c>
      <c r="I474">
        <v>37.44</v>
      </c>
      <c r="J474">
        <v>0</v>
      </c>
      <c r="N474">
        <v>0</v>
      </c>
      <c r="O474">
        <v>4</v>
      </c>
      <c r="P474">
        <v>2</v>
      </c>
      <c r="Q474">
        <v>43.44</v>
      </c>
      <c r="R474">
        <v>61</v>
      </c>
      <c r="S474">
        <v>61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61</v>
      </c>
      <c r="AA474">
        <v>3</v>
      </c>
      <c r="AB474">
        <v>0</v>
      </c>
      <c r="AD474">
        <v>107.44</v>
      </c>
    </row>
    <row r="475" spans="1:30" x14ac:dyDescent="0.3">
      <c r="A475" s="4">
        <v>486</v>
      </c>
      <c r="B475" s="5">
        <v>468</v>
      </c>
      <c r="C475">
        <v>3014</v>
      </c>
      <c r="D475" t="s">
        <v>1202</v>
      </c>
      <c r="E475" t="s">
        <v>97</v>
      </c>
      <c r="F475" t="s">
        <v>17</v>
      </c>
      <c r="G475" t="s">
        <v>1203</v>
      </c>
      <c r="H475" t="str">
        <f>"00532884"</f>
        <v>00532884</v>
      </c>
      <c r="I475">
        <v>14.4</v>
      </c>
      <c r="J475">
        <v>0</v>
      </c>
      <c r="M475">
        <v>4</v>
      </c>
      <c r="N475">
        <v>4</v>
      </c>
      <c r="O475">
        <v>4</v>
      </c>
      <c r="P475">
        <v>0</v>
      </c>
      <c r="Q475">
        <v>22.4</v>
      </c>
      <c r="R475">
        <v>79</v>
      </c>
      <c r="S475">
        <v>79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79</v>
      </c>
      <c r="AA475">
        <v>6</v>
      </c>
      <c r="AB475">
        <v>0</v>
      </c>
      <c r="AD475">
        <v>107.4</v>
      </c>
    </row>
    <row r="476" spans="1:30" x14ac:dyDescent="0.3">
      <c r="A476" s="4">
        <v>487</v>
      </c>
      <c r="B476" s="5">
        <v>469</v>
      </c>
      <c r="C476">
        <v>45</v>
      </c>
      <c r="D476" t="s">
        <v>1204</v>
      </c>
      <c r="E476" t="s">
        <v>208</v>
      </c>
      <c r="F476" t="s">
        <v>158</v>
      </c>
      <c r="G476" t="s">
        <v>1205</v>
      </c>
      <c r="H476" t="str">
        <f>"00499175"</f>
        <v>00499175</v>
      </c>
      <c r="I476">
        <v>50.4</v>
      </c>
      <c r="J476">
        <v>0</v>
      </c>
      <c r="K476">
        <v>8</v>
      </c>
      <c r="N476">
        <v>8</v>
      </c>
      <c r="O476">
        <v>4</v>
      </c>
      <c r="P476">
        <v>2</v>
      </c>
      <c r="Q476">
        <v>64.400000000000006</v>
      </c>
      <c r="R476">
        <v>43</v>
      </c>
      <c r="S476">
        <v>43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43</v>
      </c>
      <c r="AA476">
        <v>0</v>
      </c>
      <c r="AB476">
        <v>0</v>
      </c>
      <c r="AD476">
        <v>107.4</v>
      </c>
    </row>
    <row r="477" spans="1:30" x14ac:dyDescent="0.3">
      <c r="A477" s="4">
        <v>488</v>
      </c>
      <c r="B477" s="5">
        <v>470</v>
      </c>
      <c r="C477">
        <v>3576</v>
      </c>
      <c r="D477" t="s">
        <v>1206</v>
      </c>
      <c r="E477" t="s">
        <v>1207</v>
      </c>
      <c r="F477" t="s">
        <v>101</v>
      </c>
      <c r="G477" t="s">
        <v>1208</v>
      </c>
      <c r="H477" t="str">
        <f>"00514111"</f>
        <v>00514111</v>
      </c>
      <c r="I477">
        <v>50.4</v>
      </c>
      <c r="J477">
        <v>0</v>
      </c>
      <c r="M477">
        <v>4</v>
      </c>
      <c r="N477">
        <v>4</v>
      </c>
      <c r="O477">
        <v>4</v>
      </c>
      <c r="P477">
        <v>2</v>
      </c>
      <c r="Q477">
        <v>60.4</v>
      </c>
      <c r="R477">
        <v>47</v>
      </c>
      <c r="S477">
        <v>47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47</v>
      </c>
      <c r="AA477">
        <v>0</v>
      </c>
      <c r="AB477">
        <v>0</v>
      </c>
      <c r="AD477">
        <v>107.4</v>
      </c>
    </row>
    <row r="478" spans="1:30" x14ac:dyDescent="0.3">
      <c r="A478" s="4">
        <v>489</v>
      </c>
      <c r="B478" s="5">
        <v>471</v>
      </c>
      <c r="C478">
        <v>3332</v>
      </c>
      <c r="D478" t="s">
        <v>1209</v>
      </c>
      <c r="E478" t="s">
        <v>1210</v>
      </c>
      <c r="F478" t="s">
        <v>68</v>
      </c>
      <c r="G478" t="s">
        <v>1211</v>
      </c>
      <c r="H478" t="str">
        <f>"00474045"</f>
        <v>00474045</v>
      </c>
      <c r="I478">
        <v>14.4</v>
      </c>
      <c r="J478">
        <v>10</v>
      </c>
      <c r="M478">
        <v>4</v>
      </c>
      <c r="N478">
        <v>4</v>
      </c>
      <c r="O478">
        <v>4</v>
      </c>
      <c r="P478">
        <v>0</v>
      </c>
      <c r="Q478">
        <v>32.4</v>
      </c>
      <c r="R478">
        <v>75</v>
      </c>
      <c r="S478">
        <v>75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75</v>
      </c>
      <c r="AA478">
        <v>0</v>
      </c>
      <c r="AB478">
        <v>0</v>
      </c>
      <c r="AD478">
        <v>107.4</v>
      </c>
    </row>
    <row r="479" spans="1:30" x14ac:dyDescent="0.3">
      <c r="A479" s="4">
        <v>490</v>
      </c>
      <c r="B479" s="5">
        <v>472</v>
      </c>
      <c r="C479">
        <v>3769</v>
      </c>
      <c r="D479" t="s">
        <v>1212</v>
      </c>
      <c r="E479" t="s">
        <v>1213</v>
      </c>
      <c r="F479" t="s">
        <v>136</v>
      </c>
      <c r="G479" t="s">
        <v>1214</v>
      </c>
      <c r="H479" t="str">
        <f>"00530146"</f>
        <v>00530146</v>
      </c>
      <c r="I479">
        <v>24.36</v>
      </c>
      <c r="J479">
        <v>0</v>
      </c>
      <c r="M479">
        <v>4</v>
      </c>
      <c r="N479">
        <v>4</v>
      </c>
      <c r="O479">
        <v>4</v>
      </c>
      <c r="P479">
        <v>2</v>
      </c>
      <c r="Q479">
        <v>34.36</v>
      </c>
      <c r="R479">
        <v>73</v>
      </c>
      <c r="S479">
        <v>73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D479">
        <v>107.36</v>
      </c>
    </row>
    <row r="480" spans="1:30" x14ac:dyDescent="0.3">
      <c r="A480" s="4">
        <v>491</v>
      </c>
      <c r="B480" s="5">
        <v>473</v>
      </c>
      <c r="C480">
        <v>429</v>
      </c>
      <c r="D480" t="s">
        <v>1215</v>
      </c>
      <c r="E480" t="s">
        <v>22</v>
      </c>
      <c r="F480" t="s">
        <v>17</v>
      </c>
      <c r="G480" t="s">
        <v>1216</v>
      </c>
      <c r="H480" t="str">
        <f>"00263822"</f>
        <v>00263822</v>
      </c>
      <c r="I480">
        <v>43.2</v>
      </c>
      <c r="J480">
        <v>10</v>
      </c>
      <c r="K480">
        <v>8</v>
      </c>
      <c r="N480">
        <v>8</v>
      </c>
      <c r="O480">
        <v>0</v>
      </c>
      <c r="P480">
        <v>2</v>
      </c>
      <c r="Q480">
        <v>63.2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6</v>
      </c>
      <c r="AB480">
        <v>38</v>
      </c>
      <c r="AD480">
        <v>107.2</v>
      </c>
    </row>
    <row r="481" spans="1:30" x14ac:dyDescent="0.3">
      <c r="A481" s="4">
        <v>492</v>
      </c>
      <c r="B481" s="5">
        <v>474</v>
      </c>
      <c r="C481">
        <v>715</v>
      </c>
      <c r="D481" t="s">
        <v>1217</v>
      </c>
      <c r="E481" t="s">
        <v>37</v>
      </c>
      <c r="F481" t="s">
        <v>81</v>
      </c>
      <c r="G481" t="s">
        <v>1218</v>
      </c>
      <c r="H481" t="str">
        <f>"00520148"</f>
        <v>00520148</v>
      </c>
      <c r="I481">
        <v>43.2</v>
      </c>
      <c r="J481">
        <v>10</v>
      </c>
      <c r="N481">
        <v>0</v>
      </c>
      <c r="O481">
        <v>0</v>
      </c>
      <c r="P481">
        <v>0</v>
      </c>
      <c r="Q481">
        <v>53.2</v>
      </c>
      <c r="R481">
        <v>45</v>
      </c>
      <c r="S481">
        <v>45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45</v>
      </c>
      <c r="AA481">
        <v>9</v>
      </c>
      <c r="AB481">
        <v>0</v>
      </c>
      <c r="AD481">
        <v>107.2</v>
      </c>
    </row>
    <row r="482" spans="1:30" x14ac:dyDescent="0.3">
      <c r="A482" s="4">
        <v>493</v>
      </c>
      <c r="B482" s="5">
        <v>475</v>
      </c>
      <c r="C482">
        <v>3863</v>
      </c>
      <c r="D482" t="s">
        <v>1219</v>
      </c>
      <c r="E482" t="s">
        <v>33</v>
      </c>
      <c r="F482" t="s">
        <v>20</v>
      </c>
      <c r="G482" t="s">
        <v>1220</v>
      </c>
      <c r="H482" t="str">
        <f>"00501072"</f>
        <v>00501072</v>
      </c>
      <c r="I482">
        <v>43.2</v>
      </c>
      <c r="J482">
        <v>0</v>
      </c>
      <c r="N482">
        <v>0</v>
      </c>
      <c r="O482">
        <v>4</v>
      </c>
      <c r="P482">
        <v>2</v>
      </c>
      <c r="Q482">
        <v>49.2</v>
      </c>
      <c r="R482">
        <v>55</v>
      </c>
      <c r="S482">
        <v>55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55</v>
      </c>
      <c r="AA482">
        <v>3</v>
      </c>
      <c r="AB482">
        <v>0</v>
      </c>
      <c r="AD482">
        <v>107.2</v>
      </c>
    </row>
    <row r="483" spans="1:30" x14ac:dyDescent="0.3">
      <c r="A483" s="4">
        <v>494</v>
      </c>
      <c r="B483" s="5">
        <v>476</v>
      </c>
      <c r="C483">
        <v>1178</v>
      </c>
      <c r="D483" t="s">
        <v>1221</v>
      </c>
      <c r="E483" t="s">
        <v>1222</v>
      </c>
      <c r="F483" t="s">
        <v>158</v>
      </c>
      <c r="G483" t="s">
        <v>1223</v>
      </c>
      <c r="H483" t="str">
        <f>"00189412"</f>
        <v>00189412</v>
      </c>
      <c r="I483">
        <v>37.159999999999997</v>
      </c>
      <c r="J483">
        <v>0</v>
      </c>
      <c r="M483">
        <v>4</v>
      </c>
      <c r="N483">
        <v>4</v>
      </c>
      <c r="O483">
        <v>4</v>
      </c>
      <c r="P483">
        <v>2</v>
      </c>
      <c r="Q483">
        <v>47.16</v>
      </c>
      <c r="R483">
        <v>51</v>
      </c>
      <c r="S483">
        <v>51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51</v>
      </c>
      <c r="AA483">
        <v>9</v>
      </c>
      <c r="AB483">
        <v>0</v>
      </c>
      <c r="AD483">
        <v>107.16</v>
      </c>
    </row>
    <row r="484" spans="1:30" x14ac:dyDescent="0.3">
      <c r="A484" s="4">
        <v>495</v>
      </c>
      <c r="B484" s="5">
        <v>477</v>
      </c>
      <c r="C484">
        <v>3331</v>
      </c>
      <c r="D484" t="s">
        <v>1224</v>
      </c>
      <c r="E484" t="s">
        <v>161</v>
      </c>
      <c r="F484" t="s">
        <v>1225</v>
      </c>
      <c r="G484" t="s">
        <v>1226</v>
      </c>
      <c r="H484" t="str">
        <f>"201511019867"</f>
        <v>201511019867</v>
      </c>
      <c r="I484">
        <v>29.08</v>
      </c>
      <c r="J484">
        <v>10</v>
      </c>
      <c r="N484">
        <v>0</v>
      </c>
      <c r="O484">
        <v>4</v>
      </c>
      <c r="P484">
        <v>2</v>
      </c>
      <c r="Q484">
        <v>45.08</v>
      </c>
      <c r="R484">
        <v>62</v>
      </c>
      <c r="S484">
        <v>62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62</v>
      </c>
      <c r="AA484">
        <v>0</v>
      </c>
      <c r="AB484">
        <v>0</v>
      </c>
      <c r="AD484">
        <v>107.08</v>
      </c>
    </row>
    <row r="485" spans="1:30" x14ac:dyDescent="0.3">
      <c r="A485" s="4">
        <v>496</v>
      </c>
      <c r="B485" s="5">
        <v>478</v>
      </c>
      <c r="C485">
        <v>376</v>
      </c>
      <c r="D485" t="s">
        <v>1227</v>
      </c>
      <c r="E485" t="s">
        <v>161</v>
      </c>
      <c r="F485" t="s">
        <v>136</v>
      </c>
      <c r="G485" t="s">
        <v>1228</v>
      </c>
      <c r="H485" t="str">
        <f>"00530738"</f>
        <v>00530738</v>
      </c>
      <c r="I485">
        <v>36</v>
      </c>
      <c r="J485">
        <v>0</v>
      </c>
      <c r="N485">
        <v>0</v>
      </c>
      <c r="O485">
        <v>0</v>
      </c>
      <c r="P485">
        <v>0</v>
      </c>
      <c r="Q485">
        <v>36</v>
      </c>
      <c r="R485">
        <v>36</v>
      </c>
      <c r="S485">
        <v>36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36</v>
      </c>
      <c r="AA485">
        <v>3</v>
      </c>
      <c r="AB485">
        <v>32</v>
      </c>
      <c r="AD485">
        <v>107</v>
      </c>
    </row>
    <row r="486" spans="1:30" x14ac:dyDescent="0.3">
      <c r="A486" s="4">
        <v>497</v>
      </c>
      <c r="B486" s="5">
        <v>479</v>
      </c>
      <c r="C486">
        <v>675</v>
      </c>
      <c r="D486" t="s">
        <v>525</v>
      </c>
      <c r="E486" t="s">
        <v>22</v>
      </c>
      <c r="F486" t="s">
        <v>38</v>
      </c>
      <c r="G486" t="s">
        <v>1229</v>
      </c>
      <c r="H486" t="str">
        <f>"00530127"</f>
        <v>00530127</v>
      </c>
      <c r="I486">
        <v>36</v>
      </c>
      <c r="J486">
        <v>10</v>
      </c>
      <c r="M486">
        <v>4</v>
      </c>
      <c r="N486">
        <v>4</v>
      </c>
      <c r="O486">
        <v>0</v>
      </c>
      <c r="P486">
        <v>2</v>
      </c>
      <c r="Q486">
        <v>52</v>
      </c>
      <c r="R486">
        <v>55</v>
      </c>
      <c r="S486">
        <v>55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55</v>
      </c>
      <c r="AA486">
        <v>0</v>
      </c>
      <c r="AB486">
        <v>0</v>
      </c>
      <c r="AD486">
        <v>107</v>
      </c>
    </row>
    <row r="487" spans="1:30" x14ac:dyDescent="0.3">
      <c r="A487" s="4">
        <v>498</v>
      </c>
      <c r="B487" s="5">
        <v>480</v>
      </c>
      <c r="C487">
        <v>1016</v>
      </c>
      <c r="D487" t="s">
        <v>1230</v>
      </c>
      <c r="E487" t="s">
        <v>1231</v>
      </c>
      <c r="F487" t="s">
        <v>38</v>
      </c>
      <c r="G487" t="s">
        <v>1232</v>
      </c>
      <c r="H487" t="str">
        <f>"201507002988"</f>
        <v>201507002988</v>
      </c>
      <c r="I487">
        <v>36</v>
      </c>
      <c r="J487">
        <v>0</v>
      </c>
      <c r="M487">
        <v>4</v>
      </c>
      <c r="N487">
        <v>4</v>
      </c>
      <c r="O487">
        <v>4</v>
      </c>
      <c r="P487">
        <v>2</v>
      </c>
      <c r="Q487">
        <v>46</v>
      </c>
      <c r="R487">
        <v>61</v>
      </c>
      <c r="S487">
        <v>61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61</v>
      </c>
      <c r="AA487">
        <v>0</v>
      </c>
      <c r="AB487">
        <v>0</v>
      </c>
      <c r="AD487">
        <v>107</v>
      </c>
    </row>
    <row r="488" spans="1:30" x14ac:dyDescent="0.3">
      <c r="A488" s="4">
        <v>499</v>
      </c>
      <c r="B488" s="5">
        <v>481</v>
      </c>
      <c r="C488">
        <v>737</v>
      </c>
      <c r="D488" t="s">
        <v>1233</v>
      </c>
      <c r="E488" t="s">
        <v>349</v>
      </c>
      <c r="F488" t="s">
        <v>68</v>
      </c>
      <c r="G488" t="s">
        <v>1234</v>
      </c>
      <c r="H488" t="str">
        <f>"00442135"</f>
        <v>00442135</v>
      </c>
      <c r="I488">
        <v>26</v>
      </c>
      <c r="J488">
        <v>10</v>
      </c>
      <c r="M488">
        <v>4</v>
      </c>
      <c r="N488">
        <v>4</v>
      </c>
      <c r="O488">
        <v>4</v>
      </c>
      <c r="P488">
        <v>2</v>
      </c>
      <c r="Q488">
        <v>46</v>
      </c>
      <c r="R488">
        <v>61</v>
      </c>
      <c r="S488">
        <v>61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61</v>
      </c>
      <c r="AA488">
        <v>0</v>
      </c>
      <c r="AB488">
        <v>0</v>
      </c>
      <c r="AD488">
        <v>107</v>
      </c>
    </row>
    <row r="489" spans="1:30" x14ac:dyDescent="0.3">
      <c r="A489" s="4">
        <v>500</v>
      </c>
      <c r="B489" s="5">
        <v>482</v>
      </c>
      <c r="C489">
        <v>3642</v>
      </c>
      <c r="D489" t="s">
        <v>198</v>
      </c>
      <c r="E489" t="s">
        <v>188</v>
      </c>
      <c r="F489" t="s">
        <v>17</v>
      </c>
      <c r="G489" t="s">
        <v>1235</v>
      </c>
      <c r="H489" t="str">
        <f>"00162561"</f>
        <v>00162561</v>
      </c>
      <c r="I489">
        <v>34.92</v>
      </c>
      <c r="J489">
        <v>0</v>
      </c>
      <c r="M489">
        <v>4</v>
      </c>
      <c r="N489">
        <v>4</v>
      </c>
      <c r="O489">
        <v>4</v>
      </c>
      <c r="P489">
        <v>2</v>
      </c>
      <c r="Q489">
        <v>44.92</v>
      </c>
      <c r="R489">
        <v>62</v>
      </c>
      <c r="S489">
        <v>62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62</v>
      </c>
      <c r="AA489">
        <v>0</v>
      </c>
      <c r="AB489">
        <v>0</v>
      </c>
      <c r="AD489">
        <v>106.92</v>
      </c>
    </row>
    <row r="490" spans="1:30" x14ac:dyDescent="0.3">
      <c r="A490" s="4">
        <v>501</v>
      </c>
      <c r="B490" s="5">
        <v>483</v>
      </c>
      <c r="C490">
        <v>894</v>
      </c>
      <c r="D490" t="s">
        <v>1236</v>
      </c>
      <c r="E490" t="s">
        <v>1237</v>
      </c>
      <c r="F490" t="s">
        <v>1238</v>
      </c>
      <c r="G490" t="s">
        <v>1239</v>
      </c>
      <c r="H490" t="str">
        <f>"00531523"</f>
        <v>00531523</v>
      </c>
      <c r="I490">
        <v>28.8</v>
      </c>
      <c r="J490">
        <v>0</v>
      </c>
      <c r="K490">
        <v>8</v>
      </c>
      <c r="N490">
        <v>8</v>
      </c>
      <c r="O490">
        <v>4</v>
      </c>
      <c r="P490">
        <v>2</v>
      </c>
      <c r="Q490">
        <v>42.8</v>
      </c>
      <c r="R490">
        <v>61</v>
      </c>
      <c r="S490">
        <v>61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61</v>
      </c>
      <c r="AA490">
        <v>3</v>
      </c>
      <c r="AB490">
        <v>0</v>
      </c>
      <c r="AD490">
        <v>106.8</v>
      </c>
    </row>
    <row r="491" spans="1:30" x14ac:dyDescent="0.3">
      <c r="A491" s="4">
        <v>502</v>
      </c>
      <c r="B491" s="5">
        <v>484</v>
      </c>
      <c r="C491">
        <v>952</v>
      </c>
      <c r="D491" t="s">
        <v>1240</v>
      </c>
      <c r="E491" t="s">
        <v>166</v>
      </c>
      <c r="F491" t="s">
        <v>652</v>
      </c>
      <c r="G491" t="s">
        <v>1241</v>
      </c>
      <c r="H491" t="str">
        <f>"201406017996"</f>
        <v>201406017996</v>
      </c>
      <c r="I491">
        <v>64.8</v>
      </c>
      <c r="J491">
        <v>0</v>
      </c>
      <c r="K491">
        <v>8</v>
      </c>
      <c r="N491">
        <v>8</v>
      </c>
      <c r="O491">
        <v>4</v>
      </c>
      <c r="P491">
        <v>2</v>
      </c>
      <c r="Q491">
        <v>78.8</v>
      </c>
      <c r="R491">
        <v>28</v>
      </c>
      <c r="S491">
        <v>28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28</v>
      </c>
      <c r="AA491">
        <v>0</v>
      </c>
      <c r="AB491">
        <v>0</v>
      </c>
      <c r="AD491">
        <v>106.8</v>
      </c>
    </row>
    <row r="492" spans="1:30" x14ac:dyDescent="0.3">
      <c r="A492" s="4">
        <v>503</v>
      </c>
      <c r="B492" s="5">
        <v>485</v>
      </c>
      <c r="C492">
        <v>3265</v>
      </c>
      <c r="D492" t="s">
        <v>357</v>
      </c>
      <c r="E492" t="s">
        <v>1242</v>
      </c>
      <c r="F492" t="s">
        <v>68</v>
      </c>
      <c r="G492" t="s">
        <v>1243</v>
      </c>
      <c r="H492" t="str">
        <f>"00533475"</f>
        <v>00533475</v>
      </c>
      <c r="I492">
        <v>64.8</v>
      </c>
      <c r="J492">
        <v>0</v>
      </c>
      <c r="N492">
        <v>0</v>
      </c>
      <c r="O492">
        <v>4</v>
      </c>
      <c r="P492">
        <v>2</v>
      </c>
      <c r="Q492">
        <v>70.8</v>
      </c>
      <c r="R492">
        <v>36</v>
      </c>
      <c r="S492">
        <v>36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36</v>
      </c>
      <c r="AA492">
        <v>0</v>
      </c>
      <c r="AB492">
        <v>0</v>
      </c>
      <c r="AD492">
        <v>106.8</v>
      </c>
    </row>
    <row r="493" spans="1:30" x14ac:dyDescent="0.3">
      <c r="A493" s="4">
        <v>504</v>
      </c>
      <c r="B493" s="5">
        <v>486</v>
      </c>
      <c r="C493">
        <v>2409</v>
      </c>
      <c r="D493" t="s">
        <v>1244</v>
      </c>
      <c r="E493" t="s">
        <v>161</v>
      </c>
      <c r="F493" t="s">
        <v>124</v>
      </c>
      <c r="G493" t="s">
        <v>1245</v>
      </c>
      <c r="H493" t="str">
        <f>"00513374"</f>
        <v>00513374</v>
      </c>
      <c r="I493">
        <v>39.72</v>
      </c>
      <c r="J493">
        <v>10</v>
      </c>
      <c r="K493">
        <v>8</v>
      </c>
      <c r="N493">
        <v>8</v>
      </c>
      <c r="O493">
        <v>4</v>
      </c>
      <c r="P493">
        <v>2</v>
      </c>
      <c r="Q493">
        <v>63.72</v>
      </c>
      <c r="R493">
        <v>37</v>
      </c>
      <c r="S493">
        <v>37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37</v>
      </c>
      <c r="AA493">
        <v>6</v>
      </c>
      <c r="AB493">
        <v>0</v>
      </c>
      <c r="AD493">
        <v>106.72</v>
      </c>
    </row>
    <row r="494" spans="1:30" x14ac:dyDescent="0.3">
      <c r="A494" s="4">
        <v>505</v>
      </c>
      <c r="B494" s="5">
        <v>487</v>
      </c>
      <c r="C494">
        <v>210</v>
      </c>
      <c r="D494" t="s">
        <v>1246</v>
      </c>
      <c r="E494" t="s">
        <v>692</v>
      </c>
      <c r="F494" t="s">
        <v>328</v>
      </c>
      <c r="G494" t="s">
        <v>1247</v>
      </c>
      <c r="H494" t="str">
        <f>"00532361"</f>
        <v>00532361</v>
      </c>
      <c r="I494">
        <v>21.6</v>
      </c>
      <c r="J494">
        <v>10</v>
      </c>
      <c r="N494">
        <v>0</v>
      </c>
      <c r="O494">
        <v>4</v>
      </c>
      <c r="P494">
        <v>2</v>
      </c>
      <c r="Q494">
        <v>37.6</v>
      </c>
      <c r="R494">
        <v>69</v>
      </c>
      <c r="S494">
        <v>69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69</v>
      </c>
      <c r="AA494">
        <v>0</v>
      </c>
      <c r="AB494">
        <v>0</v>
      </c>
      <c r="AD494">
        <v>106.6</v>
      </c>
    </row>
    <row r="495" spans="1:30" x14ac:dyDescent="0.3">
      <c r="A495" s="4">
        <v>506</v>
      </c>
      <c r="B495" s="5">
        <v>488</v>
      </c>
      <c r="C495">
        <v>3472</v>
      </c>
      <c r="D495" t="s">
        <v>1248</v>
      </c>
      <c r="E495" t="s">
        <v>188</v>
      </c>
      <c r="F495" t="s">
        <v>124</v>
      </c>
      <c r="G495" t="s">
        <v>1249</v>
      </c>
      <c r="H495" t="str">
        <f>"00552689"</f>
        <v>00552689</v>
      </c>
      <c r="I495">
        <v>50.4</v>
      </c>
      <c r="J495">
        <v>10</v>
      </c>
      <c r="M495">
        <v>4</v>
      </c>
      <c r="N495">
        <v>4</v>
      </c>
      <c r="O495">
        <v>4</v>
      </c>
      <c r="P495">
        <v>0</v>
      </c>
      <c r="Q495">
        <v>68.400000000000006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6</v>
      </c>
      <c r="AB495">
        <v>32</v>
      </c>
      <c r="AD495">
        <v>106.4</v>
      </c>
    </row>
    <row r="496" spans="1:30" x14ac:dyDescent="0.3">
      <c r="A496" s="4">
        <v>507</v>
      </c>
      <c r="B496" s="5">
        <v>489</v>
      </c>
      <c r="C496">
        <v>1639</v>
      </c>
      <c r="D496" t="s">
        <v>1250</v>
      </c>
      <c r="E496" t="s">
        <v>26</v>
      </c>
      <c r="F496" t="s">
        <v>20</v>
      </c>
      <c r="G496" t="s">
        <v>1251</v>
      </c>
      <c r="H496" t="str">
        <f>"00525349"</f>
        <v>00525349</v>
      </c>
      <c r="I496">
        <v>14.4</v>
      </c>
      <c r="J496">
        <v>10</v>
      </c>
      <c r="K496">
        <v>8</v>
      </c>
      <c r="N496">
        <v>8</v>
      </c>
      <c r="O496">
        <v>4</v>
      </c>
      <c r="P496">
        <v>2</v>
      </c>
      <c r="Q496">
        <v>38.4</v>
      </c>
      <c r="R496">
        <v>62</v>
      </c>
      <c r="S496">
        <v>62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62</v>
      </c>
      <c r="AA496">
        <v>6</v>
      </c>
      <c r="AB496">
        <v>0</v>
      </c>
      <c r="AD496">
        <v>106.4</v>
      </c>
    </row>
    <row r="497" spans="1:30" x14ac:dyDescent="0.3">
      <c r="A497" s="4">
        <v>508</v>
      </c>
      <c r="B497" s="5">
        <v>490</v>
      </c>
      <c r="C497">
        <v>1386</v>
      </c>
      <c r="D497" t="s">
        <v>1252</v>
      </c>
      <c r="E497" t="s">
        <v>424</v>
      </c>
      <c r="F497" t="s">
        <v>68</v>
      </c>
      <c r="G497" t="s">
        <v>1253</v>
      </c>
      <c r="H497" t="str">
        <f>"00529937"</f>
        <v>00529937</v>
      </c>
      <c r="I497">
        <v>50.4</v>
      </c>
      <c r="J497">
        <v>10</v>
      </c>
      <c r="K497">
        <v>8</v>
      </c>
      <c r="N497">
        <v>8</v>
      </c>
      <c r="O497">
        <v>4</v>
      </c>
      <c r="P497">
        <v>2</v>
      </c>
      <c r="Q497">
        <v>74.400000000000006</v>
      </c>
      <c r="R497">
        <v>32</v>
      </c>
      <c r="S497">
        <v>32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32</v>
      </c>
      <c r="AA497">
        <v>0</v>
      </c>
      <c r="AB497">
        <v>0</v>
      </c>
      <c r="AD497">
        <v>106.4</v>
      </c>
    </row>
    <row r="498" spans="1:30" x14ac:dyDescent="0.3">
      <c r="A498" s="4">
        <v>509</v>
      </c>
      <c r="B498" s="5">
        <v>491</v>
      </c>
      <c r="C498">
        <v>3911</v>
      </c>
      <c r="D498" t="s">
        <v>1254</v>
      </c>
      <c r="E498" t="s">
        <v>29</v>
      </c>
      <c r="F498" t="s">
        <v>328</v>
      </c>
      <c r="G498" t="s">
        <v>1255</v>
      </c>
      <c r="H498" t="str">
        <f>"00510504"</f>
        <v>00510504</v>
      </c>
      <c r="I498">
        <v>29.32</v>
      </c>
      <c r="J498">
        <v>0</v>
      </c>
      <c r="N498">
        <v>0</v>
      </c>
      <c r="O498">
        <v>4</v>
      </c>
      <c r="P498">
        <v>0</v>
      </c>
      <c r="Q498">
        <v>33.32</v>
      </c>
      <c r="R498">
        <v>73</v>
      </c>
      <c r="S498">
        <v>73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73</v>
      </c>
      <c r="AA498">
        <v>0</v>
      </c>
      <c r="AB498">
        <v>0</v>
      </c>
      <c r="AD498">
        <v>106.32</v>
      </c>
    </row>
    <row r="499" spans="1:30" x14ac:dyDescent="0.3">
      <c r="A499" s="4">
        <v>510</v>
      </c>
      <c r="B499" s="5">
        <v>492</v>
      </c>
      <c r="C499">
        <v>1207</v>
      </c>
      <c r="D499" t="s">
        <v>1256</v>
      </c>
      <c r="E499" t="s">
        <v>560</v>
      </c>
      <c r="F499" t="s">
        <v>190</v>
      </c>
      <c r="G499" t="s">
        <v>1257</v>
      </c>
      <c r="H499" t="str">
        <f>"00520293"</f>
        <v>00520293</v>
      </c>
      <c r="I499">
        <v>43.2</v>
      </c>
      <c r="J499">
        <v>10</v>
      </c>
      <c r="K499">
        <v>8</v>
      </c>
      <c r="N499">
        <v>8</v>
      </c>
      <c r="O499">
        <v>4</v>
      </c>
      <c r="P499">
        <v>2</v>
      </c>
      <c r="Q499">
        <v>67.2</v>
      </c>
      <c r="R499">
        <v>33</v>
      </c>
      <c r="S499">
        <v>33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33</v>
      </c>
      <c r="AA499">
        <v>6</v>
      </c>
      <c r="AB499">
        <v>0</v>
      </c>
      <c r="AD499">
        <v>106.2</v>
      </c>
    </row>
    <row r="500" spans="1:30" x14ac:dyDescent="0.3">
      <c r="A500" s="4">
        <v>511</v>
      </c>
      <c r="B500" s="5">
        <v>493</v>
      </c>
      <c r="C500">
        <v>3855</v>
      </c>
      <c r="D500" t="s">
        <v>1258</v>
      </c>
      <c r="E500" t="s">
        <v>424</v>
      </c>
      <c r="F500" t="s">
        <v>81</v>
      </c>
      <c r="G500" t="s">
        <v>1259</v>
      </c>
      <c r="H500" t="str">
        <f>"00122512"</f>
        <v>00122512</v>
      </c>
      <c r="I500">
        <v>43.2</v>
      </c>
      <c r="J500">
        <v>0</v>
      </c>
      <c r="K500">
        <v>16</v>
      </c>
      <c r="N500">
        <v>16</v>
      </c>
      <c r="O500">
        <v>4</v>
      </c>
      <c r="P500">
        <v>2</v>
      </c>
      <c r="Q500">
        <v>65.2</v>
      </c>
      <c r="R500">
        <v>35</v>
      </c>
      <c r="S500">
        <v>35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35</v>
      </c>
      <c r="AA500">
        <v>6</v>
      </c>
      <c r="AB500">
        <v>0</v>
      </c>
      <c r="AD500">
        <v>106.2</v>
      </c>
    </row>
    <row r="501" spans="1:30" x14ac:dyDescent="0.3">
      <c r="A501" s="4">
        <v>512</v>
      </c>
      <c r="B501" s="5">
        <v>494</v>
      </c>
      <c r="C501">
        <v>1367</v>
      </c>
      <c r="D501" t="s">
        <v>1260</v>
      </c>
      <c r="E501" t="s">
        <v>41</v>
      </c>
      <c r="F501" t="s">
        <v>17</v>
      </c>
      <c r="G501" t="s">
        <v>1261</v>
      </c>
      <c r="H501" t="str">
        <f>"00507009"</f>
        <v>00507009</v>
      </c>
      <c r="I501">
        <v>34</v>
      </c>
      <c r="J501">
        <v>0</v>
      </c>
      <c r="N501">
        <v>0</v>
      </c>
      <c r="O501">
        <v>4</v>
      </c>
      <c r="P501">
        <v>0</v>
      </c>
      <c r="Q501">
        <v>38</v>
      </c>
      <c r="R501">
        <v>62</v>
      </c>
      <c r="S501">
        <v>62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62</v>
      </c>
      <c r="AA501">
        <v>6</v>
      </c>
      <c r="AB501">
        <v>0</v>
      </c>
      <c r="AD501">
        <v>106</v>
      </c>
    </row>
    <row r="502" spans="1:30" x14ac:dyDescent="0.3">
      <c r="A502" s="4">
        <v>513</v>
      </c>
      <c r="B502" s="5">
        <v>495</v>
      </c>
      <c r="C502">
        <v>4368</v>
      </c>
      <c r="D502" t="s">
        <v>1262</v>
      </c>
      <c r="E502" t="s">
        <v>188</v>
      </c>
      <c r="F502" t="s">
        <v>62</v>
      </c>
      <c r="G502" t="s">
        <v>1263</v>
      </c>
      <c r="H502" t="str">
        <f>"00530817"</f>
        <v>00530817</v>
      </c>
      <c r="I502">
        <v>36</v>
      </c>
      <c r="J502">
        <v>10</v>
      </c>
      <c r="K502">
        <v>8</v>
      </c>
      <c r="N502">
        <v>8</v>
      </c>
      <c r="O502">
        <v>4</v>
      </c>
      <c r="P502">
        <v>2</v>
      </c>
      <c r="Q502">
        <v>60</v>
      </c>
      <c r="R502">
        <v>46</v>
      </c>
      <c r="S502">
        <v>46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46</v>
      </c>
      <c r="AA502">
        <v>0</v>
      </c>
      <c r="AB502">
        <v>0</v>
      </c>
      <c r="AD502">
        <v>106</v>
      </c>
    </row>
    <row r="503" spans="1:30" x14ac:dyDescent="0.3">
      <c r="A503" s="4">
        <v>514</v>
      </c>
      <c r="B503" s="5">
        <v>496</v>
      </c>
      <c r="C503">
        <v>3689</v>
      </c>
      <c r="D503" t="s">
        <v>1264</v>
      </c>
      <c r="E503" t="s">
        <v>1265</v>
      </c>
      <c r="F503" t="s">
        <v>158</v>
      </c>
      <c r="G503" t="s">
        <v>1266</v>
      </c>
      <c r="H503" t="str">
        <f>"00148418"</f>
        <v>00148418</v>
      </c>
      <c r="I503">
        <v>36</v>
      </c>
      <c r="J503">
        <v>10</v>
      </c>
      <c r="M503">
        <v>4</v>
      </c>
      <c r="N503">
        <v>4</v>
      </c>
      <c r="O503">
        <v>4</v>
      </c>
      <c r="P503">
        <v>0</v>
      </c>
      <c r="Q503">
        <v>54</v>
      </c>
      <c r="R503">
        <v>52</v>
      </c>
      <c r="S503">
        <v>52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52</v>
      </c>
      <c r="AA503">
        <v>0</v>
      </c>
      <c r="AB503">
        <v>0</v>
      </c>
      <c r="AD503">
        <v>106</v>
      </c>
    </row>
    <row r="504" spans="1:30" x14ac:dyDescent="0.3">
      <c r="A504" s="4">
        <v>515</v>
      </c>
      <c r="B504" s="5">
        <v>497</v>
      </c>
      <c r="C504">
        <v>3796</v>
      </c>
      <c r="D504" t="s">
        <v>1267</v>
      </c>
      <c r="E504" t="s">
        <v>22</v>
      </c>
      <c r="F504" t="s">
        <v>158</v>
      </c>
      <c r="G504" t="s">
        <v>1268</v>
      </c>
      <c r="H504" t="str">
        <f>"00507273"</f>
        <v>00507273</v>
      </c>
      <c r="I504">
        <v>64.8</v>
      </c>
      <c r="J504">
        <v>0</v>
      </c>
      <c r="K504">
        <v>8</v>
      </c>
      <c r="N504">
        <v>8</v>
      </c>
      <c r="O504">
        <v>4</v>
      </c>
      <c r="P504">
        <v>2</v>
      </c>
      <c r="Q504">
        <v>78.8</v>
      </c>
      <c r="R504">
        <v>18</v>
      </c>
      <c r="S504">
        <v>18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18</v>
      </c>
      <c r="AA504">
        <v>9</v>
      </c>
      <c r="AB504">
        <v>0</v>
      </c>
      <c r="AD504">
        <v>105.8</v>
      </c>
    </row>
    <row r="505" spans="1:30" x14ac:dyDescent="0.3">
      <c r="A505" s="4">
        <v>516</v>
      </c>
      <c r="B505" s="5">
        <v>498</v>
      </c>
      <c r="C505">
        <v>1373</v>
      </c>
      <c r="D505" t="s">
        <v>1269</v>
      </c>
      <c r="E505" t="s">
        <v>342</v>
      </c>
      <c r="F505" t="s">
        <v>652</v>
      </c>
      <c r="G505" t="s">
        <v>1270</v>
      </c>
      <c r="H505" t="str">
        <f>"00525888"</f>
        <v>00525888</v>
      </c>
      <c r="I505">
        <v>64.8</v>
      </c>
      <c r="J505">
        <v>10</v>
      </c>
      <c r="M505">
        <v>4</v>
      </c>
      <c r="N505">
        <v>4</v>
      </c>
      <c r="O505">
        <v>4</v>
      </c>
      <c r="P505">
        <v>2</v>
      </c>
      <c r="Q505">
        <v>84.8</v>
      </c>
      <c r="R505">
        <v>18</v>
      </c>
      <c r="S505">
        <v>18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18</v>
      </c>
      <c r="AA505">
        <v>3</v>
      </c>
      <c r="AB505">
        <v>0</v>
      </c>
      <c r="AD505">
        <v>105.8</v>
      </c>
    </row>
    <row r="506" spans="1:30" x14ac:dyDescent="0.3">
      <c r="A506" s="4">
        <v>517</v>
      </c>
      <c r="B506" s="5">
        <v>499</v>
      </c>
      <c r="C506">
        <v>2205</v>
      </c>
      <c r="D506" t="s">
        <v>1271</v>
      </c>
      <c r="E506" t="s">
        <v>37</v>
      </c>
      <c r="F506" t="s">
        <v>81</v>
      </c>
      <c r="G506" t="s">
        <v>1272</v>
      </c>
      <c r="H506" t="str">
        <f>"00503203"</f>
        <v>00503203</v>
      </c>
      <c r="I506">
        <v>34.68</v>
      </c>
      <c r="J506">
        <v>0</v>
      </c>
      <c r="M506">
        <v>4</v>
      </c>
      <c r="N506">
        <v>4</v>
      </c>
      <c r="O506">
        <v>4</v>
      </c>
      <c r="P506">
        <v>2</v>
      </c>
      <c r="Q506">
        <v>44.68</v>
      </c>
      <c r="R506">
        <v>55</v>
      </c>
      <c r="S506">
        <v>55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55</v>
      </c>
      <c r="AA506">
        <v>6</v>
      </c>
      <c r="AB506">
        <v>0</v>
      </c>
      <c r="AD506">
        <v>105.68</v>
      </c>
    </row>
    <row r="507" spans="1:30" x14ac:dyDescent="0.3">
      <c r="A507" s="4">
        <v>518</v>
      </c>
      <c r="B507" s="5">
        <v>500</v>
      </c>
      <c r="C507">
        <v>2353</v>
      </c>
      <c r="D507" t="s">
        <v>1273</v>
      </c>
      <c r="E507" t="s">
        <v>54</v>
      </c>
      <c r="F507" t="s">
        <v>1274</v>
      </c>
      <c r="G507" t="s">
        <v>1275</v>
      </c>
      <c r="H507" t="str">
        <f>"00500578"</f>
        <v>00500578</v>
      </c>
      <c r="I507">
        <v>31.56</v>
      </c>
      <c r="J507">
        <v>0</v>
      </c>
      <c r="N507">
        <v>0</v>
      </c>
      <c r="O507">
        <v>4</v>
      </c>
      <c r="P507">
        <v>0</v>
      </c>
      <c r="Q507">
        <v>35.56</v>
      </c>
      <c r="R507">
        <v>70</v>
      </c>
      <c r="S507">
        <v>70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70</v>
      </c>
      <c r="AA507">
        <v>0</v>
      </c>
      <c r="AB507">
        <v>0</v>
      </c>
      <c r="AD507">
        <v>105.56</v>
      </c>
    </row>
    <row r="508" spans="1:30" x14ac:dyDescent="0.3">
      <c r="A508" s="4">
        <v>519</v>
      </c>
      <c r="B508" s="5">
        <v>501</v>
      </c>
      <c r="C508">
        <v>4244</v>
      </c>
      <c r="D508" t="s">
        <v>1276</v>
      </c>
      <c r="E508" t="s">
        <v>1277</v>
      </c>
      <c r="F508" t="s">
        <v>17</v>
      </c>
      <c r="G508" t="s">
        <v>1278</v>
      </c>
      <c r="H508" t="str">
        <f>"00509768"</f>
        <v>00509768</v>
      </c>
      <c r="I508">
        <v>27.48</v>
      </c>
      <c r="J508">
        <v>10</v>
      </c>
      <c r="N508">
        <v>0</v>
      </c>
      <c r="O508">
        <v>4</v>
      </c>
      <c r="P508">
        <v>2</v>
      </c>
      <c r="Q508">
        <v>43.48</v>
      </c>
      <c r="R508">
        <v>62</v>
      </c>
      <c r="S508">
        <v>62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62</v>
      </c>
      <c r="AA508">
        <v>0</v>
      </c>
      <c r="AB508">
        <v>0</v>
      </c>
      <c r="AD508">
        <v>105.48</v>
      </c>
    </row>
    <row r="509" spans="1:30" x14ac:dyDescent="0.3">
      <c r="A509" s="4">
        <v>520</v>
      </c>
      <c r="B509" s="5">
        <v>502</v>
      </c>
      <c r="C509">
        <v>105</v>
      </c>
      <c r="D509" t="s">
        <v>1279</v>
      </c>
      <c r="E509" t="s">
        <v>1280</v>
      </c>
      <c r="F509" t="s">
        <v>68</v>
      </c>
      <c r="G509" t="s">
        <v>1281</v>
      </c>
      <c r="H509" t="str">
        <f>"00484587"</f>
        <v>00484587</v>
      </c>
      <c r="I509">
        <v>50.4</v>
      </c>
      <c r="J509">
        <v>0</v>
      </c>
      <c r="M509">
        <v>4</v>
      </c>
      <c r="N509">
        <v>4</v>
      </c>
      <c r="O509">
        <v>4</v>
      </c>
      <c r="P509">
        <v>0</v>
      </c>
      <c r="Q509">
        <v>58.4</v>
      </c>
      <c r="R509">
        <v>47</v>
      </c>
      <c r="S509">
        <v>47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47</v>
      </c>
      <c r="AA509">
        <v>0</v>
      </c>
      <c r="AB509">
        <v>0</v>
      </c>
      <c r="AD509">
        <v>105.4</v>
      </c>
    </row>
    <row r="510" spans="1:30" x14ac:dyDescent="0.3">
      <c r="A510" s="4">
        <v>521</v>
      </c>
      <c r="B510" s="5">
        <v>503</v>
      </c>
      <c r="C510">
        <v>820</v>
      </c>
      <c r="D510" t="s">
        <v>1282</v>
      </c>
      <c r="E510" t="s">
        <v>213</v>
      </c>
      <c r="F510" t="s">
        <v>626</v>
      </c>
      <c r="G510" t="s">
        <v>1283</v>
      </c>
      <c r="H510" t="str">
        <f>"00530227"</f>
        <v>00530227</v>
      </c>
      <c r="I510">
        <v>14.4</v>
      </c>
      <c r="J510">
        <v>0</v>
      </c>
      <c r="M510">
        <v>4</v>
      </c>
      <c r="N510">
        <v>4</v>
      </c>
      <c r="O510">
        <v>4</v>
      </c>
      <c r="P510">
        <v>2</v>
      </c>
      <c r="Q510">
        <v>24.4</v>
      </c>
      <c r="R510">
        <v>81</v>
      </c>
      <c r="S510">
        <v>81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81</v>
      </c>
      <c r="AA510">
        <v>0</v>
      </c>
      <c r="AB510">
        <v>0</v>
      </c>
      <c r="AD510">
        <v>105.4</v>
      </c>
    </row>
    <row r="511" spans="1:30" x14ac:dyDescent="0.3">
      <c r="A511" s="4">
        <v>522</v>
      </c>
      <c r="B511" s="5">
        <v>504</v>
      </c>
      <c r="C511">
        <v>2653</v>
      </c>
      <c r="D511" t="s">
        <v>1284</v>
      </c>
      <c r="E511" t="s">
        <v>208</v>
      </c>
      <c r="F511" t="s">
        <v>38</v>
      </c>
      <c r="G511" t="s">
        <v>1285</v>
      </c>
      <c r="H511" t="str">
        <f>"00511212"</f>
        <v>00511212</v>
      </c>
      <c r="I511">
        <v>38.24</v>
      </c>
      <c r="J511">
        <v>10</v>
      </c>
      <c r="N511">
        <v>0</v>
      </c>
      <c r="O511">
        <v>4</v>
      </c>
      <c r="P511">
        <v>0</v>
      </c>
      <c r="Q511">
        <v>52.24</v>
      </c>
      <c r="R511">
        <v>47</v>
      </c>
      <c r="S511">
        <v>47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47</v>
      </c>
      <c r="AA511">
        <v>6</v>
      </c>
      <c r="AB511">
        <v>0</v>
      </c>
      <c r="AD511">
        <v>105.24</v>
      </c>
    </row>
    <row r="512" spans="1:30" x14ac:dyDescent="0.3">
      <c r="A512" s="4">
        <v>523</v>
      </c>
      <c r="B512" s="5">
        <v>505</v>
      </c>
      <c r="C512">
        <v>4389</v>
      </c>
      <c r="D512" t="s">
        <v>1286</v>
      </c>
      <c r="E512" t="s">
        <v>147</v>
      </c>
      <c r="F512" t="s">
        <v>62</v>
      </c>
      <c r="G512" t="s">
        <v>31992</v>
      </c>
      <c r="H512" t="str">
        <f>"00158554"</f>
        <v>00158554</v>
      </c>
      <c r="I512">
        <v>38.24</v>
      </c>
      <c r="J512">
        <v>0</v>
      </c>
      <c r="K512">
        <v>8</v>
      </c>
      <c r="N512">
        <v>8</v>
      </c>
      <c r="O512">
        <v>4</v>
      </c>
      <c r="P512">
        <v>2</v>
      </c>
      <c r="Q512">
        <v>52.24</v>
      </c>
      <c r="R512">
        <v>47</v>
      </c>
      <c r="S512">
        <v>47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47</v>
      </c>
      <c r="AA512">
        <v>6</v>
      </c>
      <c r="AB512">
        <v>0</v>
      </c>
      <c r="AD512">
        <v>105.24</v>
      </c>
    </row>
    <row r="513" spans="1:30" x14ac:dyDescent="0.3">
      <c r="A513" s="4">
        <v>524</v>
      </c>
      <c r="B513" s="5">
        <v>506</v>
      </c>
      <c r="C513">
        <v>3694</v>
      </c>
      <c r="D513" t="s">
        <v>1287</v>
      </c>
      <c r="E513" t="s">
        <v>894</v>
      </c>
      <c r="F513" t="s">
        <v>20</v>
      </c>
      <c r="G513" t="s">
        <v>1288</v>
      </c>
      <c r="H513" t="str">
        <f>"00498596"</f>
        <v>00498596</v>
      </c>
      <c r="I513">
        <v>27.28</v>
      </c>
      <c r="J513">
        <v>0</v>
      </c>
      <c r="N513">
        <v>0</v>
      </c>
      <c r="O513">
        <v>4</v>
      </c>
      <c r="P513">
        <v>2</v>
      </c>
      <c r="Q513">
        <v>33.28</v>
      </c>
      <c r="R513">
        <v>42</v>
      </c>
      <c r="S513">
        <v>42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42</v>
      </c>
      <c r="AA513">
        <v>3</v>
      </c>
      <c r="AB513">
        <v>26.8</v>
      </c>
      <c r="AD513">
        <v>105.08</v>
      </c>
    </row>
    <row r="514" spans="1:30" x14ac:dyDescent="0.3">
      <c r="A514" s="4">
        <v>525</v>
      </c>
      <c r="B514" s="5">
        <v>507</v>
      </c>
      <c r="C514">
        <v>2538</v>
      </c>
      <c r="D514" t="s">
        <v>1289</v>
      </c>
      <c r="E514" t="s">
        <v>29</v>
      </c>
      <c r="F514" t="s">
        <v>68</v>
      </c>
      <c r="G514" t="s">
        <v>1290</v>
      </c>
      <c r="H514" t="str">
        <f>"200712003431"</f>
        <v>200712003431</v>
      </c>
      <c r="I514">
        <v>40</v>
      </c>
      <c r="J514">
        <v>10</v>
      </c>
      <c r="M514">
        <v>4</v>
      </c>
      <c r="N514">
        <v>4</v>
      </c>
      <c r="O514">
        <v>4</v>
      </c>
      <c r="P514">
        <v>0</v>
      </c>
      <c r="Q514">
        <v>58</v>
      </c>
      <c r="R514">
        <v>41</v>
      </c>
      <c r="S514">
        <v>41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41</v>
      </c>
      <c r="AA514">
        <v>6</v>
      </c>
      <c r="AB514">
        <v>0</v>
      </c>
      <c r="AD514">
        <v>105</v>
      </c>
    </row>
    <row r="515" spans="1:30" x14ac:dyDescent="0.3">
      <c r="A515" s="4">
        <v>526</v>
      </c>
      <c r="B515" s="5">
        <v>508</v>
      </c>
      <c r="C515">
        <v>3187</v>
      </c>
      <c r="D515" t="s">
        <v>267</v>
      </c>
      <c r="E515" t="s">
        <v>149</v>
      </c>
      <c r="F515" t="s">
        <v>1000</v>
      </c>
      <c r="G515" t="s">
        <v>1291</v>
      </c>
      <c r="H515" t="str">
        <f>"00531232"</f>
        <v>00531232</v>
      </c>
      <c r="I515">
        <v>40</v>
      </c>
      <c r="J515">
        <v>10</v>
      </c>
      <c r="N515">
        <v>0</v>
      </c>
      <c r="O515">
        <v>0</v>
      </c>
      <c r="P515">
        <v>2</v>
      </c>
      <c r="Q515">
        <v>52</v>
      </c>
      <c r="R515">
        <v>53</v>
      </c>
      <c r="S515">
        <v>53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53</v>
      </c>
      <c r="AA515">
        <v>0</v>
      </c>
      <c r="AB515">
        <v>0</v>
      </c>
      <c r="AD515">
        <v>105</v>
      </c>
    </row>
    <row r="516" spans="1:30" x14ac:dyDescent="0.3">
      <c r="A516" s="4">
        <v>527</v>
      </c>
      <c r="B516" s="5">
        <v>509</v>
      </c>
      <c r="C516">
        <v>3493</v>
      </c>
      <c r="D516" t="s">
        <v>1292</v>
      </c>
      <c r="E516" t="s">
        <v>26</v>
      </c>
      <c r="F516" t="s">
        <v>91</v>
      </c>
      <c r="G516" t="s">
        <v>1293</v>
      </c>
      <c r="H516" t="str">
        <f>"00485724"</f>
        <v>00485724</v>
      </c>
      <c r="I516">
        <v>36</v>
      </c>
      <c r="J516">
        <v>10</v>
      </c>
      <c r="N516">
        <v>0</v>
      </c>
      <c r="O516">
        <v>4</v>
      </c>
      <c r="P516">
        <v>2</v>
      </c>
      <c r="Q516">
        <v>52</v>
      </c>
      <c r="R516">
        <v>53</v>
      </c>
      <c r="S516">
        <v>53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53</v>
      </c>
      <c r="AA516">
        <v>0</v>
      </c>
      <c r="AB516">
        <v>0</v>
      </c>
      <c r="AD516">
        <v>105</v>
      </c>
    </row>
    <row r="517" spans="1:30" x14ac:dyDescent="0.3">
      <c r="A517" s="4">
        <v>528</v>
      </c>
      <c r="B517" s="5">
        <v>510</v>
      </c>
      <c r="C517">
        <v>197</v>
      </c>
      <c r="D517" t="s">
        <v>1294</v>
      </c>
      <c r="E517" t="s">
        <v>38</v>
      </c>
      <c r="F517" t="s">
        <v>17</v>
      </c>
      <c r="G517" t="s">
        <v>1295</v>
      </c>
      <c r="H517" t="str">
        <f>"00078013"</f>
        <v>00078013</v>
      </c>
      <c r="I517">
        <v>38.92</v>
      </c>
      <c r="J517">
        <v>0</v>
      </c>
      <c r="K517">
        <v>8</v>
      </c>
      <c r="M517">
        <v>4</v>
      </c>
      <c r="N517">
        <v>12</v>
      </c>
      <c r="O517">
        <v>4</v>
      </c>
      <c r="P517">
        <v>0</v>
      </c>
      <c r="Q517">
        <v>54.92</v>
      </c>
      <c r="R517">
        <v>50</v>
      </c>
      <c r="S517">
        <v>50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50</v>
      </c>
      <c r="AA517">
        <v>0</v>
      </c>
      <c r="AB517">
        <v>0</v>
      </c>
      <c r="AD517">
        <v>104.92</v>
      </c>
    </row>
    <row r="518" spans="1:30" x14ac:dyDescent="0.3">
      <c r="A518" s="4">
        <v>529</v>
      </c>
      <c r="B518" s="5">
        <v>511</v>
      </c>
      <c r="C518">
        <v>2895</v>
      </c>
      <c r="D518" t="s">
        <v>1296</v>
      </c>
      <c r="E518" t="s">
        <v>1297</v>
      </c>
      <c r="F518" t="s">
        <v>117</v>
      </c>
      <c r="G518" t="s">
        <v>1298</v>
      </c>
      <c r="H518" t="str">
        <f>"00531131"</f>
        <v>00531131</v>
      </c>
      <c r="I518">
        <v>28.8</v>
      </c>
      <c r="J518">
        <v>10</v>
      </c>
      <c r="N518">
        <v>0</v>
      </c>
      <c r="O518">
        <v>4</v>
      </c>
      <c r="P518">
        <v>0</v>
      </c>
      <c r="Q518">
        <v>42.8</v>
      </c>
      <c r="R518">
        <v>59</v>
      </c>
      <c r="S518">
        <v>59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59</v>
      </c>
      <c r="AA518">
        <v>3</v>
      </c>
      <c r="AB518">
        <v>0</v>
      </c>
      <c r="AD518">
        <v>104.8</v>
      </c>
    </row>
    <row r="519" spans="1:30" x14ac:dyDescent="0.3">
      <c r="A519" s="4">
        <v>530</v>
      </c>
      <c r="B519" s="5">
        <v>512</v>
      </c>
      <c r="C519">
        <v>1053</v>
      </c>
      <c r="D519" t="s">
        <v>1299</v>
      </c>
      <c r="E519" t="s">
        <v>1300</v>
      </c>
      <c r="F519" t="s">
        <v>81</v>
      </c>
      <c r="G519" t="s">
        <v>1301</v>
      </c>
      <c r="H519" t="str">
        <f>"00534198"</f>
        <v>00534198</v>
      </c>
      <c r="I519">
        <v>64.8</v>
      </c>
      <c r="J519">
        <v>10</v>
      </c>
      <c r="K519">
        <v>8</v>
      </c>
      <c r="N519">
        <v>8</v>
      </c>
      <c r="O519">
        <v>4</v>
      </c>
      <c r="P519">
        <v>0</v>
      </c>
      <c r="Q519">
        <v>86.8</v>
      </c>
      <c r="R519">
        <v>18</v>
      </c>
      <c r="S519">
        <v>18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18</v>
      </c>
      <c r="AA519">
        <v>0</v>
      </c>
      <c r="AB519">
        <v>0</v>
      </c>
      <c r="AD519">
        <v>104.8</v>
      </c>
    </row>
    <row r="520" spans="1:30" x14ac:dyDescent="0.3">
      <c r="A520" s="4">
        <v>531</v>
      </c>
      <c r="B520" s="5">
        <v>513</v>
      </c>
      <c r="C520">
        <v>4391</v>
      </c>
      <c r="D520" t="s">
        <v>1302</v>
      </c>
      <c r="E520" t="s">
        <v>110</v>
      </c>
      <c r="F520" t="s">
        <v>136</v>
      </c>
      <c r="G520" t="s">
        <v>1303</v>
      </c>
      <c r="H520" t="str">
        <f>"201412001262"</f>
        <v>201412001262</v>
      </c>
      <c r="I520">
        <v>22.68</v>
      </c>
      <c r="J520">
        <v>0</v>
      </c>
      <c r="K520">
        <v>8</v>
      </c>
      <c r="N520">
        <v>8</v>
      </c>
      <c r="O520">
        <v>4</v>
      </c>
      <c r="P520">
        <v>2</v>
      </c>
      <c r="Q520">
        <v>36.68</v>
      </c>
      <c r="R520">
        <v>68</v>
      </c>
      <c r="S520">
        <v>68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68</v>
      </c>
      <c r="AA520">
        <v>0</v>
      </c>
      <c r="AB520">
        <v>0</v>
      </c>
      <c r="AD520">
        <v>104.68</v>
      </c>
    </row>
    <row r="521" spans="1:30" x14ac:dyDescent="0.3">
      <c r="A521" s="4">
        <v>532</v>
      </c>
      <c r="B521" s="5">
        <v>514</v>
      </c>
      <c r="C521">
        <v>919</v>
      </c>
      <c r="D521" t="s">
        <v>1304</v>
      </c>
      <c r="E521" t="s">
        <v>110</v>
      </c>
      <c r="F521" t="s">
        <v>17</v>
      </c>
      <c r="G521" t="s">
        <v>1305</v>
      </c>
      <c r="H521" t="str">
        <f>"00509219"</f>
        <v>00509219</v>
      </c>
      <c r="I521">
        <v>57.6</v>
      </c>
      <c r="J521">
        <v>10</v>
      </c>
      <c r="M521">
        <v>4</v>
      </c>
      <c r="N521">
        <v>4</v>
      </c>
      <c r="O521">
        <v>4</v>
      </c>
      <c r="P521">
        <v>2</v>
      </c>
      <c r="Q521">
        <v>77.599999999999994</v>
      </c>
      <c r="R521">
        <v>18</v>
      </c>
      <c r="S521">
        <v>18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18</v>
      </c>
      <c r="AA521">
        <v>9</v>
      </c>
      <c r="AB521">
        <v>0</v>
      </c>
      <c r="AD521">
        <v>104.6</v>
      </c>
    </row>
    <row r="522" spans="1:30" x14ac:dyDescent="0.3">
      <c r="A522" s="4">
        <v>533</v>
      </c>
      <c r="B522" s="5">
        <v>515</v>
      </c>
      <c r="C522">
        <v>394</v>
      </c>
      <c r="D522" t="s">
        <v>1306</v>
      </c>
      <c r="E522" t="s">
        <v>166</v>
      </c>
      <c r="F522" t="s">
        <v>34</v>
      </c>
      <c r="G522" t="s">
        <v>1307</v>
      </c>
      <c r="H522" t="str">
        <f>"00442182"</f>
        <v>00442182</v>
      </c>
      <c r="I522">
        <v>21.6</v>
      </c>
      <c r="J522">
        <v>10</v>
      </c>
      <c r="M522">
        <v>4</v>
      </c>
      <c r="N522">
        <v>4</v>
      </c>
      <c r="O522">
        <v>4</v>
      </c>
      <c r="P522">
        <v>2</v>
      </c>
      <c r="Q522">
        <v>41.6</v>
      </c>
      <c r="R522">
        <v>54</v>
      </c>
      <c r="S522">
        <v>54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54</v>
      </c>
      <c r="AA522">
        <v>9</v>
      </c>
      <c r="AB522">
        <v>0</v>
      </c>
      <c r="AD522">
        <v>104.6</v>
      </c>
    </row>
    <row r="523" spans="1:30" x14ac:dyDescent="0.3">
      <c r="A523" s="4">
        <v>534</v>
      </c>
      <c r="B523" s="5">
        <v>516</v>
      </c>
      <c r="C523">
        <v>4059</v>
      </c>
      <c r="D523" t="s">
        <v>1308</v>
      </c>
      <c r="E523" t="s">
        <v>54</v>
      </c>
      <c r="F523" t="s">
        <v>81</v>
      </c>
      <c r="G523" t="s">
        <v>1309</v>
      </c>
      <c r="H523" t="str">
        <f>"00507563"</f>
        <v>00507563</v>
      </c>
      <c r="I523">
        <v>21.6</v>
      </c>
      <c r="J523">
        <v>0</v>
      </c>
      <c r="M523">
        <v>4</v>
      </c>
      <c r="N523">
        <v>4</v>
      </c>
      <c r="O523">
        <v>4</v>
      </c>
      <c r="P523">
        <v>2</v>
      </c>
      <c r="Q523">
        <v>31.6</v>
      </c>
      <c r="R523">
        <v>67</v>
      </c>
      <c r="S523">
        <v>67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67</v>
      </c>
      <c r="AA523">
        <v>6</v>
      </c>
      <c r="AB523">
        <v>0</v>
      </c>
      <c r="AD523">
        <v>104.6</v>
      </c>
    </row>
    <row r="524" spans="1:30" x14ac:dyDescent="0.3">
      <c r="A524" s="4">
        <v>535</v>
      </c>
      <c r="B524" s="5">
        <v>517</v>
      </c>
      <c r="C524">
        <v>402</v>
      </c>
      <c r="D524" t="s">
        <v>1310</v>
      </c>
      <c r="E524" t="s">
        <v>26</v>
      </c>
      <c r="F524" t="s">
        <v>243</v>
      </c>
      <c r="G524" t="s">
        <v>1311</v>
      </c>
      <c r="H524" t="str">
        <f>"201511025865"</f>
        <v>201511025865</v>
      </c>
      <c r="I524">
        <v>38.4</v>
      </c>
      <c r="J524">
        <v>10</v>
      </c>
      <c r="N524">
        <v>0</v>
      </c>
      <c r="O524">
        <v>4</v>
      </c>
      <c r="P524">
        <v>2</v>
      </c>
      <c r="Q524">
        <v>54.4</v>
      </c>
      <c r="R524">
        <v>47</v>
      </c>
      <c r="S524">
        <v>47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47</v>
      </c>
      <c r="AA524">
        <v>3</v>
      </c>
      <c r="AB524">
        <v>0</v>
      </c>
      <c r="AD524">
        <v>104.4</v>
      </c>
    </row>
    <row r="525" spans="1:30" x14ac:dyDescent="0.3">
      <c r="A525" s="4">
        <v>536</v>
      </c>
      <c r="B525" s="5">
        <v>518</v>
      </c>
      <c r="C525">
        <v>3085</v>
      </c>
      <c r="D525" t="s">
        <v>1312</v>
      </c>
      <c r="E525" t="s">
        <v>935</v>
      </c>
      <c r="F525" t="s">
        <v>158</v>
      </c>
      <c r="G525" t="s">
        <v>1313</v>
      </c>
      <c r="H525" t="str">
        <f>"00502907"</f>
        <v>00502907</v>
      </c>
      <c r="I525">
        <v>43.2</v>
      </c>
      <c r="J525">
        <v>10</v>
      </c>
      <c r="K525">
        <v>8</v>
      </c>
      <c r="N525">
        <v>8</v>
      </c>
      <c r="O525">
        <v>4</v>
      </c>
      <c r="P525">
        <v>0</v>
      </c>
      <c r="Q525">
        <v>65.2</v>
      </c>
      <c r="R525">
        <v>33</v>
      </c>
      <c r="S525">
        <v>33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33</v>
      </c>
      <c r="AA525">
        <v>6</v>
      </c>
      <c r="AB525">
        <v>0</v>
      </c>
      <c r="AD525">
        <v>104.2</v>
      </c>
    </row>
    <row r="526" spans="1:30" x14ac:dyDescent="0.3">
      <c r="A526" s="4">
        <v>537</v>
      </c>
      <c r="B526" s="5">
        <v>519</v>
      </c>
      <c r="C526">
        <v>1987</v>
      </c>
      <c r="D526" t="s">
        <v>1314</v>
      </c>
      <c r="E526" t="s">
        <v>1315</v>
      </c>
      <c r="F526" t="s">
        <v>117</v>
      </c>
      <c r="G526" t="s">
        <v>1316</v>
      </c>
      <c r="H526" t="str">
        <f>"00483040"</f>
        <v>00483040</v>
      </c>
      <c r="I526">
        <v>43.2</v>
      </c>
      <c r="J526">
        <v>0</v>
      </c>
      <c r="K526">
        <v>8</v>
      </c>
      <c r="N526">
        <v>8</v>
      </c>
      <c r="O526">
        <v>4</v>
      </c>
      <c r="P526">
        <v>2</v>
      </c>
      <c r="Q526">
        <v>57.2</v>
      </c>
      <c r="R526">
        <v>47</v>
      </c>
      <c r="S526">
        <v>47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47</v>
      </c>
      <c r="AA526">
        <v>0</v>
      </c>
      <c r="AB526">
        <v>0</v>
      </c>
      <c r="AD526">
        <v>104.2</v>
      </c>
    </row>
    <row r="527" spans="1:30" x14ac:dyDescent="0.3">
      <c r="A527" s="4">
        <v>538</v>
      </c>
      <c r="B527" s="5">
        <v>520</v>
      </c>
      <c r="C527">
        <v>2767</v>
      </c>
      <c r="D527" t="s">
        <v>1317</v>
      </c>
      <c r="E527" t="s">
        <v>29</v>
      </c>
      <c r="F527" t="s">
        <v>136</v>
      </c>
      <c r="G527" t="s">
        <v>1318</v>
      </c>
      <c r="H527" t="str">
        <f>"00441612"</f>
        <v>00441612</v>
      </c>
      <c r="I527">
        <v>43.2</v>
      </c>
      <c r="J527">
        <v>0</v>
      </c>
      <c r="N527">
        <v>0</v>
      </c>
      <c r="O527">
        <v>4</v>
      </c>
      <c r="P527">
        <v>2</v>
      </c>
      <c r="Q527">
        <v>49.2</v>
      </c>
      <c r="R527">
        <v>55</v>
      </c>
      <c r="S527">
        <v>55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55</v>
      </c>
      <c r="AA527">
        <v>0</v>
      </c>
      <c r="AB527">
        <v>0</v>
      </c>
      <c r="AD527">
        <v>104.2</v>
      </c>
    </row>
    <row r="528" spans="1:30" x14ac:dyDescent="0.3">
      <c r="A528" s="4">
        <v>539</v>
      </c>
      <c r="B528" s="5">
        <v>521</v>
      </c>
      <c r="C528">
        <v>1943</v>
      </c>
      <c r="D528" t="s">
        <v>317</v>
      </c>
      <c r="E528" t="s">
        <v>1319</v>
      </c>
      <c r="F528" t="s">
        <v>20</v>
      </c>
      <c r="G528" t="s">
        <v>1320</v>
      </c>
      <c r="H528" t="str">
        <f>"00530221"</f>
        <v>00530221</v>
      </c>
      <c r="I528">
        <v>35.119999999999997</v>
      </c>
      <c r="J528">
        <v>0</v>
      </c>
      <c r="K528">
        <v>8</v>
      </c>
      <c r="N528">
        <v>8</v>
      </c>
      <c r="O528">
        <v>4</v>
      </c>
      <c r="P528">
        <v>2</v>
      </c>
      <c r="Q528">
        <v>49.12</v>
      </c>
      <c r="R528">
        <v>55</v>
      </c>
      <c r="S528">
        <v>55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55</v>
      </c>
      <c r="AA528">
        <v>0</v>
      </c>
      <c r="AB528">
        <v>0</v>
      </c>
      <c r="AD528">
        <v>104.12</v>
      </c>
    </row>
    <row r="529" spans="1:30" x14ac:dyDescent="0.3">
      <c r="A529" s="4">
        <v>540</v>
      </c>
      <c r="B529" s="5">
        <v>522</v>
      </c>
      <c r="C529">
        <v>2772</v>
      </c>
      <c r="D529" t="s">
        <v>1321</v>
      </c>
      <c r="E529" t="s">
        <v>208</v>
      </c>
      <c r="F529" t="s">
        <v>20</v>
      </c>
      <c r="G529" t="s">
        <v>1322</v>
      </c>
      <c r="H529" t="str">
        <f>"00393327"</f>
        <v>00393327</v>
      </c>
      <c r="I529">
        <v>40</v>
      </c>
      <c r="J529">
        <v>10</v>
      </c>
      <c r="K529">
        <v>8</v>
      </c>
      <c r="N529">
        <v>8</v>
      </c>
      <c r="O529">
        <v>4</v>
      </c>
      <c r="P529">
        <v>2</v>
      </c>
      <c r="Q529">
        <v>64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40</v>
      </c>
      <c r="AD529">
        <v>104</v>
      </c>
    </row>
    <row r="530" spans="1:30" x14ac:dyDescent="0.3">
      <c r="A530" s="4">
        <v>541</v>
      </c>
      <c r="B530" s="5">
        <v>523</v>
      </c>
      <c r="C530">
        <v>946</v>
      </c>
      <c r="D530" t="s">
        <v>1323</v>
      </c>
      <c r="E530" t="s">
        <v>219</v>
      </c>
      <c r="F530" t="s">
        <v>136</v>
      </c>
      <c r="G530" t="s">
        <v>1324</v>
      </c>
      <c r="H530" t="str">
        <f>"201510000964"</f>
        <v>201510000964</v>
      </c>
      <c r="I530">
        <v>36</v>
      </c>
      <c r="J530">
        <v>10</v>
      </c>
      <c r="K530">
        <v>8</v>
      </c>
      <c r="M530">
        <v>4</v>
      </c>
      <c r="N530">
        <v>12</v>
      </c>
      <c r="O530">
        <v>4</v>
      </c>
      <c r="P530">
        <v>2</v>
      </c>
      <c r="Q530">
        <v>64</v>
      </c>
      <c r="R530">
        <v>14</v>
      </c>
      <c r="S530">
        <v>14</v>
      </c>
      <c r="T530">
        <v>10</v>
      </c>
      <c r="U530">
        <v>20</v>
      </c>
      <c r="V530">
        <v>0</v>
      </c>
      <c r="W530">
        <v>0</v>
      </c>
      <c r="X530">
        <v>0</v>
      </c>
      <c r="Y530">
        <v>0</v>
      </c>
      <c r="Z530">
        <v>34</v>
      </c>
      <c r="AA530">
        <v>6</v>
      </c>
      <c r="AB530">
        <v>0</v>
      </c>
      <c r="AD530">
        <v>104</v>
      </c>
    </row>
    <row r="531" spans="1:30" x14ac:dyDescent="0.3">
      <c r="A531" s="4">
        <v>542</v>
      </c>
      <c r="B531" s="5">
        <v>524</v>
      </c>
      <c r="C531">
        <v>4042</v>
      </c>
      <c r="D531" t="s">
        <v>198</v>
      </c>
      <c r="E531" t="s">
        <v>88</v>
      </c>
      <c r="F531" t="s">
        <v>81</v>
      </c>
      <c r="G531" t="s">
        <v>1325</v>
      </c>
      <c r="H531" t="str">
        <f>"00003204"</f>
        <v>00003204</v>
      </c>
      <c r="I531">
        <v>36</v>
      </c>
      <c r="J531">
        <v>0</v>
      </c>
      <c r="N531">
        <v>0</v>
      </c>
      <c r="O531">
        <v>4</v>
      </c>
      <c r="P531">
        <v>2</v>
      </c>
      <c r="Q531">
        <v>42</v>
      </c>
      <c r="R531">
        <v>56</v>
      </c>
      <c r="S531">
        <v>56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56</v>
      </c>
      <c r="AA531">
        <v>6</v>
      </c>
      <c r="AB531">
        <v>0</v>
      </c>
      <c r="AD531">
        <v>104</v>
      </c>
    </row>
    <row r="532" spans="1:30" x14ac:dyDescent="0.3">
      <c r="A532" s="4">
        <v>543</v>
      </c>
      <c r="B532" s="5">
        <v>525</v>
      </c>
      <c r="C532">
        <v>4466</v>
      </c>
      <c r="D532" t="s">
        <v>1326</v>
      </c>
      <c r="E532" t="s">
        <v>1327</v>
      </c>
      <c r="F532" t="s">
        <v>136</v>
      </c>
      <c r="G532" t="s">
        <v>1328</v>
      </c>
      <c r="H532" t="str">
        <f>"00478539"</f>
        <v>00478539</v>
      </c>
      <c r="I532">
        <v>72</v>
      </c>
      <c r="J532">
        <v>10</v>
      </c>
      <c r="N532">
        <v>0</v>
      </c>
      <c r="O532">
        <v>4</v>
      </c>
      <c r="P532">
        <v>0</v>
      </c>
      <c r="Q532">
        <v>86</v>
      </c>
      <c r="R532">
        <v>18</v>
      </c>
      <c r="S532">
        <v>18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18</v>
      </c>
      <c r="AA532">
        <v>0</v>
      </c>
      <c r="AB532">
        <v>0</v>
      </c>
      <c r="AD532">
        <v>104</v>
      </c>
    </row>
    <row r="533" spans="1:30" x14ac:dyDescent="0.3">
      <c r="A533" s="4">
        <v>544</v>
      </c>
      <c r="B533" s="5">
        <v>526</v>
      </c>
      <c r="C533">
        <v>503</v>
      </c>
      <c r="D533" t="s">
        <v>1329</v>
      </c>
      <c r="E533" t="s">
        <v>166</v>
      </c>
      <c r="F533" t="s">
        <v>227</v>
      </c>
      <c r="G533" t="s">
        <v>1330</v>
      </c>
      <c r="H533" t="str">
        <f>"200912000244"</f>
        <v>200912000244</v>
      </c>
      <c r="I533">
        <v>72</v>
      </c>
      <c r="J533">
        <v>0</v>
      </c>
      <c r="K533">
        <v>8</v>
      </c>
      <c r="N533">
        <v>8</v>
      </c>
      <c r="O533">
        <v>4</v>
      </c>
      <c r="P533">
        <v>2</v>
      </c>
      <c r="Q533">
        <v>86</v>
      </c>
      <c r="R533">
        <v>18</v>
      </c>
      <c r="S533">
        <v>18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18</v>
      </c>
      <c r="AA533">
        <v>0</v>
      </c>
      <c r="AB533">
        <v>0</v>
      </c>
      <c r="AD533">
        <v>104</v>
      </c>
    </row>
    <row r="534" spans="1:30" x14ac:dyDescent="0.3">
      <c r="A534" s="4">
        <v>545</v>
      </c>
      <c r="B534" s="5">
        <v>527</v>
      </c>
      <c r="C534">
        <v>339</v>
      </c>
      <c r="D534" t="s">
        <v>181</v>
      </c>
      <c r="E534" t="s">
        <v>1331</v>
      </c>
      <c r="F534" t="s">
        <v>81</v>
      </c>
      <c r="G534" t="s">
        <v>1332</v>
      </c>
      <c r="H534" t="str">
        <f>"201604001807"</f>
        <v>201604001807</v>
      </c>
      <c r="I534">
        <v>72</v>
      </c>
      <c r="J534">
        <v>0</v>
      </c>
      <c r="K534">
        <v>8</v>
      </c>
      <c r="N534">
        <v>8</v>
      </c>
      <c r="O534">
        <v>4</v>
      </c>
      <c r="P534">
        <v>2</v>
      </c>
      <c r="Q534">
        <v>86</v>
      </c>
      <c r="R534">
        <v>18</v>
      </c>
      <c r="S534">
        <v>18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18</v>
      </c>
      <c r="AA534">
        <v>0</v>
      </c>
      <c r="AB534">
        <v>0</v>
      </c>
      <c r="AD534">
        <v>104</v>
      </c>
    </row>
    <row r="535" spans="1:30" x14ac:dyDescent="0.3">
      <c r="A535" s="4">
        <v>546</v>
      </c>
      <c r="B535" s="5">
        <v>528</v>
      </c>
      <c r="C535">
        <v>2806</v>
      </c>
      <c r="D535" t="s">
        <v>1333</v>
      </c>
      <c r="E535" t="s">
        <v>563</v>
      </c>
      <c r="F535" t="s">
        <v>158</v>
      </c>
      <c r="G535" t="s">
        <v>1334</v>
      </c>
      <c r="H535" t="str">
        <f>"00129912"</f>
        <v>00129912</v>
      </c>
      <c r="I535">
        <v>36</v>
      </c>
      <c r="J535">
        <v>0</v>
      </c>
      <c r="K535">
        <v>8</v>
      </c>
      <c r="N535">
        <v>8</v>
      </c>
      <c r="O535">
        <v>4</v>
      </c>
      <c r="P535">
        <v>0</v>
      </c>
      <c r="Q535">
        <v>48</v>
      </c>
      <c r="R535">
        <v>56</v>
      </c>
      <c r="S535">
        <v>56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56</v>
      </c>
      <c r="AA535">
        <v>0</v>
      </c>
      <c r="AB535">
        <v>0</v>
      </c>
      <c r="AD535">
        <v>104</v>
      </c>
    </row>
    <row r="536" spans="1:30" x14ac:dyDescent="0.3">
      <c r="A536" s="4">
        <v>547</v>
      </c>
      <c r="B536" s="5">
        <v>529</v>
      </c>
      <c r="C536">
        <v>275</v>
      </c>
      <c r="D536" t="s">
        <v>1335</v>
      </c>
      <c r="E536" t="s">
        <v>29</v>
      </c>
      <c r="F536" t="s">
        <v>68</v>
      </c>
      <c r="G536" t="s">
        <v>1336</v>
      </c>
      <c r="H536" t="str">
        <f>"00530070"</f>
        <v>00530070</v>
      </c>
      <c r="I536">
        <v>21.44</v>
      </c>
      <c r="J536">
        <v>10</v>
      </c>
      <c r="M536">
        <v>4</v>
      </c>
      <c r="N536">
        <v>4</v>
      </c>
      <c r="O536">
        <v>4</v>
      </c>
      <c r="P536">
        <v>0</v>
      </c>
      <c r="Q536">
        <v>39.44</v>
      </c>
      <c r="R536">
        <v>27</v>
      </c>
      <c r="S536">
        <v>27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27</v>
      </c>
      <c r="AA536">
        <v>9</v>
      </c>
      <c r="AB536">
        <v>28.4</v>
      </c>
      <c r="AD536">
        <v>103.84</v>
      </c>
    </row>
    <row r="537" spans="1:30" x14ac:dyDescent="0.3">
      <c r="A537" s="4">
        <v>548</v>
      </c>
      <c r="B537" s="5">
        <v>530</v>
      </c>
      <c r="C537">
        <v>680</v>
      </c>
      <c r="D537" t="s">
        <v>1337</v>
      </c>
      <c r="E537" t="s">
        <v>1338</v>
      </c>
      <c r="F537" t="s">
        <v>81</v>
      </c>
      <c r="G537" t="s">
        <v>1339</v>
      </c>
      <c r="H537" t="str">
        <f>"00144513"</f>
        <v>00144513</v>
      </c>
      <c r="I537">
        <v>64.8</v>
      </c>
      <c r="J537">
        <v>0</v>
      </c>
      <c r="N537">
        <v>0</v>
      </c>
      <c r="O537">
        <v>4</v>
      </c>
      <c r="P537">
        <v>0</v>
      </c>
      <c r="Q537">
        <v>68.8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3</v>
      </c>
      <c r="AB537">
        <v>32</v>
      </c>
      <c r="AD537">
        <v>103.8</v>
      </c>
    </row>
    <row r="538" spans="1:30" x14ac:dyDescent="0.3">
      <c r="A538" s="4">
        <v>549</v>
      </c>
      <c r="B538" s="5">
        <v>531</v>
      </c>
      <c r="C538">
        <v>1815</v>
      </c>
      <c r="D538" t="s">
        <v>1340</v>
      </c>
      <c r="E538" t="s">
        <v>550</v>
      </c>
      <c r="F538" t="s">
        <v>30</v>
      </c>
      <c r="G538" t="s">
        <v>1341</v>
      </c>
      <c r="H538" t="str">
        <f>"00508574"</f>
        <v>00508574</v>
      </c>
      <c r="I538">
        <v>28.8</v>
      </c>
      <c r="J538">
        <v>0</v>
      </c>
      <c r="K538">
        <v>8</v>
      </c>
      <c r="N538">
        <v>8</v>
      </c>
      <c r="O538">
        <v>4</v>
      </c>
      <c r="P538">
        <v>2</v>
      </c>
      <c r="Q538">
        <v>42.8</v>
      </c>
      <c r="R538">
        <v>61</v>
      </c>
      <c r="S538">
        <v>61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61</v>
      </c>
      <c r="AA538">
        <v>0</v>
      </c>
      <c r="AB538">
        <v>0</v>
      </c>
      <c r="AD538">
        <v>103.8</v>
      </c>
    </row>
    <row r="539" spans="1:30" x14ac:dyDescent="0.3">
      <c r="A539" s="4">
        <v>550</v>
      </c>
      <c r="B539" s="5">
        <v>532</v>
      </c>
      <c r="C539">
        <v>4700</v>
      </c>
      <c r="D539" t="s">
        <v>1342</v>
      </c>
      <c r="E539" t="s">
        <v>29</v>
      </c>
      <c r="F539" t="s">
        <v>20</v>
      </c>
      <c r="G539" t="s">
        <v>1343</v>
      </c>
      <c r="H539" t="str">
        <f>"201511017319"</f>
        <v>201511017319</v>
      </c>
      <c r="I539">
        <v>36.799999999999997</v>
      </c>
      <c r="J539">
        <v>0</v>
      </c>
      <c r="N539">
        <v>0</v>
      </c>
      <c r="O539">
        <v>4</v>
      </c>
      <c r="P539">
        <v>0</v>
      </c>
      <c r="Q539">
        <v>40.799999999999997</v>
      </c>
      <c r="R539">
        <v>63</v>
      </c>
      <c r="S539">
        <v>63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63</v>
      </c>
      <c r="AA539">
        <v>0</v>
      </c>
      <c r="AB539">
        <v>0</v>
      </c>
      <c r="AD539">
        <v>103.8</v>
      </c>
    </row>
    <row r="540" spans="1:30" x14ac:dyDescent="0.3">
      <c r="A540" s="4">
        <v>551</v>
      </c>
      <c r="B540" s="5">
        <v>533</v>
      </c>
      <c r="C540">
        <v>3779</v>
      </c>
      <c r="D540" t="s">
        <v>1344</v>
      </c>
      <c r="E540" t="s">
        <v>1242</v>
      </c>
      <c r="F540" t="s">
        <v>17</v>
      </c>
      <c r="G540" t="s">
        <v>1345</v>
      </c>
      <c r="H540" t="str">
        <f>"00531003"</f>
        <v>00531003</v>
      </c>
      <c r="I540">
        <v>26.68</v>
      </c>
      <c r="J540">
        <v>0</v>
      </c>
      <c r="N540">
        <v>0</v>
      </c>
      <c r="O540">
        <v>4</v>
      </c>
      <c r="P540">
        <v>2</v>
      </c>
      <c r="Q540">
        <v>32.68</v>
      </c>
      <c r="R540">
        <v>62</v>
      </c>
      <c r="S540">
        <v>62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62</v>
      </c>
      <c r="AA540">
        <v>9</v>
      </c>
      <c r="AB540">
        <v>0</v>
      </c>
      <c r="AD540">
        <v>103.68</v>
      </c>
    </row>
    <row r="541" spans="1:30" x14ac:dyDescent="0.3">
      <c r="A541" s="4">
        <v>552</v>
      </c>
      <c r="B541" s="5">
        <v>534</v>
      </c>
      <c r="C541">
        <v>1355</v>
      </c>
      <c r="D541" t="s">
        <v>1346</v>
      </c>
      <c r="E541" t="s">
        <v>37</v>
      </c>
      <c r="F541" t="s">
        <v>190</v>
      </c>
      <c r="G541" t="s">
        <v>1347</v>
      </c>
      <c r="H541" t="str">
        <f>"00530731"</f>
        <v>00530731</v>
      </c>
      <c r="I541">
        <v>21.6</v>
      </c>
      <c r="J541">
        <v>0</v>
      </c>
      <c r="M541">
        <v>4</v>
      </c>
      <c r="N541">
        <v>4</v>
      </c>
      <c r="O541">
        <v>4</v>
      </c>
      <c r="P541">
        <v>2</v>
      </c>
      <c r="Q541">
        <v>31.6</v>
      </c>
      <c r="R541">
        <v>66</v>
      </c>
      <c r="S541">
        <v>66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66</v>
      </c>
      <c r="AA541">
        <v>6</v>
      </c>
      <c r="AB541">
        <v>0</v>
      </c>
      <c r="AD541">
        <v>103.6</v>
      </c>
    </row>
    <row r="542" spans="1:30" x14ac:dyDescent="0.3">
      <c r="A542" s="4">
        <v>553</v>
      </c>
      <c r="B542" s="5">
        <v>535</v>
      </c>
      <c r="C542">
        <v>2001</v>
      </c>
      <c r="D542" t="s">
        <v>1348</v>
      </c>
      <c r="E542" t="s">
        <v>286</v>
      </c>
      <c r="F542" t="s">
        <v>20</v>
      </c>
      <c r="G542" t="s">
        <v>1349</v>
      </c>
      <c r="H542" t="str">
        <f>"00081285"</f>
        <v>00081285</v>
      </c>
      <c r="I542">
        <v>57.6</v>
      </c>
      <c r="J542">
        <v>0</v>
      </c>
      <c r="M542">
        <v>4</v>
      </c>
      <c r="N542">
        <v>4</v>
      </c>
      <c r="O542">
        <v>4</v>
      </c>
      <c r="P542">
        <v>2</v>
      </c>
      <c r="Q542">
        <v>67.599999999999994</v>
      </c>
      <c r="R542">
        <v>36</v>
      </c>
      <c r="S542">
        <v>36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36</v>
      </c>
      <c r="AA542">
        <v>0</v>
      </c>
      <c r="AB542">
        <v>0</v>
      </c>
      <c r="AD542">
        <v>103.6</v>
      </c>
    </row>
    <row r="543" spans="1:30" x14ac:dyDescent="0.3">
      <c r="A543" s="4">
        <v>554</v>
      </c>
      <c r="B543" s="5">
        <v>536</v>
      </c>
      <c r="C543">
        <v>4311</v>
      </c>
      <c r="D543" t="s">
        <v>317</v>
      </c>
      <c r="E543" t="s">
        <v>1350</v>
      </c>
      <c r="F543" t="s">
        <v>343</v>
      </c>
      <c r="G543" t="s">
        <v>1351</v>
      </c>
      <c r="H543" t="str">
        <f>"00309803"</f>
        <v>00309803</v>
      </c>
      <c r="I543">
        <v>50.4</v>
      </c>
      <c r="J543">
        <v>0</v>
      </c>
      <c r="N543">
        <v>0</v>
      </c>
      <c r="O543">
        <v>0</v>
      </c>
      <c r="P543">
        <v>0</v>
      </c>
      <c r="Q543">
        <v>50.4</v>
      </c>
      <c r="R543">
        <v>18</v>
      </c>
      <c r="S543">
        <v>18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18</v>
      </c>
      <c r="AA543">
        <v>3</v>
      </c>
      <c r="AB543">
        <v>32</v>
      </c>
      <c r="AD543">
        <v>103.4</v>
      </c>
    </row>
    <row r="544" spans="1:30" x14ac:dyDescent="0.3">
      <c r="A544" s="4">
        <v>555</v>
      </c>
      <c r="B544" s="5">
        <v>537</v>
      </c>
      <c r="C544">
        <v>907</v>
      </c>
      <c r="D544" t="s">
        <v>1352</v>
      </c>
      <c r="E544" t="s">
        <v>22</v>
      </c>
      <c r="F544" t="s">
        <v>136</v>
      </c>
      <c r="G544" t="s">
        <v>1353</v>
      </c>
      <c r="H544" t="str">
        <f>"00475535"</f>
        <v>00475535</v>
      </c>
      <c r="I544">
        <v>50.4</v>
      </c>
      <c r="J544">
        <v>0</v>
      </c>
      <c r="K544">
        <v>8</v>
      </c>
      <c r="N544">
        <v>8</v>
      </c>
      <c r="O544">
        <v>4</v>
      </c>
      <c r="P544">
        <v>2</v>
      </c>
      <c r="Q544">
        <v>64.400000000000006</v>
      </c>
      <c r="R544">
        <v>36</v>
      </c>
      <c r="S544">
        <v>36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36</v>
      </c>
      <c r="AA544">
        <v>3</v>
      </c>
      <c r="AB544">
        <v>0</v>
      </c>
      <c r="AD544">
        <v>103.4</v>
      </c>
    </row>
    <row r="545" spans="1:30" x14ac:dyDescent="0.3">
      <c r="A545" s="4">
        <v>556</v>
      </c>
      <c r="B545" s="5">
        <v>538</v>
      </c>
      <c r="C545">
        <v>1004</v>
      </c>
      <c r="D545" t="s">
        <v>1354</v>
      </c>
      <c r="E545" t="s">
        <v>390</v>
      </c>
      <c r="F545" t="s">
        <v>81</v>
      </c>
      <c r="G545" t="s">
        <v>1355</v>
      </c>
      <c r="H545" t="str">
        <f>"00152756"</f>
        <v>00152756</v>
      </c>
      <c r="I545">
        <v>50.4</v>
      </c>
      <c r="J545">
        <v>0</v>
      </c>
      <c r="N545">
        <v>0</v>
      </c>
      <c r="O545">
        <v>4</v>
      </c>
      <c r="P545">
        <v>2</v>
      </c>
      <c r="Q545">
        <v>56.4</v>
      </c>
      <c r="R545">
        <v>47</v>
      </c>
      <c r="S545">
        <v>47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47</v>
      </c>
      <c r="AA545">
        <v>0</v>
      </c>
      <c r="AB545">
        <v>0</v>
      </c>
      <c r="AD545">
        <v>103.4</v>
      </c>
    </row>
    <row r="546" spans="1:30" x14ac:dyDescent="0.3">
      <c r="A546" s="4">
        <v>557</v>
      </c>
      <c r="B546" s="5">
        <v>539</v>
      </c>
      <c r="C546">
        <v>1150</v>
      </c>
      <c r="D546" t="s">
        <v>1284</v>
      </c>
      <c r="E546" t="s">
        <v>26</v>
      </c>
      <c r="F546" t="s">
        <v>34</v>
      </c>
      <c r="G546" t="s">
        <v>1356</v>
      </c>
      <c r="H546" t="str">
        <f>"00157421"</f>
        <v>00157421</v>
      </c>
      <c r="I546">
        <v>30.28</v>
      </c>
      <c r="J546">
        <v>10</v>
      </c>
      <c r="N546">
        <v>0</v>
      </c>
      <c r="O546">
        <v>4</v>
      </c>
      <c r="P546">
        <v>2</v>
      </c>
      <c r="Q546">
        <v>46.28</v>
      </c>
      <c r="R546">
        <v>54</v>
      </c>
      <c r="S546">
        <v>54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54</v>
      </c>
      <c r="AA546">
        <v>3</v>
      </c>
      <c r="AB546">
        <v>0</v>
      </c>
      <c r="AD546">
        <v>103.28</v>
      </c>
    </row>
    <row r="547" spans="1:30" x14ac:dyDescent="0.3">
      <c r="A547" s="4">
        <v>558</v>
      </c>
      <c r="B547" s="5">
        <v>540</v>
      </c>
      <c r="C547">
        <v>3530</v>
      </c>
      <c r="D547" t="s">
        <v>1357</v>
      </c>
      <c r="E547" t="s">
        <v>37</v>
      </c>
      <c r="F547" t="s">
        <v>81</v>
      </c>
      <c r="G547" t="s">
        <v>1358</v>
      </c>
      <c r="H547" t="str">
        <f>"00506828"</f>
        <v>00506828</v>
      </c>
      <c r="I547">
        <v>43.2</v>
      </c>
      <c r="J547">
        <v>0</v>
      </c>
      <c r="K547">
        <v>8</v>
      </c>
      <c r="N547">
        <v>8</v>
      </c>
      <c r="O547">
        <v>4</v>
      </c>
      <c r="P547">
        <v>2</v>
      </c>
      <c r="Q547">
        <v>57.2</v>
      </c>
      <c r="R547">
        <v>46</v>
      </c>
      <c r="S547">
        <v>46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46</v>
      </c>
      <c r="AA547">
        <v>0</v>
      </c>
      <c r="AB547">
        <v>0</v>
      </c>
      <c r="AD547">
        <v>103.2</v>
      </c>
    </row>
    <row r="548" spans="1:30" x14ac:dyDescent="0.3">
      <c r="A548" s="4">
        <v>559</v>
      </c>
      <c r="B548" s="5">
        <v>541</v>
      </c>
      <c r="C548">
        <v>1169</v>
      </c>
      <c r="D548" t="s">
        <v>1359</v>
      </c>
      <c r="E548" t="s">
        <v>1189</v>
      </c>
      <c r="F548" t="s">
        <v>972</v>
      </c>
      <c r="G548" t="s">
        <v>1360</v>
      </c>
      <c r="H548" t="str">
        <f>"00482616"</f>
        <v>00482616</v>
      </c>
      <c r="I548">
        <v>26.12</v>
      </c>
      <c r="J548">
        <v>10</v>
      </c>
      <c r="M548">
        <v>4</v>
      </c>
      <c r="N548">
        <v>4</v>
      </c>
      <c r="O548">
        <v>4</v>
      </c>
      <c r="P548">
        <v>2</v>
      </c>
      <c r="Q548">
        <v>46.12</v>
      </c>
      <c r="R548">
        <v>54</v>
      </c>
      <c r="S548">
        <v>54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54</v>
      </c>
      <c r="AA548">
        <v>3</v>
      </c>
      <c r="AB548">
        <v>0</v>
      </c>
      <c r="AD548">
        <v>103.12</v>
      </c>
    </row>
    <row r="549" spans="1:30" x14ac:dyDescent="0.3">
      <c r="A549" s="4">
        <v>560</v>
      </c>
      <c r="B549" s="5">
        <v>542</v>
      </c>
      <c r="C549">
        <v>574</v>
      </c>
      <c r="D549" t="s">
        <v>1361</v>
      </c>
      <c r="E549" t="s">
        <v>1362</v>
      </c>
      <c r="F549" t="s">
        <v>117</v>
      </c>
      <c r="G549" t="s">
        <v>1363</v>
      </c>
      <c r="H549" t="str">
        <f>"20160702373"</f>
        <v>20160702373</v>
      </c>
      <c r="I549">
        <v>72</v>
      </c>
      <c r="J549">
        <v>0</v>
      </c>
      <c r="M549">
        <v>4</v>
      </c>
      <c r="N549">
        <v>4</v>
      </c>
      <c r="O549">
        <v>4</v>
      </c>
      <c r="P549">
        <v>2</v>
      </c>
      <c r="Q549">
        <v>82</v>
      </c>
      <c r="R549">
        <v>18</v>
      </c>
      <c r="S549">
        <v>18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18</v>
      </c>
      <c r="AA549">
        <v>3</v>
      </c>
      <c r="AB549">
        <v>0</v>
      </c>
      <c r="AD549">
        <v>103</v>
      </c>
    </row>
    <row r="550" spans="1:30" x14ac:dyDescent="0.3">
      <c r="A550" s="4">
        <v>561</v>
      </c>
      <c r="B550" s="5">
        <v>543</v>
      </c>
      <c r="C550">
        <v>1361</v>
      </c>
      <c r="D550" t="s">
        <v>1364</v>
      </c>
      <c r="E550" t="s">
        <v>471</v>
      </c>
      <c r="F550" t="s">
        <v>17</v>
      </c>
      <c r="G550" t="s">
        <v>1365</v>
      </c>
      <c r="H550" t="str">
        <f>"00023938"</f>
        <v>00023938</v>
      </c>
      <c r="I550">
        <v>72</v>
      </c>
      <c r="J550">
        <v>0</v>
      </c>
      <c r="M550">
        <v>4</v>
      </c>
      <c r="N550">
        <v>4</v>
      </c>
      <c r="O550">
        <v>4</v>
      </c>
      <c r="P550">
        <v>2</v>
      </c>
      <c r="Q550">
        <v>82</v>
      </c>
      <c r="R550">
        <v>18</v>
      </c>
      <c r="S550">
        <v>18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18</v>
      </c>
      <c r="AA550">
        <v>3</v>
      </c>
      <c r="AB550">
        <v>0</v>
      </c>
      <c r="AD550">
        <v>103</v>
      </c>
    </row>
    <row r="551" spans="1:30" x14ac:dyDescent="0.3">
      <c r="A551" s="4">
        <v>562</v>
      </c>
      <c r="B551" s="5">
        <v>544</v>
      </c>
      <c r="C551">
        <v>1070</v>
      </c>
      <c r="D551" t="s">
        <v>1366</v>
      </c>
      <c r="E551" t="s">
        <v>166</v>
      </c>
      <c r="F551" t="s">
        <v>1367</v>
      </c>
      <c r="G551" t="s">
        <v>1368</v>
      </c>
      <c r="H551" t="str">
        <f>"201511035052"</f>
        <v>201511035052</v>
      </c>
      <c r="I551">
        <v>36</v>
      </c>
      <c r="J551">
        <v>10</v>
      </c>
      <c r="N551">
        <v>0</v>
      </c>
      <c r="O551">
        <v>4</v>
      </c>
      <c r="P551">
        <v>2</v>
      </c>
      <c r="Q551">
        <v>52</v>
      </c>
      <c r="R551">
        <v>51</v>
      </c>
      <c r="S551">
        <v>51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51</v>
      </c>
      <c r="AA551">
        <v>0</v>
      </c>
      <c r="AB551">
        <v>0</v>
      </c>
      <c r="AD551">
        <v>103</v>
      </c>
    </row>
    <row r="552" spans="1:30" x14ac:dyDescent="0.3">
      <c r="A552" s="4">
        <v>563</v>
      </c>
      <c r="B552" s="5">
        <v>545</v>
      </c>
      <c r="C552">
        <v>61</v>
      </c>
      <c r="D552" t="s">
        <v>236</v>
      </c>
      <c r="E552" t="s">
        <v>29</v>
      </c>
      <c r="F552" t="s">
        <v>136</v>
      </c>
      <c r="G552" t="s">
        <v>1369</v>
      </c>
      <c r="H552" t="str">
        <f>"201602000014"</f>
        <v>201602000014</v>
      </c>
      <c r="I552">
        <v>38.92</v>
      </c>
      <c r="J552">
        <v>0</v>
      </c>
      <c r="M552">
        <v>4</v>
      </c>
      <c r="N552">
        <v>4</v>
      </c>
      <c r="O552">
        <v>4</v>
      </c>
      <c r="P552">
        <v>2</v>
      </c>
      <c r="Q552">
        <v>48.92</v>
      </c>
      <c r="R552">
        <v>45</v>
      </c>
      <c r="S552">
        <v>45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45</v>
      </c>
      <c r="AA552">
        <v>9</v>
      </c>
      <c r="AB552">
        <v>0</v>
      </c>
      <c r="AD552">
        <v>102.92</v>
      </c>
    </row>
    <row r="553" spans="1:30" x14ac:dyDescent="0.3">
      <c r="A553" s="4">
        <v>564</v>
      </c>
      <c r="B553" s="5">
        <v>546</v>
      </c>
      <c r="C553">
        <v>2356</v>
      </c>
      <c r="D553" t="s">
        <v>1370</v>
      </c>
      <c r="E553" t="s">
        <v>1371</v>
      </c>
      <c r="F553" t="s">
        <v>190</v>
      </c>
      <c r="G553" t="s">
        <v>1372</v>
      </c>
      <c r="H553" t="str">
        <f>"00158360"</f>
        <v>00158360</v>
      </c>
      <c r="I553">
        <v>0</v>
      </c>
      <c r="J553">
        <v>10</v>
      </c>
      <c r="M553">
        <v>4</v>
      </c>
      <c r="N553">
        <v>4</v>
      </c>
      <c r="O553">
        <v>4</v>
      </c>
      <c r="P553">
        <v>0</v>
      </c>
      <c r="Q553">
        <v>18</v>
      </c>
      <c r="R553">
        <v>52</v>
      </c>
      <c r="S553">
        <v>52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52</v>
      </c>
      <c r="AA553">
        <v>6</v>
      </c>
      <c r="AB553">
        <v>26.8</v>
      </c>
      <c r="AD553">
        <v>102.8</v>
      </c>
    </row>
    <row r="554" spans="1:30" x14ac:dyDescent="0.3">
      <c r="A554" s="4">
        <v>565</v>
      </c>
      <c r="B554" s="5">
        <v>547</v>
      </c>
      <c r="C554">
        <v>2097</v>
      </c>
      <c r="D554" t="s">
        <v>1373</v>
      </c>
      <c r="E554" t="s">
        <v>1189</v>
      </c>
      <c r="F554" t="s">
        <v>17</v>
      </c>
      <c r="G554" t="s">
        <v>1374</v>
      </c>
      <c r="H554" t="str">
        <f>"00856653"</f>
        <v>00856653</v>
      </c>
      <c r="I554">
        <v>38.799999999999997</v>
      </c>
      <c r="J554">
        <v>10</v>
      </c>
      <c r="K554">
        <v>8</v>
      </c>
      <c r="N554">
        <v>8</v>
      </c>
      <c r="O554">
        <v>4</v>
      </c>
      <c r="P554">
        <v>2</v>
      </c>
      <c r="Q554">
        <v>62.8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6</v>
      </c>
      <c r="AB554">
        <v>34</v>
      </c>
      <c r="AD554">
        <v>102.8</v>
      </c>
    </row>
    <row r="555" spans="1:30" x14ac:dyDescent="0.3">
      <c r="A555" s="4">
        <v>566</v>
      </c>
      <c r="B555" s="5">
        <v>548</v>
      </c>
      <c r="C555">
        <v>3747</v>
      </c>
      <c r="D555" t="s">
        <v>1375</v>
      </c>
      <c r="E555" t="s">
        <v>1376</v>
      </c>
      <c r="F555" t="s">
        <v>17</v>
      </c>
      <c r="G555" t="s">
        <v>1377</v>
      </c>
      <c r="H555" t="str">
        <f>"00530072"</f>
        <v>00530072</v>
      </c>
      <c r="I555">
        <v>64.8</v>
      </c>
      <c r="J555">
        <v>0</v>
      </c>
      <c r="K555">
        <v>8</v>
      </c>
      <c r="N555">
        <v>8</v>
      </c>
      <c r="O555">
        <v>4</v>
      </c>
      <c r="P555">
        <v>2</v>
      </c>
      <c r="Q555">
        <v>78.8</v>
      </c>
      <c r="R555">
        <v>18</v>
      </c>
      <c r="S555">
        <v>18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18</v>
      </c>
      <c r="AA555">
        <v>6</v>
      </c>
      <c r="AB555">
        <v>0</v>
      </c>
      <c r="AD555">
        <v>102.8</v>
      </c>
    </row>
    <row r="556" spans="1:30" x14ac:dyDescent="0.3">
      <c r="A556" s="4">
        <v>567</v>
      </c>
      <c r="B556" s="5">
        <v>549</v>
      </c>
      <c r="C556">
        <v>427</v>
      </c>
      <c r="D556" t="s">
        <v>1378</v>
      </c>
      <c r="E556" t="s">
        <v>166</v>
      </c>
      <c r="F556" t="s">
        <v>17</v>
      </c>
      <c r="G556" t="s">
        <v>1379</v>
      </c>
      <c r="H556" t="str">
        <f>"201604001875"</f>
        <v>201604001875</v>
      </c>
      <c r="I556">
        <v>64.8</v>
      </c>
      <c r="J556">
        <v>10</v>
      </c>
      <c r="N556">
        <v>0</v>
      </c>
      <c r="O556">
        <v>4</v>
      </c>
      <c r="P556">
        <v>0</v>
      </c>
      <c r="Q556">
        <v>78.8</v>
      </c>
      <c r="R556">
        <v>18</v>
      </c>
      <c r="S556">
        <v>18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18</v>
      </c>
      <c r="AA556">
        <v>6</v>
      </c>
      <c r="AB556">
        <v>0</v>
      </c>
      <c r="AD556">
        <v>102.8</v>
      </c>
    </row>
    <row r="557" spans="1:30" x14ac:dyDescent="0.3">
      <c r="A557" s="4">
        <v>568</v>
      </c>
      <c r="B557" s="5">
        <v>550</v>
      </c>
      <c r="C557">
        <v>3932</v>
      </c>
      <c r="D557" t="s">
        <v>1380</v>
      </c>
      <c r="E557" t="s">
        <v>54</v>
      </c>
      <c r="F557" t="s">
        <v>38</v>
      </c>
      <c r="G557" t="s">
        <v>1381</v>
      </c>
      <c r="H557" t="str">
        <f>"00531295"</f>
        <v>00531295</v>
      </c>
      <c r="I557">
        <v>28.8</v>
      </c>
      <c r="J557">
        <v>10</v>
      </c>
      <c r="N557">
        <v>0</v>
      </c>
      <c r="O557">
        <v>4</v>
      </c>
      <c r="P557">
        <v>2</v>
      </c>
      <c r="Q557">
        <v>44.8</v>
      </c>
      <c r="R557">
        <v>52</v>
      </c>
      <c r="S557">
        <v>52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52</v>
      </c>
      <c r="AA557">
        <v>6</v>
      </c>
      <c r="AB557">
        <v>0</v>
      </c>
      <c r="AD557">
        <v>102.8</v>
      </c>
    </row>
    <row r="558" spans="1:30" x14ac:dyDescent="0.3">
      <c r="A558" s="4">
        <v>569</v>
      </c>
      <c r="B558" s="5">
        <v>551</v>
      </c>
      <c r="C558">
        <v>2502</v>
      </c>
      <c r="D558" t="s">
        <v>1382</v>
      </c>
      <c r="E558" t="s">
        <v>170</v>
      </c>
      <c r="F558" t="s">
        <v>81</v>
      </c>
      <c r="G558" t="s">
        <v>1383</v>
      </c>
      <c r="H558" t="str">
        <f>"00161580"</f>
        <v>00161580</v>
      </c>
      <c r="I558">
        <v>21.6</v>
      </c>
      <c r="J558">
        <v>10</v>
      </c>
      <c r="M558">
        <v>4</v>
      </c>
      <c r="N558">
        <v>4</v>
      </c>
      <c r="O558">
        <v>4</v>
      </c>
      <c r="P558">
        <v>2</v>
      </c>
      <c r="Q558">
        <v>41.6</v>
      </c>
      <c r="R558">
        <v>55</v>
      </c>
      <c r="S558">
        <v>55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55</v>
      </c>
      <c r="AA558">
        <v>6</v>
      </c>
      <c r="AB558">
        <v>0</v>
      </c>
      <c r="AD558">
        <v>102.6</v>
      </c>
    </row>
    <row r="559" spans="1:30" x14ac:dyDescent="0.3">
      <c r="A559" s="4">
        <v>570</v>
      </c>
      <c r="B559" s="5">
        <v>552</v>
      </c>
      <c r="C559">
        <v>4376</v>
      </c>
      <c r="D559" t="s">
        <v>1384</v>
      </c>
      <c r="E559" t="s">
        <v>594</v>
      </c>
      <c r="F559" t="s">
        <v>167</v>
      </c>
      <c r="G559" t="s">
        <v>1385</v>
      </c>
      <c r="H559" t="str">
        <f>"00157542"</f>
        <v>00157542</v>
      </c>
      <c r="I559">
        <v>21.6</v>
      </c>
      <c r="J559">
        <v>0</v>
      </c>
      <c r="N559">
        <v>0</v>
      </c>
      <c r="O559">
        <v>0</v>
      </c>
      <c r="P559">
        <v>2</v>
      </c>
      <c r="Q559">
        <v>23.6</v>
      </c>
      <c r="R559">
        <v>73</v>
      </c>
      <c r="S559">
        <v>73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73</v>
      </c>
      <c r="AA559">
        <v>6</v>
      </c>
      <c r="AB559">
        <v>0</v>
      </c>
      <c r="AD559">
        <v>102.6</v>
      </c>
    </row>
    <row r="560" spans="1:30" x14ac:dyDescent="0.3">
      <c r="A560" s="4">
        <v>571</v>
      </c>
      <c r="B560" s="5">
        <v>553</v>
      </c>
      <c r="C560">
        <v>4461</v>
      </c>
      <c r="D560" t="s">
        <v>1386</v>
      </c>
      <c r="E560" t="s">
        <v>1387</v>
      </c>
      <c r="F560" t="s">
        <v>1388</v>
      </c>
      <c r="G560" t="s">
        <v>1389</v>
      </c>
      <c r="H560" t="str">
        <f>"00499381"</f>
        <v>00499381</v>
      </c>
      <c r="I560">
        <v>21.6</v>
      </c>
      <c r="J560">
        <v>10</v>
      </c>
      <c r="N560">
        <v>0</v>
      </c>
      <c r="O560">
        <v>4</v>
      </c>
      <c r="P560">
        <v>2</v>
      </c>
      <c r="Q560">
        <v>37.6</v>
      </c>
      <c r="R560">
        <v>62</v>
      </c>
      <c r="S560">
        <v>62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62</v>
      </c>
      <c r="AA560">
        <v>3</v>
      </c>
      <c r="AB560">
        <v>0</v>
      </c>
      <c r="AD560">
        <v>102.6</v>
      </c>
    </row>
    <row r="561" spans="1:30" x14ac:dyDescent="0.3">
      <c r="A561" s="4">
        <v>572</v>
      </c>
      <c r="B561" s="5">
        <v>554</v>
      </c>
      <c r="C561">
        <v>1278</v>
      </c>
      <c r="D561" t="s">
        <v>1390</v>
      </c>
      <c r="E561" t="s">
        <v>1391</v>
      </c>
      <c r="F561" t="s">
        <v>91</v>
      </c>
      <c r="G561" t="s">
        <v>1392</v>
      </c>
      <c r="H561" t="str">
        <f>"00075627"</f>
        <v>00075627</v>
      </c>
      <c r="I561">
        <v>32.44</v>
      </c>
      <c r="J561">
        <v>10</v>
      </c>
      <c r="K561">
        <v>8</v>
      </c>
      <c r="N561">
        <v>8</v>
      </c>
      <c r="O561">
        <v>4</v>
      </c>
      <c r="P561">
        <v>2</v>
      </c>
      <c r="Q561">
        <v>56.44</v>
      </c>
      <c r="R561">
        <v>37</v>
      </c>
      <c r="S561">
        <v>37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37</v>
      </c>
      <c r="AA561">
        <v>9</v>
      </c>
      <c r="AB561">
        <v>0</v>
      </c>
      <c r="AD561">
        <v>102.44</v>
      </c>
    </row>
    <row r="562" spans="1:30" x14ac:dyDescent="0.3">
      <c r="A562" s="4">
        <v>573</v>
      </c>
      <c r="B562" s="5">
        <v>555</v>
      </c>
      <c r="C562">
        <v>1978</v>
      </c>
      <c r="D562" t="s">
        <v>1393</v>
      </c>
      <c r="E562" t="s">
        <v>178</v>
      </c>
      <c r="F562" t="s">
        <v>17</v>
      </c>
      <c r="G562" t="s">
        <v>1394</v>
      </c>
      <c r="H562" t="str">
        <f>"201511041912"</f>
        <v>201511041912</v>
      </c>
      <c r="I562">
        <v>28.36</v>
      </c>
      <c r="J562">
        <v>0</v>
      </c>
      <c r="N562">
        <v>0</v>
      </c>
      <c r="O562">
        <v>4</v>
      </c>
      <c r="P562">
        <v>0</v>
      </c>
      <c r="Q562">
        <v>32.36</v>
      </c>
      <c r="R562">
        <v>70</v>
      </c>
      <c r="S562">
        <v>70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70</v>
      </c>
      <c r="AA562">
        <v>0</v>
      </c>
      <c r="AB562">
        <v>0</v>
      </c>
      <c r="AD562">
        <v>102.36</v>
      </c>
    </row>
    <row r="563" spans="1:30" x14ac:dyDescent="0.3">
      <c r="A563" s="4">
        <v>574</v>
      </c>
      <c r="B563" s="5">
        <v>556</v>
      </c>
      <c r="C563">
        <v>2263</v>
      </c>
      <c r="D563" t="s">
        <v>1395</v>
      </c>
      <c r="E563" t="s">
        <v>178</v>
      </c>
      <c r="F563" t="s">
        <v>81</v>
      </c>
      <c r="G563" t="s">
        <v>1396</v>
      </c>
      <c r="H563" t="str">
        <f>"00030491"</f>
        <v>00030491</v>
      </c>
      <c r="I563">
        <v>37.200000000000003</v>
      </c>
      <c r="J563">
        <v>0</v>
      </c>
      <c r="K563">
        <v>8</v>
      </c>
      <c r="N563">
        <v>8</v>
      </c>
      <c r="O563">
        <v>4</v>
      </c>
      <c r="P563">
        <v>2</v>
      </c>
      <c r="Q563">
        <v>51.2</v>
      </c>
      <c r="R563">
        <v>36</v>
      </c>
      <c r="S563">
        <v>36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36</v>
      </c>
      <c r="AA563">
        <v>15</v>
      </c>
      <c r="AB563">
        <v>0</v>
      </c>
      <c r="AD563">
        <v>102.2</v>
      </c>
    </row>
    <row r="564" spans="1:30" x14ac:dyDescent="0.3">
      <c r="A564" s="4">
        <v>575</v>
      </c>
      <c r="B564" s="5">
        <v>557</v>
      </c>
      <c r="C564">
        <v>1290</v>
      </c>
      <c r="D564" t="s">
        <v>1397</v>
      </c>
      <c r="E564" t="s">
        <v>1398</v>
      </c>
      <c r="F564" t="s">
        <v>1399</v>
      </c>
      <c r="G564" t="s">
        <v>1400</v>
      </c>
      <c r="H564" t="str">
        <f>"00161163"</f>
        <v>00161163</v>
      </c>
      <c r="I564">
        <v>39.200000000000003</v>
      </c>
      <c r="J564">
        <v>10</v>
      </c>
      <c r="M564">
        <v>4</v>
      </c>
      <c r="N564">
        <v>4</v>
      </c>
      <c r="O564">
        <v>4</v>
      </c>
      <c r="P564">
        <v>2</v>
      </c>
      <c r="Q564">
        <v>59.2</v>
      </c>
      <c r="R564">
        <v>43</v>
      </c>
      <c r="S564">
        <v>43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43</v>
      </c>
      <c r="AA564">
        <v>0</v>
      </c>
      <c r="AB564">
        <v>0</v>
      </c>
      <c r="AD564">
        <v>102.2</v>
      </c>
    </row>
    <row r="565" spans="1:30" x14ac:dyDescent="0.3">
      <c r="A565" s="4">
        <v>576</v>
      </c>
      <c r="B565" s="5">
        <v>558</v>
      </c>
      <c r="C565">
        <v>2344</v>
      </c>
      <c r="D565" t="s">
        <v>1401</v>
      </c>
      <c r="E565" t="s">
        <v>132</v>
      </c>
      <c r="F565" t="s">
        <v>158</v>
      </c>
      <c r="G565" t="s">
        <v>1402</v>
      </c>
      <c r="H565" t="str">
        <f>"00513761"</f>
        <v>00513761</v>
      </c>
      <c r="I565">
        <v>26.16</v>
      </c>
      <c r="J565">
        <v>0</v>
      </c>
      <c r="N565">
        <v>0</v>
      </c>
      <c r="O565">
        <v>4</v>
      </c>
      <c r="P565">
        <v>2</v>
      </c>
      <c r="Q565">
        <v>32.159999999999997</v>
      </c>
      <c r="R565">
        <v>67</v>
      </c>
      <c r="S565">
        <v>67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67</v>
      </c>
      <c r="AA565">
        <v>3</v>
      </c>
      <c r="AB565">
        <v>0</v>
      </c>
      <c r="AD565">
        <v>102.16</v>
      </c>
    </row>
    <row r="566" spans="1:30" x14ac:dyDescent="0.3">
      <c r="A566" s="4">
        <v>577</v>
      </c>
      <c r="B566" s="5">
        <v>559</v>
      </c>
      <c r="C566">
        <v>1553</v>
      </c>
      <c r="D566" t="s">
        <v>1403</v>
      </c>
      <c r="E566" t="s">
        <v>208</v>
      </c>
      <c r="F566" t="s">
        <v>243</v>
      </c>
      <c r="G566" t="s">
        <v>32025</v>
      </c>
      <c r="H566" t="str">
        <f>"00501661"</f>
        <v>00501661</v>
      </c>
      <c r="I566">
        <v>0</v>
      </c>
      <c r="J566">
        <v>0</v>
      </c>
      <c r="K566">
        <v>8</v>
      </c>
      <c r="N566">
        <v>8</v>
      </c>
      <c r="O566">
        <v>4</v>
      </c>
      <c r="P566">
        <v>2</v>
      </c>
      <c r="Q566">
        <v>14</v>
      </c>
      <c r="R566">
        <v>82</v>
      </c>
      <c r="S566">
        <v>82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82</v>
      </c>
      <c r="AA566">
        <v>6</v>
      </c>
      <c r="AB566">
        <v>0</v>
      </c>
      <c r="AD566">
        <v>102</v>
      </c>
    </row>
    <row r="567" spans="1:30" x14ac:dyDescent="0.3">
      <c r="A567" s="4">
        <v>578</v>
      </c>
      <c r="B567" s="5">
        <v>560</v>
      </c>
      <c r="C567">
        <v>1072</v>
      </c>
      <c r="D567" t="s">
        <v>1404</v>
      </c>
      <c r="E567" t="s">
        <v>33</v>
      </c>
      <c r="F567" t="s">
        <v>972</v>
      </c>
      <c r="G567" t="s">
        <v>1405</v>
      </c>
      <c r="H567" t="str">
        <f>"00530118"</f>
        <v>00530118</v>
      </c>
      <c r="I567">
        <v>72</v>
      </c>
      <c r="J567">
        <v>10</v>
      </c>
      <c r="M567">
        <v>4</v>
      </c>
      <c r="N567">
        <v>4</v>
      </c>
      <c r="O567">
        <v>4</v>
      </c>
      <c r="P567">
        <v>2</v>
      </c>
      <c r="Q567">
        <v>92</v>
      </c>
      <c r="R567">
        <v>10</v>
      </c>
      <c r="S567">
        <v>10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10</v>
      </c>
      <c r="AA567">
        <v>0</v>
      </c>
      <c r="AB567">
        <v>0</v>
      </c>
      <c r="AD567">
        <v>102</v>
      </c>
    </row>
    <row r="568" spans="1:30" x14ac:dyDescent="0.3">
      <c r="A568" s="4">
        <v>579</v>
      </c>
      <c r="B568" s="5">
        <v>561</v>
      </c>
      <c r="C568">
        <v>4615</v>
      </c>
      <c r="D568" t="s">
        <v>1406</v>
      </c>
      <c r="E568" t="s">
        <v>738</v>
      </c>
      <c r="F568" t="s">
        <v>442</v>
      </c>
      <c r="G568" t="s">
        <v>1407</v>
      </c>
      <c r="H568" t="str">
        <f>"00442218"</f>
        <v>00442218</v>
      </c>
      <c r="I568">
        <v>36</v>
      </c>
      <c r="J568">
        <v>10</v>
      </c>
      <c r="N568">
        <v>0</v>
      </c>
      <c r="O568">
        <v>4</v>
      </c>
      <c r="P568">
        <v>2</v>
      </c>
      <c r="Q568">
        <v>52</v>
      </c>
      <c r="R568">
        <v>50</v>
      </c>
      <c r="S568">
        <v>50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50</v>
      </c>
      <c r="AA568">
        <v>0</v>
      </c>
      <c r="AB568">
        <v>0</v>
      </c>
      <c r="AD568">
        <v>102</v>
      </c>
    </row>
    <row r="569" spans="1:30" x14ac:dyDescent="0.3">
      <c r="A569" s="4">
        <v>580</v>
      </c>
      <c r="B569" s="5">
        <v>562</v>
      </c>
      <c r="C569">
        <v>2888</v>
      </c>
      <c r="D569" t="s">
        <v>1408</v>
      </c>
      <c r="E569" t="s">
        <v>935</v>
      </c>
      <c r="F569" t="s">
        <v>892</v>
      </c>
      <c r="G569" t="s">
        <v>1409</v>
      </c>
      <c r="H569" t="str">
        <f>"00534047"</f>
        <v>00534047</v>
      </c>
      <c r="I569">
        <v>24.92</v>
      </c>
      <c r="J569">
        <v>10</v>
      </c>
      <c r="N569">
        <v>0</v>
      </c>
      <c r="O569">
        <v>4</v>
      </c>
      <c r="P569">
        <v>2</v>
      </c>
      <c r="Q569">
        <v>40.92</v>
      </c>
      <c r="R569">
        <v>61</v>
      </c>
      <c r="S569">
        <v>61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61</v>
      </c>
      <c r="AA569">
        <v>0</v>
      </c>
      <c r="AB569">
        <v>0</v>
      </c>
      <c r="AD569">
        <v>101.92</v>
      </c>
    </row>
    <row r="570" spans="1:30" x14ac:dyDescent="0.3">
      <c r="A570" s="4">
        <v>581</v>
      </c>
      <c r="B570" s="5">
        <v>563</v>
      </c>
      <c r="C570">
        <v>4283</v>
      </c>
      <c r="D570" t="s">
        <v>1410</v>
      </c>
      <c r="E570" t="s">
        <v>54</v>
      </c>
      <c r="F570" t="s">
        <v>81</v>
      </c>
      <c r="G570" t="s">
        <v>1411</v>
      </c>
      <c r="H570" t="str">
        <f>"201406009796"</f>
        <v>201406009796</v>
      </c>
      <c r="I570">
        <v>28.8</v>
      </c>
      <c r="J570">
        <v>10</v>
      </c>
      <c r="K570">
        <v>8</v>
      </c>
      <c r="M570">
        <v>4</v>
      </c>
      <c r="N570">
        <v>12</v>
      </c>
      <c r="O570">
        <v>4</v>
      </c>
      <c r="P570">
        <v>2</v>
      </c>
      <c r="Q570">
        <v>56.8</v>
      </c>
      <c r="R570">
        <v>45</v>
      </c>
      <c r="S570">
        <v>45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45</v>
      </c>
      <c r="AA570">
        <v>0</v>
      </c>
      <c r="AB570">
        <v>0</v>
      </c>
      <c r="AD570">
        <v>101.8</v>
      </c>
    </row>
    <row r="571" spans="1:30" x14ac:dyDescent="0.3">
      <c r="A571" s="4">
        <v>582</v>
      </c>
      <c r="B571" s="5">
        <v>564</v>
      </c>
      <c r="C571">
        <v>1632</v>
      </c>
      <c r="D571" t="s">
        <v>1412</v>
      </c>
      <c r="E571" t="s">
        <v>1413</v>
      </c>
      <c r="F571" t="s">
        <v>55</v>
      </c>
      <c r="G571" t="s">
        <v>1414</v>
      </c>
      <c r="H571" t="str">
        <f>"00531153"</f>
        <v>00531153</v>
      </c>
      <c r="I571">
        <v>33.76</v>
      </c>
      <c r="J571">
        <v>0</v>
      </c>
      <c r="K571">
        <v>8</v>
      </c>
      <c r="N571">
        <v>8</v>
      </c>
      <c r="O571">
        <v>4</v>
      </c>
      <c r="P571">
        <v>0</v>
      </c>
      <c r="Q571">
        <v>45.76</v>
      </c>
      <c r="R571">
        <v>47</v>
      </c>
      <c r="S571">
        <v>47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47</v>
      </c>
      <c r="AA571">
        <v>9</v>
      </c>
      <c r="AB571">
        <v>0</v>
      </c>
      <c r="AD571">
        <v>101.76</v>
      </c>
    </row>
    <row r="572" spans="1:30" x14ac:dyDescent="0.3">
      <c r="A572" s="4">
        <v>583</v>
      </c>
      <c r="B572" s="5">
        <v>565</v>
      </c>
      <c r="C572">
        <v>709</v>
      </c>
      <c r="D572" t="s">
        <v>1415</v>
      </c>
      <c r="E572" t="s">
        <v>110</v>
      </c>
      <c r="F572" t="s">
        <v>136</v>
      </c>
      <c r="G572" t="s">
        <v>1416</v>
      </c>
      <c r="H572" t="str">
        <f>"201511017273"</f>
        <v>201511017273</v>
      </c>
      <c r="I572">
        <v>34.68</v>
      </c>
      <c r="J572">
        <v>0</v>
      </c>
      <c r="K572">
        <v>8</v>
      </c>
      <c r="N572">
        <v>8</v>
      </c>
      <c r="O572">
        <v>4</v>
      </c>
      <c r="P572">
        <v>2</v>
      </c>
      <c r="Q572">
        <v>48.68</v>
      </c>
      <c r="R572">
        <v>47</v>
      </c>
      <c r="S572">
        <v>47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47</v>
      </c>
      <c r="AA572">
        <v>6</v>
      </c>
      <c r="AB572">
        <v>0</v>
      </c>
      <c r="AD572">
        <v>101.68</v>
      </c>
    </row>
    <row r="573" spans="1:30" x14ac:dyDescent="0.3">
      <c r="A573" s="4">
        <v>584</v>
      </c>
      <c r="B573" s="5">
        <v>566</v>
      </c>
      <c r="C573">
        <v>1656</v>
      </c>
      <c r="D573" t="s">
        <v>1417</v>
      </c>
      <c r="E573" t="s">
        <v>29</v>
      </c>
      <c r="F573" t="s">
        <v>190</v>
      </c>
      <c r="G573" t="s">
        <v>1418</v>
      </c>
      <c r="H573" t="str">
        <f>"200805001275"</f>
        <v>200805001275</v>
      </c>
      <c r="I573">
        <v>57.6</v>
      </c>
      <c r="J573">
        <v>10</v>
      </c>
      <c r="M573">
        <v>4</v>
      </c>
      <c r="N573">
        <v>4</v>
      </c>
      <c r="O573">
        <v>4</v>
      </c>
      <c r="P573">
        <v>2</v>
      </c>
      <c r="Q573">
        <v>77.599999999999994</v>
      </c>
      <c r="R573">
        <v>18</v>
      </c>
      <c r="S573">
        <v>18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18</v>
      </c>
      <c r="AA573">
        <v>6</v>
      </c>
      <c r="AB573">
        <v>0</v>
      </c>
      <c r="AD573">
        <v>101.6</v>
      </c>
    </row>
    <row r="574" spans="1:30" x14ac:dyDescent="0.3">
      <c r="A574" s="4">
        <v>585</v>
      </c>
      <c r="B574" s="5">
        <v>567</v>
      </c>
      <c r="C574">
        <v>1738</v>
      </c>
      <c r="D574" t="s">
        <v>1419</v>
      </c>
      <c r="E574" t="s">
        <v>88</v>
      </c>
      <c r="F574" t="s">
        <v>20</v>
      </c>
      <c r="G574" t="s">
        <v>1420</v>
      </c>
      <c r="H574" t="str">
        <f>"00526616"</f>
        <v>00526616</v>
      </c>
      <c r="I574">
        <v>50.4</v>
      </c>
      <c r="J574">
        <v>10</v>
      </c>
      <c r="N574">
        <v>0</v>
      </c>
      <c r="O574">
        <v>4</v>
      </c>
      <c r="P574">
        <v>0</v>
      </c>
      <c r="Q574">
        <v>64.400000000000006</v>
      </c>
      <c r="R574">
        <v>34</v>
      </c>
      <c r="S574">
        <v>34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34</v>
      </c>
      <c r="AA574">
        <v>3</v>
      </c>
      <c r="AB574">
        <v>0</v>
      </c>
      <c r="AD574">
        <v>101.4</v>
      </c>
    </row>
    <row r="575" spans="1:30" x14ac:dyDescent="0.3">
      <c r="A575" s="4">
        <v>586</v>
      </c>
      <c r="B575" s="5">
        <v>568</v>
      </c>
      <c r="C575">
        <v>3444</v>
      </c>
      <c r="D575" t="s">
        <v>1170</v>
      </c>
      <c r="E575" t="s">
        <v>439</v>
      </c>
      <c r="F575" t="s">
        <v>17</v>
      </c>
      <c r="G575" t="s">
        <v>1421</v>
      </c>
      <c r="H575" t="str">
        <f>"00503145"</f>
        <v>00503145</v>
      </c>
      <c r="I575">
        <v>24.4</v>
      </c>
      <c r="J575">
        <v>10</v>
      </c>
      <c r="N575">
        <v>0</v>
      </c>
      <c r="O575">
        <v>4</v>
      </c>
      <c r="P575">
        <v>0</v>
      </c>
      <c r="Q575">
        <v>38.4</v>
      </c>
      <c r="R575">
        <v>60</v>
      </c>
      <c r="S575">
        <v>60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60</v>
      </c>
      <c r="AA575">
        <v>3</v>
      </c>
      <c r="AB575">
        <v>0</v>
      </c>
      <c r="AD575">
        <v>101.4</v>
      </c>
    </row>
    <row r="576" spans="1:30" x14ac:dyDescent="0.3">
      <c r="A576" s="4">
        <v>587</v>
      </c>
      <c r="B576" s="5">
        <v>569</v>
      </c>
      <c r="C576">
        <v>3392</v>
      </c>
      <c r="D576" t="s">
        <v>1422</v>
      </c>
      <c r="E576" t="s">
        <v>283</v>
      </c>
      <c r="F576" t="s">
        <v>30</v>
      </c>
      <c r="G576" t="s">
        <v>1423</v>
      </c>
      <c r="H576" t="str">
        <f>"201406005096"</f>
        <v>201406005096</v>
      </c>
      <c r="I576">
        <v>50.4</v>
      </c>
      <c r="J576">
        <v>0</v>
      </c>
      <c r="K576">
        <v>8</v>
      </c>
      <c r="N576">
        <v>8</v>
      </c>
      <c r="O576">
        <v>4</v>
      </c>
      <c r="P576">
        <v>2</v>
      </c>
      <c r="Q576">
        <v>64.400000000000006</v>
      </c>
      <c r="R576">
        <v>37</v>
      </c>
      <c r="S576">
        <v>37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37</v>
      </c>
      <c r="AA576">
        <v>0</v>
      </c>
      <c r="AB576">
        <v>0</v>
      </c>
      <c r="AC576" t="s">
        <v>130</v>
      </c>
      <c r="AD576">
        <v>101.4</v>
      </c>
    </row>
    <row r="577" spans="1:30" x14ac:dyDescent="0.3">
      <c r="A577" s="4">
        <v>588</v>
      </c>
      <c r="B577" s="5">
        <v>570</v>
      </c>
      <c r="C577">
        <v>122</v>
      </c>
      <c r="D577" t="s">
        <v>496</v>
      </c>
      <c r="E577" t="s">
        <v>697</v>
      </c>
      <c r="F577" t="s">
        <v>55</v>
      </c>
      <c r="G577" t="s">
        <v>1424</v>
      </c>
      <c r="H577" t="str">
        <f>"00496959"</f>
        <v>00496959</v>
      </c>
      <c r="I577">
        <v>20.36</v>
      </c>
      <c r="J577">
        <v>0</v>
      </c>
      <c r="K577">
        <v>8</v>
      </c>
      <c r="N577">
        <v>8</v>
      </c>
      <c r="O577">
        <v>4</v>
      </c>
      <c r="P577">
        <v>2</v>
      </c>
      <c r="Q577">
        <v>34.36</v>
      </c>
      <c r="R577">
        <v>58</v>
      </c>
      <c r="S577">
        <v>58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58</v>
      </c>
      <c r="AA577">
        <v>9</v>
      </c>
      <c r="AB577">
        <v>0</v>
      </c>
      <c r="AD577">
        <v>101.36</v>
      </c>
    </row>
    <row r="578" spans="1:30" x14ac:dyDescent="0.3">
      <c r="A578" s="4">
        <v>589</v>
      </c>
      <c r="B578" s="5">
        <v>571</v>
      </c>
      <c r="C578">
        <v>1934</v>
      </c>
      <c r="D578" t="s">
        <v>1425</v>
      </c>
      <c r="E578" t="s">
        <v>1426</v>
      </c>
      <c r="F578" t="s">
        <v>375</v>
      </c>
      <c r="G578" t="s">
        <v>1427</v>
      </c>
      <c r="H578" t="str">
        <f>"201406007698"</f>
        <v>201406007698</v>
      </c>
      <c r="I578">
        <v>43.2</v>
      </c>
      <c r="J578">
        <v>0</v>
      </c>
      <c r="M578">
        <v>4</v>
      </c>
      <c r="N578">
        <v>4</v>
      </c>
      <c r="O578">
        <v>4</v>
      </c>
      <c r="P578">
        <v>0</v>
      </c>
      <c r="Q578">
        <v>51.2</v>
      </c>
      <c r="R578">
        <v>38</v>
      </c>
      <c r="S578">
        <v>38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38</v>
      </c>
      <c r="AA578">
        <v>12</v>
      </c>
      <c r="AB578">
        <v>0</v>
      </c>
      <c r="AD578">
        <v>101.2</v>
      </c>
    </row>
    <row r="579" spans="1:30" x14ac:dyDescent="0.3">
      <c r="A579" s="4">
        <v>590</v>
      </c>
      <c r="B579" s="5">
        <v>572</v>
      </c>
      <c r="C579">
        <v>3942</v>
      </c>
      <c r="D579" t="s">
        <v>1428</v>
      </c>
      <c r="E579" t="s">
        <v>208</v>
      </c>
      <c r="F579" t="s">
        <v>20</v>
      </c>
      <c r="G579" t="s">
        <v>1429</v>
      </c>
      <c r="H579" t="str">
        <f>"00496911"</f>
        <v>00496911</v>
      </c>
      <c r="I579">
        <v>43.2</v>
      </c>
      <c r="J579">
        <v>0</v>
      </c>
      <c r="K579">
        <v>8</v>
      </c>
      <c r="N579">
        <v>8</v>
      </c>
      <c r="O579">
        <v>4</v>
      </c>
      <c r="P579">
        <v>0</v>
      </c>
      <c r="Q579">
        <v>55.2</v>
      </c>
      <c r="R579">
        <v>46</v>
      </c>
      <c r="S579">
        <v>46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46</v>
      </c>
      <c r="AA579">
        <v>0</v>
      </c>
      <c r="AB579">
        <v>0</v>
      </c>
      <c r="AD579">
        <v>101.2</v>
      </c>
    </row>
    <row r="580" spans="1:30" x14ac:dyDescent="0.3">
      <c r="A580" s="4">
        <v>591</v>
      </c>
      <c r="B580" s="5">
        <v>573</v>
      </c>
      <c r="C580">
        <v>3099</v>
      </c>
      <c r="D580" t="s">
        <v>1430</v>
      </c>
      <c r="E580" t="s">
        <v>22</v>
      </c>
      <c r="F580" t="s">
        <v>117</v>
      </c>
      <c r="G580" t="s">
        <v>1431</v>
      </c>
      <c r="H580" t="str">
        <f>"00531359"</f>
        <v>00531359</v>
      </c>
      <c r="I580">
        <v>43.2</v>
      </c>
      <c r="J580">
        <v>10</v>
      </c>
      <c r="N580">
        <v>0</v>
      </c>
      <c r="O580">
        <v>0</v>
      </c>
      <c r="P580">
        <v>2</v>
      </c>
      <c r="Q580">
        <v>55.2</v>
      </c>
      <c r="R580">
        <v>46</v>
      </c>
      <c r="S580">
        <v>46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46</v>
      </c>
      <c r="AA580">
        <v>0</v>
      </c>
      <c r="AB580">
        <v>0</v>
      </c>
      <c r="AD580">
        <v>101.2</v>
      </c>
    </row>
    <row r="581" spans="1:30" x14ac:dyDescent="0.3">
      <c r="A581" s="4">
        <v>592</v>
      </c>
      <c r="B581" s="5">
        <v>574</v>
      </c>
      <c r="C581">
        <v>886</v>
      </c>
      <c r="D581" t="s">
        <v>1432</v>
      </c>
      <c r="E581" t="s">
        <v>29</v>
      </c>
      <c r="F581" t="s">
        <v>30</v>
      </c>
      <c r="G581" t="s">
        <v>1433</v>
      </c>
      <c r="H581" t="str">
        <f>"00193042"</f>
        <v>00193042</v>
      </c>
      <c r="I581">
        <v>36.08</v>
      </c>
      <c r="J581">
        <v>10</v>
      </c>
      <c r="M581">
        <v>4</v>
      </c>
      <c r="N581">
        <v>4</v>
      </c>
      <c r="O581">
        <v>4</v>
      </c>
      <c r="P581">
        <v>2</v>
      </c>
      <c r="Q581">
        <v>56.08</v>
      </c>
      <c r="R581">
        <v>36</v>
      </c>
      <c r="S581">
        <v>36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36</v>
      </c>
      <c r="AA581">
        <v>9</v>
      </c>
      <c r="AB581">
        <v>0</v>
      </c>
      <c r="AD581">
        <v>101.08</v>
      </c>
    </row>
    <row r="582" spans="1:30" x14ac:dyDescent="0.3">
      <c r="A582" s="4">
        <v>593</v>
      </c>
      <c r="B582" s="5">
        <v>575</v>
      </c>
      <c r="C582">
        <v>3243</v>
      </c>
      <c r="D582" t="s">
        <v>1434</v>
      </c>
      <c r="E582" t="s">
        <v>54</v>
      </c>
      <c r="F582" t="s">
        <v>34</v>
      </c>
      <c r="G582" t="s">
        <v>1435</v>
      </c>
      <c r="H582" t="str">
        <f>"00497656"</f>
        <v>00497656</v>
      </c>
      <c r="I582">
        <v>36</v>
      </c>
      <c r="J582">
        <v>0</v>
      </c>
      <c r="N582">
        <v>0</v>
      </c>
      <c r="O582">
        <v>4</v>
      </c>
      <c r="P582">
        <v>0</v>
      </c>
      <c r="Q582">
        <v>40</v>
      </c>
      <c r="R582">
        <v>55</v>
      </c>
      <c r="S582">
        <v>55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55</v>
      </c>
      <c r="AA582">
        <v>6</v>
      </c>
      <c r="AB582">
        <v>0</v>
      </c>
      <c r="AD582">
        <v>101</v>
      </c>
    </row>
    <row r="583" spans="1:30" x14ac:dyDescent="0.3">
      <c r="A583" s="4">
        <v>594</v>
      </c>
      <c r="B583" s="5">
        <v>576</v>
      </c>
      <c r="C583">
        <v>3753</v>
      </c>
      <c r="D583" t="s">
        <v>1436</v>
      </c>
      <c r="E583" t="s">
        <v>320</v>
      </c>
      <c r="F583" t="s">
        <v>158</v>
      </c>
      <c r="G583" t="s">
        <v>1437</v>
      </c>
      <c r="H583" t="str">
        <f>"00483118"</f>
        <v>00483118</v>
      </c>
      <c r="I583">
        <v>36</v>
      </c>
      <c r="J583">
        <v>0</v>
      </c>
      <c r="N583">
        <v>0</v>
      </c>
      <c r="O583">
        <v>0</v>
      </c>
      <c r="P583">
        <v>0</v>
      </c>
      <c r="Q583">
        <v>36</v>
      </c>
      <c r="R583">
        <v>65</v>
      </c>
      <c r="S583">
        <v>65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65</v>
      </c>
      <c r="AA583">
        <v>0</v>
      </c>
      <c r="AB583">
        <v>0</v>
      </c>
      <c r="AD583">
        <v>101</v>
      </c>
    </row>
    <row r="584" spans="1:30" x14ac:dyDescent="0.3">
      <c r="A584" s="4">
        <v>595</v>
      </c>
      <c r="B584" s="5">
        <v>577</v>
      </c>
      <c r="C584">
        <v>811</v>
      </c>
      <c r="D584" t="s">
        <v>1438</v>
      </c>
      <c r="E584" t="s">
        <v>1439</v>
      </c>
      <c r="F584" t="s">
        <v>124</v>
      </c>
      <c r="G584" t="s">
        <v>1440</v>
      </c>
      <c r="H584" t="str">
        <f>"00362448"</f>
        <v>00362448</v>
      </c>
      <c r="I584">
        <v>38</v>
      </c>
      <c r="J584">
        <v>0</v>
      </c>
      <c r="K584">
        <v>8</v>
      </c>
      <c r="M584">
        <v>4</v>
      </c>
      <c r="N584">
        <v>12</v>
      </c>
      <c r="O584">
        <v>4</v>
      </c>
      <c r="P584">
        <v>2</v>
      </c>
      <c r="Q584">
        <v>56</v>
      </c>
      <c r="R584">
        <v>18</v>
      </c>
      <c r="S584">
        <v>18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18</v>
      </c>
      <c r="AA584">
        <v>0</v>
      </c>
      <c r="AB584">
        <v>26.8</v>
      </c>
      <c r="AD584">
        <v>100.8</v>
      </c>
    </row>
    <row r="585" spans="1:30" x14ac:dyDescent="0.3">
      <c r="A585" s="4">
        <v>596</v>
      </c>
      <c r="B585" s="5">
        <v>578</v>
      </c>
      <c r="C585">
        <v>1545</v>
      </c>
      <c r="D585" t="s">
        <v>1441</v>
      </c>
      <c r="E585" t="s">
        <v>33</v>
      </c>
      <c r="F585" t="s">
        <v>158</v>
      </c>
      <c r="G585" t="s">
        <v>1442</v>
      </c>
      <c r="H585" t="str">
        <f>"00488436"</f>
        <v>00488436</v>
      </c>
      <c r="I585">
        <v>28.8</v>
      </c>
      <c r="J585">
        <v>0</v>
      </c>
      <c r="K585">
        <v>8</v>
      </c>
      <c r="N585">
        <v>8</v>
      </c>
      <c r="O585">
        <v>4</v>
      </c>
      <c r="P585">
        <v>2</v>
      </c>
      <c r="Q585">
        <v>42.8</v>
      </c>
      <c r="R585">
        <v>52</v>
      </c>
      <c r="S585">
        <v>52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52</v>
      </c>
      <c r="AA585">
        <v>6</v>
      </c>
      <c r="AB585">
        <v>0</v>
      </c>
      <c r="AD585">
        <v>100.8</v>
      </c>
    </row>
    <row r="586" spans="1:30" x14ac:dyDescent="0.3">
      <c r="A586" s="4">
        <v>597</v>
      </c>
      <c r="B586" s="5">
        <v>579</v>
      </c>
      <c r="C586">
        <v>4831</v>
      </c>
      <c r="D586" t="s">
        <v>991</v>
      </c>
      <c r="E586" t="s">
        <v>265</v>
      </c>
      <c r="F586" t="s">
        <v>136</v>
      </c>
      <c r="G586" t="s">
        <v>1443</v>
      </c>
      <c r="H586" t="str">
        <f>"00441928"</f>
        <v>00441928</v>
      </c>
      <c r="I586">
        <v>28.8</v>
      </c>
      <c r="J586">
        <v>10</v>
      </c>
      <c r="N586">
        <v>0</v>
      </c>
      <c r="O586">
        <v>0</v>
      </c>
      <c r="P586">
        <v>2</v>
      </c>
      <c r="Q586">
        <v>40.799999999999997</v>
      </c>
      <c r="R586">
        <v>60</v>
      </c>
      <c r="S586">
        <v>60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60</v>
      </c>
      <c r="AA586">
        <v>0</v>
      </c>
      <c r="AB586">
        <v>0</v>
      </c>
      <c r="AD586">
        <v>100.8</v>
      </c>
    </row>
    <row r="587" spans="1:30" x14ac:dyDescent="0.3">
      <c r="A587" s="4">
        <v>598</v>
      </c>
      <c r="B587" s="5">
        <v>580</v>
      </c>
      <c r="C587">
        <v>1154</v>
      </c>
      <c r="D587" t="s">
        <v>1444</v>
      </c>
      <c r="E587" t="s">
        <v>1445</v>
      </c>
      <c r="F587" t="s">
        <v>20</v>
      </c>
      <c r="G587" t="s">
        <v>1446</v>
      </c>
      <c r="H587" t="str">
        <f>"00258268"</f>
        <v>00258268</v>
      </c>
      <c r="I587">
        <v>28.8</v>
      </c>
      <c r="J587">
        <v>0</v>
      </c>
      <c r="M587">
        <v>4</v>
      </c>
      <c r="N587">
        <v>4</v>
      </c>
      <c r="O587">
        <v>4</v>
      </c>
      <c r="P587">
        <v>2</v>
      </c>
      <c r="Q587">
        <v>38.799999999999997</v>
      </c>
      <c r="R587">
        <v>62</v>
      </c>
      <c r="S587">
        <v>62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62</v>
      </c>
      <c r="AA587">
        <v>0</v>
      </c>
      <c r="AB587">
        <v>0</v>
      </c>
      <c r="AD587">
        <v>100.8</v>
      </c>
    </row>
    <row r="588" spans="1:30" x14ac:dyDescent="0.3">
      <c r="A588" s="4">
        <v>599</v>
      </c>
      <c r="B588" s="5">
        <v>581</v>
      </c>
      <c r="C588">
        <v>2170</v>
      </c>
      <c r="D588" t="s">
        <v>1447</v>
      </c>
      <c r="E588" t="s">
        <v>26</v>
      </c>
      <c r="F588" t="s">
        <v>38</v>
      </c>
      <c r="G588" t="s">
        <v>1448</v>
      </c>
      <c r="H588" t="str">
        <f>"00441550"</f>
        <v>00441550</v>
      </c>
      <c r="I588">
        <v>28.8</v>
      </c>
      <c r="J588">
        <v>0</v>
      </c>
      <c r="M588">
        <v>4</v>
      </c>
      <c r="N588">
        <v>4</v>
      </c>
      <c r="O588">
        <v>4</v>
      </c>
      <c r="P588">
        <v>2</v>
      </c>
      <c r="Q588">
        <v>38.799999999999997</v>
      </c>
      <c r="R588">
        <v>62</v>
      </c>
      <c r="S588">
        <v>62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62</v>
      </c>
      <c r="AA588">
        <v>0</v>
      </c>
      <c r="AB588">
        <v>0</v>
      </c>
      <c r="AD588">
        <v>100.8</v>
      </c>
    </row>
    <row r="589" spans="1:30" x14ac:dyDescent="0.3">
      <c r="A589" s="4">
        <v>600</v>
      </c>
      <c r="B589" s="5">
        <v>582</v>
      </c>
      <c r="C589">
        <v>1029</v>
      </c>
      <c r="D589" t="s">
        <v>1449</v>
      </c>
      <c r="E589" t="s">
        <v>1280</v>
      </c>
      <c r="F589" t="s">
        <v>1450</v>
      </c>
      <c r="G589" t="s">
        <v>1451</v>
      </c>
      <c r="H589" t="str">
        <f>"00502600"</f>
        <v>00502600</v>
      </c>
      <c r="I589">
        <v>33.76</v>
      </c>
      <c r="J589">
        <v>10</v>
      </c>
      <c r="N589">
        <v>0</v>
      </c>
      <c r="O589">
        <v>4</v>
      </c>
      <c r="P589">
        <v>2</v>
      </c>
      <c r="Q589">
        <v>49.76</v>
      </c>
      <c r="R589">
        <v>45</v>
      </c>
      <c r="S589">
        <v>45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45</v>
      </c>
      <c r="AA589">
        <v>6</v>
      </c>
      <c r="AB589">
        <v>0</v>
      </c>
      <c r="AD589">
        <v>100.76</v>
      </c>
    </row>
    <row r="590" spans="1:30" x14ac:dyDescent="0.3">
      <c r="A590" s="4">
        <v>601</v>
      </c>
      <c r="B590" s="5">
        <v>583</v>
      </c>
      <c r="C590">
        <v>3044</v>
      </c>
      <c r="D590" t="s">
        <v>1452</v>
      </c>
      <c r="E590" t="s">
        <v>208</v>
      </c>
      <c r="F590" t="s">
        <v>81</v>
      </c>
      <c r="G590" t="s">
        <v>1453</v>
      </c>
      <c r="H590" t="str">
        <f>"00483835"</f>
        <v>00483835</v>
      </c>
      <c r="I590">
        <v>21.76</v>
      </c>
      <c r="J590">
        <v>0</v>
      </c>
      <c r="M590">
        <v>4</v>
      </c>
      <c r="N590">
        <v>4</v>
      </c>
      <c r="O590">
        <v>4</v>
      </c>
      <c r="P590">
        <v>2</v>
      </c>
      <c r="Q590">
        <v>31.76</v>
      </c>
      <c r="R590">
        <v>69</v>
      </c>
      <c r="S590">
        <v>69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69</v>
      </c>
      <c r="AA590">
        <v>0</v>
      </c>
      <c r="AB590">
        <v>0</v>
      </c>
      <c r="AD590">
        <v>100.76</v>
      </c>
    </row>
    <row r="591" spans="1:30" x14ac:dyDescent="0.3">
      <c r="A591" s="4">
        <v>602</v>
      </c>
      <c r="B591" s="5">
        <v>584</v>
      </c>
      <c r="C591">
        <v>9</v>
      </c>
      <c r="D591" t="s">
        <v>60</v>
      </c>
      <c r="E591" t="s">
        <v>29</v>
      </c>
      <c r="F591" t="s">
        <v>17</v>
      </c>
      <c r="G591" t="s">
        <v>1454</v>
      </c>
      <c r="H591" t="str">
        <f>"00493646"</f>
        <v>00493646</v>
      </c>
      <c r="I591">
        <v>38.68</v>
      </c>
      <c r="J591">
        <v>10</v>
      </c>
      <c r="M591">
        <v>4</v>
      </c>
      <c r="N591">
        <v>4</v>
      </c>
      <c r="O591">
        <v>4</v>
      </c>
      <c r="P591">
        <v>2</v>
      </c>
      <c r="Q591">
        <v>58.68</v>
      </c>
      <c r="R591">
        <v>0</v>
      </c>
      <c r="S591">
        <v>0</v>
      </c>
      <c r="T591">
        <v>18</v>
      </c>
      <c r="U591">
        <v>36</v>
      </c>
      <c r="V591">
        <v>0</v>
      </c>
      <c r="W591">
        <v>0</v>
      </c>
      <c r="X591">
        <v>0</v>
      </c>
      <c r="Y591">
        <v>0</v>
      </c>
      <c r="Z591">
        <v>36</v>
      </c>
      <c r="AA591">
        <v>6</v>
      </c>
      <c r="AB591">
        <v>0</v>
      </c>
      <c r="AD591">
        <v>100.68</v>
      </c>
    </row>
    <row r="592" spans="1:30" x14ac:dyDescent="0.3">
      <c r="A592" s="4">
        <v>603</v>
      </c>
      <c r="B592" s="5">
        <v>585</v>
      </c>
      <c r="C592">
        <v>2462</v>
      </c>
      <c r="D592" t="s">
        <v>1455</v>
      </c>
      <c r="E592" t="s">
        <v>149</v>
      </c>
      <c r="F592" t="s">
        <v>81</v>
      </c>
      <c r="G592" t="s">
        <v>1456</v>
      </c>
      <c r="H592" t="str">
        <f>"00481337"</f>
        <v>00481337</v>
      </c>
      <c r="I592">
        <v>21.6</v>
      </c>
      <c r="J592">
        <v>0</v>
      </c>
      <c r="M592">
        <v>4</v>
      </c>
      <c r="N592">
        <v>4</v>
      </c>
      <c r="O592">
        <v>4</v>
      </c>
      <c r="P592">
        <v>2</v>
      </c>
      <c r="Q592">
        <v>31.6</v>
      </c>
      <c r="R592">
        <v>66</v>
      </c>
      <c r="S592">
        <v>66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66</v>
      </c>
      <c r="AA592">
        <v>3</v>
      </c>
      <c r="AB592">
        <v>0</v>
      </c>
      <c r="AD592">
        <v>100.6</v>
      </c>
    </row>
    <row r="593" spans="1:30" x14ac:dyDescent="0.3">
      <c r="A593" s="4">
        <v>604</v>
      </c>
      <c r="B593" s="5">
        <v>586</v>
      </c>
      <c r="C593">
        <v>1012</v>
      </c>
      <c r="D593" t="s">
        <v>1457</v>
      </c>
      <c r="E593" t="s">
        <v>1458</v>
      </c>
      <c r="F593" t="s">
        <v>81</v>
      </c>
      <c r="G593" t="s">
        <v>1459</v>
      </c>
      <c r="H593" t="str">
        <f>"00431947"</f>
        <v>00431947</v>
      </c>
      <c r="I593">
        <v>57.6</v>
      </c>
      <c r="J593">
        <v>0</v>
      </c>
      <c r="N593">
        <v>0</v>
      </c>
      <c r="O593">
        <v>4</v>
      </c>
      <c r="P593">
        <v>2</v>
      </c>
      <c r="Q593">
        <v>63.6</v>
      </c>
      <c r="R593">
        <v>37</v>
      </c>
      <c r="S593">
        <v>37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37</v>
      </c>
      <c r="AA593">
        <v>0</v>
      </c>
      <c r="AB593">
        <v>0</v>
      </c>
      <c r="AD593">
        <v>100.6</v>
      </c>
    </row>
    <row r="594" spans="1:30" x14ac:dyDescent="0.3">
      <c r="A594" s="4">
        <v>605</v>
      </c>
      <c r="B594" s="5">
        <v>587</v>
      </c>
      <c r="C594">
        <v>355</v>
      </c>
      <c r="D594" t="s">
        <v>181</v>
      </c>
      <c r="E594" t="s">
        <v>342</v>
      </c>
      <c r="F594" t="s">
        <v>1460</v>
      </c>
      <c r="G594" t="s">
        <v>1461</v>
      </c>
      <c r="H594" t="str">
        <f>"00526480"</f>
        <v>00526480</v>
      </c>
      <c r="I594">
        <v>50.4</v>
      </c>
      <c r="J594">
        <v>10</v>
      </c>
      <c r="N594">
        <v>0</v>
      </c>
      <c r="O594">
        <v>4</v>
      </c>
      <c r="P594">
        <v>0</v>
      </c>
      <c r="Q594">
        <v>64.400000000000006</v>
      </c>
      <c r="R594">
        <v>33</v>
      </c>
      <c r="S594">
        <v>33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33</v>
      </c>
      <c r="AA594">
        <v>3</v>
      </c>
      <c r="AB594">
        <v>0</v>
      </c>
      <c r="AD594">
        <v>100.4</v>
      </c>
    </row>
    <row r="595" spans="1:30" x14ac:dyDescent="0.3">
      <c r="A595" s="4">
        <v>606</v>
      </c>
      <c r="B595" s="5">
        <v>588</v>
      </c>
      <c r="C595">
        <v>1878</v>
      </c>
      <c r="D595" t="s">
        <v>1462</v>
      </c>
      <c r="E595" t="s">
        <v>54</v>
      </c>
      <c r="F595" t="s">
        <v>20</v>
      </c>
      <c r="G595" t="s">
        <v>1463</v>
      </c>
      <c r="H595" t="str">
        <f>"00127246"</f>
        <v>00127246</v>
      </c>
      <c r="I595">
        <v>50.4</v>
      </c>
      <c r="J595">
        <v>0</v>
      </c>
      <c r="M595">
        <v>4</v>
      </c>
      <c r="N595">
        <v>4</v>
      </c>
      <c r="O595">
        <v>4</v>
      </c>
      <c r="P595">
        <v>2</v>
      </c>
      <c r="Q595">
        <v>60.4</v>
      </c>
      <c r="R595">
        <v>37</v>
      </c>
      <c r="S595">
        <v>37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37</v>
      </c>
      <c r="AA595">
        <v>3</v>
      </c>
      <c r="AB595">
        <v>0</v>
      </c>
      <c r="AD595">
        <v>100.4</v>
      </c>
    </row>
    <row r="596" spans="1:30" x14ac:dyDescent="0.3">
      <c r="A596" s="4">
        <v>607</v>
      </c>
      <c r="B596" s="5">
        <v>589</v>
      </c>
      <c r="C596">
        <v>4627</v>
      </c>
      <c r="D596" t="s">
        <v>1464</v>
      </c>
      <c r="E596" t="s">
        <v>1465</v>
      </c>
      <c r="F596" t="s">
        <v>750</v>
      </c>
      <c r="G596" t="s">
        <v>1466</v>
      </c>
      <c r="H596" t="str">
        <f>"00533324"</f>
        <v>00533324</v>
      </c>
      <c r="I596">
        <v>50.4</v>
      </c>
      <c r="J596">
        <v>10</v>
      </c>
      <c r="L596">
        <v>6</v>
      </c>
      <c r="N596">
        <v>6</v>
      </c>
      <c r="O596">
        <v>4</v>
      </c>
      <c r="P596">
        <v>2</v>
      </c>
      <c r="Q596">
        <v>72.400000000000006</v>
      </c>
      <c r="R596">
        <v>28</v>
      </c>
      <c r="S596">
        <v>28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28</v>
      </c>
      <c r="AA596">
        <v>0</v>
      </c>
      <c r="AB596">
        <v>0</v>
      </c>
      <c r="AD596">
        <v>100.4</v>
      </c>
    </row>
    <row r="597" spans="1:30" x14ac:dyDescent="0.3">
      <c r="A597" s="4">
        <v>608</v>
      </c>
      <c r="B597" s="5">
        <v>590</v>
      </c>
      <c r="C597">
        <v>1276</v>
      </c>
      <c r="D597" t="s">
        <v>1467</v>
      </c>
      <c r="E597" t="s">
        <v>789</v>
      </c>
      <c r="F597" t="s">
        <v>20</v>
      </c>
      <c r="G597" t="s">
        <v>1468</v>
      </c>
      <c r="H597" t="str">
        <f>"00531124"</f>
        <v>00531124</v>
      </c>
      <c r="I597">
        <v>50.4</v>
      </c>
      <c r="J597">
        <v>0</v>
      </c>
      <c r="L597">
        <v>6</v>
      </c>
      <c r="M597">
        <v>4</v>
      </c>
      <c r="N597">
        <v>10</v>
      </c>
      <c r="O597">
        <v>4</v>
      </c>
      <c r="P597">
        <v>0</v>
      </c>
      <c r="Q597">
        <v>64.400000000000006</v>
      </c>
      <c r="R597">
        <v>36</v>
      </c>
      <c r="S597">
        <v>36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36</v>
      </c>
      <c r="AA597">
        <v>0</v>
      </c>
      <c r="AB597">
        <v>0</v>
      </c>
      <c r="AD597">
        <v>100.4</v>
      </c>
    </row>
    <row r="598" spans="1:30" x14ac:dyDescent="0.3">
      <c r="A598" s="4">
        <v>609</v>
      </c>
      <c r="B598" s="5">
        <v>591</v>
      </c>
      <c r="C598">
        <v>4301</v>
      </c>
      <c r="D598" t="s">
        <v>1469</v>
      </c>
      <c r="E598" t="s">
        <v>97</v>
      </c>
      <c r="F598" t="s">
        <v>136</v>
      </c>
      <c r="G598" t="s">
        <v>1470</v>
      </c>
      <c r="H598" t="str">
        <f>"00161246"</f>
        <v>00161246</v>
      </c>
      <c r="I598">
        <v>7.2</v>
      </c>
      <c r="J598">
        <v>10</v>
      </c>
      <c r="N598">
        <v>0</v>
      </c>
      <c r="O598">
        <v>4</v>
      </c>
      <c r="P598">
        <v>0</v>
      </c>
      <c r="Q598">
        <v>21.2</v>
      </c>
      <c r="R598">
        <v>73</v>
      </c>
      <c r="S598">
        <v>73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73</v>
      </c>
      <c r="AA598">
        <v>6</v>
      </c>
      <c r="AB598">
        <v>0</v>
      </c>
      <c r="AD598">
        <v>100.2</v>
      </c>
    </row>
    <row r="599" spans="1:30" x14ac:dyDescent="0.3">
      <c r="A599" s="4">
        <v>610</v>
      </c>
      <c r="B599" s="5">
        <v>592</v>
      </c>
      <c r="C599">
        <v>2362</v>
      </c>
      <c r="D599" t="s">
        <v>1471</v>
      </c>
      <c r="E599" t="s">
        <v>29</v>
      </c>
      <c r="F599" t="s">
        <v>101</v>
      </c>
      <c r="G599" t="s">
        <v>1472</v>
      </c>
      <c r="H599" t="str">
        <f>"00161262"</f>
        <v>00161262</v>
      </c>
      <c r="I599">
        <v>43.2</v>
      </c>
      <c r="J599">
        <v>0</v>
      </c>
      <c r="N599">
        <v>0</v>
      </c>
      <c r="O599">
        <v>4</v>
      </c>
      <c r="P599">
        <v>0</v>
      </c>
      <c r="Q599">
        <v>47.2</v>
      </c>
      <c r="R599">
        <v>50</v>
      </c>
      <c r="S599">
        <v>50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50</v>
      </c>
      <c r="AA599">
        <v>3</v>
      </c>
      <c r="AB599">
        <v>0</v>
      </c>
      <c r="AD599">
        <v>100.2</v>
      </c>
    </row>
    <row r="600" spans="1:30" x14ac:dyDescent="0.3">
      <c r="A600" s="4">
        <v>611</v>
      </c>
      <c r="B600" s="5">
        <v>593</v>
      </c>
      <c r="C600">
        <v>1904</v>
      </c>
      <c r="D600" t="s">
        <v>1473</v>
      </c>
      <c r="E600" t="s">
        <v>1474</v>
      </c>
      <c r="F600" t="s">
        <v>238</v>
      </c>
      <c r="G600" t="s">
        <v>1475</v>
      </c>
      <c r="H600" t="str">
        <f>"201003000174"</f>
        <v>201003000174</v>
      </c>
      <c r="I600">
        <v>43.2</v>
      </c>
      <c r="J600">
        <v>10</v>
      </c>
      <c r="L600">
        <v>6</v>
      </c>
      <c r="N600">
        <v>6</v>
      </c>
      <c r="O600">
        <v>4</v>
      </c>
      <c r="P600">
        <v>2</v>
      </c>
      <c r="Q600">
        <v>65.2</v>
      </c>
      <c r="R600">
        <v>35</v>
      </c>
      <c r="S600">
        <v>35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35</v>
      </c>
      <c r="AA600">
        <v>0</v>
      </c>
      <c r="AB600">
        <v>0</v>
      </c>
      <c r="AD600">
        <v>100.2</v>
      </c>
    </row>
    <row r="601" spans="1:30" x14ac:dyDescent="0.3">
      <c r="A601" s="4">
        <v>612</v>
      </c>
      <c r="B601" s="5">
        <v>594</v>
      </c>
      <c r="C601">
        <v>741</v>
      </c>
      <c r="D601" t="s">
        <v>1476</v>
      </c>
      <c r="E601" t="s">
        <v>273</v>
      </c>
      <c r="F601" t="s">
        <v>1477</v>
      </c>
      <c r="G601" t="s">
        <v>1478</v>
      </c>
      <c r="H601" t="str">
        <f>"00508044"</f>
        <v>00508044</v>
      </c>
      <c r="I601">
        <v>43.2</v>
      </c>
      <c r="J601">
        <v>0</v>
      </c>
      <c r="K601">
        <v>8</v>
      </c>
      <c r="L601">
        <v>6</v>
      </c>
      <c r="N601">
        <v>14</v>
      </c>
      <c r="O601">
        <v>4</v>
      </c>
      <c r="P601">
        <v>2</v>
      </c>
      <c r="Q601">
        <v>63.2</v>
      </c>
      <c r="R601">
        <v>37</v>
      </c>
      <c r="S601">
        <v>37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37</v>
      </c>
      <c r="AA601">
        <v>0</v>
      </c>
      <c r="AB601">
        <v>0</v>
      </c>
      <c r="AD601">
        <v>100.2</v>
      </c>
    </row>
    <row r="602" spans="1:30" x14ac:dyDescent="0.3">
      <c r="A602" s="4">
        <v>613</v>
      </c>
      <c r="B602" s="5">
        <v>595</v>
      </c>
      <c r="C602">
        <v>2640</v>
      </c>
      <c r="D602" t="s">
        <v>165</v>
      </c>
      <c r="E602" t="s">
        <v>372</v>
      </c>
      <c r="F602" t="s">
        <v>17</v>
      </c>
      <c r="G602" t="s">
        <v>1479</v>
      </c>
      <c r="H602" t="str">
        <f>"00532107"</f>
        <v>00532107</v>
      </c>
      <c r="I602">
        <v>7.2</v>
      </c>
      <c r="J602">
        <v>0</v>
      </c>
      <c r="K602">
        <v>8</v>
      </c>
      <c r="N602">
        <v>8</v>
      </c>
      <c r="O602">
        <v>4</v>
      </c>
      <c r="P602">
        <v>2</v>
      </c>
      <c r="Q602">
        <v>21.2</v>
      </c>
      <c r="R602">
        <v>79</v>
      </c>
      <c r="S602">
        <v>79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79</v>
      </c>
      <c r="AA602">
        <v>0</v>
      </c>
      <c r="AB602">
        <v>0</v>
      </c>
      <c r="AD602">
        <v>100.2</v>
      </c>
    </row>
    <row r="603" spans="1:30" x14ac:dyDescent="0.3">
      <c r="A603" s="4">
        <v>614</v>
      </c>
      <c r="B603" s="5">
        <v>596</v>
      </c>
      <c r="C603">
        <v>491</v>
      </c>
      <c r="D603" t="s">
        <v>1480</v>
      </c>
      <c r="E603" t="s">
        <v>37</v>
      </c>
      <c r="F603" t="s">
        <v>1481</v>
      </c>
      <c r="G603" t="s">
        <v>1482</v>
      </c>
      <c r="H603" t="str">
        <f>"00502402"</f>
        <v>00502402</v>
      </c>
      <c r="I603">
        <v>39.119999999999997</v>
      </c>
      <c r="J603">
        <v>0</v>
      </c>
      <c r="N603">
        <v>0</v>
      </c>
      <c r="O603">
        <v>0</v>
      </c>
      <c r="P603">
        <v>2</v>
      </c>
      <c r="Q603">
        <v>41.12</v>
      </c>
      <c r="R603">
        <v>59</v>
      </c>
      <c r="S603">
        <v>59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59</v>
      </c>
      <c r="AA603">
        <v>0</v>
      </c>
      <c r="AB603">
        <v>0</v>
      </c>
      <c r="AD603">
        <v>100.12</v>
      </c>
    </row>
    <row r="604" spans="1:30" x14ac:dyDescent="0.3">
      <c r="A604" s="4">
        <v>615</v>
      </c>
      <c r="B604" s="5">
        <v>597</v>
      </c>
      <c r="C604">
        <v>539</v>
      </c>
      <c r="D604" t="s">
        <v>1483</v>
      </c>
      <c r="E604" t="s">
        <v>1484</v>
      </c>
      <c r="F604" t="s">
        <v>20</v>
      </c>
      <c r="G604" t="s">
        <v>1485</v>
      </c>
      <c r="H604" t="str">
        <f>"00531849"</f>
        <v>00531849</v>
      </c>
      <c r="I604">
        <v>40</v>
      </c>
      <c r="J604">
        <v>10</v>
      </c>
      <c r="N604">
        <v>0</v>
      </c>
      <c r="O604">
        <v>4</v>
      </c>
      <c r="P604">
        <v>2</v>
      </c>
      <c r="Q604">
        <v>56</v>
      </c>
      <c r="R604">
        <v>18</v>
      </c>
      <c r="S604">
        <v>18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18</v>
      </c>
      <c r="AA604">
        <v>6</v>
      </c>
      <c r="AB604">
        <v>20</v>
      </c>
      <c r="AD604">
        <v>100</v>
      </c>
    </row>
    <row r="605" spans="1:30" x14ac:dyDescent="0.3">
      <c r="A605" s="4">
        <v>616</v>
      </c>
      <c r="B605" s="5">
        <v>598</v>
      </c>
      <c r="C605">
        <v>168</v>
      </c>
      <c r="D605" t="s">
        <v>1286</v>
      </c>
      <c r="E605" t="s">
        <v>1140</v>
      </c>
      <c r="F605" t="s">
        <v>17</v>
      </c>
      <c r="G605" t="s">
        <v>1486</v>
      </c>
      <c r="H605" t="str">
        <f>"00485245"</f>
        <v>00485245</v>
      </c>
      <c r="I605">
        <v>72</v>
      </c>
      <c r="J605">
        <v>0</v>
      </c>
      <c r="K605">
        <v>8</v>
      </c>
      <c r="N605">
        <v>8</v>
      </c>
      <c r="O605">
        <v>4</v>
      </c>
      <c r="P605">
        <v>2</v>
      </c>
      <c r="Q605">
        <v>86</v>
      </c>
      <c r="R605">
        <v>8</v>
      </c>
      <c r="S605">
        <v>8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8</v>
      </c>
      <c r="AA605">
        <v>6</v>
      </c>
      <c r="AB605">
        <v>0</v>
      </c>
      <c r="AD605">
        <v>100</v>
      </c>
    </row>
    <row r="606" spans="1:30" x14ac:dyDescent="0.3">
      <c r="A606" s="4">
        <v>617</v>
      </c>
      <c r="B606" s="5">
        <v>599</v>
      </c>
      <c r="C606">
        <v>2611</v>
      </c>
      <c r="D606" t="s">
        <v>1250</v>
      </c>
      <c r="E606" t="s">
        <v>166</v>
      </c>
      <c r="F606" t="s">
        <v>158</v>
      </c>
      <c r="G606" t="s">
        <v>1487</v>
      </c>
      <c r="H606" t="str">
        <f>"00116850"</f>
        <v>00116850</v>
      </c>
      <c r="I606">
        <v>72</v>
      </c>
      <c r="J606">
        <v>0</v>
      </c>
      <c r="K606">
        <v>8</v>
      </c>
      <c r="L606">
        <v>6</v>
      </c>
      <c r="N606">
        <v>14</v>
      </c>
      <c r="O606">
        <v>4</v>
      </c>
      <c r="P606">
        <v>2</v>
      </c>
      <c r="Q606">
        <v>92</v>
      </c>
      <c r="R606">
        <v>8</v>
      </c>
      <c r="S606">
        <v>8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8</v>
      </c>
      <c r="AA606">
        <v>0</v>
      </c>
      <c r="AB606">
        <v>0</v>
      </c>
      <c r="AD606">
        <v>100</v>
      </c>
    </row>
    <row r="607" spans="1:30" x14ac:dyDescent="0.3">
      <c r="A607" s="4">
        <v>618</v>
      </c>
      <c r="B607" s="5">
        <v>600</v>
      </c>
      <c r="C607">
        <v>1303</v>
      </c>
      <c r="D607" t="s">
        <v>1488</v>
      </c>
      <c r="E607" t="s">
        <v>188</v>
      </c>
      <c r="F607" t="s">
        <v>20</v>
      </c>
      <c r="G607" t="s">
        <v>1489</v>
      </c>
      <c r="H607" t="str">
        <f>"00531471"</f>
        <v>00531471</v>
      </c>
      <c r="I607">
        <v>38.28</v>
      </c>
      <c r="J607">
        <v>10</v>
      </c>
      <c r="N607">
        <v>0</v>
      </c>
      <c r="O607">
        <v>0</v>
      </c>
      <c r="P607">
        <v>0</v>
      </c>
      <c r="Q607">
        <v>48.28</v>
      </c>
      <c r="R607">
        <v>8</v>
      </c>
      <c r="S607">
        <v>8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8</v>
      </c>
      <c r="AA607">
        <v>6</v>
      </c>
      <c r="AB607">
        <v>37.6</v>
      </c>
      <c r="AD607">
        <v>99.88</v>
      </c>
    </row>
    <row r="608" spans="1:30" x14ac:dyDescent="0.3">
      <c r="A608" s="4">
        <v>619</v>
      </c>
      <c r="B608" s="5">
        <v>601</v>
      </c>
      <c r="C608">
        <v>1353</v>
      </c>
      <c r="D608" t="s">
        <v>1490</v>
      </c>
      <c r="E608" t="s">
        <v>255</v>
      </c>
      <c r="F608" t="s">
        <v>101</v>
      </c>
      <c r="G608" t="s">
        <v>1491</v>
      </c>
      <c r="H608" t="str">
        <f>"200804000770"</f>
        <v>200804000770</v>
      </c>
      <c r="I608">
        <v>28.8</v>
      </c>
      <c r="J608">
        <v>10</v>
      </c>
      <c r="M608">
        <v>4</v>
      </c>
      <c r="N608">
        <v>4</v>
      </c>
      <c r="O608">
        <v>4</v>
      </c>
      <c r="P608">
        <v>2</v>
      </c>
      <c r="Q608">
        <v>48.8</v>
      </c>
      <c r="R608">
        <v>45</v>
      </c>
      <c r="S608">
        <v>45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45</v>
      </c>
      <c r="AA608">
        <v>6</v>
      </c>
      <c r="AB608">
        <v>0</v>
      </c>
      <c r="AD608">
        <v>99.8</v>
      </c>
    </row>
    <row r="609" spans="1:30" x14ac:dyDescent="0.3">
      <c r="A609" s="4">
        <v>620</v>
      </c>
      <c r="B609" s="5">
        <v>602</v>
      </c>
      <c r="C609">
        <v>868</v>
      </c>
      <c r="D609" t="s">
        <v>64</v>
      </c>
      <c r="E609" t="s">
        <v>54</v>
      </c>
      <c r="F609" t="s">
        <v>38</v>
      </c>
      <c r="G609" t="s">
        <v>1492</v>
      </c>
      <c r="H609" t="str">
        <f>"00507277"</f>
        <v>00507277</v>
      </c>
      <c r="I609">
        <v>64.8</v>
      </c>
      <c r="J609">
        <v>0</v>
      </c>
      <c r="K609">
        <v>8</v>
      </c>
      <c r="N609">
        <v>8</v>
      </c>
      <c r="O609">
        <v>4</v>
      </c>
      <c r="P609">
        <v>2</v>
      </c>
      <c r="Q609">
        <v>78.8</v>
      </c>
      <c r="R609">
        <v>18</v>
      </c>
      <c r="S609">
        <v>18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18</v>
      </c>
      <c r="AA609">
        <v>3</v>
      </c>
      <c r="AB609">
        <v>0</v>
      </c>
      <c r="AD609">
        <v>99.8</v>
      </c>
    </row>
    <row r="610" spans="1:30" x14ac:dyDescent="0.3">
      <c r="A610" s="4">
        <v>621</v>
      </c>
      <c r="B610" s="5">
        <v>603</v>
      </c>
      <c r="C610">
        <v>1406</v>
      </c>
      <c r="D610" t="s">
        <v>1425</v>
      </c>
      <c r="E610" t="s">
        <v>88</v>
      </c>
      <c r="F610" t="s">
        <v>38</v>
      </c>
      <c r="G610" t="s">
        <v>32026</v>
      </c>
      <c r="H610" t="str">
        <f>"00483568"</f>
        <v>00483568</v>
      </c>
      <c r="I610">
        <v>37.76</v>
      </c>
      <c r="J610">
        <v>10</v>
      </c>
      <c r="N610">
        <v>0</v>
      </c>
      <c r="O610">
        <v>4</v>
      </c>
      <c r="P610">
        <v>2</v>
      </c>
      <c r="Q610">
        <v>53.76</v>
      </c>
      <c r="R610">
        <v>40</v>
      </c>
      <c r="S610">
        <v>40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40</v>
      </c>
      <c r="AA610">
        <v>6</v>
      </c>
      <c r="AB610">
        <v>0</v>
      </c>
      <c r="AD610">
        <v>99.76</v>
      </c>
    </row>
    <row r="611" spans="1:30" x14ac:dyDescent="0.3">
      <c r="A611" s="4">
        <v>622</v>
      </c>
      <c r="B611" s="5">
        <v>604</v>
      </c>
      <c r="C611">
        <v>2435</v>
      </c>
      <c r="D611" t="s">
        <v>1493</v>
      </c>
      <c r="E611" t="s">
        <v>115</v>
      </c>
      <c r="F611" t="s">
        <v>20</v>
      </c>
      <c r="G611" t="s">
        <v>1494</v>
      </c>
      <c r="H611" t="str">
        <f>"00530748"</f>
        <v>00530748</v>
      </c>
      <c r="I611">
        <v>37.76</v>
      </c>
      <c r="J611">
        <v>0</v>
      </c>
      <c r="N611">
        <v>0</v>
      </c>
      <c r="O611">
        <v>4</v>
      </c>
      <c r="P611">
        <v>2</v>
      </c>
      <c r="Q611">
        <v>43.76</v>
      </c>
      <c r="R611">
        <v>53</v>
      </c>
      <c r="S611">
        <v>53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53</v>
      </c>
      <c r="AA611">
        <v>3</v>
      </c>
      <c r="AB611">
        <v>0</v>
      </c>
      <c r="AD611">
        <v>99.76</v>
      </c>
    </row>
    <row r="612" spans="1:30" x14ac:dyDescent="0.3">
      <c r="A612" s="4">
        <v>623</v>
      </c>
      <c r="B612" s="5">
        <v>605</v>
      </c>
      <c r="C612">
        <v>2149</v>
      </c>
      <c r="D612" t="s">
        <v>1495</v>
      </c>
      <c r="E612" t="s">
        <v>88</v>
      </c>
      <c r="F612" t="s">
        <v>81</v>
      </c>
      <c r="G612" t="s">
        <v>1496</v>
      </c>
      <c r="H612" t="str">
        <f>"00520462"</f>
        <v>00520462</v>
      </c>
      <c r="I612">
        <v>39.6</v>
      </c>
      <c r="J612">
        <v>0</v>
      </c>
      <c r="N612">
        <v>0</v>
      </c>
      <c r="O612">
        <v>0</v>
      </c>
      <c r="P612">
        <v>0</v>
      </c>
      <c r="Q612">
        <v>39.6</v>
      </c>
      <c r="R612">
        <v>60</v>
      </c>
      <c r="S612">
        <v>60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60</v>
      </c>
      <c r="AA612">
        <v>0</v>
      </c>
      <c r="AB612">
        <v>0</v>
      </c>
      <c r="AD612">
        <v>99.6</v>
      </c>
    </row>
    <row r="613" spans="1:30" x14ac:dyDescent="0.3">
      <c r="A613" s="4">
        <v>624</v>
      </c>
      <c r="B613" s="5">
        <v>606</v>
      </c>
      <c r="C613">
        <v>1317</v>
      </c>
      <c r="D613" t="s">
        <v>357</v>
      </c>
      <c r="E613" t="s">
        <v>29</v>
      </c>
      <c r="F613" t="s">
        <v>325</v>
      </c>
      <c r="G613" t="s">
        <v>1497</v>
      </c>
      <c r="H613" t="str">
        <f>"00530667"</f>
        <v>00530667</v>
      </c>
      <c r="I613">
        <v>25.6</v>
      </c>
      <c r="J613">
        <v>0</v>
      </c>
      <c r="K613">
        <v>8</v>
      </c>
      <c r="N613">
        <v>8</v>
      </c>
      <c r="O613">
        <v>4</v>
      </c>
      <c r="P613">
        <v>2</v>
      </c>
      <c r="Q613">
        <v>39.6</v>
      </c>
      <c r="R613">
        <v>60</v>
      </c>
      <c r="S613">
        <v>60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60</v>
      </c>
      <c r="AA613">
        <v>0</v>
      </c>
      <c r="AB613">
        <v>0</v>
      </c>
      <c r="AD613">
        <v>99.6</v>
      </c>
    </row>
    <row r="614" spans="1:30" x14ac:dyDescent="0.3">
      <c r="A614" s="4">
        <v>625</v>
      </c>
      <c r="B614" s="5">
        <v>607</v>
      </c>
      <c r="C614">
        <v>4119</v>
      </c>
      <c r="D614" t="s">
        <v>1498</v>
      </c>
      <c r="E614" t="s">
        <v>1499</v>
      </c>
      <c r="F614" t="s">
        <v>62</v>
      </c>
      <c r="G614" t="s">
        <v>1500</v>
      </c>
      <c r="H614" t="str">
        <f>"00529621"</f>
        <v>00529621</v>
      </c>
      <c r="I614">
        <v>14.4</v>
      </c>
      <c r="J614">
        <v>0</v>
      </c>
      <c r="M614">
        <v>8</v>
      </c>
      <c r="N614">
        <v>8</v>
      </c>
      <c r="O614">
        <v>4</v>
      </c>
      <c r="P614">
        <v>2</v>
      </c>
      <c r="Q614">
        <v>28.4</v>
      </c>
      <c r="R614">
        <v>71</v>
      </c>
      <c r="S614">
        <v>71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71</v>
      </c>
      <c r="AA614">
        <v>0</v>
      </c>
      <c r="AB614">
        <v>0</v>
      </c>
      <c r="AD614">
        <v>99.4</v>
      </c>
    </row>
    <row r="615" spans="1:30" x14ac:dyDescent="0.3">
      <c r="A615" s="4">
        <v>626</v>
      </c>
      <c r="B615" s="5">
        <v>608</v>
      </c>
      <c r="C615">
        <v>1105</v>
      </c>
      <c r="D615" t="s">
        <v>1501</v>
      </c>
      <c r="E615" t="s">
        <v>1502</v>
      </c>
      <c r="F615" t="s">
        <v>1503</v>
      </c>
      <c r="G615" t="s">
        <v>1504</v>
      </c>
      <c r="H615" t="str">
        <f>"00502038"</f>
        <v>00502038</v>
      </c>
      <c r="I615">
        <v>50.4</v>
      </c>
      <c r="J615">
        <v>0</v>
      </c>
      <c r="N615">
        <v>0</v>
      </c>
      <c r="O615">
        <v>4</v>
      </c>
      <c r="P615">
        <v>0</v>
      </c>
      <c r="Q615">
        <v>54.4</v>
      </c>
      <c r="R615">
        <v>18</v>
      </c>
      <c r="S615">
        <v>18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18</v>
      </c>
      <c r="AA615">
        <v>0</v>
      </c>
      <c r="AB615">
        <v>26.8</v>
      </c>
      <c r="AD615">
        <v>99.2</v>
      </c>
    </row>
    <row r="616" spans="1:30" x14ac:dyDescent="0.3">
      <c r="A616" s="4">
        <v>627</v>
      </c>
      <c r="B616" s="5">
        <v>609</v>
      </c>
      <c r="C616">
        <v>1138</v>
      </c>
      <c r="D616" t="s">
        <v>1505</v>
      </c>
      <c r="E616" t="s">
        <v>780</v>
      </c>
      <c r="F616" t="s">
        <v>20</v>
      </c>
      <c r="G616" t="s">
        <v>1506</v>
      </c>
      <c r="H616" t="str">
        <f>"201604001843"</f>
        <v>201604001843</v>
      </c>
      <c r="I616">
        <v>43.2</v>
      </c>
      <c r="J616">
        <v>10</v>
      </c>
      <c r="M616">
        <v>4</v>
      </c>
      <c r="N616">
        <v>4</v>
      </c>
      <c r="O616">
        <v>4</v>
      </c>
      <c r="P616">
        <v>2</v>
      </c>
      <c r="Q616">
        <v>63.2</v>
      </c>
      <c r="R616">
        <v>36</v>
      </c>
      <c r="S616">
        <v>36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36</v>
      </c>
      <c r="AA616">
        <v>0</v>
      </c>
      <c r="AB616">
        <v>0</v>
      </c>
      <c r="AD616">
        <v>99.2</v>
      </c>
    </row>
    <row r="617" spans="1:30" x14ac:dyDescent="0.3">
      <c r="A617" s="4">
        <v>628</v>
      </c>
      <c r="B617" s="5">
        <v>610</v>
      </c>
      <c r="C617">
        <v>3523</v>
      </c>
      <c r="D617" t="s">
        <v>1507</v>
      </c>
      <c r="E617" t="s">
        <v>1508</v>
      </c>
      <c r="F617" t="s">
        <v>782</v>
      </c>
      <c r="G617" t="s">
        <v>1509</v>
      </c>
      <c r="H617" t="str">
        <f>"200802005429"</f>
        <v>200802005429</v>
      </c>
      <c r="I617">
        <v>37.119999999999997</v>
      </c>
      <c r="J617">
        <v>0</v>
      </c>
      <c r="M617">
        <v>4</v>
      </c>
      <c r="N617">
        <v>4</v>
      </c>
      <c r="O617">
        <v>4</v>
      </c>
      <c r="P617">
        <v>2</v>
      </c>
      <c r="Q617">
        <v>47.12</v>
      </c>
      <c r="R617">
        <v>43</v>
      </c>
      <c r="S617">
        <v>43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43</v>
      </c>
      <c r="AA617">
        <v>9</v>
      </c>
      <c r="AB617">
        <v>0</v>
      </c>
      <c r="AD617">
        <v>99.12</v>
      </c>
    </row>
    <row r="618" spans="1:30" x14ac:dyDescent="0.3">
      <c r="A618" s="4">
        <v>629</v>
      </c>
      <c r="B618" s="5">
        <v>611</v>
      </c>
      <c r="C618">
        <v>2716</v>
      </c>
      <c r="D618" t="s">
        <v>1510</v>
      </c>
      <c r="E618" t="s">
        <v>110</v>
      </c>
      <c r="F618" t="s">
        <v>1511</v>
      </c>
      <c r="G618" t="s">
        <v>1512</v>
      </c>
      <c r="H618" t="str">
        <f>"00164081"</f>
        <v>00164081</v>
      </c>
      <c r="I618">
        <v>37</v>
      </c>
      <c r="J618">
        <v>0</v>
      </c>
      <c r="K618">
        <v>8</v>
      </c>
      <c r="N618">
        <v>8</v>
      </c>
      <c r="O618">
        <v>4</v>
      </c>
      <c r="P618">
        <v>2</v>
      </c>
      <c r="Q618">
        <v>51</v>
      </c>
      <c r="R618">
        <v>42</v>
      </c>
      <c r="S618">
        <v>42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42</v>
      </c>
      <c r="AA618">
        <v>6</v>
      </c>
      <c r="AB618">
        <v>0</v>
      </c>
      <c r="AD618">
        <v>99</v>
      </c>
    </row>
    <row r="619" spans="1:30" x14ac:dyDescent="0.3">
      <c r="A619" s="4">
        <v>630</v>
      </c>
      <c r="B619" s="5">
        <v>612</v>
      </c>
      <c r="C619">
        <v>2955</v>
      </c>
      <c r="D619" t="s">
        <v>1513</v>
      </c>
      <c r="E619" t="s">
        <v>54</v>
      </c>
      <c r="F619" t="s">
        <v>158</v>
      </c>
      <c r="G619" t="s">
        <v>1514</v>
      </c>
      <c r="H619" t="str">
        <f>"00486637"</f>
        <v>00486637</v>
      </c>
      <c r="I619">
        <v>28</v>
      </c>
      <c r="J619">
        <v>0</v>
      </c>
      <c r="N619">
        <v>0</v>
      </c>
      <c r="O619">
        <v>4</v>
      </c>
      <c r="P619">
        <v>2</v>
      </c>
      <c r="Q619">
        <v>34</v>
      </c>
      <c r="R619">
        <v>65</v>
      </c>
      <c r="S619">
        <v>65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65</v>
      </c>
      <c r="AA619">
        <v>0</v>
      </c>
      <c r="AB619">
        <v>0</v>
      </c>
      <c r="AD619">
        <v>99</v>
      </c>
    </row>
    <row r="620" spans="1:30" x14ac:dyDescent="0.3">
      <c r="A620" s="4">
        <v>631</v>
      </c>
      <c r="B620" s="5">
        <v>613</v>
      </c>
      <c r="C620">
        <v>791</v>
      </c>
      <c r="D620" t="s">
        <v>1515</v>
      </c>
      <c r="E620" t="s">
        <v>255</v>
      </c>
      <c r="F620" t="s">
        <v>91</v>
      </c>
      <c r="G620" t="s">
        <v>1516</v>
      </c>
      <c r="H620" t="str">
        <f>"00187255"</f>
        <v>00187255</v>
      </c>
      <c r="I620">
        <v>20.8</v>
      </c>
      <c r="J620">
        <v>0</v>
      </c>
      <c r="M620">
        <v>4</v>
      </c>
      <c r="N620">
        <v>4</v>
      </c>
      <c r="O620">
        <v>4</v>
      </c>
      <c r="P620">
        <v>2</v>
      </c>
      <c r="Q620">
        <v>30.8</v>
      </c>
      <c r="R620">
        <v>36</v>
      </c>
      <c r="S620">
        <v>36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36</v>
      </c>
      <c r="AA620">
        <v>0</v>
      </c>
      <c r="AB620">
        <v>32</v>
      </c>
      <c r="AD620">
        <v>98.8</v>
      </c>
    </row>
    <row r="621" spans="1:30" x14ac:dyDescent="0.3">
      <c r="A621" s="4">
        <v>632</v>
      </c>
      <c r="B621" s="5">
        <v>614</v>
      </c>
      <c r="C621">
        <v>2348</v>
      </c>
      <c r="D621" t="s">
        <v>1517</v>
      </c>
      <c r="E621" t="s">
        <v>563</v>
      </c>
      <c r="F621" t="s">
        <v>79</v>
      </c>
      <c r="G621" t="s">
        <v>1518</v>
      </c>
      <c r="H621" t="str">
        <f>"00147368"</f>
        <v>00147368</v>
      </c>
      <c r="I621">
        <v>64.8</v>
      </c>
      <c r="J621">
        <v>0</v>
      </c>
      <c r="M621">
        <v>4</v>
      </c>
      <c r="N621">
        <v>4</v>
      </c>
      <c r="O621">
        <v>4</v>
      </c>
      <c r="P621">
        <v>2</v>
      </c>
      <c r="Q621">
        <v>74.8</v>
      </c>
      <c r="R621">
        <v>18</v>
      </c>
      <c r="S621">
        <v>18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18</v>
      </c>
      <c r="AA621">
        <v>6</v>
      </c>
      <c r="AB621">
        <v>0</v>
      </c>
      <c r="AD621">
        <v>98.8</v>
      </c>
    </row>
    <row r="622" spans="1:30" x14ac:dyDescent="0.3">
      <c r="A622" s="4">
        <v>633</v>
      </c>
      <c r="B622" s="5">
        <v>615</v>
      </c>
      <c r="C622">
        <v>1714</v>
      </c>
      <c r="D622" t="s">
        <v>1519</v>
      </c>
      <c r="E622" t="s">
        <v>19</v>
      </c>
      <c r="F622" t="s">
        <v>20</v>
      </c>
      <c r="G622" t="s">
        <v>1520</v>
      </c>
      <c r="H622" t="str">
        <f>"201507001728"</f>
        <v>201507001728</v>
      </c>
      <c r="I622">
        <v>37.799999999999997</v>
      </c>
      <c r="J622">
        <v>0</v>
      </c>
      <c r="K622">
        <v>8</v>
      </c>
      <c r="N622">
        <v>8</v>
      </c>
      <c r="O622">
        <v>0</v>
      </c>
      <c r="P622">
        <v>0</v>
      </c>
      <c r="Q622">
        <v>45.8</v>
      </c>
      <c r="R622">
        <v>47</v>
      </c>
      <c r="S622">
        <v>47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47</v>
      </c>
      <c r="AA622">
        <v>6</v>
      </c>
      <c r="AB622">
        <v>0</v>
      </c>
      <c r="AD622">
        <v>98.8</v>
      </c>
    </row>
    <row r="623" spans="1:30" x14ac:dyDescent="0.3">
      <c r="A623" s="4">
        <v>634</v>
      </c>
      <c r="B623" s="5">
        <v>616</v>
      </c>
      <c r="C623">
        <v>4293</v>
      </c>
      <c r="D623" t="s">
        <v>1521</v>
      </c>
      <c r="E623" t="s">
        <v>161</v>
      </c>
      <c r="F623" t="s">
        <v>20</v>
      </c>
      <c r="G623" t="s">
        <v>1522</v>
      </c>
      <c r="H623" t="str">
        <f>"00519812"</f>
        <v>00519812</v>
      </c>
      <c r="I623">
        <v>38.799999999999997</v>
      </c>
      <c r="J623">
        <v>0</v>
      </c>
      <c r="N623">
        <v>0</v>
      </c>
      <c r="O623">
        <v>4</v>
      </c>
      <c r="P623">
        <v>0</v>
      </c>
      <c r="Q623">
        <v>42.8</v>
      </c>
      <c r="R623">
        <v>53</v>
      </c>
      <c r="S623">
        <v>53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53</v>
      </c>
      <c r="AA623">
        <v>3</v>
      </c>
      <c r="AB623">
        <v>0</v>
      </c>
      <c r="AD623">
        <v>98.8</v>
      </c>
    </row>
    <row r="624" spans="1:30" x14ac:dyDescent="0.3">
      <c r="A624" s="4">
        <v>635</v>
      </c>
      <c r="B624" s="5">
        <v>617</v>
      </c>
      <c r="C624">
        <v>2470</v>
      </c>
      <c r="D624" t="s">
        <v>1523</v>
      </c>
      <c r="E624" t="s">
        <v>1524</v>
      </c>
      <c r="F624" t="s">
        <v>652</v>
      </c>
      <c r="G624">
        <v>368997</v>
      </c>
      <c r="H624" t="str">
        <f>"00460113"</f>
        <v>00460113</v>
      </c>
      <c r="I624">
        <v>64.8</v>
      </c>
      <c r="J624">
        <v>10</v>
      </c>
      <c r="M624">
        <v>4</v>
      </c>
      <c r="N624">
        <v>4</v>
      </c>
      <c r="O624">
        <v>4</v>
      </c>
      <c r="P624">
        <v>2</v>
      </c>
      <c r="Q624">
        <v>84.8</v>
      </c>
      <c r="R624">
        <v>14</v>
      </c>
      <c r="S624">
        <v>14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14</v>
      </c>
      <c r="AA624">
        <v>0</v>
      </c>
      <c r="AB624">
        <v>0</v>
      </c>
      <c r="AD624">
        <v>98.8</v>
      </c>
    </row>
    <row r="625" spans="1:30" x14ac:dyDescent="0.3">
      <c r="A625" s="4">
        <v>636</v>
      </c>
      <c r="B625" s="5">
        <v>618</v>
      </c>
      <c r="C625">
        <v>1442</v>
      </c>
      <c r="D625" t="s">
        <v>1525</v>
      </c>
      <c r="E625" t="s">
        <v>17</v>
      </c>
      <c r="F625" t="s">
        <v>1526</v>
      </c>
      <c r="G625" t="s">
        <v>1527</v>
      </c>
      <c r="H625" t="str">
        <f>"00486077"</f>
        <v>00486077</v>
      </c>
      <c r="I625">
        <v>28.8</v>
      </c>
      <c r="J625">
        <v>0</v>
      </c>
      <c r="L625">
        <v>6</v>
      </c>
      <c r="N625">
        <v>6</v>
      </c>
      <c r="O625">
        <v>4</v>
      </c>
      <c r="P625">
        <v>2</v>
      </c>
      <c r="Q625">
        <v>40.799999999999997</v>
      </c>
      <c r="R625">
        <v>58</v>
      </c>
      <c r="S625">
        <v>58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58</v>
      </c>
      <c r="AA625">
        <v>0</v>
      </c>
      <c r="AB625">
        <v>0</v>
      </c>
      <c r="AD625">
        <v>98.8</v>
      </c>
    </row>
    <row r="626" spans="1:30" x14ac:dyDescent="0.3">
      <c r="A626" s="4">
        <v>637</v>
      </c>
      <c r="B626" s="5">
        <v>619</v>
      </c>
      <c r="C626">
        <v>1078</v>
      </c>
      <c r="D626" t="s">
        <v>1528</v>
      </c>
      <c r="E626" t="s">
        <v>178</v>
      </c>
      <c r="F626" t="s">
        <v>179</v>
      </c>
      <c r="G626" t="s">
        <v>1529</v>
      </c>
      <c r="H626" t="str">
        <f>"00232897"</f>
        <v>00232897</v>
      </c>
      <c r="I626">
        <v>57.6</v>
      </c>
      <c r="J626">
        <v>10</v>
      </c>
      <c r="M626">
        <v>4</v>
      </c>
      <c r="N626">
        <v>4</v>
      </c>
      <c r="O626">
        <v>4</v>
      </c>
      <c r="P626">
        <v>0</v>
      </c>
      <c r="Q626">
        <v>75.599999999999994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3</v>
      </c>
      <c r="AB626">
        <v>20</v>
      </c>
      <c r="AD626">
        <v>98.6</v>
      </c>
    </row>
    <row r="627" spans="1:30" x14ac:dyDescent="0.3">
      <c r="A627" s="4">
        <v>638</v>
      </c>
      <c r="B627" s="5">
        <v>620</v>
      </c>
      <c r="C627">
        <v>603</v>
      </c>
      <c r="D627" t="s">
        <v>1530</v>
      </c>
      <c r="E627" t="s">
        <v>1531</v>
      </c>
      <c r="F627" t="s">
        <v>17</v>
      </c>
      <c r="G627" t="s">
        <v>1532</v>
      </c>
      <c r="H627" t="str">
        <f>"200910000184"</f>
        <v>200910000184</v>
      </c>
      <c r="I627">
        <v>57.6</v>
      </c>
      <c r="J627">
        <v>0</v>
      </c>
      <c r="K627">
        <v>8</v>
      </c>
      <c r="L627">
        <v>6</v>
      </c>
      <c r="N627">
        <v>14</v>
      </c>
      <c r="O627">
        <v>4</v>
      </c>
      <c r="P627">
        <v>2</v>
      </c>
      <c r="Q627">
        <v>77.599999999999994</v>
      </c>
      <c r="R627">
        <v>8</v>
      </c>
      <c r="S627">
        <v>8</v>
      </c>
      <c r="T627">
        <v>0</v>
      </c>
      <c r="U627">
        <v>0</v>
      </c>
      <c r="V627">
        <v>7</v>
      </c>
      <c r="W627">
        <v>10</v>
      </c>
      <c r="X627">
        <v>0</v>
      </c>
      <c r="Y627">
        <v>0</v>
      </c>
      <c r="Z627">
        <v>18</v>
      </c>
      <c r="AA627">
        <v>3</v>
      </c>
      <c r="AB627">
        <v>0</v>
      </c>
      <c r="AD627">
        <v>98.6</v>
      </c>
    </row>
    <row r="628" spans="1:30" x14ac:dyDescent="0.3">
      <c r="A628" s="4">
        <v>639</v>
      </c>
      <c r="B628" s="5">
        <v>621</v>
      </c>
      <c r="C628">
        <v>4493</v>
      </c>
      <c r="D628" t="s">
        <v>1533</v>
      </c>
      <c r="E628" t="s">
        <v>29</v>
      </c>
      <c r="F628" t="s">
        <v>38</v>
      </c>
      <c r="G628" t="s">
        <v>1534</v>
      </c>
      <c r="H628" t="str">
        <f>"00499783"</f>
        <v>00499783</v>
      </c>
      <c r="I628">
        <v>57.6</v>
      </c>
      <c r="J628">
        <v>0</v>
      </c>
      <c r="N628">
        <v>0</v>
      </c>
      <c r="O628">
        <v>4</v>
      </c>
      <c r="P628">
        <v>0</v>
      </c>
      <c r="Q628">
        <v>61.6</v>
      </c>
      <c r="R628">
        <v>34</v>
      </c>
      <c r="S628">
        <v>34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34</v>
      </c>
      <c r="AA628">
        <v>3</v>
      </c>
      <c r="AB628">
        <v>0</v>
      </c>
      <c r="AD628">
        <v>98.6</v>
      </c>
    </row>
    <row r="629" spans="1:30" x14ac:dyDescent="0.3">
      <c r="A629" s="4">
        <v>640</v>
      </c>
      <c r="B629" s="5">
        <v>622</v>
      </c>
      <c r="C629">
        <v>2522</v>
      </c>
      <c r="D629" t="s">
        <v>1535</v>
      </c>
      <c r="E629" t="s">
        <v>41</v>
      </c>
      <c r="F629" t="s">
        <v>81</v>
      </c>
      <c r="G629" t="s">
        <v>1536</v>
      </c>
      <c r="H629" t="str">
        <f>"00518826"</f>
        <v>00518826</v>
      </c>
      <c r="I629">
        <v>21.6</v>
      </c>
      <c r="J629">
        <v>0</v>
      </c>
      <c r="K629">
        <v>8</v>
      </c>
      <c r="N629">
        <v>8</v>
      </c>
      <c r="O629">
        <v>4</v>
      </c>
      <c r="P629">
        <v>2</v>
      </c>
      <c r="Q629">
        <v>35.6</v>
      </c>
      <c r="R629">
        <v>60</v>
      </c>
      <c r="S629">
        <v>60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60</v>
      </c>
      <c r="AA629">
        <v>3</v>
      </c>
      <c r="AB629">
        <v>0</v>
      </c>
      <c r="AD629">
        <v>98.6</v>
      </c>
    </row>
    <row r="630" spans="1:30" x14ac:dyDescent="0.3">
      <c r="A630" s="4">
        <v>641</v>
      </c>
      <c r="B630" s="5">
        <v>623</v>
      </c>
      <c r="C630">
        <v>3729</v>
      </c>
      <c r="D630" t="s">
        <v>221</v>
      </c>
      <c r="E630" t="s">
        <v>100</v>
      </c>
      <c r="F630" t="s">
        <v>117</v>
      </c>
      <c r="G630" t="s">
        <v>1537</v>
      </c>
      <c r="H630" t="str">
        <f>"00158462"</f>
        <v>00158462</v>
      </c>
      <c r="I630">
        <v>30.56</v>
      </c>
      <c r="J630">
        <v>0</v>
      </c>
      <c r="M630">
        <v>4</v>
      </c>
      <c r="N630">
        <v>4</v>
      </c>
      <c r="O630">
        <v>4</v>
      </c>
      <c r="P630">
        <v>2</v>
      </c>
      <c r="Q630">
        <v>40.56</v>
      </c>
      <c r="R630">
        <v>55</v>
      </c>
      <c r="S630">
        <v>55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55</v>
      </c>
      <c r="AA630">
        <v>3</v>
      </c>
      <c r="AB630">
        <v>0</v>
      </c>
      <c r="AD630">
        <v>98.56</v>
      </c>
    </row>
    <row r="631" spans="1:30" x14ac:dyDescent="0.3">
      <c r="A631" s="4">
        <v>642</v>
      </c>
      <c r="B631" s="5">
        <v>624</v>
      </c>
      <c r="C631">
        <v>3656</v>
      </c>
      <c r="D631" t="s">
        <v>1538</v>
      </c>
      <c r="E631" t="s">
        <v>265</v>
      </c>
      <c r="F631" t="s">
        <v>1539</v>
      </c>
      <c r="G631" t="s">
        <v>1540</v>
      </c>
      <c r="H631" t="str">
        <f>"00485995"</f>
        <v>00485995</v>
      </c>
      <c r="I631">
        <v>39.56</v>
      </c>
      <c r="J631">
        <v>0</v>
      </c>
      <c r="N631">
        <v>0</v>
      </c>
      <c r="O631">
        <v>4</v>
      </c>
      <c r="P631">
        <v>0</v>
      </c>
      <c r="Q631">
        <v>43.56</v>
      </c>
      <c r="R631">
        <v>55</v>
      </c>
      <c r="S631">
        <v>55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55</v>
      </c>
      <c r="AA631">
        <v>0</v>
      </c>
      <c r="AB631">
        <v>0</v>
      </c>
      <c r="AD631">
        <v>98.56</v>
      </c>
    </row>
    <row r="632" spans="1:30" x14ac:dyDescent="0.3">
      <c r="A632" s="4">
        <v>643</v>
      </c>
      <c r="B632" s="5">
        <v>625</v>
      </c>
      <c r="C632">
        <v>3882</v>
      </c>
      <c r="D632" t="s">
        <v>1541</v>
      </c>
      <c r="E632" t="s">
        <v>1542</v>
      </c>
      <c r="F632" t="s">
        <v>136</v>
      </c>
      <c r="G632" t="s">
        <v>1543</v>
      </c>
      <c r="H632" t="str">
        <f>"00529989"</f>
        <v>00529989</v>
      </c>
      <c r="I632">
        <v>37.44</v>
      </c>
      <c r="J632">
        <v>0</v>
      </c>
      <c r="N632">
        <v>0</v>
      </c>
      <c r="O632">
        <v>0</v>
      </c>
      <c r="P632">
        <v>0</v>
      </c>
      <c r="Q632">
        <v>37.44</v>
      </c>
      <c r="R632">
        <v>55</v>
      </c>
      <c r="S632">
        <v>55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55</v>
      </c>
      <c r="AA632">
        <v>6</v>
      </c>
      <c r="AB632">
        <v>0</v>
      </c>
      <c r="AD632">
        <v>98.44</v>
      </c>
    </row>
    <row r="633" spans="1:30" x14ac:dyDescent="0.3">
      <c r="A633" s="4">
        <v>644</v>
      </c>
      <c r="B633" s="5">
        <v>626</v>
      </c>
      <c r="C633">
        <v>813</v>
      </c>
      <c r="D633" t="s">
        <v>1544</v>
      </c>
      <c r="E633" t="s">
        <v>149</v>
      </c>
      <c r="F633" t="s">
        <v>62</v>
      </c>
      <c r="G633" t="s">
        <v>1545</v>
      </c>
      <c r="H633" t="str">
        <f>"00531008"</f>
        <v>00531008</v>
      </c>
      <c r="I633">
        <v>50.4</v>
      </c>
      <c r="J633">
        <v>0</v>
      </c>
      <c r="M633">
        <v>4</v>
      </c>
      <c r="N633">
        <v>4</v>
      </c>
      <c r="O633">
        <v>4</v>
      </c>
      <c r="P633">
        <v>2</v>
      </c>
      <c r="Q633">
        <v>60.4</v>
      </c>
      <c r="R633">
        <v>18</v>
      </c>
      <c r="S633">
        <v>18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18</v>
      </c>
      <c r="AA633">
        <v>0</v>
      </c>
      <c r="AB633">
        <v>20</v>
      </c>
      <c r="AD633">
        <v>98.4</v>
      </c>
    </row>
    <row r="634" spans="1:30" x14ac:dyDescent="0.3">
      <c r="A634" s="4">
        <v>645</v>
      </c>
      <c r="B634" s="5">
        <v>627</v>
      </c>
      <c r="C634">
        <v>79</v>
      </c>
      <c r="D634" t="s">
        <v>1546</v>
      </c>
      <c r="E634" t="s">
        <v>1547</v>
      </c>
      <c r="F634" t="s">
        <v>30</v>
      </c>
      <c r="G634" t="s">
        <v>1548</v>
      </c>
      <c r="H634" t="str">
        <f>"00480747"</f>
        <v>00480747</v>
      </c>
      <c r="I634">
        <v>50.4</v>
      </c>
      <c r="J634">
        <v>0</v>
      </c>
      <c r="N634">
        <v>0</v>
      </c>
      <c r="O634">
        <v>0</v>
      </c>
      <c r="P634">
        <v>2</v>
      </c>
      <c r="Q634">
        <v>52.4</v>
      </c>
      <c r="R634">
        <v>37</v>
      </c>
      <c r="S634">
        <v>37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37</v>
      </c>
      <c r="AA634">
        <v>9</v>
      </c>
      <c r="AB634">
        <v>0</v>
      </c>
      <c r="AD634">
        <v>98.4</v>
      </c>
    </row>
    <row r="635" spans="1:30" x14ac:dyDescent="0.3">
      <c r="A635" s="4">
        <v>646</v>
      </c>
      <c r="B635" s="5">
        <v>628</v>
      </c>
      <c r="C635">
        <v>3294</v>
      </c>
      <c r="D635" t="s">
        <v>1549</v>
      </c>
      <c r="E635" t="s">
        <v>37</v>
      </c>
      <c r="F635" t="s">
        <v>343</v>
      </c>
      <c r="G635" t="s">
        <v>1550</v>
      </c>
      <c r="H635" t="str">
        <f>"00155759"</f>
        <v>00155759</v>
      </c>
      <c r="I635">
        <v>30.4</v>
      </c>
      <c r="J635">
        <v>0</v>
      </c>
      <c r="N635">
        <v>0</v>
      </c>
      <c r="O635">
        <v>4</v>
      </c>
      <c r="P635">
        <v>2</v>
      </c>
      <c r="Q635">
        <v>36.4</v>
      </c>
      <c r="R635">
        <v>59</v>
      </c>
      <c r="S635">
        <v>59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59</v>
      </c>
      <c r="AA635">
        <v>3</v>
      </c>
      <c r="AB635">
        <v>0</v>
      </c>
      <c r="AD635">
        <v>98.4</v>
      </c>
    </row>
    <row r="636" spans="1:30" x14ac:dyDescent="0.3">
      <c r="A636" s="4">
        <v>647</v>
      </c>
      <c r="B636" s="5">
        <v>629</v>
      </c>
      <c r="C636">
        <v>3640</v>
      </c>
      <c r="D636" t="s">
        <v>1551</v>
      </c>
      <c r="E636" t="s">
        <v>120</v>
      </c>
      <c r="F636" t="s">
        <v>20</v>
      </c>
      <c r="G636" t="s">
        <v>1552</v>
      </c>
      <c r="H636" t="str">
        <f>"201511043329"</f>
        <v>201511043329</v>
      </c>
      <c r="I636">
        <v>50.4</v>
      </c>
      <c r="J636">
        <v>10</v>
      </c>
      <c r="M636">
        <v>4</v>
      </c>
      <c r="N636">
        <v>4</v>
      </c>
      <c r="O636">
        <v>4</v>
      </c>
      <c r="P636">
        <v>2</v>
      </c>
      <c r="Q636">
        <v>70.400000000000006</v>
      </c>
      <c r="R636">
        <v>28</v>
      </c>
      <c r="S636">
        <v>28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28</v>
      </c>
      <c r="AA636">
        <v>0</v>
      </c>
      <c r="AB636">
        <v>0</v>
      </c>
      <c r="AD636">
        <v>98.4</v>
      </c>
    </row>
    <row r="637" spans="1:30" x14ac:dyDescent="0.3">
      <c r="A637" s="4">
        <v>648</v>
      </c>
      <c r="B637" s="5">
        <v>630</v>
      </c>
      <c r="C637">
        <v>1822</v>
      </c>
      <c r="D637" t="s">
        <v>1553</v>
      </c>
      <c r="E637" t="s">
        <v>479</v>
      </c>
      <c r="F637" t="s">
        <v>81</v>
      </c>
      <c r="G637" t="s">
        <v>1554</v>
      </c>
      <c r="H637" t="str">
        <f>"00503873"</f>
        <v>00503873</v>
      </c>
      <c r="I637">
        <v>50.4</v>
      </c>
      <c r="J637">
        <v>0</v>
      </c>
      <c r="M637">
        <v>4</v>
      </c>
      <c r="N637">
        <v>4</v>
      </c>
      <c r="O637">
        <v>4</v>
      </c>
      <c r="P637">
        <v>2</v>
      </c>
      <c r="Q637">
        <v>60.4</v>
      </c>
      <c r="R637">
        <v>38</v>
      </c>
      <c r="S637">
        <v>38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38</v>
      </c>
      <c r="AA637">
        <v>0</v>
      </c>
      <c r="AB637">
        <v>0</v>
      </c>
      <c r="AD637">
        <v>98.4</v>
      </c>
    </row>
    <row r="638" spans="1:30" x14ac:dyDescent="0.3">
      <c r="A638" s="4">
        <v>649</v>
      </c>
      <c r="B638" s="5">
        <v>631</v>
      </c>
      <c r="C638">
        <v>602</v>
      </c>
      <c r="D638" t="s">
        <v>1555</v>
      </c>
      <c r="E638" t="s">
        <v>29</v>
      </c>
      <c r="F638" t="s">
        <v>38</v>
      </c>
      <c r="G638" t="s">
        <v>1556</v>
      </c>
      <c r="H638" t="str">
        <f>"201512005090"</f>
        <v>201512005090</v>
      </c>
      <c r="I638">
        <v>43.2</v>
      </c>
      <c r="J638">
        <v>0</v>
      </c>
      <c r="M638">
        <v>4</v>
      </c>
      <c r="N638">
        <v>4</v>
      </c>
      <c r="O638">
        <v>4</v>
      </c>
      <c r="P638">
        <v>2</v>
      </c>
      <c r="Q638">
        <v>53.2</v>
      </c>
      <c r="R638">
        <v>39</v>
      </c>
      <c r="S638">
        <v>39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39</v>
      </c>
      <c r="AA638">
        <v>6</v>
      </c>
      <c r="AB638">
        <v>0</v>
      </c>
      <c r="AC638" t="s">
        <v>130</v>
      </c>
      <c r="AD638">
        <v>98.2</v>
      </c>
    </row>
    <row r="639" spans="1:30" x14ac:dyDescent="0.3">
      <c r="A639" s="4">
        <v>650</v>
      </c>
      <c r="B639" s="5">
        <v>632</v>
      </c>
      <c r="C639">
        <v>4145</v>
      </c>
      <c r="D639" t="s">
        <v>1557</v>
      </c>
      <c r="E639" t="s">
        <v>100</v>
      </c>
      <c r="F639" t="s">
        <v>91</v>
      </c>
      <c r="G639" t="s">
        <v>1558</v>
      </c>
      <c r="H639" t="str">
        <f>"00533073"</f>
        <v>00533073</v>
      </c>
      <c r="I639">
        <v>7.2</v>
      </c>
      <c r="J639">
        <v>0</v>
      </c>
      <c r="M639">
        <v>4</v>
      </c>
      <c r="N639">
        <v>4</v>
      </c>
      <c r="O639">
        <v>4</v>
      </c>
      <c r="P639">
        <v>0</v>
      </c>
      <c r="Q639">
        <v>15.2</v>
      </c>
      <c r="R639">
        <v>77</v>
      </c>
      <c r="S639">
        <v>77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77</v>
      </c>
      <c r="AA639">
        <v>6</v>
      </c>
      <c r="AB639">
        <v>0</v>
      </c>
      <c r="AD639">
        <v>98.2</v>
      </c>
    </row>
    <row r="640" spans="1:30" x14ac:dyDescent="0.3">
      <c r="A640" s="4">
        <v>651</v>
      </c>
      <c r="B640" s="5">
        <v>633</v>
      </c>
      <c r="C640">
        <v>1560</v>
      </c>
      <c r="D640" t="s">
        <v>1559</v>
      </c>
      <c r="E640" t="s">
        <v>97</v>
      </c>
      <c r="F640" t="s">
        <v>20</v>
      </c>
      <c r="G640" t="s">
        <v>1560</v>
      </c>
      <c r="H640" t="str">
        <f>"00480734"</f>
        <v>00480734</v>
      </c>
      <c r="I640">
        <v>43.2</v>
      </c>
      <c r="J640">
        <v>0</v>
      </c>
      <c r="K640">
        <v>8</v>
      </c>
      <c r="L640">
        <v>6</v>
      </c>
      <c r="N640">
        <v>14</v>
      </c>
      <c r="O640">
        <v>0</v>
      </c>
      <c r="P640">
        <v>2</v>
      </c>
      <c r="Q640">
        <v>59.2</v>
      </c>
      <c r="R640">
        <v>36</v>
      </c>
      <c r="S640">
        <v>36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36</v>
      </c>
      <c r="AA640">
        <v>3</v>
      </c>
      <c r="AB640">
        <v>0</v>
      </c>
      <c r="AD640">
        <v>98.2</v>
      </c>
    </row>
    <row r="641" spans="1:30" x14ac:dyDescent="0.3">
      <c r="A641" s="4">
        <v>652</v>
      </c>
      <c r="B641" s="5">
        <v>634</v>
      </c>
      <c r="C641">
        <v>178</v>
      </c>
      <c r="D641" t="s">
        <v>1561</v>
      </c>
      <c r="E641" t="s">
        <v>19</v>
      </c>
      <c r="F641" t="s">
        <v>30</v>
      </c>
      <c r="G641" t="s">
        <v>1562</v>
      </c>
      <c r="H641" t="str">
        <f>"00485521"</f>
        <v>00485521</v>
      </c>
      <c r="I641">
        <v>39.200000000000003</v>
      </c>
      <c r="J641">
        <v>10</v>
      </c>
      <c r="K641">
        <v>8</v>
      </c>
      <c r="N641">
        <v>8</v>
      </c>
      <c r="O641">
        <v>4</v>
      </c>
      <c r="P641">
        <v>2</v>
      </c>
      <c r="Q641">
        <v>63.2</v>
      </c>
      <c r="R641">
        <v>35</v>
      </c>
      <c r="S641">
        <v>35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35</v>
      </c>
      <c r="AA641">
        <v>0</v>
      </c>
      <c r="AB641">
        <v>0</v>
      </c>
      <c r="AD641">
        <v>98.2</v>
      </c>
    </row>
    <row r="642" spans="1:30" x14ac:dyDescent="0.3">
      <c r="A642" s="4">
        <v>653</v>
      </c>
      <c r="B642" s="5">
        <v>635</v>
      </c>
      <c r="C642">
        <v>4791</v>
      </c>
      <c r="D642" t="s">
        <v>1563</v>
      </c>
      <c r="E642" t="s">
        <v>22</v>
      </c>
      <c r="F642" t="s">
        <v>1076</v>
      </c>
      <c r="G642" t="s">
        <v>1564</v>
      </c>
      <c r="H642" t="str">
        <f>"00442453"</f>
        <v>00442453</v>
      </c>
      <c r="I642">
        <v>36</v>
      </c>
      <c r="J642">
        <v>0</v>
      </c>
      <c r="N642">
        <v>0</v>
      </c>
      <c r="O642">
        <v>4</v>
      </c>
      <c r="P642">
        <v>2</v>
      </c>
      <c r="Q642">
        <v>42</v>
      </c>
      <c r="R642">
        <v>53</v>
      </c>
      <c r="S642">
        <v>53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53</v>
      </c>
      <c r="AA642">
        <v>3</v>
      </c>
      <c r="AB642">
        <v>0</v>
      </c>
      <c r="AD642">
        <v>98</v>
      </c>
    </row>
    <row r="643" spans="1:30" x14ac:dyDescent="0.3">
      <c r="A643" s="4">
        <v>654</v>
      </c>
      <c r="B643" s="5">
        <v>636</v>
      </c>
      <c r="C643">
        <v>740</v>
      </c>
      <c r="D643" t="s">
        <v>1565</v>
      </c>
      <c r="E643" t="s">
        <v>1152</v>
      </c>
      <c r="F643" t="s">
        <v>1566</v>
      </c>
      <c r="G643" t="s">
        <v>1567</v>
      </c>
      <c r="H643" t="str">
        <f>"201208000139"</f>
        <v>201208000139</v>
      </c>
      <c r="I643">
        <v>64.8</v>
      </c>
      <c r="J643">
        <v>0</v>
      </c>
      <c r="L643">
        <v>6</v>
      </c>
      <c r="N643">
        <v>6</v>
      </c>
      <c r="O643">
        <v>4</v>
      </c>
      <c r="P643">
        <v>2</v>
      </c>
      <c r="Q643">
        <v>76.8</v>
      </c>
      <c r="R643">
        <v>18</v>
      </c>
      <c r="S643">
        <v>18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18</v>
      </c>
      <c r="AA643">
        <v>3</v>
      </c>
      <c r="AB643">
        <v>0</v>
      </c>
      <c r="AD643">
        <v>97.8</v>
      </c>
    </row>
    <row r="644" spans="1:30" x14ac:dyDescent="0.3">
      <c r="A644" s="4">
        <v>655</v>
      </c>
      <c r="B644" s="5">
        <v>637</v>
      </c>
      <c r="C644">
        <v>567</v>
      </c>
      <c r="D644" t="s">
        <v>1568</v>
      </c>
      <c r="E644" t="s">
        <v>400</v>
      </c>
      <c r="F644" t="s">
        <v>68</v>
      </c>
      <c r="G644" t="s">
        <v>1569</v>
      </c>
      <c r="H644" t="str">
        <f>"00298268"</f>
        <v>00298268</v>
      </c>
      <c r="I644">
        <v>28.8</v>
      </c>
      <c r="J644">
        <v>10</v>
      </c>
      <c r="K644">
        <v>8</v>
      </c>
      <c r="M644">
        <v>4</v>
      </c>
      <c r="N644">
        <v>12</v>
      </c>
      <c r="O644">
        <v>4</v>
      </c>
      <c r="P644">
        <v>2</v>
      </c>
      <c r="Q644">
        <v>56.8</v>
      </c>
      <c r="R644">
        <v>25</v>
      </c>
      <c r="S644">
        <v>25</v>
      </c>
      <c r="T644">
        <v>8</v>
      </c>
      <c r="U644">
        <v>16</v>
      </c>
      <c r="V644">
        <v>0</v>
      </c>
      <c r="W644">
        <v>0</v>
      </c>
      <c r="X644">
        <v>0</v>
      </c>
      <c r="Y644">
        <v>0</v>
      </c>
      <c r="Z644">
        <v>41</v>
      </c>
      <c r="AA644">
        <v>0</v>
      </c>
      <c r="AB644">
        <v>0</v>
      </c>
      <c r="AD644">
        <v>97.8</v>
      </c>
    </row>
    <row r="645" spans="1:30" x14ac:dyDescent="0.3">
      <c r="A645" s="4">
        <v>656</v>
      </c>
      <c r="B645" s="5">
        <v>638</v>
      </c>
      <c r="C645">
        <v>441</v>
      </c>
      <c r="D645" t="s">
        <v>1570</v>
      </c>
      <c r="E645" t="s">
        <v>110</v>
      </c>
      <c r="F645" t="s">
        <v>1121</v>
      </c>
      <c r="G645" t="s">
        <v>1571</v>
      </c>
      <c r="H645" t="str">
        <f>"00163611"</f>
        <v>00163611</v>
      </c>
      <c r="I645">
        <v>25.8</v>
      </c>
      <c r="J645">
        <v>10</v>
      </c>
      <c r="N645">
        <v>0</v>
      </c>
      <c r="O645">
        <v>0</v>
      </c>
      <c r="P645">
        <v>0</v>
      </c>
      <c r="Q645">
        <v>35.799999999999997</v>
      </c>
      <c r="R645">
        <v>62</v>
      </c>
      <c r="S645">
        <v>62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62</v>
      </c>
      <c r="AA645">
        <v>0</v>
      </c>
      <c r="AB645">
        <v>0</v>
      </c>
      <c r="AD645">
        <v>97.8</v>
      </c>
    </row>
    <row r="646" spans="1:30" x14ac:dyDescent="0.3">
      <c r="A646" s="4">
        <v>657</v>
      </c>
      <c r="B646" s="5">
        <v>639</v>
      </c>
      <c r="C646">
        <v>4684</v>
      </c>
      <c r="D646" t="s">
        <v>1284</v>
      </c>
      <c r="E646" t="s">
        <v>286</v>
      </c>
      <c r="F646" t="s">
        <v>81</v>
      </c>
      <c r="G646" t="s">
        <v>1572</v>
      </c>
      <c r="H646" t="str">
        <f>"00533720"</f>
        <v>00533720</v>
      </c>
      <c r="I646">
        <v>28.8</v>
      </c>
      <c r="J646">
        <v>10</v>
      </c>
      <c r="M646">
        <v>4</v>
      </c>
      <c r="N646">
        <v>4</v>
      </c>
      <c r="O646">
        <v>4</v>
      </c>
      <c r="P646">
        <v>2</v>
      </c>
      <c r="Q646">
        <v>48.8</v>
      </c>
      <c r="R646">
        <v>16</v>
      </c>
      <c r="S646">
        <v>16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16</v>
      </c>
      <c r="AA646">
        <v>6</v>
      </c>
      <c r="AB646">
        <v>26.8</v>
      </c>
      <c r="AD646">
        <v>97.6</v>
      </c>
    </row>
    <row r="647" spans="1:30" x14ac:dyDescent="0.3">
      <c r="A647" s="4">
        <v>658</v>
      </c>
      <c r="B647" s="5">
        <v>640</v>
      </c>
      <c r="C647">
        <v>453</v>
      </c>
      <c r="D647" t="s">
        <v>1573</v>
      </c>
      <c r="E647" t="s">
        <v>29</v>
      </c>
      <c r="F647" t="s">
        <v>20</v>
      </c>
      <c r="G647" t="s">
        <v>1574</v>
      </c>
      <c r="H647" t="str">
        <f>"00528642"</f>
        <v>00528642</v>
      </c>
      <c r="I647">
        <v>57.6</v>
      </c>
      <c r="J647">
        <v>10</v>
      </c>
      <c r="N647">
        <v>0</v>
      </c>
      <c r="O647">
        <v>4</v>
      </c>
      <c r="P647">
        <v>2</v>
      </c>
      <c r="Q647">
        <v>73.599999999999994</v>
      </c>
      <c r="R647">
        <v>18</v>
      </c>
      <c r="S647">
        <v>18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18</v>
      </c>
      <c r="AA647">
        <v>6</v>
      </c>
      <c r="AB647">
        <v>0</v>
      </c>
      <c r="AD647">
        <v>97.6</v>
      </c>
    </row>
    <row r="648" spans="1:30" x14ac:dyDescent="0.3">
      <c r="A648" s="4">
        <v>659</v>
      </c>
      <c r="B648" s="5">
        <v>641</v>
      </c>
      <c r="C648">
        <v>415</v>
      </c>
      <c r="D648" t="s">
        <v>1575</v>
      </c>
      <c r="E648" t="s">
        <v>1576</v>
      </c>
      <c r="F648" t="s">
        <v>243</v>
      </c>
      <c r="G648" t="s">
        <v>1577</v>
      </c>
      <c r="H648" t="str">
        <f>"201412005303"</f>
        <v>201412005303</v>
      </c>
      <c r="I648">
        <v>57.6</v>
      </c>
      <c r="J648">
        <v>0</v>
      </c>
      <c r="K648">
        <v>16</v>
      </c>
      <c r="N648">
        <v>16</v>
      </c>
      <c r="O648">
        <v>4</v>
      </c>
      <c r="P648">
        <v>2</v>
      </c>
      <c r="Q648">
        <v>79.599999999999994</v>
      </c>
      <c r="R648">
        <v>18</v>
      </c>
      <c r="S648">
        <v>18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18</v>
      </c>
      <c r="AA648">
        <v>0</v>
      </c>
      <c r="AB648">
        <v>0</v>
      </c>
      <c r="AD648">
        <v>97.6</v>
      </c>
    </row>
    <row r="649" spans="1:30" x14ac:dyDescent="0.3">
      <c r="A649" s="4">
        <v>660</v>
      </c>
      <c r="B649" s="5">
        <v>642</v>
      </c>
      <c r="C649">
        <v>4456</v>
      </c>
      <c r="D649" t="s">
        <v>1578</v>
      </c>
      <c r="E649" t="s">
        <v>161</v>
      </c>
      <c r="F649" t="s">
        <v>325</v>
      </c>
      <c r="G649" t="s">
        <v>1579</v>
      </c>
      <c r="H649" t="str">
        <f>"00163717"</f>
        <v>00163717</v>
      </c>
      <c r="I649">
        <v>57.6</v>
      </c>
      <c r="J649">
        <v>10</v>
      </c>
      <c r="N649">
        <v>0</v>
      </c>
      <c r="O649">
        <v>0</v>
      </c>
      <c r="P649">
        <v>2</v>
      </c>
      <c r="Q649">
        <v>69.599999999999994</v>
      </c>
      <c r="R649">
        <v>28</v>
      </c>
      <c r="S649">
        <v>28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28</v>
      </c>
      <c r="AA649">
        <v>0</v>
      </c>
      <c r="AB649">
        <v>0</v>
      </c>
      <c r="AD649">
        <v>97.6</v>
      </c>
    </row>
    <row r="650" spans="1:30" x14ac:dyDescent="0.3">
      <c r="A650" s="4">
        <v>661</v>
      </c>
      <c r="B650" s="5">
        <v>643</v>
      </c>
      <c r="C650">
        <v>3755</v>
      </c>
      <c r="D650" t="s">
        <v>1580</v>
      </c>
      <c r="E650" t="s">
        <v>71</v>
      </c>
      <c r="F650" t="s">
        <v>1581</v>
      </c>
      <c r="G650" t="s">
        <v>1582</v>
      </c>
      <c r="H650" t="str">
        <f>"00533300"</f>
        <v>00533300</v>
      </c>
      <c r="I650">
        <v>21.6</v>
      </c>
      <c r="J650">
        <v>0</v>
      </c>
      <c r="K650">
        <v>8</v>
      </c>
      <c r="N650">
        <v>8</v>
      </c>
      <c r="O650">
        <v>4</v>
      </c>
      <c r="P650">
        <v>2</v>
      </c>
      <c r="Q650">
        <v>35.6</v>
      </c>
      <c r="R650">
        <v>62</v>
      </c>
      <c r="S650">
        <v>62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62</v>
      </c>
      <c r="AA650">
        <v>0</v>
      </c>
      <c r="AB650">
        <v>0</v>
      </c>
      <c r="AD650">
        <v>97.6</v>
      </c>
    </row>
    <row r="651" spans="1:30" x14ac:dyDescent="0.3">
      <c r="A651" s="4">
        <v>662</v>
      </c>
      <c r="B651" s="5">
        <v>644</v>
      </c>
      <c r="C651">
        <v>1725</v>
      </c>
      <c r="D651" t="s">
        <v>1583</v>
      </c>
      <c r="E651" t="s">
        <v>550</v>
      </c>
      <c r="F651" t="s">
        <v>190</v>
      </c>
      <c r="G651" t="s">
        <v>1584</v>
      </c>
      <c r="H651" t="str">
        <f>"00531263"</f>
        <v>00531263</v>
      </c>
      <c r="I651">
        <v>21.6</v>
      </c>
      <c r="J651">
        <v>0</v>
      </c>
      <c r="M651">
        <v>4</v>
      </c>
      <c r="N651">
        <v>4</v>
      </c>
      <c r="O651">
        <v>4</v>
      </c>
      <c r="P651">
        <v>2</v>
      </c>
      <c r="Q651">
        <v>31.6</v>
      </c>
      <c r="R651">
        <v>66</v>
      </c>
      <c r="S651">
        <v>66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66</v>
      </c>
      <c r="AA651">
        <v>0</v>
      </c>
      <c r="AB651">
        <v>0</v>
      </c>
      <c r="AD651">
        <v>97.6</v>
      </c>
    </row>
    <row r="652" spans="1:30" x14ac:dyDescent="0.3">
      <c r="A652" s="4">
        <v>663</v>
      </c>
      <c r="B652" s="5">
        <v>645</v>
      </c>
      <c r="C652">
        <v>3986</v>
      </c>
      <c r="D652" t="s">
        <v>1585</v>
      </c>
      <c r="E652" t="s">
        <v>255</v>
      </c>
      <c r="F652" t="s">
        <v>1586</v>
      </c>
      <c r="G652" t="s">
        <v>1587</v>
      </c>
      <c r="H652" t="str">
        <f>"00200858"</f>
        <v>00200858</v>
      </c>
      <c r="I652">
        <v>38.56</v>
      </c>
      <c r="J652">
        <v>0</v>
      </c>
      <c r="N652">
        <v>0</v>
      </c>
      <c r="O652">
        <v>4</v>
      </c>
      <c r="P652">
        <v>0</v>
      </c>
      <c r="Q652">
        <v>42.56</v>
      </c>
      <c r="R652">
        <v>49</v>
      </c>
      <c r="S652">
        <v>49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49</v>
      </c>
      <c r="AA652">
        <v>6</v>
      </c>
      <c r="AB652">
        <v>0</v>
      </c>
      <c r="AD652">
        <v>97.56</v>
      </c>
    </row>
    <row r="653" spans="1:30" x14ac:dyDescent="0.3">
      <c r="A653" s="4">
        <v>664</v>
      </c>
      <c r="B653" s="5">
        <v>646</v>
      </c>
      <c r="C653">
        <v>1399</v>
      </c>
      <c r="D653" t="s">
        <v>1588</v>
      </c>
      <c r="E653" t="s">
        <v>29</v>
      </c>
      <c r="F653" t="s">
        <v>238</v>
      </c>
      <c r="G653" t="s">
        <v>1589</v>
      </c>
      <c r="H653" t="str">
        <f>"00504774"</f>
        <v>00504774</v>
      </c>
      <c r="I653">
        <v>21.44</v>
      </c>
      <c r="J653">
        <v>10</v>
      </c>
      <c r="L653">
        <v>6</v>
      </c>
      <c r="N653">
        <v>6</v>
      </c>
      <c r="O653">
        <v>4</v>
      </c>
      <c r="P653">
        <v>2</v>
      </c>
      <c r="Q653">
        <v>43.44</v>
      </c>
      <c r="R653">
        <v>54</v>
      </c>
      <c r="S653">
        <v>54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54</v>
      </c>
      <c r="AA653">
        <v>0</v>
      </c>
      <c r="AB653">
        <v>0</v>
      </c>
      <c r="AD653">
        <v>97.44</v>
      </c>
    </row>
    <row r="654" spans="1:30" x14ac:dyDescent="0.3">
      <c r="A654" s="4">
        <v>665</v>
      </c>
      <c r="B654" s="5">
        <v>647</v>
      </c>
      <c r="C654">
        <v>2609</v>
      </c>
      <c r="D654" t="s">
        <v>1590</v>
      </c>
      <c r="E654" t="s">
        <v>273</v>
      </c>
      <c r="F654" t="s">
        <v>892</v>
      </c>
      <c r="G654" t="s">
        <v>1591</v>
      </c>
      <c r="H654" t="str">
        <f>"00519255"</f>
        <v>00519255</v>
      </c>
      <c r="I654">
        <v>50.4</v>
      </c>
      <c r="J654">
        <v>0</v>
      </c>
      <c r="N654">
        <v>0</v>
      </c>
      <c r="O654">
        <v>4</v>
      </c>
      <c r="P654">
        <v>2</v>
      </c>
      <c r="Q654">
        <v>56.4</v>
      </c>
      <c r="R654">
        <v>35</v>
      </c>
      <c r="S654">
        <v>35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35</v>
      </c>
      <c r="AA654">
        <v>6</v>
      </c>
      <c r="AB654">
        <v>0</v>
      </c>
      <c r="AD654">
        <v>97.4</v>
      </c>
    </row>
    <row r="655" spans="1:30" x14ac:dyDescent="0.3">
      <c r="A655" s="4">
        <v>666</v>
      </c>
      <c r="B655" s="5">
        <v>648</v>
      </c>
      <c r="C655">
        <v>4162</v>
      </c>
      <c r="D655" t="s">
        <v>1592</v>
      </c>
      <c r="E655" t="s">
        <v>161</v>
      </c>
      <c r="F655" t="s">
        <v>1593</v>
      </c>
      <c r="G655" t="s">
        <v>1594</v>
      </c>
      <c r="H655" t="str">
        <f>"00478950"</f>
        <v>00478950</v>
      </c>
      <c r="I655">
        <v>50.4</v>
      </c>
      <c r="J655">
        <v>10</v>
      </c>
      <c r="M655">
        <v>4</v>
      </c>
      <c r="N655">
        <v>4</v>
      </c>
      <c r="O655">
        <v>4</v>
      </c>
      <c r="P655">
        <v>2</v>
      </c>
      <c r="Q655">
        <v>70.400000000000006</v>
      </c>
      <c r="R655">
        <v>27</v>
      </c>
      <c r="S655">
        <v>27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27</v>
      </c>
      <c r="AA655">
        <v>0</v>
      </c>
      <c r="AB655">
        <v>0</v>
      </c>
      <c r="AD655">
        <v>97.4</v>
      </c>
    </row>
    <row r="656" spans="1:30" x14ac:dyDescent="0.3">
      <c r="A656" s="4">
        <v>667</v>
      </c>
      <c r="B656" s="5">
        <v>649</v>
      </c>
      <c r="C656">
        <v>1633</v>
      </c>
      <c r="D656" t="s">
        <v>459</v>
      </c>
      <c r="E656" t="s">
        <v>132</v>
      </c>
      <c r="F656" t="s">
        <v>158</v>
      </c>
      <c r="G656" t="s">
        <v>1595</v>
      </c>
      <c r="H656" t="str">
        <f>"00514022"</f>
        <v>00514022</v>
      </c>
      <c r="I656">
        <v>29.32</v>
      </c>
      <c r="J656">
        <v>0</v>
      </c>
      <c r="K656">
        <v>8</v>
      </c>
      <c r="N656">
        <v>8</v>
      </c>
      <c r="O656">
        <v>4</v>
      </c>
      <c r="P656">
        <v>2</v>
      </c>
      <c r="Q656">
        <v>43.32</v>
      </c>
      <c r="R656">
        <v>51</v>
      </c>
      <c r="S656">
        <v>51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51</v>
      </c>
      <c r="AA656">
        <v>3</v>
      </c>
      <c r="AB656">
        <v>0</v>
      </c>
      <c r="AD656">
        <v>97.32</v>
      </c>
    </row>
    <row r="657" spans="1:30" x14ac:dyDescent="0.3">
      <c r="A657" s="4">
        <v>668</v>
      </c>
      <c r="B657" s="5">
        <v>650</v>
      </c>
      <c r="C657">
        <v>4855</v>
      </c>
      <c r="D657" t="s">
        <v>1596</v>
      </c>
      <c r="E657" t="s">
        <v>1597</v>
      </c>
      <c r="F657" t="s">
        <v>652</v>
      </c>
      <c r="G657" t="s">
        <v>1598</v>
      </c>
      <c r="H657" t="str">
        <f>"00017766"</f>
        <v>00017766</v>
      </c>
      <c r="I657">
        <v>50.4</v>
      </c>
      <c r="J657">
        <v>0</v>
      </c>
      <c r="M657">
        <v>4</v>
      </c>
      <c r="N657">
        <v>4</v>
      </c>
      <c r="O657">
        <v>4</v>
      </c>
      <c r="P657">
        <v>0</v>
      </c>
      <c r="Q657">
        <v>58.4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6</v>
      </c>
      <c r="AB657">
        <v>32.799999999999997</v>
      </c>
      <c r="AD657">
        <v>97.2</v>
      </c>
    </row>
    <row r="658" spans="1:30" x14ac:dyDescent="0.3">
      <c r="A658" s="4">
        <v>669</v>
      </c>
      <c r="B658" s="5">
        <v>651</v>
      </c>
      <c r="C658">
        <v>3228</v>
      </c>
      <c r="D658" t="s">
        <v>1599</v>
      </c>
      <c r="E658" t="s">
        <v>1600</v>
      </c>
      <c r="F658" t="s">
        <v>17</v>
      </c>
      <c r="G658" t="s">
        <v>1601</v>
      </c>
      <c r="H658" t="str">
        <f>"200712006012"</f>
        <v>200712006012</v>
      </c>
      <c r="I658">
        <v>43.2</v>
      </c>
      <c r="J658">
        <v>10</v>
      </c>
      <c r="K658">
        <v>8</v>
      </c>
      <c r="N658">
        <v>8</v>
      </c>
      <c r="O658">
        <v>4</v>
      </c>
      <c r="P658">
        <v>2</v>
      </c>
      <c r="Q658">
        <v>67.2</v>
      </c>
      <c r="R658">
        <v>27</v>
      </c>
      <c r="S658">
        <v>27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27</v>
      </c>
      <c r="AA658">
        <v>3</v>
      </c>
      <c r="AB658">
        <v>0</v>
      </c>
      <c r="AD658">
        <v>97.2</v>
      </c>
    </row>
    <row r="659" spans="1:30" x14ac:dyDescent="0.3">
      <c r="A659" s="4">
        <v>670</v>
      </c>
      <c r="B659" s="5">
        <v>652</v>
      </c>
      <c r="C659">
        <v>1833</v>
      </c>
      <c r="D659" t="s">
        <v>1602</v>
      </c>
      <c r="E659" t="s">
        <v>100</v>
      </c>
      <c r="F659" t="s">
        <v>243</v>
      </c>
      <c r="G659" t="s">
        <v>1603</v>
      </c>
      <c r="H659" t="str">
        <f>"00503741"</f>
        <v>00503741</v>
      </c>
      <c r="I659">
        <v>7.2</v>
      </c>
      <c r="J659">
        <v>10</v>
      </c>
      <c r="N659">
        <v>0</v>
      </c>
      <c r="O659">
        <v>4</v>
      </c>
      <c r="P659">
        <v>2</v>
      </c>
      <c r="Q659">
        <v>23.2</v>
      </c>
      <c r="R659">
        <v>71</v>
      </c>
      <c r="S659">
        <v>71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71</v>
      </c>
      <c r="AA659">
        <v>3</v>
      </c>
      <c r="AB659">
        <v>0</v>
      </c>
      <c r="AD659">
        <v>97.2</v>
      </c>
    </row>
    <row r="660" spans="1:30" x14ac:dyDescent="0.3">
      <c r="A660" s="4">
        <v>671</v>
      </c>
      <c r="B660" s="5">
        <v>653</v>
      </c>
      <c r="C660">
        <v>3762</v>
      </c>
      <c r="D660" t="s">
        <v>1604</v>
      </c>
      <c r="E660" t="s">
        <v>406</v>
      </c>
      <c r="F660" t="s">
        <v>17</v>
      </c>
      <c r="G660" t="s">
        <v>1605</v>
      </c>
      <c r="H660" t="str">
        <f>"00530960"</f>
        <v>00530960</v>
      </c>
      <c r="I660">
        <v>43.2</v>
      </c>
      <c r="J660">
        <v>0</v>
      </c>
      <c r="M660">
        <v>4</v>
      </c>
      <c r="N660">
        <v>4</v>
      </c>
      <c r="O660">
        <v>4</v>
      </c>
      <c r="P660">
        <v>0</v>
      </c>
      <c r="Q660">
        <v>51.2</v>
      </c>
      <c r="R660">
        <v>46</v>
      </c>
      <c r="S660">
        <v>46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46</v>
      </c>
      <c r="AA660">
        <v>0</v>
      </c>
      <c r="AB660">
        <v>0</v>
      </c>
      <c r="AD660">
        <v>97.2</v>
      </c>
    </row>
    <row r="661" spans="1:30" x14ac:dyDescent="0.3">
      <c r="A661" s="4">
        <v>672</v>
      </c>
      <c r="B661" s="5">
        <v>654</v>
      </c>
      <c r="C661">
        <v>1082</v>
      </c>
      <c r="D661" t="s">
        <v>1606</v>
      </c>
      <c r="E661" t="s">
        <v>789</v>
      </c>
      <c r="F661" t="s">
        <v>375</v>
      </c>
      <c r="G661" t="s">
        <v>1607</v>
      </c>
      <c r="H661" t="str">
        <f>"00480886"</f>
        <v>00480886</v>
      </c>
      <c r="I661">
        <v>38</v>
      </c>
      <c r="J661">
        <v>0</v>
      </c>
      <c r="L661">
        <v>12</v>
      </c>
      <c r="N661">
        <v>12</v>
      </c>
      <c r="O661">
        <v>4</v>
      </c>
      <c r="P661">
        <v>2</v>
      </c>
      <c r="Q661">
        <v>56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9</v>
      </c>
      <c r="AB661">
        <v>32</v>
      </c>
      <c r="AD661">
        <v>97</v>
      </c>
    </row>
    <row r="662" spans="1:30" x14ac:dyDescent="0.3">
      <c r="A662" s="4">
        <v>673</v>
      </c>
      <c r="B662" s="5">
        <v>655</v>
      </c>
      <c r="C662">
        <v>3996</v>
      </c>
      <c r="D662" t="s">
        <v>1608</v>
      </c>
      <c r="E662" t="s">
        <v>268</v>
      </c>
      <c r="F662" t="s">
        <v>81</v>
      </c>
      <c r="G662" t="s">
        <v>1609</v>
      </c>
      <c r="H662" t="str">
        <f>"00507006"</f>
        <v>00507006</v>
      </c>
      <c r="I662">
        <v>36</v>
      </c>
      <c r="J662">
        <v>0</v>
      </c>
      <c r="N662">
        <v>0</v>
      </c>
      <c r="O662">
        <v>4</v>
      </c>
      <c r="P662">
        <v>2</v>
      </c>
      <c r="Q662">
        <v>42</v>
      </c>
      <c r="R662">
        <v>35</v>
      </c>
      <c r="S662">
        <v>35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35</v>
      </c>
      <c r="AA662">
        <v>0</v>
      </c>
      <c r="AB662">
        <v>20</v>
      </c>
      <c r="AD662">
        <v>97</v>
      </c>
    </row>
    <row r="663" spans="1:30" x14ac:dyDescent="0.3">
      <c r="A663" s="4">
        <v>674</v>
      </c>
      <c r="B663" s="5">
        <v>656</v>
      </c>
      <c r="C663">
        <v>1746</v>
      </c>
      <c r="D663" t="s">
        <v>1604</v>
      </c>
      <c r="E663" t="s">
        <v>166</v>
      </c>
      <c r="F663" t="s">
        <v>17</v>
      </c>
      <c r="G663" t="s">
        <v>1610</v>
      </c>
      <c r="H663" t="str">
        <f>"00189344"</f>
        <v>00189344</v>
      </c>
      <c r="I663">
        <v>36</v>
      </c>
      <c r="J663">
        <v>0</v>
      </c>
      <c r="K663">
        <v>8</v>
      </c>
      <c r="N663">
        <v>8</v>
      </c>
      <c r="O663">
        <v>4</v>
      </c>
      <c r="P663">
        <v>2</v>
      </c>
      <c r="Q663">
        <v>50</v>
      </c>
      <c r="R663">
        <v>35</v>
      </c>
      <c r="S663">
        <v>35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35</v>
      </c>
      <c r="AA663">
        <v>12</v>
      </c>
      <c r="AB663">
        <v>0</v>
      </c>
      <c r="AD663">
        <v>97</v>
      </c>
    </row>
    <row r="664" spans="1:30" x14ac:dyDescent="0.3">
      <c r="A664" s="4">
        <v>675</v>
      </c>
      <c r="B664" s="5">
        <v>657</v>
      </c>
      <c r="C664">
        <v>2563</v>
      </c>
      <c r="D664" t="s">
        <v>1611</v>
      </c>
      <c r="E664" t="s">
        <v>166</v>
      </c>
      <c r="F664" t="s">
        <v>136</v>
      </c>
      <c r="G664" t="s">
        <v>1612</v>
      </c>
      <c r="H664" t="str">
        <f>"00532831"</f>
        <v>00532831</v>
      </c>
      <c r="I664">
        <v>32</v>
      </c>
      <c r="J664">
        <v>0</v>
      </c>
      <c r="N664">
        <v>0</v>
      </c>
      <c r="O664">
        <v>4</v>
      </c>
      <c r="P664">
        <v>2</v>
      </c>
      <c r="Q664">
        <v>38</v>
      </c>
      <c r="R664">
        <v>50</v>
      </c>
      <c r="S664">
        <v>50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50</v>
      </c>
      <c r="AA664">
        <v>9</v>
      </c>
      <c r="AB664">
        <v>0</v>
      </c>
      <c r="AD664">
        <v>97</v>
      </c>
    </row>
    <row r="665" spans="1:30" x14ac:dyDescent="0.3">
      <c r="A665" s="4">
        <v>676</v>
      </c>
      <c r="B665" s="5">
        <v>658</v>
      </c>
      <c r="C665">
        <v>1346</v>
      </c>
      <c r="D665" t="s">
        <v>1613</v>
      </c>
      <c r="E665" t="s">
        <v>33</v>
      </c>
      <c r="F665" t="s">
        <v>416</v>
      </c>
      <c r="G665" t="s">
        <v>1614</v>
      </c>
      <c r="H665" t="str">
        <f>"00532113"</f>
        <v>00532113</v>
      </c>
      <c r="I665">
        <v>28</v>
      </c>
      <c r="J665">
        <v>10</v>
      </c>
      <c r="N665">
        <v>0</v>
      </c>
      <c r="O665">
        <v>4</v>
      </c>
      <c r="P665">
        <v>2</v>
      </c>
      <c r="Q665">
        <v>44</v>
      </c>
      <c r="R665">
        <v>53</v>
      </c>
      <c r="S665">
        <v>53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53</v>
      </c>
      <c r="AA665">
        <v>0</v>
      </c>
      <c r="AB665">
        <v>0</v>
      </c>
      <c r="AD665">
        <v>97</v>
      </c>
    </row>
    <row r="666" spans="1:30" x14ac:dyDescent="0.3">
      <c r="A666" s="4">
        <v>677</v>
      </c>
      <c r="B666" s="5">
        <v>659</v>
      </c>
      <c r="C666">
        <v>471</v>
      </c>
      <c r="D666" t="s">
        <v>1615</v>
      </c>
      <c r="E666" t="s">
        <v>188</v>
      </c>
      <c r="F666" t="s">
        <v>38</v>
      </c>
      <c r="G666" t="s">
        <v>1616</v>
      </c>
      <c r="H666" t="str">
        <f>"00531343"</f>
        <v>00531343</v>
      </c>
      <c r="I666">
        <v>64.8</v>
      </c>
      <c r="J666">
        <v>0</v>
      </c>
      <c r="M666">
        <v>4</v>
      </c>
      <c r="N666">
        <v>4</v>
      </c>
      <c r="O666">
        <v>4</v>
      </c>
      <c r="P666">
        <v>2</v>
      </c>
      <c r="Q666">
        <v>74.8</v>
      </c>
      <c r="R666">
        <v>16</v>
      </c>
      <c r="S666">
        <v>16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16</v>
      </c>
      <c r="AA666">
        <v>6</v>
      </c>
      <c r="AB666">
        <v>0</v>
      </c>
      <c r="AD666">
        <v>96.8</v>
      </c>
    </row>
    <row r="667" spans="1:30" x14ac:dyDescent="0.3">
      <c r="A667" s="4">
        <v>678</v>
      </c>
      <c r="B667" s="5">
        <v>660</v>
      </c>
      <c r="C667">
        <v>571</v>
      </c>
      <c r="D667" t="s">
        <v>1617</v>
      </c>
      <c r="E667" t="s">
        <v>935</v>
      </c>
      <c r="F667" t="s">
        <v>30</v>
      </c>
      <c r="G667" t="s">
        <v>1618</v>
      </c>
      <c r="H667" t="str">
        <f>"00157932"</f>
        <v>00157932</v>
      </c>
      <c r="I667">
        <v>28.8</v>
      </c>
      <c r="J667">
        <v>10</v>
      </c>
      <c r="M667">
        <v>4</v>
      </c>
      <c r="N667">
        <v>4</v>
      </c>
      <c r="O667">
        <v>4</v>
      </c>
      <c r="P667">
        <v>2</v>
      </c>
      <c r="Q667">
        <v>48.8</v>
      </c>
      <c r="R667">
        <v>42</v>
      </c>
      <c r="S667">
        <v>42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42</v>
      </c>
      <c r="AA667">
        <v>6</v>
      </c>
      <c r="AB667">
        <v>0</v>
      </c>
      <c r="AD667">
        <v>96.8</v>
      </c>
    </row>
    <row r="668" spans="1:30" x14ac:dyDescent="0.3">
      <c r="A668" s="4">
        <v>679</v>
      </c>
      <c r="B668" s="5">
        <v>661</v>
      </c>
      <c r="C668">
        <v>3681</v>
      </c>
      <c r="D668" t="s">
        <v>1619</v>
      </c>
      <c r="E668" t="s">
        <v>29</v>
      </c>
      <c r="F668" t="s">
        <v>190</v>
      </c>
      <c r="G668" t="s">
        <v>1620</v>
      </c>
      <c r="H668" t="str">
        <f>"00152479"</f>
        <v>00152479</v>
      </c>
      <c r="I668">
        <v>28.8</v>
      </c>
      <c r="J668">
        <v>0</v>
      </c>
      <c r="N668">
        <v>0</v>
      </c>
      <c r="O668">
        <v>4</v>
      </c>
      <c r="P668">
        <v>2</v>
      </c>
      <c r="Q668">
        <v>34.799999999999997</v>
      </c>
      <c r="R668">
        <v>56</v>
      </c>
      <c r="S668">
        <v>56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56</v>
      </c>
      <c r="AA668">
        <v>6</v>
      </c>
      <c r="AB668">
        <v>0</v>
      </c>
      <c r="AD668">
        <v>96.8</v>
      </c>
    </row>
    <row r="669" spans="1:30" x14ac:dyDescent="0.3">
      <c r="A669" s="4">
        <v>680</v>
      </c>
      <c r="B669" s="5">
        <v>662</v>
      </c>
      <c r="C669">
        <v>4481</v>
      </c>
      <c r="D669" t="s">
        <v>1621</v>
      </c>
      <c r="E669" t="s">
        <v>54</v>
      </c>
      <c r="F669" t="s">
        <v>1622</v>
      </c>
      <c r="G669" t="s">
        <v>1623</v>
      </c>
      <c r="H669" t="str">
        <f>"00530179"</f>
        <v>00530179</v>
      </c>
      <c r="I669">
        <v>64.8</v>
      </c>
      <c r="J669">
        <v>10</v>
      </c>
      <c r="L669">
        <v>6</v>
      </c>
      <c r="N669">
        <v>6</v>
      </c>
      <c r="O669">
        <v>4</v>
      </c>
      <c r="P669">
        <v>2</v>
      </c>
      <c r="Q669">
        <v>86.8</v>
      </c>
      <c r="R669">
        <v>7</v>
      </c>
      <c r="S669">
        <v>7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</v>
      </c>
      <c r="AA669">
        <v>3</v>
      </c>
      <c r="AB669">
        <v>0</v>
      </c>
      <c r="AD669">
        <v>96.8</v>
      </c>
    </row>
    <row r="670" spans="1:30" x14ac:dyDescent="0.3">
      <c r="A670" s="4">
        <v>681</v>
      </c>
      <c r="B670" s="5">
        <v>663</v>
      </c>
      <c r="C670">
        <v>2534</v>
      </c>
      <c r="D670" t="s">
        <v>1624</v>
      </c>
      <c r="E670" t="s">
        <v>740</v>
      </c>
      <c r="F670" t="s">
        <v>652</v>
      </c>
      <c r="G670" t="s">
        <v>1625</v>
      </c>
      <c r="H670" t="str">
        <f>"00321216"</f>
        <v>00321216</v>
      </c>
      <c r="I670">
        <v>38.799999999999997</v>
      </c>
      <c r="J670">
        <v>10</v>
      </c>
      <c r="M670">
        <v>4</v>
      </c>
      <c r="N670">
        <v>4</v>
      </c>
      <c r="O670">
        <v>4</v>
      </c>
      <c r="P670">
        <v>0</v>
      </c>
      <c r="Q670">
        <v>56.8</v>
      </c>
      <c r="R670">
        <v>37</v>
      </c>
      <c r="S670">
        <v>37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37</v>
      </c>
      <c r="AA670">
        <v>3</v>
      </c>
      <c r="AB670">
        <v>0</v>
      </c>
      <c r="AD670">
        <v>96.8</v>
      </c>
    </row>
    <row r="671" spans="1:30" x14ac:dyDescent="0.3">
      <c r="A671" s="4">
        <v>682</v>
      </c>
      <c r="B671" s="5">
        <v>664</v>
      </c>
      <c r="C671">
        <v>2215</v>
      </c>
      <c r="D671" t="s">
        <v>1626</v>
      </c>
      <c r="E671" t="s">
        <v>54</v>
      </c>
      <c r="F671" t="s">
        <v>375</v>
      </c>
      <c r="G671" t="s">
        <v>1627</v>
      </c>
      <c r="H671" t="str">
        <f>"201402005200"</f>
        <v>201402005200</v>
      </c>
      <c r="I671">
        <v>64.8</v>
      </c>
      <c r="J671">
        <v>0</v>
      </c>
      <c r="K671">
        <v>8</v>
      </c>
      <c r="N671">
        <v>8</v>
      </c>
      <c r="O671">
        <v>4</v>
      </c>
      <c r="P671">
        <v>2</v>
      </c>
      <c r="Q671">
        <v>78.8</v>
      </c>
      <c r="R671">
        <v>18</v>
      </c>
      <c r="S671">
        <v>18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18</v>
      </c>
      <c r="AA671">
        <v>0</v>
      </c>
      <c r="AB671">
        <v>0</v>
      </c>
      <c r="AD671">
        <v>96.8</v>
      </c>
    </row>
    <row r="672" spans="1:30" x14ac:dyDescent="0.3">
      <c r="A672" s="4">
        <v>683</v>
      </c>
      <c r="B672" s="5">
        <v>665</v>
      </c>
      <c r="C672">
        <v>342</v>
      </c>
      <c r="D672" t="s">
        <v>1628</v>
      </c>
      <c r="E672" t="s">
        <v>29</v>
      </c>
      <c r="F672" t="s">
        <v>30</v>
      </c>
      <c r="G672" t="s">
        <v>1629</v>
      </c>
      <c r="H672" t="str">
        <f>"00514200"</f>
        <v>00514200</v>
      </c>
      <c r="I672">
        <v>21.6</v>
      </c>
      <c r="J672">
        <v>10</v>
      </c>
      <c r="N672">
        <v>0</v>
      </c>
      <c r="O672">
        <v>0</v>
      </c>
      <c r="P672">
        <v>0</v>
      </c>
      <c r="Q672">
        <v>31.6</v>
      </c>
      <c r="R672">
        <v>37</v>
      </c>
      <c r="S672">
        <v>37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37</v>
      </c>
      <c r="AA672">
        <v>0</v>
      </c>
      <c r="AB672">
        <v>28</v>
      </c>
      <c r="AD672">
        <v>96.6</v>
      </c>
    </row>
    <row r="673" spans="1:30" x14ac:dyDescent="0.3">
      <c r="A673" s="4">
        <v>684</v>
      </c>
      <c r="B673" s="5">
        <v>666</v>
      </c>
      <c r="C673">
        <v>3872</v>
      </c>
      <c r="D673" t="s">
        <v>1630</v>
      </c>
      <c r="E673" t="s">
        <v>178</v>
      </c>
      <c r="F673" t="s">
        <v>30</v>
      </c>
      <c r="G673" t="s">
        <v>1631</v>
      </c>
      <c r="H673" t="str">
        <f>"00496998"</f>
        <v>00496998</v>
      </c>
      <c r="I673">
        <v>21.6</v>
      </c>
      <c r="J673">
        <v>0</v>
      </c>
      <c r="N673">
        <v>0</v>
      </c>
      <c r="O673">
        <v>0</v>
      </c>
      <c r="P673">
        <v>0</v>
      </c>
      <c r="Q673">
        <v>21.6</v>
      </c>
      <c r="R673">
        <v>69</v>
      </c>
      <c r="S673">
        <v>69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69</v>
      </c>
      <c r="AA673">
        <v>6</v>
      </c>
      <c r="AB673">
        <v>0</v>
      </c>
      <c r="AD673">
        <v>96.6</v>
      </c>
    </row>
    <row r="674" spans="1:30" x14ac:dyDescent="0.3">
      <c r="A674" s="4">
        <v>685</v>
      </c>
      <c r="B674" s="5">
        <v>667</v>
      </c>
      <c r="C674">
        <v>3467</v>
      </c>
      <c r="D674" t="s">
        <v>1632</v>
      </c>
      <c r="E674" t="s">
        <v>471</v>
      </c>
      <c r="F674" t="s">
        <v>81</v>
      </c>
      <c r="G674" t="s">
        <v>1633</v>
      </c>
      <c r="H674" t="str">
        <f>"00531426"</f>
        <v>00531426</v>
      </c>
      <c r="I674">
        <v>14.4</v>
      </c>
      <c r="J674">
        <v>10</v>
      </c>
      <c r="M674">
        <v>4</v>
      </c>
      <c r="N674">
        <v>4</v>
      </c>
      <c r="O674">
        <v>4</v>
      </c>
      <c r="P674">
        <v>2</v>
      </c>
      <c r="Q674">
        <v>34.4</v>
      </c>
      <c r="R674">
        <v>62</v>
      </c>
      <c r="S674">
        <v>62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62</v>
      </c>
      <c r="AA674">
        <v>0</v>
      </c>
      <c r="AB674">
        <v>0</v>
      </c>
      <c r="AD674">
        <v>96.4</v>
      </c>
    </row>
    <row r="675" spans="1:30" x14ac:dyDescent="0.3">
      <c r="A675" s="4">
        <v>686</v>
      </c>
      <c r="B675" s="5">
        <v>668</v>
      </c>
      <c r="C675">
        <v>2726</v>
      </c>
      <c r="D675" t="s">
        <v>1634</v>
      </c>
      <c r="E675" t="s">
        <v>166</v>
      </c>
      <c r="F675" t="s">
        <v>68</v>
      </c>
      <c r="G675" t="s">
        <v>1635</v>
      </c>
      <c r="H675" t="str">
        <f>"00261947"</f>
        <v>00261947</v>
      </c>
      <c r="I675">
        <v>28.28</v>
      </c>
      <c r="J675">
        <v>10</v>
      </c>
      <c r="K675">
        <v>16</v>
      </c>
      <c r="N675">
        <v>16</v>
      </c>
      <c r="O675">
        <v>4</v>
      </c>
      <c r="P675">
        <v>2</v>
      </c>
      <c r="Q675">
        <v>60.28</v>
      </c>
      <c r="R675">
        <v>36</v>
      </c>
      <c r="S675">
        <v>36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36</v>
      </c>
      <c r="AA675">
        <v>0</v>
      </c>
      <c r="AB675">
        <v>0</v>
      </c>
      <c r="AC675" t="s">
        <v>130</v>
      </c>
      <c r="AD675">
        <v>96.28</v>
      </c>
    </row>
    <row r="676" spans="1:30" x14ac:dyDescent="0.3">
      <c r="A676" s="4">
        <v>687</v>
      </c>
      <c r="B676" s="5">
        <v>669</v>
      </c>
      <c r="C676">
        <v>1735</v>
      </c>
      <c r="D676" t="s">
        <v>1636</v>
      </c>
      <c r="E676" t="s">
        <v>110</v>
      </c>
      <c r="F676" t="s">
        <v>68</v>
      </c>
      <c r="G676" t="s">
        <v>1637</v>
      </c>
      <c r="H676" t="str">
        <f>"00504257"</f>
        <v>00504257</v>
      </c>
      <c r="I676">
        <v>43.2</v>
      </c>
      <c r="J676">
        <v>0</v>
      </c>
      <c r="K676">
        <v>8</v>
      </c>
      <c r="N676">
        <v>8</v>
      </c>
      <c r="O676">
        <v>4</v>
      </c>
      <c r="P676">
        <v>2</v>
      </c>
      <c r="Q676">
        <v>57.2</v>
      </c>
      <c r="R676">
        <v>39</v>
      </c>
      <c r="S676">
        <v>39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39</v>
      </c>
      <c r="AA676">
        <v>0</v>
      </c>
      <c r="AB676">
        <v>0</v>
      </c>
      <c r="AD676">
        <v>96.2</v>
      </c>
    </row>
    <row r="677" spans="1:30" x14ac:dyDescent="0.3">
      <c r="A677" s="4">
        <v>688</v>
      </c>
      <c r="B677" s="5">
        <v>670</v>
      </c>
      <c r="C677">
        <v>153</v>
      </c>
      <c r="D677" t="s">
        <v>1638</v>
      </c>
      <c r="E677" t="s">
        <v>1639</v>
      </c>
      <c r="F677" t="s">
        <v>167</v>
      </c>
      <c r="G677" t="s">
        <v>1640</v>
      </c>
      <c r="H677" t="str">
        <f>"00523246"</f>
        <v>00523246</v>
      </c>
      <c r="I677">
        <v>37.200000000000003</v>
      </c>
      <c r="J677">
        <v>0</v>
      </c>
      <c r="N677">
        <v>0</v>
      </c>
      <c r="O677">
        <v>4</v>
      </c>
      <c r="P677">
        <v>0</v>
      </c>
      <c r="Q677">
        <v>41.2</v>
      </c>
      <c r="R677">
        <v>55</v>
      </c>
      <c r="S677">
        <v>55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55</v>
      </c>
      <c r="AA677">
        <v>0</v>
      </c>
      <c r="AB677">
        <v>0</v>
      </c>
      <c r="AD677">
        <v>96.2</v>
      </c>
    </row>
    <row r="678" spans="1:30" x14ac:dyDescent="0.3">
      <c r="A678" s="4">
        <v>689</v>
      </c>
      <c r="B678" s="5">
        <v>671</v>
      </c>
      <c r="C678">
        <v>2950</v>
      </c>
      <c r="D678" t="s">
        <v>1641</v>
      </c>
      <c r="E678" t="s">
        <v>161</v>
      </c>
      <c r="F678" t="s">
        <v>17</v>
      </c>
      <c r="G678" t="s">
        <v>1642</v>
      </c>
      <c r="H678" t="str">
        <f>"00518119"</f>
        <v>00518119</v>
      </c>
      <c r="I678">
        <v>29.16</v>
      </c>
      <c r="J678">
        <v>10</v>
      </c>
      <c r="N678">
        <v>0</v>
      </c>
      <c r="O678">
        <v>4</v>
      </c>
      <c r="P678">
        <v>2</v>
      </c>
      <c r="Q678">
        <v>45.16</v>
      </c>
      <c r="R678">
        <v>51</v>
      </c>
      <c r="S678">
        <v>51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51</v>
      </c>
      <c r="AA678">
        <v>0</v>
      </c>
      <c r="AB678">
        <v>0</v>
      </c>
      <c r="AD678">
        <v>96.16</v>
      </c>
    </row>
    <row r="679" spans="1:30" x14ac:dyDescent="0.3">
      <c r="A679" s="4">
        <v>690</v>
      </c>
      <c r="B679" s="5">
        <v>672</v>
      </c>
      <c r="C679">
        <v>2461</v>
      </c>
      <c r="D679" t="s">
        <v>1643</v>
      </c>
      <c r="E679" t="s">
        <v>1016</v>
      </c>
      <c r="F679" t="s">
        <v>81</v>
      </c>
      <c r="G679" t="s">
        <v>1644</v>
      </c>
      <c r="H679" t="str">
        <f>"00448071"</f>
        <v>00448071</v>
      </c>
      <c r="I679">
        <v>40</v>
      </c>
      <c r="J679">
        <v>10</v>
      </c>
      <c r="M679">
        <v>4</v>
      </c>
      <c r="N679">
        <v>4</v>
      </c>
      <c r="O679">
        <v>4</v>
      </c>
      <c r="P679">
        <v>2</v>
      </c>
      <c r="Q679">
        <v>60</v>
      </c>
      <c r="R679">
        <v>0</v>
      </c>
      <c r="S679">
        <v>0</v>
      </c>
      <c r="T679">
        <v>18</v>
      </c>
      <c r="U679">
        <v>36</v>
      </c>
      <c r="V679">
        <v>0</v>
      </c>
      <c r="W679">
        <v>0</v>
      </c>
      <c r="X679">
        <v>0</v>
      </c>
      <c r="Y679">
        <v>0</v>
      </c>
      <c r="Z679">
        <v>36</v>
      </c>
      <c r="AA679">
        <v>0</v>
      </c>
      <c r="AB679">
        <v>0</v>
      </c>
      <c r="AD679">
        <v>96</v>
      </c>
    </row>
    <row r="680" spans="1:30" x14ac:dyDescent="0.3">
      <c r="A680" s="4">
        <v>691</v>
      </c>
      <c r="B680" s="5">
        <v>673</v>
      </c>
      <c r="C680">
        <v>4061</v>
      </c>
      <c r="D680" t="s">
        <v>1645</v>
      </c>
      <c r="E680" t="s">
        <v>91</v>
      </c>
      <c r="F680" t="s">
        <v>243</v>
      </c>
      <c r="G680" t="s">
        <v>1646</v>
      </c>
      <c r="H680" t="str">
        <f>"201604001205"</f>
        <v>201604001205</v>
      </c>
      <c r="I680">
        <v>36</v>
      </c>
      <c r="J680">
        <v>10</v>
      </c>
      <c r="M680">
        <v>4</v>
      </c>
      <c r="N680">
        <v>4</v>
      </c>
      <c r="O680">
        <v>4</v>
      </c>
      <c r="P680">
        <v>0</v>
      </c>
      <c r="Q680">
        <v>54</v>
      </c>
      <c r="R680">
        <v>42</v>
      </c>
      <c r="S680">
        <v>42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42</v>
      </c>
      <c r="AA680">
        <v>0</v>
      </c>
      <c r="AB680">
        <v>0</v>
      </c>
      <c r="AD680">
        <v>96</v>
      </c>
    </row>
    <row r="681" spans="1:30" x14ac:dyDescent="0.3">
      <c r="A681" s="4">
        <v>692</v>
      </c>
      <c r="B681" s="5">
        <v>674</v>
      </c>
      <c r="C681">
        <v>1926</v>
      </c>
      <c r="D681" t="s">
        <v>1647</v>
      </c>
      <c r="E681" t="s">
        <v>213</v>
      </c>
      <c r="F681" t="s">
        <v>190</v>
      </c>
      <c r="G681" t="s">
        <v>1648</v>
      </c>
      <c r="H681" t="str">
        <f>"00505074"</f>
        <v>00505074</v>
      </c>
      <c r="I681">
        <v>24.84</v>
      </c>
      <c r="J681">
        <v>10</v>
      </c>
      <c r="K681">
        <v>8</v>
      </c>
      <c r="N681">
        <v>8</v>
      </c>
      <c r="O681">
        <v>4</v>
      </c>
      <c r="P681">
        <v>2</v>
      </c>
      <c r="Q681">
        <v>48.84</v>
      </c>
      <c r="R681">
        <v>41</v>
      </c>
      <c r="S681">
        <v>41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41</v>
      </c>
      <c r="AA681">
        <v>6</v>
      </c>
      <c r="AB681">
        <v>0</v>
      </c>
      <c r="AD681">
        <v>95.84</v>
      </c>
    </row>
    <row r="682" spans="1:30" x14ac:dyDescent="0.3">
      <c r="A682" s="4">
        <v>693</v>
      </c>
      <c r="B682" s="5">
        <v>675</v>
      </c>
      <c r="C682">
        <v>3964</v>
      </c>
      <c r="D682" t="s">
        <v>1649</v>
      </c>
      <c r="E682" t="s">
        <v>41</v>
      </c>
      <c r="F682" t="s">
        <v>652</v>
      </c>
      <c r="G682" t="s">
        <v>1650</v>
      </c>
      <c r="H682" t="str">
        <f>"201511029348"</f>
        <v>201511029348</v>
      </c>
      <c r="I682">
        <v>64.8</v>
      </c>
      <c r="J682">
        <v>0</v>
      </c>
      <c r="M682">
        <v>4</v>
      </c>
      <c r="N682">
        <v>4</v>
      </c>
      <c r="O682">
        <v>4</v>
      </c>
      <c r="P682">
        <v>2</v>
      </c>
      <c r="Q682">
        <v>74.8</v>
      </c>
      <c r="R682">
        <v>18</v>
      </c>
      <c r="S682">
        <v>18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18</v>
      </c>
      <c r="AA682">
        <v>3</v>
      </c>
      <c r="AB682">
        <v>0</v>
      </c>
      <c r="AD682">
        <v>95.8</v>
      </c>
    </row>
    <row r="683" spans="1:30" x14ac:dyDescent="0.3">
      <c r="A683" s="4">
        <v>694</v>
      </c>
      <c r="B683" s="5">
        <v>676</v>
      </c>
      <c r="C683">
        <v>1100</v>
      </c>
      <c r="D683" t="s">
        <v>1651</v>
      </c>
      <c r="E683" t="s">
        <v>1652</v>
      </c>
      <c r="F683" t="s">
        <v>20</v>
      </c>
      <c r="G683" t="s">
        <v>1653</v>
      </c>
      <c r="H683" t="str">
        <f>"00533671"</f>
        <v>00533671</v>
      </c>
      <c r="I683">
        <v>28.8</v>
      </c>
      <c r="J683">
        <v>0</v>
      </c>
      <c r="M683">
        <v>4</v>
      </c>
      <c r="N683">
        <v>4</v>
      </c>
      <c r="O683">
        <v>0</v>
      </c>
      <c r="P683">
        <v>2</v>
      </c>
      <c r="Q683">
        <v>34.799999999999997</v>
      </c>
      <c r="R683">
        <v>61</v>
      </c>
      <c r="S683">
        <v>61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61</v>
      </c>
      <c r="AA683">
        <v>0</v>
      </c>
      <c r="AB683">
        <v>0</v>
      </c>
      <c r="AD683">
        <v>95.8</v>
      </c>
    </row>
    <row r="684" spans="1:30" x14ac:dyDescent="0.3">
      <c r="A684" s="4">
        <v>695</v>
      </c>
      <c r="B684" s="5">
        <v>677</v>
      </c>
      <c r="C684">
        <v>2493</v>
      </c>
      <c r="D684" t="s">
        <v>1654</v>
      </c>
      <c r="E684" t="s">
        <v>110</v>
      </c>
      <c r="F684" t="s">
        <v>117</v>
      </c>
      <c r="G684" t="s">
        <v>1655</v>
      </c>
      <c r="H684" t="str">
        <f>"201511026833"</f>
        <v>201511026833</v>
      </c>
      <c r="I684">
        <v>57.6</v>
      </c>
      <c r="J684">
        <v>10</v>
      </c>
      <c r="M684">
        <v>4</v>
      </c>
      <c r="N684">
        <v>4</v>
      </c>
      <c r="O684">
        <v>4</v>
      </c>
      <c r="P684">
        <v>2</v>
      </c>
      <c r="Q684">
        <v>77.599999999999994</v>
      </c>
      <c r="R684">
        <v>18</v>
      </c>
      <c r="S684">
        <v>18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18</v>
      </c>
      <c r="AA684">
        <v>0</v>
      </c>
      <c r="AB684">
        <v>0</v>
      </c>
      <c r="AD684">
        <v>95.6</v>
      </c>
    </row>
    <row r="685" spans="1:30" x14ac:dyDescent="0.3">
      <c r="A685" s="4">
        <v>696</v>
      </c>
      <c r="B685" s="5">
        <v>678</v>
      </c>
      <c r="C685">
        <v>4076</v>
      </c>
      <c r="D685" t="s">
        <v>1656</v>
      </c>
      <c r="E685" t="s">
        <v>88</v>
      </c>
      <c r="F685" t="s">
        <v>385</v>
      </c>
      <c r="G685" t="s">
        <v>1657</v>
      </c>
      <c r="H685" t="str">
        <f>"00511774"</f>
        <v>00511774</v>
      </c>
      <c r="I685">
        <v>21.6</v>
      </c>
      <c r="J685">
        <v>10</v>
      </c>
      <c r="K685">
        <v>8</v>
      </c>
      <c r="N685">
        <v>8</v>
      </c>
      <c r="O685">
        <v>4</v>
      </c>
      <c r="P685">
        <v>2</v>
      </c>
      <c r="Q685">
        <v>45.6</v>
      </c>
      <c r="R685">
        <v>50</v>
      </c>
      <c r="S685">
        <v>50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50</v>
      </c>
      <c r="AA685">
        <v>0</v>
      </c>
      <c r="AB685">
        <v>0</v>
      </c>
      <c r="AD685">
        <v>95.6</v>
      </c>
    </row>
    <row r="686" spans="1:30" x14ac:dyDescent="0.3">
      <c r="A686" s="4">
        <v>697</v>
      </c>
      <c r="B686" s="5">
        <v>679</v>
      </c>
      <c r="C686">
        <v>3653</v>
      </c>
      <c r="D686" t="s">
        <v>1078</v>
      </c>
      <c r="E686" t="s">
        <v>166</v>
      </c>
      <c r="F686" t="s">
        <v>81</v>
      </c>
      <c r="G686" t="s">
        <v>1658</v>
      </c>
      <c r="H686" t="str">
        <f>"200801008134"</f>
        <v>200801008134</v>
      </c>
      <c r="I686">
        <v>28.6</v>
      </c>
      <c r="J686">
        <v>0</v>
      </c>
      <c r="M686">
        <v>4</v>
      </c>
      <c r="N686">
        <v>4</v>
      </c>
      <c r="O686">
        <v>4</v>
      </c>
      <c r="P686">
        <v>0</v>
      </c>
      <c r="Q686">
        <v>36.6</v>
      </c>
      <c r="R686">
        <v>59</v>
      </c>
      <c r="S686">
        <v>59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59</v>
      </c>
      <c r="AA686">
        <v>0</v>
      </c>
      <c r="AB686">
        <v>0</v>
      </c>
      <c r="AD686">
        <v>95.6</v>
      </c>
    </row>
    <row r="687" spans="1:30" x14ac:dyDescent="0.3">
      <c r="A687" s="4">
        <v>698</v>
      </c>
      <c r="B687" s="5">
        <v>680</v>
      </c>
      <c r="C687">
        <v>3961</v>
      </c>
      <c r="D687" t="s">
        <v>743</v>
      </c>
      <c r="E687" t="s">
        <v>1659</v>
      </c>
      <c r="F687" t="s">
        <v>81</v>
      </c>
      <c r="G687" t="s">
        <v>1660</v>
      </c>
      <c r="H687" t="str">
        <f>"201403000226"</f>
        <v>201403000226</v>
      </c>
      <c r="I687">
        <v>21.6</v>
      </c>
      <c r="J687">
        <v>0</v>
      </c>
      <c r="K687">
        <v>8</v>
      </c>
      <c r="N687">
        <v>8</v>
      </c>
      <c r="O687">
        <v>4</v>
      </c>
      <c r="P687">
        <v>2</v>
      </c>
      <c r="Q687">
        <v>35.6</v>
      </c>
      <c r="R687">
        <v>60</v>
      </c>
      <c r="S687">
        <v>60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60</v>
      </c>
      <c r="AA687">
        <v>0</v>
      </c>
      <c r="AB687">
        <v>0</v>
      </c>
      <c r="AD687">
        <v>95.6</v>
      </c>
    </row>
    <row r="688" spans="1:30" x14ac:dyDescent="0.3">
      <c r="A688" s="4">
        <v>699</v>
      </c>
      <c r="B688" s="5">
        <v>681</v>
      </c>
      <c r="C688">
        <v>2628</v>
      </c>
      <c r="D688" t="s">
        <v>1661</v>
      </c>
      <c r="E688" t="s">
        <v>147</v>
      </c>
      <c r="F688" t="s">
        <v>652</v>
      </c>
      <c r="G688" t="s">
        <v>1662</v>
      </c>
      <c r="H688" t="str">
        <f>"00152640"</f>
        <v>00152640</v>
      </c>
      <c r="I688">
        <v>38.68</v>
      </c>
      <c r="J688">
        <v>0</v>
      </c>
      <c r="N688">
        <v>0</v>
      </c>
      <c r="O688">
        <v>4</v>
      </c>
      <c r="P688">
        <v>2</v>
      </c>
      <c r="Q688">
        <v>44.68</v>
      </c>
      <c r="R688">
        <v>18</v>
      </c>
      <c r="S688">
        <v>18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18</v>
      </c>
      <c r="AA688">
        <v>6</v>
      </c>
      <c r="AB688">
        <v>26.8</v>
      </c>
      <c r="AD688">
        <v>95.48</v>
      </c>
    </row>
    <row r="689" spans="1:30" x14ac:dyDescent="0.3">
      <c r="A689" s="4">
        <v>700</v>
      </c>
      <c r="B689" s="5">
        <v>682</v>
      </c>
      <c r="C689">
        <v>589</v>
      </c>
      <c r="D689" t="s">
        <v>1663</v>
      </c>
      <c r="E689" t="s">
        <v>744</v>
      </c>
      <c r="F689" t="s">
        <v>343</v>
      </c>
      <c r="G689" t="s">
        <v>1664</v>
      </c>
      <c r="H689" t="str">
        <f>"00140053"</f>
        <v>00140053</v>
      </c>
      <c r="I689">
        <v>50.4</v>
      </c>
      <c r="J689">
        <v>10</v>
      </c>
      <c r="K689">
        <v>8</v>
      </c>
      <c r="N689">
        <v>8</v>
      </c>
      <c r="O689">
        <v>4</v>
      </c>
      <c r="P689">
        <v>2</v>
      </c>
      <c r="Q689">
        <v>74.400000000000006</v>
      </c>
      <c r="R689">
        <v>21</v>
      </c>
      <c r="S689">
        <v>21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21</v>
      </c>
      <c r="AA689">
        <v>0</v>
      </c>
      <c r="AB689">
        <v>0</v>
      </c>
      <c r="AD689">
        <v>95.4</v>
      </c>
    </row>
    <row r="690" spans="1:30" x14ac:dyDescent="0.3">
      <c r="A690" s="4">
        <v>701</v>
      </c>
      <c r="B690" s="5">
        <v>683</v>
      </c>
      <c r="C690">
        <v>2373</v>
      </c>
      <c r="D690" t="s">
        <v>1665</v>
      </c>
      <c r="E690" t="s">
        <v>26</v>
      </c>
      <c r="F690" t="s">
        <v>190</v>
      </c>
      <c r="G690" t="s">
        <v>1666</v>
      </c>
      <c r="H690" t="str">
        <f>"00503368"</f>
        <v>00503368</v>
      </c>
      <c r="I690">
        <v>28.36</v>
      </c>
      <c r="J690">
        <v>0</v>
      </c>
      <c r="N690">
        <v>0</v>
      </c>
      <c r="O690">
        <v>0</v>
      </c>
      <c r="P690">
        <v>0</v>
      </c>
      <c r="Q690">
        <v>28.36</v>
      </c>
      <c r="R690">
        <v>61</v>
      </c>
      <c r="S690">
        <v>61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61</v>
      </c>
      <c r="AA690">
        <v>6</v>
      </c>
      <c r="AB690">
        <v>0</v>
      </c>
      <c r="AD690">
        <v>95.36</v>
      </c>
    </row>
    <row r="691" spans="1:30" x14ac:dyDescent="0.3">
      <c r="A691" s="4">
        <v>702</v>
      </c>
      <c r="B691" s="5">
        <v>684</v>
      </c>
      <c r="C691">
        <v>1028</v>
      </c>
      <c r="D691" t="s">
        <v>1667</v>
      </c>
      <c r="E691" t="s">
        <v>29</v>
      </c>
      <c r="F691" t="s">
        <v>259</v>
      </c>
      <c r="G691" t="s">
        <v>1668</v>
      </c>
      <c r="H691" t="str">
        <f>"00024683"</f>
        <v>00024683</v>
      </c>
      <c r="I691">
        <v>25.32</v>
      </c>
      <c r="J691">
        <v>0</v>
      </c>
      <c r="M691">
        <v>4</v>
      </c>
      <c r="N691">
        <v>4</v>
      </c>
      <c r="O691">
        <v>4</v>
      </c>
      <c r="P691">
        <v>2</v>
      </c>
      <c r="Q691">
        <v>35.32</v>
      </c>
      <c r="R691">
        <v>51</v>
      </c>
      <c r="S691">
        <v>51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51</v>
      </c>
      <c r="AA691">
        <v>9</v>
      </c>
      <c r="AB691">
        <v>0</v>
      </c>
      <c r="AD691">
        <v>95.32</v>
      </c>
    </row>
    <row r="692" spans="1:30" x14ac:dyDescent="0.3">
      <c r="A692" s="4">
        <v>703</v>
      </c>
      <c r="B692" s="5">
        <v>685</v>
      </c>
      <c r="C692">
        <v>3792</v>
      </c>
      <c r="D692" t="s">
        <v>1669</v>
      </c>
      <c r="E692" t="s">
        <v>33</v>
      </c>
      <c r="F692" t="s">
        <v>20</v>
      </c>
      <c r="G692" t="s">
        <v>1670</v>
      </c>
      <c r="H692" t="str">
        <f>"00525627"</f>
        <v>00525627</v>
      </c>
      <c r="I692">
        <v>13.24</v>
      </c>
      <c r="J692">
        <v>0</v>
      </c>
      <c r="N692">
        <v>0</v>
      </c>
      <c r="O692">
        <v>4</v>
      </c>
      <c r="P692">
        <v>0</v>
      </c>
      <c r="Q692">
        <v>17.239999999999998</v>
      </c>
      <c r="R692">
        <v>78</v>
      </c>
      <c r="S692">
        <v>78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78</v>
      </c>
      <c r="AA692">
        <v>0</v>
      </c>
      <c r="AB692">
        <v>0</v>
      </c>
      <c r="AD692">
        <v>95.24</v>
      </c>
    </row>
    <row r="693" spans="1:30" x14ac:dyDescent="0.3">
      <c r="A693" s="4">
        <v>704</v>
      </c>
      <c r="B693" s="5">
        <v>686</v>
      </c>
      <c r="C693">
        <v>2523</v>
      </c>
      <c r="D693" t="s">
        <v>1671</v>
      </c>
      <c r="E693" t="s">
        <v>54</v>
      </c>
      <c r="F693" t="s">
        <v>17</v>
      </c>
      <c r="G693" t="s">
        <v>1672</v>
      </c>
      <c r="H693" t="str">
        <f>"00212100"</f>
        <v>00212100</v>
      </c>
      <c r="I693">
        <v>43.2</v>
      </c>
      <c r="J693">
        <v>0</v>
      </c>
      <c r="M693">
        <v>4</v>
      </c>
      <c r="N693">
        <v>4</v>
      </c>
      <c r="O693">
        <v>4</v>
      </c>
      <c r="P693">
        <v>2</v>
      </c>
      <c r="Q693">
        <v>53.2</v>
      </c>
      <c r="R693">
        <v>36</v>
      </c>
      <c r="S693">
        <v>36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36</v>
      </c>
      <c r="AA693">
        <v>6</v>
      </c>
      <c r="AB693">
        <v>0</v>
      </c>
      <c r="AD693">
        <v>95.2</v>
      </c>
    </row>
    <row r="694" spans="1:30" x14ac:dyDescent="0.3">
      <c r="A694" s="4">
        <v>705</v>
      </c>
      <c r="B694" s="5">
        <v>687</v>
      </c>
      <c r="C694">
        <v>2436</v>
      </c>
      <c r="D694" t="s">
        <v>1673</v>
      </c>
      <c r="E694" t="s">
        <v>110</v>
      </c>
      <c r="F694" t="s">
        <v>20</v>
      </c>
      <c r="G694" t="s">
        <v>1674</v>
      </c>
      <c r="H694" t="str">
        <f>"00475391"</f>
        <v>00475391</v>
      </c>
      <c r="I694">
        <v>43.2</v>
      </c>
      <c r="J694">
        <v>0</v>
      </c>
      <c r="N694">
        <v>0</v>
      </c>
      <c r="O694">
        <v>4</v>
      </c>
      <c r="P694">
        <v>2</v>
      </c>
      <c r="Q694">
        <v>49.2</v>
      </c>
      <c r="R694">
        <v>46</v>
      </c>
      <c r="S694">
        <v>46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46</v>
      </c>
      <c r="AA694">
        <v>0</v>
      </c>
      <c r="AB694">
        <v>0</v>
      </c>
      <c r="AD694">
        <v>95.2</v>
      </c>
    </row>
    <row r="695" spans="1:30" x14ac:dyDescent="0.3">
      <c r="A695" s="4">
        <v>706</v>
      </c>
      <c r="B695" s="5">
        <v>688</v>
      </c>
      <c r="C695">
        <v>600</v>
      </c>
      <c r="D695" t="s">
        <v>1675</v>
      </c>
      <c r="E695" t="s">
        <v>258</v>
      </c>
      <c r="F695" t="s">
        <v>30</v>
      </c>
      <c r="G695" t="s">
        <v>1676</v>
      </c>
      <c r="H695" t="str">
        <f>"00526050"</f>
        <v>00526050</v>
      </c>
      <c r="I695">
        <v>0</v>
      </c>
      <c r="J695">
        <v>0</v>
      </c>
      <c r="N695">
        <v>0</v>
      </c>
      <c r="O695">
        <v>4</v>
      </c>
      <c r="P695">
        <v>2</v>
      </c>
      <c r="Q695">
        <v>6</v>
      </c>
      <c r="R695">
        <v>89</v>
      </c>
      <c r="S695">
        <v>89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89</v>
      </c>
      <c r="AA695">
        <v>0</v>
      </c>
      <c r="AB695">
        <v>0</v>
      </c>
      <c r="AD695">
        <v>95</v>
      </c>
    </row>
    <row r="696" spans="1:30" x14ac:dyDescent="0.3">
      <c r="A696" s="4">
        <v>707</v>
      </c>
      <c r="B696" s="5">
        <v>689</v>
      </c>
      <c r="C696">
        <v>1609</v>
      </c>
      <c r="D696" t="s">
        <v>937</v>
      </c>
      <c r="E696" t="s">
        <v>41</v>
      </c>
      <c r="F696" t="s">
        <v>30</v>
      </c>
      <c r="G696" t="s">
        <v>1677</v>
      </c>
      <c r="H696" t="str">
        <f>"00455806"</f>
        <v>00455806</v>
      </c>
      <c r="I696">
        <v>29.08</v>
      </c>
      <c r="J696">
        <v>10</v>
      </c>
      <c r="N696">
        <v>0</v>
      </c>
      <c r="O696">
        <v>4</v>
      </c>
      <c r="P696">
        <v>0</v>
      </c>
      <c r="Q696">
        <v>43.08</v>
      </c>
      <c r="R696">
        <v>25</v>
      </c>
      <c r="S696">
        <v>25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25</v>
      </c>
      <c r="AA696">
        <v>0</v>
      </c>
      <c r="AB696">
        <v>26.8</v>
      </c>
      <c r="AD696">
        <v>94.88</v>
      </c>
    </row>
    <row r="697" spans="1:30" x14ac:dyDescent="0.3">
      <c r="A697" s="4">
        <v>708</v>
      </c>
      <c r="B697" s="5">
        <v>690</v>
      </c>
      <c r="C697">
        <v>56</v>
      </c>
      <c r="D697" t="s">
        <v>1678</v>
      </c>
      <c r="E697" t="s">
        <v>1679</v>
      </c>
      <c r="F697" t="s">
        <v>652</v>
      </c>
      <c r="G697" t="s">
        <v>1680</v>
      </c>
      <c r="H697" t="str">
        <f>"00530162"</f>
        <v>00530162</v>
      </c>
      <c r="I697">
        <v>36</v>
      </c>
      <c r="J697">
        <v>10</v>
      </c>
      <c r="N697">
        <v>0</v>
      </c>
      <c r="O697">
        <v>4</v>
      </c>
      <c r="P697">
        <v>0</v>
      </c>
      <c r="Q697">
        <v>50</v>
      </c>
      <c r="R697">
        <v>18</v>
      </c>
      <c r="S697">
        <v>18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18</v>
      </c>
      <c r="AA697">
        <v>0</v>
      </c>
      <c r="AB697">
        <v>26.8</v>
      </c>
      <c r="AD697">
        <v>94.8</v>
      </c>
    </row>
    <row r="698" spans="1:30" x14ac:dyDescent="0.3">
      <c r="A698" s="4">
        <v>709</v>
      </c>
      <c r="B698" s="5">
        <v>691</v>
      </c>
      <c r="C698">
        <v>53</v>
      </c>
      <c r="D698" t="s">
        <v>1681</v>
      </c>
      <c r="E698" t="s">
        <v>1210</v>
      </c>
      <c r="F698" t="s">
        <v>136</v>
      </c>
      <c r="G698" t="s">
        <v>1682</v>
      </c>
      <c r="H698" t="str">
        <f>"00489182"</f>
        <v>00489182</v>
      </c>
      <c r="I698">
        <v>64.8</v>
      </c>
      <c r="J698">
        <v>0</v>
      </c>
      <c r="N698">
        <v>0</v>
      </c>
      <c r="O698">
        <v>4</v>
      </c>
      <c r="P698">
        <v>2</v>
      </c>
      <c r="Q698">
        <v>70.8</v>
      </c>
      <c r="R698">
        <v>18</v>
      </c>
      <c r="S698">
        <v>18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18</v>
      </c>
      <c r="AA698">
        <v>6</v>
      </c>
      <c r="AB698">
        <v>0</v>
      </c>
      <c r="AD698">
        <v>94.8</v>
      </c>
    </row>
    <row r="699" spans="1:30" x14ac:dyDescent="0.3">
      <c r="A699" s="4">
        <v>710</v>
      </c>
      <c r="B699" s="5">
        <v>692</v>
      </c>
      <c r="C699">
        <v>1732</v>
      </c>
      <c r="D699" t="s">
        <v>1683</v>
      </c>
      <c r="E699" t="s">
        <v>1684</v>
      </c>
      <c r="F699" t="s">
        <v>136</v>
      </c>
      <c r="G699" t="s">
        <v>1685</v>
      </c>
      <c r="H699" t="str">
        <f>"00529881"</f>
        <v>00529881</v>
      </c>
      <c r="I699">
        <v>64.8</v>
      </c>
      <c r="J699">
        <v>0</v>
      </c>
      <c r="K699">
        <v>16</v>
      </c>
      <c r="N699">
        <v>16</v>
      </c>
      <c r="O699">
        <v>4</v>
      </c>
      <c r="P699">
        <v>2</v>
      </c>
      <c r="Q699">
        <v>86.8</v>
      </c>
      <c r="R699">
        <v>8</v>
      </c>
      <c r="S699">
        <v>8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8</v>
      </c>
      <c r="AA699">
        <v>0</v>
      </c>
      <c r="AB699">
        <v>0</v>
      </c>
      <c r="AD699">
        <v>94.8</v>
      </c>
    </row>
    <row r="700" spans="1:30" x14ac:dyDescent="0.3">
      <c r="A700" s="4">
        <v>711</v>
      </c>
      <c r="B700" s="5">
        <v>693</v>
      </c>
      <c r="C700">
        <v>4420</v>
      </c>
      <c r="D700" t="s">
        <v>1686</v>
      </c>
      <c r="E700" t="s">
        <v>22</v>
      </c>
      <c r="F700" t="s">
        <v>30</v>
      </c>
      <c r="G700" t="s">
        <v>1687</v>
      </c>
      <c r="H700" t="str">
        <f>"201502001571"</f>
        <v>201502001571</v>
      </c>
      <c r="I700">
        <v>64.8</v>
      </c>
      <c r="J700">
        <v>10</v>
      </c>
      <c r="L700">
        <v>6</v>
      </c>
      <c r="N700">
        <v>6</v>
      </c>
      <c r="O700">
        <v>4</v>
      </c>
      <c r="P700">
        <v>2</v>
      </c>
      <c r="Q700">
        <v>86.8</v>
      </c>
      <c r="R700">
        <v>8</v>
      </c>
      <c r="S700">
        <v>8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8</v>
      </c>
      <c r="AA700">
        <v>0</v>
      </c>
      <c r="AB700">
        <v>0</v>
      </c>
      <c r="AD700">
        <v>94.8</v>
      </c>
    </row>
    <row r="701" spans="1:30" x14ac:dyDescent="0.3">
      <c r="A701" s="4">
        <v>712</v>
      </c>
      <c r="B701" s="5">
        <v>694</v>
      </c>
      <c r="C701">
        <v>4482</v>
      </c>
      <c r="D701" t="s">
        <v>181</v>
      </c>
      <c r="E701" t="s">
        <v>166</v>
      </c>
      <c r="F701" t="s">
        <v>117</v>
      </c>
      <c r="G701" t="s">
        <v>1688</v>
      </c>
      <c r="H701" t="str">
        <f>"00515725"</f>
        <v>00515725</v>
      </c>
      <c r="I701">
        <v>64.8</v>
      </c>
      <c r="J701">
        <v>10</v>
      </c>
      <c r="N701">
        <v>0</v>
      </c>
      <c r="O701">
        <v>0</v>
      </c>
      <c r="P701">
        <v>2</v>
      </c>
      <c r="Q701">
        <v>76.8</v>
      </c>
      <c r="R701">
        <v>18</v>
      </c>
      <c r="S701">
        <v>18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18</v>
      </c>
      <c r="AA701">
        <v>0</v>
      </c>
      <c r="AB701">
        <v>0</v>
      </c>
      <c r="AD701">
        <v>94.8</v>
      </c>
    </row>
    <row r="702" spans="1:30" x14ac:dyDescent="0.3">
      <c r="A702" s="4">
        <v>713</v>
      </c>
      <c r="B702" s="5">
        <v>695</v>
      </c>
      <c r="C702">
        <v>1671</v>
      </c>
      <c r="D702" t="s">
        <v>1689</v>
      </c>
      <c r="E702" t="s">
        <v>1690</v>
      </c>
      <c r="F702" t="s">
        <v>1691</v>
      </c>
      <c r="G702" t="s">
        <v>1692</v>
      </c>
      <c r="H702" t="str">
        <f>"00498580"</f>
        <v>00498580</v>
      </c>
      <c r="I702">
        <v>28.8</v>
      </c>
      <c r="J702">
        <v>0</v>
      </c>
      <c r="K702">
        <v>8</v>
      </c>
      <c r="N702">
        <v>8</v>
      </c>
      <c r="O702">
        <v>4</v>
      </c>
      <c r="P702">
        <v>2</v>
      </c>
      <c r="Q702">
        <v>42.8</v>
      </c>
      <c r="R702">
        <v>52</v>
      </c>
      <c r="S702">
        <v>52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52</v>
      </c>
      <c r="AA702">
        <v>0</v>
      </c>
      <c r="AB702">
        <v>0</v>
      </c>
      <c r="AD702">
        <v>94.8</v>
      </c>
    </row>
    <row r="703" spans="1:30" x14ac:dyDescent="0.3">
      <c r="A703" s="4">
        <v>714</v>
      </c>
      <c r="B703" s="5">
        <v>696</v>
      </c>
      <c r="C703">
        <v>4058</v>
      </c>
      <c r="D703" t="s">
        <v>1693</v>
      </c>
      <c r="E703" t="s">
        <v>1694</v>
      </c>
      <c r="F703" t="s">
        <v>38</v>
      </c>
      <c r="G703" t="s">
        <v>1695</v>
      </c>
      <c r="H703" t="str">
        <f>"00508426"</f>
        <v>00508426</v>
      </c>
      <c r="I703">
        <v>28.8</v>
      </c>
      <c r="J703">
        <v>0</v>
      </c>
      <c r="L703">
        <v>6</v>
      </c>
      <c r="N703">
        <v>6</v>
      </c>
      <c r="O703">
        <v>4</v>
      </c>
      <c r="P703">
        <v>2</v>
      </c>
      <c r="Q703">
        <v>40.799999999999997</v>
      </c>
      <c r="R703">
        <v>54</v>
      </c>
      <c r="S703">
        <v>54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54</v>
      </c>
      <c r="AA703">
        <v>0</v>
      </c>
      <c r="AB703">
        <v>0</v>
      </c>
      <c r="AD703">
        <v>94.8</v>
      </c>
    </row>
    <row r="704" spans="1:30" x14ac:dyDescent="0.3">
      <c r="A704" s="4">
        <v>715</v>
      </c>
      <c r="B704" s="5">
        <v>697</v>
      </c>
      <c r="C704">
        <v>4167</v>
      </c>
      <c r="D704" t="s">
        <v>1696</v>
      </c>
      <c r="E704" t="s">
        <v>273</v>
      </c>
      <c r="F704" t="s">
        <v>81</v>
      </c>
      <c r="G704" t="s">
        <v>1697</v>
      </c>
      <c r="H704" t="str">
        <f>"00513701"</f>
        <v>00513701</v>
      </c>
      <c r="I704">
        <v>28.72</v>
      </c>
      <c r="J704">
        <v>0</v>
      </c>
      <c r="N704">
        <v>0</v>
      </c>
      <c r="O704">
        <v>0</v>
      </c>
      <c r="P704">
        <v>0</v>
      </c>
      <c r="Q704">
        <v>28.72</v>
      </c>
      <c r="R704">
        <v>66</v>
      </c>
      <c r="S704">
        <v>66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66</v>
      </c>
      <c r="AA704">
        <v>0</v>
      </c>
      <c r="AB704">
        <v>0</v>
      </c>
      <c r="AD704">
        <v>94.72</v>
      </c>
    </row>
    <row r="705" spans="1:30" x14ac:dyDescent="0.3">
      <c r="A705" s="4">
        <v>716</v>
      </c>
      <c r="B705" s="5">
        <v>698</v>
      </c>
      <c r="C705">
        <v>1359</v>
      </c>
      <c r="D705" t="s">
        <v>1698</v>
      </c>
      <c r="E705" t="s">
        <v>1699</v>
      </c>
      <c r="F705" t="s">
        <v>1700</v>
      </c>
      <c r="G705">
        <v>52978305</v>
      </c>
      <c r="H705" t="str">
        <f>"00384166"</f>
        <v>00384166</v>
      </c>
      <c r="I705">
        <v>38.799999999999997</v>
      </c>
      <c r="J705">
        <v>10</v>
      </c>
      <c r="M705">
        <v>4</v>
      </c>
      <c r="N705">
        <v>4</v>
      </c>
      <c r="O705">
        <v>4</v>
      </c>
      <c r="P705">
        <v>2</v>
      </c>
      <c r="Q705">
        <v>58.8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9</v>
      </c>
      <c r="AB705">
        <v>26.8</v>
      </c>
      <c r="AD705">
        <v>94.6</v>
      </c>
    </row>
    <row r="706" spans="1:30" x14ac:dyDescent="0.3">
      <c r="A706" s="4">
        <v>717</v>
      </c>
      <c r="B706" s="5">
        <v>699</v>
      </c>
      <c r="C706">
        <v>1653</v>
      </c>
      <c r="D706" t="s">
        <v>1701</v>
      </c>
      <c r="E706" t="s">
        <v>88</v>
      </c>
      <c r="F706" t="s">
        <v>30</v>
      </c>
      <c r="G706" t="s">
        <v>1702</v>
      </c>
      <c r="H706" t="str">
        <f>"00339750"</f>
        <v>00339750</v>
      </c>
      <c r="I706">
        <v>39.6</v>
      </c>
      <c r="J706">
        <v>10</v>
      </c>
      <c r="M706">
        <v>4</v>
      </c>
      <c r="N706">
        <v>4</v>
      </c>
      <c r="O706">
        <v>4</v>
      </c>
      <c r="P706">
        <v>0</v>
      </c>
      <c r="Q706">
        <v>57.6</v>
      </c>
      <c r="R706">
        <v>31</v>
      </c>
      <c r="S706">
        <v>31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31</v>
      </c>
      <c r="AA706">
        <v>6</v>
      </c>
      <c r="AB706">
        <v>0</v>
      </c>
      <c r="AD706">
        <v>94.6</v>
      </c>
    </row>
    <row r="707" spans="1:30" x14ac:dyDescent="0.3">
      <c r="A707" s="4">
        <v>718</v>
      </c>
      <c r="B707" s="5">
        <v>700</v>
      </c>
      <c r="C707">
        <v>4332</v>
      </c>
      <c r="D707" t="s">
        <v>1703</v>
      </c>
      <c r="E707" t="s">
        <v>54</v>
      </c>
      <c r="F707" t="s">
        <v>17</v>
      </c>
      <c r="G707" t="s">
        <v>1704</v>
      </c>
      <c r="H707" t="str">
        <f>"00531280"</f>
        <v>00531280</v>
      </c>
      <c r="I707">
        <v>57.6</v>
      </c>
      <c r="J707">
        <v>0</v>
      </c>
      <c r="N707">
        <v>0</v>
      </c>
      <c r="O707">
        <v>4</v>
      </c>
      <c r="P707">
        <v>2</v>
      </c>
      <c r="Q707">
        <v>63.6</v>
      </c>
      <c r="R707">
        <v>28</v>
      </c>
      <c r="S707">
        <v>28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28</v>
      </c>
      <c r="AA707">
        <v>3</v>
      </c>
      <c r="AB707">
        <v>0</v>
      </c>
      <c r="AD707">
        <v>94.6</v>
      </c>
    </row>
    <row r="708" spans="1:30" x14ac:dyDescent="0.3">
      <c r="A708" s="4">
        <v>719</v>
      </c>
      <c r="B708" s="5">
        <v>701</v>
      </c>
      <c r="C708">
        <v>1354</v>
      </c>
      <c r="D708" t="s">
        <v>1705</v>
      </c>
      <c r="E708" t="s">
        <v>54</v>
      </c>
      <c r="F708" t="s">
        <v>55</v>
      </c>
      <c r="G708" t="s">
        <v>1706</v>
      </c>
      <c r="H708" t="str">
        <f>"00290002"</f>
        <v>00290002</v>
      </c>
      <c r="I708">
        <v>22.56</v>
      </c>
      <c r="J708">
        <v>0</v>
      </c>
      <c r="N708">
        <v>0</v>
      </c>
      <c r="O708">
        <v>4</v>
      </c>
      <c r="P708">
        <v>0</v>
      </c>
      <c r="Q708">
        <v>26.56</v>
      </c>
      <c r="R708">
        <v>56</v>
      </c>
      <c r="S708">
        <v>56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56</v>
      </c>
      <c r="AA708">
        <v>12</v>
      </c>
      <c r="AB708">
        <v>0</v>
      </c>
      <c r="AD708">
        <v>94.56</v>
      </c>
    </row>
    <row r="709" spans="1:30" x14ac:dyDescent="0.3">
      <c r="A709" s="4">
        <v>720</v>
      </c>
      <c r="B709" s="5">
        <v>702</v>
      </c>
      <c r="C709">
        <v>2802</v>
      </c>
      <c r="D709" t="s">
        <v>1707</v>
      </c>
      <c r="E709" t="s">
        <v>132</v>
      </c>
      <c r="F709" t="s">
        <v>193</v>
      </c>
      <c r="G709" t="s">
        <v>1708</v>
      </c>
      <c r="H709" t="str">
        <f>"00530645"</f>
        <v>00530645</v>
      </c>
      <c r="I709">
        <v>39.56</v>
      </c>
      <c r="J709">
        <v>0</v>
      </c>
      <c r="M709">
        <v>4</v>
      </c>
      <c r="N709">
        <v>4</v>
      </c>
      <c r="O709">
        <v>4</v>
      </c>
      <c r="P709">
        <v>0</v>
      </c>
      <c r="Q709">
        <v>47.56</v>
      </c>
      <c r="R709">
        <v>47</v>
      </c>
      <c r="S709">
        <v>47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47</v>
      </c>
      <c r="AA709">
        <v>0</v>
      </c>
      <c r="AB709">
        <v>0</v>
      </c>
      <c r="AD709">
        <v>94.56</v>
      </c>
    </row>
    <row r="710" spans="1:30" x14ac:dyDescent="0.3">
      <c r="A710" s="4">
        <v>721</v>
      </c>
      <c r="B710" s="5">
        <v>703</v>
      </c>
      <c r="C710">
        <v>425</v>
      </c>
      <c r="D710" t="s">
        <v>1709</v>
      </c>
      <c r="E710" t="s">
        <v>479</v>
      </c>
      <c r="F710" t="s">
        <v>136</v>
      </c>
      <c r="G710" t="s">
        <v>1710</v>
      </c>
      <c r="H710" t="str">
        <f>"00083551"</f>
        <v>00083551</v>
      </c>
      <c r="I710">
        <v>50.4</v>
      </c>
      <c r="J710">
        <v>0</v>
      </c>
      <c r="N710">
        <v>0</v>
      </c>
      <c r="O710">
        <v>4</v>
      </c>
      <c r="P710">
        <v>2</v>
      </c>
      <c r="Q710">
        <v>56.4</v>
      </c>
      <c r="R710">
        <v>35</v>
      </c>
      <c r="S710">
        <v>35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35</v>
      </c>
      <c r="AA710">
        <v>3</v>
      </c>
      <c r="AB710">
        <v>0</v>
      </c>
      <c r="AD710">
        <v>94.4</v>
      </c>
    </row>
    <row r="711" spans="1:30" x14ac:dyDescent="0.3">
      <c r="A711" s="4">
        <v>722</v>
      </c>
      <c r="B711" s="5">
        <v>704</v>
      </c>
      <c r="C711">
        <v>3403</v>
      </c>
      <c r="D711" t="s">
        <v>1711</v>
      </c>
      <c r="E711" t="s">
        <v>894</v>
      </c>
      <c r="F711" t="s">
        <v>81</v>
      </c>
      <c r="G711" t="s">
        <v>1712</v>
      </c>
      <c r="H711" t="str">
        <f>"00163158"</f>
        <v>00163158</v>
      </c>
      <c r="I711">
        <v>36.4</v>
      </c>
      <c r="J711">
        <v>0</v>
      </c>
      <c r="N711">
        <v>0</v>
      </c>
      <c r="O711">
        <v>4</v>
      </c>
      <c r="P711">
        <v>2</v>
      </c>
      <c r="Q711">
        <v>42.4</v>
      </c>
      <c r="R711">
        <v>52</v>
      </c>
      <c r="S711">
        <v>52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52</v>
      </c>
      <c r="AA711">
        <v>0</v>
      </c>
      <c r="AB711">
        <v>0</v>
      </c>
      <c r="AD711">
        <v>94.4</v>
      </c>
    </row>
    <row r="712" spans="1:30" x14ac:dyDescent="0.3">
      <c r="A712" s="4">
        <v>723</v>
      </c>
      <c r="B712" s="5">
        <v>705</v>
      </c>
      <c r="C712">
        <v>194</v>
      </c>
      <c r="D712" t="s">
        <v>1713</v>
      </c>
      <c r="E712" t="s">
        <v>516</v>
      </c>
      <c r="F712" t="s">
        <v>230</v>
      </c>
      <c r="G712" t="s">
        <v>1714</v>
      </c>
      <c r="H712" t="str">
        <f>"00526911"</f>
        <v>00526911</v>
      </c>
      <c r="I712">
        <v>38.24</v>
      </c>
      <c r="J712">
        <v>0</v>
      </c>
      <c r="N712">
        <v>0</v>
      </c>
      <c r="O712">
        <v>4</v>
      </c>
      <c r="P712">
        <v>0</v>
      </c>
      <c r="Q712">
        <v>42.24</v>
      </c>
      <c r="R712">
        <v>52</v>
      </c>
      <c r="S712">
        <v>52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52</v>
      </c>
      <c r="AA712">
        <v>0</v>
      </c>
      <c r="AB712">
        <v>0</v>
      </c>
      <c r="AD712">
        <v>94.24</v>
      </c>
    </row>
    <row r="713" spans="1:30" x14ac:dyDescent="0.3">
      <c r="A713" s="4">
        <v>724</v>
      </c>
      <c r="B713" s="5">
        <v>706</v>
      </c>
      <c r="C713">
        <v>3096</v>
      </c>
      <c r="D713" t="s">
        <v>1715</v>
      </c>
      <c r="E713" t="s">
        <v>1716</v>
      </c>
      <c r="F713" t="s">
        <v>91</v>
      </c>
      <c r="G713" t="s">
        <v>1717</v>
      </c>
      <c r="H713" t="str">
        <f>"201511027175"</f>
        <v>201511027175</v>
      </c>
      <c r="I713">
        <v>50.4</v>
      </c>
      <c r="J713">
        <v>0</v>
      </c>
      <c r="M713">
        <v>4</v>
      </c>
      <c r="N713">
        <v>4</v>
      </c>
      <c r="O713">
        <v>4</v>
      </c>
      <c r="P713">
        <v>0</v>
      </c>
      <c r="Q713">
        <v>58.4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9</v>
      </c>
      <c r="AB713">
        <v>26.8</v>
      </c>
      <c r="AD713">
        <v>94.2</v>
      </c>
    </row>
    <row r="714" spans="1:30" x14ac:dyDescent="0.3">
      <c r="A714" s="4">
        <v>725</v>
      </c>
      <c r="B714" s="5">
        <v>707</v>
      </c>
      <c r="C714">
        <v>3310</v>
      </c>
      <c r="D714" t="s">
        <v>1718</v>
      </c>
      <c r="E714" t="s">
        <v>161</v>
      </c>
      <c r="F714" t="s">
        <v>1719</v>
      </c>
      <c r="G714" t="s">
        <v>1720</v>
      </c>
      <c r="H714" t="str">
        <f>"00555369"</f>
        <v>00555369</v>
      </c>
      <c r="I714">
        <v>57.6</v>
      </c>
      <c r="J714">
        <v>0</v>
      </c>
      <c r="N714">
        <v>0</v>
      </c>
      <c r="O714">
        <v>4</v>
      </c>
      <c r="P714">
        <v>0</v>
      </c>
      <c r="Q714">
        <v>61.6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3</v>
      </c>
      <c r="AB714">
        <v>29.6</v>
      </c>
      <c r="AD714">
        <v>94.2</v>
      </c>
    </row>
    <row r="715" spans="1:30" x14ac:dyDescent="0.3">
      <c r="A715" s="4">
        <v>726</v>
      </c>
      <c r="B715" s="5">
        <v>708</v>
      </c>
      <c r="C715">
        <v>4813</v>
      </c>
      <c r="D715" t="s">
        <v>1721</v>
      </c>
      <c r="E715" t="s">
        <v>178</v>
      </c>
      <c r="F715" t="s">
        <v>20</v>
      </c>
      <c r="G715" t="s">
        <v>1722</v>
      </c>
      <c r="H715" t="str">
        <f>"00532689"</f>
        <v>00532689</v>
      </c>
      <c r="I715">
        <v>34.200000000000003</v>
      </c>
      <c r="J715">
        <v>10</v>
      </c>
      <c r="M715">
        <v>4</v>
      </c>
      <c r="N715">
        <v>4</v>
      </c>
      <c r="O715">
        <v>4</v>
      </c>
      <c r="P715">
        <v>2</v>
      </c>
      <c r="Q715">
        <v>54.2</v>
      </c>
      <c r="R715">
        <v>40</v>
      </c>
      <c r="S715">
        <v>40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40</v>
      </c>
      <c r="AA715">
        <v>0</v>
      </c>
      <c r="AB715">
        <v>0</v>
      </c>
      <c r="AD715">
        <v>94.2</v>
      </c>
    </row>
    <row r="716" spans="1:30" x14ac:dyDescent="0.3">
      <c r="A716" s="4">
        <v>727</v>
      </c>
      <c r="B716" s="5">
        <v>709</v>
      </c>
      <c r="C716">
        <v>738</v>
      </c>
      <c r="D716" t="s">
        <v>1723</v>
      </c>
      <c r="E716" t="s">
        <v>1300</v>
      </c>
      <c r="F716" t="s">
        <v>1724</v>
      </c>
      <c r="G716" t="s">
        <v>1725</v>
      </c>
      <c r="H716" t="str">
        <f>"00510374"</f>
        <v>00510374</v>
      </c>
      <c r="I716">
        <v>30.12</v>
      </c>
      <c r="J716">
        <v>0</v>
      </c>
      <c r="K716">
        <v>8</v>
      </c>
      <c r="N716">
        <v>8</v>
      </c>
      <c r="O716">
        <v>0</v>
      </c>
      <c r="P716">
        <v>0</v>
      </c>
      <c r="Q716">
        <v>38.119999999999997</v>
      </c>
      <c r="R716">
        <v>47</v>
      </c>
      <c r="S716">
        <v>47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47</v>
      </c>
      <c r="AA716">
        <v>9</v>
      </c>
      <c r="AB716">
        <v>0</v>
      </c>
      <c r="AD716">
        <v>94.12</v>
      </c>
    </row>
    <row r="717" spans="1:30" x14ac:dyDescent="0.3">
      <c r="A717" s="4">
        <v>728</v>
      </c>
      <c r="B717" s="5">
        <v>710</v>
      </c>
      <c r="C717">
        <v>1026</v>
      </c>
      <c r="D717" t="s">
        <v>1726</v>
      </c>
      <c r="E717" t="s">
        <v>166</v>
      </c>
      <c r="F717" t="s">
        <v>238</v>
      </c>
      <c r="G717" t="s">
        <v>1727</v>
      </c>
      <c r="H717" t="str">
        <f>"00507406"</f>
        <v>00507406</v>
      </c>
      <c r="I717">
        <v>72</v>
      </c>
      <c r="J717">
        <v>0</v>
      </c>
      <c r="K717">
        <v>8</v>
      </c>
      <c r="N717">
        <v>8</v>
      </c>
      <c r="O717">
        <v>4</v>
      </c>
      <c r="P717">
        <v>2</v>
      </c>
      <c r="Q717">
        <v>86</v>
      </c>
      <c r="R717">
        <v>8</v>
      </c>
      <c r="S717">
        <v>8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8</v>
      </c>
      <c r="AA717">
        <v>0</v>
      </c>
      <c r="AB717">
        <v>0</v>
      </c>
      <c r="AD717">
        <v>94</v>
      </c>
    </row>
    <row r="718" spans="1:30" x14ac:dyDescent="0.3">
      <c r="A718" s="4">
        <v>729</v>
      </c>
      <c r="B718" s="5">
        <v>711</v>
      </c>
      <c r="C718">
        <v>22</v>
      </c>
      <c r="D718" t="s">
        <v>1286</v>
      </c>
      <c r="E718" t="s">
        <v>1728</v>
      </c>
      <c r="F718" t="s">
        <v>375</v>
      </c>
      <c r="G718" t="s">
        <v>1729</v>
      </c>
      <c r="H718" t="str">
        <f>"00011581"</f>
        <v>00011581</v>
      </c>
      <c r="I718">
        <v>36</v>
      </c>
      <c r="J718">
        <v>10</v>
      </c>
      <c r="K718">
        <v>8</v>
      </c>
      <c r="N718">
        <v>8</v>
      </c>
      <c r="O718">
        <v>4</v>
      </c>
      <c r="P718">
        <v>2</v>
      </c>
      <c r="Q718">
        <v>60</v>
      </c>
      <c r="R718">
        <v>34</v>
      </c>
      <c r="S718">
        <v>34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34</v>
      </c>
      <c r="AA718">
        <v>0</v>
      </c>
      <c r="AB718">
        <v>0</v>
      </c>
      <c r="AD718">
        <v>94</v>
      </c>
    </row>
    <row r="719" spans="1:30" x14ac:dyDescent="0.3">
      <c r="A719" s="4">
        <v>730</v>
      </c>
      <c r="B719" s="5">
        <v>712</v>
      </c>
      <c r="C719">
        <v>3781</v>
      </c>
      <c r="D719" t="s">
        <v>1730</v>
      </c>
      <c r="E719" t="s">
        <v>100</v>
      </c>
      <c r="F719" t="s">
        <v>782</v>
      </c>
      <c r="G719" t="s">
        <v>1731</v>
      </c>
      <c r="H719" t="str">
        <f>"201511039833"</f>
        <v>201511039833</v>
      </c>
      <c r="I719">
        <v>36</v>
      </c>
      <c r="J719">
        <v>0</v>
      </c>
      <c r="K719">
        <v>8</v>
      </c>
      <c r="N719">
        <v>8</v>
      </c>
      <c r="O719">
        <v>4</v>
      </c>
      <c r="P719">
        <v>0</v>
      </c>
      <c r="Q719">
        <v>48</v>
      </c>
      <c r="R719">
        <v>46</v>
      </c>
      <c r="S719">
        <v>46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46</v>
      </c>
      <c r="AA719">
        <v>0</v>
      </c>
      <c r="AB719">
        <v>0</v>
      </c>
      <c r="AD719">
        <v>94</v>
      </c>
    </row>
    <row r="720" spans="1:30" x14ac:dyDescent="0.3">
      <c r="A720" s="4">
        <v>731</v>
      </c>
      <c r="B720" s="5">
        <v>713</v>
      </c>
      <c r="C720">
        <v>4829</v>
      </c>
      <c r="D720" t="s">
        <v>1732</v>
      </c>
      <c r="E720" t="s">
        <v>213</v>
      </c>
      <c r="F720" t="s">
        <v>20</v>
      </c>
      <c r="G720" t="s">
        <v>1733</v>
      </c>
      <c r="H720" t="str">
        <f>"00532656"</f>
        <v>00532656</v>
      </c>
      <c r="I720">
        <v>64.8</v>
      </c>
      <c r="J720">
        <v>0</v>
      </c>
      <c r="K720">
        <v>8</v>
      </c>
      <c r="N720">
        <v>8</v>
      </c>
      <c r="O720">
        <v>4</v>
      </c>
      <c r="P720">
        <v>0</v>
      </c>
      <c r="Q720">
        <v>76.8</v>
      </c>
      <c r="R720">
        <v>14</v>
      </c>
      <c r="S720">
        <v>14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14</v>
      </c>
      <c r="AA720">
        <v>3</v>
      </c>
      <c r="AB720">
        <v>0</v>
      </c>
      <c r="AD720">
        <v>93.8</v>
      </c>
    </row>
    <row r="721" spans="1:30" x14ac:dyDescent="0.3">
      <c r="A721" s="4">
        <v>732</v>
      </c>
      <c r="B721" s="5">
        <v>714</v>
      </c>
      <c r="C721">
        <v>4758</v>
      </c>
      <c r="D721" t="s">
        <v>1734</v>
      </c>
      <c r="E721" t="s">
        <v>744</v>
      </c>
      <c r="F721" t="s">
        <v>38</v>
      </c>
      <c r="G721" t="s">
        <v>1735</v>
      </c>
      <c r="H721" t="str">
        <f>"00163462"</f>
        <v>00163462</v>
      </c>
      <c r="I721">
        <v>28.8</v>
      </c>
      <c r="J721">
        <v>10</v>
      </c>
      <c r="M721">
        <v>4</v>
      </c>
      <c r="N721">
        <v>4</v>
      </c>
      <c r="O721">
        <v>4</v>
      </c>
      <c r="P721">
        <v>0</v>
      </c>
      <c r="Q721">
        <v>46.8</v>
      </c>
      <c r="R721">
        <v>44</v>
      </c>
      <c r="S721">
        <v>44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44</v>
      </c>
      <c r="AA721">
        <v>3</v>
      </c>
      <c r="AB721">
        <v>0</v>
      </c>
      <c r="AD721">
        <v>93.8</v>
      </c>
    </row>
    <row r="722" spans="1:30" x14ac:dyDescent="0.3">
      <c r="A722" s="4">
        <v>733</v>
      </c>
      <c r="B722" s="5">
        <v>715</v>
      </c>
      <c r="C722">
        <v>1098</v>
      </c>
      <c r="D722" t="s">
        <v>1736</v>
      </c>
      <c r="E722" t="s">
        <v>88</v>
      </c>
      <c r="F722" t="s">
        <v>227</v>
      </c>
      <c r="G722" t="s">
        <v>1737</v>
      </c>
      <c r="H722" t="str">
        <f>"00508911"</f>
        <v>00508911</v>
      </c>
      <c r="I722">
        <v>28.8</v>
      </c>
      <c r="J722">
        <v>0</v>
      </c>
      <c r="N722">
        <v>0</v>
      </c>
      <c r="O722">
        <v>0</v>
      </c>
      <c r="P722">
        <v>0</v>
      </c>
      <c r="Q722">
        <v>28.8</v>
      </c>
      <c r="R722">
        <v>65</v>
      </c>
      <c r="S722">
        <v>65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65</v>
      </c>
      <c r="AA722">
        <v>0</v>
      </c>
      <c r="AB722">
        <v>0</v>
      </c>
      <c r="AD722">
        <v>93.8</v>
      </c>
    </row>
    <row r="723" spans="1:30" x14ac:dyDescent="0.3">
      <c r="A723" s="4">
        <v>734</v>
      </c>
      <c r="B723" s="5">
        <v>716</v>
      </c>
      <c r="C723">
        <v>4186</v>
      </c>
      <c r="D723" t="s">
        <v>1738</v>
      </c>
      <c r="E723" t="s">
        <v>255</v>
      </c>
      <c r="F723" t="s">
        <v>124</v>
      </c>
      <c r="G723" t="s">
        <v>1739</v>
      </c>
      <c r="H723" t="str">
        <f>"00498640"</f>
        <v>00498640</v>
      </c>
      <c r="I723">
        <v>39.72</v>
      </c>
      <c r="J723">
        <v>0</v>
      </c>
      <c r="N723">
        <v>0</v>
      </c>
      <c r="O723">
        <v>4</v>
      </c>
      <c r="P723">
        <v>2</v>
      </c>
      <c r="Q723">
        <v>45.72</v>
      </c>
      <c r="R723">
        <v>36</v>
      </c>
      <c r="S723">
        <v>36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36</v>
      </c>
      <c r="AA723">
        <v>12</v>
      </c>
      <c r="AB723">
        <v>0</v>
      </c>
      <c r="AD723">
        <v>93.72</v>
      </c>
    </row>
    <row r="724" spans="1:30" x14ac:dyDescent="0.3">
      <c r="A724" s="4">
        <v>735</v>
      </c>
      <c r="B724" s="5">
        <v>717</v>
      </c>
      <c r="C724">
        <v>1802</v>
      </c>
      <c r="D724" t="s">
        <v>1740</v>
      </c>
      <c r="E724" t="s">
        <v>54</v>
      </c>
      <c r="F724" t="s">
        <v>124</v>
      </c>
      <c r="G724" t="s">
        <v>1741</v>
      </c>
      <c r="H724" t="str">
        <f>"00531009"</f>
        <v>00531009</v>
      </c>
      <c r="I724">
        <v>57.6</v>
      </c>
      <c r="J724">
        <v>0</v>
      </c>
      <c r="L724">
        <v>6</v>
      </c>
      <c r="N724">
        <v>6</v>
      </c>
      <c r="O724">
        <v>4</v>
      </c>
      <c r="P724">
        <v>2</v>
      </c>
      <c r="Q724">
        <v>69.599999999999994</v>
      </c>
      <c r="R724">
        <v>18</v>
      </c>
      <c r="S724">
        <v>18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18</v>
      </c>
      <c r="AA724">
        <v>6</v>
      </c>
      <c r="AB724">
        <v>0</v>
      </c>
      <c r="AD724">
        <v>93.6</v>
      </c>
    </row>
    <row r="725" spans="1:30" x14ac:dyDescent="0.3">
      <c r="A725" s="4">
        <v>736</v>
      </c>
      <c r="B725" s="5">
        <v>718</v>
      </c>
      <c r="C725">
        <v>4402</v>
      </c>
      <c r="D725" t="s">
        <v>1742</v>
      </c>
      <c r="E725" t="s">
        <v>1743</v>
      </c>
      <c r="F725" t="s">
        <v>38</v>
      </c>
      <c r="G725" t="s">
        <v>1744</v>
      </c>
      <c r="H725" t="str">
        <f>"00522949"</f>
        <v>00522949</v>
      </c>
      <c r="I725">
        <v>22.56</v>
      </c>
      <c r="J725">
        <v>0</v>
      </c>
      <c r="N725">
        <v>0</v>
      </c>
      <c r="O725">
        <v>0</v>
      </c>
      <c r="P725">
        <v>0</v>
      </c>
      <c r="Q725">
        <v>22.56</v>
      </c>
      <c r="R725">
        <v>65</v>
      </c>
      <c r="S725">
        <v>65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65</v>
      </c>
      <c r="AA725">
        <v>6</v>
      </c>
      <c r="AB725">
        <v>0</v>
      </c>
      <c r="AD725">
        <v>93.56</v>
      </c>
    </row>
    <row r="726" spans="1:30" x14ac:dyDescent="0.3">
      <c r="A726" s="4">
        <v>737</v>
      </c>
      <c r="B726" s="5">
        <v>719</v>
      </c>
      <c r="C726">
        <v>1204</v>
      </c>
      <c r="D726" t="s">
        <v>929</v>
      </c>
      <c r="E726" t="s">
        <v>161</v>
      </c>
      <c r="F726" t="s">
        <v>158</v>
      </c>
      <c r="G726" t="s">
        <v>1745</v>
      </c>
      <c r="H726" t="str">
        <f>"201511022467"</f>
        <v>201511022467</v>
      </c>
      <c r="I726">
        <v>37.08</v>
      </c>
      <c r="J726">
        <v>0</v>
      </c>
      <c r="L726">
        <v>6</v>
      </c>
      <c r="N726">
        <v>6</v>
      </c>
      <c r="O726">
        <v>4</v>
      </c>
      <c r="P726">
        <v>0</v>
      </c>
      <c r="Q726">
        <v>47.08</v>
      </c>
      <c r="R726">
        <v>17</v>
      </c>
      <c r="S726">
        <v>17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17</v>
      </c>
      <c r="AA726">
        <v>9</v>
      </c>
      <c r="AB726">
        <v>20.399999999999999</v>
      </c>
      <c r="AD726">
        <v>93.48</v>
      </c>
    </row>
    <row r="727" spans="1:30" x14ac:dyDescent="0.3">
      <c r="A727" s="4">
        <v>738</v>
      </c>
      <c r="B727" s="5">
        <v>720</v>
      </c>
      <c r="C727">
        <v>1387</v>
      </c>
      <c r="D727" t="s">
        <v>1746</v>
      </c>
      <c r="E727" t="s">
        <v>1747</v>
      </c>
      <c r="F727" t="s">
        <v>1748</v>
      </c>
      <c r="G727" t="s">
        <v>1749</v>
      </c>
      <c r="H727" t="str">
        <f>"00504944"</f>
        <v>00504944</v>
      </c>
      <c r="I727">
        <v>50.4</v>
      </c>
      <c r="J727">
        <v>10</v>
      </c>
      <c r="N727">
        <v>0</v>
      </c>
      <c r="O727">
        <v>4</v>
      </c>
      <c r="P727">
        <v>2</v>
      </c>
      <c r="Q727">
        <v>66.400000000000006</v>
      </c>
      <c r="R727">
        <v>27</v>
      </c>
      <c r="S727">
        <v>27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27</v>
      </c>
      <c r="AA727">
        <v>0</v>
      </c>
      <c r="AB727">
        <v>0</v>
      </c>
      <c r="AD727">
        <v>93.4</v>
      </c>
    </row>
    <row r="728" spans="1:30" x14ac:dyDescent="0.3">
      <c r="A728" s="4">
        <v>739</v>
      </c>
      <c r="B728" s="5">
        <v>721</v>
      </c>
      <c r="C728">
        <v>37</v>
      </c>
      <c r="D728" t="s">
        <v>1750</v>
      </c>
      <c r="E728" t="s">
        <v>29</v>
      </c>
      <c r="F728" t="s">
        <v>158</v>
      </c>
      <c r="G728" t="s">
        <v>1751</v>
      </c>
      <c r="H728" t="str">
        <f>"00531877"</f>
        <v>00531877</v>
      </c>
      <c r="I728">
        <v>50.4</v>
      </c>
      <c r="J728">
        <v>0</v>
      </c>
      <c r="M728">
        <v>4</v>
      </c>
      <c r="N728">
        <v>4</v>
      </c>
      <c r="O728">
        <v>4</v>
      </c>
      <c r="P728">
        <v>2</v>
      </c>
      <c r="Q728">
        <v>60.4</v>
      </c>
      <c r="R728">
        <v>33</v>
      </c>
      <c r="S728">
        <v>33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33</v>
      </c>
      <c r="AA728">
        <v>0</v>
      </c>
      <c r="AB728">
        <v>0</v>
      </c>
      <c r="AD728">
        <v>93.4</v>
      </c>
    </row>
    <row r="729" spans="1:30" x14ac:dyDescent="0.3">
      <c r="A729" s="4">
        <v>740</v>
      </c>
      <c r="B729" s="5">
        <v>722</v>
      </c>
      <c r="C729">
        <v>309</v>
      </c>
      <c r="D729" t="s">
        <v>1752</v>
      </c>
      <c r="E729" t="s">
        <v>26</v>
      </c>
      <c r="F729" t="s">
        <v>136</v>
      </c>
      <c r="G729" t="s">
        <v>1753</v>
      </c>
      <c r="H729" t="str">
        <f>"00515120"</f>
        <v>00515120</v>
      </c>
      <c r="I729">
        <v>20.36</v>
      </c>
      <c r="J729">
        <v>0</v>
      </c>
      <c r="N729">
        <v>0</v>
      </c>
      <c r="O729">
        <v>4</v>
      </c>
      <c r="P729">
        <v>0</v>
      </c>
      <c r="Q729">
        <v>24.36</v>
      </c>
      <c r="R729">
        <v>60</v>
      </c>
      <c r="S729">
        <v>60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60</v>
      </c>
      <c r="AA729">
        <v>9</v>
      </c>
      <c r="AB729">
        <v>0</v>
      </c>
      <c r="AD729">
        <v>93.36</v>
      </c>
    </row>
    <row r="730" spans="1:30" x14ac:dyDescent="0.3">
      <c r="A730" s="4">
        <v>741</v>
      </c>
      <c r="B730" s="5">
        <v>723</v>
      </c>
      <c r="C730">
        <v>4694</v>
      </c>
      <c r="D730" t="s">
        <v>322</v>
      </c>
      <c r="E730" t="s">
        <v>29</v>
      </c>
      <c r="F730" t="s">
        <v>1754</v>
      </c>
      <c r="G730" t="s">
        <v>1755</v>
      </c>
      <c r="H730" t="str">
        <f>"00504295"</f>
        <v>00504295</v>
      </c>
      <c r="I730">
        <v>37.32</v>
      </c>
      <c r="J730">
        <v>0</v>
      </c>
      <c r="N730">
        <v>0</v>
      </c>
      <c r="O730">
        <v>4</v>
      </c>
      <c r="P730">
        <v>2</v>
      </c>
      <c r="Q730">
        <v>43.32</v>
      </c>
      <c r="R730">
        <v>41</v>
      </c>
      <c r="S730">
        <v>41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41</v>
      </c>
      <c r="AA730">
        <v>9</v>
      </c>
      <c r="AB730">
        <v>0</v>
      </c>
      <c r="AD730">
        <v>93.32</v>
      </c>
    </row>
    <row r="731" spans="1:30" x14ac:dyDescent="0.3">
      <c r="A731" s="4">
        <v>742</v>
      </c>
      <c r="B731" s="5">
        <v>724</v>
      </c>
      <c r="C731">
        <v>1610</v>
      </c>
      <c r="D731" t="s">
        <v>1756</v>
      </c>
      <c r="E731" t="s">
        <v>54</v>
      </c>
      <c r="F731" t="s">
        <v>30</v>
      </c>
      <c r="G731" t="s">
        <v>1757</v>
      </c>
      <c r="H731" t="str">
        <f>"00153855"</f>
        <v>00153855</v>
      </c>
      <c r="I731">
        <v>43.2</v>
      </c>
      <c r="J731">
        <v>0</v>
      </c>
      <c r="M731">
        <v>4</v>
      </c>
      <c r="N731">
        <v>4</v>
      </c>
      <c r="O731">
        <v>4</v>
      </c>
      <c r="P731">
        <v>0</v>
      </c>
      <c r="Q731">
        <v>51.2</v>
      </c>
      <c r="R731">
        <v>36</v>
      </c>
      <c r="S731">
        <v>36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36</v>
      </c>
      <c r="AA731">
        <v>6</v>
      </c>
      <c r="AB731">
        <v>0</v>
      </c>
      <c r="AD731">
        <v>93.2</v>
      </c>
    </row>
    <row r="732" spans="1:30" x14ac:dyDescent="0.3">
      <c r="A732" s="4">
        <v>743</v>
      </c>
      <c r="B732" s="5">
        <v>725</v>
      </c>
      <c r="C732">
        <v>2159</v>
      </c>
      <c r="D732" t="s">
        <v>1758</v>
      </c>
      <c r="E732" t="s">
        <v>166</v>
      </c>
      <c r="F732" t="s">
        <v>298</v>
      </c>
      <c r="G732" t="s">
        <v>1759</v>
      </c>
      <c r="H732" t="str">
        <f>"00477841"</f>
        <v>00477841</v>
      </c>
      <c r="I732">
        <v>43.2</v>
      </c>
      <c r="J732">
        <v>0</v>
      </c>
      <c r="N732">
        <v>0</v>
      </c>
      <c r="O732">
        <v>0</v>
      </c>
      <c r="P732">
        <v>0</v>
      </c>
      <c r="Q732">
        <v>43.2</v>
      </c>
      <c r="R732">
        <v>44</v>
      </c>
      <c r="S732">
        <v>44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44</v>
      </c>
      <c r="AA732">
        <v>6</v>
      </c>
      <c r="AB732">
        <v>0</v>
      </c>
      <c r="AD732">
        <v>93.2</v>
      </c>
    </row>
    <row r="733" spans="1:30" x14ac:dyDescent="0.3">
      <c r="A733" s="4">
        <v>744</v>
      </c>
      <c r="B733" s="5">
        <v>726</v>
      </c>
      <c r="C733">
        <v>2322</v>
      </c>
      <c r="D733" t="s">
        <v>1760</v>
      </c>
      <c r="E733" t="s">
        <v>166</v>
      </c>
      <c r="F733" t="s">
        <v>20</v>
      </c>
      <c r="G733" t="s">
        <v>1761</v>
      </c>
      <c r="H733" t="str">
        <f>"00533568"</f>
        <v>00533568</v>
      </c>
      <c r="I733">
        <v>34.200000000000003</v>
      </c>
      <c r="J733">
        <v>0</v>
      </c>
      <c r="N733">
        <v>0</v>
      </c>
      <c r="O733">
        <v>0</v>
      </c>
      <c r="P733">
        <v>0</v>
      </c>
      <c r="Q733">
        <v>34.200000000000003</v>
      </c>
      <c r="R733">
        <v>59</v>
      </c>
      <c r="S733">
        <v>59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59</v>
      </c>
      <c r="AA733">
        <v>0</v>
      </c>
      <c r="AB733">
        <v>0</v>
      </c>
      <c r="AD733">
        <v>93.2</v>
      </c>
    </row>
    <row r="734" spans="1:30" x14ac:dyDescent="0.3">
      <c r="A734" s="4">
        <v>745</v>
      </c>
      <c r="B734" s="5">
        <v>727</v>
      </c>
      <c r="C734">
        <v>4220</v>
      </c>
      <c r="D734" t="s">
        <v>1762</v>
      </c>
      <c r="E734" t="s">
        <v>29</v>
      </c>
      <c r="F734" t="s">
        <v>124</v>
      </c>
      <c r="G734" t="s">
        <v>1763</v>
      </c>
      <c r="H734" t="str">
        <f>"00507124"</f>
        <v>00507124</v>
      </c>
      <c r="I734">
        <v>31.08</v>
      </c>
      <c r="J734">
        <v>10</v>
      </c>
      <c r="N734">
        <v>0</v>
      </c>
      <c r="O734">
        <v>0</v>
      </c>
      <c r="P734">
        <v>0</v>
      </c>
      <c r="Q734">
        <v>41.08</v>
      </c>
      <c r="R734">
        <v>52</v>
      </c>
      <c r="S734">
        <v>52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52</v>
      </c>
      <c r="AA734">
        <v>0</v>
      </c>
      <c r="AB734">
        <v>0</v>
      </c>
      <c r="AD734">
        <v>93.08</v>
      </c>
    </row>
    <row r="735" spans="1:30" x14ac:dyDescent="0.3">
      <c r="A735" s="4">
        <v>746</v>
      </c>
      <c r="B735" s="5">
        <v>728</v>
      </c>
      <c r="C735">
        <v>1437</v>
      </c>
      <c r="D735" t="s">
        <v>1764</v>
      </c>
      <c r="E735" t="s">
        <v>33</v>
      </c>
      <c r="F735" t="s">
        <v>79</v>
      </c>
      <c r="G735" t="s">
        <v>1765</v>
      </c>
      <c r="H735" t="str">
        <f>"201109000041"</f>
        <v>201109000041</v>
      </c>
      <c r="I735">
        <v>36</v>
      </c>
      <c r="J735">
        <v>0</v>
      </c>
      <c r="M735">
        <v>4</v>
      </c>
      <c r="N735">
        <v>4</v>
      </c>
      <c r="O735">
        <v>4</v>
      </c>
      <c r="P735">
        <v>2</v>
      </c>
      <c r="Q735">
        <v>46</v>
      </c>
      <c r="R735">
        <v>41</v>
      </c>
      <c r="S735">
        <v>41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41</v>
      </c>
      <c r="AA735">
        <v>6</v>
      </c>
      <c r="AB735">
        <v>0</v>
      </c>
      <c r="AD735">
        <v>93</v>
      </c>
    </row>
    <row r="736" spans="1:30" x14ac:dyDescent="0.3">
      <c r="A736" s="4">
        <v>747</v>
      </c>
      <c r="B736" s="5">
        <v>729</v>
      </c>
      <c r="C736">
        <v>3757</v>
      </c>
      <c r="D736" t="s">
        <v>1766</v>
      </c>
      <c r="E736" t="s">
        <v>132</v>
      </c>
      <c r="F736" t="s">
        <v>81</v>
      </c>
      <c r="G736" t="s">
        <v>1767</v>
      </c>
      <c r="H736" t="str">
        <f>"00508839"</f>
        <v>00508839</v>
      </c>
      <c r="I736">
        <v>20</v>
      </c>
      <c r="J736">
        <v>0</v>
      </c>
      <c r="M736">
        <v>4</v>
      </c>
      <c r="N736">
        <v>4</v>
      </c>
      <c r="O736">
        <v>4</v>
      </c>
      <c r="P736">
        <v>0</v>
      </c>
      <c r="Q736">
        <v>28</v>
      </c>
      <c r="R736">
        <v>59</v>
      </c>
      <c r="S736">
        <v>59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59</v>
      </c>
      <c r="AA736">
        <v>6</v>
      </c>
      <c r="AB736">
        <v>0</v>
      </c>
      <c r="AD736">
        <v>93</v>
      </c>
    </row>
    <row r="737" spans="1:30" x14ac:dyDescent="0.3">
      <c r="A737" s="4">
        <v>748</v>
      </c>
      <c r="B737" s="5">
        <v>730</v>
      </c>
      <c r="C737">
        <v>3865</v>
      </c>
      <c r="D737" t="s">
        <v>1768</v>
      </c>
      <c r="E737" t="s">
        <v>54</v>
      </c>
      <c r="F737" t="s">
        <v>81</v>
      </c>
      <c r="G737" t="s">
        <v>1769</v>
      </c>
      <c r="H737" t="str">
        <f>"00508242"</f>
        <v>00508242</v>
      </c>
      <c r="I737">
        <v>36</v>
      </c>
      <c r="J737">
        <v>0</v>
      </c>
      <c r="M737">
        <v>4</v>
      </c>
      <c r="N737">
        <v>4</v>
      </c>
      <c r="O737">
        <v>4</v>
      </c>
      <c r="P737">
        <v>0</v>
      </c>
      <c r="Q737">
        <v>44</v>
      </c>
      <c r="R737">
        <v>46</v>
      </c>
      <c r="S737">
        <v>46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46</v>
      </c>
      <c r="AA737">
        <v>3</v>
      </c>
      <c r="AB737">
        <v>0</v>
      </c>
      <c r="AD737">
        <v>93</v>
      </c>
    </row>
    <row r="738" spans="1:30" x14ac:dyDescent="0.3">
      <c r="A738" s="4">
        <v>749</v>
      </c>
      <c r="B738" s="5">
        <v>731</v>
      </c>
      <c r="C738">
        <v>582</v>
      </c>
      <c r="D738" t="s">
        <v>1770</v>
      </c>
      <c r="E738" t="s">
        <v>789</v>
      </c>
      <c r="F738" t="s">
        <v>81</v>
      </c>
      <c r="G738" t="s">
        <v>1771</v>
      </c>
      <c r="H738" t="str">
        <f>"00481411"</f>
        <v>00481411</v>
      </c>
      <c r="I738">
        <v>36</v>
      </c>
      <c r="J738">
        <v>0</v>
      </c>
      <c r="K738">
        <v>8</v>
      </c>
      <c r="N738">
        <v>8</v>
      </c>
      <c r="O738">
        <v>4</v>
      </c>
      <c r="P738">
        <v>2</v>
      </c>
      <c r="Q738">
        <v>50</v>
      </c>
      <c r="R738">
        <v>27</v>
      </c>
      <c r="S738">
        <v>27</v>
      </c>
      <c r="T738">
        <v>8</v>
      </c>
      <c r="U738">
        <v>16</v>
      </c>
      <c r="V738">
        <v>0</v>
      </c>
      <c r="W738">
        <v>0</v>
      </c>
      <c r="X738">
        <v>0</v>
      </c>
      <c r="Y738">
        <v>0</v>
      </c>
      <c r="Z738">
        <v>43</v>
      </c>
      <c r="AA738">
        <v>0</v>
      </c>
      <c r="AB738">
        <v>0</v>
      </c>
      <c r="AD738">
        <v>93</v>
      </c>
    </row>
    <row r="739" spans="1:30" x14ac:dyDescent="0.3">
      <c r="A739" s="4">
        <v>750</v>
      </c>
      <c r="B739" s="5">
        <v>732</v>
      </c>
      <c r="C739">
        <v>515</v>
      </c>
      <c r="D739" t="s">
        <v>1772</v>
      </c>
      <c r="E739" t="s">
        <v>41</v>
      </c>
      <c r="F739" t="s">
        <v>190</v>
      </c>
      <c r="G739" t="s">
        <v>1773</v>
      </c>
      <c r="H739" t="str">
        <f>"00513829"</f>
        <v>00513829</v>
      </c>
      <c r="I739">
        <v>24.84</v>
      </c>
      <c r="J739">
        <v>0</v>
      </c>
      <c r="N739">
        <v>0</v>
      </c>
      <c r="O739">
        <v>0</v>
      </c>
      <c r="P739">
        <v>0</v>
      </c>
      <c r="Q739">
        <v>24.84</v>
      </c>
      <c r="R739">
        <v>68</v>
      </c>
      <c r="S739">
        <v>68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68</v>
      </c>
      <c r="AA739">
        <v>0</v>
      </c>
      <c r="AB739">
        <v>0</v>
      </c>
      <c r="AD739">
        <v>92.84</v>
      </c>
    </row>
    <row r="740" spans="1:30" x14ac:dyDescent="0.3">
      <c r="A740" s="4">
        <v>751</v>
      </c>
      <c r="B740" s="5">
        <v>733</v>
      </c>
      <c r="C740">
        <v>3223</v>
      </c>
      <c r="D740" t="s">
        <v>1774</v>
      </c>
      <c r="E740" t="s">
        <v>33</v>
      </c>
      <c r="F740" t="s">
        <v>81</v>
      </c>
      <c r="G740" t="s">
        <v>1775</v>
      </c>
      <c r="H740" t="str">
        <f>"00016358"</f>
        <v>00016358</v>
      </c>
      <c r="I740">
        <v>64.8</v>
      </c>
      <c r="J740">
        <v>10</v>
      </c>
      <c r="M740">
        <v>8</v>
      </c>
      <c r="N740">
        <v>8</v>
      </c>
      <c r="O740">
        <v>4</v>
      </c>
      <c r="P740">
        <v>0</v>
      </c>
      <c r="Q740">
        <v>86.8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6</v>
      </c>
      <c r="AB740">
        <v>0</v>
      </c>
      <c r="AD740">
        <v>92.8</v>
      </c>
    </row>
    <row r="741" spans="1:30" x14ac:dyDescent="0.3">
      <c r="A741" s="4">
        <v>752</v>
      </c>
      <c r="B741" s="5">
        <v>734</v>
      </c>
      <c r="C741">
        <v>632</v>
      </c>
      <c r="D741" t="s">
        <v>1776</v>
      </c>
      <c r="E741" t="s">
        <v>342</v>
      </c>
      <c r="F741" t="s">
        <v>81</v>
      </c>
      <c r="G741" t="s">
        <v>1777</v>
      </c>
      <c r="H741" t="str">
        <f>"00600545"</f>
        <v>00600545</v>
      </c>
      <c r="I741">
        <v>64.8</v>
      </c>
      <c r="J741">
        <v>0</v>
      </c>
      <c r="K741">
        <v>16</v>
      </c>
      <c r="N741">
        <v>16</v>
      </c>
      <c r="O741">
        <v>4</v>
      </c>
      <c r="P741">
        <v>2</v>
      </c>
      <c r="Q741">
        <v>86.8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6</v>
      </c>
      <c r="AB741">
        <v>0</v>
      </c>
      <c r="AD741">
        <v>92.8</v>
      </c>
    </row>
    <row r="742" spans="1:30" x14ac:dyDescent="0.3">
      <c r="A742" s="4">
        <v>753</v>
      </c>
      <c r="B742" s="5">
        <v>735</v>
      </c>
      <c r="C742">
        <v>841</v>
      </c>
      <c r="D742" t="s">
        <v>1778</v>
      </c>
      <c r="E742" t="s">
        <v>29</v>
      </c>
      <c r="F742" t="s">
        <v>17</v>
      </c>
      <c r="G742" t="s">
        <v>1779</v>
      </c>
      <c r="H742" t="str">
        <f>"00163602"</f>
        <v>00163602</v>
      </c>
      <c r="I742">
        <v>28.8</v>
      </c>
      <c r="J742">
        <v>0</v>
      </c>
      <c r="K742">
        <v>8</v>
      </c>
      <c r="N742">
        <v>8</v>
      </c>
      <c r="O742">
        <v>4</v>
      </c>
      <c r="P742">
        <v>2</v>
      </c>
      <c r="Q742">
        <v>42.8</v>
      </c>
      <c r="R742">
        <v>47</v>
      </c>
      <c r="S742">
        <v>47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47</v>
      </c>
      <c r="AA742">
        <v>3</v>
      </c>
      <c r="AB742">
        <v>0</v>
      </c>
      <c r="AD742">
        <v>92.8</v>
      </c>
    </row>
    <row r="743" spans="1:30" x14ac:dyDescent="0.3">
      <c r="A743" s="4">
        <v>754</v>
      </c>
      <c r="B743" s="5">
        <v>736</v>
      </c>
      <c r="C743">
        <v>1567</v>
      </c>
      <c r="D743" t="s">
        <v>1780</v>
      </c>
      <c r="E743" t="s">
        <v>29</v>
      </c>
      <c r="F743" t="s">
        <v>34</v>
      </c>
      <c r="G743" t="s">
        <v>1781</v>
      </c>
      <c r="H743" t="str">
        <f>"00500410"</f>
        <v>00500410</v>
      </c>
      <c r="I743">
        <v>64.8</v>
      </c>
      <c r="J743">
        <v>10</v>
      </c>
      <c r="K743">
        <v>8</v>
      </c>
      <c r="L743">
        <v>6</v>
      </c>
      <c r="N743">
        <v>14</v>
      </c>
      <c r="O743">
        <v>4</v>
      </c>
      <c r="P743">
        <v>0</v>
      </c>
      <c r="Q743">
        <v>92.8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D743">
        <v>92.8</v>
      </c>
    </row>
    <row r="744" spans="1:30" x14ac:dyDescent="0.3">
      <c r="A744" s="4">
        <v>755</v>
      </c>
      <c r="B744" s="5">
        <v>737</v>
      </c>
      <c r="C744">
        <v>776</v>
      </c>
      <c r="D744" t="s">
        <v>1782</v>
      </c>
      <c r="E744" t="s">
        <v>161</v>
      </c>
      <c r="F744" t="s">
        <v>136</v>
      </c>
      <c r="G744" t="s">
        <v>1783</v>
      </c>
      <c r="H744" t="str">
        <f>"00255049"</f>
        <v>00255049</v>
      </c>
      <c r="I744">
        <v>64.8</v>
      </c>
      <c r="J744">
        <v>0</v>
      </c>
      <c r="L744">
        <v>6</v>
      </c>
      <c r="N744">
        <v>6</v>
      </c>
      <c r="O744">
        <v>4</v>
      </c>
      <c r="P744">
        <v>0</v>
      </c>
      <c r="Q744">
        <v>74.8</v>
      </c>
      <c r="R744">
        <v>18</v>
      </c>
      <c r="S744">
        <v>18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18</v>
      </c>
      <c r="AA744">
        <v>0</v>
      </c>
      <c r="AB744">
        <v>0</v>
      </c>
      <c r="AD744">
        <v>92.8</v>
      </c>
    </row>
    <row r="745" spans="1:30" x14ac:dyDescent="0.3">
      <c r="A745" s="4">
        <v>756</v>
      </c>
      <c r="B745" s="5">
        <v>738</v>
      </c>
      <c r="C745">
        <v>4719</v>
      </c>
      <c r="D745" t="s">
        <v>1784</v>
      </c>
      <c r="E745" t="s">
        <v>1785</v>
      </c>
      <c r="F745" t="s">
        <v>124</v>
      </c>
      <c r="G745" t="s">
        <v>1786</v>
      </c>
      <c r="H745" t="str">
        <f>"00490829"</f>
        <v>00490829</v>
      </c>
      <c r="I745">
        <v>28.8</v>
      </c>
      <c r="J745">
        <v>10</v>
      </c>
      <c r="N745">
        <v>0</v>
      </c>
      <c r="O745">
        <v>0</v>
      </c>
      <c r="P745">
        <v>0</v>
      </c>
      <c r="Q745">
        <v>38.799999999999997</v>
      </c>
      <c r="R745">
        <v>54</v>
      </c>
      <c r="S745">
        <v>54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54</v>
      </c>
      <c r="AA745">
        <v>0</v>
      </c>
      <c r="AB745">
        <v>0</v>
      </c>
      <c r="AD745">
        <v>92.8</v>
      </c>
    </row>
    <row r="746" spans="1:30" x14ac:dyDescent="0.3">
      <c r="A746" s="4">
        <v>757</v>
      </c>
      <c r="B746" s="5">
        <v>739</v>
      </c>
      <c r="C746">
        <v>1363</v>
      </c>
      <c r="D746" t="s">
        <v>1787</v>
      </c>
      <c r="E746" t="s">
        <v>173</v>
      </c>
      <c r="F746" t="s">
        <v>30</v>
      </c>
      <c r="G746" t="s">
        <v>1788</v>
      </c>
      <c r="H746" t="str">
        <f>"00081206"</f>
        <v>00081206</v>
      </c>
      <c r="I746">
        <v>39.6</v>
      </c>
      <c r="J746">
        <v>10</v>
      </c>
      <c r="M746">
        <v>4</v>
      </c>
      <c r="N746">
        <v>4</v>
      </c>
      <c r="O746">
        <v>4</v>
      </c>
      <c r="P746">
        <v>0</v>
      </c>
      <c r="Q746">
        <v>57.6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3</v>
      </c>
      <c r="AB746">
        <v>32</v>
      </c>
      <c r="AD746">
        <v>92.6</v>
      </c>
    </row>
    <row r="747" spans="1:30" x14ac:dyDescent="0.3">
      <c r="A747" s="4">
        <v>758</v>
      </c>
      <c r="B747" s="5">
        <v>740</v>
      </c>
      <c r="C747">
        <v>1409</v>
      </c>
      <c r="D747" t="s">
        <v>1789</v>
      </c>
      <c r="E747" t="s">
        <v>173</v>
      </c>
      <c r="F747" t="s">
        <v>20</v>
      </c>
      <c r="G747" t="s">
        <v>1790</v>
      </c>
      <c r="H747" t="str">
        <f>"00528554"</f>
        <v>00528554</v>
      </c>
      <c r="I747">
        <v>57.6</v>
      </c>
      <c r="J747">
        <v>0</v>
      </c>
      <c r="K747">
        <v>8</v>
      </c>
      <c r="N747">
        <v>8</v>
      </c>
      <c r="O747">
        <v>4</v>
      </c>
      <c r="P747">
        <v>2</v>
      </c>
      <c r="Q747">
        <v>71.599999999999994</v>
      </c>
      <c r="R747">
        <v>18</v>
      </c>
      <c r="S747">
        <v>18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18</v>
      </c>
      <c r="AA747">
        <v>3</v>
      </c>
      <c r="AB747">
        <v>0</v>
      </c>
      <c r="AD747">
        <v>92.6</v>
      </c>
    </row>
    <row r="748" spans="1:30" x14ac:dyDescent="0.3">
      <c r="A748" s="4">
        <v>759</v>
      </c>
      <c r="B748" s="5">
        <v>741</v>
      </c>
      <c r="C748">
        <v>3174</v>
      </c>
      <c r="D748" t="s">
        <v>1791</v>
      </c>
      <c r="E748" t="s">
        <v>170</v>
      </c>
      <c r="F748" t="s">
        <v>750</v>
      </c>
      <c r="G748" t="s">
        <v>1792</v>
      </c>
      <c r="H748" t="str">
        <f>"00017432"</f>
        <v>00017432</v>
      </c>
      <c r="I748">
        <v>33.6</v>
      </c>
      <c r="J748">
        <v>0</v>
      </c>
      <c r="N748">
        <v>0</v>
      </c>
      <c r="O748">
        <v>4</v>
      </c>
      <c r="P748">
        <v>2</v>
      </c>
      <c r="Q748">
        <v>39.6</v>
      </c>
      <c r="R748">
        <v>50</v>
      </c>
      <c r="S748">
        <v>50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50</v>
      </c>
      <c r="AA748">
        <v>3</v>
      </c>
      <c r="AB748">
        <v>0</v>
      </c>
      <c r="AD748">
        <v>92.6</v>
      </c>
    </row>
    <row r="749" spans="1:30" x14ac:dyDescent="0.3">
      <c r="A749" s="4">
        <v>760</v>
      </c>
      <c r="B749" s="5">
        <v>742</v>
      </c>
      <c r="C749">
        <v>4310</v>
      </c>
      <c r="D749" t="s">
        <v>1793</v>
      </c>
      <c r="E749" t="s">
        <v>1794</v>
      </c>
      <c r="F749" t="s">
        <v>17</v>
      </c>
      <c r="G749" t="s">
        <v>1795</v>
      </c>
      <c r="H749" t="str">
        <f>"00497289"</f>
        <v>00497289</v>
      </c>
      <c r="I749">
        <v>21.6</v>
      </c>
      <c r="J749">
        <v>0</v>
      </c>
      <c r="K749">
        <v>8</v>
      </c>
      <c r="N749">
        <v>8</v>
      </c>
      <c r="O749">
        <v>4</v>
      </c>
      <c r="P749">
        <v>2</v>
      </c>
      <c r="Q749">
        <v>35.6</v>
      </c>
      <c r="R749">
        <v>54</v>
      </c>
      <c r="S749">
        <v>54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54</v>
      </c>
      <c r="AA749">
        <v>3</v>
      </c>
      <c r="AB749">
        <v>0</v>
      </c>
      <c r="AD749">
        <v>92.6</v>
      </c>
    </row>
    <row r="750" spans="1:30" x14ac:dyDescent="0.3">
      <c r="A750" s="4">
        <v>761</v>
      </c>
      <c r="B750" s="5">
        <v>743</v>
      </c>
      <c r="C750">
        <v>4000</v>
      </c>
      <c r="D750" t="s">
        <v>1258</v>
      </c>
      <c r="E750" t="s">
        <v>471</v>
      </c>
      <c r="F750" t="s">
        <v>20</v>
      </c>
      <c r="G750" t="s">
        <v>1796</v>
      </c>
      <c r="H750" t="str">
        <f>"201512000915"</f>
        <v>201512000915</v>
      </c>
      <c r="I750">
        <v>21.6</v>
      </c>
      <c r="J750">
        <v>0</v>
      </c>
      <c r="K750">
        <v>8</v>
      </c>
      <c r="N750">
        <v>8</v>
      </c>
      <c r="O750">
        <v>4</v>
      </c>
      <c r="P750">
        <v>2</v>
      </c>
      <c r="Q750">
        <v>35.6</v>
      </c>
      <c r="R750">
        <v>57</v>
      </c>
      <c r="S750">
        <v>57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57</v>
      </c>
      <c r="AA750">
        <v>0</v>
      </c>
      <c r="AB750">
        <v>0</v>
      </c>
      <c r="AD750">
        <v>92.6</v>
      </c>
    </row>
    <row r="751" spans="1:30" x14ac:dyDescent="0.3">
      <c r="A751" s="4">
        <v>762</v>
      </c>
      <c r="B751" s="5">
        <v>744</v>
      </c>
      <c r="C751">
        <v>3316</v>
      </c>
      <c r="D751" t="s">
        <v>1797</v>
      </c>
      <c r="E751" t="s">
        <v>307</v>
      </c>
      <c r="F751" t="s">
        <v>34</v>
      </c>
      <c r="G751" t="s">
        <v>1798</v>
      </c>
      <c r="H751" t="str">
        <f>"201406007214"</f>
        <v>201406007214</v>
      </c>
      <c r="I751">
        <v>14.4</v>
      </c>
      <c r="J751">
        <v>10</v>
      </c>
      <c r="M751">
        <v>4</v>
      </c>
      <c r="N751">
        <v>4</v>
      </c>
      <c r="O751">
        <v>4</v>
      </c>
      <c r="P751">
        <v>2</v>
      </c>
      <c r="Q751">
        <v>34.4</v>
      </c>
      <c r="R751">
        <v>35</v>
      </c>
      <c r="S751">
        <v>35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35</v>
      </c>
      <c r="AA751">
        <v>3</v>
      </c>
      <c r="AB751">
        <v>20</v>
      </c>
      <c r="AD751">
        <v>92.4</v>
      </c>
    </row>
    <row r="752" spans="1:30" x14ac:dyDescent="0.3">
      <c r="A752" s="4">
        <v>763</v>
      </c>
      <c r="B752" s="5">
        <v>745</v>
      </c>
      <c r="C752">
        <v>3993</v>
      </c>
      <c r="D752" t="s">
        <v>1799</v>
      </c>
      <c r="E752" t="s">
        <v>1800</v>
      </c>
      <c r="F752" t="s">
        <v>927</v>
      </c>
      <c r="G752" t="s">
        <v>1801</v>
      </c>
      <c r="H752" t="str">
        <f>"00508961"</f>
        <v>00508961</v>
      </c>
      <c r="I752">
        <v>50.4</v>
      </c>
      <c r="J752">
        <v>10</v>
      </c>
      <c r="K752">
        <v>8</v>
      </c>
      <c r="N752">
        <v>8</v>
      </c>
      <c r="O752">
        <v>4</v>
      </c>
      <c r="P752">
        <v>2</v>
      </c>
      <c r="Q752">
        <v>74.400000000000006</v>
      </c>
      <c r="R752">
        <v>18</v>
      </c>
      <c r="S752">
        <v>18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18</v>
      </c>
      <c r="AA752">
        <v>0</v>
      </c>
      <c r="AB752">
        <v>0</v>
      </c>
      <c r="AD752">
        <v>92.4</v>
      </c>
    </row>
    <row r="753" spans="1:30" x14ac:dyDescent="0.3">
      <c r="A753" s="4">
        <v>764</v>
      </c>
      <c r="B753" s="5">
        <v>746</v>
      </c>
      <c r="C753">
        <v>2760</v>
      </c>
      <c r="D753" t="s">
        <v>181</v>
      </c>
      <c r="E753" t="s">
        <v>100</v>
      </c>
      <c r="F753" t="s">
        <v>136</v>
      </c>
      <c r="G753" t="s">
        <v>1802</v>
      </c>
      <c r="H753" t="str">
        <f>"00531631"</f>
        <v>00531631</v>
      </c>
      <c r="I753">
        <v>50.4</v>
      </c>
      <c r="J753">
        <v>0</v>
      </c>
      <c r="K753">
        <v>8</v>
      </c>
      <c r="N753">
        <v>8</v>
      </c>
      <c r="O753">
        <v>4</v>
      </c>
      <c r="P753">
        <v>2</v>
      </c>
      <c r="Q753">
        <v>64.400000000000006</v>
      </c>
      <c r="R753">
        <v>28</v>
      </c>
      <c r="S753">
        <v>28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28</v>
      </c>
      <c r="AA753">
        <v>0</v>
      </c>
      <c r="AB753">
        <v>0</v>
      </c>
      <c r="AD753">
        <v>92.4</v>
      </c>
    </row>
    <row r="754" spans="1:30" x14ac:dyDescent="0.3">
      <c r="A754" s="4">
        <v>765</v>
      </c>
      <c r="B754" s="5">
        <v>747</v>
      </c>
      <c r="C754">
        <v>626</v>
      </c>
      <c r="D754" t="s">
        <v>1803</v>
      </c>
      <c r="E754" t="s">
        <v>110</v>
      </c>
      <c r="F754" t="s">
        <v>20</v>
      </c>
      <c r="G754" t="s">
        <v>1804</v>
      </c>
      <c r="H754" t="str">
        <f>"00526948"</f>
        <v>00526948</v>
      </c>
      <c r="I754">
        <v>14.4</v>
      </c>
      <c r="J754">
        <v>0</v>
      </c>
      <c r="M754">
        <v>4</v>
      </c>
      <c r="N754">
        <v>4</v>
      </c>
      <c r="O754">
        <v>4</v>
      </c>
      <c r="P754">
        <v>2</v>
      </c>
      <c r="Q754">
        <v>24.4</v>
      </c>
      <c r="R754">
        <v>68</v>
      </c>
      <c r="S754">
        <v>68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68</v>
      </c>
      <c r="AA754">
        <v>0</v>
      </c>
      <c r="AB754">
        <v>0</v>
      </c>
      <c r="AD754">
        <v>92.4</v>
      </c>
    </row>
    <row r="755" spans="1:30" x14ac:dyDescent="0.3">
      <c r="A755" s="4">
        <v>766</v>
      </c>
      <c r="B755" s="5">
        <v>748</v>
      </c>
      <c r="C755">
        <v>4492</v>
      </c>
      <c r="D755" t="s">
        <v>1805</v>
      </c>
      <c r="E755" t="s">
        <v>1597</v>
      </c>
      <c r="F755" t="s">
        <v>1806</v>
      </c>
      <c r="G755" t="s">
        <v>1807</v>
      </c>
      <c r="H755" t="str">
        <f>"00530053"</f>
        <v>00530053</v>
      </c>
      <c r="I755">
        <v>34.24</v>
      </c>
      <c r="J755">
        <v>10</v>
      </c>
      <c r="M755">
        <v>4</v>
      </c>
      <c r="N755">
        <v>4</v>
      </c>
      <c r="O755">
        <v>4</v>
      </c>
      <c r="P755">
        <v>0</v>
      </c>
      <c r="Q755">
        <v>52.24</v>
      </c>
      <c r="R755">
        <v>34</v>
      </c>
      <c r="S755">
        <v>34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34</v>
      </c>
      <c r="AA755">
        <v>6</v>
      </c>
      <c r="AB755">
        <v>0</v>
      </c>
      <c r="AD755">
        <v>92.24</v>
      </c>
    </row>
    <row r="756" spans="1:30" x14ac:dyDescent="0.3">
      <c r="A756" s="4">
        <v>767</v>
      </c>
      <c r="B756" s="5">
        <v>749</v>
      </c>
      <c r="C756">
        <v>310</v>
      </c>
      <c r="D756" t="s">
        <v>1808</v>
      </c>
      <c r="E756" t="s">
        <v>1809</v>
      </c>
      <c r="F756" t="s">
        <v>38</v>
      </c>
      <c r="G756" t="s">
        <v>1810</v>
      </c>
      <c r="H756" t="str">
        <f>"00390555"</f>
        <v>00390555</v>
      </c>
      <c r="I756">
        <v>43.2</v>
      </c>
      <c r="J756">
        <v>0</v>
      </c>
      <c r="M756">
        <v>4</v>
      </c>
      <c r="N756">
        <v>4</v>
      </c>
      <c r="O756">
        <v>4</v>
      </c>
      <c r="P756">
        <v>0</v>
      </c>
      <c r="Q756">
        <v>51.2</v>
      </c>
      <c r="R756">
        <v>32</v>
      </c>
      <c r="S756">
        <v>32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32</v>
      </c>
      <c r="AA756">
        <v>9</v>
      </c>
      <c r="AB756">
        <v>0</v>
      </c>
      <c r="AD756">
        <v>92.2</v>
      </c>
    </row>
    <row r="757" spans="1:30" x14ac:dyDescent="0.3">
      <c r="A757" s="4">
        <v>768</v>
      </c>
      <c r="B757" s="5">
        <v>750</v>
      </c>
      <c r="C757">
        <v>1473</v>
      </c>
      <c r="D757" t="s">
        <v>1811</v>
      </c>
      <c r="E757" t="s">
        <v>149</v>
      </c>
      <c r="F757" t="s">
        <v>1812</v>
      </c>
      <c r="G757" t="s">
        <v>1813</v>
      </c>
      <c r="H757" t="str">
        <f>"200909000117"</f>
        <v>200909000117</v>
      </c>
      <c r="I757">
        <v>43.2</v>
      </c>
      <c r="J757">
        <v>0</v>
      </c>
      <c r="L757">
        <v>12</v>
      </c>
      <c r="N757">
        <v>12</v>
      </c>
      <c r="O757">
        <v>4</v>
      </c>
      <c r="P757">
        <v>2</v>
      </c>
      <c r="Q757">
        <v>61.2</v>
      </c>
      <c r="R757">
        <v>28</v>
      </c>
      <c r="S757">
        <v>28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28</v>
      </c>
      <c r="AA757">
        <v>3</v>
      </c>
      <c r="AB757">
        <v>0</v>
      </c>
      <c r="AD757">
        <v>92.2</v>
      </c>
    </row>
    <row r="758" spans="1:30" x14ac:dyDescent="0.3">
      <c r="A758" s="4">
        <v>769</v>
      </c>
      <c r="B758" s="5">
        <v>751</v>
      </c>
      <c r="C758">
        <v>2193</v>
      </c>
      <c r="D758" t="s">
        <v>1814</v>
      </c>
      <c r="E758" t="s">
        <v>1815</v>
      </c>
      <c r="F758" t="s">
        <v>343</v>
      </c>
      <c r="G758" t="s">
        <v>1816</v>
      </c>
      <c r="H758" t="str">
        <f>"00532615"</f>
        <v>00532615</v>
      </c>
      <c r="I758">
        <v>43.2</v>
      </c>
      <c r="J758">
        <v>0</v>
      </c>
      <c r="N758">
        <v>0</v>
      </c>
      <c r="O758">
        <v>0</v>
      </c>
      <c r="P758">
        <v>0</v>
      </c>
      <c r="Q758">
        <v>43.2</v>
      </c>
      <c r="R758">
        <v>46</v>
      </c>
      <c r="S758">
        <v>46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46</v>
      </c>
      <c r="AA758">
        <v>3</v>
      </c>
      <c r="AB758">
        <v>0</v>
      </c>
      <c r="AD758">
        <v>92.2</v>
      </c>
    </row>
    <row r="759" spans="1:30" x14ac:dyDescent="0.3">
      <c r="A759" s="4">
        <v>770</v>
      </c>
      <c r="B759" s="5">
        <v>752</v>
      </c>
      <c r="C759">
        <v>4732</v>
      </c>
      <c r="D759" t="s">
        <v>1817</v>
      </c>
      <c r="E759" t="s">
        <v>143</v>
      </c>
      <c r="F759" t="s">
        <v>782</v>
      </c>
      <c r="G759" t="s">
        <v>1818</v>
      </c>
      <c r="H759" t="str">
        <f>"00508556"</f>
        <v>00508556</v>
      </c>
      <c r="I759">
        <v>43.2</v>
      </c>
      <c r="J759">
        <v>0</v>
      </c>
      <c r="K759">
        <v>8</v>
      </c>
      <c r="N759">
        <v>8</v>
      </c>
      <c r="O759">
        <v>4</v>
      </c>
      <c r="P759">
        <v>2</v>
      </c>
      <c r="Q759">
        <v>57.2</v>
      </c>
      <c r="R759">
        <v>35</v>
      </c>
      <c r="S759">
        <v>35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35</v>
      </c>
      <c r="AA759">
        <v>0</v>
      </c>
      <c r="AB759">
        <v>0</v>
      </c>
      <c r="AD759">
        <v>92.2</v>
      </c>
    </row>
    <row r="760" spans="1:30" x14ac:dyDescent="0.3">
      <c r="A760" s="4">
        <v>771</v>
      </c>
      <c r="B760" s="5">
        <v>753</v>
      </c>
      <c r="C760">
        <v>3613</v>
      </c>
      <c r="D760" t="s">
        <v>1819</v>
      </c>
      <c r="E760" t="s">
        <v>1820</v>
      </c>
      <c r="F760" t="s">
        <v>190</v>
      </c>
      <c r="G760" t="s">
        <v>1821</v>
      </c>
      <c r="H760" t="str">
        <f>"00533470"</f>
        <v>00533470</v>
      </c>
      <c r="I760">
        <v>7.2</v>
      </c>
      <c r="J760">
        <v>0</v>
      </c>
      <c r="N760">
        <v>0</v>
      </c>
      <c r="O760">
        <v>4</v>
      </c>
      <c r="P760">
        <v>2</v>
      </c>
      <c r="Q760">
        <v>13.2</v>
      </c>
      <c r="R760">
        <v>79</v>
      </c>
      <c r="S760">
        <v>79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79</v>
      </c>
      <c r="AA760">
        <v>0</v>
      </c>
      <c r="AB760">
        <v>0</v>
      </c>
      <c r="AD760">
        <v>92.2</v>
      </c>
    </row>
    <row r="761" spans="1:30" x14ac:dyDescent="0.3">
      <c r="A761" s="4">
        <v>772</v>
      </c>
      <c r="B761" s="5">
        <v>754</v>
      </c>
      <c r="C761">
        <v>1516</v>
      </c>
      <c r="D761" t="s">
        <v>1822</v>
      </c>
      <c r="E761" t="s">
        <v>1823</v>
      </c>
      <c r="F761" t="s">
        <v>38</v>
      </c>
      <c r="G761" t="s">
        <v>1824</v>
      </c>
      <c r="H761" t="str">
        <f>"200802002398"</f>
        <v>200802002398</v>
      </c>
      <c r="I761">
        <v>39.119999999999997</v>
      </c>
      <c r="J761">
        <v>0</v>
      </c>
      <c r="K761">
        <v>8</v>
      </c>
      <c r="M761">
        <v>4</v>
      </c>
      <c r="N761">
        <v>12</v>
      </c>
      <c r="O761">
        <v>4</v>
      </c>
      <c r="P761">
        <v>0</v>
      </c>
      <c r="Q761">
        <v>55.12</v>
      </c>
      <c r="R761">
        <v>31</v>
      </c>
      <c r="S761">
        <v>31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31</v>
      </c>
      <c r="AA761">
        <v>6</v>
      </c>
      <c r="AB761">
        <v>0</v>
      </c>
      <c r="AD761">
        <v>92.12</v>
      </c>
    </row>
    <row r="762" spans="1:30" x14ac:dyDescent="0.3">
      <c r="A762" s="4">
        <v>773</v>
      </c>
      <c r="B762" s="5">
        <v>755</v>
      </c>
      <c r="C762">
        <v>3495</v>
      </c>
      <c r="D762" t="s">
        <v>1825</v>
      </c>
      <c r="E762" t="s">
        <v>41</v>
      </c>
      <c r="F762" t="s">
        <v>30</v>
      </c>
      <c r="G762" t="s">
        <v>1826</v>
      </c>
      <c r="H762" t="str">
        <f>"00441890"</f>
        <v>00441890</v>
      </c>
      <c r="I762">
        <v>33.08</v>
      </c>
      <c r="J762">
        <v>0</v>
      </c>
      <c r="N762">
        <v>0</v>
      </c>
      <c r="O762">
        <v>4</v>
      </c>
      <c r="P762">
        <v>0</v>
      </c>
      <c r="Q762">
        <v>37.08</v>
      </c>
      <c r="R762">
        <v>55</v>
      </c>
      <c r="S762">
        <v>55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55</v>
      </c>
      <c r="AA762">
        <v>0</v>
      </c>
      <c r="AB762">
        <v>0</v>
      </c>
      <c r="AD762">
        <v>92.08</v>
      </c>
    </row>
    <row r="763" spans="1:30" x14ac:dyDescent="0.3">
      <c r="A763" s="4">
        <v>774</v>
      </c>
      <c r="B763" s="5">
        <v>756</v>
      </c>
      <c r="C763">
        <v>624</v>
      </c>
      <c r="D763" t="s">
        <v>1827</v>
      </c>
      <c r="E763" t="s">
        <v>740</v>
      </c>
      <c r="F763" t="s">
        <v>117</v>
      </c>
      <c r="G763" t="s">
        <v>1828</v>
      </c>
      <c r="H763" t="str">
        <f>"00074725"</f>
        <v>00074725</v>
      </c>
      <c r="I763">
        <v>72</v>
      </c>
      <c r="J763">
        <v>0</v>
      </c>
      <c r="K763">
        <v>8</v>
      </c>
      <c r="N763">
        <v>8</v>
      </c>
      <c r="O763">
        <v>4</v>
      </c>
      <c r="P763">
        <v>2</v>
      </c>
      <c r="Q763">
        <v>86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6</v>
      </c>
      <c r="AB763">
        <v>0</v>
      </c>
      <c r="AD763">
        <v>92</v>
      </c>
    </row>
    <row r="764" spans="1:30" x14ac:dyDescent="0.3">
      <c r="A764" s="4">
        <v>775</v>
      </c>
      <c r="B764" s="5">
        <v>757</v>
      </c>
      <c r="C764">
        <v>2789</v>
      </c>
      <c r="D764" t="s">
        <v>1829</v>
      </c>
      <c r="E764" t="s">
        <v>115</v>
      </c>
      <c r="F764" t="s">
        <v>81</v>
      </c>
      <c r="G764" t="s">
        <v>1830</v>
      </c>
      <c r="H764" t="str">
        <f>"00646090"</f>
        <v>00646090</v>
      </c>
      <c r="I764">
        <v>72</v>
      </c>
      <c r="J764">
        <v>0</v>
      </c>
      <c r="K764">
        <v>8</v>
      </c>
      <c r="N764">
        <v>8</v>
      </c>
      <c r="O764">
        <v>4</v>
      </c>
      <c r="P764">
        <v>2</v>
      </c>
      <c r="Q764">
        <v>86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6</v>
      </c>
      <c r="AB764">
        <v>0</v>
      </c>
      <c r="AD764">
        <v>92</v>
      </c>
    </row>
    <row r="765" spans="1:30" x14ac:dyDescent="0.3">
      <c r="A765" s="4">
        <v>776</v>
      </c>
      <c r="B765" s="5">
        <v>758</v>
      </c>
      <c r="C765">
        <v>262</v>
      </c>
      <c r="D765" t="s">
        <v>1831</v>
      </c>
      <c r="E765" t="s">
        <v>29</v>
      </c>
      <c r="F765" t="s">
        <v>1000</v>
      </c>
      <c r="G765" t="s">
        <v>1832</v>
      </c>
      <c r="H765" t="str">
        <f>"00588878"</f>
        <v>00588878</v>
      </c>
      <c r="I765">
        <v>72</v>
      </c>
      <c r="J765">
        <v>0</v>
      </c>
      <c r="K765">
        <v>8</v>
      </c>
      <c r="N765">
        <v>8</v>
      </c>
      <c r="O765">
        <v>4</v>
      </c>
      <c r="P765">
        <v>2</v>
      </c>
      <c r="Q765">
        <v>86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6</v>
      </c>
      <c r="AB765">
        <v>0</v>
      </c>
      <c r="AD765">
        <v>92</v>
      </c>
    </row>
    <row r="766" spans="1:30" x14ac:dyDescent="0.3">
      <c r="A766" s="4">
        <v>777</v>
      </c>
      <c r="B766" s="5">
        <v>759</v>
      </c>
      <c r="C766">
        <v>92</v>
      </c>
      <c r="D766" t="s">
        <v>1833</v>
      </c>
      <c r="E766" t="s">
        <v>132</v>
      </c>
      <c r="F766" t="s">
        <v>190</v>
      </c>
      <c r="G766" t="s">
        <v>1834</v>
      </c>
      <c r="H766" t="str">
        <f>"00530765"</f>
        <v>00530765</v>
      </c>
      <c r="I766">
        <v>72</v>
      </c>
      <c r="J766">
        <v>0</v>
      </c>
      <c r="N766">
        <v>0</v>
      </c>
      <c r="O766">
        <v>0</v>
      </c>
      <c r="P766">
        <v>2</v>
      </c>
      <c r="Q766">
        <v>74</v>
      </c>
      <c r="R766">
        <v>18</v>
      </c>
      <c r="S766">
        <v>18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18</v>
      </c>
      <c r="AA766">
        <v>0</v>
      </c>
      <c r="AB766">
        <v>0</v>
      </c>
      <c r="AD766">
        <v>92</v>
      </c>
    </row>
    <row r="767" spans="1:30" x14ac:dyDescent="0.3">
      <c r="A767" s="4">
        <v>778</v>
      </c>
      <c r="B767" s="5">
        <v>760</v>
      </c>
      <c r="C767">
        <v>2884</v>
      </c>
      <c r="D767" t="s">
        <v>1835</v>
      </c>
      <c r="E767" t="s">
        <v>143</v>
      </c>
      <c r="F767" t="s">
        <v>136</v>
      </c>
      <c r="G767" t="s">
        <v>1836</v>
      </c>
      <c r="H767" t="str">
        <f>"00534166"</f>
        <v>00534166</v>
      </c>
      <c r="I767">
        <v>36</v>
      </c>
      <c r="J767">
        <v>10</v>
      </c>
      <c r="N767">
        <v>0</v>
      </c>
      <c r="O767">
        <v>0</v>
      </c>
      <c r="P767">
        <v>0</v>
      </c>
      <c r="Q767">
        <v>46</v>
      </c>
      <c r="R767">
        <v>46</v>
      </c>
      <c r="S767">
        <v>46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46</v>
      </c>
      <c r="AA767">
        <v>0</v>
      </c>
      <c r="AB767">
        <v>0</v>
      </c>
      <c r="AD767">
        <v>92</v>
      </c>
    </row>
    <row r="768" spans="1:30" x14ac:dyDescent="0.3">
      <c r="A768" s="4">
        <v>779</v>
      </c>
      <c r="B768" s="5">
        <v>761</v>
      </c>
      <c r="C768">
        <v>81</v>
      </c>
      <c r="D768" t="s">
        <v>1837</v>
      </c>
      <c r="E768" t="s">
        <v>97</v>
      </c>
      <c r="F768" t="s">
        <v>17</v>
      </c>
      <c r="G768" t="s">
        <v>1838</v>
      </c>
      <c r="H768" t="str">
        <f>"00502820"</f>
        <v>00502820</v>
      </c>
      <c r="I768">
        <v>36</v>
      </c>
      <c r="J768">
        <v>0</v>
      </c>
      <c r="M768">
        <v>4</v>
      </c>
      <c r="N768">
        <v>4</v>
      </c>
      <c r="O768">
        <v>4</v>
      </c>
      <c r="P768">
        <v>2</v>
      </c>
      <c r="Q768">
        <v>46</v>
      </c>
      <c r="R768">
        <v>46</v>
      </c>
      <c r="S768">
        <v>46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46</v>
      </c>
      <c r="AA768">
        <v>0</v>
      </c>
      <c r="AB768">
        <v>0</v>
      </c>
      <c r="AD768">
        <v>92</v>
      </c>
    </row>
    <row r="769" spans="1:30" x14ac:dyDescent="0.3">
      <c r="A769" s="4">
        <v>780</v>
      </c>
      <c r="B769" s="5">
        <v>762</v>
      </c>
      <c r="C769">
        <v>500</v>
      </c>
      <c r="D769" t="s">
        <v>1839</v>
      </c>
      <c r="E769" t="s">
        <v>100</v>
      </c>
      <c r="F769" t="s">
        <v>1121</v>
      </c>
      <c r="G769" t="s">
        <v>1840</v>
      </c>
      <c r="H769" t="str">
        <f>"200911000270"</f>
        <v>200911000270</v>
      </c>
      <c r="I769">
        <v>0</v>
      </c>
      <c r="J769">
        <v>0</v>
      </c>
      <c r="K769">
        <v>8</v>
      </c>
      <c r="N769">
        <v>8</v>
      </c>
      <c r="O769">
        <v>4</v>
      </c>
      <c r="P769">
        <v>2</v>
      </c>
      <c r="Q769">
        <v>14</v>
      </c>
      <c r="R769">
        <v>78</v>
      </c>
      <c r="S769">
        <v>78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78</v>
      </c>
      <c r="AA769">
        <v>0</v>
      </c>
      <c r="AB769">
        <v>0</v>
      </c>
      <c r="AD769">
        <v>92</v>
      </c>
    </row>
    <row r="770" spans="1:30" x14ac:dyDescent="0.3">
      <c r="A770" s="4">
        <v>781</v>
      </c>
      <c r="B770" s="5">
        <v>763</v>
      </c>
      <c r="C770">
        <v>3368</v>
      </c>
      <c r="D770" t="s">
        <v>1841</v>
      </c>
      <c r="E770" t="s">
        <v>825</v>
      </c>
      <c r="F770" t="s">
        <v>1511</v>
      </c>
      <c r="G770" t="s">
        <v>1842</v>
      </c>
      <c r="H770" t="str">
        <f>"00248856"</f>
        <v>00248856</v>
      </c>
      <c r="I770">
        <v>37.840000000000003</v>
      </c>
      <c r="J770">
        <v>0</v>
      </c>
      <c r="K770">
        <v>8</v>
      </c>
      <c r="N770">
        <v>8</v>
      </c>
      <c r="O770">
        <v>4</v>
      </c>
      <c r="P770">
        <v>2</v>
      </c>
      <c r="Q770">
        <v>51.84</v>
      </c>
      <c r="R770">
        <v>37</v>
      </c>
      <c r="S770">
        <v>37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37</v>
      </c>
      <c r="AA770">
        <v>3</v>
      </c>
      <c r="AB770">
        <v>0</v>
      </c>
      <c r="AD770">
        <v>91.84</v>
      </c>
    </row>
    <row r="771" spans="1:30" x14ac:dyDescent="0.3">
      <c r="A771" s="4">
        <v>782</v>
      </c>
      <c r="B771" s="5">
        <v>764</v>
      </c>
      <c r="C771">
        <v>1484</v>
      </c>
      <c r="D771" t="s">
        <v>1843</v>
      </c>
      <c r="E771" t="s">
        <v>29</v>
      </c>
      <c r="F771" t="s">
        <v>20</v>
      </c>
      <c r="G771" t="s">
        <v>1844</v>
      </c>
      <c r="H771" t="str">
        <f>"00494488"</f>
        <v>00494488</v>
      </c>
      <c r="I771">
        <v>28.8</v>
      </c>
      <c r="J771">
        <v>0</v>
      </c>
      <c r="M771">
        <v>4</v>
      </c>
      <c r="N771">
        <v>4</v>
      </c>
      <c r="O771">
        <v>4</v>
      </c>
      <c r="P771">
        <v>2</v>
      </c>
      <c r="Q771">
        <v>38.799999999999997</v>
      </c>
      <c r="R771">
        <v>47</v>
      </c>
      <c r="S771">
        <v>47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47</v>
      </c>
      <c r="AA771">
        <v>6</v>
      </c>
      <c r="AB771">
        <v>0</v>
      </c>
      <c r="AD771">
        <v>91.8</v>
      </c>
    </row>
    <row r="772" spans="1:30" x14ac:dyDescent="0.3">
      <c r="A772" s="4">
        <v>783</v>
      </c>
      <c r="B772" s="5">
        <v>765</v>
      </c>
      <c r="C772">
        <v>2573</v>
      </c>
      <c r="D772" t="s">
        <v>1845</v>
      </c>
      <c r="E772" t="s">
        <v>54</v>
      </c>
      <c r="F772" t="s">
        <v>79</v>
      </c>
      <c r="G772" t="s">
        <v>1846</v>
      </c>
      <c r="H772" t="str">
        <f>"00530744"</f>
        <v>00530744</v>
      </c>
      <c r="I772">
        <v>28.8</v>
      </c>
      <c r="J772">
        <v>0</v>
      </c>
      <c r="N772">
        <v>0</v>
      </c>
      <c r="O772">
        <v>0</v>
      </c>
      <c r="P772">
        <v>0</v>
      </c>
      <c r="Q772">
        <v>28.8</v>
      </c>
      <c r="R772">
        <v>60</v>
      </c>
      <c r="S772">
        <v>60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60</v>
      </c>
      <c r="AA772">
        <v>3</v>
      </c>
      <c r="AB772">
        <v>0</v>
      </c>
      <c r="AD772">
        <v>91.8</v>
      </c>
    </row>
    <row r="773" spans="1:30" x14ac:dyDescent="0.3">
      <c r="A773" s="4">
        <v>784</v>
      </c>
      <c r="B773" s="5">
        <v>766</v>
      </c>
      <c r="C773">
        <v>4198</v>
      </c>
      <c r="D773" t="s">
        <v>1847</v>
      </c>
      <c r="E773" t="s">
        <v>143</v>
      </c>
      <c r="F773" t="s">
        <v>570</v>
      </c>
      <c r="G773" t="s">
        <v>1848</v>
      </c>
      <c r="H773" t="str">
        <f>"00532331"</f>
        <v>00532331</v>
      </c>
      <c r="I773">
        <v>28.8</v>
      </c>
      <c r="J773">
        <v>0</v>
      </c>
      <c r="N773">
        <v>0</v>
      </c>
      <c r="O773">
        <v>4</v>
      </c>
      <c r="P773">
        <v>0</v>
      </c>
      <c r="Q773">
        <v>32.799999999999997</v>
      </c>
      <c r="R773">
        <v>59</v>
      </c>
      <c r="S773">
        <v>59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59</v>
      </c>
      <c r="AA773">
        <v>0</v>
      </c>
      <c r="AB773">
        <v>0</v>
      </c>
      <c r="AD773">
        <v>91.8</v>
      </c>
    </row>
    <row r="774" spans="1:30" x14ac:dyDescent="0.3">
      <c r="A774" s="4">
        <v>785</v>
      </c>
      <c r="B774" s="5">
        <v>767</v>
      </c>
      <c r="C774">
        <v>2062</v>
      </c>
      <c r="D774" t="s">
        <v>1849</v>
      </c>
      <c r="E774" t="s">
        <v>1280</v>
      </c>
      <c r="F774" t="s">
        <v>30</v>
      </c>
      <c r="G774" t="s">
        <v>1850</v>
      </c>
      <c r="H774" t="str">
        <f>"201602000431"</f>
        <v>201602000431</v>
      </c>
      <c r="I774">
        <v>9.7200000000000006</v>
      </c>
      <c r="J774">
        <v>0</v>
      </c>
      <c r="N774">
        <v>0</v>
      </c>
      <c r="O774">
        <v>4</v>
      </c>
      <c r="P774">
        <v>0</v>
      </c>
      <c r="Q774">
        <v>13.72</v>
      </c>
      <c r="R774">
        <v>72</v>
      </c>
      <c r="S774">
        <v>72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72</v>
      </c>
      <c r="AA774">
        <v>6</v>
      </c>
      <c r="AB774">
        <v>0</v>
      </c>
      <c r="AD774">
        <v>91.72</v>
      </c>
    </row>
    <row r="775" spans="1:30" x14ac:dyDescent="0.3">
      <c r="A775" s="4">
        <v>786</v>
      </c>
      <c r="B775" s="5">
        <v>768</v>
      </c>
      <c r="C775">
        <v>3026</v>
      </c>
      <c r="D775" t="s">
        <v>1851</v>
      </c>
      <c r="E775" t="s">
        <v>143</v>
      </c>
      <c r="F775" t="s">
        <v>167</v>
      </c>
      <c r="G775" t="s">
        <v>1852</v>
      </c>
      <c r="H775" t="str">
        <f>"00500775"</f>
        <v>00500775</v>
      </c>
      <c r="I775">
        <v>21.72</v>
      </c>
      <c r="J775">
        <v>0</v>
      </c>
      <c r="K775">
        <v>8</v>
      </c>
      <c r="N775">
        <v>8</v>
      </c>
      <c r="O775">
        <v>4</v>
      </c>
      <c r="P775">
        <v>2</v>
      </c>
      <c r="Q775">
        <v>35.72</v>
      </c>
      <c r="R775">
        <v>56</v>
      </c>
      <c r="S775">
        <v>56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56</v>
      </c>
      <c r="AA775">
        <v>0</v>
      </c>
      <c r="AB775">
        <v>0</v>
      </c>
      <c r="AD775">
        <v>91.72</v>
      </c>
    </row>
    <row r="776" spans="1:30" x14ac:dyDescent="0.3">
      <c r="A776" s="4">
        <v>787</v>
      </c>
      <c r="B776" s="5">
        <v>769</v>
      </c>
      <c r="C776">
        <v>99</v>
      </c>
      <c r="D776" t="s">
        <v>1853</v>
      </c>
      <c r="E776" t="s">
        <v>41</v>
      </c>
      <c r="F776" t="s">
        <v>1854</v>
      </c>
      <c r="G776" t="s">
        <v>1855</v>
      </c>
      <c r="H776" t="str">
        <f>"00531006"</f>
        <v>00531006</v>
      </c>
      <c r="I776">
        <v>39.6</v>
      </c>
      <c r="J776">
        <v>0</v>
      </c>
      <c r="K776">
        <v>8</v>
      </c>
      <c r="N776">
        <v>8</v>
      </c>
      <c r="O776">
        <v>0</v>
      </c>
      <c r="P776">
        <v>0</v>
      </c>
      <c r="Q776">
        <v>47.6</v>
      </c>
      <c r="R776">
        <v>41</v>
      </c>
      <c r="S776">
        <v>41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41</v>
      </c>
      <c r="AA776">
        <v>3</v>
      </c>
      <c r="AB776">
        <v>0</v>
      </c>
      <c r="AD776">
        <v>91.6</v>
      </c>
    </row>
    <row r="777" spans="1:30" x14ac:dyDescent="0.3">
      <c r="A777" s="4">
        <v>788</v>
      </c>
      <c r="B777" s="5">
        <v>770</v>
      </c>
      <c r="C777">
        <v>4452</v>
      </c>
      <c r="D777" t="s">
        <v>1035</v>
      </c>
      <c r="E777" t="s">
        <v>33</v>
      </c>
      <c r="F777" t="s">
        <v>158</v>
      </c>
      <c r="G777" t="s">
        <v>1856</v>
      </c>
      <c r="H777" t="str">
        <f>"00144250"</f>
        <v>00144250</v>
      </c>
      <c r="I777">
        <v>57.6</v>
      </c>
      <c r="J777">
        <v>10</v>
      </c>
      <c r="N777">
        <v>0</v>
      </c>
      <c r="O777">
        <v>4</v>
      </c>
      <c r="P777">
        <v>2</v>
      </c>
      <c r="Q777">
        <v>73.599999999999994</v>
      </c>
      <c r="R777">
        <v>18</v>
      </c>
      <c r="S777">
        <v>18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18</v>
      </c>
      <c r="AA777">
        <v>0</v>
      </c>
      <c r="AB777">
        <v>0</v>
      </c>
      <c r="AD777">
        <v>91.6</v>
      </c>
    </row>
    <row r="778" spans="1:30" x14ac:dyDescent="0.3">
      <c r="A778" s="4">
        <v>789</v>
      </c>
      <c r="B778" s="5">
        <v>771</v>
      </c>
      <c r="C778">
        <v>1085</v>
      </c>
      <c r="D778" t="s">
        <v>1857</v>
      </c>
      <c r="E778" t="s">
        <v>97</v>
      </c>
      <c r="F778" t="s">
        <v>1023</v>
      </c>
      <c r="G778" t="s">
        <v>1858</v>
      </c>
      <c r="H778" t="str">
        <f>"00532097"</f>
        <v>00532097</v>
      </c>
      <c r="I778">
        <v>57.6</v>
      </c>
      <c r="J778">
        <v>10</v>
      </c>
      <c r="N778">
        <v>0</v>
      </c>
      <c r="O778">
        <v>4</v>
      </c>
      <c r="P778">
        <v>2</v>
      </c>
      <c r="Q778">
        <v>73.599999999999994</v>
      </c>
      <c r="R778">
        <v>18</v>
      </c>
      <c r="S778">
        <v>18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18</v>
      </c>
      <c r="AA778">
        <v>0</v>
      </c>
      <c r="AB778">
        <v>0</v>
      </c>
      <c r="AD778">
        <v>91.6</v>
      </c>
    </row>
    <row r="779" spans="1:30" x14ac:dyDescent="0.3">
      <c r="A779" s="4">
        <v>790</v>
      </c>
      <c r="B779" s="5">
        <v>772</v>
      </c>
      <c r="C779">
        <v>2840</v>
      </c>
      <c r="D779" t="s">
        <v>1859</v>
      </c>
      <c r="E779" t="s">
        <v>1242</v>
      </c>
      <c r="F779" t="s">
        <v>972</v>
      </c>
      <c r="G779" t="s">
        <v>1860</v>
      </c>
      <c r="H779" t="str">
        <f>"00517573"</f>
        <v>00517573</v>
      </c>
      <c r="I779">
        <v>21.6</v>
      </c>
      <c r="J779">
        <v>10</v>
      </c>
      <c r="K779">
        <v>8</v>
      </c>
      <c r="N779">
        <v>8</v>
      </c>
      <c r="O779">
        <v>4</v>
      </c>
      <c r="P779">
        <v>0</v>
      </c>
      <c r="Q779">
        <v>43.6</v>
      </c>
      <c r="R779">
        <v>48</v>
      </c>
      <c r="S779">
        <v>48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48</v>
      </c>
      <c r="AA779">
        <v>0</v>
      </c>
      <c r="AB779">
        <v>0</v>
      </c>
      <c r="AD779">
        <v>91.6</v>
      </c>
    </row>
    <row r="780" spans="1:30" x14ac:dyDescent="0.3">
      <c r="A780" s="4">
        <v>791</v>
      </c>
      <c r="B780" s="5">
        <v>773</v>
      </c>
      <c r="C780">
        <v>3353</v>
      </c>
      <c r="D780" t="s">
        <v>1861</v>
      </c>
      <c r="E780" t="s">
        <v>100</v>
      </c>
      <c r="F780" t="s">
        <v>136</v>
      </c>
      <c r="G780" t="s">
        <v>1862</v>
      </c>
      <c r="H780" t="str">
        <f>"201511029802"</f>
        <v>201511029802</v>
      </c>
      <c r="I780">
        <v>21.6</v>
      </c>
      <c r="J780">
        <v>0</v>
      </c>
      <c r="M780">
        <v>4</v>
      </c>
      <c r="N780">
        <v>4</v>
      </c>
      <c r="O780">
        <v>4</v>
      </c>
      <c r="P780">
        <v>2</v>
      </c>
      <c r="Q780">
        <v>31.6</v>
      </c>
      <c r="R780">
        <v>60</v>
      </c>
      <c r="S780">
        <v>60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60</v>
      </c>
      <c r="AA780">
        <v>0</v>
      </c>
      <c r="AB780">
        <v>0</v>
      </c>
      <c r="AD780">
        <v>91.6</v>
      </c>
    </row>
    <row r="781" spans="1:30" x14ac:dyDescent="0.3">
      <c r="A781" s="4">
        <v>792</v>
      </c>
      <c r="B781" s="5">
        <v>774</v>
      </c>
      <c r="C781">
        <v>1555</v>
      </c>
      <c r="D781" t="s">
        <v>1863</v>
      </c>
      <c r="E781" t="s">
        <v>88</v>
      </c>
      <c r="F781" t="s">
        <v>38</v>
      </c>
      <c r="G781" t="s">
        <v>1864</v>
      </c>
      <c r="H781" t="str">
        <f>"00478745"</f>
        <v>00478745</v>
      </c>
      <c r="I781">
        <v>21.6</v>
      </c>
      <c r="J781">
        <v>0</v>
      </c>
      <c r="M781">
        <v>4</v>
      </c>
      <c r="N781">
        <v>4</v>
      </c>
      <c r="O781">
        <v>4</v>
      </c>
      <c r="P781">
        <v>2</v>
      </c>
      <c r="Q781">
        <v>31.6</v>
      </c>
      <c r="R781">
        <v>60</v>
      </c>
      <c r="S781">
        <v>60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60</v>
      </c>
      <c r="AA781">
        <v>0</v>
      </c>
      <c r="AB781">
        <v>0</v>
      </c>
      <c r="AD781">
        <v>91.6</v>
      </c>
    </row>
    <row r="782" spans="1:30" x14ac:dyDescent="0.3">
      <c r="A782" s="4">
        <v>793</v>
      </c>
      <c r="B782" s="5">
        <v>775</v>
      </c>
      <c r="C782">
        <v>3969</v>
      </c>
      <c r="D782" t="s">
        <v>1865</v>
      </c>
      <c r="E782" t="s">
        <v>29</v>
      </c>
      <c r="F782" t="s">
        <v>1866</v>
      </c>
      <c r="G782" t="s">
        <v>1867</v>
      </c>
      <c r="H782" t="str">
        <f>"00514814"</f>
        <v>00514814</v>
      </c>
      <c r="I782">
        <v>39.56</v>
      </c>
      <c r="J782">
        <v>0</v>
      </c>
      <c r="N782">
        <v>0</v>
      </c>
      <c r="O782">
        <v>4</v>
      </c>
      <c r="P782">
        <v>2</v>
      </c>
      <c r="Q782">
        <v>45.56</v>
      </c>
      <c r="R782">
        <v>37</v>
      </c>
      <c r="S782">
        <v>37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37</v>
      </c>
      <c r="AA782">
        <v>9</v>
      </c>
      <c r="AB782">
        <v>0</v>
      </c>
      <c r="AD782">
        <v>91.56</v>
      </c>
    </row>
    <row r="783" spans="1:30" x14ac:dyDescent="0.3">
      <c r="A783" s="4">
        <v>794</v>
      </c>
      <c r="B783" s="5">
        <v>776</v>
      </c>
      <c r="C783">
        <v>1688</v>
      </c>
      <c r="D783" t="s">
        <v>1868</v>
      </c>
      <c r="E783" t="s">
        <v>255</v>
      </c>
      <c r="F783" t="s">
        <v>17</v>
      </c>
      <c r="G783" t="s">
        <v>1869</v>
      </c>
      <c r="H783" t="str">
        <f>"00282146"</f>
        <v>00282146</v>
      </c>
      <c r="I783">
        <v>34.479999999999997</v>
      </c>
      <c r="J783">
        <v>0</v>
      </c>
      <c r="K783">
        <v>8</v>
      </c>
      <c r="N783">
        <v>8</v>
      </c>
      <c r="O783">
        <v>4</v>
      </c>
      <c r="P783">
        <v>2</v>
      </c>
      <c r="Q783">
        <v>48.48</v>
      </c>
      <c r="R783">
        <v>34</v>
      </c>
      <c r="S783">
        <v>34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34</v>
      </c>
      <c r="AA783">
        <v>9</v>
      </c>
      <c r="AB783">
        <v>0</v>
      </c>
      <c r="AD783">
        <v>91.48</v>
      </c>
    </row>
    <row r="784" spans="1:30" x14ac:dyDescent="0.3">
      <c r="A784" s="4">
        <v>795</v>
      </c>
      <c r="B784" s="5">
        <v>777</v>
      </c>
      <c r="C784">
        <v>3878</v>
      </c>
      <c r="D784" t="s">
        <v>1870</v>
      </c>
      <c r="E784" t="s">
        <v>161</v>
      </c>
      <c r="F784" t="s">
        <v>124</v>
      </c>
      <c r="G784" t="s">
        <v>1871</v>
      </c>
      <c r="H784" t="str">
        <f>"00519175"</f>
        <v>00519175</v>
      </c>
      <c r="I784">
        <v>50.4</v>
      </c>
      <c r="J784">
        <v>0</v>
      </c>
      <c r="L784">
        <v>6</v>
      </c>
      <c r="N784">
        <v>6</v>
      </c>
      <c r="O784">
        <v>0</v>
      </c>
      <c r="P784">
        <v>2</v>
      </c>
      <c r="Q784">
        <v>58.4</v>
      </c>
      <c r="R784">
        <v>33</v>
      </c>
      <c r="S784">
        <v>33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33</v>
      </c>
      <c r="AA784">
        <v>0</v>
      </c>
      <c r="AB784">
        <v>0</v>
      </c>
      <c r="AD784">
        <v>91.4</v>
      </c>
    </row>
    <row r="785" spans="1:30" x14ac:dyDescent="0.3">
      <c r="A785" s="4">
        <v>796</v>
      </c>
      <c r="B785" s="5">
        <v>778</v>
      </c>
      <c r="C785">
        <v>4111</v>
      </c>
      <c r="D785" t="s">
        <v>1872</v>
      </c>
      <c r="E785" t="s">
        <v>37</v>
      </c>
      <c r="F785" t="s">
        <v>136</v>
      </c>
      <c r="G785" t="s">
        <v>1873</v>
      </c>
      <c r="H785" t="str">
        <f>"00497759"</f>
        <v>00497759</v>
      </c>
      <c r="I785">
        <v>14.4</v>
      </c>
      <c r="J785">
        <v>0</v>
      </c>
      <c r="M785">
        <v>4</v>
      </c>
      <c r="N785">
        <v>4</v>
      </c>
      <c r="O785">
        <v>4</v>
      </c>
      <c r="P785">
        <v>2</v>
      </c>
      <c r="Q785">
        <v>24.4</v>
      </c>
      <c r="R785">
        <v>67</v>
      </c>
      <c r="S785">
        <v>67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67</v>
      </c>
      <c r="AA785">
        <v>0</v>
      </c>
      <c r="AB785">
        <v>0</v>
      </c>
      <c r="AD785">
        <v>91.4</v>
      </c>
    </row>
    <row r="786" spans="1:30" x14ac:dyDescent="0.3">
      <c r="A786" s="4">
        <v>797</v>
      </c>
      <c r="B786" s="5">
        <v>779</v>
      </c>
      <c r="C786">
        <v>1459</v>
      </c>
      <c r="D786" t="s">
        <v>1874</v>
      </c>
      <c r="E786" t="s">
        <v>406</v>
      </c>
      <c r="F786" t="s">
        <v>238</v>
      </c>
      <c r="G786" t="s">
        <v>1875</v>
      </c>
      <c r="H786" t="str">
        <f>"00510130"</f>
        <v>00510130</v>
      </c>
      <c r="I786">
        <v>43.2</v>
      </c>
      <c r="J786">
        <v>10</v>
      </c>
      <c r="M786">
        <v>4</v>
      </c>
      <c r="N786">
        <v>4</v>
      </c>
      <c r="O786">
        <v>4</v>
      </c>
      <c r="P786">
        <v>2</v>
      </c>
      <c r="Q786">
        <v>63.2</v>
      </c>
      <c r="R786">
        <v>19</v>
      </c>
      <c r="S786">
        <v>19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19</v>
      </c>
      <c r="AA786">
        <v>9</v>
      </c>
      <c r="AB786">
        <v>0</v>
      </c>
      <c r="AD786">
        <v>91.2</v>
      </c>
    </row>
    <row r="787" spans="1:30" x14ac:dyDescent="0.3">
      <c r="A787" s="4">
        <v>798</v>
      </c>
      <c r="B787" s="5">
        <v>780</v>
      </c>
      <c r="C787">
        <v>2719</v>
      </c>
      <c r="D787" t="s">
        <v>1876</v>
      </c>
      <c r="E787" t="s">
        <v>1465</v>
      </c>
      <c r="F787" t="s">
        <v>17</v>
      </c>
      <c r="G787" t="s">
        <v>1877</v>
      </c>
      <c r="H787" t="str">
        <f>"00512216"</f>
        <v>00512216</v>
      </c>
      <c r="I787">
        <v>33.159999999999997</v>
      </c>
      <c r="J787">
        <v>0</v>
      </c>
      <c r="N787">
        <v>0</v>
      </c>
      <c r="O787">
        <v>4</v>
      </c>
      <c r="P787">
        <v>0</v>
      </c>
      <c r="Q787">
        <v>37.159999999999997</v>
      </c>
      <c r="R787">
        <v>54</v>
      </c>
      <c r="S787">
        <v>54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54</v>
      </c>
      <c r="AA787">
        <v>0</v>
      </c>
      <c r="AB787">
        <v>0</v>
      </c>
      <c r="AD787">
        <v>91.16</v>
      </c>
    </row>
    <row r="788" spans="1:30" x14ac:dyDescent="0.3">
      <c r="A788" s="4">
        <v>799</v>
      </c>
      <c r="B788" s="5">
        <v>781</v>
      </c>
      <c r="C788">
        <v>149</v>
      </c>
      <c r="D788" t="s">
        <v>1878</v>
      </c>
      <c r="E788" t="s">
        <v>29</v>
      </c>
      <c r="F788" t="s">
        <v>158</v>
      </c>
      <c r="G788" t="s">
        <v>1879</v>
      </c>
      <c r="H788" t="str">
        <f>"00510949"</f>
        <v>00510949</v>
      </c>
      <c r="I788">
        <v>0</v>
      </c>
      <c r="J788">
        <v>0</v>
      </c>
      <c r="M788">
        <v>4</v>
      </c>
      <c r="N788">
        <v>4</v>
      </c>
      <c r="O788">
        <v>4</v>
      </c>
      <c r="P788">
        <v>0</v>
      </c>
      <c r="Q788">
        <v>8</v>
      </c>
      <c r="R788">
        <v>80</v>
      </c>
      <c r="S788">
        <v>80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80</v>
      </c>
      <c r="AA788">
        <v>3</v>
      </c>
      <c r="AB788">
        <v>0</v>
      </c>
      <c r="AD788">
        <v>91</v>
      </c>
    </row>
    <row r="789" spans="1:30" x14ac:dyDescent="0.3">
      <c r="A789" s="4">
        <v>800</v>
      </c>
      <c r="B789" s="5">
        <v>782</v>
      </c>
      <c r="C789">
        <v>1489</v>
      </c>
      <c r="D789" t="s">
        <v>1880</v>
      </c>
      <c r="E789" t="s">
        <v>54</v>
      </c>
      <c r="F789" t="s">
        <v>167</v>
      </c>
      <c r="G789" t="s">
        <v>1881</v>
      </c>
      <c r="H789" t="str">
        <f>"00162557"</f>
        <v>00162557</v>
      </c>
      <c r="I789">
        <v>36</v>
      </c>
      <c r="J789">
        <v>0</v>
      </c>
      <c r="K789">
        <v>8</v>
      </c>
      <c r="N789">
        <v>8</v>
      </c>
      <c r="O789">
        <v>4</v>
      </c>
      <c r="P789">
        <v>2</v>
      </c>
      <c r="Q789">
        <v>50</v>
      </c>
      <c r="R789">
        <v>41</v>
      </c>
      <c r="S789">
        <v>41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41</v>
      </c>
      <c r="AA789">
        <v>0</v>
      </c>
      <c r="AB789">
        <v>0</v>
      </c>
      <c r="AD789">
        <v>91</v>
      </c>
    </row>
    <row r="790" spans="1:30" x14ac:dyDescent="0.3">
      <c r="A790" s="4">
        <v>801</v>
      </c>
      <c r="B790" s="5">
        <v>783</v>
      </c>
      <c r="C790">
        <v>1318</v>
      </c>
      <c r="D790" t="s">
        <v>1882</v>
      </c>
      <c r="E790" t="s">
        <v>54</v>
      </c>
      <c r="F790" t="s">
        <v>30</v>
      </c>
      <c r="G790" t="s">
        <v>1883</v>
      </c>
      <c r="H790" t="str">
        <f>"00441677"</f>
        <v>00441677</v>
      </c>
      <c r="I790">
        <v>40</v>
      </c>
      <c r="J790">
        <v>0</v>
      </c>
      <c r="N790">
        <v>0</v>
      </c>
      <c r="O790">
        <v>0</v>
      </c>
      <c r="P790">
        <v>0</v>
      </c>
      <c r="Q790">
        <v>40</v>
      </c>
      <c r="R790">
        <v>51</v>
      </c>
      <c r="S790">
        <v>51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51</v>
      </c>
      <c r="AA790">
        <v>0</v>
      </c>
      <c r="AB790">
        <v>0</v>
      </c>
      <c r="AD790">
        <v>91</v>
      </c>
    </row>
    <row r="791" spans="1:30" x14ac:dyDescent="0.3">
      <c r="A791" s="4">
        <v>802</v>
      </c>
      <c r="B791" s="5">
        <v>784</v>
      </c>
      <c r="C791">
        <v>4188</v>
      </c>
      <c r="D791" t="s">
        <v>1884</v>
      </c>
      <c r="E791" t="s">
        <v>439</v>
      </c>
      <c r="F791" t="s">
        <v>17</v>
      </c>
      <c r="G791" t="s">
        <v>1885</v>
      </c>
      <c r="H791" t="str">
        <f>"201511004922"</f>
        <v>201511004922</v>
      </c>
      <c r="I791">
        <v>7.2</v>
      </c>
      <c r="J791">
        <v>0</v>
      </c>
      <c r="L791">
        <v>6</v>
      </c>
      <c r="N791">
        <v>6</v>
      </c>
      <c r="O791">
        <v>4</v>
      </c>
      <c r="P791">
        <v>2</v>
      </c>
      <c r="Q791">
        <v>19.2</v>
      </c>
      <c r="R791">
        <v>26</v>
      </c>
      <c r="S791">
        <v>26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26</v>
      </c>
      <c r="AA791">
        <v>6</v>
      </c>
      <c r="AB791">
        <v>39.6</v>
      </c>
      <c r="AD791">
        <v>90.8</v>
      </c>
    </row>
    <row r="792" spans="1:30" x14ac:dyDescent="0.3">
      <c r="A792" s="4">
        <v>803</v>
      </c>
      <c r="B792" s="5">
        <v>785</v>
      </c>
      <c r="C792">
        <v>93</v>
      </c>
      <c r="D792" t="s">
        <v>1886</v>
      </c>
      <c r="E792" t="s">
        <v>1887</v>
      </c>
      <c r="F792" t="s">
        <v>20</v>
      </c>
      <c r="G792" t="s">
        <v>1888</v>
      </c>
      <c r="H792" t="str">
        <f>"00243294"</f>
        <v>00243294</v>
      </c>
      <c r="I792">
        <v>29.8</v>
      </c>
      <c r="J792">
        <v>0</v>
      </c>
      <c r="K792">
        <v>8</v>
      </c>
      <c r="N792">
        <v>8</v>
      </c>
      <c r="O792">
        <v>4</v>
      </c>
      <c r="P792">
        <v>2</v>
      </c>
      <c r="Q792">
        <v>43.8</v>
      </c>
      <c r="R792">
        <v>38</v>
      </c>
      <c r="S792">
        <v>38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38</v>
      </c>
      <c r="AA792">
        <v>9</v>
      </c>
      <c r="AB792">
        <v>0</v>
      </c>
      <c r="AD792">
        <v>90.8</v>
      </c>
    </row>
    <row r="793" spans="1:30" x14ac:dyDescent="0.3">
      <c r="A793" s="4">
        <v>804</v>
      </c>
      <c r="B793" s="5">
        <v>786</v>
      </c>
      <c r="C793">
        <v>628</v>
      </c>
      <c r="D793" t="s">
        <v>1889</v>
      </c>
      <c r="E793" t="s">
        <v>29</v>
      </c>
      <c r="F793" t="s">
        <v>17</v>
      </c>
      <c r="G793" t="s">
        <v>1890</v>
      </c>
      <c r="H793" t="str">
        <f>"201406002403"</f>
        <v>201406002403</v>
      </c>
      <c r="I793">
        <v>28.8</v>
      </c>
      <c r="J793">
        <v>10</v>
      </c>
      <c r="N793">
        <v>0</v>
      </c>
      <c r="O793">
        <v>0</v>
      </c>
      <c r="P793">
        <v>2</v>
      </c>
      <c r="Q793">
        <v>40.799999999999997</v>
      </c>
      <c r="R793">
        <v>47</v>
      </c>
      <c r="S793">
        <v>47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47</v>
      </c>
      <c r="AA793">
        <v>3</v>
      </c>
      <c r="AB793">
        <v>0</v>
      </c>
      <c r="AD793">
        <v>90.8</v>
      </c>
    </row>
    <row r="794" spans="1:30" x14ac:dyDescent="0.3">
      <c r="A794" s="4">
        <v>805</v>
      </c>
      <c r="B794" s="5">
        <v>787</v>
      </c>
      <c r="C794">
        <v>2582</v>
      </c>
      <c r="D794" t="s">
        <v>1891</v>
      </c>
      <c r="E794" t="s">
        <v>1892</v>
      </c>
      <c r="F794" t="s">
        <v>190</v>
      </c>
      <c r="G794" t="s">
        <v>1893</v>
      </c>
      <c r="H794" t="str">
        <f>"00855299"</f>
        <v>00855299</v>
      </c>
      <c r="I794">
        <v>64.8</v>
      </c>
      <c r="J794">
        <v>10</v>
      </c>
      <c r="L794">
        <v>12</v>
      </c>
      <c r="N794">
        <v>12</v>
      </c>
      <c r="O794">
        <v>4</v>
      </c>
      <c r="P794">
        <v>0</v>
      </c>
      <c r="Q794">
        <v>90.8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D794">
        <v>90.8</v>
      </c>
    </row>
    <row r="795" spans="1:30" x14ac:dyDescent="0.3">
      <c r="A795" s="4">
        <v>806</v>
      </c>
      <c r="B795" s="5">
        <v>788</v>
      </c>
      <c r="C795">
        <v>3259</v>
      </c>
      <c r="D795" t="s">
        <v>1894</v>
      </c>
      <c r="E795" t="s">
        <v>132</v>
      </c>
      <c r="F795" t="s">
        <v>782</v>
      </c>
      <c r="G795" t="s">
        <v>1895</v>
      </c>
      <c r="H795" t="str">
        <f>"00169971"</f>
        <v>00169971</v>
      </c>
      <c r="I795">
        <v>64.8</v>
      </c>
      <c r="J795">
        <v>10</v>
      </c>
      <c r="K795">
        <v>8</v>
      </c>
      <c r="M795">
        <v>4</v>
      </c>
      <c r="N795">
        <v>12</v>
      </c>
      <c r="O795">
        <v>4</v>
      </c>
      <c r="P795">
        <v>0</v>
      </c>
      <c r="Q795">
        <v>90.8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D795">
        <v>90.8</v>
      </c>
    </row>
    <row r="796" spans="1:30" x14ac:dyDescent="0.3">
      <c r="A796" s="4">
        <v>807</v>
      </c>
      <c r="B796" s="5">
        <v>789</v>
      </c>
      <c r="C796">
        <v>2575</v>
      </c>
      <c r="D796" t="s">
        <v>1896</v>
      </c>
      <c r="E796" t="s">
        <v>29</v>
      </c>
      <c r="F796" t="s">
        <v>17</v>
      </c>
      <c r="G796" t="s">
        <v>1897</v>
      </c>
      <c r="H796" t="str">
        <f>"201511041914"</f>
        <v>201511041914</v>
      </c>
      <c r="I796">
        <v>64.8</v>
      </c>
      <c r="J796">
        <v>10</v>
      </c>
      <c r="M796">
        <v>4</v>
      </c>
      <c r="N796">
        <v>4</v>
      </c>
      <c r="O796">
        <v>4</v>
      </c>
      <c r="P796">
        <v>0</v>
      </c>
      <c r="Q796">
        <v>82.8</v>
      </c>
      <c r="R796">
        <v>8</v>
      </c>
      <c r="S796">
        <v>8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8</v>
      </c>
      <c r="AA796">
        <v>0</v>
      </c>
      <c r="AB796">
        <v>0</v>
      </c>
      <c r="AD796">
        <v>90.8</v>
      </c>
    </row>
    <row r="797" spans="1:30" x14ac:dyDescent="0.3">
      <c r="A797" s="4">
        <v>808</v>
      </c>
      <c r="B797" s="5">
        <v>790</v>
      </c>
      <c r="C797">
        <v>1867</v>
      </c>
      <c r="D797" t="s">
        <v>1898</v>
      </c>
      <c r="E797" t="s">
        <v>1899</v>
      </c>
      <c r="F797" t="s">
        <v>1900</v>
      </c>
      <c r="G797">
        <v>59567069</v>
      </c>
      <c r="H797" t="str">
        <f>"00477864"</f>
        <v>00477864</v>
      </c>
      <c r="I797">
        <v>64.8</v>
      </c>
      <c r="J797">
        <v>0</v>
      </c>
      <c r="L797">
        <v>6</v>
      </c>
      <c r="N797">
        <v>6</v>
      </c>
      <c r="O797">
        <v>0</v>
      </c>
      <c r="P797">
        <v>2</v>
      </c>
      <c r="Q797">
        <v>72.8</v>
      </c>
      <c r="R797">
        <v>18</v>
      </c>
      <c r="S797">
        <v>18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18</v>
      </c>
      <c r="AA797">
        <v>0</v>
      </c>
      <c r="AB797">
        <v>0</v>
      </c>
      <c r="AD797">
        <v>90.8</v>
      </c>
    </row>
    <row r="798" spans="1:30" x14ac:dyDescent="0.3">
      <c r="A798" s="4">
        <v>809</v>
      </c>
      <c r="B798" s="5">
        <v>791</v>
      </c>
      <c r="C798">
        <v>2902</v>
      </c>
      <c r="D798" t="s">
        <v>1901</v>
      </c>
      <c r="E798" t="s">
        <v>48</v>
      </c>
      <c r="F798" t="s">
        <v>158</v>
      </c>
      <c r="G798" t="s">
        <v>1902</v>
      </c>
      <c r="H798" t="str">
        <f>"00531573"</f>
        <v>00531573</v>
      </c>
      <c r="I798">
        <v>28.8</v>
      </c>
      <c r="J798">
        <v>0</v>
      </c>
      <c r="M798">
        <v>4</v>
      </c>
      <c r="N798">
        <v>4</v>
      </c>
      <c r="O798">
        <v>0</v>
      </c>
      <c r="P798">
        <v>0</v>
      </c>
      <c r="Q798">
        <v>32.799999999999997</v>
      </c>
      <c r="R798">
        <v>58</v>
      </c>
      <c r="S798">
        <v>58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58</v>
      </c>
      <c r="AA798">
        <v>0</v>
      </c>
      <c r="AB798">
        <v>0</v>
      </c>
      <c r="AD798">
        <v>90.8</v>
      </c>
    </row>
    <row r="799" spans="1:30" x14ac:dyDescent="0.3">
      <c r="A799" s="4">
        <v>810</v>
      </c>
      <c r="B799" s="5">
        <v>792</v>
      </c>
      <c r="C799">
        <v>1084</v>
      </c>
      <c r="D799" t="s">
        <v>172</v>
      </c>
      <c r="E799" t="s">
        <v>54</v>
      </c>
      <c r="F799" t="s">
        <v>91</v>
      </c>
      <c r="G799" t="s">
        <v>1903</v>
      </c>
      <c r="H799" t="str">
        <f>"00503848"</f>
        <v>00503848</v>
      </c>
      <c r="I799">
        <v>21.6</v>
      </c>
      <c r="J799">
        <v>10</v>
      </c>
      <c r="N799">
        <v>0</v>
      </c>
      <c r="O799">
        <v>4</v>
      </c>
      <c r="P799">
        <v>2</v>
      </c>
      <c r="Q799">
        <v>37.6</v>
      </c>
      <c r="R799">
        <v>47</v>
      </c>
      <c r="S799">
        <v>47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47</v>
      </c>
      <c r="AA799">
        <v>6</v>
      </c>
      <c r="AB799">
        <v>0</v>
      </c>
      <c r="AD799">
        <v>90.6</v>
      </c>
    </row>
    <row r="800" spans="1:30" x14ac:dyDescent="0.3">
      <c r="A800" s="4">
        <v>811</v>
      </c>
      <c r="B800" s="5">
        <v>793</v>
      </c>
      <c r="C800">
        <v>3880</v>
      </c>
      <c r="D800" t="s">
        <v>1904</v>
      </c>
      <c r="E800" t="s">
        <v>1905</v>
      </c>
      <c r="F800" t="s">
        <v>30</v>
      </c>
      <c r="G800" t="s">
        <v>1906</v>
      </c>
      <c r="H800" t="str">
        <f>"00531630"</f>
        <v>00531630</v>
      </c>
      <c r="I800">
        <v>29.6</v>
      </c>
      <c r="J800">
        <v>0</v>
      </c>
      <c r="M800">
        <v>4</v>
      </c>
      <c r="N800">
        <v>4</v>
      </c>
      <c r="O800">
        <v>4</v>
      </c>
      <c r="P800">
        <v>2</v>
      </c>
      <c r="Q800">
        <v>39.6</v>
      </c>
      <c r="R800">
        <v>48</v>
      </c>
      <c r="S800">
        <v>48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48</v>
      </c>
      <c r="AA800">
        <v>3</v>
      </c>
      <c r="AB800">
        <v>0</v>
      </c>
      <c r="AD800">
        <v>90.6</v>
      </c>
    </row>
    <row r="801" spans="1:30" x14ac:dyDescent="0.3">
      <c r="A801" s="4">
        <v>812</v>
      </c>
      <c r="B801" s="5">
        <v>794</v>
      </c>
      <c r="C801">
        <v>120</v>
      </c>
      <c r="D801" t="s">
        <v>1907</v>
      </c>
      <c r="E801" t="s">
        <v>149</v>
      </c>
      <c r="F801" t="s">
        <v>38</v>
      </c>
      <c r="G801" t="s">
        <v>1908</v>
      </c>
      <c r="H801" t="str">
        <f>"201511020232"</f>
        <v>201511020232</v>
      </c>
      <c r="I801">
        <v>50.4</v>
      </c>
      <c r="J801">
        <v>10</v>
      </c>
      <c r="N801">
        <v>0</v>
      </c>
      <c r="O801">
        <v>4</v>
      </c>
      <c r="P801">
        <v>2</v>
      </c>
      <c r="Q801">
        <v>66.400000000000006</v>
      </c>
      <c r="R801">
        <v>18</v>
      </c>
      <c r="S801">
        <v>18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18</v>
      </c>
      <c r="AA801">
        <v>6</v>
      </c>
      <c r="AB801">
        <v>0</v>
      </c>
      <c r="AD801">
        <v>90.4</v>
      </c>
    </row>
    <row r="802" spans="1:30" x14ac:dyDescent="0.3">
      <c r="A802" s="4">
        <v>813</v>
      </c>
      <c r="B802" s="5">
        <v>795</v>
      </c>
      <c r="C802">
        <v>2589</v>
      </c>
      <c r="D802" t="s">
        <v>1909</v>
      </c>
      <c r="E802" t="s">
        <v>29</v>
      </c>
      <c r="F802" t="s">
        <v>17</v>
      </c>
      <c r="G802" t="s">
        <v>1910</v>
      </c>
      <c r="H802" t="str">
        <f>"00515708"</f>
        <v>00515708</v>
      </c>
      <c r="I802">
        <v>35.4</v>
      </c>
      <c r="J802">
        <v>0</v>
      </c>
      <c r="M802">
        <v>4</v>
      </c>
      <c r="N802">
        <v>4</v>
      </c>
      <c r="O802">
        <v>4</v>
      </c>
      <c r="P802">
        <v>0</v>
      </c>
      <c r="Q802">
        <v>43.4</v>
      </c>
      <c r="R802">
        <v>47</v>
      </c>
      <c r="S802">
        <v>47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47</v>
      </c>
      <c r="AA802">
        <v>0</v>
      </c>
      <c r="AB802">
        <v>0</v>
      </c>
      <c r="AD802">
        <v>90.4</v>
      </c>
    </row>
    <row r="803" spans="1:30" x14ac:dyDescent="0.3">
      <c r="A803" s="4">
        <v>814</v>
      </c>
      <c r="B803" s="5">
        <v>796</v>
      </c>
      <c r="C803">
        <v>780</v>
      </c>
      <c r="D803" t="s">
        <v>1911</v>
      </c>
      <c r="E803" t="s">
        <v>648</v>
      </c>
      <c r="F803" t="s">
        <v>20</v>
      </c>
      <c r="G803" t="s">
        <v>1912</v>
      </c>
      <c r="H803" t="str">
        <f>"00161882"</f>
        <v>00161882</v>
      </c>
      <c r="I803">
        <v>43.2</v>
      </c>
      <c r="J803">
        <v>0</v>
      </c>
      <c r="K803">
        <v>8</v>
      </c>
      <c r="N803">
        <v>8</v>
      </c>
      <c r="O803">
        <v>4</v>
      </c>
      <c r="P803">
        <v>2</v>
      </c>
      <c r="Q803">
        <v>57.2</v>
      </c>
      <c r="R803">
        <v>33</v>
      </c>
      <c r="S803">
        <v>33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33</v>
      </c>
      <c r="AA803">
        <v>0</v>
      </c>
      <c r="AB803">
        <v>0</v>
      </c>
      <c r="AD803">
        <v>90.2</v>
      </c>
    </row>
    <row r="804" spans="1:30" x14ac:dyDescent="0.3">
      <c r="A804" s="4">
        <v>815</v>
      </c>
      <c r="B804" s="5">
        <v>797</v>
      </c>
      <c r="C804">
        <v>76</v>
      </c>
      <c r="D804" t="s">
        <v>477</v>
      </c>
      <c r="E804" t="s">
        <v>170</v>
      </c>
      <c r="F804" t="s">
        <v>34</v>
      </c>
      <c r="G804" t="s">
        <v>1913</v>
      </c>
      <c r="H804" t="str">
        <f>"00522490"</f>
        <v>00522490</v>
      </c>
      <c r="I804">
        <v>43.2</v>
      </c>
      <c r="J804">
        <v>0</v>
      </c>
      <c r="M804">
        <v>8</v>
      </c>
      <c r="N804">
        <v>8</v>
      </c>
      <c r="O804">
        <v>4</v>
      </c>
      <c r="P804">
        <v>0</v>
      </c>
      <c r="Q804">
        <v>55.2</v>
      </c>
      <c r="R804">
        <v>35</v>
      </c>
      <c r="S804">
        <v>35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35</v>
      </c>
      <c r="AA804">
        <v>0</v>
      </c>
      <c r="AB804">
        <v>0</v>
      </c>
      <c r="AD804">
        <v>90.2</v>
      </c>
    </row>
    <row r="805" spans="1:30" x14ac:dyDescent="0.3">
      <c r="A805" s="4">
        <v>816</v>
      </c>
      <c r="B805" s="5">
        <v>798</v>
      </c>
      <c r="C805">
        <v>4640</v>
      </c>
      <c r="D805" t="s">
        <v>1914</v>
      </c>
      <c r="E805" t="s">
        <v>22</v>
      </c>
      <c r="F805" t="s">
        <v>117</v>
      </c>
      <c r="G805" t="s">
        <v>1915</v>
      </c>
      <c r="H805" t="str">
        <f>"00532379"</f>
        <v>00532379</v>
      </c>
      <c r="I805">
        <v>43.2</v>
      </c>
      <c r="J805">
        <v>0</v>
      </c>
      <c r="N805">
        <v>0</v>
      </c>
      <c r="O805">
        <v>4</v>
      </c>
      <c r="P805">
        <v>0</v>
      </c>
      <c r="Q805">
        <v>47.2</v>
      </c>
      <c r="R805">
        <v>43</v>
      </c>
      <c r="S805">
        <v>43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43</v>
      </c>
      <c r="AA805">
        <v>0</v>
      </c>
      <c r="AB805">
        <v>0</v>
      </c>
      <c r="AD805">
        <v>90.2</v>
      </c>
    </row>
    <row r="806" spans="1:30" x14ac:dyDescent="0.3">
      <c r="A806" s="4">
        <v>817</v>
      </c>
      <c r="B806" s="5">
        <v>799</v>
      </c>
      <c r="C806">
        <v>4174</v>
      </c>
      <c r="D806" t="s">
        <v>1916</v>
      </c>
      <c r="E806" t="s">
        <v>29</v>
      </c>
      <c r="F806" t="s">
        <v>38</v>
      </c>
      <c r="G806" t="s">
        <v>1917</v>
      </c>
      <c r="H806" t="str">
        <f>"00482862"</f>
        <v>00482862</v>
      </c>
      <c r="I806">
        <v>35.119999999999997</v>
      </c>
      <c r="J806">
        <v>0</v>
      </c>
      <c r="N806">
        <v>0</v>
      </c>
      <c r="O806">
        <v>4</v>
      </c>
      <c r="P806">
        <v>0</v>
      </c>
      <c r="Q806">
        <v>39.119999999999997</v>
      </c>
      <c r="R806">
        <v>45</v>
      </c>
      <c r="S806">
        <v>45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45</v>
      </c>
      <c r="AA806">
        <v>6</v>
      </c>
      <c r="AB806">
        <v>0</v>
      </c>
      <c r="AD806">
        <v>90.12</v>
      </c>
    </row>
    <row r="807" spans="1:30" x14ac:dyDescent="0.3">
      <c r="A807" s="4">
        <v>818</v>
      </c>
      <c r="B807" s="5">
        <v>800</v>
      </c>
      <c r="C807">
        <v>1436</v>
      </c>
      <c r="D807" t="s">
        <v>1918</v>
      </c>
      <c r="E807" t="s">
        <v>1171</v>
      </c>
      <c r="F807" t="s">
        <v>975</v>
      </c>
      <c r="G807" t="s">
        <v>1919</v>
      </c>
      <c r="H807" t="str">
        <f>"00494095"</f>
        <v>00494095</v>
      </c>
      <c r="I807">
        <v>7.2</v>
      </c>
      <c r="J807">
        <v>10</v>
      </c>
      <c r="M807">
        <v>4</v>
      </c>
      <c r="N807">
        <v>4</v>
      </c>
      <c r="O807">
        <v>4</v>
      </c>
      <c r="P807">
        <v>2</v>
      </c>
      <c r="Q807">
        <v>27.2</v>
      </c>
      <c r="R807">
        <v>36</v>
      </c>
      <c r="S807">
        <v>36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36</v>
      </c>
      <c r="AA807">
        <v>0</v>
      </c>
      <c r="AB807">
        <v>26.8</v>
      </c>
      <c r="AD807">
        <v>90</v>
      </c>
    </row>
    <row r="808" spans="1:30" x14ac:dyDescent="0.3">
      <c r="A808" s="4">
        <v>819</v>
      </c>
      <c r="B808" s="5">
        <v>801</v>
      </c>
      <c r="C808">
        <v>1907</v>
      </c>
      <c r="D808" t="s">
        <v>1920</v>
      </c>
      <c r="E808" t="s">
        <v>178</v>
      </c>
      <c r="F808" t="s">
        <v>158</v>
      </c>
      <c r="G808" t="s">
        <v>1921</v>
      </c>
      <c r="H808" t="str">
        <f>"00539862"</f>
        <v>00539862</v>
      </c>
      <c r="I808">
        <v>72</v>
      </c>
      <c r="J808">
        <v>0</v>
      </c>
      <c r="K808">
        <v>8</v>
      </c>
      <c r="N808">
        <v>8</v>
      </c>
      <c r="O808">
        <v>4</v>
      </c>
      <c r="P808">
        <v>0</v>
      </c>
      <c r="Q808">
        <v>84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6</v>
      </c>
      <c r="AB808">
        <v>0</v>
      </c>
      <c r="AD808">
        <v>90</v>
      </c>
    </row>
    <row r="809" spans="1:30" x14ac:dyDescent="0.3">
      <c r="A809" s="4">
        <v>820</v>
      </c>
      <c r="B809" s="5">
        <v>802</v>
      </c>
      <c r="C809">
        <v>2963</v>
      </c>
      <c r="D809" t="s">
        <v>1736</v>
      </c>
      <c r="E809" t="s">
        <v>97</v>
      </c>
      <c r="F809" t="s">
        <v>17</v>
      </c>
      <c r="G809" t="s">
        <v>1922</v>
      </c>
      <c r="H809" t="str">
        <f>"201406004076"</f>
        <v>201406004076</v>
      </c>
      <c r="I809">
        <v>36</v>
      </c>
      <c r="J809">
        <v>0</v>
      </c>
      <c r="M809">
        <v>4</v>
      </c>
      <c r="N809">
        <v>4</v>
      </c>
      <c r="O809">
        <v>4</v>
      </c>
      <c r="P809">
        <v>0</v>
      </c>
      <c r="Q809">
        <v>44</v>
      </c>
      <c r="R809">
        <v>40</v>
      </c>
      <c r="S809">
        <v>40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40</v>
      </c>
      <c r="AA809">
        <v>6</v>
      </c>
      <c r="AB809">
        <v>0</v>
      </c>
      <c r="AD809">
        <v>90</v>
      </c>
    </row>
    <row r="810" spans="1:30" x14ac:dyDescent="0.3">
      <c r="A810" s="4">
        <v>821</v>
      </c>
      <c r="B810" s="5">
        <v>803</v>
      </c>
      <c r="C810">
        <v>644</v>
      </c>
      <c r="D810" t="s">
        <v>1923</v>
      </c>
      <c r="E810" t="s">
        <v>1924</v>
      </c>
      <c r="F810" t="s">
        <v>20</v>
      </c>
      <c r="G810" t="s">
        <v>1925</v>
      </c>
      <c r="H810" t="str">
        <f>"00498740"</f>
        <v>00498740</v>
      </c>
      <c r="I810">
        <v>36</v>
      </c>
      <c r="J810">
        <v>0</v>
      </c>
      <c r="K810">
        <v>8</v>
      </c>
      <c r="N810">
        <v>8</v>
      </c>
      <c r="O810">
        <v>4</v>
      </c>
      <c r="P810">
        <v>2</v>
      </c>
      <c r="Q810">
        <v>50</v>
      </c>
      <c r="R810">
        <v>37</v>
      </c>
      <c r="S810">
        <v>37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37</v>
      </c>
      <c r="AA810">
        <v>3</v>
      </c>
      <c r="AB810">
        <v>0</v>
      </c>
      <c r="AD810">
        <v>90</v>
      </c>
    </row>
    <row r="811" spans="1:30" x14ac:dyDescent="0.3">
      <c r="A811" s="4">
        <v>822</v>
      </c>
      <c r="B811" s="5">
        <v>804</v>
      </c>
      <c r="C811">
        <v>4181</v>
      </c>
      <c r="D811" t="s">
        <v>966</v>
      </c>
      <c r="E811" t="s">
        <v>1926</v>
      </c>
      <c r="F811" t="s">
        <v>81</v>
      </c>
      <c r="G811" t="s">
        <v>1927</v>
      </c>
      <c r="H811" t="str">
        <f>"00862352"</f>
        <v>00862352</v>
      </c>
      <c r="I811">
        <v>72</v>
      </c>
      <c r="J811">
        <v>10</v>
      </c>
      <c r="M811">
        <v>4</v>
      </c>
      <c r="N811">
        <v>4</v>
      </c>
      <c r="O811">
        <v>4</v>
      </c>
      <c r="P811">
        <v>0</v>
      </c>
      <c r="Q811">
        <v>90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D811">
        <v>90</v>
      </c>
    </row>
    <row r="812" spans="1:30" x14ac:dyDescent="0.3">
      <c r="A812" s="4">
        <v>823</v>
      </c>
      <c r="B812" s="5">
        <v>805</v>
      </c>
      <c r="C812">
        <v>1</v>
      </c>
      <c r="D812" t="s">
        <v>1928</v>
      </c>
      <c r="E812" t="s">
        <v>1929</v>
      </c>
      <c r="F812" t="s">
        <v>1930</v>
      </c>
      <c r="G812" t="s">
        <v>1931</v>
      </c>
      <c r="H812" t="str">
        <f>"00429794"</f>
        <v>00429794</v>
      </c>
      <c r="I812">
        <v>72</v>
      </c>
      <c r="J812">
        <v>10</v>
      </c>
      <c r="M812">
        <v>4</v>
      </c>
      <c r="N812">
        <v>4</v>
      </c>
      <c r="O812">
        <v>4</v>
      </c>
      <c r="P812">
        <v>0</v>
      </c>
      <c r="Q812">
        <v>90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D812">
        <v>90</v>
      </c>
    </row>
    <row r="813" spans="1:30" x14ac:dyDescent="0.3">
      <c r="A813" s="4">
        <v>824</v>
      </c>
      <c r="B813" s="5">
        <v>806</v>
      </c>
      <c r="C813">
        <v>4785</v>
      </c>
      <c r="D813" t="s">
        <v>1932</v>
      </c>
      <c r="E813" t="s">
        <v>100</v>
      </c>
      <c r="F813" t="s">
        <v>626</v>
      </c>
      <c r="G813" t="s">
        <v>1933</v>
      </c>
      <c r="H813" t="str">
        <f>"00421953"</f>
        <v>00421953</v>
      </c>
      <c r="I813">
        <v>36</v>
      </c>
      <c r="J813">
        <v>10</v>
      </c>
      <c r="M813">
        <v>4</v>
      </c>
      <c r="N813">
        <v>4</v>
      </c>
      <c r="O813">
        <v>4</v>
      </c>
      <c r="P813">
        <v>2</v>
      </c>
      <c r="Q813">
        <v>56</v>
      </c>
      <c r="R813">
        <v>34</v>
      </c>
      <c r="S813">
        <v>34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34</v>
      </c>
      <c r="AA813">
        <v>0</v>
      </c>
      <c r="AB813">
        <v>0</v>
      </c>
      <c r="AD813">
        <v>90</v>
      </c>
    </row>
    <row r="814" spans="1:30" x14ac:dyDescent="0.3">
      <c r="A814" s="4">
        <v>825</v>
      </c>
      <c r="B814" s="5">
        <v>807</v>
      </c>
      <c r="C814">
        <v>2141</v>
      </c>
      <c r="D814" t="s">
        <v>1934</v>
      </c>
      <c r="E814" t="s">
        <v>29</v>
      </c>
      <c r="F814" t="s">
        <v>626</v>
      </c>
      <c r="G814" t="s">
        <v>1935</v>
      </c>
      <c r="H814" t="str">
        <f>"00510748"</f>
        <v>00510748</v>
      </c>
      <c r="I814">
        <v>34.840000000000003</v>
      </c>
      <c r="J814">
        <v>0</v>
      </c>
      <c r="N814">
        <v>0</v>
      </c>
      <c r="O814">
        <v>0</v>
      </c>
      <c r="P814">
        <v>0</v>
      </c>
      <c r="Q814">
        <v>34.840000000000003</v>
      </c>
      <c r="R814">
        <v>52</v>
      </c>
      <c r="S814">
        <v>52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52</v>
      </c>
      <c r="AA814">
        <v>3</v>
      </c>
      <c r="AB814">
        <v>0</v>
      </c>
      <c r="AD814">
        <v>89.84</v>
      </c>
    </row>
    <row r="815" spans="1:30" x14ac:dyDescent="0.3">
      <c r="A815" s="4">
        <v>826</v>
      </c>
      <c r="B815" s="5">
        <v>808</v>
      </c>
      <c r="C815">
        <v>1377</v>
      </c>
      <c r="D815" t="s">
        <v>1936</v>
      </c>
      <c r="E815" t="s">
        <v>170</v>
      </c>
      <c r="F815" t="s">
        <v>23</v>
      </c>
      <c r="G815" t="s">
        <v>1937</v>
      </c>
      <c r="H815" t="str">
        <f>"00044692"</f>
        <v>00044692</v>
      </c>
      <c r="I815">
        <v>38.799999999999997</v>
      </c>
      <c r="J815">
        <v>0</v>
      </c>
      <c r="M815">
        <v>4</v>
      </c>
      <c r="N815">
        <v>4</v>
      </c>
      <c r="O815">
        <v>4</v>
      </c>
      <c r="P815">
        <v>0</v>
      </c>
      <c r="Q815">
        <v>46.8</v>
      </c>
      <c r="R815">
        <v>37</v>
      </c>
      <c r="S815">
        <v>37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37</v>
      </c>
      <c r="AA815">
        <v>6</v>
      </c>
      <c r="AB815">
        <v>0</v>
      </c>
      <c r="AD815">
        <v>89.8</v>
      </c>
    </row>
    <row r="816" spans="1:30" x14ac:dyDescent="0.3">
      <c r="A816" s="4">
        <v>827</v>
      </c>
      <c r="B816" s="5">
        <v>809</v>
      </c>
      <c r="C816">
        <v>3956</v>
      </c>
      <c r="D816" t="s">
        <v>1938</v>
      </c>
      <c r="E816" t="s">
        <v>37</v>
      </c>
      <c r="F816" t="s">
        <v>442</v>
      </c>
      <c r="G816" t="s">
        <v>1939</v>
      </c>
      <c r="H816" t="str">
        <f>"201511006984"</f>
        <v>201511006984</v>
      </c>
      <c r="I816">
        <v>28.8</v>
      </c>
      <c r="J816">
        <v>0</v>
      </c>
      <c r="M816">
        <v>4</v>
      </c>
      <c r="N816">
        <v>4</v>
      </c>
      <c r="O816">
        <v>4</v>
      </c>
      <c r="P816">
        <v>2</v>
      </c>
      <c r="Q816">
        <v>38.799999999999997</v>
      </c>
      <c r="R816">
        <v>45</v>
      </c>
      <c r="S816">
        <v>45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45</v>
      </c>
      <c r="AA816">
        <v>6</v>
      </c>
      <c r="AB816">
        <v>0</v>
      </c>
      <c r="AD816">
        <v>89.8</v>
      </c>
    </row>
    <row r="817" spans="1:30" x14ac:dyDescent="0.3">
      <c r="A817" s="4">
        <v>828</v>
      </c>
      <c r="B817" s="5">
        <v>810</v>
      </c>
      <c r="C817">
        <v>981</v>
      </c>
      <c r="D817" t="s">
        <v>959</v>
      </c>
      <c r="E817" t="s">
        <v>1940</v>
      </c>
      <c r="F817" t="s">
        <v>1941</v>
      </c>
      <c r="G817" t="s">
        <v>1942</v>
      </c>
      <c r="H817" t="str">
        <f>"00441496"</f>
        <v>00441496</v>
      </c>
      <c r="I817">
        <v>28.8</v>
      </c>
      <c r="J817">
        <v>0</v>
      </c>
      <c r="M817">
        <v>4</v>
      </c>
      <c r="N817">
        <v>4</v>
      </c>
      <c r="O817">
        <v>4</v>
      </c>
      <c r="P817">
        <v>0</v>
      </c>
      <c r="Q817">
        <v>36.799999999999997</v>
      </c>
      <c r="R817">
        <v>47</v>
      </c>
      <c r="S817">
        <v>47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47</v>
      </c>
      <c r="AA817">
        <v>6</v>
      </c>
      <c r="AB817">
        <v>0</v>
      </c>
      <c r="AD817">
        <v>89.8</v>
      </c>
    </row>
    <row r="818" spans="1:30" x14ac:dyDescent="0.3">
      <c r="A818" s="4">
        <v>829</v>
      </c>
      <c r="B818" s="5">
        <v>811</v>
      </c>
      <c r="C818">
        <v>3306</v>
      </c>
      <c r="D818" t="s">
        <v>1943</v>
      </c>
      <c r="E818" t="s">
        <v>957</v>
      </c>
      <c r="F818" t="s">
        <v>30</v>
      </c>
      <c r="G818" t="s">
        <v>1944</v>
      </c>
      <c r="H818" t="str">
        <f>"00503685"</f>
        <v>00503685</v>
      </c>
      <c r="I818">
        <v>24.72</v>
      </c>
      <c r="J818">
        <v>0</v>
      </c>
      <c r="M818">
        <v>4</v>
      </c>
      <c r="N818">
        <v>4</v>
      </c>
      <c r="O818">
        <v>4</v>
      </c>
      <c r="P818">
        <v>2</v>
      </c>
      <c r="Q818">
        <v>34.72</v>
      </c>
      <c r="R818">
        <v>52</v>
      </c>
      <c r="S818">
        <v>52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52</v>
      </c>
      <c r="AA818">
        <v>3</v>
      </c>
      <c r="AB818">
        <v>0</v>
      </c>
      <c r="AD818">
        <v>89.72</v>
      </c>
    </row>
    <row r="819" spans="1:30" x14ac:dyDescent="0.3">
      <c r="A819" s="4">
        <v>830</v>
      </c>
      <c r="B819" s="5">
        <v>812</v>
      </c>
      <c r="C819">
        <v>3714</v>
      </c>
      <c r="D819" t="s">
        <v>1945</v>
      </c>
      <c r="E819" t="s">
        <v>342</v>
      </c>
      <c r="F819" t="s">
        <v>38</v>
      </c>
      <c r="G819" t="s">
        <v>32027</v>
      </c>
      <c r="H819" t="str">
        <f>"00441546"</f>
        <v>00441546</v>
      </c>
      <c r="I819">
        <v>31.72</v>
      </c>
      <c r="J819">
        <v>0</v>
      </c>
      <c r="N819">
        <v>0</v>
      </c>
      <c r="O819">
        <v>0</v>
      </c>
      <c r="P819">
        <v>0</v>
      </c>
      <c r="Q819">
        <v>31.72</v>
      </c>
      <c r="R819">
        <v>58</v>
      </c>
      <c r="S819">
        <v>58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58</v>
      </c>
      <c r="AA819">
        <v>0</v>
      </c>
      <c r="AB819">
        <v>0</v>
      </c>
      <c r="AD819">
        <v>89.72</v>
      </c>
    </row>
    <row r="820" spans="1:30" x14ac:dyDescent="0.3">
      <c r="A820" s="4">
        <v>831</v>
      </c>
      <c r="B820" s="5">
        <v>813</v>
      </c>
      <c r="C820">
        <v>2034</v>
      </c>
      <c r="D820" t="s">
        <v>1946</v>
      </c>
      <c r="E820" t="s">
        <v>380</v>
      </c>
      <c r="F820" t="s">
        <v>38</v>
      </c>
      <c r="G820" t="s">
        <v>1947</v>
      </c>
      <c r="H820" t="str">
        <f>"00464297"</f>
        <v>00464297</v>
      </c>
      <c r="I820">
        <v>57.6</v>
      </c>
      <c r="J820">
        <v>10</v>
      </c>
      <c r="M820">
        <v>4</v>
      </c>
      <c r="N820">
        <v>4</v>
      </c>
      <c r="O820">
        <v>4</v>
      </c>
      <c r="P820">
        <v>0</v>
      </c>
      <c r="Q820">
        <v>75.599999999999994</v>
      </c>
      <c r="R820">
        <v>8</v>
      </c>
      <c r="S820">
        <v>8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8</v>
      </c>
      <c r="AA820">
        <v>6</v>
      </c>
      <c r="AB820">
        <v>0</v>
      </c>
      <c r="AD820">
        <v>89.6</v>
      </c>
    </row>
    <row r="821" spans="1:30" x14ac:dyDescent="0.3">
      <c r="A821" s="4">
        <v>832</v>
      </c>
      <c r="B821" s="5">
        <v>814</v>
      </c>
      <c r="C821">
        <v>816</v>
      </c>
      <c r="D821" t="s">
        <v>1948</v>
      </c>
      <c r="E821" t="s">
        <v>41</v>
      </c>
      <c r="F821" t="s">
        <v>81</v>
      </c>
      <c r="G821" t="s">
        <v>1949</v>
      </c>
      <c r="H821" t="str">
        <f>"00425873"</f>
        <v>00425873</v>
      </c>
      <c r="I821">
        <v>57.6</v>
      </c>
      <c r="J821">
        <v>0</v>
      </c>
      <c r="M821">
        <v>4</v>
      </c>
      <c r="N821">
        <v>4</v>
      </c>
      <c r="O821">
        <v>4</v>
      </c>
      <c r="P821">
        <v>0</v>
      </c>
      <c r="Q821">
        <v>65.599999999999994</v>
      </c>
      <c r="R821">
        <v>18</v>
      </c>
      <c r="S821">
        <v>18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18</v>
      </c>
      <c r="AA821">
        <v>6</v>
      </c>
      <c r="AB821">
        <v>0</v>
      </c>
      <c r="AD821">
        <v>89.6</v>
      </c>
    </row>
    <row r="822" spans="1:30" x14ac:dyDescent="0.3">
      <c r="A822" s="4">
        <v>833</v>
      </c>
      <c r="B822" s="5">
        <v>815</v>
      </c>
      <c r="C822">
        <v>4438</v>
      </c>
      <c r="D822" t="s">
        <v>1950</v>
      </c>
      <c r="E822" t="s">
        <v>97</v>
      </c>
      <c r="F822" t="s">
        <v>425</v>
      </c>
      <c r="G822" t="s">
        <v>1951</v>
      </c>
      <c r="H822" t="str">
        <f>"00530468"</f>
        <v>00530468</v>
      </c>
      <c r="I822">
        <v>57.6</v>
      </c>
      <c r="J822">
        <v>10</v>
      </c>
      <c r="M822">
        <v>4</v>
      </c>
      <c r="N822">
        <v>4</v>
      </c>
      <c r="O822">
        <v>4</v>
      </c>
      <c r="P822">
        <v>2</v>
      </c>
      <c r="Q822">
        <v>77.599999999999994</v>
      </c>
      <c r="R822">
        <v>12</v>
      </c>
      <c r="S822">
        <v>12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12</v>
      </c>
      <c r="AA822">
        <v>0</v>
      </c>
      <c r="AB822">
        <v>0</v>
      </c>
      <c r="AD822">
        <v>89.6</v>
      </c>
    </row>
    <row r="823" spans="1:30" x14ac:dyDescent="0.3">
      <c r="A823" s="4">
        <v>834</v>
      </c>
      <c r="B823" s="5">
        <v>816</v>
      </c>
      <c r="C823">
        <v>4006</v>
      </c>
      <c r="D823" t="s">
        <v>1952</v>
      </c>
      <c r="E823" t="s">
        <v>1953</v>
      </c>
      <c r="F823" t="s">
        <v>117</v>
      </c>
      <c r="G823" t="s">
        <v>1954</v>
      </c>
      <c r="H823" t="str">
        <f>"00130007"</f>
        <v>00130007</v>
      </c>
      <c r="I823">
        <v>57.6</v>
      </c>
      <c r="J823">
        <v>0</v>
      </c>
      <c r="K823">
        <v>8</v>
      </c>
      <c r="N823">
        <v>8</v>
      </c>
      <c r="O823">
        <v>4</v>
      </c>
      <c r="P823">
        <v>2</v>
      </c>
      <c r="Q823">
        <v>71.599999999999994</v>
      </c>
      <c r="R823">
        <v>18</v>
      </c>
      <c r="S823">
        <v>18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18</v>
      </c>
      <c r="AA823">
        <v>0</v>
      </c>
      <c r="AB823">
        <v>0</v>
      </c>
      <c r="AD823">
        <v>89.6</v>
      </c>
    </row>
    <row r="824" spans="1:30" x14ac:dyDescent="0.3">
      <c r="A824" s="4">
        <v>835</v>
      </c>
      <c r="B824" s="5">
        <v>817</v>
      </c>
      <c r="C824">
        <v>284</v>
      </c>
      <c r="D824" t="s">
        <v>1752</v>
      </c>
      <c r="E824" t="s">
        <v>178</v>
      </c>
      <c r="F824" t="s">
        <v>38</v>
      </c>
      <c r="G824" t="s">
        <v>1955</v>
      </c>
      <c r="H824" t="str">
        <f>"00330838"</f>
        <v>00330838</v>
      </c>
      <c r="I824">
        <v>57.6</v>
      </c>
      <c r="J824">
        <v>0</v>
      </c>
      <c r="K824">
        <v>8</v>
      </c>
      <c r="N824">
        <v>8</v>
      </c>
      <c r="O824">
        <v>4</v>
      </c>
      <c r="P824">
        <v>2</v>
      </c>
      <c r="Q824">
        <v>71.599999999999994</v>
      </c>
      <c r="R824">
        <v>18</v>
      </c>
      <c r="S824">
        <v>18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18</v>
      </c>
      <c r="AA824">
        <v>0</v>
      </c>
      <c r="AB824">
        <v>0</v>
      </c>
      <c r="AD824">
        <v>89.6</v>
      </c>
    </row>
    <row r="825" spans="1:30" x14ac:dyDescent="0.3">
      <c r="A825" s="4">
        <v>836</v>
      </c>
      <c r="B825" s="5">
        <v>818</v>
      </c>
      <c r="C825">
        <v>3848</v>
      </c>
      <c r="D825" t="s">
        <v>165</v>
      </c>
      <c r="E825" t="s">
        <v>1413</v>
      </c>
      <c r="F825" t="s">
        <v>1023</v>
      </c>
      <c r="G825" t="s">
        <v>1956</v>
      </c>
      <c r="H825" t="str">
        <f>"00529126"</f>
        <v>00529126</v>
      </c>
      <c r="I825">
        <v>57.6</v>
      </c>
      <c r="J825">
        <v>0</v>
      </c>
      <c r="K825">
        <v>8</v>
      </c>
      <c r="N825">
        <v>8</v>
      </c>
      <c r="O825">
        <v>4</v>
      </c>
      <c r="P825">
        <v>2</v>
      </c>
      <c r="Q825">
        <v>71.599999999999994</v>
      </c>
      <c r="R825">
        <v>18</v>
      </c>
      <c r="S825">
        <v>18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18</v>
      </c>
      <c r="AA825">
        <v>0</v>
      </c>
      <c r="AB825">
        <v>0</v>
      </c>
      <c r="AD825">
        <v>89.6</v>
      </c>
    </row>
    <row r="826" spans="1:30" x14ac:dyDescent="0.3">
      <c r="A826" s="4">
        <v>837</v>
      </c>
      <c r="B826" s="5">
        <v>819</v>
      </c>
      <c r="C826">
        <v>1481</v>
      </c>
      <c r="D826" t="s">
        <v>929</v>
      </c>
      <c r="E826" t="s">
        <v>143</v>
      </c>
      <c r="F826" t="s">
        <v>17</v>
      </c>
      <c r="G826" t="s">
        <v>1957</v>
      </c>
      <c r="H826" t="str">
        <f>"201511036775"</f>
        <v>201511036775</v>
      </c>
      <c r="I826">
        <v>57.6</v>
      </c>
      <c r="J826">
        <v>0</v>
      </c>
      <c r="K826">
        <v>8</v>
      </c>
      <c r="N826">
        <v>8</v>
      </c>
      <c r="O826">
        <v>4</v>
      </c>
      <c r="P826">
        <v>2</v>
      </c>
      <c r="Q826">
        <v>71.599999999999994</v>
      </c>
      <c r="R826">
        <v>18</v>
      </c>
      <c r="S826">
        <v>18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18</v>
      </c>
      <c r="AA826">
        <v>0</v>
      </c>
      <c r="AB826">
        <v>0</v>
      </c>
      <c r="AD826">
        <v>89.6</v>
      </c>
    </row>
    <row r="827" spans="1:30" x14ac:dyDescent="0.3">
      <c r="A827" s="4">
        <v>838</v>
      </c>
      <c r="B827" s="5">
        <v>820</v>
      </c>
      <c r="C827">
        <v>2612</v>
      </c>
      <c r="D827" t="s">
        <v>1958</v>
      </c>
      <c r="E827" t="s">
        <v>33</v>
      </c>
      <c r="F827" t="s">
        <v>238</v>
      </c>
      <c r="G827" t="s">
        <v>1959</v>
      </c>
      <c r="H827" t="str">
        <f>"00150346"</f>
        <v>00150346</v>
      </c>
      <c r="I827">
        <v>57.6</v>
      </c>
      <c r="J827">
        <v>0</v>
      </c>
      <c r="K827">
        <v>8</v>
      </c>
      <c r="N827">
        <v>8</v>
      </c>
      <c r="O827">
        <v>4</v>
      </c>
      <c r="P827">
        <v>2</v>
      </c>
      <c r="Q827">
        <v>71.599999999999994</v>
      </c>
      <c r="R827">
        <v>18</v>
      </c>
      <c r="S827">
        <v>18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18</v>
      </c>
      <c r="AA827">
        <v>0</v>
      </c>
      <c r="AB827">
        <v>0</v>
      </c>
      <c r="AD827">
        <v>89.6</v>
      </c>
    </row>
    <row r="828" spans="1:30" x14ac:dyDescent="0.3">
      <c r="A828" s="4">
        <v>839</v>
      </c>
      <c r="B828" s="5">
        <v>821</v>
      </c>
      <c r="C828">
        <v>3512</v>
      </c>
      <c r="D828" t="s">
        <v>1960</v>
      </c>
      <c r="E828" t="s">
        <v>283</v>
      </c>
      <c r="F828" t="s">
        <v>52</v>
      </c>
      <c r="G828" t="s">
        <v>1961</v>
      </c>
      <c r="H828" t="str">
        <f>"201511015424"</f>
        <v>201511015424</v>
      </c>
      <c r="I828">
        <v>33.6</v>
      </c>
      <c r="J828">
        <v>0</v>
      </c>
      <c r="K828">
        <v>8</v>
      </c>
      <c r="N828">
        <v>8</v>
      </c>
      <c r="O828">
        <v>4</v>
      </c>
      <c r="P828">
        <v>2</v>
      </c>
      <c r="Q828">
        <v>47.6</v>
      </c>
      <c r="R828">
        <v>42</v>
      </c>
      <c r="S828">
        <v>42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42</v>
      </c>
      <c r="AA828">
        <v>0</v>
      </c>
      <c r="AB828">
        <v>0</v>
      </c>
      <c r="AD828">
        <v>89.6</v>
      </c>
    </row>
    <row r="829" spans="1:30" x14ac:dyDescent="0.3">
      <c r="A829" s="4">
        <v>840</v>
      </c>
      <c r="B829" s="5">
        <v>822</v>
      </c>
      <c r="C829">
        <v>3571</v>
      </c>
      <c r="D829" t="s">
        <v>1962</v>
      </c>
      <c r="E829" t="s">
        <v>97</v>
      </c>
      <c r="F829" t="s">
        <v>190</v>
      </c>
      <c r="G829" t="s">
        <v>1963</v>
      </c>
      <c r="H829" t="str">
        <f>"00442380"</f>
        <v>00442380</v>
      </c>
      <c r="I829">
        <v>21.6</v>
      </c>
      <c r="J829">
        <v>10</v>
      </c>
      <c r="M829">
        <v>4</v>
      </c>
      <c r="N829">
        <v>4</v>
      </c>
      <c r="O829">
        <v>4</v>
      </c>
      <c r="P829">
        <v>2</v>
      </c>
      <c r="Q829">
        <v>41.6</v>
      </c>
      <c r="R829">
        <v>48</v>
      </c>
      <c r="S829">
        <v>48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48</v>
      </c>
      <c r="AA829">
        <v>0</v>
      </c>
      <c r="AB829">
        <v>0</v>
      </c>
      <c r="AD829">
        <v>89.6</v>
      </c>
    </row>
    <row r="830" spans="1:30" x14ac:dyDescent="0.3">
      <c r="A830" s="4">
        <v>841</v>
      </c>
      <c r="B830" s="5">
        <v>823</v>
      </c>
      <c r="C830">
        <v>231</v>
      </c>
      <c r="D830" t="s">
        <v>1964</v>
      </c>
      <c r="E830" t="s">
        <v>161</v>
      </c>
      <c r="F830" t="s">
        <v>20</v>
      </c>
      <c r="G830" t="s">
        <v>1965</v>
      </c>
      <c r="H830" t="str">
        <f>"00150921"</f>
        <v>00150921</v>
      </c>
      <c r="I830">
        <v>21.6</v>
      </c>
      <c r="J830">
        <v>10</v>
      </c>
      <c r="N830">
        <v>0</v>
      </c>
      <c r="O830">
        <v>4</v>
      </c>
      <c r="P830">
        <v>2</v>
      </c>
      <c r="Q830">
        <v>37.6</v>
      </c>
      <c r="R830">
        <v>52</v>
      </c>
      <c r="S830">
        <v>52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52</v>
      </c>
      <c r="AA830">
        <v>0</v>
      </c>
      <c r="AB830">
        <v>0</v>
      </c>
      <c r="AD830">
        <v>89.6</v>
      </c>
    </row>
    <row r="831" spans="1:30" x14ac:dyDescent="0.3">
      <c r="A831" s="4">
        <v>842</v>
      </c>
      <c r="B831" s="5">
        <v>824</v>
      </c>
      <c r="C831">
        <v>974</v>
      </c>
      <c r="D831" t="s">
        <v>1966</v>
      </c>
      <c r="E831" t="s">
        <v>738</v>
      </c>
      <c r="F831" t="s">
        <v>158</v>
      </c>
      <c r="G831" t="s">
        <v>1967</v>
      </c>
      <c r="H831" t="str">
        <f>"00161241"</f>
        <v>00161241</v>
      </c>
      <c r="I831">
        <v>21.6</v>
      </c>
      <c r="J831">
        <v>0</v>
      </c>
      <c r="M831">
        <v>4</v>
      </c>
      <c r="N831">
        <v>4</v>
      </c>
      <c r="O831">
        <v>4</v>
      </c>
      <c r="P831">
        <v>2</v>
      </c>
      <c r="Q831">
        <v>31.6</v>
      </c>
      <c r="R831">
        <v>58</v>
      </c>
      <c r="S831">
        <v>58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58</v>
      </c>
      <c r="AA831">
        <v>0</v>
      </c>
      <c r="AB831">
        <v>0</v>
      </c>
      <c r="AD831">
        <v>89.6</v>
      </c>
    </row>
    <row r="832" spans="1:30" x14ac:dyDescent="0.3">
      <c r="A832" s="4">
        <v>843</v>
      </c>
      <c r="B832" s="5">
        <v>825</v>
      </c>
      <c r="C832">
        <v>514</v>
      </c>
      <c r="D832" t="s">
        <v>1968</v>
      </c>
      <c r="E832" t="s">
        <v>268</v>
      </c>
      <c r="F832" t="s">
        <v>136</v>
      </c>
      <c r="G832" t="s">
        <v>1969</v>
      </c>
      <c r="H832" t="str">
        <f>"00490125"</f>
        <v>00490125</v>
      </c>
      <c r="I832">
        <v>50.4</v>
      </c>
      <c r="J832">
        <v>10</v>
      </c>
      <c r="N832">
        <v>0</v>
      </c>
      <c r="O832">
        <v>4</v>
      </c>
      <c r="P832">
        <v>0</v>
      </c>
      <c r="Q832">
        <v>64.400000000000006</v>
      </c>
      <c r="R832">
        <v>19</v>
      </c>
      <c r="S832">
        <v>19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19</v>
      </c>
      <c r="AA832">
        <v>6</v>
      </c>
      <c r="AB832">
        <v>0</v>
      </c>
      <c r="AD832">
        <v>89.4</v>
      </c>
    </row>
    <row r="833" spans="1:30" x14ac:dyDescent="0.3">
      <c r="A833" s="4">
        <v>844</v>
      </c>
      <c r="B833" s="5">
        <v>826</v>
      </c>
      <c r="C833">
        <v>2076</v>
      </c>
      <c r="D833" t="s">
        <v>1764</v>
      </c>
      <c r="E833" t="s">
        <v>166</v>
      </c>
      <c r="F833" t="s">
        <v>38</v>
      </c>
      <c r="G833" t="s">
        <v>1970</v>
      </c>
      <c r="H833" t="str">
        <f>"00513024"</f>
        <v>00513024</v>
      </c>
      <c r="I833">
        <v>14.4</v>
      </c>
      <c r="J833">
        <v>0</v>
      </c>
      <c r="K833">
        <v>8</v>
      </c>
      <c r="N833">
        <v>8</v>
      </c>
      <c r="O833">
        <v>4</v>
      </c>
      <c r="P833">
        <v>2</v>
      </c>
      <c r="Q833">
        <v>28.4</v>
      </c>
      <c r="R833">
        <v>61</v>
      </c>
      <c r="S833">
        <v>61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61</v>
      </c>
      <c r="AA833">
        <v>0</v>
      </c>
      <c r="AB833">
        <v>0</v>
      </c>
      <c r="AD833">
        <v>89.4</v>
      </c>
    </row>
    <row r="834" spans="1:30" x14ac:dyDescent="0.3">
      <c r="A834" s="4">
        <v>845</v>
      </c>
      <c r="B834" s="5">
        <v>827</v>
      </c>
      <c r="C834">
        <v>1315</v>
      </c>
      <c r="D834" t="s">
        <v>1971</v>
      </c>
      <c r="E834" t="s">
        <v>147</v>
      </c>
      <c r="F834" t="s">
        <v>117</v>
      </c>
      <c r="G834" t="s">
        <v>1972</v>
      </c>
      <c r="H834" t="str">
        <f>"00512112"</f>
        <v>00512112</v>
      </c>
      <c r="I834">
        <v>27.28</v>
      </c>
      <c r="J834">
        <v>10</v>
      </c>
      <c r="N834">
        <v>0</v>
      </c>
      <c r="O834">
        <v>4</v>
      </c>
      <c r="P834">
        <v>0</v>
      </c>
      <c r="Q834">
        <v>41.28</v>
      </c>
      <c r="R834">
        <v>45</v>
      </c>
      <c r="S834">
        <v>45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45</v>
      </c>
      <c r="AA834">
        <v>3</v>
      </c>
      <c r="AB834">
        <v>0</v>
      </c>
      <c r="AD834">
        <v>89.28</v>
      </c>
    </row>
    <row r="835" spans="1:30" x14ac:dyDescent="0.3">
      <c r="A835" s="4">
        <v>846</v>
      </c>
      <c r="B835" s="5">
        <v>828</v>
      </c>
      <c r="C835">
        <v>3962</v>
      </c>
      <c r="D835" t="s">
        <v>1973</v>
      </c>
      <c r="E835" t="s">
        <v>147</v>
      </c>
      <c r="F835" t="s">
        <v>20</v>
      </c>
      <c r="G835" t="s">
        <v>1974</v>
      </c>
      <c r="H835" t="str">
        <f>"00490660"</f>
        <v>00490660</v>
      </c>
      <c r="I835">
        <v>39.200000000000003</v>
      </c>
      <c r="J835">
        <v>10</v>
      </c>
      <c r="K835">
        <v>8</v>
      </c>
      <c r="N835">
        <v>8</v>
      </c>
      <c r="O835">
        <v>4</v>
      </c>
      <c r="P835">
        <v>2</v>
      </c>
      <c r="Q835">
        <v>63.2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6</v>
      </c>
      <c r="AB835">
        <v>20</v>
      </c>
      <c r="AD835">
        <v>89.2</v>
      </c>
    </row>
    <row r="836" spans="1:30" x14ac:dyDescent="0.3">
      <c r="A836" s="4">
        <v>847</v>
      </c>
      <c r="B836" s="5">
        <v>829</v>
      </c>
      <c r="C836">
        <v>2008</v>
      </c>
      <c r="D836" t="s">
        <v>641</v>
      </c>
      <c r="E836" t="s">
        <v>1975</v>
      </c>
      <c r="F836" t="s">
        <v>136</v>
      </c>
      <c r="G836" t="s">
        <v>1976</v>
      </c>
      <c r="H836" t="str">
        <f>"00531443"</f>
        <v>00531443</v>
      </c>
      <c r="I836">
        <v>43.2</v>
      </c>
      <c r="J836">
        <v>0</v>
      </c>
      <c r="N836">
        <v>0</v>
      </c>
      <c r="O836">
        <v>4</v>
      </c>
      <c r="P836">
        <v>0</v>
      </c>
      <c r="Q836">
        <v>47.2</v>
      </c>
      <c r="R836">
        <v>36</v>
      </c>
      <c r="S836">
        <v>36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36</v>
      </c>
      <c r="AA836">
        <v>6</v>
      </c>
      <c r="AB836">
        <v>0</v>
      </c>
      <c r="AD836">
        <v>89.2</v>
      </c>
    </row>
    <row r="837" spans="1:30" x14ac:dyDescent="0.3">
      <c r="A837" s="4">
        <v>848</v>
      </c>
      <c r="B837" s="5">
        <v>830</v>
      </c>
      <c r="C837">
        <v>59</v>
      </c>
      <c r="D837" t="s">
        <v>1977</v>
      </c>
      <c r="E837" t="s">
        <v>795</v>
      </c>
      <c r="F837" t="s">
        <v>385</v>
      </c>
      <c r="G837" t="s">
        <v>1978</v>
      </c>
      <c r="H837" t="str">
        <f>"00263529"</f>
        <v>00263529</v>
      </c>
      <c r="I837">
        <v>43.2</v>
      </c>
      <c r="J837">
        <v>0</v>
      </c>
      <c r="N837">
        <v>0</v>
      </c>
      <c r="O837">
        <v>4</v>
      </c>
      <c r="P837">
        <v>0</v>
      </c>
      <c r="Q837">
        <v>47.2</v>
      </c>
      <c r="R837">
        <v>36</v>
      </c>
      <c r="S837">
        <v>36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36</v>
      </c>
      <c r="AA837">
        <v>6</v>
      </c>
      <c r="AB837">
        <v>0</v>
      </c>
      <c r="AD837">
        <v>89.2</v>
      </c>
    </row>
    <row r="838" spans="1:30" x14ac:dyDescent="0.3">
      <c r="A838" s="4">
        <v>849</v>
      </c>
      <c r="B838" s="5">
        <v>831</v>
      </c>
      <c r="C838">
        <v>1273</v>
      </c>
      <c r="D838" t="s">
        <v>1979</v>
      </c>
      <c r="E838" t="s">
        <v>173</v>
      </c>
      <c r="F838" t="s">
        <v>230</v>
      </c>
      <c r="G838" t="s">
        <v>32028</v>
      </c>
      <c r="H838" t="str">
        <f>"00523445"</f>
        <v>00523445</v>
      </c>
      <c r="I838">
        <v>43.2</v>
      </c>
      <c r="J838">
        <v>0</v>
      </c>
      <c r="N838">
        <v>0</v>
      </c>
      <c r="O838">
        <v>0</v>
      </c>
      <c r="P838">
        <v>0</v>
      </c>
      <c r="Q838">
        <v>43.2</v>
      </c>
      <c r="R838">
        <v>40</v>
      </c>
      <c r="S838">
        <v>40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40</v>
      </c>
      <c r="AA838">
        <v>6</v>
      </c>
      <c r="AB838">
        <v>0</v>
      </c>
      <c r="AD838">
        <v>89.2</v>
      </c>
    </row>
    <row r="839" spans="1:30" x14ac:dyDescent="0.3">
      <c r="A839" s="4">
        <v>850</v>
      </c>
      <c r="B839" s="5">
        <v>832</v>
      </c>
      <c r="C839">
        <v>3647</v>
      </c>
      <c r="D839" t="s">
        <v>1980</v>
      </c>
      <c r="E839" t="s">
        <v>166</v>
      </c>
      <c r="F839" t="s">
        <v>38</v>
      </c>
      <c r="G839" t="s">
        <v>1981</v>
      </c>
      <c r="H839" t="str">
        <f>"00069645"</f>
        <v>00069645</v>
      </c>
      <c r="I839">
        <v>19.2</v>
      </c>
      <c r="J839">
        <v>10</v>
      </c>
      <c r="M839">
        <v>4</v>
      </c>
      <c r="N839">
        <v>4</v>
      </c>
      <c r="O839">
        <v>4</v>
      </c>
      <c r="P839">
        <v>2</v>
      </c>
      <c r="Q839">
        <v>39.200000000000003</v>
      </c>
      <c r="R839">
        <v>44</v>
      </c>
      <c r="S839">
        <v>44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44</v>
      </c>
      <c r="AA839">
        <v>6</v>
      </c>
      <c r="AB839">
        <v>0</v>
      </c>
      <c r="AD839">
        <v>89.2</v>
      </c>
    </row>
    <row r="840" spans="1:30" x14ac:dyDescent="0.3">
      <c r="A840" s="4">
        <v>851</v>
      </c>
      <c r="B840" s="5">
        <v>833</v>
      </c>
      <c r="C840">
        <v>2305</v>
      </c>
      <c r="D840" t="s">
        <v>1982</v>
      </c>
      <c r="E840" t="s">
        <v>613</v>
      </c>
      <c r="F840" t="s">
        <v>1983</v>
      </c>
      <c r="G840" t="s">
        <v>1984</v>
      </c>
      <c r="H840" t="str">
        <f>"00480055"</f>
        <v>00480055</v>
      </c>
      <c r="I840">
        <v>43.2</v>
      </c>
      <c r="J840">
        <v>0</v>
      </c>
      <c r="M840">
        <v>4</v>
      </c>
      <c r="N840">
        <v>4</v>
      </c>
      <c r="O840">
        <v>4</v>
      </c>
      <c r="P840">
        <v>0</v>
      </c>
      <c r="Q840">
        <v>51.2</v>
      </c>
      <c r="R840">
        <v>35</v>
      </c>
      <c r="S840">
        <v>35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35</v>
      </c>
      <c r="AA840">
        <v>3</v>
      </c>
      <c r="AB840">
        <v>0</v>
      </c>
      <c r="AD840">
        <v>89.2</v>
      </c>
    </row>
    <row r="841" spans="1:30" x14ac:dyDescent="0.3">
      <c r="A841" s="4">
        <v>852</v>
      </c>
      <c r="B841" s="5">
        <v>834</v>
      </c>
      <c r="C841">
        <v>3972</v>
      </c>
      <c r="D841" t="s">
        <v>1985</v>
      </c>
      <c r="E841" t="s">
        <v>471</v>
      </c>
      <c r="F841" t="s">
        <v>158</v>
      </c>
      <c r="G841" t="s">
        <v>1986</v>
      </c>
      <c r="H841" t="str">
        <f>"00184556"</f>
        <v>00184556</v>
      </c>
      <c r="I841">
        <v>38.200000000000003</v>
      </c>
      <c r="J841">
        <v>0</v>
      </c>
      <c r="K841">
        <v>8</v>
      </c>
      <c r="N841">
        <v>8</v>
      </c>
      <c r="O841">
        <v>4</v>
      </c>
      <c r="P841">
        <v>0</v>
      </c>
      <c r="Q841">
        <v>50.2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12</v>
      </c>
      <c r="AB841">
        <v>26.8</v>
      </c>
      <c r="AD841">
        <v>89</v>
      </c>
    </row>
    <row r="842" spans="1:30" x14ac:dyDescent="0.3">
      <c r="A842" s="4">
        <v>853</v>
      </c>
      <c r="B842" s="5">
        <v>835</v>
      </c>
      <c r="C842">
        <v>4206</v>
      </c>
      <c r="D842" t="s">
        <v>1987</v>
      </c>
      <c r="E842" t="s">
        <v>147</v>
      </c>
      <c r="F842" t="s">
        <v>457</v>
      </c>
      <c r="G842" t="s">
        <v>1988</v>
      </c>
      <c r="H842" t="str">
        <f>"00517653"</f>
        <v>00517653</v>
      </c>
      <c r="I842">
        <v>24</v>
      </c>
      <c r="J842">
        <v>0</v>
      </c>
      <c r="N842">
        <v>0</v>
      </c>
      <c r="O842">
        <v>4</v>
      </c>
      <c r="P842">
        <v>0</v>
      </c>
      <c r="Q842">
        <v>28</v>
      </c>
      <c r="R842">
        <v>55</v>
      </c>
      <c r="S842">
        <v>55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55</v>
      </c>
      <c r="AA842">
        <v>6</v>
      </c>
      <c r="AB842">
        <v>0</v>
      </c>
      <c r="AD842">
        <v>89</v>
      </c>
    </row>
    <row r="843" spans="1:30" x14ac:dyDescent="0.3">
      <c r="A843" s="4">
        <v>854</v>
      </c>
      <c r="B843" s="5">
        <v>836</v>
      </c>
      <c r="C843">
        <v>1368</v>
      </c>
      <c r="D843" t="s">
        <v>932</v>
      </c>
      <c r="E843" t="s">
        <v>1989</v>
      </c>
      <c r="F843" t="s">
        <v>230</v>
      </c>
      <c r="G843" t="s">
        <v>1990</v>
      </c>
      <c r="H843" t="str">
        <f>"00572865"</f>
        <v>00572865</v>
      </c>
      <c r="I843">
        <v>72</v>
      </c>
      <c r="J843">
        <v>10</v>
      </c>
      <c r="N843">
        <v>0</v>
      </c>
      <c r="O843">
        <v>4</v>
      </c>
      <c r="P843">
        <v>0</v>
      </c>
      <c r="Q843">
        <v>86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3</v>
      </c>
      <c r="AB843">
        <v>0</v>
      </c>
      <c r="AD843">
        <v>89</v>
      </c>
    </row>
    <row r="844" spans="1:30" x14ac:dyDescent="0.3">
      <c r="A844" s="4">
        <v>855</v>
      </c>
      <c r="B844" s="5">
        <v>837</v>
      </c>
      <c r="C844">
        <v>1104</v>
      </c>
      <c r="D844" t="s">
        <v>1991</v>
      </c>
      <c r="E844" t="s">
        <v>100</v>
      </c>
      <c r="F844" t="s">
        <v>117</v>
      </c>
      <c r="G844" t="s">
        <v>1992</v>
      </c>
      <c r="H844" t="str">
        <f>"00316293"</f>
        <v>00316293</v>
      </c>
      <c r="I844">
        <v>33.880000000000003</v>
      </c>
      <c r="J844">
        <v>10</v>
      </c>
      <c r="M844">
        <v>4</v>
      </c>
      <c r="N844">
        <v>4</v>
      </c>
      <c r="O844">
        <v>4</v>
      </c>
      <c r="P844">
        <v>2</v>
      </c>
      <c r="Q844">
        <v>53.88</v>
      </c>
      <c r="R844">
        <v>29</v>
      </c>
      <c r="S844">
        <v>29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29</v>
      </c>
      <c r="AA844">
        <v>6</v>
      </c>
      <c r="AB844">
        <v>0</v>
      </c>
      <c r="AD844">
        <v>88.88</v>
      </c>
    </row>
    <row r="845" spans="1:30" x14ac:dyDescent="0.3">
      <c r="A845" s="4">
        <v>856</v>
      </c>
      <c r="B845" s="5">
        <v>838</v>
      </c>
      <c r="C845">
        <v>4098</v>
      </c>
      <c r="D845" t="s">
        <v>1304</v>
      </c>
      <c r="E845" t="s">
        <v>283</v>
      </c>
      <c r="F845" t="s">
        <v>117</v>
      </c>
      <c r="G845" t="s">
        <v>1993</v>
      </c>
      <c r="H845" t="str">
        <f>"00380904"</f>
        <v>00380904</v>
      </c>
      <c r="I845">
        <v>28.8</v>
      </c>
      <c r="J845">
        <v>0</v>
      </c>
      <c r="K845">
        <v>8</v>
      </c>
      <c r="N845">
        <v>8</v>
      </c>
      <c r="O845">
        <v>4</v>
      </c>
      <c r="P845">
        <v>2</v>
      </c>
      <c r="Q845">
        <v>42.8</v>
      </c>
      <c r="R845">
        <v>37</v>
      </c>
      <c r="S845">
        <v>37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37</v>
      </c>
      <c r="AA845">
        <v>9</v>
      </c>
      <c r="AB845">
        <v>0</v>
      </c>
      <c r="AD845">
        <v>88.8</v>
      </c>
    </row>
    <row r="846" spans="1:30" x14ac:dyDescent="0.3">
      <c r="A846" s="4">
        <v>857</v>
      </c>
      <c r="B846" s="5">
        <v>839</v>
      </c>
      <c r="C846">
        <v>4878</v>
      </c>
      <c r="D846" t="s">
        <v>1994</v>
      </c>
      <c r="E846" t="s">
        <v>182</v>
      </c>
      <c r="F846" t="s">
        <v>20</v>
      </c>
      <c r="G846" t="s">
        <v>1995</v>
      </c>
      <c r="H846" t="str">
        <f>"00575647"</f>
        <v>00575647</v>
      </c>
      <c r="I846">
        <v>64.8</v>
      </c>
      <c r="J846">
        <v>0</v>
      </c>
      <c r="K846">
        <v>8</v>
      </c>
      <c r="M846">
        <v>4</v>
      </c>
      <c r="N846">
        <v>12</v>
      </c>
      <c r="O846">
        <v>4</v>
      </c>
      <c r="P846">
        <v>2</v>
      </c>
      <c r="Q846">
        <v>82.8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6</v>
      </c>
      <c r="AB846">
        <v>0</v>
      </c>
      <c r="AD846">
        <v>88.8</v>
      </c>
    </row>
    <row r="847" spans="1:30" x14ac:dyDescent="0.3">
      <c r="A847" s="4">
        <v>858</v>
      </c>
      <c r="B847" s="5">
        <v>840</v>
      </c>
      <c r="C847">
        <v>1619</v>
      </c>
      <c r="D847" t="s">
        <v>1996</v>
      </c>
      <c r="E847" t="s">
        <v>1997</v>
      </c>
      <c r="F847" t="s">
        <v>1998</v>
      </c>
      <c r="G847" t="s">
        <v>1999</v>
      </c>
      <c r="H847" t="str">
        <f>"00474153"</f>
        <v>00474153</v>
      </c>
      <c r="I847">
        <v>64.8</v>
      </c>
      <c r="J847">
        <v>10</v>
      </c>
      <c r="M847">
        <v>4</v>
      </c>
      <c r="N847">
        <v>4</v>
      </c>
      <c r="O847">
        <v>4</v>
      </c>
      <c r="P847">
        <v>2</v>
      </c>
      <c r="Q847">
        <v>84.8</v>
      </c>
      <c r="R847">
        <v>1</v>
      </c>
      <c r="S847">
        <v>1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1</v>
      </c>
      <c r="AA847">
        <v>3</v>
      </c>
      <c r="AB847">
        <v>0</v>
      </c>
      <c r="AD847">
        <v>88.8</v>
      </c>
    </row>
    <row r="848" spans="1:30" x14ac:dyDescent="0.3">
      <c r="A848" s="4">
        <v>859</v>
      </c>
      <c r="B848" s="5">
        <v>841</v>
      </c>
      <c r="C848">
        <v>2304</v>
      </c>
      <c r="D848" t="s">
        <v>2000</v>
      </c>
      <c r="E848" t="s">
        <v>22</v>
      </c>
      <c r="F848" t="s">
        <v>17</v>
      </c>
      <c r="G848" t="s">
        <v>2001</v>
      </c>
      <c r="H848" t="str">
        <f>"00531085"</f>
        <v>00531085</v>
      </c>
      <c r="I848">
        <v>64.8</v>
      </c>
      <c r="J848">
        <v>0</v>
      </c>
      <c r="N848">
        <v>0</v>
      </c>
      <c r="O848">
        <v>4</v>
      </c>
      <c r="P848">
        <v>2</v>
      </c>
      <c r="Q848">
        <v>70.8</v>
      </c>
      <c r="R848">
        <v>18</v>
      </c>
      <c r="S848">
        <v>18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18</v>
      </c>
      <c r="AA848">
        <v>0</v>
      </c>
      <c r="AB848">
        <v>0</v>
      </c>
      <c r="AD848">
        <v>88.8</v>
      </c>
    </row>
    <row r="849" spans="1:30" x14ac:dyDescent="0.3">
      <c r="A849" s="4">
        <v>860</v>
      </c>
      <c r="B849" s="5">
        <v>842</v>
      </c>
      <c r="C849">
        <v>2962</v>
      </c>
      <c r="D849" t="s">
        <v>2002</v>
      </c>
      <c r="E849" t="s">
        <v>29</v>
      </c>
      <c r="F849" t="s">
        <v>801</v>
      </c>
      <c r="G849" t="s">
        <v>2003</v>
      </c>
      <c r="H849" t="str">
        <f>"00498794"</f>
        <v>00498794</v>
      </c>
      <c r="I849">
        <v>20.72</v>
      </c>
      <c r="J849">
        <v>0</v>
      </c>
      <c r="N849">
        <v>0</v>
      </c>
      <c r="O849">
        <v>0</v>
      </c>
      <c r="P849">
        <v>0</v>
      </c>
      <c r="Q849">
        <v>20.72</v>
      </c>
      <c r="R849">
        <v>62</v>
      </c>
      <c r="S849">
        <v>62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62</v>
      </c>
      <c r="AA849">
        <v>6</v>
      </c>
      <c r="AB849">
        <v>0</v>
      </c>
      <c r="AD849">
        <v>88.72</v>
      </c>
    </row>
    <row r="850" spans="1:30" x14ac:dyDescent="0.3">
      <c r="A850" s="4">
        <v>861</v>
      </c>
      <c r="B850" s="5">
        <v>843</v>
      </c>
      <c r="C850">
        <v>2375</v>
      </c>
      <c r="D850" t="s">
        <v>2004</v>
      </c>
      <c r="E850" t="s">
        <v>2005</v>
      </c>
      <c r="F850" t="s">
        <v>2006</v>
      </c>
      <c r="G850" t="s">
        <v>2007</v>
      </c>
      <c r="H850" t="str">
        <f>"00506467"</f>
        <v>00506467</v>
      </c>
      <c r="I850">
        <v>57.6</v>
      </c>
      <c r="J850">
        <v>0</v>
      </c>
      <c r="N850">
        <v>0</v>
      </c>
      <c r="O850">
        <v>4</v>
      </c>
      <c r="P850">
        <v>0</v>
      </c>
      <c r="Q850">
        <v>61.6</v>
      </c>
      <c r="R850">
        <v>18</v>
      </c>
      <c r="S850">
        <v>18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18</v>
      </c>
      <c r="AA850">
        <v>9</v>
      </c>
      <c r="AB850">
        <v>0</v>
      </c>
      <c r="AD850">
        <v>88.6</v>
      </c>
    </row>
    <row r="851" spans="1:30" x14ac:dyDescent="0.3">
      <c r="A851" s="4">
        <v>862</v>
      </c>
      <c r="B851" s="5">
        <v>844</v>
      </c>
      <c r="C851">
        <v>814</v>
      </c>
      <c r="D851" t="s">
        <v>2008</v>
      </c>
      <c r="E851" t="s">
        <v>132</v>
      </c>
      <c r="F851" t="s">
        <v>1812</v>
      </c>
      <c r="G851" t="s">
        <v>2009</v>
      </c>
      <c r="H851" t="str">
        <f>"00508180"</f>
        <v>00508180</v>
      </c>
      <c r="I851">
        <v>21.6</v>
      </c>
      <c r="J851">
        <v>0</v>
      </c>
      <c r="M851">
        <v>4</v>
      </c>
      <c r="N851">
        <v>4</v>
      </c>
      <c r="O851">
        <v>4</v>
      </c>
      <c r="P851">
        <v>0</v>
      </c>
      <c r="Q851">
        <v>29.6</v>
      </c>
      <c r="R851">
        <v>53</v>
      </c>
      <c r="S851">
        <v>53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53</v>
      </c>
      <c r="AA851">
        <v>6</v>
      </c>
      <c r="AB851">
        <v>0</v>
      </c>
      <c r="AD851">
        <v>88.6</v>
      </c>
    </row>
    <row r="852" spans="1:30" x14ac:dyDescent="0.3">
      <c r="A852" s="4">
        <v>863</v>
      </c>
      <c r="B852" s="5">
        <v>845</v>
      </c>
      <c r="C852">
        <v>3819</v>
      </c>
      <c r="D852" t="s">
        <v>2010</v>
      </c>
      <c r="E852" t="s">
        <v>2011</v>
      </c>
      <c r="F852" t="s">
        <v>136</v>
      </c>
      <c r="G852" t="s">
        <v>2012</v>
      </c>
      <c r="H852" t="str">
        <f>"00533468"</f>
        <v>00533468</v>
      </c>
      <c r="I852">
        <v>21.6</v>
      </c>
      <c r="J852">
        <v>0</v>
      </c>
      <c r="N852">
        <v>0</v>
      </c>
      <c r="O852">
        <v>0</v>
      </c>
      <c r="P852">
        <v>2</v>
      </c>
      <c r="Q852">
        <v>23.6</v>
      </c>
      <c r="R852">
        <v>62</v>
      </c>
      <c r="S852">
        <v>62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62</v>
      </c>
      <c r="AA852">
        <v>3</v>
      </c>
      <c r="AB852">
        <v>0</v>
      </c>
      <c r="AD852">
        <v>88.6</v>
      </c>
    </row>
    <row r="853" spans="1:30" x14ac:dyDescent="0.3">
      <c r="A853" s="4">
        <v>864</v>
      </c>
      <c r="B853" s="5">
        <v>846</v>
      </c>
      <c r="C853">
        <v>1576</v>
      </c>
      <c r="D853" t="s">
        <v>2013</v>
      </c>
      <c r="E853" t="s">
        <v>2014</v>
      </c>
      <c r="F853" t="s">
        <v>91</v>
      </c>
      <c r="G853" t="s">
        <v>2015</v>
      </c>
      <c r="H853" t="str">
        <f>"00158129"</f>
        <v>00158129</v>
      </c>
      <c r="I853">
        <v>21.6</v>
      </c>
      <c r="J853">
        <v>0</v>
      </c>
      <c r="K853">
        <v>8</v>
      </c>
      <c r="N853">
        <v>8</v>
      </c>
      <c r="O853">
        <v>4</v>
      </c>
      <c r="P853">
        <v>2</v>
      </c>
      <c r="Q853">
        <v>35.6</v>
      </c>
      <c r="R853">
        <v>53</v>
      </c>
      <c r="S853">
        <v>53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53</v>
      </c>
      <c r="AA853">
        <v>0</v>
      </c>
      <c r="AB853">
        <v>0</v>
      </c>
      <c r="AD853">
        <v>88.6</v>
      </c>
    </row>
    <row r="854" spans="1:30" x14ac:dyDescent="0.3">
      <c r="A854" s="4">
        <v>865</v>
      </c>
      <c r="B854" s="5">
        <v>847</v>
      </c>
      <c r="C854">
        <v>449</v>
      </c>
      <c r="D854" t="s">
        <v>2016</v>
      </c>
      <c r="E854" t="s">
        <v>283</v>
      </c>
      <c r="F854" t="s">
        <v>2017</v>
      </c>
      <c r="G854" t="s">
        <v>2018</v>
      </c>
      <c r="H854" t="str">
        <f>"00517889"</f>
        <v>00517889</v>
      </c>
      <c r="I854">
        <v>21.6</v>
      </c>
      <c r="J854">
        <v>0</v>
      </c>
      <c r="N854">
        <v>0</v>
      </c>
      <c r="O854">
        <v>4</v>
      </c>
      <c r="P854">
        <v>2</v>
      </c>
      <c r="Q854">
        <v>27.6</v>
      </c>
      <c r="R854">
        <v>61</v>
      </c>
      <c r="S854">
        <v>61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61</v>
      </c>
      <c r="AA854">
        <v>0</v>
      </c>
      <c r="AB854">
        <v>0</v>
      </c>
      <c r="AC854" t="s">
        <v>130</v>
      </c>
      <c r="AD854">
        <v>88.6</v>
      </c>
    </row>
    <row r="855" spans="1:30" x14ac:dyDescent="0.3">
      <c r="A855" s="4">
        <v>866</v>
      </c>
      <c r="B855" s="5">
        <v>848</v>
      </c>
      <c r="C855">
        <v>4038</v>
      </c>
      <c r="D855" t="s">
        <v>423</v>
      </c>
      <c r="E855" t="s">
        <v>100</v>
      </c>
      <c r="F855" t="s">
        <v>68</v>
      </c>
      <c r="G855" t="s">
        <v>2019</v>
      </c>
      <c r="H855" t="str">
        <f>"00442530"</f>
        <v>00442530</v>
      </c>
      <c r="I855">
        <v>29.44</v>
      </c>
      <c r="J855">
        <v>0</v>
      </c>
      <c r="K855">
        <v>8</v>
      </c>
      <c r="N855">
        <v>8</v>
      </c>
      <c r="O855">
        <v>4</v>
      </c>
      <c r="P855">
        <v>2</v>
      </c>
      <c r="Q855">
        <v>43.44</v>
      </c>
      <c r="R855">
        <v>45</v>
      </c>
      <c r="S855">
        <v>45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45</v>
      </c>
      <c r="AA855">
        <v>0</v>
      </c>
      <c r="AB855">
        <v>0</v>
      </c>
      <c r="AD855">
        <v>88.44</v>
      </c>
    </row>
    <row r="856" spans="1:30" x14ac:dyDescent="0.3">
      <c r="A856" s="4">
        <v>867</v>
      </c>
      <c r="B856" s="5">
        <v>849</v>
      </c>
      <c r="C856">
        <v>4796</v>
      </c>
      <c r="D856" t="s">
        <v>2020</v>
      </c>
      <c r="E856" t="s">
        <v>1225</v>
      </c>
      <c r="F856" t="s">
        <v>442</v>
      </c>
      <c r="G856" t="s">
        <v>2021</v>
      </c>
      <c r="H856" t="str">
        <f>"00865917"</f>
        <v>00865917</v>
      </c>
      <c r="I856">
        <v>57.6</v>
      </c>
      <c r="J856">
        <v>0</v>
      </c>
      <c r="M856">
        <v>4</v>
      </c>
      <c r="N856">
        <v>4</v>
      </c>
      <c r="O856">
        <v>0</v>
      </c>
      <c r="P856">
        <v>0</v>
      </c>
      <c r="Q856">
        <v>61.6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26.8</v>
      </c>
      <c r="AD856">
        <v>88.4</v>
      </c>
    </row>
    <row r="857" spans="1:30" x14ac:dyDescent="0.3">
      <c r="A857" s="4">
        <v>868</v>
      </c>
      <c r="B857" s="5">
        <v>850</v>
      </c>
      <c r="C857">
        <v>941</v>
      </c>
      <c r="D857" t="s">
        <v>2022</v>
      </c>
      <c r="E857" t="s">
        <v>97</v>
      </c>
      <c r="F857" t="s">
        <v>328</v>
      </c>
      <c r="G857" t="s">
        <v>2023</v>
      </c>
      <c r="H857" t="str">
        <f>"201402007661"</f>
        <v>201402007661</v>
      </c>
      <c r="I857">
        <v>24.4</v>
      </c>
      <c r="J857">
        <v>0</v>
      </c>
      <c r="N857">
        <v>0</v>
      </c>
      <c r="O857">
        <v>4</v>
      </c>
      <c r="P857">
        <v>2</v>
      </c>
      <c r="Q857">
        <v>30.4</v>
      </c>
      <c r="R857">
        <v>32</v>
      </c>
      <c r="S857">
        <v>32</v>
      </c>
      <c r="T857">
        <v>10</v>
      </c>
      <c r="U857">
        <v>20</v>
      </c>
      <c r="V857">
        <v>0</v>
      </c>
      <c r="W857">
        <v>0</v>
      </c>
      <c r="X857">
        <v>0</v>
      </c>
      <c r="Y857">
        <v>0</v>
      </c>
      <c r="Z857">
        <v>52</v>
      </c>
      <c r="AA857">
        <v>6</v>
      </c>
      <c r="AB857">
        <v>0</v>
      </c>
      <c r="AD857">
        <v>88.4</v>
      </c>
    </row>
    <row r="858" spans="1:30" x14ac:dyDescent="0.3">
      <c r="A858" s="4">
        <v>869</v>
      </c>
      <c r="B858" s="5">
        <v>851</v>
      </c>
      <c r="C858">
        <v>121</v>
      </c>
      <c r="D858" t="s">
        <v>2024</v>
      </c>
      <c r="E858" t="s">
        <v>188</v>
      </c>
      <c r="F858" t="s">
        <v>20</v>
      </c>
      <c r="G858" t="s">
        <v>2025</v>
      </c>
      <c r="H858" t="str">
        <f>"00529785"</f>
        <v>00529785</v>
      </c>
      <c r="I858">
        <v>14.4</v>
      </c>
      <c r="J858">
        <v>0</v>
      </c>
      <c r="M858">
        <v>4</v>
      </c>
      <c r="N858">
        <v>4</v>
      </c>
      <c r="O858">
        <v>4</v>
      </c>
      <c r="P858">
        <v>0</v>
      </c>
      <c r="Q858">
        <v>22.4</v>
      </c>
      <c r="R858">
        <v>43</v>
      </c>
      <c r="S858">
        <v>43</v>
      </c>
      <c r="T858">
        <v>10</v>
      </c>
      <c r="U858">
        <v>20</v>
      </c>
      <c r="V858">
        <v>0</v>
      </c>
      <c r="W858">
        <v>0</v>
      </c>
      <c r="X858">
        <v>0</v>
      </c>
      <c r="Y858">
        <v>0</v>
      </c>
      <c r="Z858">
        <v>63</v>
      </c>
      <c r="AA858">
        <v>3</v>
      </c>
      <c r="AB858">
        <v>0</v>
      </c>
      <c r="AD858">
        <v>88.4</v>
      </c>
    </row>
    <row r="859" spans="1:30" x14ac:dyDescent="0.3">
      <c r="A859" s="4">
        <v>870</v>
      </c>
      <c r="B859" s="5">
        <v>852</v>
      </c>
      <c r="C859">
        <v>4052</v>
      </c>
      <c r="D859" t="s">
        <v>2026</v>
      </c>
      <c r="E859" t="s">
        <v>100</v>
      </c>
      <c r="F859" t="s">
        <v>570</v>
      </c>
      <c r="G859" t="s">
        <v>2027</v>
      </c>
      <c r="H859" t="str">
        <f>"00532161"</f>
        <v>00532161</v>
      </c>
      <c r="I859">
        <v>50.4</v>
      </c>
      <c r="J859">
        <v>10</v>
      </c>
      <c r="N859">
        <v>0</v>
      </c>
      <c r="O859">
        <v>4</v>
      </c>
      <c r="P859">
        <v>0</v>
      </c>
      <c r="Q859">
        <v>64.400000000000006</v>
      </c>
      <c r="R859">
        <v>24</v>
      </c>
      <c r="S859">
        <v>24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24</v>
      </c>
      <c r="AA859">
        <v>0</v>
      </c>
      <c r="AB859">
        <v>0</v>
      </c>
      <c r="AD859">
        <v>88.4</v>
      </c>
    </row>
    <row r="860" spans="1:30" x14ac:dyDescent="0.3">
      <c r="A860" s="4">
        <v>871</v>
      </c>
      <c r="B860" s="5">
        <v>853</v>
      </c>
      <c r="C860">
        <v>4474</v>
      </c>
      <c r="D860" t="s">
        <v>2028</v>
      </c>
      <c r="E860" t="s">
        <v>132</v>
      </c>
      <c r="F860" t="s">
        <v>381</v>
      </c>
      <c r="G860" t="s">
        <v>2029</v>
      </c>
      <c r="H860" t="str">
        <f>"00519322"</f>
        <v>00519322</v>
      </c>
      <c r="I860">
        <v>33.32</v>
      </c>
      <c r="J860">
        <v>0</v>
      </c>
      <c r="N860">
        <v>0</v>
      </c>
      <c r="O860">
        <v>4</v>
      </c>
      <c r="P860">
        <v>0</v>
      </c>
      <c r="Q860">
        <v>37.32</v>
      </c>
      <c r="R860">
        <v>45</v>
      </c>
      <c r="S860">
        <v>45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45</v>
      </c>
      <c r="AA860">
        <v>6</v>
      </c>
      <c r="AB860">
        <v>0</v>
      </c>
      <c r="AD860">
        <v>88.32</v>
      </c>
    </row>
    <row r="861" spans="1:30" x14ac:dyDescent="0.3">
      <c r="A861" s="4">
        <v>872</v>
      </c>
      <c r="B861" s="5">
        <v>854</v>
      </c>
      <c r="C861">
        <v>1430</v>
      </c>
      <c r="D861" t="s">
        <v>2030</v>
      </c>
      <c r="E861" t="s">
        <v>54</v>
      </c>
      <c r="F861" t="s">
        <v>62</v>
      </c>
      <c r="G861" t="s">
        <v>2031</v>
      </c>
      <c r="H861" t="str">
        <f>"00441613"</f>
        <v>00441613</v>
      </c>
      <c r="I861">
        <v>27.28</v>
      </c>
      <c r="J861">
        <v>10</v>
      </c>
      <c r="N861">
        <v>0</v>
      </c>
      <c r="O861">
        <v>4</v>
      </c>
      <c r="P861">
        <v>2</v>
      </c>
      <c r="Q861">
        <v>43.28</v>
      </c>
      <c r="R861">
        <v>45</v>
      </c>
      <c r="S861">
        <v>45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45</v>
      </c>
      <c r="AA861">
        <v>0</v>
      </c>
      <c r="AB861">
        <v>0</v>
      </c>
      <c r="AD861">
        <v>88.28</v>
      </c>
    </row>
    <row r="862" spans="1:30" x14ac:dyDescent="0.3">
      <c r="A862" s="4">
        <v>873</v>
      </c>
      <c r="B862" s="5">
        <v>855</v>
      </c>
      <c r="C862">
        <v>592</v>
      </c>
      <c r="D862" t="s">
        <v>267</v>
      </c>
      <c r="E862" t="s">
        <v>964</v>
      </c>
      <c r="F862" t="s">
        <v>68</v>
      </c>
      <c r="G862" t="s">
        <v>2032</v>
      </c>
      <c r="H862" t="str">
        <f>"00173594"</f>
        <v>00173594</v>
      </c>
      <c r="I862">
        <v>43.2</v>
      </c>
      <c r="J862">
        <v>0</v>
      </c>
      <c r="N862">
        <v>0</v>
      </c>
      <c r="O862">
        <v>4</v>
      </c>
      <c r="P862">
        <v>0</v>
      </c>
      <c r="Q862">
        <v>47.2</v>
      </c>
      <c r="R862">
        <v>35</v>
      </c>
      <c r="S862">
        <v>35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35</v>
      </c>
      <c r="AA862">
        <v>6</v>
      </c>
      <c r="AB862">
        <v>0</v>
      </c>
      <c r="AD862">
        <v>88.2</v>
      </c>
    </row>
    <row r="863" spans="1:30" x14ac:dyDescent="0.3">
      <c r="A863" s="4">
        <v>874</v>
      </c>
      <c r="B863" s="5">
        <v>856</v>
      </c>
      <c r="C863">
        <v>4337</v>
      </c>
      <c r="D863" t="s">
        <v>2033</v>
      </c>
      <c r="E863" t="s">
        <v>2034</v>
      </c>
      <c r="F863" t="s">
        <v>385</v>
      </c>
      <c r="G863" t="s">
        <v>2035</v>
      </c>
      <c r="H863" t="str">
        <f>"00527220"</f>
        <v>00527220</v>
      </c>
      <c r="I863">
        <v>43.2</v>
      </c>
      <c r="J863">
        <v>10</v>
      </c>
      <c r="K863">
        <v>8</v>
      </c>
      <c r="N863">
        <v>8</v>
      </c>
      <c r="O863">
        <v>4</v>
      </c>
      <c r="P863">
        <v>2</v>
      </c>
      <c r="Q863">
        <v>67.2</v>
      </c>
      <c r="R863">
        <v>18</v>
      </c>
      <c r="S863">
        <v>18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18</v>
      </c>
      <c r="AA863">
        <v>3</v>
      </c>
      <c r="AB863">
        <v>0</v>
      </c>
      <c r="AD863">
        <v>88.2</v>
      </c>
    </row>
    <row r="864" spans="1:30" x14ac:dyDescent="0.3">
      <c r="A864" s="4">
        <v>875</v>
      </c>
      <c r="B864" s="5">
        <v>857</v>
      </c>
      <c r="C864">
        <v>1342</v>
      </c>
      <c r="D864" t="s">
        <v>2036</v>
      </c>
      <c r="E864" t="s">
        <v>213</v>
      </c>
      <c r="F864" t="s">
        <v>81</v>
      </c>
      <c r="G864" t="s">
        <v>2037</v>
      </c>
      <c r="H864" t="str">
        <f>"00441577"</f>
        <v>00441577</v>
      </c>
      <c r="I864">
        <v>43.2</v>
      </c>
      <c r="J864">
        <v>0</v>
      </c>
      <c r="N864">
        <v>0</v>
      </c>
      <c r="O864">
        <v>4</v>
      </c>
      <c r="P864">
        <v>2</v>
      </c>
      <c r="Q864">
        <v>49.2</v>
      </c>
      <c r="R864">
        <v>36</v>
      </c>
      <c r="S864">
        <v>36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36</v>
      </c>
      <c r="AA864">
        <v>3</v>
      </c>
      <c r="AB864">
        <v>0</v>
      </c>
      <c r="AD864">
        <v>88.2</v>
      </c>
    </row>
    <row r="865" spans="1:30" x14ac:dyDescent="0.3">
      <c r="A865" s="4">
        <v>876</v>
      </c>
      <c r="B865" s="5">
        <v>858</v>
      </c>
      <c r="C865">
        <v>804</v>
      </c>
      <c r="D865" t="s">
        <v>2038</v>
      </c>
      <c r="E865" t="s">
        <v>33</v>
      </c>
      <c r="F865" t="s">
        <v>91</v>
      </c>
      <c r="G865" t="s">
        <v>2039</v>
      </c>
      <c r="H865" t="str">
        <f>"00480650"</f>
        <v>00480650</v>
      </c>
      <c r="I865">
        <v>19.2</v>
      </c>
      <c r="J865">
        <v>0</v>
      </c>
      <c r="N865">
        <v>0</v>
      </c>
      <c r="O865">
        <v>0</v>
      </c>
      <c r="P865">
        <v>0</v>
      </c>
      <c r="Q865">
        <v>19.2</v>
      </c>
      <c r="R865">
        <v>66</v>
      </c>
      <c r="S865">
        <v>66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66</v>
      </c>
      <c r="AA865">
        <v>3</v>
      </c>
      <c r="AB865">
        <v>0</v>
      </c>
      <c r="AD865">
        <v>88.2</v>
      </c>
    </row>
    <row r="866" spans="1:30" x14ac:dyDescent="0.3">
      <c r="A866" s="4">
        <v>877</v>
      </c>
      <c r="B866" s="5">
        <v>859</v>
      </c>
      <c r="C866">
        <v>544</v>
      </c>
      <c r="D866" t="s">
        <v>2040</v>
      </c>
      <c r="E866" t="s">
        <v>2041</v>
      </c>
      <c r="F866" t="s">
        <v>68</v>
      </c>
      <c r="G866" t="s">
        <v>2042</v>
      </c>
      <c r="H866" t="str">
        <f>"00479902"</f>
        <v>00479902</v>
      </c>
      <c r="I866">
        <v>43.2</v>
      </c>
      <c r="J866">
        <v>0</v>
      </c>
      <c r="M866">
        <v>4</v>
      </c>
      <c r="N866">
        <v>4</v>
      </c>
      <c r="O866">
        <v>4</v>
      </c>
      <c r="P866">
        <v>2</v>
      </c>
      <c r="Q866">
        <v>53.2</v>
      </c>
      <c r="R866">
        <v>35</v>
      </c>
      <c r="S866">
        <v>35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35</v>
      </c>
      <c r="AA866">
        <v>0</v>
      </c>
      <c r="AB866">
        <v>0</v>
      </c>
      <c r="AD866">
        <v>88.2</v>
      </c>
    </row>
    <row r="867" spans="1:30" x14ac:dyDescent="0.3">
      <c r="A867" s="4">
        <v>878</v>
      </c>
      <c r="B867" s="5">
        <v>860</v>
      </c>
      <c r="C867">
        <v>2446</v>
      </c>
      <c r="D867" t="s">
        <v>2043</v>
      </c>
      <c r="E867" t="s">
        <v>2044</v>
      </c>
      <c r="F867" t="s">
        <v>38</v>
      </c>
      <c r="G867" t="s">
        <v>2045</v>
      </c>
      <c r="H867" t="str">
        <f>"00532667"</f>
        <v>00532667</v>
      </c>
      <c r="I867">
        <v>43.2</v>
      </c>
      <c r="J867">
        <v>0</v>
      </c>
      <c r="M867">
        <v>4</v>
      </c>
      <c r="N867">
        <v>4</v>
      </c>
      <c r="O867">
        <v>4</v>
      </c>
      <c r="P867">
        <v>2</v>
      </c>
      <c r="Q867">
        <v>53.2</v>
      </c>
      <c r="R867">
        <v>35</v>
      </c>
      <c r="S867">
        <v>35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35</v>
      </c>
      <c r="AA867">
        <v>0</v>
      </c>
      <c r="AB867">
        <v>0</v>
      </c>
      <c r="AD867">
        <v>88.2</v>
      </c>
    </row>
    <row r="868" spans="1:30" x14ac:dyDescent="0.3">
      <c r="A868" s="4">
        <v>879</v>
      </c>
      <c r="B868" s="5">
        <v>861</v>
      </c>
      <c r="C868">
        <v>3447</v>
      </c>
      <c r="D868" t="s">
        <v>2046</v>
      </c>
      <c r="E868" t="s">
        <v>147</v>
      </c>
      <c r="F868" t="s">
        <v>20</v>
      </c>
      <c r="G868" t="s">
        <v>32029</v>
      </c>
      <c r="H868" t="str">
        <f>"00854442"</f>
        <v>00854442</v>
      </c>
      <c r="I868">
        <v>72</v>
      </c>
      <c r="J868">
        <v>0</v>
      </c>
      <c r="M868">
        <v>4</v>
      </c>
      <c r="N868">
        <v>4</v>
      </c>
      <c r="O868">
        <v>4</v>
      </c>
      <c r="P868">
        <v>2</v>
      </c>
      <c r="Q868">
        <v>82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6</v>
      </c>
      <c r="AB868">
        <v>0</v>
      </c>
      <c r="AD868">
        <v>88</v>
      </c>
    </row>
    <row r="869" spans="1:30" x14ac:dyDescent="0.3">
      <c r="A869" s="4">
        <v>880</v>
      </c>
      <c r="B869" s="5">
        <v>862</v>
      </c>
      <c r="C869">
        <v>3604</v>
      </c>
      <c r="D869" t="s">
        <v>2047</v>
      </c>
      <c r="E869" t="s">
        <v>832</v>
      </c>
      <c r="F869" t="s">
        <v>1023</v>
      </c>
      <c r="G869" t="s">
        <v>2048</v>
      </c>
      <c r="H869" t="str">
        <f>"00150177"</f>
        <v>00150177</v>
      </c>
      <c r="I869">
        <v>72</v>
      </c>
      <c r="J869">
        <v>0</v>
      </c>
      <c r="M869">
        <v>4</v>
      </c>
      <c r="N869">
        <v>4</v>
      </c>
      <c r="O869">
        <v>4</v>
      </c>
      <c r="P869">
        <v>2</v>
      </c>
      <c r="Q869">
        <v>82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6</v>
      </c>
      <c r="AB869">
        <v>0</v>
      </c>
      <c r="AD869">
        <v>88</v>
      </c>
    </row>
    <row r="870" spans="1:30" x14ac:dyDescent="0.3">
      <c r="A870" s="4">
        <v>881</v>
      </c>
      <c r="B870" s="5">
        <v>863</v>
      </c>
      <c r="C870">
        <v>1829</v>
      </c>
      <c r="D870" t="s">
        <v>2049</v>
      </c>
      <c r="E870" t="s">
        <v>2050</v>
      </c>
      <c r="F870" t="s">
        <v>975</v>
      </c>
      <c r="G870" t="s">
        <v>2051</v>
      </c>
      <c r="H870" t="str">
        <f>"00095948"</f>
        <v>00095948</v>
      </c>
      <c r="I870">
        <v>28</v>
      </c>
      <c r="J870">
        <v>0</v>
      </c>
      <c r="M870">
        <v>4</v>
      </c>
      <c r="N870">
        <v>4</v>
      </c>
      <c r="O870">
        <v>4</v>
      </c>
      <c r="P870">
        <v>2</v>
      </c>
      <c r="Q870">
        <v>38</v>
      </c>
      <c r="R870">
        <v>44</v>
      </c>
      <c r="S870">
        <v>44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44</v>
      </c>
      <c r="AA870">
        <v>6</v>
      </c>
      <c r="AB870">
        <v>0</v>
      </c>
      <c r="AD870">
        <v>88</v>
      </c>
    </row>
    <row r="871" spans="1:30" x14ac:dyDescent="0.3">
      <c r="A871" s="4">
        <v>882</v>
      </c>
      <c r="B871" s="5">
        <v>864</v>
      </c>
      <c r="C871">
        <v>2444</v>
      </c>
      <c r="D871" t="s">
        <v>2052</v>
      </c>
      <c r="E871" t="s">
        <v>219</v>
      </c>
      <c r="F871" t="s">
        <v>62</v>
      </c>
      <c r="G871" t="s">
        <v>2053</v>
      </c>
      <c r="H871" t="str">
        <f>"00529763"</f>
        <v>00529763</v>
      </c>
      <c r="I871">
        <v>0</v>
      </c>
      <c r="J871">
        <v>0</v>
      </c>
      <c r="N871">
        <v>0</v>
      </c>
      <c r="O871">
        <v>4</v>
      </c>
      <c r="P871">
        <v>2</v>
      </c>
      <c r="Q871">
        <v>6</v>
      </c>
      <c r="R871">
        <v>76</v>
      </c>
      <c r="S871">
        <v>76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76</v>
      </c>
      <c r="AA871">
        <v>6</v>
      </c>
      <c r="AB871">
        <v>0</v>
      </c>
      <c r="AD871">
        <v>88</v>
      </c>
    </row>
    <row r="872" spans="1:30" x14ac:dyDescent="0.3">
      <c r="A872" s="4">
        <v>883</v>
      </c>
      <c r="B872" s="5">
        <v>865</v>
      </c>
      <c r="C872">
        <v>2968</v>
      </c>
      <c r="D872" t="s">
        <v>2054</v>
      </c>
      <c r="E872" t="s">
        <v>100</v>
      </c>
      <c r="F872" t="s">
        <v>55</v>
      </c>
      <c r="G872" t="s">
        <v>2055</v>
      </c>
      <c r="H872" t="str">
        <f>"00863840"</f>
        <v>00863840</v>
      </c>
      <c r="I872">
        <v>72</v>
      </c>
      <c r="J872">
        <v>10</v>
      </c>
      <c r="N872">
        <v>0</v>
      </c>
      <c r="O872">
        <v>4</v>
      </c>
      <c r="P872">
        <v>2</v>
      </c>
      <c r="Q872">
        <v>88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D872">
        <v>88</v>
      </c>
    </row>
    <row r="873" spans="1:30" x14ac:dyDescent="0.3">
      <c r="A873" s="4">
        <v>884</v>
      </c>
      <c r="B873" s="5">
        <v>866</v>
      </c>
      <c r="C873">
        <v>871</v>
      </c>
      <c r="D873" t="s">
        <v>2056</v>
      </c>
      <c r="E873" t="s">
        <v>219</v>
      </c>
      <c r="F873" t="s">
        <v>34</v>
      </c>
      <c r="G873" t="s">
        <v>2057</v>
      </c>
      <c r="H873" t="str">
        <f>"00049455"</f>
        <v>00049455</v>
      </c>
      <c r="I873">
        <v>40</v>
      </c>
      <c r="J873">
        <v>0</v>
      </c>
      <c r="K873">
        <v>8</v>
      </c>
      <c r="N873">
        <v>8</v>
      </c>
      <c r="O873">
        <v>4</v>
      </c>
      <c r="P873">
        <v>2</v>
      </c>
      <c r="Q873">
        <v>54</v>
      </c>
      <c r="R873">
        <v>34</v>
      </c>
      <c r="S873">
        <v>34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34</v>
      </c>
      <c r="AA873">
        <v>0</v>
      </c>
      <c r="AB873">
        <v>0</v>
      </c>
      <c r="AD873">
        <v>88</v>
      </c>
    </row>
    <row r="874" spans="1:30" x14ac:dyDescent="0.3">
      <c r="A874" s="4">
        <v>885</v>
      </c>
      <c r="B874" s="5">
        <v>867</v>
      </c>
      <c r="C874">
        <v>1849</v>
      </c>
      <c r="D874" t="s">
        <v>2058</v>
      </c>
      <c r="E874" t="s">
        <v>54</v>
      </c>
      <c r="F874" t="s">
        <v>38</v>
      </c>
      <c r="G874" t="s">
        <v>2059</v>
      </c>
      <c r="H874" t="str">
        <f>"00508512"</f>
        <v>00508512</v>
      </c>
      <c r="I874">
        <v>36</v>
      </c>
      <c r="J874">
        <v>0</v>
      </c>
      <c r="N874">
        <v>0</v>
      </c>
      <c r="O874">
        <v>4</v>
      </c>
      <c r="P874">
        <v>2</v>
      </c>
      <c r="Q874">
        <v>42</v>
      </c>
      <c r="R874">
        <v>46</v>
      </c>
      <c r="S874">
        <v>46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46</v>
      </c>
      <c r="AA874">
        <v>0</v>
      </c>
      <c r="AB874">
        <v>0</v>
      </c>
      <c r="AD874">
        <v>88</v>
      </c>
    </row>
    <row r="875" spans="1:30" x14ac:dyDescent="0.3">
      <c r="A875" s="4">
        <v>886</v>
      </c>
      <c r="B875" s="5">
        <v>868</v>
      </c>
      <c r="C875">
        <v>1126</v>
      </c>
      <c r="D875" t="s">
        <v>2060</v>
      </c>
      <c r="E875" t="s">
        <v>132</v>
      </c>
      <c r="F875" t="s">
        <v>158</v>
      </c>
      <c r="G875" t="s">
        <v>2061</v>
      </c>
      <c r="H875" t="str">
        <f>"00515014"</f>
        <v>00515014</v>
      </c>
      <c r="I875">
        <v>12</v>
      </c>
      <c r="J875">
        <v>0</v>
      </c>
      <c r="N875">
        <v>0</v>
      </c>
      <c r="O875">
        <v>0</v>
      </c>
      <c r="P875">
        <v>0</v>
      </c>
      <c r="Q875">
        <v>12</v>
      </c>
      <c r="R875">
        <v>76</v>
      </c>
      <c r="S875">
        <v>76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76</v>
      </c>
      <c r="AA875">
        <v>0</v>
      </c>
      <c r="AB875">
        <v>0</v>
      </c>
      <c r="AD875">
        <v>88</v>
      </c>
    </row>
    <row r="876" spans="1:30" x14ac:dyDescent="0.3">
      <c r="A876" s="4">
        <v>887</v>
      </c>
      <c r="B876" s="5">
        <v>869</v>
      </c>
      <c r="C876">
        <v>1992</v>
      </c>
      <c r="D876" t="s">
        <v>2062</v>
      </c>
      <c r="E876" t="s">
        <v>178</v>
      </c>
      <c r="F876" t="s">
        <v>214</v>
      </c>
      <c r="G876" t="s">
        <v>2063</v>
      </c>
      <c r="H876" t="str">
        <f>"00433351"</f>
        <v>00433351</v>
      </c>
      <c r="I876">
        <v>36.880000000000003</v>
      </c>
      <c r="J876">
        <v>10</v>
      </c>
      <c r="N876">
        <v>0</v>
      </c>
      <c r="O876">
        <v>4</v>
      </c>
      <c r="P876">
        <v>2</v>
      </c>
      <c r="Q876">
        <v>52.88</v>
      </c>
      <c r="R876">
        <v>35</v>
      </c>
      <c r="S876">
        <v>35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35</v>
      </c>
      <c r="AA876">
        <v>0</v>
      </c>
      <c r="AB876">
        <v>0</v>
      </c>
      <c r="AD876">
        <v>87.88</v>
      </c>
    </row>
    <row r="877" spans="1:30" x14ac:dyDescent="0.3">
      <c r="A877" s="4">
        <v>888</v>
      </c>
      <c r="B877" s="5">
        <v>870</v>
      </c>
      <c r="C877">
        <v>3034</v>
      </c>
      <c r="D877" t="s">
        <v>2064</v>
      </c>
      <c r="E877" t="s">
        <v>161</v>
      </c>
      <c r="F877" t="s">
        <v>416</v>
      </c>
      <c r="G877" t="s">
        <v>2065</v>
      </c>
      <c r="H877" t="str">
        <f>"00192107"</f>
        <v>00192107</v>
      </c>
      <c r="I877">
        <v>24.8</v>
      </c>
      <c r="J877">
        <v>0</v>
      </c>
      <c r="N877">
        <v>0</v>
      </c>
      <c r="O877">
        <v>4</v>
      </c>
      <c r="P877">
        <v>2</v>
      </c>
      <c r="Q877">
        <v>30.8</v>
      </c>
      <c r="R877">
        <v>51</v>
      </c>
      <c r="S877">
        <v>51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51</v>
      </c>
      <c r="AA877">
        <v>6</v>
      </c>
      <c r="AB877">
        <v>0</v>
      </c>
      <c r="AD877">
        <v>87.8</v>
      </c>
    </row>
    <row r="878" spans="1:30" x14ac:dyDescent="0.3">
      <c r="A878" s="4">
        <v>889</v>
      </c>
      <c r="B878" s="5">
        <v>871</v>
      </c>
      <c r="C878">
        <v>321</v>
      </c>
      <c r="D878" t="s">
        <v>2066</v>
      </c>
      <c r="E878" t="s">
        <v>2067</v>
      </c>
      <c r="F878" t="s">
        <v>20</v>
      </c>
      <c r="G878" t="s">
        <v>2068</v>
      </c>
      <c r="H878" t="str">
        <f>"00504497"</f>
        <v>00504497</v>
      </c>
      <c r="I878">
        <v>28.8</v>
      </c>
      <c r="J878">
        <v>0</v>
      </c>
      <c r="N878">
        <v>0</v>
      </c>
      <c r="O878">
        <v>4</v>
      </c>
      <c r="P878">
        <v>2</v>
      </c>
      <c r="Q878">
        <v>34.799999999999997</v>
      </c>
      <c r="R878">
        <v>50</v>
      </c>
      <c r="S878">
        <v>50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50</v>
      </c>
      <c r="AA878">
        <v>3</v>
      </c>
      <c r="AB878">
        <v>0</v>
      </c>
      <c r="AD878">
        <v>87.8</v>
      </c>
    </row>
    <row r="879" spans="1:30" x14ac:dyDescent="0.3">
      <c r="A879" s="4">
        <v>890</v>
      </c>
      <c r="B879" s="5">
        <v>872</v>
      </c>
      <c r="C879">
        <v>697</v>
      </c>
      <c r="D879" t="s">
        <v>2069</v>
      </c>
      <c r="E879" t="s">
        <v>268</v>
      </c>
      <c r="F879" t="s">
        <v>381</v>
      </c>
      <c r="G879" t="s">
        <v>2070</v>
      </c>
      <c r="H879" t="str">
        <f>"00191265"</f>
        <v>00191265</v>
      </c>
      <c r="I879">
        <v>31.72</v>
      </c>
      <c r="J879">
        <v>0</v>
      </c>
      <c r="N879">
        <v>0</v>
      </c>
      <c r="O879">
        <v>4</v>
      </c>
      <c r="P879">
        <v>0</v>
      </c>
      <c r="Q879">
        <v>35.72</v>
      </c>
      <c r="R879">
        <v>40</v>
      </c>
      <c r="S879">
        <v>40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40</v>
      </c>
      <c r="AA879">
        <v>12</v>
      </c>
      <c r="AB879">
        <v>0</v>
      </c>
      <c r="AD879">
        <v>87.72</v>
      </c>
    </row>
    <row r="880" spans="1:30" x14ac:dyDescent="0.3">
      <c r="A880" s="4">
        <v>891</v>
      </c>
      <c r="B880" s="5">
        <v>873</v>
      </c>
      <c r="C880">
        <v>2863</v>
      </c>
      <c r="D880" t="s">
        <v>2071</v>
      </c>
      <c r="E880" t="s">
        <v>166</v>
      </c>
      <c r="F880" t="s">
        <v>38</v>
      </c>
      <c r="G880" t="s">
        <v>2072</v>
      </c>
      <c r="H880" t="str">
        <f>"00520844"</f>
        <v>00520844</v>
      </c>
      <c r="I880">
        <v>28.72</v>
      </c>
      <c r="J880">
        <v>10</v>
      </c>
      <c r="N880">
        <v>0</v>
      </c>
      <c r="O880">
        <v>4</v>
      </c>
      <c r="P880">
        <v>2</v>
      </c>
      <c r="Q880">
        <v>44.72</v>
      </c>
      <c r="R880">
        <v>37</v>
      </c>
      <c r="S880">
        <v>37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37</v>
      </c>
      <c r="AA880">
        <v>6</v>
      </c>
      <c r="AB880">
        <v>0</v>
      </c>
      <c r="AD880">
        <v>87.72</v>
      </c>
    </row>
    <row r="881" spans="1:30" x14ac:dyDescent="0.3">
      <c r="A881" s="4">
        <v>892</v>
      </c>
      <c r="B881" s="5">
        <v>874</v>
      </c>
      <c r="C881">
        <v>4346</v>
      </c>
      <c r="D881" t="s">
        <v>2073</v>
      </c>
      <c r="E881" t="s">
        <v>780</v>
      </c>
      <c r="F881" t="s">
        <v>20</v>
      </c>
      <c r="G881" t="s">
        <v>2074</v>
      </c>
      <c r="H881" t="str">
        <f>"00651343"</f>
        <v>00651343</v>
      </c>
      <c r="I881">
        <v>35.64</v>
      </c>
      <c r="J881">
        <v>10</v>
      </c>
      <c r="N881">
        <v>0</v>
      </c>
      <c r="O881">
        <v>4</v>
      </c>
      <c r="P881">
        <v>0</v>
      </c>
      <c r="Q881">
        <v>49.64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6</v>
      </c>
      <c r="AB881">
        <v>32</v>
      </c>
      <c r="AD881">
        <v>87.64</v>
      </c>
    </row>
    <row r="882" spans="1:30" x14ac:dyDescent="0.3">
      <c r="A882" s="4">
        <v>893</v>
      </c>
      <c r="B882" s="5">
        <v>875</v>
      </c>
      <c r="C882">
        <v>2739</v>
      </c>
      <c r="D882" t="s">
        <v>2075</v>
      </c>
      <c r="E882" t="s">
        <v>342</v>
      </c>
      <c r="F882" t="s">
        <v>243</v>
      </c>
      <c r="G882" t="s">
        <v>2076</v>
      </c>
      <c r="H882" t="str">
        <f>"201507003672"</f>
        <v>201507003672</v>
      </c>
      <c r="I882">
        <v>57.6</v>
      </c>
      <c r="J882">
        <v>0</v>
      </c>
      <c r="K882">
        <v>8</v>
      </c>
      <c r="L882">
        <v>6</v>
      </c>
      <c r="N882">
        <v>14</v>
      </c>
      <c r="O882">
        <v>4</v>
      </c>
      <c r="P882">
        <v>0</v>
      </c>
      <c r="Q882">
        <v>75.599999999999994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12</v>
      </c>
      <c r="AB882">
        <v>0</v>
      </c>
      <c r="AD882">
        <v>87.6</v>
      </c>
    </row>
    <row r="883" spans="1:30" x14ac:dyDescent="0.3">
      <c r="A883" s="4">
        <v>894</v>
      </c>
      <c r="B883" s="5">
        <v>876</v>
      </c>
      <c r="C883">
        <v>1313</v>
      </c>
      <c r="D883" t="s">
        <v>2077</v>
      </c>
      <c r="E883" t="s">
        <v>575</v>
      </c>
      <c r="F883" t="s">
        <v>117</v>
      </c>
      <c r="G883" t="s">
        <v>2078</v>
      </c>
      <c r="H883" t="str">
        <f>"00534142"</f>
        <v>00534142</v>
      </c>
      <c r="I883">
        <v>57.6</v>
      </c>
      <c r="J883">
        <v>10</v>
      </c>
      <c r="N883">
        <v>0</v>
      </c>
      <c r="O883">
        <v>4</v>
      </c>
      <c r="P883">
        <v>2</v>
      </c>
      <c r="Q883">
        <v>73.599999999999994</v>
      </c>
      <c r="R883">
        <v>8</v>
      </c>
      <c r="S883">
        <v>8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8</v>
      </c>
      <c r="AA883">
        <v>6</v>
      </c>
      <c r="AB883">
        <v>0</v>
      </c>
      <c r="AD883">
        <v>87.6</v>
      </c>
    </row>
    <row r="884" spans="1:30" x14ac:dyDescent="0.3">
      <c r="A884" s="4">
        <v>895</v>
      </c>
      <c r="B884" s="5">
        <v>877</v>
      </c>
      <c r="C884">
        <v>2817</v>
      </c>
      <c r="D884" t="s">
        <v>2079</v>
      </c>
      <c r="E884" t="s">
        <v>29</v>
      </c>
      <c r="F884" t="s">
        <v>782</v>
      </c>
      <c r="G884" t="s">
        <v>2080</v>
      </c>
      <c r="H884" t="str">
        <f>"00505094"</f>
        <v>00505094</v>
      </c>
      <c r="I884">
        <v>21.6</v>
      </c>
      <c r="J884">
        <v>0</v>
      </c>
      <c r="N884">
        <v>0</v>
      </c>
      <c r="O884">
        <v>4</v>
      </c>
      <c r="P884">
        <v>2</v>
      </c>
      <c r="Q884">
        <v>27.6</v>
      </c>
      <c r="R884">
        <v>54</v>
      </c>
      <c r="S884">
        <v>54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54</v>
      </c>
      <c r="AA884">
        <v>6</v>
      </c>
      <c r="AB884">
        <v>0</v>
      </c>
      <c r="AD884">
        <v>87.6</v>
      </c>
    </row>
    <row r="885" spans="1:30" x14ac:dyDescent="0.3">
      <c r="A885" s="4">
        <v>896</v>
      </c>
      <c r="B885" s="5">
        <v>878</v>
      </c>
      <c r="C885">
        <v>1636</v>
      </c>
      <c r="D885" t="s">
        <v>2081</v>
      </c>
      <c r="E885" t="s">
        <v>182</v>
      </c>
      <c r="F885" t="s">
        <v>17</v>
      </c>
      <c r="G885" t="s">
        <v>2082</v>
      </c>
      <c r="H885" t="str">
        <f>"00484491"</f>
        <v>00484491</v>
      </c>
      <c r="I885">
        <v>21.6</v>
      </c>
      <c r="J885">
        <v>0</v>
      </c>
      <c r="N885">
        <v>0</v>
      </c>
      <c r="O885">
        <v>4</v>
      </c>
      <c r="P885">
        <v>0</v>
      </c>
      <c r="Q885">
        <v>25.6</v>
      </c>
      <c r="R885">
        <v>56</v>
      </c>
      <c r="S885">
        <v>56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56</v>
      </c>
      <c r="AA885">
        <v>6</v>
      </c>
      <c r="AB885">
        <v>0</v>
      </c>
      <c r="AD885">
        <v>87.6</v>
      </c>
    </row>
    <row r="886" spans="1:30" x14ac:dyDescent="0.3">
      <c r="A886" s="4">
        <v>897</v>
      </c>
      <c r="B886" s="5">
        <v>879</v>
      </c>
      <c r="C886">
        <v>3442</v>
      </c>
      <c r="D886" t="s">
        <v>498</v>
      </c>
      <c r="E886" t="s">
        <v>2083</v>
      </c>
      <c r="F886" t="s">
        <v>17</v>
      </c>
      <c r="G886" t="s">
        <v>2084</v>
      </c>
      <c r="H886" t="str">
        <f>"00805786"</f>
        <v>00805786</v>
      </c>
      <c r="I886">
        <v>57.6</v>
      </c>
      <c r="J886">
        <v>10</v>
      </c>
      <c r="K886">
        <v>16</v>
      </c>
      <c r="N886">
        <v>16</v>
      </c>
      <c r="O886">
        <v>4</v>
      </c>
      <c r="P886">
        <v>0</v>
      </c>
      <c r="Q886">
        <v>87.6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D886">
        <v>87.6</v>
      </c>
    </row>
    <row r="887" spans="1:30" x14ac:dyDescent="0.3">
      <c r="A887" s="4">
        <v>898</v>
      </c>
      <c r="B887" s="5">
        <v>880</v>
      </c>
      <c r="C887">
        <v>3098</v>
      </c>
      <c r="D887" t="s">
        <v>2085</v>
      </c>
      <c r="E887" t="s">
        <v>935</v>
      </c>
      <c r="F887" t="s">
        <v>20</v>
      </c>
      <c r="G887" t="s">
        <v>2086</v>
      </c>
      <c r="H887" t="str">
        <f>"201511030758"</f>
        <v>201511030758</v>
      </c>
      <c r="I887">
        <v>57.6</v>
      </c>
      <c r="J887">
        <v>0</v>
      </c>
      <c r="K887">
        <v>8</v>
      </c>
      <c r="N887">
        <v>8</v>
      </c>
      <c r="O887">
        <v>4</v>
      </c>
      <c r="P887">
        <v>0</v>
      </c>
      <c r="Q887">
        <v>69.599999999999994</v>
      </c>
      <c r="R887">
        <v>18</v>
      </c>
      <c r="S887">
        <v>18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18</v>
      </c>
      <c r="AA887">
        <v>0</v>
      </c>
      <c r="AB887">
        <v>0</v>
      </c>
      <c r="AD887">
        <v>87.6</v>
      </c>
    </row>
    <row r="888" spans="1:30" x14ac:dyDescent="0.3">
      <c r="A888" s="4">
        <v>899</v>
      </c>
      <c r="B888" s="5">
        <v>881</v>
      </c>
      <c r="C888">
        <v>728</v>
      </c>
      <c r="D888" t="s">
        <v>2087</v>
      </c>
      <c r="E888" t="s">
        <v>2088</v>
      </c>
      <c r="F888" t="s">
        <v>117</v>
      </c>
      <c r="G888" t="s">
        <v>2089</v>
      </c>
      <c r="H888" t="str">
        <f>"00457041"</f>
        <v>00457041</v>
      </c>
      <c r="I888">
        <v>57.6</v>
      </c>
      <c r="J888">
        <v>0</v>
      </c>
      <c r="L888">
        <v>6</v>
      </c>
      <c r="N888">
        <v>6</v>
      </c>
      <c r="O888">
        <v>4</v>
      </c>
      <c r="P888">
        <v>2</v>
      </c>
      <c r="Q888">
        <v>69.599999999999994</v>
      </c>
      <c r="R888">
        <v>18</v>
      </c>
      <c r="S888">
        <v>18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18</v>
      </c>
      <c r="AA888">
        <v>0</v>
      </c>
      <c r="AB888">
        <v>0</v>
      </c>
      <c r="AD888">
        <v>87.6</v>
      </c>
    </row>
    <row r="889" spans="1:30" x14ac:dyDescent="0.3">
      <c r="A889" s="4">
        <v>900</v>
      </c>
      <c r="B889" s="5">
        <v>882</v>
      </c>
      <c r="C889">
        <v>951</v>
      </c>
      <c r="D889" t="s">
        <v>2090</v>
      </c>
      <c r="E889" t="s">
        <v>178</v>
      </c>
      <c r="F889" t="s">
        <v>20</v>
      </c>
      <c r="G889" t="s">
        <v>2091</v>
      </c>
      <c r="H889" t="str">
        <f>"00151713"</f>
        <v>00151713</v>
      </c>
      <c r="I889">
        <v>21.6</v>
      </c>
      <c r="J889">
        <v>0</v>
      </c>
      <c r="K889">
        <v>8</v>
      </c>
      <c r="N889">
        <v>8</v>
      </c>
      <c r="O889">
        <v>4</v>
      </c>
      <c r="P889">
        <v>2</v>
      </c>
      <c r="Q889">
        <v>35.6</v>
      </c>
      <c r="R889">
        <v>52</v>
      </c>
      <c r="S889">
        <v>52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52</v>
      </c>
      <c r="AA889">
        <v>0</v>
      </c>
      <c r="AB889">
        <v>0</v>
      </c>
      <c r="AD889">
        <v>87.6</v>
      </c>
    </row>
    <row r="890" spans="1:30" x14ac:dyDescent="0.3">
      <c r="A890" s="4">
        <v>901</v>
      </c>
      <c r="B890" s="5">
        <v>883</v>
      </c>
      <c r="C890">
        <v>2079</v>
      </c>
      <c r="D890" t="s">
        <v>2092</v>
      </c>
      <c r="E890" t="s">
        <v>406</v>
      </c>
      <c r="F890" t="s">
        <v>442</v>
      </c>
      <c r="G890" t="s">
        <v>2093</v>
      </c>
      <c r="H890" t="str">
        <f>"00515426"</f>
        <v>00515426</v>
      </c>
      <c r="I890">
        <v>50.4</v>
      </c>
      <c r="J890">
        <v>0</v>
      </c>
      <c r="N890">
        <v>0</v>
      </c>
      <c r="O890">
        <v>4</v>
      </c>
      <c r="P890">
        <v>0</v>
      </c>
      <c r="Q890">
        <v>54.4</v>
      </c>
      <c r="R890">
        <v>27</v>
      </c>
      <c r="S890">
        <v>27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27</v>
      </c>
      <c r="AA890">
        <v>6</v>
      </c>
      <c r="AB890">
        <v>0</v>
      </c>
      <c r="AD890">
        <v>87.4</v>
      </c>
    </row>
    <row r="891" spans="1:30" x14ac:dyDescent="0.3">
      <c r="A891" s="4">
        <v>902</v>
      </c>
      <c r="B891" s="5">
        <v>884</v>
      </c>
      <c r="C891">
        <v>4300</v>
      </c>
      <c r="D891" t="s">
        <v>2094</v>
      </c>
      <c r="E891" t="s">
        <v>29</v>
      </c>
      <c r="F891" t="s">
        <v>158</v>
      </c>
      <c r="G891" t="s">
        <v>2095</v>
      </c>
      <c r="H891" t="str">
        <f>"00503614"</f>
        <v>00503614</v>
      </c>
      <c r="I891">
        <v>14.4</v>
      </c>
      <c r="J891">
        <v>0</v>
      </c>
      <c r="M891">
        <v>4</v>
      </c>
      <c r="N891">
        <v>4</v>
      </c>
      <c r="O891">
        <v>4</v>
      </c>
      <c r="P891">
        <v>2</v>
      </c>
      <c r="Q891">
        <v>24.4</v>
      </c>
      <c r="R891">
        <v>60</v>
      </c>
      <c r="S891">
        <v>60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60</v>
      </c>
      <c r="AA891">
        <v>3</v>
      </c>
      <c r="AB891">
        <v>0</v>
      </c>
      <c r="AD891">
        <v>87.4</v>
      </c>
    </row>
    <row r="892" spans="1:30" x14ac:dyDescent="0.3">
      <c r="A892" s="4">
        <v>903</v>
      </c>
      <c r="B892" s="5">
        <v>885</v>
      </c>
      <c r="C892">
        <v>1003</v>
      </c>
      <c r="D892" t="s">
        <v>2096</v>
      </c>
      <c r="E892" t="s">
        <v>1140</v>
      </c>
      <c r="F892" t="s">
        <v>38</v>
      </c>
      <c r="G892" t="s">
        <v>2097</v>
      </c>
      <c r="H892" t="str">
        <f>"00442225"</f>
        <v>00442225</v>
      </c>
      <c r="I892">
        <v>50.4</v>
      </c>
      <c r="J892">
        <v>0</v>
      </c>
      <c r="N892">
        <v>0</v>
      </c>
      <c r="O892">
        <v>0</v>
      </c>
      <c r="P892">
        <v>0</v>
      </c>
      <c r="Q892">
        <v>50.4</v>
      </c>
      <c r="R892">
        <v>37</v>
      </c>
      <c r="S892">
        <v>37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37</v>
      </c>
      <c r="AA892">
        <v>0</v>
      </c>
      <c r="AB892">
        <v>0</v>
      </c>
      <c r="AD892">
        <v>87.4</v>
      </c>
    </row>
    <row r="893" spans="1:30" x14ac:dyDescent="0.3">
      <c r="A893" s="4">
        <v>904</v>
      </c>
      <c r="B893" s="5">
        <v>886</v>
      </c>
      <c r="C893">
        <v>1201</v>
      </c>
      <c r="D893" t="s">
        <v>2098</v>
      </c>
      <c r="E893" t="s">
        <v>110</v>
      </c>
      <c r="F893" t="s">
        <v>20</v>
      </c>
      <c r="G893" t="s">
        <v>2099</v>
      </c>
      <c r="H893" t="str">
        <f>"00527072"</f>
        <v>00527072</v>
      </c>
      <c r="I893">
        <v>36.28</v>
      </c>
      <c r="J893">
        <v>0</v>
      </c>
      <c r="N893">
        <v>0</v>
      </c>
      <c r="O893">
        <v>0</v>
      </c>
      <c r="P893">
        <v>0</v>
      </c>
      <c r="Q893">
        <v>36.28</v>
      </c>
      <c r="R893">
        <v>25</v>
      </c>
      <c r="S893">
        <v>25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25</v>
      </c>
      <c r="AA893">
        <v>6</v>
      </c>
      <c r="AB893">
        <v>20</v>
      </c>
      <c r="AD893">
        <v>87.28</v>
      </c>
    </row>
    <row r="894" spans="1:30" x14ac:dyDescent="0.3">
      <c r="A894" s="4">
        <v>905</v>
      </c>
      <c r="B894" s="5">
        <v>887</v>
      </c>
      <c r="C894">
        <v>4147</v>
      </c>
      <c r="D894" t="s">
        <v>2100</v>
      </c>
      <c r="E894" t="s">
        <v>29</v>
      </c>
      <c r="F894" t="s">
        <v>2101</v>
      </c>
      <c r="G894" t="s">
        <v>2102</v>
      </c>
      <c r="H894" t="str">
        <f>"00519875"</f>
        <v>00519875</v>
      </c>
      <c r="I894">
        <v>0</v>
      </c>
      <c r="J894">
        <v>10</v>
      </c>
      <c r="K894">
        <v>8</v>
      </c>
      <c r="N894">
        <v>8</v>
      </c>
      <c r="O894">
        <v>4</v>
      </c>
      <c r="P894">
        <v>0</v>
      </c>
      <c r="Q894">
        <v>22</v>
      </c>
      <c r="R894">
        <v>53</v>
      </c>
      <c r="S894">
        <v>53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53</v>
      </c>
      <c r="AA894">
        <v>12</v>
      </c>
      <c r="AB894">
        <v>0</v>
      </c>
      <c r="AD894">
        <v>87</v>
      </c>
    </row>
    <row r="895" spans="1:30" x14ac:dyDescent="0.3">
      <c r="A895" s="4">
        <v>906</v>
      </c>
      <c r="B895" s="5">
        <v>888</v>
      </c>
      <c r="C895">
        <v>1135</v>
      </c>
      <c r="D895" t="s">
        <v>2103</v>
      </c>
      <c r="E895" t="s">
        <v>454</v>
      </c>
      <c r="F895" t="s">
        <v>158</v>
      </c>
      <c r="G895" t="s">
        <v>2104</v>
      </c>
      <c r="H895" t="str">
        <f>"00858464"</f>
        <v>00858464</v>
      </c>
      <c r="I895">
        <v>72</v>
      </c>
      <c r="J895">
        <v>0</v>
      </c>
      <c r="M895">
        <v>8</v>
      </c>
      <c r="N895">
        <v>8</v>
      </c>
      <c r="O895">
        <v>4</v>
      </c>
      <c r="P895">
        <v>0</v>
      </c>
      <c r="Q895">
        <v>84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3</v>
      </c>
      <c r="AB895">
        <v>0</v>
      </c>
      <c r="AD895">
        <v>87</v>
      </c>
    </row>
    <row r="896" spans="1:30" x14ac:dyDescent="0.3">
      <c r="A896" s="4">
        <v>907</v>
      </c>
      <c r="B896" s="5">
        <v>889</v>
      </c>
      <c r="C896">
        <v>4455</v>
      </c>
      <c r="D896" t="s">
        <v>2105</v>
      </c>
      <c r="E896" t="s">
        <v>740</v>
      </c>
      <c r="F896" t="s">
        <v>136</v>
      </c>
      <c r="G896" t="s">
        <v>2106</v>
      </c>
      <c r="H896" t="str">
        <f>"00532240"</f>
        <v>00532240</v>
      </c>
      <c r="I896">
        <v>24</v>
      </c>
      <c r="J896">
        <v>0</v>
      </c>
      <c r="N896">
        <v>0</v>
      </c>
      <c r="O896">
        <v>4</v>
      </c>
      <c r="P896">
        <v>2</v>
      </c>
      <c r="Q896">
        <v>30</v>
      </c>
      <c r="R896">
        <v>38</v>
      </c>
      <c r="S896">
        <v>38</v>
      </c>
      <c r="T896">
        <v>8</v>
      </c>
      <c r="U896">
        <v>16</v>
      </c>
      <c r="V896">
        <v>0</v>
      </c>
      <c r="W896">
        <v>0</v>
      </c>
      <c r="X896">
        <v>0</v>
      </c>
      <c r="Y896">
        <v>0</v>
      </c>
      <c r="Z896">
        <v>54</v>
      </c>
      <c r="AA896">
        <v>3</v>
      </c>
      <c r="AB896">
        <v>0</v>
      </c>
      <c r="AD896">
        <v>87</v>
      </c>
    </row>
    <row r="897" spans="1:30" x14ac:dyDescent="0.3">
      <c r="A897" s="4">
        <v>908</v>
      </c>
      <c r="B897" s="5">
        <v>890</v>
      </c>
      <c r="C897">
        <v>1582</v>
      </c>
      <c r="D897" t="s">
        <v>2107</v>
      </c>
      <c r="E897" t="s">
        <v>258</v>
      </c>
      <c r="F897" t="s">
        <v>158</v>
      </c>
      <c r="G897" t="s">
        <v>2108</v>
      </c>
      <c r="H897" t="str">
        <f>"00152607"</f>
        <v>00152607</v>
      </c>
      <c r="I897">
        <v>36</v>
      </c>
      <c r="J897">
        <v>10</v>
      </c>
      <c r="K897">
        <v>8</v>
      </c>
      <c r="N897">
        <v>8</v>
      </c>
      <c r="O897">
        <v>4</v>
      </c>
      <c r="P897">
        <v>2</v>
      </c>
      <c r="Q897">
        <v>60</v>
      </c>
      <c r="R897">
        <v>27</v>
      </c>
      <c r="S897">
        <v>27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27</v>
      </c>
      <c r="AA897">
        <v>0</v>
      </c>
      <c r="AB897">
        <v>0</v>
      </c>
      <c r="AD897">
        <v>87</v>
      </c>
    </row>
    <row r="898" spans="1:30" x14ac:dyDescent="0.3">
      <c r="A898" s="4">
        <v>909</v>
      </c>
      <c r="B898" s="5">
        <v>891</v>
      </c>
      <c r="C898">
        <v>1127</v>
      </c>
      <c r="D898" t="s">
        <v>2109</v>
      </c>
      <c r="E898" t="s">
        <v>110</v>
      </c>
      <c r="F898" t="s">
        <v>343</v>
      </c>
      <c r="G898" t="s">
        <v>2110</v>
      </c>
      <c r="H898" t="str">
        <f>"00376919"</f>
        <v>00376919</v>
      </c>
      <c r="I898">
        <v>30.92</v>
      </c>
      <c r="J898">
        <v>0</v>
      </c>
      <c r="M898">
        <v>4</v>
      </c>
      <c r="N898">
        <v>4</v>
      </c>
      <c r="O898">
        <v>4</v>
      </c>
      <c r="P898">
        <v>2</v>
      </c>
      <c r="Q898">
        <v>40.92</v>
      </c>
      <c r="R898">
        <v>37</v>
      </c>
      <c r="S898">
        <v>37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37</v>
      </c>
      <c r="AA898">
        <v>9</v>
      </c>
      <c r="AB898">
        <v>0</v>
      </c>
      <c r="AD898">
        <v>86.92</v>
      </c>
    </row>
    <row r="899" spans="1:30" x14ac:dyDescent="0.3">
      <c r="A899" s="4">
        <v>910</v>
      </c>
      <c r="B899" s="5">
        <v>892</v>
      </c>
      <c r="C899">
        <v>4413</v>
      </c>
      <c r="D899" t="s">
        <v>181</v>
      </c>
      <c r="E899" t="s">
        <v>2111</v>
      </c>
      <c r="F899" t="s">
        <v>385</v>
      </c>
      <c r="G899" t="s">
        <v>2112</v>
      </c>
      <c r="H899" t="str">
        <f>"00005645"</f>
        <v>00005645</v>
      </c>
      <c r="I899">
        <v>38</v>
      </c>
      <c r="J899">
        <v>10</v>
      </c>
      <c r="N899">
        <v>0</v>
      </c>
      <c r="O899">
        <v>4</v>
      </c>
      <c r="P899">
        <v>2</v>
      </c>
      <c r="Q899">
        <v>54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6</v>
      </c>
      <c r="AB899">
        <v>26.8</v>
      </c>
      <c r="AD899">
        <v>86.8</v>
      </c>
    </row>
    <row r="900" spans="1:30" x14ac:dyDescent="0.3">
      <c r="A900" s="4">
        <v>911</v>
      </c>
      <c r="B900" s="5">
        <v>893</v>
      </c>
      <c r="C900">
        <v>4779</v>
      </c>
      <c r="D900" t="s">
        <v>2113</v>
      </c>
      <c r="E900" t="s">
        <v>283</v>
      </c>
      <c r="F900" t="s">
        <v>68</v>
      </c>
      <c r="G900" t="s">
        <v>2114</v>
      </c>
      <c r="H900" t="str">
        <f>"200802004167"</f>
        <v>200802004167</v>
      </c>
      <c r="I900">
        <v>64.8</v>
      </c>
      <c r="J900">
        <v>0</v>
      </c>
      <c r="M900">
        <v>4</v>
      </c>
      <c r="N900">
        <v>4</v>
      </c>
      <c r="O900">
        <v>0</v>
      </c>
      <c r="P900">
        <v>0</v>
      </c>
      <c r="Q900">
        <v>68.8</v>
      </c>
      <c r="R900">
        <v>18</v>
      </c>
      <c r="S900">
        <v>18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18</v>
      </c>
      <c r="AA900">
        <v>0</v>
      </c>
      <c r="AB900">
        <v>0</v>
      </c>
      <c r="AD900">
        <v>86.8</v>
      </c>
    </row>
    <row r="901" spans="1:30" x14ac:dyDescent="0.3">
      <c r="A901" s="4">
        <v>912</v>
      </c>
      <c r="B901" s="5">
        <v>894</v>
      </c>
      <c r="C901">
        <v>1020</v>
      </c>
      <c r="D901" t="s">
        <v>2115</v>
      </c>
      <c r="E901" t="s">
        <v>789</v>
      </c>
      <c r="F901" t="s">
        <v>975</v>
      </c>
      <c r="G901" t="s">
        <v>2116</v>
      </c>
      <c r="H901" t="str">
        <f>"00515821"</f>
        <v>00515821</v>
      </c>
      <c r="I901">
        <v>28.8</v>
      </c>
      <c r="J901">
        <v>0</v>
      </c>
      <c r="K901">
        <v>8</v>
      </c>
      <c r="N901">
        <v>8</v>
      </c>
      <c r="O901">
        <v>4</v>
      </c>
      <c r="P901">
        <v>2</v>
      </c>
      <c r="Q901">
        <v>42.8</v>
      </c>
      <c r="R901">
        <v>44</v>
      </c>
      <c r="S901">
        <v>44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44</v>
      </c>
      <c r="AA901">
        <v>0</v>
      </c>
      <c r="AB901">
        <v>0</v>
      </c>
      <c r="AD901">
        <v>86.8</v>
      </c>
    </row>
    <row r="902" spans="1:30" x14ac:dyDescent="0.3">
      <c r="A902" s="4">
        <v>914</v>
      </c>
      <c r="B902" s="5">
        <v>895</v>
      </c>
      <c r="C902">
        <v>2801</v>
      </c>
      <c r="D902" t="s">
        <v>459</v>
      </c>
      <c r="E902" t="s">
        <v>575</v>
      </c>
      <c r="F902" t="s">
        <v>17</v>
      </c>
      <c r="G902" t="s">
        <v>2118</v>
      </c>
      <c r="H902" t="str">
        <f>"00520492"</f>
        <v>00520492</v>
      </c>
      <c r="I902">
        <v>21.6</v>
      </c>
      <c r="J902">
        <v>0</v>
      </c>
      <c r="M902">
        <v>4</v>
      </c>
      <c r="N902">
        <v>4</v>
      </c>
      <c r="O902">
        <v>4</v>
      </c>
      <c r="P902">
        <v>2</v>
      </c>
      <c r="Q902">
        <v>31.6</v>
      </c>
      <c r="R902">
        <v>49</v>
      </c>
      <c r="S902">
        <v>49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49</v>
      </c>
      <c r="AA902">
        <v>6</v>
      </c>
      <c r="AB902">
        <v>0</v>
      </c>
      <c r="AD902">
        <v>86.6</v>
      </c>
    </row>
    <row r="903" spans="1:30" x14ac:dyDescent="0.3">
      <c r="A903" s="4">
        <v>915</v>
      </c>
      <c r="B903" s="5">
        <v>896</v>
      </c>
      <c r="C903">
        <v>212</v>
      </c>
      <c r="D903" t="s">
        <v>2119</v>
      </c>
      <c r="E903" t="s">
        <v>29</v>
      </c>
      <c r="F903" t="s">
        <v>652</v>
      </c>
      <c r="G903" t="s">
        <v>2120</v>
      </c>
      <c r="H903" t="str">
        <f>"00182991"</f>
        <v>00182991</v>
      </c>
      <c r="I903">
        <v>57.6</v>
      </c>
      <c r="J903">
        <v>0</v>
      </c>
      <c r="N903">
        <v>0</v>
      </c>
      <c r="O903">
        <v>0</v>
      </c>
      <c r="P903">
        <v>2</v>
      </c>
      <c r="Q903">
        <v>59.6</v>
      </c>
      <c r="R903">
        <v>27</v>
      </c>
      <c r="S903">
        <v>27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27</v>
      </c>
      <c r="AA903">
        <v>0</v>
      </c>
      <c r="AB903">
        <v>0</v>
      </c>
      <c r="AD903">
        <v>86.6</v>
      </c>
    </row>
    <row r="904" spans="1:30" x14ac:dyDescent="0.3">
      <c r="A904" s="4">
        <v>916</v>
      </c>
      <c r="B904" s="5">
        <v>897</v>
      </c>
      <c r="C904">
        <v>2275</v>
      </c>
      <c r="D904" t="s">
        <v>2121</v>
      </c>
      <c r="E904" t="s">
        <v>2122</v>
      </c>
      <c r="F904" t="s">
        <v>539</v>
      </c>
      <c r="G904" t="s">
        <v>2123</v>
      </c>
      <c r="H904" t="str">
        <f>"00530723"</f>
        <v>00530723</v>
      </c>
      <c r="I904">
        <v>29.52</v>
      </c>
      <c r="J904">
        <v>10</v>
      </c>
      <c r="N904">
        <v>0</v>
      </c>
      <c r="O904">
        <v>0</v>
      </c>
      <c r="P904">
        <v>2</v>
      </c>
      <c r="Q904">
        <v>41.52</v>
      </c>
      <c r="R904">
        <v>39</v>
      </c>
      <c r="S904">
        <v>39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39</v>
      </c>
      <c r="AA904">
        <v>6</v>
      </c>
      <c r="AB904">
        <v>0</v>
      </c>
      <c r="AD904">
        <v>86.52</v>
      </c>
    </row>
    <row r="905" spans="1:30" x14ac:dyDescent="0.3">
      <c r="A905" s="4">
        <v>917</v>
      </c>
      <c r="B905" s="5">
        <v>898</v>
      </c>
      <c r="C905">
        <v>796</v>
      </c>
      <c r="D905" t="s">
        <v>2124</v>
      </c>
      <c r="E905" t="s">
        <v>2125</v>
      </c>
      <c r="F905" t="s">
        <v>2126</v>
      </c>
      <c r="G905">
        <v>663707</v>
      </c>
      <c r="H905" t="str">
        <f>"00143655"</f>
        <v>00143655</v>
      </c>
      <c r="I905">
        <v>32.44</v>
      </c>
      <c r="J905">
        <v>0</v>
      </c>
      <c r="N905">
        <v>0</v>
      </c>
      <c r="O905">
        <v>4</v>
      </c>
      <c r="P905">
        <v>0</v>
      </c>
      <c r="Q905">
        <v>36.44</v>
      </c>
      <c r="R905">
        <v>50</v>
      </c>
      <c r="S905">
        <v>50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50</v>
      </c>
      <c r="AA905">
        <v>0</v>
      </c>
      <c r="AB905">
        <v>0</v>
      </c>
      <c r="AD905">
        <v>86.44</v>
      </c>
    </row>
    <row r="906" spans="1:30" x14ac:dyDescent="0.3">
      <c r="A906" s="4">
        <v>918</v>
      </c>
      <c r="B906" s="5">
        <v>899</v>
      </c>
      <c r="C906">
        <v>4118</v>
      </c>
      <c r="D906" t="s">
        <v>2127</v>
      </c>
      <c r="E906" t="s">
        <v>471</v>
      </c>
      <c r="F906" t="s">
        <v>34</v>
      </c>
      <c r="G906" t="s">
        <v>2128</v>
      </c>
      <c r="H906" t="str">
        <f>"00509119"</f>
        <v>00509119</v>
      </c>
      <c r="I906">
        <v>50.4</v>
      </c>
      <c r="J906">
        <v>0</v>
      </c>
      <c r="K906">
        <v>8</v>
      </c>
      <c r="M906">
        <v>4</v>
      </c>
      <c r="N906">
        <v>12</v>
      </c>
      <c r="O906">
        <v>4</v>
      </c>
      <c r="P906">
        <v>2</v>
      </c>
      <c r="Q906">
        <v>68.400000000000006</v>
      </c>
      <c r="R906">
        <v>18</v>
      </c>
      <c r="S906">
        <v>18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18</v>
      </c>
      <c r="AA906">
        <v>0</v>
      </c>
      <c r="AB906">
        <v>0</v>
      </c>
      <c r="AD906">
        <v>86.4</v>
      </c>
    </row>
    <row r="907" spans="1:30" x14ac:dyDescent="0.3">
      <c r="A907" s="4">
        <v>919</v>
      </c>
      <c r="B907" s="5">
        <v>900</v>
      </c>
      <c r="C907">
        <v>2370</v>
      </c>
      <c r="D907" t="s">
        <v>2129</v>
      </c>
      <c r="E907" t="s">
        <v>2130</v>
      </c>
      <c r="F907" t="s">
        <v>81</v>
      </c>
      <c r="G907" t="s">
        <v>2131</v>
      </c>
      <c r="H907" t="str">
        <f>"00045567"</f>
        <v>00045567</v>
      </c>
      <c r="I907">
        <v>26.28</v>
      </c>
      <c r="J907">
        <v>0</v>
      </c>
      <c r="K907">
        <v>8</v>
      </c>
      <c r="N907">
        <v>8</v>
      </c>
      <c r="O907">
        <v>4</v>
      </c>
      <c r="P907">
        <v>0</v>
      </c>
      <c r="Q907">
        <v>38.28</v>
      </c>
      <c r="R907">
        <v>39</v>
      </c>
      <c r="S907">
        <v>39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39</v>
      </c>
      <c r="AA907">
        <v>9</v>
      </c>
      <c r="AB907">
        <v>0</v>
      </c>
      <c r="AD907">
        <v>86.28</v>
      </c>
    </row>
    <row r="908" spans="1:30" x14ac:dyDescent="0.3">
      <c r="A908" s="4">
        <v>920</v>
      </c>
      <c r="B908" s="5">
        <v>901</v>
      </c>
      <c r="C908">
        <v>2562</v>
      </c>
      <c r="D908" t="s">
        <v>2132</v>
      </c>
      <c r="E908" t="s">
        <v>54</v>
      </c>
      <c r="F908" t="s">
        <v>158</v>
      </c>
      <c r="G908" t="s">
        <v>2133</v>
      </c>
      <c r="H908" t="str">
        <f>"00526648"</f>
        <v>00526648</v>
      </c>
      <c r="I908">
        <v>43.2</v>
      </c>
      <c r="J908">
        <v>0</v>
      </c>
      <c r="L908">
        <v>6</v>
      </c>
      <c r="M908">
        <v>4</v>
      </c>
      <c r="N908">
        <v>10</v>
      </c>
      <c r="O908">
        <v>4</v>
      </c>
      <c r="P908">
        <v>2</v>
      </c>
      <c r="Q908">
        <v>59.2</v>
      </c>
      <c r="R908">
        <v>27</v>
      </c>
      <c r="S908">
        <v>27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27</v>
      </c>
      <c r="AA908">
        <v>0</v>
      </c>
      <c r="AB908">
        <v>0</v>
      </c>
      <c r="AD908">
        <v>86.2</v>
      </c>
    </row>
    <row r="909" spans="1:30" x14ac:dyDescent="0.3">
      <c r="A909" s="4">
        <v>921</v>
      </c>
      <c r="B909" s="5">
        <v>902</v>
      </c>
      <c r="C909">
        <v>32</v>
      </c>
      <c r="D909" t="s">
        <v>2134</v>
      </c>
      <c r="E909" t="s">
        <v>1474</v>
      </c>
      <c r="F909" t="s">
        <v>343</v>
      </c>
      <c r="G909" t="s">
        <v>2135</v>
      </c>
      <c r="H909" t="str">
        <f>"00515470"</f>
        <v>00515470</v>
      </c>
      <c r="I909">
        <v>43.2</v>
      </c>
      <c r="J909">
        <v>10</v>
      </c>
      <c r="M909">
        <v>4</v>
      </c>
      <c r="N909">
        <v>4</v>
      </c>
      <c r="O909">
        <v>0</v>
      </c>
      <c r="P909">
        <v>0</v>
      </c>
      <c r="Q909">
        <v>57.2</v>
      </c>
      <c r="R909">
        <v>29</v>
      </c>
      <c r="S909">
        <v>29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29</v>
      </c>
      <c r="AA909">
        <v>0</v>
      </c>
      <c r="AB909">
        <v>0</v>
      </c>
      <c r="AD909">
        <v>86.2</v>
      </c>
    </row>
    <row r="910" spans="1:30" x14ac:dyDescent="0.3">
      <c r="A910" s="4">
        <v>922</v>
      </c>
      <c r="B910" s="5">
        <v>903</v>
      </c>
      <c r="C910">
        <v>4339</v>
      </c>
      <c r="D910" t="s">
        <v>2136</v>
      </c>
      <c r="E910" t="s">
        <v>208</v>
      </c>
      <c r="F910" t="s">
        <v>30</v>
      </c>
      <c r="G910" t="s">
        <v>2137</v>
      </c>
      <c r="H910" t="str">
        <f>"00515968"</f>
        <v>00515968</v>
      </c>
      <c r="I910">
        <v>7.2</v>
      </c>
      <c r="J910">
        <v>0</v>
      </c>
      <c r="K910">
        <v>8</v>
      </c>
      <c r="N910">
        <v>8</v>
      </c>
      <c r="O910">
        <v>4</v>
      </c>
      <c r="P910">
        <v>2</v>
      </c>
      <c r="Q910">
        <v>21.2</v>
      </c>
      <c r="R910">
        <v>65</v>
      </c>
      <c r="S910">
        <v>65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65</v>
      </c>
      <c r="AA910">
        <v>0</v>
      </c>
      <c r="AB910">
        <v>0</v>
      </c>
      <c r="AD910">
        <v>86.2</v>
      </c>
    </row>
    <row r="911" spans="1:30" x14ac:dyDescent="0.3">
      <c r="A911" s="4">
        <v>923</v>
      </c>
      <c r="B911" s="5">
        <v>904</v>
      </c>
      <c r="C911">
        <v>3270</v>
      </c>
      <c r="D911" t="s">
        <v>2138</v>
      </c>
      <c r="E911" t="s">
        <v>19</v>
      </c>
      <c r="F911" t="s">
        <v>91</v>
      </c>
      <c r="G911" t="s">
        <v>2139</v>
      </c>
      <c r="H911" t="str">
        <f>"201511019074"</f>
        <v>201511019074</v>
      </c>
      <c r="I911">
        <v>72</v>
      </c>
      <c r="J911">
        <v>0</v>
      </c>
      <c r="M911">
        <v>4</v>
      </c>
      <c r="N911">
        <v>4</v>
      </c>
      <c r="O911">
        <v>4</v>
      </c>
      <c r="P911">
        <v>0</v>
      </c>
      <c r="Q911">
        <v>80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6</v>
      </c>
      <c r="AB911">
        <v>0</v>
      </c>
      <c r="AD911">
        <v>86</v>
      </c>
    </row>
    <row r="912" spans="1:30" x14ac:dyDescent="0.3">
      <c r="A912" s="4">
        <v>924</v>
      </c>
      <c r="B912" s="5">
        <v>905</v>
      </c>
      <c r="C912">
        <v>2695</v>
      </c>
      <c r="D912" t="s">
        <v>2115</v>
      </c>
      <c r="E912" t="s">
        <v>22</v>
      </c>
      <c r="F912" t="s">
        <v>2140</v>
      </c>
      <c r="G912" t="s">
        <v>2141</v>
      </c>
      <c r="H912" t="str">
        <f>"00358349"</f>
        <v>00358349</v>
      </c>
      <c r="I912">
        <v>36</v>
      </c>
      <c r="J912">
        <v>0</v>
      </c>
      <c r="M912">
        <v>4</v>
      </c>
      <c r="N912">
        <v>4</v>
      </c>
      <c r="O912">
        <v>4</v>
      </c>
      <c r="P912">
        <v>2</v>
      </c>
      <c r="Q912">
        <v>46</v>
      </c>
      <c r="R912">
        <v>34</v>
      </c>
      <c r="S912">
        <v>34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34</v>
      </c>
      <c r="AA912">
        <v>6</v>
      </c>
      <c r="AB912">
        <v>0</v>
      </c>
      <c r="AD912">
        <v>86</v>
      </c>
    </row>
    <row r="913" spans="1:30" x14ac:dyDescent="0.3">
      <c r="A913" s="4">
        <v>925</v>
      </c>
      <c r="B913" s="5">
        <v>906</v>
      </c>
      <c r="C913">
        <v>1024</v>
      </c>
      <c r="D913" t="s">
        <v>294</v>
      </c>
      <c r="E913" t="s">
        <v>22</v>
      </c>
      <c r="F913" t="s">
        <v>190</v>
      </c>
      <c r="G913" t="s">
        <v>2142</v>
      </c>
      <c r="H913" t="str">
        <f>"00558502"</f>
        <v>00558502</v>
      </c>
      <c r="I913">
        <v>72</v>
      </c>
      <c r="J913">
        <v>10</v>
      </c>
      <c r="N913">
        <v>0</v>
      </c>
      <c r="O913">
        <v>4</v>
      </c>
      <c r="P913">
        <v>0</v>
      </c>
      <c r="Q913">
        <v>86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D913">
        <v>86</v>
      </c>
    </row>
    <row r="914" spans="1:30" x14ac:dyDescent="0.3">
      <c r="A914" s="4">
        <v>926</v>
      </c>
      <c r="B914" s="5">
        <v>907</v>
      </c>
      <c r="C914">
        <v>164</v>
      </c>
      <c r="D914" t="s">
        <v>2143</v>
      </c>
      <c r="E914" t="s">
        <v>166</v>
      </c>
      <c r="F914" t="s">
        <v>52</v>
      </c>
      <c r="G914" t="s">
        <v>2144</v>
      </c>
      <c r="H914" t="str">
        <f>"00855572"</f>
        <v>00855572</v>
      </c>
      <c r="I914">
        <v>72</v>
      </c>
      <c r="J914">
        <v>10</v>
      </c>
      <c r="N914">
        <v>0</v>
      </c>
      <c r="O914">
        <v>4</v>
      </c>
      <c r="P914">
        <v>0</v>
      </c>
      <c r="Q914">
        <v>86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D914">
        <v>86</v>
      </c>
    </row>
    <row r="915" spans="1:30" x14ac:dyDescent="0.3">
      <c r="A915" s="4">
        <v>927</v>
      </c>
      <c r="B915" s="5">
        <v>908</v>
      </c>
      <c r="C915">
        <v>702</v>
      </c>
      <c r="D915" t="s">
        <v>2145</v>
      </c>
      <c r="E915" t="s">
        <v>104</v>
      </c>
      <c r="F915" t="s">
        <v>79</v>
      </c>
      <c r="G915" t="s">
        <v>2146</v>
      </c>
      <c r="H915" t="str">
        <f>"00176138"</f>
        <v>00176138</v>
      </c>
      <c r="I915">
        <v>72</v>
      </c>
      <c r="J915">
        <v>0</v>
      </c>
      <c r="K915">
        <v>8</v>
      </c>
      <c r="N915">
        <v>8</v>
      </c>
      <c r="O915">
        <v>4</v>
      </c>
      <c r="P915">
        <v>2</v>
      </c>
      <c r="Q915">
        <v>86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D915">
        <v>86</v>
      </c>
    </row>
    <row r="916" spans="1:30" x14ac:dyDescent="0.3">
      <c r="A916" s="4">
        <v>928</v>
      </c>
      <c r="B916" s="5">
        <v>909</v>
      </c>
      <c r="C916">
        <v>1620</v>
      </c>
      <c r="D916" t="s">
        <v>2147</v>
      </c>
      <c r="E916" t="s">
        <v>406</v>
      </c>
      <c r="F916" t="s">
        <v>521</v>
      </c>
      <c r="G916" t="s">
        <v>2148</v>
      </c>
      <c r="H916" t="str">
        <f>"201604001811"</f>
        <v>201604001811</v>
      </c>
      <c r="I916">
        <v>36</v>
      </c>
      <c r="J916">
        <v>0</v>
      </c>
      <c r="K916">
        <v>8</v>
      </c>
      <c r="N916">
        <v>8</v>
      </c>
      <c r="O916">
        <v>4</v>
      </c>
      <c r="P916">
        <v>2</v>
      </c>
      <c r="Q916">
        <v>50</v>
      </c>
      <c r="R916">
        <v>36</v>
      </c>
      <c r="S916">
        <v>36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36</v>
      </c>
      <c r="AA916">
        <v>0</v>
      </c>
      <c r="AB916">
        <v>0</v>
      </c>
      <c r="AD916">
        <v>86</v>
      </c>
    </row>
    <row r="917" spans="1:30" x14ac:dyDescent="0.3">
      <c r="A917" s="4">
        <v>929</v>
      </c>
      <c r="B917" s="5">
        <v>910</v>
      </c>
      <c r="C917">
        <v>459</v>
      </c>
      <c r="D917" t="s">
        <v>2149</v>
      </c>
      <c r="E917" t="s">
        <v>2150</v>
      </c>
      <c r="F917" t="s">
        <v>17</v>
      </c>
      <c r="G917" t="s">
        <v>2151</v>
      </c>
      <c r="H917" t="str">
        <f>"00517704"</f>
        <v>00517704</v>
      </c>
      <c r="I917">
        <v>36</v>
      </c>
      <c r="J917">
        <v>0</v>
      </c>
      <c r="N917">
        <v>0</v>
      </c>
      <c r="O917">
        <v>0</v>
      </c>
      <c r="P917">
        <v>0</v>
      </c>
      <c r="Q917">
        <v>36</v>
      </c>
      <c r="R917">
        <v>50</v>
      </c>
      <c r="S917">
        <v>50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50</v>
      </c>
      <c r="AA917">
        <v>0</v>
      </c>
      <c r="AB917">
        <v>0</v>
      </c>
      <c r="AD917">
        <v>86</v>
      </c>
    </row>
    <row r="918" spans="1:30" x14ac:dyDescent="0.3">
      <c r="A918" s="4">
        <v>930</v>
      </c>
      <c r="B918" s="5">
        <v>911</v>
      </c>
      <c r="C918">
        <v>4327</v>
      </c>
      <c r="D918" t="s">
        <v>2152</v>
      </c>
      <c r="E918" t="s">
        <v>22</v>
      </c>
      <c r="F918" t="s">
        <v>38</v>
      </c>
      <c r="G918" t="s">
        <v>2153</v>
      </c>
      <c r="H918" t="str">
        <f>"00488553"</f>
        <v>00488553</v>
      </c>
      <c r="I918">
        <v>28.8</v>
      </c>
      <c r="J918">
        <v>10</v>
      </c>
      <c r="N918">
        <v>0</v>
      </c>
      <c r="O918">
        <v>0</v>
      </c>
      <c r="P918">
        <v>2</v>
      </c>
      <c r="Q918">
        <v>40.799999999999997</v>
      </c>
      <c r="R918">
        <v>45</v>
      </c>
      <c r="S918">
        <v>45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45</v>
      </c>
      <c r="AA918">
        <v>0</v>
      </c>
      <c r="AB918">
        <v>0</v>
      </c>
      <c r="AD918">
        <v>85.8</v>
      </c>
    </row>
    <row r="919" spans="1:30" x14ac:dyDescent="0.3">
      <c r="A919" s="4">
        <v>931</v>
      </c>
      <c r="B919" s="5">
        <v>912</v>
      </c>
      <c r="C919">
        <v>152</v>
      </c>
      <c r="D919" t="s">
        <v>2154</v>
      </c>
      <c r="E919" t="s">
        <v>110</v>
      </c>
      <c r="F919" t="s">
        <v>1265</v>
      </c>
      <c r="G919" t="s">
        <v>2155</v>
      </c>
      <c r="H919" t="str">
        <f>"00857569"</f>
        <v>00857569</v>
      </c>
      <c r="I919">
        <v>27.6</v>
      </c>
      <c r="J919">
        <v>0</v>
      </c>
      <c r="K919">
        <v>8</v>
      </c>
      <c r="N919">
        <v>8</v>
      </c>
      <c r="O919">
        <v>4</v>
      </c>
      <c r="P919">
        <v>0</v>
      </c>
      <c r="Q919">
        <v>39.6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6</v>
      </c>
      <c r="AB919">
        <v>40</v>
      </c>
      <c r="AD919">
        <v>85.6</v>
      </c>
    </row>
    <row r="920" spans="1:30" x14ac:dyDescent="0.3">
      <c r="A920" s="4">
        <v>932</v>
      </c>
      <c r="B920" s="5">
        <v>913</v>
      </c>
      <c r="C920">
        <v>1269</v>
      </c>
      <c r="D920" t="s">
        <v>2156</v>
      </c>
      <c r="E920" t="s">
        <v>2157</v>
      </c>
      <c r="F920" t="s">
        <v>2158</v>
      </c>
      <c r="G920" t="s">
        <v>2159</v>
      </c>
      <c r="H920" t="str">
        <f>"00200020"</f>
        <v>00200020</v>
      </c>
      <c r="I920">
        <v>37.6</v>
      </c>
      <c r="J920">
        <v>0</v>
      </c>
      <c r="M920">
        <v>4</v>
      </c>
      <c r="N920">
        <v>4</v>
      </c>
      <c r="O920">
        <v>4</v>
      </c>
      <c r="P920">
        <v>2</v>
      </c>
      <c r="Q920">
        <v>47.6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</v>
      </c>
      <c r="AB920">
        <v>32</v>
      </c>
      <c r="AD920">
        <v>85.6</v>
      </c>
    </row>
    <row r="921" spans="1:30" x14ac:dyDescent="0.3">
      <c r="A921" s="4">
        <v>933</v>
      </c>
      <c r="B921" s="5">
        <v>914</v>
      </c>
      <c r="C921">
        <v>1669</v>
      </c>
      <c r="D921" t="s">
        <v>2160</v>
      </c>
      <c r="E921" t="s">
        <v>173</v>
      </c>
      <c r="F921" t="s">
        <v>1450</v>
      </c>
      <c r="G921" t="s">
        <v>2161</v>
      </c>
      <c r="H921" t="str">
        <f>"00511930"</f>
        <v>00511930</v>
      </c>
      <c r="I921">
        <v>39.6</v>
      </c>
      <c r="J921">
        <v>0</v>
      </c>
      <c r="K921">
        <v>16</v>
      </c>
      <c r="N921">
        <v>16</v>
      </c>
      <c r="O921">
        <v>4</v>
      </c>
      <c r="P921">
        <v>2</v>
      </c>
      <c r="Q921">
        <v>61.6</v>
      </c>
      <c r="R921">
        <v>24</v>
      </c>
      <c r="S921">
        <v>24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24</v>
      </c>
      <c r="AA921">
        <v>0</v>
      </c>
      <c r="AB921">
        <v>0</v>
      </c>
      <c r="AD921">
        <v>85.6</v>
      </c>
    </row>
    <row r="922" spans="1:30" x14ac:dyDescent="0.3">
      <c r="A922" s="4">
        <v>934</v>
      </c>
      <c r="B922" s="5">
        <v>915</v>
      </c>
      <c r="C922">
        <v>2713</v>
      </c>
      <c r="D922" t="s">
        <v>2162</v>
      </c>
      <c r="E922" t="s">
        <v>208</v>
      </c>
      <c r="F922" t="s">
        <v>570</v>
      </c>
      <c r="G922" t="s">
        <v>2163</v>
      </c>
      <c r="H922" t="str">
        <f>"00533505"</f>
        <v>00533505</v>
      </c>
      <c r="I922">
        <v>14.56</v>
      </c>
      <c r="J922">
        <v>0</v>
      </c>
      <c r="M922">
        <v>4</v>
      </c>
      <c r="N922">
        <v>4</v>
      </c>
      <c r="O922">
        <v>4</v>
      </c>
      <c r="P922">
        <v>0</v>
      </c>
      <c r="Q922">
        <v>22.56</v>
      </c>
      <c r="R922">
        <v>63</v>
      </c>
      <c r="S922">
        <v>63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63</v>
      </c>
      <c r="AA922">
        <v>0</v>
      </c>
      <c r="AB922">
        <v>0</v>
      </c>
      <c r="AD922">
        <v>85.56</v>
      </c>
    </row>
    <row r="923" spans="1:30" x14ac:dyDescent="0.3">
      <c r="A923" s="4">
        <v>935</v>
      </c>
      <c r="B923" s="5">
        <v>916</v>
      </c>
      <c r="C923">
        <v>1844</v>
      </c>
      <c r="D923" t="s">
        <v>2164</v>
      </c>
      <c r="E923" t="s">
        <v>29</v>
      </c>
      <c r="F923" t="s">
        <v>79</v>
      </c>
      <c r="G923" t="s">
        <v>2165</v>
      </c>
      <c r="H923" t="str">
        <f>"00442204"</f>
        <v>00442204</v>
      </c>
      <c r="I923">
        <v>38.520000000000003</v>
      </c>
      <c r="J923">
        <v>0</v>
      </c>
      <c r="N923">
        <v>0</v>
      </c>
      <c r="O923">
        <v>4</v>
      </c>
      <c r="P923">
        <v>2</v>
      </c>
      <c r="Q923">
        <v>44.52</v>
      </c>
      <c r="R923">
        <v>38</v>
      </c>
      <c r="S923">
        <v>38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38</v>
      </c>
      <c r="AA923">
        <v>3</v>
      </c>
      <c r="AB923">
        <v>0</v>
      </c>
      <c r="AD923">
        <v>85.52</v>
      </c>
    </row>
    <row r="924" spans="1:30" x14ac:dyDescent="0.3">
      <c r="A924" s="4">
        <v>936</v>
      </c>
      <c r="B924" s="5">
        <v>917</v>
      </c>
      <c r="C924">
        <v>1287</v>
      </c>
      <c r="D924" t="s">
        <v>2166</v>
      </c>
      <c r="E924" t="s">
        <v>178</v>
      </c>
      <c r="F924" t="s">
        <v>62</v>
      </c>
      <c r="G924" t="s">
        <v>2167</v>
      </c>
      <c r="H924" t="str">
        <f>"00442528"</f>
        <v>00442528</v>
      </c>
      <c r="I924">
        <v>21.52</v>
      </c>
      <c r="J924">
        <v>10</v>
      </c>
      <c r="N924">
        <v>0</v>
      </c>
      <c r="O924">
        <v>0</v>
      </c>
      <c r="P924">
        <v>0</v>
      </c>
      <c r="Q924">
        <v>31.52</v>
      </c>
      <c r="R924">
        <v>54</v>
      </c>
      <c r="S924">
        <v>54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54</v>
      </c>
      <c r="AA924">
        <v>0</v>
      </c>
      <c r="AB924">
        <v>0</v>
      </c>
      <c r="AD924">
        <v>85.52</v>
      </c>
    </row>
    <row r="925" spans="1:30" x14ac:dyDescent="0.3">
      <c r="A925" s="4">
        <v>937</v>
      </c>
      <c r="B925" s="5">
        <v>918</v>
      </c>
      <c r="C925">
        <v>3425</v>
      </c>
      <c r="D925" t="s">
        <v>2168</v>
      </c>
      <c r="E925" t="s">
        <v>41</v>
      </c>
      <c r="F925" t="s">
        <v>20</v>
      </c>
      <c r="G925" t="s">
        <v>2169</v>
      </c>
      <c r="H925" t="str">
        <f>"00530384"</f>
        <v>00530384</v>
      </c>
      <c r="I925">
        <v>36.44</v>
      </c>
      <c r="J925">
        <v>0</v>
      </c>
      <c r="L925">
        <v>6</v>
      </c>
      <c r="N925">
        <v>6</v>
      </c>
      <c r="O925">
        <v>0</v>
      </c>
      <c r="P925">
        <v>2</v>
      </c>
      <c r="Q925">
        <v>44.44</v>
      </c>
      <c r="R925">
        <v>32</v>
      </c>
      <c r="S925">
        <v>32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32</v>
      </c>
      <c r="AA925">
        <v>9</v>
      </c>
      <c r="AB925">
        <v>0</v>
      </c>
      <c r="AD925">
        <v>85.44</v>
      </c>
    </row>
    <row r="926" spans="1:30" x14ac:dyDescent="0.3">
      <c r="A926" s="4">
        <v>938</v>
      </c>
      <c r="B926" s="5">
        <v>919</v>
      </c>
      <c r="C926">
        <v>2411</v>
      </c>
      <c r="D926" t="s">
        <v>2170</v>
      </c>
      <c r="E926" t="s">
        <v>132</v>
      </c>
      <c r="F926" t="s">
        <v>17</v>
      </c>
      <c r="G926" t="s">
        <v>2171</v>
      </c>
      <c r="H926" t="str">
        <f>"00531818"</f>
        <v>00531818</v>
      </c>
      <c r="I926">
        <v>14.4</v>
      </c>
      <c r="J926">
        <v>0</v>
      </c>
      <c r="N926">
        <v>0</v>
      </c>
      <c r="O926">
        <v>4</v>
      </c>
      <c r="P926">
        <v>0</v>
      </c>
      <c r="Q926">
        <v>18.399999999999999</v>
      </c>
      <c r="R926">
        <v>67</v>
      </c>
      <c r="S926">
        <v>67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67</v>
      </c>
      <c r="AA926">
        <v>0</v>
      </c>
      <c r="AB926">
        <v>0</v>
      </c>
      <c r="AD926">
        <v>85.4</v>
      </c>
    </row>
    <row r="927" spans="1:30" x14ac:dyDescent="0.3">
      <c r="A927" s="4">
        <v>939</v>
      </c>
      <c r="B927" s="5">
        <v>920</v>
      </c>
      <c r="C927">
        <v>4028</v>
      </c>
      <c r="D927" t="s">
        <v>2172</v>
      </c>
      <c r="E927" t="s">
        <v>54</v>
      </c>
      <c r="F927" t="s">
        <v>652</v>
      </c>
      <c r="G927" t="s">
        <v>2173</v>
      </c>
      <c r="H927" t="str">
        <f>"00090372"</f>
        <v>00090372</v>
      </c>
      <c r="I927">
        <v>36.36</v>
      </c>
      <c r="J927">
        <v>0</v>
      </c>
      <c r="K927">
        <v>8</v>
      </c>
      <c r="N927">
        <v>8</v>
      </c>
      <c r="O927">
        <v>4</v>
      </c>
      <c r="P927">
        <v>2</v>
      </c>
      <c r="Q927">
        <v>50.36</v>
      </c>
      <c r="R927">
        <v>26</v>
      </c>
      <c r="S927">
        <v>26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26</v>
      </c>
      <c r="AA927">
        <v>9</v>
      </c>
      <c r="AB927">
        <v>0</v>
      </c>
      <c r="AD927">
        <v>85.36</v>
      </c>
    </row>
    <row r="928" spans="1:30" x14ac:dyDescent="0.3">
      <c r="A928" s="4">
        <v>940</v>
      </c>
      <c r="B928" s="5">
        <v>921</v>
      </c>
      <c r="C928">
        <v>3811</v>
      </c>
      <c r="D928" t="s">
        <v>2174</v>
      </c>
      <c r="E928" t="s">
        <v>29</v>
      </c>
      <c r="F928" t="s">
        <v>55</v>
      </c>
      <c r="G928" t="s">
        <v>2175</v>
      </c>
      <c r="H928" t="str">
        <f>"00117019"</f>
        <v>00117019</v>
      </c>
      <c r="I928">
        <v>43.2</v>
      </c>
      <c r="J928">
        <v>10</v>
      </c>
      <c r="K928">
        <v>8</v>
      </c>
      <c r="N928">
        <v>8</v>
      </c>
      <c r="O928">
        <v>4</v>
      </c>
      <c r="P928">
        <v>2</v>
      </c>
      <c r="Q928">
        <v>67.2</v>
      </c>
      <c r="R928">
        <v>18</v>
      </c>
      <c r="S928">
        <v>18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18</v>
      </c>
      <c r="AA928">
        <v>0</v>
      </c>
      <c r="AB928">
        <v>0</v>
      </c>
      <c r="AD928">
        <v>85.2</v>
      </c>
    </row>
    <row r="929" spans="1:30" x14ac:dyDescent="0.3">
      <c r="A929" s="4">
        <v>941</v>
      </c>
      <c r="B929" s="5">
        <v>922</v>
      </c>
      <c r="C929">
        <v>1827</v>
      </c>
      <c r="D929" t="s">
        <v>2176</v>
      </c>
      <c r="E929" t="s">
        <v>100</v>
      </c>
      <c r="F929" t="s">
        <v>17</v>
      </c>
      <c r="G929" t="s">
        <v>2177</v>
      </c>
      <c r="H929" t="str">
        <f>"00519948"</f>
        <v>00519948</v>
      </c>
      <c r="I929">
        <v>43.2</v>
      </c>
      <c r="J929">
        <v>0</v>
      </c>
      <c r="M929">
        <v>4</v>
      </c>
      <c r="N929">
        <v>4</v>
      </c>
      <c r="O929">
        <v>4</v>
      </c>
      <c r="P929">
        <v>0</v>
      </c>
      <c r="Q929">
        <v>51.2</v>
      </c>
      <c r="R929">
        <v>34</v>
      </c>
      <c r="S929">
        <v>34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34</v>
      </c>
      <c r="AA929">
        <v>0</v>
      </c>
      <c r="AB929">
        <v>0</v>
      </c>
      <c r="AD929">
        <v>85.2</v>
      </c>
    </row>
    <row r="930" spans="1:30" x14ac:dyDescent="0.3">
      <c r="A930" s="4">
        <v>942</v>
      </c>
      <c r="B930" s="5">
        <v>923</v>
      </c>
      <c r="C930">
        <v>3308</v>
      </c>
      <c r="D930" t="s">
        <v>2178</v>
      </c>
      <c r="E930" t="s">
        <v>2179</v>
      </c>
      <c r="F930" t="s">
        <v>2180</v>
      </c>
      <c r="G930" t="s">
        <v>2181</v>
      </c>
      <c r="H930" t="str">
        <f>"00450919"</f>
        <v>00450919</v>
      </c>
      <c r="I930">
        <v>34</v>
      </c>
      <c r="J930">
        <v>0</v>
      </c>
      <c r="N930">
        <v>0</v>
      </c>
      <c r="O930">
        <v>0</v>
      </c>
      <c r="P930">
        <v>0</v>
      </c>
      <c r="Q930">
        <v>34</v>
      </c>
      <c r="R930">
        <v>19</v>
      </c>
      <c r="S930">
        <v>19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19</v>
      </c>
      <c r="AA930">
        <v>0</v>
      </c>
      <c r="AB930">
        <v>32</v>
      </c>
      <c r="AD930">
        <v>85</v>
      </c>
    </row>
    <row r="931" spans="1:30" x14ac:dyDescent="0.3">
      <c r="A931" s="4">
        <v>943</v>
      </c>
      <c r="B931" s="5">
        <v>924</v>
      </c>
      <c r="C931">
        <v>438</v>
      </c>
      <c r="D931" t="s">
        <v>2182</v>
      </c>
      <c r="E931" t="s">
        <v>143</v>
      </c>
      <c r="F931" t="s">
        <v>117</v>
      </c>
      <c r="G931" t="s">
        <v>2183</v>
      </c>
      <c r="H931" t="str">
        <f>"00483574"</f>
        <v>00483574</v>
      </c>
      <c r="I931">
        <v>24</v>
      </c>
      <c r="J931">
        <v>10</v>
      </c>
      <c r="K931">
        <v>8</v>
      </c>
      <c r="N931">
        <v>8</v>
      </c>
      <c r="O931">
        <v>4</v>
      </c>
      <c r="P931">
        <v>2</v>
      </c>
      <c r="Q931">
        <v>48</v>
      </c>
      <c r="R931">
        <v>28</v>
      </c>
      <c r="S931">
        <v>28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28</v>
      </c>
      <c r="AA931">
        <v>9</v>
      </c>
      <c r="AB931">
        <v>0</v>
      </c>
      <c r="AD931">
        <v>85</v>
      </c>
    </row>
    <row r="932" spans="1:30" x14ac:dyDescent="0.3">
      <c r="A932" s="4">
        <v>944</v>
      </c>
      <c r="B932" s="5">
        <v>925</v>
      </c>
      <c r="C932">
        <v>1886</v>
      </c>
      <c r="D932" t="s">
        <v>2184</v>
      </c>
      <c r="E932" t="s">
        <v>2157</v>
      </c>
      <c r="F932" t="s">
        <v>214</v>
      </c>
      <c r="G932" t="s">
        <v>2185</v>
      </c>
      <c r="H932" t="str">
        <f>"00577106"</f>
        <v>00577106</v>
      </c>
      <c r="I932">
        <v>72</v>
      </c>
      <c r="J932">
        <v>0</v>
      </c>
      <c r="M932">
        <v>4</v>
      </c>
      <c r="N932">
        <v>4</v>
      </c>
      <c r="O932">
        <v>4</v>
      </c>
      <c r="P932">
        <v>2</v>
      </c>
      <c r="Q932">
        <v>82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3</v>
      </c>
      <c r="AB932">
        <v>0</v>
      </c>
      <c r="AD932">
        <v>85</v>
      </c>
    </row>
    <row r="933" spans="1:30" x14ac:dyDescent="0.3">
      <c r="A933" s="4">
        <v>945</v>
      </c>
      <c r="B933" s="5">
        <v>926</v>
      </c>
      <c r="C933">
        <v>3834</v>
      </c>
      <c r="D933" t="s">
        <v>2186</v>
      </c>
      <c r="E933" t="s">
        <v>147</v>
      </c>
      <c r="F933" t="s">
        <v>238</v>
      </c>
      <c r="G933" t="s">
        <v>2187</v>
      </c>
      <c r="H933" t="str">
        <f>"00863710"</f>
        <v>00863710</v>
      </c>
      <c r="I933">
        <v>72</v>
      </c>
      <c r="J933">
        <v>10</v>
      </c>
      <c r="N933">
        <v>0</v>
      </c>
      <c r="O933">
        <v>0</v>
      </c>
      <c r="P933">
        <v>0</v>
      </c>
      <c r="Q933">
        <v>82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3</v>
      </c>
      <c r="AB933">
        <v>0</v>
      </c>
      <c r="AD933">
        <v>85</v>
      </c>
    </row>
    <row r="934" spans="1:30" x14ac:dyDescent="0.3">
      <c r="A934" s="4">
        <v>946</v>
      </c>
      <c r="B934" s="5">
        <v>927</v>
      </c>
      <c r="C934">
        <v>4073</v>
      </c>
      <c r="D934" t="s">
        <v>2188</v>
      </c>
      <c r="E934" t="s">
        <v>816</v>
      </c>
      <c r="F934" t="s">
        <v>17</v>
      </c>
      <c r="G934" t="s">
        <v>2189</v>
      </c>
      <c r="H934" t="str">
        <f>"00709810"</f>
        <v>00709810</v>
      </c>
      <c r="I934">
        <v>72</v>
      </c>
      <c r="J934">
        <v>10</v>
      </c>
      <c r="N934">
        <v>0</v>
      </c>
      <c r="O934">
        <v>0</v>
      </c>
      <c r="P934">
        <v>0</v>
      </c>
      <c r="Q934">
        <v>82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3</v>
      </c>
      <c r="AB934">
        <v>0</v>
      </c>
      <c r="AD934">
        <v>85</v>
      </c>
    </row>
    <row r="935" spans="1:30" x14ac:dyDescent="0.3">
      <c r="A935" s="4">
        <v>947</v>
      </c>
      <c r="B935" s="5">
        <v>928</v>
      </c>
      <c r="C935">
        <v>163</v>
      </c>
      <c r="D935" t="s">
        <v>2190</v>
      </c>
      <c r="E935" t="s">
        <v>29</v>
      </c>
      <c r="F935" t="s">
        <v>442</v>
      </c>
      <c r="G935" t="s">
        <v>2191</v>
      </c>
      <c r="H935" t="str">
        <f>"00479950"</f>
        <v>00479950</v>
      </c>
      <c r="I935">
        <v>36</v>
      </c>
      <c r="J935">
        <v>0</v>
      </c>
      <c r="M935">
        <v>4</v>
      </c>
      <c r="N935">
        <v>4</v>
      </c>
      <c r="O935">
        <v>4</v>
      </c>
      <c r="P935">
        <v>0</v>
      </c>
      <c r="Q935">
        <v>44</v>
      </c>
      <c r="R935">
        <v>41</v>
      </c>
      <c r="S935">
        <v>41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41</v>
      </c>
      <c r="AA935">
        <v>0</v>
      </c>
      <c r="AB935">
        <v>0</v>
      </c>
      <c r="AD935">
        <v>85</v>
      </c>
    </row>
    <row r="936" spans="1:30" x14ac:dyDescent="0.3">
      <c r="A936" s="4">
        <v>948</v>
      </c>
      <c r="B936" s="5">
        <v>929</v>
      </c>
      <c r="C936">
        <v>949</v>
      </c>
      <c r="D936" t="s">
        <v>2192</v>
      </c>
      <c r="E936" t="s">
        <v>2193</v>
      </c>
      <c r="F936" t="s">
        <v>539</v>
      </c>
      <c r="G936" t="s">
        <v>2194</v>
      </c>
      <c r="H936" t="str">
        <f>"00510062"</f>
        <v>00510062</v>
      </c>
      <c r="I936">
        <v>36</v>
      </c>
      <c r="J936">
        <v>0</v>
      </c>
      <c r="N936">
        <v>0</v>
      </c>
      <c r="O936">
        <v>4</v>
      </c>
      <c r="P936">
        <v>0</v>
      </c>
      <c r="Q936">
        <v>40</v>
      </c>
      <c r="R936">
        <v>45</v>
      </c>
      <c r="S936">
        <v>45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45</v>
      </c>
      <c r="AA936">
        <v>0</v>
      </c>
      <c r="AB936">
        <v>0</v>
      </c>
      <c r="AD936">
        <v>85</v>
      </c>
    </row>
    <row r="937" spans="1:30" x14ac:dyDescent="0.3">
      <c r="A937" s="4">
        <v>949</v>
      </c>
      <c r="B937" s="5">
        <v>930</v>
      </c>
      <c r="C937">
        <v>315</v>
      </c>
      <c r="D937" t="s">
        <v>2195</v>
      </c>
      <c r="E937" t="s">
        <v>100</v>
      </c>
      <c r="F937" t="s">
        <v>20</v>
      </c>
      <c r="G937" t="s">
        <v>2196</v>
      </c>
      <c r="H937" t="str">
        <f>"00530222"</f>
        <v>00530222</v>
      </c>
      <c r="I937">
        <v>24</v>
      </c>
      <c r="J937">
        <v>0</v>
      </c>
      <c r="N937">
        <v>0</v>
      </c>
      <c r="O937">
        <v>4</v>
      </c>
      <c r="P937">
        <v>2</v>
      </c>
      <c r="Q937">
        <v>30</v>
      </c>
      <c r="R937">
        <v>55</v>
      </c>
      <c r="S937">
        <v>55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55</v>
      </c>
      <c r="AA937">
        <v>0</v>
      </c>
      <c r="AB937">
        <v>0</v>
      </c>
      <c r="AD937">
        <v>85</v>
      </c>
    </row>
    <row r="938" spans="1:30" x14ac:dyDescent="0.3">
      <c r="A938" s="4">
        <v>950</v>
      </c>
      <c r="B938" s="5">
        <v>931</v>
      </c>
      <c r="C938">
        <v>3821</v>
      </c>
      <c r="D938" t="s">
        <v>2197</v>
      </c>
      <c r="E938" t="s">
        <v>471</v>
      </c>
      <c r="F938" t="s">
        <v>442</v>
      </c>
      <c r="G938" t="s">
        <v>2198</v>
      </c>
      <c r="H938" t="str">
        <f>"200712002985"</f>
        <v>200712002985</v>
      </c>
      <c r="I938">
        <v>28.8</v>
      </c>
      <c r="J938">
        <v>10</v>
      </c>
      <c r="M938">
        <v>4</v>
      </c>
      <c r="N938">
        <v>4</v>
      </c>
      <c r="O938">
        <v>4</v>
      </c>
      <c r="P938">
        <v>2</v>
      </c>
      <c r="Q938">
        <v>48.8</v>
      </c>
      <c r="R938">
        <v>33</v>
      </c>
      <c r="S938">
        <v>33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33</v>
      </c>
      <c r="AA938">
        <v>3</v>
      </c>
      <c r="AB938">
        <v>0</v>
      </c>
      <c r="AD938">
        <v>84.8</v>
      </c>
    </row>
    <row r="939" spans="1:30" x14ac:dyDescent="0.3">
      <c r="A939" s="4">
        <v>951</v>
      </c>
      <c r="B939" s="5">
        <v>932</v>
      </c>
      <c r="C939">
        <v>1327</v>
      </c>
      <c r="D939" t="s">
        <v>2199</v>
      </c>
      <c r="E939" t="s">
        <v>2200</v>
      </c>
      <c r="F939" t="s">
        <v>972</v>
      </c>
      <c r="G939" t="s">
        <v>2201</v>
      </c>
      <c r="H939" t="str">
        <f>"00853167"</f>
        <v>00853167</v>
      </c>
      <c r="I939">
        <v>64.8</v>
      </c>
      <c r="J939">
        <v>10</v>
      </c>
      <c r="M939">
        <v>4</v>
      </c>
      <c r="N939">
        <v>4</v>
      </c>
      <c r="O939">
        <v>4</v>
      </c>
      <c r="P939">
        <v>2</v>
      </c>
      <c r="Q939">
        <v>84.8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D939">
        <v>84.8</v>
      </c>
    </row>
    <row r="940" spans="1:30" x14ac:dyDescent="0.3">
      <c r="A940" s="4">
        <v>952</v>
      </c>
      <c r="B940" s="5">
        <v>933</v>
      </c>
      <c r="C940">
        <v>1022</v>
      </c>
      <c r="D940" t="s">
        <v>831</v>
      </c>
      <c r="E940" t="s">
        <v>2202</v>
      </c>
      <c r="F940" t="s">
        <v>81</v>
      </c>
      <c r="G940" t="s">
        <v>2203</v>
      </c>
      <c r="H940" t="str">
        <f>"00506124"</f>
        <v>00506124</v>
      </c>
      <c r="I940">
        <v>64.8</v>
      </c>
      <c r="J940">
        <v>0</v>
      </c>
      <c r="K940">
        <v>8</v>
      </c>
      <c r="N940">
        <v>8</v>
      </c>
      <c r="O940">
        <v>4</v>
      </c>
      <c r="P940">
        <v>2</v>
      </c>
      <c r="Q940">
        <v>78.8</v>
      </c>
      <c r="R940">
        <v>6</v>
      </c>
      <c r="S940">
        <v>6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6</v>
      </c>
      <c r="AA940">
        <v>0</v>
      </c>
      <c r="AB940">
        <v>0</v>
      </c>
      <c r="AD940">
        <v>84.8</v>
      </c>
    </row>
    <row r="941" spans="1:30" x14ac:dyDescent="0.3">
      <c r="A941" s="4">
        <v>953</v>
      </c>
      <c r="B941" s="5">
        <v>934</v>
      </c>
      <c r="C941">
        <v>3</v>
      </c>
      <c r="D941" t="s">
        <v>2204</v>
      </c>
      <c r="E941" t="s">
        <v>166</v>
      </c>
      <c r="F941" t="s">
        <v>158</v>
      </c>
      <c r="G941" t="s">
        <v>2205</v>
      </c>
      <c r="H941" t="str">
        <f>"00267117"</f>
        <v>00267117</v>
      </c>
      <c r="I941">
        <v>36.72</v>
      </c>
      <c r="J941">
        <v>10</v>
      </c>
      <c r="M941">
        <v>4</v>
      </c>
      <c r="N941">
        <v>4</v>
      </c>
      <c r="O941">
        <v>4</v>
      </c>
      <c r="P941">
        <v>2</v>
      </c>
      <c r="Q941">
        <v>56.72</v>
      </c>
      <c r="R941">
        <v>28</v>
      </c>
      <c r="S941">
        <v>28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28</v>
      </c>
      <c r="AA941">
        <v>0</v>
      </c>
      <c r="AB941">
        <v>0</v>
      </c>
      <c r="AC941" t="s">
        <v>130</v>
      </c>
      <c r="AD941">
        <v>84.72</v>
      </c>
    </row>
    <row r="942" spans="1:30" x14ac:dyDescent="0.3">
      <c r="A942" s="4">
        <v>954</v>
      </c>
      <c r="B942" s="5">
        <v>935</v>
      </c>
      <c r="C942">
        <v>897</v>
      </c>
      <c r="D942" t="s">
        <v>2206</v>
      </c>
      <c r="E942" t="s">
        <v>22</v>
      </c>
      <c r="F942" t="s">
        <v>38</v>
      </c>
      <c r="G942" t="s">
        <v>2207</v>
      </c>
      <c r="H942" t="str">
        <f>"00504097"</f>
        <v>00504097</v>
      </c>
      <c r="I942">
        <v>21.6</v>
      </c>
      <c r="J942">
        <v>10</v>
      </c>
      <c r="K942">
        <v>8</v>
      </c>
      <c r="N942">
        <v>8</v>
      </c>
      <c r="O942">
        <v>4</v>
      </c>
      <c r="P942">
        <v>2</v>
      </c>
      <c r="Q942">
        <v>45.6</v>
      </c>
      <c r="R942">
        <v>39</v>
      </c>
      <c r="S942">
        <v>39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39</v>
      </c>
      <c r="AA942">
        <v>0</v>
      </c>
      <c r="AB942">
        <v>0</v>
      </c>
      <c r="AD942">
        <v>84.6</v>
      </c>
    </row>
    <row r="943" spans="1:30" x14ac:dyDescent="0.3">
      <c r="A943" s="4">
        <v>955</v>
      </c>
      <c r="B943" s="5">
        <v>936</v>
      </c>
      <c r="C943">
        <v>4361</v>
      </c>
      <c r="D943" t="s">
        <v>2208</v>
      </c>
      <c r="E943" t="s">
        <v>273</v>
      </c>
      <c r="F943" t="s">
        <v>38</v>
      </c>
      <c r="G943" t="s">
        <v>2209</v>
      </c>
      <c r="H943" t="str">
        <f>"00512068"</f>
        <v>00512068</v>
      </c>
      <c r="I943">
        <v>50.4</v>
      </c>
      <c r="J943">
        <v>10</v>
      </c>
      <c r="K943">
        <v>8</v>
      </c>
      <c r="L943">
        <v>6</v>
      </c>
      <c r="N943">
        <v>14</v>
      </c>
      <c r="O943">
        <v>4</v>
      </c>
      <c r="P943">
        <v>0</v>
      </c>
      <c r="Q943">
        <v>78.400000000000006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6</v>
      </c>
      <c r="AB943">
        <v>0</v>
      </c>
      <c r="AD943">
        <v>84.4</v>
      </c>
    </row>
    <row r="944" spans="1:30" x14ac:dyDescent="0.3">
      <c r="A944" s="4">
        <v>956</v>
      </c>
      <c r="B944" s="5">
        <v>937</v>
      </c>
      <c r="C944">
        <v>2791</v>
      </c>
      <c r="D944" t="s">
        <v>2210</v>
      </c>
      <c r="E944" t="s">
        <v>54</v>
      </c>
      <c r="F944" t="s">
        <v>171</v>
      </c>
      <c r="G944" t="s">
        <v>2211</v>
      </c>
      <c r="H944" t="str">
        <f>"00533878"</f>
        <v>00533878</v>
      </c>
      <c r="I944">
        <v>34.4</v>
      </c>
      <c r="J944">
        <v>10</v>
      </c>
      <c r="K944">
        <v>8</v>
      </c>
      <c r="N944">
        <v>8</v>
      </c>
      <c r="O944">
        <v>4</v>
      </c>
      <c r="P944">
        <v>2</v>
      </c>
      <c r="Q944">
        <v>58.4</v>
      </c>
      <c r="R944">
        <v>20</v>
      </c>
      <c r="S944">
        <v>20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20</v>
      </c>
      <c r="AA944">
        <v>6</v>
      </c>
      <c r="AB944">
        <v>0</v>
      </c>
      <c r="AD944">
        <v>84.4</v>
      </c>
    </row>
    <row r="945" spans="1:30" x14ac:dyDescent="0.3">
      <c r="A945" s="4">
        <v>957</v>
      </c>
      <c r="B945" s="5">
        <v>938</v>
      </c>
      <c r="C945">
        <v>1170</v>
      </c>
      <c r="D945" t="s">
        <v>1784</v>
      </c>
      <c r="E945" t="s">
        <v>29</v>
      </c>
      <c r="F945" t="s">
        <v>626</v>
      </c>
      <c r="G945" t="s">
        <v>2212</v>
      </c>
      <c r="H945" t="str">
        <f>"00527260"</f>
        <v>00527260</v>
      </c>
      <c r="I945">
        <v>50.4</v>
      </c>
      <c r="J945">
        <v>0</v>
      </c>
      <c r="N945">
        <v>0</v>
      </c>
      <c r="O945">
        <v>4</v>
      </c>
      <c r="P945">
        <v>0</v>
      </c>
      <c r="Q945">
        <v>54.4</v>
      </c>
      <c r="R945">
        <v>30</v>
      </c>
      <c r="S945">
        <v>30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30</v>
      </c>
      <c r="AA945">
        <v>0</v>
      </c>
      <c r="AB945">
        <v>0</v>
      </c>
      <c r="AD945">
        <v>84.4</v>
      </c>
    </row>
    <row r="946" spans="1:30" x14ac:dyDescent="0.3">
      <c r="A946" s="4">
        <v>958</v>
      </c>
      <c r="B946" s="5">
        <v>939</v>
      </c>
      <c r="C946">
        <v>2423</v>
      </c>
      <c r="D946" t="s">
        <v>2213</v>
      </c>
      <c r="E946" t="s">
        <v>1315</v>
      </c>
      <c r="F946" t="s">
        <v>2214</v>
      </c>
      <c r="G946" t="s">
        <v>2215</v>
      </c>
      <c r="H946" t="str">
        <f>"00533030"</f>
        <v>00533030</v>
      </c>
      <c r="I946">
        <v>38.4</v>
      </c>
      <c r="J946">
        <v>0</v>
      </c>
      <c r="K946">
        <v>8</v>
      </c>
      <c r="N946">
        <v>8</v>
      </c>
      <c r="O946">
        <v>4</v>
      </c>
      <c r="P946">
        <v>2</v>
      </c>
      <c r="Q946">
        <v>52.4</v>
      </c>
      <c r="R946">
        <v>32</v>
      </c>
      <c r="S946">
        <v>32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32</v>
      </c>
      <c r="AA946">
        <v>0</v>
      </c>
      <c r="AB946">
        <v>0</v>
      </c>
      <c r="AD946">
        <v>84.4</v>
      </c>
    </row>
    <row r="947" spans="1:30" x14ac:dyDescent="0.3">
      <c r="A947" s="4">
        <v>959</v>
      </c>
      <c r="B947" s="5">
        <v>940</v>
      </c>
      <c r="C947">
        <v>1573</v>
      </c>
      <c r="D947" t="s">
        <v>2216</v>
      </c>
      <c r="E947" t="s">
        <v>1280</v>
      </c>
      <c r="F947" t="s">
        <v>68</v>
      </c>
      <c r="G947" t="s">
        <v>2217</v>
      </c>
      <c r="H947" t="str">
        <f>"00531087"</f>
        <v>00531087</v>
      </c>
      <c r="I947">
        <v>16.32</v>
      </c>
      <c r="J947">
        <v>0</v>
      </c>
      <c r="N947">
        <v>0</v>
      </c>
      <c r="O947">
        <v>4</v>
      </c>
      <c r="P947">
        <v>0</v>
      </c>
      <c r="Q947">
        <v>20.32</v>
      </c>
      <c r="R947">
        <v>55</v>
      </c>
      <c r="S947">
        <v>55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55</v>
      </c>
      <c r="AA947">
        <v>9</v>
      </c>
      <c r="AB947">
        <v>0</v>
      </c>
      <c r="AD947">
        <v>84.32</v>
      </c>
    </row>
    <row r="948" spans="1:30" x14ac:dyDescent="0.3">
      <c r="A948" s="4">
        <v>960</v>
      </c>
      <c r="B948" s="5">
        <v>941</v>
      </c>
      <c r="C948">
        <v>4307</v>
      </c>
      <c r="D948" t="s">
        <v>2218</v>
      </c>
      <c r="E948" t="s">
        <v>88</v>
      </c>
      <c r="F948" t="s">
        <v>38</v>
      </c>
      <c r="G948" t="s">
        <v>2219</v>
      </c>
      <c r="H948" t="str">
        <f>"00441947"</f>
        <v>00441947</v>
      </c>
      <c r="I948">
        <v>34.28</v>
      </c>
      <c r="J948">
        <v>10</v>
      </c>
      <c r="K948">
        <v>8</v>
      </c>
      <c r="N948">
        <v>8</v>
      </c>
      <c r="O948">
        <v>4</v>
      </c>
      <c r="P948">
        <v>2</v>
      </c>
      <c r="Q948">
        <v>58.28</v>
      </c>
      <c r="R948">
        <v>26</v>
      </c>
      <c r="S948">
        <v>26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26</v>
      </c>
      <c r="AA948">
        <v>0</v>
      </c>
      <c r="AB948">
        <v>0</v>
      </c>
      <c r="AD948">
        <v>84.28</v>
      </c>
    </row>
    <row r="949" spans="1:30" x14ac:dyDescent="0.3">
      <c r="A949" s="4">
        <v>961</v>
      </c>
      <c r="B949" s="5">
        <v>942</v>
      </c>
      <c r="C949">
        <v>867</v>
      </c>
      <c r="D949" t="s">
        <v>2220</v>
      </c>
      <c r="E949" t="s">
        <v>289</v>
      </c>
      <c r="F949" t="s">
        <v>124</v>
      </c>
      <c r="G949" t="s">
        <v>2221</v>
      </c>
      <c r="H949" t="str">
        <f>"00220031"</f>
        <v>00220031</v>
      </c>
      <c r="I949">
        <v>43.2</v>
      </c>
      <c r="J949">
        <v>0</v>
      </c>
      <c r="N949">
        <v>0</v>
      </c>
      <c r="O949">
        <v>0</v>
      </c>
      <c r="P949">
        <v>0</v>
      </c>
      <c r="Q949">
        <v>43.2</v>
      </c>
      <c r="R949">
        <v>35</v>
      </c>
      <c r="S949">
        <v>35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35</v>
      </c>
      <c r="AA949">
        <v>6</v>
      </c>
      <c r="AB949">
        <v>0</v>
      </c>
      <c r="AD949">
        <v>84.2</v>
      </c>
    </row>
    <row r="950" spans="1:30" x14ac:dyDescent="0.3">
      <c r="A950" s="4">
        <v>962</v>
      </c>
      <c r="B950" s="5">
        <v>943</v>
      </c>
      <c r="C950">
        <v>2180</v>
      </c>
      <c r="D950" t="s">
        <v>2222</v>
      </c>
      <c r="E950" t="s">
        <v>97</v>
      </c>
      <c r="F950" t="s">
        <v>17</v>
      </c>
      <c r="G950" t="s">
        <v>2223</v>
      </c>
      <c r="H950" t="str">
        <f>"00531045"</f>
        <v>00531045</v>
      </c>
      <c r="I950">
        <v>43.2</v>
      </c>
      <c r="J950">
        <v>0</v>
      </c>
      <c r="M950">
        <v>4</v>
      </c>
      <c r="N950">
        <v>4</v>
      </c>
      <c r="O950">
        <v>4</v>
      </c>
      <c r="P950">
        <v>2</v>
      </c>
      <c r="Q950">
        <v>53.2</v>
      </c>
      <c r="R950">
        <v>28</v>
      </c>
      <c r="S950">
        <v>28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28</v>
      </c>
      <c r="AA950">
        <v>3</v>
      </c>
      <c r="AB950">
        <v>0</v>
      </c>
      <c r="AD950">
        <v>84.2</v>
      </c>
    </row>
    <row r="951" spans="1:30" x14ac:dyDescent="0.3">
      <c r="A951" s="4">
        <v>963</v>
      </c>
      <c r="B951" s="5">
        <v>944</v>
      </c>
      <c r="C951">
        <v>1787</v>
      </c>
      <c r="D951" t="s">
        <v>952</v>
      </c>
      <c r="E951" t="s">
        <v>2224</v>
      </c>
      <c r="F951" t="s">
        <v>2225</v>
      </c>
      <c r="G951" t="s">
        <v>2226</v>
      </c>
      <c r="H951" t="str">
        <f>"00185393"</f>
        <v>00185393</v>
      </c>
      <c r="I951">
        <v>7.2</v>
      </c>
      <c r="J951">
        <v>10</v>
      </c>
      <c r="N951">
        <v>0</v>
      </c>
      <c r="O951">
        <v>4</v>
      </c>
      <c r="P951">
        <v>2</v>
      </c>
      <c r="Q951">
        <v>23.2</v>
      </c>
      <c r="R951">
        <v>61</v>
      </c>
      <c r="S951">
        <v>61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61</v>
      </c>
      <c r="AA951">
        <v>0</v>
      </c>
      <c r="AB951">
        <v>0</v>
      </c>
      <c r="AD951">
        <v>84.2</v>
      </c>
    </row>
    <row r="952" spans="1:30" x14ac:dyDescent="0.3">
      <c r="A952" s="4">
        <v>964</v>
      </c>
      <c r="B952" s="5">
        <v>945</v>
      </c>
      <c r="C952">
        <v>2781</v>
      </c>
      <c r="D952" t="s">
        <v>2227</v>
      </c>
      <c r="E952" t="s">
        <v>342</v>
      </c>
      <c r="F952" t="s">
        <v>488</v>
      </c>
      <c r="G952" t="s">
        <v>2228</v>
      </c>
      <c r="H952" t="str">
        <f>"00530898"</f>
        <v>00530898</v>
      </c>
      <c r="I952">
        <v>10.199999999999999</v>
      </c>
      <c r="J952">
        <v>0</v>
      </c>
      <c r="N952">
        <v>0</v>
      </c>
      <c r="O952">
        <v>4</v>
      </c>
      <c r="P952">
        <v>0</v>
      </c>
      <c r="Q952">
        <v>14.2</v>
      </c>
      <c r="R952">
        <v>70</v>
      </c>
      <c r="S952">
        <v>70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70</v>
      </c>
      <c r="AA952">
        <v>0</v>
      </c>
      <c r="AB952">
        <v>0</v>
      </c>
      <c r="AD952">
        <v>84.2</v>
      </c>
    </row>
    <row r="953" spans="1:30" x14ac:dyDescent="0.3">
      <c r="A953" s="4">
        <v>965</v>
      </c>
      <c r="B953" s="5">
        <v>946</v>
      </c>
      <c r="C953">
        <v>3661</v>
      </c>
      <c r="D953" t="s">
        <v>2229</v>
      </c>
      <c r="E953" t="s">
        <v>182</v>
      </c>
      <c r="F953" t="s">
        <v>20</v>
      </c>
      <c r="G953" t="s">
        <v>2230</v>
      </c>
      <c r="H953" t="str">
        <f>"00529887"</f>
        <v>00529887</v>
      </c>
      <c r="I953">
        <v>31.12</v>
      </c>
      <c r="J953">
        <v>0</v>
      </c>
      <c r="N953">
        <v>0</v>
      </c>
      <c r="O953">
        <v>0</v>
      </c>
      <c r="P953">
        <v>0</v>
      </c>
      <c r="Q953">
        <v>31.12</v>
      </c>
      <c r="R953">
        <v>53</v>
      </c>
      <c r="S953">
        <v>53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53</v>
      </c>
      <c r="AA953">
        <v>0</v>
      </c>
      <c r="AB953">
        <v>0</v>
      </c>
      <c r="AD953">
        <v>84.12</v>
      </c>
    </row>
    <row r="954" spans="1:30" x14ac:dyDescent="0.3">
      <c r="A954" s="4">
        <v>966</v>
      </c>
      <c r="B954" s="5">
        <v>947</v>
      </c>
      <c r="C954">
        <v>4479</v>
      </c>
      <c r="D954" t="s">
        <v>2231</v>
      </c>
      <c r="E954" t="s">
        <v>190</v>
      </c>
      <c r="F954" t="s">
        <v>136</v>
      </c>
      <c r="G954" t="s">
        <v>2232</v>
      </c>
      <c r="H954" t="str">
        <f>"201511006937"</f>
        <v>201511006937</v>
      </c>
      <c r="I954">
        <v>21.08</v>
      </c>
      <c r="J954">
        <v>0</v>
      </c>
      <c r="N954">
        <v>0</v>
      </c>
      <c r="O954">
        <v>4</v>
      </c>
      <c r="P954">
        <v>2</v>
      </c>
      <c r="Q954">
        <v>27.08</v>
      </c>
      <c r="R954">
        <v>57</v>
      </c>
      <c r="S954">
        <v>57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57</v>
      </c>
      <c r="AA954">
        <v>0</v>
      </c>
      <c r="AB954">
        <v>0</v>
      </c>
      <c r="AD954">
        <v>84.08</v>
      </c>
    </row>
    <row r="955" spans="1:30" x14ac:dyDescent="0.3">
      <c r="A955" s="4">
        <v>967</v>
      </c>
      <c r="B955" s="5">
        <v>948</v>
      </c>
      <c r="C955">
        <v>779</v>
      </c>
      <c r="D955" t="s">
        <v>2233</v>
      </c>
      <c r="E955" t="s">
        <v>2234</v>
      </c>
      <c r="F955" t="s">
        <v>117</v>
      </c>
      <c r="G955" t="s">
        <v>2235</v>
      </c>
      <c r="H955" t="str">
        <f>"201605000176"</f>
        <v>201605000176</v>
      </c>
      <c r="I955">
        <v>36</v>
      </c>
      <c r="J955">
        <v>0</v>
      </c>
      <c r="N955">
        <v>0</v>
      </c>
      <c r="O955">
        <v>4</v>
      </c>
      <c r="P955">
        <v>2</v>
      </c>
      <c r="Q955">
        <v>42</v>
      </c>
      <c r="R955">
        <v>33</v>
      </c>
      <c r="S955">
        <v>33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33</v>
      </c>
      <c r="AA955">
        <v>9</v>
      </c>
      <c r="AB955">
        <v>0</v>
      </c>
      <c r="AD955">
        <v>84</v>
      </c>
    </row>
    <row r="956" spans="1:30" x14ac:dyDescent="0.3">
      <c r="A956" s="4">
        <v>968</v>
      </c>
      <c r="B956" s="5">
        <v>949</v>
      </c>
      <c r="C956">
        <v>1812</v>
      </c>
      <c r="D956" t="s">
        <v>2236</v>
      </c>
      <c r="E956" t="s">
        <v>71</v>
      </c>
      <c r="F956" t="s">
        <v>2237</v>
      </c>
      <c r="G956" t="s">
        <v>2238</v>
      </c>
      <c r="H956" t="str">
        <f>"00508526"</f>
        <v>00508526</v>
      </c>
      <c r="I956">
        <v>36</v>
      </c>
      <c r="J956">
        <v>0</v>
      </c>
      <c r="N956">
        <v>0</v>
      </c>
      <c r="O956">
        <v>4</v>
      </c>
      <c r="P956">
        <v>0</v>
      </c>
      <c r="Q956">
        <v>40</v>
      </c>
      <c r="R956">
        <v>41</v>
      </c>
      <c r="S956">
        <v>41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41</v>
      </c>
      <c r="AA956">
        <v>3</v>
      </c>
      <c r="AB956">
        <v>0</v>
      </c>
      <c r="AD956">
        <v>84</v>
      </c>
    </row>
    <row r="957" spans="1:30" x14ac:dyDescent="0.3">
      <c r="A957" s="4">
        <v>969</v>
      </c>
      <c r="B957" s="5">
        <v>950</v>
      </c>
      <c r="C957">
        <v>1676</v>
      </c>
      <c r="D957" t="s">
        <v>2239</v>
      </c>
      <c r="E957" t="s">
        <v>170</v>
      </c>
      <c r="F957" t="s">
        <v>17</v>
      </c>
      <c r="G957" t="s">
        <v>2240</v>
      </c>
      <c r="H957" t="str">
        <f>"00162367"</f>
        <v>00162367</v>
      </c>
      <c r="I957">
        <v>28</v>
      </c>
      <c r="J957">
        <v>10</v>
      </c>
      <c r="N957">
        <v>0</v>
      </c>
      <c r="O957">
        <v>4</v>
      </c>
      <c r="P957">
        <v>0</v>
      </c>
      <c r="Q957">
        <v>42</v>
      </c>
      <c r="R957">
        <v>42</v>
      </c>
      <c r="S957">
        <v>42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42</v>
      </c>
      <c r="AA957">
        <v>0</v>
      </c>
      <c r="AB957">
        <v>0</v>
      </c>
      <c r="AD957">
        <v>84</v>
      </c>
    </row>
    <row r="958" spans="1:30" x14ac:dyDescent="0.3">
      <c r="A958" s="4">
        <v>970</v>
      </c>
      <c r="B958" s="5">
        <v>951</v>
      </c>
      <c r="C958">
        <v>3464</v>
      </c>
      <c r="D958" t="s">
        <v>2241</v>
      </c>
      <c r="E958" t="s">
        <v>29</v>
      </c>
      <c r="F958" t="s">
        <v>136</v>
      </c>
      <c r="G958" t="s">
        <v>2242</v>
      </c>
      <c r="H958" t="str">
        <f>"00163058"</f>
        <v>00163058</v>
      </c>
      <c r="I958">
        <v>24</v>
      </c>
      <c r="J958">
        <v>10</v>
      </c>
      <c r="N958">
        <v>0</v>
      </c>
      <c r="O958">
        <v>4</v>
      </c>
      <c r="P958">
        <v>2</v>
      </c>
      <c r="Q958">
        <v>40</v>
      </c>
      <c r="R958">
        <v>44</v>
      </c>
      <c r="S958">
        <v>44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44</v>
      </c>
      <c r="AA958">
        <v>0</v>
      </c>
      <c r="AB958">
        <v>0</v>
      </c>
      <c r="AD958">
        <v>84</v>
      </c>
    </row>
    <row r="959" spans="1:30" x14ac:dyDescent="0.3">
      <c r="A959" s="4">
        <v>971</v>
      </c>
      <c r="B959" s="5">
        <v>952</v>
      </c>
      <c r="C959">
        <v>4243</v>
      </c>
      <c r="D959" t="s">
        <v>36</v>
      </c>
      <c r="E959" t="s">
        <v>188</v>
      </c>
      <c r="F959" t="s">
        <v>38</v>
      </c>
      <c r="G959" t="s">
        <v>2243</v>
      </c>
      <c r="H959" t="str">
        <f>"00509480"</f>
        <v>00509480</v>
      </c>
      <c r="I959">
        <v>37.08</v>
      </c>
      <c r="J959">
        <v>0</v>
      </c>
      <c r="N959">
        <v>0</v>
      </c>
      <c r="O959">
        <v>0</v>
      </c>
      <c r="P959">
        <v>2</v>
      </c>
      <c r="Q959">
        <v>39.08</v>
      </c>
      <c r="R959">
        <v>18</v>
      </c>
      <c r="S959">
        <v>18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18</v>
      </c>
      <c r="AA959">
        <v>0</v>
      </c>
      <c r="AB959">
        <v>26.8</v>
      </c>
      <c r="AD959">
        <v>83.88</v>
      </c>
    </row>
    <row r="960" spans="1:30" x14ac:dyDescent="0.3">
      <c r="A960" s="4">
        <v>972</v>
      </c>
      <c r="B960" s="5">
        <v>953</v>
      </c>
      <c r="C960">
        <v>1086</v>
      </c>
      <c r="D960" t="s">
        <v>2244</v>
      </c>
      <c r="E960" t="s">
        <v>54</v>
      </c>
      <c r="F960" t="s">
        <v>38</v>
      </c>
      <c r="G960" t="s">
        <v>2245</v>
      </c>
      <c r="H960" t="str">
        <f>"00858167"</f>
        <v>00858167</v>
      </c>
      <c r="I960">
        <v>40</v>
      </c>
      <c r="J960">
        <v>10</v>
      </c>
      <c r="N960">
        <v>0</v>
      </c>
      <c r="O960">
        <v>4</v>
      </c>
      <c r="P960">
        <v>0</v>
      </c>
      <c r="Q960">
        <v>54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3</v>
      </c>
      <c r="AB960">
        <v>26.8</v>
      </c>
      <c r="AD960">
        <v>83.8</v>
      </c>
    </row>
    <row r="961" spans="1:30" x14ac:dyDescent="0.3">
      <c r="A961" s="4">
        <v>973</v>
      </c>
      <c r="B961" s="5">
        <v>954</v>
      </c>
      <c r="C961">
        <v>840</v>
      </c>
      <c r="D961" t="s">
        <v>2246</v>
      </c>
      <c r="E961" t="s">
        <v>188</v>
      </c>
      <c r="F961" t="s">
        <v>38</v>
      </c>
      <c r="G961" t="s">
        <v>2247</v>
      </c>
      <c r="H961" t="str">
        <f>"00509720"</f>
        <v>00509720</v>
      </c>
      <c r="I961">
        <v>28.8</v>
      </c>
      <c r="J961">
        <v>10</v>
      </c>
      <c r="M961">
        <v>4</v>
      </c>
      <c r="N961">
        <v>4</v>
      </c>
      <c r="O961">
        <v>4</v>
      </c>
      <c r="P961">
        <v>2</v>
      </c>
      <c r="Q961">
        <v>48.8</v>
      </c>
      <c r="R961">
        <v>32</v>
      </c>
      <c r="S961">
        <v>32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32</v>
      </c>
      <c r="AA961">
        <v>3</v>
      </c>
      <c r="AB961">
        <v>0</v>
      </c>
      <c r="AD961">
        <v>83.8</v>
      </c>
    </row>
    <row r="962" spans="1:30" x14ac:dyDescent="0.3">
      <c r="A962" s="4">
        <v>974</v>
      </c>
      <c r="B962" s="5">
        <v>955</v>
      </c>
      <c r="C962">
        <v>2476</v>
      </c>
      <c r="D962" t="s">
        <v>545</v>
      </c>
      <c r="E962" t="s">
        <v>219</v>
      </c>
      <c r="F962" t="s">
        <v>17</v>
      </c>
      <c r="G962" t="s">
        <v>2248</v>
      </c>
      <c r="H962" t="str">
        <f>"00526271"</f>
        <v>00526271</v>
      </c>
      <c r="I962">
        <v>15.72</v>
      </c>
      <c r="J962">
        <v>10</v>
      </c>
      <c r="N962">
        <v>0</v>
      </c>
      <c r="O962">
        <v>4</v>
      </c>
      <c r="P962">
        <v>2</v>
      </c>
      <c r="Q962">
        <v>31.72</v>
      </c>
      <c r="R962">
        <v>46</v>
      </c>
      <c r="S962">
        <v>46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46</v>
      </c>
      <c r="AA962">
        <v>6</v>
      </c>
      <c r="AB962">
        <v>0</v>
      </c>
      <c r="AD962">
        <v>83.72</v>
      </c>
    </row>
    <row r="963" spans="1:30" x14ac:dyDescent="0.3">
      <c r="A963" s="4">
        <v>975</v>
      </c>
      <c r="B963" s="5">
        <v>956</v>
      </c>
      <c r="C963">
        <v>1066</v>
      </c>
      <c r="D963" t="s">
        <v>2249</v>
      </c>
      <c r="E963" t="s">
        <v>33</v>
      </c>
      <c r="F963" t="s">
        <v>81</v>
      </c>
      <c r="G963" t="s">
        <v>2250</v>
      </c>
      <c r="H963" t="str">
        <f>"00604036"</f>
        <v>00604036</v>
      </c>
      <c r="I963">
        <v>57.6</v>
      </c>
      <c r="J963">
        <v>10</v>
      </c>
      <c r="M963">
        <v>4</v>
      </c>
      <c r="N963">
        <v>4</v>
      </c>
      <c r="O963">
        <v>4</v>
      </c>
      <c r="P963">
        <v>2</v>
      </c>
      <c r="Q963">
        <v>77.599999999999994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6</v>
      </c>
      <c r="AB963">
        <v>0</v>
      </c>
      <c r="AD963">
        <v>83.6</v>
      </c>
    </row>
    <row r="964" spans="1:30" x14ac:dyDescent="0.3">
      <c r="A964" s="4">
        <v>976</v>
      </c>
      <c r="B964" s="5">
        <v>957</v>
      </c>
      <c r="C964">
        <v>145</v>
      </c>
      <c r="D964" t="s">
        <v>2251</v>
      </c>
      <c r="E964" t="s">
        <v>1189</v>
      </c>
      <c r="F964" t="s">
        <v>81</v>
      </c>
      <c r="G964" t="s">
        <v>2252</v>
      </c>
      <c r="H964" t="str">
        <f>"201406008910"</f>
        <v>201406008910</v>
      </c>
      <c r="I964">
        <v>39.6</v>
      </c>
      <c r="J964">
        <v>10</v>
      </c>
      <c r="M964">
        <v>4</v>
      </c>
      <c r="N964">
        <v>4</v>
      </c>
      <c r="O964">
        <v>4</v>
      </c>
      <c r="P964">
        <v>2</v>
      </c>
      <c r="Q964">
        <v>59.6</v>
      </c>
      <c r="R964">
        <v>18</v>
      </c>
      <c r="S964">
        <v>18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18</v>
      </c>
      <c r="AA964">
        <v>6</v>
      </c>
      <c r="AB964">
        <v>0</v>
      </c>
      <c r="AD964">
        <v>83.6</v>
      </c>
    </row>
    <row r="965" spans="1:30" x14ac:dyDescent="0.3">
      <c r="A965" s="4">
        <v>977</v>
      </c>
      <c r="B965" s="5">
        <v>958</v>
      </c>
      <c r="C965">
        <v>669</v>
      </c>
      <c r="D965" t="s">
        <v>2073</v>
      </c>
      <c r="E965" t="s">
        <v>166</v>
      </c>
      <c r="F965" t="s">
        <v>91</v>
      </c>
      <c r="G965" t="s">
        <v>2253</v>
      </c>
      <c r="H965" t="str">
        <f>"00504000"</f>
        <v>00504000</v>
      </c>
      <c r="I965">
        <v>21.6</v>
      </c>
      <c r="J965">
        <v>0</v>
      </c>
      <c r="N965">
        <v>0</v>
      </c>
      <c r="O965">
        <v>4</v>
      </c>
      <c r="P965">
        <v>2</v>
      </c>
      <c r="Q965">
        <v>27.6</v>
      </c>
      <c r="R965">
        <v>56</v>
      </c>
      <c r="S965">
        <v>56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56</v>
      </c>
      <c r="AA965">
        <v>0</v>
      </c>
      <c r="AB965">
        <v>0</v>
      </c>
      <c r="AD965">
        <v>83.6</v>
      </c>
    </row>
    <row r="966" spans="1:30" x14ac:dyDescent="0.3">
      <c r="A966" s="4">
        <v>978</v>
      </c>
      <c r="B966" s="5">
        <v>959</v>
      </c>
      <c r="C966">
        <v>594</v>
      </c>
      <c r="D966" t="s">
        <v>2254</v>
      </c>
      <c r="E966" t="s">
        <v>166</v>
      </c>
      <c r="F966" t="s">
        <v>81</v>
      </c>
      <c r="G966" t="s">
        <v>2255</v>
      </c>
      <c r="H966" t="str">
        <f>"00500296"</f>
        <v>00500296</v>
      </c>
      <c r="I966">
        <v>21.6</v>
      </c>
      <c r="J966">
        <v>0</v>
      </c>
      <c r="N966">
        <v>0</v>
      </c>
      <c r="O966">
        <v>4</v>
      </c>
      <c r="P966">
        <v>2</v>
      </c>
      <c r="Q966">
        <v>27.6</v>
      </c>
      <c r="R966">
        <v>56</v>
      </c>
      <c r="S966">
        <v>56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56</v>
      </c>
      <c r="AA966">
        <v>0</v>
      </c>
      <c r="AB966">
        <v>0</v>
      </c>
      <c r="AD966">
        <v>83.6</v>
      </c>
    </row>
    <row r="967" spans="1:30" x14ac:dyDescent="0.3">
      <c r="A967" s="4">
        <v>979</v>
      </c>
      <c r="B967" s="5">
        <v>960</v>
      </c>
      <c r="C967">
        <v>2071</v>
      </c>
      <c r="D967" t="s">
        <v>2256</v>
      </c>
      <c r="E967" t="s">
        <v>22</v>
      </c>
      <c r="F967" t="s">
        <v>38</v>
      </c>
      <c r="G967" t="s">
        <v>2257</v>
      </c>
      <c r="H967" t="str">
        <f>"00530063"</f>
        <v>00530063</v>
      </c>
      <c r="I967">
        <v>21.6</v>
      </c>
      <c r="J967">
        <v>0</v>
      </c>
      <c r="N967">
        <v>0</v>
      </c>
      <c r="O967">
        <v>4</v>
      </c>
      <c r="P967">
        <v>0</v>
      </c>
      <c r="Q967">
        <v>25.6</v>
      </c>
      <c r="R967">
        <v>58</v>
      </c>
      <c r="S967">
        <v>58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58</v>
      </c>
      <c r="AA967">
        <v>0</v>
      </c>
      <c r="AB967">
        <v>0</v>
      </c>
      <c r="AD967">
        <v>83.6</v>
      </c>
    </row>
    <row r="968" spans="1:30" x14ac:dyDescent="0.3">
      <c r="A968" s="4">
        <v>980</v>
      </c>
      <c r="B968" s="5">
        <v>961</v>
      </c>
      <c r="C968">
        <v>2452</v>
      </c>
      <c r="D968" t="s">
        <v>2258</v>
      </c>
      <c r="E968" t="s">
        <v>957</v>
      </c>
      <c r="F968" t="s">
        <v>652</v>
      </c>
      <c r="G968" t="s">
        <v>2259</v>
      </c>
      <c r="H968" t="str">
        <f>"00442073"</f>
        <v>00442073</v>
      </c>
      <c r="I968">
        <v>29.72</v>
      </c>
      <c r="J968">
        <v>0</v>
      </c>
      <c r="N968">
        <v>0</v>
      </c>
      <c r="O968">
        <v>0</v>
      </c>
      <c r="P968">
        <v>0</v>
      </c>
      <c r="Q968">
        <v>29.72</v>
      </c>
      <c r="R968">
        <v>18</v>
      </c>
      <c r="S968">
        <v>18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18</v>
      </c>
      <c r="AA968">
        <v>3</v>
      </c>
      <c r="AB968">
        <v>32.799999999999997</v>
      </c>
      <c r="AD968">
        <v>83.52</v>
      </c>
    </row>
    <row r="969" spans="1:30" x14ac:dyDescent="0.3">
      <c r="A969" s="4">
        <v>981</v>
      </c>
      <c r="B969" s="5">
        <v>962</v>
      </c>
      <c r="C969">
        <v>4404</v>
      </c>
      <c r="D969" t="s">
        <v>2260</v>
      </c>
      <c r="E969" t="s">
        <v>283</v>
      </c>
      <c r="F969" t="s">
        <v>2261</v>
      </c>
      <c r="G969" t="s">
        <v>2262</v>
      </c>
      <c r="H969" t="str">
        <f>"201510003070"</f>
        <v>201510003070</v>
      </c>
      <c r="I969">
        <v>38.4</v>
      </c>
      <c r="J969">
        <v>10</v>
      </c>
      <c r="M969">
        <v>4</v>
      </c>
      <c r="N969">
        <v>4</v>
      </c>
      <c r="O969">
        <v>4</v>
      </c>
      <c r="P969">
        <v>2</v>
      </c>
      <c r="Q969">
        <v>58.4</v>
      </c>
      <c r="R969">
        <v>22</v>
      </c>
      <c r="S969">
        <v>22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22</v>
      </c>
      <c r="AA969">
        <v>3</v>
      </c>
      <c r="AB969">
        <v>0</v>
      </c>
      <c r="AD969">
        <v>83.4</v>
      </c>
    </row>
    <row r="970" spans="1:30" x14ac:dyDescent="0.3">
      <c r="A970" s="4">
        <v>982</v>
      </c>
      <c r="B970" s="5">
        <v>963</v>
      </c>
      <c r="C970">
        <v>3496</v>
      </c>
      <c r="D970" t="s">
        <v>767</v>
      </c>
      <c r="E970" t="s">
        <v>54</v>
      </c>
      <c r="F970" t="s">
        <v>68</v>
      </c>
      <c r="G970" t="s">
        <v>2263</v>
      </c>
      <c r="H970" t="str">
        <f>"00518118"</f>
        <v>00518118</v>
      </c>
      <c r="I970">
        <v>14.4</v>
      </c>
      <c r="J970">
        <v>10</v>
      </c>
      <c r="N970">
        <v>0</v>
      </c>
      <c r="O970">
        <v>4</v>
      </c>
      <c r="P970">
        <v>2</v>
      </c>
      <c r="Q970">
        <v>30.4</v>
      </c>
      <c r="R970">
        <v>53</v>
      </c>
      <c r="S970">
        <v>53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53</v>
      </c>
      <c r="AA970">
        <v>0</v>
      </c>
      <c r="AB970">
        <v>0</v>
      </c>
      <c r="AD970">
        <v>83.4</v>
      </c>
    </row>
    <row r="971" spans="1:30" x14ac:dyDescent="0.3">
      <c r="A971" s="4">
        <v>983</v>
      </c>
      <c r="B971" s="5">
        <v>964</v>
      </c>
      <c r="C971">
        <v>1134</v>
      </c>
      <c r="D971" t="s">
        <v>2264</v>
      </c>
      <c r="E971" t="s">
        <v>188</v>
      </c>
      <c r="F971" t="s">
        <v>343</v>
      </c>
      <c r="G971" t="s">
        <v>2265</v>
      </c>
      <c r="H971" t="str">
        <f>"00522229"</f>
        <v>00522229</v>
      </c>
      <c r="I971">
        <v>14.4</v>
      </c>
      <c r="J971">
        <v>0</v>
      </c>
      <c r="M971">
        <v>4</v>
      </c>
      <c r="N971">
        <v>4</v>
      </c>
      <c r="O971">
        <v>4</v>
      </c>
      <c r="P971">
        <v>2</v>
      </c>
      <c r="Q971">
        <v>24.4</v>
      </c>
      <c r="R971">
        <v>59</v>
      </c>
      <c r="S971">
        <v>59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59</v>
      </c>
      <c r="AA971">
        <v>0</v>
      </c>
      <c r="AB971">
        <v>0</v>
      </c>
      <c r="AD971">
        <v>83.4</v>
      </c>
    </row>
    <row r="972" spans="1:30" x14ac:dyDescent="0.3">
      <c r="A972" s="4">
        <v>984</v>
      </c>
      <c r="B972" s="5">
        <v>965</v>
      </c>
      <c r="C972">
        <v>3691</v>
      </c>
      <c r="D972" t="s">
        <v>2266</v>
      </c>
      <c r="E972" t="s">
        <v>286</v>
      </c>
      <c r="F972" t="s">
        <v>158</v>
      </c>
      <c r="G972" t="s">
        <v>2267</v>
      </c>
      <c r="H972" t="str">
        <f>"00507446"</f>
        <v>00507446</v>
      </c>
      <c r="I972">
        <v>14.4</v>
      </c>
      <c r="J972">
        <v>0</v>
      </c>
      <c r="N972">
        <v>0</v>
      </c>
      <c r="O972">
        <v>4</v>
      </c>
      <c r="P972">
        <v>2</v>
      </c>
      <c r="Q972">
        <v>20.399999999999999</v>
      </c>
      <c r="R972">
        <v>63</v>
      </c>
      <c r="S972">
        <v>63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63</v>
      </c>
      <c r="AA972">
        <v>0</v>
      </c>
      <c r="AB972">
        <v>0</v>
      </c>
      <c r="AD972">
        <v>83.4</v>
      </c>
    </row>
    <row r="973" spans="1:30" x14ac:dyDescent="0.3">
      <c r="A973" s="4">
        <v>985</v>
      </c>
      <c r="B973" s="5">
        <v>966</v>
      </c>
      <c r="C973">
        <v>1010</v>
      </c>
      <c r="D973" t="s">
        <v>2268</v>
      </c>
      <c r="E973" t="s">
        <v>1926</v>
      </c>
      <c r="F973" t="s">
        <v>2237</v>
      </c>
      <c r="G973" t="s">
        <v>2269</v>
      </c>
      <c r="H973" t="str">
        <f>"00507839"</f>
        <v>00507839</v>
      </c>
      <c r="I973">
        <v>29.32</v>
      </c>
      <c r="J973">
        <v>0</v>
      </c>
      <c r="N973">
        <v>0</v>
      </c>
      <c r="O973">
        <v>4</v>
      </c>
      <c r="P973">
        <v>0</v>
      </c>
      <c r="Q973">
        <v>33.32</v>
      </c>
      <c r="R973">
        <v>44</v>
      </c>
      <c r="S973">
        <v>44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44</v>
      </c>
      <c r="AA973">
        <v>6</v>
      </c>
      <c r="AB973">
        <v>0</v>
      </c>
      <c r="AD973">
        <v>83.32</v>
      </c>
    </row>
    <row r="974" spans="1:30" x14ac:dyDescent="0.3">
      <c r="A974" s="4">
        <v>986</v>
      </c>
      <c r="B974" s="5">
        <v>967</v>
      </c>
      <c r="C974">
        <v>2685</v>
      </c>
      <c r="D974" t="s">
        <v>2270</v>
      </c>
      <c r="E974" t="s">
        <v>2271</v>
      </c>
      <c r="F974" t="s">
        <v>38</v>
      </c>
      <c r="G974" t="s">
        <v>2272</v>
      </c>
      <c r="H974" t="str">
        <f>"00503196"</f>
        <v>00503196</v>
      </c>
      <c r="I974">
        <v>28.32</v>
      </c>
      <c r="J974">
        <v>0</v>
      </c>
      <c r="M974">
        <v>4</v>
      </c>
      <c r="N974">
        <v>4</v>
      </c>
      <c r="O974">
        <v>4</v>
      </c>
      <c r="P974">
        <v>2</v>
      </c>
      <c r="Q974">
        <v>38.32</v>
      </c>
      <c r="R974">
        <v>45</v>
      </c>
      <c r="S974">
        <v>45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45</v>
      </c>
      <c r="AA974">
        <v>0</v>
      </c>
      <c r="AB974">
        <v>0</v>
      </c>
      <c r="AD974">
        <v>83.32</v>
      </c>
    </row>
    <row r="975" spans="1:30" x14ac:dyDescent="0.3">
      <c r="A975" s="4">
        <v>987</v>
      </c>
      <c r="B975" s="5">
        <v>968</v>
      </c>
      <c r="C975">
        <v>1999</v>
      </c>
      <c r="D975" t="s">
        <v>1279</v>
      </c>
      <c r="E975" t="s">
        <v>283</v>
      </c>
      <c r="F975" t="s">
        <v>68</v>
      </c>
      <c r="G975" t="s">
        <v>2273</v>
      </c>
      <c r="H975" t="str">
        <f>"00532104"</f>
        <v>00532104</v>
      </c>
      <c r="I975">
        <v>35.28</v>
      </c>
      <c r="J975">
        <v>0</v>
      </c>
      <c r="M975">
        <v>4</v>
      </c>
      <c r="N975">
        <v>4</v>
      </c>
      <c r="O975">
        <v>0</v>
      </c>
      <c r="P975">
        <v>0</v>
      </c>
      <c r="Q975">
        <v>39.28</v>
      </c>
      <c r="R975">
        <v>38</v>
      </c>
      <c r="S975">
        <v>38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38</v>
      </c>
      <c r="AA975">
        <v>6</v>
      </c>
      <c r="AB975">
        <v>0</v>
      </c>
      <c r="AD975">
        <v>83.28</v>
      </c>
    </row>
    <row r="976" spans="1:30" x14ac:dyDescent="0.3">
      <c r="A976" s="4">
        <v>988</v>
      </c>
      <c r="B976" s="5">
        <v>969</v>
      </c>
      <c r="C976">
        <v>2291</v>
      </c>
      <c r="D976" t="s">
        <v>1314</v>
      </c>
      <c r="E976" t="s">
        <v>166</v>
      </c>
      <c r="F976" t="s">
        <v>62</v>
      </c>
      <c r="G976" t="s">
        <v>2274</v>
      </c>
      <c r="H976" t="str">
        <f>"201511023230"</f>
        <v>201511023230</v>
      </c>
      <c r="I976">
        <v>24.28</v>
      </c>
      <c r="J976">
        <v>10</v>
      </c>
      <c r="K976">
        <v>8</v>
      </c>
      <c r="N976">
        <v>8</v>
      </c>
      <c r="O976">
        <v>4</v>
      </c>
      <c r="P976">
        <v>2</v>
      </c>
      <c r="Q976">
        <v>48.28</v>
      </c>
      <c r="R976">
        <v>32</v>
      </c>
      <c r="S976">
        <v>32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32</v>
      </c>
      <c r="AA976">
        <v>3</v>
      </c>
      <c r="AB976">
        <v>0</v>
      </c>
      <c r="AD976">
        <v>83.28</v>
      </c>
    </row>
    <row r="977" spans="1:30" x14ac:dyDescent="0.3">
      <c r="A977" s="4">
        <v>989</v>
      </c>
      <c r="B977" s="5">
        <v>970</v>
      </c>
      <c r="C977">
        <v>364</v>
      </c>
      <c r="D977" t="s">
        <v>2275</v>
      </c>
      <c r="E977" t="s">
        <v>2276</v>
      </c>
      <c r="F977" t="s">
        <v>17</v>
      </c>
      <c r="G977" t="s">
        <v>2277</v>
      </c>
      <c r="H977" t="str">
        <f>"00528692"</f>
        <v>00528692</v>
      </c>
      <c r="I977">
        <v>30.24</v>
      </c>
      <c r="J977">
        <v>10</v>
      </c>
      <c r="N977">
        <v>0</v>
      </c>
      <c r="O977">
        <v>0</v>
      </c>
      <c r="P977">
        <v>2</v>
      </c>
      <c r="Q977">
        <v>42.24</v>
      </c>
      <c r="R977">
        <v>38</v>
      </c>
      <c r="S977">
        <v>38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38</v>
      </c>
      <c r="AA977">
        <v>3</v>
      </c>
      <c r="AB977">
        <v>0</v>
      </c>
      <c r="AD977">
        <v>83.24</v>
      </c>
    </row>
    <row r="978" spans="1:30" x14ac:dyDescent="0.3">
      <c r="A978" s="4">
        <v>990</v>
      </c>
      <c r="B978" s="5">
        <v>971</v>
      </c>
      <c r="C978">
        <v>1237</v>
      </c>
      <c r="D978" t="s">
        <v>2278</v>
      </c>
      <c r="E978" t="s">
        <v>97</v>
      </c>
      <c r="F978" t="s">
        <v>30</v>
      </c>
      <c r="G978" t="s">
        <v>2279</v>
      </c>
      <c r="H978" t="str">
        <f>"00357968"</f>
        <v>00357968</v>
      </c>
      <c r="I978">
        <v>43.2</v>
      </c>
      <c r="J978">
        <v>10</v>
      </c>
      <c r="N978">
        <v>0</v>
      </c>
      <c r="O978">
        <v>4</v>
      </c>
      <c r="P978">
        <v>2</v>
      </c>
      <c r="Q978">
        <v>59.2</v>
      </c>
      <c r="R978">
        <v>8</v>
      </c>
      <c r="S978">
        <v>8</v>
      </c>
      <c r="T978">
        <v>0</v>
      </c>
      <c r="U978">
        <v>0</v>
      </c>
      <c r="V978">
        <v>7</v>
      </c>
      <c r="W978">
        <v>10</v>
      </c>
      <c r="X978">
        <v>0</v>
      </c>
      <c r="Y978">
        <v>0</v>
      </c>
      <c r="Z978">
        <v>18</v>
      </c>
      <c r="AA978">
        <v>6</v>
      </c>
      <c r="AB978">
        <v>0</v>
      </c>
      <c r="AD978">
        <v>83.2</v>
      </c>
    </row>
    <row r="979" spans="1:30" x14ac:dyDescent="0.3">
      <c r="A979" s="4">
        <v>991</v>
      </c>
      <c r="B979" s="5">
        <v>972</v>
      </c>
      <c r="C979">
        <v>693</v>
      </c>
      <c r="D979" t="s">
        <v>2280</v>
      </c>
      <c r="E979" t="s">
        <v>41</v>
      </c>
      <c r="F979" t="s">
        <v>17</v>
      </c>
      <c r="G979" t="s">
        <v>2281</v>
      </c>
      <c r="H979" t="str">
        <f>"00530073"</f>
        <v>00530073</v>
      </c>
      <c r="I979">
        <v>43.2</v>
      </c>
      <c r="J979">
        <v>10</v>
      </c>
      <c r="M979">
        <v>4</v>
      </c>
      <c r="N979">
        <v>4</v>
      </c>
      <c r="O979">
        <v>4</v>
      </c>
      <c r="P979">
        <v>2</v>
      </c>
      <c r="Q979">
        <v>63.2</v>
      </c>
      <c r="R979">
        <v>17</v>
      </c>
      <c r="S979">
        <v>17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17</v>
      </c>
      <c r="AA979">
        <v>3</v>
      </c>
      <c r="AB979">
        <v>0</v>
      </c>
      <c r="AD979">
        <v>83.2</v>
      </c>
    </row>
    <row r="980" spans="1:30" x14ac:dyDescent="0.3">
      <c r="A980" s="4">
        <v>992</v>
      </c>
      <c r="B980" s="5">
        <v>973</v>
      </c>
      <c r="C980">
        <v>86</v>
      </c>
      <c r="D980" t="s">
        <v>2282</v>
      </c>
      <c r="E980" t="s">
        <v>2283</v>
      </c>
      <c r="F980" t="s">
        <v>2284</v>
      </c>
      <c r="G980" t="s">
        <v>2285</v>
      </c>
      <c r="H980" t="str">
        <f>"00785964"</f>
        <v>00785964</v>
      </c>
      <c r="I980">
        <v>43.2</v>
      </c>
      <c r="J980">
        <v>10</v>
      </c>
      <c r="L980">
        <v>6</v>
      </c>
      <c r="N980">
        <v>6</v>
      </c>
      <c r="O980">
        <v>4</v>
      </c>
      <c r="P980">
        <v>2</v>
      </c>
      <c r="Q980">
        <v>65.2</v>
      </c>
      <c r="R980">
        <v>18</v>
      </c>
      <c r="S980">
        <v>18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18</v>
      </c>
      <c r="AA980">
        <v>0</v>
      </c>
      <c r="AB980">
        <v>0</v>
      </c>
      <c r="AD980">
        <v>83.2</v>
      </c>
    </row>
    <row r="981" spans="1:30" x14ac:dyDescent="0.3">
      <c r="A981" s="4">
        <v>993</v>
      </c>
      <c r="B981" s="5">
        <v>974</v>
      </c>
      <c r="C981">
        <v>3544</v>
      </c>
      <c r="D981" t="s">
        <v>2286</v>
      </c>
      <c r="E981" t="s">
        <v>41</v>
      </c>
      <c r="F981" t="s">
        <v>91</v>
      </c>
      <c r="G981" t="s">
        <v>2287</v>
      </c>
      <c r="H981" t="str">
        <f>"00173831"</f>
        <v>00173831</v>
      </c>
      <c r="I981">
        <v>72</v>
      </c>
      <c r="J981">
        <v>0</v>
      </c>
      <c r="M981">
        <v>4</v>
      </c>
      <c r="N981">
        <v>4</v>
      </c>
      <c r="O981">
        <v>4</v>
      </c>
      <c r="P981">
        <v>0</v>
      </c>
      <c r="Q981">
        <v>80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3</v>
      </c>
      <c r="AB981">
        <v>0</v>
      </c>
      <c r="AD981">
        <v>83</v>
      </c>
    </row>
    <row r="982" spans="1:30" x14ac:dyDescent="0.3">
      <c r="A982" s="4">
        <v>994</v>
      </c>
      <c r="B982" s="5">
        <v>975</v>
      </c>
      <c r="C982">
        <v>2053</v>
      </c>
      <c r="D982" t="s">
        <v>2288</v>
      </c>
      <c r="E982" t="s">
        <v>2289</v>
      </c>
      <c r="F982" t="s">
        <v>385</v>
      </c>
      <c r="G982" t="s">
        <v>2290</v>
      </c>
      <c r="H982" t="str">
        <f>"00531776"</f>
        <v>00531776</v>
      </c>
      <c r="I982">
        <v>36</v>
      </c>
      <c r="J982">
        <v>0</v>
      </c>
      <c r="N982">
        <v>0</v>
      </c>
      <c r="O982">
        <v>4</v>
      </c>
      <c r="P982">
        <v>2</v>
      </c>
      <c r="Q982">
        <v>42</v>
      </c>
      <c r="R982">
        <v>25</v>
      </c>
      <c r="S982">
        <v>25</v>
      </c>
      <c r="T982">
        <v>8</v>
      </c>
      <c r="U982">
        <v>16</v>
      </c>
      <c r="V982">
        <v>0</v>
      </c>
      <c r="W982">
        <v>0</v>
      </c>
      <c r="X982">
        <v>0</v>
      </c>
      <c r="Y982">
        <v>0</v>
      </c>
      <c r="Z982">
        <v>41</v>
      </c>
      <c r="AA982">
        <v>0</v>
      </c>
      <c r="AB982">
        <v>0</v>
      </c>
      <c r="AD982">
        <v>83</v>
      </c>
    </row>
    <row r="983" spans="1:30" x14ac:dyDescent="0.3">
      <c r="A983" s="4">
        <v>995</v>
      </c>
      <c r="B983" s="5">
        <v>976</v>
      </c>
      <c r="C983">
        <v>2771</v>
      </c>
      <c r="D983" t="s">
        <v>2291</v>
      </c>
      <c r="E983" t="s">
        <v>68</v>
      </c>
      <c r="F983" t="s">
        <v>17</v>
      </c>
      <c r="G983" t="s">
        <v>2292</v>
      </c>
      <c r="H983" t="str">
        <f>"00511112"</f>
        <v>00511112</v>
      </c>
      <c r="I983">
        <v>0</v>
      </c>
      <c r="J983">
        <v>0</v>
      </c>
      <c r="N983">
        <v>0</v>
      </c>
      <c r="O983">
        <v>4</v>
      </c>
      <c r="P983">
        <v>0</v>
      </c>
      <c r="Q983">
        <v>4</v>
      </c>
      <c r="R983">
        <v>79</v>
      </c>
      <c r="S983">
        <v>79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79</v>
      </c>
      <c r="AA983">
        <v>0</v>
      </c>
      <c r="AB983">
        <v>0</v>
      </c>
      <c r="AC983" t="s">
        <v>130</v>
      </c>
      <c r="AD983">
        <v>83</v>
      </c>
    </row>
    <row r="984" spans="1:30" x14ac:dyDescent="0.3">
      <c r="A984" s="4">
        <v>996</v>
      </c>
      <c r="B984" s="5">
        <v>977</v>
      </c>
      <c r="C984">
        <v>4480</v>
      </c>
      <c r="D984" t="s">
        <v>2293</v>
      </c>
      <c r="E984" t="s">
        <v>161</v>
      </c>
      <c r="F984" t="s">
        <v>30</v>
      </c>
      <c r="G984" t="s">
        <v>2294</v>
      </c>
      <c r="H984" t="str">
        <f>"00510049"</f>
        <v>00510049</v>
      </c>
      <c r="I984">
        <v>36.840000000000003</v>
      </c>
      <c r="J984">
        <v>0</v>
      </c>
      <c r="K984">
        <v>8</v>
      </c>
      <c r="N984">
        <v>8</v>
      </c>
      <c r="O984">
        <v>4</v>
      </c>
      <c r="P984">
        <v>2</v>
      </c>
      <c r="Q984">
        <v>50.84</v>
      </c>
      <c r="R984">
        <v>26</v>
      </c>
      <c r="S984">
        <v>26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26</v>
      </c>
      <c r="AA984">
        <v>6</v>
      </c>
      <c r="AB984">
        <v>0</v>
      </c>
      <c r="AD984">
        <v>82.84</v>
      </c>
    </row>
    <row r="985" spans="1:30" x14ac:dyDescent="0.3">
      <c r="A985" s="4">
        <v>997</v>
      </c>
      <c r="B985" s="5">
        <v>978</v>
      </c>
      <c r="C985">
        <v>777</v>
      </c>
      <c r="D985" t="s">
        <v>2295</v>
      </c>
      <c r="E985" t="s">
        <v>29</v>
      </c>
      <c r="F985" t="s">
        <v>570</v>
      </c>
      <c r="G985" t="s">
        <v>2296</v>
      </c>
      <c r="H985" t="str">
        <f>"00693690"</f>
        <v>00693690</v>
      </c>
      <c r="I985">
        <v>39.6</v>
      </c>
      <c r="J985">
        <v>10</v>
      </c>
      <c r="N985">
        <v>0</v>
      </c>
      <c r="O985">
        <v>0</v>
      </c>
      <c r="P985">
        <v>0</v>
      </c>
      <c r="Q985">
        <v>49.6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6</v>
      </c>
      <c r="AB985">
        <v>27.2</v>
      </c>
      <c r="AD985">
        <v>82.8</v>
      </c>
    </row>
    <row r="986" spans="1:30" x14ac:dyDescent="0.3">
      <c r="A986" s="4">
        <v>998</v>
      </c>
      <c r="B986" s="5">
        <v>979</v>
      </c>
      <c r="C986">
        <v>4568</v>
      </c>
      <c r="D986" t="s">
        <v>2297</v>
      </c>
      <c r="E986" t="s">
        <v>88</v>
      </c>
      <c r="F986" t="s">
        <v>38</v>
      </c>
      <c r="G986" t="s">
        <v>2298</v>
      </c>
      <c r="H986" t="str">
        <f>"201511041804"</f>
        <v>201511041804</v>
      </c>
      <c r="I986">
        <v>38</v>
      </c>
      <c r="J986">
        <v>0</v>
      </c>
      <c r="K986">
        <v>8</v>
      </c>
      <c r="N986">
        <v>8</v>
      </c>
      <c r="O986">
        <v>4</v>
      </c>
      <c r="P986">
        <v>0</v>
      </c>
      <c r="Q986">
        <v>50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6</v>
      </c>
      <c r="AB986">
        <v>26.8</v>
      </c>
      <c r="AD986">
        <v>82.8</v>
      </c>
    </row>
    <row r="987" spans="1:30" x14ac:dyDescent="0.3">
      <c r="A987" s="4">
        <v>999</v>
      </c>
      <c r="B987" s="5">
        <v>980</v>
      </c>
      <c r="C987">
        <v>4150</v>
      </c>
      <c r="D987" t="s">
        <v>2299</v>
      </c>
      <c r="E987" t="s">
        <v>115</v>
      </c>
      <c r="F987" t="s">
        <v>20</v>
      </c>
      <c r="G987" t="s">
        <v>2300</v>
      </c>
      <c r="H987" t="str">
        <f>"00102384"</f>
        <v>00102384</v>
      </c>
      <c r="I987">
        <v>64.8</v>
      </c>
      <c r="J987">
        <v>0</v>
      </c>
      <c r="K987">
        <v>8</v>
      </c>
      <c r="N987">
        <v>8</v>
      </c>
      <c r="O987">
        <v>4</v>
      </c>
      <c r="P987">
        <v>0</v>
      </c>
      <c r="Q987">
        <v>76.8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6</v>
      </c>
      <c r="AB987">
        <v>0</v>
      </c>
      <c r="AD987">
        <v>82.8</v>
      </c>
    </row>
    <row r="988" spans="1:30" x14ac:dyDescent="0.3">
      <c r="A988" s="4">
        <v>1001</v>
      </c>
      <c r="B988" s="5">
        <v>981</v>
      </c>
      <c r="C988">
        <v>2965</v>
      </c>
      <c r="D988" t="s">
        <v>2302</v>
      </c>
      <c r="E988" t="s">
        <v>34</v>
      </c>
      <c r="F988" t="s">
        <v>81</v>
      </c>
      <c r="G988" t="s">
        <v>2303</v>
      </c>
      <c r="H988" t="str">
        <f>"00478544"</f>
        <v>00478544</v>
      </c>
      <c r="I988">
        <v>64.8</v>
      </c>
      <c r="J988">
        <v>0</v>
      </c>
      <c r="N988">
        <v>0</v>
      </c>
      <c r="O988">
        <v>0</v>
      </c>
      <c r="P988">
        <v>0</v>
      </c>
      <c r="Q988">
        <v>64.8</v>
      </c>
      <c r="R988">
        <v>18</v>
      </c>
      <c r="S988">
        <v>18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18</v>
      </c>
      <c r="AA988">
        <v>0</v>
      </c>
      <c r="AB988">
        <v>0</v>
      </c>
      <c r="AD988">
        <v>82.8</v>
      </c>
    </row>
    <row r="989" spans="1:30" x14ac:dyDescent="0.3">
      <c r="A989" s="4">
        <v>1002</v>
      </c>
      <c r="B989" s="5">
        <v>982</v>
      </c>
      <c r="C989">
        <v>3381</v>
      </c>
      <c r="D989" t="s">
        <v>2304</v>
      </c>
      <c r="E989" t="s">
        <v>2305</v>
      </c>
      <c r="F989" t="s">
        <v>343</v>
      </c>
      <c r="G989" t="s">
        <v>2306</v>
      </c>
      <c r="H989" t="str">
        <f>"201511042726"</f>
        <v>201511042726</v>
      </c>
      <c r="I989">
        <v>26.76</v>
      </c>
      <c r="J989">
        <v>0</v>
      </c>
      <c r="K989">
        <v>8</v>
      </c>
      <c r="N989">
        <v>8</v>
      </c>
      <c r="O989">
        <v>4</v>
      </c>
      <c r="P989">
        <v>0</v>
      </c>
      <c r="Q989">
        <v>38.76</v>
      </c>
      <c r="R989">
        <v>35</v>
      </c>
      <c r="S989">
        <v>35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35</v>
      </c>
      <c r="AA989">
        <v>9</v>
      </c>
      <c r="AB989">
        <v>0</v>
      </c>
      <c r="AD989">
        <v>82.76</v>
      </c>
    </row>
    <row r="990" spans="1:30" x14ac:dyDescent="0.3">
      <c r="A990" s="4">
        <v>1003</v>
      </c>
      <c r="B990" s="5">
        <v>983</v>
      </c>
      <c r="C990">
        <v>162</v>
      </c>
      <c r="D990" t="s">
        <v>2307</v>
      </c>
      <c r="E990" t="s">
        <v>2308</v>
      </c>
      <c r="F990" t="s">
        <v>167</v>
      </c>
      <c r="G990" t="s">
        <v>2309</v>
      </c>
      <c r="H990" t="str">
        <f>"00508731"</f>
        <v>00508731</v>
      </c>
      <c r="I990">
        <v>36.72</v>
      </c>
      <c r="J990">
        <v>0</v>
      </c>
      <c r="N990">
        <v>0</v>
      </c>
      <c r="O990">
        <v>4</v>
      </c>
      <c r="P990">
        <v>0</v>
      </c>
      <c r="Q990">
        <v>40.72</v>
      </c>
      <c r="R990">
        <v>36</v>
      </c>
      <c r="S990">
        <v>36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36</v>
      </c>
      <c r="AA990">
        <v>6</v>
      </c>
      <c r="AB990">
        <v>0</v>
      </c>
      <c r="AD990">
        <v>82.72</v>
      </c>
    </row>
    <row r="991" spans="1:30" x14ac:dyDescent="0.3">
      <c r="A991" s="4">
        <v>1004</v>
      </c>
      <c r="B991" s="5">
        <v>984</v>
      </c>
      <c r="C991">
        <v>3295</v>
      </c>
      <c r="D991" t="s">
        <v>2310</v>
      </c>
      <c r="E991" t="s">
        <v>143</v>
      </c>
      <c r="F991" t="s">
        <v>124</v>
      </c>
      <c r="G991" t="s">
        <v>2311</v>
      </c>
      <c r="H991" t="str">
        <f>"00525626"</f>
        <v>00525626</v>
      </c>
      <c r="I991">
        <v>21.6</v>
      </c>
      <c r="J991">
        <v>10</v>
      </c>
      <c r="N991">
        <v>0</v>
      </c>
      <c r="O991">
        <v>4</v>
      </c>
      <c r="P991">
        <v>2</v>
      </c>
      <c r="Q991">
        <v>37.6</v>
      </c>
      <c r="R991">
        <v>39</v>
      </c>
      <c r="S991">
        <v>39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39</v>
      </c>
      <c r="AA991">
        <v>6</v>
      </c>
      <c r="AB991">
        <v>0</v>
      </c>
      <c r="AD991">
        <v>82.6</v>
      </c>
    </row>
    <row r="992" spans="1:30" x14ac:dyDescent="0.3">
      <c r="A992" s="4">
        <v>1005</v>
      </c>
      <c r="B992" s="5">
        <v>985</v>
      </c>
      <c r="C992">
        <v>332</v>
      </c>
      <c r="D992" t="s">
        <v>2312</v>
      </c>
      <c r="E992" t="s">
        <v>173</v>
      </c>
      <c r="F992" t="s">
        <v>38</v>
      </c>
      <c r="G992" t="s">
        <v>2313</v>
      </c>
      <c r="H992" t="str">
        <f>"00509049"</f>
        <v>00509049</v>
      </c>
      <c r="I992">
        <v>21.6</v>
      </c>
      <c r="J992">
        <v>0</v>
      </c>
      <c r="M992">
        <v>4</v>
      </c>
      <c r="N992">
        <v>4</v>
      </c>
      <c r="O992">
        <v>0</v>
      </c>
      <c r="P992">
        <v>0</v>
      </c>
      <c r="Q992">
        <v>25.6</v>
      </c>
      <c r="R992">
        <v>57</v>
      </c>
      <c r="S992">
        <v>57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57</v>
      </c>
      <c r="AA992">
        <v>0</v>
      </c>
      <c r="AB992">
        <v>0</v>
      </c>
      <c r="AD992">
        <v>82.6</v>
      </c>
    </row>
    <row r="993" spans="1:30" x14ac:dyDescent="0.3">
      <c r="A993" s="4">
        <v>1006</v>
      </c>
      <c r="B993" s="5">
        <v>986</v>
      </c>
      <c r="C993">
        <v>2594</v>
      </c>
      <c r="D993" t="s">
        <v>2314</v>
      </c>
      <c r="E993" t="s">
        <v>147</v>
      </c>
      <c r="F993" t="s">
        <v>158</v>
      </c>
      <c r="G993" t="s">
        <v>2315</v>
      </c>
      <c r="H993" t="str">
        <f>"00531424"</f>
        <v>00531424</v>
      </c>
      <c r="I993">
        <v>21.44</v>
      </c>
      <c r="J993">
        <v>0</v>
      </c>
      <c r="M993">
        <v>4</v>
      </c>
      <c r="N993">
        <v>4</v>
      </c>
      <c r="O993">
        <v>4</v>
      </c>
      <c r="P993">
        <v>0</v>
      </c>
      <c r="Q993">
        <v>29.44</v>
      </c>
      <c r="R993">
        <v>47</v>
      </c>
      <c r="S993">
        <v>47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47</v>
      </c>
      <c r="AA993">
        <v>6</v>
      </c>
      <c r="AB993">
        <v>0</v>
      </c>
      <c r="AD993">
        <v>82.44</v>
      </c>
    </row>
    <row r="994" spans="1:30" x14ac:dyDescent="0.3">
      <c r="A994" s="4">
        <v>1007</v>
      </c>
      <c r="B994" s="5">
        <v>987</v>
      </c>
      <c r="C994">
        <v>4234</v>
      </c>
      <c r="D994" t="s">
        <v>2316</v>
      </c>
      <c r="E994" t="s">
        <v>789</v>
      </c>
      <c r="F994" t="s">
        <v>587</v>
      </c>
      <c r="G994" t="s">
        <v>2317</v>
      </c>
      <c r="H994" t="str">
        <f>"00481386"</f>
        <v>00481386</v>
      </c>
      <c r="I994">
        <v>14.4</v>
      </c>
      <c r="J994">
        <v>0</v>
      </c>
      <c r="N994">
        <v>0</v>
      </c>
      <c r="O994">
        <v>4</v>
      </c>
      <c r="P994">
        <v>2</v>
      </c>
      <c r="Q994">
        <v>20.399999999999999</v>
      </c>
      <c r="R994">
        <v>56</v>
      </c>
      <c r="S994">
        <v>56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56</v>
      </c>
      <c r="AA994">
        <v>6</v>
      </c>
      <c r="AB994">
        <v>0</v>
      </c>
      <c r="AD994">
        <v>82.4</v>
      </c>
    </row>
    <row r="995" spans="1:30" x14ac:dyDescent="0.3">
      <c r="A995" s="4">
        <v>1008</v>
      </c>
      <c r="B995" s="5">
        <v>988</v>
      </c>
      <c r="C995">
        <v>1574</v>
      </c>
      <c r="D995" t="s">
        <v>2318</v>
      </c>
      <c r="E995" t="s">
        <v>471</v>
      </c>
      <c r="F995" t="s">
        <v>466</v>
      </c>
      <c r="G995" t="s">
        <v>2319</v>
      </c>
      <c r="H995" t="str">
        <f>"00504574"</f>
        <v>00504574</v>
      </c>
      <c r="I995">
        <v>34.4</v>
      </c>
      <c r="J995">
        <v>0</v>
      </c>
      <c r="K995">
        <v>8</v>
      </c>
      <c r="N995">
        <v>8</v>
      </c>
      <c r="O995">
        <v>4</v>
      </c>
      <c r="P995">
        <v>2</v>
      </c>
      <c r="Q995">
        <v>48.4</v>
      </c>
      <c r="R995">
        <v>31</v>
      </c>
      <c r="S995">
        <v>31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31</v>
      </c>
      <c r="AA995">
        <v>3</v>
      </c>
      <c r="AB995">
        <v>0</v>
      </c>
      <c r="AD995">
        <v>82.4</v>
      </c>
    </row>
    <row r="996" spans="1:30" x14ac:dyDescent="0.3">
      <c r="A996" s="4">
        <v>1009</v>
      </c>
      <c r="B996" s="5">
        <v>989</v>
      </c>
      <c r="C996">
        <v>2179</v>
      </c>
      <c r="D996" t="s">
        <v>2320</v>
      </c>
      <c r="E996" t="s">
        <v>166</v>
      </c>
      <c r="F996" t="s">
        <v>801</v>
      </c>
      <c r="G996" t="s">
        <v>2321</v>
      </c>
      <c r="H996" t="str">
        <f>"00530750"</f>
        <v>00530750</v>
      </c>
      <c r="I996">
        <v>50.4</v>
      </c>
      <c r="J996">
        <v>10</v>
      </c>
      <c r="L996">
        <v>6</v>
      </c>
      <c r="N996">
        <v>6</v>
      </c>
      <c r="O996">
        <v>4</v>
      </c>
      <c r="P996">
        <v>2</v>
      </c>
      <c r="Q996">
        <v>72.400000000000006</v>
      </c>
      <c r="R996">
        <v>10</v>
      </c>
      <c r="S996">
        <v>10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10</v>
      </c>
      <c r="AA996">
        <v>0</v>
      </c>
      <c r="AB996">
        <v>0</v>
      </c>
      <c r="AD996">
        <v>82.4</v>
      </c>
    </row>
    <row r="997" spans="1:30" x14ac:dyDescent="0.3">
      <c r="A997" s="4">
        <v>1010</v>
      </c>
      <c r="B997" s="5">
        <v>990</v>
      </c>
      <c r="C997">
        <v>4445</v>
      </c>
      <c r="D997" t="s">
        <v>2322</v>
      </c>
      <c r="E997" t="s">
        <v>41</v>
      </c>
      <c r="F997" t="s">
        <v>52</v>
      </c>
      <c r="G997" t="s">
        <v>2323</v>
      </c>
      <c r="H997" t="str">
        <f>"00456212"</f>
        <v>00456212</v>
      </c>
      <c r="I997">
        <v>50.4</v>
      </c>
      <c r="J997">
        <v>0</v>
      </c>
      <c r="K997">
        <v>8</v>
      </c>
      <c r="N997">
        <v>8</v>
      </c>
      <c r="O997">
        <v>4</v>
      </c>
      <c r="P997">
        <v>2</v>
      </c>
      <c r="Q997">
        <v>64.400000000000006</v>
      </c>
      <c r="R997">
        <v>18</v>
      </c>
      <c r="S997">
        <v>18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18</v>
      </c>
      <c r="AA997">
        <v>0</v>
      </c>
      <c r="AB997">
        <v>0</v>
      </c>
      <c r="AD997">
        <v>82.4</v>
      </c>
    </row>
    <row r="998" spans="1:30" x14ac:dyDescent="0.3">
      <c r="A998" s="4">
        <v>1011</v>
      </c>
      <c r="B998" s="5">
        <v>991</v>
      </c>
      <c r="C998">
        <v>4340</v>
      </c>
      <c r="D998" t="s">
        <v>2324</v>
      </c>
      <c r="E998" t="s">
        <v>161</v>
      </c>
      <c r="F998" t="s">
        <v>158</v>
      </c>
      <c r="G998" t="s">
        <v>2325</v>
      </c>
      <c r="H998" t="str">
        <f>"201511034877"</f>
        <v>201511034877</v>
      </c>
      <c r="I998">
        <v>14.4</v>
      </c>
      <c r="J998">
        <v>0</v>
      </c>
      <c r="K998">
        <v>8</v>
      </c>
      <c r="N998">
        <v>8</v>
      </c>
      <c r="O998">
        <v>4</v>
      </c>
      <c r="P998">
        <v>2</v>
      </c>
      <c r="Q998">
        <v>28.4</v>
      </c>
      <c r="R998">
        <v>54</v>
      </c>
      <c r="S998">
        <v>54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54</v>
      </c>
      <c r="AA998">
        <v>0</v>
      </c>
      <c r="AB998">
        <v>0</v>
      </c>
      <c r="AD998">
        <v>82.4</v>
      </c>
    </row>
    <row r="999" spans="1:30" x14ac:dyDescent="0.3">
      <c r="A999" s="4">
        <v>1012</v>
      </c>
      <c r="B999" s="5">
        <v>992</v>
      </c>
      <c r="C999">
        <v>4606</v>
      </c>
      <c r="D999" t="s">
        <v>2326</v>
      </c>
      <c r="E999" t="s">
        <v>41</v>
      </c>
      <c r="F999" t="s">
        <v>20</v>
      </c>
      <c r="G999" t="s">
        <v>2327</v>
      </c>
      <c r="H999" t="str">
        <f>"00154315"</f>
        <v>00154315</v>
      </c>
      <c r="I999">
        <v>24.28</v>
      </c>
      <c r="J999">
        <v>0</v>
      </c>
      <c r="N999">
        <v>0</v>
      </c>
      <c r="O999">
        <v>0</v>
      </c>
      <c r="P999">
        <v>0</v>
      </c>
      <c r="Q999">
        <v>24.28</v>
      </c>
      <c r="R999">
        <v>55</v>
      </c>
      <c r="S999">
        <v>55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55</v>
      </c>
      <c r="AA999">
        <v>3</v>
      </c>
      <c r="AB999">
        <v>0</v>
      </c>
      <c r="AD999">
        <v>82.28</v>
      </c>
    </row>
    <row r="1000" spans="1:30" x14ac:dyDescent="0.3">
      <c r="A1000" s="4">
        <v>1013</v>
      </c>
      <c r="B1000" s="5">
        <v>993</v>
      </c>
      <c r="C1000">
        <v>663</v>
      </c>
      <c r="D1000" t="s">
        <v>2328</v>
      </c>
      <c r="E1000" t="s">
        <v>29</v>
      </c>
      <c r="F1000" t="s">
        <v>20</v>
      </c>
      <c r="G1000" t="s">
        <v>2329</v>
      </c>
      <c r="H1000" t="str">
        <f>"00163441"</f>
        <v>00163441</v>
      </c>
      <c r="I1000">
        <v>30.28</v>
      </c>
      <c r="J1000">
        <v>0</v>
      </c>
      <c r="N1000">
        <v>0</v>
      </c>
      <c r="O1000">
        <v>4</v>
      </c>
      <c r="P1000">
        <v>0</v>
      </c>
      <c r="Q1000">
        <v>34.28</v>
      </c>
      <c r="R1000">
        <v>48</v>
      </c>
      <c r="S1000">
        <v>48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48</v>
      </c>
      <c r="AA1000">
        <v>0</v>
      </c>
      <c r="AB1000">
        <v>0</v>
      </c>
      <c r="AD1000">
        <v>82.28</v>
      </c>
    </row>
    <row r="1001" spans="1:30" x14ac:dyDescent="0.3">
      <c r="A1001" s="4">
        <v>1014</v>
      </c>
      <c r="B1001" s="5">
        <v>994</v>
      </c>
      <c r="C1001">
        <v>98</v>
      </c>
      <c r="D1001" t="s">
        <v>2330</v>
      </c>
      <c r="E1001" t="s">
        <v>54</v>
      </c>
      <c r="F1001" t="s">
        <v>55</v>
      </c>
      <c r="G1001" t="s">
        <v>2331</v>
      </c>
      <c r="H1001" t="str">
        <f>"00518519"</f>
        <v>00518519</v>
      </c>
      <c r="I1001">
        <v>43.2</v>
      </c>
      <c r="J1001">
        <v>0</v>
      </c>
      <c r="K1001">
        <v>8</v>
      </c>
      <c r="N1001">
        <v>8</v>
      </c>
      <c r="O1001">
        <v>4</v>
      </c>
      <c r="P1001">
        <v>0</v>
      </c>
      <c r="Q1001">
        <v>55.2</v>
      </c>
      <c r="R1001">
        <v>18</v>
      </c>
      <c r="S1001">
        <v>18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18</v>
      </c>
      <c r="AA1001">
        <v>9</v>
      </c>
      <c r="AB1001">
        <v>0</v>
      </c>
      <c r="AD1001">
        <v>82.2</v>
      </c>
    </row>
    <row r="1002" spans="1:30" x14ac:dyDescent="0.3">
      <c r="A1002" s="4">
        <v>1015</v>
      </c>
      <c r="B1002" s="5">
        <v>995</v>
      </c>
      <c r="C1002">
        <v>706</v>
      </c>
      <c r="D1002" t="s">
        <v>2332</v>
      </c>
      <c r="E1002" t="s">
        <v>29</v>
      </c>
      <c r="F1002" t="s">
        <v>2333</v>
      </c>
      <c r="G1002" t="s">
        <v>2334</v>
      </c>
      <c r="H1002" t="str">
        <f>"00507561"</f>
        <v>00507561</v>
      </c>
      <c r="I1002">
        <v>26.2</v>
      </c>
      <c r="J1002">
        <v>0</v>
      </c>
      <c r="N1002">
        <v>0</v>
      </c>
      <c r="O1002">
        <v>4</v>
      </c>
      <c r="P1002">
        <v>2</v>
      </c>
      <c r="Q1002">
        <v>32.200000000000003</v>
      </c>
      <c r="R1002">
        <v>44</v>
      </c>
      <c r="S1002">
        <v>44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44</v>
      </c>
      <c r="AA1002">
        <v>6</v>
      </c>
      <c r="AB1002">
        <v>0</v>
      </c>
      <c r="AD1002">
        <v>82.2</v>
      </c>
    </row>
    <row r="1003" spans="1:30" x14ac:dyDescent="0.3">
      <c r="A1003" s="4">
        <v>1016</v>
      </c>
      <c r="B1003" s="5">
        <v>996</v>
      </c>
      <c r="C1003">
        <v>359</v>
      </c>
      <c r="D1003" t="s">
        <v>2335</v>
      </c>
      <c r="E1003" t="s">
        <v>301</v>
      </c>
      <c r="F1003" t="s">
        <v>2336</v>
      </c>
      <c r="G1003" t="s">
        <v>2337</v>
      </c>
      <c r="H1003" t="str">
        <f>"00208278"</f>
        <v>00208278</v>
      </c>
      <c r="I1003">
        <v>43.2</v>
      </c>
      <c r="J1003">
        <v>10</v>
      </c>
      <c r="M1003">
        <v>4</v>
      </c>
      <c r="N1003">
        <v>4</v>
      </c>
      <c r="O1003">
        <v>4</v>
      </c>
      <c r="P1003">
        <v>0</v>
      </c>
      <c r="Q1003">
        <v>61.2</v>
      </c>
      <c r="R1003">
        <v>18</v>
      </c>
      <c r="S1003">
        <v>18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18</v>
      </c>
      <c r="AA1003">
        <v>3</v>
      </c>
      <c r="AB1003">
        <v>0</v>
      </c>
      <c r="AD1003">
        <v>82.2</v>
      </c>
    </row>
    <row r="1004" spans="1:30" x14ac:dyDescent="0.3">
      <c r="A1004" s="4">
        <v>1017</v>
      </c>
      <c r="B1004" s="5">
        <v>997</v>
      </c>
      <c r="C1004">
        <v>462</v>
      </c>
      <c r="D1004" t="s">
        <v>2338</v>
      </c>
      <c r="E1004" t="s">
        <v>97</v>
      </c>
      <c r="F1004" t="s">
        <v>62</v>
      </c>
      <c r="G1004" t="s">
        <v>2339</v>
      </c>
      <c r="H1004" t="str">
        <f>"00497929"</f>
        <v>00497929</v>
      </c>
      <c r="I1004">
        <v>7.2</v>
      </c>
      <c r="J1004">
        <v>0</v>
      </c>
      <c r="N1004">
        <v>0</v>
      </c>
      <c r="O1004">
        <v>4</v>
      </c>
      <c r="P1004">
        <v>0</v>
      </c>
      <c r="Q1004">
        <v>11.2</v>
      </c>
      <c r="R1004">
        <v>68</v>
      </c>
      <c r="S1004">
        <v>68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68</v>
      </c>
      <c r="AA1004">
        <v>3</v>
      </c>
      <c r="AB1004">
        <v>0</v>
      </c>
      <c r="AD1004">
        <v>82.2</v>
      </c>
    </row>
    <row r="1005" spans="1:30" x14ac:dyDescent="0.3">
      <c r="A1005" s="4">
        <v>1018</v>
      </c>
      <c r="B1005" s="5">
        <v>998</v>
      </c>
      <c r="C1005">
        <v>3506</v>
      </c>
      <c r="D1005" t="s">
        <v>2340</v>
      </c>
      <c r="E1005" t="s">
        <v>516</v>
      </c>
      <c r="F1005" t="s">
        <v>782</v>
      </c>
      <c r="G1005" t="s">
        <v>2341</v>
      </c>
      <c r="H1005" t="str">
        <f>"00509399"</f>
        <v>00509399</v>
      </c>
      <c r="I1005">
        <v>39.200000000000003</v>
      </c>
      <c r="J1005">
        <v>0</v>
      </c>
      <c r="N1005">
        <v>0</v>
      </c>
      <c r="O1005">
        <v>0</v>
      </c>
      <c r="P1005">
        <v>0</v>
      </c>
      <c r="Q1005">
        <v>39.200000000000003</v>
      </c>
      <c r="R1005">
        <v>27</v>
      </c>
      <c r="S1005">
        <v>27</v>
      </c>
      <c r="T1005">
        <v>8</v>
      </c>
      <c r="U1005">
        <v>16</v>
      </c>
      <c r="V1005">
        <v>0</v>
      </c>
      <c r="W1005">
        <v>0</v>
      </c>
      <c r="X1005">
        <v>0</v>
      </c>
      <c r="Y1005">
        <v>0</v>
      </c>
      <c r="Z1005">
        <v>43</v>
      </c>
      <c r="AA1005">
        <v>0</v>
      </c>
      <c r="AB1005">
        <v>0</v>
      </c>
      <c r="AD1005">
        <v>82.2</v>
      </c>
    </row>
    <row r="1006" spans="1:30" x14ac:dyDescent="0.3">
      <c r="A1006" s="4">
        <v>1019</v>
      </c>
      <c r="B1006" s="5">
        <v>999</v>
      </c>
      <c r="C1006">
        <v>2913</v>
      </c>
      <c r="D1006" t="s">
        <v>2342</v>
      </c>
      <c r="E1006" t="s">
        <v>29</v>
      </c>
      <c r="F1006" t="s">
        <v>81</v>
      </c>
      <c r="G1006" t="s">
        <v>2343</v>
      </c>
      <c r="H1006" t="str">
        <f>"200712004849"</f>
        <v>200712004849</v>
      </c>
      <c r="I1006">
        <v>7.2</v>
      </c>
      <c r="J1006">
        <v>10</v>
      </c>
      <c r="K1006">
        <v>8</v>
      </c>
      <c r="N1006">
        <v>8</v>
      </c>
      <c r="O1006">
        <v>4</v>
      </c>
      <c r="P1006">
        <v>0</v>
      </c>
      <c r="Q1006">
        <v>29.2</v>
      </c>
      <c r="R1006">
        <v>53</v>
      </c>
      <c r="S1006">
        <v>53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53</v>
      </c>
      <c r="AA1006">
        <v>0</v>
      </c>
      <c r="AB1006">
        <v>0</v>
      </c>
      <c r="AD1006">
        <v>82.2</v>
      </c>
    </row>
    <row r="1007" spans="1:30" x14ac:dyDescent="0.3">
      <c r="A1007" s="4">
        <v>1020</v>
      </c>
      <c r="B1007" s="5">
        <v>1000</v>
      </c>
      <c r="C1007">
        <v>1526</v>
      </c>
      <c r="D1007" t="s">
        <v>2344</v>
      </c>
      <c r="E1007" t="s">
        <v>2345</v>
      </c>
      <c r="F1007" t="s">
        <v>34</v>
      </c>
      <c r="G1007" t="s">
        <v>2346</v>
      </c>
      <c r="H1007" t="str">
        <f>"00507062"</f>
        <v>00507062</v>
      </c>
      <c r="I1007">
        <v>39.159999999999997</v>
      </c>
      <c r="J1007">
        <v>10</v>
      </c>
      <c r="M1007">
        <v>4</v>
      </c>
      <c r="N1007">
        <v>4</v>
      </c>
      <c r="O1007">
        <v>4</v>
      </c>
      <c r="P1007">
        <v>2</v>
      </c>
      <c r="Q1007">
        <v>59.16</v>
      </c>
      <c r="R1007">
        <v>14</v>
      </c>
      <c r="S1007">
        <v>14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14</v>
      </c>
      <c r="AA1007">
        <v>9</v>
      </c>
      <c r="AB1007">
        <v>0</v>
      </c>
      <c r="AD1007">
        <v>82.16</v>
      </c>
    </row>
    <row r="1008" spans="1:30" x14ac:dyDescent="0.3">
      <c r="A1008" s="4">
        <v>1021</v>
      </c>
      <c r="B1008" s="5">
        <v>1001</v>
      </c>
      <c r="C1008">
        <v>3723</v>
      </c>
      <c r="D1008" t="s">
        <v>2347</v>
      </c>
      <c r="E1008" t="s">
        <v>575</v>
      </c>
      <c r="F1008" t="s">
        <v>1566</v>
      </c>
      <c r="G1008" t="s">
        <v>2348</v>
      </c>
      <c r="H1008" t="str">
        <f>"00521727"</f>
        <v>00521727</v>
      </c>
      <c r="I1008">
        <v>72</v>
      </c>
      <c r="J1008">
        <v>0</v>
      </c>
      <c r="M1008">
        <v>4</v>
      </c>
      <c r="N1008">
        <v>4</v>
      </c>
      <c r="O1008">
        <v>4</v>
      </c>
      <c r="P1008">
        <v>2</v>
      </c>
      <c r="Q1008">
        <v>82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D1008">
        <v>82</v>
      </c>
    </row>
    <row r="1009" spans="1:30" x14ac:dyDescent="0.3">
      <c r="A1009" s="4">
        <v>1022</v>
      </c>
      <c r="B1009" s="5">
        <v>1002</v>
      </c>
      <c r="C1009">
        <v>3537</v>
      </c>
      <c r="D1009" t="s">
        <v>1495</v>
      </c>
      <c r="E1009" t="s">
        <v>143</v>
      </c>
      <c r="F1009" t="s">
        <v>136</v>
      </c>
      <c r="G1009" t="s">
        <v>2349</v>
      </c>
      <c r="H1009" t="str">
        <f>"00522286"</f>
        <v>00522286</v>
      </c>
      <c r="I1009">
        <v>72</v>
      </c>
      <c r="J1009">
        <v>0</v>
      </c>
      <c r="M1009">
        <v>4</v>
      </c>
      <c r="N1009">
        <v>4</v>
      </c>
      <c r="O1009">
        <v>4</v>
      </c>
      <c r="P1009">
        <v>2</v>
      </c>
      <c r="Q1009">
        <v>82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D1009">
        <v>82</v>
      </c>
    </row>
    <row r="1010" spans="1:30" x14ac:dyDescent="0.3">
      <c r="A1010" s="4">
        <v>1023</v>
      </c>
      <c r="B1010" s="5">
        <v>1003</v>
      </c>
      <c r="C1010">
        <v>1953</v>
      </c>
      <c r="D1010" t="s">
        <v>2350</v>
      </c>
      <c r="E1010" t="s">
        <v>166</v>
      </c>
      <c r="F1010" t="s">
        <v>68</v>
      </c>
      <c r="G1010" t="s">
        <v>2351</v>
      </c>
      <c r="H1010" t="str">
        <f>"00857088"</f>
        <v>00857088</v>
      </c>
      <c r="I1010">
        <v>72</v>
      </c>
      <c r="J1010">
        <v>0</v>
      </c>
      <c r="M1010">
        <v>4</v>
      </c>
      <c r="N1010">
        <v>4</v>
      </c>
      <c r="O1010">
        <v>4</v>
      </c>
      <c r="P1010">
        <v>2</v>
      </c>
      <c r="Q1010">
        <v>82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D1010">
        <v>82</v>
      </c>
    </row>
    <row r="1011" spans="1:30" x14ac:dyDescent="0.3">
      <c r="A1011" s="4">
        <v>1024</v>
      </c>
      <c r="B1011" s="5">
        <v>1004</v>
      </c>
      <c r="C1011">
        <v>1753</v>
      </c>
      <c r="D1011" t="s">
        <v>2352</v>
      </c>
      <c r="E1011" t="s">
        <v>1280</v>
      </c>
      <c r="F1011" t="s">
        <v>81</v>
      </c>
      <c r="G1011" t="s">
        <v>2353</v>
      </c>
      <c r="H1011" t="str">
        <f>"00533923"</f>
        <v>00533923</v>
      </c>
      <c r="I1011">
        <v>72</v>
      </c>
      <c r="J1011">
        <v>10</v>
      </c>
      <c r="N1011">
        <v>0</v>
      </c>
      <c r="O1011">
        <v>0</v>
      </c>
      <c r="P1011">
        <v>0</v>
      </c>
      <c r="Q1011">
        <v>82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D1011">
        <v>82</v>
      </c>
    </row>
    <row r="1012" spans="1:30" x14ac:dyDescent="0.3">
      <c r="A1012" s="4">
        <v>1025</v>
      </c>
      <c r="B1012" s="5">
        <v>1005</v>
      </c>
      <c r="C1012">
        <v>3109</v>
      </c>
      <c r="D1012" t="s">
        <v>2354</v>
      </c>
      <c r="E1012" t="s">
        <v>37</v>
      </c>
      <c r="F1012" t="s">
        <v>17</v>
      </c>
      <c r="G1012" t="s">
        <v>2355</v>
      </c>
      <c r="H1012" t="str">
        <f>"00667521"</f>
        <v>00667521</v>
      </c>
      <c r="I1012">
        <v>72</v>
      </c>
      <c r="J1012">
        <v>0</v>
      </c>
      <c r="M1012">
        <v>4</v>
      </c>
      <c r="N1012">
        <v>4</v>
      </c>
      <c r="O1012">
        <v>4</v>
      </c>
      <c r="P1012">
        <v>2</v>
      </c>
      <c r="Q1012">
        <v>82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D1012">
        <v>82</v>
      </c>
    </row>
    <row r="1013" spans="1:30" x14ac:dyDescent="0.3">
      <c r="A1013" s="4">
        <v>1026</v>
      </c>
      <c r="B1013" s="5">
        <v>1006</v>
      </c>
      <c r="C1013">
        <v>4818</v>
      </c>
      <c r="D1013" t="s">
        <v>2356</v>
      </c>
      <c r="E1013" t="s">
        <v>2357</v>
      </c>
      <c r="F1013" t="s">
        <v>17</v>
      </c>
      <c r="G1013" t="s">
        <v>2358</v>
      </c>
      <c r="H1013" t="str">
        <f>"00531556"</f>
        <v>00531556</v>
      </c>
      <c r="I1013">
        <v>72</v>
      </c>
      <c r="J1013">
        <v>10</v>
      </c>
      <c r="N1013">
        <v>0</v>
      </c>
      <c r="O1013">
        <v>0</v>
      </c>
      <c r="P1013">
        <v>0</v>
      </c>
      <c r="Q1013">
        <v>82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D1013">
        <v>82</v>
      </c>
    </row>
    <row r="1014" spans="1:30" x14ac:dyDescent="0.3">
      <c r="A1014" s="4">
        <v>1027</v>
      </c>
      <c r="B1014" s="5">
        <v>1007</v>
      </c>
      <c r="C1014">
        <v>4217</v>
      </c>
      <c r="D1014" t="s">
        <v>2359</v>
      </c>
      <c r="E1014" t="s">
        <v>88</v>
      </c>
      <c r="F1014" t="s">
        <v>2360</v>
      </c>
      <c r="H1014" t="str">
        <f>"00863177"</f>
        <v>00863177</v>
      </c>
      <c r="I1014">
        <v>72</v>
      </c>
      <c r="J1014">
        <v>10</v>
      </c>
      <c r="N1014">
        <v>0</v>
      </c>
      <c r="O1014">
        <v>0</v>
      </c>
      <c r="P1014">
        <v>0</v>
      </c>
      <c r="Q1014">
        <v>82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D1014">
        <v>82</v>
      </c>
    </row>
    <row r="1015" spans="1:30" x14ac:dyDescent="0.3">
      <c r="A1015" s="4">
        <v>1028</v>
      </c>
      <c r="B1015" s="5">
        <v>1008</v>
      </c>
      <c r="C1015">
        <v>1600</v>
      </c>
      <c r="D1015" t="s">
        <v>2361</v>
      </c>
      <c r="E1015" t="s">
        <v>2150</v>
      </c>
      <c r="F1015" t="s">
        <v>38</v>
      </c>
      <c r="G1015" t="s">
        <v>2362</v>
      </c>
      <c r="H1015" t="str">
        <f>"00534266"</f>
        <v>00534266</v>
      </c>
      <c r="I1015">
        <v>40</v>
      </c>
      <c r="J1015">
        <v>10</v>
      </c>
      <c r="K1015">
        <v>8</v>
      </c>
      <c r="N1015">
        <v>8</v>
      </c>
      <c r="O1015">
        <v>4</v>
      </c>
      <c r="P1015">
        <v>2</v>
      </c>
      <c r="Q1015">
        <v>64</v>
      </c>
      <c r="R1015">
        <v>18</v>
      </c>
      <c r="S1015">
        <v>18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18</v>
      </c>
      <c r="AA1015">
        <v>0</v>
      </c>
      <c r="AB1015">
        <v>0</v>
      </c>
      <c r="AD1015">
        <v>82</v>
      </c>
    </row>
    <row r="1016" spans="1:30" x14ac:dyDescent="0.3">
      <c r="A1016" s="4">
        <v>1029</v>
      </c>
      <c r="B1016" s="5">
        <v>1009</v>
      </c>
      <c r="C1016">
        <v>3370</v>
      </c>
      <c r="D1016" t="s">
        <v>2363</v>
      </c>
      <c r="E1016" t="s">
        <v>166</v>
      </c>
      <c r="F1016" t="s">
        <v>20</v>
      </c>
      <c r="G1016" t="s">
        <v>2364</v>
      </c>
      <c r="H1016" t="str">
        <f>"00019694"</f>
        <v>00019694</v>
      </c>
      <c r="I1016">
        <v>40</v>
      </c>
      <c r="J1016">
        <v>10</v>
      </c>
      <c r="K1016">
        <v>8</v>
      </c>
      <c r="N1016">
        <v>8</v>
      </c>
      <c r="O1016">
        <v>4</v>
      </c>
      <c r="P1016">
        <v>2</v>
      </c>
      <c r="Q1016">
        <v>64</v>
      </c>
      <c r="R1016">
        <v>18</v>
      </c>
      <c r="S1016">
        <v>18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18</v>
      </c>
      <c r="AA1016">
        <v>0</v>
      </c>
      <c r="AB1016">
        <v>0</v>
      </c>
      <c r="AD1016">
        <v>82</v>
      </c>
    </row>
    <row r="1017" spans="1:30" x14ac:dyDescent="0.3">
      <c r="A1017" s="4">
        <v>1030</v>
      </c>
      <c r="B1017" s="5">
        <v>1010</v>
      </c>
      <c r="C1017">
        <v>2663</v>
      </c>
      <c r="D1017" t="s">
        <v>2365</v>
      </c>
      <c r="E1017" t="s">
        <v>1874</v>
      </c>
      <c r="F1017" t="s">
        <v>17</v>
      </c>
      <c r="G1017" t="s">
        <v>2366</v>
      </c>
      <c r="H1017" t="str">
        <f>"201510001052"</f>
        <v>201510001052</v>
      </c>
      <c r="I1017">
        <v>40</v>
      </c>
      <c r="J1017">
        <v>10</v>
      </c>
      <c r="K1017">
        <v>16</v>
      </c>
      <c r="N1017">
        <v>16</v>
      </c>
      <c r="O1017">
        <v>4</v>
      </c>
      <c r="P1017">
        <v>2</v>
      </c>
      <c r="Q1017">
        <v>64</v>
      </c>
      <c r="R1017">
        <v>18</v>
      </c>
      <c r="S1017">
        <v>18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18</v>
      </c>
      <c r="AA1017">
        <v>0</v>
      </c>
      <c r="AB1017">
        <v>0</v>
      </c>
      <c r="AD1017">
        <v>82</v>
      </c>
    </row>
    <row r="1018" spans="1:30" x14ac:dyDescent="0.3">
      <c r="A1018" s="4">
        <v>1031</v>
      </c>
      <c r="B1018" s="5">
        <v>1011</v>
      </c>
      <c r="C1018">
        <v>2873</v>
      </c>
      <c r="D1018" t="s">
        <v>2367</v>
      </c>
      <c r="E1018" t="s">
        <v>29</v>
      </c>
      <c r="F1018" t="s">
        <v>20</v>
      </c>
      <c r="G1018" t="s">
        <v>2368</v>
      </c>
      <c r="H1018" t="str">
        <f>"00492502"</f>
        <v>00492502</v>
      </c>
      <c r="I1018">
        <v>36</v>
      </c>
      <c r="J1018">
        <v>0</v>
      </c>
      <c r="K1018">
        <v>8</v>
      </c>
      <c r="N1018">
        <v>8</v>
      </c>
      <c r="O1018">
        <v>4</v>
      </c>
      <c r="P1018">
        <v>2</v>
      </c>
      <c r="Q1018">
        <v>50</v>
      </c>
      <c r="R1018">
        <v>32</v>
      </c>
      <c r="S1018">
        <v>32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32</v>
      </c>
      <c r="AA1018">
        <v>0</v>
      </c>
      <c r="AB1018">
        <v>0</v>
      </c>
      <c r="AD1018">
        <v>82</v>
      </c>
    </row>
    <row r="1019" spans="1:30" x14ac:dyDescent="0.3">
      <c r="A1019" s="4">
        <v>1032</v>
      </c>
      <c r="B1019" s="5">
        <v>1012</v>
      </c>
      <c r="C1019">
        <v>4248</v>
      </c>
      <c r="D1019" t="s">
        <v>2369</v>
      </c>
      <c r="E1019" t="s">
        <v>188</v>
      </c>
      <c r="F1019" t="s">
        <v>2370</v>
      </c>
      <c r="G1019" t="s">
        <v>2371</v>
      </c>
      <c r="H1019" t="str">
        <f>"00503187"</f>
        <v>00503187</v>
      </c>
      <c r="I1019">
        <v>36</v>
      </c>
      <c r="J1019">
        <v>0</v>
      </c>
      <c r="K1019">
        <v>8</v>
      </c>
      <c r="N1019">
        <v>8</v>
      </c>
      <c r="O1019">
        <v>4</v>
      </c>
      <c r="P1019">
        <v>2</v>
      </c>
      <c r="Q1019">
        <v>50</v>
      </c>
      <c r="R1019">
        <v>32</v>
      </c>
      <c r="S1019">
        <v>32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32</v>
      </c>
      <c r="AA1019">
        <v>0</v>
      </c>
      <c r="AB1019">
        <v>0</v>
      </c>
      <c r="AD1019">
        <v>82</v>
      </c>
    </row>
    <row r="1020" spans="1:30" x14ac:dyDescent="0.3">
      <c r="A1020" s="4">
        <v>1033</v>
      </c>
      <c r="B1020" s="5">
        <v>1013</v>
      </c>
      <c r="C1020">
        <v>1291</v>
      </c>
      <c r="D1020" t="s">
        <v>1095</v>
      </c>
      <c r="E1020" t="s">
        <v>2372</v>
      </c>
      <c r="F1020" t="s">
        <v>158</v>
      </c>
      <c r="G1020" t="s">
        <v>2373</v>
      </c>
      <c r="H1020" t="str">
        <f>"00498272"</f>
        <v>00498272</v>
      </c>
      <c r="I1020">
        <v>36</v>
      </c>
      <c r="J1020">
        <v>0</v>
      </c>
      <c r="N1020">
        <v>0</v>
      </c>
      <c r="O1020">
        <v>4</v>
      </c>
      <c r="P1020">
        <v>2</v>
      </c>
      <c r="Q1020">
        <v>42</v>
      </c>
      <c r="R1020">
        <v>4</v>
      </c>
      <c r="S1020">
        <v>4</v>
      </c>
      <c r="T1020">
        <v>18</v>
      </c>
      <c r="U1020">
        <v>36</v>
      </c>
      <c r="V1020">
        <v>0</v>
      </c>
      <c r="W1020">
        <v>0</v>
      </c>
      <c r="X1020">
        <v>0</v>
      </c>
      <c r="Y1020">
        <v>0</v>
      </c>
      <c r="Z1020">
        <v>40</v>
      </c>
      <c r="AA1020">
        <v>0</v>
      </c>
      <c r="AB1020">
        <v>0</v>
      </c>
      <c r="AD1020">
        <v>82</v>
      </c>
    </row>
    <row r="1021" spans="1:30" x14ac:dyDescent="0.3">
      <c r="A1021" s="4">
        <v>1034</v>
      </c>
      <c r="B1021" s="5">
        <v>1014</v>
      </c>
      <c r="C1021">
        <v>1415</v>
      </c>
      <c r="D1021" t="s">
        <v>2374</v>
      </c>
      <c r="E1021" t="s">
        <v>2375</v>
      </c>
      <c r="F1021" t="s">
        <v>782</v>
      </c>
      <c r="G1021" t="s">
        <v>2376</v>
      </c>
      <c r="H1021" t="str">
        <f>"00532523"</f>
        <v>00532523</v>
      </c>
      <c r="I1021">
        <v>36</v>
      </c>
      <c r="J1021">
        <v>0</v>
      </c>
      <c r="N1021">
        <v>0</v>
      </c>
      <c r="O1021">
        <v>0</v>
      </c>
      <c r="P1021">
        <v>0</v>
      </c>
      <c r="Q1021">
        <v>36</v>
      </c>
      <c r="R1021">
        <v>46</v>
      </c>
      <c r="S1021">
        <v>46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46</v>
      </c>
      <c r="AA1021">
        <v>0</v>
      </c>
      <c r="AB1021">
        <v>0</v>
      </c>
      <c r="AD1021">
        <v>82</v>
      </c>
    </row>
    <row r="1022" spans="1:30" x14ac:dyDescent="0.3">
      <c r="A1022" s="4">
        <v>1035</v>
      </c>
      <c r="B1022" s="5">
        <v>1015</v>
      </c>
      <c r="C1022">
        <v>2315</v>
      </c>
      <c r="D1022" t="s">
        <v>2377</v>
      </c>
      <c r="E1022" t="s">
        <v>2378</v>
      </c>
      <c r="F1022" t="s">
        <v>892</v>
      </c>
      <c r="G1022" t="s">
        <v>2379</v>
      </c>
      <c r="H1022" t="str">
        <f>"00508024"</f>
        <v>00508024</v>
      </c>
      <c r="I1022">
        <v>36</v>
      </c>
      <c r="J1022">
        <v>0</v>
      </c>
      <c r="N1022">
        <v>0</v>
      </c>
      <c r="O1022">
        <v>0</v>
      </c>
      <c r="P1022">
        <v>0</v>
      </c>
      <c r="Q1022">
        <v>36</v>
      </c>
      <c r="R1022">
        <v>46</v>
      </c>
      <c r="S1022">
        <v>46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46</v>
      </c>
      <c r="AA1022">
        <v>0</v>
      </c>
      <c r="AB1022">
        <v>0</v>
      </c>
      <c r="AD1022">
        <v>82</v>
      </c>
    </row>
    <row r="1023" spans="1:30" x14ac:dyDescent="0.3">
      <c r="A1023" s="4">
        <v>1036</v>
      </c>
      <c r="B1023" s="5">
        <v>1016</v>
      </c>
      <c r="C1023">
        <v>3542</v>
      </c>
      <c r="D1023" t="s">
        <v>2380</v>
      </c>
      <c r="E1023" t="s">
        <v>2381</v>
      </c>
      <c r="F1023" t="s">
        <v>20</v>
      </c>
      <c r="G1023" t="s">
        <v>2382</v>
      </c>
      <c r="H1023" t="str">
        <f>"00471303"</f>
        <v>00471303</v>
      </c>
      <c r="I1023">
        <v>30.92</v>
      </c>
      <c r="J1023">
        <v>0</v>
      </c>
      <c r="N1023">
        <v>0</v>
      </c>
      <c r="O1023">
        <v>4</v>
      </c>
      <c r="P1023">
        <v>2</v>
      </c>
      <c r="Q1023">
        <v>36.92</v>
      </c>
      <c r="R1023">
        <v>39</v>
      </c>
      <c r="S1023">
        <v>39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39</v>
      </c>
      <c r="AA1023">
        <v>6</v>
      </c>
      <c r="AB1023">
        <v>0</v>
      </c>
      <c r="AD1023">
        <v>81.92</v>
      </c>
    </row>
    <row r="1024" spans="1:30" x14ac:dyDescent="0.3">
      <c r="A1024" s="4">
        <v>1037</v>
      </c>
      <c r="B1024" s="5">
        <v>1017</v>
      </c>
      <c r="C1024">
        <v>926</v>
      </c>
      <c r="D1024" t="s">
        <v>2383</v>
      </c>
      <c r="E1024" t="s">
        <v>166</v>
      </c>
      <c r="F1024" t="s">
        <v>230</v>
      </c>
      <c r="G1024" t="s">
        <v>2384</v>
      </c>
      <c r="H1024" t="str">
        <f>"00529773"</f>
        <v>00529773</v>
      </c>
      <c r="I1024">
        <v>16.84</v>
      </c>
      <c r="J1024">
        <v>10</v>
      </c>
      <c r="N1024">
        <v>0</v>
      </c>
      <c r="O1024">
        <v>4</v>
      </c>
      <c r="P1024">
        <v>0</v>
      </c>
      <c r="Q1024">
        <v>30.84</v>
      </c>
      <c r="R1024">
        <v>45</v>
      </c>
      <c r="S1024">
        <v>45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45</v>
      </c>
      <c r="AA1024">
        <v>6</v>
      </c>
      <c r="AB1024">
        <v>0</v>
      </c>
      <c r="AD1024">
        <v>81.84</v>
      </c>
    </row>
    <row r="1025" spans="1:30" x14ac:dyDescent="0.3">
      <c r="A1025" s="4">
        <v>1038</v>
      </c>
      <c r="B1025" s="5">
        <v>1018</v>
      </c>
      <c r="C1025">
        <v>504</v>
      </c>
      <c r="D1025" t="s">
        <v>2385</v>
      </c>
      <c r="E1025" t="s">
        <v>2386</v>
      </c>
      <c r="F1025" t="s">
        <v>2387</v>
      </c>
      <c r="G1025" t="s">
        <v>2388</v>
      </c>
      <c r="H1025" t="str">
        <f>"00480891"</f>
        <v>00480891</v>
      </c>
      <c r="I1025">
        <v>16.8</v>
      </c>
      <c r="J1025">
        <v>0</v>
      </c>
      <c r="N1025">
        <v>0</v>
      </c>
      <c r="O1025">
        <v>0</v>
      </c>
      <c r="P1025">
        <v>0</v>
      </c>
      <c r="Q1025">
        <v>16.8</v>
      </c>
      <c r="R1025">
        <v>59</v>
      </c>
      <c r="S1025">
        <v>59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59</v>
      </c>
      <c r="AA1025">
        <v>6</v>
      </c>
      <c r="AB1025">
        <v>0</v>
      </c>
      <c r="AD1025">
        <v>81.8</v>
      </c>
    </row>
    <row r="1026" spans="1:30" x14ac:dyDescent="0.3">
      <c r="A1026" s="4">
        <v>1039</v>
      </c>
      <c r="B1026" s="5">
        <v>1019</v>
      </c>
      <c r="C1026">
        <v>2783</v>
      </c>
      <c r="D1026" t="s">
        <v>2389</v>
      </c>
      <c r="E1026" t="s">
        <v>54</v>
      </c>
      <c r="F1026" t="s">
        <v>1076</v>
      </c>
      <c r="G1026" t="s">
        <v>2390</v>
      </c>
      <c r="H1026" t="str">
        <f>"00093463"</f>
        <v>00093463</v>
      </c>
      <c r="I1026">
        <v>24.72</v>
      </c>
      <c r="J1026">
        <v>0</v>
      </c>
      <c r="K1026">
        <v>8</v>
      </c>
      <c r="N1026">
        <v>8</v>
      </c>
      <c r="O1026">
        <v>4</v>
      </c>
      <c r="P1026">
        <v>2</v>
      </c>
      <c r="Q1026">
        <v>38.72</v>
      </c>
      <c r="R1026">
        <v>34</v>
      </c>
      <c r="S1026">
        <v>34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34</v>
      </c>
      <c r="AA1026">
        <v>9</v>
      </c>
      <c r="AB1026">
        <v>0</v>
      </c>
      <c r="AD1026">
        <v>81.72</v>
      </c>
    </row>
    <row r="1027" spans="1:30" x14ac:dyDescent="0.3">
      <c r="A1027" s="4">
        <v>1040</v>
      </c>
      <c r="B1027" s="5">
        <v>1020</v>
      </c>
      <c r="C1027">
        <v>2601</v>
      </c>
      <c r="D1027" t="s">
        <v>2391</v>
      </c>
      <c r="E1027" t="s">
        <v>1413</v>
      </c>
      <c r="F1027" t="s">
        <v>34</v>
      </c>
      <c r="G1027" t="s">
        <v>2392</v>
      </c>
      <c r="H1027" t="str">
        <f>"00187955"</f>
        <v>00187955</v>
      </c>
      <c r="I1027">
        <v>31.68</v>
      </c>
      <c r="J1027">
        <v>0</v>
      </c>
      <c r="K1027">
        <v>16</v>
      </c>
      <c r="N1027">
        <v>16</v>
      </c>
      <c r="O1027">
        <v>4</v>
      </c>
      <c r="P1027">
        <v>0</v>
      </c>
      <c r="Q1027">
        <v>51.68</v>
      </c>
      <c r="R1027">
        <v>24</v>
      </c>
      <c r="S1027">
        <v>24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24</v>
      </c>
      <c r="AA1027">
        <v>6</v>
      </c>
      <c r="AB1027">
        <v>0</v>
      </c>
      <c r="AD1027">
        <v>81.680000000000007</v>
      </c>
    </row>
    <row r="1028" spans="1:30" x14ac:dyDescent="0.3">
      <c r="A1028" s="4">
        <v>1041</v>
      </c>
      <c r="B1028" s="5">
        <v>1021</v>
      </c>
      <c r="C1028">
        <v>2274</v>
      </c>
      <c r="D1028" t="s">
        <v>2393</v>
      </c>
      <c r="E1028" t="s">
        <v>33</v>
      </c>
      <c r="F1028" t="s">
        <v>375</v>
      </c>
      <c r="G1028" t="s">
        <v>2394</v>
      </c>
      <c r="H1028" t="str">
        <f>"00441748"</f>
        <v>00441748</v>
      </c>
      <c r="I1028">
        <v>39.68</v>
      </c>
      <c r="J1028">
        <v>0</v>
      </c>
      <c r="M1028">
        <v>4</v>
      </c>
      <c r="N1028">
        <v>4</v>
      </c>
      <c r="O1028">
        <v>4</v>
      </c>
      <c r="P1028">
        <v>2</v>
      </c>
      <c r="Q1028">
        <v>49.68</v>
      </c>
      <c r="R1028">
        <v>26</v>
      </c>
      <c r="S1028">
        <v>26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26</v>
      </c>
      <c r="AA1028">
        <v>6</v>
      </c>
      <c r="AB1028">
        <v>0</v>
      </c>
      <c r="AD1028">
        <v>81.680000000000007</v>
      </c>
    </row>
    <row r="1029" spans="1:30" x14ac:dyDescent="0.3">
      <c r="A1029" s="4">
        <v>1042</v>
      </c>
      <c r="B1029" s="5">
        <v>1022</v>
      </c>
      <c r="C1029">
        <v>726</v>
      </c>
      <c r="D1029" t="s">
        <v>2395</v>
      </c>
      <c r="E1029" t="s">
        <v>2396</v>
      </c>
      <c r="F1029" t="s">
        <v>101</v>
      </c>
      <c r="G1029" t="s">
        <v>2397</v>
      </c>
      <c r="H1029" t="str">
        <f>"00856825"</f>
        <v>00856825</v>
      </c>
      <c r="I1029">
        <v>36.799999999999997</v>
      </c>
      <c r="J1029">
        <v>10</v>
      </c>
      <c r="K1029">
        <v>8</v>
      </c>
      <c r="N1029">
        <v>8</v>
      </c>
      <c r="O1029">
        <v>0</v>
      </c>
      <c r="P1029">
        <v>0</v>
      </c>
      <c r="Q1029">
        <v>54.8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26.8</v>
      </c>
      <c r="AD1029">
        <v>81.599999999999994</v>
      </c>
    </row>
    <row r="1030" spans="1:30" x14ac:dyDescent="0.3">
      <c r="A1030" s="4">
        <v>1043</v>
      </c>
      <c r="B1030" s="5">
        <v>1023</v>
      </c>
      <c r="C1030">
        <v>2206</v>
      </c>
      <c r="D1030" t="s">
        <v>2398</v>
      </c>
      <c r="E1030" t="s">
        <v>255</v>
      </c>
      <c r="F1030" t="s">
        <v>30</v>
      </c>
      <c r="G1030" t="s">
        <v>2399</v>
      </c>
      <c r="H1030" t="str">
        <f>"00531824"</f>
        <v>00531824</v>
      </c>
      <c r="I1030">
        <v>32.6</v>
      </c>
      <c r="J1030">
        <v>0</v>
      </c>
      <c r="K1030">
        <v>8</v>
      </c>
      <c r="N1030">
        <v>8</v>
      </c>
      <c r="O1030">
        <v>4</v>
      </c>
      <c r="P1030">
        <v>2</v>
      </c>
      <c r="Q1030">
        <v>46.6</v>
      </c>
      <c r="R1030">
        <v>17</v>
      </c>
      <c r="S1030">
        <v>17</v>
      </c>
      <c r="T1030">
        <v>0</v>
      </c>
      <c r="U1030">
        <v>0</v>
      </c>
      <c r="V1030">
        <v>6</v>
      </c>
      <c r="W1030">
        <v>9</v>
      </c>
      <c r="X1030">
        <v>0</v>
      </c>
      <c r="Y1030">
        <v>0</v>
      </c>
      <c r="Z1030">
        <v>26</v>
      </c>
      <c r="AA1030">
        <v>9</v>
      </c>
      <c r="AB1030">
        <v>0</v>
      </c>
      <c r="AD1030">
        <v>81.599999999999994</v>
      </c>
    </row>
    <row r="1031" spans="1:30" x14ac:dyDescent="0.3">
      <c r="A1031" s="4">
        <v>1044</v>
      </c>
      <c r="B1031" s="5">
        <v>1024</v>
      </c>
      <c r="C1031">
        <v>147</v>
      </c>
      <c r="D1031" t="s">
        <v>2400</v>
      </c>
      <c r="E1031" t="s">
        <v>2401</v>
      </c>
      <c r="F1031" t="s">
        <v>117</v>
      </c>
      <c r="G1031" t="s">
        <v>2402</v>
      </c>
      <c r="H1031" t="str">
        <f>"00509056"</f>
        <v>00509056</v>
      </c>
      <c r="I1031">
        <v>21.6</v>
      </c>
      <c r="J1031">
        <v>10</v>
      </c>
      <c r="N1031">
        <v>0</v>
      </c>
      <c r="O1031">
        <v>4</v>
      </c>
      <c r="P1031">
        <v>2</v>
      </c>
      <c r="Q1031">
        <v>37.6</v>
      </c>
      <c r="R1031">
        <v>41</v>
      </c>
      <c r="S1031">
        <v>41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41</v>
      </c>
      <c r="AA1031">
        <v>3</v>
      </c>
      <c r="AB1031">
        <v>0</v>
      </c>
      <c r="AD1031">
        <v>81.599999999999994</v>
      </c>
    </row>
    <row r="1032" spans="1:30" x14ac:dyDescent="0.3">
      <c r="A1032" s="4">
        <v>1045</v>
      </c>
      <c r="B1032" s="5">
        <v>1025</v>
      </c>
      <c r="C1032">
        <v>4682</v>
      </c>
      <c r="D1032" t="s">
        <v>2403</v>
      </c>
      <c r="E1032" t="s">
        <v>132</v>
      </c>
      <c r="F1032" t="s">
        <v>30</v>
      </c>
      <c r="G1032" t="s">
        <v>2404</v>
      </c>
      <c r="H1032" t="str">
        <f>"00161919"</f>
        <v>00161919</v>
      </c>
      <c r="I1032">
        <v>21.6</v>
      </c>
      <c r="J1032">
        <v>0</v>
      </c>
      <c r="M1032">
        <v>4</v>
      </c>
      <c r="N1032">
        <v>4</v>
      </c>
      <c r="O1032">
        <v>4</v>
      </c>
      <c r="P1032">
        <v>2</v>
      </c>
      <c r="Q1032">
        <v>31.6</v>
      </c>
      <c r="R1032">
        <v>47</v>
      </c>
      <c r="S1032">
        <v>47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47</v>
      </c>
      <c r="AA1032">
        <v>3</v>
      </c>
      <c r="AB1032">
        <v>0</v>
      </c>
      <c r="AC1032" t="s">
        <v>130</v>
      </c>
      <c r="AD1032">
        <v>81.599999999999994</v>
      </c>
    </row>
    <row r="1033" spans="1:30" x14ac:dyDescent="0.3">
      <c r="A1033" s="4">
        <v>1046</v>
      </c>
      <c r="B1033" s="5">
        <v>1026</v>
      </c>
      <c r="C1033">
        <v>2999</v>
      </c>
      <c r="D1033" t="s">
        <v>964</v>
      </c>
      <c r="E1033" t="s">
        <v>2405</v>
      </c>
      <c r="F1033" t="s">
        <v>136</v>
      </c>
      <c r="G1033" t="s">
        <v>2406</v>
      </c>
      <c r="H1033" t="str">
        <f>"00510101"</f>
        <v>00510101</v>
      </c>
      <c r="I1033">
        <v>28.56</v>
      </c>
      <c r="J1033">
        <v>10</v>
      </c>
      <c r="N1033">
        <v>0</v>
      </c>
      <c r="O1033">
        <v>0</v>
      </c>
      <c r="P1033">
        <v>0</v>
      </c>
      <c r="Q1033">
        <v>38.56</v>
      </c>
      <c r="R1033">
        <v>37</v>
      </c>
      <c r="S1033">
        <v>37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37</v>
      </c>
      <c r="AA1033">
        <v>6</v>
      </c>
      <c r="AB1033">
        <v>0</v>
      </c>
      <c r="AD1033">
        <v>81.56</v>
      </c>
    </row>
    <row r="1034" spans="1:30" x14ac:dyDescent="0.3">
      <c r="A1034" s="4">
        <v>1047</v>
      </c>
      <c r="B1034" s="5">
        <v>1027</v>
      </c>
      <c r="C1034">
        <v>1163</v>
      </c>
      <c r="D1034" t="s">
        <v>2407</v>
      </c>
      <c r="E1034" t="s">
        <v>41</v>
      </c>
      <c r="F1034" t="s">
        <v>2408</v>
      </c>
      <c r="G1034" t="s">
        <v>2409</v>
      </c>
      <c r="H1034" t="str">
        <f>"00531635"</f>
        <v>00531635</v>
      </c>
      <c r="I1034">
        <v>24.4</v>
      </c>
      <c r="J1034">
        <v>0</v>
      </c>
      <c r="N1034">
        <v>0</v>
      </c>
      <c r="O1034">
        <v>4</v>
      </c>
      <c r="P1034">
        <v>0</v>
      </c>
      <c r="Q1034">
        <v>28.4</v>
      </c>
      <c r="R1034">
        <v>44</v>
      </c>
      <c r="S1034">
        <v>44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44</v>
      </c>
      <c r="AA1034">
        <v>9</v>
      </c>
      <c r="AB1034">
        <v>0</v>
      </c>
      <c r="AD1034">
        <v>81.400000000000006</v>
      </c>
    </row>
    <row r="1035" spans="1:30" x14ac:dyDescent="0.3">
      <c r="A1035" s="4">
        <v>1048</v>
      </c>
      <c r="B1035" s="5">
        <v>1028</v>
      </c>
      <c r="C1035">
        <v>2857</v>
      </c>
      <c r="D1035" t="s">
        <v>2410</v>
      </c>
      <c r="E1035" t="s">
        <v>173</v>
      </c>
      <c r="F1035" t="s">
        <v>124</v>
      </c>
      <c r="G1035" t="s">
        <v>2411</v>
      </c>
      <c r="H1035" t="str">
        <f>"00499501"</f>
        <v>00499501</v>
      </c>
      <c r="I1035">
        <v>50.4</v>
      </c>
      <c r="J1035">
        <v>0</v>
      </c>
      <c r="M1035">
        <v>4</v>
      </c>
      <c r="N1035">
        <v>4</v>
      </c>
      <c r="O1035">
        <v>4</v>
      </c>
      <c r="P1035">
        <v>2</v>
      </c>
      <c r="Q1035">
        <v>60.4</v>
      </c>
      <c r="R1035">
        <v>18</v>
      </c>
      <c r="S1035">
        <v>18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18</v>
      </c>
      <c r="AA1035">
        <v>3</v>
      </c>
      <c r="AB1035">
        <v>0</v>
      </c>
      <c r="AD1035">
        <v>81.400000000000006</v>
      </c>
    </row>
    <row r="1036" spans="1:30" x14ac:dyDescent="0.3">
      <c r="A1036" s="4">
        <v>1049</v>
      </c>
      <c r="B1036" s="5">
        <v>1029</v>
      </c>
      <c r="C1036">
        <v>148</v>
      </c>
      <c r="D1036" t="s">
        <v>2412</v>
      </c>
      <c r="E1036" t="s">
        <v>88</v>
      </c>
      <c r="F1036" t="s">
        <v>20</v>
      </c>
      <c r="G1036" t="s">
        <v>2413</v>
      </c>
      <c r="H1036" t="str">
        <f>"00471988"</f>
        <v>00471988</v>
      </c>
      <c r="I1036">
        <v>32.28</v>
      </c>
      <c r="J1036">
        <v>0</v>
      </c>
      <c r="M1036">
        <v>4</v>
      </c>
      <c r="N1036">
        <v>4</v>
      </c>
      <c r="O1036">
        <v>4</v>
      </c>
      <c r="P1036">
        <v>2</v>
      </c>
      <c r="Q1036">
        <v>42.28</v>
      </c>
      <c r="R1036">
        <v>33</v>
      </c>
      <c r="S1036">
        <v>33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33</v>
      </c>
      <c r="AA1036">
        <v>6</v>
      </c>
      <c r="AB1036">
        <v>0</v>
      </c>
      <c r="AD1036">
        <v>81.28</v>
      </c>
    </row>
    <row r="1037" spans="1:30" x14ac:dyDescent="0.3">
      <c r="A1037" s="4">
        <v>1050</v>
      </c>
      <c r="B1037" s="5">
        <v>1030</v>
      </c>
      <c r="C1037">
        <v>1655</v>
      </c>
      <c r="D1037" t="s">
        <v>2414</v>
      </c>
      <c r="E1037" t="s">
        <v>170</v>
      </c>
      <c r="F1037" t="s">
        <v>124</v>
      </c>
      <c r="G1037" t="s">
        <v>2415</v>
      </c>
      <c r="H1037" t="str">
        <f>"00508170"</f>
        <v>00508170</v>
      </c>
      <c r="I1037">
        <v>43.2</v>
      </c>
      <c r="J1037">
        <v>0</v>
      </c>
      <c r="M1037">
        <v>4</v>
      </c>
      <c r="N1037">
        <v>4</v>
      </c>
      <c r="O1037">
        <v>4</v>
      </c>
      <c r="P1037">
        <v>2</v>
      </c>
      <c r="Q1037">
        <v>53.2</v>
      </c>
      <c r="R1037">
        <v>28</v>
      </c>
      <c r="S1037">
        <v>28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28</v>
      </c>
      <c r="AA1037">
        <v>0</v>
      </c>
      <c r="AB1037">
        <v>0</v>
      </c>
      <c r="AD1037">
        <v>81.2</v>
      </c>
    </row>
    <row r="1038" spans="1:30" x14ac:dyDescent="0.3">
      <c r="A1038" s="4">
        <v>1051</v>
      </c>
      <c r="B1038" s="5">
        <v>1031</v>
      </c>
      <c r="C1038">
        <v>4054</v>
      </c>
      <c r="D1038" t="s">
        <v>2416</v>
      </c>
      <c r="E1038" t="s">
        <v>2417</v>
      </c>
      <c r="F1038" t="s">
        <v>81</v>
      </c>
      <c r="G1038" t="s">
        <v>2418</v>
      </c>
      <c r="H1038" t="str">
        <f>"00531778"</f>
        <v>00531778</v>
      </c>
      <c r="I1038">
        <v>30.2</v>
      </c>
      <c r="J1038">
        <v>10</v>
      </c>
      <c r="N1038">
        <v>0</v>
      </c>
      <c r="O1038">
        <v>4</v>
      </c>
      <c r="P1038">
        <v>0</v>
      </c>
      <c r="Q1038">
        <v>44.2</v>
      </c>
      <c r="R1038">
        <v>37</v>
      </c>
      <c r="S1038">
        <v>37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37</v>
      </c>
      <c r="AA1038">
        <v>0</v>
      </c>
      <c r="AB1038">
        <v>0</v>
      </c>
      <c r="AD1038">
        <v>81.2</v>
      </c>
    </row>
    <row r="1039" spans="1:30" x14ac:dyDescent="0.3">
      <c r="A1039" s="4">
        <v>1052</v>
      </c>
      <c r="B1039" s="5">
        <v>1032</v>
      </c>
      <c r="C1039">
        <v>4099</v>
      </c>
      <c r="D1039" t="s">
        <v>2419</v>
      </c>
      <c r="E1039" t="s">
        <v>789</v>
      </c>
      <c r="F1039" t="s">
        <v>91</v>
      </c>
      <c r="G1039" t="s">
        <v>2420</v>
      </c>
      <c r="H1039" t="str">
        <f>"00532512"</f>
        <v>00532512</v>
      </c>
      <c r="I1039">
        <v>14.2</v>
      </c>
      <c r="J1039">
        <v>0</v>
      </c>
      <c r="N1039">
        <v>0</v>
      </c>
      <c r="O1039">
        <v>4</v>
      </c>
      <c r="P1039">
        <v>0</v>
      </c>
      <c r="Q1039">
        <v>18.2</v>
      </c>
      <c r="R1039">
        <v>63</v>
      </c>
      <c r="S1039">
        <v>63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63</v>
      </c>
      <c r="AA1039">
        <v>0</v>
      </c>
      <c r="AB1039">
        <v>0</v>
      </c>
      <c r="AD1039">
        <v>81.2</v>
      </c>
    </row>
    <row r="1040" spans="1:30" x14ac:dyDescent="0.3">
      <c r="A1040" s="4">
        <v>1053</v>
      </c>
      <c r="B1040" s="5">
        <v>1033</v>
      </c>
      <c r="C1040">
        <v>3784</v>
      </c>
      <c r="D1040" t="s">
        <v>2421</v>
      </c>
      <c r="E1040" t="s">
        <v>54</v>
      </c>
      <c r="F1040" t="s">
        <v>81</v>
      </c>
      <c r="G1040" t="s">
        <v>2422</v>
      </c>
      <c r="H1040" t="str">
        <f>"00201953"</f>
        <v>00201953</v>
      </c>
      <c r="I1040">
        <v>40</v>
      </c>
      <c r="J1040">
        <v>0</v>
      </c>
      <c r="K1040">
        <v>8</v>
      </c>
      <c r="M1040">
        <v>4</v>
      </c>
      <c r="N1040">
        <v>12</v>
      </c>
      <c r="O1040">
        <v>4</v>
      </c>
      <c r="P1040">
        <v>2</v>
      </c>
      <c r="Q1040">
        <v>58</v>
      </c>
      <c r="R1040">
        <v>17</v>
      </c>
      <c r="S1040">
        <v>17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17</v>
      </c>
      <c r="AA1040">
        <v>6</v>
      </c>
      <c r="AB1040">
        <v>0</v>
      </c>
      <c r="AD1040">
        <v>81</v>
      </c>
    </row>
    <row r="1041" spans="1:30" x14ac:dyDescent="0.3">
      <c r="A1041" s="4">
        <v>1054</v>
      </c>
      <c r="B1041" s="5">
        <v>1034</v>
      </c>
      <c r="C1041">
        <v>242</v>
      </c>
      <c r="D1041" t="s">
        <v>891</v>
      </c>
      <c r="E1041" t="s">
        <v>37</v>
      </c>
      <c r="F1041" t="s">
        <v>34</v>
      </c>
      <c r="G1041" t="s">
        <v>2423</v>
      </c>
      <c r="H1041" t="str">
        <f>"00499925"</f>
        <v>00499925</v>
      </c>
      <c r="I1041">
        <v>20</v>
      </c>
      <c r="J1041">
        <v>0</v>
      </c>
      <c r="N1041">
        <v>0</v>
      </c>
      <c r="O1041">
        <v>4</v>
      </c>
      <c r="P1041">
        <v>0</v>
      </c>
      <c r="Q1041">
        <v>24</v>
      </c>
      <c r="R1041">
        <v>51</v>
      </c>
      <c r="S1041">
        <v>51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51</v>
      </c>
      <c r="AA1041">
        <v>6</v>
      </c>
      <c r="AB1041">
        <v>0</v>
      </c>
      <c r="AD1041">
        <v>81</v>
      </c>
    </row>
    <row r="1042" spans="1:30" x14ac:dyDescent="0.3">
      <c r="A1042" s="4">
        <v>1055</v>
      </c>
      <c r="B1042" s="5">
        <v>1035</v>
      </c>
      <c r="C1042">
        <v>3080</v>
      </c>
      <c r="D1042" t="s">
        <v>831</v>
      </c>
      <c r="E1042" t="s">
        <v>2424</v>
      </c>
      <c r="F1042" t="s">
        <v>91</v>
      </c>
      <c r="G1042" t="s">
        <v>2425</v>
      </c>
      <c r="H1042" t="str">
        <f>"00793445"</f>
        <v>00793445</v>
      </c>
      <c r="I1042">
        <v>72</v>
      </c>
      <c r="J1042">
        <v>0</v>
      </c>
      <c r="N1042">
        <v>0</v>
      </c>
      <c r="O1042">
        <v>4</v>
      </c>
      <c r="P1042">
        <v>2</v>
      </c>
      <c r="Q1042">
        <v>78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3</v>
      </c>
      <c r="AB1042">
        <v>0</v>
      </c>
      <c r="AD1042">
        <v>81</v>
      </c>
    </row>
    <row r="1043" spans="1:30" x14ac:dyDescent="0.3">
      <c r="A1043" s="4">
        <v>1056</v>
      </c>
      <c r="B1043" s="5">
        <v>1036</v>
      </c>
      <c r="C1043">
        <v>760</v>
      </c>
      <c r="D1043" t="s">
        <v>2426</v>
      </c>
      <c r="E1043" t="s">
        <v>88</v>
      </c>
      <c r="F1043" t="s">
        <v>2427</v>
      </c>
      <c r="G1043" t="s">
        <v>2428</v>
      </c>
      <c r="H1043" t="str">
        <f>"201511023504"</f>
        <v>201511023504</v>
      </c>
      <c r="I1043">
        <v>36</v>
      </c>
      <c r="J1043">
        <v>10</v>
      </c>
      <c r="N1043">
        <v>0</v>
      </c>
      <c r="O1043">
        <v>4</v>
      </c>
      <c r="P1043">
        <v>2</v>
      </c>
      <c r="Q1043">
        <v>52</v>
      </c>
      <c r="R1043">
        <v>26</v>
      </c>
      <c r="S1043">
        <v>26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26</v>
      </c>
      <c r="AA1043">
        <v>3</v>
      </c>
      <c r="AB1043">
        <v>0</v>
      </c>
      <c r="AD1043">
        <v>81</v>
      </c>
    </row>
    <row r="1044" spans="1:30" x14ac:dyDescent="0.3">
      <c r="A1044" s="4">
        <v>1057</v>
      </c>
      <c r="B1044" s="5">
        <v>1037</v>
      </c>
      <c r="C1044">
        <v>4070</v>
      </c>
      <c r="D1044" t="s">
        <v>2429</v>
      </c>
      <c r="E1044" t="s">
        <v>147</v>
      </c>
      <c r="F1044" t="s">
        <v>17</v>
      </c>
      <c r="G1044" t="s">
        <v>2430</v>
      </c>
      <c r="H1044" t="str">
        <f>"00533135"</f>
        <v>00533135</v>
      </c>
      <c r="I1044">
        <v>36</v>
      </c>
      <c r="J1044">
        <v>0</v>
      </c>
      <c r="M1044">
        <v>4</v>
      </c>
      <c r="N1044">
        <v>4</v>
      </c>
      <c r="O1044">
        <v>4</v>
      </c>
      <c r="P1044">
        <v>2</v>
      </c>
      <c r="Q1044">
        <v>46</v>
      </c>
      <c r="R1044">
        <v>32</v>
      </c>
      <c r="S1044">
        <v>32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32</v>
      </c>
      <c r="AA1044">
        <v>3</v>
      </c>
      <c r="AB1044">
        <v>0</v>
      </c>
      <c r="AD1044">
        <v>81</v>
      </c>
    </row>
    <row r="1045" spans="1:30" x14ac:dyDescent="0.3">
      <c r="A1045" s="4">
        <v>1058</v>
      </c>
      <c r="B1045" s="5">
        <v>1038</v>
      </c>
      <c r="C1045">
        <v>3079</v>
      </c>
      <c r="D1045" t="s">
        <v>2431</v>
      </c>
      <c r="E1045" t="s">
        <v>2432</v>
      </c>
      <c r="F1045" t="s">
        <v>801</v>
      </c>
      <c r="G1045" t="s">
        <v>2433</v>
      </c>
      <c r="H1045" t="str">
        <f>"00161150"</f>
        <v>00161150</v>
      </c>
      <c r="I1045">
        <v>34</v>
      </c>
      <c r="J1045">
        <v>0</v>
      </c>
      <c r="M1045">
        <v>4</v>
      </c>
      <c r="N1045">
        <v>4</v>
      </c>
      <c r="O1045">
        <v>4</v>
      </c>
      <c r="P1045">
        <v>2</v>
      </c>
      <c r="Q1045">
        <v>44</v>
      </c>
      <c r="R1045">
        <v>34</v>
      </c>
      <c r="S1045">
        <v>34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34</v>
      </c>
      <c r="AA1045">
        <v>3</v>
      </c>
      <c r="AB1045">
        <v>0</v>
      </c>
      <c r="AD1045">
        <v>81</v>
      </c>
    </row>
    <row r="1046" spans="1:30" x14ac:dyDescent="0.3">
      <c r="A1046" s="4">
        <v>1059</v>
      </c>
      <c r="B1046" s="5">
        <v>1039</v>
      </c>
      <c r="C1046">
        <v>4344</v>
      </c>
      <c r="D1046" t="s">
        <v>2434</v>
      </c>
      <c r="E1046" t="s">
        <v>2435</v>
      </c>
      <c r="F1046" t="s">
        <v>38</v>
      </c>
      <c r="G1046" t="s">
        <v>2436</v>
      </c>
      <c r="H1046" t="str">
        <f>"00442291"</f>
        <v>00442291</v>
      </c>
      <c r="I1046">
        <v>36</v>
      </c>
      <c r="J1046">
        <v>0</v>
      </c>
      <c r="N1046">
        <v>0</v>
      </c>
      <c r="O1046">
        <v>4</v>
      </c>
      <c r="P1046">
        <v>2</v>
      </c>
      <c r="Q1046">
        <v>42</v>
      </c>
      <c r="R1046">
        <v>36</v>
      </c>
      <c r="S1046">
        <v>36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36</v>
      </c>
      <c r="AA1046">
        <v>3</v>
      </c>
      <c r="AB1046">
        <v>0</v>
      </c>
      <c r="AD1046">
        <v>81</v>
      </c>
    </row>
    <row r="1047" spans="1:30" x14ac:dyDescent="0.3">
      <c r="A1047" s="4">
        <v>1060</v>
      </c>
      <c r="B1047" s="5">
        <v>1040</v>
      </c>
      <c r="C1047">
        <v>407</v>
      </c>
      <c r="D1047" t="s">
        <v>1768</v>
      </c>
      <c r="E1047" t="s">
        <v>2011</v>
      </c>
      <c r="F1047" t="s">
        <v>81</v>
      </c>
      <c r="G1047" t="s">
        <v>2437</v>
      </c>
      <c r="H1047" t="str">
        <f>"00505227"</f>
        <v>00505227</v>
      </c>
      <c r="I1047">
        <v>36</v>
      </c>
      <c r="J1047">
        <v>10</v>
      </c>
      <c r="L1047">
        <v>6</v>
      </c>
      <c r="N1047">
        <v>6</v>
      </c>
      <c r="O1047">
        <v>4</v>
      </c>
      <c r="P1047">
        <v>2</v>
      </c>
      <c r="Q1047">
        <v>58</v>
      </c>
      <c r="R1047">
        <v>23</v>
      </c>
      <c r="S1047">
        <v>23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23</v>
      </c>
      <c r="AA1047">
        <v>0</v>
      </c>
      <c r="AB1047">
        <v>0</v>
      </c>
      <c r="AD1047">
        <v>81</v>
      </c>
    </row>
    <row r="1048" spans="1:30" x14ac:dyDescent="0.3">
      <c r="A1048" s="4">
        <v>1061</v>
      </c>
      <c r="B1048" s="5">
        <v>1041</v>
      </c>
      <c r="C1048">
        <v>4303</v>
      </c>
      <c r="D1048" t="s">
        <v>2438</v>
      </c>
      <c r="E1048" t="s">
        <v>2439</v>
      </c>
      <c r="F1048" t="s">
        <v>38</v>
      </c>
      <c r="G1048" t="s">
        <v>2440</v>
      </c>
      <c r="H1048" t="str">
        <f>"00530852"</f>
        <v>00530852</v>
      </c>
      <c r="I1048">
        <v>36</v>
      </c>
      <c r="J1048">
        <v>0</v>
      </c>
      <c r="K1048">
        <v>8</v>
      </c>
      <c r="N1048">
        <v>8</v>
      </c>
      <c r="O1048">
        <v>4</v>
      </c>
      <c r="P1048">
        <v>0</v>
      </c>
      <c r="Q1048">
        <v>48</v>
      </c>
      <c r="R1048">
        <v>33</v>
      </c>
      <c r="S1048">
        <v>33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33</v>
      </c>
      <c r="AA1048">
        <v>0</v>
      </c>
      <c r="AB1048">
        <v>0</v>
      </c>
      <c r="AD1048">
        <v>81</v>
      </c>
    </row>
    <row r="1049" spans="1:30" x14ac:dyDescent="0.3">
      <c r="A1049" s="4">
        <v>1062</v>
      </c>
      <c r="B1049" s="5">
        <v>1042</v>
      </c>
      <c r="C1049">
        <v>1882</v>
      </c>
      <c r="D1049" t="s">
        <v>2441</v>
      </c>
      <c r="E1049" t="s">
        <v>88</v>
      </c>
      <c r="F1049" t="s">
        <v>2442</v>
      </c>
      <c r="G1049" t="s">
        <v>2443</v>
      </c>
      <c r="H1049" t="str">
        <f>"00524143"</f>
        <v>00524143</v>
      </c>
      <c r="I1049">
        <v>26.92</v>
      </c>
      <c r="J1049">
        <v>10</v>
      </c>
      <c r="K1049">
        <v>8</v>
      </c>
      <c r="N1049">
        <v>8</v>
      </c>
      <c r="O1049">
        <v>4</v>
      </c>
      <c r="P1049">
        <v>2</v>
      </c>
      <c r="Q1049">
        <v>50.92</v>
      </c>
      <c r="R1049">
        <v>24</v>
      </c>
      <c r="S1049">
        <v>24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24</v>
      </c>
      <c r="AA1049">
        <v>6</v>
      </c>
      <c r="AB1049">
        <v>0</v>
      </c>
      <c r="AD1049">
        <v>80.92</v>
      </c>
    </row>
    <row r="1050" spans="1:30" x14ac:dyDescent="0.3">
      <c r="A1050" s="4">
        <v>1063</v>
      </c>
      <c r="B1050" s="5">
        <v>1043</v>
      </c>
      <c r="C1050">
        <v>662</v>
      </c>
      <c r="D1050" t="s">
        <v>2444</v>
      </c>
      <c r="E1050" t="s">
        <v>471</v>
      </c>
      <c r="F1050" t="s">
        <v>2445</v>
      </c>
      <c r="G1050" t="s">
        <v>2446</v>
      </c>
      <c r="H1050" t="str">
        <f>"00855094"</f>
        <v>00855094</v>
      </c>
      <c r="I1050">
        <v>28.8</v>
      </c>
      <c r="J1050">
        <v>0</v>
      </c>
      <c r="M1050">
        <v>4</v>
      </c>
      <c r="N1050">
        <v>4</v>
      </c>
      <c r="O1050">
        <v>4</v>
      </c>
      <c r="P1050">
        <v>2</v>
      </c>
      <c r="Q1050">
        <v>38.799999999999997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6</v>
      </c>
      <c r="AB1050">
        <v>36</v>
      </c>
      <c r="AD1050">
        <v>80.8</v>
      </c>
    </row>
    <row r="1051" spans="1:30" x14ac:dyDescent="0.3">
      <c r="A1051" s="4">
        <v>1064</v>
      </c>
      <c r="B1051" s="5">
        <v>1044</v>
      </c>
      <c r="C1051">
        <v>666</v>
      </c>
      <c r="D1051" t="s">
        <v>2447</v>
      </c>
      <c r="E1051" t="s">
        <v>283</v>
      </c>
      <c r="F1051" t="s">
        <v>17</v>
      </c>
      <c r="G1051" t="s">
        <v>2448</v>
      </c>
      <c r="H1051" t="str">
        <f>"200912000272"</f>
        <v>200912000272</v>
      </c>
      <c r="I1051">
        <v>64.8</v>
      </c>
      <c r="J1051">
        <v>0</v>
      </c>
      <c r="M1051">
        <v>4</v>
      </c>
      <c r="N1051">
        <v>4</v>
      </c>
      <c r="O1051">
        <v>4</v>
      </c>
      <c r="P1051">
        <v>2</v>
      </c>
      <c r="Q1051">
        <v>74.8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6</v>
      </c>
      <c r="AB1051">
        <v>0</v>
      </c>
      <c r="AD1051">
        <v>80.8</v>
      </c>
    </row>
    <row r="1052" spans="1:30" x14ac:dyDescent="0.3">
      <c r="A1052" s="4">
        <v>1065</v>
      </c>
      <c r="B1052" s="5">
        <v>1045</v>
      </c>
      <c r="C1052">
        <v>2718</v>
      </c>
      <c r="D1052" t="s">
        <v>2449</v>
      </c>
      <c r="E1052" t="s">
        <v>37</v>
      </c>
      <c r="F1052" t="s">
        <v>81</v>
      </c>
      <c r="G1052" t="s">
        <v>2450</v>
      </c>
      <c r="H1052" t="str">
        <f>"00171849"</f>
        <v>00171849</v>
      </c>
      <c r="I1052">
        <v>64.8</v>
      </c>
      <c r="J1052">
        <v>0</v>
      </c>
      <c r="M1052">
        <v>4</v>
      </c>
      <c r="N1052">
        <v>4</v>
      </c>
      <c r="O1052">
        <v>4</v>
      </c>
      <c r="P1052">
        <v>2</v>
      </c>
      <c r="Q1052">
        <v>74.8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6</v>
      </c>
      <c r="AB1052">
        <v>0</v>
      </c>
      <c r="AD1052">
        <v>80.8</v>
      </c>
    </row>
    <row r="1053" spans="1:30" x14ac:dyDescent="0.3">
      <c r="A1053" s="4">
        <v>1066</v>
      </c>
      <c r="B1053" s="5">
        <v>1046</v>
      </c>
      <c r="C1053">
        <v>3628</v>
      </c>
      <c r="D1053" t="s">
        <v>2451</v>
      </c>
      <c r="E1053" t="s">
        <v>29</v>
      </c>
      <c r="F1053" t="s">
        <v>62</v>
      </c>
      <c r="G1053" t="s">
        <v>2452</v>
      </c>
      <c r="H1053" t="str">
        <f>"00862104"</f>
        <v>00862104</v>
      </c>
      <c r="I1053">
        <v>64.8</v>
      </c>
      <c r="J1053">
        <v>10</v>
      </c>
      <c r="N1053">
        <v>0</v>
      </c>
      <c r="O1053">
        <v>0</v>
      </c>
      <c r="P1053">
        <v>0</v>
      </c>
      <c r="Q1053">
        <v>74.8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6</v>
      </c>
      <c r="AB1053">
        <v>0</v>
      </c>
      <c r="AD1053">
        <v>80.8</v>
      </c>
    </row>
    <row r="1054" spans="1:30" x14ac:dyDescent="0.3">
      <c r="A1054" s="4">
        <v>1067</v>
      </c>
      <c r="B1054" s="5">
        <v>1047</v>
      </c>
      <c r="C1054">
        <v>1206</v>
      </c>
      <c r="D1054" t="s">
        <v>2453</v>
      </c>
      <c r="E1054" t="s">
        <v>22</v>
      </c>
      <c r="F1054" t="s">
        <v>81</v>
      </c>
      <c r="G1054" t="s">
        <v>2454</v>
      </c>
      <c r="H1054" t="str">
        <f>"00512541"</f>
        <v>00512541</v>
      </c>
      <c r="I1054">
        <v>28.8</v>
      </c>
      <c r="J1054">
        <v>0</v>
      </c>
      <c r="N1054">
        <v>0</v>
      </c>
      <c r="O1054">
        <v>4</v>
      </c>
      <c r="P1054">
        <v>2</v>
      </c>
      <c r="Q1054">
        <v>34.799999999999997</v>
      </c>
      <c r="R1054">
        <v>43</v>
      </c>
      <c r="S1054">
        <v>43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43</v>
      </c>
      <c r="AA1054">
        <v>3</v>
      </c>
      <c r="AB1054">
        <v>0</v>
      </c>
      <c r="AD1054">
        <v>80.8</v>
      </c>
    </row>
    <row r="1055" spans="1:30" x14ac:dyDescent="0.3">
      <c r="A1055" s="4">
        <v>1068</v>
      </c>
      <c r="B1055" s="5">
        <v>1048</v>
      </c>
      <c r="C1055">
        <v>411</v>
      </c>
      <c r="D1055" t="s">
        <v>784</v>
      </c>
      <c r="E1055" t="s">
        <v>88</v>
      </c>
      <c r="F1055" t="s">
        <v>117</v>
      </c>
      <c r="G1055" t="s">
        <v>2455</v>
      </c>
      <c r="H1055" t="str">
        <f>"00842390"</f>
        <v>00842390</v>
      </c>
      <c r="I1055">
        <v>64.8</v>
      </c>
      <c r="J1055">
        <v>10</v>
      </c>
      <c r="N1055">
        <v>0</v>
      </c>
      <c r="O1055">
        <v>4</v>
      </c>
      <c r="P1055">
        <v>2</v>
      </c>
      <c r="Q1055">
        <v>80.8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D1055">
        <v>80.8</v>
      </c>
    </row>
    <row r="1056" spans="1:30" x14ac:dyDescent="0.3">
      <c r="A1056" s="4">
        <v>1069</v>
      </c>
      <c r="B1056" s="5">
        <v>1049</v>
      </c>
      <c r="C1056">
        <v>198</v>
      </c>
      <c r="D1056" t="s">
        <v>2456</v>
      </c>
      <c r="E1056" t="s">
        <v>100</v>
      </c>
      <c r="F1056" t="s">
        <v>136</v>
      </c>
      <c r="G1056" t="s">
        <v>2457</v>
      </c>
      <c r="H1056" t="str">
        <f>"00224221"</f>
        <v>00224221</v>
      </c>
      <c r="I1056">
        <v>28.72</v>
      </c>
      <c r="J1056">
        <v>0</v>
      </c>
      <c r="M1056">
        <v>4</v>
      </c>
      <c r="N1056">
        <v>4</v>
      </c>
      <c r="O1056">
        <v>4</v>
      </c>
      <c r="P1056">
        <v>2</v>
      </c>
      <c r="Q1056">
        <v>38.72</v>
      </c>
      <c r="R1056">
        <v>39</v>
      </c>
      <c r="S1056">
        <v>39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39</v>
      </c>
      <c r="AA1056">
        <v>3</v>
      </c>
      <c r="AB1056">
        <v>0</v>
      </c>
      <c r="AD1056">
        <v>80.72</v>
      </c>
    </row>
    <row r="1057" spans="1:30" x14ac:dyDescent="0.3">
      <c r="A1057" s="4">
        <v>1070</v>
      </c>
      <c r="B1057" s="5">
        <v>1050</v>
      </c>
      <c r="C1057">
        <v>4458</v>
      </c>
      <c r="D1057" t="s">
        <v>2458</v>
      </c>
      <c r="E1057" t="s">
        <v>188</v>
      </c>
      <c r="F1057" t="s">
        <v>117</v>
      </c>
      <c r="G1057" t="s">
        <v>2459</v>
      </c>
      <c r="H1057" t="str">
        <f>"00253218"</f>
        <v>00253218</v>
      </c>
      <c r="I1057">
        <v>36.72</v>
      </c>
      <c r="J1057">
        <v>10</v>
      </c>
      <c r="N1057">
        <v>0</v>
      </c>
      <c r="O1057">
        <v>0</v>
      </c>
      <c r="P1057">
        <v>0</v>
      </c>
      <c r="Q1057">
        <v>46.72</v>
      </c>
      <c r="R1057">
        <v>34</v>
      </c>
      <c r="S1057">
        <v>34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34</v>
      </c>
      <c r="AA1057">
        <v>0</v>
      </c>
      <c r="AB1057">
        <v>0</v>
      </c>
      <c r="AD1057">
        <v>80.72</v>
      </c>
    </row>
    <row r="1058" spans="1:30" x14ac:dyDescent="0.3">
      <c r="A1058" s="4">
        <v>1071</v>
      </c>
      <c r="B1058" s="5">
        <v>1051</v>
      </c>
      <c r="C1058">
        <v>4849</v>
      </c>
      <c r="D1058" t="s">
        <v>2460</v>
      </c>
      <c r="E1058" t="s">
        <v>29</v>
      </c>
      <c r="F1058" t="s">
        <v>124</v>
      </c>
      <c r="G1058" t="s">
        <v>2461</v>
      </c>
      <c r="H1058" t="str">
        <f>"00441894"</f>
        <v>00441894</v>
      </c>
      <c r="I1058">
        <v>35.68</v>
      </c>
      <c r="J1058">
        <v>0</v>
      </c>
      <c r="N1058">
        <v>0</v>
      </c>
      <c r="O1058">
        <v>4</v>
      </c>
      <c r="P1058">
        <v>2</v>
      </c>
      <c r="Q1058">
        <v>41.68</v>
      </c>
      <c r="R1058">
        <v>33</v>
      </c>
      <c r="S1058">
        <v>33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33</v>
      </c>
      <c r="AA1058">
        <v>6</v>
      </c>
      <c r="AB1058">
        <v>0</v>
      </c>
      <c r="AD1058">
        <v>80.680000000000007</v>
      </c>
    </row>
    <row r="1059" spans="1:30" x14ac:dyDescent="0.3">
      <c r="A1059" s="4">
        <v>1072</v>
      </c>
      <c r="B1059" s="5">
        <v>1052</v>
      </c>
      <c r="C1059">
        <v>317</v>
      </c>
      <c r="D1059" t="s">
        <v>2462</v>
      </c>
      <c r="E1059" t="s">
        <v>454</v>
      </c>
      <c r="F1059" t="s">
        <v>1023</v>
      </c>
      <c r="G1059" t="s">
        <v>2463</v>
      </c>
      <c r="H1059" t="str">
        <f>"00481135"</f>
        <v>00481135</v>
      </c>
      <c r="I1059">
        <v>31.68</v>
      </c>
      <c r="J1059">
        <v>10</v>
      </c>
      <c r="N1059">
        <v>0</v>
      </c>
      <c r="O1059">
        <v>0</v>
      </c>
      <c r="P1059">
        <v>0</v>
      </c>
      <c r="Q1059">
        <v>41.68</v>
      </c>
      <c r="R1059">
        <v>33</v>
      </c>
      <c r="S1059">
        <v>33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33</v>
      </c>
      <c r="AA1059">
        <v>6</v>
      </c>
      <c r="AB1059">
        <v>0</v>
      </c>
      <c r="AD1059">
        <v>80.680000000000007</v>
      </c>
    </row>
    <row r="1060" spans="1:30" x14ac:dyDescent="0.3">
      <c r="A1060" s="4">
        <v>1073</v>
      </c>
      <c r="B1060" s="5">
        <v>1053</v>
      </c>
      <c r="C1060">
        <v>731</v>
      </c>
      <c r="D1060" t="s">
        <v>2464</v>
      </c>
      <c r="E1060" t="s">
        <v>563</v>
      </c>
      <c r="F1060" t="s">
        <v>17</v>
      </c>
      <c r="G1060" t="s">
        <v>2465</v>
      </c>
      <c r="H1060" t="str">
        <f>"20160706582"</f>
        <v>20160706582</v>
      </c>
      <c r="I1060">
        <v>27.64</v>
      </c>
      <c r="J1060">
        <v>0</v>
      </c>
      <c r="N1060">
        <v>0</v>
      </c>
      <c r="O1060">
        <v>4</v>
      </c>
      <c r="P1060">
        <v>2</v>
      </c>
      <c r="Q1060">
        <v>33.64</v>
      </c>
      <c r="R1060">
        <v>47</v>
      </c>
      <c r="S1060">
        <v>47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47</v>
      </c>
      <c r="AA1060">
        <v>0</v>
      </c>
      <c r="AB1060">
        <v>0</v>
      </c>
      <c r="AD1060">
        <v>80.64</v>
      </c>
    </row>
    <row r="1061" spans="1:30" x14ac:dyDescent="0.3">
      <c r="A1061" s="4">
        <v>1074</v>
      </c>
      <c r="B1061" s="5">
        <v>1054</v>
      </c>
      <c r="C1061">
        <v>2458</v>
      </c>
      <c r="D1061" t="s">
        <v>2466</v>
      </c>
      <c r="E1061" t="s">
        <v>2467</v>
      </c>
      <c r="F1061" t="s">
        <v>68</v>
      </c>
      <c r="G1061" t="s">
        <v>2468</v>
      </c>
      <c r="H1061" t="str">
        <f>"00582094"</f>
        <v>00582094</v>
      </c>
      <c r="I1061">
        <v>57.6</v>
      </c>
      <c r="J1061">
        <v>0</v>
      </c>
      <c r="K1061">
        <v>8</v>
      </c>
      <c r="N1061">
        <v>8</v>
      </c>
      <c r="O1061">
        <v>4</v>
      </c>
      <c r="P1061">
        <v>2</v>
      </c>
      <c r="Q1061">
        <v>71.599999999999994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9</v>
      </c>
      <c r="AB1061">
        <v>0</v>
      </c>
      <c r="AD1061">
        <v>80.599999999999994</v>
      </c>
    </row>
    <row r="1062" spans="1:30" x14ac:dyDescent="0.3">
      <c r="A1062" s="4">
        <v>1075</v>
      </c>
      <c r="B1062" s="5">
        <v>1055</v>
      </c>
      <c r="C1062">
        <v>4495</v>
      </c>
      <c r="D1062" t="s">
        <v>2469</v>
      </c>
      <c r="E1062" t="s">
        <v>2470</v>
      </c>
      <c r="F1062" t="s">
        <v>52</v>
      </c>
      <c r="G1062" t="s">
        <v>2471</v>
      </c>
      <c r="H1062" t="str">
        <f>"00860836"</f>
        <v>00860836</v>
      </c>
      <c r="I1062">
        <v>57.6</v>
      </c>
      <c r="J1062">
        <v>10</v>
      </c>
      <c r="M1062">
        <v>4</v>
      </c>
      <c r="N1062">
        <v>4</v>
      </c>
      <c r="O1062">
        <v>4</v>
      </c>
      <c r="P1062">
        <v>2</v>
      </c>
      <c r="Q1062">
        <v>77.599999999999994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3</v>
      </c>
      <c r="AB1062">
        <v>0</v>
      </c>
      <c r="AD1062">
        <v>80.599999999999994</v>
      </c>
    </row>
    <row r="1063" spans="1:30" x14ac:dyDescent="0.3">
      <c r="A1063" s="4">
        <v>1076</v>
      </c>
      <c r="B1063" s="5">
        <v>1056</v>
      </c>
      <c r="C1063">
        <v>2229</v>
      </c>
      <c r="D1063" t="s">
        <v>2472</v>
      </c>
      <c r="E1063" t="s">
        <v>2473</v>
      </c>
      <c r="F1063" t="s">
        <v>2474</v>
      </c>
      <c r="G1063" t="s">
        <v>2475</v>
      </c>
      <c r="H1063" t="str">
        <f>"00549257"</f>
        <v>00549257</v>
      </c>
      <c r="I1063">
        <v>57.6</v>
      </c>
      <c r="J1063">
        <v>0</v>
      </c>
      <c r="K1063">
        <v>8</v>
      </c>
      <c r="L1063">
        <v>6</v>
      </c>
      <c r="N1063">
        <v>14</v>
      </c>
      <c r="O1063">
        <v>4</v>
      </c>
      <c r="P1063">
        <v>2</v>
      </c>
      <c r="Q1063">
        <v>77.599999999999994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3</v>
      </c>
      <c r="AB1063">
        <v>0</v>
      </c>
      <c r="AD1063">
        <v>80.599999999999994</v>
      </c>
    </row>
    <row r="1064" spans="1:30" x14ac:dyDescent="0.3">
      <c r="A1064" s="4">
        <v>1077</v>
      </c>
      <c r="B1064" s="5">
        <v>1057</v>
      </c>
      <c r="C1064">
        <v>3710</v>
      </c>
      <c r="D1064" t="s">
        <v>1088</v>
      </c>
      <c r="E1064" t="s">
        <v>54</v>
      </c>
      <c r="F1064" t="s">
        <v>91</v>
      </c>
      <c r="G1064" t="s">
        <v>2476</v>
      </c>
      <c r="H1064" t="str">
        <f>"00491646"</f>
        <v>00491646</v>
      </c>
      <c r="I1064">
        <v>57.6</v>
      </c>
      <c r="J1064">
        <v>0</v>
      </c>
      <c r="M1064">
        <v>4</v>
      </c>
      <c r="N1064">
        <v>4</v>
      </c>
      <c r="O1064">
        <v>4</v>
      </c>
      <c r="P1064">
        <v>2</v>
      </c>
      <c r="Q1064">
        <v>67.599999999999994</v>
      </c>
      <c r="R1064">
        <v>10</v>
      </c>
      <c r="S1064">
        <v>10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10</v>
      </c>
      <c r="AA1064">
        <v>3</v>
      </c>
      <c r="AB1064">
        <v>0</v>
      </c>
      <c r="AD1064">
        <v>80.599999999999994</v>
      </c>
    </row>
    <row r="1065" spans="1:30" x14ac:dyDescent="0.3">
      <c r="A1065" s="4">
        <v>1078</v>
      </c>
      <c r="B1065" s="5">
        <v>1058</v>
      </c>
      <c r="C1065">
        <v>887</v>
      </c>
      <c r="D1065" t="s">
        <v>2477</v>
      </c>
      <c r="E1065" t="s">
        <v>54</v>
      </c>
      <c r="F1065" t="s">
        <v>136</v>
      </c>
      <c r="G1065" t="s">
        <v>2478</v>
      </c>
      <c r="H1065" t="str">
        <f>"00493853"</f>
        <v>00493853</v>
      </c>
      <c r="I1065">
        <v>21.6</v>
      </c>
      <c r="J1065">
        <v>0</v>
      </c>
      <c r="M1065">
        <v>4</v>
      </c>
      <c r="N1065">
        <v>4</v>
      </c>
      <c r="O1065">
        <v>4</v>
      </c>
      <c r="P1065">
        <v>0</v>
      </c>
      <c r="Q1065">
        <v>29.6</v>
      </c>
      <c r="R1065">
        <v>51</v>
      </c>
      <c r="S1065">
        <v>51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51</v>
      </c>
      <c r="AA1065">
        <v>0</v>
      </c>
      <c r="AB1065">
        <v>0</v>
      </c>
      <c r="AD1065">
        <v>80.599999999999994</v>
      </c>
    </row>
    <row r="1066" spans="1:30" x14ac:dyDescent="0.3">
      <c r="A1066" s="4">
        <v>1079</v>
      </c>
      <c r="B1066" s="5">
        <v>1059</v>
      </c>
      <c r="C1066">
        <v>4392</v>
      </c>
      <c r="D1066" t="s">
        <v>2479</v>
      </c>
      <c r="E1066" t="s">
        <v>258</v>
      </c>
      <c r="F1066" t="s">
        <v>68</v>
      </c>
      <c r="G1066" t="s">
        <v>2480</v>
      </c>
      <c r="H1066" t="str">
        <f>"00480862"</f>
        <v>00480862</v>
      </c>
      <c r="I1066">
        <v>50.4</v>
      </c>
      <c r="J1066">
        <v>10</v>
      </c>
      <c r="N1066">
        <v>0</v>
      </c>
      <c r="O1066">
        <v>4</v>
      </c>
      <c r="P1066">
        <v>0</v>
      </c>
      <c r="Q1066">
        <v>64.400000000000006</v>
      </c>
      <c r="R1066">
        <v>16</v>
      </c>
      <c r="S1066">
        <v>16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16</v>
      </c>
      <c r="AA1066">
        <v>0</v>
      </c>
      <c r="AB1066">
        <v>0</v>
      </c>
      <c r="AD1066">
        <v>80.400000000000006</v>
      </c>
    </row>
    <row r="1067" spans="1:30" x14ac:dyDescent="0.3">
      <c r="A1067" s="4">
        <v>1080</v>
      </c>
      <c r="B1067" s="5">
        <v>1060</v>
      </c>
      <c r="C1067">
        <v>1329</v>
      </c>
      <c r="D1067" t="s">
        <v>2324</v>
      </c>
      <c r="E1067" t="s">
        <v>2481</v>
      </c>
      <c r="F1067" t="s">
        <v>68</v>
      </c>
      <c r="G1067" t="s">
        <v>2482</v>
      </c>
      <c r="H1067" t="str">
        <f>"00441891"</f>
        <v>00441891</v>
      </c>
      <c r="I1067">
        <v>14.4</v>
      </c>
      <c r="J1067">
        <v>10</v>
      </c>
      <c r="N1067">
        <v>0</v>
      </c>
      <c r="O1067">
        <v>0</v>
      </c>
      <c r="P1067">
        <v>2</v>
      </c>
      <c r="Q1067">
        <v>26.4</v>
      </c>
      <c r="R1067">
        <v>54</v>
      </c>
      <c r="S1067">
        <v>54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54</v>
      </c>
      <c r="AA1067">
        <v>0</v>
      </c>
      <c r="AB1067">
        <v>0</v>
      </c>
      <c r="AD1067">
        <v>80.400000000000006</v>
      </c>
    </row>
    <row r="1068" spans="1:30" x14ac:dyDescent="0.3">
      <c r="A1068" s="4">
        <v>1081</v>
      </c>
      <c r="B1068" s="5">
        <v>1061</v>
      </c>
      <c r="C1068">
        <v>2577</v>
      </c>
      <c r="D1068" t="s">
        <v>1604</v>
      </c>
      <c r="E1068" t="s">
        <v>255</v>
      </c>
      <c r="F1068" t="s">
        <v>375</v>
      </c>
      <c r="G1068" t="s">
        <v>2483</v>
      </c>
      <c r="H1068" t="str">
        <f>"00530680"</f>
        <v>00530680</v>
      </c>
      <c r="I1068">
        <v>43.2</v>
      </c>
      <c r="J1068">
        <v>0</v>
      </c>
      <c r="K1068">
        <v>8</v>
      </c>
      <c r="N1068">
        <v>8</v>
      </c>
      <c r="O1068">
        <v>4</v>
      </c>
      <c r="P1068">
        <v>2</v>
      </c>
      <c r="Q1068">
        <v>57.2</v>
      </c>
      <c r="R1068">
        <v>23</v>
      </c>
      <c r="S1068">
        <v>23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23</v>
      </c>
      <c r="AA1068">
        <v>0</v>
      </c>
      <c r="AB1068">
        <v>0</v>
      </c>
      <c r="AD1068">
        <v>80.2</v>
      </c>
    </row>
    <row r="1069" spans="1:30" x14ac:dyDescent="0.3">
      <c r="A1069" s="4">
        <v>1082</v>
      </c>
      <c r="B1069" s="5">
        <v>1062</v>
      </c>
      <c r="C1069">
        <v>1916</v>
      </c>
      <c r="D1069" t="s">
        <v>2484</v>
      </c>
      <c r="E1069" t="s">
        <v>29</v>
      </c>
      <c r="F1069" t="s">
        <v>38</v>
      </c>
      <c r="G1069" t="s">
        <v>2485</v>
      </c>
      <c r="H1069" t="str">
        <f>"00531420"</f>
        <v>00531420</v>
      </c>
      <c r="I1069">
        <v>7.2</v>
      </c>
      <c r="J1069">
        <v>10</v>
      </c>
      <c r="M1069">
        <v>4</v>
      </c>
      <c r="N1069">
        <v>4</v>
      </c>
      <c r="O1069">
        <v>4</v>
      </c>
      <c r="P1069">
        <v>0</v>
      </c>
      <c r="Q1069">
        <v>25.2</v>
      </c>
      <c r="R1069">
        <v>55</v>
      </c>
      <c r="S1069">
        <v>55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55</v>
      </c>
      <c r="AA1069">
        <v>0</v>
      </c>
      <c r="AB1069">
        <v>0</v>
      </c>
      <c r="AD1069">
        <v>80.2</v>
      </c>
    </row>
    <row r="1070" spans="1:30" x14ac:dyDescent="0.3">
      <c r="A1070" s="4">
        <v>1083</v>
      </c>
      <c r="B1070" s="5">
        <v>1063</v>
      </c>
      <c r="C1070">
        <v>1463</v>
      </c>
      <c r="D1070" t="s">
        <v>2486</v>
      </c>
      <c r="E1070" t="s">
        <v>41</v>
      </c>
      <c r="F1070" t="s">
        <v>158</v>
      </c>
      <c r="G1070" t="s">
        <v>2487</v>
      </c>
      <c r="H1070" t="str">
        <f>"00531575"</f>
        <v>00531575</v>
      </c>
      <c r="I1070">
        <v>25.16</v>
      </c>
      <c r="J1070">
        <v>0</v>
      </c>
      <c r="N1070">
        <v>0</v>
      </c>
      <c r="O1070">
        <v>0</v>
      </c>
      <c r="P1070">
        <v>0</v>
      </c>
      <c r="Q1070">
        <v>25.16</v>
      </c>
      <c r="R1070">
        <v>10</v>
      </c>
      <c r="S1070">
        <v>10</v>
      </c>
      <c r="T1070">
        <v>18</v>
      </c>
      <c r="U1070">
        <v>36</v>
      </c>
      <c r="V1070">
        <v>0</v>
      </c>
      <c r="W1070">
        <v>0</v>
      </c>
      <c r="X1070">
        <v>0</v>
      </c>
      <c r="Y1070">
        <v>0</v>
      </c>
      <c r="Z1070">
        <v>46</v>
      </c>
      <c r="AA1070">
        <v>9</v>
      </c>
      <c r="AB1070">
        <v>0</v>
      </c>
      <c r="AD1070">
        <v>80.16</v>
      </c>
    </row>
    <row r="1071" spans="1:30" x14ac:dyDescent="0.3">
      <c r="A1071" s="4">
        <v>1084</v>
      </c>
      <c r="B1071" s="5">
        <v>1064</v>
      </c>
      <c r="C1071">
        <v>1702</v>
      </c>
      <c r="D1071" t="s">
        <v>2488</v>
      </c>
      <c r="E1071" t="s">
        <v>147</v>
      </c>
      <c r="F1071" t="s">
        <v>81</v>
      </c>
      <c r="G1071" t="s">
        <v>2489</v>
      </c>
      <c r="H1071" t="str">
        <f>"00514941"</f>
        <v>00514941</v>
      </c>
      <c r="I1071">
        <v>34.159999999999997</v>
      </c>
      <c r="J1071">
        <v>0</v>
      </c>
      <c r="M1071">
        <v>4</v>
      </c>
      <c r="N1071">
        <v>4</v>
      </c>
      <c r="O1071">
        <v>0</v>
      </c>
      <c r="P1071">
        <v>0</v>
      </c>
      <c r="Q1071">
        <v>38.159999999999997</v>
      </c>
      <c r="R1071">
        <v>39</v>
      </c>
      <c r="S1071">
        <v>39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39</v>
      </c>
      <c r="AA1071">
        <v>3</v>
      </c>
      <c r="AB1071">
        <v>0</v>
      </c>
      <c r="AD1071">
        <v>80.16</v>
      </c>
    </row>
    <row r="1072" spans="1:30" x14ac:dyDescent="0.3">
      <c r="A1072" s="4">
        <v>1085</v>
      </c>
      <c r="B1072" s="5">
        <v>1065</v>
      </c>
      <c r="C1072">
        <v>4912</v>
      </c>
      <c r="D1072" t="s">
        <v>2490</v>
      </c>
      <c r="E1072" t="s">
        <v>88</v>
      </c>
      <c r="F1072" t="s">
        <v>892</v>
      </c>
      <c r="G1072" t="s">
        <v>2491</v>
      </c>
      <c r="H1072" t="str">
        <f>"00530707"</f>
        <v>00530707</v>
      </c>
      <c r="I1072">
        <v>43.2</v>
      </c>
      <c r="J1072">
        <v>0</v>
      </c>
      <c r="M1072">
        <v>4</v>
      </c>
      <c r="N1072">
        <v>4</v>
      </c>
      <c r="O1072">
        <v>0</v>
      </c>
      <c r="P1072">
        <v>0</v>
      </c>
      <c r="Q1072">
        <v>47.2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6</v>
      </c>
      <c r="AB1072">
        <v>26.8</v>
      </c>
      <c r="AD1072">
        <v>80</v>
      </c>
    </row>
    <row r="1073" spans="1:30" x14ac:dyDescent="0.3">
      <c r="A1073" s="4">
        <v>1086</v>
      </c>
      <c r="B1073" s="5">
        <v>1066</v>
      </c>
      <c r="C1073">
        <v>4582</v>
      </c>
      <c r="D1073" t="s">
        <v>2492</v>
      </c>
      <c r="E1073" t="s">
        <v>166</v>
      </c>
      <c r="F1073" t="s">
        <v>62</v>
      </c>
      <c r="G1073" t="s">
        <v>2493</v>
      </c>
      <c r="H1073" t="str">
        <f>"200806000352"</f>
        <v>200806000352</v>
      </c>
      <c r="I1073">
        <v>36</v>
      </c>
      <c r="J1073">
        <v>0</v>
      </c>
      <c r="M1073">
        <v>4</v>
      </c>
      <c r="N1073">
        <v>4</v>
      </c>
      <c r="O1073">
        <v>4</v>
      </c>
      <c r="P1073">
        <v>2</v>
      </c>
      <c r="Q1073">
        <v>46</v>
      </c>
      <c r="R1073">
        <v>28</v>
      </c>
      <c r="S1073">
        <v>28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28</v>
      </c>
      <c r="AA1073">
        <v>6</v>
      </c>
      <c r="AB1073">
        <v>0</v>
      </c>
      <c r="AD1073">
        <v>80</v>
      </c>
    </row>
    <row r="1074" spans="1:30" x14ac:dyDescent="0.3">
      <c r="A1074" s="4">
        <v>1087</v>
      </c>
      <c r="B1074" s="5">
        <v>1067</v>
      </c>
      <c r="C1074">
        <v>1687</v>
      </c>
      <c r="D1074" t="s">
        <v>2494</v>
      </c>
      <c r="E1074" t="s">
        <v>516</v>
      </c>
      <c r="F1074" t="s">
        <v>17</v>
      </c>
      <c r="G1074" t="s">
        <v>2495</v>
      </c>
      <c r="H1074" t="str">
        <f>"00501344"</f>
        <v>00501344</v>
      </c>
      <c r="I1074">
        <v>36</v>
      </c>
      <c r="J1074">
        <v>0</v>
      </c>
      <c r="K1074">
        <v>8</v>
      </c>
      <c r="N1074">
        <v>8</v>
      </c>
      <c r="O1074">
        <v>4</v>
      </c>
      <c r="P1074">
        <v>2</v>
      </c>
      <c r="Q1074">
        <v>50</v>
      </c>
      <c r="R1074">
        <v>27</v>
      </c>
      <c r="S1074">
        <v>27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27</v>
      </c>
      <c r="AA1074">
        <v>3</v>
      </c>
      <c r="AB1074">
        <v>0</v>
      </c>
      <c r="AD1074">
        <v>80</v>
      </c>
    </row>
    <row r="1075" spans="1:30" x14ac:dyDescent="0.3">
      <c r="A1075" s="4">
        <v>1088</v>
      </c>
      <c r="B1075" s="5">
        <v>1068</v>
      </c>
      <c r="C1075">
        <v>1426</v>
      </c>
      <c r="D1075" t="s">
        <v>2496</v>
      </c>
      <c r="E1075" t="s">
        <v>29</v>
      </c>
      <c r="F1075" t="s">
        <v>298</v>
      </c>
      <c r="G1075" t="s">
        <v>2497</v>
      </c>
      <c r="H1075" t="str">
        <f>"00441741"</f>
        <v>00441741</v>
      </c>
      <c r="I1075">
        <v>24</v>
      </c>
      <c r="J1075">
        <v>10</v>
      </c>
      <c r="K1075">
        <v>8</v>
      </c>
      <c r="N1075">
        <v>8</v>
      </c>
      <c r="O1075">
        <v>4</v>
      </c>
      <c r="P1075">
        <v>0</v>
      </c>
      <c r="Q1075">
        <v>46</v>
      </c>
      <c r="R1075">
        <v>31</v>
      </c>
      <c r="S1075">
        <v>31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31</v>
      </c>
      <c r="AA1075">
        <v>3</v>
      </c>
      <c r="AB1075">
        <v>0</v>
      </c>
      <c r="AD1075">
        <v>80</v>
      </c>
    </row>
    <row r="1076" spans="1:30" x14ac:dyDescent="0.3">
      <c r="A1076" s="4">
        <v>1089</v>
      </c>
      <c r="B1076" s="5">
        <v>1069</v>
      </c>
      <c r="C1076">
        <v>3849</v>
      </c>
      <c r="D1076" t="s">
        <v>2498</v>
      </c>
      <c r="E1076" t="s">
        <v>550</v>
      </c>
      <c r="F1076" t="s">
        <v>171</v>
      </c>
      <c r="G1076" t="s">
        <v>2499</v>
      </c>
      <c r="H1076" t="str">
        <f>"00554525"</f>
        <v>00554525</v>
      </c>
      <c r="I1076">
        <v>72</v>
      </c>
      <c r="J1076">
        <v>0</v>
      </c>
      <c r="M1076">
        <v>4</v>
      </c>
      <c r="N1076">
        <v>4</v>
      </c>
      <c r="O1076">
        <v>4</v>
      </c>
      <c r="P1076">
        <v>0</v>
      </c>
      <c r="Q1076">
        <v>80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D1076">
        <v>80</v>
      </c>
    </row>
    <row r="1077" spans="1:30" x14ac:dyDescent="0.3">
      <c r="A1077" s="4">
        <v>1090</v>
      </c>
      <c r="B1077" s="5">
        <v>1070</v>
      </c>
      <c r="C1077">
        <v>4687</v>
      </c>
      <c r="D1077" t="s">
        <v>2500</v>
      </c>
      <c r="E1077" t="s">
        <v>22</v>
      </c>
      <c r="F1077" t="s">
        <v>34</v>
      </c>
      <c r="G1077" t="s">
        <v>2501</v>
      </c>
      <c r="H1077" t="str">
        <f>"201511039661"</f>
        <v>201511039661</v>
      </c>
      <c r="I1077">
        <v>72</v>
      </c>
      <c r="J1077">
        <v>0</v>
      </c>
      <c r="M1077">
        <v>4</v>
      </c>
      <c r="N1077">
        <v>4</v>
      </c>
      <c r="O1077">
        <v>4</v>
      </c>
      <c r="P1077">
        <v>0</v>
      </c>
      <c r="Q1077">
        <v>80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D1077">
        <v>80</v>
      </c>
    </row>
    <row r="1078" spans="1:30" x14ac:dyDescent="0.3">
      <c r="A1078" s="4">
        <v>1091</v>
      </c>
      <c r="B1078" s="5">
        <v>1071</v>
      </c>
      <c r="C1078">
        <v>1762</v>
      </c>
      <c r="D1078" t="s">
        <v>2405</v>
      </c>
      <c r="E1078" t="s">
        <v>149</v>
      </c>
      <c r="F1078" t="s">
        <v>81</v>
      </c>
      <c r="G1078" t="s">
        <v>2502</v>
      </c>
      <c r="H1078" t="str">
        <f>"00512187"</f>
        <v>00512187</v>
      </c>
      <c r="I1078">
        <v>72</v>
      </c>
      <c r="J1078">
        <v>0</v>
      </c>
      <c r="M1078">
        <v>4</v>
      </c>
      <c r="N1078">
        <v>4</v>
      </c>
      <c r="O1078">
        <v>4</v>
      </c>
      <c r="P1078">
        <v>0</v>
      </c>
      <c r="Q1078">
        <v>80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D1078">
        <v>80</v>
      </c>
    </row>
    <row r="1079" spans="1:30" x14ac:dyDescent="0.3">
      <c r="A1079" s="4">
        <v>1092</v>
      </c>
      <c r="B1079" s="5">
        <v>1072</v>
      </c>
      <c r="C1079">
        <v>3547</v>
      </c>
      <c r="D1079" t="s">
        <v>2503</v>
      </c>
      <c r="E1079" t="s">
        <v>54</v>
      </c>
      <c r="F1079" t="s">
        <v>62</v>
      </c>
      <c r="G1079" t="s">
        <v>2504</v>
      </c>
      <c r="H1079" t="str">
        <f>"00156888"</f>
        <v>00156888</v>
      </c>
      <c r="I1079">
        <v>40</v>
      </c>
      <c r="J1079">
        <v>10</v>
      </c>
      <c r="L1079">
        <v>6</v>
      </c>
      <c r="N1079">
        <v>6</v>
      </c>
      <c r="O1079">
        <v>4</v>
      </c>
      <c r="P1079">
        <v>2</v>
      </c>
      <c r="Q1079">
        <v>62</v>
      </c>
      <c r="R1079">
        <v>18</v>
      </c>
      <c r="S1079">
        <v>18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18</v>
      </c>
      <c r="AA1079">
        <v>0</v>
      </c>
      <c r="AB1079">
        <v>0</v>
      </c>
      <c r="AD1079">
        <v>80</v>
      </c>
    </row>
    <row r="1080" spans="1:30" x14ac:dyDescent="0.3">
      <c r="A1080" s="4">
        <v>1093</v>
      </c>
      <c r="B1080" s="5">
        <v>1073</v>
      </c>
      <c r="C1080">
        <v>3690</v>
      </c>
      <c r="D1080" t="s">
        <v>2505</v>
      </c>
      <c r="E1080" t="s">
        <v>33</v>
      </c>
      <c r="F1080" t="s">
        <v>62</v>
      </c>
      <c r="G1080" t="s">
        <v>2506</v>
      </c>
      <c r="H1080" t="str">
        <f>"00170691"</f>
        <v>00170691</v>
      </c>
      <c r="I1080">
        <v>36</v>
      </c>
      <c r="J1080">
        <v>0</v>
      </c>
      <c r="M1080">
        <v>4</v>
      </c>
      <c r="N1080">
        <v>4</v>
      </c>
      <c r="O1080">
        <v>4</v>
      </c>
      <c r="P1080">
        <v>2</v>
      </c>
      <c r="Q1080">
        <v>46</v>
      </c>
      <c r="R1080">
        <v>34</v>
      </c>
      <c r="S1080">
        <v>34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34</v>
      </c>
      <c r="AA1080">
        <v>0</v>
      </c>
      <c r="AB1080">
        <v>0</v>
      </c>
      <c r="AD1080">
        <v>80</v>
      </c>
    </row>
    <row r="1081" spans="1:30" x14ac:dyDescent="0.3">
      <c r="A1081" s="4">
        <v>1094</v>
      </c>
      <c r="B1081" s="5">
        <v>1074</v>
      </c>
      <c r="C1081">
        <v>169</v>
      </c>
      <c r="D1081" t="s">
        <v>114</v>
      </c>
      <c r="E1081" t="s">
        <v>2507</v>
      </c>
      <c r="F1081" t="s">
        <v>442</v>
      </c>
      <c r="G1081" t="s">
        <v>2508</v>
      </c>
      <c r="H1081" t="str">
        <f>"00459708"</f>
        <v>00459708</v>
      </c>
      <c r="I1081">
        <v>36</v>
      </c>
      <c r="J1081">
        <v>0</v>
      </c>
      <c r="M1081">
        <v>4</v>
      </c>
      <c r="N1081">
        <v>4</v>
      </c>
      <c r="O1081">
        <v>4</v>
      </c>
      <c r="P1081">
        <v>2</v>
      </c>
      <c r="Q1081">
        <v>46</v>
      </c>
      <c r="R1081">
        <v>34</v>
      </c>
      <c r="S1081">
        <v>34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34</v>
      </c>
      <c r="AA1081">
        <v>0</v>
      </c>
      <c r="AB1081">
        <v>0</v>
      </c>
      <c r="AD1081">
        <v>80</v>
      </c>
    </row>
    <row r="1082" spans="1:30" x14ac:dyDescent="0.3">
      <c r="A1082" s="4">
        <v>1095</v>
      </c>
      <c r="B1082" s="5">
        <v>1075</v>
      </c>
      <c r="C1082">
        <v>3268</v>
      </c>
      <c r="D1082" t="s">
        <v>2509</v>
      </c>
      <c r="E1082" t="s">
        <v>2510</v>
      </c>
      <c r="F1082" t="s">
        <v>167</v>
      </c>
      <c r="G1082" t="s">
        <v>2511</v>
      </c>
      <c r="H1082" t="str">
        <f>"00442362"</f>
        <v>00442362</v>
      </c>
      <c r="I1082">
        <v>36</v>
      </c>
      <c r="J1082">
        <v>0</v>
      </c>
      <c r="M1082">
        <v>4</v>
      </c>
      <c r="N1082">
        <v>4</v>
      </c>
      <c r="O1082">
        <v>4</v>
      </c>
      <c r="P1082">
        <v>0</v>
      </c>
      <c r="Q1082">
        <v>44</v>
      </c>
      <c r="R1082">
        <v>36</v>
      </c>
      <c r="S1082">
        <v>36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36</v>
      </c>
      <c r="AA1082">
        <v>0</v>
      </c>
      <c r="AB1082">
        <v>0</v>
      </c>
      <c r="AD1082">
        <v>80</v>
      </c>
    </row>
    <row r="1083" spans="1:30" x14ac:dyDescent="0.3">
      <c r="A1083" s="4">
        <v>1096</v>
      </c>
      <c r="B1083" s="5">
        <v>1076</v>
      </c>
      <c r="C1083">
        <v>3150</v>
      </c>
      <c r="D1083" t="s">
        <v>2512</v>
      </c>
      <c r="E1083" t="s">
        <v>26</v>
      </c>
      <c r="F1083" t="s">
        <v>2513</v>
      </c>
      <c r="G1083" t="s">
        <v>2514</v>
      </c>
      <c r="H1083" t="str">
        <f>"00530740"</f>
        <v>00530740</v>
      </c>
      <c r="I1083">
        <v>24</v>
      </c>
      <c r="J1083">
        <v>0</v>
      </c>
      <c r="N1083">
        <v>0</v>
      </c>
      <c r="O1083">
        <v>0</v>
      </c>
      <c r="P1083">
        <v>2</v>
      </c>
      <c r="Q1083">
        <v>26</v>
      </c>
      <c r="R1083">
        <v>54</v>
      </c>
      <c r="S1083">
        <v>54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54</v>
      </c>
      <c r="AA1083">
        <v>0</v>
      </c>
      <c r="AB1083">
        <v>0</v>
      </c>
      <c r="AD1083">
        <v>80</v>
      </c>
    </row>
    <row r="1084" spans="1:30" x14ac:dyDescent="0.3">
      <c r="A1084" s="4">
        <v>1097</v>
      </c>
      <c r="B1084" s="5">
        <v>1077</v>
      </c>
      <c r="C1084">
        <v>1480</v>
      </c>
      <c r="D1084" t="s">
        <v>2515</v>
      </c>
      <c r="E1084" t="s">
        <v>33</v>
      </c>
      <c r="F1084" t="s">
        <v>243</v>
      </c>
      <c r="G1084" t="s">
        <v>2516</v>
      </c>
      <c r="H1084" t="str">
        <f>"00525570"</f>
        <v>00525570</v>
      </c>
      <c r="I1084">
        <v>26.84</v>
      </c>
      <c r="J1084">
        <v>0</v>
      </c>
      <c r="N1084">
        <v>0</v>
      </c>
      <c r="O1084">
        <v>0</v>
      </c>
      <c r="P1084">
        <v>0</v>
      </c>
      <c r="Q1084">
        <v>26.84</v>
      </c>
      <c r="R1084">
        <v>8</v>
      </c>
      <c r="S1084">
        <v>8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8</v>
      </c>
      <c r="AA1084">
        <v>9</v>
      </c>
      <c r="AB1084">
        <v>36</v>
      </c>
      <c r="AD1084">
        <v>79.84</v>
      </c>
    </row>
    <row r="1085" spans="1:30" x14ac:dyDescent="0.3">
      <c r="A1085" s="4">
        <v>1098</v>
      </c>
      <c r="B1085" s="5">
        <v>1078</v>
      </c>
      <c r="C1085">
        <v>2340</v>
      </c>
      <c r="D1085" t="s">
        <v>2517</v>
      </c>
      <c r="E1085" t="s">
        <v>54</v>
      </c>
      <c r="F1085" t="s">
        <v>819</v>
      </c>
      <c r="G1085" t="s">
        <v>32030</v>
      </c>
      <c r="H1085" t="str">
        <f>"00501770"</f>
        <v>00501770</v>
      </c>
      <c r="I1085">
        <v>28.8</v>
      </c>
      <c r="J1085">
        <v>0</v>
      </c>
      <c r="N1085">
        <v>0</v>
      </c>
      <c r="O1085">
        <v>4</v>
      </c>
      <c r="P1085">
        <v>2</v>
      </c>
      <c r="Q1085">
        <v>34.799999999999997</v>
      </c>
      <c r="R1085">
        <v>45</v>
      </c>
      <c r="S1085">
        <v>45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45</v>
      </c>
      <c r="AA1085">
        <v>0</v>
      </c>
      <c r="AB1085">
        <v>0</v>
      </c>
      <c r="AD1085">
        <v>79.8</v>
      </c>
    </row>
    <row r="1086" spans="1:30" x14ac:dyDescent="0.3">
      <c r="A1086" s="4">
        <v>1099</v>
      </c>
      <c r="B1086" s="5">
        <v>1079</v>
      </c>
      <c r="C1086">
        <v>3356</v>
      </c>
      <c r="D1086" t="s">
        <v>2518</v>
      </c>
      <c r="E1086" t="s">
        <v>2011</v>
      </c>
      <c r="F1086" t="s">
        <v>20</v>
      </c>
      <c r="G1086" t="s">
        <v>2519</v>
      </c>
      <c r="H1086" t="str">
        <f>"00532692"</f>
        <v>00532692</v>
      </c>
      <c r="I1086">
        <v>28.8</v>
      </c>
      <c r="J1086">
        <v>0</v>
      </c>
      <c r="N1086">
        <v>0</v>
      </c>
      <c r="O1086">
        <v>4</v>
      </c>
      <c r="P1086">
        <v>2</v>
      </c>
      <c r="Q1086">
        <v>34.799999999999997</v>
      </c>
      <c r="R1086">
        <v>45</v>
      </c>
      <c r="S1086">
        <v>45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45</v>
      </c>
      <c r="AA1086">
        <v>0</v>
      </c>
      <c r="AB1086">
        <v>0</v>
      </c>
      <c r="AD1086">
        <v>79.8</v>
      </c>
    </row>
    <row r="1087" spans="1:30" x14ac:dyDescent="0.3">
      <c r="A1087" s="4">
        <v>1100</v>
      </c>
      <c r="B1087" s="5">
        <v>1080</v>
      </c>
      <c r="C1087">
        <v>1185</v>
      </c>
      <c r="D1087" t="s">
        <v>2520</v>
      </c>
      <c r="E1087" t="s">
        <v>283</v>
      </c>
      <c r="F1087" t="s">
        <v>136</v>
      </c>
      <c r="G1087" t="s">
        <v>2521</v>
      </c>
      <c r="H1087" t="str">
        <f>"200801008679"</f>
        <v>200801008679</v>
      </c>
      <c r="I1087">
        <v>57.6</v>
      </c>
      <c r="J1087">
        <v>10</v>
      </c>
      <c r="N1087">
        <v>0</v>
      </c>
      <c r="O1087">
        <v>4</v>
      </c>
      <c r="P1087">
        <v>2</v>
      </c>
      <c r="Q1087">
        <v>73.599999999999994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6</v>
      </c>
      <c r="AB1087">
        <v>0</v>
      </c>
      <c r="AD1087">
        <v>79.599999999999994</v>
      </c>
    </row>
    <row r="1088" spans="1:30" x14ac:dyDescent="0.3">
      <c r="A1088" s="4">
        <v>1101</v>
      </c>
      <c r="B1088" s="5">
        <v>1081</v>
      </c>
      <c r="C1088">
        <v>1614</v>
      </c>
      <c r="D1088" t="s">
        <v>2522</v>
      </c>
      <c r="E1088" t="s">
        <v>29</v>
      </c>
      <c r="F1088" t="s">
        <v>117</v>
      </c>
      <c r="G1088" t="s">
        <v>2523</v>
      </c>
      <c r="H1088" t="str">
        <f>"00161283"</f>
        <v>00161283</v>
      </c>
      <c r="I1088">
        <v>21.6</v>
      </c>
      <c r="J1088">
        <v>0</v>
      </c>
      <c r="N1088">
        <v>0</v>
      </c>
      <c r="O1088">
        <v>4</v>
      </c>
      <c r="P1088">
        <v>2</v>
      </c>
      <c r="Q1088">
        <v>27.6</v>
      </c>
      <c r="R1088">
        <v>46</v>
      </c>
      <c r="S1088">
        <v>46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46</v>
      </c>
      <c r="AA1088">
        <v>6</v>
      </c>
      <c r="AB1088">
        <v>0</v>
      </c>
      <c r="AD1088">
        <v>79.599999999999994</v>
      </c>
    </row>
    <row r="1089" spans="1:30" x14ac:dyDescent="0.3">
      <c r="A1089" s="4">
        <v>1102</v>
      </c>
      <c r="B1089" s="5">
        <v>1082</v>
      </c>
      <c r="C1089">
        <v>2396</v>
      </c>
      <c r="D1089" t="s">
        <v>2524</v>
      </c>
      <c r="E1089" t="s">
        <v>29</v>
      </c>
      <c r="F1089" t="s">
        <v>587</v>
      </c>
      <c r="G1089" t="s">
        <v>2525</v>
      </c>
      <c r="H1089" t="str">
        <f>"00533918"</f>
        <v>00533918</v>
      </c>
      <c r="I1089">
        <v>57.6</v>
      </c>
      <c r="J1089">
        <v>10</v>
      </c>
      <c r="L1089">
        <v>6</v>
      </c>
      <c r="N1089">
        <v>6</v>
      </c>
      <c r="O1089">
        <v>4</v>
      </c>
      <c r="P1089">
        <v>2</v>
      </c>
      <c r="Q1089">
        <v>79.599999999999994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D1089">
        <v>79.599999999999994</v>
      </c>
    </row>
    <row r="1090" spans="1:30" x14ac:dyDescent="0.3">
      <c r="A1090" s="4">
        <v>1103</v>
      </c>
      <c r="B1090" s="5">
        <v>1083</v>
      </c>
      <c r="C1090">
        <v>2637</v>
      </c>
      <c r="D1090" t="s">
        <v>2526</v>
      </c>
      <c r="E1090" t="s">
        <v>957</v>
      </c>
      <c r="F1090" t="s">
        <v>158</v>
      </c>
      <c r="G1090" t="s">
        <v>2527</v>
      </c>
      <c r="H1090" t="str">
        <f>"00255363"</f>
        <v>00255363</v>
      </c>
      <c r="I1090">
        <v>57.6</v>
      </c>
      <c r="J1090">
        <v>0</v>
      </c>
      <c r="K1090">
        <v>16</v>
      </c>
      <c r="N1090">
        <v>16</v>
      </c>
      <c r="O1090">
        <v>4</v>
      </c>
      <c r="P1090">
        <v>2</v>
      </c>
      <c r="Q1090">
        <v>79.599999999999994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D1090">
        <v>79.599999999999994</v>
      </c>
    </row>
    <row r="1091" spans="1:30" x14ac:dyDescent="0.3">
      <c r="A1091" s="4">
        <v>1104</v>
      </c>
      <c r="B1091" s="5">
        <v>1084</v>
      </c>
      <c r="C1091">
        <v>4189</v>
      </c>
      <c r="D1091" t="s">
        <v>2528</v>
      </c>
      <c r="E1091" t="s">
        <v>182</v>
      </c>
      <c r="F1091" t="s">
        <v>30</v>
      </c>
      <c r="G1091" t="s">
        <v>2529</v>
      </c>
      <c r="H1091" t="str">
        <f>"00531043"</f>
        <v>00531043</v>
      </c>
      <c r="I1091">
        <v>57.6</v>
      </c>
      <c r="J1091">
        <v>0</v>
      </c>
      <c r="N1091">
        <v>0</v>
      </c>
      <c r="O1091">
        <v>4</v>
      </c>
      <c r="P1091">
        <v>2</v>
      </c>
      <c r="Q1091">
        <v>63.6</v>
      </c>
      <c r="R1091">
        <v>16</v>
      </c>
      <c r="S1091">
        <v>16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16</v>
      </c>
      <c r="AA1091">
        <v>0</v>
      </c>
      <c r="AB1091">
        <v>0</v>
      </c>
      <c r="AD1091">
        <v>79.599999999999994</v>
      </c>
    </row>
    <row r="1092" spans="1:30" x14ac:dyDescent="0.3">
      <c r="A1092" s="4">
        <v>1105</v>
      </c>
      <c r="B1092" s="5">
        <v>1085</v>
      </c>
      <c r="C1092">
        <v>2392</v>
      </c>
      <c r="D1092" t="s">
        <v>2530</v>
      </c>
      <c r="E1092" t="s">
        <v>2531</v>
      </c>
      <c r="F1092" t="s">
        <v>68</v>
      </c>
      <c r="G1092" t="s">
        <v>2532</v>
      </c>
      <c r="H1092" t="str">
        <f>"00162477"</f>
        <v>00162477</v>
      </c>
      <c r="I1092">
        <v>27.6</v>
      </c>
      <c r="J1092">
        <v>0</v>
      </c>
      <c r="M1092">
        <v>4</v>
      </c>
      <c r="N1092">
        <v>4</v>
      </c>
      <c r="O1092">
        <v>4</v>
      </c>
      <c r="P1092">
        <v>2</v>
      </c>
      <c r="Q1092">
        <v>37.6</v>
      </c>
      <c r="R1092">
        <v>42</v>
      </c>
      <c r="S1092">
        <v>42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42</v>
      </c>
      <c r="AA1092">
        <v>0</v>
      </c>
      <c r="AB1092">
        <v>0</v>
      </c>
      <c r="AD1092">
        <v>79.599999999999994</v>
      </c>
    </row>
    <row r="1093" spans="1:30" x14ac:dyDescent="0.3">
      <c r="A1093" s="4">
        <v>1106</v>
      </c>
      <c r="B1093" s="5">
        <v>1086</v>
      </c>
      <c r="C1093">
        <v>3624</v>
      </c>
      <c r="D1093" t="s">
        <v>1822</v>
      </c>
      <c r="E1093" t="s">
        <v>166</v>
      </c>
      <c r="F1093" t="s">
        <v>30</v>
      </c>
      <c r="G1093" t="s">
        <v>2533</v>
      </c>
      <c r="H1093" t="str">
        <f>"00531028"</f>
        <v>00531028</v>
      </c>
      <c r="I1093">
        <v>39.56</v>
      </c>
      <c r="J1093">
        <v>0</v>
      </c>
      <c r="N1093">
        <v>0</v>
      </c>
      <c r="O1093">
        <v>0</v>
      </c>
      <c r="P1093">
        <v>2</v>
      </c>
      <c r="Q1093">
        <v>41.56</v>
      </c>
      <c r="R1093">
        <v>38</v>
      </c>
      <c r="S1093">
        <v>38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38</v>
      </c>
      <c r="AA1093">
        <v>0</v>
      </c>
      <c r="AB1093">
        <v>0</v>
      </c>
      <c r="AD1093">
        <v>79.56</v>
      </c>
    </row>
    <row r="1094" spans="1:30" x14ac:dyDescent="0.3">
      <c r="A1094" s="4">
        <v>1107</v>
      </c>
      <c r="B1094" s="5">
        <v>1087</v>
      </c>
      <c r="C1094">
        <v>3914</v>
      </c>
      <c r="D1094" t="s">
        <v>2534</v>
      </c>
      <c r="E1094" t="s">
        <v>258</v>
      </c>
      <c r="F1094" t="s">
        <v>81</v>
      </c>
      <c r="G1094" t="s">
        <v>2535</v>
      </c>
      <c r="H1094" t="str">
        <f>"00531446"</f>
        <v>00531446</v>
      </c>
      <c r="I1094">
        <v>14.4</v>
      </c>
      <c r="J1094">
        <v>10</v>
      </c>
      <c r="N1094">
        <v>0</v>
      </c>
      <c r="O1094">
        <v>4</v>
      </c>
      <c r="P1094">
        <v>0</v>
      </c>
      <c r="Q1094">
        <v>28.4</v>
      </c>
      <c r="R1094">
        <v>42</v>
      </c>
      <c r="S1094">
        <v>42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42</v>
      </c>
      <c r="AA1094">
        <v>9</v>
      </c>
      <c r="AB1094">
        <v>0</v>
      </c>
      <c r="AD1094">
        <v>79.400000000000006</v>
      </c>
    </row>
    <row r="1095" spans="1:30" x14ac:dyDescent="0.3">
      <c r="A1095" s="4">
        <v>1108</v>
      </c>
      <c r="B1095" s="5">
        <v>1088</v>
      </c>
      <c r="C1095">
        <v>180</v>
      </c>
      <c r="D1095" t="s">
        <v>752</v>
      </c>
      <c r="E1095" t="s">
        <v>560</v>
      </c>
      <c r="F1095" t="s">
        <v>17</v>
      </c>
      <c r="G1095" t="s">
        <v>2536</v>
      </c>
      <c r="H1095" t="str">
        <f>"00500505"</f>
        <v>00500505</v>
      </c>
      <c r="I1095">
        <v>14.4</v>
      </c>
      <c r="J1095">
        <v>0</v>
      </c>
      <c r="M1095">
        <v>4</v>
      </c>
      <c r="N1095">
        <v>4</v>
      </c>
      <c r="O1095">
        <v>4</v>
      </c>
      <c r="P1095">
        <v>2</v>
      </c>
      <c r="Q1095">
        <v>24.4</v>
      </c>
      <c r="R1095">
        <v>49</v>
      </c>
      <c r="S1095">
        <v>49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49</v>
      </c>
      <c r="AA1095">
        <v>6</v>
      </c>
      <c r="AB1095">
        <v>0</v>
      </c>
      <c r="AD1095">
        <v>79.400000000000006</v>
      </c>
    </row>
    <row r="1096" spans="1:30" x14ac:dyDescent="0.3">
      <c r="A1096" s="4">
        <v>1109</v>
      </c>
      <c r="B1096" s="5">
        <v>1089</v>
      </c>
      <c r="C1096">
        <v>1668</v>
      </c>
      <c r="D1096" t="s">
        <v>2537</v>
      </c>
      <c r="E1096" t="s">
        <v>2538</v>
      </c>
      <c r="F1096" t="s">
        <v>158</v>
      </c>
      <c r="G1096" t="s">
        <v>2539</v>
      </c>
      <c r="H1096" t="str">
        <f>"00081125"</f>
        <v>00081125</v>
      </c>
      <c r="I1096">
        <v>28.36</v>
      </c>
      <c r="J1096">
        <v>0</v>
      </c>
      <c r="N1096">
        <v>0</v>
      </c>
      <c r="O1096">
        <v>4</v>
      </c>
      <c r="P1096">
        <v>2</v>
      </c>
      <c r="Q1096">
        <v>34.36</v>
      </c>
      <c r="R1096">
        <v>45</v>
      </c>
      <c r="S1096">
        <v>45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45</v>
      </c>
      <c r="AA1096">
        <v>0</v>
      </c>
      <c r="AB1096">
        <v>0</v>
      </c>
      <c r="AD1096">
        <v>79.36</v>
      </c>
    </row>
    <row r="1097" spans="1:30" x14ac:dyDescent="0.3">
      <c r="A1097" s="4">
        <v>1110</v>
      </c>
      <c r="B1097" s="5">
        <v>1090</v>
      </c>
      <c r="C1097">
        <v>1715</v>
      </c>
      <c r="D1097" t="s">
        <v>2540</v>
      </c>
      <c r="E1097" t="s">
        <v>550</v>
      </c>
      <c r="F1097" t="s">
        <v>136</v>
      </c>
      <c r="G1097" t="s">
        <v>2541</v>
      </c>
      <c r="H1097" t="str">
        <f>"200802011774"</f>
        <v>200802011774</v>
      </c>
      <c r="I1097">
        <v>43.2</v>
      </c>
      <c r="J1097">
        <v>0</v>
      </c>
      <c r="M1097">
        <v>8</v>
      </c>
      <c r="N1097">
        <v>8</v>
      </c>
      <c r="O1097">
        <v>4</v>
      </c>
      <c r="P1097">
        <v>2</v>
      </c>
      <c r="Q1097">
        <v>57.2</v>
      </c>
      <c r="R1097">
        <v>16</v>
      </c>
      <c r="S1097">
        <v>16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16</v>
      </c>
      <c r="AA1097">
        <v>6</v>
      </c>
      <c r="AB1097">
        <v>0</v>
      </c>
      <c r="AD1097">
        <v>79.2</v>
      </c>
    </row>
    <row r="1098" spans="1:30" x14ac:dyDescent="0.3">
      <c r="A1098" s="4">
        <v>1111</v>
      </c>
      <c r="B1098" s="5">
        <v>1091</v>
      </c>
      <c r="C1098">
        <v>2815</v>
      </c>
      <c r="D1098" t="s">
        <v>1296</v>
      </c>
      <c r="E1098" t="s">
        <v>2542</v>
      </c>
      <c r="F1098" t="s">
        <v>2543</v>
      </c>
      <c r="G1098" t="s">
        <v>2544</v>
      </c>
      <c r="H1098" t="str">
        <f>"00531345"</f>
        <v>00531345</v>
      </c>
      <c r="I1098">
        <v>43.2</v>
      </c>
      <c r="J1098">
        <v>10</v>
      </c>
      <c r="N1098">
        <v>0</v>
      </c>
      <c r="O1098">
        <v>0</v>
      </c>
      <c r="P1098">
        <v>2</v>
      </c>
      <c r="Q1098">
        <v>55.2</v>
      </c>
      <c r="R1098">
        <v>18</v>
      </c>
      <c r="S1098">
        <v>18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18</v>
      </c>
      <c r="AA1098">
        <v>6</v>
      </c>
      <c r="AB1098">
        <v>0</v>
      </c>
      <c r="AD1098">
        <v>79.2</v>
      </c>
    </row>
    <row r="1099" spans="1:30" x14ac:dyDescent="0.3">
      <c r="A1099" s="4">
        <v>1112</v>
      </c>
      <c r="B1099" s="5">
        <v>1092</v>
      </c>
      <c r="C1099">
        <v>1832</v>
      </c>
      <c r="D1099" t="s">
        <v>2545</v>
      </c>
      <c r="E1099" t="s">
        <v>54</v>
      </c>
      <c r="F1099" t="s">
        <v>136</v>
      </c>
      <c r="G1099" t="s">
        <v>2546</v>
      </c>
      <c r="H1099" t="str">
        <f>"00441767"</f>
        <v>00441767</v>
      </c>
      <c r="I1099">
        <v>43.2</v>
      </c>
      <c r="J1099">
        <v>10</v>
      </c>
      <c r="M1099">
        <v>4</v>
      </c>
      <c r="N1099">
        <v>4</v>
      </c>
      <c r="O1099">
        <v>4</v>
      </c>
      <c r="P1099">
        <v>0</v>
      </c>
      <c r="Q1099">
        <v>61.2</v>
      </c>
      <c r="R1099">
        <v>18</v>
      </c>
      <c r="S1099">
        <v>18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18</v>
      </c>
      <c r="AA1099">
        <v>0</v>
      </c>
      <c r="AB1099">
        <v>0</v>
      </c>
      <c r="AD1099">
        <v>79.2</v>
      </c>
    </row>
    <row r="1100" spans="1:30" x14ac:dyDescent="0.3">
      <c r="A1100" s="4">
        <v>1113</v>
      </c>
      <c r="B1100" s="5">
        <v>1093</v>
      </c>
      <c r="C1100">
        <v>916</v>
      </c>
      <c r="D1100" t="s">
        <v>2547</v>
      </c>
      <c r="E1100" t="s">
        <v>166</v>
      </c>
      <c r="F1100" t="s">
        <v>38</v>
      </c>
      <c r="G1100" t="s">
        <v>2548</v>
      </c>
      <c r="H1100" t="str">
        <f>"00499149"</f>
        <v>00499149</v>
      </c>
      <c r="I1100">
        <v>43.2</v>
      </c>
      <c r="J1100">
        <v>0</v>
      </c>
      <c r="N1100">
        <v>0</v>
      </c>
      <c r="O1100">
        <v>0</v>
      </c>
      <c r="P1100">
        <v>0</v>
      </c>
      <c r="Q1100">
        <v>43.2</v>
      </c>
      <c r="R1100">
        <v>36</v>
      </c>
      <c r="S1100">
        <v>36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36</v>
      </c>
      <c r="AA1100">
        <v>0</v>
      </c>
      <c r="AB1100">
        <v>0</v>
      </c>
      <c r="AD1100">
        <v>79.2</v>
      </c>
    </row>
    <row r="1101" spans="1:30" x14ac:dyDescent="0.3">
      <c r="A1101" s="4">
        <v>1114</v>
      </c>
      <c r="B1101" s="5">
        <v>1094</v>
      </c>
      <c r="C1101">
        <v>1663</v>
      </c>
      <c r="D1101" t="s">
        <v>2549</v>
      </c>
      <c r="E1101" t="s">
        <v>2550</v>
      </c>
      <c r="F1101" t="s">
        <v>38</v>
      </c>
      <c r="G1101" t="s">
        <v>2551</v>
      </c>
      <c r="H1101" t="str">
        <f>"00188380"</f>
        <v>00188380</v>
      </c>
      <c r="I1101">
        <v>21.16</v>
      </c>
      <c r="J1101">
        <v>0</v>
      </c>
      <c r="N1101">
        <v>0</v>
      </c>
      <c r="O1101">
        <v>4</v>
      </c>
      <c r="P1101">
        <v>0</v>
      </c>
      <c r="Q1101">
        <v>25.16</v>
      </c>
      <c r="R1101">
        <v>51</v>
      </c>
      <c r="S1101">
        <v>51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51</v>
      </c>
      <c r="AA1101">
        <v>3</v>
      </c>
      <c r="AB1101">
        <v>0</v>
      </c>
      <c r="AD1101">
        <v>79.16</v>
      </c>
    </row>
    <row r="1102" spans="1:30" x14ac:dyDescent="0.3">
      <c r="A1102" s="4">
        <v>1115</v>
      </c>
      <c r="B1102" s="5">
        <v>1095</v>
      </c>
      <c r="C1102">
        <v>4508</v>
      </c>
      <c r="D1102" t="s">
        <v>2552</v>
      </c>
      <c r="E1102" t="s">
        <v>1053</v>
      </c>
      <c r="F1102" t="s">
        <v>117</v>
      </c>
      <c r="G1102" t="s">
        <v>2553</v>
      </c>
      <c r="H1102" t="str">
        <f>"00519505"</f>
        <v>00519505</v>
      </c>
      <c r="I1102">
        <v>26</v>
      </c>
      <c r="J1102">
        <v>10</v>
      </c>
      <c r="K1102">
        <v>8</v>
      </c>
      <c r="N1102">
        <v>8</v>
      </c>
      <c r="O1102">
        <v>4</v>
      </c>
      <c r="P1102">
        <v>2</v>
      </c>
      <c r="Q1102">
        <v>50</v>
      </c>
      <c r="R1102">
        <v>23</v>
      </c>
      <c r="S1102">
        <v>23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23</v>
      </c>
      <c r="AA1102">
        <v>6</v>
      </c>
      <c r="AB1102">
        <v>0</v>
      </c>
      <c r="AD1102">
        <v>79</v>
      </c>
    </row>
    <row r="1103" spans="1:30" x14ac:dyDescent="0.3">
      <c r="A1103" s="4">
        <v>1116</v>
      </c>
      <c r="B1103" s="5">
        <v>1096</v>
      </c>
      <c r="C1103">
        <v>2029</v>
      </c>
      <c r="D1103" t="s">
        <v>2554</v>
      </c>
      <c r="E1103" t="s">
        <v>471</v>
      </c>
      <c r="F1103" t="s">
        <v>55</v>
      </c>
      <c r="G1103" t="s">
        <v>2555</v>
      </c>
      <c r="H1103" t="str">
        <f>"00865130"</f>
        <v>00865130</v>
      </c>
      <c r="I1103">
        <v>72</v>
      </c>
      <c r="J1103">
        <v>0</v>
      </c>
      <c r="N1103">
        <v>0</v>
      </c>
      <c r="O1103">
        <v>4</v>
      </c>
      <c r="P1103">
        <v>0</v>
      </c>
      <c r="Q1103">
        <v>76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3</v>
      </c>
      <c r="AB1103">
        <v>0</v>
      </c>
      <c r="AD1103">
        <v>79</v>
      </c>
    </row>
    <row r="1104" spans="1:30" x14ac:dyDescent="0.3">
      <c r="A1104" s="4">
        <v>1117</v>
      </c>
      <c r="B1104" s="5">
        <v>1097</v>
      </c>
      <c r="C1104">
        <v>3671</v>
      </c>
      <c r="D1104" t="s">
        <v>2556</v>
      </c>
      <c r="E1104" t="s">
        <v>147</v>
      </c>
      <c r="F1104" t="s">
        <v>2557</v>
      </c>
      <c r="G1104" t="s">
        <v>2558</v>
      </c>
      <c r="H1104" t="str">
        <f>"00442112"</f>
        <v>00442112</v>
      </c>
      <c r="I1104">
        <v>36</v>
      </c>
      <c r="J1104">
        <v>0</v>
      </c>
      <c r="N1104">
        <v>0</v>
      </c>
      <c r="O1104">
        <v>4</v>
      </c>
      <c r="P1104">
        <v>2</v>
      </c>
      <c r="Q1104">
        <v>42</v>
      </c>
      <c r="R1104">
        <v>34</v>
      </c>
      <c r="S1104">
        <v>34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34</v>
      </c>
      <c r="AA1104">
        <v>3</v>
      </c>
      <c r="AB1104">
        <v>0</v>
      </c>
      <c r="AD1104">
        <v>79</v>
      </c>
    </row>
    <row r="1105" spans="1:30" x14ac:dyDescent="0.3">
      <c r="A1105" s="4">
        <v>1118</v>
      </c>
      <c r="B1105" s="5">
        <v>1098</v>
      </c>
      <c r="C1105">
        <v>4236</v>
      </c>
      <c r="D1105" t="s">
        <v>2559</v>
      </c>
      <c r="E1105" t="s">
        <v>2560</v>
      </c>
      <c r="F1105" t="s">
        <v>2561</v>
      </c>
      <c r="G1105" t="s">
        <v>2562</v>
      </c>
      <c r="H1105" t="str">
        <f>"00513554"</f>
        <v>00513554</v>
      </c>
      <c r="I1105">
        <v>36</v>
      </c>
      <c r="J1105">
        <v>0</v>
      </c>
      <c r="N1105">
        <v>0</v>
      </c>
      <c r="O1105">
        <v>4</v>
      </c>
      <c r="P1105">
        <v>0</v>
      </c>
      <c r="Q1105">
        <v>40</v>
      </c>
      <c r="R1105">
        <v>36</v>
      </c>
      <c r="S1105">
        <v>36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36</v>
      </c>
      <c r="AA1105">
        <v>3</v>
      </c>
      <c r="AB1105">
        <v>0</v>
      </c>
      <c r="AD1105">
        <v>79</v>
      </c>
    </row>
    <row r="1106" spans="1:30" x14ac:dyDescent="0.3">
      <c r="A1106" s="4">
        <v>1119</v>
      </c>
      <c r="B1106" s="5">
        <v>1099</v>
      </c>
      <c r="C1106">
        <v>2134</v>
      </c>
      <c r="D1106" t="s">
        <v>2563</v>
      </c>
      <c r="E1106" t="s">
        <v>22</v>
      </c>
      <c r="F1106" t="s">
        <v>20</v>
      </c>
      <c r="G1106" t="s">
        <v>2564</v>
      </c>
      <c r="H1106" t="str">
        <f>"00530188"</f>
        <v>00530188</v>
      </c>
      <c r="I1106">
        <v>20</v>
      </c>
      <c r="J1106">
        <v>0</v>
      </c>
      <c r="K1106">
        <v>8</v>
      </c>
      <c r="N1106">
        <v>8</v>
      </c>
      <c r="O1106">
        <v>4</v>
      </c>
      <c r="P1106">
        <v>0</v>
      </c>
      <c r="Q1106">
        <v>32</v>
      </c>
      <c r="R1106">
        <v>47</v>
      </c>
      <c r="S1106">
        <v>47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47</v>
      </c>
      <c r="AA1106">
        <v>0</v>
      </c>
      <c r="AB1106">
        <v>0</v>
      </c>
      <c r="AD1106">
        <v>79</v>
      </c>
    </row>
    <row r="1107" spans="1:30" x14ac:dyDescent="0.3">
      <c r="A1107" s="4">
        <v>1120</v>
      </c>
      <c r="B1107" s="5">
        <v>1100</v>
      </c>
      <c r="C1107">
        <v>2820</v>
      </c>
      <c r="D1107" t="s">
        <v>2565</v>
      </c>
      <c r="E1107" t="s">
        <v>825</v>
      </c>
      <c r="F1107" t="s">
        <v>259</v>
      </c>
      <c r="G1107" t="s">
        <v>2566</v>
      </c>
      <c r="H1107" t="str">
        <f>"00761291"</f>
        <v>00761291</v>
      </c>
      <c r="I1107">
        <v>64.8</v>
      </c>
      <c r="J1107">
        <v>10</v>
      </c>
      <c r="M1107">
        <v>4</v>
      </c>
      <c r="N1107">
        <v>4</v>
      </c>
      <c r="O1107">
        <v>0</v>
      </c>
      <c r="P1107">
        <v>0</v>
      </c>
      <c r="Q1107">
        <v>78.8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D1107">
        <v>78.8</v>
      </c>
    </row>
    <row r="1108" spans="1:30" x14ac:dyDescent="0.3">
      <c r="A1108" s="4">
        <v>1121</v>
      </c>
      <c r="B1108" s="5">
        <v>1101</v>
      </c>
      <c r="C1108">
        <v>684</v>
      </c>
      <c r="D1108" t="s">
        <v>2567</v>
      </c>
      <c r="E1108" t="s">
        <v>744</v>
      </c>
      <c r="F1108" t="s">
        <v>117</v>
      </c>
      <c r="G1108" t="s">
        <v>2568</v>
      </c>
      <c r="H1108" t="str">
        <f>"00856480"</f>
        <v>00856480</v>
      </c>
      <c r="I1108">
        <v>64.8</v>
      </c>
      <c r="J1108">
        <v>10</v>
      </c>
      <c r="N1108">
        <v>0</v>
      </c>
      <c r="O1108">
        <v>4</v>
      </c>
      <c r="P1108">
        <v>0</v>
      </c>
      <c r="Q1108">
        <v>78.8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D1108">
        <v>78.8</v>
      </c>
    </row>
    <row r="1109" spans="1:30" x14ac:dyDescent="0.3">
      <c r="A1109" s="4">
        <v>1122</v>
      </c>
      <c r="B1109" s="5">
        <v>1102</v>
      </c>
      <c r="C1109">
        <v>4485</v>
      </c>
      <c r="D1109" t="s">
        <v>2569</v>
      </c>
      <c r="E1109" t="s">
        <v>2570</v>
      </c>
      <c r="F1109" t="s">
        <v>38</v>
      </c>
      <c r="G1109" t="s">
        <v>2571</v>
      </c>
      <c r="H1109" t="str">
        <f>"00813272"</f>
        <v>00813272</v>
      </c>
      <c r="I1109">
        <v>64.8</v>
      </c>
      <c r="J1109">
        <v>10</v>
      </c>
      <c r="M1109">
        <v>4</v>
      </c>
      <c r="N1109">
        <v>4</v>
      </c>
      <c r="O1109">
        <v>0</v>
      </c>
      <c r="P1109">
        <v>0</v>
      </c>
      <c r="Q1109">
        <v>78.8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D1109">
        <v>78.8</v>
      </c>
    </row>
    <row r="1110" spans="1:30" x14ac:dyDescent="0.3">
      <c r="A1110" s="4">
        <v>1123</v>
      </c>
      <c r="B1110" s="5">
        <v>1103</v>
      </c>
      <c r="C1110">
        <v>3925</v>
      </c>
      <c r="D1110" t="s">
        <v>2572</v>
      </c>
      <c r="E1110" t="s">
        <v>2573</v>
      </c>
      <c r="F1110" t="s">
        <v>20</v>
      </c>
      <c r="G1110" t="s">
        <v>2574</v>
      </c>
      <c r="H1110" t="str">
        <f>"00805622"</f>
        <v>00805622</v>
      </c>
      <c r="I1110">
        <v>64.8</v>
      </c>
      <c r="J1110">
        <v>0</v>
      </c>
      <c r="K1110">
        <v>8</v>
      </c>
      <c r="N1110">
        <v>8</v>
      </c>
      <c r="O1110">
        <v>4</v>
      </c>
      <c r="P1110">
        <v>2</v>
      </c>
      <c r="Q1110">
        <v>78.8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D1110">
        <v>78.8</v>
      </c>
    </row>
    <row r="1111" spans="1:30" x14ac:dyDescent="0.3">
      <c r="A1111" s="4">
        <v>1124</v>
      </c>
      <c r="B1111" s="5">
        <v>1104</v>
      </c>
      <c r="C1111">
        <v>542</v>
      </c>
      <c r="D1111" t="s">
        <v>1317</v>
      </c>
      <c r="E1111" t="s">
        <v>182</v>
      </c>
      <c r="F1111" t="s">
        <v>20</v>
      </c>
      <c r="G1111" t="s">
        <v>2575</v>
      </c>
      <c r="H1111" t="str">
        <f>"00127592"</f>
        <v>00127592</v>
      </c>
      <c r="I1111">
        <v>64.8</v>
      </c>
      <c r="J1111">
        <v>0</v>
      </c>
      <c r="K1111">
        <v>8</v>
      </c>
      <c r="N1111">
        <v>8</v>
      </c>
      <c r="O1111">
        <v>4</v>
      </c>
      <c r="P1111">
        <v>2</v>
      </c>
      <c r="Q1111">
        <v>78.8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D1111">
        <v>78.8</v>
      </c>
    </row>
    <row r="1112" spans="1:30" x14ac:dyDescent="0.3">
      <c r="A1112" s="4">
        <v>1125</v>
      </c>
      <c r="B1112" s="5">
        <v>1105</v>
      </c>
      <c r="C1112">
        <v>4468</v>
      </c>
      <c r="D1112" t="s">
        <v>2576</v>
      </c>
      <c r="E1112" t="s">
        <v>37</v>
      </c>
      <c r="F1112" t="s">
        <v>68</v>
      </c>
      <c r="G1112" t="s">
        <v>2577</v>
      </c>
      <c r="H1112" t="str">
        <f>"00232055"</f>
        <v>00232055</v>
      </c>
      <c r="I1112">
        <v>64.8</v>
      </c>
      <c r="J1112">
        <v>0</v>
      </c>
      <c r="M1112">
        <v>8</v>
      </c>
      <c r="N1112">
        <v>8</v>
      </c>
      <c r="O1112">
        <v>4</v>
      </c>
      <c r="P1112">
        <v>2</v>
      </c>
      <c r="Q1112">
        <v>78.8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D1112">
        <v>78.8</v>
      </c>
    </row>
    <row r="1113" spans="1:30" x14ac:dyDescent="0.3">
      <c r="A1113" s="4">
        <v>1126</v>
      </c>
      <c r="B1113" s="5">
        <v>1106</v>
      </c>
      <c r="C1113">
        <v>1758</v>
      </c>
      <c r="D1113" t="s">
        <v>2578</v>
      </c>
      <c r="E1113" t="s">
        <v>182</v>
      </c>
      <c r="F1113" t="s">
        <v>38</v>
      </c>
      <c r="G1113" t="s">
        <v>2579</v>
      </c>
      <c r="H1113" t="str">
        <f>"00855250"</f>
        <v>00855250</v>
      </c>
      <c r="I1113">
        <v>64.8</v>
      </c>
      <c r="J1113">
        <v>0</v>
      </c>
      <c r="K1113">
        <v>8</v>
      </c>
      <c r="N1113">
        <v>8</v>
      </c>
      <c r="O1113">
        <v>4</v>
      </c>
      <c r="P1113">
        <v>2</v>
      </c>
      <c r="Q1113">
        <v>78.8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D1113">
        <v>78.8</v>
      </c>
    </row>
    <row r="1114" spans="1:30" x14ac:dyDescent="0.3">
      <c r="A1114" s="4">
        <v>1127</v>
      </c>
      <c r="B1114" s="5">
        <v>1107</v>
      </c>
      <c r="C1114">
        <v>2245</v>
      </c>
      <c r="D1114" t="s">
        <v>1296</v>
      </c>
      <c r="E1114" t="s">
        <v>2580</v>
      </c>
      <c r="F1114" t="s">
        <v>38</v>
      </c>
      <c r="G1114" t="s">
        <v>2581</v>
      </c>
      <c r="H1114" t="str">
        <f>"00590981"</f>
        <v>00590981</v>
      </c>
      <c r="I1114">
        <v>64.8</v>
      </c>
      <c r="J1114">
        <v>0</v>
      </c>
      <c r="K1114">
        <v>8</v>
      </c>
      <c r="N1114">
        <v>8</v>
      </c>
      <c r="O1114">
        <v>4</v>
      </c>
      <c r="P1114">
        <v>2</v>
      </c>
      <c r="Q1114">
        <v>78.8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D1114">
        <v>78.8</v>
      </c>
    </row>
    <row r="1115" spans="1:30" x14ac:dyDescent="0.3">
      <c r="A1115" s="4">
        <v>1128</v>
      </c>
      <c r="B1115" s="5">
        <v>1108</v>
      </c>
      <c r="C1115">
        <v>1065</v>
      </c>
      <c r="D1115" t="s">
        <v>181</v>
      </c>
      <c r="E1115" t="s">
        <v>957</v>
      </c>
      <c r="F1115" t="s">
        <v>2582</v>
      </c>
      <c r="G1115" t="s">
        <v>2583</v>
      </c>
      <c r="H1115" t="str">
        <f>"00482204"</f>
        <v>00482204</v>
      </c>
      <c r="I1115">
        <v>64.8</v>
      </c>
      <c r="J1115">
        <v>0</v>
      </c>
      <c r="N1115">
        <v>0</v>
      </c>
      <c r="O1115">
        <v>4</v>
      </c>
      <c r="P1115">
        <v>0</v>
      </c>
      <c r="Q1115">
        <v>68.8</v>
      </c>
      <c r="R1115">
        <v>10</v>
      </c>
      <c r="S1115">
        <v>10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10</v>
      </c>
      <c r="AA1115">
        <v>0</v>
      </c>
      <c r="AB1115">
        <v>0</v>
      </c>
      <c r="AD1115">
        <v>78.8</v>
      </c>
    </row>
    <row r="1116" spans="1:30" x14ac:dyDescent="0.3">
      <c r="A1116" s="4">
        <v>1129</v>
      </c>
      <c r="B1116" s="5">
        <v>1109</v>
      </c>
      <c r="C1116">
        <v>3480</v>
      </c>
      <c r="D1116" t="s">
        <v>2584</v>
      </c>
      <c r="E1116" t="s">
        <v>100</v>
      </c>
      <c r="F1116" t="s">
        <v>52</v>
      </c>
      <c r="G1116" t="s">
        <v>2585</v>
      </c>
      <c r="H1116" t="str">
        <f>"00483330"</f>
        <v>00483330</v>
      </c>
      <c r="I1116">
        <v>28.8</v>
      </c>
      <c r="J1116">
        <v>0</v>
      </c>
      <c r="K1116">
        <v>8</v>
      </c>
      <c r="N1116">
        <v>8</v>
      </c>
      <c r="O1116">
        <v>4</v>
      </c>
      <c r="P1116">
        <v>2</v>
      </c>
      <c r="Q1116">
        <v>42.8</v>
      </c>
      <c r="R1116">
        <v>36</v>
      </c>
      <c r="S1116">
        <v>36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36</v>
      </c>
      <c r="AA1116">
        <v>0</v>
      </c>
      <c r="AB1116">
        <v>0</v>
      </c>
      <c r="AD1116">
        <v>78.8</v>
      </c>
    </row>
    <row r="1117" spans="1:30" x14ac:dyDescent="0.3">
      <c r="A1117" s="4">
        <v>1130</v>
      </c>
      <c r="B1117" s="5">
        <v>1110</v>
      </c>
      <c r="C1117">
        <v>595</v>
      </c>
      <c r="D1117" t="s">
        <v>2586</v>
      </c>
      <c r="E1117" t="s">
        <v>188</v>
      </c>
      <c r="F1117" t="s">
        <v>91</v>
      </c>
      <c r="G1117" t="s">
        <v>2587</v>
      </c>
      <c r="H1117" t="str">
        <f>"00523077"</f>
        <v>00523077</v>
      </c>
      <c r="I1117">
        <v>36.799999999999997</v>
      </c>
      <c r="J1117">
        <v>0</v>
      </c>
      <c r="N1117">
        <v>0</v>
      </c>
      <c r="O1117">
        <v>0</v>
      </c>
      <c r="P1117">
        <v>0</v>
      </c>
      <c r="Q1117">
        <v>36.799999999999997</v>
      </c>
      <c r="R1117">
        <v>42</v>
      </c>
      <c r="S1117">
        <v>42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42</v>
      </c>
      <c r="AA1117">
        <v>0</v>
      </c>
      <c r="AB1117">
        <v>0</v>
      </c>
      <c r="AD1117">
        <v>78.8</v>
      </c>
    </row>
    <row r="1118" spans="1:30" x14ac:dyDescent="0.3">
      <c r="A1118" s="4">
        <v>1131</v>
      </c>
      <c r="B1118" s="5">
        <v>1111</v>
      </c>
      <c r="C1118">
        <v>1080</v>
      </c>
      <c r="D1118" t="s">
        <v>2588</v>
      </c>
      <c r="E1118" t="s">
        <v>268</v>
      </c>
      <c r="F1118" t="s">
        <v>38</v>
      </c>
      <c r="G1118" t="s">
        <v>2589</v>
      </c>
      <c r="H1118" t="str">
        <f>"00523100"</f>
        <v>00523100</v>
      </c>
      <c r="I1118">
        <v>33.72</v>
      </c>
      <c r="J1118">
        <v>0</v>
      </c>
      <c r="N1118">
        <v>0</v>
      </c>
      <c r="O1118">
        <v>4</v>
      </c>
      <c r="P1118">
        <v>2</v>
      </c>
      <c r="Q1118">
        <v>39.72</v>
      </c>
      <c r="R1118">
        <v>33</v>
      </c>
      <c r="S1118">
        <v>33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33</v>
      </c>
      <c r="AA1118">
        <v>6</v>
      </c>
      <c r="AB1118">
        <v>0</v>
      </c>
      <c r="AD1118">
        <v>78.72</v>
      </c>
    </row>
    <row r="1119" spans="1:30" x14ac:dyDescent="0.3">
      <c r="A1119" s="4">
        <v>1132</v>
      </c>
      <c r="B1119" s="5">
        <v>1112</v>
      </c>
      <c r="C1119">
        <v>3946</v>
      </c>
      <c r="D1119" t="s">
        <v>2590</v>
      </c>
      <c r="E1119" t="s">
        <v>1152</v>
      </c>
      <c r="F1119" t="s">
        <v>136</v>
      </c>
      <c r="G1119" t="s">
        <v>2591</v>
      </c>
      <c r="H1119" t="str">
        <f>"00155884"</f>
        <v>00155884</v>
      </c>
      <c r="I1119">
        <v>39.72</v>
      </c>
      <c r="J1119">
        <v>0</v>
      </c>
      <c r="N1119">
        <v>0</v>
      </c>
      <c r="O1119">
        <v>4</v>
      </c>
      <c r="P1119">
        <v>2</v>
      </c>
      <c r="Q1119">
        <v>45.72</v>
      </c>
      <c r="R1119">
        <v>33</v>
      </c>
      <c r="S1119">
        <v>33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33</v>
      </c>
      <c r="AA1119">
        <v>0</v>
      </c>
      <c r="AB1119">
        <v>0</v>
      </c>
      <c r="AD1119">
        <v>78.72</v>
      </c>
    </row>
    <row r="1120" spans="1:30" x14ac:dyDescent="0.3">
      <c r="A1120" s="4">
        <v>1133</v>
      </c>
      <c r="B1120" s="5">
        <v>1113</v>
      </c>
      <c r="C1120">
        <v>62</v>
      </c>
      <c r="D1120" t="s">
        <v>2592</v>
      </c>
      <c r="E1120" t="s">
        <v>54</v>
      </c>
      <c r="F1120" t="s">
        <v>136</v>
      </c>
      <c r="G1120" t="s">
        <v>2593</v>
      </c>
      <c r="H1120" t="str">
        <f>"201511030547"</f>
        <v>201511030547</v>
      </c>
      <c r="I1120">
        <v>57.6</v>
      </c>
      <c r="J1120">
        <v>0</v>
      </c>
      <c r="K1120">
        <v>8</v>
      </c>
      <c r="M1120">
        <v>4</v>
      </c>
      <c r="N1120">
        <v>12</v>
      </c>
      <c r="O1120">
        <v>4</v>
      </c>
      <c r="P1120">
        <v>2</v>
      </c>
      <c r="Q1120">
        <v>75.599999999999994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3</v>
      </c>
      <c r="AB1120">
        <v>0</v>
      </c>
      <c r="AD1120">
        <v>78.599999999999994</v>
      </c>
    </row>
    <row r="1121" spans="1:30" x14ac:dyDescent="0.3">
      <c r="A1121" s="4">
        <v>1134</v>
      </c>
      <c r="B1121" s="5">
        <v>1114</v>
      </c>
      <c r="C1121">
        <v>3033</v>
      </c>
      <c r="D1121" t="s">
        <v>2594</v>
      </c>
      <c r="E1121" t="s">
        <v>516</v>
      </c>
      <c r="F1121" t="s">
        <v>2595</v>
      </c>
      <c r="G1121" t="s">
        <v>2596</v>
      </c>
      <c r="H1121" t="str">
        <f>"201511035275"</f>
        <v>201511035275</v>
      </c>
      <c r="I1121">
        <v>57.6</v>
      </c>
      <c r="J1121">
        <v>0</v>
      </c>
      <c r="K1121">
        <v>8</v>
      </c>
      <c r="M1121">
        <v>4</v>
      </c>
      <c r="N1121">
        <v>12</v>
      </c>
      <c r="O1121">
        <v>4</v>
      </c>
      <c r="P1121">
        <v>2</v>
      </c>
      <c r="Q1121">
        <v>75.599999999999994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3</v>
      </c>
      <c r="AB1121">
        <v>0</v>
      </c>
      <c r="AC1121" t="s">
        <v>130</v>
      </c>
      <c r="AD1121">
        <v>78.599999999999994</v>
      </c>
    </row>
    <row r="1122" spans="1:30" x14ac:dyDescent="0.3">
      <c r="A1122" s="4">
        <v>1135</v>
      </c>
      <c r="B1122" s="5">
        <v>1115</v>
      </c>
      <c r="C1122">
        <v>4298</v>
      </c>
      <c r="D1122" t="s">
        <v>2597</v>
      </c>
      <c r="E1122" t="s">
        <v>97</v>
      </c>
      <c r="F1122" t="s">
        <v>2598</v>
      </c>
      <c r="G1122" t="s">
        <v>2599</v>
      </c>
      <c r="H1122" t="str">
        <f>"00484269"</f>
        <v>00484269</v>
      </c>
      <c r="I1122">
        <v>39.56</v>
      </c>
      <c r="J1122">
        <v>0</v>
      </c>
      <c r="N1122">
        <v>0</v>
      </c>
      <c r="O1122">
        <v>0</v>
      </c>
      <c r="P1122">
        <v>2</v>
      </c>
      <c r="Q1122">
        <v>41.56</v>
      </c>
      <c r="R1122">
        <v>31</v>
      </c>
      <c r="S1122">
        <v>31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31</v>
      </c>
      <c r="AA1122">
        <v>6</v>
      </c>
      <c r="AB1122">
        <v>0</v>
      </c>
      <c r="AD1122">
        <v>78.56</v>
      </c>
    </row>
    <row r="1123" spans="1:30" x14ac:dyDescent="0.3">
      <c r="A1123" s="4">
        <v>1136</v>
      </c>
      <c r="B1123" s="5">
        <v>1116</v>
      </c>
      <c r="C1123">
        <v>3054</v>
      </c>
      <c r="D1123" t="s">
        <v>2600</v>
      </c>
      <c r="E1123" t="s">
        <v>2601</v>
      </c>
      <c r="F1123" t="s">
        <v>892</v>
      </c>
      <c r="G1123" t="s">
        <v>2602</v>
      </c>
      <c r="H1123" t="str">
        <f>"00153644"</f>
        <v>00153644</v>
      </c>
      <c r="I1123">
        <v>26.56</v>
      </c>
      <c r="J1123">
        <v>0</v>
      </c>
      <c r="N1123">
        <v>0</v>
      </c>
      <c r="O1123">
        <v>0</v>
      </c>
      <c r="P1123">
        <v>2</v>
      </c>
      <c r="Q1123">
        <v>28.56</v>
      </c>
      <c r="R1123">
        <v>44</v>
      </c>
      <c r="S1123">
        <v>44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44</v>
      </c>
      <c r="AA1123">
        <v>6</v>
      </c>
      <c r="AB1123">
        <v>0</v>
      </c>
      <c r="AD1123">
        <v>78.56</v>
      </c>
    </row>
    <row r="1124" spans="1:30" x14ac:dyDescent="0.3">
      <c r="A1124" s="4">
        <v>1137</v>
      </c>
      <c r="B1124" s="5">
        <v>1117</v>
      </c>
      <c r="C1124">
        <v>3937</v>
      </c>
      <c r="D1124" t="s">
        <v>2603</v>
      </c>
      <c r="E1124" t="s">
        <v>789</v>
      </c>
      <c r="F1124" t="s">
        <v>243</v>
      </c>
      <c r="G1124" t="s">
        <v>2604</v>
      </c>
      <c r="H1124" t="str">
        <f>"00554850"</f>
        <v>00554850</v>
      </c>
      <c r="I1124">
        <v>38.68</v>
      </c>
      <c r="J1124">
        <v>0</v>
      </c>
      <c r="N1124">
        <v>0</v>
      </c>
      <c r="O1124">
        <v>4</v>
      </c>
      <c r="P1124">
        <v>0</v>
      </c>
      <c r="Q1124">
        <v>42.68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9</v>
      </c>
      <c r="AB1124">
        <v>26.8</v>
      </c>
      <c r="AD1124">
        <v>78.48</v>
      </c>
    </row>
    <row r="1125" spans="1:30" x14ac:dyDescent="0.3">
      <c r="A1125" s="4">
        <v>1138</v>
      </c>
      <c r="B1125" s="5">
        <v>1118</v>
      </c>
      <c r="C1125">
        <v>3231</v>
      </c>
      <c r="D1125" t="s">
        <v>2605</v>
      </c>
      <c r="E1125" t="s">
        <v>29</v>
      </c>
      <c r="F1125" t="s">
        <v>782</v>
      </c>
      <c r="G1125" t="s">
        <v>2606</v>
      </c>
      <c r="H1125" t="str">
        <f>"200712001915"</f>
        <v>200712001915</v>
      </c>
      <c r="I1125">
        <v>50.4</v>
      </c>
      <c r="J1125">
        <v>10</v>
      </c>
      <c r="L1125">
        <v>6</v>
      </c>
      <c r="N1125">
        <v>6</v>
      </c>
      <c r="O1125">
        <v>4</v>
      </c>
      <c r="P1125">
        <v>2</v>
      </c>
      <c r="Q1125">
        <v>72.400000000000006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6</v>
      </c>
      <c r="AB1125">
        <v>0</v>
      </c>
      <c r="AD1125">
        <v>78.400000000000006</v>
      </c>
    </row>
    <row r="1126" spans="1:30" x14ac:dyDescent="0.3">
      <c r="A1126" s="4">
        <v>1139</v>
      </c>
      <c r="B1126" s="5">
        <v>1119</v>
      </c>
      <c r="C1126">
        <v>420</v>
      </c>
      <c r="D1126" t="s">
        <v>2607</v>
      </c>
      <c r="E1126" t="s">
        <v>29</v>
      </c>
      <c r="F1126" t="s">
        <v>52</v>
      </c>
      <c r="G1126" t="s">
        <v>2608</v>
      </c>
      <c r="H1126" t="str">
        <f>"00531565"</f>
        <v>00531565</v>
      </c>
      <c r="I1126">
        <v>50.4</v>
      </c>
      <c r="J1126">
        <v>0</v>
      </c>
      <c r="M1126">
        <v>4</v>
      </c>
      <c r="N1126">
        <v>4</v>
      </c>
      <c r="O1126">
        <v>4</v>
      </c>
      <c r="P1126">
        <v>2</v>
      </c>
      <c r="Q1126">
        <v>60.4</v>
      </c>
      <c r="R1126">
        <v>18</v>
      </c>
      <c r="S1126">
        <v>18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18</v>
      </c>
      <c r="AA1126">
        <v>0</v>
      </c>
      <c r="AB1126">
        <v>0</v>
      </c>
      <c r="AD1126">
        <v>78.400000000000006</v>
      </c>
    </row>
    <row r="1127" spans="1:30" x14ac:dyDescent="0.3">
      <c r="A1127" s="4">
        <v>1140</v>
      </c>
      <c r="B1127" s="5">
        <v>1120</v>
      </c>
      <c r="C1127">
        <v>2890</v>
      </c>
      <c r="D1127" t="s">
        <v>2609</v>
      </c>
      <c r="E1127" t="s">
        <v>208</v>
      </c>
      <c r="F1127" t="s">
        <v>343</v>
      </c>
      <c r="G1127" t="s">
        <v>2610</v>
      </c>
      <c r="H1127" t="str">
        <f>"00497820"</f>
        <v>00497820</v>
      </c>
      <c r="I1127">
        <v>50.4</v>
      </c>
      <c r="J1127">
        <v>0</v>
      </c>
      <c r="M1127">
        <v>4</v>
      </c>
      <c r="N1127">
        <v>4</v>
      </c>
      <c r="O1127">
        <v>4</v>
      </c>
      <c r="P1127">
        <v>2</v>
      </c>
      <c r="Q1127">
        <v>60.4</v>
      </c>
      <c r="R1127">
        <v>18</v>
      </c>
      <c r="S1127">
        <v>18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18</v>
      </c>
      <c r="AA1127">
        <v>0</v>
      </c>
      <c r="AB1127">
        <v>0</v>
      </c>
      <c r="AD1127">
        <v>78.400000000000006</v>
      </c>
    </row>
    <row r="1128" spans="1:30" x14ac:dyDescent="0.3">
      <c r="A1128" s="4">
        <v>1141</v>
      </c>
      <c r="B1128" s="5">
        <v>1121</v>
      </c>
      <c r="C1128">
        <v>1088</v>
      </c>
      <c r="D1128" t="s">
        <v>2611</v>
      </c>
      <c r="E1128" t="s">
        <v>33</v>
      </c>
      <c r="F1128" t="s">
        <v>91</v>
      </c>
      <c r="G1128" t="s">
        <v>2612</v>
      </c>
      <c r="H1128" t="str">
        <f>"00301625"</f>
        <v>00301625</v>
      </c>
      <c r="I1128">
        <v>50.4</v>
      </c>
      <c r="J1128">
        <v>0</v>
      </c>
      <c r="M1128">
        <v>4</v>
      </c>
      <c r="N1128">
        <v>4</v>
      </c>
      <c r="O1128">
        <v>4</v>
      </c>
      <c r="P1128">
        <v>2</v>
      </c>
      <c r="Q1128">
        <v>60.4</v>
      </c>
      <c r="R1128">
        <v>18</v>
      </c>
      <c r="S1128">
        <v>18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18</v>
      </c>
      <c r="AA1128">
        <v>0</v>
      </c>
      <c r="AB1128">
        <v>0</v>
      </c>
      <c r="AD1128">
        <v>78.400000000000006</v>
      </c>
    </row>
    <row r="1129" spans="1:30" x14ac:dyDescent="0.3">
      <c r="A1129" s="4">
        <v>1142</v>
      </c>
      <c r="B1129" s="5">
        <v>1122</v>
      </c>
      <c r="C1129">
        <v>1681</v>
      </c>
      <c r="D1129" t="s">
        <v>2613</v>
      </c>
      <c r="E1129" t="s">
        <v>29</v>
      </c>
      <c r="F1129" t="s">
        <v>52</v>
      </c>
      <c r="G1129" t="s">
        <v>2614</v>
      </c>
      <c r="H1129" t="str">
        <f>"00533428"</f>
        <v>00533428</v>
      </c>
      <c r="I1129">
        <v>50.4</v>
      </c>
      <c r="J1129">
        <v>10</v>
      </c>
      <c r="N1129">
        <v>0</v>
      </c>
      <c r="O1129">
        <v>0</v>
      </c>
      <c r="P1129">
        <v>0</v>
      </c>
      <c r="Q1129">
        <v>60.4</v>
      </c>
      <c r="R1129">
        <v>18</v>
      </c>
      <c r="S1129">
        <v>18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18</v>
      </c>
      <c r="AA1129">
        <v>0</v>
      </c>
      <c r="AB1129">
        <v>0</v>
      </c>
      <c r="AD1129">
        <v>78.400000000000006</v>
      </c>
    </row>
    <row r="1130" spans="1:30" x14ac:dyDescent="0.3">
      <c r="A1130" s="4">
        <v>1143</v>
      </c>
      <c r="B1130" s="5">
        <v>1123</v>
      </c>
      <c r="C1130">
        <v>1547</v>
      </c>
      <c r="D1130" t="s">
        <v>2615</v>
      </c>
      <c r="E1130" t="s">
        <v>369</v>
      </c>
      <c r="F1130" t="s">
        <v>79</v>
      </c>
      <c r="G1130" t="s">
        <v>2616</v>
      </c>
      <c r="H1130" t="str">
        <f>"00533013"</f>
        <v>00533013</v>
      </c>
      <c r="I1130">
        <v>50.4</v>
      </c>
      <c r="J1130">
        <v>0</v>
      </c>
      <c r="M1130">
        <v>4</v>
      </c>
      <c r="N1130">
        <v>4</v>
      </c>
      <c r="O1130">
        <v>4</v>
      </c>
      <c r="P1130">
        <v>2</v>
      </c>
      <c r="Q1130">
        <v>60.4</v>
      </c>
      <c r="R1130">
        <v>18</v>
      </c>
      <c r="S1130">
        <v>18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18</v>
      </c>
      <c r="AA1130">
        <v>0</v>
      </c>
      <c r="AB1130">
        <v>0</v>
      </c>
      <c r="AD1130">
        <v>78.400000000000006</v>
      </c>
    </row>
    <row r="1131" spans="1:30" x14ac:dyDescent="0.3">
      <c r="A1131" s="4">
        <v>1144</v>
      </c>
      <c r="B1131" s="5">
        <v>1124</v>
      </c>
      <c r="C1131">
        <v>2682</v>
      </c>
      <c r="D1131" t="s">
        <v>1693</v>
      </c>
      <c r="E1131" t="s">
        <v>54</v>
      </c>
      <c r="F1131" t="s">
        <v>972</v>
      </c>
      <c r="G1131" t="s">
        <v>2617</v>
      </c>
      <c r="H1131" t="str">
        <f>"00505831"</f>
        <v>00505831</v>
      </c>
      <c r="I1131">
        <v>12.24</v>
      </c>
      <c r="J1131">
        <v>0</v>
      </c>
      <c r="N1131">
        <v>0</v>
      </c>
      <c r="O1131">
        <v>0</v>
      </c>
      <c r="P1131">
        <v>0</v>
      </c>
      <c r="Q1131">
        <v>12.24</v>
      </c>
      <c r="R1131">
        <v>54</v>
      </c>
      <c r="S1131">
        <v>54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54</v>
      </c>
      <c r="AA1131">
        <v>12</v>
      </c>
      <c r="AB1131">
        <v>0</v>
      </c>
      <c r="AD1131">
        <v>78.239999999999995</v>
      </c>
    </row>
    <row r="1132" spans="1:30" x14ac:dyDescent="0.3">
      <c r="A1132" s="4">
        <v>1145</v>
      </c>
      <c r="B1132" s="5">
        <v>1125</v>
      </c>
      <c r="C1132">
        <v>135</v>
      </c>
      <c r="D1132" t="s">
        <v>2618</v>
      </c>
      <c r="E1132" t="s">
        <v>161</v>
      </c>
      <c r="F1132" t="s">
        <v>38</v>
      </c>
      <c r="G1132" t="s">
        <v>2619</v>
      </c>
      <c r="H1132" t="str">
        <f>"00247802"</f>
        <v>00247802</v>
      </c>
      <c r="I1132">
        <v>26.2</v>
      </c>
      <c r="J1132">
        <v>0</v>
      </c>
      <c r="N1132">
        <v>0</v>
      </c>
      <c r="O1132">
        <v>4</v>
      </c>
      <c r="P1132">
        <v>2</v>
      </c>
      <c r="Q1132">
        <v>32.200000000000003</v>
      </c>
      <c r="R1132">
        <v>18</v>
      </c>
      <c r="S1132">
        <v>18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18</v>
      </c>
      <c r="AA1132">
        <v>6</v>
      </c>
      <c r="AB1132">
        <v>22</v>
      </c>
      <c r="AD1132">
        <v>78.2</v>
      </c>
    </row>
    <row r="1133" spans="1:30" x14ac:dyDescent="0.3">
      <c r="A1133" s="4">
        <v>1146</v>
      </c>
      <c r="B1133" s="5">
        <v>1126</v>
      </c>
      <c r="C1133">
        <v>1254</v>
      </c>
      <c r="D1133" t="s">
        <v>2620</v>
      </c>
      <c r="E1133" t="s">
        <v>454</v>
      </c>
      <c r="F1133" t="s">
        <v>17</v>
      </c>
      <c r="G1133" t="s">
        <v>2621</v>
      </c>
      <c r="H1133" t="str">
        <f>"201604003552"</f>
        <v>201604003552</v>
      </c>
      <c r="I1133">
        <v>43.2</v>
      </c>
      <c r="J1133">
        <v>0</v>
      </c>
      <c r="K1133">
        <v>8</v>
      </c>
      <c r="N1133">
        <v>8</v>
      </c>
      <c r="O1133">
        <v>4</v>
      </c>
      <c r="P1133">
        <v>2</v>
      </c>
      <c r="Q1133">
        <v>57.2</v>
      </c>
      <c r="R1133">
        <v>18</v>
      </c>
      <c r="S1133">
        <v>18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18</v>
      </c>
      <c r="AA1133">
        <v>3</v>
      </c>
      <c r="AB1133">
        <v>0</v>
      </c>
      <c r="AD1133">
        <v>78.2</v>
      </c>
    </row>
    <row r="1134" spans="1:30" x14ac:dyDescent="0.3">
      <c r="A1134" s="4">
        <v>1147</v>
      </c>
      <c r="B1134" s="5">
        <v>1127</v>
      </c>
      <c r="C1134">
        <v>3927</v>
      </c>
      <c r="D1134" t="s">
        <v>2622</v>
      </c>
      <c r="E1134" t="s">
        <v>2424</v>
      </c>
      <c r="F1134" t="s">
        <v>298</v>
      </c>
      <c r="G1134" t="s">
        <v>2623</v>
      </c>
      <c r="H1134" t="str">
        <f>"00166616"</f>
        <v>00166616</v>
      </c>
      <c r="I1134">
        <v>40</v>
      </c>
      <c r="J1134">
        <v>0</v>
      </c>
      <c r="K1134">
        <v>8</v>
      </c>
      <c r="N1134">
        <v>8</v>
      </c>
      <c r="O1134">
        <v>4</v>
      </c>
      <c r="P1134">
        <v>0</v>
      </c>
      <c r="Q1134">
        <v>52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6</v>
      </c>
      <c r="AB1134">
        <v>20</v>
      </c>
      <c r="AD1134">
        <v>78</v>
      </c>
    </row>
    <row r="1135" spans="1:30" x14ac:dyDescent="0.3">
      <c r="A1135" s="4">
        <v>1148</v>
      </c>
      <c r="B1135" s="5">
        <v>1128</v>
      </c>
      <c r="C1135">
        <v>3486</v>
      </c>
      <c r="D1135" t="s">
        <v>2624</v>
      </c>
      <c r="E1135" t="s">
        <v>166</v>
      </c>
      <c r="F1135" t="s">
        <v>81</v>
      </c>
      <c r="G1135" t="s">
        <v>2625</v>
      </c>
      <c r="H1135" t="str">
        <f>"201604002275"</f>
        <v>201604002275</v>
      </c>
      <c r="I1135">
        <v>40</v>
      </c>
      <c r="J1135">
        <v>0</v>
      </c>
      <c r="K1135">
        <v>8</v>
      </c>
      <c r="N1135">
        <v>8</v>
      </c>
      <c r="O1135">
        <v>4</v>
      </c>
      <c r="P1135">
        <v>2</v>
      </c>
      <c r="Q1135">
        <v>54</v>
      </c>
      <c r="R1135">
        <v>8</v>
      </c>
      <c r="S1135">
        <v>8</v>
      </c>
      <c r="T1135">
        <v>0</v>
      </c>
      <c r="U1135">
        <v>0</v>
      </c>
      <c r="V1135">
        <v>7</v>
      </c>
      <c r="W1135">
        <v>10</v>
      </c>
      <c r="X1135">
        <v>0</v>
      </c>
      <c r="Y1135">
        <v>0</v>
      </c>
      <c r="Z1135">
        <v>18</v>
      </c>
      <c r="AA1135">
        <v>6</v>
      </c>
      <c r="AB1135">
        <v>0</v>
      </c>
      <c r="AD1135">
        <v>78</v>
      </c>
    </row>
    <row r="1136" spans="1:30" x14ac:dyDescent="0.3">
      <c r="A1136" s="4">
        <v>1149</v>
      </c>
      <c r="B1136" s="5">
        <v>1129</v>
      </c>
      <c r="C1136">
        <v>1428</v>
      </c>
      <c r="D1136" t="s">
        <v>2626</v>
      </c>
      <c r="E1136" t="s">
        <v>424</v>
      </c>
      <c r="F1136" t="s">
        <v>20</v>
      </c>
      <c r="G1136" t="s">
        <v>2627</v>
      </c>
      <c r="H1136" t="str">
        <f>"201107000089"</f>
        <v>201107000089</v>
      </c>
      <c r="I1136">
        <v>36</v>
      </c>
      <c r="J1136">
        <v>10</v>
      </c>
      <c r="N1136">
        <v>0</v>
      </c>
      <c r="O1136">
        <v>0</v>
      </c>
      <c r="P1136">
        <v>2</v>
      </c>
      <c r="Q1136">
        <v>48</v>
      </c>
      <c r="R1136">
        <v>24</v>
      </c>
      <c r="S1136">
        <v>24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24</v>
      </c>
      <c r="AA1136">
        <v>6</v>
      </c>
      <c r="AB1136">
        <v>0</v>
      </c>
      <c r="AD1136">
        <v>78</v>
      </c>
    </row>
    <row r="1137" spans="1:30" x14ac:dyDescent="0.3">
      <c r="A1137" s="4">
        <v>1150</v>
      </c>
      <c r="B1137" s="5">
        <v>1130</v>
      </c>
      <c r="C1137">
        <v>1764</v>
      </c>
      <c r="D1137" t="s">
        <v>2628</v>
      </c>
      <c r="E1137" t="s">
        <v>2629</v>
      </c>
      <c r="F1137" t="s">
        <v>34</v>
      </c>
      <c r="G1137" t="s">
        <v>2630</v>
      </c>
      <c r="H1137" t="str">
        <f>"00565411"</f>
        <v>00565411</v>
      </c>
      <c r="I1137">
        <v>72</v>
      </c>
      <c r="J1137">
        <v>0</v>
      </c>
      <c r="N1137">
        <v>0</v>
      </c>
      <c r="O1137">
        <v>4</v>
      </c>
      <c r="P1137">
        <v>2</v>
      </c>
      <c r="Q1137">
        <v>78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D1137">
        <v>78</v>
      </c>
    </row>
    <row r="1138" spans="1:30" x14ac:dyDescent="0.3">
      <c r="A1138" s="4">
        <v>1151</v>
      </c>
      <c r="B1138" s="5">
        <v>1131</v>
      </c>
      <c r="C1138">
        <v>4862</v>
      </c>
      <c r="D1138" t="s">
        <v>2631</v>
      </c>
      <c r="E1138" t="s">
        <v>1743</v>
      </c>
      <c r="F1138" t="s">
        <v>171</v>
      </c>
      <c r="G1138" t="s">
        <v>2632</v>
      </c>
      <c r="H1138" t="str">
        <f>"00525213"</f>
        <v>00525213</v>
      </c>
      <c r="I1138">
        <v>72</v>
      </c>
      <c r="J1138">
        <v>0</v>
      </c>
      <c r="N1138">
        <v>0</v>
      </c>
      <c r="O1138">
        <v>4</v>
      </c>
      <c r="P1138">
        <v>2</v>
      </c>
      <c r="Q1138">
        <v>78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D1138">
        <v>78</v>
      </c>
    </row>
    <row r="1139" spans="1:30" x14ac:dyDescent="0.3">
      <c r="A1139" s="4">
        <v>1152</v>
      </c>
      <c r="B1139" s="5">
        <v>1132</v>
      </c>
      <c r="C1139">
        <v>4836</v>
      </c>
      <c r="D1139" t="s">
        <v>2633</v>
      </c>
      <c r="E1139" t="s">
        <v>166</v>
      </c>
      <c r="F1139" t="s">
        <v>38</v>
      </c>
      <c r="G1139" t="s">
        <v>2634</v>
      </c>
      <c r="H1139" t="str">
        <f>"00115785"</f>
        <v>00115785</v>
      </c>
      <c r="I1139">
        <v>36</v>
      </c>
      <c r="J1139">
        <v>0</v>
      </c>
      <c r="N1139">
        <v>0</v>
      </c>
      <c r="O1139">
        <v>4</v>
      </c>
      <c r="P1139">
        <v>2</v>
      </c>
      <c r="Q1139">
        <v>42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9</v>
      </c>
      <c r="AB1139">
        <v>26.8</v>
      </c>
      <c r="AD1139">
        <v>77.8</v>
      </c>
    </row>
    <row r="1140" spans="1:30" x14ac:dyDescent="0.3">
      <c r="A1140" s="4">
        <v>1153</v>
      </c>
      <c r="B1140" s="5">
        <v>1133</v>
      </c>
      <c r="C1140">
        <v>1951</v>
      </c>
      <c r="D1140" t="s">
        <v>2635</v>
      </c>
      <c r="E1140" t="s">
        <v>29</v>
      </c>
      <c r="F1140" t="s">
        <v>81</v>
      </c>
      <c r="G1140" t="s">
        <v>2636</v>
      </c>
      <c r="H1140" t="str">
        <f>"00485183"</f>
        <v>00485183</v>
      </c>
      <c r="I1140">
        <v>33.799999999999997</v>
      </c>
      <c r="J1140">
        <v>0</v>
      </c>
      <c r="N1140">
        <v>0</v>
      </c>
      <c r="O1140">
        <v>4</v>
      </c>
      <c r="P1140">
        <v>0</v>
      </c>
      <c r="Q1140">
        <v>37.799999999999997</v>
      </c>
      <c r="R1140">
        <v>31</v>
      </c>
      <c r="S1140">
        <v>31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31</v>
      </c>
      <c r="AA1140">
        <v>9</v>
      </c>
      <c r="AB1140">
        <v>0</v>
      </c>
      <c r="AD1140">
        <v>77.8</v>
      </c>
    </row>
    <row r="1141" spans="1:30" x14ac:dyDescent="0.3">
      <c r="A1141" s="4">
        <v>1154</v>
      </c>
      <c r="B1141" s="5">
        <v>1134</v>
      </c>
      <c r="C1141">
        <v>175</v>
      </c>
      <c r="D1141" t="s">
        <v>1604</v>
      </c>
      <c r="E1141" t="s">
        <v>744</v>
      </c>
      <c r="F1141" t="s">
        <v>81</v>
      </c>
      <c r="G1141" t="s">
        <v>2637</v>
      </c>
      <c r="H1141" t="str">
        <f>"00016351"</f>
        <v>00016351</v>
      </c>
      <c r="I1141">
        <v>28.8</v>
      </c>
      <c r="J1141">
        <v>0</v>
      </c>
      <c r="K1141">
        <v>8</v>
      </c>
      <c r="N1141">
        <v>8</v>
      </c>
      <c r="O1141">
        <v>4</v>
      </c>
      <c r="P1141">
        <v>2</v>
      </c>
      <c r="Q1141">
        <v>42.8</v>
      </c>
      <c r="R1141">
        <v>29</v>
      </c>
      <c r="S1141">
        <v>29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29</v>
      </c>
      <c r="AA1141">
        <v>6</v>
      </c>
      <c r="AB1141">
        <v>0</v>
      </c>
      <c r="AD1141">
        <v>77.8</v>
      </c>
    </row>
    <row r="1142" spans="1:30" x14ac:dyDescent="0.3">
      <c r="A1142" s="4">
        <v>1155</v>
      </c>
      <c r="B1142" s="5">
        <v>1135</v>
      </c>
      <c r="C1142">
        <v>2287</v>
      </c>
      <c r="D1142" t="s">
        <v>2073</v>
      </c>
      <c r="E1142" t="s">
        <v>132</v>
      </c>
      <c r="F1142" t="s">
        <v>2638</v>
      </c>
      <c r="G1142" t="s">
        <v>2639</v>
      </c>
      <c r="H1142" t="str">
        <f>"201201000089"</f>
        <v>201201000089</v>
      </c>
      <c r="I1142">
        <v>28.8</v>
      </c>
      <c r="J1142">
        <v>10</v>
      </c>
      <c r="N1142">
        <v>0</v>
      </c>
      <c r="O1142">
        <v>4</v>
      </c>
      <c r="P1142">
        <v>0</v>
      </c>
      <c r="Q1142">
        <v>42.8</v>
      </c>
      <c r="R1142">
        <v>35</v>
      </c>
      <c r="S1142">
        <v>35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35</v>
      </c>
      <c r="AA1142">
        <v>0</v>
      </c>
      <c r="AB1142">
        <v>0</v>
      </c>
      <c r="AD1142">
        <v>77.8</v>
      </c>
    </row>
    <row r="1143" spans="1:30" x14ac:dyDescent="0.3">
      <c r="A1143" s="4">
        <v>1156</v>
      </c>
      <c r="B1143" s="5">
        <v>1136</v>
      </c>
      <c r="C1143">
        <v>2043</v>
      </c>
      <c r="D1143" t="s">
        <v>2640</v>
      </c>
      <c r="E1143" t="s">
        <v>825</v>
      </c>
      <c r="F1143" t="s">
        <v>158</v>
      </c>
      <c r="G1143" t="s">
        <v>2641</v>
      </c>
      <c r="H1143" t="str">
        <f>"00520525"</f>
        <v>00520525</v>
      </c>
      <c r="I1143">
        <v>28.8</v>
      </c>
      <c r="J1143">
        <v>0</v>
      </c>
      <c r="L1143">
        <v>6</v>
      </c>
      <c r="N1143">
        <v>6</v>
      </c>
      <c r="O1143">
        <v>4</v>
      </c>
      <c r="P1143">
        <v>2</v>
      </c>
      <c r="Q1143">
        <v>40.799999999999997</v>
      </c>
      <c r="R1143">
        <v>37</v>
      </c>
      <c r="S1143">
        <v>37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37</v>
      </c>
      <c r="AA1143">
        <v>0</v>
      </c>
      <c r="AB1143">
        <v>0</v>
      </c>
      <c r="AD1143">
        <v>77.8</v>
      </c>
    </row>
    <row r="1144" spans="1:30" x14ac:dyDescent="0.3">
      <c r="A1144" s="4">
        <v>1157</v>
      </c>
      <c r="B1144" s="5">
        <v>1137</v>
      </c>
      <c r="C1144">
        <v>631</v>
      </c>
      <c r="D1144" t="s">
        <v>2642</v>
      </c>
      <c r="E1144" t="s">
        <v>2643</v>
      </c>
      <c r="F1144" t="s">
        <v>124</v>
      </c>
      <c r="G1144" t="s">
        <v>2644</v>
      </c>
      <c r="H1144" t="str">
        <f>"00162058"</f>
        <v>00162058</v>
      </c>
      <c r="I1144">
        <v>28.8</v>
      </c>
      <c r="J1144">
        <v>0</v>
      </c>
      <c r="N1144">
        <v>0</v>
      </c>
      <c r="O1144">
        <v>4</v>
      </c>
      <c r="P1144">
        <v>2</v>
      </c>
      <c r="Q1144">
        <v>34.799999999999997</v>
      </c>
      <c r="R1144">
        <v>23</v>
      </c>
      <c r="S1144">
        <v>23</v>
      </c>
      <c r="T1144">
        <v>10</v>
      </c>
      <c r="U1144">
        <v>20</v>
      </c>
      <c r="V1144">
        <v>0</v>
      </c>
      <c r="W1144">
        <v>0</v>
      </c>
      <c r="X1144">
        <v>0</v>
      </c>
      <c r="Y1144">
        <v>0</v>
      </c>
      <c r="Z1144">
        <v>43</v>
      </c>
      <c r="AA1144">
        <v>0</v>
      </c>
      <c r="AB1144">
        <v>0</v>
      </c>
      <c r="AD1144">
        <v>77.8</v>
      </c>
    </row>
    <row r="1145" spans="1:30" x14ac:dyDescent="0.3">
      <c r="A1145" s="4">
        <v>1158</v>
      </c>
      <c r="B1145" s="5">
        <v>1138</v>
      </c>
      <c r="C1145">
        <v>44</v>
      </c>
      <c r="D1145" t="s">
        <v>2645</v>
      </c>
      <c r="E1145" t="s">
        <v>54</v>
      </c>
      <c r="F1145" t="s">
        <v>38</v>
      </c>
      <c r="G1145" t="s">
        <v>2646</v>
      </c>
      <c r="H1145" t="str">
        <f>"00483491"</f>
        <v>00483491</v>
      </c>
      <c r="I1145">
        <v>28.8</v>
      </c>
      <c r="J1145">
        <v>0</v>
      </c>
      <c r="N1145">
        <v>0</v>
      </c>
      <c r="O1145">
        <v>4</v>
      </c>
      <c r="P1145">
        <v>2</v>
      </c>
      <c r="Q1145">
        <v>34.799999999999997</v>
      </c>
      <c r="R1145">
        <v>43</v>
      </c>
      <c r="S1145">
        <v>43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43</v>
      </c>
      <c r="AA1145">
        <v>0</v>
      </c>
      <c r="AB1145">
        <v>0</v>
      </c>
      <c r="AD1145">
        <v>77.8</v>
      </c>
    </row>
    <row r="1146" spans="1:30" x14ac:dyDescent="0.3">
      <c r="A1146" s="4">
        <v>1159</v>
      </c>
      <c r="B1146" s="5">
        <v>1139</v>
      </c>
      <c r="C1146">
        <v>4621</v>
      </c>
      <c r="D1146" t="s">
        <v>2647</v>
      </c>
      <c r="E1146" t="s">
        <v>37</v>
      </c>
      <c r="F1146" t="s">
        <v>52</v>
      </c>
      <c r="G1146" t="s">
        <v>2648</v>
      </c>
      <c r="H1146" t="str">
        <f>"00198485"</f>
        <v>00198485</v>
      </c>
      <c r="I1146">
        <v>57.6</v>
      </c>
      <c r="J1146">
        <v>0</v>
      </c>
      <c r="K1146">
        <v>8</v>
      </c>
      <c r="N1146">
        <v>8</v>
      </c>
      <c r="O1146">
        <v>4</v>
      </c>
      <c r="P1146">
        <v>2</v>
      </c>
      <c r="Q1146">
        <v>71.599999999999994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6</v>
      </c>
      <c r="AB1146">
        <v>0</v>
      </c>
      <c r="AD1146">
        <v>77.599999999999994</v>
      </c>
    </row>
    <row r="1147" spans="1:30" x14ac:dyDescent="0.3">
      <c r="A1147" s="4">
        <v>1160</v>
      </c>
      <c r="B1147" s="5">
        <v>1140</v>
      </c>
      <c r="C1147">
        <v>3004</v>
      </c>
      <c r="D1147" t="s">
        <v>2649</v>
      </c>
      <c r="E1147" t="s">
        <v>41</v>
      </c>
      <c r="F1147" t="s">
        <v>238</v>
      </c>
      <c r="G1147" t="s">
        <v>2650</v>
      </c>
      <c r="H1147" t="str">
        <f>"00205276"</f>
        <v>00205276</v>
      </c>
      <c r="I1147">
        <v>57.6</v>
      </c>
      <c r="J1147">
        <v>0</v>
      </c>
      <c r="K1147">
        <v>8</v>
      </c>
      <c r="N1147">
        <v>8</v>
      </c>
      <c r="O1147">
        <v>4</v>
      </c>
      <c r="P1147">
        <v>2</v>
      </c>
      <c r="Q1147">
        <v>71.599999999999994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6</v>
      </c>
      <c r="AB1147">
        <v>0</v>
      </c>
      <c r="AD1147">
        <v>77.599999999999994</v>
      </c>
    </row>
    <row r="1148" spans="1:30" x14ac:dyDescent="0.3">
      <c r="A1148" s="4">
        <v>1161</v>
      </c>
      <c r="B1148" s="5">
        <v>1141</v>
      </c>
      <c r="C1148">
        <v>2264</v>
      </c>
      <c r="D1148" t="s">
        <v>2651</v>
      </c>
      <c r="E1148" t="s">
        <v>2652</v>
      </c>
      <c r="F1148" t="s">
        <v>117</v>
      </c>
      <c r="G1148" t="s">
        <v>2653</v>
      </c>
      <c r="H1148" t="str">
        <f>"00441614"</f>
        <v>00441614</v>
      </c>
      <c r="I1148">
        <v>21.6</v>
      </c>
      <c r="J1148">
        <v>10</v>
      </c>
      <c r="N1148">
        <v>0</v>
      </c>
      <c r="O1148">
        <v>0</v>
      </c>
      <c r="P1148">
        <v>2</v>
      </c>
      <c r="Q1148">
        <v>33.6</v>
      </c>
      <c r="R1148">
        <v>38</v>
      </c>
      <c r="S1148">
        <v>38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38</v>
      </c>
      <c r="AA1148">
        <v>6</v>
      </c>
      <c r="AB1148">
        <v>0</v>
      </c>
      <c r="AD1148">
        <v>77.599999999999994</v>
      </c>
    </row>
    <row r="1149" spans="1:30" x14ac:dyDescent="0.3">
      <c r="A1149" s="4">
        <v>1162</v>
      </c>
      <c r="B1149" s="5">
        <v>1142</v>
      </c>
      <c r="C1149">
        <v>2371</v>
      </c>
      <c r="D1149" t="s">
        <v>2654</v>
      </c>
      <c r="E1149" t="s">
        <v>738</v>
      </c>
      <c r="F1149" t="s">
        <v>652</v>
      </c>
      <c r="G1149" t="s">
        <v>2655</v>
      </c>
      <c r="H1149" t="str">
        <f>"00531957"</f>
        <v>00531957</v>
      </c>
      <c r="I1149">
        <v>21.6</v>
      </c>
      <c r="J1149">
        <v>0</v>
      </c>
      <c r="N1149">
        <v>0</v>
      </c>
      <c r="O1149">
        <v>0</v>
      </c>
      <c r="P1149">
        <v>0</v>
      </c>
      <c r="Q1149">
        <v>21.6</v>
      </c>
      <c r="R1149">
        <v>50</v>
      </c>
      <c r="S1149">
        <v>50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50</v>
      </c>
      <c r="AA1149">
        <v>6</v>
      </c>
      <c r="AB1149">
        <v>0</v>
      </c>
      <c r="AD1149">
        <v>77.599999999999994</v>
      </c>
    </row>
    <row r="1150" spans="1:30" x14ac:dyDescent="0.3">
      <c r="A1150" s="4">
        <v>1163</v>
      </c>
      <c r="B1150" s="5">
        <v>1143</v>
      </c>
      <c r="C1150">
        <v>3787</v>
      </c>
      <c r="D1150" t="s">
        <v>2656</v>
      </c>
      <c r="E1150" t="s">
        <v>1210</v>
      </c>
      <c r="F1150" t="s">
        <v>81</v>
      </c>
      <c r="G1150" t="s">
        <v>2657</v>
      </c>
      <c r="H1150" t="str">
        <f>"00864636"</f>
        <v>00864636</v>
      </c>
      <c r="I1150">
        <v>57.6</v>
      </c>
      <c r="J1150">
        <v>10</v>
      </c>
      <c r="M1150">
        <v>4</v>
      </c>
      <c r="N1150">
        <v>4</v>
      </c>
      <c r="O1150">
        <v>4</v>
      </c>
      <c r="P1150">
        <v>2</v>
      </c>
      <c r="Q1150">
        <v>77.599999999999994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D1150">
        <v>77.599999999999994</v>
      </c>
    </row>
    <row r="1151" spans="1:30" x14ac:dyDescent="0.3">
      <c r="A1151" s="4">
        <v>1164</v>
      </c>
      <c r="B1151" s="5">
        <v>1144</v>
      </c>
      <c r="C1151">
        <v>2707</v>
      </c>
      <c r="D1151" t="s">
        <v>2658</v>
      </c>
      <c r="E1151" t="s">
        <v>88</v>
      </c>
      <c r="F1151" t="s">
        <v>2225</v>
      </c>
      <c r="G1151" t="s">
        <v>2659</v>
      </c>
      <c r="H1151" t="str">
        <f>"00305075"</f>
        <v>00305075</v>
      </c>
      <c r="I1151">
        <v>37.6</v>
      </c>
      <c r="J1151">
        <v>10</v>
      </c>
      <c r="K1151">
        <v>8</v>
      </c>
      <c r="N1151">
        <v>8</v>
      </c>
      <c r="O1151">
        <v>4</v>
      </c>
      <c r="P1151">
        <v>0</v>
      </c>
      <c r="Q1151">
        <v>59.6</v>
      </c>
      <c r="R1151">
        <v>18</v>
      </c>
      <c r="S1151">
        <v>18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18</v>
      </c>
      <c r="AA1151">
        <v>0</v>
      </c>
      <c r="AB1151">
        <v>0</v>
      </c>
      <c r="AD1151">
        <v>77.599999999999994</v>
      </c>
    </row>
    <row r="1152" spans="1:30" x14ac:dyDescent="0.3">
      <c r="A1152" s="4">
        <v>1165</v>
      </c>
      <c r="B1152" s="5">
        <v>1145</v>
      </c>
      <c r="C1152">
        <v>860</v>
      </c>
      <c r="D1152" t="s">
        <v>2660</v>
      </c>
      <c r="E1152" t="s">
        <v>26</v>
      </c>
      <c r="F1152" t="s">
        <v>649</v>
      </c>
      <c r="G1152" t="s">
        <v>2661</v>
      </c>
      <c r="H1152" t="str">
        <f>"00530970"</f>
        <v>00530970</v>
      </c>
      <c r="I1152">
        <v>39.6</v>
      </c>
      <c r="J1152">
        <v>0</v>
      </c>
      <c r="M1152">
        <v>4</v>
      </c>
      <c r="N1152">
        <v>4</v>
      </c>
      <c r="O1152">
        <v>0</v>
      </c>
      <c r="P1152">
        <v>2</v>
      </c>
      <c r="Q1152">
        <v>45.6</v>
      </c>
      <c r="R1152">
        <v>32</v>
      </c>
      <c r="S1152">
        <v>32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32</v>
      </c>
      <c r="AA1152">
        <v>0</v>
      </c>
      <c r="AB1152">
        <v>0</v>
      </c>
      <c r="AD1152">
        <v>77.599999999999994</v>
      </c>
    </row>
    <row r="1153" spans="1:30" x14ac:dyDescent="0.3">
      <c r="A1153" s="4">
        <v>1166</v>
      </c>
      <c r="B1153" s="5">
        <v>1146</v>
      </c>
      <c r="C1153">
        <v>2855</v>
      </c>
      <c r="D1153" t="s">
        <v>2662</v>
      </c>
      <c r="E1153" t="s">
        <v>26</v>
      </c>
      <c r="F1153" t="s">
        <v>20</v>
      </c>
      <c r="G1153" t="s">
        <v>2663</v>
      </c>
      <c r="H1153" t="str">
        <f>"00529855"</f>
        <v>00529855</v>
      </c>
      <c r="I1153">
        <v>14.4</v>
      </c>
      <c r="J1153">
        <v>0</v>
      </c>
      <c r="N1153">
        <v>0</v>
      </c>
      <c r="O1153">
        <v>4</v>
      </c>
      <c r="P1153">
        <v>2</v>
      </c>
      <c r="Q1153">
        <v>20.399999999999999</v>
      </c>
      <c r="R1153">
        <v>51</v>
      </c>
      <c r="S1153">
        <v>51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51</v>
      </c>
      <c r="AA1153">
        <v>6</v>
      </c>
      <c r="AB1153">
        <v>0</v>
      </c>
      <c r="AD1153">
        <v>77.400000000000006</v>
      </c>
    </row>
    <row r="1154" spans="1:30" x14ac:dyDescent="0.3">
      <c r="A1154" s="4">
        <v>1167</v>
      </c>
      <c r="B1154" s="5">
        <v>1147</v>
      </c>
      <c r="C1154">
        <v>1531</v>
      </c>
      <c r="D1154" t="s">
        <v>2664</v>
      </c>
      <c r="E1154" t="s">
        <v>41</v>
      </c>
      <c r="F1154" t="s">
        <v>136</v>
      </c>
      <c r="G1154" t="s">
        <v>2665</v>
      </c>
      <c r="H1154" t="str">
        <f>"00456249"</f>
        <v>00456249</v>
      </c>
      <c r="I1154">
        <v>50.4</v>
      </c>
      <c r="J1154">
        <v>10</v>
      </c>
      <c r="K1154">
        <v>8</v>
      </c>
      <c r="N1154">
        <v>8</v>
      </c>
      <c r="O1154">
        <v>4</v>
      </c>
      <c r="P1154">
        <v>2</v>
      </c>
      <c r="Q1154">
        <v>74.400000000000006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3</v>
      </c>
      <c r="AB1154">
        <v>0</v>
      </c>
      <c r="AD1154">
        <v>77.400000000000006</v>
      </c>
    </row>
    <row r="1155" spans="1:30" x14ac:dyDescent="0.3">
      <c r="A1155" s="4">
        <v>1168</v>
      </c>
      <c r="B1155" s="5">
        <v>1148</v>
      </c>
      <c r="C1155">
        <v>1238</v>
      </c>
      <c r="D1155" t="s">
        <v>2666</v>
      </c>
      <c r="E1155" t="s">
        <v>2538</v>
      </c>
      <c r="F1155" t="s">
        <v>158</v>
      </c>
      <c r="G1155" t="s">
        <v>2667</v>
      </c>
      <c r="H1155" t="str">
        <f>"00521800"</f>
        <v>00521800</v>
      </c>
      <c r="I1155">
        <v>50.4</v>
      </c>
      <c r="J1155">
        <v>0</v>
      </c>
      <c r="N1155">
        <v>0</v>
      </c>
      <c r="O1155">
        <v>4</v>
      </c>
      <c r="P1155">
        <v>2</v>
      </c>
      <c r="Q1155">
        <v>56.4</v>
      </c>
      <c r="R1155">
        <v>18</v>
      </c>
      <c r="S1155">
        <v>18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18</v>
      </c>
      <c r="AA1155">
        <v>3</v>
      </c>
      <c r="AB1155">
        <v>0</v>
      </c>
      <c r="AD1155">
        <v>77.400000000000006</v>
      </c>
    </row>
    <row r="1156" spans="1:30" x14ac:dyDescent="0.3">
      <c r="A1156" s="4">
        <v>1169</v>
      </c>
      <c r="B1156" s="5">
        <v>1149</v>
      </c>
      <c r="C1156">
        <v>3830</v>
      </c>
      <c r="D1156" t="s">
        <v>2668</v>
      </c>
      <c r="E1156" t="s">
        <v>88</v>
      </c>
      <c r="F1156" t="s">
        <v>17</v>
      </c>
      <c r="G1156" t="s">
        <v>2669</v>
      </c>
      <c r="H1156" t="str">
        <f>"200802004419"</f>
        <v>200802004419</v>
      </c>
      <c r="I1156">
        <v>35.4</v>
      </c>
      <c r="J1156">
        <v>0</v>
      </c>
      <c r="M1156">
        <v>4</v>
      </c>
      <c r="N1156">
        <v>4</v>
      </c>
      <c r="O1156">
        <v>4</v>
      </c>
      <c r="P1156">
        <v>0</v>
      </c>
      <c r="Q1156">
        <v>43.4</v>
      </c>
      <c r="R1156">
        <v>31</v>
      </c>
      <c r="S1156">
        <v>31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31</v>
      </c>
      <c r="AA1156">
        <v>3</v>
      </c>
      <c r="AB1156">
        <v>0</v>
      </c>
      <c r="AD1156">
        <v>77.400000000000006</v>
      </c>
    </row>
    <row r="1157" spans="1:30" x14ac:dyDescent="0.3">
      <c r="A1157" s="4">
        <v>1170</v>
      </c>
      <c r="B1157" s="5">
        <v>1150</v>
      </c>
      <c r="C1157">
        <v>4768</v>
      </c>
      <c r="D1157" t="s">
        <v>2670</v>
      </c>
      <c r="E1157" t="s">
        <v>54</v>
      </c>
      <c r="F1157" t="s">
        <v>81</v>
      </c>
      <c r="G1157" t="s">
        <v>2671</v>
      </c>
      <c r="H1157" t="str">
        <f>"00159762"</f>
        <v>00159762</v>
      </c>
      <c r="I1157">
        <v>38.200000000000003</v>
      </c>
      <c r="J1157">
        <v>0</v>
      </c>
      <c r="M1157">
        <v>4</v>
      </c>
      <c r="N1157">
        <v>4</v>
      </c>
      <c r="O1157">
        <v>4</v>
      </c>
      <c r="P1157">
        <v>0</v>
      </c>
      <c r="Q1157">
        <v>46.2</v>
      </c>
      <c r="R1157">
        <v>19</v>
      </c>
      <c r="S1157">
        <v>19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19</v>
      </c>
      <c r="AA1157">
        <v>12</v>
      </c>
      <c r="AB1157">
        <v>0</v>
      </c>
      <c r="AD1157">
        <v>77.2</v>
      </c>
    </row>
    <row r="1158" spans="1:30" x14ac:dyDescent="0.3">
      <c r="A1158" s="4">
        <v>1171</v>
      </c>
      <c r="B1158" s="5">
        <v>1151</v>
      </c>
      <c r="C1158">
        <v>797</v>
      </c>
      <c r="D1158" t="s">
        <v>2672</v>
      </c>
      <c r="E1158" t="s">
        <v>188</v>
      </c>
      <c r="F1158" t="s">
        <v>17</v>
      </c>
      <c r="G1158" t="s">
        <v>2673</v>
      </c>
      <c r="H1158" t="str">
        <f>"201511019917"</f>
        <v>201511019917</v>
      </c>
      <c r="I1158">
        <v>43.2</v>
      </c>
      <c r="J1158">
        <v>0</v>
      </c>
      <c r="M1158">
        <v>4</v>
      </c>
      <c r="N1158">
        <v>4</v>
      </c>
      <c r="O1158">
        <v>4</v>
      </c>
      <c r="P1158">
        <v>2</v>
      </c>
      <c r="Q1158">
        <v>53.2</v>
      </c>
      <c r="R1158">
        <v>18</v>
      </c>
      <c r="S1158">
        <v>18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18</v>
      </c>
      <c r="AA1158">
        <v>6</v>
      </c>
      <c r="AB1158">
        <v>0</v>
      </c>
      <c r="AD1158">
        <v>77.2</v>
      </c>
    </row>
    <row r="1159" spans="1:30" x14ac:dyDescent="0.3">
      <c r="A1159" s="4">
        <v>1172</v>
      </c>
      <c r="B1159" s="5">
        <v>1152</v>
      </c>
      <c r="C1159">
        <v>534</v>
      </c>
      <c r="D1159" t="s">
        <v>2674</v>
      </c>
      <c r="E1159" t="s">
        <v>132</v>
      </c>
      <c r="F1159" t="s">
        <v>17</v>
      </c>
      <c r="G1159" t="s">
        <v>2675</v>
      </c>
      <c r="H1159" t="str">
        <f>"00292478"</f>
        <v>00292478</v>
      </c>
      <c r="I1159">
        <v>43.2</v>
      </c>
      <c r="J1159">
        <v>10</v>
      </c>
      <c r="N1159">
        <v>0</v>
      </c>
      <c r="O1159">
        <v>4</v>
      </c>
      <c r="P1159">
        <v>2</v>
      </c>
      <c r="Q1159">
        <v>59.2</v>
      </c>
      <c r="R1159">
        <v>18</v>
      </c>
      <c r="S1159">
        <v>18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18</v>
      </c>
      <c r="AA1159">
        <v>0</v>
      </c>
      <c r="AB1159">
        <v>0</v>
      </c>
      <c r="AD1159">
        <v>77.2</v>
      </c>
    </row>
    <row r="1160" spans="1:30" x14ac:dyDescent="0.3">
      <c r="A1160" s="4">
        <v>1173</v>
      </c>
      <c r="B1160" s="5">
        <v>1153</v>
      </c>
      <c r="C1160">
        <v>203</v>
      </c>
      <c r="D1160" t="s">
        <v>1770</v>
      </c>
      <c r="E1160" t="s">
        <v>550</v>
      </c>
      <c r="F1160" t="s">
        <v>17</v>
      </c>
      <c r="G1160" t="s">
        <v>2676</v>
      </c>
      <c r="H1160" t="str">
        <f>"00533363"</f>
        <v>00533363</v>
      </c>
      <c r="I1160">
        <v>43.2</v>
      </c>
      <c r="J1160">
        <v>10</v>
      </c>
      <c r="M1160">
        <v>4</v>
      </c>
      <c r="N1160">
        <v>4</v>
      </c>
      <c r="O1160">
        <v>0</v>
      </c>
      <c r="P1160">
        <v>2</v>
      </c>
      <c r="Q1160">
        <v>59.2</v>
      </c>
      <c r="R1160">
        <v>18</v>
      </c>
      <c r="S1160">
        <v>18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18</v>
      </c>
      <c r="AA1160">
        <v>0</v>
      </c>
      <c r="AB1160">
        <v>0</v>
      </c>
      <c r="AD1160">
        <v>77.2</v>
      </c>
    </row>
    <row r="1161" spans="1:30" x14ac:dyDescent="0.3">
      <c r="A1161" s="4">
        <v>1174</v>
      </c>
      <c r="B1161" s="5">
        <v>1154</v>
      </c>
      <c r="C1161">
        <v>19</v>
      </c>
      <c r="D1161" t="s">
        <v>2677</v>
      </c>
      <c r="E1161" t="s">
        <v>97</v>
      </c>
      <c r="F1161" t="s">
        <v>38</v>
      </c>
      <c r="G1161" t="s">
        <v>2678</v>
      </c>
      <c r="H1161" t="str">
        <f>"201511016849"</f>
        <v>201511016849</v>
      </c>
      <c r="I1161">
        <v>39.200000000000003</v>
      </c>
      <c r="J1161">
        <v>10</v>
      </c>
      <c r="M1161">
        <v>4</v>
      </c>
      <c r="N1161">
        <v>4</v>
      </c>
      <c r="O1161">
        <v>4</v>
      </c>
      <c r="P1161">
        <v>2</v>
      </c>
      <c r="Q1161">
        <v>59.2</v>
      </c>
      <c r="R1161">
        <v>18</v>
      </c>
      <c r="S1161">
        <v>18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18</v>
      </c>
      <c r="AA1161">
        <v>0</v>
      </c>
      <c r="AB1161">
        <v>0</v>
      </c>
      <c r="AD1161">
        <v>77.2</v>
      </c>
    </row>
    <row r="1162" spans="1:30" x14ac:dyDescent="0.3">
      <c r="A1162" s="4">
        <v>1175</v>
      </c>
      <c r="B1162" s="5">
        <v>1155</v>
      </c>
      <c r="C1162">
        <v>1477</v>
      </c>
      <c r="D1162" t="s">
        <v>2679</v>
      </c>
      <c r="E1162" t="s">
        <v>26</v>
      </c>
      <c r="F1162" t="s">
        <v>2680</v>
      </c>
      <c r="G1162" t="s">
        <v>2681</v>
      </c>
      <c r="H1162" t="str">
        <f>"00509248"</f>
        <v>00509248</v>
      </c>
      <c r="I1162">
        <v>43.2</v>
      </c>
      <c r="J1162">
        <v>0</v>
      </c>
      <c r="N1162">
        <v>0</v>
      </c>
      <c r="O1162">
        <v>0</v>
      </c>
      <c r="P1162">
        <v>0</v>
      </c>
      <c r="Q1162">
        <v>43.2</v>
      </c>
      <c r="R1162">
        <v>34</v>
      </c>
      <c r="S1162">
        <v>34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34</v>
      </c>
      <c r="AA1162">
        <v>0</v>
      </c>
      <c r="AB1162">
        <v>0</v>
      </c>
      <c r="AD1162">
        <v>77.2</v>
      </c>
    </row>
    <row r="1163" spans="1:30" x14ac:dyDescent="0.3">
      <c r="A1163" s="4">
        <v>1176</v>
      </c>
      <c r="B1163" s="5">
        <v>1156</v>
      </c>
      <c r="C1163">
        <v>2889</v>
      </c>
      <c r="D1163" t="s">
        <v>2682</v>
      </c>
      <c r="E1163" t="s">
        <v>2683</v>
      </c>
      <c r="F1163" t="s">
        <v>167</v>
      </c>
      <c r="G1163" t="s">
        <v>2684</v>
      </c>
      <c r="H1163" t="str">
        <f>"00559515"</f>
        <v>00559515</v>
      </c>
      <c r="I1163">
        <v>43.2</v>
      </c>
      <c r="J1163">
        <v>0</v>
      </c>
      <c r="N1163">
        <v>0</v>
      </c>
      <c r="O1163">
        <v>4</v>
      </c>
      <c r="P1163">
        <v>0</v>
      </c>
      <c r="Q1163">
        <v>47.2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3</v>
      </c>
      <c r="AB1163">
        <v>26.8</v>
      </c>
      <c r="AD1163">
        <v>77</v>
      </c>
    </row>
    <row r="1164" spans="1:30" x14ac:dyDescent="0.3">
      <c r="A1164" s="4">
        <v>1177</v>
      </c>
      <c r="B1164" s="5">
        <v>1157</v>
      </c>
      <c r="C1164">
        <v>2988</v>
      </c>
      <c r="D1164" t="s">
        <v>2685</v>
      </c>
      <c r="E1164" t="s">
        <v>161</v>
      </c>
      <c r="F1164" t="s">
        <v>30</v>
      </c>
      <c r="G1164" t="s">
        <v>2686</v>
      </c>
      <c r="H1164" t="str">
        <f>"00462114"</f>
        <v>00462114</v>
      </c>
      <c r="I1164">
        <v>26.92</v>
      </c>
      <c r="J1164">
        <v>10</v>
      </c>
      <c r="N1164">
        <v>0</v>
      </c>
      <c r="O1164">
        <v>4</v>
      </c>
      <c r="P1164">
        <v>2</v>
      </c>
      <c r="Q1164">
        <v>42.92</v>
      </c>
      <c r="R1164">
        <v>7</v>
      </c>
      <c r="S1164">
        <v>7</v>
      </c>
      <c r="T1164">
        <v>9</v>
      </c>
      <c r="U1164">
        <v>18</v>
      </c>
      <c r="V1164">
        <v>0</v>
      </c>
      <c r="W1164">
        <v>0</v>
      </c>
      <c r="X1164">
        <v>0</v>
      </c>
      <c r="Y1164">
        <v>0</v>
      </c>
      <c r="Z1164">
        <v>25</v>
      </c>
      <c r="AA1164">
        <v>9</v>
      </c>
      <c r="AB1164">
        <v>0</v>
      </c>
      <c r="AD1164">
        <v>76.92</v>
      </c>
    </row>
    <row r="1165" spans="1:30" x14ac:dyDescent="0.3">
      <c r="A1165" s="4">
        <v>1178</v>
      </c>
      <c r="B1165" s="5">
        <v>1158</v>
      </c>
      <c r="C1165">
        <v>4815</v>
      </c>
      <c r="D1165" t="s">
        <v>2687</v>
      </c>
      <c r="E1165" t="s">
        <v>33</v>
      </c>
      <c r="F1165" t="s">
        <v>375</v>
      </c>
      <c r="G1165" t="s">
        <v>2688</v>
      </c>
      <c r="H1165" t="str">
        <f>"201502002337"</f>
        <v>201502002337</v>
      </c>
      <c r="I1165">
        <v>24.28</v>
      </c>
      <c r="J1165">
        <v>10</v>
      </c>
      <c r="N1165">
        <v>0</v>
      </c>
      <c r="O1165">
        <v>4</v>
      </c>
      <c r="P1165">
        <v>2</v>
      </c>
      <c r="Q1165">
        <v>40.28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3</v>
      </c>
      <c r="AB1165">
        <v>33.6</v>
      </c>
      <c r="AD1165">
        <v>76.88</v>
      </c>
    </row>
    <row r="1166" spans="1:30" x14ac:dyDescent="0.3">
      <c r="A1166" s="4">
        <v>1179</v>
      </c>
      <c r="B1166" s="5">
        <v>1159</v>
      </c>
      <c r="C1166">
        <v>2610</v>
      </c>
      <c r="D1166" t="s">
        <v>2689</v>
      </c>
      <c r="E1166" t="s">
        <v>161</v>
      </c>
      <c r="F1166" t="s">
        <v>81</v>
      </c>
      <c r="G1166" t="s">
        <v>2690</v>
      </c>
      <c r="H1166" t="str">
        <f>"00554253"</f>
        <v>00554253</v>
      </c>
      <c r="I1166">
        <v>64.8</v>
      </c>
      <c r="J1166">
        <v>0</v>
      </c>
      <c r="N1166">
        <v>0</v>
      </c>
      <c r="O1166">
        <v>4</v>
      </c>
      <c r="P1166">
        <v>2</v>
      </c>
      <c r="Q1166">
        <v>70.8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6</v>
      </c>
      <c r="AB1166">
        <v>0</v>
      </c>
      <c r="AD1166">
        <v>76.8</v>
      </c>
    </row>
    <row r="1167" spans="1:30" x14ac:dyDescent="0.3">
      <c r="A1167" s="4">
        <v>1180</v>
      </c>
      <c r="B1167" s="5">
        <v>1160</v>
      </c>
      <c r="C1167">
        <v>4239</v>
      </c>
      <c r="D1167" t="s">
        <v>2691</v>
      </c>
      <c r="E1167" t="s">
        <v>2692</v>
      </c>
      <c r="F1167" t="s">
        <v>2693</v>
      </c>
      <c r="G1167" t="s">
        <v>2694</v>
      </c>
      <c r="H1167" t="str">
        <f>"00523273"</f>
        <v>00523273</v>
      </c>
      <c r="I1167">
        <v>28.8</v>
      </c>
      <c r="J1167">
        <v>10</v>
      </c>
      <c r="K1167">
        <v>8</v>
      </c>
      <c r="N1167">
        <v>8</v>
      </c>
      <c r="O1167">
        <v>4</v>
      </c>
      <c r="P1167">
        <v>2</v>
      </c>
      <c r="Q1167">
        <v>52.8</v>
      </c>
      <c r="R1167">
        <v>18</v>
      </c>
      <c r="S1167">
        <v>18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18</v>
      </c>
      <c r="AA1167">
        <v>6</v>
      </c>
      <c r="AB1167">
        <v>0</v>
      </c>
      <c r="AD1167">
        <v>76.8</v>
      </c>
    </row>
    <row r="1168" spans="1:30" x14ac:dyDescent="0.3">
      <c r="A1168" s="4">
        <v>1181</v>
      </c>
      <c r="B1168" s="5">
        <v>1161</v>
      </c>
      <c r="C1168">
        <v>2619</v>
      </c>
      <c r="D1168" t="s">
        <v>2695</v>
      </c>
      <c r="E1168" t="s">
        <v>255</v>
      </c>
      <c r="F1168" t="s">
        <v>38</v>
      </c>
      <c r="G1168" t="s">
        <v>2696</v>
      </c>
      <c r="H1168" t="str">
        <f>"00162256"</f>
        <v>00162256</v>
      </c>
      <c r="I1168">
        <v>28.8</v>
      </c>
      <c r="J1168">
        <v>10</v>
      </c>
      <c r="N1168">
        <v>0</v>
      </c>
      <c r="O1168">
        <v>0</v>
      </c>
      <c r="P1168">
        <v>0</v>
      </c>
      <c r="Q1168">
        <v>38.799999999999997</v>
      </c>
      <c r="R1168">
        <v>32</v>
      </c>
      <c r="S1168">
        <v>32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32</v>
      </c>
      <c r="AA1168">
        <v>6</v>
      </c>
      <c r="AB1168">
        <v>0</v>
      </c>
      <c r="AD1168">
        <v>76.8</v>
      </c>
    </row>
    <row r="1169" spans="1:30" x14ac:dyDescent="0.3">
      <c r="A1169" s="4">
        <v>1182</v>
      </c>
      <c r="B1169" s="5">
        <v>1162</v>
      </c>
      <c r="C1169">
        <v>576</v>
      </c>
      <c r="D1169" t="s">
        <v>2697</v>
      </c>
      <c r="E1169" t="s">
        <v>88</v>
      </c>
      <c r="F1169" t="s">
        <v>2333</v>
      </c>
      <c r="G1169" t="s">
        <v>2698</v>
      </c>
      <c r="H1169" t="str">
        <f>"201507000166"</f>
        <v>201507000166</v>
      </c>
      <c r="I1169">
        <v>64.8</v>
      </c>
      <c r="J1169">
        <v>0</v>
      </c>
      <c r="K1169">
        <v>8</v>
      </c>
      <c r="N1169">
        <v>8</v>
      </c>
      <c r="O1169">
        <v>4</v>
      </c>
      <c r="P1169">
        <v>0</v>
      </c>
      <c r="Q1169">
        <v>76.8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D1169">
        <v>76.8</v>
      </c>
    </row>
    <row r="1170" spans="1:30" x14ac:dyDescent="0.3">
      <c r="A1170" s="4">
        <v>1183</v>
      </c>
      <c r="B1170" s="5">
        <v>1163</v>
      </c>
      <c r="C1170">
        <v>4619</v>
      </c>
      <c r="D1170" t="s">
        <v>2699</v>
      </c>
      <c r="E1170" t="s">
        <v>2700</v>
      </c>
      <c r="F1170" t="s">
        <v>892</v>
      </c>
      <c r="G1170" t="s">
        <v>2701</v>
      </c>
      <c r="H1170" t="str">
        <f>"00531397"</f>
        <v>00531397</v>
      </c>
      <c r="I1170">
        <v>64.8</v>
      </c>
      <c r="J1170">
        <v>0</v>
      </c>
      <c r="K1170">
        <v>8</v>
      </c>
      <c r="N1170">
        <v>8</v>
      </c>
      <c r="O1170">
        <v>4</v>
      </c>
      <c r="P1170">
        <v>0</v>
      </c>
      <c r="Q1170">
        <v>76.8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D1170">
        <v>76.8</v>
      </c>
    </row>
    <row r="1171" spans="1:30" x14ac:dyDescent="0.3">
      <c r="A1171" s="4">
        <v>1184</v>
      </c>
      <c r="B1171" s="5">
        <v>1164</v>
      </c>
      <c r="C1171">
        <v>3573</v>
      </c>
      <c r="D1171" t="s">
        <v>2702</v>
      </c>
      <c r="E1171" t="s">
        <v>97</v>
      </c>
      <c r="F1171" t="s">
        <v>17</v>
      </c>
      <c r="G1171" t="s">
        <v>2703</v>
      </c>
      <c r="H1171" t="str">
        <f>"201412000101"</f>
        <v>201412000101</v>
      </c>
      <c r="I1171">
        <v>64.8</v>
      </c>
      <c r="J1171">
        <v>0</v>
      </c>
      <c r="K1171">
        <v>8</v>
      </c>
      <c r="N1171">
        <v>8</v>
      </c>
      <c r="O1171">
        <v>4</v>
      </c>
      <c r="P1171">
        <v>0</v>
      </c>
      <c r="Q1171">
        <v>76.8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D1171">
        <v>76.8</v>
      </c>
    </row>
    <row r="1172" spans="1:30" x14ac:dyDescent="0.3">
      <c r="A1172" s="4">
        <v>1185</v>
      </c>
      <c r="B1172" s="5">
        <v>1165</v>
      </c>
      <c r="C1172">
        <v>96</v>
      </c>
      <c r="D1172" t="s">
        <v>2704</v>
      </c>
      <c r="E1172" t="s">
        <v>48</v>
      </c>
      <c r="F1172" t="s">
        <v>17</v>
      </c>
      <c r="G1172" t="s">
        <v>2705</v>
      </c>
      <c r="H1172" t="str">
        <f>"00530379"</f>
        <v>00530379</v>
      </c>
      <c r="I1172">
        <v>35.72</v>
      </c>
      <c r="J1172">
        <v>10</v>
      </c>
      <c r="M1172">
        <v>4</v>
      </c>
      <c r="N1172">
        <v>4</v>
      </c>
      <c r="O1172">
        <v>4</v>
      </c>
      <c r="P1172">
        <v>0</v>
      </c>
      <c r="Q1172">
        <v>53.72</v>
      </c>
      <c r="R1172">
        <v>17</v>
      </c>
      <c r="S1172">
        <v>17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17</v>
      </c>
      <c r="AA1172">
        <v>6</v>
      </c>
      <c r="AB1172">
        <v>0</v>
      </c>
      <c r="AD1172">
        <v>76.72</v>
      </c>
    </row>
    <row r="1173" spans="1:30" x14ac:dyDescent="0.3">
      <c r="A1173" s="4">
        <v>1186</v>
      </c>
      <c r="B1173" s="5">
        <v>1166</v>
      </c>
      <c r="C1173">
        <v>3569</v>
      </c>
      <c r="D1173" t="s">
        <v>2706</v>
      </c>
      <c r="E1173" t="s">
        <v>2707</v>
      </c>
      <c r="F1173" t="s">
        <v>243</v>
      </c>
      <c r="G1173" t="s">
        <v>2708</v>
      </c>
      <c r="H1173" t="str">
        <f>"00493728"</f>
        <v>00493728</v>
      </c>
      <c r="I1173">
        <v>31.72</v>
      </c>
      <c r="J1173">
        <v>10</v>
      </c>
      <c r="N1173">
        <v>0</v>
      </c>
      <c r="O1173">
        <v>4</v>
      </c>
      <c r="P1173">
        <v>2</v>
      </c>
      <c r="Q1173">
        <v>47.72</v>
      </c>
      <c r="R1173">
        <v>23</v>
      </c>
      <c r="S1173">
        <v>23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23</v>
      </c>
      <c r="AA1173">
        <v>6</v>
      </c>
      <c r="AB1173">
        <v>0</v>
      </c>
      <c r="AD1173">
        <v>76.72</v>
      </c>
    </row>
    <row r="1174" spans="1:30" x14ac:dyDescent="0.3">
      <c r="A1174" s="4">
        <v>1187</v>
      </c>
      <c r="B1174" s="5">
        <v>1167</v>
      </c>
      <c r="C1174">
        <v>1813</v>
      </c>
      <c r="D1174" t="s">
        <v>2709</v>
      </c>
      <c r="E1174" t="s">
        <v>471</v>
      </c>
      <c r="F1174" t="s">
        <v>2710</v>
      </c>
      <c r="G1174" t="s">
        <v>2711</v>
      </c>
      <c r="H1174" t="str">
        <f>"00497819"</f>
        <v>00497819</v>
      </c>
      <c r="I1174">
        <v>31.72</v>
      </c>
      <c r="J1174">
        <v>0</v>
      </c>
      <c r="N1174">
        <v>0</v>
      </c>
      <c r="O1174">
        <v>4</v>
      </c>
      <c r="P1174">
        <v>0</v>
      </c>
      <c r="Q1174">
        <v>35.72</v>
      </c>
      <c r="R1174">
        <v>38</v>
      </c>
      <c r="S1174">
        <v>38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38</v>
      </c>
      <c r="AA1174">
        <v>3</v>
      </c>
      <c r="AB1174">
        <v>0</v>
      </c>
      <c r="AD1174">
        <v>76.72</v>
      </c>
    </row>
    <row r="1175" spans="1:30" x14ac:dyDescent="0.3">
      <c r="A1175" s="4">
        <v>1188</v>
      </c>
      <c r="B1175" s="5">
        <v>1168</v>
      </c>
      <c r="C1175">
        <v>553</v>
      </c>
      <c r="D1175" t="s">
        <v>2712</v>
      </c>
      <c r="E1175" t="s">
        <v>170</v>
      </c>
      <c r="F1175" t="s">
        <v>34</v>
      </c>
      <c r="G1175" t="s">
        <v>2713</v>
      </c>
      <c r="H1175" t="str">
        <f>"00096209"</f>
        <v>00096209</v>
      </c>
      <c r="I1175">
        <v>35.6</v>
      </c>
      <c r="J1175">
        <v>10</v>
      </c>
      <c r="N1175">
        <v>0</v>
      </c>
      <c r="O1175">
        <v>4</v>
      </c>
      <c r="P1175">
        <v>0</v>
      </c>
      <c r="Q1175">
        <v>49.6</v>
      </c>
      <c r="R1175">
        <v>18</v>
      </c>
      <c r="S1175">
        <v>18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18</v>
      </c>
      <c r="AA1175">
        <v>9</v>
      </c>
      <c r="AB1175">
        <v>0</v>
      </c>
      <c r="AD1175">
        <v>76.599999999999994</v>
      </c>
    </row>
    <row r="1176" spans="1:30" x14ac:dyDescent="0.3">
      <c r="A1176" s="4">
        <v>1189</v>
      </c>
      <c r="B1176" s="5">
        <v>1169</v>
      </c>
      <c r="C1176">
        <v>2279</v>
      </c>
      <c r="D1176" t="s">
        <v>2714</v>
      </c>
      <c r="E1176" t="s">
        <v>2715</v>
      </c>
      <c r="F1176" t="s">
        <v>136</v>
      </c>
      <c r="G1176" t="s">
        <v>2716</v>
      </c>
      <c r="H1176" t="str">
        <f>"00527265"</f>
        <v>00527265</v>
      </c>
      <c r="I1176">
        <v>21.6</v>
      </c>
      <c r="J1176">
        <v>0</v>
      </c>
      <c r="M1176">
        <v>4</v>
      </c>
      <c r="N1176">
        <v>4</v>
      </c>
      <c r="O1176">
        <v>4</v>
      </c>
      <c r="P1176">
        <v>2</v>
      </c>
      <c r="Q1176">
        <v>31.6</v>
      </c>
      <c r="R1176">
        <v>42</v>
      </c>
      <c r="S1176">
        <v>42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42</v>
      </c>
      <c r="AA1176">
        <v>3</v>
      </c>
      <c r="AB1176">
        <v>0</v>
      </c>
      <c r="AD1176">
        <v>76.599999999999994</v>
      </c>
    </row>
    <row r="1177" spans="1:30" x14ac:dyDescent="0.3">
      <c r="A1177" s="4">
        <v>1190</v>
      </c>
      <c r="B1177" s="5">
        <v>1170</v>
      </c>
      <c r="C1177">
        <v>189</v>
      </c>
      <c r="D1177" t="s">
        <v>2717</v>
      </c>
      <c r="E1177" t="s">
        <v>88</v>
      </c>
      <c r="F1177" t="s">
        <v>62</v>
      </c>
      <c r="G1177" t="s">
        <v>2718</v>
      </c>
      <c r="H1177" t="str">
        <f>"00027776"</f>
        <v>00027776</v>
      </c>
      <c r="I1177">
        <v>33.44</v>
      </c>
      <c r="J1177">
        <v>0</v>
      </c>
      <c r="N1177">
        <v>0</v>
      </c>
      <c r="O1177">
        <v>4</v>
      </c>
      <c r="P1177">
        <v>2</v>
      </c>
      <c r="Q1177">
        <v>39.44</v>
      </c>
      <c r="R1177">
        <v>34</v>
      </c>
      <c r="S1177">
        <v>34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34</v>
      </c>
      <c r="AA1177">
        <v>3</v>
      </c>
      <c r="AB1177">
        <v>0</v>
      </c>
      <c r="AD1177">
        <v>76.44</v>
      </c>
    </row>
    <row r="1178" spans="1:30" x14ac:dyDescent="0.3">
      <c r="A1178" s="4">
        <v>1191</v>
      </c>
      <c r="B1178" s="5">
        <v>1171</v>
      </c>
      <c r="C1178">
        <v>137</v>
      </c>
      <c r="D1178" t="s">
        <v>717</v>
      </c>
      <c r="E1178" t="s">
        <v>41</v>
      </c>
      <c r="F1178" t="s">
        <v>20</v>
      </c>
      <c r="G1178" t="s">
        <v>2719</v>
      </c>
      <c r="H1178" t="str">
        <f>"00531638"</f>
        <v>00531638</v>
      </c>
      <c r="I1178">
        <v>23.4</v>
      </c>
      <c r="J1178">
        <v>10</v>
      </c>
      <c r="N1178">
        <v>0</v>
      </c>
      <c r="O1178">
        <v>0</v>
      </c>
      <c r="P1178">
        <v>0</v>
      </c>
      <c r="Q1178">
        <v>33.4</v>
      </c>
      <c r="R1178">
        <v>37</v>
      </c>
      <c r="S1178">
        <v>37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37</v>
      </c>
      <c r="AA1178">
        <v>6</v>
      </c>
      <c r="AB1178">
        <v>0</v>
      </c>
      <c r="AD1178">
        <v>76.400000000000006</v>
      </c>
    </row>
    <row r="1179" spans="1:30" x14ac:dyDescent="0.3">
      <c r="A1179" s="4">
        <v>1192</v>
      </c>
      <c r="B1179" s="5">
        <v>1172</v>
      </c>
      <c r="C1179">
        <v>2764</v>
      </c>
      <c r="D1179" t="s">
        <v>2720</v>
      </c>
      <c r="E1179" t="s">
        <v>54</v>
      </c>
      <c r="F1179" t="s">
        <v>2721</v>
      </c>
      <c r="G1179" t="s">
        <v>2722</v>
      </c>
      <c r="H1179" t="str">
        <f>"00529791"</f>
        <v>00529791</v>
      </c>
      <c r="I1179">
        <v>50.4</v>
      </c>
      <c r="J1179">
        <v>10</v>
      </c>
      <c r="N1179">
        <v>0</v>
      </c>
      <c r="O1179">
        <v>0</v>
      </c>
      <c r="P1179">
        <v>0</v>
      </c>
      <c r="Q1179">
        <v>60.4</v>
      </c>
      <c r="R1179">
        <v>16</v>
      </c>
      <c r="S1179">
        <v>16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16</v>
      </c>
      <c r="AA1179">
        <v>0</v>
      </c>
      <c r="AB1179">
        <v>0</v>
      </c>
      <c r="AD1179">
        <v>76.400000000000006</v>
      </c>
    </row>
    <row r="1180" spans="1:30" x14ac:dyDescent="0.3">
      <c r="A1180" s="4">
        <v>1193</v>
      </c>
      <c r="B1180" s="5">
        <v>1173</v>
      </c>
      <c r="C1180">
        <v>1374</v>
      </c>
      <c r="D1180" t="s">
        <v>2723</v>
      </c>
      <c r="E1180" t="s">
        <v>161</v>
      </c>
      <c r="F1180" t="s">
        <v>17</v>
      </c>
      <c r="G1180" t="s">
        <v>2724</v>
      </c>
      <c r="H1180" t="str">
        <f>"00531410"</f>
        <v>00531410</v>
      </c>
      <c r="I1180">
        <v>50.4</v>
      </c>
      <c r="J1180">
        <v>0</v>
      </c>
      <c r="M1180">
        <v>4</v>
      </c>
      <c r="N1180">
        <v>4</v>
      </c>
      <c r="O1180">
        <v>4</v>
      </c>
      <c r="P1180">
        <v>2</v>
      </c>
      <c r="Q1180">
        <v>60.4</v>
      </c>
      <c r="R1180">
        <v>0</v>
      </c>
      <c r="S1180">
        <v>0</v>
      </c>
      <c r="T1180">
        <v>8</v>
      </c>
      <c r="U1180">
        <v>16</v>
      </c>
      <c r="V1180">
        <v>0</v>
      </c>
      <c r="W1180">
        <v>0</v>
      </c>
      <c r="X1180">
        <v>0</v>
      </c>
      <c r="Y1180">
        <v>0</v>
      </c>
      <c r="Z1180">
        <v>16</v>
      </c>
      <c r="AA1180">
        <v>0</v>
      </c>
      <c r="AB1180">
        <v>0</v>
      </c>
      <c r="AD1180">
        <v>76.400000000000006</v>
      </c>
    </row>
    <row r="1181" spans="1:30" x14ac:dyDescent="0.3">
      <c r="A1181" s="4">
        <v>1194</v>
      </c>
      <c r="B1181" s="5">
        <v>1174</v>
      </c>
      <c r="C1181">
        <v>747</v>
      </c>
      <c r="D1181" t="s">
        <v>2725</v>
      </c>
      <c r="E1181" t="s">
        <v>147</v>
      </c>
      <c r="F1181" t="s">
        <v>68</v>
      </c>
      <c r="G1181" t="s">
        <v>2726</v>
      </c>
      <c r="H1181" t="str">
        <f>"00488555"</f>
        <v>00488555</v>
      </c>
      <c r="I1181">
        <v>50.4</v>
      </c>
      <c r="J1181">
        <v>0</v>
      </c>
      <c r="M1181">
        <v>4</v>
      </c>
      <c r="N1181">
        <v>4</v>
      </c>
      <c r="O1181">
        <v>4</v>
      </c>
      <c r="P1181">
        <v>0</v>
      </c>
      <c r="Q1181">
        <v>58.4</v>
      </c>
      <c r="R1181">
        <v>18</v>
      </c>
      <c r="S1181">
        <v>18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18</v>
      </c>
      <c r="AA1181">
        <v>0</v>
      </c>
      <c r="AB1181">
        <v>0</v>
      </c>
      <c r="AC1181" t="s">
        <v>130</v>
      </c>
      <c r="AD1181">
        <v>76.400000000000006</v>
      </c>
    </row>
    <row r="1182" spans="1:30" x14ac:dyDescent="0.3">
      <c r="A1182" s="4">
        <v>1195</v>
      </c>
      <c r="B1182" s="5">
        <v>1175</v>
      </c>
      <c r="C1182">
        <v>3780</v>
      </c>
      <c r="D1182" t="s">
        <v>1613</v>
      </c>
      <c r="E1182" t="s">
        <v>2727</v>
      </c>
      <c r="F1182" t="s">
        <v>17</v>
      </c>
      <c r="G1182" t="s">
        <v>2728</v>
      </c>
      <c r="H1182" t="str">
        <f>"00528533"</f>
        <v>00528533</v>
      </c>
      <c r="I1182">
        <v>50.4</v>
      </c>
      <c r="J1182">
        <v>0</v>
      </c>
      <c r="M1182">
        <v>4</v>
      </c>
      <c r="N1182">
        <v>4</v>
      </c>
      <c r="O1182">
        <v>4</v>
      </c>
      <c r="P1182">
        <v>0</v>
      </c>
      <c r="Q1182">
        <v>58.4</v>
      </c>
      <c r="R1182">
        <v>18</v>
      </c>
      <c r="S1182">
        <v>18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18</v>
      </c>
      <c r="AA1182">
        <v>0</v>
      </c>
      <c r="AB1182">
        <v>0</v>
      </c>
      <c r="AD1182">
        <v>76.400000000000006</v>
      </c>
    </row>
    <row r="1183" spans="1:30" x14ac:dyDescent="0.3">
      <c r="A1183" s="4">
        <v>1196</v>
      </c>
      <c r="B1183" s="5">
        <v>1176</v>
      </c>
      <c r="C1183">
        <v>3226</v>
      </c>
      <c r="D1183" t="s">
        <v>2729</v>
      </c>
      <c r="E1183" t="s">
        <v>178</v>
      </c>
      <c r="F1183" t="s">
        <v>117</v>
      </c>
      <c r="G1183" t="s">
        <v>2730</v>
      </c>
      <c r="H1183" t="str">
        <f>"00524066"</f>
        <v>00524066</v>
      </c>
      <c r="I1183">
        <v>50.4</v>
      </c>
      <c r="J1183">
        <v>0</v>
      </c>
      <c r="M1183">
        <v>4</v>
      </c>
      <c r="N1183">
        <v>4</v>
      </c>
      <c r="O1183">
        <v>4</v>
      </c>
      <c r="P1183">
        <v>0</v>
      </c>
      <c r="Q1183">
        <v>58.4</v>
      </c>
      <c r="R1183">
        <v>18</v>
      </c>
      <c r="S1183">
        <v>18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18</v>
      </c>
      <c r="AA1183">
        <v>0</v>
      </c>
      <c r="AB1183">
        <v>0</v>
      </c>
      <c r="AD1183">
        <v>76.400000000000006</v>
      </c>
    </row>
    <row r="1184" spans="1:30" x14ac:dyDescent="0.3">
      <c r="A1184" s="4">
        <v>1197</v>
      </c>
      <c r="B1184" s="5">
        <v>1177</v>
      </c>
      <c r="C1184">
        <v>1983</v>
      </c>
      <c r="D1184" t="s">
        <v>2731</v>
      </c>
      <c r="E1184" t="s">
        <v>110</v>
      </c>
      <c r="F1184" t="s">
        <v>259</v>
      </c>
      <c r="G1184" t="s">
        <v>2732</v>
      </c>
      <c r="H1184" t="str">
        <f>"00531906"</f>
        <v>00531906</v>
      </c>
      <c r="I1184">
        <v>50.4</v>
      </c>
      <c r="J1184">
        <v>0</v>
      </c>
      <c r="M1184">
        <v>4</v>
      </c>
      <c r="N1184">
        <v>4</v>
      </c>
      <c r="O1184">
        <v>4</v>
      </c>
      <c r="P1184">
        <v>0</v>
      </c>
      <c r="Q1184">
        <v>58.4</v>
      </c>
      <c r="R1184">
        <v>18</v>
      </c>
      <c r="S1184">
        <v>18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18</v>
      </c>
      <c r="AA1184">
        <v>0</v>
      </c>
      <c r="AB1184">
        <v>0</v>
      </c>
      <c r="AD1184">
        <v>76.400000000000006</v>
      </c>
    </row>
    <row r="1185" spans="1:30" x14ac:dyDescent="0.3">
      <c r="A1185" s="4">
        <v>1198</v>
      </c>
      <c r="B1185" s="5">
        <v>1178</v>
      </c>
      <c r="C1185">
        <v>685</v>
      </c>
      <c r="D1185" t="s">
        <v>2733</v>
      </c>
      <c r="E1185" t="s">
        <v>1997</v>
      </c>
      <c r="F1185" t="s">
        <v>81</v>
      </c>
      <c r="G1185" t="s">
        <v>2734</v>
      </c>
      <c r="H1185" t="str">
        <f>"00465086"</f>
        <v>00465086</v>
      </c>
      <c r="I1185">
        <v>38.4</v>
      </c>
      <c r="J1185">
        <v>10</v>
      </c>
      <c r="M1185">
        <v>4</v>
      </c>
      <c r="N1185">
        <v>4</v>
      </c>
      <c r="O1185">
        <v>4</v>
      </c>
      <c r="P1185">
        <v>2</v>
      </c>
      <c r="Q1185">
        <v>58.4</v>
      </c>
      <c r="R1185">
        <v>18</v>
      </c>
      <c r="S1185">
        <v>18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18</v>
      </c>
      <c r="AA1185">
        <v>0</v>
      </c>
      <c r="AB1185">
        <v>0</v>
      </c>
      <c r="AD1185">
        <v>76.400000000000006</v>
      </c>
    </row>
    <row r="1186" spans="1:30" x14ac:dyDescent="0.3">
      <c r="A1186" s="4">
        <v>1199</v>
      </c>
      <c r="B1186" s="5">
        <v>1179</v>
      </c>
      <c r="C1186">
        <v>2814</v>
      </c>
      <c r="D1186" t="s">
        <v>2735</v>
      </c>
      <c r="E1186" t="s">
        <v>825</v>
      </c>
      <c r="F1186" t="s">
        <v>68</v>
      </c>
      <c r="G1186" t="s">
        <v>2736</v>
      </c>
      <c r="H1186" t="str">
        <f>"200802003962"</f>
        <v>200802003962</v>
      </c>
      <c r="I1186">
        <v>33.32</v>
      </c>
      <c r="J1186">
        <v>0</v>
      </c>
      <c r="M1186">
        <v>4</v>
      </c>
      <c r="N1186">
        <v>4</v>
      </c>
      <c r="O1186">
        <v>4</v>
      </c>
      <c r="P1186">
        <v>2</v>
      </c>
      <c r="Q1186">
        <v>43.32</v>
      </c>
      <c r="R1186">
        <v>30</v>
      </c>
      <c r="S1186">
        <v>30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30</v>
      </c>
      <c r="AA1186">
        <v>3</v>
      </c>
      <c r="AB1186">
        <v>0</v>
      </c>
      <c r="AD1186">
        <v>76.319999999999993</v>
      </c>
    </row>
    <row r="1187" spans="1:30" x14ac:dyDescent="0.3">
      <c r="A1187" s="4">
        <v>1200</v>
      </c>
      <c r="B1187" s="5">
        <v>1180</v>
      </c>
      <c r="C1187">
        <v>4211</v>
      </c>
      <c r="D1187" t="s">
        <v>2737</v>
      </c>
      <c r="E1187" t="s">
        <v>29</v>
      </c>
      <c r="F1187" t="s">
        <v>230</v>
      </c>
      <c r="G1187" t="s">
        <v>2738</v>
      </c>
      <c r="H1187" t="str">
        <f>"00506500"</f>
        <v>00506500</v>
      </c>
      <c r="I1187">
        <v>38.24</v>
      </c>
      <c r="J1187">
        <v>10</v>
      </c>
      <c r="M1187">
        <v>4</v>
      </c>
      <c r="N1187">
        <v>4</v>
      </c>
      <c r="O1187">
        <v>4</v>
      </c>
      <c r="P1187">
        <v>2</v>
      </c>
      <c r="Q1187">
        <v>58.24</v>
      </c>
      <c r="R1187">
        <v>18</v>
      </c>
      <c r="S1187">
        <v>18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18</v>
      </c>
      <c r="AA1187">
        <v>0</v>
      </c>
      <c r="AB1187">
        <v>0</v>
      </c>
      <c r="AD1187">
        <v>76.239999999999995</v>
      </c>
    </row>
    <row r="1188" spans="1:30" x14ac:dyDescent="0.3">
      <c r="A1188" s="4">
        <v>1201</v>
      </c>
      <c r="B1188" s="5">
        <v>1181</v>
      </c>
      <c r="C1188">
        <v>3521</v>
      </c>
      <c r="D1188" t="s">
        <v>2739</v>
      </c>
      <c r="E1188" t="s">
        <v>2740</v>
      </c>
      <c r="F1188" t="s">
        <v>243</v>
      </c>
      <c r="G1188" t="s">
        <v>2741</v>
      </c>
      <c r="H1188" t="str">
        <f>"00472240"</f>
        <v>00472240</v>
      </c>
      <c r="I1188">
        <v>43.2</v>
      </c>
      <c r="J1188">
        <v>0</v>
      </c>
      <c r="M1188">
        <v>4</v>
      </c>
      <c r="N1188">
        <v>4</v>
      </c>
      <c r="O1188">
        <v>0</v>
      </c>
      <c r="P1188">
        <v>0</v>
      </c>
      <c r="Q1188">
        <v>47.2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9</v>
      </c>
      <c r="AB1188">
        <v>20</v>
      </c>
      <c r="AD1188">
        <v>76.2</v>
      </c>
    </row>
    <row r="1189" spans="1:30" x14ac:dyDescent="0.3">
      <c r="A1189" s="4">
        <v>1202</v>
      </c>
      <c r="B1189" s="5">
        <v>1182</v>
      </c>
      <c r="C1189">
        <v>4494</v>
      </c>
      <c r="D1189" t="s">
        <v>2742</v>
      </c>
      <c r="E1189" t="s">
        <v>2743</v>
      </c>
      <c r="F1189" t="s">
        <v>442</v>
      </c>
      <c r="G1189" t="s">
        <v>2744</v>
      </c>
      <c r="H1189" t="str">
        <f>"00036610"</f>
        <v>00036610</v>
      </c>
      <c r="I1189">
        <v>43.2</v>
      </c>
      <c r="J1189">
        <v>0</v>
      </c>
      <c r="M1189">
        <v>4</v>
      </c>
      <c r="N1189">
        <v>4</v>
      </c>
      <c r="O1189">
        <v>4</v>
      </c>
      <c r="P1189">
        <v>0</v>
      </c>
      <c r="Q1189">
        <v>51.2</v>
      </c>
      <c r="R1189">
        <v>22</v>
      </c>
      <c r="S1189">
        <v>22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22</v>
      </c>
      <c r="AA1189">
        <v>3</v>
      </c>
      <c r="AB1189">
        <v>0</v>
      </c>
      <c r="AD1189">
        <v>76.2</v>
      </c>
    </row>
    <row r="1190" spans="1:30" x14ac:dyDescent="0.3">
      <c r="A1190" s="4">
        <v>1203</v>
      </c>
      <c r="B1190" s="5">
        <v>1183</v>
      </c>
      <c r="C1190">
        <v>1641</v>
      </c>
      <c r="D1190" t="s">
        <v>2745</v>
      </c>
      <c r="E1190" t="s">
        <v>26</v>
      </c>
      <c r="F1190" t="s">
        <v>2746</v>
      </c>
      <c r="G1190" t="s">
        <v>2747</v>
      </c>
      <c r="H1190" t="str">
        <f>"201511025397"</f>
        <v>201511025397</v>
      </c>
      <c r="I1190">
        <v>35.200000000000003</v>
      </c>
      <c r="J1190">
        <v>10</v>
      </c>
      <c r="N1190">
        <v>0</v>
      </c>
      <c r="O1190">
        <v>4</v>
      </c>
      <c r="P1190">
        <v>2</v>
      </c>
      <c r="Q1190">
        <v>51.2</v>
      </c>
      <c r="R1190">
        <v>25</v>
      </c>
      <c r="S1190">
        <v>25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25</v>
      </c>
      <c r="AA1190">
        <v>0</v>
      </c>
      <c r="AB1190">
        <v>0</v>
      </c>
      <c r="AD1190">
        <v>76.2</v>
      </c>
    </row>
    <row r="1191" spans="1:30" x14ac:dyDescent="0.3">
      <c r="A1191" s="4">
        <v>1204</v>
      </c>
      <c r="B1191" s="5">
        <v>1184</v>
      </c>
      <c r="C1191">
        <v>854</v>
      </c>
      <c r="D1191" t="s">
        <v>2748</v>
      </c>
      <c r="E1191" t="s">
        <v>29</v>
      </c>
      <c r="F1191" t="s">
        <v>68</v>
      </c>
      <c r="G1191" t="s">
        <v>2749</v>
      </c>
      <c r="H1191" t="str">
        <f>"00530420"</f>
        <v>00530420</v>
      </c>
      <c r="I1191">
        <v>43.2</v>
      </c>
      <c r="J1191">
        <v>0</v>
      </c>
      <c r="N1191">
        <v>0</v>
      </c>
      <c r="O1191">
        <v>0</v>
      </c>
      <c r="P1191">
        <v>0</v>
      </c>
      <c r="Q1191">
        <v>43.2</v>
      </c>
      <c r="R1191">
        <v>15</v>
      </c>
      <c r="S1191">
        <v>15</v>
      </c>
      <c r="T1191">
        <v>9</v>
      </c>
      <c r="U1191">
        <v>18</v>
      </c>
      <c r="V1191">
        <v>0</v>
      </c>
      <c r="W1191">
        <v>0</v>
      </c>
      <c r="X1191">
        <v>0</v>
      </c>
      <c r="Y1191">
        <v>0</v>
      </c>
      <c r="Z1191">
        <v>33</v>
      </c>
      <c r="AA1191">
        <v>0</v>
      </c>
      <c r="AB1191">
        <v>0</v>
      </c>
      <c r="AD1191">
        <v>76.2</v>
      </c>
    </row>
    <row r="1192" spans="1:30" x14ac:dyDescent="0.3">
      <c r="A1192" s="4">
        <v>1205</v>
      </c>
      <c r="B1192" s="5">
        <v>1185</v>
      </c>
      <c r="C1192">
        <v>2144</v>
      </c>
      <c r="D1192" t="s">
        <v>2750</v>
      </c>
      <c r="E1192" t="s">
        <v>29</v>
      </c>
      <c r="F1192" t="s">
        <v>259</v>
      </c>
      <c r="G1192" t="s">
        <v>2751</v>
      </c>
      <c r="H1192" t="str">
        <f>"00441844"</f>
        <v>00441844</v>
      </c>
      <c r="I1192">
        <v>29.2</v>
      </c>
      <c r="J1192">
        <v>10</v>
      </c>
      <c r="N1192">
        <v>0</v>
      </c>
      <c r="O1192">
        <v>4</v>
      </c>
      <c r="P1192">
        <v>0</v>
      </c>
      <c r="Q1192">
        <v>43.2</v>
      </c>
      <c r="R1192">
        <v>33</v>
      </c>
      <c r="S1192">
        <v>33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33</v>
      </c>
      <c r="AA1192">
        <v>0</v>
      </c>
      <c r="AB1192">
        <v>0</v>
      </c>
      <c r="AD1192">
        <v>76.2</v>
      </c>
    </row>
    <row r="1193" spans="1:30" x14ac:dyDescent="0.3">
      <c r="A1193" s="4">
        <v>1206</v>
      </c>
      <c r="B1193" s="5">
        <v>1186</v>
      </c>
      <c r="C1193">
        <v>2068</v>
      </c>
      <c r="D1193" t="s">
        <v>2752</v>
      </c>
      <c r="E1193" t="s">
        <v>29</v>
      </c>
      <c r="F1193" t="s">
        <v>136</v>
      </c>
      <c r="G1193" t="s">
        <v>2753</v>
      </c>
      <c r="H1193" t="str">
        <f>"00507721"</f>
        <v>00507721</v>
      </c>
      <c r="I1193">
        <v>7.2</v>
      </c>
      <c r="J1193">
        <v>0</v>
      </c>
      <c r="M1193">
        <v>4</v>
      </c>
      <c r="N1193">
        <v>4</v>
      </c>
      <c r="O1193">
        <v>4</v>
      </c>
      <c r="P1193">
        <v>2</v>
      </c>
      <c r="Q1193">
        <v>17.2</v>
      </c>
      <c r="R1193">
        <v>59</v>
      </c>
      <c r="S1193">
        <v>59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59</v>
      </c>
      <c r="AA1193">
        <v>0</v>
      </c>
      <c r="AB1193">
        <v>0</v>
      </c>
      <c r="AD1193">
        <v>76.2</v>
      </c>
    </row>
    <row r="1194" spans="1:30" x14ac:dyDescent="0.3">
      <c r="A1194" s="4">
        <v>1207</v>
      </c>
      <c r="B1194" s="5">
        <v>1187</v>
      </c>
      <c r="C1194">
        <v>4446</v>
      </c>
      <c r="D1194" t="s">
        <v>221</v>
      </c>
      <c r="E1194" t="s">
        <v>2754</v>
      </c>
      <c r="F1194" t="s">
        <v>81</v>
      </c>
      <c r="G1194" t="s">
        <v>2755</v>
      </c>
      <c r="H1194" t="str">
        <f>"00191293"</f>
        <v>00191293</v>
      </c>
      <c r="I1194">
        <v>33.200000000000003</v>
      </c>
      <c r="J1194">
        <v>0</v>
      </c>
      <c r="N1194">
        <v>0</v>
      </c>
      <c r="O1194">
        <v>4</v>
      </c>
      <c r="P1194">
        <v>0</v>
      </c>
      <c r="Q1194">
        <v>37.200000000000003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12</v>
      </c>
      <c r="AB1194">
        <v>26.8</v>
      </c>
      <c r="AD1194">
        <v>76</v>
      </c>
    </row>
    <row r="1195" spans="1:30" x14ac:dyDescent="0.3">
      <c r="A1195" s="4">
        <v>1208</v>
      </c>
      <c r="B1195" s="5">
        <v>1188</v>
      </c>
      <c r="C1195">
        <v>2420</v>
      </c>
      <c r="D1195" t="s">
        <v>264</v>
      </c>
      <c r="E1195" t="s">
        <v>439</v>
      </c>
      <c r="F1195" t="s">
        <v>158</v>
      </c>
      <c r="G1195" t="s">
        <v>2756</v>
      </c>
      <c r="H1195" t="str">
        <f>"00626273"</f>
        <v>00626273</v>
      </c>
      <c r="I1195">
        <v>39.200000000000003</v>
      </c>
      <c r="J1195">
        <v>0</v>
      </c>
      <c r="N1195">
        <v>0</v>
      </c>
      <c r="O1195">
        <v>4</v>
      </c>
      <c r="P1195">
        <v>0</v>
      </c>
      <c r="Q1195">
        <v>43.2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6</v>
      </c>
      <c r="AB1195">
        <v>26.8</v>
      </c>
      <c r="AD1195">
        <v>76</v>
      </c>
    </row>
    <row r="1196" spans="1:30" x14ac:dyDescent="0.3">
      <c r="A1196" s="4">
        <v>1209</v>
      </c>
      <c r="B1196" s="5">
        <v>1189</v>
      </c>
      <c r="C1196">
        <v>1369</v>
      </c>
      <c r="D1196" t="s">
        <v>2757</v>
      </c>
      <c r="E1196" t="s">
        <v>2758</v>
      </c>
      <c r="F1196" t="s">
        <v>117</v>
      </c>
      <c r="G1196" t="s">
        <v>2759</v>
      </c>
      <c r="H1196" t="str">
        <f>"00483731"</f>
        <v>00483731</v>
      </c>
      <c r="I1196">
        <v>40</v>
      </c>
      <c r="J1196">
        <v>10</v>
      </c>
      <c r="K1196">
        <v>8</v>
      </c>
      <c r="N1196">
        <v>8</v>
      </c>
      <c r="O1196">
        <v>4</v>
      </c>
      <c r="P1196">
        <v>2</v>
      </c>
      <c r="Q1196">
        <v>64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12</v>
      </c>
      <c r="AB1196">
        <v>0</v>
      </c>
      <c r="AD1196">
        <v>76</v>
      </c>
    </row>
    <row r="1197" spans="1:30" x14ac:dyDescent="0.3">
      <c r="A1197" s="4">
        <v>1210</v>
      </c>
      <c r="B1197" s="5">
        <v>1190</v>
      </c>
      <c r="C1197">
        <v>513</v>
      </c>
      <c r="D1197" t="s">
        <v>2760</v>
      </c>
      <c r="E1197" t="s">
        <v>71</v>
      </c>
      <c r="F1197" t="s">
        <v>20</v>
      </c>
      <c r="G1197" t="s">
        <v>2761</v>
      </c>
      <c r="H1197" t="str">
        <f>"00442243"</f>
        <v>00442243</v>
      </c>
      <c r="I1197">
        <v>20</v>
      </c>
      <c r="J1197">
        <v>10</v>
      </c>
      <c r="N1197">
        <v>0</v>
      </c>
      <c r="O1197">
        <v>4</v>
      </c>
      <c r="P1197">
        <v>0</v>
      </c>
      <c r="Q1197">
        <v>34</v>
      </c>
      <c r="R1197">
        <v>36</v>
      </c>
      <c r="S1197">
        <v>36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36</v>
      </c>
      <c r="AA1197">
        <v>6</v>
      </c>
      <c r="AB1197">
        <v>0</v>
      </c>
      <c r="AD1197">
        <v>76</v>
      </c>
    </row>
    <row r="1198" spans="1:30" x14ac:dyDescent="0.3">
      <c r="A1198" s="4">
        <v>1211</v>
      </c>
      <c r="B1198" s="5">
        <v>1191</v>
      </c>
      <c r="C1198">
        <v>4109</v>
      </c>
      <c r="D1198" t="s">
        <v>2762</v>
      </c>
      <c r="E1198" t="s">
        <v>88</v>
      </c>
      <c r="F1198" t="s">
        <v>17</v>
      </c>
      <c r="G1198" t="s">
        <v>2763</v>
      </c>
      <c r="H1198" t="str">
        <f>"00528476"</f>
        <v>00528476</v>
      </c>
      <c r="I1198">
        <v>36</v>
      </c>
      <c r="J1198">
        <v>0</v>
      </c>
      <c r="K1198">
        <v>8</v>
      </c>
      <c r="N1198">
        <v>8</v>
      </c>
      <c r="O1198">
        <v>4</v>
      </c>
      <c r="P1198">
        <v>2</v>
      </c>
      <c r="Q1198">
        <v>50</v>
      </c>
      <c r="R1198">
        <v>23</v>
      </c>
      <c r="S1198">
        <v>23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23</v>
      </c>
      <c r="AA1198">
        <v>3</v>
      </c>
      <c r="AB1198">
        <v>0</v>
      </c>
      <c r="AD1198">
        <v>76</v>
      </c>
    </row>
    <row r="1199" spans="1:30" x14ac:dyDescent="0.3">
      <c r="A1199" s="4">
        <v>1212</v>
      </c>
      <c r="B1199" s="5">
        <v>1192</v>
      </c>
      <c r="C1199">
        <v>3665</v>
      </c>
      <c r="D1199" t="s">
        <v>2764</v>
      </c>
      <c r="E1199" t="s">
        <v>188</v>
      </c>
      <c r="F1199" t="s">
        <v>20</v>
      </c>
      <c r="G1199" t="s">
        <v>2765</v>
      </c>
      <c r="H1199" t="str">
        <f>"00441598"</f>
        <v>00441598</v>
      </c>
      <c r="I1199">
        <v>0</v>
      </c>
      <c r="J1199">
        <v>0</v>
      </c>
      <c r="N1199">
        <v>0</v>
      </c>
      <c r="O1199">
        <v>4</v>
      </c>
      <c r="P1199">
        <v>0</v>
      </c>
      <c r="Q1199">
        <v>4</v>
      </c>
      <c r="R1199">
        <v>69</v>
      </c>
      <c r="S1199">
        <v>69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69</v>
      </c>
      <c r="AA1199">
        <v>3</v>
      </c>
      <c r="AB1199">
        <v>0</v>
      </c>
      <c r="AD1199">
        <v>76</v>
      </c>
    </row>
    <row r="1200" spans="1:30" x14ac:dyDescent="0.3">
      <c r="A1200" s="4">
        <v>1213</v>
      </c>
      <c r="B1200" s="5">
        <v>1193</v>
      </c>
      <c r="C1200">
        <v>4618</v>
      </c>
      <c r="D1200" t="s">
        <v>2545</v>
      </c>
      <c r="E1200" t="s">
        <v>2766</v>
      </c>
      <c r="F1200" t="s">
        <v>38</v>
      </c>
      <c r="G1200" t="s">
        <v>2767</v>
      </c>
      <c r="H1200" t="str">
        <f>"00089775"</f>
        <v>00089775</v>
      </c>
      <c r="I1200">
        <v>72</v>
      </c>
      <c r="J1200">
        <v>0</v>
      </c>
      <c r="N1200">
        <v>0</v>
      </c>
      <c r="O1200">
        <v>4</v>
      </c>
      <c r="P1200">
        <v>0</v>
      </c>
      <c r="Q1200">
        <v>76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D1200">
        <v>76</v>
      </c>
    </row>
    <row r="1201" spans="1:30" x14ac:dyDescent="0.3">
      <c r="A1201" s="4">
        <v>1214</v>
      </c>
      <c r="B1201" s="5">
        <v>1194</v>
      </c>
      <c r="C1201">
        <v>4842</v>
      </c>
      <c r="D1201" t="s">
        <v>2768</v>
      </c>
      <c r="E1201" t="s">
        <v>37</v>
      </c>
      <c r="F1201" t="s">
        <v>38</v>
      </c>
      <c r="G1201" t="s">
        <v>2769</v>
      </c>
      <c r="H1201" t="str">
        <f>"00648616"</f>
        <v>00648616</v>
      </c>
      <c r="I1201">
        <v>72</v>
      </c>
      <c r="J1201">
        <v>0</v>
      </c>
      <c r="N1201">
        <v>0</v>
      </c>
      <c r="O1201">
        <v>4</v>
      </c>
      <c r="P1201">
        <v>0</v>
      </c>
      <c r="Q1201">
        <v>76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D1201">
        <v>76</v>
      </c>
    </row>
    <row r="1202" spans="1:30" x14ac:dyDescent="0.3">
      <c r="A1202" s="4">
        <v>1215</v>
      </c>
      <c r="B1202" s="5">
        <v>1195</v>
      </c>
      <c r="C1202">
        <v>2145</v>
      </c>
      <c r="D1202" t="s">
        <v>2770</v>
      </c>
      <c r="E1202" t="s">
        <v>29</v>
      </c>
      <c r="F1202" t="s">
        <v>1748</v>
      </c>
      <c r="G1202" t="s">
        <v>2771</v>
      </c>
      <c r="H1202" t="str">
        <f>"00860940"</f>
        <v>00860940</v>
      </c>
      <c r="I1202">
        <v>72</v>
      </c>
      <c r="J1202">
        <v>0</v>
      </c>
      <c r="N1202">
        <v>0</v>
      </c>
      <c r="O1202">
        <v>4</v>
      </c>
      <c r="P1202">
        <v>0</v>
      </c>
      <c r="Q1202">
        <v>76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D1202">
        <v>76</v>
      </c>
    </row>
    <row r="1203" spans="1:30" x14ac:dyDescent="0.3">
      <c r="A1203" s="4">
        <v>1216</v>
      </c>
      <c r="B1203" s="5">
        <v>1196</v>
      </c>
      <c r="C1203">
        <v>577</v>
      </c>
      <c r="D1203" t="s">
        <v>2772</v>
      </c>
      <c r="E1203" t="s">
        <v>132</v>
      </c>
      <c r="F1203" t="s">
        <v>81</v>
      </c>
      <c r="G1203" t="s">
        <v>2773</v>
      </c>
      <c r="H1203" t="str">
        <f>"00379077"</f>
        <v>00379077</v>
      </c>
      <c r="I1203">
        <v>36</v>
      </c>
      <c r="J1203">
        <v>10</v>
      </c>
      <c r="K1203">
        <v>8</v>
      </c>
      <c r="N1203">
        <v>8</v>
      </c>
      <c r="O1203">
        <v>4</v>
      </c>
      <c r="P1203">
        <v>0</v>
      </c>
      <c r="Q1203">
        <v>58</v>
      </c>
      <c r="R1203">
        <v>18</v>
      </c>
      <c r="S1203">
        <v>18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18</v>
      </c>
      <c r="AA1203">
        <v>0</v>
      </c>
      <c r="AB1203">
        <v>0</v>
      </c>
      <c r="AD1203">
        <v>76</v>
      </c>
    </row>
    <row r="1204" spans="1:30" x14ac:dyDescent="0.3">
      <c r="A1204" s="4">
        <v>1217</v>
      </c>
      <c r="B1204" s="5">
        <v>1197</v>
      </c>
      <c r="C1204">
        <v>3208</v>
      </c>
      <c r="D1204" t="s">
        <v>2774</v>
      </c>
      <c r="E1204" t="s">
        <v>2775</v>
      </c>
      <c r="F1204" t="s">
        <v>91</v>
      </c>
      <c r="G1204" t="s">
        <v>2776</v>
      </c>
      <c r="H1204" t="str">
        <f>"00510880"</f>
        <v>00510880</v>
      </c>
      <c r="I1204">
        <v>64.8</v>
      </c>
      <c r="J1204">
        <v>0</v>
      </c>
      <c r="K1204">
        <v>8</v>
      </c>
      <c r="N1204">
        <v>8</v>
      </c>
      <c r="O1204">
        <v>0</v>
      </c>
      <c r="P1204">
        <v>0</v>
      </c>
      <c r="Q1204">
        <v>72.8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3</v>
      </c>
      <c r="AB1204">
        <v>0</v>
      </c>
      <c r="AD1204">
        <v>75.8</v>
      </c>
    </row>
    <row r="1205" spans="1:30" x14ac:dyDescent="0.3">
      <c r="A1205" s="4">
        <v>1218</v>
      </c>
      <c r="B1205" s="5">
        <v>1198</v>
      </c>
      <c r="C1205">
        <v>4773</v>
      </c>
      <c r="D1205" t="s">
        <v>2777</v>
      </c>
      <c r="E1205" t="s">
        <v>2778</v>
      </c>
      <c r="F1205" t="s">
        <v>20</v>
      </c>
      <c r="G1205" t="s">
        <v>2779</v>
      </c>
      <c r="H1205" t="str">
        <f>"201511022064"</f>
        <v>201511022064</v>
      </c>
      <c r="I1205">
        <v>64.8</v>
      </c>
      <c r="J1205">
        <v>0</v>
      </c>
      <c r="M1205">
        <v>4</v>
      </c>
      <c r="N1205">
        <v>4</v>
      </c>
      <c r="O1205">
        <v>4</v>
      </c>
      <c r="P1205">
        <v>0</v>
      </c>
      <c r="Q1205">
        <v>72.8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3</v>
      </c>
      <c r="AB1205">
        <v>0</v>
      </c>
      <c r="AD1205">
        <v>75.8</v>
      </c>
    </row>
    <row r="1206" spans="1:30" x14ac:dyDescent="0.3">
      <c r="A1206" s="4">
        <v>1219</v>
      </c>
      <c r="B1206" s="5">
        <v>1199</v>
      </c>
      <c r="C1206">
        <v>1538</v>
      </c>
      <c r="D1206" t="s">
        <v>2780</v>
      </c>
      <c r="E1206" t="s">
        <v>29</v>
      </c>
      <c r="F1206" t="s">
        <v>238</v>
      </c>
      <c r="G1206" t="s">
        <v>2781</v>
      </c>
      <c r="H1206" t="str">
        <f>"00756384"</f>
        <v>00756384</v>
      </c>
      <c r="I1206">
        <v>28.8</v>
      </c>
      <c r="J1206">
        <v>10</v>
      </c>
      <c r="N1206">
        <v>0</v>
      </c>
      <c r="O1206">
        <v>4</v>
      </c>
      <c r="P1206">
        <v>0</v>
      </c>
      <c r="Q1206">
        <v>42.8</v>
      </c>
      <c r="R1206">
        <v>33</v>
      </c>
      <c r="S1206">
        <v>33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33</v>
      </c>
      <c r="AA1206">
        <v>0</v>
      </c>
      <c r="AB1206">
        <v>0</v>
      </c>
      <c r="AD1206">
        <v>75.8</v>
      </c>
    </row>
    <row r="1207" spans="1:30" x14ac:dyDescent="0.3">
      <c r="A1207" s="4">
        <v>1220</v>
      </c>
      <c r="B1207" s="5">
        <v>1200</v>
      </c>
      <c r="C1207">
        <v>640</v>
      </c>
      <c r="D1207" t="s">
        <v>2782</v>
      </c>
      <c r="E1207" t="s">
        <v>29</v>
      </c>
      <c r="F1207" t="s">
        <v>17</v>
      </c>
      <c r="G1207" t="s">
        <v>2783</v>
      </c>
      <c r="H1207" t="str">
        <f>"201510001306"</f>
        <v>201510001306</v>
      </c>
      <c r="I1207">
        <v>22.68</v>
      </c>
      <c r="J1207">
        <v>10</v>
      </c>
      <c r="N1207">
        <v>0</v>
      </c>
      <c r="O1207">
        <v>4</v>
      </c>
      <c r="P1207">
        <v>0</v>
      </c>
      <c r="Q1207">
        <v>36.68</v>
      </c>
      <c r="R1207">
        <v>30</v>
      </c>
      <c r="S1207">
        <v>30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30</v>
      </c>
      <c r="AA1207">
        <v>9</v>
      </c>
      <c r="AB1207">
        <v>0</v>
      </c>
      <c r="AD1207">
        <v>75.680000000000007</v>
      </c>
    </row>
    <row r="1208" spans="1:30" x14ac:dyDescent="0.3">
      <c r="A1208" s="4">
        <v>1221</v>
      </c>
      <c r="B1208" s="5">
        <v>1201</v>
      </c>
      <c r="C1208">
        <v>608</v>
      </c>
      <c r="D1208" t="s">
        <v>2784</v>
      </c>
      <c r="E1208" t="s">
        <v>213</v>
      </c>
      <c r="F1208" t="s">
        <v>158</v>
      </c>
      <c r="G1208" t="s">
        <v>2785</v>
      </c>
      <c r="H1208" t="str">
        <f>"00019007"</f>
        <v>00019007</v>
      </c>
      <c r="I1208">
        <v>34.68</v>
      </c>
      <c r="J1208">
        <v>10</v>
      </c>
      <c r="M1208">
        <v>4</v>
      </c>
      <c r="N1208">
        <v>4</v>
      </c>
      <c r="O1208">
        <v>4</v>
      </c>
      <c r="P1208">
        <v>2</v>
      </c>
      <c r="Q1208">
        <v>54.68</v>
      </c>
      <c r="R1208">
        <v>21</v>
      </c>
      <c r="S1208">
        <v>21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21</v>
      </c>
      <c r="AA1208">
        <v>0</v>
      </c>
      <c r="AB1208">
        <v>0</v>
      </c>
      <c r="AD1208">
        <v>75.680000000000007</v>
      </c>
    </row>
    <row r="1209" spans="1:30" x14ac:dyDescent="0.3">
      <c r="A1209" s="4">
        <v>1222</v>
      </c>
      <c r="B1209" s="5">
        <v>1202</v>
      </c>
      <c r="C1209">
        <v>2236</v>
      </c>
      <c r="D1209" t="s">
        <v>2786</v>
      </c>
      <c r="E1209" t="s">
        <v>132</v>
      </c>
      <c r="F1209" t="s">
        <v>38</v>
      </c>
      <c r="G1209" t="s">
        <v>2787</v>
      </c>
      <c r="H1209" t="str">
        <f>"00521489"</f>
        <v>00521489</v>
      </c>
      <c r="I1209">
        <v>27.68</v>
      </c>
      <c r="J1209">
        <v>10</v>
      </c>
      <c r="N1209">
        <v>0</v>
      </c>
      <c r="O1209">
        <v>4</v>
      </c>
      <c r="P1209">
        <v>0</v>
      </c>
      <c r="Q1209">
        <v>41.68</v>
      </c>
      <c r="R1209">
        <v>34</v>
      </c>
      <c r="S1209">
        <v>34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34</v>
      </c>
      <c r="AA1209">
        <v>0</v>
      </c>
      <c r="AB1209">
        <v>0</v>
      </c>
      <c r="AD1209">
        <v>75.680000000000007</v>
      </c>
    </row>
    <row r="1210" spans="1:30" x14ac:dyDescent="0.3">
      <c r="A1210" s="4">
        <v>1223</v>
      </c>
      <c r="B1210" s="5">
        <v>1203</v>
      </c>
      <c r="C1210">
        <v>381</v>
      </c>
      <c r="D1210" t="s">
        <v>138</v>
      </c>
      <c r="E1210" t="s">
        <v>479</v>
      </c>
      <c r="F1210" t="s">
        <v>259</v>
      </c>
      <c r="G1210" t="s">
        <v>2788</v>
      </c>
      <c r="H1210" t="str">
        <f>"00475570"</f>
        <v>00475570</v>
      </c>
      <c r="I1210">
        <v>57.6</v>
      </c>
      <c r="J1210">
        <v>0</v>
      </c>
      <c r="K1210">
        <v>8</v>
      </c>
      <c r="M1210">
        <v>4</v>
      </c>
      <c r="N1210">
        <v>12</v>
      </c>
      <c r="O1210">
        <v>4</v>
      </c>
      <c r="P1210">
        <v>2</v>
      </c>
      <c r="Q1210">
        <v>75.599999999999994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D1210">
        <v>75.599999999999994</v>
      </c>
    </row>
    <row r="1211" spans="1:30" x14ac:dyDescent="0.3">
      <c r="A1211" s="4">
        <v>1224</v>
      </c>
      <c r="B1211" s="5">
        <v>1204</v>
      </c>
      <c r="C1211">
        <v>1625</v>
      </c>
      <c r="D1211" t="s">
        <v>2789</v>
      </c>
      <c r="E1211" t="s">
        <v>54</v>
      </c>
      <c r="F1211" t="s">
        <v>117</v>
      </c>
      <c r="G1211" t="s">
        <v>2790</v>
      </c>
      <c r="H1211" t="str">
        <f>"00186454"</f>
        <v>00186454</v>
      </c>
      <c r="I1211">
        <v>57.6</v>
      </c>
      <c r="J1211">
        <v>0</v>
      </c>
      <c r="M1211">
        <v>4</v>
      </c>
      <c r="N1211">
        <v>4</v>
      </c>
      <c r="O1211">
        <v>4</v>
      </c>
      <c r="P1211">
        <v>2</v>
      </c>
      <c r="Q1211">
        <v>67.599999999999994</v>
      </c>
      <c r="R1211">
        <v>8</v>
      </c>
      <c r="S1211">
        <v>8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8</v>
      </c>
      <c r="AA1211">
        <v>0</v>
      </c>
      <c r="AB1211">
        <v>0</v>
      </c>
      <c r="AD1211">
        <v>75.599999999999994</v>
      </c>
    </row>
    <row r="1212" spans="1:30" x14ac:dyDescent="0.3">
      <c r="A1212" s="4">
        <v>1225</v>
      </c>
      <c r="B1212" s="5">
        <v>1205</v>
      </c>
      <c r="C1212">
        <v>550</v>
      </c>
      <c r="D1212" t="s">
        <v>2791</v>
      </c>
      <c r="E1212" t="s">
        <v>2792</v>
      </c>
      <c r="F1212" t="s">
        <v>17</v>
      </c>
      <c r="G1212" t="s">
        <v>2793</v>
      </c>
      <c r="H1212" t="str">
        <f>"00501173"</f>
        <v>00501173</v>
      </c>
      <c r="I1212">
        <v>29.6</v>
      </c>
      <c r="J1212">
        <v>0</v>
      </c>
      <c r="N1212">
        <v>0</v>
      </c>
      <c r="O1212">
        <v>4</v>
      </c>
      <c r="P1212">
        <v>0</v>
      </c>
      <c r="Q1212">
        <v>33.6</v>
      </c>
      <c r="R1212">
        <v>42</v>
      </c>
      <c r="S1212">
        <v>42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42</v>
      </c>
      <c r="AA1212">
        <v>0</v>
      </c>
      <c r="AB1212">
        <v>0</v>
      </c>
      <c r="AD1212">
        <v>75.599999999999994</v>
      </c>
    </row>
    <row r="1213" spans="1:30" x14ac:dyDescent="0.3">
      <c r="A1213" s="4">
        <v>1226</v>
      </c>
      <c r="B1213" s="5">
        <v>1206</v>
      </c>
      <c r="C1213">
        <v>1213</v>
      </c>
      <c r="D1213" t="s">
        <v>2794</v>
      </c>
      <c r="E1213" t="s">
        <v>2795</v>
      </c>
      <c r="F1213" t="s">
        <v>20</v>
      </c>
      <c r="G1213" t="s">
        <v>2796</v>
      </c>
      <c r="H1213" t="str">
        <f>"00481842"</f>
        <v>00481842</v>
      </c>
      <c r="I1213">
        <v>21.44</v>
      </c>
      <c r="J1213">
        <v>10</v>
      </c>
      <c r="N1213">
        <v>0</v>
      </c>
      <c r="O1213">
        <v>4</v>
      </c>
      <c r="P1213">
        <v>2</v>
      </c>
      <c r="Q1213">
        <v>37.44</v>
      </c>
      <c r="R1213">
        <v>14</v>
      </c>
      <c r="S1213">
        <v>14</v>
      </c>
      <c r="T1213">
        <v>9</v>
      </c>
      <c r="U1213">
        <v>18</v>
      </c>
      <c r="V1213">
        <v>0</v>
      </c>
      <c r="W1213">
        <v>0</v>
      </c>
      <c r="X1213">
        <v>0</v>
      </c>
      <c r="Y1213">
        <v>0</v>
      </c>
      <c r="Z1213">
        <v>32</v>
      </c>
      <c r="AA1213">
        <v>6</v>
      </c>
      <c r="AB1213">
        <v>0</v>
      </c>
      <c r="AD1213">
        <v>75.44</v>
      </c>
    </row>
    <row r="1214" spans="1:30" x14ac:dyDescent="0.3">
      <c r="A1214" s="4">
        <v>1227</v>
      </c>
      <c r="B1214" s="5">
        <v>1207</v>
      </c>
      <c r="C1214">
        <v>1398</v>
      </c>
      <c r="D1214" t="s">
        <v>2797</v>
      </c>
      <c r="E1214" t="s">
        <v>88</v>
      </c>
      <c r="F1214" t="s">
        <v>81</v>
      </c>
      <c r="G1214" t="s">
        <v>2798</v>
      </c>
      <c r="H1214" t="str">
        <f>"00498189"</f>
        <v>00498189</v>
      </c>
      <c r="I1214">
        <v>14.4</v>
      </c>
      <c r="J1214">
        <v>0</v>
      </c>
      <c r="M1214">
        <v>4</v>
      </c>
      <c r="N1214">
        <v>4</v>
      </c>
      <c r="O1214">
        <v>4</v>
      </c>
      <c r="P1214">
        <v>2</v>
      </c>
      <c r="Q1214">
        <v>24.4</v>
      </c>
      <c r="R1214">
        <v>51</v>
      </c>
      <c r="S1214">
        <v>51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51</v>
      </c>
      <c r="AA1214">
        <v>0</v>
      </c>
      <c r="AB1214">
        <v>0</v>
      </c>
      <c r="AD1214">
        <v>75.400000000000006</v>
      </c>
    </row>
    <row r="1215" spans="1:30" x14ac:dyDescent="0.3">
      <c r="A1215" s="4">
        <v>1228</v>
      </c>
      <c r="B1215" s="5">
        <v>1208</v>
      </c>
      <c r="C1215">
        <v>2498</v>
      </c>
      <c r="D1215" t="s">
        <v>1703</v>
      </c>
      <c r="E1215" t="s">
        <v>29</v>
      </c>
      <c r="F1215" t="s">
        <v>243</v>
      </c>
      <c r="G1215" t="s">
        <v>2799</v>
      </c>
      <c r="H1215" t="str">
        <f>"00863091"</f>
        <v>00863091</v>
      </c>
      <c r="I1215">
        <v>37.6</v>
      </c>
      <c r="J1215">
        <v>10</v>
      </c>
      <c r="N1215">
        <v>0</v>
      </c>
      <c r="O1215">
        <v>0</v>
      </c>
      <c r="P1215">
        <v>0</v>
      </c>
      <c r="Q1215">
        <v>47.6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27.6</v>
      </c>
      <c r="AD1215">
        <v>75.2</v>
      </c>
    </row>
    <row r="1216" spans="1:30" x14ac:dyDescent="0.3">
      <c r="A1216" s="4">
        <v>1229</v>
      </c>
      <c r="B1216" s="5">
        <v>1209</v>
      </c>
      <c r="C1216">
        <v>422</v>
      </c>
      <c r="D1216" t="s">
        <v>2800</v>
      </c>
      <c r="E1216" t="s">
        <v>2801</v>
      </c>
      <c r="F1216" t="s">
        <v>2802</v>
      </c>
      <c r="G1216" t="s">
        <v>2803</v>
      </c>
      <c r="H1216" t="str">
        <f>"201603000554"</f>
        <v>201603000554</v>
      </c>
      <c r="I1216">
        <v>7.2</v>
      </c>
      <c r="J1216">
        <v>0</v>
      </c>
      <c r="K1216">
        <v>8</v>
      </c>
      <c r="N1216">
        <v>8</v>
      </c>
      <c r="O1216">
        <v>4</v>
      </c>
      <c r="P1216">
        <v>2</v>
      </c>
      <c r="Q1216">
        <v>21.2</v>
      </c>
      <c r="R1216">
        <v>25</v>
      </c>
      <c r="S1216">
        <v>25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25</v>
      </c>
      <c r="AA1216">
        <v>9</v>
      </c>
      <c r="AB1216">
        <v>20</v>
      </c>
      <c r="AD1216">
        <v>75.2</v>
      </c>
    </row>
    <row r="1217" spans="1:30" x14ac:dyDescent="0.3">
      <c r="A1217" s="4">
        <v>1230</v>
      </c>
      <c r="B1217" s="5">
        <v>1210</v>
      </c>
      <c r="C1217">
        <v>4728</v>
      </c>
      <c r="D1217" t="s">
        <v>2804</v>
      </c>
      <c r="E1217" t="s">
        <v>29</v>
      </c>
      <c r="F1217" t="s">
        <v>1854</v>
      </c>
      <c r="G1217" t="s">
        <v>2805</v>
      </c>
      <c r="H1217" t="str">
        <f>"00528360"</f>
        <v>00528360</v>
      </c>
      <c r="I1217">
        <v>7.2</v>
      </c>
      <c r="J1217">
        <v>0</v>
      </c>
      <c r="M1217">
        <v>4</v>
      </c>
      <c r="N1217">
        <v>4</v>
      </c>
      <c r="O1217">
        <v>4</v>
      </c>
      <c r="P1217">
        <v>2</v>
      </c>
      <c r="Q1217">
        <v>17.2</v>
      </c>
      <c r="R1217">
        <v>46</v>
      </c>
      <c r="S1217">
        <v>46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46</v>
      </c>
      <c r="AA1217">
        <v>12</v>
      </c>
      <c r="AB1217">
        <v>0</v>
      </c>
      <c r="AD1217">
        <v>75.2</v>
      </c>
    </row>
    <row r="1218" spans="1:30" x14ac:dyDescent="0.3">
      <c r="A1218" s="4">
        <v>1231</v>
      </c>
      <c r="B1218" s="5">
        <v>1211</v>
      </c>
      <c r="C1218">
        <v>3016</v>
      </c>
      <c r="D1218" t="s">
        <v>2806</v>
      </c>
      <c r="E1218" t="s">
        <v>594</v>
      </c>
      <c r="F1218" t="s">
        <v>20</v>
      </c>
      <c r="G1218" t="s">
        <v>2807</v>
      </c>
      <c r="H1218" t="str">
        <f>"00532180"</f>
        <v>00532180</v>
      </c>
      <c r="I1218">
        <v>43.2</v>
      </c>
      <c r="J1218">
        <v>10</v>
      </c>
      <c r="M1218">
        <v>4</v>
      </c>
      <c r="N1218">
        <v>4</v>
      </c>
      <c r="O1218">
        <v>4</v>
      </c>
      <c r="P1218">
        <v>0</v>
      </c>
      <c r="Q1218">
        <v>61.2</v>
      </c>
      <c r="R1218">
        <v>8</v>
      </c>
      <c r="S1218">
        <v>8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8</v>
      </c>
      <c r="AA1218">
        <v>6</v>
      </c>
      <c r="AB1218">
        <v>0</v>
      </c>
      <c r="AD1218">
        <v>75.2</v>
      </c>
    </row>
    <row r="1219" spans="1:30" x14ac:dyDescent="0.3">
      <c r="A1219" s="4">
        <v>1232</v>
      </c>
      <c r="B1219" s="5">
        <v>1212</v>
      </c>
      <c r="C1219">
        <v>915</v>
      </c>
      <c r="D1219" t="s">
        <v>2808</v>
      </c>
      <c r="E1219" t="s">
        <v>26</v>
      </c>
      <c r="F1219" t="s">
        <v>17</v>
      </c>
      <c r="G1219" t="s">
        <v>2809</v>
      </c>
      <c r="H1219" t="str">
        <f>"00515214"</f>
        <v>00515214</v>
      </c>
      <c r="I1219">
        <v>43.2</v>
      </c>
      <c r="J1219">
        <v>0</v>
      </c>
      <c r="N1219">
        <v>0</v>
      </c>
      <c r="O1219">
        <v>0</v>
      </c>
      <c r="P1219">
        <v>2</v>
      </c>
      <c r="Q1219">
        <v>45.2</v>
      </c>
      <c r="R1219">
        <v>30</v>
      </c>
      <c r="S1219">
        <v>30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30</v>
      </c>
      <c r="AA1219">
        <v>0</v>
      </c>
      <c r="AB1219">
        <v>0</v>
      </c>
      <c r="AD1219">
        <v>75.2</v>
      </c>
    </row>
    <row r="1220" spans="1:30" x14ac:dyDescent="0.3">
      <c r="A1220" s="4">
        <v>1233</v>
      </c>
      <c r="B1220" s="5">
        <v>1213</v>
      </c>
      <c r="C1220">
        <v>2355</v>
      </c>
      <c r="D1220" t="s">
        <v>2810</v>
      </c>
      <c r="E1220" t="s">
        <v>2811</v>
      </c>
      <c r="F1220" t="s">
        <v>68</v>
      </c>
      <c r="G1220" t="s">
        <v>2812</v>
      </c>
      <c r="H1220" t="str">
        <f>"00492832"</f>
        <v>00492832</v>
      </c>
      <c r="I1220">
        <v>7.2</v>
      </c>
      <c r="J1220">
        <v>0</v>
      </c>
      <c r="L1220">
        <v>6</v>
      </c>
      <c r="N1220">
        <v>6</v>
      </c>
      <c r="O1220">
        <v>4</v>
      </c>
      <c r="P1220">
        <v>2</v>
      </c>
      <c r="Q1220">
        <v>19.2</v>
      </c>
      <c r="R1220">
        <v>56</v>
      </c>
      <c r="S1220">
        <v>56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56</v>
      </c>
      <c r="AA1220">
        <v>0</v>
      </c>
      <c r="AB1220">
        <v>0</v>
      </c>
      <c r="AD1220">
        <v>75.2</v>
      </c>
    </row>
    <row r="1221" spans="1:30" x14ac:dyDescent="0.3">
      <c r="A1221" s="4">
        <v>1234</v>
      </c>
      <c r="B1221" s="5">
        <v>1214</v>
      </c>
      <c r="C1221">
        <v>3783</v>
      </c>
      <c r="D1221" t="s">
        <v>1401</v>
      </c>
      <c r="E1221" t="s">
        <v>29</v>
      </c>
      <c r="F1221" t="s">
        <v>68</v>
      </c>
      <c r="G1221" t="s">
        <v>2813</v>
      </c>
      <c r="H1221" t="str">
        <f>"00532157"</f>
        <v>00532157</v>
      </c>
      <c r="I1221">
        <v>39.159999999999997</v>
      </c>
      <c r="J1221">
        <v>0</v>
      </c>
      <c r="M1221">
        <v>4</v>
      </c>
      <c r="N1221">
        <v>4</v>
      </c>
      <c r="O1221">
        <v>4</v>
      </c>
      <c r="P1221">
        <v>2</v>
      </c>
      <c r="Q1221">
        <v>49.16</v>
      </c>
      <c r="R1221">
        <v>17</v>
      </c>
      <c r="S1221">
        <v>17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17</v>
      </c>
      <c r="AA1221">
        <v>9</v>
      </c>
      <c r="AB1221">
        <v>0</v>
      </c>
      <c r="AD1221">
        <v>75.16</v>
      </c>
    </row>
    <row r="1222" spans="1:30" x14ac:dyDescent="0.3">
      <c r="A1222" s="4">
        <v>1235</v>
      </c>
      <c r="B1222" s="5">
        <v>1215</v>
      </c>
      <c r="C1222">
        <v>3924</v>
      </c>
      <c r="D1222" t="s">
        <v>2814</v>
      </c>
      <c r="E1222" t="s">
        <v>29</v>
      </c>
      <c r="F1222" t="s">
        <v>328</v>
      </c>
      <c r="G1222" t="s">
        <v>2815</v>
      </c>
      <c r="H1222" t="str">
        <f>"00502111"</f>
        <v>00502111</v>
      </c>
      <c r="I1222">
        <v>36</v>
      </c>
      <c r="J1222">
        <v>0</v>
      </c>
      <c r="M1222">
        <v>4</v>
      </c>
      <c r="N1222">
        <v>4</v>
      </c>
      <c r="O1222">
        <v>4</v>
      </c>
      <c r="P1222">
        <v>2</v>
      </c>
      <c r="Q1222">
        <v>46</v>
      </c>
      <c r="R1222">
        <v>23</v>
      </c>
      <c r="S1222">
        <v>23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23</v>
      </c>
      <c r="AA1222">
        <v>6</v>
      </c>
      <c r="AB1222">
        <v>0</v>
      </c>
      <c r="AD1222">
        <v>75</v>
      </c>
    </row>
    <row r="1223" spans="1:30" x14ac:dyDescent="0.3">
      <c r="A1223" s="4">
        <v>1236</v>
      </c>
      <c r="B1223" s="5">
        <v>1216</v>
      </c>
      <c r="C1223">
        <v>3159</v>
      </c>
      <c r="D1223" t="s">
        <v>2816</v>
      </c>
      <c r="E1223" t="s">
        <v>29</v>
      </c>
      <c r="F1223" t="s">
        <v>2017</v>
      </c>
      <c r="G1223" t="s">
        <v>2817</v>
      </c>
      <c r="H1223" t="str">
        <f>"200801004635"</f>
        <v>200801004635</v>
      </c>
      <c r="I1223">
        <v>40</v>
      </c>
      <c r="J1223">
        <v>10</v>
      </c>
      <c r="K1223">
        <v>8</v>
      </c>
      <c r="N1223">
        <v>8</v>
      </c>
      <c r="O1223">
        <v>4</v>
      </c>
      <c r="P1223">
        <v>2</v>
      </c>
      <c r="Q1223">
        <v>64</v>
      </c>
      <c r="R1223">
        <v>8</v>
      </c>
      <c r="S1223">
        <v>8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8</v>
      </c>
      <c r="AA1223">
        <v>3</v>
      </c>
      <c r="AB1223">
        <v>0</v>
      </c>
      <c r="AD1223">
        <v>75</v>
      </c>
    </row>
    <row r="1224" spans="1:30" x14ac:dyDescent="0.3">
      <c r="A1224" s="4">
        <v>1237</v>
      </c>
      <c r="B1224" s="5">
        <v>1217</v>
      </c>
      <c r="C1224">
        <v>1692</v>
      </c>
      <c r="D1224" t="s">
        <v>2818</v>
      </c>
      <c r="E1224" t="s">
        <v>355</v>
      </c>
      <c r="F1224" t="s">
        <v>68</v>
      </c>
      <c r="G1224" t="s">
        <v>2819</v>
      </c>
      <c r="H1224" t="str">
        <f>"00037113"</f>
        <v>00037113</v>
      </c>
      <c r="I1224">
        <v>28</v>
      </c>
      <c r="J1224">
        <v>10</v>
      </c>
      <c r="N1224">
        <v>0</v>
      </c>
      <c r="O1224">
        <v>4</v>
      </c>
      <c r="P1224">
        <v>2</v>
      </c>
      <c r="Q1224">
        <v>44</v>
      </c>
      <c r="R1224">
        <v>28</v>
      </c>
      <c r="S1224">
        <v>28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28</v>
      </c>
      <c r="AA1224">
        <v>3</v>
      </c>
      <c r="AB1224">
        <v>0</v>
      </c>
      <c r="AD1224">
        <v>75</v>
      </c>
    </row>
    <row r="1225" spans="1:30" x14ac:dyDescent="0.3">
      <c r="A1225" s="4">
        <v>1238</v>
      </c>
      <c r="B1225" s="5">
        <v>1218</v>
      </c>
      <c r="C1225">
        <v>392</v>
      </c>
      <c r="D1225" t="s">
        <v>2820</v>
      </c>
      <c r="E1225" t="s">
        <v>342</v>
      </c>
      <c r="F1225" t="s">
        <v>17</v>
      </c>
      <c r="G1225" t="s">
        <v>2821</v>
      </c>
      <c r="H1225" t="str">
        <f>"00257415"</f>
        <v>00257415</v>
      </c>
      <c r="I1225">
        <v>40</v>
      </c>
      <c r="J1225">
        <v>10</v>
      </c>
      <c r="M1225">
        <v>4</v>
      </c>
      <c r="N1225">
        <v>4</v>
      </c>
      <c r="O1225">
        <v>4</v>
      </c>
      <c r="P1225">
        <v>0</v>
      </c>
      <c r="Q1225">
        <v>58</v>
      </c>
      <c r="R1225">
        <v>17</v>
      </c>
      <c r="S1225">
        <v>17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17</v>
      </c>
      <c r="AA1225">
        <v>0</v>
      </c>
      <c r="AB1225">
        <v>0</v>
      </c>
      <c r="AD1225">
        <v>75</v>
      </c>
    </row>
    <row r="1226" spans="1:30" x14ac:dyDescent="0.3">
      <c r="A1226" s="4">
        <v>1239</v>
      </c>
      <c r="B1226" s="5">
        <v>1219</v>
      </c>
      <c r="C1226">
        <v>419</v>
      </c>
      <c r="D1226" t="s">
        <v>2822</v>
      </c>
      <c r="E1226" t="s">
        <v>258</v>
      </c>
      <c r="F1226" t="s">
        <v>52</v>
      </c>
      <c r="G1226" t="s">
        <v>2823</v>
      </c>
      <c r="H1226" t="str">
        <f>"00538969"</f>
        <v>00538969</v>
      </c>
      <c r="I1226">
        <v>28.8</v>
      </c>
      <c r="J1226">
        <v>10</v>
      </c>
      <c r="N1226">
        <v>0</v>
      </c>
      <c r="O1226">
        <v>4</v>
      </c>
      <c r="P1226">
        <v>0</v>
      </c>
      <c r="Q1226">
        <v>42.8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32</v>
      </c>
      <c r="AD1226">
        <v>74.8</v>
      </c>
    </row>
    <row r="1227" spans="1:30" x14ac:dyDescent="0.3">
      <c r="A1227" s="4">
        <v>1240</v>
      </c>
      <c r="B1227" s="5">
        <v>1220</v>
      </c>
      <c r="C1227">
        <v>112</v>
      </c>
      <c r="D1227" t="s">
        <v>2824</v>
      </c>
      <c r="E1227" t="s">
        <v>516</v>
      </c>
      <c r="F1227" t="s">
        <v>117</v>
      </c>
      <c r="G1227" t="s">
        <v>2825</v>
      </c>
      <c r="H1227" t="str">
        <f>"00714296"</f>
        <v>00714296</v>
      </c>
      <c r="I1227">
        <v>64.8</v>
      </c>
      <c r="J1227">
        <v>0</v>
      </c>
      <c r="N1227">
        <v>0</v>
      </c>
      <c r="O1227">
        <v>4</v>
      </c>
      <c r="P1227">
        <v>0</v>
      </c>
      <c r="Q1227">
        <v>68.8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6</v>
      </c>
      <c r="AB1227">
        <v>0</v>
      </c>
      <c r="AD1227">
        <v>74.8</v>
      </c>
    </row>
    <row r="1228" spans="1:30" x14ac:dyDescent="0.3">
      <c r="A1228" s="4">
        <v>1241</v>
      </c>
      <c r="B1228" s="5">
        <v>1221</v>
      </c>
      <c r="C1228">
        <v>3660</v>
      </c>
      <c r="D1228" t="s">
        <v>2826</v>
      </c>
      <c r="E1228" t="s">
        <v>2827</v>
      </c>
      <c r="F1228" t="s">
        <v>2828</v>
      </c>
      <c r="G1228" t="s">
        <v>2829</v>
      </c>
      <c r="H1228" t="str">
        <f>"00552370"</f>
        <v>00552370</v>
      </c>
      <c r="I1228">
        <v>64.8</v>
      </c>
      <c r="J1228">
        <v>0</v>
      </c>
      <c r="N1228">
        <v>0</v>
      </c>
      <c r="O1228">
        <v>4</v>
      </c>
      <c r="P1228">
        <v>0</v>
      </c>
      <c r="Q1228">
        <v>68.8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6</v>
      </c>
      <c r="AB1228">
        <v>0</v>
      </c>
      <c r="AD1228">
        <v>74.8</v>
      </c>
    </row>
    <row r="1229" spans="1:30" x14ac:dyDescent="0.3">
      <c r="A1229" s="4">
        <v>1242</v>
      </c>
      <c r="B1229" s="5">
        <v>1222</v>
      </c>
      <c r="C1229">
        <v>4441</v>
      </c>
      <c r="D1229" t="s">
        <v>932</v>
      </c>
      <c r="E1229" t="s">
        <v>182</v>
      </c>
      <c r="F1229" t="s">
        <v>2830</v>
      </c>
      <c r="G1229" t="s">
        <v>2831</v>
      </c>
      <c r="H1229" t="str">
        <f>"00759041"</f>
        <v>00759041</v>
      </c>
      <c r="I1229">
        <v>64.8</v>
      </c>
      <c r="J1229">
        <v>0</v>
      </c>
      <c r="N1229">
        <v>0</v>
      </c>
      <c r="O1229">
        <v>4</v>
      </c>
      <c r="P1229">
        <v>0</v>
      </c>
      <c r="Q1229">
        <v>68.8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6</v>
      </c>
      <c r="AB1229">
        <v>0</v>
      </c>
      <c r="AD1229">
        <v>74.8</v>
      </c>
    </row>
    <row r="1230" spans="1:30" x14ac:dyDescent="0.3">
      <c r="A1230" s="4">
        <v>1243</v>
      </c>
      <c r="B1230" s="5">
        <v>1223</v>
      </c>
      <c r="C1230">
        <v>1778</v>
      </c>
      <c r="D1230" t="s">
        <v>2832</v>
      </c>
      <c r="E1230" t="s">
        <v>219</v>
      </c>
      <c r="F1230" t="s">
        <v>2833</v>
      </c>
      <c r="G1230" t="s">
        <v>2834</v>
      </c>
      <c r="H1230" t="str">
        <f>"00475543"</f>
        <v>00475543</v>
      </c>
      <c r="I1230">
        <v>17.8</v>
      </c>
      <c r="J1230">
        <v>0</v>
      </c>
      <c r="N1230">
        <v>0</v>
      </c>
      <c r="O1230">
        <v>4</v>
      </c>
      <c r="P1230">
        <v>0</v>
      </c>
      <c r="Q1230">
        <v>21.8</v>
      </c>
      <c r="R1230">
        <v>50</v>
      </c>
      <c r="S1230">
        <v>50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50</v>
      </c>
      <c r="AA1230">
        <v>3</v>
      </c>
      <c r="AB1230">
        <v>0</v>
      </c>
      <c r="AD1230">
        <v>74.8</v>
      </c>
    </row>
    <row r="1231" spans="1:30" x14ac:dyDescent="0.3">
      <c r="A1231" s="4">
        <v>1244</v>
      </c>
      <c r="B1231" s="5">
        <v>1224</v>
      </c>
      <c r="C1231">
        <v>2471</v>
      </c>
      <c r="D1231" t="s">
        <v>2835</v>
      </c>
      <c r="E1231" t="s">
        <v>550</v>
      </c>
      <c r="F1231" t="s">
        <v>30</v>
      </c>
      <c r="G1231" t="s">
        <v>2836</v>
      </c>
      <c r="H1231" t="str">
        <f>"201502002139"</f>
        <v>201502002139</v>
      </c>
      <c r="I1231">
        <v>64.8</v>
      </c>
      <c r="J1231">
        <v>0</v>
      </c>
      <c r="M1231">
        <v>4</v>
      </c>
      <c r="N1231">
        <v>4</v>
      </c>
      <c r="O1231">
        <v>4</v>
      </c>
      <c r="P1231">
        <v>2</v>
      </c>
      <c r="Q1231">
        <v>74.8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D1231">
        <v>74.8</v>
      </c>
    </row>
    <row r="1232" spans="1:30" x14ac:dyDescent="0.3">
      <c r="A1232" s="4">
        <v>1245</v>
      </c>
      <c r="B1232" s="5">
        <v>1225</v>
      </c>
      <c r="C1232">
        <v>3144</v>
      </c>
      <c r="D1232" t="s">
        <v>2837</v>
      </c>
      <c r="E1232" t="s">
        <v>2838</v>
      </c>
      <c r="F1232" t="s">
        <v>81</v>
      </c>
      <c r="G1232" t="s">
        <v>2839</v>
      </c>
      <c r="H1232" t="str">
        <f>"00466015"</f>
        <v>00466015</v>
      </c>
      <c r="I1232">
        <v>64.8</v>
      </c>
      <c r="J1232">
        <v>0</v>
      </c>
      <c r="M1232">
        <v>4</v>
      </c>
      <c r="N1232">
        <v>4</v>
      </c>
      <c r="O1232">
        <v>4</v>
      </c>
      <c r="P1232">
        <v>2</v>
      </c>
      <c r="Q1232">
        <v>74.8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D1232">
        <v>74.8</v>
      </c>
    </row>
    <row r="1233" spans="1:30" x14ac:dyDescent="0.3">
      <c r="A1233" s="4">
        <v>1246</v>
      </c>
      <c r="B1233" s="5">
        <v>1226</v>
      </c>
      <c r="C1233">
        <v>3500</v>
      </c>
      <c r="D1233" t="s">
        <v>2840</v>
      </c>
      <c r="E1233" t="s">
        <v>2841</v>
      </c>
      <c r="F1233" t="s">
        <v>190</v>
      </c>
      <c r="G1233" t="s">
        <v>2842</v>
      </c>
      <c r="H1233" t="str">
        <f>"00862999"</f>
        <v>00862999</v>
      </c>
      <c r="I1233">
        <v>64.8</v>
      </c>
      <c r="J1233">
        <v>0</v>
      </c>
      <c r="M1233">
        <v>4</v>
      </c>
      <c r="N1233">
        <v>4</v>
      </c>
      <c r="O1233">
        <v>4</v>
      </c>
      <c r="P1233">
        <v>2</v>
      </c>
      <c r="Q1233">
        <v>74.8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D1233">
        <v>74.8</v>
      </c>
    </row>
    <row r="1234" spans="1:30" x14ac:dyDescent="0.3">
      <c r="A1234" s="4">
        <v>1247</v>
      </c>
      <c r="B1234" s="5">
        <v>1227</v>
      </c>
      <c r="C1234">
        <v>3963</v>
      </c>
      <c r="D1234" t="s">
        <v>2416</v>
      </c>
      <c r="E1234" t="s">
        <v>2843</v>
      </c>
      <c r="F1234" t="s">
        <v>136</v>
      </c>
      <c r="G1234" t="s">
        <v>2844</v>
      </c>
      <c r="H1234" t="str">
        <f>"00293500"</f>
        <v>00293500</v>
      </c>
      <c r="I1234">
        <v>64.8</v>
      </c>
      <c r="J1234">
        <v>10</v>
      </c>
      <c r="N1234">
        <v>0</v>
      </c>
      <c r="O1234">
        <v>0</v>
      </c>
      <c r="P1234">
        <v>0</v>
      </c>
      <c r="Q1234">
        <v>74.8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D1234">
        <v>74.8</v>
      </c>
    </row>
    <row r="1235" spans="1:30" x14ac:dyDescent="0.3">
      <c r="A1235" s="4">
        <v>1248</v>
      </c>
      <c r="B1235" s="5">
        <v>1228</v>
      </c>
      <c r="C1235">
        <v>3373</v>
      </c>
      <c r="D1235" t="s">
        <v>2845</v>
      </c>
      <c r="E1235" t="s">
        <v>54</v>
      </c>
      <c r="F1235" t="s">
        <v>30</v>
      </c>
      <c r="G1235" t="s">
        <v>2846</v>
      </c>
      <c r="H1235" t="str">
        <f>"00129796"</f>
        <v>00129796</v>
      </c>
      <c r="I1235">
        <v>28.8</v>
      </c>
      <c r="J1235">
        <v>0</v>
      </c>
      <c r="M1235">
        <v>4</v>
      </c>
      <c r="N1235">
        <v>4</v>
      </c>
      <c r="O1235">
        <v>4</v>
      </c>
      <c r="P1235">
        <v>2</v>
      </c>
      <c r="Q1235">
        <v>38.799999999999997</v>
      </c>
      <c r="R1235">
        <v>36</v>
      </c>
      <c r="S1235">
        <v>36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36</v>
      </c>
      <c r="AA1235">
        <v>0</v>
      </c>
      <c r="AB1235">
        <v>0</v>
      </c>
      <c r="AD1235">
        <v>74.8</v>
      </c>
    </row>
    <row r="1236" spans="1:30" x14ac:dyDescent="0.3">
      <c r="A1236" s="4">
        <v>1249</v>
      </c>
      <c r="B1236" s="5">
        <v>1229</v>
      </c>
      <c r="C1236">
        <v>1381</v>
      </c>
      <c r="D1236" t="s">
        <v>2328</v>
      </c>
      <c r="E1236" t="s">
        <v>967</v>
      </c>
      <c r="F1236" t="s">
        <v>20</v>
      </c>
      <c r="G1236" t="s">
        <v>2847</v>
      </c>
      <c r="H1236" t="str">
        <f>"00163448"</f>
        <v>00163448</v>
      </c>
      <c r="I1236">
        <v>28.8</v>
      </c>
      <c r="J1236">
        <v>0</v>
      </c>
      <c r="N1236">
        <v>0</v>
      </c>
      <c r="O1236">
        <v>4</v>
      </c>
      <c r="P1236">
        <v>0</v>
      </c>
      <c r="Q1236">
        <v>32.799999999999997</v>
      </c>
      <c r="R1236">
        <v>42</v>
      </c>
      <c r="S1236">
        <v>42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42</v>
      </c>
      <c r="AA1236">
        <v>0</v>
      </c>
      <c r="AB1236">
        <v>0</v>
      </c>
      <c r="AD1236">
        <v>74.8</v>
      </c>
    </row>
    <row r="1237" spans="1:30" x14ac:dyDescent="0.3">
      <c r="A1237" s="4">
        <v>1250</v>
      </c>
      <c r="B1237" s="5">
        <v>1230</v>
      </c>
      <c r="C1237">
        <v>615</v>
      </c>
      <c r="D1237" t="s">
        <v>2848</v>
      </c>
      <c r="E1237" t="s">
        <v>143</v>
      </c>
      <c r="F1237" t="s">
        <v>117</v>
      </c>
      <c r="G1237" t="s">
        <v>2849</v>
      </c>
      <c r="H1237" t="str">
        <f>"00207346"</f>
        <v>00207346</v>
      </c>
      <c r="I1237">
        <v>39.72</v>
      </c>
      <c r="J1237">
        <v>0</v>
      </c>
      <c r="L1237">
        <v>6</v>
      </c>
      <c r="N1237">
        <v>6</v>
      </c>
      <c r="O1237">
        <v>4</v>
      </c>
      <c r="P1237">
        <v>2</v>
      </c>
      <c r="Q1237">
        <v>51.72</v>
      </c>
      <c r="R1237">
        <v>17</v>
      </c>
      <c r="S1237">
        <v>17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17</v>
      </c>
      <c r="AA1237">
        <v>6</v>
      </c>
      <c r="AB1237">
        <v>0</v>
      </c>
      <c r="AD1237">
        <v>74.72</v>
      </c>
    </row>
    <row r="1238" spans="1:30" x14ac:dyDescent="0.3">
      <c r="A1238" s="4">
        <v>1251</v>
      </c>
      <c r="B1238" s="5">
        <v>1231</v>
      </c>
      <c r="C1238">
        <v>3682</v>
      </c>
      <c r="D1238" t="s">
        <v>2850</v>
      </c>
      <c r="E1238" t="s">
        <v>62</v>
      </c>
      <c r="F1238" t="s">
        <v>892</v>
      </c>
      <c r="G1238" t="s">
        <v>2851</v>
      </c>
      <c r="H1238" t="str">
        <f>"00557538"</f>
        <v>00557538</v>
      </c>
      <c r="I1238">
        <v>57.6</v>
      </c>
      <c r="J1238">
        <v>10</v>
      </c>
      <c r="N1238">
        <v>0</v>
      </c>
      <c r="O1238">
        <v>4</v>
      </c>
      <c r="P1238">
        <v>0</v>
      </c>
      <c r="Q1238">
        <v>71.599999999999994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3</v>
      </c>
      <c r="AB1238">
        <v>0</v>
      </c>
      <c r="AD1238">
        <v>74.599999999999994</v>
      </c>
    </row>
    <row r="1239" spans="1:30" x14ac:dyDescent="0.3">
      <c r="A1239" s="4">
        <v>1252</v>
      </c>
      <c r="B1239" s="5">
        <v>1232</v>
      </c>
      <c r="C1239">
        <v>2235</v>
      </c>
      <c r="D1239" t="s">
        <v>348</v>
      </c>
      <c r="E1239" t="s">
        <v>2852</v>
      </c>
      <c r="F1239" t="s">
        <v>38</v>
      </c>
      <c r="G1239" t="s">
        <v>2853</v>
      </c>
      <c r="H1239" t="str">
        <f>"00865627"</f>
        <v>00865627</v>
      </c>
      <c r="I1239">
        <v>50.4</v>
      </c>
      <c r="J1239">
        <v>10</v>
      </c>
      <c r="M1239">
        <v>8</v>
      </c>
      <c r="N1239">
        <v>8</v>
      </c>
      <c r="O1239">
        <v>0</v>
      </c>
      <c r="P1239">
        <v>0</v>
      </c>
      <c r="Q1239">
        <v>68.400000000000006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6</v>
      </c>
      <c r="AB1239">
        <v>0</v>
      </c>
      <c r="AD1239">
        <v>74.400000000000006</v>
      </c>
    </row>
    <row r="1240" spans="1:30" x14ac:dyDescent="0.3">
      <c r="A1240" s="4">
        <v>1253</v>
      </c>
      <c r="B1240" s="5">
        <v>1233</v>
      </c>
      <c r="C1240">
        <v>3875</v>
      </c>
      <c r="D1240" t="s">
        <v>2854</v>
      </c>
      <c r="E1240" t="s">
        <v>166</v>
      </c>
      <c r="F1240" t="s">
        <v>2855</v>
      </c>
      <c r="G1240" t="s">
        <v>2856</v>
      </c>
      <c r="H1240" t="str">
        <f>"00070329"</f>
        <v>00070329</v>
      </c>
      <c r="I1240">
        <v>30.4</v>
      </c>
      <c r="J1240">
        <v>10</v>
      </c>
      <c r="M1240">
        <v>4</v>
      </c>
      <c r="N1240">
        <v>4</v>
      </c>
      <c r="O1240">
        <v>4</v>
      </c>
      <c r="P1240">
        <v>2</v>
      </c>
      <c r="Q1240">
        <v>50.4</v>
      </c>
      <c r="R1240">
        <v>18</v>
      </c>
      <c r="S1240">
        <v>18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18</v>
      </c>
      <c r="AA1240">
        <v>6</v>
      </c>
      <c r="AB1240">
        <v>0</v>
      </c>
      <c r="AD1240">
        <v>74.400000000000006</v>
      </c>
    </row>
    <row r="1241" spans="1:30" x14ac:dyDescent="0.3">
      <c r="A1241" s="4">
        <v>1254</v>
      </c>
      <c r="B1241" s="5">
        <v>1234</v>
      </c>
      <c r="C1241">
        <v>501</v>
      </c>
      <c r="D1241" t="s">
        <v>2857</v>
      </c>
      <c r="E1241" t="s">
        <v>54</v>
      </c>
      <c r="F1241" t="s">
        <v>909</v>
      </c>
      <c r="G1241" t="s">
        <v>2858</v>
      </c>
      <c r="H1241" t="str">
        <f>"201511035585"</f>
        <v>201511035585</v>
      </c>
      <c r="I1241">
        <v>50.4</v>
      </c>
      <c r="J1241">
        <v>0</v>
      </c>
      <c r="N1241">
        <v>0</v>
      </c>
      <c r="O1241">
        <v>4</v>
      </c>
      <c r="P1241">
        <v>2</v>
      </c>
      <c r="Q1241">
        <v>56.4</v>
      </c>
      <c r="R1241">
        <v>18</v>
      </c>
      <c r="S1241">
        <v>18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18</v>
      </c>
      <c r="AA1241">
        <v>0</v>
      </c>
      <c r="AB1241">
        <v>0</v>
      </c>
      <c r="AD1241">
        <v>74.400000000000006</v>
      </c>
    </row>
    <row r="1242" spans="1:30" x14ac:dyDescent="0.3">
      <c r="A1242" s="4">
        <v>1255</v>
      </c>
      <c r="B1242" s="5">
        <v>1235</v>
      </c>
      <c r="C1242">
        <v>4382</v>
      </c>
      <c r="D1242" t="s">
        <v>2859</v>
      </c>
      <c r="E1242" t="s">
        <v>188</v>
      </c>
      <c r="F1242" t="s">
        <v>158</v>
      </c>
      <c r="G1242" t="s">
        <v>2860</v>
      </c>
      <c r="H1242" t="str">
        <f>"00152045"</f>
        <v>00152045</v>
      </c>
      <c r="I1242">
        <v>14.4</v>
      </c>
      <c r="J1242">
        <v>0</v>
      </c>
      <c r="M1242">
        <v>4</v>
      </c>
      <c r="N1242">
        <v>4</v>
      </c>
      <c r="O1242">
        <v>4</v>
      </c>
      <c r="P1242">
        <v>2</v>
      </c>
      <c r="Q1242">
        <v>24.4</v>
      </c>
      <c r="R1242">
        <v>50</v>
      </c>
      <c r="S1242">
        <v>50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50</v>
      </c>
      <c r="AA1242">
        <v>0</v>
      </c>
      <c r="AB1242">
        <v>0</v>
      </c>
      <c r="AD1242">
        <v>74.400000000000006</v>
      </c>
    </row>
    <row r="1243" spans="1:30" x14ac:dyDescent="0.3">
      <c r="A1243" s="4">
        <v>1256</v>
      </c>
      <c r="B1243" s="5">
        <v>1236</v>
      </c>
      <c r="C1243">
        <v>1323</v>
      </c>
      <c r="D1243" t="s">
        <v>2861</v>
      </c>
      <c r="E1243" t="s">
        <v>1989</v>
      </c>
      <c r="F1243" t="s">
        <v>17</v>
      </c>
      <c r="G1243" t="s">
        <v>2862</v>
      </c>
      <c r="H1243" t="str">
        <f>"00529984"</f>
        <v>00529984</v>
      </c>
      <c r="I1243">
        <v>33.32</v>
      </c>
      <c r="J1243">
        <v>10</v>
      </c>
      <c r="M1243">
        <v>4</v>
      </c>
      <c r="N1243">
        <v>4</v>
      </c>
      <c r="O1243">
        <v>4</v>
      </c>
      <c r="P1243">
        <v>2</v>
      </c>
      <c r="Q1243">
        <v>53.32</v>
      </c>
      <c r="R1243">
        <v>18</v>
      </c>
      <c r="S1243">
        <v>18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18</v>
      </c>
      <c r="AA1243">
        <v>3</v>
      </c>
      <c r="AB1243">
        <v>0</v>
      </c>
      <c r="AD1243">
        <v>74.319999999999993</v>
      </c>
    </row>
    <row r="1244" spans="1:30" x14ac:dyDescent="0.3">
      <c r="A1244" s="4">
        <v>1257</v>
      </c>
      <c r="B1244" s="5">
        <v>1237</v>
      </c>
      <c r="C1244">
        <v>1649</v>
      </c>
      <c r="D1244" t="s">
        <v>2863</v>
      </c>
      <c r="E1244" t="s">
        <v>213</v>
      </c>
      <c r="F1244" t="s">
        <v>1566</v>
      </c>
      <c r="G1244" t="s">
        <v>2864</v>
      </c>
      <c r="H1244" t="str">
        <f>"00023673"</f>
        <v>00023673</v>
      </c>
      <c r="I1244">
        <v>38.28</v>
      </c>
      <c r="J1244">
        <v>0</v>
      </c>
      <c r="L1244">
        <v>6</v>
      </c>
      <c r="N1244">
        <v>6</v>
      </c>
      <c r="O1244">
        <v>4</v>
      </c>
      <c r="P1244">
        <v>2</v>
      </c>
      <c r="Q1244">
        <v>50.28</v>
      </c>
      <c r="R1244">
        <v>18</v>
      </c>
      <c r="S1244">
        <v>18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18</v>
      </c>
      <c r="AA1244">
        <v>6</v>
      </c>
      <c r="AB1244">
        <v>0</v>
      </c>
      <c r="AD1244">
        <v>74.28</v>
      </c>
    </row>
    <row r="1245" spans="1:30" x14ac:dyDescent="0.3">
      <c r="A1245" s="4">
        <v>1258</v>
      </c>
      <c r="B1245" s="5">
        <v>1238</v>
      </c>
      <c r="C1245">
        <v>2105</v>
      </c>
      <c r="D1245" t="s">
        <v>2865</v>
      </c>
      <c r="E1245" t="s">
        <v>54</v>
      </c>
      <c r="F1245" t="s">
        <v>442</v>
      </c>
      <c r="G1245" t="s">
        <v>2866</v>
      </c>
      <c r="H1245" t="str">
        <f>"00513822"</f>
        <v>00513822</v>
      </c>
      <c r="I1245">
        <v>28.28</v>
      </c>
      <c r="J1245">
        <v>10</v>
      </c>
      <c r="N1245">
        <v>0</v>
      </c>
      <c r="O1245">
        <v>0</v>
      </c>
      <c r="P1245">
        <v>2</v>
      </c>
      <c r="Q1245">
        <v>40.28</v>
      </c>
      <c r="R1245">
        <v>31</v>
      </c>
      <c r="S1245">
        <v>31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31</v>
      </c>
      <c r="AA1245">
        <v>3</v>
      </c>
      <c r="AB1245">
        <v>0</v>
      </c>
      <c r="AD1245">
        <v>74.28</v>
      </c>
    </row>
    <row r="1246" spans="1:30" x14ac:dyDescent="0.3">
      <c r="A1246" s="4">
        <v>1259</v>
      </c>
      <c r="B1246" s="5">
        <v>1239</v>
      </c>
      <c r="C1246">
        <v>1422</v>
      </c>
      <c r="D1246" t="s">
        <v>752</v>
      </c>
      <c r="E1246" t="s">
        <v>2867</v>
      </c>
      <c r="F1246" t="s">
        <v>17</v>
      </c>
      <c r="G1246" t="s">
        <v>2868</v>
      </c>
      <c r="H1246" t="str">
        <f>"00532335"</f>
        <v>00532335</v>
      </c>
      <c r="I1246">
        <v>34.200000000000003</v>
      </c>
      <c r="J1246">
        <v>10</v>
      </c>
      <c r="M1246">
        <v>4</v>
      </c>
      <c r="N1246">
        <v>4</v>
      </c>
      <c r="O1246">
        <v>4</v>
      </c>
      <c r="P1246">
        <v>2</v>
      </c>
      <c r="Q1246">
        <v>54.2</v>
      </c>
      <c r="R1246">
        <v>8</v>
      </c>
      <c r="S1246">
        <v>8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8</v>
      </c>
      <c r="AA1246">
        <v>12</v>
      </c>
      <c r="AB1246">
        <v>0</v>
      </c>
      <c r="AD1246">
        <v>74.2</v>
      </c>
    </row>
    <row r="1247" spans="1:30" x14ac:dyDescent="0.3">
      <c r="A1247" s="4">
        <v>1260</v>
      </c>
      <c r="B1247" s="5">
        <v>1240</v>
      </c>
      <c r="C1247">
        <v>3337</v>
      </c>
      <c r="D1247" t="s">
        <v>2869</v>
      </c>
      <c r="E1247" t="s">
        <v>97</v>
      </c>
      <c r="F1247" t="s">
        <v>14</v>
      </c>
      <c r="G1247" t="s">
        <v>2870</v>
      </c>
      <c r="H1247" t="str">
        <f>"00514284"</f>
        <v>00514284</v>
      </c>
      <c r="I1247">
        <v>43.2</v>
      </c>
      <c r="J1247">
        <v>0</v>
      </c>
      <c r="K1247">
        <v>8</v>
      </c>
      <c r="N1247">
        <v>8</v>
      </c>
      <c r="O1247">
        <v>4</v>
      </c>
      <c r="P1247">
        <v>2</v>
      </c>
      <c r="Q1247">
        <v>57.2</v>
      </c>
      <c r="R1247">
        <v>11</v>
      </c>
      <c r="S1247">
        <v>11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11</v>
      </c>
      <c r="AA1247">
        <v>6</v>
      </c>
      <c r="AB1247">
        <v>0</v>
      </c>
      <c r="AD1247">
        <v>74.2</v>
      </c>
    </row>
    <row r="1248" spans="1:30" x14ac:dyDescent="0.3">
      <c r="A1248" s="4">
        <v>1261</v>
      </c>
      <c r="B1248" s="5">
        <v>1241</v>
      </c>
      <c r="C1248">
        <v>367</v>
      </c>
      <c r="D1248" t="s">
        <v>2871</v>
      </c>
      <c r="E1248" t="s">
        <v>26</v>
      </c>
      <c r="F1248" t="s">
        <v>20</v>
      </c>
      <c r="G1248" t="s">
        <v>2872</v>
      </c>
      <c r="H1248" t="str">
        <f>"00027962"</f>
        <v>00027962</v>
      </c>
      <c r="I1248">
        <v>35.200000000000003</v>
      </c>
      <c r="J1248">
        <v>10</v>
      </c>
      <c r="N1248">
        <v>0</v>
      </c>
      <c r="O1248">
        <v>4</v>
      </c>
      <c r="P1248">
        <v>2</v>
      </c>
      <c r="Q1248">
        <v>51.2</v>
      </c>
      <c r="R1248">
        <v>17</v>
      </c>
      <c r="S1248">
        <v>17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17</v>
      </c>
      <c r="AA1248">
        <v>6</v>
      </c>
      <c r="AB1248">
        <v>0</v>
      </c>
      <c r="AD1248">
        <v>74.2</v>
      </c>
    </row>
    <row r="1249" spans="1:30" x14ac:dyDescent="0.3">
      <c r="A1249" s="4">
        <v>1262</v>
      </c>
      <c r="B1249" s="5">
        <v>1242</v>
      </c>
      <c r="C1249">
        <v>1807</v>
      </c>
      <c r="D1249" t="s">
        <v>2873</v>
      </c>
      <c r="E1249" t="s">
        <v>2874</v>
      </c>
      <c r="F1249" t="s">
        <v>2875</v>
      </c>
      <c r="G1249" t="s">
        <v>2876</v>
      </c>
      <c r="H1249" t="str">
        <f>"00278997"</f>
        <v>00278997</v>
      </c>
      <c r="I1249">
        <v>43.2</v>
      </c>
      <c r="J1249">
        <v>10</v>
      </c>
      <c r="K1249">
        <v>8</v>
      </c>
      <c r="M1249">
        <v>4</v>
      </c>
      <c r="N1249">
        <v>12</v>
      </c>
      <c r="O1249">
        <v>4</v>
      </c>
      <c r="P1249">
        <v>2</v>
      </c>
      <c r="Q1249">
        <v>71.2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3</v>
      </c>
      <c r="AB1249">
        <v>0</v>
      </c>
      <c r="AD1249">
        <v>74.2</v>
      </c>
    </row>
    <row r="1250" spans="1:30" x14ac:dyDescent="0.3">
      <c r="A1250" s="4">
        <v>1263</v>
      </c>
      <c r="B1250" s="5">
        <v>1243</v>
      </c>
      <c r="C1250">
        <v>837</v>
      </c>
      <c r="D1250" t="s">
        <v>2877</v>
      </c>
      <c r="E1250" t="s">
        <v>992</v>
      </c>
      <c r="F1250" t="s">
        <v>1812</v>
      </c>
      <c r="G1250" t="s">
        <v>2878</v>
      </c>
      <c r="H1250" t="str">
        <f>"00277770"</f>
        <v>00277770</v>
      </c>
      <c r="I1250">
        <v>39.200000000000003</v>
      </c>
      <c r="J1250">
        <v>0</v>
      </c>
      <c r="K1250">
        <v>8</v>
      </c>
      <c r="N1250">
        <v>8</v>
      </c>
      <c r="O1250">
        <v>4</v>
      </c>
      <c r="P1250">
        <v>2</v>
      </c>
      <c r="Q1250">
        <v>53.2</v>
      </c>
      <c r="R1250">
        <v>18</v>
      </c>
      <c r="S1250">
        <v>18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18</v>
      </c>
      <c r="AA1250">
        <v>3</v>
      </c>
      <c r="AB1250">
        <v>0</v>
      </c>
      <c r="AD1250">
        <v>74.2</v>
      </c>
    </row>
    <row r="1251" spans="1:30" x14ac:dyDescent="0.3">
      <c r="A1251" s="4">
        <v>1264</v>
      </c>
      <c r="B1251" s="5">
        <v>1244</v>
      </c>
      <c r="C1251">
        <v>1964</v>
      </c>
      <c r="D1251" t="s">
        <v>2879</v>
      </c>
      <c r="E1251" t="s">
        <v>1231</v>
      </c>
      <c r="F1251" t="s">
        <v>81</v>
      </c>
      <c r="G1251" t="s">
        <v>2880</v>
      </c>
      <c r="H1251" t="str">
        <f>"00509109"</f>
        <v>00509109</v>
      </c>
      <c r="I1251">
        <v>43.2</v>
      </c>
      <c r="J1251">
        <v>10</v>
      </c>
      <c r="M1251">
        <v>4</v>
      </c>
      <c r="N1251">
        <v>4</v>
      </c>
      <c r="O1251">
        <v>4</v>
      </c>
      <c r="P1251">
        <v>2</v>
      </c>
      <c r="Q1251">
        <v>63.2</v>
      </c>
      <c r="R1251">
        <v>11</v>
      </c>
      <c r="S1251">
        <v>11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11</v>
      </c>
      <c r="AA1251">
        <v>0</v>
      </c>
      <c r="AB1251">
        <v>0</v>
      </c>
      <c r="AD1251">
        <v>74.2</v>
      </c>
    </row>
    <row r="1252" spans="1:30" x14ac:dyDescent="0.3">
      <c r="A1252" s="4">
        <v>1265</v>
      </c>
      <c r="B1252" s="5">
        <v>1245</v>
      </c>
      <c r="C1252">
        <v>3502</v>
      </c>
      <c r="D1252" t="s">
        <v>2881</v>
      </c>
      <c r="E1252" t="s">
        <v>479</v>
      </c>
      <c r="F1252" t="s">
        <v>2882</v>
      </c>
      <c r="G1252" t="s">
        <v>2883</v>
      </c>
      <c r="H1252" t="str">
        <f>"00504736"</f>
        <v>00504736</v>
      </c>
      <c r="I1252">
        <v>43.2</v>
      </c>
      <c r="J1252">
        <v>0</v>
      </c>
      <c r="K1252">
        <v>8</v>
      </c>
      <c r="N1252">
        <v>8</v>
      </c>
      <c r="O1252">
        <v>4</v>
      </c>
      <c r="P1252">
        <v>2</v>
      </c>
      <c r="Q1252">
        <v>57.2</v>
      </c>
      <c r="R1252">
        <v>17</v>
      </c>
      <c r="S1252">
        <v>17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17</v>
      </c>
      <c r="AA1252">
        <v>0</v>
      </c>
      <c r="AB1252">
        <v>0</v>
      </c>
      <c r="AD1252">
        <v>74.2</v>
      </c>
    </row>
    <row r="1253" spans="1:30" x14ac:dyDescent="0.3">
      <c r="A1253" s="4">
        <v>1266</v>
      </c>
      <c r="B1253" s="5">
        <v>1246</v>
      </c>
      <c r="C1253">
        <v>1665</v>
      </c>
      <c r="D1253" t="s">
        <v>2884</v>
      </c>
      <c r="E1253" t="s">
        <v>29</v>
      </c>
      <c r="F1253" t="s">
        <v>81</v>
      </c>
      <c r="G1253" t="s">
        <v>2885</v>
      </c>
      <c r="H1253" t="str">
        <f>"00530938"</f>
        <v>00530938</v>
      </c>
      <c r="I1253">
        <v>43.2</v>
      </c>
      <c r="J1253">
        <v>0</v>
      </c>
      <c r="N1253">
        <v>0</v>
      </c>
      <c r="O1253">
        <v>0</v>
      </c>
      <c r="P1253">
        <v>0</v>
      </c>
      <c r="Q1253">
        <v>43.2</v>
      </c>
      <c r="R1253">
        <v>31</v>
      </c>
      <c r="S1253">
        <v>31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31</v>
      </c>
      <c r="AA1253">
        <v>0</v>
      </c>
      <c r="AB1253">
        <v>0</v>
      </c>
      <c r="AD1253">
        <v>74.2</v>
      </c>
    </row>
    <row r="1254" spans="1:30" x14ac:dyDescent="0.3">
      <c r="A1254" s="4">
        <v>1267</v>
      </c>
      <c r="B1254" s="5">
        <v>1247</v>
      </c>
      <c r="C1254">
        <v>1049</v>
      </c>
      <c r="D1254" t="s">
        <v>2886</v>
      </c>
      <c r="E1254" t="s">
        <v>22</v>
      </c>
      <c r="F1254" t="s">
        <v>62</v>
      </c>
      <c r="G1254" t="s">
        <v>2887</v>
      </c>
      <c r="H1254" t="str">
        <f>"00520501"</f>
        <v>00520501</v>
      </c>
      <c r="I1254">
        <v>7.2</v>
      </c>
      <c r="J1254">
        <v>0</v>
      </c>
      <c r="M1254">
        <v>4</v>
      </c>
      <c r="N1254">
        <v>4</v>
      </c>
      <c r="O1254">
        <v>4</v>
      </c>
      <c r="P1254">
        <v>2</v>
      </c>
      <c r="Q1254">
        <v>17.2</v>
      </c>
      <c r="R1254">
        <v>57</v>
      </c>
      <c r="S1254">
        <v>57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57</v>
      </c>
      <c r="AA1254">
        <v>0</v>
      </c>
      <c r="AB1254">
        <v>0</v>
      </c>
      <c r="AD1254">
        <v>74.2</v>
      </c>
    </row>
    <row r="1255" spans="1:30" x14ac:dyDescent="0.3">
      <c r="A1255" s="4">
        <v>1268</v>
      </c>
      <c r="B1255" s="5">
        <v>1248</v>
      </c>
      <c r="C1255">
        <v>3610</v>
      </c>
      <c r="D1255" t="s">
        <v>2888</v>
      </c>
      <c r="E1255" t="s">
        <v>29</v>
      </c>
      <c r="F1255" t="s">
        <v>68</v>
      </c>
      <c r="G1255" t="s">
        <v>2889</v>
      </c>
      <c r="H1255" t="str">
        <f>"00860969"</f>
        <v>00860969</v>
      </c>
      <c r="I1255">
        <v>43.2</v>
      </c>
      <c r="J1255">
        <v>0</v>
      </c>
      <c r="M1255">
        <v>4</v>
      </c>
      <c r="N1255">
        <v>4</v>
      </c>
      <c r="O1255">
        <v>0</v>
      </c>
      <c r="P1255">
        <v>0</v>
      </c>
      <c r="Q1255">
        <v>47.2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26.8</v>
      </c>
      <c r="AD1255">
        <v>74</v>
      </c>
    </row>
    <row r="1256" spans="1:30" x14ac:dyDescent="0.3">
      <c r="A1256" s="4">
        <v>1269</v>
      </c>
      <c r="B1256" s="5">
        <v>1249</v>
      </c>
      <c r="C1256">
        <v>304</v>
      </c>
      <c r="D1256" t="s">
        <v>181</v>
      </c>
      <c r="E1256" t="s">
        <v>149</v>
      </c>
      <c r="F1256" t="s">
        <v>442</v>
      </c>
      <c r="G1256" t="s">
        <v>2890</v>
      </c>
      <c r="H1256" t="str">
        <f>"00532415"</f>
        <v>00532415</v>
      </c>
      <c r="I1256">
        <v>40</v>
      </c>
      <c r="J1256">
        <v>10</v>
      </c>
      <c r="N1256">
        <v>0</v>
      </c>
      <c r="O1256">
        <v>4</v>
      </c>
      <c r="P1256">
        <v>0</v>
      </c>
      <c r="Q1256">
        <v>54</v>
      </c>
      <c r="R1256">
        <v>17</v>
      </c>
      <c r="S1256">
        <v>17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17</v>
      </c>
      <c r="AA1256">
        <v>3</v>
      </c>
      <c r="AB1256">
        <v>0</v>
      </c>
      <c r="AD1256">
        <v>74</v>
      </c>
    </row>
    <row r="1257" spans="1:30" x14ac:dyDescent="0.3">
      <c r="A1257" s="4">
        <v>1270</v>
      </c>
      <c r="B1257" s="5">
        <v>1250</v>
      </c>
      <c r="C1257">
        <v>2683</v>
      </c>
      <c r="D1257" t="s">
        <v>1613</v>
      </c>
      <c r="E1257" t="s">
        <v>178</v>
      </c>
      <c r="F1257" t="s">
        <v>442</v>
      </c>
      <c r="G1257" t="s">
        <v>2891</v>
      </c>
      <c r="H1257" t="str">
        <f>"00865332"</f>
        <v>00865332</v>
      </c>
      <c r="I1257">
        <v>72</v>
      </c>
      <c r="J1257">
        <v>0</v>
      </c>
      <c r="N1257">
        <v>0</v>
      </c>
      <c r="O1257">
        <v>0</v>
      </c>
      <c r="P1257">
        <v>2</v>
      </c>
      <c r="Q1257">
        <v>74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D1257">
        <v>74</v>
      </c>
    </row>
    <row r="1258" spans="1:30" x14ac:dyDescent="0.3">
      <c r="A1258" s="4">
        <v>1271</v>
      </c>
      <c r="B1258" s="5">
        <v>1251</v>
      </c>
      <c r="C1258">
        <v>4806</v>
      </c>
      <c r="D1258" t="s">
        <v>2892</v>
      </c>
      <c r="E1258" t="s">
        <v>166</v>
      </c>
      <c r="F1258" t="s">
        <v>38</v>
      </c>
      <c r="G1258" t="s">
        <v>2893</v>
      </c>
      <c r="H1258" t="str">
        <f>"201406010602"</f>
        <v>201406010602</v>
      </c>
      <c r="I1258">
        <v>40</v>
      </c>
      <c r="J1258">
        <v>0</v>
      </c>
      <c r="K1258">
        <v>8</v>
      </c>
      <c r="M1258">
        <v>4</v>
      </c>
      <c r="N1258">
        <v>12</v>
      </c>
      <c r="O1258">
        <v>4</v>
      </c>
      <c r="P1258">
        <v>0</v>
      </c>
      <c r="Q1258">
        <v>56</v>
      </c>
      <c r="R1258">
        <v>18</v>
      </c>
      <c r="S1258">
        <v>18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18</v>
      </c>
      <c r="AA1258">
        <v>0</v>
      </c>
      <c r="AB1258">
        <v>0</v>
      </c>
      <c r="AD1258">
        <v>74</v>
      </c>
    </row>
    <row r="1259" spans="1:30" x14ac:dyDescent="0.3">
      <c r="A1259" s="4">
        <v>1272</v>
      </c>
      <c r="B1259" s="5">
        <v>1252</v>
      </c>
      <c r="C1259">
        <v>670</v>
      </c>
      <c r="D1259" t="s">
        <v>2894</v>
      </c>
      <c r="E1259" t="s">
        <v>2895</v>
      </c>
      <c r="F1259" t="s">
        <v>190</v>
      </c>
      <c r="G1259" t="s">
        <v>2896</v>
      </c>
      <c r="H1259" t="str">
        <f>"00520006"</f>
        <v>00520006</v>
      </c>
      <c r="I1259">
        <v>36</v>
      </c>
      <c r="J1259">
        <v>10</v>
      </c>
      <c r="M1259">
        <v>4</v>
      </c>
      <c r="N1259">
        <v>4</v>
      </c>
      <c r="O1259">
        <v>4</v>
      </c>
      <c r="P1259">
        <v>2</v>
      </c>
      <c r="Q1259">
        <v>56</v>
      </c>
      <c r="R1259">
        <v>18</v>
      </c>
      <c r="S1259">
        <v>18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18</v>
      </c>
      <c r="AA1259">
        <v>0</v>
      </c>
      <c r="AB1259">
        <v>0</v>
      </c>
      <c r="AD1259">
        <v>74</v>
      </c>
    </row>
    <row r="1260" spans="1:30" x14ac:dyDescent="0.3">
      <c r="A1260" s="4">
        <v>1273</v>
      </c>
      <c r="B1260" s="5">
        <v>1253</v>
      </c>
      <c r="C1260">
        <v>2418</v>
      </c>
      <c r="D1260" t="s">
        <v>2897</v>
      </c>
      <c r="E1260" t="s">
        <v>110</v>
      </c>
      <c r="F1260" t="s">
        <v>14</v>
      </c>
      <c r="G1260" t="s">
        <v>2898</v>
      </c>
      <c r="H1260" t="str">
        <f>"00294015"</f>
        <v>00294015</v>
      </c>
      <c r="I1260">
        <v>24</v>
      </c>
      <c r="J1260">
        <v>10</v>
      </c>
      <c r="N1260">
        <v>0</v>
      </c>
      <c r="O1260">
        <v>4</v>
      </c>
      <c r="P1260">
        <v>2</v>
      </c>
      <c r="Q1260">
        <v>40</v>
      </c>
      <c r="R1260">
        <v>34</v>
      </c>
      <c r="S1260">
        <v>34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34</v>
      </c>
      <c r="AA1260">
        <v>0</v>
      </c>
      <c r="AB1260">
        <v>0</v>
      </c>
      <c r="AD1260">
        <v>74</v>
      </c>
    </row>
    <row r="1261" spans="1:30" x14ac:dyDescent="0.3">
      <c r="A1261" s="4">
        <v>1274</v>
      </c>
      <c r="B1261" s="5">
        <v>1254</v>
      </c>
      <c r="C1261">
        <v>4269</v>
      </c>
      <c r="D1261" t="s">
        <v>2899</v>
      </c>
      <c r="E1261" t="s">
        <v>88</v>
      </c>
      <c r="F1261" t="s">
        <v>259</v>
      </c>
      <c r="G1261" t="s">
        <v>2900</v>
      </c>
      <c r="H1261" t="str">
        <f>"00513813"</f>
        <v>00513813</v>
      </c>
      <c r="I1261">
        <v>36.880000000000003</v>
      </c>
      <c r="J1261">
        <v>10</v>
      </c>
      <c r="N1261">
        <v>0</v>
      </c>
      <c r="O1261">
        <v>4</v>
      </c>
      <c r="P1261">
        <v>2</v>
      </c>
      <c r="Q1261">
        <v>52.88</v>
      </c>
      <c r="R1261">
        <v>18</v>
      </c>
      <c r="S1261">
        <v>18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18</v>
      </c>
      <c r="AA1261">
        <v>3</v>
      </c>
      <c r="AB1261">
        <v>0</v>
      </c>
      <c r="AD1261">
        <v>73.88</v>
      </c>
    </row>
    <row r="1262" spans="1:30" x14ac:dyDescent="0.3">
      <c r="A1262" s="4">
        <v>1275</v>
      </c>
      <c r="B1262" s="5">
        <v>1255</v>
      </c>
      <c r="C1262">
        <v>1577</v>
      </c>
      <c r="D1262" t="s">
        <v>2901</v>
      </c>
      <c r="E1262" t="s">
        <v>166</v>
      </c>
      <c r="F1262" t="s">
        <v>17</v>
      </c>
      <c r="G1262" t="s">
        <v>2902</v>
      </c>
      <c r="H1262" t="str">
        <f>"00511729"</f>
        <v>00511729</v>
      </c>
      <c r="I1262">
        <v>13.84</v>
      </c>
      <c r="J1262">
        <v>10</v>
      </c>
      <c r="M1262">
        <v>4</v>
      </c>
      <c r="N1262">
        <v>4</v>
      </c>
      <c r="O1262">
        <v>4</v>
      </c>
      <c r="P1262">
        <v>0</v>
      </c>
      <c r="Q1262">
        <v>31.84</v>
      </c>
      <c r="R1262">
        <v>36</v>
      </c>
      <c r="S1262">
        <v>36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36</v>
      </c>
      <c r="AA1262">
        <v>6</v>
      </c>
      <c r="AB1262">
        <v>0</v>
      </c>
      <c r="AD1262">
        <v>73.84</v>
      </c>
    </row>
    <row r="1263" spans="1:30" x14ac:dyDescent="0.3">
      <c r="A1263" s="4">
        <v>1277</v>
      </c>
      <c r="B1263" s="5">
        <v>1256</v>
      </c>
      <c r="C1263">
        <v>1271</v>
      </c>
      <c r="D1263" t="s">
        <v>2903</v>
      </c>
      <c r="E1263" t="s">
        <v>516</v>
      </c>
      <c r="F1263" t="s">
        <v>81</v>
      </c>
      <c r="G1263" t="s">
        <v>2904</v>
      </c>
      <c r="H1263" t="str">
        <f>"00291816"</f>
        <v>00291816</v>
      </c>
      <c r="I1263">
        <v>64.8</v>
      </c>
      <c r="J1263">
        <v>0</v>
      </c>
      <c r="N1263">
        <v>0</v>
      </c>
      <c r="O1263">
        <v>0</v>
      </c>
      <c r="P1263">
        <v>0</v>
      </c>
      <c r="Q1263">
        <v>64.8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9</v>
      </c>
      <c r="AB1263">
        <v>0</v>
      </c>
      <c r="AD1263">
        <v>73.8</v>
      </c>
    </row>
    <row r="1264" spans="1:30" x14ac:dyDescent="0.3">
      <c r="A1264" s="4">
        <v>1278</v>
      </c>
      <c r="B1264" s="5">
        <v>1257</v>
      </c>
      <c r="C1264">
        <v>847</v>
      </c>
      <c r="D1264" t="s">
        <v>2905</v>
      </c>
      <c r="E1264" t="s">
        <v>54</v>
      </c>
      <c r="F1264" t="s">
        <v>20</v>
      </c>
      <c r="G1264" t="s">
        <v>2906</v>
      </c>
      <c r="H1264" t="str">
        <f>"00531810"</f>
        <v>00531810</v>
      </c>
      <c r="I1264">
        <v>64.8</v>
      </c>
      <c r="J1264">
        <v>0</v>
      </c>
      <c r="M1264">
        <v>4</v>
      </c>
      <c r="N1264">
        <v>4</v>
      </c>
      <c r="O1264">
        <v>4</v>
      </c>
      <c r="P1264">
        <v>0</v>
      </c>
      <c r="Q1264">
        <v>72.8</v>
      </c>
      <c r="R1264">
        <v>1</v>
      </c>
      <c r="S1264">
        <v>1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1</v>
      </c>
      <c r="AA1264">
        <v>0</v>
      </c>
      <c r="AB1264">
        <v>0</v>
      </c>
      <c r="AD1264">
        <v>73.8</v>
      </c>
    </row>
    <row r="1265" spans="1:30" x14ac:dyDescent="0.3">
      <c r="A1265" s="4">
        <v>1279</v>
      </c>
      <c r="B1265" s="5">
        <v>1258</v>
      </c>
      <c r="C1265">
        <v>1174</v>
      </c>
      <c r="D1265" t="s">
        <v>2907</v>
      </c>
      <c r="E1265" t="s">
        <v>789</v>
      </c>
      <c r="F1265" t="s">
        <v>81</v>
      </c>
      <c r="G1265" t="s">
        <v>2908</v>
      </c>
      <c r="H1265" t="str">
        <f>"00245790"</f>
        <v>00245790</v>
      </c>
      <c r="I1265">
        <v>28.8</v>
      </c>
      <c r="J1265">
        <v>0</v>
      </c>
      <c r="K1265">
        <v>8</v>
      </c>
      <c r="L1265">
        <v>6</v>
      </c>
      <c r="N1265">
        <v>14</v>
      </c>
      <c r="O1265">
        <v>4</v>
      </c>
      <c r="P1265">
        <v>2</v>
      </c>
      <c r="Q1265">
        <v>48.8</v>
      </c>
      <c r="R1265">
        <v>25</v>
      </c>
      <c r="S1265">
        <v>25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25</v>
      </c>
      <c r="AA1265">
        <v>0</v>
      </c>
      <c r="AB1265">
        <v>0</v>
      </c>
      <c r="AD1265">
        <v>73.8</v>
      </c>
    </row>
    <row r="1266" spans="1:30" x14ac:dyDescent="0.3">
      <c r="A1266" s="4">
        <v>1280</v>
      </c>
      <c r="B1266" s="5">
        <v>1259</v>
      </c>
      <c r="C1266">
        <v>1509</v>
      </c>
      <c r="D1266" t="s">
        <v>2909</v>
      </c>
      <c r="E1266" t="s">
        <v>29</v>
      </c>
      <c r="F1266" t="s">
        <v>17</v>
      </c>
      <c r="G1266" t="s">
        <v>2910</v>
      </c>
      <c r="H1266" t="str">
        <f>"00560536"</f>
        <v>00560536</v>
      </c>
      <c r="I1266">
        <v>57.6</v>
      </c>
      <c r="J1266">
        <v>0</v>
      </c>
      <c r="M1266">
        <v>4</v>
      </c>
      <c r="N1266">
        <v>4</v>
      </c>
      <c r="O1266">
        <v>4</v>
      </c>
      <c r="P1266">
        <v>2</v>
      </c>
      <c r="Q1266">
        <v>67.599999999999994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6</v>
      </c>
      <c r="AB1266">
        <v>0</v>
      </c>
      <c r="AD1266">
        <v>73.599999999999994</v>
      </c>
    </row>
    <row r="1267" spans="1:30" x14ac:dyDescent="0.3">
      <c r="A1267" s="4">
        <v>1281</v>
      </c>
      <c r="B1267" s="5">
        <v>1260</v>
      </c>
      <c r="C1267">
        <v>3471</v>
      </c>
      <c r="D1267" t="s">
        <v>2911</v>
      </c>
      <c r="E1267" t="s">
        <v>54</v>
      </c>
      <c r="F1267" t="s">
        <v>539</v>
      </c>
      <c r="G1267" t="s">
        <v>2912</v>
      </c>
      <c r="H1267" t="str">
        <f>"00482587"</f>
        <v>00482587</v>
      </c>
      <c r="I1267">
        <v>9.6</v>
      </c>
      <c r="J1267">
        <v>0</v>
      </c>
      <c r="N1267">
        <v>0</v>
      </c>
      <c r="O1267">
        <v>0</v>
      </c>
      <c r="P1267">
        <v>0</v>
      </c>
      <c r="Q1267">
        <v>9.6</v>
      </c>
      <c r="R1267">
        <v>61</v>
      </c>
      <c r="S1267">
        <v>61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61</v>
      </c>
      <c r="AA1267">
        <v>3</v>
      </c>
      <c r="AB1267">
        <v>0</v>
      </c>
      <c r="AD1267">
        <v>73.599999999999994</v>
      </c>
    </row>
    <row r="1268" spans="1:30" x14ac:dyDescent="0.3">
      <c r="A1268" s="4">
        <v>1282</v>
      </c>
      <c r="B1268" s="5">
        <v>1261</v>
      </c>
      <c r="C1268">
        <v>3728</v>
      </c>
      <c r="D1268" t="s">
        <v>1669</v>
      </c>
      <c r="E1268" t="s">
        <v>935</v>
      </c>
      <c r="F1268" t="s">
        <v>62</v>
      </c>
      <c r="G1268" t="s">
        <v>2913</v>
      </c>
      <c r="H1268" t="str">
        <f>"00860870"</f>
        <v>00860870</v>
      </c>
      <c r="I1268">
        <v>57.6</v>
      </c>
      <c r="J1268">
        <v>10</v>
      </c>
      <c r="N1268">
        <v>0</v>
      </c>
      <c r="O1268">
        <v>4</v>
      </c>
      <c r="P1268">
        <v>2</v>
      </c>
      <c r="Q1268">
        <v>73.599999999999994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D1268">
        <v>73.599999999999994</v>
      </c>
    </row>
    <row r="1269" spans="1:30" x14ac:dyDescent="0.3">
      <c r="A1269" s="4">
        <v>1283</v>
      </c>
      <c r="B1269" s="5">
        <v>1262</v>
      </c>
      <c r="C1269">
        <v>782</v>
      </c>
      <c r="D1269" t="s">
        <v>577</v>
      </c>
      <c r="E1269" t="s">
        <v>65</v>
      </c>
      <c r="F1269" t="s">
        <v>62</v>
      </c>
      <c r="G1269" t="s">
        <v>2914</v>
      </c>
      <c r="H1269" t="str">
        <f>"00024637"</f>
        <v>00024637</v>
      </c>
      <c r="I1269">
        <v>35.6</v>
      </c>
      <c r="J1269">
        <v>0</v>
      </c>
      <c r="N1269">
        <v>0</v>
      </c>
      <c r="O1269">
        <v>4</v>
      </c>
      <c r="P1269">
        <v>0</v>
      </c>
      <c r="Q1269">
        <v>39.6</v>
      </c>
      <c r="R1269">
        <v>34</v>
      </c>
      <c r="S1269">
        <v>34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34</v>
      </c>
      <c r="AA1269">
        <v>0</v>
      </c>
      <c r="AB1269">
        <v>0</v>
      </c>
      <c r="AD1269">
        <v>73.599999999999994</v>
      </c>
    </row>
    <row r="1270" spans="1:30" x14ac:dyDescent="0.3">
      <c r="A1270" s="4">
        <v>1284</v>
      </c>
      <c r="B1270" s="5">
        <v>1263</v>
      </c>
      <c r="C1270">
        <v>3603</v>
      </c>
      <c r="D1270" t="s">
        <v>1964</v>
      </c>
      <c r="E1270" t="s">
        <v>935</v>
      </c>
      <c r="F1270" t="s">
        <v>892</v>
      </c>
      <c r="G1270" t="s">
        <v>2915</v>
      </c>
      <c r="H1270" t="str">
        <f>"00418333"</f>
        <v>00418333</v>
      </c>
      <c r="I1270">
        <v>39.6</v>
      </c>
      <c r="J1270">
        <v>0</v>
      </c>
      <c r="N1270">
        <v>0</v>
      </c>
      <c r="O1270">
        <v>4</v>
      </c>
      <c r="P1270">
        <v>0</v>
      </c>
      <c r="Q1270">
        <v>43.6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3</v>
      </c>
      <c r="AB1270">
        <v>26.8</v>
      </c>
      <c r="AD1270">
        <v>73.400000000000006</v>
      </c>
    </row>
    <row r="1271" spans="1:30" x14ac:dyDescent="0.3">
      <c r="A1271" s="4">
        <v>1285</v>
      </c>
      <c r="B1271" s="5">
        <v>1264</v>
      </c>
      <c r="C1271">
        <v>3888</v>
      </c>
      <c r="D1271" t="s">
        <v>2916</v>
      </c>
      <c r="E1271" t="s">
        <v>54</v>
      </c>
      <c r="F1271" t="s">
        <v>136</v>
      </c>
      <c r="G1271" t="s">
        <v>2917</v>
      </c>
      <c r="H1271" t="str">
        <f>"00350924"</f>
        <v>00350924</v>
      </c>
      <c r="I1271">
        <v>50.4</v>
      </c>
      <c r="J1271">
        <v>10</v>
      </c>
      <c r="N1271">
        <v>0</v>
      </c>
      <c r="O1271">
        <v>4</v>
      </c>
      <c r="P1271">
        <v>0</v>
      </c>
      <c r="Q1271">
        <v>64.400000000000006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9</v>
      </c>
      <c r="AB1271">
        <v>0</v>
      </c>
      <c r="AD1271">
        <v>73.400000000000006</v>
      </c>
    </row>
    <row r="1272" spans="1:30" x14ac:dyDescent="0.3">
      <c r="A1272" s="4">
        <v>1286</v>
      </c>
      <c r="B1272" s="5">
        <v>1265</v>
      </c>
      <c r="C1272">
        <v>2898</v>
      </c>
      <c r="D1272" t="s">
        <v>2918</v>
      </c>
      <c r="E1272" t="s">
        <v>100</v>
      </c>
      <c r="F1272" t="s">
        <v>81</v>
      </c>
      <c r="G1272" t="s">
        <v>2919</v>
      </c>
      <c r="H1272" t="str">
        <f>"00514896"</f>
        <v>00514896</v>
      </c>
      <c r="I1272">
        <v>36.4</v>
      </c>
      <c r="J1272">
        <v>0</v>
      </c>
      <c r="K1272">
        <v>8</v>
      </c>
      <c r="N1272">
        <v>8</v>
      </c>
      <c r="O1272">
        <v>4</v>
      </c>
      <c r="P1272">
        <v>2</v>
      </c>
      <c r="Q1272">
        <v>50.4</v>
      </c>
      <c r="R1272">
        <v>17</v>
      </c>
      <c r="S1272">
        <v>17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17</v>
      </c>
      <c r="AA1272">
        <v>6</v>
      </c>
      <c r="AB1272">
        <v>0</v>
      </c>
      <c r="AD1272">
        <v>73.400000000000006</v>
      </c>
    </row>
    <row r="1273" spans="1:30" x14ac:dyDescent="0.3">
      <c r="A1273" s="4">
        <v>1287</v>
      </c>
      <c r="B1273" s="5">
        <v>1266</v>
      </c>
      <c r="C1273">
        <v>1493</v>
      </c>
      <c r="D1273" t="s">
        <v>2920</v>
      </c>
      <c r="E1273" t="s">
        <v>182</v>
      </c>
      <c r="F1273" t="s">
        <v>626</v>
      </c>
      <c r="G1273" t="s">
        <v>2921</v>
      </c>
      <c r="H1273" t="str">
        <f>"20160706556"</f>
        <v>20160706556</v>
      </c>
      <c r="I1273">
        <v>39.28</v>
      </c>
      <c r="J1273">
        <v>0</v>
      </c>
      <c r="M1273">
        <v>4</v>
      </c>
      <c r="N1273">
        <v>4</v>
      </c>
      <c r="O1273">
        <v>4</v>
      </c>
      <c r="P1273">
        <v>2</v>
      </c>
      <c r="Q1273">
        <v>49.28</v>
      </c>
      <c r="R1273">
        <v>18</v>
      </c>
      <c r="S1273">
        <v>18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18</v>
      </c>
      <c r="AA1273">
        <v>6</v>
      </c>
      <c r="AB1273">
        <v>0</v>
      </c>
      <c r="AD1273">
        <v>73.28</v>
      </c>
    </row>
    <row r="1274" spans="1:30" x14ac:dyDescent="0.3">
      <c r="A1274" s="4">
        <v>1288</v>
      </c>
      <c r="B1274" s="5">
        <v>1267</v>
      </c>
      <c r="C1274">
        <v>3445</v>
      </c>
      <c r="D1274" t="s">
        <v>2922</v>
      </c>
      <c r="E1274" t="s">
        <v>166</v>
      </c>
      <c r="F1274" t="s">
        <v>62</v>
      </c>
      <c r="G1274" t="s">
        <v>2923</v>
      </c>
      <c r="H1274" t="str">
        <f>"00372652"</f>
        <v>00372652</v>
      </c>
      <c r="I1274">
        <v>43.2</v>
      </c>
      <c r="J1274">
        <v>0</v>
      </c>
      <c r="M1274">
        <v>4</v>
      </c>
      <c r="N1274">
        <v>4</v>
      </c>
      <c r="O1274">
        <v>4</v>
      </c>
      <c r="P1274">
        <v>0</v>
      </c>
      <c r="Q1274">
        <v>51.2</v>
      </c>
      <c r="R1274">
        <v>0</v>
      </c>
      <c r="S1274">
        <v>0</v>
      </c>
      <c r="T1274">
        <v>8</v>
      </c>
      <c r="U1274">
        <v>16</v>
      </c>
      <c r="V1274">
        <v>0</v>
      </c>
      <c r="W1274">
        <v>0</v>
      </c>
      <c r="X1274">
        <v>0</v>
      </c>
      <c r="Y1274">
        <v>0</v>
      </c>
      <c r="Z1274">
        <v>16</v>
      </c>
      <c r="AA1274">
        <v>6</v>
      </c>
      <c r="AB1274">
        <v>0</v>
      </c>
      <c r="AD1274">
        <v>73.2</v>
      </c>
    </row>
    <row r="1275" spans="1:30" x14ac:dyDescent="0.3">
      <c r="A1275" s="4">
        <v>1289</v>
      </c>
      <c r="B1275" s="5">
        <v>1268</v>
      </c>
      <c r="C1275">
        <v>4093</v>
      </c>
      <c r="D1275" t="s">
        <v>2924</v>
      </c>
      <c r="E1275" t="s">
        <v>54</v>
      </c>
      <c r="F1275" t="s">
        <v>81</v>
      </c>
      <c r="G1275" t="s">
        <v>2925</v>
      </c>
      <c r="H1275" t="str">
        <f>"00531862"</f>
        <v>00531862</v>
      </c>
      <c r="I1275">
        <v>43.2</v>
      </c>
      <c r="J1275">
        <v>0</v>
      </c>
      <c r="M1275">
        <v>4</v>
      </c>
      <c r="N1275">
        <v>4</v>
      </c>
      <c r="O1275">
        <v>0</v>
      </c>
      <c r="P1275">
        <v>2</v>
      </c>
      <c r="Q1275">
        <v>49.2</v>
      </c>
      <c r="R1275">
        <v>18</v>
      </c>
      <c r="S1275">
        <v>18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18</v>
      </c>
      <c r="AA1275">
        <v>6</v>
      </c>
      <c r="AB1275">
        <v>0</v>
      </c>
      <c r="AD1275">
        <v>73.2</v>
      </c>
    </row>
    <row r="1276" spans="1:30" x14ac:dyDescent="0.3">
      <c r="A1276" s="4">
        <v>1290</v>
      </c>
      <c r="B1276" s="5">
        <v>1269</v>
      </c>
      <c r="C1276">
        <v>1224</v>
      </c>
      <c r="D1276" t="s">
        <v>2926</v>
      </c>
      <c r="E1276" t="s">
        <v>178</v>
      </c>
      <c r="F1276" t="s">
        <v>158</v>
      </c>
      <c r="G1276" t="s">
        <v>2927</v>
      </c>
      <c r="H1276" t="str">
        <f>"00037210"</f>
        <v>00037210</v>
      </c>
      <c r="I1276">
        <v>43.2</v>
      </c>
      <c r="J1276">
        <v>0</v>
      </c>
      <c r="N1276">
        <v>0</v>
      </c>
      <c r="O1276">
        <v>4</v>
      </c>
      <c r="P1276">
        <v>2</v>
      </c>
      <c r="Q1276">
        <v>49.2</v>
      </c>
      <c r="R1276">
        <v>18</v>
      </c>
      <c r="S1276">
        <v>18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18</v>
      </c>
      <c r="AA1276">
        <v>6</v>
      </c>
      <c r="AB1276">
        <v>0</v>
      </c>
      <c r="AD1276">
        <v>73.2</v>
      </c>
    </row>
    <row r="1277" spans="1:30" x14ac:dyDescent="0.3">
      <c r="A1277" s="4">
        <v>1291</v>
      </c>
      <c r="B1277" s="5">
        <v>1270</v>
      </c>
      <c r="C1277">
        <v>2506</v>
      </c>
      <c r="D1277" t="s">
        <v>2928</v>
      </c>
      <c r="E1277" t="s">
        <v>147</v>
      </c>
      <c r="F1277" t="s">
        <v>124</v>
      </c>
      <c r="G1277" t="s">
        <v>2929</v>
      </c>
      <c r="H1277" t="str">
        <f>"00261541"</f>
        <v>00261541</v>
      </c>
      <c r="I1277">
        <v>29.08</v>
      </c>
      <c r="J1277">
        <v>0</v>
      </c>
      <c r="K1277">
        <v>8</v>
      </c>
      <c r="N1277">
        <v>8</v>
      </c>
      <c r="O1277">
        <v>4</v>
      </c>
      <c r="P1277">
        <v>0</v>
      </c>
      <c r="Q1277">
        <v>41.08</v>
      </c>
      <c r="R1277">
        <v>23</v>
      </c>
      <c r="S1277">
        <v>23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23</v>
      </c>
      <c r="AA1277">
        <v>9</v>
      </c>
      <c r="AB1277">
        <v>0</v>
      </c>
      <c r="AD1277">
        <v>73.08</v>
      </c>
    </row>
    <row r="1278" spans="1:30" x14ac:dyDescent="0.3">
      <c r="A1278" s="4">
        <v>1292</v>
      </c>
      <c r="B1278" s="5">
        <v>1271</v>
      </c>
      <c r="C1278">
        <v>1168</v>
      </c>
      <c r="D1278" t="s">
        <v>2930</v>
      </c>
      <c r="E1278" t="s">
        <v>789</v>
      </c>
      <c r="F1278" t="s">
        <v>416</v>
      </c>
      <c r="G1278" t="s">
        <v>2931</v>
      </c>
      <c r="H1278" t="str">
        <f>"00525792"</f>
        <v>00525792</v>
      </c>
      <c r="I1278">
        <v>21.08</v>
      </c>
      <c r="J1278">
        <v>0</v>
      </c>
      <c r="N1278">
        <v>0</v>
      </c>
      <c r="O1278">
        <v>0</v>
      </c>
      <c r="P1278">
        <v>0</v>
      </c>
      <c r="Q1278">
        <v>21.08</v>
      </c>
      <c r="R1278">
        <v>49</v>
      </c>
      <c r="S1278">
        <v>49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49</v>
      </c>
      <c r="AA1278">
        <v>3</v>
      </c>
      <c r="AB1278">
        <v>0</v>
      </c>
      <c r="AD1278">
        <v>73.08</v>
      </c>
    </row>
    <row r="1279" spans="1:30" x14ac:dyDescent="0.3">
      <c r="A1279" s="4">
        <v>1293</v>
      </c>
      <c r="B1279" s="5">
        <v>1272</v>
      </c>
      <c r="C1279">
        <v>46</v>
      </c>
      <c r="D1279" t="s">
        <v>257</v>
      </c>
      <c r="E1279" t="s">
        <v>166</v>
      </c>
      <c r="F1279" t="s">
        <v>101</v>
      </c>
      <c r="G1279" t="s">
        <v>2932</v>
      </c>
      <c r="H1279" t="str">
        <f>"200904000235"</f>
        <v>200904000235</v>
      </c>
      <c r="I1279">
        <v>40</v>
      </c>
      <c r="J1279">
        <v>10</v>
      </c>
      <c r="K1279">
        <v>8</v>
      </c>
      <c r="N1279">
        <v>8</v>
      </c>
      <c r="O1279">
        <v>4</v>
      </c>
      <c r="P1279">
        <v>2</v>
      </c>
      <c r="Q1279">
        <v>64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9</v>
      </c>
      <c r="AB1279">
        <v>0</v>
      </c>
      <c r="AD1279">
        <v>73</v>
      </c>
    </row>
    <row r="1280" spans="1:30" x14ac:dyDescent="0.3">
      <c r="A1280" s="4">
        <v>1294</v>
      </c>
      <c r="B1280" s="5">
        <v>1273</v>
      </c>
      <c r="C1280">
        <v>2900</v>
      </c>
      <c r="D1280" t="s">
        <v>2933</v>
      </c>
      <c r="E1280" t="s">
        <v>88</v>
      </c>
      <c r="F1280" t="s">
        <v>158</v>
      </c>
      <c r="G1280" t="s">
        <v>2934</v>
      </c>
      <c r="H1280" t="str">
        <f>"00534903"</f>
        <v>00534903</v>
      </c>
      <c r="I1280">
        <v>40</v>
      </c>
      <c r="J1280">
        <v>10</v>
      </c>
      <c r="K1280">
        <v>8</v>
      </c>
      <c r="N1280">
        <v>8</v>
      </c>
      <c r="O1280">
        <v>4</v>
      </c>
      <c r="P1280">
        <v>2</v>
      </c>
      <c r="Q1280">
        <v>64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9</v>
      </c>
      <c r="AB1280">
        <v>0</v>
      </c>
      <c r="AD1280">
        <v>73</v>
      </c>
    </row>
    <row r="1281" spans="1:30" x14ac:dyDescent="0.3">
      <c r="A1281" s="4">
        <v>1295</v>
      </c>
      <c r="B1281" s="5">
        <v>1274</v>
      </c>
      <c r="C1281">
        <v>4144</v>
      </c>
      <c r="D1281" t="s">
        <v>2935</v>
      </c>
      <c r="E1281" t="s">
        <v>161</v>
      </c>
      <c r="F1281" t="s">
        <v>20</v>
      </c>
      <c r="G1281" t="s">
        <v>2936</v>
      </c>
      <c r="H1281" t="str">
        <f>"200802011399"</f>
        <v>200802011399</v>
      </c>
      <c r="I1281">
        <v>40</v>
      </c>
      <c r="J1281">
        <v>0</v>
      </c>
      <c r="M1281">
        <v>4</v>
      </c>
      <c r="N1281">
        <v>4</v>
      </c>
      <c r="O1281">
        <v>4</v>
      </c>
      <c r="P1281">
        <v>2</v>
      </c>
      <c r="Q1281">
        <v>50</v>
      </c>
      <c r="R1281">
        <v>17</v>
      </c>
      <c r="S1281">
        <v>17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17</v>
      </c>
      <c r="AA1281">
        <v>6</v>
      </c>
      <c r="AB1281">
        <v>0</v>
      </c>
      <c r="AD1281">
        <v>73</v>
      </c>
    </row>
    <row r="1282" spans="1:30" x14ac:dyDescent="0.3">
      <c r="A1282" s="4">
        <v>1296</v>
      </c>
      <c r="B1282" s="5">
        <v>1275</v>
      </c>
      <c r="C1282">
        <v>3244</v>
      </c>
      <c r="D1282" t="s">
        <v>2937</v>
      </c>
      <c r="E1282" t="s">
        <v>29</v>
      </c>
      <c r="F1282" t="s">
        <v>124</v>
      </c>
      <c r="G1282" t="s">
        <v>2938</v>
      </c>
      <c r="H1282" t="str">
        <f>"00273099"</f>
        <v>00273099</v>
      </c>
      <c r="I1282">
        <v>40</v>
      </c>
      <c r="J1282">
        <v>0</v>
      </c>
      <c r="M1282">
        <v>4</v>
      </c>
      <c r="N1282">
        <v>4</v>
      </c>
      <c r="O1282">
        <v>4</v>
      </c>
      <c r="P1282">
        <v>2</v>
      </c>
      <c r="Q1282">
        <v>50</v>
      </c>
      <c r="R1282">
        <v>17</v>
      </c>
      <c r="S1282">
        <v>17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17</v>
      </c>
      <c r="AA1282">
        <v>6</v>
      </c>
      <c r="AB1282">
        <v>0</v>
      </c>
      <c r="AD1282">
        <v>73</v>
      </c>
    </row>
    <row r="1283" spans="1:30" x14ac:dyDescent="0.3">
      <c r="A1283" s="4">
        <v>1297</v>
      </c>
      <c r="B1283" s="5">
        <v>1276</v>
      </c>
      <c r="C1283">
        <v>2708</v>
      </c>
      <c r="D1283" t="s">
        <v>1342</v>
      </c>
      <c r="E1283" t="s">
        <v>2939</v>
      </c>
      <c r="F1283" t="s">
        <v>2360</v>
      </c>
      <c r="G1283" t="s">
        <v>2940</v>
      </c>
      <c r="H1283" t="str">
        <f>"00158998"</f>
        <v>00158998</v>
      </c>
      <c r="I1283">
        <v>34</v>
      </c>
      <c r="J1283">
        <v>10</v>
      </c>
      <c r="N1283">
        <v>0</v>
      </c>
      <c r="O1283">
        <v>4</v>
      </c>
      <c r="P1283">
        <v>2</v>
      </c>
      <c r="Q1283">
        <v>50</v>
      </c>
      <c r="R1283">
        <v>17</v>
      </c>
      <c r="S1283">
        <v>17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17</v>
      </c>
      <c r="AA1283">
        <v>6</v>
      </c>
      <c r="AB1283">
        <v>0</v>
      </c>
      <c r="AD1283">
        <v>73</v>
      </c>
    </row>
    <row r="1284" spans="1:30" x14ac:dyDescent="0.3">
      <c r="A1284" s="4">
        <v>1298</v>
      </c>
      <c r="B1284" s="5">
        <v>1277</v>
      </c>
      <c r="C1284">
        <v>2919</v>
      </c>
      <c r="D1284" t="s">
        <v>2941</v>
      </c>
      <c r="E1284" t="s">
        <v>1016</v>
      </c>
      <c r="F1284" t="s">
        <v>587</v>
      </c>
      <c r="G1284" t="s">
        <v>2942</v>
      </c>
      <c r="H1284" t="str">
        <f>"00507546"</f>
        <v>00507546</v>
      </c>
      <c r="I1284">
        <v>36</v>
      </c>
      <c r="J1284">
        <v>0</v>
      </c>
      <c r="M1284">
        <v>4</v>
      </c>
      <c r="N1284">
        <v>4</v>
      </c>
      <c r="O1284">
        <v>4</v>
      </c>
      <c r="P1284">
        <v>2</v>
      </c>
      <c r="Q1284">
        <v>46</v>
      </c>
      <c r="R1284">
        <v>27</v>
      </c>
      <c r="S1284">
        <v>27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27</v>
      </c>
      <c r="AA1284">
        <v>0</v>
      </c>
      <c r="AB1284">
        <v>0</v>
      </c>
      <c r="AD1284">
        <v>73</v>
      </c>
    </row>
    <row r="1285" spans="1:30" x14ac:dyDescent="0.3">
      <c r="A1285" s="4">
        <v>1299</v>
      </c>
      <c r="B1285" s="5">
        <v>1278</v>
      </c>
      <c r="C1285">
        <v>4351</v>
      </c>
      <c r="D1285" t="s">
        <v>2943</v>
      </c>
      <c r="E1285" t="s">
        <v>41</v>
      </c>
      <c r="F1285" t="s">
        <v>2944</v>
      </c>
      <c r="G1285" t="s">
        <v>2945</v>
      </c>
      <c r="H1285" t="str">
        <f>"00531901"</f>
        <v>00531901</v>
      </c>
      <c r="I1285">
        <v>36</v>
      </c>
      <c r="J1285">
        <v>0</v>
      </c>
      <c r="N1285">
        <v>0</v>
      </c>
      <c r="O1285">
        <v>4</v>
      </c>
      <c r="P1285">
        <v>0</v>
      </c>
      <c r="Q1285">
        <v>40</v>
      </c>
      <c r="R1285">
        <v>33</v>
      </c>
      <c r="S1285">
        <v>33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33</v>
      </c>
      <c r="AA1285">
        <v>0</v>
      </c>
      <c r="AB1285">
        <v>0</v>
      </c>
      <c r="AD1285">
        <v>73</v>
      </c>
    </row>
    <row r="1286" spans="1:30" x14ac:dyDescent="0.3">
      <c r="A1286" s="4">
        <v>1300</v>
      </c>
      <c r="B1286" s="5">
        <v>1279</v>
      </c>
      <c r="C1286">
        <v>1300</v>
      </c>
      <c r="D1286" t="s">
        <v>2946</v>
      </c>
      <c r="E1286" t="s">
        <v>286</v>
      </c>
      <c r="F1286" t="s">
        <v>539</v>
      </c>
      <c r="G1286" t="s">
        <v>2947</v>
      </c>
      <c r="H1286" t="str">
        <f>"00507987"</f>
        <v>00507987</v>
      </c>
      <c r="I1286">
        <v>0</v>
      </c>
      <c r="J1286">
        <v>10</v>
      </c>
      <c r="N1286">
        <v>0</v>
      </c>
      <c r="O1286">
        <v>0</v>
      </c>
      <c r="P1286">
        <v>0</v>
      </c>
      <c r="Q1286">
        <v>10</v>
      </c>
      <c r="R1286">
        <v>45</v>
      </c>
      <c r="S1286">
        <v>45</v>
      </c>
      <c r="T1286">
        <v>9</v>
      </c>
      <c r="U1286">
        <v>18</v>
      </c>
      <c r="V1286">
        <v>0</v>
      </c>
      <c r="W1286">
        <v>0</v>
      </c>
      <c r="X1286">
        <v>0</v>
      </c>
      <c r="Y1286">
        <v>0</v>
      </c>
      <c r="Z1286">
        <v>63</v>
      </c>
      <c r="AA1286">
        <v>0</v>
      </c>
      <c r="AB1286">
        <v>0</v>
      </c>
      <c r="AD1286">
        <v>73</v>
      </c>
    </row>
    <row r="1287" spans="1:30" x14ac:dyDescent="0.3">
      <c r="A1287" s="4">
        <v>1301</v>
      </c>
      <c r="B1287" s="5">
        <v>1280</v>
      </c>
      <c r="C1287">
        <v>792</v>
      </c>
      <c r="D1287" t="s">
        <v>2948</v>
      </c>
      <c r="E1287" t="s">
        <v>157</v>
      </c>
      <c r="F1287" t="s">
        <v>38</v>
      </c>
      <c r="G1287" t="s">
        <v>2949</v>
      </c>
      <c r="H1287" t="str">
        <f>"201511005676"</f>
        <v>201511005676</v>
      </c>
      <c r="I1287">
        <v>28.8</v>
      </c>
      <c r="J1287">
        <v>10</v>
      </c>
      <c r="M1287">
        <v>4</v>
      </c>
      <c r="N1287">
        <v>4</v>
      </c>
      <c r="O1287">
        <v>4</v>
      </c>
      <c r="P1287">
        <v>2</v>
      </c>
      <c r="Q1287">
        <v>48.8</v>
      </c>
      <c r="R1287">
        <v>18</v>
      </c>
      <c r="S1287">
        <v>18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18</v>
      </c>
      <c r="AA1287">
        <v>6</v>
      </c>
      <c r="AB1287">
        <v>0</v>
      </c>
      <c r="AD1287">
        <v>72.8</v>
      </c>
    </row>
    <row r="1288" spans="1:30" x14ac:dyDescent="0.3">
      <c r="A1288" s="4">
        <v>1302</v>
      </c>
      <c r="B1288" s="5">
        <v>1281</v>
      </c>
      <c r="C1288">
        <v>914</v>
      </c>
      <c r="D1288" t="s">
        <v>1849</v>
      </c>
      <c r="E1288" t="s">
        <v>406</v>
      </c>
      <c r="F1288" t="s">
        <v>30</v>
      </c>
      <c r="G1288" t="s">
        <v>2950</v>
      </c>
      <c r="H1288" t="str">
        <f>"00531961"</f>
        <v>00531961</v>
      </c>
      <c r="I1288">
        <v>28.8</v>
      </c>
      <c r="J1288">
        <v>10</v>
      </c>
      <c r="M1288">
        <v>4</v>
      </c>
      <c r="N1288">
        <v>4</v>
      </c>
      <c r="O1288">
        <v>4</v>
      </c>
      <c r="P1288">
        <v>2</v>
      </c>
      <c r="Q1288">
        <v>48.8</v>
      </c>
      <c r="R1288">
        <v>18</v>
      </c>
      <c r="S1288">
        <v>18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18</v>
      </c>
      <c r="AA1288">
        <v>6</v>
      </c>
      <c r="AB1288">
        <v>0</v>
      </c>
      <c r="AD1288">
        <v>72.8</v>
      </c>
    </row>
    <row r="1289" spans="1:30" x14ac:dyDescent="0.3">
      <c r="A1289" s="4">
        <v>1303</v>
      </c>
      <c r="B1289" s="5">
        <v>1282</v>
      </c>
      <c r="C1289">
        <v>2747</v>
      </c>
      <c r="D1289" t="s">
        <v>2951</v>
      </c>
      <c r="E1289" t="s">
        <v>1280</v>
      </c>
      <c r="F1289" t="s">
        <v>38</v>
      </c>
      <c r="G1289" t="s">
        <v>2952</v>
      </c>
      <c r="H1289" t="str">
        <f>"00228201"</f>
        <v>00228201</v>
      </c>
      <c r="I1289">
        <v>64.8</v>
      </c>
      <c r="J1289">
        <v>0</v>
      </c>
      <c r="M1289">
        <v>4</v>
      </c>
      <c r="N1289">
        <v>4</v>
      </c>
      <c r="O1289">
        <v>4</v>
      </c>
      <c r="P1289">
        <v>0</v>
      </c>
      <c r="Q1289">
        <v>72.8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D1289">
        <v>72.8</v>
      </c>
    </row>
    <row r="1290" spans="1:30" x14ac:dyDescent="0.3">
      <c r="A1290" s="4">
        <v>1304</v>
      </c>
      <c r="B1290" s="5">
        <v>1283</v>
      </c>
      <c r="C1290">
        <v>2086</v>
      </c>
      <c r="D1290" t="s">
        <v>2953</v>
      </c>
      <c r="E1290" t="s">
        <v>188</v>
      </c>
      <c r="F1290" t="s">
        <v>1748</v>
      </c>
      <c r="G1290" t="s">
        <v>2954</v>
      </c>
      <c r="H1290" t="str">
        <f>"00864982"</f>
        <v>00864982</v>
      </c>
      <c r="I1290">
        <v>64.8</v>
      </c>
      <c r="J1290">
        <v>0</v>
      </c>
      <c r="M1290">
        <v>4</v>
      </c>
      <c r="N1290">
        <v>4</v>
      </c>
      <c r="O1290">
        <v>4</v>
      </c>
      <c r="P1290">
        <v>0</v>
      </c>
      <c r="Q1290">
        <v>72.8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D1290">
        <v>72.8</v>
      </c>
    </row>
    <row r="1291" spans="1:30" x14ac:dyDescent="0.3">
      <c r="A1291" s="4">
        <v>1305</v>
      </c>
      <c r="B1291" s="5">
        <v>1284</v>
      </c>
      <c r="C1291">
        <v>3629</v>
      </c>
      <c r="D1291" t="s">
        <v>2955</v>
      </c>
      <c r="E1291" t="s">
        <v>213</v>
      </c>
      <c r="F1291" t="s">
        <v>136</v>
      </c>
      <c r="G1291" t="s">
        <v>2956</v>
      </c>
      <c r="H1291" t="str">
        <f>"201402009651"</f>
        <v>201402009651</v>
      </c>
      <c r="I1291">
        <v>64.8</v>
      </c>
      <c r="J1291">
        <v>0</v>
      </c>
      <c r="M1291">
        <v>4</v>
      </c>
      <c r="N1291">
        <v>4</v>
      </c>
      <c r="O1291">
        <v>4</v>
      </c>
      <c r="P1291">
        <v>0</v>
      </c>
      <c r="Q1291">
        <v>72.8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D1291">
        <v>72.8</v>
      </c>
    </row>
    <row r="1292" spans="1:30" x14ac:dyDescent="0.3">
      <c r="A1292" s="4">
        <v>1306</v>
      </c>
      <c r="B1292" s="5">
        <v>1285</v>
      </c>
      <c r="C1292">
        <v>4064</v>
      </c>
      <c r="D1292" t="s">
        <v>1663</v>
      </c>
      <c r="E1292" t="s">
        <v>1117</v>
      </c>
      <c r="F1292" t="s">
        <v>38</v>
      </c>
      <c r="G1292" t="s">
        <v>2957</v>
      </c>
      <c r="H1292" t="str">
        <f>"00736391"</f>
        <v>00736391</v>
      </c>
      <c r="I1292">
        <v>64.8</v>
      </c>
      <c r="J1292">
        <v>0</v>
      </c>
      <c r="M1292">
        <v>4</v>
      </c>
      <c r="N1292">
        <v>4</v>
      </c>
      <c r="O1292">
        <v>4</v>
      </c>
      <c r="P1292">
        <v>0</v>
      </c>
      <c r="Q1292">
        <v>72.8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D1292">
        <v>72.8</v>
      </c>
    </row>
    <row r="1293" spans="1:30" x14ac:dyDescent="0.3">
      <c r="A1293" s="4">
        <v>1307</v>
      </c>
      <c r="B1293" s="5">
        <v>1286</v>
      </c>
      <c r="C1293">
        <v>1274</v>
      </c>
      <c r="D1293" t="s">
        <v>434</v>
      </c>
      <c r="E1293" t="s">
        <v>166</v>
      </c>
      <c r="F1293" t="s">
        <v>1274</v>
      </c>
      <c r="G1293" t="s">
        <v>2958</v>
      </c>
      <c r="H1293" t="str">
        <f>"00855252"</f>
        <v>00855252</v>
      </c>
      <c r="I1293">
        <v>64.8</v>
      </c>
      <c r="J1293">
        <v>0</v>
      </c>
      <c r="M1293">
        <v>4</v>
      </c>
      <c r="N1293">
        <v>4</v>
      </c>
      <c r="O1293">
        <v>4</v>
      </c>
      <c r="P1293">
        <v>0</v>
      </c>
      <c r="Q1293">
        <v>72.8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D1293">
        <v>72.8</v>
      </c>
    </row>
    <row r="1294" spans="1:30" x14ac:dyDescent="0.3">
      <c r="A1294" s="4">
        <v>1308</v>
      </c>
      <c r="B1294" s="5">
        <v>1287</v>
      </c>
      <c r="C1294">
        <v>3828</v>
      </c>
      <c r="D1294" t="s">
        <v>2959</v>
      </c>
      <c r="E1294" t="s">
        <v>182</v>
      </c>
      <c r="F1294" t="s">
        <v>136</v>
      </c>
      <c r="G1294" t="s">
        <v>2960</v>
      </c>
      <c r="H1294" t="str">
        <f>"00530791"</f>
        <v>00530791</v>
      </c>
      <c r="I1294">
        <v>64.8</v>
      </c>
      <c r="J1294">
        <v>0</v>
      </c>
      <c r="M1294">
        <v>4</v>
      </c>
      <c r="N1294">
        <v>4</v>
      </c>
      <c r="O1294">
        <v>4</v>
      </c>
      <c r="P1294">
        <v>0</v>
      </c>
      <c r="Q1294">
        <v>72.8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D1294">
        <v>72.8</v>
      </c>
    </row>
    <row r="1295" spans="1:30" x14ac:dyDescent="0.3">
      <c r="A1295" s="4">
        <v>1309</v>
      </c>
      <c r="B1295" s="5">
        <v>1288</v>
      </c>
      <c r="C1295">
        <v>2974</v>
      </c>
      <c r="D1295" t="s">
        <v>2961</v>
      </c>
      <c r="E1295" t="s">
        <v>789</v>
      </c>
      <c r="F1295" t="s">
        <v>81</v>
      </c>
      <c r="G1295" t="s">
        <v>2962</v>
      </c>
      <c r="H1295" t="str">
        <f>"00110359"</f>
        <v>00110359</v>
      </c>
      <c r="I1295">
        <v>28.8</v>
      </c>
      <c r="J1295">
        <v>10</v>
      </c>
      <c r="L1295">
        <v>6</v>
      </c>
      <c r="M1295">
        <v>4</v>
      </c>
      <c r="N1295">
        <v>10</v>
      </c>
      <c r="O1295">
        <v>4</v>
      </c>
      <c r="P1295">
        <v>2</v>
      </c>
      <c r="Q1295">
        <v>54.8</v>
      </c>
      <c r="R1295">
        <v>18</v>
      </c>
      <c r="S1295">
        <v>18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18</v>
      </c>
      <c r="AA1295">
        <v>0</v>
      </c>
      <c r="AB1295">
        <v>0</v>
      </c>
      <c r="AD1295">
        <v>72.8</v>
      </c>
    </row>
    <row r="1296" spans="1:30" x14ac:dyDescent="0.3">
      <c r="A1296" s="4">
        <v>1310</v>
      </c>
      <c r="B1296" s="5">
        <v>1289</v>
      </c>
      <c r="C1296">
        <v>201</v>
      </c>
      <c r="D1296" t="s">
        <v>2963</v>
      </c>
      <c r="E1296" t="s">
        <v>2964</v>
      </c>
      <c r="F1296" t="s">
        <v>34</v>
      </c>
      <c r="G1296" t="s">
        <v>2965</v>
      </c>
      <c r="H1296" t="str">
        <f>"00507682"</f>
        <v>00507682</v>
      </c>
      <c r="I1296">
        <v>29.76</v>
      </c>
      <c r="J1296">
        <v>0</v>
      </c>
      <c r="M1296">
        <v>4</v>
      </c>
      <c r="N1296">
        <v>4</v>
      </c>
      <c r="O1296">
        <v>0</v>
      </c>
      <c r="P1296">
        <v>2</v>
      </c>
      <c r="Q1296">
        <v>35.76</v>
      </c>
      <c r="R1296">
        <v>34</v>
      </c>
      <c r="S1296">
        <v>34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34</v>
      </c>
      <c r="AA1296">
        <v>3</v>
      </c>
      <c r="AB1296">
        <v>0</v>
      </c>
      <c r="AD1296">
        <v>72.760000000000005</v>
      </c>
    </row>
    <row r="1297" spans="1:30" x14ac:dyDescent="0.3">
      <c r="A1297" s="4">
        <v>1311</v>
      </c>
      <c r="B1297" s="5">
        <v>1290</v>
      </c>
      <c r="C1297">
        <v>3699</v>
      </c>
      <c r="D1297" t="s">
        <v>2966</v>
      </c>
      <c r="E1297" t="s">
        <v>41</v>
      </c>
      <c r="F1297" t="s">
        <v>62</v>
      </c>
      <c r="G1297" t="s">
        <v>2967</v>
      </c>
      <c r="H1297" t="str">
        <f>"00621645"</f>
        <v>00621645</v>
      </c>
      <c r="I1297">
        <v>57.6</v>
      </c>
      <c r="J1297">
        <v>0</v>
      </c>
      <c r="M1297">
        <v>4</v>
      </c>
      <c r="N1297">
        <v>4</v>
      </c>
      <c r="O1297">
        <v>0</v>
      </c>
      <c r="P1297">
        <v>2</v>
      </c>
      <c r="Q1297">
        <v>63.6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9</v>
      </c>
      <c r="AB1297">
        <v>0</v>
      </c>
      <c r="AD1297">
        <v>72.599999999999994</v>
      </c>
    </row>
    <row r="1298" spans="1:30" x14ac:dyDescent="0.3">
      <c r="A1298" s="4">
        <v>1312</v>
      </c>
      <c r="B1298" s="5">
        <v>1291</v>
      </c>
      <c r="C1298">
        <v>313</v>
      </c>
      <c r="D1298" t="s">
        <v>1669</v>
      </c>
      <c r="E1298" t="s">
        <v>188</v>
      </c>
      <c r="F1298" t="s">
        <v>20</v>
      </c>
      <c r="G1298" t="s">
        <v>2968</v>
      </c>
      <c r="H1298" t="str">
        <f>"00439972"</f>
        <v>00439972</v>
      </c>
      <c r="I1298">
        <v>37.6</v>
      </c>
      <c r="J1298">
        <v>0</v>
      </c>
      <c r="M1298">
        <v>4</v>
      </c>
      <c r="N1298">
        <v>4</v>
      </c>
      <c r="O1298">
        <v>0</v>
      </c>
      <c r="P1298">
        <v>0</v>
      </c>
      <c r="Q1298">
        <v>41.6</v>
      </c>
      <c r="R1298">
        <v>25</v>
      </c>
      <c r="S1298">
        <v>25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25</v>
      </c>
      <c r="AA1298">
        <v>6</v>
      </c>
      <c r="AB1298">
        <v>0</v>
      </c>
      <c r="AD1298">
        <v>72.599999999999994</v>
      </c>
    </row>
    <row r="1299" spans="1:30" x14ac:dyDescent="0.3">
      <c r="A1299" s="4">
        <v>1313</v>
      </c>
      <c r="B1299" s="5">
        <v>1292</v>
      </c>
      <c r="C1299">
        <v>3143</v>
      </c>
      <c r="D1299" t="s">
        <v>1033</v>
      </c>
      <c r="E1299" t="s">
        <v>51</v>
      </c>
      <c r="F1299" t="s">
        <v>136</v>
      </c>
      <c r="G1299" t="s">
        <v>2969</v>
      </c>
      <c r="H1299" t="str">
        <f>"00532354"</f>
        <v>00532354</v>
      </c>
      <c r="I1299">
        <v>21.6</v>
      </c>
      <c r="J1299">
        <v>0</v>
      </c>
      <c r="N1299">
        <v>0</v>
      </c>
      <c r="O1299">
        <v>4</v>
      </c>
      <c r="P1299">
        <v>2</v>
      </c>
      <c r="Q1299">
        <v>27.6</v>
      </c>
      <c r="R1299">
        <v>39</v>
      </c>
      <c r="S1299">
        <v>39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39</v>
      </c>
      <c r="AA1299">
        <v>6</v>
      </c>
      <c r="AB1299">
        <v>0</v>
      </c>
      <c r="AD1299">
        <v>72.599999999999994</v>
      </c>
    </row>
    <row r="1300" spans="1:30" x14ac:dyDescent="0.3">
      <c r="A1300" s="4">
        <v>1314</v>
      </c>
      <c r="B1300" s="5">
        <v>1293</v>
      </c>
      <c r="C1300">
        <v>3853</v>
      </c>
      <c r="D1300" t="s">
        <v>2970</v>
      </c>
      <c r="E1300" t="s">
        <v>550</v>
      </c>
      <c r="F1300" t="s">
        <v>136</v>
      </c>
      <c r="G1300" t="s">
        <v>2971</v>
      </c>
      <c r="H1300" t="str">
        <f>"00605387"</f>
        <v>00605387</v>
      </c>
      <c r="I1300">
        <v>57.6</v>
      </c>
      <c r="J1300">
        <v>0</v>
      </c>
      <c r="L1300">
        <v>6</v>
      </c>
      <c r="N1300">
        <v>6</v>
      </c>
      <c r="O1300">
        <v>4</v>
      </c>
      <c r="P1300">
        <v>2</v>
      </c>
      <c r="Q1300">
        <v>69.599999999999994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3</v>
      </c>
      <c r="AB1300">
        <v>0</v>
      </c>
      <c r="AD1300">
        <v>72.599999999999994</v>
      </c>
    </row>
    <row r="1301" spans="1:30" x14ac:dyDescent="0.3">
      <c r="A1301" s="4">
        <v>1315</v>
      </c>
      <c r="B1301" s="5">
        <v>1294</v>
      </c>
      <c r="C1301">
        <v>3198</v>
      </c>
      <c r="D1301" t="s">
        <v>2972</v>
      </c>
      <c r="E1301" t="s">
        <v>41</v>
      </c>
      <c r="F1301" t="s">
        <v>587</v>
      </c>
      <c r="G1301" t="s">
        <v>2973</v>
      </c>
      <c r="H1301" t="str">
        <f>"00859053"</f>
        <v>00859053</v>
      </c>
      <c r="I1301">
        <v>57.6</v>
      </c>
      <c r="J1301">
        <v>0</v>
      </c>
      <c r="L1301">
        <v>6</v>
      </c>
      <c r="M1301">
        <v>4</v>
      </c>
      <c r="N1301">
        <v>10</v>
      </c>
      <c r="O1301">
        <v>0</v>
      </c>
      <c r="P1301">
        <v>2</v>
      </c>
      <c r="Q1301">
        <v>69.599999999999994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3</v>
      </c>
      <c r="AB1301">
        <v>0</v>
      </c>
      <c r="AD1301">
        <v>72.599999999999994</v>
      </c>
    </row>
    <row r="1302" spans="1:30" x14ac:dyDescent="0.3">
      <c r="A1302" s="4">
        <v>1316</v>
      </c>
      <c r="B1302" s="5">
        <v>1295</v>
      </c>
      <c r="C1302">
        <v>2037</v>
      </c>
      <c r="D1302" t="s">
        <v>2974</v>
      </c>
      <c r="E1302" t="s">
        <v>33</v>
      </c>
      <c r="F1302" t="s">
        <v>17</v>
      </c>
      <c r="G1302" t="s">
        <v>2975</v>
      </c>
      <c r="H1302" t="str">
        <f>"00512524"</f>
        <v>00512524</v>
      </c>
      <c r="I1302">
        <v>21.6</v>
      </c>
      <c r="J1302">
        <v>0</v>
      </c>
      <c r="K1302">
        <v>8</v>
      </c>
      <c r="N1302">
        <v>8</v>
      </c>
      <c r="O1302">
        <v>4</v>
      </c>
      <c r="P1302">
        <v>2</v>
      </c>
      <c r="Q1302">
        <v>35.6</v>
      </c>
      <c r="R1302">
        <v>37</v>
      </c>
      <c r="S1302">
        <v>37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37</v>
      </c>
      <c r="AA1302">
        <v>0</v>
      </c>
      <c r="AB1302">
        <v>0</v>
      </c>
      <c r="AD1302">
        <v>72.599999999999994</v>
      </c>
    </row>
    <row r="1303" spans="1:30" x14ac:dyDescent="0.3">
      <c r="A1303" s="4">
        <v>1317</v>
      </c>
      <c r="B1303" s="5">
        <v>1296</v>
      </c>
      <c r="C1303">
        <v>4044</v>
      </c>
      <c r="D1303" t="s">
        <v>2976</v>
      </c>
      <c r="E1303" t="s">
        <v>2977</v>
      </c>
      <c r="F1303" t="s">
        <v>782</v>
      </c>
      <c r="G1303" t="s">
        <v>32031</v>
      </c>
      <c r="H1303" t="str">
        <f>"00855369"</f>
        <v>00855369</v>
      </c>
      <c r="I1303">
        <v>50.4</v>
      </c>
      <c r="J1303">
        <v>0</v>
      </c>
      <c r="N1303">
        <v>0</v>
      </c>
      <c r="O1303">
        <v>0</v>
      </c>
      <c r="P1303">
        <v>2</v>
      </c>
      <c r="Q1303">
        <v>52.4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20</v>
      </c>
      <c r="AD1303">
        <v>72.400000000000006</v>
      </c>
    </row>
    <row r="1304" spans="1:30" x14ac:dyDescent="0.3">
      <c r="A1304" s="4">
        <v>1318</v>
      </c>
      <c r="B1304" s="5">
        <v>1297</v>
      </c>
      <c r="C1304">
        <v>3904</v>
      </c>
      <c r="D1304" t="s">
        <v>2978</v>
      </c>
      <c r="E1304" t="s">
        <v>2150</v>
      </c>
      <c r="F1304" t="s">
        <v>136</v>
      </c>
      <c r="G1304" t="s">
        <v>2979</v>
      </c>
      <c r="H1304" t="str">
        <f>"201511025938"</f>
        <v>201511025938</v>
      </c>
      <c r="I1304">
        <v>50.4</v>
      </c>
      <c r="J1304">
        <v>10</v>
      </c>
      <c r="N1304">
        <v>0</v>
      </c>
      <c r="O1304">
        <v>4</v>
      </c>
      <c r="P1304">
        <v>2</v>
      </c>
      <c r="Q1304">
        <v>66.400000000000006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6</v>
      </c>
      <c r="AB1304">
        <v>0</v>
      </c>
      <c r="AD1304">
        <v>72.400000000000006</v>
      </c>
    </row>
    <row r="1305" spans="1:30" x14ac:dyDescent="0.3">
      <c r="A1305" s="4">
        <v>1319</v>
      </c>
      <c r="B1305" s="5">
        <v>1298</v>
      </c>
      <c r="C1305">
        <v>1190</v>
      </c>
      <c r="D1305" t="s">
        <v>2980</v>
      </c>
      <c r="E1305" t="s">
        <v>132</v>
      </c>
      <c r="F1305" t="s">
        <v>38</v>
      </c>
      <c r="G1305" t="s">
        <v>2981</v>
      </c>
      <c r="H1305" t="str">
        <f>"00530413"</f>
        <v>00530413</v>
      </c>
      <c r="I1305">
        <v>50.4</v>
      </c>
      <c r="J1305">
        <v>0</v>
      </c>
      <c r="M1305">
        <v>4</v>
      </c>
      <c r="N1305">
        <v>4</v>
      </c>
      <c r="O1305">
        <v>4</v>
      </c>
      <c r="P1305">
        <v>2</v>
      </c>
      <c r="Q1305">
        <v>60.4</v>
      </c>
      <c r="R1305">
        <v>6</v>
      </c>
      <c r="S1305">
        <v>6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6</v>
      </c>
      <c r="AA1305">
        <v>6</v>
      </c>
      <c r="AB1305">
        <v>0</v>
      </c>
      <c r="AD1305">
        <v>72.400000000000006</v>
      </c>
    </row>
    <row r="1306" spans="1:30" x14ac:dyDescent="0.3">
      <c r="A1306" s="4">
        <v>1320</v>
      </c>
      <c r="B1306" s="5">
        <v>1299</v>
      </c>
      <c r="C1306">
        <v>4908</v>
      </c>
      <c r="D1306" t="s">
        <v>2982</v>
      </c>
      <c r="E1306" t="s">
        <v>29</v>
      </c>
      <c r="F1306" t="s">
        <v>2983</v>
      </c>
      <c r="G1306" t="s">
        <v>2984</v>
      </c>
      <c r="H1306" t="str">
        <f>"00537610"</f>
        <v>00537610</v>
      </c>
      <c r="I1306">
        <v>50.4</v>
      </c>
      <c r="J1306">
        <v>0</v>
      </c>
      <c r="K1306">
        <v>16</v>
      </c>
      <c r="N1306">
        <v>16</v>
      </c>
      <c r="O1306">
        <v>4</v>
      </c>
      <c r="P1306">
        <v>2</v>
      </c>
      <c r="Q1306">
        <v>72.400000000000006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D1306">
        <v>72.400000000000006</v>
      </c>
    </row>
    <row r="1307" spans="1:30" x14ac:dyDescent="0.3">
      <c r="A1307" s="4">
        <v>1321</v>
      </c>
      <c r="B1307" s="5">
        <v>1300</v>
      </c>
      <c r="C1307">
        <v>52</v>
      </c>
      <c r="D1307" t="s">
        <v>2985</v>
      </c>
      <c r="E1307" t="s">
        <v>170</v>
      </c>
      <c r="F1307" t="s">
        <v>30</v>
      </c>
      <c r="G1307" t="s">
        <v>2986</v>
      </c>
      <c r="H1307" t="str">
        <f>"00113759"</f>
        <v>00113759</v>
      </c>
      <c r="I1307">
        <v>50.4</v>
      </c>
      <c r="J1307">
        <v>10</v>
      </c>
      <c r="L1307">
        <v>6</v>
      </c>
      <c r="N1307">
        <v>6</v>
      </c>
      <c r="O1307">
        <v>4</v>
      </c>
      <c r="P1307">
        <v>2</v>
      </c>
      <c r="Q1307">
        <v>72.400000000000006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D1307">
        <v>72.400000000000006</v>
      </c>
    </row>
    <row r="1308" spans="1:30" x14ac:dyDescent="0.3">
      <c r="A1308" s="4">
        <v>1322</v>
      </c>
      <c r="B1308" s="5">
        <v>1301</v>
      </c>
      <c r="C1308">
        <v>3307</v>
      </c>
      <c r="D1308" t="s">
        <v>2987</v>
      </c>
      <c r="E1308" t="s">
        <v>41</v>
      </c>
      <c r="F1308" t="s">
        <v>328</v>
      </c>
      <c r="G1308" t="s">
        <v>2988</v>
      </c>
      <c r="H1308" t="str">
        <f>"00531921"</f>
        <v>00531921</v>
      </c>
      <c r="I1308">
        <v>50.4</v>
      </c>
      <c r="J1308">
        <v>10</v>
      </c>
      <c r="N1308">
        <v>0</v>
      </c>
      <c r="O1308">
        <v>4</v>
      </c>
      <c r="P1308">
        <v>0</v>
      </c>
      <c r="Q1308">
        <v>64.400000000000006</v>
      </c>
      <c r="R1308">
        <v>8</v>
      </c>
      <c r="S1308">
        <v>8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8</v>
      </c>
      <c r="AA1308">
        <v>0</v>
      </c>
      <c r="AB1308">
        <v>0</v>
      </c>
      <c r="AD1308">
        <v>72.400000000000006</v>
      </c>
    </row>
    <row r="1309" spans="1:30" x14ac:dyDescent="0.3">
      <c r="A1309" s="4">
        <v>1323</v>
      </c>
      <c r="B1309" s="5">
        <v>1302</v>
      </c>
      <c r="C1309">
        <v>4471</v>
      </c>
      <c r="D1309" t="s">
        <v>2989</v>
      </c>
      <c r="E1309" t="s">
        <v>166</v>
      </c>
      <c r="F1309" t="s">
        <v>17</v>
      </c>
      <c r="G1309" t="s">
        <v>2990</v>
      </c>
      <c r="H1309" t="str">
        <f>"00532894"</f>
        <v>00532894</v>
      </c>
      <c r="I1309">
        <v>50.4</v>
      </c>
      <c r="J1309">
        <v>0</v>
      </c>
      <c r="N1309">
        <v>0</v>
      </c>
      <c r="O1309">
        <v>4</v>
      </c>
      <c r="P1309">
        <v>0</v>
      </c>
      <c r="Q1309">
        <v>54.4</v>
      </c>
      <c r="R1309">
        <v>18</v>
      </c>
      <c r="S1309">
        <v>18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18</v>
      </c>
      <c r="AA1309">
        <v>0</v>
      </c>
      <c r="AB1309">
        <v>0</v>
      </c>
      <c r="AD1309">
        <v>72.400000000000006</v>
      </c>
    </row>
    <row r="1310" spans="1:30" x14ac:dyDescent="0.3">
      <c r="A1310" s="4">
        <v>1324</v>
      </c>
      <c r="B1310" s="5">
        <v>1303</v>
      </c>
      <c r="C1310">
        <v>1612</v>
      </c>
      <c r="D1310" t="s">
        <v>2991</v>
      </c>
      <c r="E1310" t="s">
        <v>132</v>
      </c>
      <c r="F1310" t="s">
        <v>81</v>
      </c>
      <c r="G1310" t="s">
        <v>2992</v>
      </c>
      <c r="H1310" t="str">
        <f>"00531795"</f>
        <v>00531795</v>
      </c>
      <c r="I1310">
        <v>14.4</v>
      </c>
      <c r="J1310">
        <v>10</v>
      </c>
      <c r="N1310">
        <v>0</v>
      </c>
      <c r="O1310">
        <v>4</v>
      </c>
      <c r="P1310">
        <v>0</v>
      </c>
      <c r="Q1310">
        <v>28.4</v>
      </c>
      <c r="R1310">
        <v>44</v>
      </c>
      <c r="S1310">
        <v>44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44</v>
      </c>
      <c r="AA1310">
        <v>0</v>
      </c>
      <c r="AB1310">
        <v>0</v>
      </c>
      <c r="AD1310">
        <v>72.400000000000006</v>
      </c>
    </row>
    <row r="1311" spans="1:30" x14ac:dyDescent="0.3">
      <c r="A1311" s="4">
        <v>1325</v>
      </c>
      <c r="B1311" s="5">
        <v>1304</v>
      </c>
      <c r="C1311">
        <v>1352</v>
      </c>
      <c r="D1311" t="s">
        <v>2993</v>
      </c>
      <c r="E1311" t="s">
        <v>41</v>
      </c>
      <c r="F1311" t="s">
        <v>227</v>
      </c>
      <c r="G1311" t="s">
        <v>2994</v>
      </c>
      <c r="H1311" t="str">
        <f>"00532080"</f>
        <v>00532080</v>
      </c>
      <c r="I1311">
        <v>28.8</v>
      </c>
      <c r="J1311">
        <v>0</v>
      </c>
      <c r="M1311">
        <v>4</v>
      </c>
      <c r="N1311">
        <v>4</v>
      </c>
      <c r="O1311">
        <v>4</v>
      </c>
      <c r="P1311">
        <v>0</v>
      </c>
      <c r="Q1311">
        <v>36.799999999999997</v>
      </c>
      <c r="R1311">
        <v>25</v>
      </c>
      <c r="S1311">
        <v>25</v>
      </c>
      <c r="T1311">
        <v>0</v>
      </c>
      <c r="U1311">
        <v>0</v>
      </c>
      <c r="V1311">
        <v>3</v>
      </c>
      <c r="W1311">
        <v>4.5</v>
      </c>
      <c r="X1311">
        <v>0</v>
      </c>
      <c r="Y1311">
        <v>0</v>
      </c>
      <c r="Z1311">
        <v>29.5</v>
      </c>
      <c r="AA1311">
        <v>6</v>
      </c>
      <c r="AB1311">
        <v>0</v>
      </c>
      <c r="AD1311">
        <v>72.3</v>
      </c>
    </row>
    <row r="1312" spans="1:30" x14ac:dyDescent="0.3">
      <c r="A1312" s="4">
        <v>1326</v>
      </c>
      <c r="B1312" s="5">
        <v>1305</v>
      </c>
      <c r="C1312">
        <v>3949</v>
      </c>
      <c r="D1312" t="s">
        <v>687</v>
      </c>
      <c r="E1312" t="s">
        <v>2995</v>
      </c>
      <c r="F1312" t="s">
        <v>2996</v>
      </c>
      <c r="G1312" t="s">
        <v>2997</v>
      </c>
      <c r="H1312" t="str">
        <f>"00523745"</f>
        <v>00523745</v>
      </c>
      <c r="I1312">
        <v>43.2</v>
      </c>
      <c r="J1312">
        <v>0</v>
      </c>
      <c r="M1312">
        <v>4</v>
      </c>
      <c r="N1312">
        <v>4</v>
      </c>
      <c r="O1312">
        <v>4</v>
      </c>
      <c r="P1312">
        <v>0</v>
      </c>
      <c r="Q1312">
        <v>51.2</v>
      </c>
      <c r="R1312">
        <v>18</v>
      </c>
      <c r="S1312">
        <v>18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18</v>
      </c>
      <c r="AA1312">
        <v>3</v>
      </c>
      <c r="AB1312">
        <v>0</v>
      </c>
      <c r="AD1312">
        <v>72.2</v>
      </c>
    </row>
    <row r="1313" spans="1:30" x14ac:dyDescent="0.3">
      <c r="A1313" s="4">
        <v>1327</v>
      </c>
      <c r="B1313" s="5">
        <v>1306</v>
      </c>
      <c r="C1313">
        <v>3559</v>
      </c>
      <c r="D1313" t="s">
        <v>317</v>
      </c>
      <c r="E1313" t="s">
        <v>33</v>
      </c>
      <c r="F1313" t="s">
        <v>2998</v>
      </c>
      <c r="G1313" t="s">
        <v>2999</v>
      </c>
      <c r="H1313" t="str">
        <f>"00510455"</f>
        <v>00510455</v>
      </c>
      <c r="I1313">
        <v>43.2</v>
      </c>
      <c r="J1313">
        <v>0</v>
      </c>
      <c r="K1313">
        <v>8</v>
      </c>
      <c r="M1313">
        <v>4</v>
      </c>
      <c r="N1313">
        <v>12</v>
      </c>
      <c r="O1313">
        <v>4</v>
      </c>
      <c r="P1313">
        <v>2</v>
      </c>
      <c r="Q1313">
        <v>61.2</v>
      </c>
      <c r="R1313">
        <v>11</v>
      </c>
      <c r="S1313">
        <v>11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11</v>
      </c>
      <c r="AA1313">
        <v>0</v>
      </c>
      <c r="AB1313">
        <v>0</v>
      </c>
      <c r="AD1313">
        <v>72.2</v>
      </c>
    </row>
    <row r="1314" spans="1:30" x14ac:dyDescent="0.3">
      <c r="A1314" s="4">
        <v>1328</v>
      </c>
      <c r="B1314" s="5">
        <v>1307</v>
      </c>
      <c r="C1314">
        <v>1441</v>
      </c>
      <c r="D1314" t="s">
        <v>3000</v>
      </c>
      <c r="E1314" t="s">
        <v>29</v>
      </c>
      <c r="F1314" t="s">
        <v>55</v>
      </c>
      <c r="G1314" t="s">
        <v>3001</v>
      </c>
      <c r="H1314" t="str">
        <f>"00492024"</f>
        <v>00492024</v>
      </c>
      <c r="I1314">
        <v>34.159999999999997</v>
      </c>
      <c r="J1314">
        <v>0</v>
      </c>
      <c r="M1314">
        <v>4</v>
      </c>
      <c r="N1314">
        <v>4</v>
      </c>
      <c r="O1314">
        <v>4</v>
      </c>
      <c r="P1314">
        <v>2</v>
      </c>
      <c r="Q1314">
        <v>44.16</v>
      </c>
      <c r="R1314">
        <v>22</v>
      </c>
      <c r="S1314">
        <v>22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22</v>
      </c>
      <c r="AA1314">
        <v>6</v>
      </c>
      <c r="AB1314">
        <v>0</v>
      </c>
      <c r="AD1314">
        <v>72.16</v>
      </c>
    </row>
    <row r="1315" spans="1:30" x14ac:dyDescent="0.3">
      <c r="A1315" s="4">
        <v>1329</v>
      </c>
      <c r="B1315" s="5">
        <v>1308</v>
      </c>
      <c r="C1315">
        <v>139</v>
      </c>
      <c r="D1315" t="s">
        <v>3002</v>
      </c>
      <c r="E1315" t="s">
        <v>161</v>
      </c>
      <c r="F1315" t="s">
        <v>38</v>
      </c>
      <c r="G1315" t="s">
        <v>3003</v>
      </c>
      <c r="H1315" t="str">
        <f>"00005451"</f>
        <v>00005451</v>
      </c>
      <c r="I1315">
        <v>35.28</v>
      </c>
      <c r="J1315">
        <v>0</v>
      </c>
      <c r="N1315">
        <v>0</v>
      </c>
      <c r="O1315">
        <v>4</v>
      </c>
      <c r="P1315">
        <v>0</v>
      </c>
      <c r="Q1315">
        <v>39.28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6</v>
      </c>
      <c r="AB1315">
        <v>26.8</v>
      </c>
      <c r="AD1315">
        <v>72.08</v>
      </c>
    </row>
    <row r="1316" spans="1:30" x14ac:dyDescent="0.3">
      <c r="A1316" s="4">
        <v>1330</v>
      </c>
      <c r="B1316" s="5">
        <v>1309</v>
      </c>
      <c r="C1316">
        <v>4426</v>
      </c>
      <c r="D1316" t="s">
        <v>3004</v>
      </c>
      <c r="E1316" t="s">
        <v>3005</v>
      </c>
      <c r="F1316" t="s">
        <v>652</v>
      </c>
      <c r="G1316" t="s">
        <v>3006</v>
      </c>
      <c r="H1316" t="str">
        <f>"00118865"</f>
        <v>00118865</v>
      </c>
      <c r="I1316">
        <v>36</v>
      </c>
      <c r="J1316">
        <v>0</v>
      </c>
      <c r="N1316">
        <v>0</v>
      </c>
      <c r="O1316">
        <v>4</v>
      </c>
      <c r="P1316">
        <v>0</v>
      </c>
      <c r="Q1316">
        <v>40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32</v>
      </c>
      <c r="AC1316" t="s">
        <v>130</v>
      </c>
      <c r="AD1316">
        <v>72</v>
      </c>
    </row>
    <row r="1317" spans="1:30" x14ac:dyDescent="0.3">
      <c r="A1317" s="4">
        <v>1331</v>
      </c>
      <c r="B1317" s="5">
        <v>1310</v>
      </c>
      <c r="C1317">
        <v>4631</v>
      </c>
      <c r="D1317" t="s">
        <v>3007</v>
      </c>
      <c r="E1317" t="s">
        <v>54</v>
      </c>
      <c r="F1317" t="s">
        <v>81</v>
      </c>
      <c r="G1317" t="s">
        <v>3008</v>
      </c>
      <c r="H1317" t="str">
        <f>"00337703"</f>
        <v>00337703</v>
      </c>
      <c r="I1317">
        <v>36</v>
      </c>
      <c r="J1317">
        <v>10</v>
      </c>
      <c r="M1317">
        <v>4</v>
      </c>
      <c r="N1317">
        <v>4</v>
      </c>
      <c r="O1317">
        <v>0</v>
      </c>
      <c r="P1317">
        <v>2</v>
      </c>
      <c r="Q1317">
        <v>52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20</v>
      </c>
      <c r="AD1317">
        <v>72</v>
      </c>
    </row>
    <row r="1318" spans="1:30" x14ac:dyDescent="0.3">
      <c r="A1318" s="4">
        <v>1332</v>
      </c>
      <c r="B1318" s="5">
        <v>1311</v>
      </c>
      <c r="C1318">
        <v>2281</v>
      </c>
      <c r="D1318" t="s">
        <v>3009</v>
      </c>
      <c r="E1318" t="s">
        <v>1189</v>
      </c>
      <c r="F1318" t="s">
        <v>81</v>
      </c>
      <c r="G1318" t="s">
        <v>3010</v>
      </c>
      <c r="H1318" t="str">
        <f>"00635254"</f>
        <v>00635254</v>
      </c>
      <c r="I1318">
        <v>40</v>
      </c>
      <c r="J1318">
        <v>0</v>
      </c>
      <c r="K1318">
        <v>8</v>
      </c>
      <c r="L1318">
        <v>6</v>
      </c>
      <c r="N1318">
        <v>14</v>
      </c>
      <c r="O1318">
        <v>4</v>
      </c>
      <c r="P1318">
        <v>2</v>
      </c>
      <c r="Q1318">
        <v>60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12</v>
      </c>
      <c r="AB1318">
        <v>0</v>
      </c>
      <c r="AD1318">
        <v>72</v>
      </c>
    </row>
    <row r="1319" spans="1:30" x14ac:dyDescent="0.3">
      <c r="A1319" s="4">
        <v>1333</v>
      </c>
      <c r="B1319" s="5">
        <v>1312</v>
      </c>
      <c r="C1319">
        <v>980</v>
      </c>
      <c r="D1319" t="s">
        <v>3011</v>
      </c>
      <c r="E1319" t="s">
        <v>166</v>
      </c>
      <c r="F1319" t="s">
        <v>20</v>
      </c>
      <c r="G1319" t="s">
        <v>3012</v>
      </c>
      <c r="H1319" t="str">
        <f>"200802005461"</f>
        <v>200802005461</v>
      </c>
      <c r="I1319">
        <v>36</v>
      </c>
      <c r="J1319">
        <v>10</v>
      </c>
      <c r="K1319">
        <v>8</v>
      </c>
      <c r="N1319">
        <v>8</v>
      </c>
      <c r="O1319">
        <v>4</v>
      </c>
      <c r="P1319">
        <v>2</v>
      </c>
      <c r="Q1319">
        <v>60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12</v>
      </c>
      <c r="AB1319">
        <v>0</v>
      </c>
      <c r="AD1319">
        <v>72</v>
      </c>
    </row>
    <row r="1320" spans="1:30" x14ac:dyDescent="0.3">
      <c r="A1320" s="4">
        <v>1334</v>
      </c>
      <c r="B1320" s="5">
        <v>1313</v>
      </c>
      <c r="C1320">
        <v>183</v>
      </c>
      <c r="D1320" t="s">
        <v>3013</v>
      </c>
      <c r="E1320" t="s">
        <v>54</v>
      </c>
      <c r="F1320" t="s">
        <v>17</v>
      </c>
      <c r="G1320" t="s">
        <v>3014</v>
      </c>
      <c r="H1320" t="str">
        <f>"00533815"</f>
        <v>00533815</v>
      </c>
      <c r="I1320">
        <v>36</v>
      </c>
      <c r="J1320">
        <v>0</v>
      </c>
      <c r="L1320">
        <v>6</v>
      </c>
      <c r="N1320">
        <v>6</v>
      </c>
      <c r="O1320">
        <v>4</v>
      </c>
      <c r="P1320">
        <v>2</v>
      </c>
      <c r="Q1320">
        <v>48</v>
      </c>
      <c r="R1320">
        <v>18</v>
      </c>
      <c r="S1320">
        <v>18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18</v>
      </c>
      <c r="AA1320">
        <v>6</v>
      </c>
      <c r="AB1320">
        <v>0</v>
      </c>
      <c r="AD1320">
        <v>72</v>
      </c>
    </row>
    <row r="1321" spans="1:30" x14ac:dyDescent="0.3">
      <c r="A1321" s="4">
        <v>1335</v>
      </c>
      <c r="B1321" s="5">
        <v>1314</v>
      </c>
      <c r="C1321">
        <v>1089</v>
      </c>
      <c r="D1321" t="s">
        <v>3015</v>
      </c>
      <c r="E1321" t="s">
        <v>255</v>
      </c>
      <c r="F1321" t="s">
        <v>20</v>
      </c>
      <c r="G1321" t="s">
        <v>3016</v>
      </c>
      <c r="H1321" t="str">
        <f>"00254421"</f>
        <v>00254421</v>
      </c>
      <c r="I1321">
        <v>36</v>
      </c>
      <c r="J1321">
        <v>0</v>
      </c>
      <c r="M1321">
        <v>4</v>
      </c>
      <c r="N1321">
        <v>4</v>
      </c>
      <c r="O1321">
        <v>4</v>
      </c>
      <c r="P1321">
        <v>0</v>
      </c>
      <c r="Q1321">
        <v>44</v>
      </c>
      <c r="R1321">
        <v>25</v>
      </c>
      <c r="S1321">
        <v>25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25</v>
      </c>
      <c r="AA1321">
        <v>3</v>
      </c>
      <c r="AB1321">
        <v>0</v>
      </c>
      <c r="AD1321">
        <v>72</v>
      </c>
    </row>
    <row r="1322" spans="1:30" x14ac:dyDescent="0.3">
      <c r="A1322" s="4">
        <v>1336</v>
      </c>
      <c r="B1322" s="5">
        <v>1315</v>
      </c>
      <c r="C1322">
        <v>4517</v>
      </c>
      <c r="D1322" t="s">
        <v>3017</v>
      </c>
      <c r="E1322" t="s">
        <v>419</v>
      </c>
      <c r="F1322" t="s">
        <v>38</v>
      </c>
      <c r="G1322" t="s">
        <v>3018</v>
      </c>
      <c r="H1322" t="str">
        <f>"00700633"</f>
        <v>00700633</v>
      </c>
      <c r="I1322">
        <v>72</v>
      </c>
      <c r="J1322">
        <v>0</v>
      </c>
      <c r="N1322">
        <v>0</v>
      </c>
      <c r="O1322">
        <v>0</v>
      </c>
      <c r="P1322">
        <v>0</v>
      </c>
      <c r="Q1322">
        <v>72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D1322">
        <v>72</v>
      </c>
    </row>
    <row r="1323" spans="1:30" x14ac:dyDescent="0.3">
      <c r="A1323" s="4">
        <v>1337</v>
      </c>
      <c r="B1323" s="5">
        <v>1316</v>
      </c>
      <c r="C1323">
        <v>3615</v>
      </c>
      <c r="D1323" t="s">
        <v>3019</v>
      </c>
      <c r="E1323" t="s">
        <v>29</v>
      </c>
      <c r="F1323" t="s">
        <v>3020</v>
      </c>
      <c r="G1323" t="s">
        <v>3021</v>
      </c>
      <c r="H1323" t="str">
        <f>"00146989"</f>
        <v>00146989</v>
      </c>
      <c r="I1323">
        <v>72</v>
      </c>
      <c r="J1323">
        <v>0</v>
      </c>
      <c r="N1323">
        <v>0</v>
      </c>
      <c r="O1323">
        <v>0</v>
      </c>
      <c r="P1323">
        <v>0</v>
      </c>
      <c r="Q1323">
        <v>72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D1323">
        <v>72</v>
      </c>
    </row>
    <row r="1324" spans="1:30" x14ac:dyDescent="0.3">
      <c r="A1324" s="4">
        <v>1338</v>
      </c>
      <c r="B1324" s="5">
        <v>1317</v>
      </c>
      <c r="C1324">
        <v>704</v>
      </c>
      <c r="D1324" t="s">
        <v>3022</v>
      </c>
      <c r="E1324" t="s">
        <v>51</v>
      </c>
      <c r="F1324" t="s">
        <v>17</v>
      </c>
      <c r="G1324" t="s">
        <v>3023</v>
      </c>
      <c r="H1324" t="str">
        <f>"00856627"</f>
        <v>00856627</v>
      </c>
      <c r="I1324">
        <v>72</v>
      </c>
      <c r="J1324">
        <v>0</v>
      </c>
      <c r="N1324">
        <v>0</v>
      </c>
      <c r="O1324">
        <v>0</v>
      </c>
      <c r="P1324">
        <v>0</v>
      </c>
      <c r="Q1324">
        <v>72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D1324">
        <v>72</v>
      </c>
    </row>
    <row r="1325" spans="1:30" x14ac:dyDescent="0.3">
      <c r="A1325" s="4">
        <v>1339</v>
      </c>
      <c r="B1325" s="5">
        <v>1318</v>
      </c>
      <c r="C1325">
        <v>2022</v>
      </c>
      <c r="D1325" t="s">
        <v>3024</v>
      </c>
      <c r="E1325" t="s">
        <v>3025</v>
      </c>
      <c r="F1325" t="s">
        <v>81</v>
      </c>
      <c r="G1325" t="s">
        <v>3026</v>
      </c>
      <c r="H1325" t="str">
        <f>"00016580"</f>
        <v>00016580</v>
      </c>
      <c r="I1325">
        <v>38</v>
      </c>
      <c r="J1325">
        <v>10</v>
      </c>
      <c r="N1325">
        <v>0</v>
      </c>
      <c r="O1325">
        <v>4</v>
      </c>
      <c r="P1325">
        <v>2</v>
      </c>
      <c r="Q1325">
        <v>54</v>
      </c>
      <c r="R1325">
        <v>18</v>
      </c>
      <c r="S1325">
        <v>18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18</v>
      </c>
      <c r="AA1325">
        <v>0</v>
      </c>
      <c r="AB1325">
        <v>0</v>
      </c>
      <c r="AD1325">
        <v>72</v>
      </c>
    </row>
    <row r="1326" spans="1:30" x14ac:dyDescent="0.3">
      <c r="A1326" s="4">
        <v>1340</v>
      </c>
      <c r="B1326" s="5">
        <v>1319</v>
      </c>
      <c r="C1326">
        <v>1128</v>
      </c>
      <c r="D1326" t="s">
        <v>3027</v>
      </c>
      <c r="E1326" t="s">
        <v>22</v>
      </c>
      <c r="F1326" t="s">
        <v>68</v>
      </c>
      <c r="G1326" t="s">
        <v>3028</v>
      </c>
      <c r="H1326" t="str">
        <f>"00384708"</f>
        <v>00384708</v>
      </c>
      <c r="I1326">
        <v>29.16</v>
      </c>
      <c r="J1326">
        <v>0</v>
      </c>
      <c r="N1326">
        <v>0</v>
      </c>
      <c r="O1326">
        <v>4</v>
      </c>
      <c r="P1326">
        <v>0</v>
      </c>
      <c r="Q1326">
        <v>33.159999999999997</v>
      </c>
      <c r="R1326">
        <v>6</v>
      </c>
      <c r="S1326">
        <v>6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6</v>
      </c>
      <c r="AA1326">
        <v>6</v>
      </c>
      <c r="AB1326">
        <v>26.8</v>
      </c>
      <c r="AD1326">
        <v>71.959999999999994</v>
      </c>
    </row>
    <row r="1327" spans="1:30" x14ac:dyDescent="0.3">
      <c r="A1327" s="4">
        <v>1341</v>
      </c>
      <c r="B1327" s="5">
        <v>1320</v>
      </c>
      <c r="C1327">
        <v>855</v>
      </c>
      <c r="D1327" t="s">
        <v>3029</v>
      </c>
      <c r="E1327" t="s">
        <v>147</v>
      </c>
      <c r="F1327" t="s">
        <v>243</v>
      </c>
      <c r="G1327" t="s">
        <v>3030</v>
      </c>
      <c r="H1327" t="str">
        <f>"00531465"</f>
        <v>00531465</v>
      </c>
      <c r="I1327">
        <v>38.92</v>
      </c>
      <c r="J1327">
        <v>0</v>
      </c>
      <c r="N1327">
        <v>0</v>
      </c>
      <c r="O1327">
        <v>4</v>
      </c>
      <c r="P1327">
        <v>2</v>
      </c>
      <c r="Q1327">
        <v>44.92</v>
      </c>
      <c r="R1327">
        <v>24</v>
      </c>
      <c r="S1327">
        <v>24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24</v>
      </c>
      <c r="AA1327">
        <v>3</v>
      </c>
      <c r="AB1327">
        <v>0</v>
      </c>
      <c r="AD1327">
        <v>71.92</v>
      </c>
    </row>
    <row r="1328" spans="1:30" x14ac:dyDescent="0.3">
      <c r="A1328" s="4">
        <v>1342</v>
      </c>
      <c r="B1328" s="5">
        <v>1321</v>
      </c>
      <c r="C1328">
        <v>4597</v>
      </c>
      <c r="D1328" t="s">
        <v>3031</v>
      </c>
      <c r="E1328" t="s">
        <v>29</v>
      </c>
      <c r="F1328" t="s">
        <v>328</v>
      </c>
      <c r="G1328" t="s">
        <v>3032</v>
      </c>
      <c r="H1328" t="str">
        <f>"00442127"</f>
        <v>00442127</v>
      </c>
      <c r="I1328">
        <v>32.799999999999997</v>
      </c>
      <c r="J1328">
        <v>0</v>
      </c>
      <c r="K1328">
        <v>8</v>
      </c>
      <c r="N1328">
        <v>8</v>
      </c>
      <c r="O1328">
        <v>4</v>
      </c>
      <c r="P1328">
        <v>2</v>
      </c>
      <c r="Q1328">
        <v>46.8</v>
      </c>
      <c r="R1328">
        <v>19</v>
      </c>
      <c r="S1328">
        <v>19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19</v>
      </c>
      <c r="AA1328">
        <v>6</v>
      </c>
      <c r="AB1328">
        <v>0</v>
      </c>
      <c r="AD1328">
        <v>71.8</v>
      </c>
    </row>
    <row r="1329" spans="1:30" x14ac:dyDescent="0.3">
      <c r="A1329" s="4">
        <v>1343</v>
      </c>
      <c r="B1329" s="5">
        <v>1322</v>
      </c>
      <c r="C1329">
        <v>1144</v>
      </c>
      <c r="D1329" t="s">
        <v>3033</v>
      </c>
      <c r="E1329" t="s">
        <v>166</v>
      </c>
      <c r="F1329" t="s">
        <v>20</v>
      </c>
      <c r="G1329" t="s">
        <v>3034</v>
      </c>
      <c r="H1329" t="str">
        <f>"00528079"</f>
        <v>00528079</v>
      </c>
      <c r="I1329">
        <v>28.8</v>
      </c>
      <c r="J1329">
        <v>10</v>
      </c>
      <c r="N1329">
        <v>0</v>
      </c>
      <c r="O1329">
        <v>4</v>
      </c>
      <c r="P1329">
        <v>0</v>
      </c>
      <c r="Q1329">
        <v>42.8</v>
      </c>
      <c r="R1329">
        <v>23</v>
      </c>
      <c r="S1329">
        <v>23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23</v>
      </c>
      <c r="AA1329">
        <v>6</v>
      </c>
      <c r="AB1329">
        <v>0</v>
      </c>
      <c r="AD1329">
        <v>71.8</v>
      </c>
    </row>
    <row r="1330" spans="1:30" x14ac:dyDescent="0.3">
      <c r="A1330" s="4">
        <v>1344</v>
      </c>
      <c r="B1330" s="5">
        <v>1323</v>
      </c>
      <c r="C1330">
        <v>468</v>
      </c>
      <c r="D1330" t="s">
        <v>3035</v>
      </c>
      <c r="E1330" t="s">
        <v>41</v>
      </c>
      <c r="F1330" t="s">
        <v>81</v>
      </c>
      <c r="G1330" t="s">
        <v>3036</v>
      </c>
      <c r="H1330" t="str">
        <f>"00384109"</f>
        <v>00384109</v>
      </c>
      <c r="I1330">
        <v>28.8</v>
      </c>
      <c r="J1330">
        <v>0</v>
      </c>
      <c r="N1330">
        <v>0</v>
      </c>
      <c r="O1330">
        <v>4</v>
      </c>
      <c r="P1330">
        <v>0</v>
      </c>
      <c r="Q1330">
        <v>32.799999999999997</v>
      </c>
      <c r="R1330">
        <v>33</v>
      </c>
      <c r="S1330">
        <v>33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33</v>
      </c>
      <c r="AA1330">
        <v>6</v>
      </c>
      <c r="AB1330">
        <v>0</v>
      </c>
      <c r="AD1330">
        <v>71.8</v>
      </c>
    </row>
    <row r="1331" spans="1:30" x14ac:dyDescent="0.3">
      <c r="A1331" s="4">
        <v>1345</v>
      </c>
      <c r="B1331" s="5">
        <v>1324</v>
      </c>
      <c r="C1331">
        <v>4240</v>
      </c>
      <c r="D1331" t="s">
        <v>3037</v>
      </c>
      <c r="E1331" t="s">
        <v>88</v>
      </c>
      <c r="F1331" t="s">
        <v>17</v>
      </c>
      <c r="G1331" t="s">
        <v>3038</v>
      </c>
      <c r="H1331" t="str">
        <f>"00861189"</f>
        <v>00861189</v>
      </c>
      <c r="I1331">
        <v>64.8</v>
      </c>
      <c r="J1331">
        <v>0</v>
      </c>
      <c r="N1331">
        <v>0</v>
      </c>
      <c r="O1331">
        <v>4</v>
      </c>
      <c r="P1331">
        <v>0</v>
      </c>
      <c r="Q1331">
        <v>68.8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3</v>
      </c>
      <c r="AB1331">
        <v>0</v>
      </c>
      <c r="AD1331">
        <v>71.8</v>
      </c>
    </row>
    <row r="1332" spans="1:30" x14ac:dyDescent="0.3">
      <c r="A1332" s="4">
        <v>1346</v>
      </c>
      <c r="B1332" s="5">
        <v>1325</v>
      </c>
      <c r="C1332">
        <v>1215</v>
      </c>
      <c r="D1332" t="s">
        <v>2865</v>
      </c>
      <c r="E1332" t="s">
        <v>283</v>
      </c>
      <c r="F1332" t="s">
        <v>190</v>
      </c>
      <c r="G1332" t="s">
        <v>3039</v>
      </c>
      <c r="H1332" t="str">
        <f>"00503949"</f>
        <v>00503949</v>
      </c>
      <c r="I1332">
        <v>12.8</v>
      </c>
      <c r="J1332">
        <v>0</v>
      </c>
      <c r="N1332">
        <v>0</v>
      </c>
      <c r="O1332">
        <v>0</v>
      </c>
      <c r="P1332">
        <v>0</v>
      </c>
      <c r="Q1332">
        <v>12.8</v>
      </c>
      <c r="R1332">
        <v>59</v>
      </c>
      <c r="S1332">
        <v>59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59</v>
      </c>
      <c r="AA1332">
        <v>0</v>
      </c>
      <c r="AB1332">
        <v>0</v>
      </c>
      <c r="AD1332">
        <v>71.8</v>
      </c>
    </row>
    <row r="1333" spans="1:30" x14ac:dyDescent="0.3">
      <c r="A1333" s="4">
        <v>1347</v>
      </c>
      <c r="B1333" s="5">
        <v>1326</v>
      </c>
      <c r="C1333">
        <v>4869</v>
      </c>
      <c r="D1333" t="s">
        <v>3040</v>
      </c>
      <c r="E1333" t="s">
        <v>1043</v>
      </c>
      <c r="F1333" t="s">
        <v>81</v>
      </c>
      <c r="G1333" t="s">
        <v>3041</v>
      </c>
      <c r="H1333" t="str">
        <f>"00397221"</f>
        <v>00397221</v>
      </c>
      <c r="I1333">
        <v>39.28</v>
      </c>
      <c r="J1333">
        <v>0</v>
      </c>
      <c r="N1333">
        <v>0</v>
      </c>
      <c r="O1333">
        <v>4</v>
      </c>
      <c r="P1333">
        <v>2</v>
      </c>
      <c r="Q1333">
        <v>45.28</v>
      </c>
      <c r="R1333">
        <v>13</v>
      </c>
      <c r="S1333">
        <v>13</v>
      </c>
      <c r="T1333">
        <v>0</v>
      </c>
      <c r="U1333">
        <v>0</v>
      </c>
      <c r="V1333">
        <v>3</v>
      </c>
      <c r="W1333">
        <v>4.5</v>
      </c>
      <c r="X1333">
        <v>0</v>
      </c>
      <c r="Y1333">
        <v>0</v>
      </c>
      <c r="Z1333">
        <v>17.5</v>
      </c>
      <c r="AA1333">
        <v>9</v>
      </c>
      <c r="AB1333">
        <v>0</v>
      </c>
      <c r="AD1333">
        <v>71.78</v>
      </c>
    </row>
    <row r="1334" spans="1:30" x14ac:dyDescent="0.3">
      <c r="A1334" s="4">
        <v>1348</v>
      </c>
      <c r="B1334" s="5">
        <v>1327</v>
      </c>
      <c r="C1334">
        <v>1523</v>
      </c>
      <c r="D1334" t="s">
        <v>3042</v>
      </c>
      <c r="E1334" t="s">
        <v>88</v>
      </c>
      <c r="F1334" t="s">
        <v>652</v>
      </c>
      <c r="G1334" t="s">
        <v>3043</v>
      </c>
      <c r="H1334" t="str">
        <f>"00521151"</f>
        <v>00521151</v>
      </c>
      <c r="I1334">
        <v>37.76</v>
      </c>
      <c r="J1334">
        <v>10</v>
      </c>
      <c r="N1334">
        <v>0</v>
      </c>
      <c r="O1334">
        <v>0</v>
      </c>
      <c r="P1334">
        <v>0</v>
      </c>
      <c r="Q1334">
        <v>47.76</v>
      </c>
      <c r="R1334">
        <v>18</v>
      </c>
      <c r="S1334">
        <v>18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18</v>
      </c>
      <c r="AA1334">
        <v>6</v>
      </c>
      <c r="AB1334">
        <v>0</v>
      </c>
      <c r="AD1334">
        <v>71.760000000000005</v>
      </c>
    </row>
    <row r="1335" spans="1:30" x14ac:dyDescent="0.3">
      <c r="A1335" s="4">
        <v>1349</v>
      </c>
      <c r="B1335" s="5">
        <v>1328</v>
      </c>
      <c r="C1335">
        <v>3912</v>
      </c>
      <c r="D1335" t="s">
        <v>421</v>
      </c>
      <c r="E1335" t="s">
        <v>97</v>
      </c>
      <c r="F1335" t="s">
        <v>62</v>
      </c>
      <c r="G1335" t="s">
        <v>3044</v>
      </c>
      <c r="H1335" t="str">
        <f>"00480407"</f>
        <v>00480407</v>
      </c>
      <c r="I1335">
        <v>21.72</v>
      </c>
      <c r="J1335">
        <v>0</v>
      </c>
      <c r="N1335">
        <v>0</v>
      </c>
      <c r="O1335">
        <v>4</v>
      </c>
      <c r="P1335">
        <v>2</v>
      </c>
      <c r="Q1335">
        <v>27.72</v>
      </c>
      <c r="R1335">
        <v>35</v>
      </c>
      <c r="S1335">
        <v>35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35</v>
      </c>
      <c r="AA1335">
        <v>9</v>
      </c>
      <c r="AB1335">
        <v>0</v>
      </c>
      <c r="AD1335">
        <v>71.72</v>
      </c>
    </row>
    <row r="1336" spans="1:30" x14ac:dyDescent="0.3">
      <c r="A1336" s="4">
        <v>1350</v>
      </c>
      <c r="B1336" s="5">
        <v>1329</v>
      </c>
      <c r="C1336">
        <v>2987</v>
      </c>
      <c r="D1336" t="s">
        <v>3045</v>
      </c>
      <c r="E1336" t="s">
        <v>265</v>
      </c>
      <c r="F1336" t="s">
        <v>17</v>
      </c>
      <c r="G1336" t="s">
        <v>3046</v>
      </c>
      <c r="H1336" t="str">
        <f>"00483930"</f>
        <v>00483930</v>
      </c>
      <c r="I1336">
        <v>21.6</v>
      </c>
      <c r="J1336">
        <v>10</v>
      </c>
      <c r="N1336">
        <v>0</v>
      </c>
      <c r="O1336">
        <v>4</v>
      </c>
      <c r="P1336">
        <v>0</v>
      </c>
      <c r="Q1336">
        <v>35.6</v>
      </c>
      <c r="R1336">
        <v>33</v>
      </c>
      <c r="S1336">
        <v>33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33</v>
      </c>
      <c r="AA1336">
        <v>3</v>
      </c>
      <c r="AB1336">
        <v>0</v>
      </c>
      <c r="AD1336">
        <v>71.599999999999994</v>
      </c>
    </row>
    <row r="1337" spans="1:30" x14ac:dyDescent="0.3">
      <c r="A1337" s="4">
        <v>1351</v>
      </c>
      <c r="B1337" s="5">
        <v>1330</v>
      </c>
      <c r="C1337">
        <v>2960</v>
      </c>
      <c r="D1337" t="s">
        <v>3047</v>
      </c>
      <c r="E1337" t="s">
        <v>550</v>
      </c>
      <c r="F1337" t="s">
        <v>843</v>
      </c>
      <c r="G1337" t="s">
        <v>3048</v>
      </c>
      <c r="H1337" t="str">
        <f>"00508672"</f>
        <v>00508672</v>
      </c>
      <c r="I1337">
        <v>25.6</v>
      </c>
      <c r="J1337">
        <v>0</v>
      </c>
      <c r="N1337">
        <v>0</v>
      </c>
      <c r="O1337">
        <v>0</v>
      </c>
      <c r="P1337">
        <v>0</v>
      </c>
      <c r="Q1337">
        <v>25.6</v>
      </c>
      <c r="R1337">
        <v>43</v>
      </c>
      <c r="S1337">
        <v>43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43</v>
      </c>
      <c r="AA1337">
        <v>3</v>
      </c>
      <c r="AB1337">
        <v>0</v>
      </c>
      <c r="AD1337">
        <v>71.599999999999994</v>
      </c>
    </row>
    <row r="1338" spans="1:30" x14ac:dyDescent="0.3">
      <c r="A1338" s="4">
        <v>1352</v>
      </c>
      <c r="B1338" s="5">
        <v>1331</v>
      </c>
      <c r="C1338">
        <v>3279</v>
      </c>
      <c r="D1338" t="s">
        <v>3049</v>
      </c>
      <c r="E1338" t="s">
        <v>2011</v>
      </c>
      <c r="F1338" t="s">
        <v>30</v>
      </c>
      <c r="G1338" t="s">
        <v>3050</v>
      </c>
      <c r="H1338" t="str">
        <f>"00620964"</f>
        <v>00620964</v>
      </c>
      <c r="I1338">
        <v>57.6</v>
      </c>
      <c r="J1338">
        <v>0</v>
      </c>
      <c r="M1338">
        <v>8</v>
      </c>
      <c r="N1338">
        <v>8</v>
      </c>
      <c r="O1338">
        <v>4</v>
      </c>
      <c r="P1338">
        <v>2</v>
      </c>
      <c r="Q1338">
        <v>71.599999999999994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D1338">
        <v>71.599999999999994</v>
      </c>
    </row>
    <row r="1339" spans="1:30" x14ac:dyDescent="0.3">
      <c r="A1339" s="4">
        <v>1353</v>
      </c>
      <c r="B1339" s="5">
        <v>1332</v>
      </c>
      <c r="C1339">
        <v>1155</v>
      </c>
      <c r="D1339" t="s">
        <v>1170</v>
      </c>
      <c r="E1339" t="s">
        <v>3051</v>
      </c>
      <c r="F1339" t="s">
        <v>972</v>
      </c>
      <c r="G1339" t="s">
        <v>3052</v>
      </c>
      <c r="H1339" t="str">
        <f>"00857019"</f>
        <v>00857019</v>
      </c>
      <c r="I1339">
        <v>57.6</v>
      </c>
      <c r="J1339">
        <v>10</v>
      </c>
      <c r="M1339">
        <v>4</v>
      </c>
      <c r="N1339">
        <v>4</v>
      </c>
      <c r="O1339">
        <v>0</v>
      </c>
      <c r="P1339">
        <v>0</v>
      </c>
      <c r="Q1339">
        <v>71.599999999999994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D1339">
        <v>71.599999999999994</v>
      </c>
    </row>
    <row r="1340" spans="1:30" x14ac:dyDescent="0.3">
      <c r="A1340" s="4">
        <v>1354</v>
      </c>
      <c r="B1340" s="5">
        <v>1333</v>
      </c>
      <c r="C1340">
        <v>2774</v>
      </c>
      <c r="D1340" t="s">
        <v>181</v>
      </c>
      <c r="E1340" t="s">
        <v>22</v>
      </c>
      <c r="F1340" t="s">
        <v>20</v>
      </c>
      <c r="G1340" t="s">
        <v>3053</v>
      </c>
      <c r="H1340" t="str">
        <f>"00860008"</f>
        <v>00860008</v>
      </c>
      <c r="I1340">
        <v>57.6</v>
      </c>
      <c r="J1340">
        <v>0</v>
      </c>
      <c r="K1340">
        <v>8</v>
      </c>
      <c r="N1340">
        <v>8</v>
      </c>
      <c r="O1340">
        <v>4</v>
      </c>
      <c r="P1340">
        <v>2</v>
      </c>
      <c r="Q1340">
        <v>71.599999999999994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D1340">
        <v>71.599999999999994</v>
      </c>
    </row>
    <row r="1341" spans="1:30" x14ac:dyDescent="0.3">
      <c r="A1341" s="4">
        <v>1355</v>
      </c>
      <c r="B1341" s="5">
        <v>1334</v>
      </c>
      <c r="C1341">
        <v>1660</v>
      </c>
      <c r="D1341" t="s">
        <v>3054</v>
      </c>
      <c r="E1341" t="s">
        <v>100</v>
      </c>
      <c r="F1341" t="s">
        <v>136</v>
      </c>
      <c r="G1341" t="s">
        <v>3055</v>
      </c>
      <c r="H1341" t="str">
        <f>"201511036426"</f>
        <v>201511036426</v>
      </c>
      <c r="I1341">
        <v>57.6</v>
      </c>
      <c r="J1341">
        <v>0</v>
      </c>
      <c r="K1341">
        <v>8</v>
      </c>
      <c r="N1341">
        <v>8</v>
      </c>
      <c r="O1341">
        <v>4</v>
      </c>
      <c r="P1341">
        <v>2</v>
      </c>
      <c r="Q1341">
        <v>71.599999999999994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D1341">
        <v>71.599999999999994</v>
      </c>
    </row>
    <row r="1342" spans="1:30" x14ac:dyDescent="0.3">
      <c r="A1342" s="4">
        <v>1356</v>
      </c>
      <c r="B1342" s="5">
        <v>1335</v>
      </c>
      <c r="C1342">
        <v>2668</v>
      </c>
      <c r="D1342" t="s">
        <v>3056</v>
      </c>
      <c r="E1342" t="s">
        <v>283</v>
      </c>
      <c r="F1342" t="s">
        <v>171</v>
      </c>
      <c r="G1342" t="s">
        <v>3057</v>
      </c>
      <c r="H1342" t="str">
        <f>"00559762"</f>
        <v>00559762</v>
      </c>
      <c r="I1342">
        <v>57.6</v>
      </c>
      <c r="J1342">
        <v>10</v>
      </c>
      <c r="N1342">
        <v>0</v>
      </c>
      <c r="O1342">
        <v>4</v>
      </c>
      <c r="P1342">
        <v>0</v>
      </c>
      <c r="Q1342">
        <v>71.599999999999994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D1342">
        <v>71.599999999999994</v>
      </c>
    </row>
    <row r="1343" spans="1:30" x14ac:dyDescent="0.3">
      <c r="A1343" s="4">
        <v>1357</v>
      </c>
      <c r="B1343" s="5">
        <v>1336</v>
      </c>
      <c r="C1343">
        <v>3485</v>
      </c>
      <c r="D1343" t="s">
        <v>317</v>
      </c>
      <c r="E1343" t="s">
        <v>54</v>
      </c>
      <c r="F1343" t="s">
        <v>30</v>
      </c>
      <c r="G1343" t="s">
        <v>3058</v>
      </c>
      <c r="H1343" t="str">
        <f>"00543061"</f>
        <v>00543061</v>
      </c>
      <c r="I1343">
        <v>57.6</v>
      </c>
      <c r="J1343">
        <v>0</v>
      </c>
      <c r="K1343">
        <v>8</v>
      </c>
      <c r="N1343">
        <v>8</v>
      </c>
      <c r="O1343">
        <v>4</v>
      </c>
      <c r="P1343">
        <v>2</v>
      </c>
      <c r="Q1343">
        <v>71.599999999999994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D1343">
        <v>71.599999999999994</v>
      </c>
    </row>
    <row r="1344" spans="1:30" x14ac:dyDescent="0.3">
      <c r="A1344" s="4">
        <v>1358</v>
      </c>
      <c r="B1344" s="5">
        <v>1337</v>
      </c>
      <c r="C1344">
        <v>4081</v>
      </c>
      <c r="D1344" t="s">
        <v>3059</v>
      </c>
      <c r="E1344" t="s">
        <v>825</v>
      </c>
      <c r="F1344" t="s">
        <v>81</v>
      </c>
      <c r="G1344" t="s">
        <v>3060</v>
      </c>
      <c r="H1344" t="str">
        <f>"00118891"</f>
        <v>00118891</v>
      </c>
      <c r="I1344">
        <v>57.6</v>
      </c>
      <c r="J1344">
        <v>0</v>
      </c>
      <c r="K1344">
        <v>8</v>
      </c>
      <c r="N1344">
        <v>8</v>
      </c>
      <c r="O1344">
        <v>4</v>
      </c>
      <c r="P1344">
        <v>2</v>
      </c>
      <c r="Q1344">
        <v>71.599999999999994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D1344">
        <v>71.599999999999994</v>
      </c>
    </row>
    <row r="1345" spans="1:30" x14ac:dyDescent="0.3">
      <c r="A1345" s="4">
        <v>1359</v>
      </c>
      <c r="B1345" s="5">
        <v>1338</v>
      </c>
      <c r="C1345">
        <v>2881</v>
      </c>
      <c r="D1345" t="s">
        <v>3061</v>
      </c>
      <c r="E1345" t="s">
        <v>3062</v>
      </c>
      <c r="F1345" t="s">
        <v>68</v>
      </c>
      <c r="G1345" t="s">
        <v>3063</v>
      </c>
      <c r="H1345" t="str">
        <f>"00524701"</f>
        <v>00524701</v>
      </c>
      <c r="I1345">
        <v>57.6</v>
      </c>
      <c r="J1345">
        <v>0</v>
      </c>
      <c r="K1345">
        <v>8</v>
      </c>
      <c r="N1345">
        <v>8</v>
      </c>
      <c r="O1345">
        <v>4</v>
      </c>
      <c r="P1345">
        <v>2</v>
      </c>
      <c r="Q1345">
        <v>71.599999999999994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D1345">
        <v>71.599999999999994</v>
      </c>
    </row>
    <row r="1346" spans="1:30" x14ac:dyDescent="0.3">
      <c r="A1346" s="4">
        <v>1360</v>
      </c>
      <c r="B1346" s="5">
        <v>1339</v>
      </c>
      <c r="C1346">
        <v>1544</v>
      </c>
      <c r="D1346" t="s">
        <v>3064</v>
      </c>
      <c r="E1346" t="s">
        <v>2795</v>
      </c>
      <c r="F1346" t="s">
        <v>38</v>
      </c>
      <c r="G1346" t="s">
        <v>3065</v>
      </c>
      <c r="H1346" t="str">
        <f>"00784281"</f>
        <v>00784281</v>
      </c>
      <c r="I1346">
        <v>57.6</v>
      </c>
      <c r="J1346">
        <v>0</v>
      </c>
      <c r="K1346">
        <v>8</v>
      </c>
      <c r="N1346">
        <v>8</v>
      </c>
      <c r="O1346">
        <v>4</v>
      </c>
      <c r="P1346">
        <v>2</v>
      </c>
      <c r="Q1346">
        <v>71.599999999999994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D1346">
        <v>71.599999999999994</v>
      </c>
    </row>
    <row r="1347" spans="1:30" x14ac:dyDescent="0.3">
      <c r="A1347" s="4">
        <v>1361</v>
      </c>
      <c r="B1347" s="5">
        <v>1340</v>
      </c>
      <c r="C1347">
        <v>2525</v>
      </c>
      <c r="D1347" t="s">
        <v>3066</v>
      </c>
      <c r="E1347" t="s">
        <v>1815</v>
      </c>
      <c r="F1347" t="s">
        <v>466</v>
      </c>
      <c r="G1347" t="s">
        <v>3067</v>
      </c>
      <c r="H1347" t="str">
        <f>"00592526"</f>
        <v>00592526</v>
      </c>
      <c r="I1347">
        <v>57.6</v>
      </c>
      <c r="J1347">
        <v>0</v>
      </c>
      <c r="K1347">
        <v>8</v>
      </c>
      <c r="N1347">
        <v>8</v>
      </c>
      <c r="O1347">
        <v>4</v>
      </c>
      <c r="P1347">
        <v>2</v>
      </c>
      <c r="Q1347">
        <v>71.599999999999994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D1347">
        <v>71.599999999999994</v>
      </c>
    </row>
    <row r="1348" spans="1:30" x14ac:dyDescent="0.3">
      <c r="A1348" s="4">
        <v>1362</v>
      </c>
      <c r="B1348" s="5">
        <v>1341</v>
      </c>
      <c r="C1348">
        <v>1912</v>
      </c>
      <c r="D1348" t="s">
        <v>3068</v>
      </c>
      <c r="E1348" t="s">
        <v>967</v>
      </c>
      <c r="F1348" t="s">
        <v>17</v>
      </c>
      <c r="G1348" t="s">
        <v>3069</v>
      </c>
      <c r="H1348" t="str">
        <f>"00151990"</f>
        <v>00151990</v>
      </c>
      <c r="I1348">
        <v>21.6</v>
      </c>
      <c r="J1348">
        <v>0</v>
      </c>
      <c r="N1348">
        <v>0</v>
      </c>
      <c r="O1348">
        <v>4</v>
      </c>
      <c r="P1348">
        <v>2</v>
      </c>
      <c r="Q1348">
        <v>27.6</v>
      </c>
      <c r="R1348">
        <v>44</v>
      </c>
      <c r="S1348">
        <v>44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44</v>
      </c>
      <c r="AA1348">
        <v>0</v>
      </c>
      <c r="AB1348">
        <v>0</v>
      </c>
      <c r="AD1348">
        <v>71.599999999999994</v>
      </c>
    </row>
    <row r="1349" spans="1:30" x14ac:dyDescent="0.3">
      <c r="A1349" s="4">
        <v>1363</v>
      </c>
      <c r="B1349" s="5">
        <v>1342</v>
      </c>
      <c r="C1349">
        <v>2390</v>
      </c>
      <c r="D1349" t="s">
        <v>3070</v>
      </c>
      <c r="E1349" t="s">
        <v>26</v>
      </c>
      <c r="F1349" t="s">
        <v>81</v>
      </c>
      <c r="G1349" t="s">
        <v>3071</v>
      </c>
      <c r="H1349" t="str">
        <f>"00023429"</f>
        <v>00023429</v>
      </c>
      <c r="I1349">
        <v>32.56</v>
      </c>
      <c r="J1349">
        <v>0</v>
      </c>
      <c r="N1349">
        <v>0</v>
      </c>
      <c r="O1349">
        <v>4</v>
      </c>
      <c r="P1349">
        <v>0</v>
      </c>
      <c r="Q1349">
        <v>36.56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3</v>
      </c>
      <c r="AB1349">
        <v>32</v>
      </c>
      <c r="AD1349">
        <v>71.56</v>
      </c>
    </row>
    <row r="1350" spans="1:30" x14ac:dyDescent="0.3">
      <c r="A1350" s="4">
        <v>1364</v>
      </c>
      <c r="B1350" s="5">
        <v>1343</v>
      </c>
      <c r="C1350">
        <v>1575</v>
      </c>
      <c r="D1350" t="s">
        <v>3072</v>
      </c>
      <c r="E1350" t="s">
        <v>3073</v>
      </c>
      <c r="F1350" t="s">
        <v>30</v>
      </c>
      <c r="G1350" t="s">
        <v>3074</v>
      </c>
      <c r="H1350" t="str">
        <f>"00530672"</f>
        <v>00530672</v>
      </c>
      <c r="I1350">
        <v>14.56</v>
      </c>
      <c r="J1350">
        <v>10</v>
      </c>
      <c r="N1350">
        <v>0</v>
      </c>
      <c r="O1350">
        <v>0</v>
      </c>
      <c r="P1350">
        <v>0</v>
      </c>
      <c r="Q1350">
        <v>24.56</v>
      </c>
      <c r="R1350">
        <v>47</v>
      </c>
      <c r="S1350">
        <v>47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47</v>
      </c>
      <c r="AA1350">
        <v>0</v>
      </c>
      <c r="AB1350">
        <v>0</v>
      </c>
      <c r="AD1350">
        <v>71.56</v>
      </c>
    </row>
    <row r="1351" spans="1:30" x14ac:dyDescent="0.3">
      <c r="A1351" s="4">
        <v>1365</v>
      </c>
      <c r="B1351" s="5">
        <v>1344</v>
      </c>
      <c r="C1351">
        <v>69</v>
      </c>
      <c r="D1351" t="s">
        <v>3075</v>
      </c>
      <c r="E1351" t="s">
        <v>173</v>
      </c>
      <c r="F1351" t="s">
        <v>442</v>
      </c>
      <c r="G1351" t="s">
        <v>3076</v>
      </c>
      <c r="H1351" t="str">
        <f>"00479387"</f>
        <v>00479387</v>
      </c>
      <c r="I1351">
        <v>14.4</v>
      </c>
      <c r="J1351">
        <v>0</v>
      </c>
      <c r="K1351">
        <v>8</v>
      </c>
      <c r="N1351">
        <v>8</v>
      </c>
      <c r="O1351">
        <v>4</v>
      </c>
      <c r="P1351">
        <v>2</v>
      </c>
      <c r="Q1351">
        <v>28.4</v>
      </c>
      <c r="R1351">
        <v>34</v>
      </c>
      <c r="S1351">
        <v>34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34</v>
      </c>
      <c r="AA1351">
        <v>9</v>
      </c>
      <c r="AB1351">
        <v>0</v>
      </c>
      <c r="AD1351">
        <v>71.400000000000006</v>
      </c>
    </row>
    <row r="1352" spans="1:30" x14ac:dyDescent="0.3">
      <c r="A1352" s="4">
        <v>1366</v>
      </c>
      <c r="B1352" s="5">
        <v>1345</v>
      </c>
      <c r="C1352">
        <v>3395</v>
      </c>
      <c r="D1352" t="s">
        <v>3077</v>
      </c>
      <c r="E1352" t="s">
        <v>338</v>
      </c>
      <c r="F1352" t="s">
        <v>20</v>
      </c>
      <c r="G1352" t="s">
        <v>3078</v>
      </c>
      <c r="H1352" t="str">
        <f>"00150422"</f>
        <v>00150422</v>
      </c>
      <c r="I1352">
        <v>14.4</v>
      </c>
      <c r="J1352">
        <v>0</v>
      </c>
      <c r="N1352">
        <v>0</v>
      </c>
      <c r="O1352">
        <v>0</v>
      </c>
      <c r="P1352">
        <v>2</v>
      </c>
      <c r="Q1352">
        <v>16.399999999999999</v>
      </c>
      <c r="R1352">
        <v>49</v>
      </c>
      <c r="S1352">
        <v>49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49</v>
      </c>
      <c r="AA1352">
        <v>6</v>
      </c>
      <c r="AB1352">
        <v>0</v>
      </c>
      <c r="AD1352">
        <v>71.400000000000006</v>
      </c>
    </row>
    <row r="1353" spans="1:30" x14ac:dyDescent="0.3">
      <c r="A1353" s="4">
        <v>1367</v>
      </c>
      <c r="B1353" s="5">
        <v>1346</v>
      </c>
      <c r="C1353">
        <v>278</v>
      </c>
      <c r="D1353" t="s">
        <v>3079</v>
      </c>
      <c r="E1353" t="s">
        <v>29</v>
      </c>
      <c r="F1353" t="s">
        <v>38</v>
      </c>
      <c r="G1353" t="s">
        <v>3080</v>
      </c>
      <c r="H1353" t="str">
        <f>"00497738"</f>
        <v>00497738</v>
      </c>
      <c r="I1353">
        <v>30.4</v>
      </c>
      <c r="J1353">
        <v>0</v>
      </c>
      <c r="K1353">
        <v>8</v>
      </c>
      <c r="N1353">
        <v>8</v>
      </c>
      <c r="O1353">
        <v>4</v>
      </c>
      <c r="P1353">
        <v>2</v>
      </c>
      <c r="Q1353">
        <v>44.4</v>
      </c>
      <c r="R1353">
        <v>27</v>
      </c>
      <c r="S1353">
        <v>27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27</v>
      </c>
      <c r="AA1353">
        <v>0</v>
      </c>
      <c r="AB1353">
        <v>0</v>
      </c>
      <c r="AD1353">
        <v>71.400000000000006</v>
      </c>
    </row>
    <row r="1354" spans="1:30" x14ac:dyDescent="0.3">
      <c r="A1354" s="4">
        <v>1368</v>
      </c>
      <c r="B1354" s="5">
        <v>1347</v>
      </c>
      <c r="C1354">
        <v>679</v>
      </c>
      <c r="D1354" t="s">
        <v>3081</v>
      </c>
      <c r="E1354" t="s">
        <v>219</v>
      </c>
      <c r="F1354" t="s">
        <v>136</v>
      </c>
      <c r="G1354" t="s">
        <v>3082</v>
      </c>
      <c r="H1354" t="str">
        <f>"00498424"</f>
        <v>00498424</v>
      </c>
      <c r="I1354">
        <v>14.4</v>
      </c>
      <c r="J1354">
        <v>0</v>
      </c>
      <c r="K1354">
        <v>8</v>
      </c>
      <c r="N1354">
        <v>8</v>
      </c>
      <c r="O1354">
        <v>4</v>
      </c>
      <c r="P1354">
        <v>2</v>
      </c>
      <c r="Q1354">
        <v>28.4</v>
      </c>
      <c r="R1354">
        <v>43</v>
      </c>
      <c r="S1354">
        <v>43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43</v>
      </c>
      <c r="AA1354">
        <v>0</v>
      </c>
      <c r="AB1354">
        <v>0</v>
      </c>
      <c r="AD1354">
        <v>71.400000000000006</v>
      </c>
    </row>
    <row r="1355" spans="1:30" x14ac:dyDescent="0.3">
      <c r="A1355" s="4">
        <v>1369</v>
      </c>
      <c r="B1355" s="5">
        <v>1348</v>
      </c>
      <c r="C1355">
        <v>293</v>
      </c>
      <c r="D1355" t="s">
        <v>3083</v>
      </c>
      <c r="E1355" t="s">
        <v>110</v>
      </c>
      <c r="F1355" t="s">
        <v>892</v>
      </c>
      <c r="G1355" t="s">
        <v>3084</v>
      </c>
      <c r="H1355" t="str">
        <f>"201412003016"</f>
        <v>201412003016</v>
      </c>
      <c r="I1355">
        <v>29.32</v>
      </c>
      <c r="J1355">
        <v>10</v>
      </c>
      <c r="K1355">
        <v>8</v>
      </c>
      <c r="N1355">
        <v>8</v>
      </c>
      <c r="O1355">
        <v>4</v>
      </c>
      <c r="P1355">
        <v>2</v>
      </c>
      <c r="Q1355">
        <v>53.32</v>
      </c>
      <c r="R1355">
        <v>18</v>
      </c>
      <c r="S1355">
        <v>18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18</v>
      </c>
      <c r="AA1355">
        <v>0</v>
      </c>
      <c r="AB1355">
        <v>0</v>
      </c>
      <c r="AD1355">
        <v>71.319999999999993</v>
      </c>
    </row>
    <row r="1356" spans="1:30" x14ac:dyDescent="0.3">
      <c r="A1356" s="4">
        <v>1370</v>
      </c>
      <c r="B1356" s="5">
        <v>1349</v>
      </c>
      <c r="C1356">
        <v>3494</v>
      </c>
      <c r="D1356" t="s">
        <v>3085</v>
      </c>
      <c r="E1356" t="s">
        <v>22</v>
      </c>
      <c r="F1356" t="s">
        <v>17</v>
      </c>
      <c r="G1356" t="s">
        <v>3086</v>
      </c>
      <c r="H1356" t="str">
        <f>"00229733"</f>
        <v>00229733</v>
      </c>
      <c r="I1356">
        <v>34.24</v>
      </c>
      <c r="J1356">
        <v>10</v>
      </c>
      <c r="N1356">
        <v>0</v>
      </c>
      <c r="O1356">
        <v>4</v>
      </c>
      <c r="P1356">
        <v>2</v>
      </c>
      <c r="Q1356">
        <v>50.24</v>
      </c>
      <c r="R1356">
        <v>18</v>
      </c>
      <c r="S1356">
        <v>18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18</v>
      </c>
      <c r="AA1356">
        <v>3</v>
      </c>
      <c r="AB1356">
        <v>0</v>
      </c>
      <c r="AD1356">
        <v>71.239999999999995</v>
      </c>
    </row>
    <row r="1357" spans="1:30" x14ac:dyDescent="0.3">
      <c r="A1357" s="4">
        <v>1371</v>
      </c>
      <c r="B1357" s="5">
        <v>1350</v>
      </c>
      <c r="C1357">
        <v>3807</v>
      </c>
      <c r="D1357" t="s">
        <v>3087</v>
      </c>
      <c r="E1357" t="s">
        <v>29</v>
      </c>
      <c r="F1357" t="s">
        <v>20</v>
      </c>
      <c r="G1357" t="s">
        <v>3088</v>
      </c>
      <c r="H1357" t="str">
        <f>"00313216"</f>
        <v>00313216</v>
      </c>
      <c r="I1357">
        <v>19.2</v>
      </c>
      <c r="J1357">
        <v>0</v>
      </c>
      <c r="N1357">
        <v>0</v>
      </c>
      <c r="O1357">
        <v>4</v>
      </c>
      <c r="P1357">
        <v>0</v>
      </c>
      <c r="Q1357">
        <v>23.2</v>
      </c>
      <c r="R1357">
        <v>36</v>
      </c>
      <c r="S1357">
        <v>36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36</v>
      </c>
      <c r="AA1357">
        <v>12</v>
      </c>
      <c r="AB1357">
        <v>0</v>
      </c>
      <c r="AD1357">
        <v>71.2</v>
      </c>
    </row>
    <row r="1358" spans="1:30" x14ac:dyDescent="0.3">
      <c r="A1358" s="4">
        <v>1372</v>
      </c>
      <c r="B1358" s="5">
        <v>1351</v>
      </c>
      <c r="C1358">
        <v>3386</v>
      </c>
      <c r="D1358" t="s">
        <v>3089</v>
      </c>
      <c r="E1358" t="s">
        <v>41</v>
      </c>
      <c r="F1358" t="s">
        <v>521</v>
      </c>
      <c r="G1358" t="s">
        <v>3090</v>
      </c>
      <c r="H1358" t="str">
        <f>"00516512"</f>
        <v>00516512</v>
      </c>
      <c r="I1358">
        <v>26.2</v>
      </c>
      <c r="J1358">
        <v>0</v>
      </c>
      <c r="N1358">
        <v>0</v>
      </c>
      <c r="O1358">
        <v>4</v>
      </c>
      <c r="P1358">
        <v>2</v>
      </c>
      <c r="Q1358">
        <v>32.200000000000003</v>
      </c>
      <c r="R1358">
        <v>30</v>
      </c>
      <c r="S1358">
        <v>30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30</v>
      </c>
      <c r="AA1358">
        <v>9</v>
      </c>
      <c r="AB1358">
        <v>0</v>
      </c>
      <c r="AD1358">
        <v>71.2</v>
      </c>
    </row>
    <row r="1359" spans="1:30" x14ac:dyDescent="0.3">
      <c r="A1359" s="4">
        <v>1373</v>
      </c>
      <c r="B1359" s="5">
        <v>1352</v>
      </c>
      <c r="C1359">
        <v>2052</v>
      </c>
      <c r="D1359" t="s">
        <v>3091</v>
      </c>
      <c r="E1359" t="s">
        <v>3092</v>
      </c>
      <c r="F1359" t="s">
        <v>158</v>
      </c>
      <c r="G1359" t="s">
        <v>3093</v>
      </c>
      <c r="H1359" t="str">
        <f>"00533094"</f>
        <v>00533094</v>
      </c>
      <c r="I1359">
        <v>43.2</v>
      </c>
      <c r="J1359">
        <v>10</v>
      </c>
      <c r="M1359">
        <v>4</v>
      </c>
      <c r="N1359">
        <v>4</v>
      </c>
      <c r="O1359">
        <v>4</v>
      </c>
      <c r="P1359">
        <v>2</v>
      </c>
      <c r="Q1359">
        <v>63.2</v>
      </c>
      <c r="R1359">
        <v>8</v>
      </c>
      <c r="S1359">
        <v>8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8</v>
      </c>
      <c r="AA1359">
        <v>0</v>
      </c>
      <c r="AB1359">
        <v>0</v>
      </c>
      <c r="AD1359">
        <v>71.2</v>
      </c>
    </row>
    <row r="1360" spans="1:30" x14ac:dyDescent="0.3">
      <c r="A1360" s="4">
        <v>1374</v>
      </c>
      <c r="B1360" s="5">
        <v>1353</v>
      </c>
      <c r="C1360">
        <v>3564</v>
      </c>
      <c r="D1360" t="s">
        <v>994</v>
      </c>
      <c r="E1360" t="s">
        <v>563</v>
      </c>
      <c r="F1360" t="s">
        <v>3094</v>
      </c>
      <c r="G1360" t="s">
        <v>3095</v>
      </c>
      <c r="H1360" t="str">
        <f>"00531716"</f>
        <v>00531716</v>
      </c>
      <c r="I1360">
        <v>43.2</v>
      </c>
      <c r="J1360">
        <v>0</v>
      </c>
      <c r="M1360">
        <v>4</v>
      </c>
      <c r="N1360">
        <v>4</v>
      </c>
      <c r="O1360">
        <v>4</v>
      </c>
      <c r="P1360">
        <v>2</v>
      </c>
      <c r="Q1360">
        <v>53.2</v>
      </c>
      <c r="R1360">
        <v>18</v>
      </c>
      <c r="S1360">
        <v>18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18</v>
      </c>
      <c r="AA1360">
        <v>0</v>
      </c>
      <c r="AB1360">
        <v>0</v>
      </c>
      <c r="AD1360">
        <v>71.2</v>
      </c>
    </row>
    <row r="1361" spans="1:30" x14ac:dyDescent="0.3">
      <c r="A1361" s="4">
        <v>1375</v>
      </c>
      <c r="B1361" s="5">
        <v>1354</v>
      </c>
      <c r="C1361">
        <v>4897</v>
      </c>
      <c r="D1361" t="s">
        <v>717</v>
      </c>
      <c r="E1361" t="s">
        <v>147</v>
      </c>
      <c r="F1361" t="s">
        <v>81</v>
      </c>
      <c r="G1361" t="s">
        <v>3096</v>
      </c>
      <c r="H1361" t="str">
        <f>"00470704"</f>
        <v>00470704</v>
      </c>
      <c r="I1361">
        <v>43.2</v>
      </c>
      <c r="J1361">
        <v>0</v>
      </c>
      <c r="M1361">
        <v>4</v>
      </c>
      <c r="N1361">
        <v>4</v>
      </c>
      <c r="O1361">
        <v>4</v>
      </c>
      <c r="P1361">
        <v>2</v>
      </c>
      <c r="Q1361">
        <v>53.2</v>
      </c>
      <c r="R1361">
        <v>18</v>
      </c>
      <c r="S1361">
        <v>18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18</v>
      </c>
      <c r="AA1361">
        <v>0</v>
      </c>
      <c r="AB1361">
        <v>0</v>
      </c>
      <c r="AD1361">
        <v>71.2</v>
      </c>
    </row>
    <row r="1362" spans="1:30" x14ac:dyDescent="0.3">
      <c r="A1362" s="4">
        <v>1376</v>
      </c>
      <c r="B1362" s="5">
        <v>1355</v>
      </c>
      <c r="C1362">
        <v>833</v>
      </c>
      <c r="D1362" t="s">
        <v>3097</v>
      </c>
      <c r="E1362" t="s">
        <v>550</v>
      </c>
      <c r="F1362" t="s">
        <v>117</v>
      </c>
      <c r="G1362" t="s">
        <v>3098</v>
      </c>
      <c r="H1362" t="str">
        <f>"00109603"</f>
        <v>00109603</v>
      </c>
      <c r="I1362">
        <v>43.2</v>
      </c>
      <c r="J1362">
        <v>0</v>
      </c>
      <c r="M1362">
        <v>4</v>
      </c>
      <c r="N1362">
        <v>4</v>
      </c>
      <c r="O1362">
        <v>4</v>
      </c>
      <c r="P1362">
        <v>2</v>
      </c>
      <c r="Q1362">
        <v>53.2</v>
      </c>
      <c r="R1362">
        <v>18</v>
      </c>
      <c r="S1362">
        <v>18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18</v>
      </c>
      <c r="AA1362">
        <v>0</v>
      </c>
      <c r="AB1362">
        <v>0</v>
      </c>
      <c r="AD1362">
        <v>71.2</v>
      </c>
    </row>
    <row r="1363" spans="1:30" x14ac:dyDescent="0.3">
      <c r="A1363" s="4">
        <v>1377</v>
      </c>
      <c r="B1363" s="5">
        <v>1356</v>
      </c>
      <c r="C1363">
        <v>1145</v>
      </c>
      <c r="D1363" t="s">
        <v>3099</v>
      </c>
      <c r="E1363" t="s">
        <v>3100</v>
      </c>
      <c r="F1363" t="s">
        <v>243</v>
      </c>
      <c r="G1363" t="s">
        <v>3101</v>
      </c>
      <c r="H1363" t="str">
        <f>"00485655"</f>
        <v>00485655</v>
      </c>
      <c r="I1363">
        <v>43.2</v>
      </c>
      <c r="J1363">
        <v>0</v>
      </c>
      <c r="M1363">
        <v>4</v>
      </c>
      <c r="N1363">
        <v>4</v>
      </c>
      <c r="O1363">
        <v>4</v>
      </c>
      <c r="P1363">
        <v>2</v>
      </c>
      <c r="Q1363">
        <v>53.2</v>
      </c>
      <c r="R1363">
        <v>18</v>
      </c>
      <c r="S1363">
        <v>18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18</v>
      </c>
      <c r="AA1363">
        <v>0</v>
      </c>
      <c r="AB1363">
        <v>0</v>
      </c>
      <c r="AD1363">
        <v>71.2</v>
      </c>
    </row>
    <row r="1364" spans="1:30" x14ac:dyDescent="0.3">
      <c r="A1364" s="4">
        <v>1378</v>
      </c>
      <c r="B1364" s="5">
        <v>1357</v>
      </c>
      <c r="C1364">
        <v>266</v>
      </c>
      <c r="D1364" t="s">
        <v>3102</v>
      </c>
      <c r="E1364" t="s">
        <v>110</v>
      </c>
      <c r="F1364" t="s">
        <v>17</v>
      </c>
      <c r="G1364" t="s">
        <v>3103</v>
      </c>
      <c r="H1364" t="str">
        <f>"00208268"</f>
        <v>00208268</v>
      </c>
      <c r="I1364">
        <v>39.200000000000003</v>
      </c>
      <c r="J1364">
        <v>0</v>
      </c>
      <c r="K1364">
        <v>8</v>
      </c>
      <c r="N1364">
        <v>8</v>
      </c>
      <c r="O1364">
        <v>4</v>
      </c>
      <c r="P1364">
        <v>2</v>
      </c>
      <c r="Q1364">
        <v>53.2</v>
      </c>
      <c r="R1364">
        <v>18</v>
      </c>
      <c r="S1364">
        <v>18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18</v>
      </c>
      <c r="AA1364">
        <v>0</v>
      </c>
      <c r="AB1364">
        <v>0</v>
      </c>
      <c r="AD1364">
        <v>71.2</v>
      </c>
    </row>
    <row r="1365" spans="1:30" x14ac:dyDescent="0.3">
      <c r="A1365" s="4">
        <v>1379</v>
      </c>
      <c r="B1365" s="5">
        <v>1358</v>
      </c>
      <c r="C1365">
        <v>853</v>
      </c>
      <c r="D1365" t="s">
        <v>3104</v>
      </c>
      <c r="E1365" t="s">
        <v>3105</v>
      </c>
      <c r="F1365" t="s">
        <v>17</v>
      </c>
      <c r="G1365" t="s">
        <v>3106</v>
      </c>
      <c r="H1365" t="str">
        <f>"00523594"</f>
        <v>00523594</v>
      </c>
      <c r="I1365">
        <v>43.2</v>
      </c>
      <c r="J1365">
        <v>0</v>
      </c>
      <c r="M1365">
        <v>4</v>
      </c>
      <c r="N1365">
        <v>4</v>
      </c>
      <c r="O1365">
        <v>4</v>
      </c>
      <c r="P1365">
        <v>0</v>
      </c>
      <c r="Q1365">
        <v>51.2</v>
      </c>
      <c r="R1365">
        <v>0</v>
      </c>
      <c r="S1365">
        <v>0</v>
      </c>
      <c r="T1365">
        <v>10</v>
      </c>
      <c r="U1365">
        <v>20</v>
      </c>
      <c r="V1365">
        <v>0</v>
      </c>
      <c r="W1365">
        <v>0</v>
      </c>
      <c r="X1365">
        <v>0</v>
      </c>
      <c r="Y1365">
        <v>0</v>
      </c>
      <c r="Z1365">
        <v>20</v>
      </c>
      <c r="AA1365">
        <v>0</v>
      </c>
      <c r="AB1365">
        <v>0</v>
      </c>
      <c r="AD1365">
        <v>71.2</v>
      </c>
    </row>
    <row r="1366" spans="1:30" x14ac:dyDescent="0.3">
      <c r="A1366" s="4">
        <v>1380</v>
      </c>
      <c r="B1366" s="5">
        <v>1359</v>
      </c>
      <c r="C1366">
        <v>4195</v>
      </c>
      <c r="D1366" t="s">
        <v>1636</v>
      </c>
      <c r="E1366" t="s">
        <v>738</v>
      </c>
      <c r="F1366" t="s">
        <v>68</v>
      </c>
      <c r="G1366" t="s">
        <v>3107</v>
      </c>
      <c r="H1366" t="str">
        <f>"00480745"</f>
        <v>00480745</v>
      </c>
      <c r="I1366">
        <v>7.2</v>
      </c>
      <c r="J1366">
        <v>10</v>
      </c>
      <c r="N1366">
        <v>0</v>
      </c>
      <c r="O1366">
        <v>4</v>
      </c>
      <c r="P1366">
        <v>2</v>
      </c>
      <c r="Q1366">
        <v>23.2</v>
      </c>
      <c r="R1366">
        <v>48</v>
      </c>
      <c r="S1366">
        <v>48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48</v>
      </c>
      <c r="AA1366">
        <v>0</v>
      </c>
      <c r="AB1366">
        <v>0</v>
      </c>
      <c r="AD1366">
        <v>71.2</v>
      </c>
    </row>
    <row r="1367" spans="1:30" x14ac:dyDescent="0.3">
      <c r="A1367" s="4">
        <v>1381</v>
      </c>
      <c r="B1367" s="5">
        <v>1360</v>
      </c>
      <c r="C1367">
        <v>3584</v>
      </c>
      <c r="D1367" t="s">
        <v>28</v>
      </c>
      <c r="E1367" t="s">
        <v>29</v>
      </c>
      <c r="F1367" t="s">
        <v>381</v>
      </c>
      <c r="G1367" t="s">
        <v>3108</v>
      </c>
      <c r="H1367" t="str">
        <f>"00530527"</f>
        <v>00530527</v>
      </c>
      <c r="I1367">
        <v>13.16</v>
      </c>
      <c r="J1367">
        <v>0</v>
      </c>
      <c r="M1367">
        <v>4</v>
      </c>
      <c r="N1367">
        <v>4</v>
      </c>
      <c r="O1367">
        <v>0</v>
      </c>
      <c r="P1367">
        <v>2</v>
      </c>
      <c r="Q1367">
        <v>19.16</v>
      </c>
      <c r="R1367">
        <v>46</v>
      </c>
      <c r="S1367">
        <v>46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46</v>
      </c>
      <c r="AA1367">
        <v>6</v>
      </c>
      <c r="AB1367">
        <v>0</v>
      </c>
      <c r="AD1367">
        <v>71.16</v>
      </c>
    </row>
    <row r="1368" spans="1:30" x14ac:dyDescent="0.3">
      <c r="A1368" s="4">
        <v>1382</v>
      </c>
      <c r="B1368" s="5">
        <v>1361</v>
      </c>
      <c r="C1368">
        <v>4546</v>
      </c>
      <c r="D1368" t="s">
        <v>2672</v>
      </c>
      <c r="E1368" t="s">
        <v>37</v>
      </c>
      <c r="F1368" t="s">
        <v>20</v>
      </c>
      <c r="G1368" t="s">
        <v>3109</v>
      </c>
      <c r="H1368" t="str">
        <f>"201511031794"</f>
        <v>201511031794</v>
      </c>
      <c r="I1368">
        <v>35.119999999999997</v>
      </c>
      <c r="J1368">
        <v>10</v>
      </c>
      <c r="M1368">
        <v>4</v>
      </c>
      <c r="N1368">
        <v>4</v>
      </c>
      <c r="O1368">
        <v>4</v>
      </c>
      <c r="P1368">
        <v>0</v>
      </c>
      <c r="Q1368">
        <v>53.12</v>
      </c>
      <c r="R1368">
        <v>18</v>
      </c>
      <c r="S1368">
        <v>18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18</v>
      </c>
      <c r="AA1368">
        <v>0</v>
      </c>
      <c r="AB1368">
        <v>0</v>
      </c>
      <c r="AD1368">
        <v>71.12</v>
      </c>
    </row>
    <row r="1369" spans="1:30" x14ac:dyDescent="0.3">
      <c r="A1369" s="4">
        <v>1383</v>
      </c>
      <c r="B1369" s="5">
        <v>1362</v>
      </c>
      <c r="C1369">
        <v>2667</v>
      </c>
      <c r="D1369" t="s">
        <v>3110</v>
      </c>
      <c r="E1369" t="s">
        <v>54</v>
      </c>
      <c r="F1369" t="s">
        <v>17</v>
      </c>
      <c r="G1369" t="s">
        <v>3111</v>
      </c>
      <c r="H1369" t="str">
        <f>"00654105"</f>
        <v>00654105</v>
      </c>
      <c r="I1369">
        <v>36</v>
      </c>
      <c r="J1369">
        <v>10</v>
      </c>
      <c r="K1369">
        <v>8</v>
      </c>
      <c r="N1369">
        <v>8</v>
      </c>
      <c r="O1369">
        <v>0</v>
      </c>
      <c r="P1369">
        <v>0</v>
      </c>
      <c r="Q1369">
        <v>54</v>
      </c>
      <c r="R1369">
        <v>8</v>
      </c>
      <c r="S1369">
        <v>8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8</v>
      </c>
      <c r="AA1369">
        <v>9</v>
      </c>
      <c r="AB1369">
        <v>0</v>
      </c>
      <c r="AD1369">
        <v>71</v>
      </c>
    </row>
    <row r="1370" spans="1:30" x14ac:dyDescent="0.3">
      <c r="A1370" s="4">
        <v>1384</v>
      </c>
      <c r="B1370" s="5">
        <v>1363</v>
      </c>
      <c r="C1370">
        <v>3820</v>
      </c>
      <c r="D1370" t="s">
        <v>3112</v>
      </c>
      <c r="E1370" t="s">
        <v>178</v>
      </c>
      <c r="F1370" t="s">
        <v>17</v>
      </c>
      <c r="G1370" t="s">
        <v>3113</v>
      </c>
      <c r="H1370" t="str">
        <f>"00504028"</f>
        <v>00504028</v>
      </c>
      <c r="I1370">
        <v>36</v>
      </c>
      <c r="J1370">
        <v>0</v>
      </c>
      <c r="M1370">
        <v>4</v>
      </c>
      <c r="N1370">
        <v>4</v>
      </c>
      <c r="O1370">
        <v>4</v>
      </c>
      <c r="P1370">
        <v>0</v>
      </c>
      <c r="Q1370">
        <v>44</v>
      </c>
      <c r="R1370">
        <v>24</v>
      </c>
      <c r="S1370">
        <v>24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24</v>
      </c>
      <c r="AA1370">
        <v>3</v>
      </c>
      <c r="AB1370">
        <v>0</v>
      </c>
      <c r="AD1370">
        <v>71</v>
      </c>
    </row>
    <row r="1371" spans="1:30" x14ac:dyDescent="0.3">
      <c r="A1371" s="4">
        <v>1385</v>
      </c>
      <c r="B1371" s="5">
        <v>1364</v>
      </c>
      <c r="C1371">
        <v>2168</v>
      </c>
      <c r="D1371" t="s">
        <v>3114</v>
      </c>
      <c r="E1371" t="s">
        <v>3115</v>
      </c>
      <c r="F1371" t="s">
        <v>55</v>
      </c>
      <c r="G1371" t="s">
        <v>3116</v>
      </c>
      <c r="H1371" t="str">
        <f>"00308388"</f>
        <v>00308388</v>
      </c>
      <c r="I1371">
        <v>36</v>
      </c>
      <c r="J1371">
        <v>0</v>
      </c>
      <c r="M1371">
        <v>4</v>
      </c>
      <c r="N1371">
        <v>4</v>
      </c>
      <c r="O1371">
        <v>0</v>
      </c>
      <c r="P1371">
        <v>2</v>
      </c>
      <c r="Q1371">
        <v>42</v>
      </c>
      <c r="R1371">
        <v>26</v>
      </c>
      <c r="S1371">
        <v>26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26</v>
      </c>
      <c r="AA1371">
        <v>3</v>
      </c>
      <c r="AB1371">
        <v>0</v>
      </c>
      <c r="AD1371">
        <v>71</v>
      </c>
    </row>
    <row r="1372" spans="1:30" x14ac:dyDescent="0.3">
      <c r="A1372" s="4">
        <v>1386</v>
      </c>
      <c r="B1372" s="5">
        <v>1365</v>
      </c>
      <c r="C1372">
        <v>3974</v>
      </c>
      <c r="D1372" t="s">
        <v>3117</v>
      </c>
      <c r="E1372" t="s">
        <v>29</v>
      </c>
      <c r="F1372" t="s">
        <v>158</v>
      </c>
      <c r="G1372" t="s">
        <v>3118</v>
      </c>
      <c r="H1372" t="str">
        <f>"00516802"</f>
        <v>00516802</v>
      </c>
      <c r="I1372">
        <v>28.88</v>
      </c>
      <c r="J1372">
        <v>0</v>
      </c>
      <c r="N1372">
        <v>0</v>
      </c>
      <c r="O1372">
        <v>4</v>
      </c>
      <c r="P1372">
        <v>2</v>
      </c>
      <c r="Q1372">
        <v>34.880000000000003</v>
      </c>
      <c r="R1372">
        <v>33</v>
      </c>
      <c r="S1372">
        <v>33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33</v>
      </c>
      <c r="AA1372">
        <v>3</v>
      </c>
      <c r="AB1372">
        <v>0</v>
      </c>
      <c r="AD1372">
        <v>70.88</v>
      </c>
    </row>
    <row r="1373" spans="1:30" x14ac:dyDescent="0.3">
      <c r="A1373" s="4">
        <v>1387</v>
      </c>
      <c r="B1373" s="5">
        <v>1366</v>
      </c>
      <c r="C1373">
        <v>2497</v>
      </c>
      <c r="D1373" t="s">
        <v>3119</v>
      </c>
      <c r="E1373" t="s">
        <v>3120</v>
      </c>
      <c r="F1373" t="s">
        <v>3121</v>
      </c>
      <c r="G1373" t="s">
        <v>3122</v>
      </c>
      <c r="H1373" t="str">
        <f>"00534020"</f>
        <v>00534020</v>
      </c>
      <c r="I1373">
        <v>24.8</v>
      </c>
      <c r="J1373">
        <v>0</v>
      </c>
      <c r="K1373">
        <v>8</v>
      </c>
      <c r="N1373">
        <v>8</v>
      </c>
      <c r="O1373">
        <v>4</v>
      </c>
      <c r="P1373">
        <v>2</v>
      </c>
      <c r="Q1373">
        <v>38.799999999999997</v>
      </c>
      <c r="R1373">
        <v>26</v>
      </c>
      <c r="S1373">
        <v>26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26</v>
      </c>
      <c r="AA1373">
        <v>6</v>
      </c>
      <c r="AB1373">
        <v>0</v>
      </c>
      <c r="AD1373">
        <v>70.8</v>
      </c>
    </row>
    <row r="1374" spans="1:30" x14ac:dyDescent="0.3">
      <c r="A1374" s="4">
        <v>1388</v>
      </c>
      <c r="B1374" s="5">
        <v>1367</v>
      </c>
      <c r="C1374">
        <v>343</v>
      </c>
      <c r="D1374" t="s">
        <v>3123</v>
      </c>
      <c r="E1374" t="s">
        <v>3124</v>
      </c>
      <c r="F1374" t="s">
        <v>38</v>
      </c>
      <c r="G1374" t="s">
        <v>3125</v>
      </c>
      <c r="H1374" t="str">
        <f>"00756393"</f>
        <v>00756393</v>
      </c>
      <c r="I1374">
        <v>64.8</v>
      </c>
      <c r="J1374">
        <v>0</v>
      </c>
      <c r="N1374">
        <v>0</v>
      </c>
      <c r="O1374">
        <v>4</v>
      </c>
      <c r="P1374">
        <v>2</v>
      </c>
      <c r="Q1374">
        <v>70.8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D1374">
        <v>70.8</v>
      </c>
    </row>
    <row r="1375" spans="1:30" x14ac:dyDescent="0.3">
      <c r="A1375" s="4">
        <v>1389</v>
      </c>
      <c r="B1375" s="5">
        <v>1368</v>
      </c>
      <c r="C1375">
        <v>1087</v>
      </c>
      <c r="D1375" t="s">
        <v>1736</v>
      </c>
      <c r="E1375" t="s">
        <v>51</v>
      </c>
      <c r="F1375" t="s">
        <v>158</v>
      </c>
      <c r="G1375" t="s">
        <v>3126</v>
      </c>
      <c r="H1375" t="str">
        <f>"00854483"</f>
        <v>00854483</v>
      </c>
      <c r="I1375">
        <v>64.8</v>
      </c>
      <c r="J1375">
        <v>0</v>
      </c>
      <c r="N1375">
        <v>0</v>
      </c>
      <c r="O1375">
        <v>4</v>
      </c>
      <c r="P1375">
        <v>2</v>
      </c>
      <c r="Q1375">
        <v>70.8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D1375">
        <v>70.8</v>
      </c>
    </row>
    <row r="1376" spans="1:30" x14ac:dyDescent="0.3">
      <c r="A1376" s="4">
        <v>1390</v>
      </c>
      <c r="B1376" s="5">
        <v>1369</v>
      </c>
      <c r="C1376">
        <v>3008</v>
      </c>
      <c r="D1376" t="s">
        <v>3127</v>
      </c>
      <c r="E1376" t="s">
        <v>22</v>
      </c>
      <c r="F1376" t="s">
        <v>68</v>
      </c>
      <c r="G1376" t="s">
        <v>3128</v>
      </c>
      <c r="H1376" t="str">
        <f>"00524729"</f>
        <v>00524729</v>
      </c>
      <c r="I1376">
        <v>28.8</v>
      </c>
      <c r="J1376">
        <v>0</v>
      </c>
      <c r="N1376">
        <v>0</v>
      </c>
      <c r="O1376">
        <v>4</v>
      </c>
      <c r="P1376">
        <v>2</v>
      </c>
      <c r="Q1376">
        <v>34.799999999999997</v>
      </c>
      <c r="R1376">
        <v>0</v>
      </c>
      <c r="S1376">
        <v>0</v>
      </c>
      <c r="T1376">
        <v>18</v>
      </c>
      <c r="U1376">
        <v>36</v>
      </c>
      <c r="V1376">
        <v>0</v>
      </c>
      <c r="W1376">
        <v>0</v>
      </c>
      <c r="X1376">
        <v>0</v>
      </c>
      <c r="Y1376">
        <v>0</v>
      </c>
      <c r="Z1376">
        <v>36</v>
      </c>
      <c r="AA1376">
        <v>0</v>
      </c>
      <c r="AB1376">
        <v>0</v>
      </c>
      <c r="AD1376">
        <v>70.8</v>
      </c>
    </row>
    <row r="1377" spans="1:30" x14ac:dyDescent="0.3">
      <c r="A1377" s="4">
        <v>1391</v>
      </c>
      <c r="B1377" s="5">
        <v>1370</v>
      </c>
      <c r="C1377">
        <v>1961</v>
      </c>
      <c r="D1377" t="s">
        <v>3129</v>
      </c>
      <c r="E1377" t="s">
        <v>439</v>
      </c>
      <c r="F1377" t="s">
        <v>3130</v>
      </c>
      <c r="G1377" t="s">
        <v>3131</v>
      </c>
      <c r="H1377" t="str">
        <f>"200910000341"</f>
        <v>200910000341</v>
      </c>
      <c r="I1377">
        <v>37.520000000000003</v>
      </c>
      <c r="J1377">
        <v>0</v>
      </c>
      <c r="N1377">
        <v>0</v>
      </c>
      <c r="O1377">
        <v>0</v>
      </c>
      <c r="P1377">
        <v>0</v>
      </c>
      <c r="Q1377">
        <v>37.520000000000003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6</v>
      </c>
      <c r="AB1377">
        <v>27.2</v>
      </c>
      <c r="AD1377">
        <v>70.72</v>
      </c>
    </row>
    <row r="1378" spans="1:30" x14ac:dyDescent="0.3">
      <c r="A1378" s="4">
        <v>1392</v>
      </c>
      <c r="B1378" s="5">
        <v>1371</v>
      </c>
      <c r="C1378">
        <v>1514</v>
      </c>
      <c r="D1378" t="s">
        <v>3132</v>
      </c>
      <c r="E1378" t="s">
        <v>132</v>
      </c>
      <c r="F1378" t="s">
        <v>52</v>
      </c>
      <c r="G1378" t="s">
        <v>3133</v>
      </c>
      <c r="H1378" t="str">
        <f>"201510003578"</f>
        <v>201510003578</v>
      </c>
      <c r="I1378">
        <v>36.72</v>
      </c>
      <c r="J1378">
        <v>0</v>
      </c>
      <c r="M1378">
        <v>4</v>
      </c>
      <c r="N1378">
        <v>4</v>
      </c>
      <c r="O1378">
        <v>4</v>
      </c>
      <c r="P1378">
        <v>2</v>
      </c>
      <c r="Q1378">
        <v>46.72</v>
      </c>
      <c r="R1378">
        <v>18</v>
      </c>
      <c r="S1378">
        <v>18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18</v>
      </c>
      <c r="AA1378">
        <v>6</v>
      </c>
      <c r="AB1378">
        <v>0</v>
      </c>
      <c r="AD1378">
        <v>70.72</v>
      </c>
    </row>
    <row r="1379" spans="1:30" x14ac:dyDescent="0.3">
      <c r="A1379" s="4">
        <v>1393</v>
      </c>
      <c r="B1379" s="5">
        <v>1372</v>
      </c>
      <c r="C1379">
        <v>1420</v>
      </c>
      <c r="D1379" t="s">
        <v>3134</v>
      </c>
      <c r="E1379" t="s">
        <v>29</v>
      </c>
      <c r="F1379" t="s">
        <v>124</v>
      </c>
      <c r="G1379" t="s">
        <v>3135</v>
      </c>
      <c r="H1379" t="str">
        <f>"00803921"</f>
        <v>00803921</v>
      </c>
      <c r="I1379">
        <v>57.6</v>
      </c>
      <c r="J1379">
        <v>0</v>
      </c>
      <c r="M1379">
        <v>4</v>
      </c>
      <c r="N1379">
        <v>4</v>
      </c>
      <c r="O1379">
        <v>0</v>
      </c>
      <c r="P1379">
        <v>0</v>
      </c>
      <c r="Q1379">
        <v>61.6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9</v>
      </c>
      <c r="AB1379">
        <v>0</v>
      </c>
      <c r="AD1379">
        <v>70.599999999999994</v>
      </c>
    </row>
    <row r="1380" spans="1:30" x14ac:dyDescent="0.3">
      <c r="A1380" s="4">
        <v>1394</v>
      </c>
      <c r="B1380" s="5">
        <v>1373</v>
      </c>
      <c r="C1380">
        <v>3566</v>
      </c>
      <c r="D1380" t="s">
        <v>3136</v>
      </c>
      <c r="E1380" t="s">
        <v>173</v>
      </c>
      <c r="F1380" t="s">
        <v>38</v>
      </c>
      <c r="G1380" t="s">
        <v>3137</v>
      </c>
      <c r="H1380" t="str">
        <f>"00480083"</f>
        <v>00480083</v>
      </c>
      <c r="I1380">
        <v>32.6</v>
      </c>
      <c r="J1380">
        <v>0</v>
      </c>
      <c r="N1380">
        <v>0</v>
      </c>
      <c r="O1380">
        <v>0</v>
      </c>
      <c r="P1380">
        <v>0</v>
      </c>
      <c r="Q1380">
        <v>32.6</v>
      </c>
      <c r="R1380">
        <v>32</v>
      </c>
      <c r="S1380">
        <v>32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32</v>
      </c>
      <c r="AA1380">
        <v>6</v>
      </c>
      <c r="AB1380">
        <v>0</v>
      </c>
      <c r="AD1380">
        <v>70.599999999999994</v>
      </c>
    </row>
    <row r="1381" spans="1:30" x14ac:dyDescent="0.3">
      <c r="A1381" s="4">
        <v>1395</v>
      </c>
      <c r="B1381" s="5">
        <v>1374</v>
      </c>
      <c r="C1381">
        <v>3255</v>
      </c>
      <c r="D1381" t="s">
        <v>3138</v>
      </c>
      <c r="E1381" t="s">
        <v>161</v>
      </c>
      <c r="F1381" t="s">
        <v>117</v>
      </c>
      <c r="G1381" t="s">
        <v>3139</v>
      </c>
      <c r="H1381" t="str">
        <f>"00542556"</f>
        <v>00542556</v>
      </c>
      <c r="I1381">
        <v>57.6</v>
      </c>
      <c r="J1381">
        <v>0</v>
      </c>
      <c r="M1381">
        <v>4</v>
      </c>
      <c r="N1381">
        <v>4</v>
      </c>
      <c r="O1381">
        <v>4</v>
      </c>
      <c r="P1381">
        <v>2</v>
      </c>
      <c r="Q1381">
        <v>67.599999999999994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3</v>
      </c>
      <c r="AB1381">
        <v>0</v>
      </c>
      <c r="AD1381">
        <v>70.599999999999994</v>
      </c>
    </row>
    <row r="1382" spans="1:30" x14ac:dyDescent="0.3">
      <c r="A1382" s="4">
        <v>1396</v>
      </c>
      <c r="B1382" s="5">
        <v>1375</v>
      </c>
      <c r="C1382">
        <v>3238</v>
      </c>
      <c r="D1382" t="s">
        <v>3140</v>
      </c>
      <c r="E1382" t="s">
        <v>908</v>
      </c>
      <c r="F1382" t="s">
        <v>20</v>
      </c>
      <c r="G1382" t="s">
        <v>3141</v>
      </c>
      <c r="H1382" t="str">
        <f>"00161921"</f>
        <v>00161921</v>
      </c>
      <c r="I1382">
        <v>57.6</v>
      </c>
      <c r="J1382">
        <v>0</v>
      </c>
      <c r="M1382">
        <v>4</v>
      </c>
      <c r="N1382">
        <v>4</v>
      </c>
      <c r="O1382">
        <v>4</v>
      </c>
      <c r="P1382">
        <v>2</v>
      </c>
      <c r="Q1382">
        <v>67.599999999999994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3</v>
      </c>
      <c r="AB1382">
        <v>0</v>
      </c>
      <c r="AD1382">
        <v>70.599999999999994</v>
      </c>
    </row>
    <row r="1383" spans="1:30" x14ac:dyDescent="0.3">
      <c r="A1383" s="4">
        <v>1397</v>
      </c>
      <c r="B1383" s="5">
        <v>1376</v>
      </c>
      <c r="C1383">
        <v>647</v>
      </c>
      <c r="D1383" t="s">
        <v>3142</v>
      </c>
      <c r="E1383" t="s">
        <v>97</v>
      </c>
      <c r="F1383" t="s">
        <v>136</v>
      </c>
      <c r="G1383" t="s">
        <v>3143</v>
      </c>
      <c r="H1383" t="str">
        <f>"00297779"</f>
        <v>00297779</v>
      </c>
      <c r="I1383">
        <v>37.6</v>
      </c>
      <c r="J1383">
        <v>0</v>
      </c>
      <c r="N1383">
        <v>0</v>
      </c>
      <c r="O1383">
        <v>0</v>
      </c>
      <c r="P1383">
        <v>0</v>
      </c>
      <c r="Q1383">
        <v>37.6</v>
      </c>
      <c r="R1383">
        <v>30</v>
      </c>
      <c r="S1383">
        <v>30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30</v>
      </c>
      <c r="AA1383">
        <v>3</v>
      </c>
      <c r="AB1383">
        <v>0</v>
      </c>
      <c r="AD1383">
        <v>70.599999999999994</v>
      </c>
    </row>
    <row r="1384" spans="1:30" x14ac:dyDescent="0.3">
      <c r="A1384" s="4">
        <v>1398</v>
      </c>
      <c r="B1384" s="5">
        <v>1377</v>
      </c>
      <c r="C1384">
        <v>1911</v>
      </c>
      <c r="D1384" t="s">
        <v>577</v>
      </c>
      <c r="E1384" t="s">
        <v>471</v>
      </c>
      <c r="F1384" t="s">
        <v>81</v>
      </c>
      <c r="G1384" t="s">
        <v>3144</v>
      </c>
      <c r="H1384" t="str">
        <f>"00498489"</f>
        <v>00498489</v>
      </c>
      <c r="I1384">
        <v>39.6</v>
      </c>
      <c r="J1384">
        <v>10</v>
      </c>
      <c r="N1384">
        <v>0</v>
      </c>
      <c r="O1384">
        <v>4</v>
      </c>
      <c r="P1384">
        <v>0</v>
      </c>
      <c r="Q1384">
        <v>53.6</v>
      </c>
      <c r="R1384">
        <v>17</v>
      </c>
      <c r="S1384">
        <v>17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17</v>
      </c>
      <c r="AA1384">
        <v>0</v>
      </c>
      <c r="AB1384">
        <v>0</v>
      </c>
      <c r="AD1384">
        <v>70.599999999999994</v>
      </c>
    </row>
    <row r="1385" spans="1:30" x14ac:dyDescent="0.3">
      <c r="A1385" s="4">
        <v>1399</v>
      </c>
      <c r="B1385" s="5">
        <v>1378</v>
      </c>
      <c r="C1385">
        <v>297</v>
      </c>
      <c r="D1385" t="s">
        <v>3145</v>
      </c>
      <c r="E1385" t="s">
        <v>29</v>
      </c>
      <c r="F1385" t="s">
        <v>81</v>
      </c>
      <c r="G1385" t="s">
        <v>3146</v>
      </c>
      <c r="H1385" t="str">
        <f>"00095878"</f>
        <v>00095878</v>
      </c>
      <c r="I1385">
        <v>39.6</v>
      </c>
      <c r="J1385">
        <v>0</v>
      </c>
      <c r="N1385">
        <v>0</v>
      </c>
      <c r="O1385">
        <v>4</v>
      </c>
      <c r="P1385">
        <v>2</v>
      </c>
      <c r="Q1385">
        <v>45.6</v>
      </c>
      <c r="R1385">
        <v>25</v>
      </c>
      <c r="S1385">
        <v>25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25</v>
      </c>
      <c r="AA1385">
        <v>0</v>
      </c>
      <c r="AB1385">
        <v>0</v>
      </c>
      <c r="AD1385">
        <v>70.599999999999994</v>
      </c>
    </row>
    <row r="1386" spans="1:30" x14ac:dyDescent="0.3">
      <c r="A1386" s="4">
        <v>1400</v>
      </c>
      <c r="B1386" s="5">
        <v>1379</v>
      </c>
      <c r="C1386">
        <v>1311</v>
      </c>
      <c r="D1386" t="s">
        <v>3147</v>
      </c>
      <c r="E1386" t="s">
        <v>100</v>
      </c>
      <c r="F1386" t="s">
        <v>20</v>
      </c>
      <c r="G1386" t="s">
        <v>3148</v>
      </c>
      <c r="H1386" t="str">
        <f>"00512110"</f>
        <v>00512110</v>
      </c>
      <c r="I1386">
        <v>29.6</v>
      </c>
      <c r="J1386">
        <v>0</v>
      </c>
      <c r="N1386">
        <v>0</v>
      </c>
      <c r="O1386">
        <v>0</v>
      </c>
      <c r="P1386">
        <v>2</v>
      </c>
      <c r="Q1386">
        <v>31.6</v>
      </c>
      <c r="R1386">
        <v>39</v>
      </c>
      <c r="S1386">
        <v>39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39</v>
      </c>
      <c r="AA1386">
        <v>0</v>
      </c>
      <c r="AB1386">
        <v>0</v>
      </c>
      <c r="AD1386">
        <v>70.599999999999994</v>
      </c>
    </row>
    <row r="1387" spans="1:30" x14ac:dyDescent="0.3">
      <c r="A1387" s="4">
        <v>1401</v>
      </c>
      <c r="B1387" s="5">
        <v>1380</v>
      </c>
      <c r="C1387">
        <v>2228</v>
      </c>
      <c r="D1387" t="s">
        <v>3149</v>
      </c>
      <c r="E1387" t="s">
        <v>26</v>
      </c>
      <c r="F1387" t="s">
        <v>782</v>
      </c>
      <c r="G1387" t="s">
        <v>3150</v>
      </c>
      <c r="H1387" t="str">
        <f>"00532869"</f>
        <v>00532869</v>
      </c>
      <c r="I1387">
        <v>21.6</v>
      </c>
      <c r="J1387">
        <v>10</v>
      </c>
      <c r="N1387">
        <v>0</v>
      </c>
      <c r="O1387">
        <v>0</v>
      </c>
      <c r="P1387">
        <v>0</v>
      </c>
      <c r="Q1387">
        <v>31.6</v>
      </c>
      <c r="R1387">
        <v>39</v>
      </c>
      <c r="S1387">
        <v>39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39</v>
      </c>
      <c r="AA1387">
        <v>0</v>
      </c>
      <c r="AB1387">
        <v>0</v>
      </c>
      <c r="AD1387">
        <v>70.599999999999994</v>
      </c>
    </row>
    <row r="1388" spans="1:30" x14ac:dyDescent="0.3">
      <c r="A1388" s="4">
        <v>1402</v>
      </c>
      <c r="B1388" s="5">
        <v>1381</v>
      </c>
      <c r="C1388">
        <v>3236</v>
      </c>
      <c r="D1388" t="s">
        <v>2695</v>
      </c>
      <c r="E1388" t="s">
        <v>26</v>
      </c>
      <c r="F1388" t="s">
        <v>117</v>
      </c>
      <c r="G1388" t="s">
        <v>3151</v>
      </c>
      <c r="H1388" t="str">
        <f>"00529736"</f>
        <v>00529736</v>
      </c>
      <c r="I1388">
        <v>35.56</v>
      </c>
      <c r="J1388">
        <v>0</v>
      </c>
      <c r="N1388">
        <v>0</v>
      </c>
      <c r="O1388">
        <v>0</v>
      </c>
      <c r="P1388">
        <v>0</v>
      </c>
      <c r="Q1388">
        <v>35.56</v>
      </c>
      <c r="R1388">
        <v>32</v>
      </c>
      <c r="S1388">
        <v>32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32</v>
      </c>
      <c r="AA1388">
        <v>3</v>
      </c>
      <c r="AB1388">
        <v>0</v>
      </c>
      <c r="AD1388">
        <v>70.56</v>
      </c>
    </row>
    <row r="1389" spans="1:30" x14ac:dyDescent="0.3">
      <c r="A1389" s="4">
        <v>1403</v>
      </c>
      <c r="B1389" s="5">
        <v>1382</v>
      </c>
      <c r="C1389">
        <v>800</v>
      </c>
      <c r="D1389" t="s">
        <v>3152</v>
      </c>
      <c r="E1389" t="s">
        <v>3153</v>
      </c>
      <c r="F1389" t="s">
        <v>328</v>
      </c>
      <c r="G1389" t="s">
        <v>3154</v>
      </c>
      <c r="H1389" t="str">
        <f>"00141640"</f>
        <v>00141640</v>
      </c>
      <c r="I1389">
        <v>14.4</v>
      </c>
      <c r="J1389">
        <v>0</v>
      </c>
      <c r="M1389">
        <v>4</v>
      </c>
      <c r="N1389">
        <v>4</v>
      </c>
      <c r="O1389">
        <v>4</v>
      </c>
      <c r="P1389">
        <v>2</v>
      </c>
      <c r="Q1389">
        <v>24.4</v>
      </c>
      <c r="R1389">
        <v>17</v>
      </c>
      <c r="S1389">
        <v>17</v>
      </c>
      <c r="T1389">
        <v>10</v>
      </c>
      <c r="U1389">
        <v>20</v>
      </c>
      <c r="V1389">
        <v>0</v>
      </c>
      <c r="W1389">
        <v>0</v>
      </c>
      <c r="X1389">
        <v>0</v>
      </c>
      <c r="Y1389">
        <v>0</v>
      </c>
      <c r="Z1389">
        <v>37</v>
      </c>
      <c r="AA1389">
        <v>9</v>
      </c>
      <c r="AB1389">
        <v>0</v>
      </c>
      <c r="AD1389">
        <v>70.400000000000006</v>
      </c>
    </row>
    <row r="1390" spans="1:30" x14ac:dyDescent="0.3">
      <c r="A1390" s="4">
        <v>1404</v>
      </c>
      <c r="B1390" s="5">
        <v>1383</v>
      </c>
      <c r="C1390">
        <v>1000</v>
      </c>
      <c r="D1390" t="s">
        <v>3155</v>
      </c>
      <c r="E1390" t="s">
        <v>283</v>
      </c>
      <c r="F1390" t="s">
        <v>38</v>
      </c>
      <c r="G1390" t="s">
        <v>3156</v>
      </c>
      <c r="H1390" t="str">
        <f>"00855308"</f>
        <v>00855308</v>
      </c>
      <c r="I1390">
        <v>50.4</v>
      </c>
      <c r="J1390">
        <v>0</v>
      </c>
      <c r="K1390">
        <v>8</v>
      </c>
      <c r="N1390">
        <v>8</v>
      </c>
      <c r="O1390">
        <v>4</v>
      </c>
      <c r="P1390">
        <v>2</v>
      </c>
      <c r="Q1390">
        <v>64.400000000000006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6</v>
      </c>
      <c r="AB1390">
        <v>0</v>
      </c>
      <c r="AD1390">
        <v>70.400000000000006</v>
      </c>
    </row>
    <row r="1391" spans="1:30" x14ac:dyDescent="0.3">
      <c r="A1391" s="4">
        <v>1405</v>
      </c>
      <c r="B1391" s="5">
        <v>1384</v>
      </c>
      <c r="C1391">
        <v>958</v>
      </c>
      <c r="D1391" t="s">
        <v>3157</v>
      </c>
      <c r="E1391" t="s">
        <v>286</v>
      </c>
      <c r="F1391" t="s">
        <v>34</v>
      </c>
      <c r="G1391" t="s">
        <v>3158</v>
      </c>
      <c r="H1391" t="str">
        <f>"00528515"</f>
        <v>00528515</v>
      </c>
      <c r="I1391">
        <v>50.4</v>
      </c>
      <c r="J1391">
        <v>0</v>
      </c>
      <c r="N1391">
        <v>0</v>
      </c>
      <c r="O1391">
        <v>4</v>
      </c>
      <c r="P1391">
        <v>2</v>
      </c>
      <c r="Q1391">
        <v>56.4</v>
      </c>
      <c r="R1391">
        <v>8</v>
      </c>
      <c r="S1391">
        <v>8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8</v>
      </c>
      <c r="AA1391">
        <v>6</v>
      </c>
      <c r="AB1391">
        <v>0</v>
      </c>
      <c r="AD1391">
        <v>70.400000000000006</v>
      </c>
    </row>
    <row r="1392" spans="1:30" x14ac:dyDescent="0.3">
      <c r="A1392" s="4">
        <v>1406</v>
      </c>
      <c r="B1392" s="5">
        <v>1385</v>
      </c>
      <c r="C1392">
        <v>4135</v>
      </c>
      <c r="D1392" t="s">
        <v>3159</v>
      </c>
      <c r="E1392" t="s">
        <v>400</v>
      </c>
      <c r="F1392" t="s">
        <v>158</v>
      </c>
      <c r="G1392" t="s">
        <v>3160</v>
      </c>
      <c r="H1392" t="str">
        <f>"00859622"</f>
        <v>00859622</v>
      </c>
      <c r="I1392">
        <v>50.4</v>
      </c>
      <c r="J1392">
        <v>10</v>
      </c>
      <c r="M1392">
        <v>4</v>
      </c>
      <c r="N1392">
        <v>4</v>
      </c>
      <c r="O1392">
        <v>4</v>
      </c>
      <c r="P1392">
        <v>2</v>
      </c>
      <c r="Q1392">
        <v>70.400000000000006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D1392">
        <v>70.400000000000006</v>
      </c>
    </row>
    <row r="1393" spans="1:30" x14ac:dyDescent="0.3">
      <c r="A1393" s="4">
        <v>1407</v>
      </c>
      <c r="B1393" s="5">
        <v>1386</v>
      </c>
      <c r="C1393">
        <v>1288</v>
      </c>
      <c r="D1393" t="s">
        <v>3161</v>
      </c>
      <c r="E1393" t="s">
        <v>26</v>
      </c>
      <c r="F1393" t="s">
        <v>20</v>
      </c>
      <c r="G1393" t="s">
        <v>3162</v>
      </c>
      <c r="H1393" t="str">
        <f>"00502471"</f>
        <v>00502471</v>
      </c>
      <c r="I1393">
        <v>30.24</v>
      </c>
      <c r="J1393">
        <v>0</v>
      </c>
      <c r="N1393">
        <v>0</v>
      </c>
      <c r="O1393">
        <v>0</v>
      </c>
      <c r="P1393">
        <v>0</v>
      </c>
      <c r="Q1393">
        <v>30.24</v>
      </c>
      <c r="R1393">
        <v>37</v>
      </c>
      <c r="S1393">
        <v>37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37</v>
      </c>
      <c r="AA1393">
        <v>3</v>
      </c>
      <c r="AB1393">
        <v>0</v>
      </c>
      <c r="AD1393">
        <v>70.239999999999995</v>
      </c>
    </row>
    <row r="1394" spans="1:30" x14ac:dyDescent="0.3">
      <c r="A1394" s="4">
        <v>1408</v>
      </c>
      <c r="B1394" s="5">
        <v>1387</v>
      </c>
      <c r="C1394">
        <v>2952</v>
      </c>
      <c r="D1394" t="s">
        <v>3163</v>
      </c>
      <c r="E1394" t="s">
        <v>3164</v>
      </c>
      <c r="F1394" t="s">
        <v>20</v>
      </c>
      <c r="G1394" t="s">
        <v>3165</v>
      </c>
      <c r="H1394" t="str">
        <f>"00162925"</f>
        <v>00162925</v>
      </c>
      <c r="I1394">
        <v>7.2</v>
      </c>
      <c r="J1394">
        <v>0</v>
      </c>
      <c r="N1394">
        <v>0</v>
      </c>
      <c r="O1394">
        <v>0</v>
      </c>
      <c r="P1394">
        <v>2</v>
      </c>
      <c r="Q1394">
        <v>9.1999999999999993</v>
      </c>
      <c r="R1394">
        <v>52</v>
      </c>
      <c r="S1394">
        <v>52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52</v>
      </c>
      <c r="AA1394">
        <v>9</v>
      </c>
      <c r="AB1394">
        <v>0</v>
      </c>
      <c r="AD1394">
        <v>70.2</v>
      </c>
    </row>
    <row r="1395" spans="1:30" x14ac:dyDescent="0.3">
      <c r="A1395" s="4">
        <v>1409</v>
      </c>
      <c r="B1395" s="5">
        <v>1388</v>
      </c>
      <c r="C1395">
        <v>4047</v>
      </c>
      <c r="D1395" t="s">
        <v>459</v>
      </c>
      <c r="E1395" t="s">
        <v>967</v>
      </c>
      <c r="F1395" t="s">
        <v>230</v>
      </c>
      <c r="G1395" t="s">
        <v>3166</v>
      </c>
      <c r="H1395" t="str">
        <f>"200801001973"</f>
        <v>200801001973</v>
      </c>
      <c r="I1395">
        <v>43.2</v>
      </c>
      <c r="J1395">
        <v>10</v>
      </c>
      <c r="K1395">
        <v>8</v>
      </c>
      <c r="N1395">
        <v>8</v>
      </c>
      <c r="O1395">
        <v>4</v>
      </c>
      <c r="P1395">
        <v>2</v>
      </c>
      <c r="Q1395">
        <v>67.2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3</v>
      </c>
      <c r="AB1395">
        <v>0</v>
      </c>
      <c r="AD1395">
        <v>70.2</v>
      </c>
    </row>
    <row r="1396" spans="1:30" x14ac:dyDescent="0.3">
      <c r="A1396" s="4">
        <v>1410</v>
      </c>
      <c r="B1396" s="5">
        <v>1389</v>
      </c>
      <c r="C1396">
        <v>89</v>
      </c>
      <c r="D1396" t="s">
        <v>3167</v>
      </c>
      <c r="E1396" t="s">
        <v>29</v>
      </c>
      <c r="F1396" t="s">
        <v>81</v>
      </c>
      <c r="G1396" t="s">
        <v>3168</v>
      </c>
      <c r="H1396" t="str">
        <f>"200805000468"</f>
        <v>200805000468</v>
      </c>
      <c r="I1396">
        <v>39.200000000000003</v>
      </c>
      <c r="J1396">
        <v>0</v>
      </c>
      <c r="M1396">
        <v>4</v>
      </c>
      <c r="N1396">
        <v>4</v>
      </c>
      <c r="O1396">
        <v>4</v>
      </c>
      <c r="P1396">
        <v>2</v>
      </c>
      <c r="Q1396">
        <v>49.2</v>
      </c>
      <c r="R1396">
        <v>18</v>
      </c>
      <c r="S1396">
        <v>18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18</v>
      </c>
      <c r="AA1396">
        <v>3</v>
      </c>
      <c r="AB1396">
        <v>0</v>
      </c>
      <c r="AD1396">
        <v>70.2</v>
      </c>
    </row>
    <row r="1397" spans="1:30" x14ac:dyDescent="0.3">
      <c r="A1397" s="4">
        <v>1411</v>
      </c>
      <c r="B1397" s="5">
        <v>1390</v>
      </c>
      <c r="C1397">
        <v>67</v>
      </c>
      <c r="D1397" t="s">
        <v>3169</v>
      </c>
      <c r="E1397" t="s">
        <v>161</v>
      </c>
      <c r="F1397" t="s">
        <v>20</v>
      </c>
      <c r="G1397" t="s">
        <v>3170</v>
      </c>
      <c r="H1397" t="str">
        <f>"00441566"</f>
        <v>00441566</v>
      </c>
      <c r="I1397">
        <v>39.200000000000003</v>
      </c>
      <c r="J1397">
        <v>10</v>
      </c>
      <c r="K1397">
        <v>8</v>
      </c>
      <c r="N1397">
        <v>8</v>
      </c>
      <c r="O1397">
        <v>4</v>
      </c>
      <c r="P1397">
        <v>2</v>
      </c>
      <c r="Q1397">
        <v>63.2</v>
      </c>
      <c r="R1397">
        <v>7</v>
      </c>
      <c r="S1397">
        <v>7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7</v>
      </c>
      <c r="AA1397">
        <v>0</v>
      </c>
      <c r="AB1397">
        <v>0</v>
      </c>
      <c r="AD1397">
        <v>70.2</v>
      </c>
    </row>
    <row r="1398" spans="1:30" x14ac:dyDescent="0.3">
      <c r="A1398" s="4">
        <v>1412</v>
      </c>
      <c r="B1398" s="5">
        <v>1391</v>
      </c>
      <c r="C1398">
        <v>202</v>
      </c>
      <c r="D1398" t="s">
        <v>3171</v>
      </c>
      <c r="E1398" t="s">
        <v>161</v>
      </c>
      <c r="F1398" t="s">
        <v>17</v>
      </c>
      <c r="G1398" t="s">
        <v>3172</v>
      </c>
      <c r="H1398" t="str">
        <f>"00497721"</f>
        <v>00497721</v>
      </c>
      <c r="I1398">
        <v>43.2</v>
      </c>
      <c r="J1398">
        <v>0</v>
      </c>
      <c r="K1398">
        <v>8</v>
      </c>
      <c r="N1398">
        <v>8</v>
      </c>
      <c r="O1398">
        <v>4</v>
      </c>
      <c r="P1398">
        <v>2</v>
      </c>
      <c r="Q1398">
        <v>57.2</v>
      </c>
      <c r="R1398">
        <v>13</v>
      </c>
      <c r="S1398">
        <v>13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13</v>
      </c>
      <c r="AA1398">
        <v>0</v>
      </c>
      <c r="AB1398">
        <v>0</v>
      </c>
      <c r="AD1398">
        <v>70.2</v>
      </c>
    </row>
    <row r="1399" spans="1:30" x14ac:dyDescent="0.3">
      <c r="A1399" s="4">
        <v>1413</v>
      </c>
      <c r="B1399" s="5">
        <v>1392</v>
      </c>
      <c r="C1399">
        <v>457</v>
      </c>
      <c r="D1399" t="s">
        <v>181</v>
      </c>
      <c r="E1399" t="s">
        <v>479</v>
      </c>
      <c r="F1399" t="s">
        <v>416</v>
      </c>
      <c r="G1399" t="s">
        <v>3173</v>
      </c>
      <c r="H1399" t="str">
        <f>"200802003677"</f>
        <v>200802003677</v>
      </c>
      <c r="I1399">
        <v>43.2</v>
      </c>
      <c r="J1399">
        <v>0</v>
      </c>
      <c r="M1399">
        <v>4</v>
      </c>
      <c r="N1399">
        <v>4</v>
      </c>
      <c r="O1399">
        <v>4</v>
      </c>
      <c r="P1399">
        <v>0</v>
      </c>
      <c r="Q1399">
        <v>51.2</v>
      </c>
      <c r="R1399">
        <v>19</v>
      </c>
      <c r="S1399">
        <v>19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19</v>
      </c>
      <c r="AA1399">
        <v>0</v>
      </c>
      <c r="AB1399">
        <v>0</v>
      </c>
      <c r="AD1399">
        <v>70.2</v>
      </c>
    </row>
    <row r="1400" spans="1:30" x14ac:dyDescent="0.3">
      <c r="A1400" s="4">
        <v>1414</v>
      </c>
      <c r="B1400" s="5">
        <v>1393</v>
      </c>
      <c r="C1400">
        <v>3764</v>
      </c>
      <c r="D1400" t="s">
        <v>3174</v>
      </c>
      <c r="E1400" t="s">
        <v>188</v>
      </c>
      <c r="F1400" t="s">
        <v>3175</v>
      </c>
      <c r="G1400" t="s">
        <v>3176</v>
      </c>
      <c r="H1400" t="str">
        <f>"00523829"</f>
        <v>00523829</v>
      </c>
      <c r="I1400">
        <v>43.2</v>
      </c>
      <c r="J1400">
        <v>0</v>
      </c>
      <c r="N1400">
        <v>0</v>
      </c>
      <c r="O1400">
        <v>4</v>
      </c>
      <c r="P1400">
        <v>0</v>
      </c>
      <c r="Q1400">
        <v>47.2</v>
      </c>
      <c r="R1400">
        <v>23</v>
      </c>
      <c r="S1400">
        <v>23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23</v>
      </c>
      <c r="AA1400">
        <v>0</v>
      </c>
      <c r="AB1400">
        <v>0</v>
      </c>
      <c r="AD1400">
        <v>70.2</v>
      </c>
    </row>
    <row r="1401" spans="1:30" x14ac:dyDescent="0.3">
      <c r="A1401" s="4">
        <v>1415</v>
      </c>
      <c r="B1401" s="5">
        <v>1394</v>
      </c>
      <c r="C1401">
        <v>4425</v>
      </c>
      <c r="D1401" t="s">
        <v>3177</v>
      </c>
      <c r="E1401" t="s">
        <v>273</v>
      </c>
      <c r="F1401" t="s">
        <v>91</v>
      </c>
      <c r="G1401" t="s">
        <v>3178</v>
      </c>
      <c r="H1401" t="str">
        <f>"00530967"</f>
        <v>00530967</v>
      </c>
      <c r="I1401">
        <v>27.2</v>
      </c>
      <c r="J1401">
        <v>10</v>
      </c>
      <c r="M1401">
        <v>4</v>
      </c>
      <c r="N1401">
        <v>4</v>
      </c>
      <c r="O1401">
        <v>4</v>
      </c>
      <c r="P1401">
        <v>2</v>
      </c>
      <c r="Q1401">
        <v>47.2</v>
      </c>
      <c r="R1401">
        <v>23</v>
      </c>
      <c r="S1401">
        <v>23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23</v>
      </c>
      <c r="AA1401">
        <v>0</v>
      </c>
      <c r="AB1401">
        <v>0</v>
      </c>
      <c r="AD1401">
        <v>70.2</v>
      </c>
    </row>
    <row r="1402" spans="1:30" x14ac:dyDescent="0.3">
      <c r="A1402" s="4">
        <v>1416</v>
      </c>
      <c r="B1402" s="5">
        <v>1395</v>
      </c>
      <c r="C1402">
        <v>753</v>
      </c>
      <c r="D1402" t="s">
        <v>3179</v>
      </c>
      <c r="E1402" t="s">
        <v>41</v>
      </c>
      <c r="F1402" t="s">
        <v>124</v>
      </c>
      <c r="G1402" t="s">
        <v>3180</v>
      </c>
      <c r="H1402" t="str">
        <f>"201511015118"</f>
        <v>201511015118</v>
      </c>
      <c r="I1402">
        <v>10.16</v>
      </c>
      <c r="J1402">
        <v>0</v>
      </c>
      <c r="N1402">
        <v>0</v>
      </c>
      <c r="O1402">
        <v>0</v>
      </c>
      <c r="P1402">
        <v>0</v>
      </c>
      <c r="Q1402">
        <v>10.16</v>
      </c>
      <c r="R1402">
        <v>60</v>
      </c>
      <c r="S1402">
        <v>60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60</v>
      </c>
      <c r="AA1402">
        <v>0</v>
      </c>
      <c r="AB1402">
        <v>0</v>
      </c>
      <c r="AD1402">
        <v>70.16</v>
      </c>
    </row>
    <row r="1403" spans="1:30" x14ac:dyDescent="0.3">
      <c r="A1403" s="4">
        <v>1417</v>
      </c>
      <c r="B1403" s="5">
        <v>1396</v>
      </c>
      <c r="C1403">
        <v>4180</v>
      </c>
      <c r="D1403" t="s">
        <v>3181</v>
      </c>
      <c r="E1403" t="s">
        <v>166</v>
      </c>
      <c r="F1403" t="s">
        <v>20</v>
      </c>
      <c r="G1403" t="s">
        <v>3182</v>
      </c>
      <c r="H1403" t="str">
        <f>"00278530"</f>
        <v>00278530</v>
      </c>
      <c r="I1403">
        <v>36</v>
      </c>
      <c r="J1403">
        <v>0</v>
      </c>
      <c r="M1403">
        <v>4</v>
      </c>
      <c r="N1403">
        <v>4</v>
      </c>
      <c r="O1403">
        <v>4</v>
      </c>
      <c r="P1403">
        <v>2</v>
      </c>
      <c r="Q1403">
        <v>46</v>
      </c>
      <c r="R1403">
        <v>18</v>
      </c>
      <c r="S1403">
        <v>18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18</v>
      </c>
      <c r="AA1403">
        <v>6</v>
      </c>
      <c r="AB1403">
        <v>0</v>
      </c>
      <c r="AD1403">
        <v>70</v>
      </c>
    </row>
    <row r="1404" spans="1:30" x14ac:dyDescent="0.3">
      <c r="A1404" s="4">
        <v>1418</v>
      </c>
      <c r="B1404" s="5">
        <v>1397</v>
      </c>
      <c r="C1404">
        <v>131</v>
      </c>
      <c r="D1404" t="s">
        <v>3183</v>
      </c>
      <c r="E1404" t="s">
        <v>3184</v>
      </c>
      <c r="F1404" t="s">
        <v>158</v>
      </c>
      <c r="G1404" t="s">
        <v>3185</v>
      </c>
      <c r="H1404" t="str">
        <f>"00499232"</f>
        <v>00499232</v>
      </c>
      <c r="I1404">
        <v>40</v>
      </c>
      <c r="J1404">
        <v>0</v>
      </c>
      <c r="K1404">
        <v>8</v>
      </c>
      <c r="N1404">
        <v>8</v>
      </c>
      <c r="O1404">
        <v>4</v>
      </c>
      <c r="P1404">
        <v>2</v>
      </c>
      <c r="Q1404">
        <v>54</v>
      </c>
      <c r="R1404">
        <v>13</v>
      </c>
      <c r="S1404">
        <v>13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13</v>
      </c>
      <c r="AA1404">
        <v>3</v>
      </c>
      <c r="AB1404">
        <v>0</v>
      </c>
      <c r="AC1404" t="s">
        <v>130</v>
      </c>
      <c r="AD1404">
        <v>70</v>
      </c>
    </row>
    <row r="1405" spans="1:30" x14ac:dyDescent="0.3">
      <c r="A1405" s="4">
        <v>1419</v>
      </c>
      <c r="B1405" s="5">
        <v>1398</v>
      </c>
      <c r="C1405">
        <v>1314</v>
      </c>
      <c r="D1405" t="s">
        <v>93</v>
      </c>
      <c r="E1405" t="s">
        <v>33</v>
      </c>
      <c r="F1405" t="s">
        <v>68</v>
      </c>
      <c r="G1405" t="s">
        <v>3186</v>
      </c>
      <c r="H1405" t="str">
        <f>"00479614"</f>
        <v>00479614</v>
      </c>
      <c r="I1405">
        <v>25.88</v>
      </c>
      <c r="J1405">
        <v>0</v>
      </c>
      <c r="N1405">
        <v>0</v>
      </c>
      <c r="O1405">
        <v>0</v>
      </c>
      <c r="P1405">
        <v>0</v>
      </c>
      <c r="Q1405">
        <v>25.88</v>
      </c>
      <c r="R1405">
        <v>44</v>
      </c>
      <c r="S1405">
        <v>44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44</v>
      </c>
      <c r="AA1405">
        <v>0</v>
      </c>
      <c r="AB1405">
        <v>0</v>
      </c>
      <c r="AD1405">
        <v>69.88</v>
      </c>
    </row>
    <row r="1406" spans="1:30" x14ac:dyDescent="0.3">
      <c r="A1406" s="4">
        <v>1420</v>
      </c>
      <c r="B1406" s="5">
        <v>1399</v>
      </c>
      <c r="C1406">
        <v>4328</v>
      </c>
      <c r="D1406" t="s">
        <v>3187</v>
      </c>
      <c r="E1406" t="s">
        <v>29</v>
      </c>
      <c r="F1406" t="s">
        <v>20</v>
      </c>
      <c r="G1406" t="s">
        <v>3188</v>
      </c>
      <c r="H1406" t="str">
        <f>"00265073"</f>
        <v>00265073</v>
      </c>
      <c r="I1406">
        <v>28.8</v>
      </c>
      <c r="J1406">
        <v>0</v>
      </c>
      <c r="K1406">
        <v>8</v>
      </c>
      <c r="N1406">
        <v>8</v>
      </c>
      <c r="O1406">
        <v>4</v>
      </c>
      <c r="P1406">
        <v>0</v>
      </c>
      <c r="Q1406">
        <v>40.799999999999997</v>
      </c>
      <c r="R1406">
        <v>26</v>
      </c>
      <c r="S1406">
        <v>26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26</v>
      </c>
      <c r="AA1406">
        <v>3</v>
      </c>
      <c r="AB1406">
        <v>0</v>
      </c>
      <c r="AD1406">
        <v>69.8</v>
      </c>
    </row>
    <row r="1407" spans="1:30" x14ac:dyDescent="0.3">
      <c r="A1407" s="4">
        <v>1421</v>
      </c>
      <c r="B1407" s="5">
        <v>1400</v>
      </c>
      <c r="C1407">
        <v>1836</v>
      </c>
      <c r="D1407" t="s">
        <v>1129</v>
      </c>
      <c r="E1407" t="s">
        <v>115</v>
      </c>
      <c r="F1407" t="s">
        <v>14</v>
      </c>
      <c r="G1407" t="s">
        <v>3189</v>
      </c>
      <c r="H1407" t="str">
        <f>"00519805"</f>
        <v>00519805</v>
      </c>
      <c r="I1407">
        <v>34.799999999999997</v>
      </c>
      <c r="J1407">
        <v>0</v>
      </c>
      <c r="N1407">
        <v>0</v>
      </c>
      <c r="O1407">
        <v>4</v>
      </c>
      <c r="P1407">
        <v>2</v>
      </c>
      <c r="Q1407">
        <v>40.799999999999997</v>
      </c>
      <c r="R1407">
        <v>29</v>
      </c>
      <c r="S1407">
        <v>29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29</v>
      </c>
      <c r="AA1407">
        <v>0</v>
      </c>
      <c r="AB1407">
        <v>0</v>
      </c>
      <c r="AD1407">
        <v>69.8</v>
      </c>
    </row>
    <row r="1408" spans="1:30" x14ac:dyDescent="0.3">
      <c r="A1408" s="4">
        <v>1422</v>
      </c>
      <c r="B1408" s="5">
        <v>1401</v>
      </c>
      <c r="C1408">
        <v>3892</v>
      </c>
      <c r="D1408" t="s">
        <v>3190</v>
      </c>
      <c r="E1408" t="s">
        <v>33</v>
      </c>
      <c r="F1408" t="s">
        <v>416</v>
      </c>
      <c r="G1408" t="s">
        <v>3191</v>
      </c>
      <c r="H1408" t="str">
        <f>"00662109"</f>
        <v>00662109</v>
      </c>
      <c r="I1408">
        <v>57.6</v>
      </c>
      <c r="J1408">
        <v>0</v>
      </c>
      <c r="M1408">
        <v>4</v>
      </c>
      <c r="N1408">
        <v>4</v>
      </c>
      <c r="O1408">
        <v>0</v>
      </c>
      <c r="P1408">
        <v>2</v>
      </c>
      <c r="Q1408">
        <v>63.6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6</v>
      </c>
      <c r="AB1408">
        <v>0</v>
      </c>
      <c r="AD1408">
        <v>69.599999999999994</v>
      </c>
    </row>
    <row r="1409" spans="1:30" x14ac:dyDescent="0.3">
      <c r="A1409" s="4">
        <v>1423</v>
      </c>
      <c r="B1409" s="5">
        <v>1402</v>
      </c>
      <c r="C1409">
        <v>4473</v>
      </c>
      <c r="D1409" t="s">
        <v>3102</v>
      </c>
      <c r="E1409" t="s">
        <v>3192</v>
      </c>
      <c r="F1409" t="s">
        <v>38</v>
      </c>
      <c r="G1409" t="s">
        <v>3193</v>
      </c>
      <c r="H1409" t="str">
        <f>"00858265"</f>
        <v>00858265</v>
      </c>
      <c r="I1409">
        <v>57.6</v>
      </c>
      <c r="J1409">
        <v>0</v>
      </c>
      <c r="K1409">
        <v>8</v>
      </c>
      <c r="N1409">
        <v>8</v>
      </c>
      <c r="O1409">
        <v>4</v>
      </c>
      <c r="P1409">
        <v>0</v>
      </c>
      <c r="Q1409">
        <v>69.599999999999994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D1409">
        <v>69.599999999999994</v>
      </c>
    </row>
    <row r="1410" spans="1:30" x14ac:dyDescent="0.3">
      <c r="A1410" s="4">
        <v>1424</v>
      </c>
      <c r="B1410" s="5">
        <v>1403</v>
      </c>
      <c r="C1410">
        <v>1902</v>
      </c>
      <c r="D1410" t="s">
        <v>3194</v>
      </c>
      <c r="E1410" t="s">
        <v>560</v>
      </c>
      <c r="F1410" t="s">
        <v>38</v>
      </c>
      <c r="G1410" t="s">
        <v>3195</v>
      </c>
      <c r="H1410" t="str">
        <f>"00295151"</f>
        <v>00295151</v>
      </c>
      <c r="I1410">
        <v>57.6</v>
      </c>
      <c r="J1410">
        <v>0</v>
      </c>
      <c r="K1410">
        <v>8</v>
      </c>
      <c r="N1410">
        <v>8</v>
      </c>
      <c r="O1410">
        <v>4</v>
      </c>
      <c r="P1410">
        <v>0</v>
      </c>
      <c r="Q1410">
        <v>69.599999999999994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D1410">
        <v>69.599999999999994</v>
      </c>
    </row>
    <row r="1411" spans="1:30" x14ac:dyDescent="0.3">
      <c r="A1411" s="4">
        <v>1425</v>
      </c>
      <c r="B1411" s="5">
        <v>1404</v>
      </c>
      <c r="C1411">
        <v>4142</v>
      </c>
      <c r="D1411" t="s">
        <v>3196</v>
      </c>
      <c r="E1411" t="s">
        <v>286</v>
      </c>
      <c r="F1411" t="s">
        <v>343</v>
      </c>
      <c r="G1411" t="s">
        <v>3197</v>
      </c>
      <c r="H1411" t="str">
        <f>"00839923"</f>
        <v>00839923</v>
      </c>
      <c r="I1411">
        <v>57.6</v>
      </c>
      <c r="J1411">
        <v>0</v>
      </c>
      <c r="K1411">
        <v>8</v>
      </c>
      <c r="N1411">
        <v>8</v>
      </c>
      <c r="O1411">
        <v>4</v>
      </c>
      <c r="P1411">
        <v>0</v>
      </c>
      <c r="Q1411">
        <v>69.599999999999994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D1411">
        <v>69.599999999999994</v>
      </c>
    </row>
    <row r="1412" spans="1:30" x14ac:dyDescent="0.3">
      <c r="A1412" s="4">
        <v>1426</v>
      </c>
      <c r="B1412" s="5">
        <v>1405</v>
      </c>
      <c r="C1412">
        <v>2599</v>
      </c>
      <c r="D1412" t="s">
        <v>2871</v>
      </c>
      <c r="E1412" t="s">
        <v>57</v>
      </c>
      <c r="F1412" t="s">
        <v>343</v>
      </c>
      <c r="G1412" t="s">
        <v>3198</v>
      </c>
      <c r="H1412" t="str">
        <f>"00160367"</f>
        <v>00160367</v>
      </c>
      <c r="I1412">
        <v>57.6</v>
      </c>
      <c r="J1412">
        <v>0</v>
      </c>
      <c r="L1412">
        <v>6</v>
      </c>
      <c r="N1412">
        <v>6</v>
      </c>
      <c r="O1412">
        <v>4</v>
      </c>
      <c r="P1412">
        <v>2</v>
      </c>
      <c r="Q1412">
        <v>69.599999999999994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D1412">
        <v>69.599999999999994</v>
      </c>
    </row>
    <row r="1413" spans="1:30" x14ac:dyDescent="0.3">
      <c r="A1413" s="4">
        <v>1427</v>
      </c>
      <c r="B1413" s="5">
        <v>1406</v>
      </c>
      <c r="C1413">
        <v>4752</v>
      </c>
      <c r="D1413" t="s">
        <v>2132</v>
      </c>
      <c r="E1413" t="s">
        <v>29</v>
      </c>
      <c r="F1413" t="s">
        <v>30</v>
      </c>
      <c r="G1413" t="s">
        <v>3199</v>
      </c>
      <c r="H1413" t="str">
        <f>"00570098"</f>
        <v>00570098</v>
      </c>
      <c r="I1413">
        <v>57.6</v>
      </c>
      <c r="J1413">
        <v>0</v>
      </c>
      <c r="M1413">
        <v>8</v>
      </c>
      <c r="N1413">
        <v>8</v>
      </c>
      <c r="O1413">
        <v>4</v>
      </c>
      <c r="P1413">
        <v>0</v>
      </c>
      <c r="Q1413">
        <v>69.599999999999994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D1413">
        <v>69.599999999999994</v>
      </c>
    </row>
    <row r="1414" spans="1:30" x14ac:dyDescent="0.3">
      <c r="A1414" s="4">
        <v>1428</v>
      </c>
      <c r="B1414" s="5">
        <v>1407</v>
      </c>
      <c r="C1414">
        <v>2592</v>
      </c>
      <c r="D1414" t="s">
        <v>3200</v>
      </c>
      <c r="E1414" t="s">
        <v>166</v>
      </c>
      <c r="F1414" t="s">
        <v>68</v>
      </c>
      <c r="G1414" t="s">
        <v>3201</v>
      </c>
      <c r="H1414" t="str">
        <f>"00531531"</f>
        <v>00531531</v>
      </c>
      <c r="I1414">
        <v>35.56</v>
      </c>
      <c r="J1414">
        <v>0</v>
      </c>
      <c r="K1414">
        <v>8</v>
      </c>
      <c r="N1414">
        <v>8</v>
      </c>
      <c r="O1414">
        <v>4</v>
      </c>
      <c r="P1414">
        <v>2</v>
      </c>
      <c r="Q1414">
        <v>49.56</v>
      </c>
      <c r="R1414">
        <v>14</v>
      </c>
      <c r="S1414">
        <v>14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14</v>
      </c>
      <c r="AA1414">
        <v>6</v>
      </c>
      <c r="AB1414">
        <v>0</v>
      </c>
      <c r="AD1414">
        <v>69.56</v>
      </c>
    </row>
    <row r="1415" spans="1:30" x14ac:dyDescent="0.3">
      <c r="A1415" s="4">
        <v>1430</v>
      </c>
      <c r="B1415" s="5">
        <v>1408</v>
      </c>
      <c r="C1415">
        <v>1050</v>
      </c>
      <c r="D1415" t="s">
        <v>3202</v>
      </c>
      <c r="E1415" t="s">
        <v>3203</v>
      </c>
      <c r="F1415" t="s">
        <v>136</v>
      </c>
      <c r="G1415" t="s">
        <v>3204</v>
      </c>
      <c r="H1415" t="str">
        <f>"00530801"</f>
        <v>00530801</v>
      </c>
      <c r="I1415">
        <v>50.4</v>
      </c>
      <c r="J1415">
        <v>10</v>
      </c>
      <c r="N1415">
        <v>0</v>
      </c>
      <c r="O1415">
        <v>4</v>
      </c>
      <c r="P1415">
        <v>2</v>
      </c>
      <c r="Q1415">
        <v>66.400000000000006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3</v>
      </c>
      <c r="AB1415">
        <v>0</v>
      </c>
      <c r="AD1415">
        <v>69.400000000000006</v>
      </c>
    </row>
    <row r="1416" spans="1:30" x14ac:dyDescent="0.3">
      <c r="A1416" s="4">
        <v>1431</v>
      </c>
      <c r="B1416" s="5">
        <v>1409</v>
      </c>
      <c r="C1416">
        <v>656</v>
      </c>
      <c r="D1416" t="s">
        <v>3205</v>
      </c>
      <c r="E1416" t="s">
        <v>1815</v>
      </c>
      <c r="F1416" t="s">
        <v>20</v>
      </c>
      <c r="G1416" t="s">
        <v>3206</v>
      </c>
      <c r="H1416" t="str">
        <f>"00150050"</f>
        <v>00150050</v>
      </c>
      <c r="I1416">
        <v>43.2</v>
      </c>
      <c r="J1416">
        <v>0</v>
      </c>
      <c r="K1416">
        <v>8</v>
      </c>
      <c r="M1416">
        <v>4</v>
      </c>
      <c r="N1416">
        <v>12</v>
      </c>
      <c r="O1416">
        <v>4</v>
      </c>
      <c r="P1416">
        <v>2</v>
      </c>
      <c r="Q1416">
        <v>61.2</v>
      </c>
      <c r="R1416">
        <v>5</v>
      </c>
      <c r="S1416">
        <v>5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5</v>
      </c>
      <c r="AA1416">
        <v>3</v>
      </c>
      <c r="AB1416">
        <v>0</v>
      </c>
      <c r="AD1416">
        <v>69.2</v>
      </c>
    </row>
    <row r="1417" spans="1:30" x14ac:dyDescent="0.3">
      <c r="A1417" s="4">
        <v>1432</v>
      </c>
      <c r="B1417" s="5">
        <v>1410</v>
      </c>
      <c r="C1417">
        <v>768</v>
      </c>
      <c r="D1417" t="s">
        <v>3207</v>
      </c>
      <c r="E1417" t="s">
        <v>54</v>
      </c>
      <c r="F1417" t="s">
        <v>68</v>
      </c>
      <c r="G1417" t="s">
        <v>3208</v>
      </c>
      <c r="H1417" t="str">
        <f>"00053755"</f>
        <v>00053755</v>
      </c>
      <c r="I1417">
        <v>43.2</v>
      </c>
      <c r="J1417">
        <v>0</v>
      </c>
      <c r="M1417">
        <v>4</v>
      </c>
      <c r="N1417">
        <v>4</v>
      </c>
      <c r="O1417">
        <v>4</v>
      </c>
      <c r="P1417">
        <v>2</v>
      </c>
      <c r="Q1417">
        <v>53.2</v>
      </c>
      <c r="R1417">
        <v>16</v>
      </c>
      <c r="S1417">
        <v>16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16</v>
      </c>
      <c r="AA1417">
        <v>0</v>
      </c>
      <c r="AB1417">
        <v>0</v>
      </c>
      <c r="AD1417">
        <v>69.2</v>
      </c>
    </row>
    <row r="1418" spans="1:30" x14ac:dyDescent="0.3">
      <c r="A1418" s="4">
        <v>1433</v>
      </c>
      <c r="B1418" s="5">
        <v>1411</v>
      </c>
      <c r="C1418">
        <v>3519</v>
      </c>
      <c r="D1418" t="s">
        <v>3209</v>
      </c>
      <c r="E1418" t="s">
        <v>188</v>
      </c>
      <c r="F1418" t="s">
        <v>20</v>
      </c>
      <c r="G1418" t="s">
        <v>3210</v>
      </c>
      <c r="H1418" t="str">
        <f>"00534349"</f>
        <v>00534349</v>
      </c>
      <c r="I1418">
        <v>7.2</v>
      </c>
      <c r="J1418">
        <v>0</v>
      </c>
      <c r="M1418">
        <v>4</v>
      </c>
      <c r="N1418">
        <v>4</v>
      </c>
      <c r="O1418">
        <v>4</v>
      </c>
      <c r="P1418">
        <v>2</v>
      </c>
      <c r="Q1418">
        <v>17.2</v>
      </c>
      <c r="R1418">
        <v>52</v>
      </c>
      <c r="S1418">
        <v>52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52</v>
      </c>
      <c r="AA1418">
        <v>0</v>
      </c>
      <c r="AB1418">
        <v>0</v>
      </c>
      <c r="AD1418">
        <v>69.2</v>
      </c>
    </row>
    <row r="1419" spans="1:30" x14ac:dyDescent="0.3">
      <c r="A1419" s="4">
        <v>1434</v>
      </c>
      <c r="B1419" s="5">
        <v>1412</v>
      </c>
      <c r="C1419">
        <v>2289</v>
      </c>
      <c r="D1419" t="s">
        <v>3211</v>
      </c>
      <c r="E1419" t="s">
        <v>789</v>
      </c>
      <c r="F1419" t="s">
        <v>328</v>
      </c>
      <c r="G1419" t="s">
        <v>31993</v>
      </c>
      <c r="H1419" t="str">
        <f>"00202089"</f>
        <v>00202089</v>
      </c>
      <c r="I1419">
        <v>21.16</v>
      </c>
      <c r="J1419">
        <v>0</v>
      </c>
      <c r="N1419">
        <v>0</v>
      </c>
      <c r="O1419">
        <v>4</v>
      </c>
      <c r="P1419">
        <v>2</v>
      </c>
      <c r="Q1419">
        <v>27.16</v>
      </c>
      <c r="R1419">
        <v>33</v>
      </c>
      <c r="S1419">
        <v>33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33</v>
      </c>
      <c r="AA1419">
        <v>9</v>
      </c>
      <c r="AB1419">
        <v>0</v>
      </c>
      <c r="AD1419">
        <v>69.16</v>
      </c>
    </row>
    <row r="1420" spans="1:30" x14ac:dyDescent="0.3">
      <c r="A1420" s="4">
        <v>1435</v>
      </c>
      <c r="B1420" s="5">
        <v>1413</v>
      </c>
      <c r="C1420">
        <v>4090</v>
      </c>
      <c r="D1420" t="s">
        <v>3212</v>
      </c>
      <c r="E1420" t="s">
        <v>286</v>
      </c>
      <c r="F1420" t="s">
        <v>1274</v>
      </c>
      <c r="G1420" t="s">
        <v>3213</v>
      </c>
      <c r="H1420" t="str">
        <f>"00208270"</f>
        <v>00208270</v>
      </c>
      <c r="I1420">
        <v>29.16</v>
      </c>
      <c r="J1420">
        <v>10</v>
      </c>
      <c r="M1420">
        <v>4</v>
      </c>
      <c r="N1420">
        <v>4</v>
      </c>
      <c r="O1420">
        <v>4</v>
      </c>
      <c r="P1420">
        <v>2</v>
      </c>
      <c r="Q1420">
        <v>49.16</v>
      </c>
      <c r="R1420">
        <v>14</v>
      </c>
      <c r="S1420">
        <v>14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14</v>
      </c>
      <c r="AA1420">
        <v>6</v>
      </c>
      <c r="AB1420">
        <v>0</v>
      </c>
      <c r="AD1420">
        <v>69.16</v>
      </c>
    </row>
    <row r="1421" spans="1:30" x14ac:dyDescent="0.3">
      <c r="A1421" s="4">
        <v>1436</v>
      </c>
      <c r="B1421" s="5">
        <v>1414</v>
      </c>
      <c r="C1421">
        <v>3093</v>
      </c>
      <c r="D1421" t="s">
        <v>3214</v>
      </c>
      <c r="E1421" t="s">
        <v>575</v>
      </c>
      <c r="F1421" t="s">
        <v>17</v>
      </c>
      <c r="G1421" t="s">
        <v>3215</v>
      </c>
      <c r="H1421" t="str">
        <f>"00441773"</f>
        <v>00441773</v>
      </c>
      <c r="I1421">
        <v>20</v>
      </c>
      <c r="J1421">
        <v>10</v>
      </c>
      <c r="N1421">
        <v>0</v>
      </c>
      <c r="O1421">
        <v>4</v>
      </c>
      <c r="P1421">
        <v>2</v>
      </c>
      <c r="Q1421">
        <v>36</v>
      </c>
      <c r="R1421">
        <v>27</v>
      </c>
      <c r="S1421">
        <v>27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27</v>
      </c>
      <c r="AA1421">
        <v>6</v>
      </c>
      <c r="AB1421">
        <v>0</v>
      </c>
      <c r="AD1421">
        <v>69</v>
      </c>
    </row>
    <row r="1422" spans="1:30" x14ac:dyDescent="0.3">
      <c r="A1422" s="4">
        <v>1437</v>
      </c>
      <c r="B1422" s="5">
        <v>1415</v>
      </c>
      <c r="C1422">
        <v>885</v>
      </c>
      <c r="D1422" t="s">
        <v>3216</v>
      </c>
      <c r="E1422" t="s">
        <v>29</v>
      </c>
      <c r="F1422" t="s">
        <v>243</v>
      </c>
      <c r="G1422" t="s">
        <v>3217</v>
      </c>
      <c r="H1422" t="str">
        <f>"201507001121"</f>
        <v>201507001121</v>
      </c>
      <c r="I1422">
        <v>36</v>
      </c>
      <c r="J1422">
        <v>0</v>
      </c>
      <c r="K1422">
        <v>8</v>
      </c>
      <c r="N1422">
        <v>8</v>
      </c>
      <c r="O1422">
        <v>4</v>
      </c>
      <c r="P1422">
        <v>0</v>
      </c>
      <c r="Q1422">
        <v>48</v>
      </c>
      <c r="R1422">
        <v>18</v>
      </c>
      <c r="S1422">
        <v>18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18</v>
      </c>
      <c r="AA1422">
        <v>3</v>
      </c>
      <c r="AB1422">
        <v>0</v>
      </c>
      <c r="AD1422">
        <v>69</v>
      </c>
    </row>
    <row r="1423" spans="1:30" x14ac:dyDescent="0.3">
      <c r="A1423" s="4">
        <v>1438</v>
      </c>
      <c r="B1423" s="5">
        <v>1416</v>
      </c>
      <c r="C1423">
        <v>3107</v>
      </c>
      <c r="D1423" t="s">
        <v>3218</v>
      </c>
      <c r="E1423" t="s">
        <v>439</v>
      </c>
      <c r="F1423" t="s">
        <v>17</v>
      </c>
      <c r="G1423" t="s">
        <v>3219</v>
      </c>
      <c r="H1423" t="str">
        <f>"00528489"</f>
        <v>00528489</v>
      </c>
      <c r="I1423">
        <v>34</v>
      </c>
      <c r="J1423">
        <v>10</v>
      </c>
      <c r="N1423">
        <v>0</v>
      </c>
      <c r="O1423">
        <v>4</v>
      </c>
      <c r="P1423">
        <v>0</v>
      </c>
      <c r="Q1423">
        <v>48</v>
      </c>
      <c r="R1423">
        <v>18</v>
      </c>
      <c r="S1423">
        <v>18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18</v>
      </c>
      <c r="AA1423">
        <v>3</v>
      </c>
      <c r="AB1423">
        <v>0</v>
      </c>
      <c r="AD1423">
        <v>69</v>
      </c>
    </row>
    <row r="1424" spans="1:30" x14ac:dyDescent="0.3">
      <c r="A1424" s="4">
        <v>1439</v>
      </c>
      <c r="B1424" s="5">
        <v>1417</v>
      </c>
      <c r="C1424">
        <v>3438</v>
      </c>
      <c r="D1424" t="s">
        <v>3220</v>
      </c>
      <c r="E1424" t="s">
        <v>3221</v>
      </c>
      <c r="F1424" t="s">
        <v>62</v>
      </c>
      <c r="G1424" t="s">
        <v>3222</v>
      </c>
      <c r="H1424" t="str">
        <f>"00504531"</f>
        <v>00504531</v>
      </c>
      <c r="I1424">
        <v>32</v>
      </c>
      <c r="J1424">
        <v>10</v>
      </c>
      <c r="N1424">
        <v>0</v>
      </c>
      <c r="O1424">
        <v>4</v>
      </c>
      <c r="P1424">
        <v>2</v>
      </c>
      <c r="Q1424">
        <v>48</v>
      </c>
      <c r="R1424">
        <v>18</v>
      </c>
      <c r="S1424">
        <v>18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18</v>
      </c>
      <c r="AA1424">
        <v>3</v>
      </c>
      <c r="AB1424">
        <v>0</v>
      </c>
      <c r="AD1424">
        <v>69</v>
      </c>
    </row>
    <row r="1425" spans="1:30" x14ac:dyDescent="0.3">
      <c r="A1425" s="4">
        <v>1440</v>
      </c>
      <c r="B1425" s="5">
        <v>1418</v>
      </c>
      <c r="C1425">
        <v>730</v>
      </c>
      <c r="D1425" t="s">
        <v>3223</v>
      </c>
      <c r="E1425" t="s">
        <v>208</v>
      </c>
      <c r="F1425" t="s">
        <v>3224</v>
      </c>
      <c r="G1425" t="s">
        <v>3225</v>
      </c>
      <c r="H1425" t="str">
        <f>"00515798"</f>
        <v>00515798</v>
      </c>
      <c r="I1425">
        <v>36</v>
      </c>
      <c r="J1425">
        <v>0</v>
      </c>
      <c r="M1425">
        <v>4</v>
      </c>
      <c r="N1425">
        <v>4</v>
      </c>
      <c r="O1425">
        <v>4</v>
      </c>
      <c r="P1425">
        <v>2</v>
      </c>
      <c r="Q1425">
        <v>46</v>
      </c>
      <c r="R1425">
        <v>20</v>
      </c>
      <c r="S1425">
        <v>20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20</v>
      </c>
      <c r="AA1425">
        <v>3</v>
      </c>
      <c r="AB1425">
        <v>0</v>
      </c>
      <c r="AD1425">
        <v>69</v>
      </c>
    </row>
    <row r="1426" spans="1:30" x14ac:dyDescent="0.3">
      <c r="A1426" s="4">
        <v>1441</v>
      </c>
      <c r="B1426" s="5">
        <v>1419</v>
      </c>
      <c r="C1426">
        <v>3735</v>
      </c>
      <c r="D1426" t="s">
        <v>3226</v>
      </c>
      <c r="E1426" t="s">
        <v>789</v>
      </c>
      <c r="F1426" t="s">
        <v>539</v>
      </c>
      <c r="G1426" t="s">
        <v>3227</v>
      </c>
      <c r="H1426" t="str">
        <f>"00509476"</f>
        <v>00509476</v>
      </c>
      <c r="I1426">
        <v>36</v>
      </c>
      <c r="J1426">
        <v>0</v>
      </c>
      <c r="N1426">
        <v>0</v>
      </c>
      <c r="O1426">
        <v>0</v>
      </c>
      <c r="P1426">
        <v>0</v>
      </c>
      <c r="Q1426">
        <v>36</v>
      </c>
      <c r="R1426">
        <v>30</v>
      </c>
      <c r="S1426">
        <v>30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30</v>
      </c>
      <c r="AA1426">
        <v>3</v>
      </c>
      <c r="AB1426">
        <v>0</v>
      </c>
      <c r="AD1426">
        <v>69</v>
      </c>
    </row>
    <row r="1427" spans="1:30" x14ac:dyDescent="0.3">
      <c r="A1427" s="4">
        <v>1442</v>
      </c>
      <c r="B1427" s="5">
        <v>1420</v>
      </c>
      <c r="C1427">
        <v>4140</v>
      </c>
      <c r="D1427" t="s">
        <v>3228</v>
      </c>
      <c r="E1427" t="s">
        <v>166</v>
      </c>
      <c r="F1427" t="s">
        <v>81</v>
      </c>
      <c r="G1427" t="s">
        <v>3229</v>
      </c>
      <c r="H1427" t="str">
        <f>"00530560"</f>
        <v>00530560</v>
      </c>
      <c r="I1427">
        <v>0</v>
      </c>
      <c r="J1427">
        <v>0</v>
      </c>
      <c r="K1427">
        <v>8</v>
      </c>
      <c r="N1427">
        <v>8</v>
      </c>
      <c r="O1427">
        <v>4</v>
      </c>
      <c r="P1427">
        <v>0</v>
      </c>
      <c r="Q1427">
        <v>12</v>
      </c>
      <c r="R1427">
        <v>54</v>
      </c>
      <c r="S1427">
        <v>54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54</v>
      </c>
      <c r="AA1427">
        <v>3</v>
      </c>
      <c r="AB1427">
        <v>0</v>
      </c>
      <c r="AD1427">
        <v>69</v>
      </c>
    </row>
    <row r="1428" spans="1:30" x14ac:dyDescent="0.3">
      <c r="A1428" s="4">
        <v>1443</v>
      </c>
      <c r="B1428" s="5">
        <v>1421</v>
      </c>
      <c r="C1428">
        <v>3291</v>
      </c>
      <c r="D1428" t="s">
        <v>3230</v>
      </c>
      <c r="E1428" t="s">
        <v>454</v>
      </c>
      <c r="F1428" t="s">
        <v>167</v>
      </c>
      <c r="G1428" t="s">
        <v>3231</v>
      </c>
      <c r="H1428" t="str">
        <f>"00525585"</f>
        <v>00525585</v>
      </c>
      <c r="I1428">
        <v>36</v>
      </c>
      <c r="J1428">
        <v>0</v>
      </c>
      <c r="M1428">
        <v>4</v>
      </c>
      <c r="N1428">
        <v>4</v>
      </c>
      <c r="O1428">
        <v>0</v>
      </c>
      <c r="P1428">
        <v>0</v>
      </c>
      <c r="Q1428">
        <v>40</v>
      </c>
      <c r="R1428">
        <v>29</v>
      </c>
      <c r="S1428">
        <v>29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29</v>
      </c>
      <c r="AA1428">
        <v>0</v>
      </c>
      <c r="AB1428">
        <v>0</v>
      </c>
      <c r="AD1428">
        <v>69</v>
      </c>
    </row>
    <row r="1429" spans="1:30" x14ac:dyDescent="0.3">
      <c r="A1429" s="4">
        <v>1444</v>
      </c>
      <c r="B1429" s="5">
        <v>1422</v>
      </c>
      <c r="C1429">
        <v>144</v>
      </c>
      <c r="D1429" t="s">
        <v>3232</v>
      </c>
      <c r="E1429" t="s">
        <v>166</v>
      </c>
      <c r="F1429" t="s">
        <v>20</v>
      </c>
      <c r="G1429" t="s">
        <v>3233</v>
      </c>
      <c r="H1429" t="str">
        <f>"00510768"</f>
        <v>00510768</v>
      </c>
      <c r="I1429">
        <v>20.92</v>
      </c>
      <c r="J1429">
        <v>0</v>
      </c>
      <c r="N1429">
        <v>0</v>
      </c>
      <c r="O1429">
        <v>4</v>
      </c>
      <c r="P1429">
        <v>2</v>
      </c>
      <c r="Q1429">
        <v>26.92</v>
      </c>
      <c r="R1429">
        <v>36</v>
      </c>
      <c r="S1429">
        <v>36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36</v>
      </c>
      <c r="AA1429">
        <v>6</v>
      </c>
      <c r="AB1429">
        <v>0</v>
      </c>
      <c r="AD1429">
        <v>68.92</v>
      </c>
    </row>
    <row r="1430" spans="1:30" x14ac:dyDescent="0.3">
      <c r="A1430" s="4">
        <v>1445</v>
      </c>
      <c r="B1430" s="5">
        <v>1423</v>
      </c>
      <c r="C1430">
        <v>2866</v>
      </c>
      <c r="D1430" t="s">
        <v>3234</v>
      </c>
      <c r="E1430" t="s">
        <v>3235</v>
      </c>
      <c r="F1430" t="s">
        <v>3236</v>
      </c>
      <c r="G1430" t="s">
        <v>3237</v>
      </c>
      <c r="H1430" t="str">
        <f>"00527787"</f>
        <v>00527787</v>
      </c>
      <c r="I1430">
        <v>28.8</v>
      </c>
      <c r="J1430">
        <v>0</v>
      </c>
      <c r="M1430">
        <v>4</v>
      </c>
      <c r="N1430">
        <v>4</v>
      </c>
      <c r="O1430">
        <v>0</v>
      </c>
      <c r="P1430">
        <v>0</v>
      </c>
      <c r="Q1430">
        <v>32.799999999999997</v>
      </c>
      <c r="R1430">
        <v>27</v>
      </c>
      <c r="S1430">
        <v>27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27</v>
      </c>
      <c r="AA1430">
        <v>9</v>
      </c>
      <c r="AB1430">
        <v>0</v>
      </c>
      <c r="AD1430">
        <v>68.8</v>
      </c>
    </row>
    <row r="1431" spans="1:30" x14ac:dyDescent="0.3">
      <c r="A1431" s="4">
        <v>1446</v>
      </c>
      <c r="B1431" s="5">
        <v>1424</v>
      </c>
      <c r="C1431">
        <v>2939</v>
      </c>
      <c r="D1431" t="s">
        <v>3238</v>
      </c>
      <c r="E1431" t="s">
        <v>54</v>
      </c>
      <c r="F1431" t="s">
        <v>393</v>
      </c>
      <c r="G1431" t="s">
        <v>3239</v>
      </c>
      <c r="H1431" t="str">
        <f>"00152208"</f>
        <v>00152208</v>
      </c>
      <c r="I1431">
        <v>28.8</v>
      </c>
      <c r="J1431">
        <v>10</v>
      </c>
      <c r="N1431">
        <v>0</v>
      </c>
      <c r="O1431">
        <v>4</v>
      </c>
      <c r="P1431">
        <v>2</v>
      </c>
      <c r="Q1431">
        <v>44.8</v>
      </c>
      <c r="R1431">
        <v>18</v>
      </c>
      <c r="S1431">
        <v>18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18</v>
      </c>
      <c r="AA1431">
        <v>6</v>
      </c>
      <c r="AB1431">
        <v>0</v>
      </c>
      <c r="AD1431">
        <v>68.8</v>
      </c>
    </row>
    <row r="1432" spans="1:30" x14ac:dyDescent="0.3">
      <c r="A1432" s="4">
        <v>1447</v>
      </c>
      <c r="B1432" s="5">
        <v>1425</v>
      </c>
      <c r="C1432">
        <v>864</v>
      </c>
      <c r="D1432" t="s">
        <v>3240</v>
      </c>
      <c r="E1432" t="s">
        <v>1694</v>
      </c>
      <c r="F1432" t="s">
        <v>117</v>
      </c>
      <c r="G1432" t="s">
        <v>3241</v>
      </c>
      <c r="H1432" t="str">
        <f>"00858106"</f>
        <v>00858106</v>
      </c>
      <c r="I1432">
        <v>64.8</v>
      </c>
      <c r="J1432">
        <v>0</v>
      </c>
      <c r="N1432">
        <v>0</v>
      </c>
      <c r="O1432">
        <v>4</v>
      </c>
      <c r="P1432">
        <v>0</v>
      </c>
      <c r="Q1432">
        <v>68.8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D1432">
        <v>68.8</v>
      </c>
    </row>
    <row r="1433" spans="1:30" x14ac:dyDescent="0.3">
      <c r="A1433" s="4">
        <v>1448</v>
      </c>
      <c r="B1433" s="5">
        <v>1426</v>
      </c>
      <c r="C1433">
        <v>2489</v>
      </c>
      <c r="D1433" t="s">
        <v>3242</v>
      </c>
      <c r="E1433" t="s">
        <v>3243</v>
      </c>
      <c r="F1433" t="s">
        <v>20</v>
      </c>
      <c r="G1433" t="s">
        <v>3244</v>
      </c>
      <c r="H1433" t="str">
        <f>"201502002002"</f>
        <v>201502002002</v>
      </c>
      <c r="I1433">
        <v>64.8</v>
      </c>
      <c r="J1433">
        <v>0</v>
      </c>
      <c r="N1433">
        <v>0</v>
      </c>
      <c r="O1433">
        <v>4</v>
      </c>
      <c r="P1433">
        <v>0</v>
      </c>
      <c r="Q1433">
        <v>68.8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D1433">
        <v>68.8</v>
      </c>
    </row>
    <row r="1434" spans="1:30" x14ac:dyDescent="0.3">
      <c r="A1434" s="4">
        <v>1449</v>
      </c>
      <c r="B1434" s="5">
        <v>1427</v>
      </c>
      <c r="C1434">
        <v>4840</v>
      </c>
      <c r="D1434" t="s">
        <v>3245</v>
      </c>
      <c r="E1434" t="s">
        <v>37</v>
      </c>
      <c r="F1434" t="s">
        <v>30</v>
      </c>
      <c r="G1434" t="s">
        <v>3246</v>
      </c>
      <c r="H1434" t="str">
        <f>"00857554"</f>
        <v>00857554</v>
      </c>
      <c r="I1434">
        <v>64.8</v>
      </c>
      <c r="J1434">
        <v>0</v>
      </c>
      <c r="M1434">
        <v>4</v>
      </c>
      <c r="N1434">
        <v>4</v>
      </c>
      <c r="O1434">
        <v>0</v>
      </c>
      <c r="P1434">
        <v>0</v>
      </c>
      <c r="Q1434">
        <v>68.8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D1434">
        <v>68.8</v>
      </c>
    </row>
    <row r="1435" spans="1:30" x14ac:dyDescent="0.3">
      <c r="A1435" s="4">
        <v>1450</v>
      </c>
      <c r="B1435" s="5">
        <v>1428</v>
      </c>
      <c r="C1435">
        <v>3239</v>
      </c>
      <c r="D1435" t="s">
        <v>3247</v>
      </c>
      <c r="E1435" t="s">
        <v>789</v>
      </c>
      <c r="F1435" t="s">
        <v>158</v>
      </c>
      <c r="G1435" t="s">
        <v>3248</v>
      </c>
      <c r="H1435" t="str">
        <f>"00555745"</f>
        <v>00555745</v>
      </c>
      <c r="I1435">
        <v>64.8</v>
      </c>
      <c r="J1435">
        <v>0</v>
      </c>
      <c r="N1435">
        <v>0</v>
      </c>
      <c r="O1435">
        <v>4</v>
      </c>
      <c r="P1435">
        <v>0</v>
      </c>
      <c r="Q1435">
        <v>68.8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D1435">
        <v>68.8</v>
      </c>
    </row>
    <row r="1436" spans="1:30" x14ac:dyDescent="0.3">
      <c r="A1436" s="4">
        <v>1451</v>
      </c>
      <c r="B1436" s="5">
        <v>1429</v>
      </c>
      <c r="C1436">
        <v>2681</v>
      </c>
      <c r="D1436" t="s">
        <v>3249</v>
      </c>
      <c r="E1436" t="s">
        <v>88</v>
      </c>
      <c r="F1436" t="s">
        <v>259</v>
      </c>
      <c r="G1436" t="s">
        <v>3250</v>
      </c>
      <c r="H1436" t="str">
        <f>"00529112"</f>
        <v>00529112</v>
      </c>
      <c r="I1436">
        <v>28.8</v>
      </c>
      <c r="J1436">
        <v>10</v>
      </c>
      <c r="M1436">
        <v>8</v>
      </c>
      <c r="N1436">
        <v>8</v>
      </c>
      <c r="O1436">
        <v>4</v>
      </c>
      <c r="P1436">
        <v>0</v>
      </c>
      <c r="Q1436">
        <v>50.8</v>
      </c>
      <c r="R1436">
        <v>18</v>
      </c>
      <c r="S1436">
        <v>18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18</v>
      </c>
      <c r="AA1436">
        <v>0</v>
      </c>
      <c r="AB1436">
        <v>0</v>
      </c>
      <c r="AD1436">
        <v>68.8</v>
      </c>
    </row>
    <row r="1437" spans="1:30" x14ac:dyDescent="0.3">
      <c r="A1437" s="4">
        <v>1452</v>
      </c>
      <c r="B1437" s="5">
        <v>1430</v>
      </c>
      <c r="C1437">
        <v>2705</v>
      </c>
      <c r="D1437" t="s">
        <v>2538</v>
      </c>
      <c r="E1437" t="s">
        <v>3251</v>
      </c>
      <c r="F1437" t="s">
        <v>124</v>
      </c>
      <c r="G1437" t="s">
        <v>3252</v>
      </c>
      <c r="H1437" t="str">
        <f>"00523654"</f>
        <v>00523654</v>
      </c>
      <c r="I1437">
        <v>28.8</v>
      </c>
      <c r="J1437">
        <v>0</v>
      </c>
      <c r="M1437">
        <v>4</v>
      </c>
      <c r="N1437">
        <v>4</v>
      </c>
      <c r="O1437">
        <v>4</v>
      </c>
      <c r="P1437">
        <v>0</v>
      </c>
      <c r="Q1437">
        <v>36.799999999999997</v>
      </c>
      <c r="R1437">
        <v>32</v>
      </c>
      <c r="S1437">
        <v>32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32</v>
      </c>
      <c r="AA1437">
        <v>0</v>
      </c>
      <c r="AB1437">
        <v>0</v>
      </c>
      <c r="AD1437">
        <v>68.8</v>
      </c>
    </row>
    <row r="1438" spans="1:30" x14ac:dyDescent="0.3">
      <c r="A1438" s="4">
        <v>1453</v>
      </c>
      <c r="B1438" s="5">
        <v>1431</v>
      </c>
      <c r="C1438">
        <v>1054</v>
      </c>
      <c r="D1438" t="s">
        <v>3253</v>
      </c>
      <c r="E1438" t="s">
        <v>283</v>
      </c>
      <c r="F1438" t="s">
        <v>68</v>
      </c>
      <c r="G1438" t="s">
        <v>3254</v>
      </c>
      <c r="H1438" t="str">
        <f>"201510002226"</f>
        <v>201510002226</v>
      </c>
      <c r="I1438">
        <v>25.72</v>
      </c>
      <c r="J1438">
        <v>10</v>
      </c>
      <c r="N1438">
        <v>0</v>
      </c>
      <c r="O1438">
        <v>4</v>
      </c>
      <c r="P1438">
        <v>2</v>
      </c>
      <c r="Q1438">
        <v>41.72</v>
      </c>
      <c r="R1438">
        <v>24</v>
      </c>
      <c r="S1438">
        <v>24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24</v>
      </c>
      <c r="AA1438">
        <v>3</v>
      </c>
      <c r="AB1438">
        <v>0</v>
      </c>
      <c r="AD1438">
        <v>68.72</v>
      </c>
    </row>
    <row r="1439" spans="1:30" x14ac:dyDescent="0.3">
      <c r="A1439" s="4">
        <v>1454</v>
      </c>
      <c r="B1439" s="5">
        <v>1432</v>
      </c>
      <c r="C1439">
        <v>2659</v>
      </c>
      <c r="D1439" t="s">
        <v>1604</v>
      </c>
      <c r="E1439" t="s">
        <v>97</v>
      </c>
      <c r="F1439" t="s">
        <v>30</v>
      </c>
      <c r="G1439" t="s">
        <v>3255</v>
      </c>
      <c r="H1439" t="str">
        <f>"00187967"</f>
        <v>00187967</v>
      </c>
      <c r="I1439">
        <v>57.6</v>
      </c>
      <c r="J1439">
        <v>0</v>
      </c>
      <c r="M1439">
        <v>4</v>
      </c>
      <c r="N1439">
        <v>4</v>
      </c>
      <c r="O1439">
        <v>4</v>
      </c>
      <c r="P1439">
        <v>0</v>
      </c>
      <c r="Q1439">
        <v>65.599999999999994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3</v>
      </c>
      <c r="AB1439">
        <v>0</v>
      </c>
      <c r="AD1439">
        <v>68.599999999999994</v>
      </c>
    </row>
    <row r="1440" spans="1:30" x14ac:dyDescent="0.3">
      <c r="A1440" s="4">
        <v>1455</v>
      </c>
      <c r="B1440" s="5">
        <v>1433</v>
      </c>
      <c r="C1440">
        <v>1228</v>
      </c>
      <c r="D1440" t="s">
        <v>545</v>
      </c>
      <c r="E1440" t="s">
        <v>26</v>
      </c>
      <c r="F1440" t="s">
        <v>38</v>
      </c>
      <c r="G1440" t="s">
        <v>3256</v>
      </c>
      <c r="H1440" t="str">
        <f>"00854285"</f>
        <v>00854285</v>
      </c>
      <c r="I1440">
        <v>57.6</v>
      </c>
      <c r="J1440">
        <v>0</v>
      </c>
      <c r="M1440">
        <v>4</v>
      </c>
      <c r="N1440">
        <v>4</v>
      </c>
      <c r="O1440">
        <v>4</v>
      </c>
      <c r="P1440">
        <v>0</v>
      </c>
      <c r="Q1440">
        <v>65.599999999999994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3</v>
      </c>
      <c r="AB1440">
        <v>0</v>
      </c>
      <c r="AD1440">
        <v>68.599999999999994</v>
      </c>
    </row>
    <row r="1441" spans="1:30" x14ac:dyDescent="0.3">
      <c r="A1441" s="4">
        <v>1456</v>
      </c>
      <c r="B1441" s="5">
        <v>1434</v>
      </c>
      <c r="C1441">
        <v>4004</v>
      </c>
      <c r="D1441" t="s">
        <v>3257</v>
      </c>
      <c r="E1441" t="s">
        <v>17</v>
      </c>
      <c r="F1441" t="s">
        <v>20</v>
      </c>
      <c r="G1441" t="s">
        <v>31994</v>
      </c>
      <c r="H1441" t="str">
        <f>"200801006121"</f>
        <v>200801006121</v>
      </c>
      <c r="I1441">
        <v>33.6</v>
      </c>
      <c r="J1441">
        <v>0</v>
      </c>
      <c r="K1441">
        <v>8</v>
      </c>
      <c r="N1441">
        <v>8</v>
      </c>
      <c r="O1441">
        <v>4</v>
      </c>
      <c r="P1441">
        <v>2</v>
      </c>
      <c r="Q1441">
        <v>47.6</v>
      </c>
      <c r="R1441">
        <v>18</v>
      </c>
      <c r="S1441">
        <v>18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18</v>
      </c>
      <c r="AA1441">
        <v>3</v>
      </c>
      <c r="AB1441">
        <v>0</v>
      </c>
      <c r="AD1441">
        <v>68.599999999999994</v>
      </c>
    </row>
    <row r="1442" spans="1:30" x14ac:dyDescent="0.3">
      <c r="A1442" s="4">
        <v>1457</v>
      </c>
      <c r="B1442" s="5">
        <v>1435</v>
      </c>
      <c r="C1442">
        <v>1670</v>
      </c>
      <c r="D1442" t="s">
        <v>3258</v>
      </c>
      <c r="E1442" t="s">
        <v>182</v>
      </c>
      <c r="F1442" t="s">
        <v>158</v>
      </c>
      <c r="G1442" t="s">
        <v>3259</v>
      </c>
      <c r="H1442" t="str">
        <f>"00530016"</f>
        <v>00530016</v>
      </c>
      <c r="I1442">
        <v>16.559999999999999</v>
      </c>
      <c r="J1442">
        <v>0</v>
      </c>
      <c r="N1442">
        <v>0</v>
      </c>
      <c r="O1442">
        <v>4</v>
      </c>
      <c r="P1442">
        <v>0</v>
      </c>
      <c r="Q1442">
        <v>20.56</v>
      </c>
      <c r="R1442">
        <v>42</v>
      </c>
      <c r="S1442">
        <v>42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42</v>
      </c>
      <c r="AA1442">
        <v>6</v>
      </c>
      <c r="AB1442">
        <v>0</v>
      </c>
      <c r="AD1442">
        <v>68.56</v>
      </c>
    </row>
    <row r="1443" spans="1:30" x14ac:dyDescent="0.3">
      <c r="A1443" s="4">
        <v>1458</v>
      </c>
      <c r="B1443" s="5">
        <v>1436</v>
      </c>
      <c r="C1443">
        <v>2413</v>
      </c>
      <c r="D1443" t="s">
        <v>3260</v>
      </c>
      <c r="E1443" t="s">
        <v>115</v>
      </c>
      <c r="F1443" t="s">
        <v>62</v>
      </c>
      <c r="G1443" t="s">
        <v>3261</v>
      </c>
      <c r="H1443" t="str">
        <f>"00498320"</f>
        <v>00498320</v>
      </c>
      <c r="I1443">
        <v>19.48</v>
      </c>
      <c r="J1443">
        <v>0</v>
      </c>
      <c r="N1443">
        <v>0</v>
      </c>
      <c r="O1443">
        <v>0</v>
      </c>
      <c r="P1443">
        <v>2</v>
      </c>
      <c r="Q1443">
        <v>21.48</v>
      </c>
      <c r="R1443">
        <v>47</v>
      </c>
      <c r="S1443">
        <v>47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47</v>
      </c>
      <c r="AA1443">
        <v>0</v>
      </c>
      <c r="AB1443">
        <v>0</v>
      </c>
      <c r="AD1443">
        <v>68.48</v>
      </c>
    </row>
    <row r="1444" spans="1:30" x14ac:dyDescent="0.3">
      <c r="A1444" s="4">
        <v>1459</v>
      </c>
      <c r="B1444" s="5">
        <v>1437</v>
      </c>
      <c r="C1444">
        <v>4139</v>
      </c>
      <c r="D1444" t="s">
        <v>3262</v>
      </c>
      <c r="E1444" t="s">
        <v>161</v>
      </c>
      <c r="F1444" t="s">
        <v>243</v>
      </c>
      <c r="G1444" t="s">
        <v>3263</v>
      </c>
      <c r="H1444" t="str">
        <f>"00441734"</f>
        <v>00441734</v>
      </c>
      <c r="I1444">
        <v>50.4</v>
      </c>
      <c r="J1444">
        <v>0</v>
      </c>
      <c r="N1444">
        <v>0</v>
      </c>
      <c r="O1444">
        <v>0</v>
      </c>
      <c r="P1444">
        <v>0</v>
      </c>
      <c r="Q1444">
        <v>50.4</v>
      </c>
      <c r="R1444">
        <v>12</v>
      </c>
      <c r="S1444">
        <v>12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12</v>
      </c>
      <c r="AA1444">
        <v>6</v>
      </c>
      <c r="AB1444">
        <v>0</v>
      </c>
      <c r="AD1444">
        <v>68.400000000000006</v>
      </c>
    </row>
    <row r="1445" spans="1:30" x14ac:dyDescent="0.3">
      <c r="A1445" s="4">
        <v>1460</v>
      </c>
      <c r="B1445" s="5">
        <v>1438</v>
      </c>
      <c r="C1445">
        <v>3348</v>
      </c>
      <c r="D1445" t="s">
        <v>3264</v>
      </c>
      <c r="E1445" t="s">
        <v>166</v>
      </c>
      <c r="F1445" t="s">
        <v>20</v>
      </c>
      <c r="G1445" t="s">
        <v>3265</v>
      </c>
      <c r="H1445" t="str">
        <f>"00531586"</f>
        <v>00531586</v>
      </c>
      <c r="I1445">
        <v>14.4</v>
      </c>
      <c r="J1445">
        <v>0</v>
      </c>
      <c r="M1445">
        <v>4</v>
      </c>
      <c r="N1445">
        <v>4</v>
      </c>
      <c r="O1445">
        <v>4</v>
      </c>
      <c r="P1445">
        <v>0</v>
      </c>
      <c r="Q1445">
        <v>22.4</v>
      </c>
      <c r="R1445">
        <v>43</v>
      </c>
      <c r="S1445">
        <v>43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43</v>
      </c>
      <c r="AA1445">
        <v>3</v>
      </c>
      <c r="AB1445">
        <v>0</v>
      </c>
      <c r="AD1445">
        <v>68.400000000000006</v>
      </c>
    </row>
    <row r="1446" spans="1:30" x14ac:dyDescent="0.3">
      <c r="A1446" s="4">
        <v>1461</v>
      </c>
      <c r="B1446" s="5">
        <v>1439</v>
      </c>
      <c r="C1446">
        <v>3835</v>
      </c>
      <c r="D1446" t="s">
        <v>3266</v>
      </c>
      <c r="E1446" t="s">
        <v>54</v>
      </c>
      <c r="F1446" t="s">
        <v>17</v>
      </c>
      <c r="G1446" t="s">
        <v>3267</v>
      </c>
      <c r="H1446" t="str">
        <f>"00676674"</f>
        <v>00676674</v>
      </c>
      <c r="I1446">
        <v>50.4</v>
      </c>
      <c r="J1446">
        <v>10</v>
      </c>
      <c r="M1446">
        <v>4</v>
      </c>
      <c r="N1446">
        <v>4</v>
      </c>
      <c r="O1446">
        <v>4</v>
      </c>
      <c r="P1446">
        <v>0</v>
      </c>
      <c r="Q1446">
        <v>68.400000000000006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D1446">
        <v>68.400000000000006</v>
      </c>
    </row>
    <row r="1447" spans="1:30" x14ac:dyDescent="0.3">
      <c r="A1447" s="4">
        <v>1462</v>
      </c>
      <c r="B1447" s="5">
        <v>1440</v>
      </c>
      <c r="C1447">
        <v>1132</v>
      </c>
      <c r="D1447" t="s">
        <v>3268</v>
      </c>
      <c r="E1447" t="s">
        <v>1140</v>
      </c>
      <c r="F1447" t="s">
        <v>79</v>
      </c>
      <c r="G1447" t="s">
        <v>3269</v>
      </c>
      <c r="H1447" t="str">
        <f>"00004842"</f>
        <v>00004842</v>
      </c>
      <c r="I1447">
        <v>50.4</v>
      </c>
      <c r="J1447">
        <v>0</v>
      </c>
      <c r="K1447">
        <v>8</v>
      </c>
      <c r="M1447">
        <v>4</v>
      </c>
      <c r="N1447">
        <v>12</v>
      </c>
      <c r="O1447">
        <v>4</v>
      </c>
      <c r="P1447">
        <v>2</v>
      </c>
      <c r="Q1447">
        <v>68.400000000000006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D1447">
        <v>68.400000000000006</v>
      </c>
    </row>
    <row r="1448" spans="1:30" x14ac:dyDescent="0.3">
      <c r="A1448" s="4">
        <v>1463</v>
      </c>
      <c r="B1448" s="5">
        <v>1441</v>
      </c>
      <c r="C1448">
        <v>3038</v>
      </c>
      <c r="D1448" t="s">
        <v>3270</v>
      </c>
      <c r="E1448" t="s">
        <v>54</v>
      </c>
      <c r="F1448" t="s">
        <v>17</v>
      </c>
      <c r="G1448" t="s">
        <v>3271</v>
      </c>
      <c r="H1448" t="str">
        <f>"00527089"</f>
        <v>00527089</v>
      </c>
      <c r="I1448">
        <v>50.4</v>
      </c>
      <c r="J1448">
        <v>0</v>
      </c>
      <c r="M1448">
        <v>4</v>
      </c>
      <c r="N1448">
        <v>4</v>
      </c>
      <c r="O1448">
        <v>4</v>
      </c>
      <c r="P1448">
        <v>2</v>
      </c>
      <c r="Q1448">
        <v>60.4</v>
      </c>
      <c r="R1448">
        <v>8</v>
      </c>
      <c r="S1448">
        <v>8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8</v>
      </c>
      <c r="AA1448">
        <v>0</v>
      </c>
      <c r="AB1448">
        <v>0</v>
      </c>
      <c r="AD1448">
        <v>68.400000000000006</v>
      </c>
    </row>
    <row r="1449" spans="1:30" x14ac:dyDescent="0.3">
      <c r="A1449" s="4">
        <v>1464</v>
      </c>
      <c r="B1449" s="5">
        <v>1442</v>
      </c>
      <c r="C1449">
        <v>15</v>
      </c>
      <c r="D1449" t="s">
        <v>3272</v>
      </c>
      <c r="E1449" t="s">
        <v>3273</v>
      </c>
      <c r="F1449" t="s">
        <v>3274</v>
      </c>
      <c r="G1449" t="s">
        <v>3275</v>
      </c>
      <c r="H1449" t="str">
        <f>"00508829"</f>
        <v>00508829</v>
      </c>
      <c r="I1449">
        <v>14.4</v>
      </c>
      <c r="J1449">
        <v>0</v>
      </c>
      <c r="M1449">
        <v>4</v>
      </c>
      <c r="N1449">
        <v>4</v>
      </c>
      <c r="O1449">
        <v>0</v>
      </c>
      <c r="P1449">
        <v>2</v>
      </c>
      <c r="Q1449">
        <v>20.399999999999999</v>
      </c>
      <c r="R1449">
        <v>48</v>
      </c>
      <c r="S1449">
        <v>48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48</v>
      </c>
      <c r="AA1449">
        <v>0</v>
      </c>
      <c r="AB1449">
        <v>0</v>
      </c>
      <c r="AD1449">
        <v>68.400000000000006</v>
      </c>
    </row>
    <row r="1450" spans="1:30" x14ac:dyDescent="0.3">
      <c r="A1450" s="4">
        <v>1465</v>
      </c>
      <c r="B1450" s="5">
        <v>1443</v>
      </c>
      <c r="C1450">
        <v>1672</v>
      </c>
      <c r="D1450" t="s">
        <v>3276</v>
      </c>
      <c r="E1450" t="s">
        <v>88</v>
      </c>
      <c r="F1450" t="s">
        <v>158</v>
      </c>
      <c r="G1450" t="s">
        <v>3277</v>
      </c>
      <c r="H1450" t="str">
        <f>"00492923"</f>
        <v>00492923</v>
      </c>
      <c r="I1450">
        <v>36.32</v>
      </c>
      <c r="J1450">
        <v>0</v>
      </c>
      <c r="M1450">
        <v>4</v>
      </c>
      <c r="N1450">
        <v>4</v>
      </c>
      <c r="O1450">
        <v>4</v>
      </c>
      <c r="P1450">
        <v>0</v>
      </c>
      <c r="Q1450">
        <v>44.32</v>
      </c>
      <c r="R1450">
        <v>18</v>
      </c>
      <c r="S1450">
        <v>18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18</v>
      </c>
      <c r="AA1450">
        <v>6</v>
      </c>
      <c r="AB1450">
        <v>0</v>
      </c>
      <c r="AD1450">
        <v>68.319999999999993</v>
      </c>
    </row>
    <row r="1451" spans="1:30" x14ac:dyDescent="0.3">
      <c r="A1451" s="4">
        <v>1466</v>
      </c>
      <c r="B1451" s="5">
        <v>1444</v>
      </c>
      <c r="C1451">
        <v>808</v>
      </c>
      <c r="D1451" t="s">
        <v>3278</v>
      </c>
      <c r="E1451" t="s">
        <v>100</v>
      </c>
      <c r="F1451" t="s">
        <v>587</v>
      </c>
      <c r="G1451" t="s">
        <v>3279</v>
      </c>
      <c r="H1451" t="str">
        <f>"00488921"</f>
        <v>00488921</v>
      </c>
      <c r="I1451">
        <v>39.200000000000003</v>
      </c>
      <c r="J1451">
        <v>10</v>
      </c>
      <c r="M1451">
        <v>4</v>
      </c>
      <c r="N1451">
        <v>4</v>
      </c>
      <c r="O1451">
        <v>4</v>
      </c>
      <c r="P1451">
        <v>2</v>
      </c>
      <c r="Q1451">
        <v>59.2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9</v>
      </c>
      <c r="AB1451">
        <v>0</v>
      </c>
      <c r="AD1451">
        <v>68.2</v>
      </c>
    </row>
    <row r="1452" spans="1:30" x14ac:dyDescent="0.3">
      <c r="A1452" s="4">
        <v>1467</v>
      </c>
      <c r="B1452" s="5">
        <v>1445</v>
      </c>
      <c r="C1452">
        <v>377</v>
      </c>
      <c r="D1452" t="s">
        <v>1654</v>
      </c>
      <c r="E1452" t="s">
        <v>33</v>
      </c>
      <c r="F1452" t="s">
        <v>34</v>
      </c>
      <c r="G1452" t="s">
        <v>3280</v>
      </c>
      <c r="H1452" t="str">
        <f>"00086947"</f>
        <v>00086947</v>
      </c>
      <c r="I1452">
        <v>43.2</v>
      </c>
      <c r="J1452">
        <v>10</v>
      </c>
      <c r="K1452">
        <v>8</v>
      </c>
      <c r="N1452">
        <v>8</v>
      </c>
      <c r="O1452">
        <v>4</v>
      </c>
      <c r="P1452">
        <v>0</v>
      </c>
      <c r="Q1452">
        <v>65.2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3</v>
      </c>
      <c r="AB1452">
        <v>0</v>
      </c>
      <c r="AD1452">
        <v>68.2</v>
      </c>
    </row>
    <row r="1453" spans="1:30" x14ac:dyDescent="0.3">
      <c r="A1453" s="4">
        <v>1468</v>
      </c>
      <c r="B1453" s="5">
        <v>1446</v>
      </c>
      <c r="C1453">
        <v>447</v>
      </c>
      <c r="D1453" t="s">
        <v>3281</v>
      </c>
      <c r="E1453" t="s">
        <v>149</v>
      </c>
      <c r="F1453" t="s">
        <v>38</v>
      </c>
      <c r="G1453" t="s">
        <v>3282</v>
      </c>
      <c r="H1453" t="str">
        <f>"00474778"</f>
        <v>00474778</v>
      </c>
      <c r="I1453">
        <v>7.2</v>
      </c>
      <c r="J1453">
        <v>10</v>
      </c>
      <c r="M1453">
        <v>4</v>
      </c>
      <c r="N1453">
        <v>4</v>
      </c>
      <c r="O1453">
        <v>4</v>
      </c>
      <c r="P1453">
        <v>2</v>
      </c>
      <c r="Q1453">
        <v>27.2</v>
      </c>
      <c r="R1453">
        <v>5</v>
      </c>
      <c r="S1453">
        <v>5</v>
      </c>
      <c r="T1453">
        <v>18</v>
      </c>
      <c r="U1453">
        <v>36</v>
      </c>
      <c r="V1453">
        <v>0</v>
      </c>
      <c r="W1453">
        <v>0</v>
      </c>
      <c r="X1453">
        <v>0</v>
      </c>
      <c r="Y1453">
        <v>0</v>
      </c>
      <c r="Z1453">
        <v>41</v>
      </c>
      <c r="AA1453">
        <v>0</v>
      </c>
      <c r="AB1453">
        <v>0</v>
      </c>
      <c r="AD1453">
        <v>68.2</v>
      </c>
    </row>
    <row r="1454" spans="1:30" x14ac:dyDescent="0.3">
      <c r="A1454" s="4">
        <v>1469</v>
      </c>
      <c r="B1454" s="5">
        <v>1447</v>
      </c>
      <c r="C1454">
        <v>2393</v>
      </c>
      <c r="D1454" t="s">
        <v>3283</v>
      </c>
      <c r="E1454" t="s">
        <v>54</v>
      </c>
      <c r="F1454" t="s">
        <v>136</v>
      </c>
      <c r="G1454" t="s">
        <v>3284</v>
      </c>
      <c r="H1454" t="str">
        <f>"00533890"</f>
        <v>00533890</v>
      </c>
      <c r="I1454">
        <v>7.2</v>
      </c>
      <c r="J1454">
        <v>0</v>
      </c>
      <c r="K1454">
        <v>8</v>
      </c>
      <c r="N1454">
        <v>8</v>
      </c>
      <c r="O1454">
        <v>4</v>
      </c>
      <c r="P1454">
        <v>2</v>
      </c>
      <c r="Q1454">
        <v>21.2</v>
      </c>
      <c r="R1454">
        <v>47</v>
      </c>
      <c r="S1454">
        <v>47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47</v>
      </c>
      <c r="AA1454">
        <v>0</v>
      </c>
      <c r="AB1454">
        <v>0</v>
      </c>
      <c r="AD1454">
        <v>68.2</v>
      </c>
    </row>
    <row r="1455" spans="1:30" x14ac:dyDescent="0.3">
      <c r="A1455" s="4">
        <v>1470</v>
      </c>
      <c r="B1455" s="5">
        <v>1448</v>
      </c>
      <c r="C1455">
        <v>1603</v>
      </c>
      <c r="D1455" t="s">
        <v>3285</v>
      </c>
      <c r="E1455" t="s">
        <v>22</v>
      </c>
      <c r="F1455" t="s">
        <v>117</v>
      </c>
      <c r="G1455" t="s">
        <v>3286</v>
      </c>
      <c r="H1455" t="str">
        <f>"00255708"</f>
        <v>00255708</v>
      </c>
      <c r="I1455">
        <v>7.2</v>
      </c>
      <c r="J1455">
        <v>0</v>
      </c>
      <c r="M1455">
        <v>4</v>
      </c>
      <c r="N1455">
        <v>4</v>
      </c>
      <c r="O1455">
        <v>4</v>
      </c>
      <c r="P1455">
        <v>2</v>
      </c>
      <c r="Q1455">
        <v>17.2</v>
      </c>
      <c r="R1455">
        <v>51</v>
      </c>
      <c r="S1455">
        <v>51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51</v>
      </c>
      <c r="AA1455">
        <v>0</v>
      </c>
      <c r="AB1455">
        <v>0</v>
      </c>
      <c r="AD1455">
        <v>68.2</v>
      </c>
    </row>
    <row r="1456" spans="1:30" x14ac:dyDescent="0.3">
      <c r="A1456" s="4">
        <v>1471</v>
      </c>
      <c r="B1456" s="5">
        <v>1449</v>
      </c>
      <c r="C1456">
        <v>3466</v>
      </c>
      <c r="D1456" t="s">
        <v>2666</v>
      </c>
      <c r="E1456" t="s">
        <v>29</v>
      </c>
      <c r="F1456" t="s">
        <v>124</v>
      </c>
      <c r="G1456" t="s">
        <v>3287</v>
      </c>
      <c r="H1456" t="str">
        <f>"00533204"</f>
        <v>00533204</v>
      </c>
      <c r="I1456">
        <v>7.2</v>
      </c>
      <c r="J1456">
        <v>0</v>
      </c>
      <c r="N1456">
        <v>0</v>
      </c>
      <c r="O1456">
        <v>0</v>
      </c>
      <c r="P1456">
        <v>0</v>
      </c>
      <c r="Q1456">
        <v>7.2</v>
      </c>
      <c r="R1456">
        <v>61</v>
      </c>
      <c r="S1456">
        <v>61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61</v>
      </c>
      <c r="AA1456">
        <v>0</v>
      </c>
      <c r="AB1456">
        <v>0</v>
      </c>
      <c r="AD1456">
        <v>68.2</v>
      </c>
    </row>
    <row r="1457" spans="1:30" x14ac:dyDescent="0.3">
      <c r="A1457" s="4">
        <v>1472</v>
      </c>
      <c r="B1457" s="5">
        <v>1450</v>
      </c>
      <c r="C1457">
        <v>1357</v>
      </c>
      <c r="D1457" t="s">
        <v>3288</v>
      </c>
      <c r="E1457" t="s">
        <v>178</v>
      </c>
      <c r="F1457" t="s">
        <v>328</v>
      </c>
      <c r="G1457" t="s">
        <v>3289</v>
      </c>
      <c r="H1457" t="str">
        <f>"00483951"</f>
        <v>00483951</v>
      </c>
      <c r="I1457">
        <v>22.16</v>
      </c>
      <c r="J1457">
        <v>10</v>
      </c>
      <c r="N1457">
        <v>0</v>
      </c>
      <c r="O1457">
        <v>4</v>
      </c>
      <c r="P1457">
        <v>0</v>
      </c>
      <c r="Q1457">
        <v>36.159999999999997</v>
      </c>
      <c r="R1457">
        <v>29</v>
      </c>
      <c r="S1457">
        <v>29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29</v>
      </c>
      <c r="AA1457">
        <v>3</v>
      </c>
      <c r="AB1457">
        <v>0</v>
      </c>
      <c r="AD1457">
        <v>68.16</v>
      </c>
    </row>
    <row r="1458" spans="1:30" x14ac:dyDescent="0.3">
      <c r="A1458" s="4">
        <v>1473</v>
      </c>
      <c r="B1458" s="5">
        <v>1451</v>
      </c>
      <c r="C1458">
        <v>3837</v>
      </c>
      <c r="D1458" t="s">
        <v>3290</v>
      </c>
      <c r="E1458" t="s">
        <v>3291</v>
      </c>
      <c r="F1458" t="s">
        <v>20</v>
      </c>
      <c r="G1458" t="s">
        <v>3292</v>
      </c>
      <c r="H1458" t="str">
        <f>"201511023581"</f>
        <v>201511023581</v>
      </c>
      <c r="I1458">
        <v>40</v>
      </c>
      <c r="J1458">
        <v>10</v>
      </c>
      <c r="L1458">
        <v>6</v>
      </c>
      <c r="N1458">
        <v>6</v>
      </c>
      <c r="O1458">
        <v>4</v>
      </c>
      <c r="P1458">
        <v>2</v>
      </c>
      <c r="Q1458">
        <v>62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6</v>
      </c>
      <c r="AB1458">
        <v>0</v>
      </c>
      <c r="AD1458">
        <v>68</v>
      </c>
    </row>
    <row r="1459" spans="1:30" x14ac:dyDescent="0.3">
      <c r="A1459" s="4">
        <v>1474</v>
      </c>
      <c r="B1459" s="5">
        <v>1452</v>
      </c>
      <c r="C1459">
        <v>2374</v>
      </c>
      <c r="D1459" t="s">
        <v>3293</v>
      </c>
      <c r="E1459" t="s">
        <v>54</v>
      </c>
      <c r="F1459" t="s">
        <v>136</v>
      </c>
      <c r="G1459" t="s">
        <v>3294</v>
      </c>
      <c r="H1459" t="str">
        <f>"00512900"</f>
        <v>00512900</v>
      </c>
      <c r="I1459">
        <v>30</v>
      </c>
      <c r="J1459">
        <v>0</v>
      </c>
      <c r="N1459">
        <v>0</v>
      </c>
      <c r="O1459">
        <v>4</v>
      </c>
      <c r="P1459">
        <v>2</v>
      </c>
      <c r="Q1459">
        <v>36</v>
      </c>
      <c r="R1459">
        <v>26</v>
      </c>
      <c r="S1459">
        <v>26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26</v>
      </c>
      <c r="AA1459">
        <v>6</v>
      </c>
      <c r="AB1459">
        <v>0</v>
      </c>
      <c r="AD1459">
        <v>68</v>
      </c>
    </row>
    <row r="1460" spans="1:30" x14ac:dyDescent="0.3">
      <c r="A1460" s="4">
        <v>1475</v>
      </c>
      <c r="B1460" s="5">
        <v>1453</v>
      </c>
      <c r="C1460">
        <v>1257</v>
      </c>
      <c r="D1460" t="s">
        <v>3295</v>
      </c>
      <c r="E1460" t="s">
        <v>2150</v>
      </c>
      <c r="F1460" t="s">
        <v>343</v>
      </c>
      <c r="G1460" t="s">
        <v>3296</v>
      </c>
      <c r="H1460" t="str">
        <f>"201406008390"</f>
        <v>201406008390</v>
      </c>
      <c r="I1460">
        <v>36</v>
      </c>
      <c r="J1460">
        <v>10</v>
      </c>
      <c r="K1460">
        <v>16</v>
      </c>
      <c r="N1460">
        <v>16</v>
      </c>
      <c r="O1460">
        <v>4</v>
      </c>
      <c r="P1460">
        <v>2</v>
      </c>
      <c r="Q1460">
        <v>68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D1460">
        <v>68</v>
      </c>
    </row>
    <row r="1461" spans="1:30" x14ac:dyDescent="0.3">
      <c r="A1461" s="4">
        <v>1476</v>
      </c>
      <c r="B1461" s="5">
        <v>1454</v>
      </c>
      <c r="C1461">
        <v>3220</v>
      </c>
      <c r="D1461" t="s">
        <v>3297</v>
      </c>
      <c r="E1461" t="s">
        <v>1743</v>
      </c>
      <c r="F1461" t="s">
        <v>1511</v>
      </c>
      <c r="G1461" t="s">
        <v>3298</v>
      </c>
      <c r="H1461" t="str">
        <f>"00532611"</f>
        <v>00532611</v>
      </c>
      <c r="I1461">
        <v>36</v>
      </c>
      <c r="J1461">
        <v>0</v>
      </c>
      <c r="K1461">
        <v>8</v>
      </c>
      <c r="N1461">
        <v>8</v>
      </c>
      <c r="O1461">
        <v>4</v>
      </c>
      <c r="P1461">
        <v>2</v>
      </c>
      <c r="Q1461">
        <v>50</v>
      </c>
      <c r="R1461">
        <v>18</v>
      </c>
      <c r="S1461">
        <v>18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18</v>
      </c>
      <c r="AA1461">
        <v>0</v>
      </c>
      <c r="AB1461">
        <v>0</v>
      </c>
      <c r="AD1461">
        <v>68</v>
      </c>
    </row>
    <row r="1462" spans="1:30" x14ac:dyDescent="0.3">
      <c r="A1462" s="4">
        <v>1477</v>
      </c>
      <c r="B1462" s="5">
        <v>1455</v>
      </c>
      <c r="C1462">
        <v>233</v>
      </c>
      <c r="D1462" t="s">
        <v>3299</v>
      </c>
      <c r="E1462" t="s">
        <v>161</v>
      </c>
      <c r="F1462" t="s">
        <v>91</v>
      </c>
      <c r="G1462" t="s">
        <v>3300</v>
      </c>
      <c r="H1462" t="str">
        <f>"00476132"</f>
        <v>00476132</v>
      </c>
      <c r="I1462">
        <v>36</v>
      </c>
      <c r="J1462">
        <v>0</v>
      </c>
      <c r="K1462">
        <v>8</v>
      </c>
      <c r="N1462">
        <v>8</v>
      </c>
      <c r="O1462">
        <v>4</v>
      </c>
      <c r="P1462">
        <v>2</v>
      </c>
      <c r="Q1462">
        <v>50</v>
      </c>
      <c r="R1462">
        <v>18</v>
      </c>
      <c r="S1462">
        <v>18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18</v>
      </c>
      <c r="AA1462">
        <v>0</v>
      </c>
      <c r="AB1462">
        <v>0</v>
      </c>
      <c r="AD1462">
        <v>68</v>
      </c>
    </row>
    <row r="1463" spans="1:30" x14ac:dyDescent="0.3">
      <c r="A1463" s="4">
        <v>1478</v>
      </c>
      <c r="B1463" s="5">
        <v>1456</v>
      </c>
      <c r="C1463">
        <v>658</v>
      </c>
      <c r="D1463" t="s">
        <v>3301</v>
      </c>
      <c r="E1463" t="s">
        <v>3302</v>
      </c>
      <c r="F1463" t="s">
        <v>105</v>
      </c>
      <c r="G1463" t="s">
        <v>3303</v>
      </c>
      <c r="H1463" t="str">
        <f>"00513681"</f>
        <v>00513681</v>
      </c>
      <c r="I1463">
        <v>36</v>
      </c>
      <c r="J1463">
        <v>0</v>
      </c>
      <c r="M1463">
        <v>8</v>
      </c>
      <c r="N1463">
        <v>8</v>
      </c>
      <c r="O1463">
        <v>4</v>
      </c>
      <c r="P1463">
        <v>2</v>
      </c>
      <c r="Q1463">
        <v>50</v>
      </c>
      <c r="R1463">
        <v>18</v>
      </c>
      <c r="S1463">
        <v>18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18</v>
      </c>
      <c r="AA1463">
        <v>0</v>
      </c>
      <c r="AB1463">
        <v>0</v>
      </c>
      <c r="AD1463">
        <v>68</v>
      </c>
    </row>
    <row r="1464" spans="1:30" x14ac:dyDescent="0.3">
      <c r="A1464" s="4">
        <v>1479</v>
      </c>
      <c r="B1464" s="5">
        <v>1457</v>
      </c>
      <c r="C1464">
        <v>3965</v>
      </c>
      <c r="D1464" t="s">
        <v>3304</v>
      </c>
      <c r="E1464" t="s">
        <v>97</v>
      </c>
      <c r="F1464" t="s">
        <v>193</v>
      </c>
      <c r="G1464" t="s">
        <v>3305</v>
      </c>
      <c r="H1464" t="str">
        <f>"00152419"</f>
        <v>00152419</v>
      </c>
      <c r="I1464">
        <v>36</v>
      </c>
      <c r="J1464">
        <v>0</v>
      </c>
      <c r="K1464">
        <v>8</v>
      </c>
      <c r="N1464">
        <v>8</v>
      </c>
      <c r="O1464">
        <v>4</v>
      </c>
      <c r="P1464">
        <v>2</v>
      </c>
      <c r="Q1464">
        <v>50</v>
      </c>
      <c r="R1464">
        <v>18</v>
      </c>
      <c r="S1464">
        <v>18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18</v>
      </c>
      <c r="AA1464">
        <v>0</v>
      </c>
      <c r="AB1464">
        <v>0</v>
      </c>
      <c r="AD1464">
        <v>68</v>
      </c>
    </row>
    <row r="1465" spans="1:30" x14ac:dyDescent="0.3">
      <c r="A1465" s="4">
        <v>1480</v>
      </c>
      <c r="B1465" s="5">
        <v>1458</v>
      </c>
      <c r="C1465">
        <v>2428</v>
      </c>
      <c r="D1465" t="s">
        <v>1859</v>
      </c>
      <c r="E1465" t="s">
        <v>51</v>
      </c>
      <c r="F1465" t="s">
        <v>81</v>
      </c>
      <c r="G1465" t="s">
        <v>3306</v>
      </c>
      <c r="H1465" t="str">
        <f>"201406007102"</f>
        <v>201406007102</v>
      </c>
      <c r="I1465">
        <v>39.4</v>
      </c>
      <c r="J1465">
        <v>0</v>
      </c>
      <c r="M1465">
        <v>4</v>
      </c>
      <c r="N1465">
        <v>4</v>
      </c>
      <c r="O1465">
        <v>4</v>
      </c>
      <c r="P1465">
        <v>0</v>
      </c>
      <c r="Q1465">
        <v>47.4</v>
      </c>
      <c r="R1465">
        <v>4</v>
      </c>
      <c r="S1465">
        <v>4</v>
      </c>
      <c r="T1465">
        <v>0</v>
      </c>
      <c r="U1465">
        <v>0</v>
      </c>
      <c r="V1465">
        <v>3</v>
      </c>
      <c r="W1465">
        <v>4.5</v>
      </c>
      <c r="X1465">
        <v>0</v>
      </c>
      <c r="Y1465">
        <v>0</v>
      </c>
      <c r="Z1465">
        <v>8.5</v>
      </c>
      <c r="AA1465">
        <v>12</v>
      </c>
      <c r="AB1465">
        <v>0</v>
      </c>
      <c r="AD1465">
        <v>67.900000000000006</v>
      </c>
    </row>
    <row r="1466" spans="1:30" x14ac:dyDescent="0.3">
      <c r="A1466" s="4">
        <v>1481</v>
      </c>
      <c r="B1466" s="5">
        <v>1459</v>
      </c>
      <c r="C1466">
        <v>1230</v>
      </c>
      <c r="D1466" t="s">
        <v>3307</v>
      </c>
      <c r="E1466" t="s">
        <v>104</v>
      </c>
      <c r="F1466" t="s">
        <v>124</v>
      </c>
      <c r="G1466" t="s">
        <v>3308</v>
      </c>
      <c r="H1466" t="str">
        <f>"00529904"</f>
        <v>00529904</v>
      </c>
      <c r="I1466">
        <v>21.88</v>
      </c>
      <c r="J1466">
        <v>0</v>
      </c>
      <c r="N1466">
        <v>0</v>
      </c>
      <c r="O1466">
        <v>4</v>
      </c>
      <c r="P1466">
        <v>2</v>
      </c>
      <c r="Q1466">
        <v>27.88</v>
      </c>
      <c r="R1466">
        <v>40</v>
      </c>
      <c r="S1466">
        <v>40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40</v>
      </c>
      <c r="AA1466">
        <v>0</v>
      </c>
      <c r="AB1466">
        <v>0</v>
      </c>
      <c r="AD1466">
        <v>67.88</v>
      </c>
    </row>
    <row r="1467" spans="1:30" x14ac:dyDescent="0.3">
      <c r="A1467" s="4">
        <v>1482</v>
      </c>
      <c r="B1467" s="5">
        <v>1460</v>
      </c>
      <c r="C1467">
        <v>4227</v>
      </c>
      <c r="D1467" t="s">
        <v>3309</v>
      </c>
      <c r="E1467" t="s">
        <v>182</v>
      </c>
      <c r="F1467" t="s">
        <v>1812</v>
      </c>
      <c r="G1467" t="s">
        <v>3310</v>
      </c>
      <c r="H1467" t="str">
        <f>"00559503"</f>
        <v>00559503</v>
      </c>
      <c r="I1467">
        <v>64.8</v>
      </c>
      <c r="J1467">
        <v>0</v>
      </c>
      <c r="N1467">
        <v>0</v>
      </c>
      <c r="O1467">
        <v>0</v>
      </c>
      <c r="P1467">
        <v>0</v>
      </c>
      <c r="Q1467">
        <v>64.8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3</v>
      </c>
      <c r="AB1467">
        <v>0</v>
      </c>
      <c r="AD1467">
        <v>67.8</v>
      </c>
    </row>
    <row r="1468" spans="1:30" x14ac:dyDescent="0.3">
      <c r="A1468" s="4">
        <v>1483</v>
      </c>
      <c r="B1468" s="5">
        <v>1461</v>
      </c>
      <c r="C1468">
        <v>2225</v>
      </c>
      <c r="D1468" t="s">
        <v>3311</v>
      </c>
      <c r="E1468" t="s">
        <v>208</v>
      </c>
      <c r="F1468" t="s">
        <v>136</v>
      </c>
      <c r="G1468" t="s">
        <v>3312</v>
      </c>
      <c r="H1468" t="str">
        <f>"00040086"</f>
        <v>00040086</v>
      </c>
      <c r="I1468">
        <v>28.8</v>
      </c>
      <c r="J1468">
        <v>10</v>
      </c>
      <c r="N1468">
        <v>0</v>
      </c>
      <c r="O1468">
        <v>4</v>
      </c>
      <c r="P1468">
        <v>0</v>
      </c>
      <c r="Q1468">
        <v>42.8</v>
      </c>
      <c r="R1468">
        <v>22</v>
      </c>
      <c r="S1468">
        <v>22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22</v>
      </c>
      <c r="AA1468">
        <v>3</v>
      </c>
      <c r="AB1468">
        <v>0</v>
      </c>
      <c r="AD1468">
        <v>67.8</v>
      </c>
    </row>
    <row r="1469" spans="1:30" x14ac:dyDescent="0.3">
      <c r="A1469" s="4">
        <v>1484</v>
      </c>
      <c r="B1469" s="5">
        <v>1462</v>
      </c>
      <c r="C1469">
        <v>91</v>
      </c>
      <c r="D1469" t="s">
        <v>954</v>
      </c>
      <c r="E1469" t="s">
        <v>3313</v>
      </c>
      <c r="F1469" t="s">
        <v>124</v>
      </c>
      <c r="G1469" t="s">
        <v>3314</v>
      </c>
      <c r="H1469" t="str">
        <f>"00529704"</f>
        <v>00529704</v>
      </c>
      <c r="I1469">
        <v>28.8</v>
      </c>
      <c r="J1469">
        <v>0</v>
      </c>
      <c r="N1469">
        <v>0</v>
      </c>
      <c r="O1469">
        <v>4</v>
      </c>
      <c r="P1469">
        <v>2</v>
      </c>
      <c r="Q1469">
        <v>34.799999999999997</v>
      </c>
      <c r="R1469">
        <v>33</v>
      </c>
      <c r="S1469">
        <v>33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33</v>
      </c>
      <c r="AA1469">
        <v>0</v>
      </c>
      <c r="AB1469">
        <v>0</v>
      </c>
      <c r="AD1469">
        <v>67.8</v>
      </c>
    </row>
    <row r="1470" spans="1:30" x14ac:dyDescent="0.3">
      <c r="A1470" s="4">
        <v>1485</v>
      </c>
      <c r="B1470" s="5">
        <v>1463</v>
      </c>
      <c r="C1470">
        <v>2954</v>
      </c>
      <c r="D1470" t="s">
        <v>3315</v>
      </c>
      <c r="E1470" t="s">
        <v>479</v>
      </c>
      <c r="F1470" t="s">
        <v>136</v>
      </c>
      <c r="G1470" t="s">
        <v>3316</v>
      </c>
      <c r="H1470" t="str">
        <f>"201412007461"</f>
        <v>201412007461</v>
      </c>
      <c r="I1470">
        <v>15.72</v>
      </c>
      <c r="J1470">
        <v>0</v>
      </c>
      <c r="N1470">
        <v>0</v>
      </c>
      <c r="O1470">
        <v>4</v>
      </c>
      <c r="P1470">
        <v>2</v>
      </c>
      <c r="Q1470">
        <v>21.72</v>
      </c>
      <c r="R1470">
        <v>46</v>
      </c>
      <c r="S1470">
        <v>46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46</v>
      </c>
      <c r="AA1470">
        <v>0</v>
      </c>
      <c r="AB1470">
        <v>0</v>
      </c>
      <c r="AD1470">
        <v>67.72</v>
      </c>
    </row>
    <row r="1471" spans="1:30" x14ac:dyDescent="0.3">
      <c r="A1471" s="4">
        <v>1486</v>
      </c>
      <c r="B1471" s="5">
        <v>1464</v>
      </c>
      <c r="C1471">
        <v>4401</v>
      </c>
      <c r="D1471" t="s">
        <v>3317</v>
      </c>
      <c r="E1471" t="s">
        <v>29</v>
      </c>
      <c r="F1471" t="s">
        <v>17</v>
      </c>
      <c r="G1471" t="s">
        <v>3318</v>
      </c>
      <c r="H1471" t="str">
        <f>"00296833"</f>
        <v>00296833</v>
      </c>
      <c r="I1471">
        <v>21.6</v>
      </c>
      <c r="J1471">
        <v>0</v>
      </c>
      <c r="K1471">
        <v>8</v>
      </c>
      <c r="N1471">
        <v>8</v>
      </c>
      <c r="O1471">
        <v>4</v>
      </c>
      <c r="P1471">
        <v>2</v>
      </c>
      <c r="Q1471">
        <v>35.6</v>
      </c>
      <c r="R1471">
        <v>23</v>
      </c>
      <c r="S1471">
        <v>23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23</v>
      </c>
      <c r="AA1471">
        <v>9</v>
      </c>
      <c r="AB1471">
        <v>0</v>
      </c>
      <c r="AD1471">
        <v>67.599999999999994</v>
      </c>
    </row>
    <row r="1472" spans="1:30" x14ac:dyDescent="0.3">
      <c r="A1472" s="4">
        <v>1487</v>
      </c>
      <c r="B1472" s="5">
        <v>1465</v>
      </c>
      <c r="C1472">
        <v>4714</v>
      </c>
      <c r="D1472" t="s">
        <v>3319</v>
      </c>
      <c r="E1472" t="s">
        <v>3320</v>
      </c>
      <c r="F1472" t="s">
        <v>3321</v>
      </c>
      <c r="G1472" t="s">
        <v>3322</v>
      </c>
      <c r="H1472" t="str">
        <f>"00699037"</f>
        <v>00699037</v>
      </c>
      <c r="I1472">
        <v>57.6</v>
      </c>
      <c r="J1472">
        <v>0</v>
      </c>
      <c r="N1472">
        <v>0</v>
      </c>
      <c r="O1472">
        <v>4</v>
      </c>
      <c r="P1472">
        <v>0</v>
      </c>
      <c r="Q1472">
        <v>61.6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6</v>
      </c>
      <c r="AB1472">
        <v>0</v>
      </c>
      <c r="AD1472">
        <v>67.599999999999994</v>
      </c>
    </row>
    <row r="1473" spans="1:30" x14ac:dyDescent="0.3">
      <c r="A1473" s="4">
        <v>1488</v>
      </c>
      <c r="B1473" s="5">
        <v>1466</v>
      </c>
      <c r="C1473">
        <v>4803</v>
      </c>
      <c r="D1473" t="s">
        <v>3323</v>
      </c>
      <c r="E1473" t="s">
        <v>3324</v>
      </c>
      <c r="F1473" t="s">
        <v>20</v>
      </c>
      <c r="G1473" t="s">
        <v>3325</v>
      </c>
      <c r="H1473" t="str">
        <f>"00541172"</f>
        <v>00541172</v>
      </c>
      <c r="I1473">
        <v>57.6</v>
      </c>
      <c r="J1473">
        <v>0</v>
      </c>
      <c r="N1473">
        <v>0</v>
      </c>
      <c r="O1473">
        <v>4</v>
      </c>
      <c r="P1473">
        <v>0</v>
      </c>
      <c r="Q1473">
        <v>61.6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6</v>
      </c>
      <c r="AB1473">
        <v>0</v>
      </c>
      <c r="AD1473">
        <v>67.599999999999994</v>
      </c>
    </row>
    <row r="1474" spans="1:30" x14ac:dyDescent="0.3">
      <c r="A1474" s="4">
        <v>1489</v>
      </c>
      <c r="B1474" s="5">
        <v>1467</v>
      </c>
      <c r="C1474">
        <v>1347</v>
      </c>
      <c r="D1474" t="s">
        <v>3326</v>
      </c>
      <c r="E1474" t="s">
        <v>575</v>
      </c>
      <c r="F1474" t="s">
        <v>2261</v>
      </c>
      <c r="G1474" t="s">
        <v>3327</v>
      </c>
      <c r="H1474" t="str">
        <f>"00530838"</f>
        <v>00530838</v>
      </c>
      <c r="I1474">
        <v>25.6</v>
      </c>
      <c r="J1474">
        <v>0</v>
      </c>
      <c r="K1474">
        <v>8</v>
      </c>
      <c r="M1474">
        <v>4</v>
      </c>
      <c r="N1474">
        <v>12</v>
      </c>
      <c r="O1474">
        <v>4</v>
      </c>
      <c r="P1474">
        <v>2</v>
      </c>
      <c r="Q1474">
        <v>43.6</v>
      </c>
      <c r="R1474">
        <v>18</v>
      </c>
      <c r="S1474">
        <v>18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18</v>
      </c>
      <c r="AA1474">
        <v>6</v>
      </c>
      <c r="AB1474">
        <v>0</v>
      </c>
      <c r="AD1474">
        <v>67.599999999999994</v>
      </c>
    </row>
    <row r="1475" spans="1:30" x14ac:dyDescent="0.3">
      <c r="A1475" s="4">
        <v>1490</v>
      </c>
      <c r="B1475" s="5">
        <v>1468</v>
      </c>
      <c r="C1475">
        <v>1023</v>
      </c>
      <c r="D1475" t="s">
        <v>3328</v>
      </c>
      <c r="E1475" t="s">
        <v>37</v>
      </c>
      <c r="F1475" t="s">
        <v>136</v>
      </c>
      <c r="G1475">
        <v>832734</v>
      </c>
      <c r="H1475" t="str">
        <f>"00222479"</f>
        <v>00222479</v>
      </c>
      <c r="I1475">
        <v>57.6</v>
      </c>
      <c r="J1475">
        <v>0</v>
      </c>
      <c r="M1475">
        <v>4</v>
      </c>
      <c r="N1475">
        <v>4</v>
      </c>
      <c r="O1475">
        <v>4</v>
      </c>
      <c r="P1475">
        <v>2</v>
      </c>
      <c r="Q1475">
        <v>67.599999999999994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 t="s">
        <v>130</v>
      </c>
      <c r="AD1475">
        <v>67.599999999999994</v>
      </c>
    </row>
    <row r="1476" spans="1:30" x14ac:dyDescent="0.3">
      <c r="A1476" s="4">
        <v>1491</v>
      </c>
      <c r="B1476" s="5">
        <v>1469</v>
      </c>
      <c r="C1476">
        <v>1645</v>
      </c>
      <c r="D1476" t="s">
        <v>3329</v>
      </c>
      <c r="E1476" t="s">
        <v>1426</v>
      </c>
      <c r="F1476" t="s">
        <v>117</v>
      </c>
      <c r="G1476" t="s">
        <v>3330</v>
      </c>
      <c r="H1476" t="str">
        <f>"00528458"</f>
        <v>00528458</v>
      </c>
      <c r="I1476">
        <v>57.6</v>
      </c>
      <c r="J1476">
        <v>0</v>
      </c>
      <c r="M1476">
        <v>4</v>
      </c>
      <c r="N1476">
        <v>4</v>
      </c>
      <c r="O1476">
        <v>4</v>
      </c>
      <c r="P1476">
        <v>2</v>
      </c>
      <c r="Q1476">
        <v>67.599999999999994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D1476">
        <v>67.599999999999994</v>
      </c>
    </row>
    <row r="1477" spans="1:30" x14ac:dyDescent="0.3">
      <c r="A1477" s="4">
        <v>1492</v>
      </c>
      <c r="B1477" s="5">
        <v>1470</v>
      </c>
      <c r="C1477">
        <v>1630</v>
      </c>
      <c r="D1477" t="s">
        <v>1613</v>
      </c>
      <c r="E1477" t="s">
        <v>3331</v>
      </c>
      <c r="F1477" t="s">
        <v>117</v>
      </c>
      <c r="G1477" t="s">
        <v>3332</v>
      </c>
      <c r="H1477" t="str">
        <f>"00546251"</f>
        <v>00546251</v>
      </c>
      <c r="I1477">
        <v>57.6</v>
      </c>
      <c r="J1477">
        <v>0</v>
      </c>
      <c r="M1477">
        <v>4</v>
      </c>
      <c r="N1477">
        <v>4</v>
      </c>
      <c r="O1477">
        <v>4</v>
      </c>
      <c r="P1477">
        <v>2</v>
      </c>
      <c r="Q1477">
        <v>67.599999999999994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D1477">
        <v>67.599999999999994</v>
      </c>
    </row>
    <row r="1478" spans="1:30" x14ac:dyDescent="0.3">
      <c r="A1478" s="4">
        <v>1493</v>
      </c>
      <c r="B1478" s="5">
        <v>1471</v>
      </c>
      <c r="C1478">
        <v>508</v>
      </c>
      <c r="D1478" t="s">
        <v>3333</v>
      </c>
      <c r="E1478" t="s">
        <v>255</v>
      </c>
      <c r="F1478" t="s">
        <v>38</v>
      </c>
      <c r="G1478" t="s">
        <v>3334</v>
      </c>
      <c r="H1478" t="str">
        <f>"00191879"</f>
        <v>00191879</v>
      </c>
      <c r="I1478">
        <v>57.6</v>
      </c>
      <c r="J1478">
        <v>0</v>
      </c>
      <c r="M1478">
        <v>4</v>
      </c>
      <c r="N1478">
        <v>4</v>
      </c>
      <c r="O1478">
        <v>4</v>
      </c>
      <c r="P1478">
        <v>2</v>
      </c>
      <c r="Q1478">
        <v>67.599999999999994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D1478">
        <v>67.599999999999994</v>
      </c>
    </row>
    <row r="1479" spans="1:30" x14ac:dyDescent="0.3">
      <c r="A1479" s="4">
        <v>1494</v>
      </c>
      <c r="B1479" s="5">
        <v>1472</v>
      </c>
      <c r="C1479">
        <v>3097</v>
      </c>
      <c r="D1479" t="s">
        <v>3335</v>
      </c>
      <c r="E1479" t="s">
        <v>738</v>
      </c>
      <c r="F1479" t="s">
        <v>55</v>
      </c>
      <c r="G1479" t="s">
        <v>3336</v>
      </c>
      <c r="H1479" t="str">
        <f>"00856283"</f>
        <v>00856283</v>
      </c>
      <c r="I1479">
        <v>57.6</v>
      </c>
      <c r="J1479">
        <v>0</v>
      </c>
      <c r="M1479">
        <v>4</v>
      </c>
      <c r="N1479">
        <v>4</v>
      </c>
      <c r="O1479">
        <v>4</v>
      </c>
      <c r="P1479">
        <v>2</v>
      </c>
      <c r="Q1479">
        <v>67.599999999999994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D1479">
        <v>67.599999999999994</v>
      </c>
    </row>
    <row r="1480" spans="1:30" x14ac:dyDescent="0.3">
      <c r="A1480" s="4">
        <v>1495</v>
      </c>
      <c r="B1480" s="5">
        <v>1473</v>
      </c>
      <c r="C1480">
        <v>1760</v>
      </c>
      <c r="D1480" t="s">
        <v>3337</v>
      </c>
      <c r="E1480" t="s">
        <v>3338</v>
      </c>
      <c r="F1480" t="s">
        <v>193</v>
      </c>
      <c r="G1480" t="s">
        <v>3339</v>
      </c>
      <c r="H1480" t="str">
        <f>"00859719"</f>
        <v>00859719</v>
      </c>
      <c r="I1480">
        <v>57.6</v>
      </c>
      <c r="J1480">
        <v>10</v>
      </c>
      <c r="N1480">
        <v>0</v>
      </c>
      <c r="O1480">
        <v>0</v>
      </c>
      <c r="P1480">
        <v>0</v>
      </c>
      <c r="Q1480">
        <v>67.599999999999994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D1480">
        <v>67.599999999999994</v>
      </c>
    </row>
    <row r="1481" spans="1:30" x14ac:dyDescent="0.3">
      <c r="A1481" s="4">
        <v>1496</v>
      </c>
      <c r="B1481" s="5">
        <v>1474</v>
      </c>
      <c r="C1481">
        <v>1268</v>
      </c>
      <c r="D1481" t="s">
        <v>3340</v>
      </c>
      <c r="E1481" t="s">
        <v>100</v>
      </c>
      <c r="F1481" t="s">
        <v>17</v>
      </c>
      <c r="G1481" t="s">
        <v>3341</v>
      </c>
      <c r="H1481" t="str">
        <f>"00528678"</f>
        <v>00528678</v>
      </c>
      <c r="I1481">
        <v>57.6</v>
      </c>
      <c r="J1481">
        <v>0</v>
      </c>
      <c r="M1481">
        <v>4</v>
      </c>
      <c r="N1481">
        <v>4</v>
      </c>
      <c r="O1481">
        <v>4</v>
      </c>
      <c r="P1481">
        <v>2</v>
      </c>
      <c r="Q1481">
        <v>67.599999999999994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D1481">
        <v>67.599999999999994</v>
      </c>
    </row>
    <row r="1482" spans="1:30" x14ac:dyDescent="0.3">
      <c r="A1482" s="4">
        <v>1497</v>
      </c>
      <c r="B1482" s="5">
        <v>1475</v>
      </c>
      <c r="C1482">
        <v>3817</v>
      </c>
      <c r="D1482" t="s">
        <v>3342</v>
      </c>
      <c r="E1482" t="s">
        <v>301</v>
      </c>
      <c r="F1482" t="s">
        <v>17</v>
      </c>
      <c r="G1482" t="s">
        <v>3343</v>
      </c>
      <c r="H1482" t="str">
        <f>"00609815"</f>
        <v>00609815</v>
      </c>
      <c r="I1482">
        <v>57.6</v>
      </c>
      <c r="J1482">
        <v>0</v>
      </c>
      <c r="M1482">
        <v>4</v>
      </c>
      <c r="N1482">
        <v>4</v>
      </c>
      <c r="O1482">
        <v>4</v>
      </c>
      <c r="P1482">
        <v>2</v>
      </c>
      <c r="Q1482">
        <v>67.599999999999994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D1482">
        <v>67.599999999999994</v>
      </c>
    </row>
    <row r="1483" spans="1:30" x14ac:dyDescent="0.3">
      <c r="A1483" s="4">
        <v>1498</v>
      </c>
      <c r="B1483" s="5">
        <v>1476</v>
      </c>
      <c r="C1483">
        <v>3985</v>
      </c>
      <c r="D1483" t="s">
        <v>3344</v>
      </c>
      <c r="E1483" t="s">
        <v>2150</v>
      </c>
      <c r="F1483" t="s">
        <v>17</v>
      </c>
      <c r="G1483" t="s">
        <v>3345</v>
      </c>
      <c r="H1483" t="str">
        <f>"00544218"</f>
        <v>00544218</v>
      </c>
      <c r="I1483">
        <v>57.6</v>
      </c>
      <c r="J1483">
        <v>0</v>
      </c>
      <c r="M1483">
        <v>4</v>
      </c>
      <c r="N1483">
        <v>4</v>
      </c>
      <c r="O1483">
        <v>4</v>
      </c>
      <c r="P1483">
        <v>2</v>
      </c>
      <c r="Q1483">
        <v>67.599999999999994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D1483">
        <v>67.599999999999994</v>
      </c>
    </row>
    <row r="1484" spans="1:30" x14ac:dyDescent="0.3">
      <c r="A1484" s="4">
        <v>1499</v>
      </c>
      <c r="B1484" s="5">
        <v>1477</v>
      </c>
      <c r="C1484">
        <v>781</v>
      </c>
      <c r="D1484" t="s">
        <v>3346</v>
      </c>
      <c r="E1484" t="s">
        <v>115</v>
      </c>
      <c r="F1484" t="s">
        <v>62</v>
      </c>
      <c r="G1484" t="s">
        <v>3347</v>
      </c>
      <c r="H1484" t="str">
        <f>"00566520"</f>
        <v>00566520</v>
      </c>
      <c r="I1484">
        <v>57.6</v>
      </c>
      <c r="J1484">
        <v>0</v>
      </c>
      <c r="M1484">
        <v>4</v>
      </c>
      <c r="N1484">
        <v>4</v>
      </c>
      <c r="O1484">
        <v>4</v>
      </c>
      <c r="P1484">
        <v>2</v>
      </c>
      <c r="Q1484">
        <v>67.599999999999994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D1484">
        <v>67.599999999999994</v>
      </c>
    </row>
    <row r="1485" spans="1:30" x14ac:dyDescent="0.3">
      <c r="A1485" s="4">
        <v>1500</v>
      </c>
      <c r="B1485" s="5">
        <v>1478</v>
      </c>
      <c r="C1485">
        <v>1783</v>
      </c>
      <c r="D1485" t="s">
        <v>3348</v>
      </c>
      <c r="E1485" t="s">
        <v>255</v>
      </c>
      <c r="F1485" t="s">
        <v>136</v>
      </c>
      <c r="G1485" t="s">
        <v>3349</v>
      </c>
      <c r="H1485" t="str">
        <f>"00558342"</f>
        <v>00558342</v>
      </c>
      <c r="I1485">
        <v>57.6</v>
      </c>
      <c r="J1485">
        <v>0</v>
      </c>
      <c r="M1485">
        <v>4</v>
      </c>
      <c r="N1485">
        <v>4</v>
      </c>
      <c r="O1485">
        <v>4</v>
      </c>
      <c r="P1485">
        <v>2</v>
      </c>
      <c r="Q1485">
        <v>67.599999999999994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D1485">
        <v>67.599999999999994</v>
      </c>
    </row>
    <row r="1486" spans="1:30" x14ac:dyDescent="0.3">
      <c r="A1486" s="4">
        <v>1501</v>
      </c>
      <c r="B1486" s="5">
        <v>1479</v>
      </c>
      <c r="C1486">
        <v>2211</v>
      </c>
      <c r="D1486" t="s">
        <v>3350</v>
      </c>
      <c r="E1486" t="s">
        <v>97</v>
      </c>
      <c r="F1486" t="s">
        <v>81</v>
      </c>
      <c r="G1486" t="s">
        <v>3351</v>
      </c>
      <c r="H1486" t="str">
        <f>"00560006"</f>
        <v>00560006</v>
      </c>
      <c r="I1486">
        <v>57.6</v>
      </c>
      <c r="J1486">
        <v>0</v>
      </c>
      <c r="M1486">
        <v>4</v>
      </c>
      <c r="N1486">
        <v>4</v>
      </c>
      <c r="O1486">
        <v>4</v>
      </c>
      <c r="P1486">
        <v>2</v>
      </c>
      <c r="Q1486">
        <v>67.599999999999994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D1486">
        <v>67.599999999999994</v>
      </c>
    </row>
    <row r="1487" spans="1:30" x14ac:dyDescent="0.3">
      <c r="A1487" s="4">
        <v>1502</v>
      </c>
      <c r="B1487" s="5">
        <v>1480</v>
      </c>
      <c r="C1487">
        <v>3225</v>
      </c>
      <c r="D1487" t="s">
        <v>3352</v>
      </c>
      <c r="E1487" t="s">
        <v>115</v>
      </c>
      <c r="F1487" t="s">
        <v>243</v>
      </c>
      <c r="G1487" t="s">
        <v>3353</v>
      </c>
      <c r="H1487" t="str">
        <f>"00191459"</f>
        <v>00191459</v>
      </c>
      <c r="I1487">
        <v>57.6</v>
      </c>
      <c r="J1487">
        <v>0</v>
      </c>
      <c r="M1487">
        <v>4</v>
      </c>
      <c r="N1487">
        <v>4</v>
      </c>
      <c r="O1487">
        <v>4</v>
      </c>
      <c r="P1487">
        <v>2</v>
      </c>
      <c r="Q1487">
        <v>67.599999999999994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D1487">
        <v>67.599999999999994</v>
      </c>
    </row>
    <row r="1488" spans="1:30" x14ac:dyDescent="0.3">
      <c r="A1488" s="4">
        <v>1503</v>
      </c>
      <c r="B1488" s="5">
        <v>1481</v>
      </c>
      <c r="C1488">
        <v>277</v>
      </c>
      <c r="D1488" t="s">
        <v>3354</v>
      </c>
      <c r="E1488" t="s">
        <v>29</v>
      </c>
      <c r="F1488" t="s">
        <v>1526</v>
      </c>
      <c r="G1488" t="s">
        <v>3355</v>
      </c>
      <c r="H1488" t="str">
        <f>"00529967"</f>
        <v>00529967</v>
      </c>
      <c r="I1488">
        <v>57.6</v>
      </c>
      <c r="J1488">
        <v>0</v>
      </c>
      <c r="K1488">
        <v>8</v>
      </c>
      <c r="N1488">
        <v>8</v>
      </c>
      <c r="O1488">
        <v>0</v>
      </c>
      <c r="P1488">
        <v>2</v>
      </c>
      <c r="Q1488">
        <v>67.599999999999994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 t="s">
        <v>130</v>
      </c>
      <c r="AD1488">
        <v>67.599999999999994</v>
      </c>
    </row>
    <row r="1489" spans="1:30" x14ac:dyDescent="0.3">
      <c r="A1489" s="4">
        <v>1504</v>
      </c>
      <c r="B1489" s="5">
        <v>1482</v>
      </c>
      <c r="C1489">
        <v>4421</v>
      </c>
      <c r="D1489" t="s">
        <v>3356</v>
      </c>
      <c r="E1489" t="s">
        <v>283</v>
      </c>
      <c r="F1489" t="s">
        <v>17</v>
      </c>
      <c r="G1489" t="s">
        <v>3357</v>
      </c>
      <c r="H1489" t="str">
        <f>"00862309"</f>
        <v>00862309</v>
      </c>
      <c r="I1489">
        <v>57.6</v>
      </c>
      <c r="J1489">
        <v>0</v>
      </c>
      <c r="L1489">
        <v>6</v>
      </c>
      <c r="N1489">
        <v>6</v>
      </c>
      <c r="O1489">
        <v>4</v>
      </c>
      <c r="P1489">
        <v>0</v>
      </c>
      <c r="Q1489">
        <v>67.599999999999994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D1489">
        <v>67.599999999999994</v>
      </c>
    </row>
    <row r="1490" spans="1:30" x14ac:dyDescent="0.3">
      <c r="A1490" s="4">
        <v>1505</v>
      </c>
      <c r="B1490" s="5">
        <v>1483</v>
      </c>
      <c r="C1490">
        <v>3846</v>
      </c>
      <c r="D1490" t="s">
        <v>3358</v>
      </c>
      <c r="E1490" t="s">
        <v>22</v>
      </c>
      <c r="F1490" t="s">
        <v>3359</v>
      </c>
      <c r="G1490" t="s">
        <v>3360</v>
      </c>
      <c r="H1490" t="str">
        <f>"00862861"</f>
        <v>00862861</v>
      </c>
      <c r="I1490">
        <v>57.6</v>
      </c>
      <c r="J1490">
        <v>0</v>
      </c>
      <c r="M1490">
        <v>4</v>
      </c>
      <c r="N1490">
        <v>4</v>
      </c>
      <c r="O1490">
        <v>4</v>
      </c>
      <c r="P1490">
        <v>2</v>
      </c>
      <c r="Q1490">
        <v>67.599999999999994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D1490">
        <v>67.599999999999994</v>
      </c>
    </row>
    <row r="1491" spans="1:30" x14ac:dyDescent="0.3">
      <c r="A1491" s="4">
        <v>1506</v>
      </c>
      <c r="B1491" s="5">
        <v>1484</v>
      </c>
      <c r="C1491">
        <v>4525</v>
      </c>
      <c r="D1491" t="s">
        <v>3361</v>
      </c>
      <c r="E1491" t="s">
        <v>33</v>
      </c>
      <c r="F1491" t="s">
        <v>17</v>
      </c>
      <c r="G1491" t="s">
        <v>3362</v>
      </c>
      <c r="H1491" t="str">
        <f>"00636921"</f>
        <v>00636921</v>
      </c>
      <c r="I1491">
        <v>57.6</v>
      </c>
      <c r="J1491">
        <v>10</v>
      </c>
      <c r="N1491">
        <v>0</v>
      </c>
      <c r="O1491">
        <v>0</v>
      </c>
      <c r="P1491">
        <v>0</v>
      </c>
      <c r="Q1491">
        <v>67.599999999999994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D1491">
        <v>67.599999999999994</v>
      </c>
    </row>
    <row r="1492" spans="1:30" x14ac:dyDescent="0.3">
      <c r="A1492" s="4">
        <v>1507</v>
      </c>
      <c r="B1492" s="5">
        <v>1485</v>
      </c>
      <c r="C1492">
        <v>421</v>
      </c>
      <c r="D1492" t="s">
        <v>3363</v>
      </c>
      <c r="E1492" t="s">
        <v>3364</v>
      </c>
      <c r="F1492" t="s">
        <v>3365</v>
      </c>
      <c r="G1492" t="s">
        <v>3366</v>
      </c>
      <c r="H1492" t="str">
        <f>"00557483"</f>
        <v>00557483</v>
      </c>
      <c r="I1492">
        <v>57.6</v>
      </c>
      <c r="J1492">
        <v>0</v>
      </c>
      <c r="M1492">
        <v>4</v>
      </c>
      <c r="N1492">
        <v>4</v>
      </c>
      <c r="O1492">
        <v>4</v>
      </c>
      <c r="P1492">
        <v>2</v>
      </c>
      <c r="Q1492">
        <v>67.599999999999994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D1492">
        <v>67.599999999999994</v>
      </c>
    </row>
    <row r="1493" spans="1:30" x14ac:dyDescent="0.3">
      <c r="A1493" s="4">
        <v>1508</v>
      </c>
      <c r="B1493" s="5">
        <v>1486</v>
      </c>
      <c r="C1493">
        <v>541</v>
      </c>
      <c r="D1493" t="s">
        <v>181</v>
      </c>
      <c r="E1493" t="s">
        <v>41</v>
      </c>
      <c r="F1493" t="s">
        <v>167</v>
      </c>
      <c r="G1493" t="s">
        <v>3367</v>
      </c>
      <c r="H1493" t="str">
        <f>"00697716"</f>
        <v>00697716</v>
      </c>
      <c r="I1493">
        <v>57.6</v>
      </c>
      <c r="J1493">
        <v>10</v>
      </c>
      <c r="N1493">
        <v>0</v>
      </c>
      <c r="O1493">
        <v>0</v>
      </c>
      <c r="P1493">
        <v>0</v>
      </c>
      <c r="Q1493">
        <v>67.599999999999994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D1493">
        <v>67.599999999999994</v>
      </c>
    </row>
    <row r="1494" spans="1:30" x14ac:dyDescent="0.3">
      <c r="A1494" s="4">
        <v>1509</v>
      </c>
      <c r="B1494" s="5">
        <v>1487</v>
      </c>
      <c r="C1494">
        <v>4273</v>
      </c>
      <c r="D1494" t="s">
        <v>3368</v>
      </c>
      <c r="E1494" t="s">
        <v>54</v>
      </c>
      <c r="F1494" t="s">
        <v>124</v>
      </c>
      <c r="G1494" t="s">
        <v>3369</v>
      </c>
      <c r="H1494" t="str">
        <f>"00858929"</f>
        <v>00858929</v>
      </c>
      <c r="I1494">
        <v>57.6</v>
      </c>
      <c r="J1494">
        <v>0</v>
      </c>
      <c r="M1494">
        <v>4</v>
      </c>
      <c r="N1494">
        <v>4</v>
      </c>
      <c r="O1494">
        <v>4</v>
      </c>
      <c r="P1494">
        <v>2</v>
      </c>
      <c r="Q1494">
        <v>67.599999999999994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D1494">
        <v>67.599999999999994</v>
      </c>
    </row>
    <row r="1495" spans="1:30" x14ac:dyDescent="0.3">
      <c r="A1495" s="4">
        <v>1510</v>
      </c>
      <c r="B1495" s="5">
        <v>1488</v>
      </c>
      <c r="C1495">
        <v>1957</v>
      </c>
      <c r="D1495" t="s">
        <v>3181</v>
      </c>
      <c r="E1495" t="s">
        <v>358</v>
      </c>
      <c r="F1495" t="s">
        <v>3370</v>
      </c>
      <c r="G1495" t="s">
        <v>3371</v>
      </c>
      <c r="H1495" t="str">
        <f>"00855696"</f>
        <v>00855696</v>
      </c>
      <c r="I1495">
        <v>57.6</v>
      </c>
      <c r="J1495">
        <v>0</v>
      </c>
      <c r="M1495">
        <v>4</v>
      </c>
      <c r="N1495">
        <v>4</v>
      </c>
      <c r="O1495">
        <v>4</v>
      </c>
      <c r="P1495">
        <v>2</v>
      </c>
      <c r="Q1495">
        <v>67.599999999999994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D1495">
        <v>67.599999999999994</v>
      </c>
    </row>
    <row r="1496" spans="1:30" x14ac:dyDescent="0.3">
      <c r="A1496" s="4">
        <v>1511</v>
      </c>
      <c r="B1496" s="5">
        <v>1489</v>
      </c>
      <c r="C1496">
        <v>1118</v>
      </c>
      <c r="D1496" t="s">
        <v>3372</v>
      </c>
      <c r="E1496" t="s">
        <v>744</v>
      </c>
      <c r="F1496" t="s">
        <v>62</v>
      </c>
      <c r="G1496" t="s">
        <v>3373</v>
      </c>
      <c r="H1496" t="str">
        <f>"00109598"</f>
        <v>00109598</v>
      </c>
      <c r="I1496">
        <v>57.6</v>
      </c>
      <c r="J1496">
        <v>0</v>
      </c>
      <c r="M1496">
        <v>4</v>
      </c>
      <c r="N1496">
        <v>4</v>
      </c>
      <c r="O1496">
        <v>4</v>
      </c>
      <c r="P1496">
        <v>2</v>
      </c>
      <c r="Q1496">
        <v>67.599999999999994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D1496">
        <v>67.599999999999994</v>
      </c>
    </row>
    <row r="1497" spans="1:30" x14ac:dyDescent="0.3">
      <c r="A1497" s="4">
        <v>1512</v>
      </c>
      <c r="B1497" s="5">
        <v>1490</v>
      </c>
      <c r="C1497">
        <v>4309</v>
      </c>
      <c r="D1497" t="s">
        <v>950</v>
      </c>
      <c r="E1497" t="s">
        <v>41</v>
      </c>
      <c r="F1497" t="s">
        <v>17</v>
      </c>
      <c r="G1497" t="s">
        <v>3374</v>
      </c>
      <c r="H1497" t="str">
        <f>"00528178"</f>
        <v>00528178</v>
      </c>
      <c r="I1497">
        <v>21.6</v>
      </c>
      <c r="J1497">
        <v>0</v>
      </c>
      <c r="M1497">
        <v>4</v>
      </c>
      <c r="N1497">
        <v>4</v>
      </c>
      <c r="O1497">
        <v>4</v>
      </c>
      <c r="P1497">
        <v>0</v>
      </c>
      <c r="Q1497">
        <v>29.6</v>
      </c>
      <c r="R1497">
        <v>38</v>
      </c>
      <c r="S1497">
        <v>38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38</v>
      </c>
      <c r="AA1497">
        <v>0</v>
      </c>
      <c r="AB1497">
        <v>0</v>
      </c>
      <c r="AD1497">
        <v>67.599999999999994</v>
      </c>
    </row>
    <row r="1498" spans="1:30" x14ac:dyDescent="0.3">
      <c r="A1498" s="4">
        <v>1513</v>
      </c>
      <c r="B1498" s="5">
        <v>1491</v>
      </c>
      <c r="C1498">
        <v>3981</v>
      </c>
      <c r="D1498" t="s">
        <v>3375</v>
      </c>
      <c r="E1498" t="s">
        <v>213</v>
      </c>
      <c r="F1498" t="s">
        <v>81</v>
      </c>
      <c r="G1498" t="s">
        <v>3376</v>
      </c>
      <c r="H1498" t="str">
        <f>"00041410"</f>
        <v>00041410</v>
      </c>
      <c r="I1498">
        <v>38.4</v>
      </c>
      <c r="J1498">
        <v>10</v>
      </c>
      <c r="M1498">
        <v>4</v>
      </c>
      <c r="N1498">
        <v>4</v>
      </c>
      <c r="O1498">
        <v>4</v>
      </c>
      <c r="P1498">
        <v>2</v>
      </c>
      <c r="Q1498">
        <v>58.4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9</v>
      </c>
      <c r="AB1498">
        <v>0</v>
      </c>
      <c r="AD1498">
        <v>67.400000000000006</v>
      </c>
    </row>
    <row r="1499" spans="1:30" x14ac:dyDescent="0.3">
      <c r="A1499" s="4">
        <v>1514</v>
      </c>
      <c r="B1499" s="5">
        <v>1492</v>
      </c>
      <c r="C1499">
        <v>3677</v>
      </c>
      <c r="D1499" t="s">
        <v>3377</v>
      </c>
      <c r="E1499" t="s">
        <v>3184</v>
      </c>
      <c r="F1499" t="s">
        <v>909</v>
      </c>
      <c r="G1499" t="s">
        <v>3378</v>
      </c>
      <c r="H1499" t="str">
        <f>"201511004434"</f>
        <v>201511004434</v>
      </c>
      <c r="I1499">
        <v>31.4</v>
      </c>
      <c r="J1499">
        <v>10</v>
      </c>
      <c r="N1499">
        <v>0</v>
      </c>
      <c r="O1499">
        <v>4</v>
      </c>
      <c r="P1499">
        <v>2</v>
      </c>
      <c r="Q1499">
        <v>47.4</v>
      </c>
      <c r="R1499">
        <v>14</v>
      </c>
      <c r="S1499">
        <v>14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14</v>
      </c>
      <c r="AA1499">
        <v>6</v>
      </c>
      <c r="AB1499">
        <v>0</v>
      </c>
      <c r="AD1499">
        <v>67.400000000000006</v>
      </c>
    </row>
    <row r="1500" spans="1:30" x14ac:dyDescent="0.3">
      <c r="A1500" s="4">
        <v>1515</v>
      </c>
      <c r="B1500" s="5">
        <v>1493</v>
      </c>
      <c r="C1500">
        <v>1265</v>
      </c>
      <c r="D1500" t="s">
        <v>3379</v>
      </c>
      <c r="E1500" t="s">
        <v>29</v>
      </c>
      <c r="F1500" t="s">
        <v>3380</v>
      </c>
      <c r="G1500" t="s">
        <v>3381</v>
      </c>
      <c r="H1500" t="str">
        <f>"00689196"</f>
        <v>00689196</v>
      </c>
      <c r="I1500">
        <v>50.4</v>
      </c>
      <c r="J1500">
        <v>0</v>
      </c>
      <c r="K1500">
        <v>8</v>
      </c>
      <c r="N1500">
        <v>8</v>
      </c>
      <c r="O1500">
        <v>4</v>
      </c>
      <c r="P1500">
        <v>2</v>
      </c>
      <c r="Q1500">
        <v>64.400000000000006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3</v>
      </c>
      <c r="AB1500">
        <v>0</v>
      </c>
      <c r="AD1500">
        <v>67.400000000000006</v>
      </c>
    </row>
    <row r="1501" spans="1:30" x14ac:dyDescent="0.3">
      <c r="A1501" s="4">
        <v>1516</v>
      </c>
      <c r="B1501" s="5">
        <v>1494</v>
      </c>
      <c r="C1501">
        <v>1631</v>
      </c>
      <c r="D1501" t="s">
        <v>3382</v>
      </c>
      <c r="E1501" t="s">
        <v>3383</v>
      </c>
      <c r="F1501" t="s">
        <v>375</v>
      </c>
      <c r="G1501" t="s">
        <v>3384</v>
      </c>
      <c r="H1501" t="str">
        <f>"00123402"</f>
        <v>00123402</v>
      </c>
      <c r="I1501">
        <v>50.4</v>
      </c>
      <c r="J1501">
        <v>10</v>
      </c>
      <c r="N1501">
        <v>0</v>
      </c>
      <c r="O1501">
        <v>4</v>
      </c>
      <c r="P1501">
        <v>0</v>
      </c>
      <c r="Q1501">
        <v>64.400000000000006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3</v>
      </c>
      <c r="AB1501">
        <v>0</v>
      </c>
      <c r="AD1501">
        <v>67.400000000000006</v>
      </c>
    </row>
    <row r="1502" spans="1:30" x14ac:dyDescent="0.3">
      <c r="A1502" s="4">
        <v>1517</v>
      </c>
      <c r="B1502" s="5">
        <v>1495</v>
      </c>
      <c r="C1502">
        <v>2970</v>
      </c>
      <c r="D1502" t="s">
        <v>3385</v>
      </c>
      <c r="E1502" t="s">
        <v>3386</v>
      </c>
      <c r="F1502" t="s">
        <v>117</v>
      </c>
      <c r="G1502" t="s">
        <v>3387</v>
      </c>
      <c r="H1502" t="str">
        <f>"00142749"</f>
        <v>00142749</v>
      </c>
      <c r="I1502">
        <v>50.4</v>
      </c>
      <c r="J1502">
        <v>0</v>
      </c>
      <c r="K1502">
        <v>8</v>
      </c>
      <c r="N1502">
        <v>8</v>
      </c>
      <c r="O1502">
        <v>4</v>
      </c>
      <c r="P1502">
        <v>2</v>
      </c>
      <c r="Q1502">
        <v>64.400000000000006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3</v>
      </c>
      <c r="AB1502">
        <v>0</v>
      </c>
      <c r="AC1502" t="s">
        <v>130</v>
      </c>
      <c r="AD1502">
        <v>67.400000000000006</v>
      </c>
    </row>
    <row r="1503" spans="1:30" x14ac:dyDescent="0.3">
      <c r="A1503" s="4">
        <v>1518</v>
      </c>
      <c r="B1503" s="5">
        <v>1496</v>
      </c>
      <c r="C1503">
        <v>1389</v>
      </c>
      <c r="D1503" t="s">
        <v>3388</v>
      </c>
      <c r="E1503" t="s">
        <v>479</v>
      </c>
      <c r="F1503" t="s">
        <v>81</v>
      </c>
      <c r="G1503" t="s">
        <v>3389</v>
      </c>
      <c r="H1503" t="str">
        <f>"00856253"</f>
        <v>00856253</v>
      </c>
      <c r="I1503">
        <v>50.4</v>
      </c>
      <c r="J1503">
        <v>0</v>
      </c>
      <c r="K1503">
        <v>8</v>
      </c>
      <c r="N1503">
        <v>8</v>
      </c>
      <c r="O1503">
        <v>4</v>
      </c>
      <c r="P1503">
        <v>2</v>
      </c>
      <c r="Q1503">
        <v>64.400000000000006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3</v>
      </c>
      <c r="AB1503">
        <v>0</v>
      </c>
      <c r="AD1503">
        <v>67.400000000000006</v>
      </c>
    </row>
    <row r="1504" spans="1:30" x14ac:dyDescent="0.3">
      <c r="A1504" s="4">
        <v>1519</v>
      </c>
      <c r="B1504" s="5">
        <v>1497</v>
      </c>
      <c r="C1504">
        <v>4001</v>
      </c>
      <c r="D1504" t="s">
        <v>3390</v>
      </c>
      <c r="E1504" t="s">
        <v>97</v>
      </c>
      <c r="F1504" t="s">
        <v>20</v>
      </c>
      <c r="G1504" t="s">
        <v>3391</v>
      </c>
      <c r="H1504" t="str">
        <f>"201604004089"</f>
        <v>201604004089</v>
      </c>
      <c r="I1504">
        <v>50.4</v>
      </c>
      <c r="J1504">
        <v>0</v>
      </c>
      <c r="K1504">
        <v>8</v>
      </c>
      <c r="N1504">
        <v>8</v>
      </c>
      <c r="O1504">
        <v>4</v>
      </c>
      <c r="P1504">
        <v>2</v>
      </c>
      <c r="Q1504">
        <v>64.400000000000006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3</v>
      </c>
      <c r="AB1504">
        <v>0</v>
      </c>
      <c r="AD1504">
        <v>67.400000000000006</v>
      </c>
    </row>
    <row r="1505" spans="1:30" x14ac:dyDescent="0.3">
      <c r="A1505" s="4">
        <v>1520</v>
      </c>
      <c r="B1505" s="5">
        <v>1498</v>
      </c>
      <c r="C1505">
        <v>1713</v>
      </c>
      <c r="D1505" t="s">
        <v>3392</v>
      </c>
      <c r="E1505" t="s">
        <v>738</v>
      </c>
      <c r="F1505" t="s">
        <v>81</v>
      </c>
      <c r="G1505" t="s">
        <v>3393</v>
      </c>
      <c r="H1505" t="str">
        <f>"00615402"</f>
        <v>00615402</v>
      </c>
      <c r="I1505">
        <v>50.4</v>
      </c>
      <c r="J1505">
        <v>0</v>
      </c>
      <c r="M1505">
        <v>8</v>
      </c>
      <c r="N1505">
        <v>8</v>
      </c>
      <c r="O1505">
        <v>4</v>
      </c>
      <c r="P1505">
        <v>2</v>
      </c>
      <c r="Q1505">
        <v>64.400000000000006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3</v>
      </c>
      <c r="AB1505">
        <v>0</v>
      </c>
      <c r="AD1505">
        <v>67.400000000000006</v>
      </c>
    </row>
    <row r="1506" spans="1:30" x14ac:dyDescent="0.3">
      <c r="A1506" s="4">
        <v>1521</v>
      </c>
      <c r="B1506" s="5">
        <v>1499</v>
      </c>
      <c r="C1506">
        <v>2154</v>
      </c>
      <c r="D1506" t="s">
        <v>3394</v>
      </c>
      <c r="E1506" t="s">
        <v>454</v>
      </c>
      <c r="F1506" t="s">
        <v>782</v>
      </c>
      <c r="G1506" t="s">
        <v>3395</v>
      </c>
      <c r="H1506" t="str">
        <f>"00500818"</f>
        <v>00500818</v>
      </c>
      <c r="I1506">
        <v>14.4</v>
      </c>
      <c r="J1506">
        <v>0</v>
      </c>
      <c r="K1506">
        <v>8</v>
      </c>
      <c r="N1506">
        <v>8</v>
      </c>
      <c r="O1506">
        <v>0</v>
      </c>
      <c r="P1506">
        <v>0</v>
      </c>
      <c r="Q1506">
        <v>22.4</v>
      </c>
      <c r="R1506">
        <v>45</v>
      </c>
      <c r="S1506">
        <v>45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45</v>
      </c>
      <c r="AA1506">
        <v>0</v>
      </c>
      <c r="AB1506">
        <v>0</v>
      </c>
      <c r="AD1506">
        <v>67.400000000000006</v>
      </c>
    </row>
    <row r="1507" spans="1:30" x14ac:dyDescent="0.3">
      <c r="A1507" s="4">
        <v>1522</v>
      </c>
      <c r="B1507" s="5">
        <v>1500</v>
      </c>
      <c r="C1507">
        <v>991</v>
      </c>
      <c r="D1507" t="s">
        <v>3396</v>
      </c>
      <c r="E1507" t="s">
        <v>182</v>
      </c>
      <c r="F1507" t="s">
        <v>62</v>
      </c>
      <c r="G1507" t="s">
        <v>3397</v>
      </c>
      <c r="H1507" t="str">
        <f>"00466048"</f>
        <v>00466048</v>
      </c>
      <c r="I1507">
        <v>43.2</v>
      </c>
      <c r="J1507">
        <v>10</v>
      </c>
      <c r="M1507">
        <v>4</v>
      </c>
      <c r="N1507">
        <v>4</v>
      </c>
      <c r="O1507">
        <v>4</v>
      </c>
      <c r="P1507">
        <v>0</v>
      </c>
      <c r="Q1507">
        <v>61.2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6</v>
      </c>
      <c r="AB1507">
        <v>0</v>
      </c>
      <c r="AD1507">
        <v>67.2</v>
      </c>
    </row>
    <row r="1508" spans="1:30" x14ac:dyDescent="0.3">
      <c r="A1508" s="4">
        <v>1523</v>
      </c>
      <c r="B1508" s="5">
        <v>1501</v>
      </c>
      <c r="C1508">
        <v>889</v>
      </c>
      <c r="D1508" t="s">
        <v>3398</v>
      </c>
      <c r="E1508" t="s">
        <v>29</v>
      </c>
      <c r="F1508" t="s">
        <v>3399</v>
      </c>
      <c r="G1508" t="s">
        <v>3400</v>
      </c>
      <c r="H1508" t="str">
        <f>"00354813"</f>
        <v>00354813</v>
      </c>
      <c r="I1508">
        <v>43.2</v>
      </c>
      <c r="J1508">
        <v>10</v>
      </c>
      <c r="M1508">
        <v>4</v>
      </c>
      <c r="N1508">
        <v>4</v>
      </c>
      <c r="O1508">
        <v>4</v>
      </c>
      <c r="P1508">
        <v>0</v>
      </c>
      <c r="Q1508">
        <v>61.2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6</v>
      </c>
      <c r="AB1508">
        <v>0</v>
      </c>
      <c r="AD1508">
        <v>67.2</v>
      </c>
    </row>
    <row r="1509" spans="1:30" x14ac:dyDescent="0.3">
      <c r="A1509" s="4">
        <v>1524</v>
      </c>
      <c r="B1509" s="5">
        <v>1502</v>
      </c>
      <c r="C1509">
        <v>3139</v>
      </c>
      <c r="D1509" t="s">
        <v>3401</v>
      </c>
      <c r="E1509" t="s">
        <v>219</v>
      </c>
      <c r="F1509" t="s">
        <v>782</v>
      </c>
      <c r="G1509" t="s">
        <v>3402</v>
      </c>
      <c r="H1509" t="str">
        <f>"00503580"</f>
        <v>00503580</v>
      </c>
      <c r="I1509">
        <v>43.2</v>
      </c>
      <c r="J1509">
        <v>10</v>
      </c>
      <c r="M1509">
        <v>4</v>
      </c>
      <c r="N1509">
        <v>4</v>
      </c>
      <c r="O1509">
        <v>4</v>
      </c>
      <c r="P1509">
        <v>0</v>
      </c>
      <c r="Q1509">
        <v>61.2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6</v>
      </c>
      <c r="AB1509">
        <v>0</v>
      </c>
      <c r="AD1509">
        <v>67.2</v>
      </c>
    </row>
    <row r="1510" spans="1:30" x14ac:dyDescent="0.3">
      <c r="A1510" s="4">
        <v>1525</v>
      </c>
      <c r="B1510" s="5">
        <v>1503</v>
      </c>
      <c r="C1510">
        <v>1769</v>
      </c>
      <c r="D1510" t="s">
        <v>2453</v>
      </c>
      <c r="E1510" t="s">
        <v>100</v>
      </c>
      <c r="F1510" t="s">
        <v>117</v>
      </c>
      <c r="G1510" t="s">
        <v>3403</v>
      </c>
      <c r="H1510" t="str">
        <f>"00093652"</f>
        <v>00093652</v>
      </c>
      <c r="I1510">
        <v>7.2</v>
      </c>
      <c r="J1510">
        <v>10</v>
      </c>
      <c r="N1510">
        <v>0</v>
      </c>
      <c r="O1510">
        <v>4</v>
      </c>
      <c r="P1510">
        <v>2</v>
      </c>
      <c r="Q1510">
        <v>23.2</v>
      </c>
      <c r="R1510">
        <v>41</v>
      </c>
      <c r="S1510">
        <v>41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41</v>
      </c>
      <c r="AA1510">
        <v>3</v>
      </c>
      <c r="AB1510">
        <v>0</v>
      </c>
      <c r="AD1510">
        <v>67.2</v>
      </c>
    </row>
    <row r="1511" spans="1:30" x14ac:dyDescent="0.3">
      <c r="A1511" s="4">
        <v>1526</v>
      </c>
      <c r="B1511" s="5">
        <v>1504</v>
      </c>
      <c r="C1511">
        <v>4679</v>
      </c>
      <c r="D1511" t="s">
        <v>3404</v>
      </c>
      <c r="E1511" t="s">
        <v>26</v>
      </c>
      <c r="F1511" t="s">
        <v>17</v>
      </c>
      <c r="G1511" t="s">
        <v>3405</v>
      </c>
      <c r="H1511" t="str">
        <f>"00512241"</f>
        <v>00512241</v>
      </c>
      <c r="I1511">
        <v>7.2</v>
      </c>
      <c r="J1511">
        <v>0</v>
      </c>
      <c r="K1511">
        <v>8</v>
      </c>
      <c r="N1511">
        <v>8</v>
      </c>
      <c r="O1511">
        <v>4</v>
      </c>
      <c r="P1511">
        <v>0</v>
      </c>
      <c r="Q1511">
        <v>19.2</v>
      </c>
      <c r="R1511">
        <v>45</v>
      </c>
      <c r="S1511">
        <v>45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45</v>
      </c>
      <c r="AA1511">
        <v>3</v>
      </c>
      <c r="AB1511">
        <v>0</v>
      </c>
      <c r="AD1511">
        <v>67.2</v>
      </c>
    </row>
    <row r="1512" spans="1:30" x14ac:dyDescent="0.3">
      <c r="A1512" s="4">
        <v>1527</v>
      </c>
      <c r="B1512" s="5">
        <v>1505</v>
      </c>
      <c r="C1512">
        <v>4202</v>
      </c>
      <c r="D1512" t="s">
        <v>3406</v>
      </c>
      <c r="E1512" t="s">
        <v>97</v>
      </c>
      <c r="F1512" t="s">
        <v>17</v>
      </c>
      <c r="G1512" t="s">
        <v>3407</v>
      </c>
      <c r="H1512" t="str">
        <f>"00723727"</f>
        <v>00723727</v>
      </c>
      <c r="I1512">
        <v>43.2</v>
      </c>
      <c r="J1512">
        <v>10</v>
      </c>
      <c r="K1512">
        <v>8</v>
      </c>
      <c r="N1512">
        <v>8</v>
      </c>
      <c r="O1512">
        <v>4</v>
      </c>
      <c r="P1512">
        <v>2</v>
      </c>
      <c r="Q1512">
        <v>67.2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D1512">
        <v>67.2</v>
      </c>
    </row>
    <row r="1513" spans="1:30" x14ac:dyDescent="0.3">
      <c r="A1513" s="4">
        <v>1528</v>
      </c>
      <c r="B1513" s="5">
        <v>1506</v>
      </c>
      <c r="C1513">
        <v>1448</v>
      </c>
      <c r="D1513" t="s">
        <v>3408</v>
      </c>
      <c r="E1513" t="s">
        <v>54</v>
      </c>
      <c r="F1513" t="s">
        <v>17</v>
      </c>
      <c r="G1513" t="s">
        <v>3409</v>
      </c>
      <c r="H1513" t="str">
        <f>"00107099"</f>
        <v>00107099</v>
      </c>
      <c r="I1513">
        <v>43.2</v>
      </c>
      <c r="J1513">
        <v>0</v>
      </c>
      <c r="N1513">
        <v>0</v>
      </c>
      <c r="O1513">
        <v>4</v>
      </c>
      <c r="P1513">
        <v>0</v>
      </c>
      <c r="Q1513">
        <v>47.2</v>
      </c>
      <c r="R1513">
        <v>20</v>
      </c>
      <c r="S1513">
        <v>20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20</v>
      </c>
      <c r="AA1513">
        <v>0</v>
      </c>
      <c r="AB1513">
        <v>0</v>
      </c>
      <c r="AD1513">
        <v>67.2</v>
      </c>
    </row>
    <row r="1514" spans="1:30" x14ac:dyDescent="0.3">
      <c r="A1514" s="4">
        <v>1529</v>
      </c>
      <c r="B1514" s="5">
        <v>1507</v>
      </c>
      <c r="C1514">
        <v>3280</v>
      </c>
      <c r="D1514" t="s">
        <v>3410</v>
      </c>
      <c r="E1514" t="s">
        <v>342</v>
      </c>
      <c r="F1514" t="s">
        <v>136</v>
      </c>
      <c r="G1514" t="s">
        <v>3411</v>
      </c>
      <c r="H1514" t="str">
        <f>"201511015199"</f>
        <v>201511015199</v>
      </c>
      <c r="I1514">
        <v>40</v>
      </c>
      <c r="J1514">
        <v>10</v>
      </c>
      <c r="M1514">
        <v>4</v>
      </c>
      <c r="N1514">
        <v>4</v>
      </c>
      <c r="O1514">
        <v>4</v>
      </c>
      <c r="P1514">
        <v>0</v>
      </c>
      <c r="Q1514">
        <v>58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9</v>
      </c>
      <c r="AB1514">
        <v>0</v>
      </c>
      <c r="AD1514">
        <v>67</v>
      </c>
    </row>
    <row r="1515" spans="1:30" x14ac:dyDescent="0.3">
      <c r="A1515" s="4">
        <v>1530</v>
      </c>
      <c r="B1515" s="5">
        <v>1508</v>
      </c>
      <c r="C1515">
        <v>765</v>
      </c>
      <c r="D1515" t="s">
        <v>3412</v>
      </c>
      <c r="E1515" t="s">
        <v>54</v>
      </c>
      <c r="F1515" t="s">
        <v>343</v>
      </c>
      <c r="G1515" t="s">
        <v>31995</v>
      </c>
      <c r="H1515" t="str">
        <f>"201209000004"</f>
        <v>201209000004</v>
      </c>
      <c r="I1515">
        <v>16</v>
      </c>
      <c r="J1515">
        <v>10</v>
      </c>
      <c r="K1515">
        <v>8</v>
      </c>
      <c r="N1515">
        <v>8</v>
      </c>
      <c r="O1515">
        <v>4</v>
      </c>
      <c r="P1515">
        <v>2</v>
      </c>
      <c r="Q1515">
        <v>40</v>
      </c>
      <c r="R1515">
        <v>21</v>
      </c>
      <c r="S1515">
        <v>21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21</v>
      </c>
      <c r="AA1515">
        <v>6</v>
      </c>
      <c r="AB1515">
        <v>0</v>
      </c>
      <c r="AD1515">
        <v>67</v>
      </c>
    </row>
    <row r="1516" spans="1:30" x14ac:dyDescent="0.3">
      <c r="A1516" s="4">
        <v>1531</v>
      </c>
      <c r="B1516" s="5">
        <v>1509</v>
      </c>
      <c r="C1516">
        <v>2712</v>
      </c>
      <c r="D1516" t="s">
        <v>3413</v>
      </c>
      <c r="E1516" t="s">
        <v>789</v>
      </c>
      <c r="F1516" t="s">
        <v>62</v>
      </c>
      <c r="G1516" t="s">
        <v>3414</v>
      </c>
      <c r="H1516" t="str">
        <f>"00163656"</f>
        <v>00163656</v>
      </c>
      <c r="I1516">
        <v>16</v>
      </c>
      <c r="J1516">
        <v>10</v>
      </c>
      <c r="N1516">
        <v>0</v>
      </c>
      <c r="O1516">
        <v>0</v>
      </c>
      <c r="P1516">
        <v>2</v>
      </c>
      <c r="Q1516">
        <v>28</v>
      </c>
      <c r="R1516">
        <v>33</v>
      </c>
      <c r="S1516">
        <v>33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33</v>
      </c>
      <c r="AA1516">
        <v>6</v>
      </c>
      <c r="AB1516">
        <v>0</v>
      </c>
      <c r="AD1516">
        <v>67</v>
      </c>
    </row>
    <row r="1517" spans="1:30" x14ac:dyDescent="0.3">
      <c r="A1517" s="4">
        <v>1532</v>
      </c>
      <c r="B1517" s="5">
        <v>1510</v>
      </c>
      <c r="C1517">
        <v>645</v>
      </c>
      <c r="D1517" t="s">
        <v>3415</v>
      </c>
      <c r="E1517" t="s">
        <v>2838</v>
      </c>
      <c r="F1517" t="s">
        <v>892</v>
      </c>
      <c r="G1517" t="s">
        <v>3416</v>
      </c>
      <c r="H1517" t="str">
        <f>"201402002861"</f>
        <v>201402002861</v>
      </c>
      <c r="I1517">
        <v>40</v>
      </c>
      <c r="J1517">
        <v>10</v>
      </c>
      <c r="M1517">
        <v>8</v>
      </c>
      <c r="N1517">
        <v>8</v>
      </c>
      <c r="O1517">
        <v>4</v>
      </c>
      <c r="P1517">
        <v>2</v>
      </c>
      <c r="Q1517">
        <v>64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3</v>
      </c>
      <c r="AB1517">
        <v>0</v>
      </c>
      <c r="AD1517">
        <v>67</v>
      </c>
    </row>
    <row r="1518" spans="1:30" x14ac:dyDescent="0.3">
      <c r="A1518" s="4">
        <v>1533</v>
      </c>
      <c r="B1518" s="5">
        <v>1511</v>
      </c>
      <c r="C1518">
        <v>4741</v>
      </c>
      <c r="D1518" t="s">
        <v>2609</v>
      </c>
      <c r="E1518" t="s">
        <v>188</v>
      </c>
      <c r="F1518" t="s">
        <v>136</v>
      </c>
      <c r="G1518" t="s">
        <v>3417</v>
      </c>
      <c r="H1518" t="str">
        <f>"00620235"</f>
        <v>00620235</v>
      </c>
      <c r="I1518">
        <v>40</v>
      </c>
      <c r="J1518">
        <v>10</v>
      </c>
      <c r="K1518">
        <v>8</v>
      </c>
      <c r="N1518">
        <v>8</v>
      </c>
      <c r="O1518">
        <v>4</v>
      </c>
      <c r="P1518">
        <v>2</v>
      </c>
      <c r="Q1518">
        <v>64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3</v>
      </c>
      <c r="AB1518">
        <v>0</v>
      </c>
      <c r="AD1518">
        <v>67</v>
      </c>
    </row>
    <row r="1519" spans="1:30" x14ac:dyDescent="0.3">
      <c r="A1519" s="4">
        <v>1534</v>
      </c>
      <c r="B1519" s="5">
        <v>1512</v>
      </c>
      <c r="C1519">
        <v>1279</v>
      </c>
      <c r="D1519" t="s">
        <v>3418</v>
      </c>
      <c r="E1519" t="s">
        <v>166</v>
      </c>
      <c r="F1519" t="s">
        <v>124</v>
      </c>
      <c r="G1519" t="s">
        <v>3419</v>
      </c>
      <c r="H1519" t="str">
        <f>"00513845"</f>
        <v>00513845</v>
      </c>
      <c r="I1519">
        <v>22.92</v>
      </c>
      <c r="J1519">
        <v>10</v>
      </c>
      <c r="N1519">
        <v>0</v>
      </c>
      <c r="O1519">
        <v>0</v>
      </c>
      <c r="P1519">
        <v>0</v>
      </c>
      <c r="Q1519">
        <v>32.92</v>
      </c>
      <c r="R1519">
        <v>28</v>
      </c>
      <c r="S1519">
        <v>28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28</v>
      </c>
      <c r="AA1519">
        <v>6</v>
      </c>
      <c r="AB1519">
        <v>0</v>
      </c>
      <c r="AD1519">
        <v>66.92</v>
      </c>
    </row>
    <row r="1520" spans="1:30" x14ac:dyDescent="0.3">
      <c r="A1520" s="4">
        <v>1535</v>
      </c>
      <c r="B1520" s="5">
        <v>1513</v>
      </c>
      <c r="C1520">
        <v>204</v>
      </c>
      <c r="D1520" t="s">
        <v>3420</v>
      </c>
      <c r="E1520" t="s">
        <v>1508</v>
      </c>
      <c r="F1520" t="s">
        <v>101</v>
      </c>
      <c r="G1520" t="s">
        <v>3421</v>
      </c>
      <c r="H1520" t="str">
        <f>"00234539"</f>
        <v>00234539</v>
      </c>
      <c r="I1520">
        <v>36.880000000000003</v>
      </c>
      <c r="J1520">
        <v>10</v>
      </c>
      <c r="K1520">
        <v>8</v>
      </c>
      <c r="N1520">
        <v>8</v>
      </c>
      <c r="O1520">
        <v>4</v>
      </c>
      <c r="P1520">
        <v>2</v>
      </c>
      <c r="Q1520">
        <v>60.88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6</v>
      </c>
      <c r="AB1520">
        <v>0</v>
      </c>
      <c r="AD1520">
        <v>66.88</v>
      </c>
    </row>
    <row r="1521" spans="1:30" x14ac:dyDescent="0.3">
      <c r="A1521" s="4">
        <v>1536</v>
      </c>
      <c r="B1521" s="5">
        <v>1514</v>
      </c>
      <c r="C1521">
        <v>393</v>
      </c>
      <c r="D1521" t="s">
        <v>236</v>
      </c>
      <c r="E1521" t="s">
        <v>132</v>
      </c>
      <c r="F1521" t="s">
        <v>136</v>
      </c>
      <c r="G1521" t="s">
        <v>3422</v>
      </c>
      <c r="H1521" t="str">
        <f>"201511008658"</f>
        <v>201511008658</v>
      </c>
      <c r="I1521">
        <v>33.840000000000003</v>
      </c>
      <c r="J1521">
        <v>10</v>
      </c>
      <c r="N1521">
        <v>0</v>
      </c>
      <c r="O1521">
        <v>4</v>
      </c>
      <c r="P1521">
        <v>2</v>
      </c>
      <c r="Q1521">
        <v>49.84</v>
      </c>
      <c r="R1521">
        <v>14</v>
      </c>
      <c r="S1521">
        <v>14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14</v>
      </c>
      <c r="AA1521">
        <v>3</v>
      </c>
      <c r="AB1521">
        <v>0</v>
      </c>
      <c r="AD1521">
        <v>66.84</v>
      </c>
    </row>
    <row r="1522" spans="1:30" x14ac:dyDescent="0.3">
      <c r="A1522" s="4">
        <v>1537</v>
      </c>
      <c r="B1522" s="5">
        <v>1515</v>
      </c>
      <c r="C1522">
        <v>2080</v>
      </c>
      <c r="D1522" t="s">
        <v>3423</v>
      </c>
      <c r="E1522" t="s">
        <v>29</v>
      </c>
      <c r="F1522" t="s">
        <v>81</v>
      </c>
      <c r="G1522" t="s">
        <v>3424</v>
      </c>
      <c r="H1522" t="str">
        <f>"201401002341"</f>
        <v>201401002341</v>
      </c>
      <c r="I1522">
        <v>28.8</v>
      </c>
      <c r="J1522">
        <v>0</v>
      </c>
      <c r="K1522">
        <v>8</v>
      </c>
      <c r="N1522">
        <v>8</v>
      </c>
      <c r="O1522">
        <v>4</v>
      </c>
      <c r="P1522">
        <v>2</v>
      </c>
      <c r="Q1522">
        <v>42.8</v>
      </c>
      <c r="R1522">
        <v>18</v>
      </c>
      <c r="S1522">
        <v>18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18</v>
      </c>
      <c r="AA1522">
        <v>6</v>
      </c>
      <c r="AB1522">
        <v>0</v>
      </c>
      <c r="AD1522">
        <v>66.8</v>
      </c>
    </row>
    <row r="1523" spans="1:30" x14ac:dyDescent="0.3">
      <c r="A1523" s="4">
        <v>1538</v>
      </c>
      <c r="B1523" s="5">
        <v>1516</v>
      </c>
      <c r="C1523">
        <v>572</v>
      </c>
      <c r="D1523" t="s">
        <v>3425</v>
      </c>
      <c r="E1523" t="s">
        <v>26</v>
      </c>
      <c r="F1523" t="s">
        <v>385</v>
      </c>
      <c r="G1523" t="s">
        <v>3426</v>
      </c>
      <c r="H1523" t="str">
        <f>"00225375"</f>
        <v>00225375</v>
      </c>
      <c r="I1523">
        <v>28.8</v>
      </c>
      <c r="J1523">
        <v>0</v>
      </c>
      <c r="M1523">
        <v>4</v>
      </c>
      <c r="N1523">
        <v>4</v>
      </c>
      <c r="O1523">
        <v>4</v>
      </c>
      <c r="P1523">
        <v>2</v>
      </c>
      <c r="Q1523">
        <v>38.799999999999997</v>
      </c>
      <c r="R1523">
        <v>22</v>
      </c>
      <c r="S1523">
        <v>22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22</v>
      </c>
      <c r="AA1523">
        <v>6</v>
      </c>
      <c r="AB1523">
        <v>0</v>
      </c>
      <c r="AD1523">
        <v>66.8</v>
      </c>
    </row>
    <row r="1524" spans="1:30" x14ac:dyDescent="0.3">
      <c r="A1524" s="4">
        <v>1539</v>
      </c>
      <c r="B1524" s="5">
        <v>1517</v>
      </c>
      <c r="C1524">
        <v>1281</v>
      </c>
      <c r="D1524" t="s">
        <v>1630</v>
      </c>
      <c r="E1524" t="s">
        <v>29</v>
      </c>
      <c r="F1524" t="s">
        <v>1526</v>
      </c>
      <c r="G1524" t="s">
        <v>3427</v>
      </c>
      <c r="H1524" t="str">
        <f>"00533003"</f>
        <v>00533003</v>
      </c>
      <c r="I1524">
        <v>20.8</v>
      </c>
      <c r="J1524">
        <v>10</v>
      </c>
      <c r="L1524">
        <v>6</v>
      </c>
      <c r="N1524">
        <v>6</v>
      </c>
      <c r="O1524">
        <v>4</v>
      </c>
      <c r="P1524">
        <v>2</v>
      </c>
      <c r="Q1524">
        <v>42.8</v>
      </c>
      <c r="R1524">
        <v>15</v>
      </c>
      <c r="S1524">
        <v>15</v>
      </c>
      <c r="T1524">
        <v>3</v>
      </c>
      <c r="U1524">
        <v>6</v>
      </c>
      <c r="V1524">
        <v>0</v>
      </c>
      <c r="W1524">
        <v>0</v>
      </c>
      <c r="X1524">
        <v>0</v>
      </c>
      <c r="Y1524">
        <v>0</v>
      </c>
      <c r="Z1524">
        <v>21</v>
      </c>
      <c r="AA1524">
        <v>3</v>
      </c>
      <c r="AB1524">
        <v>0</v>
      </c>
      <c r="AD1524">
        <v>66.8</v>
      </c>
    </row>
    <row r="1525" spans="1:30" x14ac:dyDescent="0.3">
      <c r="A1525" s="4">
        <v>1540</v>
      </c>
      <c r="B1525" s="5">
        <v>1518</v>
      </c>
      <c r="C1525">
        <v>4105</v>
      </c>
      <c r="D1525" t="s">
        <v>3428</v>
      </c>
      <c r="E1525" t="s">
        <v>161</v>
      </c>
      <c r="F1525" t="s">
        <v>30</v>
      </c>
      <c r="G1525" t="s">
        <v>3429</v>
      </c>
      <c r="H1525" t="str">
        <f>"00858647"</f>
        <v>00858647</v>
      </c>
      <c r="I1525">
        <v>64.8</v>
      </c>
      <c r="J1525">
        <v>0</v>
      </c>
      <c r="N1525">
        <v>0</v>
      </c>
      <c r="O1525">
        <v>0</v>
      </c>
      <c r="P1525">
        <v>2</v>
      </c>
      <c r="Q1525">
        <v>66.8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D1525">
        <v>66.8</v>
      </c>
    </row>
    <row r="1526" spans="1:30" x14ac:dyDescent="0.3">
      <c r="A1526" s="4">
        <v>1541</v>
      </c>
      <c r="B1526" s="5">
        <v>1519</v>
      </c>
      <c r="C1526">
        <v>477</v>
      </c>
      <c r="D1526" t="s">
        <v>3430</v>
      </c>
      <c r="E1526" t="s">
        <v>41</v>
      </c>
      <c r="F1526" t="s">
        <v>20</v>
      </c>
      <c r="G1526" t="s">
        <v>3431</v>
      </c>
      <c r="H1526" t="str">
        <f>"00856436"</f>
        <v>00856436</v>
      </c>
      <c r="I1526">
        <v>64.8</v>
      </c>
      <c r="J1526">
        <v>0</v>
      </c>
      <c r="N1526">
        <v>0</v>
      </c>
      <c r="O1526">
        <v>0</v>
      </c>
      <c r="P1526">
        <v>2</v>
      </c>
      <c r="Q1526">
        <v>66.8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D1526">
        <v>66.8</v>
      </c>
    </row>
    <row r="1527" spans="1:30" x14ac:dyDescent="0.3">
      <c r="A1527" s="4">
        <v>1542</v>
      </c>
      <c r="B1527" s="5">
        <v>1520</v>
      </c>
      <c r="C1527">
        <v>3129</v>
      </c>
      <c r="D1527" t="s">
        <v>3432</v>
      </c>
      <c r="E1527" t="s">
        <v>213</v>
      </c>
      <c r="F1527" t="s">
        <v>626</v>
      </c>
      <c r="G1527" t="s">
        <v>3433</v>
      </c>
      <c r="H1527" t="str">
        <f>"201406012890"</f>
        <v>201406012890</v>
      </c>
      <c r="I1527">
        <v>28.8</v>
      </c>
      <c r="J1527">
        <v>10</v>
      </c>
      <c r="M1527">
        <v>4</v>
      </c>
      <c r="N1527">
        <v>4</v>
      </c>
      <c r="O1527">
        <v>4</v>
      </c>
      <c r="P1527">
        <v>2</v>
      </c>
      <c r="Q1527">
        <v>48.8</v>
      </c>
      <c r="R1527">
        <v>18</v>
      </c>
      <c r="S1527">
        <v>18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18</v>
      </c>
      <c r="AA1527">
        <v>0</v>
      </c>
      <c r="AB1527">
        <v>0</v>
      </c>
      <c r="AD1527">
        <v>66.8</v>
      </c>
    </row>
    <row r="1528" spans="1:30" x14ac:dyDescent="0.3">
      <c r="A1528" s="4">
        <v>1543</v>
      </c>
      <c r="B1528" s="5">
        <v>1521</v>
      </c>
      <c r="C1528">
        <v>764</v>
      </c>
      <c r="D1528" t="s">
        <v>3434</v>
      </c>
      <c r="E1528" t="s">
        <v>41</v>
      </c>
      <c r="F1528" t="s">
        <v>17</v>
      </c>
      <c r="G1528" t="s">
        <v>3435</v>
      </c>
      <c r="H1528" t="str">
        <f>"00326154"</f>
        <v>00326154</v>
      </c>
      <c r="I1528">
        <v>57.6</v>
      </c>
      <c r="J1528">
        <v>0</v>
      </c>
      <c r="N1528">
        <v>0</v>
      </c>
      <c r="O1528">
        <v>0</v>
      </c>
      <c r="P1528">
        <v>0</v>
      </c>
      <c r="Q1528">
        <v>57.6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9</v>
      </c>
      <c r="AB1528">
        <v>0</v>
      </c>
      <c r="AD1528">
        <v>66.599999999999994</v>
      </c>
    </row>
    <row r="1529" spans="1:30" x14ac:dyDescent="0.3">
      <c r="A1529" s="4">
        <v>1544</v>
      </c>
      <c r="B1529" s="5">
        <v>1522</v>
      </c>
      <c r="C1529">
        <v>2456</v>
      </c>
      <c r="D1529" t="s">
        <v>3436</v>
      </c>
      <c r="E1529" t="s">
        <v>471</v>
      </c>
      <c r="F1529" t="s">
        <v>238</v>
      </c>
      <c r="G1529" t="s">
        <v>3437</v>
      </c>
      <c r="H1529" t="str">
        <f>"00247302"</f>
        <v>00247302</v>
      </c>
      <c r="I1529">
        <v>37.6</v>
      </c>
      <c r="J1529">
        <v>10</v>
      </c>
      <c r="M1529">
        <v>4</v>
      </c>
      <c r="N1529">
        <v>4</v>
      </c>
      <c r="O1529">
        <v>4</v>
      </c>
      <c r="P1529">
        <v>2</v>
      </c>
      <c r="Q1529">
        <v>57.6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9</v>
      </c>
      <c r="AB1529">
        <v>0</v>
      </c>
      <c r="AD1529">
        <v>66.599999999999994</v>
      </c>
    </row>
    <row r="1530" spans="1:30" x14ac:dyDescent="0.3">
      <c r="A1530" s="4">
        <v>1545</v>
      </c>
      <c r="B1530" s="5">
        <v>1523</v>
      </c>
      <c r="C1530">
        <v>4347</v>
      </c>
      <c r="D1530" t="s">
        <v>3438</v>
      </c>
      <c r="E1530" t="s">
        <v>338</v>
      </c>
      <c r="F1530" t="s">
        <v>3439</v>
      </c>
      <c r="G1530" t="s">
        <v>3440</v>
      </c>
      <c r="H1530" t="str">
        <f>"00196543"</f>
        <v>00196543</v>
      </c>
      <c r="I1530">
        <v>57.6</v>
      </c>
      <c r="J1530">
        <v>0</v>
      </c>
      <c r="N1530">
        <v>0</v>
      </c>
      <c r="O1530">
        <v>4</v>
      </c>
      <c r="P1530">
        <v>2</v>
      </c>
      <c r="Q1530">
        <v>63.6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3</v>
      </c>
      <c r="AB1530">
        <v>0</v>
      </c>
      <c r="AD1530">
        <v>66.599999999999994</v>
      </c>
    </row>
    <row r="1531" spans="1:30" x14ac:dyDescent="0.3">
      <c r="A1531" s="4">
        <v>1546</v>
      </c>
      <c r="B1531" s="5">
        <v>1524</v>
      </c>
      <c r="C1531">
        <v>4784</v>
      </c>
      <c r="D1531" t="s">
        <v>3441</v>
      </c>
      <c r="E1531" t="s">
        <v>3442</v>
      </c>
      <c r="F1531" t="s">
        <v>3443</v>
      </c>
      <c r="G1531" t="s">
        <v>3444</v>
      </c>
      <c r="H1531" t="str">
        <f>"00865413"</f>
        <v>00865413</v>
      </c>
      <c r="I1531">
        <v>57.6</v>
      </c>
      <c r="J1531">
        <v>0</v>
      </c>
      <c r="M1531">
        <v>4</v>
      </c>
      <c r="N1531">
        <v>4</v>
      </c>
      <c r="O1531">
        <v>0</v>
      </c>
      <c r="P1531">
        <v>2</v>
      </c>
      <c r="Q1531">
        <v>63.6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3</v>
      </c>
      <c r="AB1531">
        <v>0</v>
      </c>
      <c r="AD1531">
        <v>66.599999999999994</v>
      </c>
    </row>
    <row r="1532" spans="1:30" x14ac:dyDescent="0.3">
      <c r="A1532" s="4">
        <v>1547</v>
      </c>
      <c r="B1532" s="5">
        <v>1525</v>
      </c>
      <c r="C1532">
        <v>3887</v>
      </c>
      <c r="D1532" t="s">
        <v>3445</v>
      </c>
      <c r="E1532" t="s">
        <v>166</v>
      </c>
      <c r="F1532" t="s">
        <v>68</v>
      </c>
      <c r="G1532" t="s">
        <v>3446</v>
      </c>
      <c r="H1532" t="str">
        <f>"00160795"</f>
        <v>00160795</v>
      </c>
      <c r="I1532">
        <v>57.6</v>
      </c>
      <c r="J1532">
        <v>0</v>
      </c>
      <c r="M1532">
        <v>4</v>
      </c>
      <c r="N1532">
        <v>4</v>
      </c>
      <c r="O1532">
        <v>0</v>
      </c>
      <c r="P1532">
        <v>2</v>
      </c>
      <c r="Q1532">
        <v>63.6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3</v>
      </c>
      <c r="AB1532">
        <v>0</v>
      </c>
      <c r="AD1532">
        <v>66.599999999999994</v>
      </c>
    </row>
    <row r="1533" spans="1:30" x14ac:dyDescent="0.3">
      <c r="A1533" s="4">
        <v>1548</v>
      </c>
      <c r="B1533" s="5">
        <v>1526</v>
      </c>
      <c r="C1533">
        <v>3751</v>
      </c>
      <c r="D1533" t="s">
        <v>3447</v>
      </c>
      <c r="E1533" t="s">
        <v>439</v>
      </c>
      <c r="F1533" t="s">
        <v>124</v>
      </c>
      <c r="G1533" t="s">
        <v>3448</v>
      </c>
      <c r="H1533" t="str">
        <f>"201505000243"</f>
        <v>201505000243</v>
      </c>
      <c r="I1533">
        <v>39.6</v>
      </c>
      <c r="J1533">
        <v>10</v>
      </c>
      <c r="K1533">
        <v>8</v>
      </c>
      <c r="N1533">
        <v>8</v>
      </c>
      <c r="O1533">
        <v>4</v>
      </c>
      <c r="P1533">
        <v>2</v>
      </c>
      <c r="Q1533">
        <v>63.6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3</v>
      </c>
      <c r="AB1533">
        <v>0</v>
      </c>
      <c r="AD1533">
        <v>66.599999999999994</v>
      </c>
    </row>
    <row r="1534" spans="1:30" x14ac:dyDescent="0.3">
      <c r="A1534" s="4">
        <v>1549</v>
      </c>
      <c r="B1534" s="5">
        <v>1527</v>
      </c>
      <c r="C1534">
        <v>1048</v>
      </c>
      <c r="D1534" t="s">
        <v>181</v>
      </c>
      <c r="E1534" t="s">
        <v>3449</v>
      </c>
      <c r="F1534" t="s">
        <v>385</v>
      </c>
      <c r="G1534" t="s">
        <v>3450</v>
      </c>
      <c r="H1534" t="str">
        <f>"00531130"</f>
        <v>00531130</v>
      </c>
      <c r="I1534">
        <v>21.6</v>
      </c>
      <c r="J1534">
        <v>10</v>
      </c>
      <c r="N1534">
        <v>0</v>
      </c>
      <c r="O1534">
        <v>4</v>
      </c>
      <c r="P1534">
        <v>2</v>
      </c>
      <c r="Q1534">
        <v>37.6</v>
      </c>
      <c r="R1534">
        <v>29</v>
      </c>
      <c r="S1534">
        <v>29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29</v>
      </c>
      <c r="AA1534">
        <v>0</v>
      </c>
      <c r="AB1534">
        <v>0</v>
      </c>
      <c r="AD1534">
        <v>66.599999999999994</v>
      </c>
    </row>
    <row r="1535" spans="1:30" x14ac:dyDescent="0.3">
      <c r="A1535" s="4">
        <v>1550</v>
      </c>
      <c r="B1535" s="5">
        <v>1528</v>
      </c>
      <c r="C1535">
        <v>4593</v>
      </c>
      <c r="D1535" t="s">
        <v>907</v>
      </c>
      <c r="E1535" t="s">
        <v>54</v>
      </c>
      <c r="F1535" t="s">
        <v>20</v>
      </c>
      <c r="G1535" t="s">
        <v>3451</v>
      </c>
      <c r="H1535" t="str">
        <f>"00532642"</f>
        <v>00532642</v>
      </c>
      <c r="I1535">
        <v>39.56</v>
      </c>
      <c r="J1535">
        <v>0</v>
      </c>
      <c r="N1535">
        <v>0</v>
      </c>
      <c r="O1535">
        <v>0</v>
      </c>
      <c r="P1535">
        <v>0</v>
      </c>
      <c r="Q1535">
        <v>39.56</v>
      </c>
      <c r="R1535">
        <v>24</v>
      </c>
      <c r="S1535">
        <v>24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24</v>
      </c>
      <c r="AA1535">
        <v>3</v>
      </c>
      <c r="AB1535">
        <v>0</v>
      </c>
      <c r="AD1535">
        <v>66.56</v>
      </c>
    </row>
    <row r="1536" spans="1:30" x14ac:dyDescent="0.3">
      <c r="A1536" s="4">
        <v>1551</v>
      </c>
      <c r="B1536" s="5">
        <v>1529</v>
      </c>
      <c r="C1536">
        <v>2201</v>
      </c>
      <c r="D1536" t="s">
        <v>3452</v>
      </c>
      <c r="E1536" t="s">
        <v>219</v>
      </c>
      <c r="F1536" t="s">
        <v>339</v>
      </c>
      <c r="G1536" t="s">
        <v>3453</v>
      </c>
      <c r="H1536" t="str">
        <f>"00442384"</f>
        <v>00442384</v>
      </c>
      <c r="I1536">
        <v>14.4</v>
      </c>
      <c r="J1536">
        <v>0</v>
      </c>
      <c r="N1536">
        <v>0</v>
      </c>
      <c r="O1536">
        <v>0</v>
      </c>
      <c r="P1536">
        <v>0</v>
      </c>
      <c r="Q1536">
        <v>14.4</v>
      </c>
      <c r="R1536">
        <v>43</v>
      </c>
      <c r="S1536">
        <v>43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43</v>
      </c>
      <c r="AA1536">
        <v>9</v>
      </c>
      <c r="AB1536">
        <v>0</v>
      </c>
      <c r="AD1536">
        <v>66.400000000000006</v>
      </c>
    </row>
    <row r="1537" spans="1:30" x14ac:dyDescent="0.3">
      <c r="A1537" s="4">
        <v>1552</v>
      </c>
      <c r="B1537" s="5">
        <v>1530</v>
      </c>
      <c r="C1537">
        <v>3818</v>
      </c>
      <c r="D1537" t="s">
        <v>3454</v>
      </c>
      <c r="E1537" t="s">
        <v>29</v>
      </c>
      <c r="F1537" t="s">
        <v>190</v>
      </c>
      <c r="G1537" t="s">
        <v>3455</v>
      </c>
      <c r="H1537" t="str">
        <f>"00513700"</f>
        <v>00513700</v>
      </c>
      <c r="I1537">
        <v>50.4</v>
      </c>
      <c r="J1537">
        <v>0</v>
      </c>
      <c r="M1537">
        <v>4</v>
      </c>
      <c r="N1537">
        <v>4</v>
      </c>
      <c r="O1537">
        <v>4</v>
      </c>
      <c r="P1537">
        <v>2</v>
      </c>
      <c r="Q1537">
        <v>60.4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6</v>
      </c>
      <c r="AB1537">
        <v>0</v>
      </c>
      <c r="AD1537">
        <v>66.400000000000006</v>
      </c>
    </row>
    <row r="1538" spans="1:30" x14ac:dyDescent="0.3">
      <c r="A1538" s="4">
        <v>1553</v>
      </c>
      <c r="B1538" s="5">
        <v>1531</v>
      </c>
      <c r="C1538">
        <v>117</v>
      </c>
      <c r="D1538" t="s">
        <v>3456</v>
      </c>
      <c r="E1538" t="s">
        <v>1694</v>
      </c>
      <c r="F1538" t="s">
        <v>20</v>
      </c>
      <c r="G1538" t="s">
        <v>3457</v>
      </c>
      <c r="H1538" t="str">
        <f>"00794099"</f>
        <v>00794099</v>
      </c>
      <c r="I1538">
        <v>50.4</v>
      </c>
      <c r="J1538">
        <v>0</v>
      </c>
      <c r="L1538">
        <v>6</v>
      </c>
      <c r="N1538">
        <v>6</v>
      </c>
      <c r="O1538">
        <v>4</v>
      </c>
      <c r="P1538">
        <v>0</v>
      </c>
      <c r="Q1538">
        <v>60.4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6</v>
      </c>
      <c r="AB1538">
        <v>0</v>
      </c>
      <c r="AD1538">
        <v>66.400000000000006</v>
      </c>
    </row>
    <row r="1539" spans="1:30" x14ac:dyDescent="0.3">
      <c r="A1539" s="4">
        <v>1554</v>
      </c>
      <c r="B1539" s="5">
        <v>1532</v>
      </c>
      <c r="C1539">
        <v>1998</v>
      </c>
      <c r="D1539" t="s">
        <v>3458</v>
      </c>
      <c r="E1539" t="s">
        <v>33</v>
      </c>
      <c r="F1539" t="s">
        <v>20</v>
      </c>
      <c r="G1539" t="s">
        <v>3459</v>
      </c>
      <c r="H1539" t="str">
        <f>"00860131"</f>
        <v>00860131</v>
      </c>
      <c r="I1539">
        <v>50.4</v>
      </c>
      <c r="J1539">
        <v>0</v>
      </c>
      <c r="K1539">
        <v>8</v>
      </c>
      <c r="M1539">
        <v>4</v>
      </c>
      <c r="N1539">
        <v>12</v>
      </c>
      <c r="O1539">
        <v>4</v>
      </c>
      <c r="P1539">
        <v>0</v>
      </c>
      <c r="Q1539">
        <v>66.400000000000006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D1539">
        <v>66.400000000000006</v>
      </c>
    </row>
    <row r="1540" spans="1:30" x14ac:dyDescent="0.3">
      <c r="A1540" s="4">
        <v>1555</v>
      </c>
      <c r="B1540" s="5">
        <v>1533</v>
      </c>
      <c r="C1540">
        <v>3082</v>
      </c>
      <c r="D1540" t="s">
        <v>3460</v>
      </c>
      <c r="E1540" t="s">
        <v>2758</v>
      </c>
      <c r="F1540" t="s">
        <v>38</v>
      </c>
      <c r="G1540" t="s">
        <v>3461</v>
      </c>
      <c r="H1540" t="str">
        <f>"00620253"</f>
        <v>00620253</v>
      </c>
      <c r="I1540">
        <v>50.4</v>
      </c>
      <c r="J1540">
        <v>0</v>
      </c>
      <c r="L1540">
        <v>6</v>
      </c>
      <c r="M1540">
        <v>4</v>
      </c>
      <c r="N1540">
        <v>10</v>
      </c>
      <c r="O1540">
        <v>4</v>
      </c>
      <c r="P1540">
        <v>2</v>
      </c>
      <c r="Q1540">
        <v>66.400000000000006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D1540">
        <v>66.400000000000006</v>
      </c>
    </row>
    <row r="1541" spans="1:30" x14ac:dyDescent="0.3">
      <c r="A1541" s="4">
        <v>1556</v>
      </c>
      <c r="B1541" s="5">
        <v>1534</v>
      </c>
      <c r="C1541">
        <v>1497</v>
      </c>
      <c r="D1541" t="s">
        <v>93</v>
      </c>
      <c r="E1541" t="s">
        <v>1210</v>
      </c>
      <c r="F1541" t="s">
        <v>20</v>
      </c>
      <c r="G1541" t="s">
        <v>3462</v>
      </c>
      <c r="H1541" t="str">
        <f>"00508709"</f>
        <v>00508709</v>
      </c>
      <c r="I1541">
        <v>29.32</v>
      </c>
      <c r="J1541">
        <v>0</v>
      </c>
      <c r="N1541">
        <v>0</v>
      </c>
      <c r="O1541">
        <v>4</v>
      </c>
      <c r="P1541">
        <v>0</v>
      </c>
      <c r="Q1541">
        <v>33.32</v>
      </c>
      <c r="R1541">
        <v>33</v>
      </c>
      <c r="S1541">
        <v>33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33</v>
      </c>
      <c r="AA1541">
        <v>0</v>
      </c>
      <c r="AB1541">
        <v>0</v>
      </c>
      <c r="AD1541">
        <v>66.319999999999993</v>
      </c>
    </row>
    <row r="1542" spans="1:30" x14ac:dyDescent="0.3">
      <c r="A1542" s="4">
        <v>1557</v>
      </c>
      <c r="B1542" s="5">
        <v>1535</v>
      </c>
      <c r="C1542">
        <v>4007</v>
      </c>
      <c r="D1542" t="s">
        <v>3463</v>
      </c>
      <c r="E1542" t="s">
        <v>132</v>
      </c>
      <c r="F1542" t="s">
        <v>136</v>
      </c>
      <c r="G1542" t="s">
        <v>3464</v>
      </c>
      <c r="H1542" t="str">
        <f>"00207101"</f>
        <v>00207101</v>
      </c>
      <c r="I1542">
        <v>43.2</v>
      </c>
      <c r="J1542">
        <v>10</v>
      </c>
      <c r="M1542">
        <v>4</v>
      </c>
      <c r="N1542">
        <v>4</v>
      </c>
      <c r="O1542">
        <v>4</v>
      </c>
      <c r="P1542">
        <v>2</v>
      </c>
      <c r="Q1542">
        <v>63.2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3</v>
      </c>
      <c r="AB1542">
        <v>0</v>
      </c>
      <c r="AD1542">
        <v>66.2</v>
      </c>
    </row>
    <row r="1543" spans="1:30" x14ac:dyDescent="0.3">
      <c r="A1543" s="4">
        <v>1558</v>
      </c>
      <c r="B1543" s="5">
        <v>1536</v>
      </c>
      <c r="C1543">
        <v>2515</v>
      </c>
      <c r="D1543" t="s">
        <v>3465</v>
      </c>
      <c r="E1543" t="s">
        <v>161</v>
      </c>
      <c r="F1543" t="s">
        <v>117</v>
      </c>
      <c r="G1543" t="s">
        <v>3466</v>
      </c>
      <c r="H1543" t="str">
        <f>"00530779"</f>
        <v>00530779</v>
      </c>
      <c r="I1543">
        <v>43.2</v>
      </c>
      <c r="J1543">
        <v>0</v>
      </c>
      <c r="M1543">
        <v>4</v>
      </c>
      <c r="N1543">
        <v>4</v>
      </c>
      <c r="O1543">
        <v>0</v>
      </c>
      <c r="P1543">
        <v>0</v>
      </c>
      <c r="Q1543">
        <v>47.2</v>
      </c>
      <c r="R1543">
        <v>16</v>
      </c>
      <c r="S1543">
        <v>16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16</v>
      </c>
      <c r="AA1543">
        <v>3</v>
      </c>
      <c r="AB1543">
        <v>0</v>
      </c>
      <c r="AD1543">
        <v>66.2</v>
      </c>
    </row>
    <row r="1544" spans="1:30" x14ac:dyDescent="0.3">
      <c r="A1544" s="4">
        <v>1559</v>
      </c>
      <c r="B1544" s="5">
        <v>1537</v>
      </c>
      <c r="C1544">
        <v>461</v>
      </c>
      <c r="D1544" t="s">
        <v>3467</v>
      </c>
      <c r="E1544" t="s">
        <v>3468</v>
      </c>
      <c r="F1544" t="s">
        <v>3469</v>
      </c>
      <c r="G1544" t="s">
        <v>3470</v>
      </c>
      <c r="H1544" t="str">
        <f>"00509740"</f>
        <v>00509740</v>
      </c>
      <c r="I1544">
        <v>43.2</v>
      </c>
      <c r="J1544">
        <v>10</v>
      </c>
      <c r="N1544">
        <v>0</v>
      </c>
      <c r="O1544">
        <v>4</v>
      </c>
      <c r="P1544">
        <v>2</v>
      </c>
      <c r="Q1544">
        <v>59.2</v>
      </c>
      <c r="R1544">
        <v>7</v>
      </c>
      <c r="S1544">
        <v>7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7</v>
      </c>
      <c r="AA1544">
        <v>0</v>
      </c>
      <c r="AB1544">
        <v>0</v>
      </c>
      <c r="AD1544">
        <v>66.2</v>
      </c>
    </row>
    <row r="1545" spans="1:30" x14ac:dyDescent="0.3">
      <c r="A1545" s="4">
        <v>1560</v>
      </c>
      <c r="B1545" s="5">
        <v>1538</v>
      </c>
      <c r="C1545">
        <v>3789</v>
      </c>
      <c r="D1545" t="s">
        <v>3471</v>
      </c>
      <c r="E1545" t="s">
        <v>54</v>
      </c>
      <c r="F1545" t="s">
        <v>20</v>
      </c>
      <c r="G1545" t="s">
        <v>3472</v>
      </c>
      <c r="H1545" t="str">
        <f>"00317261"</f>
        <v>00317261</v>
      </c>
      <c r="I1545">
        <v>43.2</v>
      </c>
      <c r="J1545">
        <v>0</v>
      </c>
      <c r="N1545">
        <v>0</v>
      </c>
      <c r="O1545">
        <v>4</v>
      </c>
      <c r="P1545">
        <v>2</v>
      </c>
      <c r="Q1545">
        <v>49.2</v>
      </c>
      <c r="R1545">
        <v>17</v>
      </c>
      <c r="S1545">
        <v>17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17</v>
      </c>
      <c r="AA1545">
        <v>0</v>
      </c>
      <c r="AB1545">
        <v>0</v>
      </c>
      <c r="AD1545">
        <v>66.2</v>
      </c>
    </row>
    <row r="1546" spans="1:30" x14ac:dyDescent="0.3">
      <c r="A1546" s="4">
        <v>1561</v>
      </c>
      <c r="B1546" s="5">
        <v>1539</v>
      </c>
      <c r="C1546">
        <v>2084</v>
      </c>
      <c r="D1546" t="s">
        <v>1084</v>
      </c>
      <c r="E1546" t="s">
        <v>115</v>
      </c>
      <c r="F1546" t="s">
        <v>81</v>
      </c>
      <c r="G1546" t="s">
        <v>3473</v>
      </c>
      <c r="H1546" t="str">
        <f>"201412007372"</f>
        <v>201412007372</v>
      </c>
      <c r="I1546">
        <v>35.119999999999997</v>
      </c>
      <c r="J1546">
        <v>10</v>
      </c>
      <c r="K1546">
        <v>8</v>
      </c>
      <c r="N1546">
        <v>8</v>
      </c>
      <c r="O1546">
        <v>4</v>
      </c>
      <c r="P1546">
        <v>0</v>
      </c>
      <c r="Q1546">
        <v>57.12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9</v>
      </c>
      <c r="AB1546">
        <v>0</v>
      </c>
      <c r="AD1546">
        <v>66.12</v>
      </c>
    </row>
    <row r="1547" spans="1:30" x14ac:dyDescent="0.3">
      <c r="A1547" s="4">
        <v>1562</v>
      </c>
      <c r="B1547" s="5">
        <v>1540</v>
      </c>
      <c r="C1547">
        <v>4043</v>
      </c>
      <c r="D1547" t="s">
        <v>3474</v>
      </c>
      <c r="E1547" t="s">
        <v>3475</v>
      </c>
      <c r="F1547" t="s">
        <v>17</v>
      </c>
      <c r="G1547" t="s">
        <v>3476</v>
      </c>
      <c r="H1547" t="str">
        <f>"200808000379"</f>
        <v>200808000379</v>
      </c>
      <c r="I1547">
        <v>28.8</v>
      </c>
      <c r="J1547">
        <v>0</v>
      </c>
      <c r="K1547">
        <v>8</v>
      </c>
      <c r="N1547">
        <v>8</v>
      </c>
      <c r="O1547">
        <v>4</v>
      </c>
      <c r="P1547">
        <v>2</v>
      </c>
      <c r="Q1547">
        <v>42.8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23.2</v>
      </c>
      <c r="AD1547">
        <v>66</v>
      </c>
    </row>
    <row r="1548" spans="1:30" x14ac:dyDescent="0.3">
      <c r="A1548" s="4">
        <v>1563</v>
      </c>
      <c r="B1548" s="5">
        <v>1541</v>
      </c>
      <c r="C1548">
        <v>3620</v>
      </c>
      <c r="D1548" t="s">
        <v>3477</v>
      </c>
      <c r="E1548" t="s">
        <v>166</v>
      </c>
      <c r="F1548" t="s">
        <v>38</v>
      </c>
      <c r="G1548" t="s">
        <v>3478</v>
      </c>
      <c r="H1548" t="str">
        <f>"200805001331"</f>
        <v>200805001331</v>
      </c>
      <c r="I1548">
        <v>40</v>
      </c>
      <c r="J1548">
        <v>10</v>
      </c>
      <c r="M1548">
        <v>4</v>
      </c>
      <c r="N1548">
        <v>4</v>
      </c>
      <c r="O1548">
        <v>4</v>
      </c>
      <c r="P1548">
        <v>2</v>
      </c>
      <c r="Q1548">
        <v>60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6</v>
      </c>
      <c r="AB1548">
        <v>0</v>
      </c>
      <c r="AD1548">
        <v>66</v>
      </c>
    </row>
    <row r="1549" spans="1:30" x14ac:dyDescent="0.3">
      <c r="A1549" s="4">
        <v>1564</v>
      </c>
      <c r="B1549" s="5">
        <v>1542</v>
      </c>
      <c r="C1549">
        <v>318</v>
      </c>
      <c r="D1549" t="s">
        <v>3479</v>
      </c>
      <c r="E1549" t="s">
        <v>780</v>
      </c>
      <c r="F1549" t="s">
        <v>3480</v>
      </c>
      <c r="G1549" t="s">
        <v>3481</v>
      </c>
      <c r="H1549" t="str">
        <f>"00531199"</f>
        <v>00531199</v>
      </c>
      <c r="I1549">
        <v>36</v>
      </c>
      <c r="J1549">
        <v>0</v>
      </c>
      <c r="M1549">
        <v>4</v>
      </c>
      <c r="N1549">
        <v>4</v>
      </c>
      <c r="O1549">
        <v>4</v>
      </c>
      <c r="P1549">
        <v>2</v>
      </c>
      <c r="Q1549">
        <v>46</v>
      </c>
      <c r="R1549">
        <v>17</v>
      </c>
      <c r="S1549">
        <v>17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17</v>
      </c>
      <c r="AA1549">
        <v>3</v>
      </c>
      <c r="AB1549">
        <v>0</v>
      </c>
      <c r="AD1549">
        <v>66</v>
      </c>
    </row>
    <row r="1550" spans="1:30" x14ac:dyDescent="0.3">
      <c r="A1550" s="4">
        <v>1565</v>
      </c>
      <c r="B1550" s="5">
        <v>1543</v>
      </c>
      <c r="C1550">
        <v>483</v>
      </c>
      <c r="D1550" t="s">
        <v>3482</v>
      </c>
      <c r="E1550" t="s">
        <v>3483</v>
      </c>
      <c r="F1550" t="s">
        <v>34</v>
      </c>
      <c r="G1550" t="s">
        <v>3484</v>
      </c>
      <c r="H1550" t="str">
        <f>"00330378"</f>
        <v>00330378</v>
      </c>
      <c r="I1550">
        <v>36</v>
      </c>
      <c r="J1550">
        <v>0</v>
      </c>
      <c r="K1550">
        <v>8</v>
      </c>
      <c r="N1550">
        <v>8</v>
      </c>
      <c r="O1550">
        <v>4</v>
      </c>
      <c r="P1550">
        <v>0</v>
      </c>
      <c r="Q1550">
        <v>48</v>
      </c>
      <c r="R1550">
        <v>18</v>
      </c>
      <c r="S1550">
        <v>18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18</v>
      </c>
      <c r="AA1550">
        <v>0</v>
      </c>
      <c r="AB1550">
        <v>0</v>
      </c>
      <c r="AD1550">
        <v>66</v>
      </c>
    </row>
    <row r="1551" spans="1:30" x14ac:dyDescent="0.3">
      <c r="A1551" s="4">
        <v>1566</v>
      </c>
      <c r="B1551" s="5">
        <v>1544</v>
      </c>
      <c r="C1551">
        <v>766</v>
      </c>
      <c r="D1551" t="s">
        <v>3485</v>
      </c>
      <c r="E1551" t="s">
        <v>594</v>
      </c>
      <c r="F1551" t="s">
        <v>17</v>
      </c>
      <c r="G1551" t="s">
        <v>3486</v>
      </c>
      <c r="H1551" t="str">
        <f>"00148175"</f>
        <v>00148175</v>
      </c>
      <c r="I1551">
        <v>36</v>
      </c>
      <c r="J1551">
        <v>0</v>
      </c>
      <c r="M1551">
        <v>4</v>
      </c>
      <c r="N1551">
        <v>4</v>
      </c>
      <c r="O1551">
        <v>4</v>
      </c>
      <c r="P1551">
        <v>0</v>
      </c>
      <c r="Q1551">
        <v>44</v>
      </c>
      <c r="R1551">
        <v>22</v>
      </c>
      <c r="S1551">
        <v>22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22</v>
      </c>
      <c r="AA1551">
        <v>0</v>
      </c>
      <c r="AB1551">
        <v>0</v>
      </c>
      <c r="AD1551">
        <v>66</v>
      </c>
    </row>
    <row r="1552" spans="1:30" x14ac:dyDescent="0.3">
      <c r="A1552" s="4">
        <v>1567</v>
      </c>
      <c r="B1552" s="5">
        <v>1545</v>
      </c>
      <c r="C1552">
        <v>3791</v>
      </c>
      <c r="D1552" t="s">
        <v>3487</v>
      </c>
      <c r="E1552" t="s">
        <v>403</v>
      </c>
      <c r="F1552" t="s">
        <v>171</v>
      </c>
      <c r="G1552" t="s">
        <v>3488</v>
      </c>
      <c r="H1552" t="str">
        <f>"00860702"</f>
        <v>00860702</v>
      </c>
      <c r="I1552">
        <v>38.799999999999997</v>
      </c>
      <c r="J1552">
        <v>10</v>
      </c>
      <c r="M1552">
        <v>4</v>
      </c>
      <c r="N1552">
        <v>4</v>
      </c>
      <c r="O1552">
        <v>4</v>
      </c>
      <c r="P1552">
        <v>0</v>
      </c>
      <c r="Q1552">
        <v>56.8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9</v>
      </c>
      <c r="AB1552">
        <v>0</v>
      </c>
      <c r="AD1552">
        <v>65.8</v>
      </c>
    </row>
    <row r="1553" spans="1:30" x14ac:dyDescent="0.3">
      <c r="A1553" s="4">
        <v>1568</v>
      </c>
      <c r="B1553" s="5">
        <v>1546</v>
      </c>
      <c r="C1553">
        <v>4020</v>
      </c>
      <c r="D1553" t="s">
        <v>3029</v>
      </c>
      <c r="E1553" t="s">
        <v>71</v>
      </c>
      <c r="F1553" t="s">
        <v>243</v>
      </c>
      <c r="G1553" t="s">
        <v>3489</v>
      </c>
      <c r="H1553" t="str">
        <f>"00530543"</f>
        <v>00530543</v>
      </c>
      <c r="I1553">
        <v>37.799999999999997</v>
      </c>
      <c r="J1553">
        <v>0</v>
      </c>
      <c r="N1553">
        <v>0</v>
      </c>
      <c r="O1553">
        <v>4</v>
      </c>
      <c r="P1553">
        <v>2</v>
      </c>
      <c r="Q1553">
        <v>43.8</v>
      </c>
      <c r="R1553">
        <v>16</v>
      </c>
      <c r="S1553">
        <v>16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16</v>
      </c>
      <c r="AA1553">
        <v>6</v>
      </c>
      <c r="AB1553">
        <v>0</v>
      </c>
      <c r="AD1553">
        <v>65.8</v>
      </c>
    </row>
    <row r="1554" spans="1:30" x14ac:dyDescent="0.3">
      <c r="A1554" s="4">
        <v>1569</v>
      </c>
      <c r="B1554" s="5">
        <v>1547</v>
      </c>
      <c r="C1554">
        <v>4092</v>
      </c>
      <c r="D1554" t="s">
        <v>3490</v>
      </c>
      <c r="E1554" t="s">
        <v>178</v>
      </c>
      <c r="F1554" t="s">
        <v>179</v>
      </c>
      <c r="G1554" t="s">
        <v>3491</v>
      </c>
      <c r="H1554" t="str">
        <f>"00148468"</f>
        <v>00148468</v>
      </c>
      <c r="I1554">
        <v>38.799999999999997</v>
      </c>
      <c r="J1554">
        <v>10</v>
      </c>
      <c r="K1554">
        <v>8</v>
      </c>
      <c r="N1554">
        <v>8</v>
      </c>
      <c r="O1554">
        <v>4</v>
      </c>
      <c r="P1554">
        <v>2</v>
      </c>
      <c r="Q1554">
        <v>62.8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3</v>
      </c>
      <c r="AB1554">
        <v>0</v>
      </c>
      <c r="AD1554">
        <v>65.8</v>
      </c>
    </row>
    <row r="1555" spans="1:30" x14ac:dyDescent="0.3">
      <c r="A1555" s="4">
        <v>1570</v>
      </c>
      <c r="B1555" s="5">
        <v>1548</v>
      </c>
      <c r="C1555">
        <v>1301</v>
      </c>
      <c r="D1555" t="s">
        <v>3492</v>
      </c>
      <c r="E1555" t="s">
        <v>29</v>
      </c>
      <c r="F1555" t="s">
        <v>3236</v>
      </c>
      <c r="G1555" t="s">
        <v>3493</v>
      </c>
      <c r="H1555" t="str">
        <f>"00225915"</f>
        <v>00225915</v>
      </c>
      <c r="I1555">
        <v>38.799999999999997</v>
      </c>
      <c r="J1555">
        <v>10</v>
      </c>
      <c r="K1555">
        <v>8</v>
      </c>
      <c r="N1555">
        <v>8</v>
      </c>
      <c r="O1555">
        <v>4</v>
      </c>
      <c r="P1555">
        <v>2</v>
      </c>
      <c r="Q1555">
        <v>62.8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3</v>
      </c>
      <c r="AB1555">
        <v>0</v>
      </c>
      <c r="AD1555">
        <v>65.8</v>
      </c>
    </row>
    <row r="1556" spans="1:30" x14ac:dyDescent="0.3">
      <c r="A1556" s="4">
        <v>1571</v>
      </c>
      <c r="B1556" s="5">
        <v>1549</v>
      </c>
      <c r="C1556">
        <v>1700</v>
      </c>
      <c r="D1556" t="s">
        <v>3027</v>
      </c>
      <c r="E1556" t="s">
        <v>29</v>
      </c>
      <c r="F1556" t="s">
        <v>52</v>
      </c>
      <c r="G1556" t="s">
        <v>3494</v>
      </c>
      <c r="H1556" t="str">
        <f>"00531477"</f>
        <v>00531477</v>
      </c>
      <c r="I1556">
        <v>28.8</v>
      </c>
      <c r="J1556">
        <v>0</v>
      </c>
      <c r="N1556">
        <v>0</v>
      </c>
      <c r="O1556">
        <v>4</v>
      </c>
      <c r="P1556">
        <v>2</v>
      </c>
      <c r="Q1556">
        <v>34.799999999999997</v>
      </c>
      <c r="R1556">
        <v>31</v>
      </c>
      <c r="S1556">
        <v>31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31</v>
      </c>
      <c r="AA1556">
        <v>0</v>
      </c>
      <c r="AB1556">
        <v>0</v>
      </c>
      <c r="AD1556">
        <v>65.8</v>
      </c>
    </row>
    <row r="1557" spans="1:30" x14ac:dyDescent="0.3">
      <c r="A1557" s="4">
        <v>1572</v>
      </c>
      <c r="B1557" s="5">
        <v>1550</v>
      </c>
      <c r="C1557">
        <v>4354</v>
      </c>
      <c r="D1557" t="s">
        <v>421</v>
      </c>
      <c r="E1557" t="s">
        <v>3495</v>
      </c>
      <c r="F1557" t="s">
        <v>68</v>
      </c>
      <c r="G1557" t="s">
        <v>3496</v>
      </c>
      <c r="H1557" t="str">
        <f>"00458973"</f>
        <v>00458973</v>
      </c>
      <c r="I1557">
        <v>23.6</v>
      </c>
      <c r="J1557">
        <v>10</v>
      </c>
      <c r="N1557">
        <v>0</v>
      </c>
      <c r="O1557">
        <v>0</v>
      </c>
      <c r="P1557">
        <v>0</v>
      </c>
      <c r="Q1557">
        <v>33.6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32</v>
      </c>
      <c r="AD1557">
        <v>65.599999999999994</v>
      </c>
    </row>
    <row r="1558" spans="1:30" x14ac:dyDescent="0.3">
      <c r="A1558" s="4">
        <v>1573</v>
      </c>
      <c r="B1558" s="5">
        <v>1551</v>
      </c>
      <c r="C1558">
        <v>360</v>
      </c>
      <c r="D1558" t="s">
        <v>3497</v>
      </c>
      <c r="E1558" t="s">
        <v>54</v>
      </c>
      <c r="F1558" t="s">
        <v>81</v>
      </c>
      <c r="G1558" t="s">
        <v>3498</v>
      </c>
      <c r="H1558" t="str">
        <f>"201004000040"</f>
        <v>201004000040</v>
      </c>
      <c r="I1558">
        <v>39.6</v>
      </c>
      <c r="J1558">
        <v>10</v>
      </c>
      <c r="M1558">
        <v>4</v>
      </c>
      <c r="N1558">
        <v>4</v>
      </c>
      <c r="O1558">
        <v>4</v>
      </c>
      <c r="P1558">
        <v>2</v>
      </c>
      <c r="Q1558">
        <v>59.6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6</v>
      </c>
      <c r="AB1558">
        <v>0</v>
      </c>
      <c r="AD1558">
        <v>65.599999999999994</v>
      </c>
    </row>
    <row r="1559" spans="1:30" x14ac:dyDescent="0.3">
      <c r="A1559" s="4">
        <v>1574</v>
      </c>
      <c r="B1559" s="5">
        <v>1552</v>
      </c>
      <c r="C1559">
        <v>1648</v>
      </c>
      <c r="D1559" t="s">
        <v>3499</v>
      </c>
      <c r="E1559" t="s">
        <v>255</v>
      </c>
      <c r="F1559" t="s">
        <v>30</v>
      </c>
      <c r="G1559" t="s">
        <v>3500</v>
      </c>
      <c r="H1559" t="str">
        <f>"00442451"</f>
        <v>00442451</v>
      </c>
      <c r="I1559">
        <v>21.6</v>
      </c>
      <c r="J1559">
        <v>10</v>
      </c>
      <c r="M1559">
        <v>4</v>
      </c>
      <c r="N1559">
        <v>4</v>
      </c>
      <c r="O1559">
        <v>4</v>
      </c>
      <c r="P1559">
        <v>2</v>
      </c>
      <c r="Q1559">
        <v>41.6</v>
      </c>
      <c r="R1559">
        <v>18</v>
      </c>
      <c r="S1559">
        <v>18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18</v>
      </c>
      <c r="AA1559">
        <v>6</v>
      </c>
      <c r="AB1559">
        <v>0</v>
      </c>
      <c r="AD1559">
        <v>65.599999999999994</v>
      </c>
    </row>
    <row r="1560" spans="1:30" x14ac:dyDescent="0.3">
      <c r="A1560" s="4">
        <v>1575</v>
      </c>
      <c r="B1560" s="5">
        <v>1553</v>
      </c>
      <c r="C1560">
        <v>4532</v>
      </c>
      <c r="D1560" t="s">
        <v>3501</v>
      </c>
      <c r="E1560" t="s">
        <v>2011</v>
      </c>
      <c r="F1560" t="s">
        <v>117</v>
      </c>
      <c r="G1560" t="s">
        <v>3502</v>
      </c>
      <c r="H1560" t="str">
        <f>"00864787"</f>
        <v>00864787</v>
      </c>
      <c r="I1560">
        <v>57.6</v>
      </c>
      <c r="J1560">
        <v>0</v>
      </c>
      <c r="M1560">
        <v>4</v>
      </c>
      <c r="N1560">
        <v>4</v>
      </c>
      <c r="O1560">
        <v>4</v>
      </c>
      <c r="P1560">
        <v>0</v>
      </c>
      <c r="Q1560">
        <v>65.599999999999994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D1560">
        <v>65.599999999999994</v>
      </c>
    </row>
    <row r="1561" spans="1:30" x14ac:dyDescent="0.3">
      <c r="A1561" s="4">
        <v>1576</v>
      </c>
      <c r="B1561" s="5">
        <v>1554</v>
      </c>
      <c r="C1561">
        <v>3065</v>
      </c>
      <c r="D1561" t="s">
        <v>181</v>
      </c>
      <c r="E1561" t="s">
        <v>88</v>
      </c>
      <c r="F1561" t="s">
        <v>136</v>
      </c>
      <c r="G1561" t="s">
        <v>3503</v>
      </c>
      <c r="H1561" t="str">
        <f>"00455142"</f>
        <v>00455142</v>
      </c>
      <c r="I1561">
        <v>57.6</v>
      </c>
      <c r="J1561">
        <v>0</v>
      </c>
      <c r="M1561">
        <v>4</v>
      </c>
      <c r="N1561">
        <v>4</v>
      </c>
      <c r="O1561">
        <v>4</v>
      </c>
      <c r="P1561">
        <v>0</v>
      </c>
      <c r="Q1561">
        <v>65.599999999999994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D1561">
        <v>65.599999999999994</v>
      </c>
    </row>
    <row r="1562" spans="1:30" x14ac:dyDescent="0.3">
      <c r="A1562" s="4">
        <v>1577</v>
      </c>
      <c r="B1562" s="5">
        <v>1555</v>
      </c>
      <c r="C1562">
        <v>4527</v>
      </c>
      <c r="D1562" t="s">
        <v>3504</v>
      </c>
      <c r="E1562" t="s">
        <v>1716</v>
      </c>
      <c r="F1562" t="s">
        <v>17</v>
      </c>
      <c r="G1562" t="s">
        <v>3505</v>
      </c>
      <c r="H1562" t="str">
        <f>"00196655"</f>
        <v>00196655</v>
      </c>
      <c r="I1562">
        <v>57.6</v>
      </c>
      <c r="J1562">
        <v>0</v>
      </c>
      <c r="M1562">
        <v>4</v>
      </c>
      <c r="N1562">
        <v>4</v>
      </c>
      <c r="O1562">
        <v>4</v>
      </c>
      <c r="P1562">
        <v>0</v>
      </c>
      <c r="Q1562">
        <v>65.599999999999994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D1562">
        <v>65.599999999999994</v>
      </c>
    </row>
    <row r="1563" spans="1:30" x14ac:dyDescent="0.3">
      <c r="A1563" s="4">
        <v>1578</v>
      </c>
      <c r="B1563" s="5">
        <v>1556</v>
      </c>
      <c r="C1563">
        <v>1059</v>
      </c>
      <c r="D1563" t="s">
        <v>3506</v>
      </c>
      <c r="E1563" t="s">
        <v>38</v>
      </c>
      <c r="F1563" t="s">
        <v>52</v>
      </c>
      <c r="G1563" t="s">
        <v>3507</v>
      </c>
      <c r="H1563" t="str">
        <f>"201604000522"</f>
        <v>201604000522</v>
      </c>
      <c r="I1563">
        <v>57.6</v>
      </c>
      <c r="J1563">
        <v>0</v>
      </c>
      <c r="M1563">
        <v>4</v>
      </c>
      <c r="N1563">
        <v>4</v>
      </c>
      <c r="O1563">
        <v>4</v>
      </c>
      <c r="P1563">
        <v>0</v>
      </c>
      <c r="Q1563">
        <v>65.599999999999994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D1563">
        <v>65.599999999999994</v>
      </c>
    </row>
    <row r="1564" spans="1:30" x14ac:dyDescent="0.3">
      <c r="A1564" s="4">
        <v>1579</v>
      </c>
      <c r="B1564" s="5">
        <v>1557</v>
      </c>
      <c r="C1564">
        <v>1460</v>
      </c>
      <c r="D1564" t="s">
        <v>3508</v>
      </c>
      <c r="E1564" t="s">
        <v>132</v>
      </c>
      <c r="F1564" t="s">
        <v>972</v>
      </c>
      <c r="G1564" t="s">
        <v>3509</v>
      </c>
      <c r="H1564" t="str">
        <f>"00854609"</f>
        <v>00854609</v>
      </c>
      <c r="I1564">
        <v>57.6</v>
      </c>
      <c r="J1564">
        <v>0</v>
      </c>
      <c r="M1564">
        <v>4</v>
      </c>
      <c r="N1564">
        <v>4</v>
      </c>
      <c r="O1564">
        <v>4</v>
      </c>
      <c r="P1564">
        <v>0</v>
      </c>
      <c r="Q1564">
        <v>65.599999999999994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D1564">
        <v>65.599999999999994</v>
      </c>
    </row>
    <row r="1565" spans="1:30" x14ac:dyDescent="0.3">
      <c r="A1565" s="4">
        <v>1580</v>
      </c>
      <c r="B1565" s="5">
        <v>1558</v>
      </c>
      <c r="C1565">
        <v>129</v>
      </c>
      <c r="D1565" t="s">
        <v>3510</v>
      </c>
      <c r="E1565" t="s">
        <v>390</v>
      </c>
      <c r="F1565" t="s">
        <v>3511</v>
      </c>
      <c r="G1565" t="s">
        <v>3512</v>
      </c>
      <c r="H1565" t="str">
        <f>"00071137"</f>
        <v>00071137</v>
      </c>
      <c r="I1565">
        <v>57.6</v>
      </c>
      <c r="J1565">
        <v>0</v>
      </c>
      <c r="M1565">
        <v>4</v>
      </c>
      <c r="N1565">
        <v>4</v>
      </c>
      <c r="O1565">
        <v>4</v>
      </c>
      <c r="P1565">
        <v>0</v>
      </c>
      <c r="Q1565">
        <v>65.599999999999994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D1565">
        <v>65.599999999999994</v>
      </c>
    </row>
    <row r="1566" spans="1:30" x14ac:dyDescent="0.3">
      <c r="A1566" s="4">
        <v>1581</v>
      </c>
      <c r="B1566" s="5">
        <v>1559</v>
      </c>
      <c r="C1566">
        <v>1193</v>
      </c>
      <c r="D1566" t="s">
        <v>3513</v>
      </c>
      <c r="E1566" t="s">
        <v>255</v>
      </c>
      <c r="F1566" t="s">
        <v>158</v>
      </c>
      <c r="G1566" t="s">
        <v>3514</v>
      </c>
      <c r="H1566" t="str">
        <f>"00144890"</f>
        <v>00144890</v>
      </c>
      <c r="I1566">
        <v>57.6</v>
      </c>
      <c r="J1566">
        <v>0</v>
      </c>
      <c r="M1566">
        <v>4</v>
      </c>
      <c r="N1566">
        <v>4</v>
      </c>
      <c r="O1566">
        <v>4</v>
      </c>
      <c r="P1566">
        <v>0</v>
      </c>
      <c r="Q1566">
        <v>65.599999999999994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D1566">
        <v>65.599999999999994</v>
      </c>
    </row>
    <row r="1567" spans="1:30" x14ac:dyDescent="0.3">
      <c r="A1567" s="4">
        <v>1582</v>
      </c>
      <c r="B1567" s="5">
        <v>1560</v>
      </c>
      <c r="C1567">
        <v>1340</v>
      </c>
      <c r="D1567" t="s">
        <v>3515</v>
      </c>
      <c r="E1567" t="s">
        <v>3221</v>
      </c>
      <c r="F1567" t="s">
        <v>3516</v>
      </c>
      <c r="G1567" t="s">
        <v>3517</v>
      </c>
      <c r="H1567" t="str">
        <f>"00556141"</f>
        <v>00556141</v>
      </c>
      <c r="I1567">
        <v>57.6</v>
      </c>
      <c r="J1567">
        <v>0</v>
      </c>
      <c r="M1567">
        <v>4</v>
      </c>
      <c r="N1567">
        <v>4</v>
      </c>
      <c r="O1567">
        <v>4</v>
      </c>
      <c r="P1567">
        <v>0</v>
      </c>
      <c r="Q1567">
        <v>65.599999999999994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D1567">
        <v>65.599999999999994</v>
      </c>
    </row>
    <row r="1568" spans="1:30" x14ac:dyDescent="0.3">
      <c r="A1568" s="4">
        <v>1583</v>
      </c>
      <c r="B1568" s="5">
        <v>1561</v>
      </c>
      <c r="C1568">
        <v>1855</v>
      </c>
      <c r="D1568" t="s">
        <v>3518</v>
      </c>
      <c r="E1568" t="s">
        <v>471</v>
      </c>
      <c r="F1568" t="s">
        <v>38</v>
      </c>
      <c r="G1568" t="s">
        <v>3519</v>
      </c>
      <c r="H1568" t="str">
        <f>"00515556"</f>
        <v>00515556</v>
      </c>
      <c r="I1568">
        <v>57.6</v>
      </c>
      <c r="J1568">
        <v>0</v>
      </c>
      <c r="N1568">
        <v>0</v>
      </c>
      <c r="O1568">
        <v>0</v>
      </c>
      <c r="P1568">
        <v>0</v>
      </c>
      <c r="Q1568">
        <v>57.6</v>
      </c>
      <c r="R1568">
        <v>8</v>
      </c>
      <c r="S1568">
        <v>8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8</v>
      </c>
      <c r="AA1568">
        <v>0</v>
      </c>
      <c r="AB1568">
        <v>0</v>
      </c>
      <c r="AD1568">
        <v>65.599999999999994</v>
      </c>
    </row>
    <row r="1569" spans="1:30" x14ac:dyDescent="0.3">
      <c r="A1569" s="4">
        <v>1584</v>
      </c>
      <c r="B1569" s="5">
        <v>1562</v>
      </c>
      <c r="C1569">
        <v>3253</v>
      </c>
      <c r="D1569" t="s">
        <v>3520</v>
      </c>
      <c r="E1569" t="s">
        <v>110</v>
      </c>
      <c r="F1569" t="s">
        <v>3130</v>
      </c>
      <c r="G1569" t="s">
        <v>3521</v>
      </c>
      <c r="H1569" t="str">
        <f>"00526663"</f>
        <v>00526663</v>
      </c>
      <c r="I1569">
        <v>21.6</v>
      </c>
      <c r="J1569">
        <v>10</v>
      </c>
      <c r="M1569">
        <v>4</v>
      </c>
      <c r="N1569">
        <v>4</v>
      </c>
      <c r="O1569">
        <v>4</v>
      </c>
      <c r="P1569">
        <v>2</v>
      </c>
      <c r="Q1569">
        <v>41.6</v>
      </c>
      <c r="R1569">
        <v>24</v>
      </c>
      <c r="S1569">
        <v>24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24</v>
      </c>
      <c r="AA1569">
        <v>0</v>
      </c>
      <c r="AB1569">
        <v>0</v>
      </c>
      <c r="AD1569">
        <v>65.599999999999994</v>
      </c>
    </row>
    <row r="1570" spans="1:30" x14ac:dyDescent="0.3">
      <c r="A1570" s="4">
        <v>1585</v>
      </c>
      <c r="B1570" s="5">
        <v>1563</v>
      </c>
      <c r="C1570">
        <v>4496</v>
      </c>
      <c r="D1570" t="s">
        <v>3522</v>
      </c>
      <c r="E1570" t="s">
        <v>3523</v>
      </c>
      <c r="F1570" t="s">
        <v>570</v>
      </c>
      <c r="G1570" t="s">
        <v>3524</v>
      </c>
      <c r="H1570" t="str">
        <f>"00526800"</f>
        <v>00526800</v>
      </c>
      <c r="I1570">
        <v>35.56</v>
      </c>
      <c r="J1570">
        <v>0</v>
      </c>
      <c r="N1570">
        <v>0</v>
      </c>
      <c r="O1570">
        <v>4</v>
      </c>
      <c r="P1570">
        <v>2</v>
      </c>
      <c r="Q1570">
        <v>41.56</v>
      </c>
      <c r="R1570">
        <v>8</v>
      </c>
      <c r="S1570">
        <v>8</v>
      </c>
      <c r="T1570">
        <v>0</v>
      </c>
      <c r="U1570">
        <v>0</v>
      </c>
      <c r="V1570">
        <v>7</v>
      </c>
      <c r="W1570">
        <v>10</v>
      </c>
      <c r="X1570">
        <v>0</v>
      </c>
      <c r="Y1570">
        <v>0</v>
      </c>
      <c r="Z1570">
        <v>18</v>
      </c>
      <c r="AA1570">
        <v>6</v>
      </c>
      <c r="AB1570">
        <v>0</v>
      </c>
      <c r="AD1570">
        <v>65.56</v>
      </c>
    </row>
    <row r="1571" spans="1:30" x14ac:dyDescent="0.3">
      <c r="A1571" s="4">
        <v>1586</v>
      </c>
      <c r="B1571" s="5">
        <v>1564</v>
      </c>
      <c r="C1571">
        <v>1196</v>
      </c>
      <c r="D1571" t="s">
        <v>3525</v>
      </c>
      <c r="E1571" t="s">
        <v>34</v>
      </c>
      <c r="F1571" t="s">
        <v>375</v>
      </c>
      <c r="G1571" t="s">
        <v>3526</v>
      </c>
      <c r="H1571" t="str">
        <f>"00498953"</f>
        <v>00498953</v>
      </c>
      <c r="I1571">
        <v>14.4</v>
      </c>
      <c r="J1571">
        <v>0</v>
      </c>
      <c r="L1571">
        <v>6</v>
      </c>
      <c r="N1571">
        <v>6</v>
      </c>
      <c r="O1571">
        <v>4</v>
      </c>
      <c r="P1571">
        <v>2</v>
      </c>
      <c r="Q1571">
        <v>26.4</v>
      </c>
      <c r="R1571">
        <v>33</v>
      </c>
      <c r="S1571">
        <v>33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33</v>
      </c>
      <c r="AA1571">
        <v>6</v>
      </c>
      <c r="AB1571">
        <v>0</v>
      </c>
      <c r="AD1571">
        <v>65.400000000000006</v>
      </c>
    </row>
    <row r="1572" spans="1:30" x14ac:dyDescent="0.3">
      <c r="A1572" s="4">
        <v>1587</v>
      </c>
      <c r="B1572" s="5">
        <v>1565</v>
      </c>
      <c r="C1572">
        <v>2882</v>
      </c>
      <c r="D1572" t="s">
        <v>3527</v>
      </c>
      <c r="E1572" t="s">
        <v>3528</v>
      </c>
      <c r="F1572" t="s">
        <v>117</v>
      </c>
      <c r="G1572" t="s">
        <v>3529</v>
      </c>
      <c r="H1572" t="str">
        <f>"201307000049"</f>
        <v>201307000049</v>
      </c>
      <c r="I1572">
        <v>50.4</v>
      </c>
      <c r="J1572">
        <v>0</v>
      </c>
      <c r="K1572">
        <v>8</v>
      </c>
      <c r="N1572">
        <v>8</v>
      </c>
      <c r="O1572">
        <v>4</v>
      </c>
      <c r="P1572">
        <v>0</v>
      </c>
      <c r="Q1572">
        <v>62.4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3</v>
      </c>
      <c r="AB1572">
        <v>0</v>
      </c>
      <c r="AD1572">
        <v>65.400000000000006</v>
      </c>
    </row>
    <row r="1573" spans="1:30" x14ac:dyDescent="0.3">
      <c r="A1573" s="4">
        <v>1588</v>
      </c>
      <c r="B1573" s="5">
        <v>1566</v>
      </c>
      <c r="C1573">
        <v>2626</v>
      </c>
      <c r="D1573" t="s">
        <v>3530</v>
      </c>
      <c r="E1573" t="s">
        <v>3302</v>
      </c>
      <c r="F1573" t="s">
        <v>375</v>
      </c>
      <c r="G1573" t="s">
        <v>3531</v>
      </c>
      <c r="H1573" t="str">
        <f>"00523374"</f>
        <v>00523374</v>
      </c>
      <c r="I1573">
        <v>38.4</v>
      </c>
      <c r="J1573">
        <v>0</v>
      </c>
      <c r="N1573">
        <v>0</v>
      </c>
      <c r="O1573">
        <v>4</v>
      </c>
      <c r="P1573">
        <v>2</v>
      </c>
      <c r="Q1573">
        <v>44.4</v>
      </c>
      <c r="R1573">
        <v>18</v>
      </c>
      <c r="S1573">
        <v>18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18</v>
      </c>
      <c r="AA1573">
        <v>3</v>
      </c>
      <c r="AB1573">
        <v>0</v>
      </c>
      <c r="AD1573">
        <v>65.400000000000006</v>
      </c>
    </row>
    <row r="1574" spans="1:30" x14ac:dyDescent="0.3">
      <c r="A1574" s="4">
        <v>1589</v>
      </c>
      <c r="B1574" s="5">
        <v>1567</v>
      </c>
      <c r="C1574">
        <v>4156</v>
      </c>
      <c r="D1574" t="s">
        <v>3532</v>
      </c>
      <c r="E1574" t="s">
        <v>957</v>
      </c>
      <c r="F1574" t="s">
        <v>38</v>
      </c>
      <c r="G1574" t="s">
        <v>3533</v>
      </c>
      <c r="H1574" t="str">
        <f>"00327938"</f>
        <v>00327938</v>
      </c>
      <c r="I1574">
        <v>32.4</v>
      </c>
      <c r="J1574">
        <v>10</v>
      </c>
      <c r="N1574">
        <v>0</v>
      </c>
      <c r="O1574">
        <v>4</v>
      </c>
      <c r="P1574">
        <v>2</v>
      </c>
      <c r="Q1574">
        <v>48.4</v>
      </c>
      <c r="R1574">
        <v>8</v>
      </c>
      <c r="S1574">
        <v>8</v>
      </c>
      <c r="T1574">
        <v>0</v>
      </c>
      <c r="U1574">
        <v>0</v>
      </c>
      <c r="V1574">
        <v>6</v>
      </c>
      <c r="W1574">
        <v>9</v>
      </c>
      <c r="X1574">
        <v>0</v>
      </c>
      <c r="Y1574">
        <v>0</v>
      </c>
      <c r="Z1574">
        <v>17</v>
      </c>
      <c r="AA1574">
        <v>0</v>
      </c>
      <c r="AB1574">
        <v>0</v>
      </c>
      <c r="AD1574">
        <v>65.400000000000006</v>
      </c>
    </row>
    <row r="1575" spans="1:30" x14ac:dyDescent="0.3">
      <c r="A1575" s="4">
        <v>1590</v>
      </c>
      <c r="B1575" s="5">
        <v>1568</v>
      </c>
      <c r="C1575">
        <v>4261</v>
      </c>
      <c r="D1575" t="s">
        <v>3534</v>
      </c>
      <c r="E1575" t="s">
        <v>161</v>
      </c>
      <c r="F1575" t="s">
        <v>81</v>
      </c>
      <c r="G1575" t="s">
        <v>3535</v>
      </c>
      <c r="H1575" t="str">
        <f>"00509845"</f>
        <v>00509845</v>
      </c>
      <c r="I1575">
        <v>14.4</v>
      </c>
      <c r="J1575">
        <v>0</v>
      </c>
      <c r="K1575">
        <v>8</v>
      </c>
      <c r="N1575">
        <v>8</v>
      </c>
      <c r="O1575">
        <v>4</v>
      </c>
      <c r="P1575">
        <v>2</v>
      </c>
      <c r="Q1575">
        <v>28.4</v>
      </c>
      <c r="R1575">
        <v>37</v>
      </c>
      <c r="S1575">
        <v>37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37</v>
      </c>
      <c r="AA1575">
        <v>0</v>
      </c>
      <c r="AB1575">
        <v>0</v>
      </c>
      <c r="AD1575">
        <v>65.400000000000006</v>
      </c>
    </row>
    <row r="1576" spans="1:30" x14ac:dyDescent="0.3">
      <c r="A1576" s="4">
        <v>1591</v>
      </c>
      <c r="B1576" s="5">
        <v>1569</v>
      </c>
      <c r="C1576">
        <v>3851</v>
      </c>
      <c r="D1576" t="s">
        <v>3536</v>
      </c>
      <c r="E1576" t="s">
        <v>208</v>
      </c>
      <c r="F1576" t="s">
        <v>238</v>
      </c>
      <c r="G1576" t="s">
        <v>3537</v>
      </c>
      <c r="H1576" t="str">
        <f>"00529290"</f>
        <v>00529290</v>
      </c>
      <c r="I1576">
        <v>22.32</v>
      </c>
      <c r="J1576">
        <v>0</v>
      </c>
      <c r="N1576">
        <v>0</v>
      </c>
      <c r="O1576">
        <v>0</v>
      </c>
      <c r="P1576">
        <v>0</v>
      </c>
      <c r="Q1576">
        <v>22.32</v>
      </c>
      <c r="R1576">
        <v>43</v>
      </c>
      <c r="S1576">
        <v>43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43</v>
      </c>
      <c r="AA1576">
        <v>0</v>
      </c>
      <c r="AB1576">
        <v>0</v>
      </c>
      <c r="AD1576">
        <v>65.319999999999993</v>
      </c>
    </row>
    <row r="1577" spans="1:30" x14ac:dyDescent="0.3">
      <c r="A1577" s="4">
        <v>1592</v>
      </c>
      <c r="B1577" s="5">
        <v>1570</v>
      </c>
      <c r="C1577">
        <v>4288</v>
      </c>
      <c r="D1577" t="s">
        <v>1575</v>
      </c>
      <c r="E1577" t="s">
        <v>29</v>
      </c>
      <c r="F1577" t="s">
        <v>158</v>
      </c>
      <c r="G1577" t="s">
        <v>3538</v>
      </c>
      <c r="H1577" t="str">
        <f>"00517951"</f>
        <v>00517951</v>
      </c>
      <c r="I1577">
        <v>43.2</v>
      </c>
      <c r="J1577">
        <v>10</v>
      </c>
      <c r="L1577">
        <v>6</v>
      </c>
      <c r="N1577">
        <v>6</v>
      </c>
      <c r="O1577">
        <v>4</v>
      </c>
      <c r="P1577">
        <v>2</v>
      </c>
      <c r="Q1577">
        <v>65.2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D1577">
        <v>65.2</v>
      </c>
    </row>
    <row r="1578" spans="1:30" x14ac:dyDescent="0.3">
      <c r="A1578" s="4">
        <v>1593</v>
      </c>
      <c r="B1578" s="5">
        <v>1571</v>
      </c>
      <c r="C1578">
        <v>58</v>
      </c>
      <c r="D1578" t="s">
        <v>3539</v>
      </c>
      <c r="E1578" t="s">
        <v>3540</v>
      </c>
      <c r="F1578" t="s">
        <v>117</v>
      </c>
      <c r="G1578" t="s">
        <v>3541</v>
      </c>
      <c r="H1578" t="str">
        <f>"00237014"</f>
        <v>00237014</v>
      </c>
      <c r="I1578">
        <v>43.2</v>
      </c>
      <c r="J1578">
        <v>10</v>
      </c>
      <c r="K1578">
        <v>8</v>
      </c>
      <c r="N1578">
        <v>8</v>
      </c>
      <c r="O1578">
        <v>4</v>
      </c>
      <c r="P1578">
        <v>0</v>
      </c>
      <c r="Q1578">
        <v>65.2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D1578">
        <v>65.2</v>
      </c>
    </row>
    <row r="1579" spans="1:30" x14ac:dyDescent="0.3">
      <c r="A1579" s="4">
        <v>1594</v>
      </c>
      <c r="B1579" s="5">
        <v>1572</v>
      </c>
      <c r="C1579">
        <v>2391</v>
      </c>
      <c r="D1579" t="s">
        <v>3542</v>
      </c>
      <c r="E1579" t="s">
        <v>208</v>
      </c>
      <c r="F1579" t="s">
        <v>626</v>
      </c>
      <c r="G1579" t="s">
        <v>3543</v>
      </c>
      <c r="H1579" t="str">
        <f>"00527139"</f>
        <v>00527139</v>
      </c>
      <c r="I1579">
        <v>43.2</v>
      </c>
      <c r="J1579">
        <v>0</v>
      </c>
      <c r="N1579">
        <v>0</v>
      </c>
      <c r="O1579">
        <v>4</v>
      </c>
      <c r="P1579">
        <v>0</v>
      </c>
      <c r="Q1579">
        <v>47.2</v>
      </c>
      <c r="R1579">
        <v>18</v>
      </c>
      <c r="S1579">
        <v>18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18</v>
      </c>
      <c r="AA1579">
        <v>0</v>
      </c>
      <c r="AB1579">
        <v>0</v>
      </c>
      <c r="AD1579">
        <v>65.2</v>
      </c>
    </row>
    <row r="1580" spans="1:30" x14ac:dyDescent="0.3">
      <c r="A1580" s="4">
        <v>1595</v>
      </c>
      <c r="B1580" s="5">
        <v>1573</v>
      </c>
      <c r="C1580">
        <v>2218</v>
      </c>
      <c r="D1580" t="s">
        <v>3544</v>
      </c>
      <c r="E1580" t="s">
        <v>3545</v>
      </c>
      <c r="F1580" t="s">
        <v>34</v>
      </c>
      <c r="G1580" t="s">
        <v>3546</v>
      </c>
      <c r="H1580" t="str">
        <f>"00533645"</f>
        <v>00533645</v>
      </c>
      <c r="I1580">
        <v>17.2</v>
      </c>
      <c r="J1580">
        <v>10</v>
      </c>
      <c r="N1580">
        <v>0</v>
      </c>
      <c r="O1580">
        <v>0</v>
      </c>
      <c r="P1580">
        <v>0</v>
      </c>
      <c r="Q1580">
        <v>27.2</v>
      </c>
      <c r="R1580">
        <v>38</v>
      </c>
      <c r="S1580">
        <v>38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38</v>
      </c>
      <c r="AA1580">
        <v>0</v>
      </c>
      <c r="AB1580">
        <v>0</v>
      </c>
      <c r="AD1580">
        <v>65.2</v>
      </c>
    </row>
    <row r="1581" spans="1:30" x14ac:dyDescent="0.3">
      <c r="A1581" s="4">
        <v>1596</v>
      </c>
      <c r="B1581" s="5">
        <v>1574</v>
      </c>
      <c r="C1581">
        <v>2048</v>
      </c>
      <c r="D1581" t="s">
        <v>3547</v>
      </c>
      <c r="E1581" t="s">
        <v>479</v>
      </c>
      <c r="F1581" t="s">
        <v>124</v>
      </c>
      <c r="G1581" t="s">
        <v>3548</v>
      </c>
      <c r="H1581" t="str">
        <f>"00528900"</f>
        <v>00528900</v>
      </c>
      <c r="I1581">
        <v>36</v>
      </c>
      <c r="J1581">
        <v>0</v>
      </c>
      <c r="N1581">
        <v>0</v>
      </c>
      <c r="O1581">
        <v>4</v>
      </c>
      <c r="P1581">
        <v>2</v>
      </c>
      <c r="Q1581">
        <v>42</v>
      </c>
      <c r="R1581">
        <v>17</v>
      </c>
      <c r="S1581">
        <v>17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17</v>
      </c>
      <c r="AA1581">
        <v>6</v>
      </c>
      <c r="AB1581">
        <v>0</v>
      </c>
      <c r="AD1581">
        <v>65</v>
      </c>
    </row>
    <row r="1582" spans="1:30" x14ac:dyDescent="0.3">
      <c r="A1582" s="4">
        <v>1597</v>
      </c>
      <c r="B1582" s="5">
        <v>1575</v>
      </c>
      <c r="C1582">
        <v>362</v>
      </c>
      <c r="D1582" t="s">
        <v>3549</v>
      </c>
      <c r="E1582" t="s">
        <v>19</v>
      </c>
      <c r="F1582" t="s">
        <v>20</v>
      </c>
      <c r="G1582" t="s">
        <v>3550</v>
      </c>
      <c r="H1582" t="str">
        <f>"201510003530"</f>
        <v>201510003530</v>
      </c>
      <c r="I1582">
        <v>40</v>
      </c>
      <c r="J1582">
        <v>10</v>
      </c>
      <c r="K1582">
        <v>8</v>
      </c>
      <c r="N1582">
        <v>8</v>
      </c>
      <c r="O1582">
        <v>4</v>
      </c>
      <c r="P1582">
        <v>0</v>
      </c>
      <c r="Q1582">
        <v>62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3</v>
      </c>
      <c r="AB1582">
        <v>0</v>
      </c>
      <c r="AD1582">
        <v>65</v>
      </c>
    </row>
    <row r="1583" spans="1:30" x14ac:dyDescent="0.3">
      <c r="A1583" s="4">
        <v>1598</v>
      </c>
      <c r="B1583" s="5">
        <v>1576</v>
      </c>
      <c r="C1583">
        <v>1184</v>
      </c>
      <c r="D1583" t="s">
        <v>715</v>
      </c>
      <c r="E1583" t="s">
        <v>166</v>
      </c>
      <c r="F1583" t="s">
        <v>20</v>
      </c>
      <c r="G1583" t="s">
        <v>3551</v>
      </c>
      <c r="H1583" t="str">
        <f>"00530392"</f>
        <v>00530392</v>
      </c>
      <c r="I1583">
        <v>33</v>
      </c>
      <c r="J1583">
        <v>0</v>
      </c>
      <c r="L1583">
        <v>6</v>
      </c>
      <c r="N1583">
        <v>6</v>
      </c>
      <c r="O1583">
        <v>4</v>
      </c>
      <c r="P1583">
        <v>2</v>
      </c>
      <c r="Q1583">
        <v>45</v>
      </c>
      <c r="R1583">
        <v>17</v>
      </c>
      <c r="S1583">
        <v>17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17</v>
      </c>
      <c r="AA1583">
        <v>3</v>
      </c>
      <c r="AB1583">
        <v>0</v>
      </c>
      <c r="AD1583">
        <v>65</v>
      </c>
    </row>
    <row r="1584" spans="1:30" x14ac:dyDescent="0.3">
      <c r="A1584" s="4">
        <v>1599</v>
      </c>
      <c r="B1584" s="5">
        <v>1577</v>
      </c>
      <c r="C1584">
        <v>51</v>
      </c>
      <c r="D1584" t="s">
        <v>3552</v>
      </c>
      <c r="E1584" t="s">
        <v>54</v>
      </c>
      <c r="F1584" t="s">
        <v>1526</v>
      </c>
      <c r="G1584" t="s">
        <v>3553</v>
      </c>
      <c r="H1584" t="str">
        <f>"201511026965"</f>
        <v>201511026965</v>
      </c>
      <c r="I1584">
        <v>0</v>
      </c>
      <c r="J1584">
        <v>10</v>
      </c>
      <c r="K1584">
        <v>8</v>
      </c>
      <c r="N1584">
        <v>8</v>
      </c>
      <c r="O1584">
        <v>4</v>
      </c>
      <c r="P1584">
        <v>2</v>
      </c>
      <c r="Q1584">
        <v>24</v>
      </c>
      <c r="R1584">
        <v>38</v>
      </c>
      <c r="S1584">
        <v>38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38</v>
      </c>
      <c r="AA1584">
        <v>3</v>
      </c>
      <c r="AB1584">
        <v>0</v>
      </c>
      <c r="AD1584">
        <v>65</v>
      </c>
    </row>
    <row r="1585" spans="1:30" x14ac:dyDescent="0.3">
      <c r="A1585" s="4">
        <v>1600</v>
      </c>
      <c r="B1585" s="5">
        <v>1578</v>
      </c>
      <c r="C1585">
        <v>1905</v>
      </c>
      <c r="D1585" t="s">
        <v>3554</v>
      </c>
      <c r="E1585" t="s">
        <v>744</v>
      </c>
      <c r="F1585" t="s">
        <v>81</v>
      </c>
      <c r="G1585" t="s">
        <v>3555</v>
      </c>
      <c r="H1585" t="str">
        <f>"00090273"</f>
        <v>00090273</v>
      </c>
      <c r="I1585">
        <v>40</v>
      </c>
      <c r="J1585">
        <v>0</v>
      </c>
      <c r="K1585">
        <v>8</v>
      </c>
      <c r="L1585">
        <v>6</v>
      </c>
      <c r="N1585">
        <v>14</v>
      </c>
      <c r="O1585">
        <v>4</v>
      </c>
      <c r="P1585">
        <v>2</v>
      </c>
      <c r="Q1585">
        <v>60</v>
      </c>
      <c r="R1585">
        <v>5</v>
      </c>
      <c r="S1585">
        <v>5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5</v>
      </c>
      <c r="AA1585">
        <v>0</v>
      </c>
      <c r="AB1585">
        <v>0</v>
      </c>
      <c r="AD1585">
        <v>65</v>
      </c>
    </row>
    <row r="1586" spans="1:30" x14ac:dyDescent="0.3">
      <c r="A1586" s="4">
        <v>1601</v>
      </c>
      <c r="B1586" s="5">
        <v>1579</v>
      </c>
      <c r="C1586">
        <v>2394</v>
      </c>
      <c r="D1586" t="s">
        <v>2818</v>
      </c>
      <c r="E1586" t="s">
        <v>37</v>
      </c>
      <c r="F1586" t="s">
        <v>570</v>
      </c>
      <c r="G1586" t="s">
        <v>3556</v>
      </c>
      <c r="H1586" t="str">
        <f>"00159791"</f>
        <v>00159791</v>
      </c>
      <c r="I1586">
        <v>38</v>
      </c>
      <c r="J1586">
        <v>10</v>
      </c>
      <c r="L1586">
        <v>6</v>
      </c>
      <c r="N1586">
        <v>6</v>
      </c>
      <c r="O1586">
        <v>4</v>
      </c>
      <c r="P1586">
        <v>0</v>
      </c>
      <c r="Q1586">
        <v>58</v>
      </c>
      <c r="R1586">
        <v>7</v>
      </c>
      <c r="S1586">
        <v>7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7</v>
      </c>
      <c r="AA1586">
        <v>0</v>
      </c>
      <c r="AB1586">
        <v>0</v>
      </c>
      <c r="AD1586">
        <v>65</v>
      </c>
    </row>
    <row r="1587" spans="1:30" x14ac:dyDescent="0.3">
      <c r="A1587" s="4">
        <v>1602</v>
      </c>
      <c r="B1587" s="5">
        <v>1580</v>
      </c>
      <c r="C1587">
        <v>1045</v>
      </c>
      <c r="D1587" t="s">
        <v>3557</v>
      </c>
      <c r="E1587" t="s">
        <v>161</v>
      </c>
      <c r="F1587" t="s">
        <v>117</v>
      </c>
      <c r="G1587" t="s">
        <v>3558</v>
      </c>
      <c r="H1587" t="str">
        <f>"00531584"</f>
        <v>00531584</v>
      </c>
      <c r="I1587">
        <v>30</v>
      </c>
      <c r="J1587">
        <v>10</v>
      </c>
      <c r="K1587">
        <v>8</v>
      </c>
      <c r="N1587">
        <v>8</v>
      </c>
      <c r="O1587">
        <v>4</v>
      </c>
      <c r="P1587">
        <v>2</v>
      </c>
      <c r="Q1587">
        <v>54</v>
      </c>
      <c r="R1587">
        <v>11</v>
      </c>
      <c r="S1587">
        <v>11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11</v>
      </c>
      <c r="AA1587">
        <v>0</v>
      </c>
      <c r="AB1587">
        <v>0</v>
      </c>
      <c r="AD1587">
        <v>65</v>
      </c>
    </row>
    <row r="1588" spans="1:30" x14ac:dyDescent="0.3">
      <c r="A1588" s="4">
        <v>1603</v>
      </c>
      <c r="B1588" s="5">
        <v>1581</v>
      </c>
      <c r="C1588">
        <v>3551</v>
      </c>
      <c r="D1588" t="s">
        <v>1528</v>
      </c>
      <c r="E1588" t="s">
        <v>182</v>
      </c>
      <c r="F1588" t="s">
        <v>17</v>
      </c>
      <c r="G1588" t="s">
        <v>3559</v>
      </c>
      <c r="H1588" t="str">
        <f>"00532832"</f>
        <v>00532832</v>
      </c>
      <c r="I1588">
        <v>28.8</v>
      </c>
      <c r="J1588">
        <v>0</v>
      </c>
      <c r="K1588">
        <v>8</v>
      </c>
      <c r="N1588">
        <v>8</v>
      </c>
      <c r="O1588">
        <v>4</v>
      </c>
      <c r="P1588">
        <v>2</v>
      </c>
      <c r="Q1588">
        <v>42.8</v>
      </c>
      <c r="R1588">
        <v>6</v>
      </c>
      <c r="S1588">
        <v>6</v>
      </c>
      <c r="T1588">
        <v>0</v>
      </c>
      <c r="U1588">
        <v>0</v>
      </c>
      <c r="V1588">
        <v>7</v>
      </c>
      <c r="W1588">
        <v>10</v>
      </c>
      <c r="X1588">
        <v>0</v>
      </c>
      <c r="Y1588">
        <v>0</v>
      </c>
      <c r="Z1588">
        <v>16</v>
      </c>
      <c r="AA1588">
        <v>6</v>
      </c>
      <c r="AB1588">
        <v>0</v>
      </c>
      <c r="AD1588">
        <v>64.8</v>
      </c>
    </row>
    <row r="1589" spans="1:30" x14ac:dyDescent="0.3">
      <c r="A1589" s="4">
        <v>1604</v>
      </c>
      <c r="B1589" s="5">
        <v>1582</v>
      </c>
      <c r="C1589">
        <v>2126</v>
      </c>
      <c r="D1589" t="s">
        <v>3560</v>
      </c>
      <c r="E1589" t="s">
        <v>37</v>
      </c>
      <c r="F1589" t="s">
        <v>17</v>
      </c>
      <c r="G1589" t="s">
        <v>3561</v>
      </c>
      <c r="H1589" t="str">
        <f>"00124997"</f>
        <v>00124997</v>
      </c>
      <c r="I1589">
        <v>28.8</v>
      </c>
      <c r="J1589">
        <v>0</v>
      </c>
      <c r="K1589">
        <v>8</v>
      </c>
      <c r="N1589">
        <v>8</v>
      </c>
      <c r="O1589">
        <v>4</v>
      </c>
      <c r="P1589">
        <v>2</v>
      </c>
      <c r="Q1589">
        <v>42.8</v>
      </c>
      <c r="R1589">
        <v>16</v>
      </c>
      <c r="S1589">
        <v>16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16</v>
      </c>
      <c r="AA1589">
        <v>6</v>
      </c>
      <c r="AB1589">
        <v>0</v>
      </c>
      <c r="AD1589">
        <v>64.8</v>
      </c>
    </row>
    <row r="1590" spans="1:30" x14ac:dyDescent="0.3">
      <c r="A1590" s="4">
        <v>1605</v>
      </c>
      <c r="B1590" s="5">
        <v>1583</v>
      </c>
      <c r="C1590">
        <v>4056</v>
      </c>
      <c r="D1590" t="s">
        <v>3562</v>
      </c>
      <c r="E1590" t="s">
        <v>147</v>
      </c>
      <c r="F1590" t="s">
        <v>30</v>
      </c>
      <c r="G1590" t="s">
        <v>3563</v>
      </c>
      <c r="H1590" t="str">
        <f>"00861296"</f>
        <v>00861296</v>
      </c>
      <c r="I1590">
        <v>64.8</v>
      </c>
      <c r="J1590">
        <v>0</v>
      </c>
      <c r="N1590">
        <v>0</v>
      </c>
      <c r="O1590">
        <v>0</v>
      </c>
      <c r="P1590">
        <v>0</v>
      </c>
      <c r="Q1590">
        <v>64.8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D1590">
        <v>64.8</v>
      </c>
    </row>
    <row r="1591" spans="1:30" x14ac:dyDescent="0.3">
      <c r="A1591" s="4">
        <v>1606</v>
      </c>
      <c r="B1591" s="5">
        <v>1584</v>
      </c>
      <c r="C1591">
        <v>3114</v>
      </c>
      <c r="D1591" t="s">
        <v>944</v>
      </c>
      <c r="E1591" t="s">
        <v>54</v>
      </c>
      <c r="F1591" t="s">
        <v>385</v>
      </c>
      <c r="G1591" t="s">
        <v>3564</v>
      </c>
      <c r="H1591" t="str">
        <f>"00860067"</f>
        <v>00860067</v>
      </c>
      <c r="I1591">
        <v>64.8</v>
      </c>
      <c r="J1591">
        <v>0</v>
      </c>
      <c r="N1591">
        <v>0</v>
      </c>
      <c r="O1591">
        <v>0</v>
      </c>
      <c r="P1591">
        <v>0</v>
      </c>
      <c r="Q1591">
        <v>64.8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D1591">
        <v>64.8</v>
      </c>
    </row>
    <row r="1592" spans="1:30" x14ac:dyDescent="0.3">
      <c r="A1592" s="4">
        <v>1607</v>
      </c>
      <c r="B1592" s="5">
        <v>1585</v>
      </c>
      <c r="C1592">
        <v>790</v>
      </c>
      <c r="D1592" t="s">
        <v>3565</v>
      </c>
      <c r="E1592" t="s">
        <v>3566</v>
      </c>
      <c r="F1592" t="s">
        <v>81</v>
      </c>
      <c r="G1592" t="s">
        <v>3567</v>
      </c>
      <c r="H1592" t="str">
        <f>"00855516"</f>
        <v>00855516</v>
      </c>
      <c r="I1592">
        <v>28.8</v>
      </c>
      <c r="J1592">
        <v>0</v>
      </c>
      <c r="N1592">
        <v>0</v>
      </c>
      <c r="O1592">
        <v>0</v>
      </c>
      <c r="P1592">
        <v>0</v>
      </c>
      <c r="Q1592">
        <v>28.8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9</v>
      </c>
      <c r="AB1592">
        <v>26.8</v>
      </c>
      <c r="AD1592">
        <v>64.599999999999994</v>
      </c>
    </row>
    <row r="1593" spans="1:30" x14ac:dyDescent="0.3">
      <c r="A1593" s="4">
        <v>1608</v>
      </c>
      <c r="B1593" s="5">
        <v>1586</v>
      </c>
      <c r="C1593">
        <v>3858</v>
      </c>
      <c r="D1593" t="s">
        <v>3568</v>
      </c>
      <c r="E1593" t="s">
        <v>1016</v>
      </c>
      <c r="F1593" t="s">
        <v>17</v>
      </c>
      <c r="G1593" t="s">
        <v>3569</v>
      </c>
      <c r="H1593" t="str">
        <f>"00854315"</f>
        <v>00854315</v>
      </c>
      <c r="I1593">
        <v>57.6</v>
      </c>
      <c r="J1593">
        <v>0</v>
      </c>
      <c r="N1593">
        <v>0</v>
      </c>
      <c r="O1593">
        <v>4</v>
      </c>
      <c r="P1593">
        <v>0</v>
      </c>
      <c r="Q1593">
        <v>61.6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3</v>
      </c>
      <c r="AB1593">
        <v>0</v>
      </c>
      <c r="AD1593">
        <v>64.599999999999994</v>
      </c>
    </row>
    <row r="1594" spans="1:30" x14ac:dyDescent="0.3">
      <c r="A1594" s="4">
        <v>1609</v>
      </c>
      <c r="B1594" s="5">
        <v>1587</v>
      </c>
      <c r="C1594">
        <v>2516</v>
      </c>
      <c r="D1594" t="s">
        <v>3570</v>
      </c>
      <c r="E1594" t="s">
        <v>3571</v>
      </c>
      <c r="F1594" t="s">
        <v>3572</v>
      </c>
      <c r="G1594" t="s">
        <v>3573</v>
      </c>
      <c r="H1594" t="str">
        <f>"00524463"</f>
        <v>00524463</v>
      </c>
      <c r="I1594">
        <v>57.6</v>
      </c>
      <c r="J1594">
        <v>0</v>
      </c>
      <c r="M1594">
        <v>4</v>
      </c>
      <c r="N1594">
        <v>4</v>
      </c>
      <c r="O1594">
        <v>0</v>
      </c>
      <c r="P1594">
        <v>0</v>
      </c>
      <c r="Q1594">
        <v>61.6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3</v>
      </c>
      <c r="AB1594">
        <v>0</v>
      </c>
      <c r="AD1594">
        <v>64.599999999999994</v>
      </c>
    </row>
    <row r="1595" spans="1:30" x14ac:dyDescent="0.3">
      <c r="A1595" s="4">
        <v>1610</v>
      </c>
      <c r="B1595" s="5">
        <v>1588</v>
      </c>
      <c r="C1595">
        <v>836</v>
      </c>
      <c r="D1595" t="s">
        <v>3574</v>
      </c>
      <c r="E1595" t="s">
        <v>825</v>
      </c>
      <c r="F1595" t="s">
        <v>38</v>
      </c>
      <c r="G1595" t="s">
        <v>3575</v>
      </c>
      <c r="H1595" t="str">
        <f>"00573798"</f>
        <v>00573798</v>
      </c>
      <c r="I1595">
        <v>57.6</v>
      </c>
      <c r="J1595">
        <v>0</v>
      </c>
      <c r="N1595">
        <v>0</v>
      </c>
      <c r="O1595">
        <v>4</v>
      </c>
      <c r="P1595">
        <v>0</v>
      </c>
      <c r="Q1595">
        <v>61.6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3</v>
      </c>
      <c r="AB1595">
        <v>0</v>
      </c>
      <c r="AD1595">
        <v>64.599999999999994</v>
      </c>
    </row>
    <row r="1596" spans="1:30" x14ac:dyDescent="0.3">
      <c r="A1596" s="4">
        <v>1611</v>
      </c>
      <c r="B1596" s="5">
        <v>1589</v>
      </c>
      <c r="C1596">
        <v>4634</v>
      </c>
      <c r="D1596" t="s">
        <v>545</v>
      </c>
      <c r="E1596" t="s">
        <v>825</v>
      </c>
      <c r="F1596" t="s">
        <v>343</v>
      </c>
      <c r="G1596" t="s">
        <v>3576</v>
      </c>
      <c r="H1596" t="str">
        <f>"00865786"</f>
        <v>00865786</v>
      </c>
      <c r="I1596">
        <v>57.6</v>
      </c>
      <c r="J1596">
        <v>0</v>
      </c>
      <c r="N1596">
        <v>0</v>
      </c>
      <c r="O1596">
        <v>4</v>
      </c>
      <c r="P1596">
        <v>0</v>
      </c>
      <c r="Q1596">
        <v>61.6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3</v>
      </c>
      <c r="AB1596">
        <v>0</v>
      </c>
      <c r="AD1596">
        <v>64.599999999999994</v>
      </c>
    </row>
    <row r="1597" spans="1:30" x14ac:dyDescent="0.3">
      <c r="A1597" s="4">
        <v>1612</v>
      </c>
      <c r="B1597" s="5">
        <v>1590</v>
      </c>
      <c r="C1597">
        <v>1122</v>
      </c>
      <c r="D1597" t="s">
        <v>3577</v>
      </c>
      <c r="E1597" t="s">
        <v>161</v>
      </c>
      <c r="F1597" t="s">
        <v>68</v>
      </c>
      <c r="G1597" t="s">
        <v>3578</v>
      </c>
      <c r="H1597" t="str">
        <f>"00272463"</f>
        <v>00272463</v>
      </c>
      <c r="I1597">
        <v>39.6</v>
      </c>
      <c r="J1597">
        <v>10</v>
      </c>
      <c r="L1597">
        <v>6</v>
      </c>
      <c r="N1597">
        <v>6</v>
      </c>
      <c r="O1597">
        <v>4</v>
      </c>
      <c r="P1597">
        <v>2</v>
      </c>
      <c r="Q1597">
        <v>61.6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3</v>
      </c>
      <c r="AB1597">
        <v>0</v>
      </c>
      <c r="AD1597">
        <v>64.599999999999994</v>
      </c>
    </row>
    <row r="1598" spans="1:30" x14ac:dyDescent="0.3">
      <c r="A1598" s="4">
        <v>1613</v>
      </c>
      <c r="B1598" s="5">
        <v>1591</v>
      </c>
      <c r="C1598">
        <v>3970</v>
      </c>
      <c r="D1598" t="s">
        <v>3579</v>
      </c>
      <c r="E1598" t="s">
        <v>213</v>
      </c>
      <c r="F1598" t="s">
        <v>34</v>
      </c>
      <c r="G1598" t="s">
        <v>3580</v>
      </c>
      <c r="H1598" t="str">
        <f>"00485818"</f>
        <v>00485818</v>
      </c>
      <c r="I1598">
        <v>21.6</v>
      </c>
      <c r="J1598">
        <v>0</v>
      </c>
      <c r="M1598">
        <v>4</v>
      </c>
      <c r="N1598">
        <v>4</v>
      </c>
      <c r="O1598">
        <v>4</v>
      </c>
      <c r="P1598">
        <v>2</v>
      </c>
      <c r="Q1598">
        <v>31.6</v>
      </c>
      <c r="R1598">
        <v>30</v>
      </c>
      <c r="S1598">
        <v>30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30</v>
      </c>
      <c r="AA1598">
        <v>3</v>
      </c>
      <c r="AB1598">
        <v>0</v>
      </c>
      <c r="AD1598">
        <v>64.599999999999994</v>
      </c>
    </row>
    <row r="1599" spans="1:30" x14ac:dyDescent="0.3">
      <c r="A1599" s="4">
        <v>1614</v>
      </c>
      <c r="B1599" s="5">
        <v>1592</v>
      </c>
      <c r="C1599">
        <v>1482</v>
      </c>
      <c r="D1599" t="s">
        <v>3581</v>
      </c>
      <c r="E1599" t="s">
        <v>575</v>
      </c>
      <c r="F1599" t="s">
        <v>124</v>
      </c>
      <c r="G1599" t="s">
        <v>3582</v>
      </c>
      <c r="H1599" t="str">
        <f>"00201088"</f>
        <v>00201088</v>
      </c>
      <c r="I1599">
        <v>50.4</v>
      </c>
      <c r="J1599">
        <v>0</v>
      </c>
      <c r="M1599">
        <v>4</v>
      </c>
      <c r="N1599">
        <v>4</v>
      </c>
      <c r="O1599">
        <v>4</v>
      </c>
      <c r="P1599">
        <v>0</v>
      </c>
      <c r="Q1599">
        <v>58.4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6</v>
      </c>
      <c r="AB1599">
        <v>0</v>
      </c>
      <c r="AD1599">
        <v>64.400000000000006</v>
      </c>
    </row>
    <row r="1600" spans="1:30" x14ac:dyDescent="0.3">
      <c r="A1600" s="4">
        <v>1615</v>
      </c>
      <c r="B1600" s="5">
        <v>1593</v>
      </c>
      <c r="C1600">
        <v>1446</v>
      </c>
      <c r="D1600" t="s">
        <v>3583</v>
      </c>
      <c r="E1600" t="s">
        <v>88</v>
      </c>
      <c r="F1600" t="s">
        <v>626</v>
      </c>
      <c r="G1600" t="s">
        <v>3584</v>
      </c>
      <c r="H1600" t="str">
        <f>"00557170"</f>
        <v>00557170</v>
      </c>
      <c r="I1600">
        <v>50.4</v>
      </c>
      <c r="J1600">
        <v>0</v>
      </c>
      <c r="M1600">
        <v>4</v>
      </c>
      <c r="N1600">
        <v>4</v>
      </c>
      <c r="O1600">
        <v>4</v>
      </c>
      <c r="P1600">
        <v>0</v>
      </c>
      <c r="Q1600">
        <v>58.4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6</v>
      </c>
      <c r="AB1600">
        <v>0</v>
      </c>
      <c r="AD1600">
        <v>64.400000000000006</v>
      </c>
    </row>
    <row r="1601" spans="1:30" x14ac:dyDescent="0.3">
      <c r="A1601" s="4">
        <v>1616</v>
      </c>
      <c r="B1601" s="5">
        <v>1594</v>
      </c>
      <c r="C1601">
        <v>904</v>
      </c>
      <c r="D1601" t="s">
        <v>3585</v>
      </c>
      <c r="E1601" t="s">
        <v>33</v>
      </c>
      <c r="F1601" t="s">
        <v>117</v>
      </c>
      <c r="G1601" t="s">
        <v>3586</v>
      </c>
      <c r="H1601" t="str">
        <f>"00616211"</f>
        <v>00616211</v>
      </c>
      <c r="I1601">
        <v>50.4</v>
      </c>
      <c r="J1601">
        <v>0</v>
      </c>
      <c r="M1601">
        <v>4</v>
      </c>
      <c r="N1601">
        <v>4</v>
      </c>
      <c r="O1601">
        <v>4</v>
      </c>
      <c r="P1601">
        <v>0</v>
      </c>
      <c r="Q1601">
        <v>58.4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6</v>
      </c>
      <c r="AB1601">
        <v>0</v>
      </c>
      <c r="AD1601">
        <v>64.400000000000006</v>
      </c>
    </row>
    <row r="1602" spans="1:30" x14ac:dyDescent="0.3">
      <c r="A1602" s="4">
        <v>1617</v>
      </c>
      <c r="B1602" s="5">
        <v>1595</v>
      </c>
      <c r="C1602">
        <v>976</v>
      </c>
      <c r="D1602" t="s">
        <v>3587</v>
      </c>
      <c r="E1602" t="s">
        <v>29</v>
      </c>
      <c r="F1602" t="s">
        <v>375</v>
      </c>
      <c r="G1602" t="s">
        <v>3588</v>
      </c>
      <c r="H1602" t="str">
        <f>"201201000110"</f>
        <v>201201000110</v>
      </c>
      <c r="I1602">
        <v>38.4</v>
      </c>
      <c r="J1602">
        <v>10</v>
      </c>
      <c r="M1602">
        <v>4</v>
      </c>
      <c r="N1602">
        <v>4</v>
      </c>
      <c r="O1602">
        <v>4</v>
      </c>
      <c r="P1602">
        <v>2</v>
      </c>
      <c r="Q1602">
        <v>58.4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6</v>
      </c>
      <c r="AB1602">
        <v>0</v>
      </c>
      <c r="AD1602">
        <v>64.400000000000006</v>
      </c>
    </row>
    <row r="1603" spans="1:30" x14ac:dyDescent="0.3">
      <c r="A1603" s="4">
        <v>1618</v>
      </c>
      <c r="B1603" s="5">
        <v>1596</v>
      </c>
      <c r="C1603">
        <v>636</v>
      </c>
      <c r="D1603" t="s">
        <v>3589</v>
      </c>
      <c r="E1603" t="s">
        <v>3590</v>
      </c>
      <c r="F1603" t="s">
        <v>3591</v>
      </c>
      <c r="G1603" t="s">
        <v>3592</v>
      </c>
      <c r="H1603" t="str">
        <f>"00487889"</f>
        <v>00487889</v>
      </c>
      <c r="I1603">
        <v>38.4</v>
      </c>
      <c r="J1603">
        <v>10</v>
      </c>
      <c r="L1603">
        <v>6</v>
      </c>
      <c r="N1603">
        <v>6</v>
      </c>
      <c r="O1603">
        <v>4</v>
      </c>
      <c r="P1603">
        <v>0</v>
      </c>
      <c r="Q1603">
        <v>58.4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6</v>
      </c>
      <c r="AB1603">
        <v>0</v>
      </c>
      <c r="AD1603">
        <v>64.400000000000006</v>
      </c>
    </row>
    <row r="1604" spans="1:30" x14ac:dyDescent="0.3">
      <c r="A1604" s="4">
        <v>1619</v>
      </c>
      <c r="B1604" s="5">
        <v>1597</v>
      </c>
      <c r="C1604">
        <v>1041</v>
      </c>
      <c r="D1604" t="s">
        <v>932</v>
      </c>
      <c r="E1604" t="s">
        <v>33</v>
      </c>
      <c r="F1604" t="s">
        <v>117</v>
      </c>
      <c r="G1604" t="s">
        <v>3593</v>
      </c>
      <c r="H1604" t="str">
        <f>"00428659"</f>
        <v>00428659</v>
      </c>
      <c r="I1604">
        <v>50.4</v>
      </c>
      <c r="J1604">
        <v>0</v>
      </c>
      <c r="K1604">
        <v>8</v>
      </c>
      <c r="N1604">
        <v>8</v>
      </c>
      <c r="O1604">
        <v>4</v>
      </c>
      <c r="P1604">
        <v>2</v>
      </c>
      <c r="Q1604">
        <v>64.400000000000006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D1604">
        <v>64.400000000000006</v>
      </c>
    </row>
    <row r="1605" spans="1:30" x14ac:dyDescent="0.3">
      <c r="A1605" s="4">
        <v>1620</v>
      </c>
      <c r="B1605" s="5">
        <v>1598</v>
      </c>
      <c r="C1605">
        <v>1468</v>
      </c>
      <c r="D1605" t="s">
        <v>3454</v>
      </c>
      <c r="E1605" t="s">
        <v>789</v>
      </c>
      <c r="F1605" t="s">
        <v>136</v>
      </c>
      <c r="G1605" t="s">
        <v>3594</v>
      </c>
      <c r="H1605" t="str">
        <f>"00704600"</f>
        <v>00704600</v>
      </c>
      <c r="I1605">
        <v>50.4</v>
      </c>
      <c r="J1605">
        <v>0</v>
      </c>
      <c r="K1605">
        <v>8</v>
      </c>
      <c r="N1605">
        <v>8</v>
      </c>
      <c r="O1605">
        <v>4</v>
      </c>
      <c r="P1605">
        <v>2</v>
      </c>
      <c r="Q1605">
        <v>64.400000000000006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D1605">
        <v>64.400000000000006</v>
      </c>
    </row>
    <row r="1606" spans="1:30" x14ac:dyDescent="0.3">
      <c r="A1606" s="4">
        <v>1621</v>
      </c>
      <c r="B1606" s="5">
        <v>1599</v>
      </c>
      <c r="C1606">
        <v>1366</v>
      </c>
      <c r="D1606" t="s">
        <v>3595</v>
      </c>
      <c r="E1606" t="s">
        <v>41</v>
      </c>
      <c r="F1606" t="s">
        <v>3130</v>
      </c>
      <c r="G1606" t="s">
        <v>3596</v>
      </c>
      <c r="H1606" t="str">
        <f>"00475943"</f>
        <v>00475943</v>
      </c>
      <c r="I1606">
        <v>50.4</v>
      </c>
      <c r="J1606">
        <v>0</v>
      </c>
      <c r="K1606">
        <v>8</v>
      </c>
      <c r="N1606">
        <v>8</v>
      </c>
      <c r="O1606">
        <v>4</v>
      </c>
      <c r="P1606">
        <v>2</v>
      </c>
      <c r="Q1606">
        <v>64.400000000000006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D1606">
        <v>64.400000000000006</v>
      </c>
    </row>
    <row r="1607" spans="1:30" x14ac:dyDescent="0.3">
      <c r="A1607" s="4">
        <v>1622</v>
      </c>
      <c r="B1607" s="5">
        <v>1600</v>
      </c>
      <c r="C1607">
        <v>913</v>
      </c>
      <c r="D1607" t="s">
        <v>3597</v>
      </c>
      <c r="E1607" t="s">
        <v>29</v>
      </c>
      <c r="F1607" t="s">
        <v>55</v>
      </c>
      <c r="G1607" t="s">
        <v>3598</v>
      </c>
      <c r="H1607" t="str">
        <f>"00697528"</f>
        <v>00697528</v>
      </c>
      <c r="I1607">
        <v>50.4</v>
      </c>
      <c r="J1607">
        <v>0</v>
      </c>
      <c r="K1607">
        <v>8</v>
      </c>
      <c r="N1607">
        <v>8</v>
      </c>
      <c r="O1607">
        <v>4</v>
      </c>
      <c r="P1607">
        <v>2</v>
      </c>
      <c r="Q1607">
        <v>64.400000000000006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D1607">
        <v>64.400000000000006</v>
      </c>
    </row>
    <row r="1608" spans="1:30" x14ac:dyDescent="0.3">
      <c r="A1608" s="4">
        <v>1623</v>
      </c>
      <c r="B1608" s="5">
        <v>1601</v>
      </c>
      <c r="C1608">
        <v>1210</v>
      </c>
      <c r="D1608" t="s">
        <v>3599</v>
      </c>
      <c r="E1608" t="s">
        <v>33</v>
      </c>
      <c r="F1608" t="s">
        <v>1023</v>
      </c>
      <c r="G1608" t="s">
        <v>3600</v>
      </c>
      <c r="H1608" t="str">
        <f>"00115515"</f>
        <v>00115515</v>
      </c>
      <c r="I1608">
        <v>50.4</v>
      </c>
      <c r="J1608">
        <v>0</v>
      </c>
      <c r="M1608">
        <v>8</v>
      </c>
      <c r="N1608">
        <v>8</v>
      </c>
      <c r="O1608">
        <v>4</v>
      </c>
      <c r="P1608">
        <v>2</v>
      </c>
      <c r="Q1608">
        <v>64.400000000000006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D1608">
        <v>64.400000000000006</v>
      </c>
    </row>
    <row r="1609" spans="1:30" x14ac:dyDescent="0.3">
      <c r="A1609" s="4">
        <v>1624</v>
      </c>
      <c r="B1609" s="5">
        <v>1602</v>
      </c>
      <c r="C1609">
        <v>333</v>
      </c>
      <c r="D1609" t="s">
        <v>3601</v>
      </c>
      <c r="E1609" t="s">
        <v>26</v>
      </c>
      <c r="F1609" t="s">
        <v>68</v>
      </c>
      <c r="G1609" t="s">
        <v>3602</v>
      </c>
      <c r="H1609" t="str">
        <f>"00263420"</f>
        <v>00263420</v>
      </c>
      <c r="I1609">
        <v>50.4</v>
      </c>
      <c r="J1609">
        <v>10</v>
      </c>
      <c r="N1609">
        <v>0</v>
      </c>
      <c r="O1609">
        <v>4</v>
      </c>
      <c r="P1609">
        <v>0</v>
      </c>
      <c r="Q1609">
        <v>64.400000000000006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D1609">
        <v>64.400000000000006</v>
      </c>
    </row>
    <row r="1610" spans="1:30" x14ac:dyDescent="0.3">
      <c r="A1610" s="4">
        <v>1625</v>
      </c>
      <c r="B1610" s="5">
        <v>1603</v>
      </c>
      <c r="C1610">
        <v>683</v>
      </c>
      <c r="D1610" t="s">
        <v>3603</v>
      </c>
      <c r="E1610" t="s">
        <v>471</v>
      </c>
      <c r="F1610" t="s">
        <v>3604</v>
      </c>
      <c r="G1610" t="s">
        <v>3605</v>
      </c>
      <c r="H1610" t="str">
        <f>"00493950"</f>
        <v>00493950</v>
      </c>
      <c r="I1610">
        <v>50.4</v>
      </c>
      <c r="J1610">
        <v>0</v>
      </c>
      <c r="K1610">
        <v>8</v>
      </c>
      <c r="N1610">
        <v>8</v>
      </c>
      <c r="O1610">
        <v>4</v>
      </c>
      <c r="P1610">
        <v>2</v>
      </c>
      <c r="Q1610">
        <v>64.400000000000006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D1610">
        <v>64.400000000000006</v>
      </c>
    </row>
    <row r="1611" spans="1:30" x14ac:dyDescent="0.3">
      <c r="A1611" s="4">
        <v>1626</v>
      </c>
      <c r="B1611" s="5">
        <v>1604</v>
      </c>
      <c r="C1611">
        <v>1067</v>
      </c>
      <c r="D1611" t="s">
        <v>3606</v>
      </c>
      <c r="E1611" t="s">
        <v>3607</v>
      </c>
      <c r="F1611" t="s">
        <v>55</v>
      </c>
      <c r="G1611" t="s">
        <v>3608</v>
      </c>
      <c r="H1611" t="str">
        <f>"00857996"</f>
        <v>00857996</v>
      </c>
      <c r="I1611">
        <v>50.4</v>
      </c>
      <c r="J1611">
        <v>10</v>
      </c>
      <c r="N1611">
        <v>0</v>
      </c>
      <c r="O1611">
        <v>4</v>
      </c>
      <c r="P1611">
        <v>0</v>
      </c>
      <c r="Q1611">
        <v>64.400000000000006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D1611">
        <v>64.400000000000006</v>
      </c>
    </row>
    <row r="1612" spans="1:30" x14ac:dyDescent="0.3">
      <c r="A1612" s="4">
        <v>1627</v>
      </c>
      <c r="B1612" s="5">
        <v>1605</v>
      </c>
      <c r="C1612">
        <v>49</v>
      </c>
      <c r="D1612" t="s">
        <v>1457</v>
      </c>
      <c r="E1612" t="s">
        <v>71</v>
      </c>
      <c r="F1612" t="s">
        <v>20</v>
      </c>
      <c r="G1612" t="s">
        <v>3609</v>
      </c>
      <c r="H1612" t="str">
        <f>"00609863"</f>
        <v>00609863</v>
      </c>
      <c r="I1612">
        <v>50.4</v>
      </c>
      <c r="J1612">
        <v>0</v>
      </c>
      <c r="K1612">
        <v>8</v>
      </c>
      <c r="N1612">
        <v>8</v>
      </c>
      <c r="O1612">
        <v>4</v>
      </c>
      <c r="P1612">
        <v>2</v>
      </c>
      <c r="Q1612">
        <v>64.400000000000006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D1612">
        <v>64.400000000000006</v>
      </c>
    </row>
    <row r="1613" spans="1:30" x14ac:dyDescent="0.3">
      <c r="A1613" s="4">
        <v>1628</v>
      </c>
      <c r="B1613" s="5">
        <v>1606</v>
      </c>
      <c r="C1613">
        <v>4499</v>
      </c>
      <c r="D1613" t="s">
        <v>3610</v>
      </c>
      <c r="E1613" t="s">
        <v>161</v>
      </c>
      <c r="F1613" t="s">
        <v>38</v>
      </c>
      <c r="G1613" t="s">
        <v>3611</v>
      </c>
      <c r="H1613" t="str">
        <f>"00596994"</f>
        <v>00596994</v>
      </c>
      <c r="I1613">
        <v>50.4</v>
      </c>
      <c r="J1613">
        <v>0</v>
      </c>
      <c r="K1613">
        <v>8</v>
      </c>
      <c r="N1613">
        <v>8</v>
      </c>
      <c r="O1613">
        <v>4</v>
      </c>
      <c r="P1613">
        <v>2</v>
      </c>
      <c r="Q1613">
        <v>64.400000000000006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D1613">
        <v>64.400000000000006</v>
      </c>
    </row>
    <row r="1614" spans="1:30" x14ac:dyDescent="0.3">
      <c r="A1614" s="4">
        <v>1629</v>
      </c>
      <c r="B1614" s="5">
        <v>1607</v>
      </c>
      <c r="C1614">
        <v>2975</v>
      </c>
      <c r="D1614" t="s">
        <v>3612</v>
      </c>
      <c r="E1614" t="s">
        <v>166</v>
      </c>
      <c r="F1614" t="s">
        <v>68</v>
      </c>
      <c r="G1614" t="s">
        <v>3613</v>
      </c>
      <c r="H1614" t="str">
        <f>"00129190"</f>
        <v>00129190</v>
      </c>
      <c r="I1614">
        <v>50.4</v>
      </c>
      <c r="J1614">
        <v>0</v>
      </c>
      <c r="K1614">
        <v>8</v>
      </c>
      <c r="N1614">
        <v>8</v>
      </c>
      <c r="O1614">
        <v>4</v>
      </c>
      <c r="P1614">
        <v>2</v>
      </c>
      <c r="Q1614">
        <v>64.400000000000006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D1614">
        <v>64.400000000000006</v>
      </c>
    </row>
    <row r="1615" spans="1:30" x14ac:dyDescent="0.3">
      <c r="A1615" s="4">
        <v>1630</v>
      </c>
      <c r="B1615" s="5">
        <v>1608</v>
      </c>
      <c r="C1615">
        <v>433</v>
      </c>
      <c r="D1615" t="s">
        <v>3614</v>
      </c>
      <c r="E1615" t="s">
        <v>22</v>
      </c>
      <c r="F1615" t="s">
        <v>52</v>
      </c>
      <c r="G1615" t="s">
        <v>3615</v>
      </c>
      <c r="H1615" t="str">
        <f>"00121124"</f>
        <v>00121124</v>
      </c>
      <c r="I1615">
        <v>50.4</v>
      </c>
      <c r="J1615">
        <v>0</v>
      </c>
      <c r="K1615">
        <v>8</v>
      </c>
      <c r="N1615">
        <v>8</v>
      </c>
      <c r="O1615">
        <v>4</v>
      </c>
      <c r="P1615">
        <v>2</v>
      </c>
      <c r="Q1615">
        <v>64.400000000000006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D1615">
        <v>64.400000000000006</v>
      </c>
    </row>
    <row r="1616" spans="1:30" x14ac:dyDescent="0.3">
      <c r="A1616" s="4">
        <v>1631</v>
      </c>
      <c r="B1616" s="5">
        <v>1609</v>
      </c>
      <c r="C1616">
        <v>1712</v>
      </c>
      <c r="D1616" t="s">
        <v>3616</v>
      </c>
      <c r="E1616" t="s">
        <v>268</v>
      </c>
      <c r="F1616" t="s">
        <v>136</v>
      </c>
      <c r="G1616" t="s">
        <v>3617</v>
      </c>
      <c r="H1616" t="str">
        <f>"201406014363"</f>
        <v>201406014363</v>
      </c>
      <c r="I1616">
        <v>50.4</v>
      </c>
      <c r="J1616">
        <v>0</v>
      </c>
      <c r="L1616">
        <v>6</v>
      </c>
      <c r="M1616">
        <v>4</v>
      </c>
      <c r="N1616">
        <v>10</v>
      </c>
      <c r="O1616">
        <v>4</v>
      </c>
      <c r="P1616">
        <v>0</v>
      </c>
      <c r="Q1616">
        <v>64.400000000000006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D1616">
        <v>64.400000000000006</v>
      </c>
    </row>
    <row r="1617" spans="1:30" x14ac:dyDescent="0.3">
      <c r="A1617" s="4">
        <v>1632</v>
      </c>
      <c r="B1617" s="5">
        <v>1610</v>
      </c>
      <c r="C1617">
        <v>1216</v>
      </c>
      <c r="D1617" t="s">
        <v>3618</v>
      </c>
      <c r="E1617" t="s">
        <v>3619</v>
      </c>
      <c r="F1617" t="s">
        <v>17</v>
      </c>
      <c r="G1617" t="s">
        <v>3620</v>
      </c>
      <c r="H1617" t="str">
        <f>"00523586"</f>
        <v>00523586</v>
      </c>
      <c r="I1617">
        <v>50.4</v>
      </c>
      <c r="J1617">
        <v>0</v>
      </c>
      <c r="K1617">
        <v>8</v>
      </c>
      <c r="N1617">
        <v>8</v>
      </c>
      <c r="O1617">
        <v>4</v>
      </c>
      <c r="P1617">
        <v>2</v>
      </c>
      <c r="Q1617">
        <v>64.400000000000006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D1617">
        <v>64.400000000000006</v>
      </c>
    </row>
    <row r="1618" spans="1:30" x14ac:dyDescent="0.3">
      <c r="A1618" s="4">
        <v>1633</v>
      </c>
      <c r="B1618" s="5">
        <v>1611</v>
      </c>
      <c r="C1618">
        <v>742</v>
      </c>
      <c r="D1618" t="s">
        <v>3621</v>
      </c>
      <c r="E1618" t="s">
        <v>188</v>
      </c>
      <c r="F1618" t="s">
        <v>230</v>
      </c>
      <c r="G1618" t="s">
        <v>3622</v>
      </c>
      <c r="H1618" t="str">
        <f>"00444160"</f>
        <v>00444160</v>
      </c>
      <c r="I1618">
        <v>50.4</v>
      </c>
      <c r="J1618">
        <v>0</v>
      </c>
      <c r="M1618">
        <v>4</v>
      </c>
      <c r="N1618">
        <v>4</v>
      </c>
      <c r="O1618">
        <v>0</v>
      </c>
      <c r="P1618">
        <v>2</v>
      </c>
      <c r="Q1618">
        <v>56.4</v>
      </c>
      <c r="R1618">
        <v>8</v>
      </c>
      <c r="S1618">
        <v>8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8</v>
      </c>
      <c r="AA1618">
        <v>0</v>
      </c>
      <c r="AB1618">
        <v>0</v>
      </c>
      <c r="AD1618">
        <v>64.400000000000006</v>
      </c>
    </row>
    <row r="1619" spans="1:30" x14ac:dyDescent="0.3">
      <c r="A1619" s="4">
        <v>1634</v>
      </c>
      <c r="B1619" s="5">
        <v>1612</v>
      </c>
      <c r="C1619">
        <v>4782</v>
      </c>
      <c r="D1619" t="s">
        <v>3623</v>
      </c>
      <c r="E1619" t="s">
        <v>29</v>
      </c>
      <c r="F1619" t="s">
        <v>52</v>
      </c>
      <c r="G1619" t="s">
        <v>3624</v>
      </c>
      <c r="H1619" t="str">
        <f>"00529674"</f>
        <v>00529674</v>
      </c>
      <c r="I1619">
        <v>50.4</v>
      </c>
      <c r="J1619">
        <v>0</v>
      </c>
      <c r="N1619">
        <v>0</v>
      </c>
      <c r="O1619">
        <v>0</v>
      </c>
      <c r="P1619">
        <v>0</v>
      </c>
      <c r="Q1619">
        <v>50.4</v>
      </c>
      <c r="R1619">
        <v>14</v>
      </c>
      <c r="S1619">
        <v>14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14</v>
      </c>
      <c r="AA1619">
        <v>0</v>
      </c>
      <c r="AB1619">
        <v>0</v>
      </c>
      <c r="AD1619">
        <v>64.400000000000006</v>
      </c>
    </row>
    <row r="1620" spans="1:30" x14ac:dyDescent="0.3">
      <c r="A1620" s="4">
        <v>1635</v>
      </c>
      <c r="B1620" s="5">
        <v>1613</v>
      </c>
      <c r="C1620">
        <v>2621</v>
      </c>
      <c r="D1620" t="s">
        <v>3625</v>
      </c>
      <c r="E1620" t="s">
        <v>3626</v>
      </c>
      <c r="F1620" t="s">
        <v>68</v>
      </c>
      <c r="G1620" t="s">
        <v>3627</v>
      </c>
      <c r="H1620" t="str">
        <f>"00531564"</f>
        <v>00531564</v>
      </c>
      <c r="I1620">
        <v>33.32</v>
      </c>
      <c r="J1620">
        <v>0</v>
      </c>
      <c r="M1620">
        <v>4</v>
      </c>
      <c r="N1620">
        <v>4</v>
      </c>
      <c r="O1620">
        <v>4</v>
      </c>
      <c r="P1620">
        <v>2</v>
      </c>
      <c r="Q1620">
        <v>43.32</v>
      </c>
      <c r="R1620">
        <v>15</v>
      </c>
      <c r="S1620">
        <v>15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15</v>
      </c>
      <c r="AA1620">
        <v>6</v>
      </c>
      <c r="AB1620">
        <v>0</v>
      </c>
      <c r="AD1620">
        <v>64.319999999999993</v>
      </c>
    </row>
    <row r="1621" spans="1:30" x14ac:dyDescent="0.3">
      <c r="A1621" s="4">
        <v>1636</v>
      </c>
      <c r="B1621" s="5">
        <v>1614</v>
      </c>
      <c r="C1621">
        <v>2964</v>
      </c>
      <c r="D1621" t="s">
        <v>3628</v>
      </c>
      <c r="E1621" t="s">
        <v>149</v>
      </c>
      <c r="F1621" t="s">
        <v>442</v>
      </c>
      <c r="G1621" t="s">
        <v>3629</v>
      </c>
      <c r="H1621" t="str">
        <f>"00531452"</f>
        <v>00531452</v>
      </c>
      <c r="I1621">
        <v>23.28</v>
      </c>
      <c r="J1621">
        <v>0</v>
      </c>
      <c r="N1621">
        <v>0</v>
      </c>
      <c r="O1621">
        <v>4</v>
      </c>
      <c r="P1621">
        <v>0</v>
      </c>
      <c r="Q1621">
        <v>27.28</v>
      </c>
      <c r="R1621">
        <v>34</v>
      </c>
      <c r="S1621">
        <v>34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34</v>
      </c>
      <c r="AA1621">
        <v>3</v>
      </c>
      <c r="AB1621">
        <v>0</v>
      </c>
      <c r="AD1621">
        <v>64.28</v>
      </c>
    </row>
    <row r="1622" spans="1:30" x14ac:dyDescent="0.3">
      <c r="A1622" s="4">
        <v>1637</v>
      </c>
      <c r="B1622" s="5">
        <v>1615</v>
      </c>
      <c r="C1622">
        <v>884</v>
      </c>
      <c r="D1622" t="s">
        <v>3630</v>
      </c>
      <c r="E1622" t="s">
        <v>170</v>
      </c>
      <c r="F1622" t="s">
        <v>158</v>
      </c>
      <c r="G1622" t="s">
        <v>3631</v>
      </c>
      <c r="H1622" t="str">
        <f>"200808000593"</f>
        <v>200808000593</v>
      </c>
      <c r="I1622">
        <v>0</v>
      </c>
      <c r="J1622">
        <v>0</v>
      </c>
      <c r="N1622">
        <v>0</v>
      </c>
      <c r="O1622">
        <v>4</v>
      </c>
      <c r="P1622">
        <v>0</v>
      </c>
      <c r="Q1622">
        <v>4</v>
      </c>
      <c r="R1622">
        <v>28</v>
      </c>
      <c r="S1622">
        <v>28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28</v>
      </c>
      <c r="AA1622">
        <v>0</v>
      </c>
      <c r="AB1622">
        <v>32</v>
      </c>
      <c r="AD1622">
        <v>64</v>
      </c>
    </row>
    <row r="1623" spans="1:30" x14ac:dyDescent="0.3">
      <c r="A1623" s="4">
        <v>1638</v>
      </c>
      <c r="B1623" s="5">
        <v>1616</v>
      </c>
      <c r="C1623">
        <v>1394</v>
      </c>
      <c r="D1623" t="s">
        <v>3632</v>
      </c>
      <c r="E1623" t="s">
        <v>454</v>
      </c>
      <c r="F1623" t="s">
        <v>30</v>
      </c>
      <c r="G1623" t="s">
        <v>3633</v>
      </c>
      <c r="H1623" t="str">
        <f>"00857238"</f>
        <v>00857238</v>
      </c>
      <c r="I1623">
        <v>38</v>
      </c>
      <c r="J1623">
        <v>10</v>
      </c>
      <c r="M1623">
        <v>4</v>
      </c>
      <c r="N1623">
        <v>4</v>
      </c>
      <c r="O1623">
        <v>4</v>
      </c>
      <c r="P1623">
        <v>2</v>
      </c>
      <c r="Q1623">
        <v>58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6</v>
      </c>
      <c r="AB1623">
        <v>0</v>
      </c>
      <c r="AD1623">
        <v>64</v>
      </c>
    </row>
    <row r="1624" spans="1:30" x14ac:dyDescent="0.3">
      <c r="A1624" s="4">
        <v>1639</v>
      </c>
      <c r="B1624" s="5">
        <v>1617</v>
      </c>
      <c r="C1624">
        <v>3257</v>
      </c>
      <c r="D1624" t="s">
        <v>3634</v>
      </c>
      <c r="E1624" t="s">
        <v>3635</v>
      </c>
      <c r="F1624" t="s">
        <v>136</v>
      </c>
      <c r="G1624" t="s">
        <v>3636</v>
      </c>
      <c r="H1624" t="str">
        <f>"00521202"</f>
        <v>00521202</v>
      </c>
      <c r="I1624">
        <v>36</v>
      </c>
      <c r="J1624">
        <v>0</v>
      </c>
      <c r="N1624">
        <v>0</v>
      </c>
      <c r="O1624">
        <v>4</v>
      </c>
      <c r="P1624">
        <v>0</v>
      </c>
      <c r="Q1624">
        <v>40</v>
      </c>
      <c r="R1624">
        <v>18</v>
      </c>
      <c r="S1624">
        <v>18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18</v>
      </c>
      <c r="AA1624">
        <v>6</v>
      </c>
      <c r="AB1624">
        <v>0</v>
      </c>
      <c r="AD1624">
        <v>64</v>
      </c>
    </row>
    <row r="1625" spans="1:30" x14ac:dyDescent="0.3">
      <c r="A1625" s="4">
        <v>1640</v>
      </c>
      <c r="B1625" s="5">
        <v>1618</v>
      </c>
      <c r="C1625">
        <v>17</v>
      </c>
      <c r="D1625" t="s">
        <v>3637</v>
      </c>
      <c r="E1625" t="s">
        <v>166</v>
      </c>
      <c r="F1625" t="s">
        <v>3094</v>
      </c>
      <c r="G1625" t="s">
        <v>3638</v>
      </c>
      <c r="H1625" t="str">
        <f>"00514623"</f>
        <v>00514623</v>
      </c>
      <c r="I1625">
        <v>36</v>
      </c>
      <c r="J1625">
        <v>0</v>
      </c>
      <c r="M1625">
        <v>4</v>
      </c>
      <c r="N1625">
        <v>4</v>
      </c>
      <c r="O1625">
        <v>0</v>
      </c>
      <c r="P1625">
        <v>0</v>
      </c>
      <c r="Q1625">
        <v>40</v>
      </c>
      <c r="R1625">
        <v>21</v>
      </c>
      <c r="S1625">
        <v>21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21</v>
      </c>
      <c r="AA1625">
        <v>3</v>
      </c>
      <c r="AB1625">
        <v>0</v>
      </c>
      <c r="AD1625">
        <v>64</v>
      </c>
    </row>
    <row r="1626" spans="1:30" x14ac:dyDescent="0.3">
      <c r="A1626" s="4">
        <v>1641</v>
      </c>
      <c r="B1626" s="5">
        <v>1619</v>
      </c>
      <c r="C1626">
        <v>3481</v>
      </c>
      <c r="D1626" t="s">
        <v>198</v>
      </c>
      <c r="E1626" t="s">
        <v>255</v>
      </c>
      <c r="F1626" t="s">
        <v>30</v>
      </c>
      <c r="G1626" t="s">
        <v>3639</v>
      </c>
      <c r="H1626" t="str">
        <f>"00530489"</f>
        <v>00530489</v>
      </c>
      <c r="I1626">
        <v>36</v>
      </c>
      <c r="J1626">
        <v>10</v>
      </c>
      <c r="M1626">
        <v>4</v>
      </c>
      <c r="N1626">
        <v>4</v>
      </c>
      <c r="O1626">
        <v>4</v>
      </c>
      <c r="P1626">
        <v>2</v>
      </c>
      <c r="Q1626">
        <v>56</v>
      </c>
      <c r="R1626">
        <v>8</v>
      </c>
      <c r="S1626">
        <v>8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8</v>
      </c>
      <c r="AA1626">
        <v>0</v>
      </c>
      <c r="AB1626">
        <v>0</v>
      </c>
      <c r="AD1626">
        <v>64</v>
      </c>
    </row>
    <row r="1627" spans="1:30" x14ac:dyDescent="0.3">
      <c r="A1627" s="4">
        <v>1642</v>
      </c>
      <c r="B1627" s="5">
        <v>1620</v>
      </c>
      <c r="C1627">
        <v>2016</v>
      </c>
      <c r="D1627" t="s">
        <v>3640</v>
      </c>
      <c r="E1627" t="s">
        <v>2372</v>
      </c>
      <c r="F1627" t="s">
        <v>20</v>
      </c>
      <c r="G1627" t="s">
        <v>3641</v>
      </c>
      <c r="H1627" t="str">
        <f>"00531881"</f>
        <v>00531881</v>
      </c>
      <c r="I1627">
        <v>36</v>
      </c>
      <c r="J1627">
        <v>0</v>
      </c>
      <c r="M1627">
        <v>4</v>
      </c>
      <c r="N1627">
        <v>4</v>
      </c>
      <c r="O1627">
        <v>4</v>
      </c>
      <c r="P1627">
        <v>2</v>
      </c>
      <c r="Q1627">
        <v>46</v>
      </c>
      <c r="R1627">
        <v>18</v>
      </c>
      <c r="S1627">
        <v>18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18</v>
      </c>
      <c r="AA1627">
        <v>0</v>
      </c>
      <c r="AB1627">
        <v>0</v>
      </c>
      <c r="AD1627">
        <v>64</v>
      </c>
    </row>
    <row r="1628" spans="1:30" x14ac:dyDescent="0.3">
      <c r="A1628" s="4">
        <v>1643</v>
      </c>
      <c r="B1628" s="5">
        <v>1621</v>
      </c>
      <c r="C1628">
        <v>2792</v>
      </c>
      <c r="D1628" t="s">
        <v>3642</v>
      </c>
      <c r="E1628" t="s">
        <v>3643</v>
      </c>
      <c r="F1628" t="s">
        <v>230</v>
      </c>
      <c r="G1628" t="s">
        <v>3644</v>
      </c>
      <c r="H1628" t="str">
        <f>"00533829"</f>
        <v>00533829</v>
      </c>
      <c r="I1628">
        <v>36</v>
      </c>
      <c r="J1628">
        <v>0</v>
      </c>
      <c r="M1628">
        <v>4</v>
      </c>
      <c r="N1628">
        <v>4</v>
      </c>
      <c r="O1628">
        <v>4</v>
      </c>
      <c r="P1628">
        <v>2</v>
      </c>
      <c r="Q1628">
        <v>46</v>
      </c>
      <c r="R1628">
        <v>18</v>
      </c>
      <c r="S1628">
        <v>18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18</v>
      </c>
      <c r="AA1628">
        <v>0</v>
      </c>
      <c r="AB1628">
        <v>0</v>
      </c>
      <c r="AD1628">
        <v>64</v>
      </c>
    </row>
    <row r="1629" spans="1:30" x14ac:dyDescent="0.3">
      <c r="A1629" s="4">
        <v>1644</v>
      </c>
      <c r="B1629" s="5">
        <v>1622</v>
      </c>
      <c r="C1629">
        <v>497</v>
      </c>
      <c r="D1629" t="s">
        <v>3645</v>
      </c>
      <c r="E1629" t="s">
        <v>560</v>
      </c>
      <c r="F1629" t="s">
        <v>20</v>
      </c>
      <c r="G1629" t="s">
        <v>3646</v>
      </c>
      <c r="H1629" t="str">
        <f>"201511029873"</f>
        <v>201511029873</v>
      </c>
      <c r="I1629">
        <v>36.799999999999997</v>
      </c>
      <c r="J1629">
        <v>10</v>
      </c>
      <c r="M1629">
        <v>4</v>
      </c>
      <c r="N1629">
        <v>4</v>
      </c>
      <c r="O1629">
        <v>4</v>
      </c>
      <c r="P1629">
        <v>0</v>
      </c>
      <c r="Q1629">
        <v>54.8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9</v>
      </c>
      <c r="AB1629">
        <v>0</v>
      </c>
      <c r="AD1629">
        <v>63.8</v>
      </c>
    </row>
    <row r="1630" spans="1:30" x14ac:dyDescent="0.3">
      <c r="A1630" s="4">
        <v>1645</v>
      </c>
      <c r="B1630" s="5">
        <v>1623</v>
      </c>
      <c r="C1630">
        <v>2537</v>
      </c>
      <c r="D1630" t="s">
        <v>3647</v>
      </c>
      <c r="E1630" t="s">
        <v>33</v>
      </c>
      <c r="F1630" t="s">
        <v>892</v>
      </c>
      <c r="G1630" t="s">
        <v>3648</v>
      </c>
      <c r="H1630" t="str">
        <f>"00401728"</f>
        <v>00401728</v>
      </c>
      <c r="I1630">
        <v>28.8</v>
      </c>
      <c r="J1630">
        <v>0</v>
      </c>
      <c r="K1630">
        <v>8</v>
      </c>
      <c r="N1630">
        <v>8</v>
      </c>
      <c r="O1630">
        <v>4</v>
      </c>
      <c r="P1630">
        <v>2</v>
      </c>
      <c r="Q1630">
        <v>42.8</v>
      </c>
      <c r="R1630">
        <v>15</v>
      </c>
      <c r="S1630">
        <v>15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15</v>
      </c>
      <c r="AA1630">
        <v>6</v>
      </c>
      <c r="AB1630">
        <v>0</v>
      </c>
      <c r="AD1630">
        <v>63.8</v>
      </c>
    </row>
    <row r="1631" spans="1:30" x14ac:dyDescent="0.3">
      <c r="A1631" s="4">
        <v>1646</v>
      </c>
      <c r="B1631" s="5">
        <v>1624</v>
      </c>
      <c r="C1631">
        <v>2810</v>
      </c>
      <c r="D1631" t="s">
        <v>3649</v>
      </c>
      <c r="E1631" t="s">
        <v>1953</v>
      </c>
      <c r="F1631" t="s">
        <v>539</v>
      </c>
      <c r="G1631" t="s">
        <v>3650</v>
      </c>
      <c r="H1631" t="str">
        <f>"00524967"</f>
        <v>00524967</v>
      </c>
      <c r="I1631">
        <v>28.8</v>
      </c>
      <c r="J1631">
        <v>0</v>
      </c>
      <c r="N1631">
        <v>0</v>
      </c>
      <c r="O1631">
        <v>4</v>
      </c>
      <c r="P1631">
        <v>0</v>
      </c>
      <c r="Q1631">
        <v>32.799999999999997</v>
      </c>
      <c r="R1631">
        <v>25</v>
      </c>
      <c r="S1631">
        <v>25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25</v>
      </c>
      <c r="AA1631">
        <v>6</v>
      </c>
      <c r="AB1631">
        <v>0</v>
      </c>
      <c r="AD1631">
        <v>63.8</v>
      </c>
    </row>
    <row r="1632" spans="1:30" x14ac:dyDescent="0.3">
      <c r="A1632" s="4">
        <v>1647</v>
      </c>
      <c r="B1632" s="5">
        <v>1625</v>
      </c>
      <c r="C1632">
        <v>3393</v>
      </c>
      <c r="D1632" t="s">
        <v>3651</v>
      </c>
      <c r="E1632" t="s">
        <v>110</v>
      </c>
      <c r="F1632" t="s">
        <v>17</v>
      </c>
      <c r="G1632" t="s">
        <v>3652</v>
      </c>
      <c r="H1632" t="str">
        <f>"00356322"</f>
        <v>00356322</v>
      </c>
      <c r="I1632">
        <v>36.799999999999997</v>
      </c>
      <c r="J1632">
        <v>10</v>
      </c>
      <c r="K1632">
        <v>8</v>
      </c>
      <c r="N1632">
        <v>8</v>
      </c>
      <c r="O1632">
        <v>4</v>
      </c>
      <c r="P1632">
        <v>2</v>
      </c>
      <c r="Q1632">
        <v>60.8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3</v>
      </c>
      <c r="AB1632">
        <v>0</v>
      </c>
      <c r="AD1632">
        <v>63.8</v>
      </c>
    </row>
    <row r="1633" spans="1:30" x14ac:dyDescent="0.3">
      <c r="A1633" s="4">
        <v>1648</v>
      </c>
      <c r="B1633" s="5">
        <v>1626</v>
      </c>
      <c r="C1633">
        <v>1691</v>
      </c>
      <c r="D1633" t="s">
        <v>2941</v>
      </c>
      <c r="E1633" t="s">
        <v>22</v>
      </c>
      <c r="F1633" t="s">
        <v>68</v>
      </c>
      <c r="G1633" t="s">
        <v>3653</v>
      </c>
      <c r="H1633" t="str">
        <f>"00079616"</f>
        <v>00079616</v>
      </c>
      <c r="I1633">
        <v>28.8</v>
      </c>
      <c r="J1633">
        <v>0</v>
      </c>
      <c r="M1633">
        <v>4</v>
      </c>
      <c r="N1633">
        <v>4</v>
      </c>
      <c r="O1633">
        <v>4</v>
      </c>
      <c r="P1633">
        <v>0</v>
      </c>
      <c r="Q1633">
        <v>36.799999999999997</v>
      </c>
      <c r="R1633">
        <v>24</v>
      </c>
      <c r="S1633">
        <v>24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24</v>
      </c>
      <c r="AA1633">
        <v>3</v>
      </c>
      <c r="AB1633">
        <v>0</v>
      </c>
      <c r="AD1633">
        <v>63.8</v>
      </c>
    </row>
    <row r="1634" spans="1:30" x14ac:dyDescent="0.3">
      <c r="A1634" s="4">
        <v>1649</v>
      </c>
      <c r="B1634" s="5">
        <v>1627</v>
      </c>
      <c r="C1634">
        <v>2054</v>
      </c>
      <c r="D1634" t="s">
        <v>3654</v>
      </c>
      <c r="E1634" t="s">
        <v>3655</v>
      </c>
      <c r="F1634" t="s">
        <v>167</v>
      </c>
      <c r="G1634" t="s">
        <v>3656</v>
      </c>
      <c r="H1634" t="str">
        <f>"201511012904"</f>
        <v>201511012904</v>
      </c>
      <c r="I1634">
        <v>9.8000000000000007</v>
      </c>
      <c r="J1634">
        <v>0</v>
      </c>
      <c r="N1634">
        <v>0</v>
      </c>
      <c r="O1634">
        <v>4</v>
      </c>
      <c r="P1634">
        <v>2</v>
      </c>
      <c r="Q1634">
        <v>15.8</v>
      </c>
      <c r="R1634">
        <v>45</v>
      </c>
      <c r="S1634">
        <v>45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45</v>
      </c>
      <c r="AA1634">
        <v>3</v>
      </c>
      <c r="AB1634">
        <v>0</v>
      </c>
      <c r="AD1634">
        <v>63.8</v>
      </c>
    </row>
    <row r="1635" spans="1:30" x14ac:dyDescent="0.3">
      <c r="A1635" s="4">
        <v>1650</v>
      </c>
      <c r="B1635" s="5">
        <v>1628</v>
      </c>
      <c r="C1635">
        <v>1219</v>
      </c>
      <c r="D1635" t="s">
        <v>3657</v>
      </c>
      <c r="E1635" t="s">
        <v>110</v>
      </c>
      <c r="F1635" t="s">
        <v>38</v>
      </c>
      <c r="G1635" t="s">
        <v>3658</v>
      </c>
      <c r="H1635" t="str">
        <f>"201412000315"</f>
        <v>201412000315</v>
      </c>
      <c r="I1635">
        <v>36.799999999999997</v>
      </c>
      <c r="J1635">
        <v>0</v>
      </c>
      <c r="M1635">
        <v>4</v>
      </c>
      <c r="N1635">
        <v>4</v>
      </c>
      <c r="O1635">
        <v>4</v>
      </c>
      <c r="P1635">
        <v>2</v>
      </c>
      <c r="Q1635">
        <v>46.8</v>
      </c>
      <c r="R1635">
        <v>17</v>
      </c>
      <c r="S1635">
        <v>17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17</v>
      </c>
      <c r="AA1635">
        <v>0</v>
      </c>
      <c r="AB1635">
        <v>0</v>
      </c>
      <c r="AD1635">
        <v>63.8</v>
      </c>
    </row>
    <row r="1636" spans="1:30" x14ac:dyDescent="0.3">
      <c r="A1636" s="4">
        <v>1651</v>
      </c>
      <c r="B1636" s="5">
        <v>1629</v>
      </c>
      <c r="C1636">
        <v>2217</v>
      </c>
      <c r="D1636" t="s">
        <v>3659</v>
      </c>
      <c r="E1636" t="s">
        <v>123</v>
      </c>
      <c r="F1636" t="s">
        <v>101</v>
      </c>
      <c r="G1636" t="s">
        <v>3660</v>
      </c>
      <c r="H1636" t="str">
        <f>"00532754"</f>
        <v>00532754</v>
      </c>
      <c r="I1636">
        <v>28.8</v>
      </c>
      <c r="J1636">
        <v>0</v>
      </c>
      <c r="K1636">
        <v>8</v>
      </c>
      <c r="M1636">
        <v>4</v>
      </c>
      <c r="N1636">
        <v>12</v>
      </c>
      <c r="O1636">
        <v>4</v>
      </c>
      <c r="P1636">
        <v>2</v>
      </c>
      <c r="Q1636">
        <v>46.8</v>
      </c>
      <c r="R1636">
        <v>17</v>
      </c>
      <c r="S1636">
        <v>17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17</v>
      </c>
      <c r="AA1636">
        <v>0</v>
      </c>
      <c r="AB1636">
        <v>0</v>
      </c>
      <c r="AD1636">
        <v>63.8</v>
      </c>
    </row>
    <row r="1637" spans="1:30" x14ac:dyDescent="0.3">
      <c r="A1637" s="4">
        <v>1652</v>
      </c>
      <c r="B1637" s="5">
        <v>1630</v>
      </c>
      <c r="C1637">
        <v>436</v>
      </c>
      <c r="D1637" t="s">
        <v>1565</v>
      </c>
      <c r="E1637" t="s">
        <v>424</v>
      </c>
      <c r="F1637" t="s">
        <v>34</v>
      </c>
      <c r="G1637" t="s">
        <v>3661</v>
      </c>
      <c r="H1637" t="str">
        <f>"00503674"</f>
        <v>00503674</v>
      </c>
      <c r="I1637">
        <v>28.8</v>
      </c>
      <c r="J1637">
        <v>0</v>
      </c>
      <c r="M1637">
        <v>4</v>
      </c>
      <c r="N1637">
        <v>4</v>
      </c>
      <c r="O1637">
        <v>4</v>
      </c>
      <c r="P1637">
        <v>0</v>
      </c>
      <c r="Q1637">
        <v>36.799999999999997</v>
      </c>
      <c r="R1637">
        <v>27</v>
      </c>
      <c r="S1637">
        <v>27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27</v>
      </c>
      <c r="AA1637">
        <v>0</v>
      </c>
      <c r="AB1637">
        <v>0</v>
      </c>
      <c r="AD1637">
        <v>63.8</v>
      </c>
    </row>
    <row r="1638" spans="1:30" x14ac:dyDescent="0.3">
      <c r="A1638" s="4">
        <v>1653</v>
      </c>
      <c r="B1638" s="5">
        <v>1631</v>
      </c>
      <c r="C1638">
        <v>678</v>
      </c>
      <c r="D1638" t="s">
        <v>3662</v>
      </c>
      <c r="E1638" t="s">
        <v>3663</v>
      </c>
      <c r="F1638" t="s">
        <v>62</v>
      </c>
      <c r="G1638" t="s">
        <v>3664</v>
      </c>
      <c r="H1638" t="str">
        <f>"201510004135"</f>
        <v>201510004135</v>
      </c>
      <c r="I1638">
        <v>24.72</v>
      </c>
      <c r="J1638">
        <v>10</v>
      </c>
      <c r="N1638">
        <v>0</v>
      </c>
      <c r="O1638">
        <v>4</v>
      </c>
      <c r="P1638">
        <v>2</v>
      </c>
      <c r="Q1638">
        <v>40.72</v>
      </c>
      <c r="R1638">
        <v>23</v>
      </c>
      <c r="S1638">
        <v>23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23</v>
      </c>
      <c r="AA1638">
        <v>0</v>
      </c>
      <c r="AB1638">
        <v>0</v>
      </c>
      <c r="AD1638">
        <v>63.72</v>
      </c>
    </row>
    <row r="1639" spans="1:30" x14ac:dyDescent="0.3">
      <c r="A1639" s="4">
        <v>1654</v>
      </c>
      <c r="B1639" s="5">
        <v>1632</v>
      </c>
      <c r="C1639">
        <v>555</v>
      </c>
      <c r="D1639" t="s">
        <v>3665</v>
      </c>
      <c r="E1639" t="s">
        <v>26</v>
      </c>
      <c r="F1639" t="s">
        <v>23</v>
      </c>
      <c r="G1639" t="s">
        <v>3666</v>
      </c>
      <c r="H1639" t="str">
        <f>"00781514"</f>
        <v>00781514</v>
      </c>
      <c r="I1639">
        <v>57.6</v>
      </c>
      <c r="J1639">
        <v>0</v>
      </c>
      <c r="N1639">
        <v>0</v>
      </c>
      <c r="O1639">
        <v>0</v>
      </c>
      <c r="P1639">
        <v>0</v>
      </c>
      <c r="Q1639">
        <v>57.6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6</v>
      </c>
      <c r="AB1639">
        <v>0</v>
      </c>
      <c r="AD1639">
        <v>63.6</v>
      </c>
    </row>
    <row r="1640" spans="1:30" x14ac:dyDescent="0.3">
      <c r="A1640" s="4">
        <v>1655</v>
      </c>
      <c r="B1640" s="5">
        <v>1633</v>
      </c>
      <c r="C1640">
        <v>2926</v>
      </c>
      <c r="D1640" t="s">
        <v>3667</v>
      </c>
      <c r="E1640" t="s">
        <v>54</v>
      </c>
      <c r="F1640" t="s">
        <v>158</v>
      </c>
      <c r="G1640" t="s">
        <v>3668</v>
      </c>
      <c r="H1640" t="str">
        <f>"00625793"</f>
        <v>00625793</v>
      </c>
      <c r="I1640">
        <v>39.6</v>
      </c>
      <c r="J1640">
        <v>0</v>
      </c>
      <c r="K1640">
        <v>8</v>
      </c>
      <c r="M1640">
        <v>4</v>
      </c>
      <c r="N1640">
        <v>12</v>
      </c>
      <c r="O1640">
        <v>4</v>
      </c>
      <c r="P1640">
        <v>2</v>
      </c>
      <c r="Q1640">
        <v>57.6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6</v>
      </c>
      <c r="AB1640">
        <v>0</v>
      </c>
      <c r="AD1640">
        <v>63.6</v>
      </c>
    </row>
    <row r="1641" spans="1:30" x14ac:dyDescent="0.3">
      <c r="A1641" s="4">
        <v>1656</v>
      </c>
      <c r="B1641" s="5">
        <v>1634</v>
      </c>
      <c r="C1641">
        <v>3943</v>
      </c>
      <c r="D1641" t="s">
        <v>3669</v>
      </c>
      <c r="E1641" t="s">
        <v>29</v>
      </c>
      <c r="F1641" t="s">
        <v>79</v>
      </c>
      <c r="G1641" t="s">
        <v>3670</v>
      </c>
      <c r="H1641" t="str">
        <f>"00228917"</f>
        <v>00228917</v>
      </c>
      <c r="I1641">
        <v>39.6</v>
      </c>
      <c r="J1641">
        <v>0</v>
      </c>
      <c r="K1641">
        <v>8</v>
      </c>
      <c r="M1641">
        <v>4</v>
      </c>
      <c r="N1641">
        <v>12</v>
      </c>
      <c r="O1641">
        <v>4</v>
      </c>
      <c r="P1641">
        <v>2</v>
      </c>
      <c r="Q1641">
        <v>57.6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6</v>
      </c>
      <c r="AB1641">
        <v>0</v>
      </c>
      <c r="AD1641">
        <v>63.6</v>
      </c>
    </row>
    <row r="1642" spans="1:30" x14ac:dyDescent="0.3">
      <c r="A1642" s="4">
        <v>1657</v>
      </c>
      <c r="B1642" s="5">
        <v>1635</v>
      </c>
      <c r="C1642">
        <v>2494</v>
      </c>
      <c r="D1642" t="s">
        <v>3671</v>
      </c>
      <c r="E1642" t="s">
        <v>550</v>
      </c>
      <c r="F1642" t="s">
        <v>62</v>
      </c>
      <c r="G1642" t="s">
        <v>3672</v>
      </c>
      <c r="H1642" t="str">
        <f>"00860892"</f>
        <v>00860892</v>
      </c>
      <c r="I1642">
        <v>57.6</v>
      </c>
      <c r="J1642">
        <v>0</v>
      </c>
      <c r="M1642">
        <v>4</v>
      </c>
      <c r="N1642">
        <v>4</v>
      </c>
      <c r="O1642">
        <v>0</v>
      </c>
      <c r="P1642">
        <v>2</v>
      </c>
      <c r="Q1642">
        <v>63.6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D1642">
        <v>63.6</v>
      </c>
    </row>
    <row r="1643" spans="1:30" x14ac:dyDescent="0.3">
      <c r="A1643" s="4">
        <v>1658</v>
      </c>
      <c r="B1643" s="5">
        <v>1636</v>
      </c>
      <c r="C1643">
        <v>3057</v>
      </c>
      <c r="D1643" t="s">
        <v>3673</v>
      </c>
      <c r="E1643" t="s">
        <v>182</v>
      </c>
      <c r="F1643" t="s">
        <v>62</v>
      </c>
      <c r="G1643" t="s">
        <v>3674</v>
      </c>
      <c r="H1643" t="str">
        <f>"00860420"</f>
        <v>00860420</v>
      </c>
      <c r="I1643">
        <v>57.6</v>
      </c>
      <c r="J1643">
        <v>0</v>
      </c>
      <c r="N1643">
        <v>0</v>
      </c>
      <c r="O1643">
        <v>4</v>
      </c>
      <c r="P1643">
        <v>2</v>
      </c>
      <c r="Q1643">
        <v>63.6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D1643">
        <v>63.6</v>
      </c>
    </row>
    <row r="1644" spans="1:30" x14ac:dyDescent="0.3">
      <c r="A1644" s="4">
        <v>1659</v>
      </c>
      <c r="B1644" s="5">
        <v>1637</v>
      </c>
      <c r="C1644">
        <v>370</v>
      </c>
      <c r="D1644" t="s">
        <v>3675</v>
      </c>
      <c r="E1644" t="s">
        <v>878</v>
      </c>
      <c r="F1644" t="s">
        <v>17</v>
      </c>
      <c r="G1644" t="s">
        <v>3676</v>
      </c>
      <c r="H1644" t="str">
        <f>"00248843"</f>
        <v>00248843</v>
      </c>
      <c r="I1644">
        <v>39.6</v>
      </c>
      <c r="J1644">
        <v>10</v>
      </c>
      <c r="K1644">
        <v>8</v>
      </c>
      <c r="N1644">
        <v>8</v>
      </c>
      <c r="O1644">
        <v>4</v>
      </c>
      <c r="P1644">
        <v>2</v>
      </c>
      <c r="Q1644">
        <v>63.6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D1644">
        <v>63.6</v>
      </c>
    </row>
    <row r="1645" spans="1:30" x14ac:dyDescent="0.3">
      <c r="A1645" s="4">
        <v>1660</v>
      </c>
      <c r="B1645" s="5">
        <v>1638</v>
      </c>
      <c r="C1645">
        <v>2980</v>
      </c>
      <c r="D1645" t="s">
        <v>3447</v>
      </c>
      <c r="E1645" t="s">
        <v>403</v>
      </c>
      <c r="F1645" t="s">
        <v>124</v>
      </c>
      <c r="G1645" t="s">
        <v>3677</v>
      </c>
      <c r="H1645" t="str">
        <f>"200801001093"</f>
        <v>200801001093</v>
      </c>
      <c r="I1645">
        <v>39.6</v>
      </c>
      <c r="J1645">
        <v>10</v>
      </c>
      <c r="K1645">
        <v>8</v>
      </c>
      <c r="N1645">
        <v>8</v>
      </c>
      <c r="O1645">
        <v>4</v>
      </c>
      <c r="P1645">
        <v>2</v>
      </c>
      <c r="Q1645">
        <v>63.6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D1645">
        <v>63.6</v>
      </c>
    </row>
    <row r="1646" spans="1:30" x14ac:dyDescent="0.3">
      <c r="A1646" s="4">
        <v>1661</v>
      </c>
      <c r="B1646" s="5">
        <v>1639</v>
      </c>
      <c r="C1646">
        <v>54</v>
      </c>
      <c r="D1646" t="s">
        <v>2236</v>
      </c>
      <c r="E1646" t="s">
        <v>143</v>
      </c>
      <c r="F1646" t="s">
        <v>190</v>
      </c>
      <c r="G1646" t="s">
        <v>3678</v>
      </c>
      <c r="H1646" t="str">
        <f>"00441765"</f>
        <v>00441765</v>
      </c>
      <c r="I1646">
        <v>21.6</v>
      </c>
      <c r="J1646">
        <v>10</v>
      </c>
      <c r="M1646">
        <v>4</v>
      </c>
      <c r="N1646">
        <v>4</v>
      </c>
      <c r="O1646">
        <v>4</v>
      </c>
      <c r="P1646">
        <v>2</v>
      </c>
      <c r="Q1646">
        <v>41.6</v>
      </c>
      <c r="R1646">
        <v>22</v>
      </c>
      <c r="S1646">
        <v>22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22</v>
      </c>
      <c r="AA1646">
        <v>0</v>
      </c>
      <c r="AB1646">
        <v>0</v>
      </c>
      <c r="AD1646">
        <v>63.6</v>
      </c>
    </row>
    <row r="1647" spans="1:30" x14ac:dyDescent="0.3">
      <c r="A1647" s="4">
        <v>1662</v>
      </c>
      <c r="B1647" s="5">
        <v>1640</v>
      </c>
      <c r="C1647">
        <v>47</v>
      </c>
      <c r="D1647" t="s">
        <v>3679</v>
      </c>
      <c r="E1647" t="s">
        <v>3680</v>
      </c>
      <c r="F1647" t="s">
        <v>91</v>
      </c>
      <c r="G1647" t="s">
        <v>3681</v>
      </c>
      <c r="H1647" t="str">
        <f>"00518071"</f>
        <v>00518071</v>
      </c>
      <c r="I1647">
        <v>35.56</v>
      </c>
      <c r="J1647">
        <v>0</v>
      </c>
      <c r="M1647">
        <v>4</v>
      </c>
      <c r="N1647">
        <v>4</v>
      </c>
      <c r="O1647">
        <v>4</v>
      </c>
      <c r="P1647">
        <v>0</v>
      </c>
      <c r="Q1647">
        <v>43.56</v>
      </c>
      <c r="R1647">
        <v>17</v>
      </c>
      <c r="S1647">
        <v>17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17</v>
      </c>
      <c r="AA1647">
        <v>3</v>
      </c>
      <c r="AB1647">
        <v>0</v>
      </c>
      <c r="AD1647">
        <v>63.56</v>
      </c>
    </row>
    <row r="1648" spans="1:30" x14ac:dyDescent="0.3">
      <c r="A1648" s="4">
        <v>1663</v>
      </c>
      <c r="B1648" s="5">
        <v>1641</v>
      </c>
      <c r="C1648">
        <v>4709</v>
      </c>
      <c r="D1648" t="s">
        <v>3682</v>
      </c>
      <c r="E1648" t="s">
        <v>403</v>
      </c>
      <c r="F1648" t="s">
        <v>158</v>
      </c>
      <c r="G1648" t="s">
        <v>3683</v>
      </c>
      <c r="H1648" t="str">
        <f>"00652935"</f>
        <v>00652935</v>
      </c>
      <c r="I1648">
        <v>39.520000000000003</v>
      </c>
      <c r="J1648">
        <v>10</v>
      </c>
      <c r="K1648">
        <v>8</v>
      </c>
      <c r="N1648">
        <v>8</v>
      </c>
      <c r="O1648">
        <v>4</v>
      </c>
      <c r="P1648">
        <v>2</v>
      </c>
      <c r="Q1648">
        <v>63.52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D1648">
        <v>63.52</v>
      </c>
    </row>
    <row r="1649" spans="1:30" x14ac:dyDescent="0.3">
      <c r="A1649" s="4">
        <v>1664</v>
      </c>
      <c r="B1649" s="5">
        <v>1642</v>
      </c>
      <c r="C1649">
        <v>3201</v>
      </c>
      <c r="D1649" t="s">
        <v>3684</v>
      </c>
      <c r="E1649" t="s">
        <v>161</v>
      </c>
      <c r="F1649" t="s">
        <v>3685</v>
      </c>
      <c r="G1649" t="s">
        <v>3686</v>
      </c>
      <c r="H1649" t="str">
        <f>"00860621"</f>
        <v>00860621</v>
      </c>
      <c r="I1649">
        <v>50.4</v>
      </c>
      <c r="J1649">
        <v>0</v>
      </c>
      <c r="M1649">
        <v>4</v>
      </c>
      <c r="N1649">
        <v>4</v>
      </c>
      <c r="O1649">
        <v>0</v>
      </c>
      <c r="P1649">
        <v>0</v>
      </c>
      <c r="Q1649">
        <v>54.4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9</v>
      </c>
      <c r="AB1649">
        <v>0</v>
      </c>
      <c r="AD1649">
        <v>63.4</v>
      </c>
    </row>
    <row r="1650" spans="1:30" x14ac:dyDescent="0.3">
      <c r="A1650" s="4">
        <v>1665</v>
      </c>
      <c r="B1650" s="5">
        <v>1643</v>
      </c>
      <c r="C1650">
        <v>2831</v>
      </c>
      <c r="D1650" t="s">
        <v>3687</v>
      </c>
      <c r="E1650" t="s">
        <v>173</v>
      </c>
      <c r="F1650" t="s">
        <v>20</v>
      </c>
      <c r="G1650" t="s">
        <v>3688</v>
      </c>
      <c r="H1650" t="str">
        <f>"201511042096"</f>
        <v>201511042096</v>
      </c>
      <c r="I1650">
        <v>50.4</v>
      </c>
      <c r="J1650">
        <v>0</v>
      </c>
      <c r="M1650">
        <v>4</v>
      </c>
      <c r="N1650">
        <v>4</v>
      </c>
      <c r="O1650">
        <v>4</v>
      </c>
      <c r="P1650">
        <v>2</v>
      </c>
      <c r="Q1650">
        <v>60.4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3</v>
      </c>
      <c r="AB1650">
        <v>0</v>
      </c>
      <c r="AD1650">
        <v>63.4</v>
      </c>
    </row>
    <row r="1651" spans="1:30" x14ac:dyDescent="0.3">
      <c r="A1651" s="4">
        <v>1666</v>
      </c>
      <c r="B1651" s="5">
        <v>1644</v>
      </c>
      <c r="C1651">
        <v>1223</v>
      </c>
      <c r="D1651" t="s">
        <v>1649</v>
      </c>
      <c r="E1651" t="s">
        <v>3689</v>
      </c>
      <c r="F1651" t="s">
        <v>20</v>
      </c>
      <c r="G1651" t="s">
        <v>3690</v>
      </c>
      <c r="H1651" t="str">
        <f>"00601730"</f>
        <v>00601730</v>
      </c>
      <c r="I1651">
        <v>50.4</v>
      </c>
      <c r="J1651">
        <v>0</v>
      </c>
      <c r="M1651">
        <v>4</v>
      </c>
      <c r="N1651">
        <v>4</v>
      </c>
      <c r="O1651">
        <v>4</v>
      </c>
      <c r="P1651">
        <v>2</v>
      </c>
      <c r="Q1651">
        <v>60.4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3</v>
      </c>
      <c r="AB1651">
        <v>0</v>
      </c>
      <c r="AD1651">
        <v>63.4</v>
      </c>
    </row>
    <row r="1652" spans="1:30" x14ac:dyDescent="0.3">
      <c r="A1652" s="4">
        <v>1667</v>
      </c>
      <c r="B1652" s="5">
        <v>1645</v>
      </c>
      <c r="C1652">
        <v>1685</v>
      </c>
      <c r="D1652" t="s">
        <v>3691</v>
      </c>
      <c r="E1652" t="s">
        <v>439</v>
      </c>
      <c r="F1652" t="s">
        <v>38</v>
      </c>
      <c r="G1652" t="s">
        <v>3692</v>
      </c>
      <c r="H1652" t="str">
        <f>"00519627"</f>
        <v>00519627</v>
      </c>
      <c r="I1652">
        <v>50.4</v>
      </c>
      <c r="J1652">
        <v>0</v>
      </c>
      <c r="M1652">
        <v>4</v>
      </c>
      <c r="N1652">
        <v>4</v>
      </c>
      <c r="O1652">
        <v>4</v>
      </c>
      <c r="P1652">
        <v>2</v>
      </c>
      <c r="Q1652">
        <v>60.4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3</v>
      </c>
      <c r="AB1652">
        <v>0</v>
      </c>
      <c r="AD1652">
        <v>63.4</v>
      </c>
    </row>
    <row r="1653" spans="1:30" x14ac:dyDescent="0.3">
      <c r="A1653" s="4">
        <v>1668</v>
      </c>
      <c r="B1653" s="5">
        <v>1646</v>
      </c>
      <c r="C1653">
        <v>4431</v>
      </c>
      <c r="D1653" t="s">
        <v>3693</v>
      </c>
      <c r="E1653" t="s">
        <v>41</v>
      </c>
      <c r="F1653" t="s">
        <v>17</v>
      </c>
      <c r="G1653" t="s">
        <v>3694</v>
      </c>
      <c r="H1653" t="str">
        <f>"00528569"</f>
        <v>00528569</v>
      </c>
      <c r="I1653">
        <v>14.4</v>
      </c>
      <c r="J1653">
        <v>0</v>
      </c>
      <c r="K1653">
        <v>8</v>
      </c>
      <c r="N1653">
        <v>8</v>
      </c>
      <c r="O1653">
        <v>4</v>
      </c>
      <c r="P1653">
        <v>2</v>
      </c>
      <c r="Q1653">
        <v>28.4</v>
      </c>
      <c r="R1653">
        <v>32</v>
      </c>
      <c r="S1653">
        <v>32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32</v>
      </c>
      <c r="AA1653">
        <v>3</v>
      </c>
      <c r="AB1653">
        <v>0</v>
      </c>
      <c r="AD1653">
        <v>63.4</v>
      </c>
    </row>
    <row r="1654" spans="1:30" x14ac:dyDescent="0.3">
      <c r="A1654" s="4">
        <v>1669</v>
      </c>
      <c r="B1654" s="5">
        <v>1647</v>
      </c>
      <c r="C1654">
        <v>2804</v>
      </c>
      <c r="D1654" t="s">
        <v>3695</v>
      </c>
      <c r="E1654" t="s">
        <v>188</v>
      </c>
      <c r="F1654" t="s">
        <v>1265</v>
      </c>
      <c r="G1654" t="s">
        <v>3696</v>
      </c>
      <c r="H1654" t="str">
        <f>"00636222"</f>
        <v>00636222</v>
      </c>
      <c r="I1654">
        <v>43.2</v>
      </c>
      <c r="J1654">
        <v>0</v>
      </c>
      <c r="M1654">
        <v>8</v>
      </c>
      <c r="N1654">
        <v>8</v>
      </c>
      <c r="O1654">
        <v>4</v>
      </c>
      <c r="P1654">
        <v>2</v>
      </c>
      <c r="Q1654">
        <v>57.2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6</v>
      </c>
      <c r="AB1654">
        <v>0</v>
      </c>
      <c r="AD1654">
        <v>63.2</v>
      </c>
    </row>
    <row r="1655" spans="1:30" x14ac:dyDescent="0.3">
      <c r="A1655" s="4">
        <v>1670</v>
      </c>
      <c r="B1655" s="5">
        <v>1648</v>
      </c>
      <c r="C1655">
        <v>2384</v>
      </c>
      <c r="D1655" t="s">
        <v>1304</v>
      </c>
      <c r="E1655" t="s">
        <v>439</v>
      </c>
      <c r="F1655" t="s">
        <v>20</v>
      </c>
      <c r="G1655" t="s">
        <v>3697</v>
      </c>
      <c r="H1655" t="str">
        <f>"00857927"</f>
        <v>00857927</v>
      </c>
      <c r="I1655">
        <v>43.2</v>
      </c>
      <c r="J1655">
        <v>10</v>
      </c>
      <c r="N1655">
        <v>0</v>
      </c>
      <c r="O1655">
        <v>4</v>
      </c>
      <c r="P1655">
        <v>0</v>
      </c>
      <c r="Q1655">
        <v>57.2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6</v>
      </c>
      <c r="AB1655">
        <v>0</v>
      </c>
      <c r="AD1655">
        <v>63.2</v>
      </c>
    </row>
    <row r="1656" spans="1:30" x14ac:dyDescent="0.3">
      <c r="A1656" s="4">
        <v>1671</v>
      </c>
      <c r="B1656" s="5">
        <v>1649</v>
      </c>
      <c r="C1656">
        <v>173</v>
      </c>
      <c r="D1656" t="s">
        <v>2660</v>
      </c>
      <c r="E1656" t="s">
        <v>97</v>
      </c>
      <c r="F1656" t="s">
        <v>570</v>
      </c>
      <c r="G1656" t="s">
        <v>3698</v>
      </c>
      <c r="H1656" t="str">
        <f>"00569810"</f>
        <v>00569810</v>
      </c>
      <c r="I1656">
        <v>43.2</v>
      </c>
      <c r="J1656">
        <v>10</v>
      </c>
      <c r="M1656">
        <v>4</v>
      </c>
      <c r="N1656">
        <v>4</v>
      </c>
      <c r="O1656">
        <v>4</v>
      </c>
      <c r="P1656">
        <v>2</v>
      </c>
      <c r="Q1656">
        <v>63.2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D1656">
        <v>63.2</v>
      </c>
    </row>
    <row r="1657" spans="1:30" x14ac:dyDescent="0.3">
      <c r="A1657" s="4">
        <v>1672</v>
      </c>
      <c r="B1657" s="5">
        <v>1650</v>
      </c>
      <c r="C1657">
        <v>977</v>
      </c>
      <c r="D1657" t="s">
        <v>1095</v>
      </c>
      <c r="E1657" t="s">
        <v>33</v>
      </c>
      <c r="F1657" t="s">
        <v>230</v>
      </c>
      <c r="G1657" t="s">
        <v>3699</v>
      </c>
      <c r="H1657" t="str">
        <f>"00009744"</f>
        <v>00009744</v>
      </c>
      <c r="I1657">
        <v>39.200000000000003</v>
      </c>
      <c r="J1657">
        <v>10</v>
      </c>
      <c r="K1657">
        <v>8</v>
      </c>
      <c r="N1657">
        <v>8</v>
      </c>
      <c r="O1657">
        <v>4</v>
      </c>
      <c r="P1657">
        <v>2</v>
      </c>
      <c r="Q1657">
        <v>63.2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D1657">
        <v>63.2</v>
      </c>
    </row>
    <row r="1658" spans="1:30" x14ac:dyDescent="0.3">
      <c r="A1658" s="4">
        <v>1673</v>
      </c>
      <c r="B1658" s="5">
        <v>1651</v>
      </c>
      <c r="C1658">
        <v>2957</v>
      </c>
      <c r="D1658" t="s">
        <v>3700</v>
      </c>
      <c r="E1658" t="s">
        <v>54</v>
      </c>
      <c r="F1658" t="s">
        <v>81</v>
      </c>
      <c r="G1658" t="s">
        <v>3701</v>
      </c>
      <c r="H1658" t="str">
        <f>"00506818"</f>
        <v>00506818</v>
      </c>
      <c r="I1658">
        <v>43.2</v>
      </c>
      <c r="J1658">
        <v>0</v>
      </c>
      <c r="K1658">
        <v>8</v>
      </c>
      <c r="N1658">
        <v>8</v>
      </c>
      <c r="O1658">
        <v>4</v>
      </c>
      <c r="P1658">
        <v>2</v>
      </c>
      <c r="Q1658">
        <v>57.2</v>
      </c>
      <c r="R1658">
        <v>6</v>
      </c>
      <c r="S1658">
        <v>6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6</v>
      </c>
      <c r="AA1658">
        <v>0</v>
      </c>
      <c r="AB1658">
        <v>0</v>
      </c>
      <c r="AD1658">
        <v>63.2</v>
      </c>
    </row>
    <row r="1659" spans="1:30" x14ac:dyDescent="0.3">
      <c r="A1659" s="4">
        <v>1674</v>
      </c>
      <c r="B1659" s="5">
        <v>1652</v>
      </c>
      <c r="C1659">
        <v>1958</v>
      </c>
      <c r="D1659" t="s">
        <v>3702</v>
      </c>
      <c r="E1659" t="s">
        <v>37</v>
      </c>
      <c r="F1659" t="s">
        <v>38</v>
      </c>
      <c r="G1659" t="s">
        <v>3703</v>
      </c>
      <c r="H1659" t="str">
        <f>"00265454"</f>
        <v>00265454</v>
      </c>
      <c r="I1659">
        <v>43.2</v>
      </c>
      <c r="J1659">
        <v>0</v>
      </c>
      <c r="K1659">
        <v>8</v>
      </c>
      <c r="N1659">
        <v>8</v>
      </c>
      <c r="O1659">
        <v>4</v>
      </c>
      <c r="P1659">
        <v>0</v>
      </c>
      <c r="Q1659">
        <v>55.2</v>
      </c>
      <c r="R1659">
        <v>8</v>
      </c>
      <c r="S1659">
        <v>8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8</v>
      </c>
      <c r="AA1659">
        <v>0</v>
      </c>
      <c r="AB1659">
        <v>0</v>
      </c>
      <c r="AD1659">
        <v>63.2</v>
      </c>
    </row>
    <row r="1660" spans="1:30" x14ac:dyDescent="0.3">
      <c r="A1660" s="4">
        <v>1675</v>
      </c>
      <c r="B1660" s="5">
        <v>1653</v>
      </c>
      <c r="C1660">
        <v>1240</v>
      </c>
      <c r="D1660" t="s">
        <v>3704</v>
      </c>
      <c r="E1660" t="s">
        <v>110</v>
      </c>
      <c r="F1660" t="s">
        <v>3705</v>
      </c>
      <c r="G1660" t="s">
        <v>3706</v>
      </c>
      <c r="H1660" t="str">
        <f>"00226265"</f>
        <v>00226265</v>
      </c>
      <c r="I1660">
        <v>35.200000000000003</v>
      </c>
      <c r="J1660">
        <v>0</v>
      </c>
      <c r="M1660">
        <v>4</v>
      </c>
      <c r="N1660">
        <v>4</v>
      </c>
      <c r="O1660">
        <v>4</v>
      </c>
      <c r="P1660">
        <v>2</v>
      </c>
      <c r="Q1660">
        <v>45.2</v>
      </c>
      <c r="R1660">
        <v>18</v>
      </c>
      <c r="S1660">
        <v>18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18</v>
      </c>
      <c r="AA1660">
        <v>0</v>
      </c>
      <c r="AB1660">
        <v>0</v>
      </c>
      <c r="AD1660">
        <v>63.2</v>
      </c>
    </row>
    <row r="1661" spans="1:30" x14ac:dyDescent="0.3">
      <c r="A1661" s="4">
        <v>1676</v>
      </c>
      <c r="B1661" s="5">
        <v>1654</v>
      </c>
      <c r="C1661">
        <v>1634</v>
      </c>
      <c r="D1661" t="s">
        <v>1436</v>
      </c>
      <c r="E1661" t="s">
        <v>2467</v>
      </c>
      <c r="F1661" t="s">
        <v>68</v>
      </c>
      <c r="G1661" t="s">
        <v>3707</v>
      </c>
      <c r="H1661" t="str">
        <f>"00530982"</f>
        <v>00530982</v>
      </c>
      <c r="I1661">
        <v>37.200000000000003</v>
      </c>
      <c r="J1661">
        <v>0</v>
      </c>
      <c r="N1661">
        <v>0</v>
      </c>
      <c r="O1661">
        <v>0</v>
      </c>
      <c r="P1661">
        <v>0</v>
      </c>
      <c r="Q1661">
        <v>37.200000000000003</v>
      </c>
      <c r="R1661">
        <v>26</v>
      </c>
      <c r="S1661">
        <v>26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26</v>
      </c>
      <c r="AA1661">
        <v>0</v>
      </c>
      <c r="AB1661">
        <v>0</v>
      </c>
      <c r="AD1661">
        <v>63.2</v>
      </c>
    </row>
    <row r="1662" spans="1:30" x14ac:dyDescent="0.3">
      <c r="A1662" s="4">
        <v>1677</v>
      </c>
      <c r="B1662" s="5">
        <v>1655</v>
      </c>
      <c r="C1662">
        <v>2864</v>
      </c>
      <c r="D1662" t="s">
        <v>3708</v>
      </c>
      <c r="E1662" t="s">
        <v>26</v>
      </c>
      <c r="F1662" t="s">
        <v>68</v>
      </c>
      <c r="G1662" t="s">
        <v>3709</v>
      </c>
      <c r="H1662" t="str">
        <f>"201511028349"</f>
        <v>201511028349</v>
      </c>
      <c r="I1662">
        <v>40</v>
      </c>
      <c r="J1662">
        <v>10</v>
      </c>
      <c r="M1662">
        <v>4</v>
      </c>
      <c r="N1662">
        <v>4</v>
      </c>
      <c r="O1662">
        <v>4</v>
      </c>
      <c r="P1662">
        <v>2</v>
      </c>
      <c r="Q1662">
        <v>60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3</v>
      </c>
      <c r="AB1662">
        <v>0</v>
      </c>
      <c r="AD1662">
        <v>63</v>
      </c>
    </row>
    <row r="1663" spans="1:30" x14ac:dyDescent="0.3">
      <c r="A1663" s="4">
        <v>1678</v>
      </c>
      <c r="B1663" s="5">
        <v>1656</v>
      </c>
      <c r="C1663">
        <v>4284</v>
      </c>
      <c r="D1663" t="s">
        <v>3710</v>
      </c>
      <c r="E1663" t="s">
        <v>268</v>
      </c>
      <c r="F1663" t="s">
        <v>3711</v>
      </c>
      <c r="G1663" t="s">
        <v>3712</v>
      </c>
      <c r="H1663" t="str">
        <f>"201011000155"</f>
        <v>201011000155</v>
      </c>
      <c r="I1663">
        <v>40</v>
      </c>
      <c r="J1663">
        <v>10</v>
      </c>
      <c r="M1663">
        <v>4</v>
      </c>
      <c r="N1663">
        <v>4</v>
      </c>
      <c r="O1663">
        <v>4</v>
      </c>
      <c r="P1663">
        <v>2</v>
      </c>
      <c r="Q1663">
        <v>60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3</v>
      </c>
      <c r="AB1663">
        <v>0</v>
      </c>
      <c r="AD1663">
        <v>63</v>
      </c>
    </row>
    <row r="1664" spans="1:30" x14ac:dyDescent="0.3">
      <c r="A1664" s="4">
        <v>1679</v>
      </c>
      <c r="B1664" s="5">
        <v>1657</v>
      </c>
      <c r="C1664">
        <v>3622</v>
      </c>
      <c r="D1664" t="s">
        <v>3713</v>
      </c>
      <c r="E1664" t="s">
        <v>1997</v>
      </c>
      <c r="F1664" t="s">
        <v>230</v>
      </c>
      <c r="G1664" t="s">
        <v>3714</v>
      </c>
      <c r="H1664" t="str">
        <f>"201411002536"</f>
        <v>201411002536</v>
      </c>
      <c r="I1664">
        <v>36</v>
      </c>
      <c r="J1664">
        <v>10</v>
      </c>
      <c r="K1664">
        <v>8</v>
      </c>
      <c r="N1664">
        <v>8</v>
      </c>
      <c r="O1664">
        <v>4</v>
      </c>
      <c r="P1664">
        <v>2</v>
      </c>
      <c r="Q1664">
        <v>60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3</v>
      </c>
      <c r="AB1664">
        <v>0</v>
      </c>
      <c r="AD1664">
        <v>63</v>
      </c>
    </row>
    <row r="1665" spans="1:30" x14ac:dyDescent="0.3">
      <c r="A1665" s="4">
        <v>1680</v>
      </c>
      <c r="B1665" s="5">
        <v>1658</v>
      </c>
      <c r="C1665">
        <v>1125</v>
      </c>
      <c r="D1665" t="s">
        <v>1447</v>
      </c>
      <c r="E1665" t="s">
        <v>29</v>
      </c>
      <c r="F1665" t="s">
        <v>346</v>
      </c>
      <c r="G1665" t="s">
        <v>3715</v>
      </c>
      <c r="H1665" t="str">
        <f>"00308337"</f>
        <v>00308337</v>
      </c>
      <c r="I1665">
        <v>36</v>
      </c>
      <c r="J1665">
        <v>0</v>
      </c>
      <c r="M1665">
        <v>4</v>
      </c>
      <c r="N1665">
        <v>4</v>
      </c>
      <c r="O1665">
        <v>4</v>
      </c>
      <c r="P1665">
        <v>0</v>
      </c>
      <c r="Q1665">
        <v>44</v>
      </c>
      <c r="R1665">
        <v>16</v>
      </c>
      <c r="S1665">
        <v>16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16</v>
      </c>
      <c r="AA1665">
        <v>3</v>
      </c>
      <c r="AB1665">
        <v>0</v>
      </c>
      <c r="AD1665">
        <v>63</v>
      </c>
    </row>
    <row r="1666" spans="1:30" x14ac:dyDescent="0.3">
      <c r="A1666" s="4">
        <v>1681</v>
      </c>
      <c r="B1666" s="5">
        <v>1659</v>
      </c>
      <c r="C1666">
        <v>661</v>
      </c>
      <c r="D1666" t="s">
        <v>3716</v>
      </c>
      <c r="E1666" t="s">
        <v>166</v>
      </c>
      <c r="F1666" t="s">
        <v>38</v>
      </c>
      <c r="G1666" t="s">
        <v>3717</v>
      </c>
      <c r="H1666" t="str">
        <f>"201511031908"</f>
        <v>201511031908</v>
      </c>
      <c r="I1666">
        <v>36</v>
      </c>
      <c r="J1666">
        <v>0</v>
      </c>
      <c r="M1666">
        <v>4</v>
      </c>
      <c r="N1666">
        <v>4</v>
      </c>
      <c r="O1666">
        <v>4</v>
      </c>
      <c r="P1666">
        <v>0</v>
      </c>
      <c r="Q1666">
        <v>44</v>
      </c>
      <c r="R1666">
        <v>6</v>
      </c>
      <c r="S1666">
        <v>6</v>
      </c>
      <c r="T1666">
        <v>0</v>
      </c>
      <c r="U1666">
        <v>0</v>
      </c>
      <c r="V1666">
        <v>7</v>
      </c>
      <c r="W1666">
        <v>10</v>
      </c>
      <c r="X1666">
        <v>0</v>
      </c>
      <c r="Y1666">
        <v>0</v>
      </c>
      <c r="Z1666">
        <v>16</v>
      </c>
      <c r="AA1666">
        <v>3</v>
      </c>
      <c r="AB1666">
        <v>0</v>
      </c>
      <c r="AD1666">
        <v>63</v>
      </c>
    </row>
    <row r="1667" spans="1:30" x14ac:dyDescent="0.3">
      <c r="A1667" s="4">
        <v>1682</v>
      </c>
      <c r="B1667" s="5">
        <v>1660</v>
      </c>
      <c r="C1667">
        <v>2686</v>
      </c>
      <c r="D1667" t="s">
        <v>3718</v>
      </c>
      <c r="E1667" t="s">
        <v>3719</v>
      </c>
      <c r="F1667" t="s">
        <v>38</v>
      </c>
      <c r="G1667" t="s">
        <v>3720</v>
      </c>
      <c r="H1667" t="str">
        <f>"201412000140"</f>
        <v>201412000140</v>
      </c>
      <c r="I1667">
        <v>32</v>
      </c>
      <c r="J1667">
        <v>0</v>
      </c>
      <c r="N1667">
        <v>0</v>
      </c>
      <c r="O1667">
        <v>4</v>
      </c>
      <c r="P1667">
        <v>0</v>
      </c>
      <c r="Q1667">
        <v>36</v>
      </c>
      <c r="R1667">
        <v>24</v>
      </c>
      <c r="S1667">
        <v>24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24</v>
      </c>
      <c r="AA1667">
        <v>3</v>
      </c>
      <c r="AB1667">
        <v>0</v>
      </c>
      <c r="AD1667">
        <v>63</v>
      </c>
    </row>
    <row r="1668" spans="1:30" x14ac:dyDescent="0.3">
      <c r="A1668" s="4">
        <v>1683</v>
      </c>
      <c r="B1668" s="5">
        <v>1661</v>
      </c>
      <c r="C1668">
        <v>2910</v>
      </c>
      <c r="D1668" t="s">
        <v>3721</v>
      </c>
      <c r="E1668" t="s">
        <v>22</v>
      </c>
      <c r="F1668" t="s">
        <v>3722</v>
      </c>
      <c r="G1668" t="s">
        <v>3723</v>
      </c>
      <c r="H1668" t="str">
        <f>"00533096"</f>
        <v>00533096</v>
      </c>
      <c r="I1668">
        <v>0</v>
      </c>
      <c r="J1668">
        <v>0</v>
      </c>
      <c r="N1668">
        <v>0</v>
      </c>
      <c r="O1668">
        <v>0</v>
      </c>
      <c r="P1668">
        <v>2</v>
      </c>
      <c r="Q1668">
        <v>2</v>
      </c>
      <c r="R1668">
        <v>58</v>
      </c>
      <c r="S1668">
        <v>58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58</v>
      </c>
      <c r="AA1668">
        <v>3</v>
      </c>
      <c r="AB1668">
        <v>0</v>
      </c>
      <c r="AD1668">
        <v>63</v>
      </c>
    </row>
    <row r="1669" spans="1:30" x14ac:dyDescent="0.3">
      <c r="A1669" s="4">
        <v>1684</v>
      </c>
      <c r="B1669" s="5">
        <v>1662</v>
      </c>
      <c r="C1669">
        <v>484</v>
      </c>
      <c r="D1669" t="s">
        <v>3724</v>
      </c>
      <c r="E1669" t="s">
        <v>1168</v>
      </c>
      <c r="F1669" t="s">
        <v>34</v>
      </c>
      <c r="G1669" t="s">
        <v>3725</v>
      </c>
      <c r="H1669" t="str">
        <f>"00364163"</f>
        <v>00364163</v>
      </c>
      <c r="I1669">
        <v>20</v>
      </c>
      <c r="J1669">
        <v>0</v>
      </c>
      <c r="N1669">
        <v>0</v>
      </c>
      <c r="O1669">
        <v>4</v>
      </c>
      <c r="P1669">
        <v>0</v>
      </c>
      <c r="Q1669">
        <v>24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12</v>
      </c>
      <c r="AB1669">
        <v>26.8</v>
      </c>
      <c r="AD1669">
        <v>62.8</v>
      </c>
    </row>
    <row r="1670" spans="1:30" x14ac:dyDescent="0.3">
      <c r="A1670" s="4">
        <v>1685</v>
      </c>
      <c r="B1670" s="5">
        <v>1663</v>
      </c>
      <c r="C1670">
        <v>1348</v>
      </c>
      <c r="D1670" t="s">
        <v>3726</v>
      </c>
      <c r="E1670" t="s">
        <v>258</v>
      </c>
      <c r="F1670" t="s">
        <v>442</v>
      </c>
      <c r="G1670" t="s">
        <v>3727</v>
      </c>
      <c r="H1670" t="str">
        <f>"00481581"</f>
        <v>00481581</v>
      </c>
      <c r="I1670">
        <v>28.8</v>
      </c>
      <c r="J1670">
        <v>0</v>
      </c>
      <c r="M1670">
        <v>4</v>
      </c>
      <c r="N1670">
        <v>4</v>
      </c>
      <c r="O1670">
        <v>4</v>
      </c>
      <c r="P1670">
        <v>2</v>
      </c>
      <c r="Q1670">
        <v>38.799999999999997</v>
      </c>
      <c r="R1670">
        <v>24</v>
      </c>
      <c r="S1670">
        <v>24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24</v>
      </c>
      <c r="AA1670">
        <v>0</v>
      </c>
      <c r="AB1670">
        <v>0</v>
      </c>
      <c r="AD1670">
        <v>62.8</v>
      </c>
    </row>
    <row r="1671" spans="1:30" x14ac:dyDescent="0.3">
      <c r="A1671" s="4">
        <v>1686</v>
      </c>
      <c r="B1671" s="5">
        <v>1664</v>
      </c>
      <c r="C1671">
        <v>2306</v>
      </c>
      <c r="D1671" t="s">
        <v>3728</v>
      </c>
      <c r="E1671" t="s">
        <v>161</v>
      </c>
      <c r="F1671" t="s">
        <v>892</v>
      </c>
      <c r="G1671" t="s">
        <v>3729</v>
      </c>
      <c r="H1671" t="str">
        <f>"00326448"</f>
        <v>00326448</v>
      </c>
      <c r="I1671">
        <v>38.68</v>
      </c>
      <c r="J1671">
        <v>0</v>
      </c>
      <c r="N1671">
        <v>0</v>
      </c>
      <c r="O1671">
        <v>4</v>
      </c>
      <c r="P1671">
        <v>0</v>
      </c>
      <c r="Q1671">
        <v>42.68</v>
      </c>
      <c r="R1671">
        <v>17</v>
      </c>
      <c r="S1671">
        <v>17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17</v>
      </c>
      <c r="AA1671">
        <v>3</v>
      </c>
      <c r="AB1671">
        <v>0</v>
      </c>
      <c r="AD1671">
        <v>62.68</v>
      </c>
    </row>
    <row r="1672" spans="1:30" x14ac:dyDescent="0.3">
      <c r="A1672" s="4">
        <v>1687</v>
      </c>
      <c r="B1672" s="5">
        <v>1665</v>
      </c>
      <c r="C1672">
        <v>4082</v>
      </c>
      <c r="D1672" t="s">
        <v>3730</v>
      </c>
      <c r="E1672" t="s">
        <v>335</v>
      </c>
      <c r="F1672" t="s">
        <v>227</v>
      </c>
      <c r="G1672" t="s">
        <v>3731</v>
      </c>
      <c r="H1672" t="str">
        <f>"00397006"</f>
        <v>00397006</v>
      </c>
      <c r="I1672">
        <v>37.6</v>
      </c>
      <c r="J1672">
        <v>10</v>
      </c>
      <c r="N1672">
        <v>0</v>
      </c>
      <c r="O1672">
        <v>0</v>
      </c>
      <c r="P1672">
        <v>0</v>
      </c>
      <c r="Q1672">
        <v>47.6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15</v>
      </c>
      <c r="AB1672">
        <v>0</v>
      </c>
      <c r="AD1672">
        <v>62.6</v>
      </c>
    </row>
    <row r="1673" spans="1:30" x14ac:dyDescent="0.3">
      <c r="A1673" s="4">
        <v>1688</v>
      </c>
      <c r="B1673" s="5">
        <v>1666</v>
      </c>
      <c r="C1673">
        <v>3436</v>
      </c>
      <c r="D1673" t="s">
        <v>2092</v>
      </c>
      <c r="E1673" t="s">
        <v>161</v>
      </c>
      <c r="F1673" t="s">
        <v>1526</v>
      </c>
      <c r="G1673" t="s">
        <v>3732</v>
      </c>
      <c r="H1673" t="str">
        <f>"00689087"</f>
        <v>00689087</v>
      </c>
      <c r="I1673">
        <v>39.6</v>
      </c>
      <c r="J1673">
        <v>10</v>
      </c>
      <c r="N1673">
        <v>0</v>
      </c>
      <c r="O1673">
        <v>4</v>
      </c>
      <c r="P1673">
        <v>0</v>
      </c>
      <c r="Q1673">
        <v>53.6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9</v>
      </c>
      <c r="AB1673">
        <v>0</v>
      </c>
      <c r="AD1673">
        <v>62.6</v>
      </c>
    </row>
    <row r="1674" spans="1:30" x14ac:dyDescent="0.3">
      <c r="A1674" s="4">
        <v>1689</v>
      </c>
      <c r="B1674" s="5">
        <v>1667</v>
      </c>
      <c r="C1674">
        <v>456</v>
      </c>
      <c r="D1674" t="s">
        <v>3733</v>
      </c>
      <c r="E1674" t="s">
        <v>29</v>
      </c>
      <c r="F1674" t="s">
        <v>55</v>
      </c>
      <c r="G1674" t="s">
        <v>3734</v>
      </c>
      <c r="H1674" t="str">
        <f>"00486689"</f>
        <v>00486689</v>
      </c>
      <c r="I1674">
        <v>21.6</v>
      </c>
      <c r="J1674">
        <v>10</v>
      </c>
      <c r="K1674">
        <v>8</v>
      </c>
      <c r="N1674">
        <v>8</v>
      </c>
      <c r="O1674">
        <v>4</v>
      </c>
      <c r="P1674">
        <v>2</v>
      </c>
      <c r="Q1674">
        <v>45.6</v>
      </c>
      <c r="R1674">
        <v>11</v>
      </c>
      <c r="S1674">
        <v>11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11</v>
      </c>
      <c r="AA1674">
        <v>6</v>
      </c>
      <c r="AB1674">
        <v>0</v>
      </c>
      <c r="AD1674">
        <v>62.6</v>
      </c>
    </row>
    <row r="1675" spans="1:30" x14ac:dyDescent="0.3">
      <c r="A1675" s="4">
        <v>1690</v>
      </c>
      <c r="B1675" s="5">
        <v>1668</v>
      </c>
      <c r="C1675">
        <v>784</v>
      </c>
      <c r="D1675" t="s">
        <v>3735</v>
      </c>
      <c r="E1675" t="s">
        <v>3736</v>
      </c>
      <c r="F1675" t="s">
        <v>136</v>
      </c>
      <c r="G1675" t="s">
        <v>3737</v>
      </c>
      <c r="H1675" t="str">
        <f>"00856754"</f>
        <v>00856754</v>
      </c>
      <c r="I1675">
        <v>57.6</v>
      </c>
      <c r="J1675">
        <v>0</v>
      </c>
      <c r="N1675">
        <v>0</v>
      </c>
      <c r="O1675">
        <v>0</v>
      </c>
      <c r="P1675">
        <v>2</v>
      </c>
      <c r="Q1675">
        <v>59.6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3</v>
      </c>
      <c r="AB1675">
        <v>0</v>
      </c>
      <c r="AD1675">
        <v>62.6</v>
      </c>
    </row>
    <row r="1676" spans="1:30" x14ac:dyDescent="0.3">
      <c r="A1676" s="4">
        <v>1691</v>
      </c>
      <c r="B1676" s="5">
        <v>1669</v>
      </c>
      <c r="C1676">
        <v>1741</v>
      </c>
      <c r="D1676" t="s">
        <v>3738</v>
      </c>
      <c r="E1676" t="s">
        <v>178</v>
      </c>
      <c r="F1676" t="s">
        <v>3739</v>
      </c>
      <c r="G1676" t="s">
        <v>3740</v>
      </c>
      <c r="H1676" t="str">
        <f>"00531365"</f>
        <v>00531365</v>
      </c>
      <c r="I1676">
        <v>21.44</v>
      </c>
      <c r="J1676">
        <v>0</v>
      </c>
      <c r="N1676">
        <v>0</v>
      </c>
      <c r="O1676">
        <v>4</v>
      </c>
      <c r="P1676">
        <v>0</v>
      </c>
      <c r="Q1676">
        <v>25.44</v>
      </c>
      <c r="R1676">
        <v>27</v>
      </c>
      <c r="S1676">
        <v>27</v>
      </c>
      <c r="T1676">
        <v>5</v>
      </c>
      <c r="U1676">
        <v>10</v>
      </c>
      <c r="V1676">
        <v>0</v>
      </c>
      <c r="W1676">
        <v>0</v>
      </c>
      <c r="X1676">
        <v>0</v>
      </c>
      <c r="Y1676">
        <v>0</v>
      </c>
      <c r="Z1676">
        <v>37</v>
      </c>
      <c r="AA1676">
        <v>0</v>
      </c>
      <c r="AB1676">
        <v>0</v>
      </c>
      <c r="AD1676">
        <v>62.44</v>
      </c>
    </row>
    <row r="1677" spans="1:30" x14ac:dyDescent="0.3">
      <c r="A1677" s="4">
        <v>1692</v>
      </c>
      <c r="B1677" s="5">
        <v>1670</v>
      </c>
      <c r="C1677">
        <v>1556</v>
      </c>
      <c r="D1677" t="s">
        <v>3741</v>
      </c>
      <c r="E1677" t="s">
        <v>22</v>
      </c>
      <c r="F1677" t="s">
        <v>81</v>
      </c>
      <c r="G1677" t="s">
        <v>3742</v>
      </c>
      <c r="H1677" t="str">
        <f>"200801003441"</f>
        <v>200801003441</v>
      </c>
      <c r="I1677">
        <v>21.6</v>
      </c>
      <c r="J1677">
        <v>0</v>
      </c>
      <c r="M1677">
        <v>4</v>
      </c>
      <c r="N1677">
        <v>4</v>
      </c>
      <c r="O1677">
        <v>4</v>
      </c>
      <c r="P1677">
        <v>0</v>
      </c>
      <c r="Q1677">
        <v>29.6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6</v>
      </c>
      <c r="AB1677">
        <v>26.8</v>
      </c>
      <c r="AD1677">
        <v>62.4</v>
      </c>
    </row>
    <row r="1678" spans="1:30" x14ac:dyDescent="0.3">
      <c r="A1678" s="4">
        <v>1693</v>
      </c>
      <c r="B1678" s="5">
        <v>1671</v>
      </c>
      <c r="C1678">
        <v>4699</v>
      </c>
      <c r="D1678" t="s">
        <v>3743</v>
      </c>
      <c r="E1678" t="s">
        <v>29</v>
      </c>
      <c r="F1678" t="s">
        <v>117</v>
      </c>
      <c r="G1678" t="s">
        <v>3744</v>
      </c>
      <c r="H1678" t="str">
        <f>"00160998"</f>
        <v>00160998</v>
      </c>
      <c r="I1678">
        <v>28.4</v>
      </c>
      <c r="J1678">
        <v>0</v>
      </c>
      <c r="K1678">
        <v>8</v>
      </c>
      <c r="N1678">
        <v>8</v>
      </c>
      <c r="O1678">
        <v>4</v>
      </c>
      <c r="P1678">
        <v>2</v>
      </c>
      <c r="Q1678">
        <v>42.4</v>
      </c>
      <c r="R1678">
        <v>11</v>
      </c>
      <c r="S1678">
        <v>11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11</v>
      </c>
      <c r="AA1678">
        <v>9</v>
      </c>
      <c r="AB1678">
        <v>0</v>
      </c>
      <c r="AD1678">
        <v>62.4</v>
      </c>
    </row>
    <row r="1679" spans="1:30" x14ac:dyDescent="0.3">
      <c r="A1679" s="4">
        <v>1694</v>
      </c>
      <c r="B1679" s="5">
        <v>1672</v>
      </c>
      <c r="C1679">
        <v>1074</v>
      </c>
      <c r="D1679" t="s">
        <v>3745</v>
      </c>
      <c r="E1679" t="s">
        <v>88</v>
      </c>
      <c r="F1679" t="s">
        <v>167</v>
      </c>
      <c r="G1679" t="s">
        <v>3746</v>
      </c>
      <c r="H1679" t="str">
        <f>"00858645"</f>
        <v>00858645</v>
      </c>
      <c r="I1679">
        <v>50.4</v>
      </c>
      <c r="J1679">
        <v>0</v>
      </c>
      <c r="N1679">
        <v>0</v>
      </c>
      <c r="O1679">
        <v>4</v>
      </c>
      <c r="P1679">
        <v>2</v>
      </c>
      <c r="Q1679">
        <v>56.4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6</v>
      </c>
      <c r="AB1679">
        <v>0</v>
      </c>
      <c r="AD1679">
        <v>62.4</v>
      </c>
    </row>
    <row r="1680" spans="1:30" x14ac:dyDescent="0.3">
      <c r="A1680" s="4">
        <v>1695</v>
      </c>
      <c r="B1680" s="5">
        <v>1673</v>
      </c>
      <c r="C1680">
        <v>1039</v>
      </c>
      <c r="D1680" t="s">
        <v>3747</v>
      </c>
      <c r="E1680" t="s">
        <v>283</v>
      </c>
      <c r="F1680" t="s">
        <v>52</v>
      </c>
      <c r="G1680" t="s">
        <v>3748</v>
      </c>
      <c r="H1680" t="str">
        <f>"00858448"</f>
        <v>00858448</v>
      </c>
      <c r="I1680">
        <v>50.4</v>
      </c>
      <c r="J1680">
        <v>0</v>
      </c>
      <c r="M1680">
        <v>4</v>
      </c>
      <c r="N1680">
        <v>4</v>
      </c>
      <c r="O1680">
        <v>0</v>
      </c>
      <c r="P1680">
        <v>2</v>
      </c>
      <c r="Q1680">
        <v>56.4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6</v>
      </c>
      <c r="AB1680">
        <v>0</v>
      </c>
      <c r="AD1680">
        <v>62.4</v>
      </c>
    </row>
    <row r="1681" spans="1:30" x14ac:dyDescent="0.3">
      <c r="A1681" s="4">
        <v>1696</v>
      </c>
      <c r="B1681" s="5">
        <v>1674</v>
      </c>
      <c r="C1681">
        <v>4238</v>
      </c>
      <c r="D1681" t="s">
        <v>3749</v>
      </c>
      <c r="E1681" t="s">
        <v>338</v>
      </c>
      <c r="F1681" t="s">
        <v>3750</v>
      </c>
      <c r="G1681" t="s">
        <v>3751</v>
      </c>
      <c r="H1681" t="str">
        <f>"00513268"</f>
        <v>00513268</v>
      </c>
      <c r="I1681">
        <v>14.4</v>
      </c>
      <c r="J1681">
        <v>10</v>
      </c>
      <c r="N1681">
        <v>0</v>
      </c>
      <c r="O1681">
        <v>4</v>
      </c>
      <c r="P1681">
        <v>0</v>
      </c>
      <c r="Q1681">
        <v>28.4</v>
      </c>
      <c r="R1681">
        <v>28</v>
      </c>
      <c r="S1681">
        <v>28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28</v>
      </c>
      <c r="AA1681">
        <v>6</v>
      </c>
      <c r="AB1681">
        <v>0</v>
      </c>
      <c r="AD1681">
        <v>62.4</v>
      </c>
    </row>
    <row r="1682" spans="1:30" x14ac:dyDescent="0.3">
      <c r="A1682" s="4">
        <v>1697</v>
      </c>
      <c r="B1682" s="5">
        <v>1675</v>
      </c>
      <c r="C1682">
        <v>3405</v>
      </c>
      <c r="D1682" t="s">
        <v>3752</v>
      </c>
      <c r="E1682" t="s">
        <v>26</v>
      </c>
      <c r="F1682" t="s">
        <v>20</v>
      </c>
      <c r="G1682" t="s">
        <v>3753</v>
      </c>
      <c r="H1682" t="str">
        <f>"00531268"</f>
        <v>00531268</v>
      </c>
      <c r="I1682">
        <v>50.4</v>
      </c>
      <c r="J1682">
        <v>0</v>
      </c>
      <c r="M1682">
        <v>4</v>
      </c>
      <c r="N1682">
        <v>4</v>
      </c>
      <c r="O1682">
        <v>0</v>
      </c>
      <c r="P1682">
        <v>0</v>
      </c>
      <c r="Q1682">
        <v>54.4</v>
      </c>
      <c r="R1682">
        <v>5</v>
      </c>
      <c r="S1682">
        <v>5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5</v>
      </c>
      <c r="AA1682">
        <v>3</v>
      </c>
      <c r="AB1682">
        <v>0</v>
      </c>
      <c r="AD1682">
        <v>62.4</v>
      </c>
    </row>
    <row r="1683" spans="1:30" x14ac:dyDescent="0.3">
      <c r="A1683" s="4">
        <v>1698</v>
      </c>
      <c r="B1683" s="5">
        <v>1676</v>
      </c>
      <c r="C1683">
        <v>2184</v>
      </c>
      <c r="D1683" t="s">
        <v>3754</v>
      </c>
      <c r="E1683" t="s">
        <v>100</v>
      </c>
      <c r="F1683" t="s">
        <v>124</v>
      </c>
      <c r="G1683" t="s">
        <v>3755</v>
      </c>
      <c r="H1683" t="str">
        <f>"00859315"</f>
        <v>00859315</v>
      </c>
      <c r="I1683">
        <v>50.4</v>
      </c>
      <c r="J1683">
        <v>0</v>
      </c>
      <c r="K1683">
        <v>8</v>
      </c>
      <c r="N1683">
        <v>8</v>
      </c>
      <c r="O1683">
        <v>4</v>
      </c>
      <c r="P1683">
        <v>0</v>
      </c>
      <c r="Q1683">
        <v>62.4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D1683">
        <v>62.4</v>
      </c>
    </row>
    <row r="1684" spans="1:30" x14ac:dyDescent="0.3">
      <c r="A1684" s="4">
        <v>1699</v>
      </c>
      <c r="B1684" s="5">
        <v>1677</v>
      </c>
      <c r="C1684">
        <v>118</v>
      </c>
      <c r="D1684" t="s">
        <v>3756</v>
      </c>
      <c r="E1684" t="s">
        <v>213</v>
      </c>
      <c r="F1684" t="s">
        <v>158</v>
      </c>
      <c r="G1684" t="s">
        <v>3757</v>
      </c>
      <c r="H1684" t="str">
        <f>"201510004976"</f>
        <v>201510004976</v>
      </c>
      <c r="I1684">
        <v>50.4</v>
      </c>
      <c r="J1684">
        <v>0</v>
      </c>
      <c r="K1684">
        <v>8</v>
      </c>
      <c r="N1684">
        <v>8</v>
      </c>
      <c r="O1684">
        <v>4</v>
      </c>
      <c r="P1684">
        <v>0</v>
      </c>
      <c r="Q1684">
        <v>62.4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D1684">
        <v>62.4</v>
      </c>
    </row>
    <row r="1685" spans="1:30" x14ac:dyDescent="0.3">
      <c r="A1685" s="4">
        <v>1700</v>
      </c>
      <c r="B1685" s="5">
        <v>1678</v>
      </c>
      <c r="C1685">
        <v>4040</v>
      </c>
      <c r="D1685" t="s">
        <v>3758</v>
      </c>
      <c r="E1685" t="s">
        <v>104</v>
      </c>
      <c r="F1685" t="s">
        <v>20</v>
      </c>
      <c r="G1685" t="s">
        <v>3759</v>
      </c>
      <c r="H1685" t="str">
        <f>"00450815"</f>
        <v>00450815</v>
      </c>
      <c r="I1685">
        <v>50.4</v>
      </c>
      <c r="J1685">
        <v>0</v>
      </c>
      <c r="K1685">
        <v>8</v>
      </c>
      <c r="N1685">
        <v>8</v>
      </c>
      <c r="O1685">
        <v>4</v>
      </c>
      <c r="P1685">
        <v>0</v>
      </c>
      <c r="Q1685">
        <v>62.4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D1685">
        <v>62.4</v>
      </c>
    </row>
    <row r="1686" spans="1:30" x14ac:dyDescent="0.3">
      <c r="A1686" s="4">
        <v>1701</v>
      </c>
      <c r="B1686" s="5">
        <v>1679</v>
      </c>
      <c r="C1686">
        <v>824</v>
      </c>
      <c r="D1686" t="s">
        <v>3760</v>
      </c>
      <c r="E1686" t="s">
        <v>48</v>
      </c>
      <c r="F1686" t="s">
        <v>158</v>
      </c>
      <c r="G1686" t="s">
        <v>3761</v>
      </c>
      <c r="H1686" t="str">
        <f>"00115529"</f>
        <v>00115529</v>
      </c>
      <c r="I1686">
        <v>50.4</v>
      </c>
      <c r="J1686">
        <v>0</v>
      </c>
      <c r="K1686">
        <v>8</v>
      </c>
      <c r="N1686">
        <v>8</v>
      </c>
      <c r="O1686">
        <v>4</v>
      </c>
      <c r="P1686">
        <v>0</v>
      </c>
      <c r="Q1686">
        <v>62.4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D1686">
        <v>62.4</v>
      </c>
    </row>
    <row r="1687" spans="1:30" x14ac:dyDescent="0.3">
      <c r="A1687" s="4">
        <v>1702</v>
      </c>
      <c r="B1687" s="5">
        <v>1680</v>
      </c>
      <c r="C1687">
        <v>1192</v>
      </c>
      <c r="D1687" t="s">
        <v>3762</v>
      </c>
      <c r="E1687" t="s">
        <v>789</v>
      </c>
      <c r="F1687" t="s">
        <v>17</v>
      </c>
      <c r="G1687" t="s">
        <v>3763</v>
      </c>
      <c r="H1687" t="str">
        <f>"201511042238"</f>
        <v>201511042238</v>
      </c>
      <c r="I1687">
        <v>38.4</v>
      </c>
      <c r="J1687">
        <v>10</v>
      </c>
      <c r="K1687">
        <v>8</v>
      </c>
      <c r="N1687">
        <v>8</v>
      </c>
      <c r="O1687">
        <v>4</v>
      </c>
      <c r="P1687">
        <v>2</v>
      </c>
      <c r="Q1687">
        <v>62.4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D1687">
        <v>62.4</v>
      </c>
    </row>
    <row r="1688" spans="1:30" x14ac:dyDescent="0.3">
      <c r="A1688" s="4">
        <v>1703</v>
      </c>
      <c r="B1688" s="5">
        <v>1681</v>
      </c>
      <c r="C1688">
        <v>4304</v>
      </c>
      <c r="D1688" t="s">
        <v>3764</v>
      </c>
      <c r="E1688" t="s">
        <v>149</v>
      </c>
      <c r="F1688" t="s">
        <v>30</v>
      </c>
      <c r="G1688" t="s">
        <v>3765</v>
      </c>
      <c r="H1688" t="str">
        <f>"00482223"</f>
        <v>00482223</v>
      </c>
      <c r="I1688">
        <v>23.28</v>
      </c>
      <c r="J1688">
        <v>0</v>
      </c>
      <c r="M1688">
        <v>4</v>
      </c>
      <c r="N1688">
        <v>4</v>
      </c>
      <c r="O1688">
        <v>4</v>
      </c>
      <c r="P1688">
        <v>0</v>
      </c>
      <c r="Q1688">
        <v>31.28</v>
      </c>
      <c r="R1688">
        <v>31</v>
      </c>
      <c r="S1688">
        <v>31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31</v>
      </c>
      <c r="AA1688">
        <v>0</v>
      </c>
      <c r="AB1688">
        <v>0</v>
      </c>
      <c r="AD1688">
        <v>62.28</v>
      </c>
    </row>
    <row r="1689" spans="1:30" x14ac:dyDescent="0.3">
      <c r="A1689" s="4">
        <v>1704</v>
      </c>
      <c r="B1689" s="5">
        <v>1682</v>
      </c>
      <c r="C1689">
        <v>3585</v>
      </c>
      <c r="D1689" t="s">
        <v>3766</v>
      </c>
      <c r="E1689" t="s">
        <v>26</v>
      </c>
      <c r="F1689" t="s">
        <v>1399</v>
      </c>
      <c r="G1689" t="s">
        <v>3767</v>
      </c>
      <c r="H1689" t="str">
        <f>"00142885"</f>
        <v>00142885</v>
      </c>
      <c r="I1689">
        <v>39.200000000000003</v>
      </c>
      <c r="J1689">
        <v>10</v>
      </c>
      <c r="N1689">
        <v>0</v>
      </c>
      <c r="O1689">
        <v>4</v>
      </c>
      <c r="P1689">
        <v>0</v>
      </c>
      <c r="Q1689">
        <v>53.2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9</v>
      </c>
      <c r="AB1689">
        <v>0</v>
      </c>
      <c r="AD1689">
        <v>62.2</v>
      </c>
    </row>
    <row r="1690" spans="1:30" x14ac:dyDescent="0.3">
      <c r="A1690" s="4">
        <v>1705</v>
      </c>
      <c r="B1690" s="5">
        <v>1683</v>
      </c>
      <c r="C1690">
        <v>1344</v>
      </c>
      <c r="D1690" t="s">
        <v>195</v>
      </c>
      <c r="E1690" t="s">
        <v>41</v>
      </c>
      <c r="F1690" t="s">
        <v>20</v>
      </c>
      <c r="G1690" t="s">
        <v>3768</v>
      </c>
      <c r="H1690" t="str">
        <f>"00640354"</f>
        <v>00640354</v>
      </c>
      <c r="I1690">
        <v>33.200000000000003</v>
      </c>
      <c r="J1690">
        <v>10</v>
      </c>
      <c r="M1690">
        <v>4</v>
      </c>
      <c r="N1690">
        <v>4</v>
      </c>
      <c r="O1690">
        <v>4</v>
      </c>
      <c r="P1690">
        <v>2</v>
      </c>
      <c r="Q1690">
        <v>53.2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9</v>
      </c>
      <c r="AB1690">
        <v>0</v>
      </c>
      <c r="AD1690">
        <v>62.2</v>
      </c>
    </row>
    <row r="1691" spans="1:30" x14ac:dyDescent="0.3">
      <c r="A1691" s="4">
        <v>1706</v>
      </c>
      <c r="B1691" s="5">
        <v>1684</v>
      </c>
      <c r="C1691">
        <v>228</v>
      </c>
      <c r="D1691" t="s">
        <v>3769</v>
      </c>
      <c r="E1691" t="s">
        <v>479</v>
      </c>
      <c r="F1691" t="s">
        <v>68</v>
      </c>
      <c r="G1691" t="s">
        <v>3770</v>
      </c>
      <c r="H1691" t="str">
        <f>"00161792"</f>
        <v>00161792</v>
      </c>
      <c r="I1691">
        <v>7.2</v>
      </c>
      <c r="J1691">
        <v>10</v>
      </c>
      <c r="M1691">
        <v>4</v>
      </c>
      <c r="N1691">
        <v>4</v>
      </c>
      <c r="O1691">
        <v>4</v>
      </c>
      <c r="P1691">
        <v>2</v>
      </c>
      <c r="Q1691">
        <v>27.2</v>
      </c>
      <c r="R1691">
        <v>29</v>
      </c>
      <c r="S1691">
        <v>29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29</v>
      </c>
      <c r="AA1691">
        <v>6</v>
      </c>
      <c r="AB1691">
        <v>0</v>
      </c>
      <c r="AD1691">
        <v>62.2</v>
      </c>
    </row>
    <row r="1692" spans="1:30" x14ac:dyDescent="0.3">
      <c r="A1692" s="4">
        <v>1707</v>
      </c>
      <c r="B1692" s="5">
        <v>1685</v>
      </c>
      <c r="C1692">
        <v>4319</v>
      </c>
      <c r="D1692" t="s">
        <v>3771</v>
      </c>
      <c r="E1692" t="s">
        <v>3772</v>
      </c>
      <c r="F1692" t="s">
        <v>343</v>
      </c>
      <c r="G1692" t="s">
        <v>3773</v>
      </c>
      <c r="H1692" t="str">
        <f>"00532510"</f>
        <v>00532510</v>
      </c>
      <c r="I1692">
        <v>7.2</v>
      </c>
      <c r="J1692">
        <v>0</v>
      </c>
      <c r="N1692">
        <v>0</v>
      </c>
      <c r="O1692">
        <v>4</v>
      </c>
      <c r="P1692">
        <v>2</v>
      </c>
      <c r="Q1692">
        <v>13.2</v>
      </c>
      <c r="R1692">
        <v>46</v>
      </c>
      <c r="S1692">
        <v>46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46</v>
      </c>
      <c r="AA1692">
        <v>3</v>
      </c>
      <c r="AB1692">
        <v>0</v>
      </c>
      <c r="AD1692">
        <v>62.2</v>
      </c>
    </row>
    <row r="1693" spans="1:30" x14ac:dyDescent="0.3">
      <c r="A1693" s="4">
        <v>1708</v>
      </c>
      <c r="B1693" s="5">
        <v>1686</v>
      </c>
      <c r="C1693">
        <v>2114</v>
      </c>
      <c r="D1693" t="s">
        <v>3774</v>
      </c>
      <c r="E1693" t="s">
        <v>3775</v>
      </c>
      <c r="F1693" t="s">
        <v>136</v>
      </c>
      <c r="G1693" t="s">
        <v>3776</v>
      </c>
      <c r="H1693" t="str">
        <f>"00421882"</f>
        <v>00421882</v>
      </c>
      <c r="I1693">
        <v>43.2</v>
      </c>
      <c r="J1693">
        <v>0</v>
      </c>
      <c r="K1693">
        <v>8</v>
      </c>
      <c r="N1693">
        <v>8</v>
      </c>
      <c r="O1693">
        <v>4</v>
      </c>
      <c r="P1693">
        <v>2</v>
      </c>
      <c r="Q1693">
        <v>57.2</v>
      </c>
      <c r="R1693">
        <v>5</v>
      </c>
      <c r="S1693">
        <v>5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5</v>
      </c>
      <c r="AA1693">
        <v>0</v>
      </c>
      <c r="AB1693">
        <v>0</v>
      </c>
      <c r="AD1693">
        <v>62.2</v>
      </c>
    </row>
    <row r="1694" spans="1:30" x14ac:dyDescent="0.3">
      <c r="A1694" s="4">
        <v>1709</v>
      </c>
      <c r="B1694" s="5">
        <v>1687</v>
      </c>
      <c r="C1694">
        <v>4854</v>
      </c>
      <c r="D1694" t="s">
        <v>577</v>
      </c>
      <c r="E1694" t="s">
        <v>22</v>
      </c>
      <c r="F1694" t="s">
        <v>38</v>
      </c>
      <c r="G1694" t="s">
        <v>3777</v>
      </c>
      <c r="H1694" t="str">
        <f>"00459309"</f>
        <v>00459309</v>
      </c>
      <c r="I1694">
        <v>9.1999999999999993</v>
      </c>
      <c r="J1694">
        <v>10</v>
      </c>
      <c r="K1694">
        <v>8</v>
      </c>
      <c r="N1694">
        <v>8</v>
      </c>
      <c r="O1694">
        <v>4</v>
      </c>
      <c r="P1694">
        <v>2</v>
      </c>
      <c r="Q1694">
        <v>33.200000000000003</v>
      </c>
      <c r="R1694">
        <v>29</v>
      </c>
      <c r="S1694">
        <v>29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29</v>
      </c>
      <c r="AA1694">
        <v>0</v>
      </c>
      <c r="AB1694">
        <v>0</v>
      </c>
      <c r="AD1694">
        <v>62.2</v>
      </c>
    </row>
    <row r="1695" spans="1:30" x14ac:dyDescent="0.3">
      <c r="A1695" s="4">
        <v>1710</v>
      </c>
      <c r="B1695" s="5">
        <v>1688</v>
      </c>
      <c r="C1695">
        <v>4338</v>
      </c>
      <c r="D1695" t="s">
        <v>2416</v>
      </c>
      <c r="E1695" t="s">
        <v>3778</v>
      </c>
      <c r="F1695" t="s">
        <v>20</v>
      </c>
      <c r="G1695" t="s">
        <v>3779</v>
      </c>
      <c r="H1695" t="str">
        <f>"00492404"</f>
        <v>00492404</v>
      </c>
      <c r="I1695">
        <v>7.2</v>
      </c>
      <c r="J1695">
        <v>0</v>
      </c>
      <c r="M1695">
        <v>4</v>
      </c>
      <c r="N1695">
        <v>4</v>
      </c>
      <c r="O1695">
        <v>4</v>
      </c>
      <c r="P1695">
        <v>2</v>
      </c>
      <c r="Q1695">
        <v>17.2</v>
      </c>
      <c r="R1695">
        <v>45</v>
      </c>
      <c r="S1695">
        <v>45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45</v>
      </c>
      <c r="AA1695">
        <v>0</v>
      </c>
      <c r="AB1695">
        <v>0</v>
      </c>
      <c r="AD1695">
        <v>62.2</v>
      </c>
    </row>
    <row r="1696" spans="1:30" x14ac:dyDescent="0.3">
      <c r="A1696" s="4">
        <v>1711</v>
      </c>
      <c r="B1696" s="5">
        <v>1689</v>
      </c>
      <c r="C1696">
        <v>3659</v>
      </c>
      <c r="D1696" t="s">
        <v>1092</v>
      </c>
      <c r="E1696" t="s">
        <v>286</v>
      </c>
      <c r="F1696" t="s">
        <v>68</v>
      </c>
      <c r="G1696" t="s">
        <v>3780</v>
      </c>
      <c r="H1696" t="str">
        <f>"00859633"</f>
        <v>00859633</v>
      </c>
      <c r="I1696">
        <v>36</v>
      </c>
      <c r="J1696">
        <v>10</v>
      </c>
      <c r="M1696">
        <v>4</v>
      </c>
      <c r="N1696">
        <v>4</v>
      </c>
      <c r="O1696">
        <v>4</v>
      </c>
      <c r="P1696">
        <v>2</v>
      </c>
      <c r="Q1696">
        <v>56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6</v>
      </c>
      <c r="AB1696">
        <v>0</v>
      </c>
      <c r="AD1696">
        <v>62</v>
      </c>
    </row>
    <row r="1697" spans="1:30" x14ac:dyDescent="0.3">
      <c r="A1697" s="4">
        <v>1712</v>
      </c>
      <c r="B1697" s="5">
        <v>1690</v>
      </c>
      <c r="C1697">
        <v>1225</v>
      </c>
      <c r="D1697" t="s">
        <v>3781</v>
      </c>
      <c r="E1697" t="s">
        <v>29</v>
      </c>
      <c r="F1697" t="s">
        <v>68</v>
      </c>
      <c r="G1697" t="s">
        <v>3782</v>
      </c>
      <c r="H1697" t="str">
        <f>"201406003355"</f>
        <v>201406003355</v>
      </c>
      <c r="I1697">
        <v>36</v>
      </c>
      <c r="J1697">
        <v>0</v>
      </c>
      <c r="M1697">
        <v>8</v>
      </c>
      <c r="N1697">
        <v>8</v>
      </c>
      <c r="O1697">
        <v>4</v>
      </c>
      <c r="P1697">
        <v>2</v>
      </c>
      <c r="Q1697">
        <v>50</v>
      </c>
      <c r="R1697">
        <v>9</v>
      </c>
      <c r="S1697">
        <v>9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9</v>
      </c>
      <c r="AA1697">
        <v>3</v>
      </c>
      <c r="AB1697">
        <v>0</v>
      </c>
      <c r="AD1697">
        <v>62</v>
      </c>
    </row>
    <row r="1698" spans="1:30" x14ac:dyDescent="0.3">
      <c r="A1698" s="4">
        <v>1713</v>
      </c>
      <c r="B1698" s="5">
        <v>1691</v>
      </c>
      <c r="C1698">
        <v>521</v>
      </c>
      <c r="D1698" t="s">
        <v>3783</v>
      </c>
      <c r="E1698" t="s">
        <v>19</v>
      </c>
      <c r="F1698" t="s">
        <v>416</v>
      </c>
      <c r="G1698" t="s">
        <v>3784</v>
      </c>
      <c r="H1698" t="str">
        <f>"00094730"</f>
        <v>00094730</v>
      </c>
      <c r="I1698">
        <v>36</v>
      </c>
      <c r="J1698">
        <v>0</v>
      </c>
      <c r="L1698">
        <v>6</v>
      </c>
      <c r="N1698">
        <v>6</v>
      </c>
      <c r="O1698">
        <v>4</v>
      </c>
      <c r="P1698">
        <v>2</v>
      </c>
      <c r="Q1698">
        <v>48</v>
      </c>
      <c r="R1698">
        <v>11</v>
      </c>
      <c r="S1698">
        <v>11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11</v>
      </c>
      <c r="AA1698">
        <v>3</v>
      </c>
      <c r="AB1698">
        <v>0</v>
      </c>
      <c r="AD1698">
        <v>62</v>
      </c>
    </row>
    <row r="1699" spans="1:30" x14ac:dyDescent="0.3">
      <c r="A1699" s="4">
        <v>1714</v>
      </c>
      <c r="B1699" s="5">
        <v>1692</v>
      </c>
      <c r="C1699">
        <v>1392</v>
      </c>
      <c r="D1699" t="s">
        <v>3785</v>
      </c>
      <c r="E1699" t="s">
        <v>161</v>
      </c>
      <c r="F1699" t="s">
        <v>167</v>
      </c>
      <c r="G1699" t="s">
        <v>3786</v>
      </c>
      <c r="H1699" t="str">
        <f>"00508904"</f>
        <v>00508904</v>
      </c>
      <c r="I1699">
        <v>36</v>
      </c>
      <c r="J1699">
        <v>10</v>
      </c>
      <c r="N1699">
        <v>0</v>
      </c>
      <c r="O1699">
        <v>0</v>
      </c>
      <c r="P1699">
        <v>0</v>
      </c>
      <c r="Q1699">
        <v>46</v>
      </c>
      <c r="R1699">
        <v>13</v>
      </c>
      <c r="S1699">
        <v>13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13</v>
      </c>
      <c r="AA1699">
        <v>3</v>
      </c>
      <c r="AB1699">
        <v>0</v>
      </c>
      <c r="AD1699">
        <v>62</v>
      </c>
    </row>
    <row r="1700" spans="1:30" x14ac:dyDescent="0.3">
      <c r="A1700" s="4">
        <v>1715</v>
      </c>
      <c r="B1700" s="5">
        <v>1693</v>
      </c>
      <c r="C1700">
        <v>846</v>
      </c>
      <c r="D1700" t="s">
        <v>3787</v>
      </c>
      <c r="E1700" t="s">
        <v>166</v>
      </c>
      <c r="F1700" t="s">
        <v>38</v>
      </c>
      <c r="G1700" t="s">
        <v>3788</v>
      </c>
      <c r="H1700" t="str">
        <f>"00202638"</f>
        <v>00202638</v>
      </c>
      <c r="I1700">
        <v>40</v>
      </c>
      <c r="J1700">
        <v>10</v>
      </c>
      <c r="N1700">
        <v>0</v>
      </c>
      <c r="O1700">
        <v>4</v>
      </c>
      <c r="P1700">
        <v>0</v>
      </c>
      <c r="Q1700">
        <v>54</v>
      </c>
      <c r="R1700">
        <v>8</v>
      </c>
      <c r="S1700">
        <v>8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8</v>
      </c>
      <c r="AA1700">
        <v>0</v>
      </c>
      <c r="AB1700">
        <v>0</v>
      </c>
      <c r="AD1700">
        <v>62</v>
      </c>
    </row>
    <row r="1701" spans="1:30" x14ac:dyDescent="0.3">
      <c r="A1701" s="4">
        <v>1716</v>
      </c>
      <c r="B1701" s="5">
        <v>1694</v>
      </c>
      <c r="C1701">
        <v>487</v>
      </c>
      <c r="D1701" t="s">
        <v>3789</v>
      </c>
      <c r="E1701" t="s">
        <v>258</v>
      </c>
      <c r="F1701" t="s">
        <v>81</v>
      </c>
      <c r="G1701" t="s">
        <v>3790</v>
      </c>
      <c r="H1701" t="str">
        <f>"00124225"</f>
        <v>00124225</v>
      </c>
      <c r="I1701">
        <v>36</v>
      </c>
      <c r="J1701">
        <v>0</v>
      </c>
      <c r="M1701">
        <v>4</v>
      </c>
      <c r="N1701">
        <v>4</v>
      </c>
      <c r="O1701">
        <v>4</v>
      </c>
      <c r="P1701">
        <v>2</v>
      </c>
      <c r="Q1701">
        <v>46</v>
      </c>
      <c r="R1701">
        <v>16</v>
      </c>
      <c r="S1701">
        <v>16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16</v>
      </c>
      <c r="AA1701">
        <v>0</v>
      </c>
      <c r="AB1701">
        <v>0</v>
      </c>
      <c r="AD1701">
        <v>62</v>
      </c>
    </row>
    <row r="1702" spans="1:30" x14ac:dyDescent="0.3">
      <c r="A1702" s="4">
        <v>1717</v>
      </c>
      <c r="B1702" s="5">
        <v>1695</v>
      </c>
      <c r="C1702">
        <v>1435</v>
      </c>
      <c r="D1702" t="s">
        <v>857</v>
      </c>
      <c r="E1702" t="s">
        <v>100</v>
      </c>
      <c r="F1702" t="s">
        <v>190</v>
      </c>
      <c r="G1702" t="s">
        <v>3791</v>
      </c>
      <c r="H1702" t="str">
        <f>"00505333"</f>
        <v>00505333</v>
      </c>
      <c r="I1702">
        <v>36</v>
      </c>
      <c r="J1702">
        <v>0</v>
      </c>
      <c r="M1702">
        <v>4</v>
      </c>
      <c r="N1702">
        <v>4</v>
      </c>
      <c r="O1702">
        <v>4</v>
      </c>
      <c r="P1702">
        <v>0</v>
      </c>
      <c r="Q1702">
        <v>44</v>
      </c>
      <c r="R1702">
        <v>18</v>
      </c>
      <c r="S1702">
        <v>18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18</v>
      </c>
      <c r="AA1702">
        <v>0</v>
      </c>
      <c r="AB1702">
        <v>0</v>
      </c>
      <c r="AD1702">
        <v>62</v>
      </c>
    </row>
    <row r="1703" spans="1:30" x14ac:dyDescent="0.3">
      <c r="A1703" s="4">
        <v>1718</v>
      </c>
      <c r="B1703" s="5">
        <v>1696</v>
      </c>
      <c r="C1703">
        <v>3587</v>
      </c>
      <c r="D1703" t="s">
        <v>3792</v>
      </c>
      <c r="E1703" t="s">
        <v>3793</v>
      </c>
      <c r="F1703" t="s">
        <v>38</v>
      </c>
      <c r="G1703" t="s">
        <v>3794</v>
      </c>
      <c r="H1703" t="str">
        <f>"00441640"</f>
        <v>00441640</v>
      </c>
      <c r="I1703">
        <v>36</v>
      </c>
      <c r="J1703">
        <v>0</v>
      </c>
      <c r="N1703">
        <v>0</v>
      </c>
      <c r="O1703">
        <v>0</v>
      </c>
      <c r="P1703">
        <v>2</v>
      </c>
      <c r="Q1703">
        <v>38</v>
      </c>
      <c r="R1703">
        <v>10</v>
      </c>
      <c r="S1703">
        <v>10</v>
      </c>
      <c r="T1703">
        <v>7</v>
      </c>
      <c r="U1703">
        <v>14</v>
      </c>
      <c r="V1703">
        <v>0</v>
      </c>
      <c r="W1703">
        <v>0</v>
      </c>
      <c r="X1703">
        <v>0</v>
      </c>
      <c r="Y1703">
        <v>0</v>
      </c>
      <c r="Z1703">
        <v>24</v>
      </c>
      <c r="AA1703">
        <v>0</v>
      </c>
      <c r="AB1703">
        <v>0</v>
      </c>
      <c r="AD1703">
        <v>62</v>
      </c>
    </row>
    <row r="1704" spans="1:30" x14ac:dyDescent="0.3">
      <c r="A1704" s="4">
        <v>1719</v>
      </c>
      <c r="B1704" s="5">
        <v>1697</v>
      </c>
      <c r="C1704">
        <v>729</v>
      </c>
      <c r="D1704" t="s">
        <v>3795</v>
      </c>
      <c r="E1704" t="s">
        <v>406</v>
      </c>
      <c r="F1704" t="s">
        <v>17</v>
      </c>
      <c r="G1704" t="s">
        <v>3796</v>
      </c>
      <c r="H1704" t="str">
        <f>"00290135"</f>
        <v>00290135</v>
      </c>
      <c r="I1704">
        <v>29.8</v>
      </c>
      <c r="J1704">
        <v>0</v>
      </c>
      <c r="N1704">
        <v>0</v>
      </c>
      <c r="O1704">
        <v>4</v>
      </c>
      <c r="P1704">
        <v>2</v>
      </c>
      <c r="Q1704">
        <v>35.799999999999997</v>
      </c>
      <c r="R1704">
        <v>17</v>
      </c>
      <c r="S1704">
        <v>17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17</v>
      </c>
      <c r="AA1704">
        <v>9</v>
      </c>
      <c r="AB1704">
        <v>0</v>
      </c>
      <c r="AD1704">
        <v>61.8</v>
      </c>
    </row>
    <row r="1705" spans="1:30" x14ac:dyDescent="0.3">
      <c r="A1705" s="4">
        <v>1720</v>
      </c>
      <c r="B1705" s="5">
        <v>1698</v>
      </c>
      <c r="C1705">
        <v>525</v>
      </c>
      <c r="D1705" t="s">
        <v>3797</v>
      </c>
      <c r="E1705" t="s">
        <v>54</v>
      </c>
      <c r="F1705" t="s">
        <v>17</v>
      </c>
      <c r="G1705" t="s">
        <v>3798</v>
      </c>
      <c r="H1705" t="str">
        <f>"00527123"</f>
        <v>00527123</v>
      </c>
      <c r="I1705">
        <v>28.8</v>
      </c>
      <c r="J1705">
        <v>0</v>
      </c>
      <c r="N1705">
        <v>0</v>
      </c>
      <c r="O1705">
        <v>4</v>
      </c>
      <c r="P1705">
        <v>0</v>
      </c>
      <c r="Q1705">
        <v>32.799999999999997</v>
      </c>
      <c r="R1705">
        <v>23</v>
      </c>
      <c r="S1705">
        <v>23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23</v>
      </c>
      <c r="AA1705">
        <v>6</v>
      </c>
      <c r="AB1705">
        <v>0</v>
      </c>
      <c r="AD1705">
        <v>61.8</v>
      </c>
    </row>
    <row r="1706" spans="1:30" x14ac:dyDescent="0.3">
      <c r="A1706" s="4">
        <v>1721</v>
      </c>
      <c r="B1706" s="5">
        <v>1699</v>
      </c>
      <c r="C1706">
        <v>3746</v>
      </c>
      <c r="D1706" t="s">
        <v>3799</v>
      </c>
      <c r="E1706" t="s">
        <v>1280</v>
      </c>
      <c r="F1706" t="s">
        <v>124</v>
      </c>
      <c r="G1706" t="s">
        <v>3800</v>
      </c>
      <c r="H1706" t="str">
        <f>"201501000263"</f>
        <v>201501000263</v>
      </c>
      <c r="I1706">
        <v>38.799999999999997</v>
      </c>
      <c r="J1706">
        <v>10</v>
      </c>
      <c r="M1706">
        <v>4</v>
      </c>
      <c r="N1706">
        <v>4</v>
      </c>
      <c r="O1706">
        <v>4</v>
      </c>
      <c r="P1706">
        <v>2</v>
      </c>
      <c r="Q1706">
        <v>58.8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3</v>
      </c>
      <c r="AB1706">
        <v>0</v>
      </c>
      <c r="AD1706">
        <v>61.8</v>
      </c>
    </row>
    <row r="1707" spans="1:30" x14ac:dyDescent="0.3">
      <c r="A1707" s="4">
        <v>1722</v>
      </c>
      <c r="B1707" s="5">
        <v>1700</v>
      </c>
      <c r="C1707">
        <v>895</v>
      </c>
      <c r="D1707" t="s">
        <v>1624</v>
      </c>
      <c r="E1707" t="s">
        <v>29</v>
      </c>
      <c r="F1707" t="s">
        <v>17</v>
      </c>
      <c r="G1707" t="s">
        <v>3801</v>
      </c>
      <c r="H1707" t="str">
        <f>"00528662"</f>
        <v>00528662</v>
      </c>
      <c r="I1707">
        <v>28.8</v>
      </c>
      <c r="J1707">
        <v>0</v>
      </c>
      <c r="K1707">
        <v>8</v>
      </c>
      <c r="N1707">
        <v>8</v>
      </c>
      <c r="O1707">
        <v>4</v>
      </c>
      <c r="P1707">
        <v>2</v>
      </c>
      <c r="Q1707">
        <v>42.8</v>
      </c>
      <c r="R1707">
        <v>16</v>
      </c>
      <c r="S1707">
        <v>16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16</v>
      </c>
      <c r="AA1707">
        <v>3</v>
      </c>
      <c r="AB1707">
        <v>0</v>
      </c>
      <c r="AD1707">
        <v>61.8</v>
      </c>
    </row>
    <row r="1708" spans="1:30" x14ac:dyDescent="0.3">
      <c r="A1708" s="4">
        <v>1723</v>
      </c>
      <c r="B1708" s="5">
        <v>1701</v>
      </c>
      <c r="C1708">
        <v>4190</v>
      </c>
      <c r="D1708" t="s">
        <v>1276</v>
      </c>
      <c r="E1708" t="s">
        <v>166</v>
      </c>
      <c r="F1708" t="s">
        <v>190</v>
      </c>
      <c r="G1708" t="s">
        <v>32032</v>
      </c>
      <c r="H1708" t="str">
        <f>"00498655"</f>
        <v>00498655</v>
      </c>
      <c r="I1708">
        <v>21.6</v>
      </c>
      <c r="J1708">
        <v>0</v>
      </c>
      <c r="N1708">
        <v>0</v>
      </c>
      <c r="O1708">
        <v>0</v>
      </c>
      <c r="P1708">
        <v>0</v>
      </c>
      <c r="Q1708">
        <v>21.6</v>
      </c>
      <c r="R1708">
        <v>5</v>
      </c>
      <c r="S1708">
        <v>5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5</v>
      </c>
      <c r="AA1708">
        <v>3</v>
      </c>
      <c r="AB1708">
        <v>32</v>
      </c>
      <c r="AD1708">
        <v>61.6</v>
      </c>
    </row>
    <row r="1709" spans="1:30" x14ac:dyDescent="0.3">
      <c r="A1709" s="4">
        <v>1724</v>
      </c>
      <c r="B1709" s="5">
        <v>1702</v>
      </c>
      <c r="C1709">
        <v>1412</v>
      </c>
      <c r="D1709" t="s">
        <v>3802</v>
      </c>
      <c r="E1709" t="s">
        <v>3803</v>
      </c>
      <c r="F1709" t="s">
        <v>243</v>
      </c>
      <c r="G1709" t="s">
        <v>3804</v>
      </c>
      <c r="H1709" t="str">
        <f>"00500183"</f>
        <v>00500183</v>
      </c>
      <c r="I1709">
        <v>21.6</v>
      </c>
      <c r="J1709">
        <v>0</v>
      </c>
      <c r="N1709">
        <v>0</v>
      </c>
      <c r="O1709">
        <v>0</v>
      </c>
      <c r="P1709">
        <v>0</v>
      </c>
      <c r="Q1709">
        <v>21.6</v>
      </c>
      <c r="R1709">
        <v>34</v>
      </c>
      <c r="S1709">
        <v>34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34</v>
      </c>
      <c r="AA1709">
        <v>6</v>
      </c>
      <c r="AB1709">
        <v>0</v>
      </c>
      <c r="AD1709">
        <v>61.6</v>
      </c>
    </row>
    <row r="1710" spans="1:30" x14ac:dyDescent="0.3">
      <c r="A1710" s="4">
        <v>1725</v>
      </c>
      <c r="B1710" s="5">
        <v>1703</v>
      </c>
      <c r="C1710">
        <v>1261</v>
      </c>
      <c r="D1710" t="s">
        <v>3585</v>
      </c>
      <c r="E1710" t="s">
        <v>97</v>
      </c>
      <c r="F1710" t="s">
        <v>62</v>
      </c>
      <c r="G1710" t="s">
        <v>3805</v>
      </c>
      <c r="H1710" t="str">
        <f>"00523889"</f>
        <v>00523889</v>
      </c>
      <c r="I1710">
        <v>57.6</v>
      </c>
      <c r="J1710">
        <v>0</v>
      </c>
      <c r="N1710">
        <v>0</v>
      </c>
      <c r="O1710">
        <v>4</v>
      </c>
      <c r="P1710">
        <v>0</v>
      </c>
      <c r="Q1710">
        <v>61.6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D1710">
        <v>61.6</v>
      </c>
    </row>
    <row r="1711" spans="1:30" x14ac:dyDescent="0.3">
      <c r="A1711" s="4">
        <v>1726</v>
      </c>
      <c r="B1711" s="5">
        <v>1704</v>
      </c>
      <c r="C1711">
        <v>2330</v>
      </c>
      <c r="D1711" t="s">
        <v>3806</v>
      </c>
      <c r="E1711" t="s">
        <v>166</v>
      </c>
      <c r="F1711" t="s">
        <v>38</v>
      </c>
      <c r="G1711" t="s">
        <v>3807</v>
      </c>
      <c r="H1711" t="str">
        <f>"00860562"</f>
        <v>00860562</v>
      </c>
      <c r="I1711">
        <v>57.6</v>
      </c>
      <c r="J1711">
        <v>0</v>
      </c>
      <c r="M1711">
        <v>4</v>
      </c>
      <c r="N1711">
        <v>4</v>
      </c>
      <c r="O1711">
        <v>0</v>
      </c>
      <c r="P1711">
        <v>0</v>
      </c>
      <c r="Q1711">
        <v>61.6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D1711">
        <v>61.6</v>
      </c>
    </row>
    <row r="1712" spans="1:30" x14ac:dyDescent="0.3">
      <c r="A1712" s="4">
        <v>1727</v>
      </c>
      <c r="B1712" s="5">
        <v>1705</v>
      </c>
      <c r="C1712">
        <v>344</v>
      </c>
      <c r="D1712" t="s">
        <v>3808</v>
      </c>
      <c r="E1712" t="s">
        <v>54</v>
      </c>
      <c r="F1712" t="s">
        <v>416</v>
      </c>
      <c r="G1712" t="s">
        <v>3809</v>
      </c>
      <c r="H1712" t="str">
        <f>"00859293"</f>
        <v>00859293</v>
      </c>
      <c r="I1712">
        <v>57.6</v>
      </c>
      <c r="J1712">
        <v>0</v>
      </c>
      <c r="N1712">
        <v>0</v>
      </c>
      <c r="O1712">
        <v>4</v>
      </c>
      <c r="P1712">
        <v>0</v>
      </c>
      <c r="Q1712">
        <v>61.6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D1712">
        <v>61.6</v>
      </c>
    </row>
    <row r="1713" spans="1:30" x14ac:dyDescent="0.3">
      <c r="A1713" s="4">
        <v>1728</v>
      </c>
      <c r="B1713" s="5">
        <v>1706</v>
      </c>
      <c r="C1713">
        <v>1795</v>
      </c>
      <c r="D1713" t="s">
        <v>3810</v>
      </c>
      <c r="E1713" t="s">
        <v>54</v>
      </c>
      <c r="F1713" t="s">
        <v>17</v>
      </c>
      <c r="G1713" t="s">
        <v>3811</v>
      </c>
      <c r="H1713" t="str">
        <f>"00762205"</f>
        <v>00762205</v>
      </c>
      <c r="I1713">
        <v>57.6</v>
      </c>
      <c r="J1713">
        <v>0</v>
      </c>
      <c r="M1713">
        <v>4</v>
      </c>
      <c r="N1713">
        <v>4</v>
      </c>
      <c r="O1713">
        <v>0</v>
      </c>
      <c r="P1713">
        <v>0</v>
      </c>
      <c r="Q1713">
        <v>61.6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D1713">
        <v>61.6</v>
      </c>
    </row>
    <row r="1714" spans="1:30" x14ac:dyDescent="0.3">
      <c r="A1714" s="4">
        <v>1729</v>
      </c>
      <c r="B1714" s="5">
        <v>1707</v>
      </c>
      <c r="C1714">
        <v>4124</v>
      </c>
      <c r="D1714" t="s">
        <v>405</v>
      </c>
      <c r="E1714" t="s">
        <v>789</v>
      </c>
      <c r="F1714" t="s">
        <v>81</v>
      </c>
      <c r="G1714" t="s">
        <v>3812</v>
      </c>
      <c r="H1714" t="str">
        <f>"00865293"</f>
        <v>00865293</v>
      </c>
      <c r="I1714">
        <v>57.6</v>
      </c>
      <c r="J1714">
        <v>0</v>
      </c>
      <c r="N1714">
        <v>0</v>
      </c>
      <c r="O1714">
        <v>4</v>
      </c>
      <c r="P1714">
        <v>0</v>
      </c>
      <c r="Q1714">
        <v>61.6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D1714">
        <v>61.6</v>
      </c>
    </row>
    <row r="1715" spans="1:30" x14ac:dyDescent="0.3">
      <c r="A1715" s="4">
        <v>1730</v>
      </c>
      <c r="B1715" s="5">
        <v>1708</v>
      </c>
      <c r="C1715">
        <v>2521</v>
      </c>
      <c r="D1715" t="s">
        <v>3813</v>
      </c>
      <c r="E1715" t="s">
        <v>26</v>
      </c>
      <c r="F1715" t="s">
        <v>3814</v>
      </c>
      <c r="G1715" t="s">
        <v>3815</v>
      </c>
      <c r="H1715" t="str">
        <f>"00864212"</f>
        <v>00864212</v>
      </c>
      <c r="I1715">
        <v>57.6</v>
      </c>
      <c r="J1715">
        <v>0</v>
      </c>
      <c r="M1715">
        <v>4</v>
      </c>
      <c r="N1715">
        <v>4</v>
      </c>
      <c r="O1715">
        <v>0</v>
      </c>
      <c r="P1715">
        <v>0</v>
      </c>
      <c r="Q1715">
        <v>61.6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D1715">
        <v>61.6</v>
      </c>
    </row>
    <row r="1716" spans="1:30" x14ac:dyDescent="0.3">
      <c r="A1716" s="4">
        <v>1731</v>
      </c>
      <c r="B1716" s="5">
        <v>1709</v>
      </c>
      <c r="C1716">
        <v>3251</v>
      </c>
      <c r="D1716" t="s">
        <v>1707</v>
      </c>
      <c r="E1716" t="s">
        <v>161</v>
      </c>
      <c r="F1716" t="s">
        <v>38</v>
      </c>
      <c r="G1716" t="s">
        <v>3816</v>
      </c>
      <c r="H1716" t="str">
        <f>"00555837"</f>
        <v>00555837</v>
      </c>
      <c r="I1716">
        <v>57.6</v>
      </c>
      <c r="J1716">
        <v>0</v>
      </c>
      <c r="M1716">
        <v>4</v>
      </c>
      <c r="N1716">
        <v>4</v>
      </c>
      <c r="O1716">
        <v>0</v>
      </c>
      <c r="P1716">
        <v>0</v>
      </c>
      <c r="Q1716">
        <v>61.6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D1716">
        <v>61.6</v>
      </c>
    </row>
    <row r="1717" spans="1:30" x14ac:dyDescent="0.3">
      <c r="A1717" s="4">
        <v>1732</v>
      </c>
      <c r="B1717" s="5">
        <v>1710</v>
      </c>
      <c r="C1717">
        <v>4760</v>
      </c>
      <c r="D1717" t="s">
        <v>3817</v>
      </c>
      <c r="E1717" t="s">
        <v>173</v>
      </c>
      <c r="F1717" t="s">
        <v>117</v>
      </c>
      <c r="G1717" t="s">
        <v>3818</v>
      </c>
      <c r="H1717" t="str">
        <f>"00796852"</f>
        <v>00796852</v>
      </c>
      <c r="I1717">
        <v>57.6</v>
      </c>
      <c r="J1717">
        <v>0</v>
      </c>
      <c r="N1717">
        <v>0</v>
      </c>
      <c r="O1717">
        <v>4</v>
      </c>
      <c r="P1717">
        <v>0</v>
      </c>
      <c r="Q1717">
        <v>61.6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D1717">
        <v>61.6</v>
      </c>
    </row>
    <row r="1718" spans="1:30" x14ac:dyDescent="0.3">
      <c r="A1718" s="4">
        <v>1733</v>
      </c>
      <c r="B1718" s="5">
        <v>1711</v>
      </c>
      <c r="C1718">
        <v>4798</v>
      </c>
      <c r="D1718" t="s">
        <v>3819</v>
      </c>
      <c r="E1718" t="s">
        <v>100</v>
      </c>
      <c r="F1718" t="s">
        <v>124</v>
      </c>
      <c r="G1718" t="s">
        <v>3820</v>
      </c>
      <c r="H1718" t="str">
        <f>"00391762"</f>
        <v>00391762</v>
      </c>
      <c r="I1718">
        <v>57.6</v>
      </c>
      <c r="J1718">
        <v>0</v>
      </c>
      <c r="N1718">
        <v>0</v>
      </c>
      <c r="O1718">
        <v>4</v>
      </c>
      <c r="P1718">
        <v>0</v>
      </c>
      <c r="Q1718">
        <v>61.6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D1718">
        <v>61.6</v>
      </c>
    </row>
    <row r="1719" spans="1:30" x14ac:dyDescent="0.3">
      <c r="A1719" s="4">
        <v>1734</v>
      </c>
      <c r="B1719" s="5">
        <v>1712</v>
      </c>
      <c r="C1719">
        <v>3561</v>
      </c>
      <c r="D1719" t="s">
        <v>784</v>
      </c>
      <c r="E1719" t="s">
        <v>115</v>
      </c>
      <c r="F1719" t="s">
        <v>81</v>
      </c>
      <c r="G1719" t="s">
        <v>3821</v>
      </c>
      <c r="H1719" t="str">
        <f>"200802009359"</f>
        <v>200802009359</v>
      </c>
      <c r="I1719">
        <v>57.6</v>
      </c>
      <c r="J1719">
        <v>0</v>
      </c>
      <c r="M1719">
        <v>4</v>
      </c>
      <c r="N1719">
        <v>4</v>
      </c>
      <c r="O1719">
        <v>0</v>
      </c>
      <c r="P1719">
        <v>0</v>
      </c>
      <c r="Q1719">
        <v>61.6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D1719">
        <v>61.6</v>
      </c>
    </row>
    <row r="1720" spans="1:30" x14ac:dyDescent="0.3">
      <c r="A1720" s="4">
        <v>1735</v>
      </c>
      <c r="B1720" s="5">
        <v>1713</v>
      </c>
      <c r="C1720">
        <v>2203</v>
      </c>
      <c r="D1720" t="s">
        <v>3822</v>
      </c>
      <c r="E1720" t="s">
        <v>88</v>
      </c>
      <c r="F1720" t="s">
        <v>167</v>
      </c>
      <c r="G1720" t="s">
        <v>3823</v>
      </c>
      <c r="H1720" t="str">
        <f>"00800576"</f>
        <v>00800576</v>
      </c>
      <c r="I1720">
        <v>57.6</v>
      </c>
      <c r="J1720">
        <v>0</v>
      </c>
      <c r="N1720">
        <v>0</v>
      </c>
      <c r="O1720">
        <v>4</v>
      </c>
      <c r="P1720">
        <v>0</v>
      </c>
      <c r="Q1720">
        <v>61.6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D1720">
        <v>61.6</v>
      </c>
    </row>
    <row r="1721" spans="1:30" x14ac:dyDescent="0.3">
      <c r="A1721" s="4">
        <v>1736</v>
      </c>
      <c r="B1721" s="5">
        <v>1714</v>
      </c>
      <c r="C1721">
        <v>3314</v>
      </c>
      <c r="D1721" t="s">
        <v>3824</v>
      </c>
      <c r="E1721" t="s">
        <v>3825</v>
      </c>
      <c r="F1721" t="s">
        <v>20</v>
      </c>
      <c r="G1721" t="s">
        <v>3826</v>
      </c>
      <c r="H1721" t="str">
        <f>"00422594"</f>
        <v>00422594</v>
      </c>
      <c r="I1721">
        <v>21.6</v>
      </c>
      <c r="J1721">
        <v>10</v>
      </c>
      <c r="K1721">
        <v>8</v>
      </c>
      <c r="N1721">
        <v>8</v>
      </c>
      <c r="O1721">
        <v>4</v>
      </c>
      <c r="P1721">
        <v>2</v>
      </c>
      <c r="Q1721">
        <v>45.6</v>
      </c>
      <c r="R1721">
        <v>16</v>
      </c>
      <c r="S1721">
        <v>16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16</v>
      </c>
      <c r="AA1721">
        <v>0</v>
      </c>
      <c r="AB1721">
        <v>0</v>
      </c>
      <c r="AD1721">
        <v>61.6</v>
      </c>
    </row>
    <row r="1722" spans="1:30" x14ac:dyDescent="0.3">
      <c r="A1722" s="4">
        <v>1737</v>
      </c>
      <c r="B1722" s="5">
        <v>1715</v>
      </c>
      <c r="C1722">
        <v>2941</v>
      </c>
      <c r="D1722" t="s">
        <v>3827</v>
      </c>
      <c r="E1722" t="s">
        <v>594</v>
      </c>
      <c r="F1722" t="s">
        <v>68</v>
      </c>
      <c r="G1722" t="s">
        <v>3828</v>
      </c>
      <c r="H1722" t="str">
        <f>"00490701"</f>
        <v>00490701</v>
      </c>
      <c r="I1722">
        <v>21.6</v>
      </c>
      <c r="J1722">
        <v>0</v>
      </c>
      <c r="K1722">
        <v>16</v>
      </c>
      <c r="N1722">
        <v>16</v>
      </c>
      <c r="O1722">
        <v>4</v>
      </c>
      <c r="P1722">
        <v>2</v>
      </c>
      <c r="Q1722">
        <v>43.6</v>
      </c>
      <c r="R1722">
        <v>18</v>
      </c>
      <c r="S1722">
        <v>18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18</v>
      </c>
      <c r="AA1722">
        <v>0</v>
      </c>
      <c r="AB1722">
        <v>0</v>
      </c>
      <c r="AD1722">
        <v>61.6</v>
      </c>
    </row>
    <row r="1723" spans="1:30" x14ac:dyDescent="0.3">
      <c r="A1723" s="4">
        <v>1738</v>
      </c>
      <c r="B1723" s="5">
        <v>1716</v>
      </c>
      <c r="C1723">
        <v>844</v>
      </c>
      <c r="D1723" t="s">
        <v>3829</v>
      </c>
      <c r="E1723" t="s">
        <v>41</v>
      </c>
      <c r="F1723" t="s">
        <v>38</v>
      </c>
      <c r="G1723" t="s">
        <v>3830</v>
      </c>
      <c r="H1723" t="str">
        <f>"00532550"</f>
        <v>00532550</v>
      </c>
      <c r="I1723">
        <v>14.4</v>
      </c>
      <c r="J1723">
        <v>0</v>
      </c>
      <c r="M1723">
        <v>4</v>
      </c>
      <c r="N1723">
        <v>4</v>
      </c>
      <c r="O1723">
        <v>4</v>
      </c>
      <c r="P1723">
        <v>0</v>
      </c>
      <c r="Q1723">
        <v>22.4</v>
      </c>
      <c r="R1723">
        <v>30</v>
      </c>
      <c r="S1723">
        <v>30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30</v>
      </c>
      <c r="AA1723">
        <v>9</v>
      </c>
      <c r="AB1723">
        <v>0</v>
      </c>
      <c r="AD1723">
        <v>61.4</v>
      </c>
    </row>
    <row r="1724" spans="1:30" x14ac:dyDescent="0.3">
      <c r="A1724" s="4">
        <v>1739</v>
      </c>
      <c r="B1724" s="5">
        <v>1717</v>
      </c>
      <c r="C1724">
        <v>363</v>
      </c>
      <c r="D1724" t="s">
        <v>3831</v>
      </c>
      <c r="E1724" t="s">
        <v>213</v>
      </c>
      <c r="F1724" t="s">
        <v>81</v>
      </c>
      <c r="G1724" t="s">
        <v>3832</v>
      </c>
      <c r="H1724" t="str">
        <f>"00822700"</f>
        <v>00822700</v>
      </c>
      <c r="I1724">
        <v>50.4</v>
      </c>
      <c r="J1724">
        <v>0</v>
      </c>
      <c r="M1724">
        <v>4</v>
      </c>
      <c r="N1724">
        <v>4</v>
      </c>
      <c r="O1724">
        <v>4</v>
      </c>
      <c r="P1724">
        <v>0</v>
      </c>
      <c r="Q1724">
        <v>58.4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3</v>
      </c>
      <c r="AB1724">
        <v>0</v>
      </c>
      <c r="AD1724">
        <v>61.4</v>
      </c>
    </row>
    <row r="1725" spans="1:30" x14ac:dyDescent="0.3">
      <c r="A1725" s="4">
        <v>1740</v>
      </c>
      <c r="B1725" s="5">
        <v>1718</v>
      </c>
      <c r="C1725">
        <v>1107</v>
      </c>
      <c r="D1725" t="s">
        <v>3833</v>
      </c>
      <c r="E1725" t="s">
        <v>41</v>
      </c>
      <c r="F1725" t="s">
        <v>3834</v>
      </c>
      <c r="G1725" t="s">
        <v>3835</v>
      </c>
      <c r="H1725" t="str">
        <f>"00532792"</f>
        <v>00532792</v>
      </c>
      <c r="I1725">
        <v>50.4</v>
      </c>
      <c r="J1725">
        <v>0</v>
      </c>
      <c r="M1725">
        <v>8</v>
      </c>
      <c r="N1725">
        <v>8</v>
      </c>
      <c r="O1725">
        <v>0</v>
      </c>
      <c r="P1725">
        <v>0</v>
      </c>
      <c r="Q1725">
        <v>58.4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3</v>
      </c>
      <c r="AB1725">
        <v>0</v>
      </c>
      <c r="AD1725">
        <v>61.4</v>
      </c>
    </row>
    <row r="1726" spans="1:30" x14ac:dyDescent="0.3">
      <c r="A1726" s="4">
        <v>1741</v>
      </c>
      <c r="B1726" s="5">
        <v>1719</v>
      </c>
      <c r="C1726">
        <v>4048</v>
      </c>
      <c r="D1726" t="s">
        <v>3836</v>
      </c>
      <c r="E1726" t="s">
        <v>147</v>
      </c>
      <c r="F1726" t="s">
        <v>20</v>
      </c>
      <c r="G1726" t="s">
        <v>3837</v>
      </c>
      <c r="H1726" t="str">
        <f>"00523790"</f>
        <v>00523790</v>
      </c>
      <c r="I1726">
        <v>50.4</v>
      </c>
      <c r="J1726">
        <v>0</v>
      </c>
      <c r="M1726">
        <v>4</v>
      </c>
      <c r="N1726">
        <v>4</v>
      </c>
      <c r="O1726">
        <v>4</v>
      </c>
      <c r="P1726">
        <v>0</v>
      </c>
      <c r="Q1726">
        <v>58.4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3</v>
      </c>
      <c r="AB1726">
        <v>0</v>
      </c>
      <c r="AD1726">
        <v>61.4</v>
      </c>
    </row>
    <row r="1727" spans="1:30" x14ac:dyDescent="0.3">
      <c r="A1727" s="4">
        <v>1742</v>
      </c>
      <c r="B1727" s="5">
        <v>1720</v>
      </c>
      <c r="C1727">
        <v>4790</v>
      </c>
      <c r="D1727" t="s">
        <v>3838</v>
      </c>
      <c r="E1727" t="s">
        <v>166</v>
      </c>
      <c r="F1727" t="s">
        <v>343</v>
      </c>
      <c r="G1727" t="s">
        <v>3839</v>
      </c>
      <c r="H1727" t="str">
        <f>"00866016"</f>
        <v>00866016</v>
      </c>
      <c r="I1727">
        <v>50.4</v>
      </c>
      <c r="J1727">
        <v>0</v>
      </c>
      <c r="M1727">
        <v>4</v>
      </c>
      <c r="N1727">
        <v>4</v>
      </c>
      <c r="O1727">
        <v>4</v>
      </c>
      <c r="P1727">
        <v>0</v>
      </c>
      <c r="Q1727">
        <v>58.4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3</v>
      </c>
      <c r="AB1727">
        <v>0</v>
      </c>
      <c r="AD1727">
        <v>61.4</v>
      </c>
    </row>
    <row r="1728" spans="1:30" x14ac:dyDescent="0.3">
      <c r="A1728" s="4">
        <v>1743</v>
      </c>
      <c r="B1728" s="5">
        <v>1721</v>
      </c>
      <c r="C1728">
        <v>3905</v>
      </c>
      <c r="D1728" t="s">
        <v>3840</v>
      </c>
      <c r="E1728" t="s">
        <v>29</v>
      </c>
      <c r="F1728" t="s">
        <v>62</v>
      </c>
      <c r="G1728" t="s">
        <v>3841</v>
      </c>
      <c r="H1728" t="str">
        <f>"00530039"</f>
        <v>00530039</v>
      </c>
      <c r="I1728">
        <v>50.4</v>
      </c>
      <c r="J1728">
        <v>0</v>
      </c>
      <c r="M1728">
        <v>4</v>
      </c>
      <c r="N1728">
        <v>4</v>
      </c>
      <c r="O1728">
        <v>4</v>
      </c>
      <c r="P1728">
        <v>0</v>
      </c>
      <c r="Q1728">
        <v>58.4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3</v>
      </c>
      <c r="AB1728">
        <v>0</v>
      </c>
      <c r="AD1728">
        <v>61.4</v>
      </c>
    </row>
    <row r="1729" spans="1:30" x14ac:dyDescent="0.3">
      <c r="A1729" s="4">
        <v>1744</v>
      </c>
      <c r="B1729" s="5">
        <v>1722</v>
      </c>
      <c r="C1729">
        <v>247</v>
      </c>
      <c r="D1729" t="s">
        <v>3388</v>
      </c>
      <c r="E1729" t="s">
        <v>54</v>
      </c>
      <c r="F1729" t="s">
        <v>136</v>
      </c>
      <c r="G1729" t="s">
        <v>3842</v>
      </c>
      <c r="H1729" t="str">
        <f>"00428472"</f>
        <v>00428472</v>
      </c>
      <c r="I1729">
        <v>43.2</v>
      </c>
      <c r="J1729">
        <v>0</v>
      </c>
      <c r="K1729">
        <v>8</v>
      </c>
      <c r="N1729">
        <v>8</v>
      </c>
      <c r="O1729">
        <v>4</v>
      </c>
      <c r="P1729">
        <v>0</v>
      </c>
      <c r="Q1729">
        <v>55.2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6</v>
      </c>
      <c r="AB1729">
        <v>0</v>
      </c>
      <c r="AD1729">
        <v>61.2</v>
      </c>
    </row>
    <row r="1730" spans="1:30" x14ac:dyDescent="0.3">
      <c r="A1730" s="4">
        <v>1745</v>
      </c>
      <c r="B1730" s="5">
        <v>1723</v>
      </c>
      <c r="C1730">
        <v>3449</v>
      </c>
      <c r="D1730" t="s">
        <v>3843</v>
      </c>
      <c r="E1730" t="s">
        <v>26</v>
      </c>
      <c r="F1730" t="s">
        <v>81</v>
      </c>
      <c r="G1730" t="s">
        <v>3844</v>
      </c>
      <c r="H1730" t="str">
        <f>"201510004754"</f>
        <v>201510004754</v>
      </c>
      <c r="I1730">
        <v>43.2</v>
      </c>
      <c r="J1730">
        <v>0</v>
      </c>
      <c r="M1730">
        <v>8</v>
      </c>
      <c r="N1730">
        <v>8</v>
      </c>
      <c r="O1730">
        <v>4</v>
      </c>
      <c r="P1730">
        <v>0</v>
      </c>
      <c r="Q1730">
        <v>55.2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6</v>
      </c>
      <c r="AB1730">
        <v>0</v>
      </c>
      <c r="AD1730">
        <v>61.2</v>
      </c>
    </row>
    <row r="1731" spans="1:30" x14ac:dyDescent="0.3">
      <c r="A1731" s="4">
        <v>1746</v>
      </c>
      <c r="B1731" s="5">
        <v>1724</v>
      </c>
      <c r="C1731">
        <v>398</v>
      </c>
      <c r="D1731" t="s">
        <v>3845</v>
      </c>
      <c r="E1731" t="s">
        <v>29</v>
      </c>
      <c r="F1731" t="s">
        <v>20</v>
      </c>
      <c r="G1731" t="s">
        <v>3846</v>
      </c>
      <c r="H1731" t="str">
        <f>"00533420"</f>
        <v>00533420</v>
      </c>
      <c r="I1731">
        <v>43.2</v>
      </c>
      <c r="J1731">
        <v>0</v>
      </c>
      <c r="K1731">
        <v>8</v>
      </c>
      <c r="N1731">
        <v>8</v>
      </c>
      <c r="O1731">
        <v>4</v>
      </c>
      <c r="P1731">
        <v>0</v>
      </c>
      <c r="Q1731">
        <v>55.2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6</v>
      </c>
      <c r="AB1731">
        <v>0</v>
      </c>
      <c r="AD1731">
        <v>61.2</v>
      </c>
    </row>
    <row r="1732" spans="1:30" x14ac:dyDescent="0.3">
      <c r="A1732" s="4">
        <v>1747</v>
      </c>
      <c r="B1732" s="5">
        <v>1725</v>
      </c>
      <c r="C1732">
        <v>1156</v>
      </c>
      <c r="D1732" t="s">
        <v>3847</v>
      </c>
      <c r="E1732" t="s">
        <v>1053</v>
      </c>
      <c r="F1732" t="s">
        <v>136</v>
      </c>
      <c r="G1732" t="s">
        <v>3848</v>
      </c>
      <c r="H1732" t="str">
        <f>"00382154"</f>
        <v>00382154</v>
      </c>
      <c r="I1732">
        <v>43.2</v>
      </c>
      <c r="J1732">
        <v>0</v>
      </c>
      <c r="M1732">
        <v>8</v>
      </c>
      <c r="N1732">
        <v>8</v>
      </c>
      <c r="O1732">
        <v>4</v>
      </c>
      <c r="P1732">
        <v>0</v>
      </c>
      <c r="Q1732">
        <v>55.2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6</v>
      </c>
      <c r="AB1732">
        <v>0</v>
      </c>
      <c r="AD1732">
        <v>61.2</v>
      </c>
    </row>
    <row r="1733" spans="1:30" x14ac:dyDescent="0.3">
      <c r="A1733" s="4">
        <v>1749</v>
      </c>
      <c r="B1733" s="5">
        <v>1726</v>
      </c>
      <c r="C1733">
        <v>3137</v>
      </c>
      <c r="D1733" t="s">
        <v>3850</v>
      </c>
      <c r="E1733" t="s">
        <v>71</v>
      </c>
      <c r="F1733" t="s">
        <v>30</v>
      </c>
      <c r="G1733" t="s">
        <v>3851</v>
      </c>
      <c r="H1733" t="str">
        <f>"00700578"</f>
        <v>00700578</v>
      </c>
      <c r="I1733">
        <v>39.200000000000003</v>
      </c>
      <c r="J1733">
        <v>10</v>
      </c>
      <c r="N1733">
        <v>0</v>
      </c>
      <c r="O1733">
        <v>4</v>
      </c>
      <c r="P1733">
        <v>2</v>
      </c>
      <c r="Q1733">
        <v>55.2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6</v>
      </c>
      <c r="AB1733">
        <v>0</v>
      </c>
      <c r="AD1733">
        <v>61.2</v>
      </c>
    </row>
    <row r="1734" spans="1:30" x14ac:dyDescent="0.3">
      <c r="A1734" s="4">
        <v>1750</v>
      </c>
      <c r="B1734" s="5">
        <v>1727</v>
      </c>
      <c r="C1734">
        <v>4365</v>
      </c>
      <c r="D1734" t="s">
        <v>767</v>
      </c>
      <c r="E1734" t="s">
        <v>170</v>
      </c>
      <c r="F1734" t="s">
        <v>750</v>
      </c>
      <c r="G1734" t="s">
        <v>3852</v>
      </c>
      <c r="H1734" t="str">
        <f>"00009458"</f>
        <v>00009458</v>
      </c>
      <c r="I1734">
        <v>23.2</v>
      </c>
      <c r="J1734">
        <v>0</v>
      </c>
      <c r="M1734">
        <v>4</v>
      </c>
      <c r="N1734">
        <v>4</v>
      </c>
      <c r="O1734">
        <v>4</v>
      </c>
      <c r="P1734">
        <v>2</v>
      </c>
      <c r="Q1734">
        <v>33.200000000000003</v>
      </c>
      <c r="R1734">
        <v>22</v>
      </c>
      <c r="S1734">
        <v>22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22</v>
      </c>
      <c r="AA1734">
        <v>6</v>
      </c>
      <c r="AB1734">
        <v>0</v>
      </c>
      <c r="AD1734">
        <v>61.2</v>
      </c>
    </row>
    <row r="1735" spans="1:30" x14ac:dyDescent="0.3">
      <c r="A1735" s="4">
        <v>1751</v>
      </c>
      <c r="B1735" s="5">
        <v>1728</v>
      </c>
      <c r="C1735">
        <v>2318</v>
      </c>
      <c r="D1735" t="s">
        <v>3853</v>
      </c>
      <c r="E1735" t="s">
        <v>97</v>
      </c>
      <c r="F1735" t="s">
        <v>3854</v>
      </c>
      <c r="G1735" t="s">
        <v>3855</v>
      </c>
      <c r="H1735" t="str">
        <f>"00534310"</f>
        <v>00534310</v>
      </c>
      <c r="I1735">
        <v>24</v>
      </c>
      <c r="J1735">
        <v>0</v>
      </c>
      <c r="K1735">
        <v>8</v>
      </c>
      <c r="N1735">
        <v>8</v>
      </c>
      <c r="O1735">
        <v>4</v>
      </c>
      <c r="P1735">
        <v>2</v>
      </c>
      <c r="Q1735">
        <v>38</v>
      </c>
      <c r="R1735">
        <v>17</v>
      </c>
      <c r="S1735">
        <v>17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17</v>
      </c>
      <c r="AA1735">
        <v>6</v>
      </c>
      <c r="AB1735">
        <v>0</v>
      </c>
      <c r="AD1735">
        <v>61</v>
      </c>
    </row>
    <row r="1736" spans="1:30" x14ac:dyDescent="0.3">
      <c r="A1736" s="4">
        <v>1752</v>
      </c>
      <c r="B1736" s="5">
        <v>1729</v>
      </c>
      <c r="C1736">
        <v>3232</v>
      </c>
      <c r="D1736" t="s">
        <v>3856</v>
      </c>
      <c r="E1736" t="s">
        <v>471</v>
      </c>
      <c r="F1736" t="s">
        <v>750</v>
      </c>
      <c r="G1736" t="s">
        <v>3857</v>
      </c>
      <c r="H1736" t="str">
        <f>"00502780"</f>
        <v>00502780</v>
      </c>
      <c r="I1736">
        <v>24</v>
      </c>
      <c r="J1736">
        <v>0</v>
      </c>
      <c r="N1736">
        <v>0</v>
      </c>
      <c r="O1736">
        <v>4</v>
      </c>
      <c r="P1736">
        <v>0</v>
      </c>
      <c r="Q1736">
        <v>28</v>
      </c>
      <c r="R1736">
        <v>27</v>
      </c>
      <c r="S1736">
        <v>27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27</v>
      </c>
      <c r="AA1736">
        <v>6</v>
      </c>
      <c r="AB1736">
        <v>0</v>
      </c>
      <c r="AD1736">
        <v>61</v>
      </c>
    </row>
    <row r="1737" spans="1:30" x14ac:dyDescent="0.3">
      <c r="A1737" s="4">
        <v>1753</v>
      </c>
      <c r="B1737" s="5">
        <v>1730</v>
      </c>
      <c r="C1737">
        <v>906</v>
      </c>
      <c r="D1737" t="s">
        <v>3858</v>
      </c>
      <c r="E1737" t="s">
        <v>342</v>
      </c>
      <c r="F1737" t="s">
        <v>38</v>
      </c>
      <c r="G1737" t="s">
        <v>3859</v>
      </c>
      <c r="H1737" t="str">
        <f>"00379074"</f>
        <v>00379074</v>
      </c>
      <c r="I1737">
        <v>40</v>
      </c>
      <c r="J1737">
        <v>10</v>
      </c>
      <c r="M1737">
        <v>4</v>
      </c>
      <c r="N1737">
        <v>4</v>
      </c>
      <c r="O1737">
        <v>4</v>
      </c>
      <c r="P1737">
        <v>0</v>
      </c>
      <c r="Q1737">
        <v>58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3</v>
      </c>
      <c r="AB1737">
        <v>0</v>
      </c>
      <c r="AD1737">
        <v>61</v>
      </c>
    </row>
    <row r="1738" spans="1:30" x14ac:dyDescent="0.3">
      <c r="A1738" s="4">
        <v>1754</v>
      </c>
      <c r="B1738" s="5">
        <v>1731</v>
      </c>
      <c r="C1738">
        <v>3162</v>
      </c>
      <c r="D1738" t="s">
        <v>3860</v>
      </c>
      <c r="E1738" t="s">
        <v>3861</v>
      </c>
      <c r="F1738" t="s">
        <v>136</v>
      </c>
      <c r="G1738" t="s">
        <v>3862</v>
      </c>
      <c r="H1738" t="str">
        <f>"00552754"</f>
        <v>00552754</v>
      </c>
      <c r="I1738">
        <v>40</v>
      </c>
      <c r="J1738">
        <v>0</v>
      </c>
      <c r="L1738">
        <v>12</v>
      </c>
      <c r="N1738">
        <v>12</v>
      </c>
      <c r="O1738">
        <v>4</v>
      </c>
      <c r="P1738">
        <v>2</v>
      </c>
      <c r="Q1738">
        <v>58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3</v>
      </c>
      <c r="AB1738">
        <v>0</v>
      </c>
      <c r="AD1738">
        <v>61</v>
      </c>
    </row>
    <row r="1739" spans="1:30" x14ac:dyDescent="0.3">
      <c r="A1739" s="4">
        <v>1755</v>
      </c>
      <c r="B1739" s="5">
        <v>1732</v>
      </c>
      <c r="C1739">
        <v>3795</v>
      </c>
      <c r="D1739" t="s">
        <v>3863</v>
      </c>
      <c r="E1739" t="s">
        <v>110</v>
      </c>
      <c r="F1739" t="s">
        <v>20</v>
      </c>
      <c r="G1739" t="s">
        <v>3864</v>
      </c>
      <c r="H1739" t="str">
        <f>"00039210"</f>
        <v>00039210</v>
      </c>
      <c r="I1739">
        <v>36</v>
      </c>
      <c r="J1739">
        <v>0</v>
      </c>
      <c r="K1739">
        <v>8</v>
      </c>
      <c r="N1739">
        <v>8</v>
      </c>
      <c r="O1739">
        <v>4</v>
      </c>
      <c r="P1739">
        <v>2</v>
      </c>
      <c r="Q1739">
        <v>50</v>
      </c>
      <c r="R1739">
        <v>8</v>
      </c>
      <c r="S1739">
        <v>8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8</v>
      </c>
      <c r="AA1739">
        <v>3</v>
      </c>
      <c r="AB1739">
        <v>0</v>
      </c>
      <c r="AD1739">
        <v>61</v>
      </c>
    </row>
    <row r="1740" spans="1:30" x14ac:dyDescent="0.3">
      <c r="A1740" s="4">
        <v>1756</v>
      </c>
      <c r="B1740" s="5">
        <v>1733</v>
      </c>
      <c r="C1740">
        <v>351</v>
      </c>
      <c r="D1740" t="s">
        <v>3865</v>
      </c>
      <c r="E1740" t="s">
        <v>3866</v>
      </c>
      <c r="F1740" t="s">
        <v>38</v>
      </c>
      <c r="G1740" t="s">
        <v>3867</v>
      </c>
      <c r="H1740" t="str">
        <f>"00162473"</f>
        <v>00162473</v>
      </c>
      <c r="I1740">
        <v>0</v>
      </c>
      <c r="J1740">
        <v>0</v>
      </c>
      <c r="N1740">
        <v>0</v>
      </c>
      <c r="O1740">
        <v>4</v>
      </c>
      <c r="P1740">
        <v>0</v>
      </c>
      <c r="Q1740">
        <v>4</v>
      </c>
      <c r="R1740">
        <v>57</v>
      </c>
      <c r="S1740">
        <v>57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57</v>
      </c>
      <c r="AA1740">
        <v>0</v>
      </c>
      <c r="AB1740">
        <v>0</v>
      </c>
      <c r="AD1740">
        <v>61</v>
      </c>
    </row>
    <row r="1741" spans="1:30" x14ac:dyDescent="0.3">
      <c r="A1741" s="4">
        <v>1757</v>
      </c>
      <c r="B1741" s="5">
        <v>1734</v>
      </c>
      <c r="C1741">
        <v>445</v>
      </c>
      <c r="D1741" t="s">
        <v>3868</v>
      </c>
      <c r="E1741" t="s">
        <v>320</v>
      </c>
      <c r="F1741" t="s">
        <v>1566</v>
      </c>
      <c r="G1741" t="s">
        <v>3869</v>
      </c>
      <c r="H1741" t="str">
        <f>"00269574"</f>
        <v>00269574</v>
      </c>
      <c r="I1741">
        <v>34.92</v>
      </c>
      <c r="J1741">
        <v>0</v>
      </c>
      <c r="M1741">
        <v>4</v>
      </c>
      <c r="N1741">
        <v>4</v>
      </c>
      <c r="O1741">
        <v>0</v>
      </c>
      <c r="P1741">
        <v>0</v>
      </c>
      <c r="Q1741">
        <v>38.92</v>
      </c>
      <c r="R1741">
        <v>16</v>
      </c>
      <c r="S1741">
        <v>16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16</v>
      </c>
      <c r="AA1741">
        <v>6</v>
      </c>
      <c r="AB1741">
        <v>0</v>
      </c>
      <c r="AD1741">
        <v>60.92</v>
      </c>
    </row>
    <row r="1742" spans="1:30" x14ac:dyDescent="0.3">
      <c r="A1742" s="4">
        <v>1758</v>
      </c>
      <c r="B1742" s="5">
        <v>1735</v>
      </c>
      <c r="C1742">
        <v>2754</v>
      </c>
      <c r="D1742" t="s">
        <v>3870</v>
      </c>
      <c r="E1742" t="s">
        <v>22</v>
      </c>
      <c r="F1742" t="s">
        <v>62</v>
      </c>
      <c r="G1742" t="s">
        <v>3871</v>
      </c>
      <c r="H1742" t="str">
        <f>"00200576"</f>
        <v>00200576</v>
      </c>
      <c r="I1742">
        <v>16.84</v>
      </c>
      <c r="J1742">
        <v>10</v>
      </c>
      <c r="M1742">
        <v>4</v>
      </c>
      <c r="N1742">
        <v>4</v>
      </c>
      <c r="O1742">
        <v>4</v>
      </c>
      <c r="P1742">
        <v>2</v>
      </c>
      <c r="Q1742">
        <v>36.840000000000003</v>
      </c>
      <c r="R1742">
        <v>18</v>
      </c>
      <c r="S1742">
        <v>18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18</v>
      </c>
      <c r="AA1742">
        <v>6</v>
      </c>
      <c r="AB1742">
        <v>0</v>
      </c>
      <c r="AD1742">
        <v>60.84</v>
      </c>
    </row>
    <row r="1743" spans="1:30" x14ac:dyDescent="0.3">
      <c r="A1743" s="4">
        <v>1759</v>
      </c>
      <c r="B1743" s="5">
        <v>1736</v>
      </c>
      <c r="C1743">
        <v>3916</v>
      </c>
      <c r="D1743" t="s">
        <v>3872</v>
      </c>
      <c r="E1743" t="s">
        <v>3873</v>
      </c>
      <c r="F1743" t="s">
        <v>79</v>
      </c>
      <c r="G1743" t="s">
        <v>3874</v>
      </c>
      <c r="H1743" t="str">
        <f>"00154529"</f>
        <v>00154529</v>
      </c>
      <c r="I1743">
        <v>28.8</v>
      </c>
      <c r="J1743">
        <v>0</v>
      </c>
      <c r="N1743">
        <v>0</v>
      </c>
      <c r="O1743">
        <v>4</v>
      </c>
      <c r="P1743">
        <v>0</v>
      </c>
      <c r="Q1743">
        <v>32.799999999999997</v>
      </c>
      <c r="R1743">
        <v>22</v>
      </c>
      <c r="S1743">
        <v>22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22</v>
      </c>
      <c r="AA1743">
        <v>6</v>
      </c>
      <c r="AB1743">
        <v>0</v>
      </c>
      <c r="AD1743">
        <v>60.8</v>
      </c>
    </row>
    <row r="1744" spans="1:30" x14ac:dyDescent="0.3">
      <c r="A1744" s="4">
        <v>1760</v>
      </c>
      <c r="B1744" s="5">
        <v>1737</v>
      </c>
      <c r="C1744">
        <v>1226</v>
      </c>
      <c r="D1744" t="s">
        <v>2416</v>
      </c>
      <c r="E1744" t="s">
        <v>3875</v>
      </c>
      <c r="F1744" t="s">
        <v>20</v>
      </c>
      <c r="G1744" t="s">
        <v>3876</v>
      </c>
      <c r="H1744" t="str">
        <f>"00480428"</f>
        <v>00480428</v>
      </c>
      <c r="I1744">
        <v>28.8</v>
      </c>
      <c r="J1744">
        <v>0</v>
      </c>
      <c r="K1744">
        <v>8</v>
      </c>
      <c r="N1744">
        <v>8</v>
      </c>
      <c r="O1744">
        <v>4</v>
      </c>
      <c r="P1744">
        <v>2</v>
      </c>
      <c r="Q1744">
        <v>42.8</v>
      </c>
      <c r="R1744">
        <v>18</v>
      </c>
      <c r="S1744">
        <v>18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18</v>
      </c>
      <c r="AA1744">
        <v>0</v>
      </c>
      <c r="AB1744">
        <v>0</v>
      </c>
      <c r="AD1744">
        <v>60.8</v>
      </c>
    </row>
    <row r="1745" spans="1:30" x14ac:dyDescent="0.3">
      <c r="A1745" s="4">
        <v>1761</v>
      </c>
      <c r="B1745" s="5">
        <v>1738</v>
      </c>
      <c r="C1745">
        <v>1698</v>
      </c>
      <c r="D1745" t="s">
        <v>3877</v>
      </c>
      <c r="E1745" t="s">
        <v>26</v>
      </c>
      <c r="F1745" t="s">
        <v>17</v>
      </c>
      <c r="G1745" t="s">
        <v>3878</v>
      </c>
      <c r="H1745" t="str">
        <f>"00519500"</f>
        <v>00519500</v>
      </c>
      <c r="I1745">
        <v>35.72</v>
      </c>
      <c r="J1745">
        <v>0</v>
      </c>
      <c r="N1745">
        <v>0</v>
      </c>
      <c r="O1745">
        <v>4</v>
      </c>
      <c r="P1745">
        <v>0</v>
      </c>
      <c r="Q1745">
        <v>39.72</v>
      </c>
      <c r="R1745">
        <v>15</v>
      </c>
      <c r="S1745">
        <v>15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15</v>
      </c>
      <c r="AA1745">
        <v>6</v>
      </c>
      <c r="AB1745">
        <v>0</v>
      </c>
      <c r="AD1745">
        <v>60.72</v>
      </c>
    </row>
    <row r="1746" spans="1:30" x14ac:dyDescent="0.3">
      <c r="A1746" s="4">
        <v>1762</v>
      </c>
      <c r="B1746" s="5">
        <v>1739</v>
      </c>
      <c r="C1746">
        <v>4630</v>
      </c>
      <c r="D1746" t="s">
        <v>3879</v>
      </c>
      <c r="E1746" t="s">
        <v>3880</v>
      </c>
      <c r="F1746" t="s">
        <v>81</v>
      </c>
      <c r="G1746" t="s">
        <v>3881</v>
      </c>
      <c r="H1746" t="str">
        <f>"00866181"</f>
        <v>00866181</v>
      </c>
      <c r="I1746">
        <v>21.6</v>
      </c>
      <c r="J1746">
        <v>0</v>
      </c>
      <c r="N1746">
        <v>0</v>
      </c>
      <c r="O1746">
        <v>4</v>
      </c>
      <c r="P1746">
        <v>0</v>
      </c>
      <c r="Q1746">
        <v>25.6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3</v>
      </c>
      <c r="AB1746">
        <v>32</v>
      </c>
      <c r="AD1746">
        <v>60.6</v>
      </c>
    </row>
    <row r="1747" spans="1:30" x14ac:dyDescent="0.3">
      <c r="A1747" s="4">
        <v>1763</v>
      </c>
      <c r="B1747" s="5">
        <v>1740</v>
      </c>
      <c r="C1747">
        <v>2009</v>
      </c>
      <c r="D1747" t="s">
        <v>1430</v>
      </c>
      <c r="E1747" t="s">
        <v>161</v>
      </c>
      <c r="F1747" t="s">
        <v>136</v>
      </c>
      <c r="G1747" t="s">
        <v>3882</v>
      </c>
      <c r="H1747" t="str">
        <f>"00863008"</f>
        <v>00863008</v>
      </c>
      <c r="I1747">
        <v>39.6</v>
      </c>
      <c r="J1747">
        <v>0</v>
      </c>
      <c r="L1747">
        <v>6</v>
      </c>
      <c r="N1747">
        <v>6</v>
      </c>
      <c r="O1747">
        <v>4</v>
      </c>
      <c r="P1747">
        <v>2</v>
      </c>
      <c r="Q1747">
        <v>51.6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9</v>
      </c>
      <c r="AB1747">
        <v>0</v>
      </c>
      <c r="AD1747">
        <v>60.6</v>
      </c>
    </row>
    <row r="1748" spans="1:30" x14ac:dyDescent="0.3">
      <c r="A1748" s="4">
        <v>1764</v>
      </c>
      <c r="B1748" s="5">
        <v>1741</v>
      </c>
      <c r="C1748">
        <v>3590</v>
      </c>
      <c r="D1748" t="s">
        <v>1299</v>
      </c>
      <c r="E1748" t="s">
        <v>166</v>
      </c>
      <c r="F1748" t="s">
        <v>81</v>
      </c>
      <c r="G1748" t="s">
        <v>3883</v>
      </c>
      <c r="H1748" t="str">
        <f>"00376354"</f>
        <v>00376354</v>
      </c>
      <c r="I1748">
        <v>39.6</v>
      </c>
      <c r="J1748">
        <v>0</v>
      </c>
      <c r="K1748">
        <v>8</v>
      </c>
      <c r="N1748">
        <v>8</v>
      </c>
      <c r="O1748">
        <v>4</v>
      </c>
      <c r="P1748">
        <v>0</v>
      </c>
      <c r="Q1748">
        <v>51.6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9</v>
      </c>
      <c r="AB1748">
        <v>0</v>
      </c>
      <c r="AD1748">
        <v>60.6</v>
      </c>
    </row>
    <row r="1749" spans="1:30" x14ac:dyDescent="0.3">
      <c r="A1749" s="4">
        <v>1765</v>
      </c>
      <c r="B1749" s="5">
        <v>1742</v>
      </c>
      <c r="C1749">
        <v>2465</v>
      </c>
      <c r="D1749" t="s">
        <v>3884</v>
      </c>
      <c r="E1749" t="s">
        <v>29</v>
      </c>
      <c r="F1749" t="s">
        <v>17</v>
      </c>
      <c r="G1749" t="s">
        <v>3885</v>
      </c>
      <c r="H1749" t="str">
        <f>"201511021061"</f>
        <v>201511021061</v>
      </c>
      <c r="I1749">
        <v>39.6</v>
      </c>
      <c r="J1749">
        <v>0</v>
      </c>
      <c r="L1749">
        <v>6</v>
      </c>
      <c r="N1749">
        <v>6</v>
      </c>
      <c r="O1749">
        <v>4</v>
      </c>
      <c r="P1749">
        <v>2</v>
      </c>
      <c r="Q1749">
        <v>51.6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9</v>
      </c>
      <c r="AB1749">
        <v>0</v>
      </c>
      <c r="AD1749">
        <v>60.6</v>
      </c>
    </row>
    <row r="1750" spans="1:30" x14ac:dyDescent="0.3">
      <c r="A1750" s="4">
        <v>1766</v>
      </c>
      <c r="B1750" s="5">
        <v>1743</v>
      </c>
      <c r="C1750">
        <v>3347</v>
      </c>
      <c r="D1750" t="s">
        <v>3886</v>
      </c>
      <c r="E1750" t="s">
        <v>3887</v>
      </c>
      <c r="F1750" t="s">
        <v>457</v>
      </c>
      <c r="G1750" t="s">
        <v>3888</v>
      </c>
      <c r="H1750" t="str">
        <f>"00441825"</f>
        <v>00441825</v>
      </c>
      <c r="I1750">
        <v>57.6</v>
      </c>
      <c r="J1750">
        <v>0</v>
      </c>
      <c r="N1750">
        <v>0</v>
      </c>
      <c r="O1750">
        <v>0</v>
      </c>
      <c r="P1750">
        <v>0</v>
      </c>
      <c r="Q1750">
        <v>57.6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3</v>
      </c>
      <c r="AB1750">
        <v>0</v>
      </c>
      <c r="AD1750">
        <v>60.6</v>
      </c>
    </row>
    <row r="1751" spans="1:30" x14ac:dyDescent="0.3">
      <c r="A1751" s="4">
        <v>1767</v>
      </c>
      <c r="B1751" s="5">
        <v>1744</v>
      </c>
      <c r="C1751">
        <v>1935</v>
      </c>
      <c r="D1751" t="s">
        <v>3889</v>
      </c>
      <c r="E1751" t="s">
        <v>110</v>
      </c>
      <c r="F1751" t="s">
        <v>158</v>
      </c>
      <c r="G1751" t="s">
        <v>3890</v>
      </c>
      <c r="H1751" t="str">
        <f>"00522503"</f>
        <v>00522503</v>
      </c>
      <c r="I1751">
        <v>57.6</v>
      </c>
      <c r="J1751">
        <v>0</v>
      </c>
      <c r="N1751">
        <v>0</v>
      </c>
      <c r="O1751">
        <v>0</v>
      </c>
      <c r="P1751">
        <v>0</v>
      </c>
      <c r="Q1751">
        <v>57.6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3</v>
      </c>
      <c r="AB1751">
        <v>0</v>
      </c>
      <c r="AD1751">
        <v>60.6</v>
      </c>
    </row>
    <row r="1752" spans="1:30" x14ac:dyDescent="0.3">
      <c r="A1752" s="4">
        <v>1768</v>
      </c>
      <c r="B1752" s="5">
        <v>1745</v>
      </c>
      <c r="C1752">
        <v>474</v>
      </c>
      <c r="D1752" t="s">
        <v>3891</v>
      </c>
      <c r="E1752" t="s">
        <v>3892</v>
      </c>
      <c r="F1752" t="s">
        <v>17</v>
      </c>
      <c r="G1752" t="s">
        <v>3893</v>
      </c>
      <c r="H1752" t="str">
        <f>"00521717"</f>
        <v>00521717</v>
      </c>
      <c r="I1752">
        <v>21.6</v>
      </c>
      <c r="J1752">
        <v>0</v>
      </c>
      <c r="K1752">
        <v>8</v>
      </c>
      <c r="N1752">
        <v>8</v>
      </c>
      <c r="O1752">
        <v>4</v>
      </c>
      <c r="P1752">
        <v>2</v>
      </c>
      <c r="Q1752">
        <v>35.6</v>
      </c>
      <c r="R1752">
        <v>15</v>
      </c>
      <c r="S1752">
        <v>15</v>
      </c>
      <c r="T1752">
        <v>0</v>
      </c>
      <c r="U1752">
        <v>0</v>
      </c>
      <c r="V1752">
        <v>7</v>
      </c>
      <c r="W1752">
        <v>10</v>
      </c>
      <c r="X1752">
        <v>0</v>
      </c>
      <c r="Y1752">
        <v>0</v>
      </c>
      <c r="Z1752">
        <v>25</v>
      </c>
      <c r="AA1752">
        <v>0</v>
      </c>
      <c r="AB1752">
        <v>0</v>
      </c>
      <c r="AD1752">
        <v>60.6</v>
      </c>
    </row>
    <row r="1753" spans="1:30" x14ac:dyDescent="0.3">
      <c r="A1753" s="4">
        <v>1769</v>
      </c>
      <c r="B1753" s="5">
        <v>1746</v>
      </c>
      <c r="C1753">
        <v>1008</v>
      </c>
      <c r="D1753" t="s">
        <v>959</v>
      </c>
      <c r="E1753" t="s">
        <v>957</v>
      </c>
      <c r="F1753" t="s">
        <v>416</v>
      </c>
      <c r="G1753" t="s">
        <v>3894</v>
      </c>
      <c r="H1753" t="str">
        <f>"00482570"</f>
        <v>00482570</v>
      </c>
      <c r="I1753">
        <v>21.6</v>
      </c>
      <c r="J1753">
        <v>0</v>
      </c>
      <c r="M1753">
        <v>4</v>
      </c>
      <c r="N1753">
        <v>4</v>
      </c>
      <c r="O1753">
        <v>4</v>
      </c>
      <c r="P1753">
        <v>2</v>
      </c>
      <c r="Q1753">
        <v>31.6</v>
      </c>
      <c r="R1753">
        <v>29</v>
      </c>
      <c r="S1753">
        <v>29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29</v>
      </c>
      <c r="AA1753">
        <v>0</v>
      </c>
      <c r="AB1753">
        <v>0</v>
      </c>
      <c r="AD1753">
        <v>60.6</v>
      </c>
    </row>
    <row r="1754" spans="1:30" x14ac:dyDescent="0.3">
      <c r="A1754" s="4">
        <v>1770</v>
      </c>
      <c r="B1754" s="5">
        <v>1747</v>
      </c>
      <c r="C1754">
        <v>1942</v>
      </c>
      <c r="D1754" t="s">
        <v>3895</v>
      </c>
      <c r="E1754" t="s">
        <v>38</v>
      </c>
      <c r="F1754" t="s">
        <v>3896</v>
      </c>
      <c r="G1754" t="s">
        <v>3897</v>
      </c>
      <c r="H1754" t="str">
        <f>"00073295"</f>
        <v>00073295</v>
      </c>
      <c r="I1754">
        <v>35.56</v>
      </c>
      <c r="J1754">
        <v>10</v>
      </c>
      <c r="K1754">
        <v>8</v>
      </c>
      <c r="N1754">
        <v>8</v>
      </c>
      <c r="O1754">
        <v>4</v>
      </c>
      <c r="P1754">
        <v>0</v>
      </c>
      <c r="Q1754">
        <v>57.56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3</v>
      </c>
      <c r="AB1754">
        <v>0</v>
      </c>
      <c r="AD1754">
        <v>60.56</v>
      </c>
    </row>
    <row r="1755" spans="1:30" x14ac:dyDescent="0.3">
      <c r="A1755" s="4">
        <v>1771</v>
      </c>
      <c r="B1755" s="5">
        <v>1748</v>
      </c>
      <c r="C1755">
        <v>2249</v>
      </c>
      <c r="D1755" t="s">
        <v>3898</v>
      </c>
      <c r="E1755" t="s">
        <v>110</v>
      </c>
      <c r="F1755" t="s">
        <v>81</v>
      </c>
      <c r="G1755" t="s">
        <v>3899</v>
      </c>
      <c r="H1755" t="str">
        <f>"00441635"</f>
        <v>00441635</v>
      </c>
      <c r="I1755">
        <v>28.8</v>
      </c>
      <c r="J1755">
        <v>0</v>
      </c>
      <c r="N1755">
        <v>0</v>
      </c>
      <c r="O1755">
        <v>4</v>
      </c>
      <c r="P1755">
        <v>0</v>
      </c>
      <c r="Q1755">
        <v>32.799999999999997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27.6</v>
      </c>
      <c r="AD1755">
        <v>60.4</v>
      </c>
    </row>
    <row r="1756" spans="1:30" x14ac:dyDescent="0.3">
      <c r="A1756" s="4">
        <v>1772</v>
      </c>
      <c r="B1756" s="5">
        <v>1749</v>
      </c>
      <c r="C1756">
        <v>3952</v>
      </c>
      <c r="D1756" t="s">
        <v>3900</v>
      </c>
      <c r="E1756" t="s">
        <v>26</v>
      </c>
      <c r="F1756" t="s">
        <v>17</v>
      </c>
      <c r="G1756" t="s">
        <v>3901</v>
      </c>
      <c r="H1756" t="str">
        <f>"00859557"</f>
        <v>00859557</v>
      </c>
      <c r="I1756">
        <v>50.4</v>
      </c>
      <c r="J1756">
        <v>0</v>
      </c>
      <c r="N1756">
        <v>0</v>
      </c>
      <c r="O1756">
        <v>4</v>
      </c>
      <c r="P1756">
        <v>0</v>
      </c>
      <c r="Q1756">
        <v>54.4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6</v>
      </c>
      <c r="AB1756">
        <v>0</v>
      </c>
      <c r="AD1756">
        <v>60.4</v>
      </c>
    </row>
    <row r="1757" spans="1:30" x14ac:dyDescent="0.3">
      <c r="A1757" s="4">
        <v>1773</v>
      </c>
      <c r="B1757" s="5">
        <v>1750</v>
      </c>
      <c r="C1757">
        <v>4588</v>
      </c>
      <c r="D1757" t="s">
        <v>3902</v>
      </c>
      <c r="E1757" t="s">
        <v>3903</v>
      </c>
      <c r="F1757" t="s">
        <v>81</v>
      </c>
      <c r="G1757" t="s">
        <v>3904</v>
      </c>
      <c r="H1757" t="str">
        <f>"00526151"</f>
        <v>00526151</v>
      </c>
      <c r="I1757">
        <v>50.4</v>
      </c>
      <c r="J1757">
        <v>0</v>
      </c>
      <c r="N1757">
        <v>0</v>
      </c>
      <c r="O1757">
        <v>4</v>
      </c>
      <c r="P1757">
        <v>0</v>
      </c>
      <c r="Q1757">
        <v>54.4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6</v>
      </c>
      <c r="AB1757">
        <v>0</v>
      </c>
      <c r="AD1757">
        <v>60.4</v>
      </c>
    </row>
    <row r="1758" spans="1:30" x14ac:dyDescent="0.3">
      <c r="A1758" s="4">
        <v>1774</v>
      </c>
      <c r="B1758" s="5">
        <v>1751</v>
      </c>
      <c r="C1758">
        <v>4102</v>
      </c>
      <c r="D1758" t="s">
        <v>3905</v>
      </c>
      <c r="E1758" t="s">
        <v>208</v>
      </c>
      <c r="F1758" t="s">
        <v>17</v>
      </c>
      <c r="G1758" t="s">
        <v>3906</v>
      </c>
      <c r="H1758" t="str">
        <f>"00865216"</f>
        <v>00865216</v>
      </c>
      <c r="I1758">
        <v>50.4</v>
      </c>
      <c r="J1758">
        <v>0</v>
      </c>
      <c r="M1758">
        <v>4</v>
      </c>
      <c r="N1758">
        <v>4</v>
      </c>
      <c r="O1758">
        <v>0</v>
      </c>
      <c r="P1758">
        <v>0</v>
      </c>
      <c r="Q1758">
        <v>54.4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6</v>
      </c>
      <c r="AB1758">
        <v>0</v>
      </c>
      <c r="AD1758">
        <v>60.4</v>
      </c>
    </row>
    <row r="1759" spans="1:30" x14ac:dyDescent="0.3">
      <c r="A1759" s="4">
        <v>1775</v>
      </c>
      <c r="B1759" s="5">
        <v>1752</v>
      </c>
      <c r="C1759">
        <v>905</v>
      </c>
      <c r="D1759" t="s">
        <v>374</v>
      </c>
      <c r="E1759" t="s">
        <v>166</v>
      </c>
      <c r="F1759" t="s">
        <v>375</v>
      </c>
      <c r="G1759" t="s">
        <v>3907</v>
      </c>
      <c r="H1759" t="str">
        <f>"201502000436"</f>
        <v>201502000436</v>
      </c>
      <c r="I1759">
        <v>50.4</v>
      </c>
      <c r="J1759">
        <v>0</v>
      </c>
      <c r="M1759">
        <v>4</v>
      </c>
      <c r="N1759">
        <v>4</v>
      </c>
      <c r="O1759">
        <v>4</v>
      </c>
      <c r="P1759">
        <v>2</v>
      </c>
      <c r="Q1759">
        <v>60.4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D1759">
        <v>60.4</v>
      </c>
    </row>
    <row r="1760" spans="1:30" x14ac:dyDescent="0.3">
      <c r="A1760" s="4">
        <v>1776</v>
      </c>
      <c r="B1760" s="5">
        <v>1753</v>
      </c>
      <c r="C1760">
        <v>1461</v>
      </c>
      <c r="D1760" t="s">
        <v>3908</v>
      </c>
      <c r="E1760" t="s">
        <v>188</v>
      </c>
      <c r="F1760" t="s">
        <v>17</v>
      </c>
      <c r="G1760" t="s">
        <v>3909</v>
      </c>
      <c r="H1760" t="str">
        <f>"00858054"</f>
        <v>00858054</v>
      </c>
      <c r="I1760">
        <v>50.4</v>
      </c>
      <c r="J1760">
        <v>0</v>
      </c>
      <c r="M1760">
        <v>4</v>
      </c>
      <c r="N1760">
        <v>4</v>
      </c>
      <c r="O1760">
        <v>4</v>
      </c>
      <c r="P1760">
        <v>2</v>
      </c>
      <c r="Q1760">
        <v>60.4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D1760">
        <v>60.4</v>
      </c>
    </row>
    <row r="1761" spans="1:30" x14ac:dyDescent="0.3">
      <c r="A1761" s="4">
        <v>1777</v>
      </c>
      <c r="B1761" s="5">
        <v>1754</v>
      </c>
      <c r="C1761">
        <v>694</v>
      </c>
      <c r="D1761" t="s">
        <v>3910</v>
      </c>
      <c r="E1761" t="s">
        <v>41</v>
      </c>
      <c r="F1761" t="s">
        <v>570</v>
      </c>
      <c r="G1761" t="s">
        <v>3911</v>
      </c>
      <c r="H1761" t="str">
        <f>"00804806"</f>
        <v>00804806</v>
      </c>
      <c r="I1761">
        <v>50.4</v>
      </c>
      <c r="J1761">
        <v>0</v>
      </c>
      <c r="K1761">
        <v>8</v>
      </c>
      <c r="N1761">
        <v>8</v>
      </c>
      <c r="O1761">
        <v>0</v>
      </c>
      <c r="P1761">
        <v>2</v>
      </c>
      <c r="Q1761">
        <v>60.4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D1761">
        <v>60.4</v>
      </c>
    </row>
    <row r="1762" spans="1:30" x14ac:dyDescent="0.3">
      <c r="A1762" s="4">
        <v>1778</v>
      </c>
      <c r="B1762" s="5">
        <v>1755</v>
      </c>
      <c r="C1762">
        <v>3219</v>
      </c>
      <c r="D1762" t="s">
        <v>3912</v>
      </c>
      <c r="E1762" t="s">
        <v>88</v>
      </c>
      <c r="F1762" t="s">
        <v>20</v>
      </c>
      <c r="G1762" t="s">
        <v>3913</v>
      </c>
      <c r="H1762" t="str">
        <f>"00863182"</f>
        <v>00863182</v>
      </c>
      <c r="I1762">
        <v>50.4</v>
      </c>
      <c r="J1762">
        <v>0</v>
      </c>
      <c r="M1762">
        <v>4</v>
      </c>
      <c r="N1762">
        <v>4</v>
      </c>
      <c r="O1762">
        <v>4</v>
      </c>
      <c r="P1762">
        <v>2</v>
      </c>
      <c r="Q1762">
        <v>60.4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D1762">
        <v>60.4</v>
      </c>
    </row>
    <row r="1763" spans="1:30" x14ac:dyDescent="0.3">
      <c r="A1763" s="4">
        <v>1779</v>
      </c>
      <c r="B1763" s="5">
        <v>1756</v>
      </c>
      <c r="C1763">
        <v>3589</v>
      </c>
      <c r="D1763" t="s">
        <v>3914</v>
      </c>
      <c r="E1763" t="s">
        <v>3915</v>
      </c>
      <c r="F1763" t="s">
        <v>3916</v>
      </c>
      <c r="G1763" t="s">
        <v>3917</v>
      </c>
      <c r="H1763" t="str">
        <f>"00865249"</f>
        <v>00865249</v>
      </c>
      <c r="I1763">
        <v>50.4</v>
      </c>
      <c r="J1763">
        <v>10</v>
      </c>
      <c r="N1763">
        <v>0</v>
      </c>
      <c r="O1763">
        <v>0</v>
      </c>
      <c r="P1763">
        <v>0</v>
      </c>
      <c r="Q1763">
        <v>60.4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D1763">
        <v>60.4</v>
      </c>
    </row>
    <row r="1764" spans="1:30" x14ac:dyDescent="0.3">
      <c r="A1764" s="4">
        <v>1780</v>
      </c>
      <c r="B1764" s="5">
        <v>1757</v>
      </c>
      <c r="C1764">
        <v>3487</v>
      </c>
      <c r="D1764" t="s">
        <v>3918</v>
      </c>
      <c r="E1764" t="s">
        <v>1652</v>
      </c>
      <c r="F1764" t="s">
        <v>17</v>
      </c>
      <c r="G1764" t="s">
        <v>3919</v>
      </c>
      <c r="H1764" t="str">
        <f>"00572719"</f>
        <v>00572719</v>
      </c>
      <c r="I1764">
        <v>50.4</v>
      </c>
      <c r="J1764">
        <v>0</v>
      </c>
      <c r="M1764">
        <v>4</v>
      </c>
      <c r="N1764">
        <v>4</v>
      </c>
      <c r="O1764">
        <v>4</v>
      </c>
      <c r="P1764">
        <v>2</v>
      </c>
      <c r="Q1764">
        <v>60.4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D1764">
        <v>60.4</v>
      </c>
    </row>
    <row r="1765" spans="1:30" x14ac:dyDescent="0.3">
      <c r="A1765" s="4">
        <v>1781</v>
      </c>
      <c r="B1765" s="5">
        <v>1758</v>
      </c>
      <c r="C1765">
        <v>1766</v>
      </c>
      <c r="D1765" t="s">
        <v>3920</v>
      </c>
      <c r="E1765" t="s">
        <v>33</v>
      </c>
      <c r="F1765" t="s">
        <v>136</v>
      </c>
      <c r="G1765" t="s">
        <v>3921</v>
      </c>
      <c r="H1765" t="str">
        <f>"00559354"</f>
        <v>00559354</v>
      </c>
      <c r="I1765">
        <v>50.4</v>
      </c>
      <c r="J1765">
        <v>10</v>
      </c>
      <c r="N1765">
        <v>0</v>
      </c>
      <c r="O1765">
        <v>0</v>
      </c>
      <c r="P1765">
        <v>0</v>
      </c>
      <c r="Q1765">
        <v>60.4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D1765">
        <v>60.4</v>
      </c>
    </row>
    <row r="1766" spans="1:30" x14ac:dyDescent="0.3">
      <c r="A1766" s="4">
        <v>1782</v>
      </c>
      <c r="B1766" s="5">
        <v>1759</v>
      </c>
      <c r="C1766">
        <v>565</v>
      </c>
      <c r="D1766" t="s">
        <v>3922</v>
      </c>
      <c r="E1766" t="s">
        <v>516</v>
      </c>
      <c r="F1766" t="s">
        <v>3923</v>
      </c>
      <c r="G1766" t="s">
        <v>3924</v>
      </c>
      <c r="H1766" t="str">
        <f>"201511035752"</f>
        <v>201511035752</v>
      </c>
      <c r="I1766">
        <v>50.4</v>
      </c>
      <c r="J1766">
        <v>0</v>
      </c>
      <c r="M1766">
        <v>4</v>
      </c>
      <c r="N1766">
        <v>4</v>
      </c>
      <c r="O1766">
        <v>4</v>
      </c>
      <c r="P1766">
        <v>2</v>
      </c>
      <c r="Q1766">
        <v>60.4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D1766">
        <v>60.4</v>
      </c>
    </row>
    <row r="1767" spans="1:30" x14ac:dyDescent="0.3">
      <c r="A1767" s="4">
        <v>1783</v>
      </c>
      <c r="B1767" s="5">
        <v>1760</v>
      </c>
      <c r="C1767">
        <v>1031</v>
      </c>
      <c r="D1767" t="s">
        <v>3925</v>
      </c>
      <c r="E1767" t="s">
        <v>33</v>
      </c>
      <c r="F1767" t="s">
        <v>310</v>
      </c>
      <c r="G1767" t="s">
        <v>3926</v>
      </c>
      <c r="H1767" t="str">
        <f>"00114615"</f>
        <v>00114615</v>
      </c>
      <c r="I1767">
        <v>50.4</v>
      </c>
      <c r="J1767">
        <v>0</v>
      </c>
      <c r="M1767">
        <v>4</v>
      </c>
      <c r="N1767">
        <v>4</v>
      </c>
      <c r="O1767">
        <v>4</v>
      </c>
      <c r="P1767">
        <v>2</v>
      </c>
      <c r="Q1767">
        <v>60.4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D1767">
        <v>60.4</v>
      </c>
    </row>
    <row r="1768" spans="1:30" x14ac:dyDescent="0.3">
      <c r="A1768" s="4">
        <v>1784</v>
      </c>
      <c r="B1768" s="5">
        <v>1761</v>
      </c>
      <c r="C1768">
        <v>996</v>
      </c>
      <c r="D1768" t="s">
        <v>3927</v>
      </c>
      <c r="E1768" t="s">
        <v>29</v>
      </c>
      <c r="F1768" t="s">
        <v>442</v>
      </c>
      <c r="G1768" t="s">
        <v>3928</v>
      </c>
      <c r="H1768" t="str">
        <f>"00198919"</f>
        <v>00198919</v>
      </c>
      <c r="I1768">
        <v>50.4</v>
      </c>
      <c r="J1768">
        <v>0</v>
      </c>
      <c r="M1768">
        <v>4</v>
      </c>
      <c r="N1768">
        <v>4</v>
      </c>
      <c r="O1768">
        <v>4</v>
      </c>
      <c r="P1768">
        <v>2</v>
      </c>
      <c r="Q1768">
        <v>60.4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D1768">
        <v>60.4</v>
      </c>
    </row>
    <row r="1769" spans="1:30" x14ac:dyDescent="0.3">
      <c r="A1769" s="4">
        <v>1785</v>
      </c>
      <c r="B1769" s="5">
        <v>1762</v>
      </c>
      <c r="C1769">
        <v>3127</v>
      </c>
      <c r="D1769" t="s">
        <v>719</v>
      </c>
      <c r="E1769" t="s">
        <v>88</v>
      </c>
      <c r="F1769" t="s">
        <v>328</v>
      </c>
      <c r="G1769" t="s">
        <v>3929</v>
      </c>
      <c r="H1769" t="str">
        <f>"00530528"</f>
        <v>00530528</v>
      </c>
      <c r="I1769">
        <v>29.32</v>
      </c>
      <c r="J1769">
        <v>0</v>
      </c>
      <c r="N1769">
        <v>0</v>
      </c>
      <c r="O1769">
        <v>4</v>
      </c>
      <c r="P1769">
        <v>2</v>
      </c>
      <c r="Q1769">
        <v>35.32</v>
      </c>
      <c r="R1769">
        <v>16</v>
      </c>
      <c r="S1769">
        <v>16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16</v>
      </c>
      <c r="AA1769">
        <v>9</v>
      </c>
      <c r="AB1769">
        <v>0</v>
      </c>
      <c r="AD1769">
        <v>60.32</v>
      </c>
    </row>
    <row r="1770" spans="1:30" x14ac:dyDescent="0.3">
      <c r="A1770" s="4">
        <v>1786</v>
      </c>
      <c r="B1770" s="5">
        <v>1763</v>
      </c>
      <c r="C1770">
        <v>823</v>
      </c>
      <c r="D1770" t="s">
        <v>1950</v>
      </c>
      <c r="E1770" t="s">
        <v>2401</v>
      </c>
      <c r="F1770" t="s">
        <v>20</v>
      </c>
      <c r="G1770" t="s">
        <v>3930</v>
      </c>
      <c r="H1770" t="str">
        <f>"00469431"</f>
        <v>00469431</v>
      </c>
      <c r="I1770">
        <v>7.2</v>
      </c>
      <c r="J1770">
        <v>10</v>
      </c>
      <c r="N1770">
        <v>0</v>
      </c>
      <c r="O1770">
        <v>4</v>
      </c>
      <c r="P1770">
        <v>2</v>
      </c>
      <c r="Q1770">
        <v>23.2</v>
      </c>
      <c r="R1770">
        <v>34</v>
      </c>
      <c r="S1770">
        <v>34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34</v>
      </c>
      <c r="AA1770">
        <v>3</v>
      </c>
      <c r="AB1770">
        <v>0</v>
      </c>
      <c r="AD1770">
        <v>60.2</v>
      </c>
    </row>
    <row r="1771" spans="1:30" x14ac:dyDescent="0.3">
      <c r="A1771" s="4">
        <v>1787</v>
      </c>
      <c r="B1771" s="5">
        <v>1764</v>
      </c>
      <c r="C1771">
        <v>2124</v>
      </c>
      <c r="D1771" t="s">
        <v>3931</v>
      </c>
      <c r="E1771" t="s">
        <v>54</v>
      </c>
      <c r="F1771" t="s">
        <v>17</v>
      </c>
      <c r="G1771" t="s">
        <v>3932</v>
      </c>
      <c r="H1771" t="str">
        <f>"00531975"</f>
        <v>00531975</v>
      </c>
      <c r="I1771">
        <v>43.2</v>
      </c>
      <c r="J1771">
        <v>0</v>
      </c>
      <c r="L1771">
        <v>6</v>
      </c>
      <c r="N1771">
        <v>6</v>
      </c>
      <c r="O1771">
        <v>0</v>
      </c>
      <c r="P1771">
        <v>0</v>
      </c>
      <c r="Q1771">
        <v>49.2</v>
      </c>
      <c r="R1771">
        <v>11</v>
      </c>
      <c r="S1771">
        <v>11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11</v>
      </c>
      <c r="AA1771">
        <v>0</v>
      </c>
      <c r="AB1771">
        <v>0</v>
      </c>
      <c r="AD1771">
        <v>60.2</v>
      </c>
    </row>
    <row r="1772" spans="1:30" x14ac:dyDescent="0.3">
      <c r="A1772" s="4">
        <v>1788</v>
      </c>
      <c r="B1772" s="5">
        <v>1765</v>
      </c>
      <c r="C1772">
        <v>237</v>
      </c>
      <c r="D1772" t="s">
        <v>1555</v>
      </c>
      <c r="E1772" t="s">
        <v>54</v>
      </c>
      <c r="F1772" t="s">
        <v>238</v>
      </c>
      <c r="G1772" t="s">
        <v>3933</v>
      </c>
      <c r="H1772" t="str">
        <f>"00118410"</f>
        <v>00118410</v>
      </c>
      <c r="I1772">
        <v>31.16</v>
      </c>
      <c r="J1772">
        <v>0</v>
      </c>
      <c r="N1772">
        <v>0</v>
      </c>
      <c r="O1772">
        <v>0</v>
      </c>
      <c r="P1772">
        <v>2</v>
      </c>
      <c r="Q1772">
        <v>33.159999999999997</v>
      </c>
      <c r="R1772">
        <v>24</v>
      </c>
      <c r="S1772">
        <v>24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24</v>
      </c>
      <c r="AA1772">
        <v>3</v>
      </c>
      <c r="AB1772">
        <v>0</v>
      </c>
      <c r="AD1772">
        <v>60.16</v>
      </c>
    </row>
    <row r="1773" spans="1:30" x14ac:dyDescent="0.3">
      <c r="A1773" s="4">
        <v>1789</v>
      </c>
      <c r="B1773" s="5">
        <v>1766</v>
      </c>
      <c r="C1773">
        <v>369</v>
      </c>
      <c r="D1773" t="s">
        <v>3934</v>
      </c>
      <c r="E1773" t="s">
        <v>516</v>
      </c>
      <c r="F1773" t="s">
        <v>136</v>
      </c>
      <c r="G1773" t="s">
        <v>3935</v>
      </c>
      <c r="H1773" t="str">
        <f>"201401002638"</f>
        <v>201401002638</v>
      </c>
      <c r="I1773">
        <v>40</v>
      </c>
      <c r="J1773">
        <v>0</v>
      </c>
      <c r="K1773">
        <v>8</v>
      </c>
      <c r="N1773">
        <v>8</v>
      </c>
      <c r="O1773">
        <v>4</v>
      </c>
      <c r="P1773">
        <v>2</v>
      </c>
      <c r="Q1773">
        <v>54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6</v>
      </c>
      <c r="AB1773">
        <v>0</v>
      </c>
      <c r="AD1773">
        <v>60</v>
      </c>
    </row>
    <row r="1774" spans="1:30" x14ac:dyDescent="0.3">
      <c r="A1774" s="4">
        <v>1790</v>
      </c>
      <c r="B1774" s="5">
        <v>1767</v>
      </c>
      <c r="C1774">
        <v>489</v>
      </c>
      <c r="D1774" t="s">
        <v>3936</v>
      </c>
      <c r="E1774" t="s">
        <v>3937</v>
      </c>
      <c r="F1774" t="s">
        <v>38</v>
      </c>
      <c r="G1774" t="s">
        <v>3938</v>
      </c>
      <c r="H1774" t="str">
        <f>"00002558"</f>
        <v>00002558</v>
      </c>
      <c r="I1774">
        <v>40</v>
      </c>
      <c r="J1774">
        <v>0</v>
      </c>
      <c r="K1774">
        <v>8</v>
      </c>
      <c r="N1774">
        <v>8</v>
      </c>
      <c r="O1774">
        <v>4</v>
      </c>
      <c r="P1774">
        <v>2</v>
      </c>
      <c r="Q1774">
        <v>54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6</v>
      </c>
      <c r="AB1774">
        <v>0</v>
      </c>
      <c r="AD1774">
        <v>60</v>
      </c>
    </row>
    <row r="1775" spans="1:30" x14ac:dyDescent="0.3">
      <c r="A1775" s="4">
        <v>1791</v>
      </c>
      <c r="B1775" s="5">
        <v>1768</v>
      </c>
      <c r="C1775">
        <v>3490</v>
      </c>
      <c r="D1775" t="s">
        <v>1058</v>
      </c>
      <c r="E1775" t="s">
        <v>166</v>
      </c>
      <c r="F1775" t="s">
        <v>68</v>
      </c>
      <c r="G1775" t="s">
        <v>3939</v>
      </c>
      <c r="H1775" t="str">
        <f>"201508000249"</f>
        <v>201508000249</v>
      </c>
      <c r="I1775">
        <v>40</v>
      </c>
      <c r="J1775">
        <v>10</v>
      </c>
      <c r="N1775">
        <v>0</v>
      </c>
      <c r="O1775">
        <v>4</v>
      </c>
      <c r="P1775">
        <v>0</v>
      </c>
      <c r="Q1775">
        <v>54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6</v>
      </c>
      <c r="AB1775">
        <v>0</v>
      </c>
      <c r="AD1775">
        <v>60</v>
      </c>
    </row>
    <row r="1776" spans="1:30" x14ac:dyDescent="0.3">
      <c r="A1776" s="4">
        <v>1792</v>
      </c>
      <c r="B1776" s="5">
        <v>1769</v>
      </c>
      <c r="C1776">
        <v>1551</v>
      </c>
      <c r="D1776" t="s">
        <v>3200</v>
      </c>
      <c r="E1776" t="s">
        <v>22</v>
      </c>
      <c r="F1776" t="s">
        <v>38</v>
      </c>
      <c r="G1776" t="s">
        <v>3940</v>
      </c>
      <c r="H1776" t="str">
        <f>"00295951"</f>
        <v>00295951</v>
      </c>
      <c r="I1776">
        <v>28</v>
      </c>
      <c r="J1776">
        <v>10</v>
      </c>
      <c r="L1776">
        <v>6</v>
      </c>
      <c r="M1776">
        <v>4</v>
      </c>
      <c r="N1776">
        <v>10</v>
      </c>
      <c r="O1776">
        <v>4</v>
      </c>
      <c r="P1776">
        <v>2</v>
      </c>
      <c r="Q1776">
        <v>54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6</v>
      </c>
      <c r="AB1776">
        <v>0</v>
      </c>
      <c r="AD1776">
        <v>60</v>
      </c>
    </row>
    <row r="1777" spans="1:30" x14ac:dyDescent="0.3">
      <c r="A1777" s="4">
        <v>1793</v>
      </c>
      <c r="B1777" s="5">
        <v>1770</v>
      </c>
      <c r="C1777">
        <v>73</v>
      </c>
      <c r="D1777" t="s">
        <v>3941</v>
      </c>
      <c r="E1777" t="s">
        <v>143</v>
      </c>
      <c r="F1777" t="s">
        <v>782</v>
      </c>
      <c r="G1777" t="s">
        <v>3942</v>
      </c>
      <c r="H1777" t="str">
        <f>"00442231"</f>
        <v>00442231</v>
      </c>
      <c r="I1777">
        <v>0</v>
      </c>
      <c r="J1777">
        <v>0</v>
      </c>
      <c r="N1777">
        <v>0</v>
      </c>
      <c r="O1777">
        <v>0</v>
      </c>
      <c r="P1777">
        <v>0</v>
      </c>
      <c r="Q1777">
        <v>0</v>
      </c>
      <c r="R1777">
        <v>54</v>
      </c>
      <c r="S1777">
        <v>54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54</v>
      </c>
      <c r="AA1777">
        <v>6</v>
      </c>
      <c r="AB1777">
        <v>0</v>
      </c>
      <c r="AD1777">
        <v>60</v>
      </c>
    </row>
    <row r="1778" spans="1:30" x14ac:dyDescent="0.3">
      <c r="A1778" s="4">
        <v>1794</v>
      </c>
      <c r="B1778" s="5">
        <v>1771</v>
      </c>
      <c r="C1778">
        <v>4968</v>
      </c>
      <c r="D1778" t="s">
        <v>3943</v>
      </c>
      <c r="E1778" t="s">
        <v>100</v>
      </c>
      <c r="F1778" t="s">
        <v>1998</v>
      </c>
      <c r="G1778" t="s">
        <v>3944</v>
      </c>
      <c r="H1778" t="str">
        <f>"00524055"</f>
        <v>00524055</v>
      </c>
      <c r="I1778">
        <v>40</v>
      </c>
      <c r="J1778">
        <v>10</v>
      </c>
      <c r="L1778">
        <v>6</v>
      </c>
      <c r="N1778">
        <v>6</v>
      </c>
      <c r="O1778">
        <v>4</v>
      </c>
      <c r="P1778">
        <v>0</v>
      </c>
      <c r="Q1778">
        <v>60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D1778">
        <v>60</v>
      </c>
    </row>
    <row r="1779" spans="1:30" x14ac:dyDescent="0.3">
      <c r="A1779" s="4">
        <v>1795</v>
      </c>
      <c r="B1779" s="5">
        <v>1772</v>
      </c>
      <c r="C1779">
        <v>859</v>
      </c>
      <c r="D1779" t="s">
        <v>3945</v>
      </c>
      <c r="E1779" t="s">
        <v>178</v>
      </c>
      <c r="F1779" t="s">
        <v>38</v>
      </c>
      <c r="G1779" t="s">
        <v>3946</v>
      </c>
      <c r="H1779" t="str">
        <f>"00349158"</f>
        <v>00349158</v>
      </c>
      <c r="I1779">
        <v>40</v>
      </c>
      <c r="J1779">
        <v>10</v>
      </c>
      <c r="M1779">
        <v>4</v>
      </c>
      <c r="N1779">
        <v>4</v>
      </c>
      <c r="O1779">
        <v>4</v>
      </c>
      <c r="P1779">
        <v>2</v>
      </c>
      <c r="Q1779">
        <v>60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D1779">
        <v>60</v>
      </c>
    </row>
    <row r="1780" spans="1:30" x14ac:dyDescent="0.3">
      <c r="A1780" s="4">
        <v>1796</v>
      </c>
      <c r="B1780" s="5">
        <v>1773</v>
      </c>
      <c r="C1780">
        <v>1701</v>
      </c>
      <c r="D1780" t="s">
        <v>3947</v>
      </c>
      <c r="E1780" t="s">
        <v>3948</v>
      </c>
      <c r="F1780" t="s">
        <v>230</v>
      </c>
      <c r="G1780" t="s">
        <v>3949</v>
      </c>
      <c r="H1780" t="str">
        <f>"00560019"</f>
        <v>00560019</v>
      </c>
      <c r="I1780">
        <v>40</v>
      </c>
      <c r="J1780">
        <v>10</v>
      </c>
      <c r="M1780">
        <v>4</v>
      </c>
      <c r="N1780">
        <v>4</v>
      </c>
      <c r="O1780">
        <v>4</v>
      </c>
      <c r="P1780">
        <v>2</v>
      </c>
      <c r="Q1780">
        <v>60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D1780">
        <v>60</v>
      </c>
    </row>
    <row r="1781" spans="1:30" x14ac:dyDescent="0.3">
      <c r="A1781" s="4">
        <v>1797</v>
      </c>
      <c r="B1781" s="5">
        <v>1774</v>
      </c>
      <c r="C1781">
        <v>2378</v>
      </c>
      <c r="D1781" t="s">
        <v>3950</v>
      </c>
      <c r="E1781" t="s">
        <v>41</v>
      </c>
      <c r="F1781" t="s">
        <v>136</v>
      </c>
      <c r="G1781" t="s">
        <v>3951</v>
      </c>
      <c r="H1781" t="str">
        <f>"00533611"</f>
        <v>00533611</v>
      </c>
      <c r="I1781">
        <v>36</v>
      </c>
      <c r="J1781">
        <v>10</v>
      </c>
      <c r="M1781">
        <v>8</v>
      </c>
      <c r="N1781">
        <v>8</v>
      </c>
      <c r="O1781">
        <v>4</v>
      </c>
      <c r="P1781">
        <v>2</v>
      </c>
      <c r="Q1781">
        <v>60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D1781">
        <v>60</v>
      </c>
    </row>
    <row r="1782" spans="1:30" x14ac:dyDescent="0.3">
      <c r="A1782" s="4">
        <v>1798</v>
      </c>
      <c r="B1782" s="5">
        <v>1775</v>
      </c>
      <c r="C1782">
        <v>4711</v>
      </c>
      <c r="D1782" t="s">
        <v>3952</v>
      </c>
      <c r="E1782" t="s">
        <v>170</v>
      </c>
      <c r="F1782" t="s">
        <v>442</v>
      </c>
      <c r="G1782" t="s">
        <v>3953</v>
      </c>
      <c r="H1782" t="str">
        <f>"00865698"</f>
        <v>00865698</v>
      </c>
      <c r="I1782">
        <v>36</v>
      </c>
      <c r="J1782">
        <v>10</v>
      </c>
      <c r="L1782">
        <v>6</v>
      </c>
      <c r="M1782">
        <v>4</v>
      </c>
      <c r="N1782">
        <v>10</v>
      </c>
      <c r="O1782">
        <v>4</v>
      </c>
      <c r="P1782">
        <v>0</v>
      </c>
      <c r="Q1782">
        <v>60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D1782">
        <v>60</v>
      </c>
    </row>
    <row r="1783" spans="1:30" x14ac:dyDescent="0.3">
      <c r="A1783" s="4">
        <v>1799</v>
      </c>
      <c r="B1783" s="5">
        <v>1776</v>
      </c>
      <c r="C1783">
        <v>1413</v>
      </c>
      <c r="D1783" t="s">
        <v>3340</v>
      </c>
      <c r="E1783" t="s">
        <v>3954</v>
      </c>
      <c r="F1783" t="s">
        <v>167</v>
      </c>
      <c r="G1783" t="s">
        <v>3955</v>
      </c>
      <c r="H1783" t="str">
        <f>"00507547"</f>
        <v>00507547</v>
      </c>
      <c r="I1783">
        <v>40</v>
      </c>
      <c r="J1783">
        <v>0</v>
      </c>
      <c r="L1783">
        <v>6</v>
      </c>
      <c r="N1783">
        <v>6</v>
      </c>
      <c r="O1783">
        <v>4</v>
      </c>
      <c r="P1783">
        <v>2</v>
      </c>
      <c r="Q1783">
        <v>52</v>
      </c>
      <c r="R1783">
        <v>8</v>
      </c>
      <c r="S1783">
        <v>8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8</v>
      </c>
      <c r="AA1783">
        <v>0</v>
      </c>
      <c r="AB1783">
        <v>0</v>
      </c>
      <c r="AD1783">
        <v>60</v>
      </c>
    </row>
    <row r="1784" spans="1:30" x14ac:dyDescent="0.3">
      <c r="A1784" s="4">
        <v>1800</v>
      </c>
      <c r="B1784" s="5">
        <v>1777</v>
      </c>
      <c r="C1784">
        <v>2675</v>
      </c>
      <c r="D1784" t="s">
        <v>3956</v>
      </c>
      <c r="E1784" t="s">
        <v>26</v>
      </c>
      <c r="F1784" t="s">
        <v>570</v>
      </c>
      <c r="G1784" t="s">
        <v>3957</v>
      </c>
      <c r="H1784" t="str">
        <f>"201406008741"</f>
        <v>201406008741</v>
      </c>
      <c r="I1784">
        <v>36</v>
      </c>
      <c r="J1784">
        <v>0</v>
      </c>
      <c r="N1784">
        <v>0</v>
      </c>
      <c r="O1784">
        <v>4</v>
      </c>
      <c r="P1784">
        <v>2</v>
      </c>
      <c r="Q1784">
        <v>42</v>
      </c>
      <c r="R1784">
        <v>18</v>
      </c>
      <c r="S1784">
        <v>18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18</v>
      </c>
      <c r="AA1784">
        <v>0</v>
      </c>
      <c r="AB1784">
        <v>0</v>
      </c>
      <c r="AC1784" t="s">
        <v>130</v>
      </c>
      <c r="AD1784">
        <v>60</v>
      </c>
    </row>
    <row r="1785" spans="1:30" x14ac:dyDescent="0.3">
      <c r="A1785" s="4">
        <v>1801</v>
      </c>
      <c r="B1785" s="5">
        <v>1778</v>
      </c>
      <c r="C1785">
        <v>3132</v>
      </c>
      <c r="D1785" t="s">
        <v>1170</v>
      </c>
      <c r="E1785" t="s">
        <v>439</v>
      </c>
      <c r="F1785" t="s">
        <v>117</v>
      </c>
      <c r="G1785" t="s">
        <v>3958</v>
      </c>
      <c r="H1785" t="str">
        <f>"201411003170"</f>
        <v>201411003170</v>
      </c>
      <c r="I1785">
        <v>36</v>
      </c>
      <c r="J1785">
        <v>0</v>
      </c>
      <c r="N1785">
        <v>0</v>
      </c>
      <c r="O1785">
        <v>4</v>
      </c>
      <c r="P1785">
        <v>2</v>
      </c>
      <c r="Q1785">
        <v>42</v>
      </c>
      <c r="R1785">
        <v>18</v>
      </c>
      <c r="S1785">
        <v>18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18</v>
      </c>
      <c r="AA1785">
        <v>0</v>
      </c>
      <c r="AB1785">
        <v>0</v>
      </c>
      <c r="AD1785">
        <v>60</v>
      </c>
    </row>
    <row r="1786" spans="1:30" x14ac:dyDescent="0.3">
      <c r="A1786" s="4">
        <v>1802</v>
      </c>
      <c r="B1786" s="5">
        <v>1779</v>
      </c>
      <c r="C1786">
        <v>517</v>
      </c>
      <c r="D1786" t="s">
        <v>3959</v>
      </c>
      <c r="E1786" t="s">
        <v>132</v>
      </c>
      <c r="F1786" t="s">
        <v>17</v>
      </c>
      <c r="G1786" t="s">
        <v>32033</v>
      </c>
      <c r="H1786" t="str">
        <f>"00441523"</f>
        <v>00441523</v>
      </c>
      <c r="I1786">
        <v>32</v>
      </c>
      <c r="J1786">
        <v>0</v>
      </c>
      <c r="N1786">
        <v>0</v>
      </c>
      <c r="O1786">
        <v>4</v>
      </c>
      <c r="P1786">
        <v>0</v>
      </c>
      <c r="Q1786">
        <v>36</v>
      </c>
      <c r="R1786">
        <v>24</v>
      </c>
      <c r="S1786">
        <v>24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24</v>
      </c>
      <c r="AA1786">
        <v>0</v>
      </c>
      <c r="AB1786">
        <v>0</v>
      </c>
      <c r="AD1786">
        <v>60</v>
      </c>
    </row>
    <row r="1787" spans="1:30" x14ac:dyDescent="0.3">
      <c r="A1787" s="4">
        <v>1803</v>
      </c>
      <c r="B1787" s="5">
        <v>1780</v>
      </c>
      <c r="C1787">
        <v>2368</v>
      </c>
      <c r="D1787" t="s">
        <v>3960</v>
      </c>
      <c r="E1787" t="s">
        <v>3961</v>
      </c>
      <c r="F1787" t="s">
        <v>343</v>
      </c>
      <c r="G1787" t="s">
        <v>3962</v>
      </c>
      <c r="H1787" t="str">
        <f>"00127347"</f>
        <v>00127347</v>
      </c>
      <c r="I1787">
        <v>38.799999999999997</v>
      </c>
      <c r="J1787">
        <v>0</v>
      </c>
      <c r="K1787">
        <v>8</v>
      </c>
      <c r="M1787">
        <v>4</v>
      </c>
      <c r="N1787">
        <v>12</v>
      </c>
      <c r="O1787">
        <v>4</v>
      </c>
      <c r="P1787">
        <v>2</v>
      </c>
      <c r="Q1787">
        <v>56.8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3</v>
      </c>
      <c r="AB1787">
        <v>0</v>
      </c>
      <c r="AD1787">
        <v>59.8</v>
      </c>
    </row>
    <row r="1788" spans="1:30" x14ac:dyDescent="0.3">
      <c r="A1788" s="4">
        <v>1804</v>
      </c>
      <c r="B1788" s="5">
        <v>1781</v>
      </c>
      <c r="C1788">
        <v>1111</v>
      </c>
      <c r="D1788" t="s">
        <v>3963</v>
      </c>
      <c r="E1788" t="s">
        <v>3964</v>
      </c>
      <c r="F1788" t="s">
        <v>652</v>
      </c>
      <c r="G1788" t="s">
        <v>3965</v>
      </c>
      <c r="H1788" t="str">
        <f>"00512888"</f>
        <v>00512888</v>
      </c>
      <c r="I1788">
        <v>17.8</v>
      </c>
      <c r="J1788">
        <v>0</v>
      </c>
      <c r="N1788">
        <v>0</v>
      </c>
      <c r="O1788">
        <v>4</v>
      </c>
      <c r="P1788">
        <v>0</v>
      </c>
      <c r="Q1788">
        <v>21.8</v>
      </c>
      <c r="R1788">
        <v>38</v>
      </c>
      <c r="S1788">
        <v>38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38</v>
      </c>
      <c r="AA1788">
        <v>0</v>
      </c>
      <c r="AB1788">
        <v>0</v>
      </c>
      <c r="AD1788">
        <v>59.8</v>
      </c>
    </row>
    <row r="1789" spans="1:30" x14ac:dyDescent="0.3">
      <c r="A1789" s="4">
        <v>1805</v>
      </c>
      <c r="B1789" s="5">
        <v>1782</v>
      </c>
      <c r="C1789">
        <v>528</v>
      </c>
      <c r="D1789" t="s">
        <v>3966</v>
      </c>
      <c r="E1789" t="s">
        <v>3967</v>
      </c>
      <c r="F1789" t="s">
        <v>3968</v>
      </c>
      <c r="G1789" t="s">
        <v>3969</v>
      </c>
      <c r="H1789" t="str">
        <f>"00511309"</f>
        <v>00511309</v>
      </c>
      <c r="I1789">
        <v>22.76</v>
      </c>
      <c r="J1789">
        <v>0</v>
      </c>
      <c r="N1789">
        <v>0</v>
      </c>
      <c r="O1789">
        <v>0</v>
      </c>
      <c r="P1789">
        <v>0</v>
      </c>
      <c r="Q1789">
        <v>22.76</v>
      </c>
      <c r="R1789">
        <v>28</v>
      </c>
      <c r="S1789">
        <v>28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28</v>
      </c>
      <c r="AA1789">
        <v>9</v>
      </c>
      <c r="AB1789">
        <v>0</v>
      </c>
      <c r="AD1789">
        <v>59.76</v>
      </c>
    </row>
    <row r="1790" spans="1:30" x14ac:dyDescent="0.3">
      <c r="A1790" s="4">
        <v>1806</v>
      </c>
      <c r="B1790" s="5">
        <v>1783</v>
      </c>
      <c r="C1790">
        <v>1931</v>
      </c>
      <c r="D1790" t="s">
        <v>3970</v>
      </c>
      <c r="E1790" t="s">
        <v>3971</v>
      </c>
      <c r="F1790" t="s">
        <v>91</v>
      </c>
      <c r="G1790" t="s">
        <v>3972</v>
      </c>
      <c r="H1790" t="str">
        <f>"00145638"</f>
        <v>00145638</v>
      </c>
      <c r="I1790">
        <v>39.6</v>
      </c>
      <c r="J1790">
        <v>0</v>
      </c>
      <c r="K1790">
        <v>8</v>
      </c>
      <c r="N1790">
        <v>8</v>
      </c>
      <c r="O1790">
        <v>4</v>
      </c>
      <c r="P1790">
        <v>2</v>
      </c>
      <c r="Q1790">
        <v>53.6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6</v>
      </c>
      <c r="AB1790">
        <v>0</v>
      </c>
      <c r="AD1790">
        <v>59.6</v>
      </c>
    </row>
    <row r="1791" spans="1:30" x14ac:dyDescent="0.3">
      <c r="A1791" s="4">
        <v>1807</v>
      </c>
      <c r="B1791" s="5">
        <v>1784</v>
      </c>
      <c r="C1791">
        <v>1622</v>
      </c>
      <c r="D1791" t="s">
        <v>3973</v>
      </c>
      <c r="E1791" t="s">
        <v>29</v>
      </c>
      <c r="F1791" t="s">
        <v>55</v>
      </c>
      <c r="G1791" t="s">
        <v>3974</v>
      </c>
      <c r="H1791" t="str">
        <f>"00527960"</f>
        <v>00527960</v>
      </c>
      <c r="I1791">
        <v>21.6</v>
      </c>
      <c r="J1791">
        <v>0</v>
      </c>
      <c r="K1791">
        <v>8</v>
      </c>
      <c r="N1791">
        <v>8</v>
      </c>
      <c r="O1791">
        <v>4</v>
      </c>
      <c r="P1791">
        <v>2</v>
      </c>
      <c r="Q1791">
        <v>35.6</v>
      </c>
      <c r="R1791">
        <v>18</v>
      </c>
      <c r="S1791">
        <v>18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18</v>
      </c>
      <c r="AA1791">
        <v>6</v>
      </c>
      <c r="AB1791">
        <v>0</v>
      </c>
      <c r="AD1791">
        <v>59.6</v>
      </c>
    </row>
    <row r="1792" spans="1:30" x14ac:dyDescent="0.3">
      <c r="A1792" s="4">
        <v>1808</v>
      </c>
      <c r="B1792" s="5">
        <v>1785</v>
      </c>
      <c r="C1792">
        <v>4137</v>
      </c>
      <c r="D1792" t="s">
        <v>1244</v>
      </c>
      <c r="E1792" t="s">
        <v>54</v>
      </c>
      <c r="F1792" t="s">
        <v>158</v>
      </c>
      <c r="G1792" t="s">
        <v>3975</v>
      </c>
      <c r="H1792" t="str">
        <f>"00510090"</f>
        <v>00510090</v>
      </c>
      <c r="I1792">
        <v>21.6</v>
      </c>
      <c r="J1792">
        <v>0</v>
      </c>
      <c r="K1792">
        <v>8</v>
      </c>
      <c r="N1792">
        <v>8</v>
      </c>
      <c r="O1792">
        <v>4</v>
      </c>
      <c r="P1792">
        <v>0</v>
      </c>
      <c r="Q1792">
        <v>33.6</v>
      </c>
      <c r="R1792">
        <v>10</v>
      </c>
      <c r="S1792">
        <v>10</v>
      </c>
      <c r="T1792">
        <v>5</v>
      </c>
      <c r="U1792">
        <v>10</v>
      </c>
      <c r="V1792">
        <v>0</v>
      </c>
      <c r="W1792">
        <v>0</v>
      </c>
      <c r="X1792">
        <v>0</v>
      </c>
      <c r="Y1792">
        <v>0</v>
      </c>
      <c r="Z1792">
        <v>20</v>
      </c>
      <c r="AA1792">
        <v>6</v>
      </c>
      <c r="AB1792">
        <v>0</v>
      </c>
      <c r="AD1792">
        <v>59.6</v>
      </c>
    </row>
    <row r="1793" spans="1:30" x14ac:dyDescent="0.3">
      <c r="A1793" s="4">
        <v>1809</v>
      </c>
      <c r="B1793" s="5">
        <v>1786</v>
      </c>
      <c r="C1793">
        <v>3707</v>
      </c>
      <c r="D1793" t="s">
        <v>3976</v>
      </c>
      <c r="E1793" t="s">
        <v>1652</v>
      </c>
      <c r="F1793" t="s">
        <v>652</v>
      </c>
      <c r="G1793" t="s">
        <v>3977</v>
      </c>
      <c r="H1793" t="str">
        <f>"00859678"</f>
        <v>00859678</v>
      </c>
      <c r="I1793">
        <v>57.6</v>
      </c>
      <c r="J1793">
        <v>0</v>
      </c>
      <c r="N1793">
        <v>0</v>
      </c>
      <c r="O1793">
        <v>0</v>
      </c>
      <c r="P1793">
        <v>2</v>
      </c>
      <c r="Q1793">
        <v>59.6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D1793">
        <v>59.6</v>
      </c>
    </row>
    <row r="1794" spans="1:30" x14ac:dyDescent="0.3">
      <c r="A1794" s="4">
        <v>1810</v>
      </c>
      <c r="B1794" s="5">
        <v>1787</v>
      </c>
      <c r="C1794">
        <v>2227</v>
      </c>
      <c r="D1794" t="s">
        <v>3072</v>
      </c>
      <c r="E1794" t="s">
        <v>182</v>
      </c>
      <c r="F1794" t="s">
        <v>55</v>
      </c>
      <c r="G1794" t="s">
        <v>3978</v>
      </c>
      <c r="H1794" t="str">
        <f>"201003000207"</f>
        <v>201003000207</v>
      </c>
      <c r="I1794">
        <v>57.6</v>
      </c>
      <c r="J1794">
        <v>0</v>
      </c>
      <c r="N1794">
        <v>0</v>
      </c>
      <c r="O1794">
        <v>0</v>
      </c>
      <c r="P1794">
        <v>2</v>
      </c>
      <c r="Q1794">
        <v>59.6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D1794">
        <v>59.6</v>
      </c>
    </row>
    <row r="1795" spans="1:30" x14ac:dyDescent="0.3">
      <c r="A1795" s="4">
        <v>1811</v>
      </c>
      <c r="B1795" s="5">
        <v>1788</v>
      </c>
      <c r="C1795">
        <v>3343</v>
      </c>
      <c r="D1795" t="s">
        <v>3979</v>
      </c>
      <c r="E1795" t="s">
        <v>54</v>
      </c>
      <c r="F1795" t="s">
        <v>158</v>
      </c>
      <c r="G1795" t="s">
        <v>3980</v>
      </c>
      <c r="H1795" t="str">
        <f>"00860086"</f>
        <v>00860086</v>
      </c>
      <c r="I1795">
        <v>57.6</v>
      </c>
      <c r="J1795">
        <v>0</v>
      </c>
      <c r="N1795">
        <v>0</v>
      </c>
      <c r="O1795">
        <v>0</v>
      </c>
      <c r="P1795">
        <v>2</v>
      </c>
      <c r="Q1795">
        <v>59.6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D1795">
        <v>59.6</v>
      </c>
    </row>
    <row r="1796" spans="1:30" x14ac:dyDescent="0.3">
      <c r="A1796" s="4">
        <v>1812</v>
      </c>
      <c r="B1796" s="5">
        <v>1789</v>
      </c>
      <c r="C1796">
        <v>960</v>
      </c>
      <c r="D1796" t="s">
        <v>3981</v>
      </c>
      <c r="E1796" t="s">
        <v>22</v>
      </c>
      <c r="F1796" t="s">
        <v>30</v>
      </c>
      <c r="G1796" t="s">
        <v>3982</v>
      </c>
      <c r="H1796" t="str">
        <f>"201406018241"</f>
        <v>201406018241</v>
      </c>
      <c r="I1796">
        <v>39.6</v>
      </c>
      <c r="J1796">
        <v>0</v>
      </c>
      <c r="K1796">
        <v>8</v>
      </c>
      <c r="L1796">
        <v>6</v>
      </c>
      <c r="N1796">
        <v>14</v>
      </c>
      <c r="O1796">
        <v>4</v>
      </c>
      <c r="P1796">
        <v>2</v>
      </c>
      <c r="Q1796">
        <v>59.6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D1796">
        <v>59.6</v>
      </c>
    </row>
    <row r="1797" spans="1:30" x14ac:dyDescent="0.3">
      <c r="A1797" s="4">
        <v>1813</v>
      </c>
      <c r="B1797" s="5">
        <v>1790</v>
      </c>
      <c r="C1797">
        <v>3166</v>
      </c>
      <c r="D1797" t="s">
        <v>3983</v>
      </c>
      <c r="E1797" t="s">
        <v>342</v>
      </c>
      <c r="F1797" t="s">
        <v>117</v>
      </c>
      <c r="G1797" t="s">
        <v>3984</v>
      </c>
      <c r="H1797" t="str">
        <f>"00530848"</f>
        <v>00530848</v>
      </c>
      <c r="I1797">
        <v>31.6</v>
      </c>
      <c r="J1797">
        <v>10</v>
      </c>
      <c r="N1797">
        <v>0</v>
      </c>
      <c r="O1797">
        <v>4</v>
      </c>
      <c r="P1797">
        <v>2</v>
      </c>
      <c r="Q1797">
        <v>47.6</v>
      </c>
      <c r="R1797">
        <v>12</v>
      </c>
      <c r="S1797">
        <v>12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12</v>
      </c>
      <c r="AA1797">
        <v>0</v>
      </c>
      <c r="AB1797">
        <v>0</v>
      </c>
      <c r="AD1797">
        <v>59.6</v>
      </c>
    </row>
    <row r="1798" spans="1:30" x14ac:dyDescent="0.3">
      <c r="A1798" s="4">
        <v>1814</v>
      </c>
      <c r="B1798" s="5">
        <v>1791</v>
      </c>
      <c r="C1798">
        <v>1120</v>
      </c>
      <c r="D1798" t="s">
        <v>3985</v>
      </c>
      <c r="E1798" t="s">
        <v>33</v>
      </c>
      <c r="F1798" t="s">
        <v>117</v>
      </c>
      <c r="G1798" t="s">
        <v>3986</v>
      </c>
      <c r="H1798" t="str">
        <f>"00531828"</f>
        <v>00531828</v>
      </c>
      <c r="I1798">
        <v>21.6</v>
      </c>
      <c r="J1798">
        <v>0</v>
      </c>
      <c r="M1798">
        <v>4</v>
      </c>
      <c r="N1798">
        <v>4</v>
      </c>
      <c r="O1798">
        <v>4</v>
      </c>
      <c r="P1798">
        <v>2</v>
      </c>
      <c r="Q1798">
        <v>31.6</v>
      </c>
      <c r="R1798">
        <v>28</v>
      </c>
      <c r="S1798">
        <v>28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28</v>
      </c>
      <c r="AA1798">
        <v>0</v>
      </c>
      <c r="AB1798">
        <v>0</v>
      </c>
      <c r="AD1798">
        <v>59.6</v>
      </c>
    </row>
    <row r="1799" spans="1:30" x14ac:dyDescent="0.3">
      <c r="A1799" s="4">
        <v>1815</v>
      </c>
      <c r="B1799" s="5">
        <v>1792</v>
      </c>
      <c r="C1799">
        <v>386</v>
      </c>
      <c r="D1799" t="s">
        <v>3987</v>
      </c>
      <c r="E1799" t="s">
        <v>1327</v>
      </c>
      <c r="F1799" t="s">
        <v>20</v>
      </c>
      <c r="G1799" t="s">
        <v>3988</v>
      </c>
      <c r="H1799" t="str">
        <f>"00510959"</f>
        <v>00510959</v>
      </c>
      <c r="I1799">
        <v>21.6</v>
      </c>
      <c r="J1799">
        <v>0</v>
      </c>
      <c r="N1799">
        <v>0</v>
      </c>
      <c r="O1799">
        <v>4</v>
      </c>
      <c r="P1799">
        <v>2</v>
      </c>
      <c r="Q1799">
        <v>27.6</v>
      </c>
      <c r="R1799">
        <v>32</v>
      </c>
      <c r="S1799">
        <v>32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32</v>
      </c>
      <c r="AA1799">
        <v>0</v>
      </c>
      <c r="AB1799">
        <v>0</v>
      </c>
      <c r="AD1799">
        <v>59.6</v>
      </c>
    </row>
    <row r="1800" spans="1:30" x14ac:dyDescent="0.3">
      <c r="A1800" s="4">
        <v>1816</v>
      </c>
      <c r="B1800" s="5">
        <v>1793</v>
      </c>
      <c r="C1800">
        <v>2453</v>
      </c>
      <c r="D1800" t="s">
        <v>3989</v>
      </c>
      <c r="E1800" t="s">
        <v>26</v>
      </c>
      <c r="F1800" t="s">
        <v>238</v>
      </c>
      <c r="G1800" t="s">
        <v>3990</v>
      </c>
      <c r="H1800" t="str">
        <f>"00863553"</f>
        <v>00863553</v>
      </c>
      <c r="I1800">
        <v>30.68</v>
      </c>
      <c r="J1800">
        <v>0</v>
      </c>
      <c r="N1800">
        <v>0</v>
      </c>
      <c r="O1800">
        <v>0</v>
      </c>
      <c r="P1800">
        <v>0</v>
      </c>
      <c r="Q1800">
        <v>30.68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6</v>
      </c>
      <c r="AB1800">
        <v>22.8</v>
      </c>
      <c r="AD1800">
        <v>59.48</v>
      </c>
    </row>
    <row r="1801" spans="1:30" x14ac:dyDescent="0.3">
      <c r="A1801" s="4">
        <v>1817</v>
      </c>
      <c r="B1801" s="5">
        <v>1794</v>
      </c>
      <c r="C1801">
        <v>1189</v>
      </c>
      <c r="D1801" t="s">
        <v>3119</v>
      </c>
      <c r="E1801" t="s">
        <v>3680</v>
      </c>
      <c r="F1801" t="s">
        <v>243</v>
      </c>
      <c r="G1801" t="s">
        <v>3991</v>
      </c>
      <c r="H1801" t="str">
        <f>"00410609"</f>
        <v>00410609</v>
      </c>
      <c r="I1801">
        <v>37.44</v>
      </c>
      <c r="J1801">
        <v>0</v>
      </c>
      <c r="M1801">
        <v>4</v>
      </c>
      <c r="N1801">
        <v>4</v>
      </c>
      <c r="O1801">
        <v>4</v>
      </c>
      <c r="P1801">
        <v>0</v>
      </c>
      <c r="Q1801">
        <v>45.44</v>
      </c>
      <c r="R1801">
        <v>8</v>
      </c>
      <c r="S1801">
        <v>8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8</v>
      </c>
      <c r="AA1801">
        <v>6</v>
      </c>
      <c r="AB1801">
        <v>0</v>
      </c>
      <c r="AD1801">
        <v>59.44</v>
      </c>
    </row>
    <row r="1802" spans="1:30" x14ac:dyDescent="0.3">
      <c r="A1802" s="4">
        <v>1818</v>
      </c>
      <c r="B1802" s="5">
        <v>1795</v>
      </c>
      <c r="C1802">
        <v>4921</v>
      </c>
      <c r="D1802" t="s">
        <v>3992</v>
      </c>
      <c r="E1802" t="s">
        <v>1371</v>
      </c>
      <c r="F1802" t="s">
        <v>91</v>
      </c>
      <c r="G1802" t="s">
        <v>3993</v>
      </c>
      <c r="H1802" t="str">
        <f>"00809313"</f>
        <v>00809313</v>
      </c>
      <c r="I1802">
        <v>50.4</v>
      </c>
      <c r="J1802">
        <v>0</v>
      </c>
      <c r="N1802">
        <v>0</v>
      </c>
      <c r="O1802">
        <v>4</v>
      </c>
      <c r="P1802">
        <v>2</v>
      </c>
      <c r="Q1802">
        <v>56.4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3</v>
      </c>
      <c r="AB1802">
        <v>0</v>
      </c>
      <c r="AD1802">
        <v>59.4</v>
      </c>
    </row>
    <row r="1803" spans="1:30" x14ac:dyDescent="0.3">
      <c r="A1803" s="4">
        <v>1819</v>
      </c>
      <c r="B1803" s="5">
        <v>1796</v>
      </c>
      <c r="C1803">
        <v>1803</v>
      </c>
      <c r="D1803" t="s">
        <v>3994</v>
      </c>
      <c r="E1803" t="s">
        <v>170</v>
      </c>
      <c r="F1803" t="s">
        <v>52</v>
      </c>
      <c r="G1803" t="s">
        <v>3995</v>
      </c>
      <c r="H1803" t="str">
        <f>"00297514"</f>
        <v>00297514</v>
      </c>
      <c r="I1803">
        <v>50.4</v>
      </c>
      <c r="J1803">
        <v>0</v>
      </c>
      <c r="N1803">
        <v>0</v>
      </c>
      <c r="O1803">
        <v>4</v>
      </c>
      <c r="P1803">
        <v>2</v>
      </c>
      <c r="Q1803">
        <v>56.4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3</v>
      </c>
      <c r="AB1803">
        <v>0</v>
      </c>
      <c r="AD1803">
        <v>59.4</v>
      </c>
    </row>
    <row r="1804" spans="1:30" x14ac:dyDescent="0.3">
      <c r="A1804" s="4">
        <v>1820</v>
      </c>
      <c r="B1804" s="5">
        <v>1797</v>
      </c>
      <c r="C1804">
        <v>1133</v>
      </c>
      <c r="D1804" t="s">
        <v>3996</v>
      </c>
      <c r="E1804" t="s">
        <v>166</v>
      </c>
      <c r="F1804" t="s">
        <v>136</v>
      </c>
      <c r="G1804" t="s">
        <v>3997</v>
      </c>
      <c r="H1804" t="str">
        <f>"00032030"</f>
        <v>00032030</v>
      </c>
      <c r="I1804">
        <v>10.28</v>
      </c>
      <c r="J1804">
        <v>10</v>
      </c>
      <c r="N1804">
        <v>0</v>
      </c>
      <c r="O1804">
        <v>4</v>
      </c>
      <c r="P1804">
        <v>2</v>
      </c>
      <c r="Q1804">
        <v>26.28</v>
      </c>
      <c r="R1804">
        <v>24</v>
      </c>
      <c r="S1804">
        <v>24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24</v>
      </c>
      <c r="AA1804">
        <v>9</v>
      </c>
      <c r="AB1804">
        <v>0</v>
      </c>
      <c r="AD1804">
        <v>59.28</v>
      </c>
    </row>
    <row r="1805" spans="1:30" x14ac:dyDescent="0.3">
      <c r="A1805" s="4">
        <v>1821</v>
      </c>
      <c r="B1805" s="5">
        <v>1798</v>
      </c>
      <c r="C1805">
        <v>1220</v>
      </c>
      <c r="D1805" t="s">
        <v>3998</v>
      </c>
      <c r="E1805" t="s">
        <v>219</v>
      </c>
      <c r="F1805" t="s">
        <v>34</v>
      </c>
      <c r="G1805" t="s">
        <v>3999</v>
      </c>
      <c r="H1805" t="str">
        <f>"00530777"</f>
        <v>00530777</v>
      </c>
      <c r="I1805">
        <v>26.24</v>
      </c>
      <c r="J1805">
        <v>0</v>
      </c>
      <c r="N1805">
        <v>0</v>
      </c>
      <c r="O1805">
        <v>4</v>
      </c>
      <c r="P1805">
        <v>0</v>
      </c>
      <c r="Q1805">
        <v>30.24</v>
      </c>
      <c r="R1805">
        <v>23</v>
      </c>
      <c r="S1805">
        <v>23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23</v>
      </c>
      <c r="AA1805">
        <v>6</v>
      </c>
      <c r="AB1805">
        <v>0</v>
      </c>
      <c r="AD1805">
        <v>59.24</v>
      </c>
    </row>
    <row r="1806" spans="1:30" x14ac:dyDescent="0.3">
      <c r="A1806" s="4">
        <v>1822</v>
      </c>
      <c r="B1806" s="5">
        <v>1799</v>
      </c>
      <c r="C1806">
        <v>4122</v>
      </c>
      <c r="D1806" t="s">
        <v>4000</v>
      </c>
      <c r="E1806" t="s">
        <v>479</v>
      </c>
      <c r="F1806" t="s">
        <v>652</v>
      </c>
      <c r="G1806" t="s">
        <v>4001</v>
      </c>
      <c r="H1806" t="str">
        <f>"00160371"</f>
        <v>00160371</v>
      </c>
      <c r="I1806">
        <v>7.2</v>
      </c>
      <c r="J1806">
        <v>0</v>
      </c>
      <c r="M1806">
        <v>4</v>
      </c>
      <c r="N1806">
        <v>4</v>
      </c>
      <c r="O1806">
        <v>4</v>
      </c>
      <c r="P1806">
        <v>0</v>
      </c>
      <c r="Q1806">
        <v>15.2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12</v>
      </c>
      <c r="AB1806">
        <v>32</v>
      </c>
      <c r="AD1806">
        <v>59.2</v>
      </c>
    </row>
    <row r="1807" spans="1:30" x14ac:dyDescent="0.3">
      <c r="A1807" s="4">
        <v>1823</v>
      </c>
      <c r="B1807" s="5">
        <v>1800</v>
      </c>
      <c r="C1807">
        <v>1716</v>
      </c>
      <c r="D1807" t="s">
        <v>4002</v>
      </c>
      <c r="E1807" t="s">
        <v>3221</v>
      </c>
      <c r="F1807" t="s">
        <v>4003</v>
      </c>
      <c r="G1807" t="s">
        <v>4004</v>
      </c>
      <c r="H1807" t="str">
        <f>"00644383"</f>
        <v>00644383</v>
      </c>
      <c r="I1807">
        <v>43.2</v>
      </c>
      <c r="J1807">
        <v>0</v>
      </c>
      <c r="M1807">
        <v>4</v>
      </c>
      <c r="N1807">
        <v>4</v>
      </c>
      <c r="O1807">
        <v>4</v>
      </c>
      <c r="P1807">
        <v>2</v>
      </c>
      <c r="Q1807">
        <v>53.2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6</v>
      </c>
      <c r="AB1807">
        <v>0</v>
      </c>
      <c r="AD1807">
        <v>59.2</v>
      </c>
    </row>
    <row r="1808" spans="1:30" x14ac:dyDescent="0.3">
      <c r="A1808" s="4">
        <v>1824</v>
      </c>
      <c r="B1808" s="5">
        <v>1801</v>
      </c>
      <c r="C1808">
        <v>1235</v>
      </c>
      <c r="D1808" t="s">
        <v>784</v>
      </c>
      <c r="E1808" t="s">
        <v>4005</v>
      </c>
      <c r="F1808" t="s">
        <v>4006</v>
      </c>
      <c r="G1808" t="s">
        <v>4007</v>
      </c>
      <c r="H1808" t="str">
        <f>"00529858"</f>
        <v>00529858</v>
      </c>
      <c r="I1808">
        <v>43.2</v>
      </c>
      <c r="J1808">
        <v>0</v>
      </c>
      <c r="M1808">
        <v>4</v>
      </c>
      <c r="N1808">
        <v>4</v>
      </c>
      <c r="O1808">
        <v>4</v>
      </c>
      <c r="P1808">
        <v>2</v>
      </c>
      <c r="Q1808">
        <v>53.2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6</v>
      </c>
      <c r="AB1808">
        <v>0</v>
      </c>
      <c r="AD1808">
        <v>59.2</v>
      </c>
    </row>
    <row r="1809" spans="1:30" x14ac:dyDescent="0.3">
      <c r="A1809" s="4">
        <v>1825</v>
      </c>
      <c r="B1809" s="5">
        <v>1802</v>
      </c>
      <c r="C1809">
        <v>1407</v>
      </c>
      <c r="D1809" t="s">
        <v>4008</v>
      </c>
      <c r="E1809" t="s">
        <v>780</v>
      </c>
      <c r="F1809" t="s">
        <v>17</v>
      </c>
      <c r="G1809" t="s">
        <v>4009</v>
      </c>
      <c r="H1809" t="str">
        <f>"00458894"</f>
        <v>00458894</v>
      </c>
      <c r="I1809">
        <v>43.2</v>
      </c>
      <c r="J1809">
        <v>0</v>
      </c>
      <c r="M1809">
        <v>4</v>
      </c>
      <c r="N1809">
        <v>4</v>
      </c>
      <c r="O1809">
        <v>4</v>
      </c>
      <c r="P1809">
        <v>2</v>
      </c>
      <c r="Q1809">
        <v>53.2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6</v>
      </c>
      <c r="AB1809">
        <v>0</v>
      </c>
      <c r="AD1809">
        <v>59.2</v>
      </c>
    </row>
    <row r="1810" spans="1:30" x14ac:dyDescent="0.3">
      <c r="A1810" s="4">
        <v>1826</v>
      </c>
      <c r="B1810" s="5">
        <v>1803</v>
      </c>
      <c r="C1810">
        <v>1996</v>
      </c>
      <c r="D1810" t="s">
        <v>4010</v>
      </c>
      <c r="E1810" t="s">
        <v>4011</v>
      </c>
      <c r="F1810" t="s">
        <v>20</v>
      </c>
      <c r="G1810" t="s">
        <v>4012</v>
      </c>
      <c r="H1810" t="str">
        <f>"00390958"</f>
        <v>00390958</v>
      </c>
      <c r="I1810">
        <v>39.200000000000003</v>
      </c>
      <c r="J1810">
        <v>10</v>
      </c>
      <c r="N1810">
        <v>0</v>
      </c>
      <c r="O1810">
        <v>4</v>
      </c>
      <c r="P1810">
        <v>0</v>
      </c>
      <c r="Q1810">
        <v>53.2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6</v>
      </c>
      <c r="AB1810">
        <v>0</v>
      </c>
      <c r="AD1810">
        <v>59.2</v>
      </c>
    </row>
    <row r="1811" spans="1:30" x14ac:dyDescent="0.3">
      <c r="A1811" s="4">
        <v>1827</v>
      </c>
      <c r="B1811" s="5">
        <v>1804</v>
      </c>
      <c r="C1811">
        <v>2478</v>
      </c>
      <c r="D1811" t="s">
        <v>4013</v>
      </c>
      <c r="E1811" t="s">
        <v>54</v>
      </c>
      <c r="F1811" t="s">
        <v>81</v>
      </c>
      <c r="G1811" t="s">
        <v>4014</v>
      </c>
      <c r="H1811" t="str">
        <f>"201406003296"</f>
        <v>201406003296</v>
      </c>
      <c r="I1811">
        <v>39.200000000000003</v>
      </c>
      <c r="J1811">
        <v>0</v>
      </c>
      <c r="K1811">
        <v>8</v>
      </c>
      <c r="N1811">
        <v>8</v>
      </c>
      <c r="O1811">
        <v>4</v>
      </c>
      <c r="P1811">
        <v>2</v>
      </c>
      <c r="Q1811">
        <v>53.2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6</v>
      </c>
      <c r="AB1811">
        <v>0</v>
      </c>
      <c r="AD1811">
        <v>59.2</v>
      </c>
    </row>
    <row r="1812" spans="1:30" x14ac:dyDescent="0.3">
      <c r="A1812" s="4">
        <v>1828</v>
      </c>
      <c r="B1812" s="5">
        <v>1805</v>
      </c>
      <c r="C1812">
        <v>119</v>
      </c>
      <c r="D1812" t="s">
        <v>3258</v>
      </c>
      <c r="E1812" t="s">
        <v>161</v>
      </c>
      <c r="F1812" t="s">
        <v>17</v>
      </c>
      <c r="G1812" t="s">
        <v>4015</v>
      </c>
      <c r="H1812" t="str">
        <f>"00440446"</f>
        <v>00440446</v>
      </c>
      <c r="I1812">
        <v>43.2</v>
      </c>
      <c r="J1812">
        <v>0</v>
      </c>
      <c r="N1812">
        <v>0</v>
      </c>
      <c r="O1812">
        <v>0</v>
      </c>
      <c r="P1812">
        <v>2</v>
      </c>
      <c r="Q1812">
        <v>45.2</v>
      </c>
      <c r="R1812">
        <v>11</v>
      </c>
      <c r="S1812">
        <v>11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11</v>
      </c>
      <c r="AA1812">
        <v>3</v>
      </c>
      <c r="AB1812">
        <v>0</v>
      </c>
      <c r="AD1812">
        <v>59.2</v>
      </c>
    </row>
    <row r="1813" spans="1:30" x14ac:dyDescent="0.3">
      <c r="A1813" s="4">
        <v>1829</v>
      </c>
      <c r="B1813" s="5">
        <v>1806</v>
      </c>
      <c r="C1813">
        <v>2074</v>
      </c>
      <c r="D1813" t="s">
        <v>4016</v>
      </c>
      <c r="E1813" t="s">
        <v>4017</v>
      </c>
      <c r="F1813" t="s">
        <v>243</v>
      </c>
      <c r="G1813" t="s">
        <v>4018</v>
      </c>
      <c r="H1813" t="str">
        <f>"00554875"</f>
        <v>00554875</v>
      </c>
      <c r="I1813">
        <v>43.2</v>
      </c>
      <c r="J1813">
        <v>10</v>
      </c>
      <c r="N1813">
        <v>0</v>
      </c>
      <c r="O1813">
        <v>4</v>
      </c>
      <c r="P1813">
        <v>2</v>
      </c>
      <c r="Q1813">
        <v>59.2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D1813">
        <v>59.2</v>
      </c>
    </row>
    <row r="1814" spans="1:30" x14ac:dyDescent="0.3">
      <c r="A1814" s="4">
        <v>1830</v>
      </c>
      <c r="B1814" s="5">
        <v>1807</v>
      </c>
      <c r="C1814">
        <v>3877</v>
      </c>
      <c r="D1814" t="s">
        <v>4019</v>
      </c>
      <c r="E1814" t="s">
        <v>100</v>
      </c>
      <c r="F1814" t="s">
        <v>20</v>
      </c>
      <c r="G1814" t="s">
        <v>4020</v>
      </c>
      <c r="H1814" t="str">
        <f>"00724062"</f>
        <v>00724062</v>
      </c>
      <c r="I1814">
        <v>39.200000000000003</v>
      </c>
      <c r="J1814">
        <v>10</v>
      </c>
      <c r="M1814">
        <v>4</v>
      </c>
      <c r="N1814">
        <v>4</v>
      </c>
      <c r="O1814">
        <v>4</v>
      </c>
      <c r="P1814">
        <v>2</v>
      </c>
      <c r="Q1814">
        <v>59.2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D1814">
        <v>59.2</v>
      </c>
    </row>
    <row r="1815" spans="1:30" x14ac:dyDescent="0.3">
      <c r="A1815" s="4">
        <v>1831</v>
      </c>
      <c r="B1815" s="5">
        <v>1808</v>
      </c>
      <c r="C1815">
        <v>4952</v>
      </c>
      <c r="D1815" t="s">
        <v>3587</v>
      </c>
      <c r="E1815" t="s">
        <v>188</v>
      </c>
      <c r="F1815" t="s">
        <v>17</v>
      </c>
      <c r="G1815" t="s">
        <v>4021</v>
      </c>
      <c r="H1815" t="str">
        <f>"00661516"</f>
        <v>00661516</v>
      </c>
      <c r="I1815">
        <v>37.200000000000003</v>
      </c>
      <c r="J1815">
        <v>10</v>
      </c>
      <c r="K1815">
        <v>8</v>
      </c>
      <c r="N1815">
        <v>8</v>
      </c>
      <c r="O1815">
        <v>4</v>
      </c>
      <c r="P1815">
        <v>0</v>
      </c>
      <c r="Q1815">
        <v>59.2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D1815">
        <v>59.2</v>
      </c>
    </row>
    <row r="1816" spans="1:30" x14ac:dyDescent="0.3">
      <c r="A1816" s="4">
        <v>1832</v>
      </c>
      <c r="B1816" s="5">
        <v>1809</v>
      </c>
      <c r="C1816">
        <v>1247</v>
      </c>
      <c r="D1816" t="s">
        <v>4022</v>
      </c>
      <c r="E1816" t="s">
        <v>4023</v>
      </c>
      <c r="F1816" t="s">
        <v>4024</v>
      </c>
      <c r="G1816" t="s">
        <v>4025</v>
      </c>
      <c r="H1816" t="str">
        <f>"201511025847"</f>
        <v>201511025847</v>
      </c>
      <c r="I1816">
        <v>35.200000000000003</v>
      </c>
      <c r="J1816">
        <v>10</v>
      </c>
      <c r="K1816">
        <v>8</v>
      </c>
      <c r="N1816">
        <v>8</v>
      </c>
      <c r="O1816">
        <v>4</v>
      </c>
      <c r="P1816">
        <v>2</v>
      </c>
      <c r="Q1816">
        <v>59.2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D1816">
        <v>59.2</v>
      </c>
    </row>
    <row r="1817" spans="1:30" x14ac:dyDescent="0.3">
      <c r="A1817" s="4">
        <v>1833</v>
      </c>
      <c r="B1817" s="5">
        <v>1810</v>
      </c>
      <c r="C1817">
        <v>2907</v>
      </c>
      <c r="D1817" t="s">
        <v>3570</v>
      </c>
      <c r="E1817" t="s">
        <v>4026</v>
      </c>
      <c r="F1817" t="s">
        <v>81</v>
      </c>
      <c r="G1817" t="s">
        <v>4027</v>
      </c>
      <c r="H1817" t="str">
        <f>"00530880"</f>
        <v>00530880</v>
      </c>
      <c r="I1817">
        <v>27.2</v>
      </c>
      <c r="J1817">
        <v>0</v>
      </c>
      <c r="K1817">
        <v>8</v>
      </c>
      <c r="N1817">
        <v>8</v>
      </c>
      <c r="O1817">
        <v>4</v>
      </c>
      <c r="P1817">
        <v>2</v>
      </c>
      <c r="Q1817">
        <v>41.2</v>
      </c>
      <c r="R1817">
        <v>18</v>
      </c>
      <c r="S1817">
        <v>18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18</v>
      </c>
      <c r="AA1817">
        <v>0</v>
      </c>
      <c r="AB1817">
        <v>0</v>
      </c>
      <c r="AD1817">
        <v>59.2</v>
      </c>
    </row>
    <row r="1818" spans="1:30" x14ac:dyDescent="0.3">
      <c r="A1818" s="4">
        <v>1834</v>
      </c>
      <c r="B1818" s="5">
        <v>1811</v>
      </c>
      <c r="C1818">
        <v>1825</v>
      </c>
      <c r="D1818" t="s">
        <v>4028</v>
      </c>
      <c r="E1818" t="s">
        <v>29</v>
      </c>
      <c r="F1818" t="s">
        <v>38</v>
      </c>
      <c r="G1818" t="s">
        <v>4029</v>
      </c>
      <c r="H1818" t="str">
        <f>"00560054"</f>
        <v>00560054</v>
      </c>
      <c r="I1818">
        <v>12.72</v>
      </c>
      <c r="J1818">
        <v>0</v>
      </c>
      <c r="K1818">
        <v>8</v>
      </c>
      <c r="N1818">
        <v>8</v>
      </c>
      <c r="O1818">
        <v>0</v>
      </c>
      <c r="P1818">
        <v>0</v>
      </c>
      <c r="Q1818">
        <v>20.72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6</v>
      </c>
      <c r="AB1818">
        <v>32.4</v>
      </c>
      <c r="AD1818">
        <v>59.12</v>
      </c>
    </row>
    <row r="1819" spans="1:30" x14ac:dyDescent="0.3">
      <c r="A1819" s="4">
        <v>1836</v>
      </c>
      <c r="B1819" s="5">
        <v>1812</v>
      </c>
      <c r="C1819">
        <v>1099</v>
      </c>
      <c r="D1819" t="s">
        <v>4030</v>
      </c>
      <c r="E1819" t="s">
        <v>29</v>
      </c>
      <c r="F1819" t="s">
        <v>3439</v>
      </c>
      <c r="G1819" t="s">
        <v>4031</v>
      </c>
      <c r="H1819" t="str">
        <f>"00854835"</f>
        <v>00854835</v>
      </c>
      <c r="I1819">
        <v>37</v>
      </c>
      <c r="J1819">
        <v>10</v>
      </c>
      <c r="N1819">
        <v>0</v>
      </c>
      <c r="O1819">
        <v>4</v>
      </c>
      <c r="P1819">
        <v>2</v>
      </c>
      <c r="Q1819">
        <v>53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6</v>
      </c>
      <c r="AB1819">
        <v>0</v>
      </c>
      <c r="AD1819">
        <v>59</v>
      </c>
    </row>
    <row r="1820" spans="1:30" x14ac:dyDescent="0.3">
      <c r="A1820" s="4">
        <v>1837</v>
      </c>
      <c r="B1820" s="5">
        <v>1813</v>
      </c>
      <c r="C1820">
        <v>938</v>
      </c>
      <c r="D1820" t="s">
        <v>4032</v>
      </c>
      <c r="E1820" t="s">
        <v>4033</v>
      </c>
      <c r="F1820" t="s">
        <v>4034</v>
      </c>
      <c r="G1820" t="s">
        <v>4035</v>
      </c>
      <c r="H1820" t="str">
        <f>"00637350"</f>
        <v>00637350</v>
      </c>
      <c r="I1820">
        <v>40</v>
      </c>
      <c r="J1820">
        <v>10</v>
      </c>
      <c r="N1820">
        <v>0</v>
      </c>
      <c r="O1820">
        <v>4</v>
      </c>
      <c r="P1820">
        <v>2</v>
      </c>
      <c r="Q1820">
        <v>56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3</v>
      </c>
      <c r="AB1820">
        <v>0</v>
      </c>
      <c r="AD1820">
        <v>59</v>
      </c>
    </row>
    <row r="1821" spans="1:30" x14ac:dyDescent="0.3">
      <c r="A1821" s="4">
        <v>1838</v>
      </c>
      <c r="B1821" s="5">
        <v>1814</v>
      </c>
      <c r="C1821">
        <v>28</v>
      </c>
      <c r="D1821" t="s">
        <v>4036</v>
      </c>
      <c r="E1821" t="s">
        <v>740</v>
      </c>
      <c r="F1821" t="s">
        <v>38</v>
      </c>
      <c r="G1821" t="s">
        <v>4037</v>
      </c>
      <c r="H1821" t="str">
        <f>"00516862"</f>
        <v>00516862</v>
      </c>
      <c r="I1821">
        <v>36</v>
      </c>
      <c r="J1821">
        <v>10</v>
      </c>
      <c r="M1821">
        <v>4</v>
      </c>
      <c r="N1821">
        <v>4</v>
      </c>
      <c r="O1821">
        <v>4</v>
      </c>
      <c r="P1821">
        <v>2</v>
      </c>
      <c r="Q1821">
        <v>56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3</v>
      </c>
      <c r="AB1821">
        <v>0</v>
      </c>
      <c r="AD1821">
        <v>59</v>
      </c>
    </row>
    <row r="1822" spans="1:30" x14ac:dyDescent="0.3">
      <c r="A1822" s="4">
        <v>1839</v>
      </c>
      <c r="B1822" s="5">
        <v>1815</v>
      </c>
      <c r="C1822">
        <v>2204</v>
      </c>
      <c r="D1822" t="s">
        <v>4038</v>
      </c>
      <c r="E1822" t="s">
        <v>132</v>
      </c>
      <c r="F1822" t="s">
        <v>136</v>
      </c>
      <c r="G1822" t="s">
        <v>4039</v>
      </c>
      <c r="H1822" t="str">
        <f>"00532024"</f>
        <v>00532024</v>
      </c>
      <c r="I1822">
        <v>36</v>
      </c>
      <c r="J1822">
        <v>0</v>
      </c>
      <c r="N1822">
        <v>0</v>
      </c>
      <c r="O1822">
        <v>4</v>
      </c>
      <c r="P1822">
        <v>2</v>
      </c>
      <c r="Q1822">
        <v>42</v>
      </c>
      <c r="R1822">
        <v>14</v>
      </c>
      <c r="S1822">
        <v>14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14</v>
      </c>
      <c r="AA1822">
        <v>3</v>
      </c>
      <c r="AB1822">
        <v>0</v>
      </c>
      <c r="AD1822">
        <v>59</v>
      </c>
    </row>
    <row r="1823" spans="1:30" x14ac:dyDescent="0.3">
      <c r="A1823" s="4">
        <v>1840</v>
      </c>
      <c r="B1823" s="5">
        <v>1816</v>
      </c>
      <c r="C1823">
        <v>255</v>
      </c>
      <c r="D1823" t="s">
        <v>4040</v>
      </c>
      <c r="E1823" t="s">
        <v>4041</v>
      </c>
      <c r="F1823" t="s">
        <v>81</v>
      </c>
      <c r="G1823" t="s">
        <v>4042</v>
      </c>
      <c r="H1823" t="str">
        <f>"00511806"</f>
        <v>00511806</v>
      </c>
      <c r="I1823">
        <v>36</v>
      </c>
      <c r="J1823">
        <v>0</v>
      </c>
      <c r="N1823">
        <v>0</v>
      </c>
      <c r="O1823">
        <v>4</v>
      </c>
      <c r="P1823">
        <v>2</v>
      </c>
      <c r="Q1823">
        <v>42</v>
      </c>
      <c r="R1823">
        <v>8</v>
      </c>
      <c r="S1823">
        <v>8</v>
      </c>
      <c r="T1823">
        <v>0</v>
      </c>
      <c r="U1823">
        <v>0</v>
      </c>
      <c r="V1823">
        <v>4</v>
      </c>
      <c r="W1823">
        <v>6</v>
      </c>
      <c r="X1823">
        <v>0</v>
      </c>
      <c r="Y1823">
        <v>0</v>
      </c>
      <c r="Z1823">
        <v>14</v>
      </c>
      <c r="AA1823">
        <v>3</v>
      </c>
      <c r="AB1823">
        <v>0</v>
      </c>
      <c r="AD1823">
        <v>59</v>
      </c>
    </row>
    <row r="1824" spans="1:30" x14ac:dyDescent="0.3">
      <c r="A1824" s="4">
        <v>1841</v>
      </c>
      <c r="B1824" s="5">
        <v>1817</v>
      </c>
      <c r="C1824">
        <v>1522</v>
      </c>
      <c r="D1824" t="s">
        <v>4043</v>
      </c>
      <c r="E1824" t="s">
        <v>178</v>
      </c>
      <c r="F1824" t="s">
        <v>38</v>
      </c>
      <c r="G1824" t="s">
        <v>4044</v>
      </c>
      <c r="H1824" t="str">
        <f>"201405001786"</f>
        <v>201405001786</v>
      </c>
      <c r="I1824">
        <v>36</v>
      </c>
      <c r="J1824">
        <v>0</v>
      </c>
      <c r="K1824">
        <v>8</v>
      </c>
      <c r="N1824">
        <v>8</v>
      </c>
      <c r="O1824">
        <v>4</v>
      </c>
      <c r="P1824">
        <v>2</v>
      </c>
      <c r="Q1824">
        <v>50</v>
      </c>
      <c r="R1824">
        <v>9</v>
      </c>
      <c r="S1824">
        <v>9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9</v>
      </c>
      <c r="AA1824">
        <v>0</v>
      </c>
      <c r="AB1824">
        <v>0</v>
      </c>
      <c r="AD1824">
        <v>59</v>
      </c>
    </row>
    <row r="1825" spans="1:30" x14ac:dyDescent="0.3">
      <c r="A1825" s="4">
        <v>1842</v>
      </c>
      <c r="B1825" s="5">
        <v>1818</v>
      </c>
      <c r="C1825">
        <v>2077</v>
      </c>
      <c r="D1825" t="s">
        <v>4045</v>
      </c>
      <c r="E1825" t="s">
        <v>208</v>
      </c>
      <c r="F1825" t="s">
        <v>38</v>
      </c>
      <c r="G1825" t="s">
        <v>4046</v>
      </c>
      <c r="H1825" t="str">
        <f>"00532074"</f>
        <v>00532074</v>
      </c>
      <c r="I1825">
        <v>36</v>
      </c>
      <c r="J1825">
        <v>0</v>
      </c>
      <c r="N1825">
        <v>0</v>
      </c>
      <c r="O1825">
        <v>4</v>
      </c>
      <c r="P1825">
        <v>2</v>
      </c>
      <c r="Q1825">
        <v>42</v>
      </c>
      <c r="R1825">
        <v>17</v>
      </c>
      <c r="S1825">
        <v>17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17</v>
      </c>
      <c r="AA1825">
        <v>0</v>
      </c>
      <c r="AB1825">
        <v>0</v>
      </c>
      <c r="AD1825">
        <v>59</v>
      </c>
    </row>
    <row r="1826" spans="1:30" x14ac:dyDescent="0.3">
      <c r="A1826" s="4">
        <v>1843</v>
      </c>
      <c r="B1826" s="5">
        <v>1819</v>
      </c>
      <c r="C1826">
        <v>3800</v>
      </c>
      <c r="D1826" t="s">
        <v>4047</v>
      </c>
      <c r="E1826" t="s">
        <v>26</v>
      </c>
      <c r="F1826" t="s">
        <v>136</v>
      </c>
      <c r="G1826" t="s">
        <v>4048</v>
      </c>
      <c r="H1826" t="str">
        <f>"00858980"</f>
        <v>00858980</v>
      </c>
      <c r="I1826">
        <v>38.799999999999997</v>
      </c>
      <c r="J1826">
        <v>10</v>
      </c>
      <c r="N1826">
        <v>0</v>
      </c>
      <c r="O1826">
        <v>4</v>
      </c>
      <c r="P1826">
        <v>0</v>
      </c>
      <c r="Q1826">
        <v>52.8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6</v>
      </c>
      <c r="AB1826">
        <v>0</v>
      </c>
      <c r="AD1826">
        <v>58.8</v>
      </c>
    </row>
    <row r="1827" spans="1:30" x14ac:dyDescent="0.3">
      <c r="A1827" s="4">
        <v>1844</v>
      </c>
      <c r="B1827" s="5">
        <v>1820</v>
      </c>
      <c r="C1827">
        <v>714</v>
      </c>
      <c r="D1827" t="s">
        <v>4049</v>
      </c>
      <c r="E1827" t="s">
        <v>26</v>
      </c>
      <c r="F1827" t="s">
        <v>124</v>
      </c>
      <c r="G1827" t="s">
        <v>4050</v>
      </c>
      <c r="H1827" t="str">
        <f>"00555941"</f>
        <v>00555941</v>
      </c>
      <c r="I1827">
        <v>38.799999999999997</v>
      </c>
      <c r="J1827">
        <v>10</v>
      </c>
      <c r="N1827">
        <v>0</v>
      </c>
      <c r="O1827">
        <v>4</v>
      </c>
      <c r="P1827">
        <v>0</v>
      </c>
      <c r="Q1827">
        <v>52.8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6</v>
      </c>
      <c r="AB1827">
        <v>0</v>
      </c>
      <c r="AD1827">
        <v>58.8</v>
      </c>
    </row>
    <row r="1828" spans="1:30" x14ac:dyDescent="0.3">
      <c r="A1828" s="4">
        <v>1845</v>
      </c>
      <c r="B1828" s="5">
        <v>1821</v>
      </c>
      <c r="C1828">
        <v>4469</v>
      </c>
      <c r="D1828" t="s">
        <v>4051</v>
      </c>
      <c r="E1828" t="s">
        <v>54</v>
      </c>
      <c r="F1828" t="s">
        <v>230</v>
      </c>
      <c r="G1828" t="s">
        <v>4052</v>
      </c>
      <c r="H1828" t="str">
        <f>"00504633"</f>
        <v>00504633</v>
      </c>
      <c r="I1828">
        <v>28.8</v>
      </c>
      <c r="J1828">
        <v>10</v>
      </c>
      <c r="N1828">
        <v>0</v>
      </c>
      <c r="O1828">
        <v>4</v>
      </c>
      <c r="P1828">
        <v>2</v>
      </c>
      <c r="Q1828">
        <v>44.8</v>
      </c>
      <c r="R1828">
        <v>11</v>
      </c>
      <c r="S1828">
        <v>11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11</v>
      </c>
      <c r="AA1828">
        <v>3</v>
      </c>
      <c r="AB1828">
        <v>0</v>
      </c>
      <c r="AD1828">
        <v>58.8</v>
      </c>
    </row>
    <row r="1829" spans="1:30" x14ac:dyDescent="0.3">
      <c r="A1829" s="4">
        <v>1846</v>
      </c>
      <c r="B1829" s="5">
        <v>1822</v>
      </c>
      <c r="C1829">
        <v>1227</v>
      </c>
      <c r="D1829" t="s">
        <v>3181</v>
      </c>
      <c r="E1829" t="s">
        <v>41</v>
      </c>
      <c r="F1829" t="s">
        <v>68</v>
      </c>
      <c r="G1829" t="s">
        <v>4053</v>
      </c>
      <c r="H1829" t="str">
        <f>"201511008311"</f>
        <v>201511008311</v>
      </c>
      <c r="I1829">
        <v>38.799999999999997</v>
      </c>
      <c r="J1829">
        <v>10</v>
      </c>
      <c r="M1829">
        <v>4</v>
      </c>
      <c r="N1829">
        <v>4</v>
      </c>
      <c r="O1829">
        <v>4</v>
      </c>
      <c r="P1829">
        <v>2</v>
      </c>
      <c r="Q1829">
        <v>58.8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D1829">
        <v>58.8</v>
      </c>
    </row>
    <row r="1830" spans="1:30" x14ac:dyDescent="0.3">
      <c r="A1830" s="4">
        <v>1847</v>
      </c>
      <c r="B1830" s="5">
        <v>1823</v>
      </c>
      <c r="C1830">
        <v>2239</v>
      </c>
      <c r="D1830" t="s">
        <v>198</v>
      </c>
      <c r="E1830" t="s">
        <v>816</v>
      </c>
      <c r="F1830" t="s">
        <v>124</v>
      </c>
      <c r="G1830" t="s">
        <v>4054</v>
      </c>
      <c r="H1830" t="str">
        <f>"00077614"</f>
        <v>00077614</v>
      </c>
      <c r="I1830">
        <v>38.799999999999997</v>
      </c>
      <c r="J1830">
        <v>10</v>
      </c>
      <c r="M1830">
        <v>4</v>
      </c>
      <c r="N1830">
        <v>4</v>
      </c>
      <c r="O1830">
        <v>4</v>
      </c>
      <c r="P1830">
        <v>2</v>
      </c>
      <c r="Q1830">
        <v>58.8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D1830">
        <v>58.8</v>
      </c>
    </row>
    <row r="1831" spans="1:30" x14ac:dyDescent="0.3">
      <c r="A1831" s="4">
        <v>1848</v>
      </c>
      <c r="B1831" s="5">
        <v>1824</v>
      </c>
      <c r="C1831">
        <v>211</v>
      </c>
      <c r="D1831" t="s">
        <v>4055</v>
      </c>
      <c r="E1831" t="s">
        <v>22</v>
      </c>
      <c r="F1831" t="s">
        <v>325</v>
      </c>
      <c r="G1831" t="s">
        <v>4056</v>
      </c>
      <c r="H1831" t="str">
        <f>"00015758"</f>
        <v>00015758</v>
      </c>
      <c r="I1831">
        <v>38.799999999999997</v>
      </c>
      <c r="J1831">
        <v>10</v>
      </c>
      <c r="L1831">
        <v>6</v>
      </c>
      <c r="N1831">
        <v>6</v>
      </c>
      <c r="O1831">
        <v>4</v>
      </c>
      <c r="P1831">
        <v>0</v>
      </c>
      <c r="Q1831">
        <v>58.8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D1831">
        <v>58.8</v>
      </c>
    </row>
    <row r="1832" spans="1:30" x14ac:dyDescent="0.3">
      <c r="A1832" s="4">
        <v>1849</v>
      </c>
      <c r="B1832" s="5">
        <v>1825</v>
      </c>
      <c r="C1832">
        <v>1114</v>
      </c>
      <c r="D1832" t="s">
        <v>4057</v>
      </c>
      <c r="E1832" t="s">
        <v>178</v>
      </c>
      <c r="F1832" t="s">
        <v>243</v>
      </c>
      <c r="G1832" t="s">
        <v>4058</v>
      </c>
      <c r="H1832" t="str">
        <f>"00516537"</f>
        <v>00516537</v>
      </c>
      <c r="I1832">
        <v>28.8</v>
      </c>
      <c r="J1832">
        <v>0</v>
      </c>
      <c r="N1832">
        <v>0</v>
      </c>
      <c r="O1832">
        <v>0</v>
      </c>
      <c r="P1832">
        <v>0</v>
      </c>
      <c r="Q1832">
        <v>28.8</v>
      </c>
      <c r="R1832">
        <v>30</v>
      </c>
      <c r="S1832">
        <v>30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30</v>
      </c>
      <c r="AA1832">
        <v>0</v>
      </c>
      <c r="AB1832">
        <v>0</v>
      </c>
      <c r="AD1832">
        <v>58.8</v>
      </c>
    </row>
    <row r="1833" spans="1:30" x14ac:dyDescent="0.3">
      <c r="A1833" s="4">
        <v>1850</v>
      </c>
      <c r="B1833" s="5">
        <v>1826</v>
      </c>
      <c r="C1833">
        <v>4660</v>
      </c>
      <c r="D1833" t="s">
        <v>4059</v>
      </c>
      <c r="E1833" t="s">
        <v>403</v>
      </c>
      <c r="F1833" t="s">
        <v>38</v>
      </c>
      <c r="G1833" t="s">
        <v>4060</v>
      </c>
      <c r="H1833" t="str">
        <f>"00442211"</f>
        <v>00442211</v>
      </c>
      <c r="I1833">
        <v>39.6</v>
      </c>
      <c r="J1833">
        <v>0</v>
      </c>
      <c r="L1833">
        <v>6</v>
      </c>
      <c r="N1833">
        <v>6</v>
      </c>
      <c r="O1833">
        <v>4</v>
      </c>
      <c r="P1833">
        <v>0</v>
      </c>
      <c r="Q1833">
        <v>49.6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9</v>
      </c>
      <c r="AB1833">
        <v>0</v>
      </c>
      <c r="AD1833">
        <v>58.6</v>
      </c>
    </row>
    <row r="1834" spans="1:30" x14ac:dyDescent="0.3">
      <c r="A1834" s="4">
        <v>1852</v>
      </c>
      <c r="B1834" s="5">
        <v>1827</v>
      </c>
      <c r="C1834">
        <v>4191</v>
      </c>
      <c r="D1834" t="s">
        <v>4061</v>
      </c>
      <c r="E1834" t="s">
        <v>2852</v>
      </c>
      <c r="F1834" t="s">
        <v>259</v>
      </c>
      <c r="G1834" t="s">
        <v>4062</v>
      </c>
      <c r="H1834" t="str">
        <f>"00533223"</f>
        <v>00533223</v>
      </c>
      <c r="I1834">
        <v>21.6</v>
      </c>
      <c r="J1834">
        <v>10</v>
      </c>
      <c r="N1834">
        <v>0</v>
      </c>
      <c r="O1834">
        <v>4</v>
      </c>
      <c r="P1834">
        <v>0</v>
      </c>
      <c r="Q1834">
        <v>35.6</v>
      </c>
      <c r="R1834">
        <v>14</v>
      </c>
      <c r="S1834">
        <v>14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14</v>
      </c>
      <c r="AA1834">
        <v>9</v>
      </c>
      <c r="AB1834">
        <v>0</v>
      </c>
      <c r="AD1834">
        <v>58.6</v>
      </c>
    </row>
    <row r="1835" spans="1:30" x14ac:dyDescent="0.3">
      <c r="A1835" s="4">
        <v>1853</v>
      </c>
      <c r="B1835" s="5">
        <v>1828</v>
      </c>
      <c r="C1835">
        <v>2163</v>
      </c>
      <c r="D1835" t="s">
        <v>4063</v>
      </c>
      <c r="E1835" t="s">
        <v>29</v>
      </c>
      <c r="F1835" t="s">
        <v>972</v>
      </c>
      <c r="G1835" t="s">
        <v>4064</v>
      </c>
      <c r="H1835" t="str">
        <f>"201412004527"</f>
        <v>201412004527</v>
      </c>
      <c r="I1835">
        <v>39.6</v>
      </c>
      <c r="J1835">
        <v>10</v>
      </c>
      <c r="N1835">
        <v>0</v>
      </c>
      <c r="O1835">
        <v>4</v>
      </c>
      <c r="P1835">
        <v>2</v>
      </c>
      <c r="Q1835">
        <v>55.6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3</v>
      </c>
      <c r="AB1835">
        <v>0</v>
      </c>
      <c r="AD1835">
        <v>58.6</v>
      </c>
    </row>
    <row r="1836" spans="1:30" x14ac:dyDescent="0.3">
      <c r="A1836" s="4">
        <v>1854</v>
      </c>
      <c r="B1836" s="5">
        <v>1829</v>
      </c>
      <c r="C1836">
        <v>908</v>
      </c>
      <c r="D1836" t="s">
        <v>4065</v>
      </c>
      <c r="E1836" t="s">
        <v>3523</v>
      </c>
      <c r="F1836" t="s">
        <v>3130</v>
      </c>
      <c r="G1836" t="s">
        <v>4066</v>
      </c>
      <c r="H1836" t="str">
        <f>"201511022549"</f>
        <v>201511022549</v>
      </c>
      <c r="I1836">
        <v>24.52</v>
      </c>
      <c r="J1836">
        <v>10</v>
      </c>
      <c r="M1836">
        <v>4</v>
      </c>
      <c r="N1836">
        <v>4</v>
      </c>
      <c r="O1836">
        <v>0</v>
      </c>
      <c r="P1836">
        <v>2</v>
      </c>
      <c r="Q1836">
        <v>40.520000000000003</v>
      </c>
      <c r="R1836">
        <v>15</v>
      </c>
      <c r="S1836">
        <v>15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15</v>
      </c>
      <c r="AA1836">
        <v>3</v>
      </c>
      <c r="AB1836">
        <v>0</v>
      </c>
      <c r="AD1836">
        <v>58.52</v>
      </c>
    </row>
    <row r="1837" spans="1:30" x14ac:dyDescent="0.3">
      <c r="A1837" s="4">
        <v>1855</v>
      </c>
      <c r="B1837" s="5">
        <v>1830</v>
      </c>
      <c r="C1837">
        <v>2437</v>
      </c>
      <c r="D1837" t="s">
        <v>4067</v>
      </c>
      <c r="E1837" t="s">
        <v>135</v>
      </c>
      <c r="F1837" t="s">
        <v>972</v>
      </c>
      <c r="G1837" t="s">
        <v>4068</v>
      </c>
      <c r="H1837" t="str">
        <f>"00534191"</f>
        <v>00534191</v>
      </c>
      <c r="I1837">
        <v>31.48</v>
      </c>
      <c r="J1837">
        <v>10</v>
      </c>
      <c r="M1837">
        <v>4</v>
      </c>
      <c r="N1837">
        <v>4</v>
      </c>
      <c r="O1837">
        <v>4</v>
      </c>
      <c r="P1837">
        <v>0</v>
      </c>
      <c r="Q1837">
        <v>49.48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9</v>
      </c>
      <c r="AB1837">
        <v>0</v>
      </c>
      <c r="AD1837">
        <v>58.48</v>
      </c>
    </row>
    <row r="1838" spans="1:30" x14ac:dyDescent="0.3">
      <c r="A1838" s="4">
        <v>1856</v>
      </c>
      <c r="B1838" s="5">
        <v>1831</v>
      </c>
      <c r="C1838">
        <v>1751</v>
      </c>
      <c r="D1838" t="s">
        <v>1703</v>
      </c>
      <c r="E1838" t="s">
        <v>54</v>
      </c>
      <c r="F1838" t="s">
        <v>230</v>
      </c>
      <c r="G1838" t="s">
        <v>4069</v>
      </c>
      <c r="H1838" t="str">
        <f>"00498354"</f>
        <v>00498354</v>
      </c>
      <c r="I1838">
        <v>35.479999999999997</v>
      </c>
      <c r="J1838">
        <v>0</v>
      </c>
      <c r="K1838">
        <v>8</v>
      </c>
      <c r="N1838">
        <v>8</v>
      </c>
      <c r="O1838">
        <v>4</v>
      </c>
      <c r="P1838">
        <v>0</v>
      </c>
      <c r="Q1838">
        <v>47.48</v>
      </c>
      <c r="R1838">
        <v>5</v>
      </c>
      <c r="S1838">
        <v>5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5</v>
      </c>
      <c r="AA1838">
        <v>6</v>
      </c>
      <c r="AB1838">
        <v>0</v>
      </c>
      <c r="AD1838">
        <v>58.48</v>
      </c>
    </row>
    <row r="1839" spans="1:30" x14ac:dyDescent="0.3">
      <c r="A1839" s="4">
        <v>1857</v>
      </c>
      <c r="B1839" s="5">
        <v>1832</v>
      </c>
      <c r="C1839">
        <v>3643</v>
      </c>
      <c r="D1839" t="s">
        <v>4070</v>
      </c>
      <c r="E1839" t="s">
        <v>88</v>
      </c>
      <c r="F1839" t="s">
        <v>117</v>
      </c>
      <c r="G1839" t="s">
        <v>4071</v>
      </c>
      <c r="H1839" t="str">
        <f>"00511802"</f>
        <v>00511802</v>
      </c>
      <c r="I1839">
        <v>18.48</v>
      </c>
      <c r="J1839">
        <v>0</v>
      </c>
      <c r="K1839">
        <v>8</v>
      </c>
      <c r="N1839">
        <v>8</v>
      </c>
      <c r="O1839">
        <v>4</v>
      </c>
      <c r="P1839">
        <v>0</v>
      </c>
      <c r="Q1839">
        <v>30.48</v>
      </c>
      <c r="R1839">
        <v>28</v>
      </c>
      <c r="S1839">
        <v>28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28</v>
      </c>
      <c r="AA1839">
        <v>0</v>
      </c>
      <c r="AB1839">
        <v>0</v>
      </c>
      <c r="AD1839">
        <v>58.48</v>
      </c>
    </row>
    <row r="1840" spans="1:30" x14ac:dyDescent="0.3">
      <c r="A1840" s="4">
        <v>1858</v>
      </c>
      <c r="B1840" s="5">
        <v>1833</v>
      </c>
      <c r="C1840">
        <v>4429</v>
      </c>
      <c r="D1840" t="s">
        <v>4072</v>
      </c>
      <c r="E1840" t="s">
        <v>744</v>
      </c>
      <c r="F1840" t="s">
        <v>17</v>
      </c>
      <c r="G1840" t="s">
        <v>4073</v>
      </c>
      <c r="H1840" t="str">
        <f>"201102000469"</f>
        <v>201102000469</v>
      </c>
      <c r="I1840">
        <v>35.44</v>
      </c>
      <c r="J1840">
        <v>10</v>
      </c>
      <c r="M1840">
        <v>4</v>
      </c>
      <c r="N1840">
        <v>4</v>
      </c>
      <c r="O1840">
        <v>4</v>
      </c>
      <c r="P1840">
        <v>2</v>
      </c>
      <c r="Q1840">
        <v>55.44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3</v>
      </c>
      <c r="AB1840">
        <v>0</v>
      </c>
      <c r="AD1840">
        <v>58.44</v>
      </c>
    </row>
    <row r="1841" spans="1:30" x14ac:dyDescent="0.3">
      <c r="A1841" s="4">
        <v>1859</v>
      </c>
      <c r="B1841" s="5">
        <v>1834</v>
      </c>
      <c r="C1841">
        <v>3721</v>
      </c>
      <c r="D1841" t="s">
        <v>4074</v>
      </c>
      <c r="E1841" t="s">
        <v>166</v>
      </c>
      <c r="F1841" t="s">
        <v>136</v>
      </c>
      <c r="G1841" t="s">
        <v>4075</v>
      </c>
      <c r="H1841" t="str">
        <f>"00529966"</f>
        <v>00529966</v>
      </c>
      <c r="I1841">
        <v>50.4</v>
      </c>
      <c r="J1841">
        <v>0</v>
      </c>
      <c r="M1841">
        <v>4</v>
      </c>
      <c r="N1841">
        <v>4</v>
      </c>
      <c r="O1841">
        <v>4</v>
      </c>
      <c r="P1841">
        <v>0</v>
      </c>
      <c r="Q1841">
        <v>58.4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D1841">
        <v>58.4</v>
      </c>
    </row>
    <row r="1842" spans="1:30" x14ac:dyDescent="0.3">
      <c r="A1842" s="4">
        <v>1860</v>
      </c>
      <c r="B1842" s="5">
        <v>1835</v>
      </c>
      <c r="C1842">
        <v>218</v>
      </c>
      <c r="D1842" t="s">
        <v>4076</v>
      </c>
      <c r="E1842" t="s">
        <v>22</v>
      </c>
      <c r="F1842" t="s">
        <v>17</v>
      </c>
      <c r="G1842" t="s">
        <v>4077</v>
      </c>
      <c r="H1842" t="str">
        <f>"00557503"</f>
        <v>00557503</v>
      </c>
      <c r="I1842">
        <v>50.4</v>
      </c>
      <c r="J1842">
        <v>0</v>
      </c>
      <c r="M1842">
        <v>4</v>
      </c>
      <c r="N1842">
        <v>4</v>
      </c>
      <c r="O1842">
        <v>4</v>
      </c>
      <c r="P1842">
        <v>0</v>
      </c>
      <c r="Q1842">
        <v>58.4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D1842">
        <v>58.4</v>
      </c>
    </row>
    <row r="1843" spans="1:30" x14ac:dyDescent="0.3">
      <c r="A1843" s="4">
        <v>1861</v>
      </c>
      <c r="B1843" s="5">
        <v>1836</v>
      </c>
      <c r="C1843">
        <v>2872</v>
      </c>
      <c r="D1843" t="s">
        <v>4078</v>
      </c>
      <c r="E1843" t="s">
        <v>1484</v>
      </c>
      <c r="F1843" t="s">
        <v>158</v>
      </c>
      <c r="G1843" t="s">
        <v>4079</v>
      </c>
      <c r="H1843" t="str">
        <f>"00860792"</f>
        <v>00860792</v>
      </c>
      <c r="I1843">
        <v>50.4</v>
      </c>
      <c r="J1843">
        <v>0</v>
      </c>
      <c r="M1843">
        <v>4</v>
      </c>
      <c r="N1843">
        <v>4</v>
      </c>
      <c r="O1843">
        <v>4</v>
      </c>
      <c r="P1843">
        <v>0</v>
      </c>
      <c r="Q1843">
        <v>58.4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D1843">
        <v>58.4</v>
      </c>
    </row>
    <row r="1844" spans="1:30" x14ac:dyDescent="0.3">
      <c r="A1844" s="4">
        <v>1862</v>
      </c>
      <c r="B1844" s="5">
        <v>1837</v>
      </c>
      <c r="C1844">
        <v>4927</v>
      </c>
      <c r="D1844" t="s">
        <v>4080</v>
      </c>
      <c r="E1844" t="s">
        <v>4081</v>
      </c>
      <c r="F1844" t="s">
        <v>1450</v>
      </c>
      <c r="G1844" t="s">
        <v>4082</v>
      </c>
      <c r="H1844" t="str">
        <f>"00634684"</f>
        <v>00634684</v>
      </c>
      <c r="I1844">
        <v>50.4</v>
      </c>
      <c r="J1844">
        <v>0</v>
      </c>
      <c r="M1844">
        <v>4</v>
      </c>
      <c r="N1844">
        <v>4</v>
      </c>
      <c r="O1844">
        <v>4</v>
      </c>
      <c r="P1844">
        <v>0</v>
      </c>
      <c r="Q1844">
        <v>58.4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D1844">
        <v>58.4</v>
      </c>
    </row>
    <row r="1845" spans="1:30" x14ac:dyDescent="0.3">
      <c r="A1845" s="4">
        <v>1863</v>
      </c>
      <c r="B1845" s="5">
        <v>1838</v>
      </c>
      <c r="C1845">
        <v>1837</v>
      </c>
      <c r="D1845" t="s">
        <v>4083</v>
      </c>
      <c r="E1845" t="s">
        <v>54</v>
      </c>
      <c r="F1845" t="s">
        <v>17</v>
      </c>
      <c r="G1845" t="s">
        <v>4084</v>
      </c>
      <c r="H1845" t="str">
        <f>"00157981"</f>
        <v>00157981</v>
      </c>
      <c r="I1845">
        <v>50.4</v>
      </c>
      <c r="J1845">
        <v>0</v>
      </c>
      <c r="M1845">
        <v>4</v>
      </c>
      <c r="N1845">
        <v>4</v>
      </c>
      <c r="O1845">
        <v>4</v>
      </c>
      <c r="P1845">
        <v>0</v>
      </c>
      <c r="Q1845">
        <v>58.4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D1845">
        <v>58.4</v>
      </c>
    </row>
    <row r="1846" spans="1:30" x14ac:dyDescent="0.3">
      <c r="A1846" s="4">
        <v>1864</v>
      </c>
      <c r="B1846" s="5">
        <v>1839</v>
      </c>
      <c r="C1846">
        <v>2528</v>
      </c>
      <c r="D1846" t="s">
        <v>4085</v>
      </c>
      <c r="E1846" t="s">
        <v>406</v>
      </c>
      <c r="F1846" t="s">
        <v>62</v>
      </c>
      <c r="G1846" t="s">
        <v>4086</v>
      </c>
      <c r="H1846" t="str">
        <f>"00528007"</f>
        <v>00528007</v>
      </c>
      <c r="I1846">
        <v>50.4</v>
      </c>
      <c r="J1846">
        <v>0</v>
      </c>
      <c r="M1846">
        <v>4</v>
      </c>
      <c r="N1846">
        <v>4</v>
      </c>
      <c r="O1846">
        <v>4</v>
      </c>
      <c r="P1846">
        <v>0</v>
      </c>
      <c r="Q1846">
        <v>58.4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D1846">
        <v>58.4</v>
      </c>
    </row>
    <row r="1847" spans="1:30" x14ac:dyDescent="0.3">
      <c r="A1847" s="4">
        <v>1865</v>
      </c>
      <c r="B1847" s="5">
        <v>1840</v>
      </c>
      <c r="C1847">
        <v>4128</v>
      </c>
      <c r="D1847" t="s">
        <v>4087</v>
      </c>
      <c r="E1847" t="s">
        <v>166</v>
      </c>
      <c r="F1847" t="s">
        <v>4088</v>
      </c>
      <c r="G1847" t="s">
        <v>4089</v>
      </c>
      <c r="H1847" t="str">
        <f>"00854821"</f>
        <v>00854821</v>
      </c>
      <c r="I1847">
        <v>50.4</v>
      </c>
      <c r="J1847">
        <v>0</v>
      </c>
      <c r="M1847">
        <v>4</v>
      </c>
      <c r="N1847">
        <v>4</v>
      </c>
      <c r="O1847">
        <v>4</v>
      </c>
      <c r="P1847">
        <v>0</v>
      </c>
      <c r="Q1847">
        <v>58.4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D1847">
        <v>58.4</v>
      </c>
    </row>
    <row r="1848" spans="1:30" x14ac:dyDescent="0.3">
      <c r="A1848" s="4">
        <v>1866</v>
      </c>
      <c r="B1848" s="5">
        <v>1841</v>
      </c>
      <c r="C1848">
        <v>3153</v>
      </c>
      <c r="D1848" t="s">
        <v>4090</v>
      </c>
      <c r="E1848" t="s">
        <v>170</v>
      </c>
      <c r="F1848" t="s">
        <v>243</v>
      </c>
      <c r="G1848" t="s">
        <v>4091</v>
      </c>
      <c r="H1848" t="str">
        <f>"00858972"</f>
        <v>00858972</v>
      </c>
      <c r="I1848">
        <v>50.4</v>
      </c>
      <c r="J1848">
        <v>0</v>
      </c>
      <c r="M1848">
        <v>4</v>
      </c>
      <c r="N1848">
        <v>4</v>
      </c>
      <c r="O1848">
        <v>4</v>
      </c>
      <c r="P1848">
        <v>0</v>
      </c>
      <c r="Q1848">
        <v>58.4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D1848">
        <v>58.4</v>
      </c>
    </row>
    <row r="1849" spans="1:30" x14ac:dyDescent="0.3">
      <c r="A1849" s="4">
        <v>1867</v>
      </c>
      <c r="B1849" s="5">
        <v>1842</v>
      </c>
      <c r="C1849">
        <v>4506</v>
      </c>
      <c r="D1849" t="s">
        <v>4092</v>
      </c>
      <c r="E1849" t="s">
        <v>1684</v>
      </c>
      <c r="F1849" t="s">
        <v>570</v>
      </c>
      <c r="G1849" t="s">
        <v>4093</v>
      </c>
      <c r="H1849" t="str">
        <f>"00862248"</f>
        <v>00862248</v>
      </c>
      <c r="I1849">
        <v>50.4</v>
      </c>
      <c r="J1849">
        <v>0</v>
      </c>
      <c r="M1849">
        <v>4</v>
      </c>
      <c r="N1849">
        <v>4</v>
      </c>
      <c r="O1849">
        <v>4</v>
      </c>
      <c r="P1849">
        <v>0</v>
      </c>
      <c r="Q1849">
        <v>58.4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D1849">
        <v>58.4</v>
      </c>
    </row>
    <row r="1850" spans="1:30" x14ac:dyDescent="0.3">
      <c r="A1850" s="4">
        <v>1868</v>
      </c>
      <c r="B1850" s="5">
        <v>1843</v>
      </c>
      <c r="C1850">
        <v>2811</v>
      </c>
      <c r="D1850" t="s">
        <v>4094</v>
      </c>
      <c r="E1850" t="s">
        <v>61</v>
      </c>
      <c r="F1850" t="s">
        <v>227</v>
      </c>
      <c r="G1850" t="s">
        <v>4095</v>
      </c>
      <c r="H1850" t="str">
        <f>"00513167"</f>
        <v>00513167</v>
      </c>
      <c r="I1850">
        <v>38.4</v>
      </c>
      <c r="J1850">
        <v>10</v>
      </c>
      <c r="M1850">
        <v>4</v>
      </c>
      <c r="N1850">
        <v>4</v>
      </c>
      <c r="O1850">
        <v>4</v>
      </c>
      <c r="P1850">
        <v>2</v>
      </c>
      <c r="Q1850">
        <v>58.4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D1850">
        <v>58.4</v>
      </c>
    </row>
    <row r="1851" spans="1:30" x14ac:dyDescent="0.3">
      <c r="A1851" s="4">
        <v>1869</v>
      </c>
      <c r="B1851" s="5">
        <v>1844</v>
      </c>
      <c r="C1851">
        <v>3113</v>
      </c>
      <c r="D1851" t="s">
        <v>1613</v>
      </c>
      <c r="E1851" t="s">
        <v>335</v>
      </c>
      <c r="F1851" t="s">
        <v>179</v>
      </c>
      <c r="G1851" t="s">
        <v>4096</v>
      </c>
      <c r="H1851" t="str">
        <f>"00533726"</f>
        <v>00533726</v>
      </c>
      <c r="I1851">
        <v>32.4</v>
      </c>
      <c r="J1851">
        <v>0</v>
      </c>
      <c r="K1851">
        <v>8</v>
      </c>
      <c r="N1851">
        <v>8</v>
      </c>
      <c r="O1851">
        <v>4</v>
      </c>
      <c r="P1851">
        <v>0</v>
      </c>
      <c r="Q1851">
        <v>44.4</v>
      </c>
      <c r="R1851">
        <v>14</v>
      </c>
      <c r="S1851">
        <v>14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14</v>
      </c>
      <c r="AA1851">
        <v>0</v>
      </c>
      <c r="AB1851">
        <v>0</v>
      </c>
      <c r="AD1851">
        <v>58.4</v>
      </c>
    </row>
    <row r="1852" spans="1:30" x14ac:dyDescent="0.3">
      <c r="A1852" s="4">
        <v>1870</v>
      </c>
      <c r="B1852" s="5">
        <v>1845</v>
      </c>
      <c r="C1852">
        <v>1297</v>
      </c>
      <c r="D1852" t="s">
        <v>4097</v>
      </c>
      <c r="E1852" t="s">
        <v>2157</v>
      </c>
      <c r="F1852" t="s">
        <v>4098</v>
      </c>
      <c r="G1852" t="s">
        <v>4099</v>
      </c>
      <c r="H1852" t="str">
        <f>"00507731"</f>
        <v>00507731</v>
      </c>
      <c r="I1852">
        <v>26.4</v>
      </c>
      <c r="J1852">
        <v>10</v>
      </c>
      <c r="N1852">
        <v>0</v>
      </c>
      <c r="O1852">
        <v>4</v>
      </c>
      <c r="P1852">
        <v>2</v>
      </c>
      <c r="Q1852">
        <v>42.4</v>
      </c>
      <c r="R1852">
        <v>16</v>
      </c>
      <c r="S1852">
        <v>16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16</v>
      </c>
      <c r="AA1852">
        <v>0</v>
      </c>
      <c r="AB1852">
        <v>0</v>
      </c>
      <c r="AD1852">
        <v>58.4</v>
      </c>
    </row>
    <row r="1853" spans="1:30" x14ac:dyDescent="0.3">
      <c r="A1853" s="4">
        <v>1871</v>
      </c>
      <c r="B1853" s="5">
        <v>1846</v>
      </c>
      <c r="C1853">
        <v>2241</v>
      </c>
      <c r="D1853" t="s">
        <v>994</v>
      </c>
      <c r="E1853" t="s">
        <v>4100</v>
      </c>
      <c r="F1853" t="s">
        <v>230</v>
      </c>
      <c r="G1853" t="s">
        <v>4101</v>
      </c>
      <c r="H1853" t="str">
        <f>"00031828"</f>
        <v>00031828</v>
      </c>
      <c r="I1853">
        <v>22.4</v>
      </c>
      <c r="J1853">
        <v>10</v>
      </c>
      <c r="M1853">
        <v>4</v>
      </c>
      <c r="N1853">
        <v>4</v>
      </c>
      <c r="O1853">
        <v>4</v>
      </c>
      <c r="P1853">
        <v>0</v>
      </c>
      <c r="Q1853">
        <v>40.4</v>
      </c>
      <c r="R1853">
        <v>18</v>
      </c>
      <c r="S1853">
        <v>18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18</v>
      </c>
      <c r="AA1853">
        <v>0</v>
      </c>
      <c r="AB1853">
        <v>0</v>
      </c>
      <c r="AD1853">
        <v>58.4</v>
      </c>
    </row>
    <row r="1854" spans="1:30" x14ac:dyDescent="0.3">
      <c r="A1854" s="4">
        <v>1872</v>
      </c>
      <c r="B1854" s="5">
        <v>1847</v>
      </c>
      <c r="C1854">
        <v>2365</v>
      </c>
      <c r="D1854" t="s">
        <v>4102</v>
      </c>
      <c r="E1854" t="s">
        <v>26</v>
      </c>
      <c r="F1854" t="s">
        <v>2561</v>
      </c>
      <c r="G1854" t="s">
        <v>4103</v>
      </c>
      <c r="H1854" t="str">
        <f>"00495348"</f>
        <v>00495348</v>
      </c>
      <c r="I1854">
        <v>14.4</v>
      </c>
      <c r="J1854">
        <v>10</v>
      </c>
      <c r="K1854">
        <v>8</v>
      </c>
      <c r="N1854">
        <v>8</v>
      </c>
      <c r="O1854">
        <v>4</v>
      </c>
      <c r="P1854">
        <v>2</v>
      </c>
      <c r="Q1854">
        <v>38.4</v>
      </c>
      <c r="R1854">
        <v>20</v>
      </c>
      <c r="S1854">
        <v>20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20</v>
      </c>
      <c r="AA1854">
        <v>0</v>
      </c>
      <c r="AB1854">
        <v>0</v>
      </c>
      <c r="AD1854">
        <v>58.4</v>
      </c>
    </row>
    <row r="1855" spans="1:30" x14ac:dyDescent="0.3">
      <c r="A1855" s="4">
        <v>1873</v>
      </c>
      <c r="B1855" s="5">
        <v>1848</v>
      </c>
      <c r="C1855">
        <v>182</v>
      </c>
      <c r="D1855" t="s">
        <v>4104</v>
      </c>
      <c r="E1855" t="s">
        <v>744</v>
      </c>
      <c r="F1855" t="s">
        <v>972</v>
      </c>
      <c r="G1855" t="s">
        <v>4105</v>
      </c>
      <c r="H1855" t="str">
        <f>"00508675"</f>
        <v>00508675</v>
      </c>
      <c r="I1855">
        <v>36.4</v>
      </c>
      <c r="J1855">
        <v>0</v>
      </c>
      <c r="N1855">
        <v>0</v>
      </c>
      <c r="O1855">
        <v>0</v>
      </c>
      <c r="P1855">
        <v>0</v>
      </c>
      <c r="Q1855">
        <v>36.4</v>
      </c>
      <c r="R1855">
        <v>22</v>
      </c>
      <c r="S1855">
        <v>22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22</v>
      </c>
      <c r="AA1855">
        <v>0</v>
      </c>
      <c r="AB1855">
        <v>0</v>
      </c>
      <c r="AD1855">
        <v>58.4</v>
      </c>
    </row>
    <row r="1856" spans="1:30" x14ac:dyDescent="0.3">
      <c r="A1856" s="4">
        <v>1874</v>
      </c>
      <c r="B1856" s="5">
        <v>1849</v>
      </c>
      <c r="C1856">
        <v>4497</v>
      </c>
      <c r="D1856" t="s">
        <v>4106</v>
      </c>
      <c r="E1856" t="s">
        <v>744</v>
      </c>
      <c r="F1856" t="s">
        <v>117</v>
      </c>
      <c r="G1856" t="s">
        <v>4107</v>
      </c>
      <c r="H1856" t="str">
        <f>"00486261"</f>
        <v>00486261</v>
      </c>
      <c r="I1856">
        <v>14.4</v>
      </c>
      <c r="J1856">
        <v>0</v>
      </c>
      <c r="K1856">
        <v>8</v>
      </c>
      <c r="N1856">
        <v>8</v>
      </c>
      <c r="O1856">
        <v>4</v>
      </c>
      <c r="P1856">
        <v>2</v>
      </c>
      <c r="Q1856">
        <v>28.4</v>
      </c>
      <c r="R1856">
        <v>30</v>
      </c>
      <c r="S1856">
        <v>30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30</v>
      </c>
      <c r="AA1856">
        <v>0</v>
      </c>
      <c r="AB1856">
        <v>0</v>
      </c>
      <c r="AD1856">
        <v>58.4</v>
      </c>
    </row>
    <row r="1857" spans="1:30" x14ac:dyDescent="0.3">
      <c r="A1857" s="4">
        <v>1875</v>
      </c>
      <c r="B1857" s="5">
        <v>1850</v>
      </c>
      <c r="C1857">
        <v>3205</v>
      </c>
      <c r="D1857" t="s">
        <v>4108</v>
      </c>
      <c r="E1857" t="s">
        <v>170</v>
      </c>
      <c r="F1857" t="s">
        <v>167</v>
      </c>
      <c r="G1857" t="s">
        <v>4109</v>
      </c>
      <c r="H1857" t="str">
        <f>"00042422"</f>
        <v>00042422</v>
      </c>
      <c r="I1857">
        <v>33.32</v>
      </c>
      <c r="J1857">
        <v>0</v>
      </c>
      <c r="M1857">
        <v>4</v>
      </c>
      <c r="N1857">
        <v>4</v>
      </c>
      <c r="O1857">
        <v>4</v>
      </c>
      <c r="P1857">
        <v>0</v>
      </c>
      <c r="Q1857">
        <v>41.32</v>
      </c>
      <c r="R1857">
        <v>8</v>
      </c>
      <c r="S1857">
        <v>8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8</v>
      </c>
      <c r="AA1857">
        <v>9</v>
      </c>
      <c r="AB1857">
        <v>0</v>
      </c>
      <c r="AD1857">
        <v>58.32</v>
      </c>
    </row>
    <row r="1858" spans="1:30" x14ac:dyDescent="0.3">
      <c r="A1858" s="4">
        <v>1876</v>
      </c>
      <c r="B1858" s="5">
        <v>1851</v>
      </c>
      <c r="C1858">
        <v>38</v>
      </c>
      <c r="D1858" t="s">
        <v>4110</v>
      </c>
      <c r="E1858" t="s">
        <v>97</v>
      </c>
      <c r="F1858" t="s">
        <v>68</v>
      </c>
      <c r="G1858" t="s">
        <v>4111</v>
      </c>
      <c r="H1858" t="str">
        <f>"00481412"</f>
        <v>00481412</v>
      </c>
      <c r="I1858">
        <v>11.28</v>
      </c>
      <c r="J1858">
        <v>0</v>
      </c>
      <c r="N1858">
        <v>0</v>
      </c>
      <c r="O1858">
        <v>0</v>
      </c>
      <c r="P1858">
        <v>2</v>
      </c>
      <c r="Q1858">
        <v>13.28</v>
      </c>
      <c r="R1858">
        <v>42</v>
      </c>
      <c r="S1858">
        <v>42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42</v>
      </c>
      <c r="AA1858">
        <v>3</v>
      </c>
      <c r="AB1858">
        <v>0</v>
      </c>
      <c r="AD1858">
        <v>58.28</v>
      </c>
    </row>
    <row r="1859" spans="1:30" x14ac:dyDescent="0.3">
      <c r="A1859" s="4">
        <v>1877</v>
      </c>
      <c r="B1859" s="5">
        <v>1852</v>
      </c>
      <c r="C1859">
        <v>3190</v>
      </c>
      <c r="D1859" t="s">
        <v>4112</v>
      </c>
      <c r="E1859" t="s">
        <v>41</v>
      </c>
      <c r="F1859" t="s">
        <v>4113</v>
      </c>
      <c r="G1859" t="s">
        <v>4114</v>
      </c>
      <c r="H1859" t="str">
        <f>"00562902"</f>
        <v>00562902</v>
      </c>
      <c r="I1859">
        <v>43.2</v>
      </c>
      <c r="J1859">
        <v>0</v>
      </c>
      <c r="N1859">
        <v>0</v>
      </c>
      <c r="O1859">
        <v>4</v>
      </c>
      <c r="P1859">
        <v>2</v>
      </c>
      <c r="Q1859">
        <v>49.2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9</v>
      </c>
      <c r="AB1859">
        <v>0</v>
      </c>
      <c r="AD1859">
        <v>58.2</v>
      </c>
    </row>
    <row r="1860" spans="1:30" x14ac:dyDescent="0.3">
      <c r="A1860" s="4">
        <v>1878</v>
      </c>
      <c r="B1860" s="5">
        <v>1853</v>
      </c>
      <c r="C1860">
        <v>320</v>
      </c>
      <c r="D1860" t="s">
        <v>2052</v>
      </c>
      <c r="E1860" t="s">
        <v>816</v>
      </c>
      <c r="F1860" t="s">
        <v>38</v>
      </c>
      <c r="G1860" t="s">
        <v>4115</v>
      </c>
      <c r="H1860" t="str">
        <f>"00403807"</f>
        <v>00403807</v>
      </c>
      <c r="I1860">
        <v>39.200000000000003</v>
      </c>
      <c r="J1860">
        <v>10</v>
      </c>
      <c r="N1860">
        <v>0</v>
      </c>
      <c r="O1860">
        <v>0</v>
      </c>
      <c r="P1860">
        <v>0</v>
      </c>
      <c r="Q1860">
        <v>49.2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9</v>
      </c>
      <c r="AB1860">
        <v>0</v>
      </c>
      <c r="AD1860">
        <v>58.2</v>
      </c>
    </row>
    <row r="1861" spans="1:30" x14ac:dyDescent="0.3">
      <c r="A1861" s="4">
        <v>1879</v>
      </c>
      <c r="B1861" s="5">
        <v>1854</v>
      </c>
      <c r="C1861">
        <v>3514</v>
      </c>
      <c r="D1861" t="s">
        <v>784</v>
      </c>
      <c r="E1861" t="s">
        <v>100</v>
      </c>
      <c r="F1861" t="s">
        <v>38</v>
      </c>
      <c r="G1861" t="s">
        <v>4116</v>
      </c>
      <c r="H1861" t="str">
        <f>"00158354"</f>
        <v>00158354</v>
      </c>
      <c r="I1861">
        <v>43.2</v>
      </c>
      <c r="J1861">
        <v>0</v>
      </c>
      <c r="K1861">
        <v>8</v>
      </c>
      <c r="N1861">
        <v>8</v>
      </c>
      <c r="O1861">
        <v>4</v>
      </c>
      <c r="P1861">
        <v>0</v>
      </c>
      <c r="Q1861">
        <v>55.2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3</v>
      </c>
      <c r="AB1861">
        <v>0</v>
      </c>
      <c r="AD1861">
        <v>58.2</v>
      </c>
    </row>
    <row r="1862" spans="1:30" x14ac:dyDescent="0.3">
      <c r="A1862" s="4">
        <v>1880</v>
      </c>
      <c r="B1862" s="5">
        <v>1855</v>
      </c>
      <c r="C1862">
        <v>4308</v>
      </c>
      <c r="D1862" t="s">
        <v>1425</v>
      </c>
      <c r="E1862" t="s">
        <v>22</v>
      </c>
      <c r="F1862" t="s">
        <v>17</v>
      </c>
      <c r="G1862" t="s">
        <v>4117</v>
      </c>
      <c r="H1862" t="str">
        <f>"00859370"</f>
        <v>00859370</v>
      </c>
      <c r="I1862">
        <v>39.200000000000003</v>
      </c>
      <c r="J1862">
        <v>10</v>
      </c>
      <c r="N1862">
        <v>0</v>
      </c>
      <c r="O1862">
        <v>4</v>
      </c>
      <c r="P1862">
        <v>2</v>
      </c>
      <c r="Q1862">
        <v>55.2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3</v>
      </c>
      <c r="AB1862">
        <v>0</v>
      </c>
      <c r="AD1862">
        <v>58.2</v>
      </c>
    </row>
    <row r="1863" spans="1:30" x14ac:dyDescent="0.3">
      <c r="A1863" s="4">
        <v>1881</v>
      </c>
      <c r="B1863" s="5">
        <v>1856</v>
      </c>
      <c r="C1863">
        <v>2768</v>
      </c>
      <c r="D1863" t="s">
        <v>4118</v>
      </c>
      <c r="E1863" t="s">
        <v>208</v>
      </c>
      <c r="F1863" t="s">
        <v>20</v>
      </c>
      <c r="G1863" t="s">
        <v>4119</v>
      </c>
      <c r="H1863" t="str">
        <f>"00517374"</f>
        <v>00517374</v>
      </c>
      <c r="I1863">
        <v>43.2</v>
      </c>
      <c r="J1863">
        <v>0</v>
      </c>
      <c r="N1863">
        <v>0</v>
      </c>
      <c r="O1863">
        <v>4</v>
      </c>
      <c r="P1863">
        <v>0</v>
      </c>
      <c r="Q1863">
        <v>47.2</v>
      </c>
      <c r="R1863">
        <v>8</v>
      </c>
      <c r="S1863">
        <v>8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8</v>
      </c>
      <c r="AA1863">
        <v>3</v>
      </c>
      <c r="AB1863">
        <v>0</v>
      </c>
      <c r="AD1863">
        <v>58.2</v>
      </c>
    </row>
    <row r="1864" spans="1:30" x14ac:dyDescent="0.3">
      <c r="A1864" s="4">
        <v>1882</v>
      </c>
      <c r="B1864" s="5">
        <v>1857</v>
      </c>
      <c r="C1864">
        <v>3327</v>
      </c>
      <c r="D1864" t="s">
        <v>1636</v>
      </c>
      <c r="E1864" t="s">
        <v>139</v>
      </c>
      <c r="F1864" t="s">
        <v>124</v>
      </c>
      <c r="G1864" t="s">
        <v>4120</v>
      </c>
      <c r="H1864" t="str">
        <f>"00862403"</f>
        <v>00862403</v>
      </c>
      <c r="I1864">
        <v>40</v>
      </c>
      <c r="J1864">
        <v>10</v>
      </c>
      <c r="N1864">
        <v>0</v>
      </c>
      <c r="O1864">
        <v>0</v>
      </c>
      <c r="P1864">
        <v>2</v>
      </c>
      <c r="Q1864">
        <v>52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6</v>
      </c>
      <c r="AB1864">
        <v>0</v>
      </c>
      <c r="AD1864">
        <v>58</v>
      </c>
    </row>
    <row r="1865" spans="1:30" x14ac:dyDescent="0.3">
      <c r="A1865" s="4">
        <v>1883</v>
      </c>
      <c r="B1865" s="5">
        <v>1858</v>
      </c>
      <c r="C1865">
        <v>4486</v>
      </c>
      <c r="D1865" t="s">
        <v>1071</v>
      </c>
      <c r="E1865" t="s">
        <v>147</v>
      </c>
      <c r="F1865" t="s">
        <v>17</v>
      </c>
      <c r="G1865" t="s">
        <v>32034</v>
      </c>
      <c r="H1865" t="str">
        <f>"00631833"</f>
        <v>00631833</v>
      </c>
      <c r="I1865">
        <v>40</v>
      </c>
      <c r="J1865">
        <v>0</v>
      </c>
      <c r="K1865">
        <v>8</v>
      </c>
      <c r="N1865">
        <v>8</v>
      </c>
      <c r="O1865">
        <v>4</v>
      </c>
      <c r="P1865">
        <v>0</v>
      </c>
      <c r="Q1865">
        <v>52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6</v>
      </c>
      <c r="AB1865">
        <v>0</v>
      </c>
      <c r="AD1865">
        <v>58</v>
      </c>
    </row>
    <row r="1866" spans="1:30" x14ac:dyDescent="0.3">
      <c r="A1866" s="4">
        <v>1884</v>
      </c>
      <c r="B1866" s="5">
        <v>1859</v>
      </c>
      <c r="C1866">
        <v>2769</v>
      </c>
      <c r="D1866" t="s">
        <v>4121</v>
      </c>
      <c r="E1866" t="s">
        <v>41</v>
      </c>
      <c r="F1866" t="s">
        <v>20</v>
      </c>
      <c r="G1866" t="s">
        <v>4122</v>
      </c>
      <c r="H1866" t="str">
        <f>"00861360"</f>
        <v>00861360</v>
      </c>
      <c r="I1866">
        <v>40</v>
      </c>
      <c r="J1866">
        <v>10</v>
      </c>
      <c r="N1866">
        <v>0</v>
      </c>
      <c r="O1866">
        <v>0</v>
      </c>
      <c r="P1866">
        <v>2</v>
      </c>
      <c r="Q1866">
        <v>52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6</v>
      </c>
      <c r="AB1866">
        <v>0</v>
      </c>
      <c r="AD1866">
        <v>58</v>
      </c>
    </row>
    <row r="1867" spans="1:30" x14ac:dyDescent="0.3">
      <c r="A1867" s="4">
        <v>1885</v>
      </c>
      <c r="B1867" s="5">
        <v>1860</v>
      </c>
      <c r="C1867">
        <v>2755</v>
      </c>
      <c r="D1867" t="s">
        <v>1173</v>
      </c>
      <c r="E1867" t="s">
        <v>403</v>
      </c>
      <c r="F1867" t="s">
        <v>158</v>
      </c>
      <c r="G1867" t="s">
        <v>4123</v>
      </c>
      <c r="H1867" t="str">
        <f>"00860617"</f>
        <v>00860617</v>
      </c>
      <c r="I1867">
        <v>38</v>
      </c>
      <c r="J1867">
        <v>10</v>
      </c>
      <c r="M1867">
        <v>4</v>
      </c>
      <c r="N1867">
        <v>4</v>
      </c>
      <c r="O1867">
        <v>0</v>
      </c>
      <c r="P1867">
        <v>0</v>
      </c>
      <c r="Q1867">
        <v>52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6</v>
      </c>
      <c r="AB1867">
        <v>0</v>
      </c>
      <c r="AD1867">
        <v>58</v>
      </c>
    </row>
    <row r="1868" spans="1:30" x14ac:dyDescent="0.3">
      <c r="A1868" s="4">
        <v>1886</v>
      </c>
      <c r="B1868" s="5">
        <v>1861</v>
      </c>
      <c r="C1868">
        <v>4544</v>
      </c>
      <c r="D1868" t="s">
        <v>4124</v>
      </c>
      <c r="E1868" t="s">
        <v>139</v>
      </c>
      <c r="F1868" t="s">
        <v>649</v>
      </c>
      <c r="G1868" t="s">
        <v>4125</v>
      </c>
      <c r="H1868" t="str">
        <f>"201410002431"</f>
        <v>201410002431</v>
      </c>
      <c r="I1868">
        <v>38</v>
      </c>
      <c r="J1868">
        <v>0</v>
      </c>
      <c r="K1868">
        <v>8</v>
      </c>
      <c r="L1868">
        <v>6</v>
      </c>
      <c r="N1868">
        <v>14</v>
      </c>
      <c r="O1868">
        <v>0</v>
      </c>
      <c r="P1868">
        <v>0</v>
      </c>
      <c r="Q1868">
        <v>52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6</v>
      </c>
      <c r="AB1868">
        <v>0</v>
      </c>
      <c r="AD1868">
        <v>58</v>
      </c>
    </row>
    <row r="1869" spans="1:30" x14ac:dyDescent="0.3">
      <c r="A1869" s="4">
        <v>1887</v>
      </c>
      <c r="B1869" s="5">
        <v>1862</v>
      </c>
      <c r="C1869">
        <v>3724</v>
      </c>
      <c r="D1869" t="s">
        <v>4126</v>
      </c>
      <c r="E1869" t="s">
        <v>54</v>
      </c>
      <c r="F1869" t="s">
        <v>20</v>
      </c>
      <c r="G1869" t="s">
        <v>4127</v>
      </c>
      <c r="H1869" t="str">
        <f>"00375507"</f>
        <v>00375507</v>
      </c>
      <c r="I1869">
        <v>38</v>
      </c>
      <c r="J1869">
        <v>10</v>
      </c>
      <c r="N1869">
        <v>0</v>
      </c>
      <c r="O1869">
        <v>4</v>
      </c>
      <c r="P1869">
        <v>0</v>
      </c>
      <c r="Q1869">
        <v>52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6</v>
      </c>
      <c r="AB1869">
        <v>0</v>
      </c>
      <c r="AD1869">
        <v>58</v>
      </c>
    </row>
    <row r="1870" spans="1:30" x14ac:dyDescent="0.3">
      <c r="A1870" s="4">
        <v>1888</v>
      </c>
      <c r="B1870" s="5">
        <v>1863</v>
      </c>
      <c r="C1870">
        <v>3005</v>
      </c>
      <c r="D1870" t="s">
        <v>4128</v>
      </c>
      <c r="E1870" t="s">
        <v>178</v>
      </c>
      <c r="F1870" t="s">
        <v>38</v>
      </c>
      <c r="G1870" t="s">
        <v>4129</v>
      </c>
      <c r="H1870" t="str">
        <f>"201406002774"</f>
        <v>201406002774</v>
      </c>
      <c r="I1870">
        <v>36</v>
      </c>
      <c r="J1870">
        <v>0</v>
      </c>
      <c r="K1870">
        <v>8</v>
      </c>
      <c r="N1870">
        <v>8</v>
      </c>
      <c r="O1870">
        <v>4</v>
      </c>
      <c r="P1870">
        <v>2</v>
      </c>
      <c r="Q1870">
        <v>50</v>
      </c>
      <c r="R1870">
        <v>2</v>
      </c>
      <c r="S1870">
        <v>2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2</v>
      </c>
      <c r="AA1870">
        <v>6</v>
      </c>
      <c r="AB1870">
        <v>0</v>
      </c>
      <c r="AD1870">
        <v>58</v>
      </c>
    </row>
    <row r="1871" spans="1:30" x14ac:dyDescent="0.3">
      <c r="A1871" s="4">
        <v>1889</v>
      </c>
      <c r="B1871" s="5">
        <v>1864</v>
      </c>
      <c r="C1871">
        <v>1298</v>
      </c>
      <c r="D1871" t="s">
        <v>2301</v>
      </c>
      <c r="E1871" t="s">
        <v>957</v>
      </c>
      <c r="F1871" t="s">
        <v>343</v>
      </c>
      <c r="G1871" t="s">
        <v>4130</v>
      </c>
      <c r="H1871" t="str">
        <f>"00504798"</f>
        <v>00504798</v>
      </c>
      <c r="I1871">
        <v>40</v>
      </c>
      <c r="J1871">
        <v>0</v>
      </c>
      <c r="K1871">
        <v>8</v>
      </c>
      <c r="M1871">
        <v>4</v>
      </c>
      <c r="N1871">
        <v>12</v>
      </c>
      <c r="O1871">
        <v>4</v>
      </c>
      <c r="P1871">
        <v>2</v>
      </c>
      <c r="Q1871">
        <v>58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D1871">
        <v>58</v>
      </c>
    </row>
    <row r="1872" spans="1:30" x14ac:dyDescent="0.3">
      <c r="A1872" s="4">
        <v>1890</v>
      </c>
      <c r="B1872" s="5">
        <v>1865</v>
      </c>
      <c r="C1872">
        <v>2222</v>
      </c>
      <c r="D1872" t="s">
        <v>4131</v>
      </c>
      <c r="E1872" t="s">
        <v>29</v>
      </c>
      <c r="F1872" t="s">
        <v>117</v>
      </c>
      <c r="G1872" t="s">
        <v>4132</v>
      </c>
      <c r="H1872" t="str">
        <f>"00531387"</f>
        <v>00531387</v>
      </c>
      <c r="I1872">
        <v>40</v>
      </c>
      <c r="J1872">
        <v>0</v>
      </c>
      <c r="K1872">
        <v>8</v>
      </c>
      <c r="M1872">
        <v>4</v>
      </c>
      <c r="N1872">
        <v>12</v>
      </c>
      <c r="O1872">
        <v>4</v>
      </c>
      <c r="P1872">
        <v>2</v>
      </c>
      <c r="Q1872">
        <v>58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D1872">
        <v>58</v>
      </c>
    </row>
    <row r="1873" spans="1:30" x14ac:dyDescent="0.3">
      <c r="A1873" s="4">
        <v>1891</v>
      </c>
      <c r="B1873" s="5">
        <v>1866</v>
      </c>
      <c r="C1873">
        <v>4065</v>
      </c>
      <c r="D1873" t="s">
        <v>4133</v>
      </c>
      <c r="E1873" t="s">
        <v>4134</v>
      </c>
      <c r="F1873" t="s">
        <v>124</v>
      </c>
      <c r="G1873" t="s">
        <v>4135</v>
      </c>
      <c r="H1873" t="str">
        <f>"201511004593"</f>
        <v>201511004593</v>
      </c>
      <c r="I1873">
        <v>40</v>
      </c>
      <c r="J1873">
        <v>0</v>
      </c>
      <c r="K1873">
        <v>8</v>
      </c>
      <c r="M1873">
        <v>4</v>
      </c>
      <c r="N1873">
        <v>12</v>
      </c>
      <c r="O1873">
        <v>4</v>
      </c>
      <c r="P1873">
        <v>2</v>
      </c>
      <c r="Q1873">
        <v>58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D1873">
        <v>58</v>
      </c>
    </row>
    <row r="1874" spans="1:30" x14ac:dyDescent="0.3">
      <c r="A1874" s="4">
        <v>1892</v>
      </c>
      <c r="B1874" s="5">
        <v>1867</v>
      </c>
      <c r="C1874">
        <v>3633</v>
      </c>
      <c r="D1874" t="s">
        <v>4136</v>
      </c>
      <c r="E1874" t="s">
        <v>4137</v>
      </c>
      <c r="F1874" t="s">
        <v>81</v>
      </c>
      <c r="G1874" t="s">
        <v>4138</v>
      </c>
      <c r="H1874" t="str">
        <f>"00865169"</f>
        <v>00865169</v>
      </c>
      <c r="I1874">
        <v>40</v>
      </c>
      <c r="J1874">
        <v>0</v>
      </c>
      <c r="K1874">
        <v>8</v>
      </c>
      <c r="L1874">
        <v>6</v>
      </c>
      <c r="N1874">
        <v>14</v>
      </c>
      <c r="O1874">
        <v>4</v>
      </c>
      <c r="P1874">
        <v>0</v>
      </c>
      <c r="Q1874">
        <v>58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D1874">
        <v>58</v>
      </c>
    </row>
    <row r="1875" spans="1:30" x14ac:dyDescent="0.3">
      <c r="A1875" s="4">
        <v>1893</v>
      </c>
      <c r="B1875" s="5">
        <v>1868</v>
      </c>
      <c r="C1875">
        <v>648</v>
      </c>
      <c r="D1875" t="s">
        <v>4139</v>
      </c>
      <c r="E1875" t="s">
        <v>3948</v>
      </c>
      <c r="F1875" t="s">
        <v>343</v>
      </c>
      <c r="G1875" t="s">
        <v>4140</v>
      </c>
      <c r="H1875" t="str">
        <f>"201512003595"</f>
        <v>201512003595</v>
      </c>
      <c r="I1875">
        <v>40</v>
      </c>
      <c r="J1875">
        <v>0</v>
      </c>
      <c r="K1875">
        <v>8</v>
      </c>
      <c r="M1875">
        <v>4</v>
      </c>
      <c r="N1875">
        <v>12</v>
      </c>
      <c r="O1875">
        <v>4</v>
      </c>
      <c r="P1875">
        <v>2</v>
      </c>
      <c r="Q1875">
        <v>58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D1875">
        <v>58</v>
      </c>
    </row>
    <row r="1876" spans="1:30" x14ac:dyDescent="0.3">
      <c r="A1876" s="4">
        <v>1894</v>
      </c>
      <c r="B1876" s="5">
        <v>1869</v>
      </c>
      <c r="C1876">
        <v>4126</v>
      </c>
      <c r="D1876" t="s">
        <v>4141</v>
      </c>
      <c r="E1876" t="s">
        <v>161</v>
      </c>
      <c r="F1876" t="s">
        <v>81</v>
      </c>
      <c r="G1876" t="s">
        <v>4142</v>
      </c>
      <c r="H1876" t="str">
        <f>"201504000973"</f>
        <v>201504000973</v>
      </c>
      <c r="I1876">
        <v>36</v>
      </c>
      <c r="J1876">
        <v>0</v>
      </c>
      <c r="N1876">
        <v>0</v>
      </c>
      <c r="O1876">
        <v>4</v>
      </c>
      <c r="P1876">
        <v>2</v>
      </c>
      <c r="Q1876">
        <v>42</v>
      </c>
      <c r="R1876">
        <v>16</v>
      </c>
      <c r="S1876">
        <v>16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16</v>
      </c>
      <c r="AA1876">
        <v>0</v>
      </c>
      <c r="AB1876">
        <v>0</v>
      </c>
      <c r="AD1876">
        <v>58</v>
      </c>
    </row>
    <row r="1877" spans="1:30" x14ac:dyDescent="0.3">
      <c r="A1877" s="4">
        <v>1895</v>
      </c>
      <c r="B1877" s="5">
        <v>1870</v>
      </c>
      <c r="C1877">
        <v>2313</v>
      </c>
      <c r="D1877" t="s">
        <v>4143</v>
      </c>
      <c r="E1877" t="s">
        <v>182</v>
      </c>
      <c r="F1877" t="s">
        <v>124</v>
      </c>
      <c r="G1877" t="s">
        <v>4144</v>
      </c>
      <c r="H1877" t="str">
        <f>"00531591"</f>
        <v>00531591</v>
      </c>
      <c r="I1877">
        <v>36</v>
      </c>
      <c r="J1877">
        <v>0</v>
      </c>
      <c r="N1877">
        <v>0</v>
      </c>
      <c r="O1877">
        <v>0</v>
      </c>
      <c r="P1877">
        <v>0</v>
      </c>
      <c r="Q1877">
        <v>36</v>
      </c>
      <c r="R1877">
        <v>22</v>
      </c>
      <c r="S1877">
        <v>22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22</v>
      </c>
      <c r="AA1877">
        <v>0</v>
      </c>
      <c r="AB1877">
        <v>0</v>
      </c>
      <c r="AD1877">
        <v>58</v>
      </c>
    </row>
    <row r="1878" spans="1:30" x14ac:dyDescent="0.3">
      <c r="A1878" s="4">
        <v>1896</v>
      </c>
      <c r="B1878" s="5">
        <v>1871</v>
      </c>
      <c r="C1878">
        <v>1385</v>
      </c>
      <c r="D1878" t="s">
        <v>4145</v>
      </c>
      <c r="E1878" t="s">
        <v>2011</v>
      </c>
      <c r="F1878" t="s">
        <v>158</v>
      </c>
      <c r="G1878" t="s">
        <v>4146</v>
      </c>
      <c r="H1878" t="str">
        <f>"00531951"</f>
        <v>00531951</v>
      </c>
      <c r="I1878">
        <v>31</v>
      </c>
      <c r="J1878">
        <v>0</v>
      </c>
      <c r="N1878">
        <v>0</v>
      </c>
      <c r="O1878">
        <v>4</v>
      </c>
      <c r="P1878">
        <v>0</v>
      </c>
      <c r="Q1878">
        <v>35</v>
      </c>
      <c r="R1878">
        <v>23</v>
      </c>
      <c r="S1878">
        <v>23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23</v>
      </c>
      <c r="AA1878">
        <v>0</v>
      </c>
      <c r="AB1878">
        <v>0</v>
      </c>
      <c r="AD1878">
        <v>58</v>
      </c>
    </row>
    <row r="1879" spans="1:30" x14ac:dyDescent="0.3">
      <c r="A1879" s="4">
        <v>1897</v>
      </c>
      <c r="B1879" s="5">
        <v>1872</v>
      </c>
      <c r="C1879">
        <v>2795</v>
      </c>
      <c r="D1879" t="s">
        <v>4147</v>
      </c>
      <c r="E1879" t="s">
        <v>132</v>
      </c>
      <c r="F1879" t="s">
        <v>55</v>
      </c>
      <c r="G1879" t="s">
        <v>4148</v>
      </c>
      <c r="H1879" t="str">
        <f>"00638588"</f>
        <v>00638588</v>
      </c>
      <c r="I1879">
        <v>28.8</v>
      </c>
      <c r="J1879">
        <v>10</v>
      </c>
      <c r="L1879">
        <v>6</v>
      </c>
      <c r="M1879">
        <v>4</v>
      </c>
      <c r="N1879">
        <v>10</v>
      </c>
      <c r="O1879">
        <v>4</v>
      </c>
      <c r="P1879">
        <v>2</v>
      </c>
      <c r="Q1879">
        <v>54.8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3</v>
      </c>
      <c r="AB1879">
        <v>0</v>
      </c>
      <c r="AD1879">
        <v>57.8</v>
      </c>
    </row>
    <row r="1880" spans="1:30" x14ac:dyDescent="0.3">
      <c r="A1880" s="4">
        <v>1898</v>
      </c>
      <c r="B1880" s="5">
        <v>1873</v>
      </c>
      <c r="C1880">
        <v>3793</v>
      </c>
      <c r="D1880" t="s">
        <v>4149</v>
      </c>
      <c r="E1880" t="s">
        <v>301</v>
      </c>
      <c r="F1880" t="s">
        <v>927</v>
      </c>
      <c r="G1880" t="s">
        <v>4150</v>
      </c>
      <c r="H1880" t="str">
        <f>"00506975"</f>
        <v>00506975</v>
      </c>
      <c r="I1880">
        <v>32.799999999999997</v>
      </c>
      <c r="J1880">
        <v>0</v>
      </c>
      <c r="K1880">
        <v>8</v>
      </c>
      <c r="N1880">
        <v>8</v>
      </c>
      <c r="O1880">
        <v>4</v>
      </c>
      <c r="P1880">
        <v>2</v>
      </c>
      <c r="Q1880">
        <v>46.8</v>
      </c>
      <c r="R1880">
        <v>11</v>
      </c>
      <c r="S1880">
        <v>11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11</v>
      </c>
      <c r="AA1880">
        <v>0</v>
      </c>
      <c r="AB1880">
        <v>0</v>
      </c>
      <c r="AD1880">
        <v>57.8</v>
      </c>
    </row>
    <row r="1881" spans="1:30" x14ac:dyDescent="0.3">
      <c r="A1881" s="4">
        <v>1899</v>
      </c>
      <c r="B1881" s="5">
        <v>1874</v>
      </c>
      <c r="C1881">
        <v>3742</v>
      </c>
      <c r="D1881" t="s">
        <v>4151</v>
      </c>
      <c r="E1881" t="s">
        <v>789</v>
      </c>
      <c r="F1881" t="s">
        <v>34</v>
      </c>
      <c r="G1881" t="s">
        <v>4152</v>
      </c>
      <c r="H1881" t="str">
        <f>"00450214"</f>
        <v>00450214</v>
      </c>
      <c r="I1881">
        <v>25.8</v>
      </c>
      <c r="J1881">
        <v>10</v>
      </c>
      <c r="N1881">
        <v>0</v>
      </c>
      <c r="O1881">
        <v>4</v>
      </c>
      <c r="P1881">
        <v>0</v>
      </c>
      <c r="Q1881">
        <v>39.799999999999997</v>
      </c>
      <c r="R1881">
        <v>18</v>
      </c>
      <c r="S1881">
        <v>18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18</v>
      </c>
      <c r="AA1881">
        <v>0</v>
      </c>
      <c r="AB1881">
        <v>0</v>
      </c>
      <c r="AD1881">
        <v>57.8</v>
      </c>
    </row>
    <row r="1882" spans="1:30" x14ac:dyDescent="0.3">
      <c r="A1882" s="4">
        <v>1900</v>
      </c>
      <c r="B1882" s="5">
        <v>1875</v>
      </c>
      <c r="C1882">
        <v>2799</v>
      </c>
      <c r="D1882" t="s">
        <v>47</v>
      </c>
      <c r="E1882" t="s">
        <v>1465</v>
      </c>
      <c r="F1882" t="s">
        <v>30</v>
      </c>
      <c r="G1882" t="s">
        <v>4153</v>
      </c>
      <c r="H1882" t="str">
        <f>"00484646"</f>
        <v>00484646</v>
      </c>
      <c r="I1882">
        <v>16.8</v>
      </c>
      <c r="J1882">
        <v>0</v>
      </c>
      <c r="N1882">
        <v>0</v>
      </c>
      <c r="O1882">
        <v>0</v>
      </c>
      <c r="P1882">
        <v>2</v>
      </c>
      <c r="Q1882">
        <v>18.8</v>
      </c>
      <c r="R1882">
        <v>39</v>
      </c>
      <c r="S1882">
        <v>39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39</v>
      </c>
      <c r="AA1882">
        <v>0</v>
      </c>
      <c r="AB1882">
        <v>0</v>
      </c>
      <c r="AD1882">
        <v>57.8</v>
      </c>
    </row>
    <row r="1883" spans="1:30" x14ac:dyDescent="0.3">
      <c r="A1883" s="4">
        <v>1901</v>
      </c>
      <c r="B1883" s="5">
        <v>1876</v>
      </c>
      <c r="C1883">
        <v>3950</v>
      </c>
      <c r="D1883" t="s">
        <v>4154</v>
      </c>
      <c r="E1883" t="s">
        <v>41</v>
      </c>
      <c r="F1883" t="s">
        <v>30</v>
      </c>
      <c r="G1883" t="s">
        <v>4155</v>
      </c>
      <c r="H1883" t="str">
        <f>"201406000175"</f>
        <v>201406000175</v>
      </c>
      <c r="I1883">
        <v>37.72</v>
      </c>
      <c r="J1883">
        <v>0</v>
      </c>
      <c r="M1883">
        <v>4</v>
      </c>
      <c r="N1883">
        <v>4</v>
      </c>
      <c r="O1883">
        <v>4</v>
      </c>
      <c r="P1883">
        <v>2</v>
      </c>
      <c r="Q1883">
        <v>47.72</v>
      </c>
      <c r="R1883">
        <v>7</v>
      </c>
      <c r="S1883">
        <v>7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7</v>
      </c>
      <c r="AA1883">
        <v>3</v>
      </c>
      <c r="AB1883">
        <v>0</v>
      </c>
      <c r="AD1883">
        <v>57.72</v>
      </c>
    </row>
    <row r="1884" spans="1:30" x14ac:dyDescent="0.3">
      <c r="A1884" s="4">
        <v>1902</v>
      </c>
      <c r="B1884" s="5">
        <v>1877</v>
      </c>
      <c r="C1884">
        <v>4670</v>
      </c>
      <c r="D1884" t="s">
        <v>2170</v>
      </c>
      <c r="E1884" t="s">
        <v>22</v>
      </c>
      <c r="F1884" t="s">
        <v>243</v>
      </c>
      <c r="G1884" t="s">
        <v>4156</v>
      </c>
      <c r="H1884" t="str">
        <f>"201511025857"</f>
        <v>201511025857</v>
      </c>
      <c r="I1884">
        <v>33.68</v>
      </c>
      <c r="J1884">
        <v>0</v>
      </c>
      <c r="L1884">
        <v>6</v>
      </c>
      <c r="N1884">
        <v>6</v>
      </c>
      <c r="O1884">
        <v>4</v>
      </c>
      <c r="P1884">
        <v>2</v>
      </c>
      <c r="Q1884">
        <v>45.68</v>
      </c>
      <c r="R1884">
        <v>12</v>
      </c>
      <c r="S1884">
        <v>12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12</v>
      </c>
      <c r="AA1884">
        <v>0</v>
      </c>
      <c r="AB1884">
        <v>0</v>
      </c>
      <c r="AD1884">
        <v>57.68</v>
      </c>
    </row>
    <row r="1885" spans="1:30" x14ac:dyDescent="0.3">
      <c r="A1885" s="4">
        <v>1903</v>
      </c>
      <c r="B1885" s="5">
        <v>1878</v>
      </c>
      <c r="C1885">
        <v>3809</v>
      </c>
      <c r="D1885" t="s">
        <v>4157</v>
      </c>
      <c r="E1885" t="s">
        <v>1140</v>
      </c>
      <c r="F1885" t="s">
        <v>17</v>
      </c>
      <c r="G1885" t="s">
        <v>4158</v>
      </c>
      <c r="H1885" t="str">
        <f>"00483943"</f>
        <v>00483943</v>
      </c>
      <c r="I1885">
        <v>21.6</v>
      </c>
      <c r="J1885">
        <v>0</v>
      </c>
      <c r="M1885">
        <v>4</v>
      </c>
      <c r="N1885">
        <v>4</v>
      </c>
      <c r="O1885">
        <v>4</v>
      </c>
      <c r="P1885">
        <v>2</v>
      </c>
      <c r="Q1885">
        <v>31.6</v>
      </c>
      <c r="R1885">
        <v>17</v>
      </c>
      <c r="S1885">
        <v>17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17</v>
      </c>
      <c r="AA1885">
        <v>9</v>
      </c>
      <c r="AB1885">
        <v>0</v>
      </c>
      <c r="AD1885">
        <v>57.6</v>
      </c>
    </row>
    <row r="1886" spans="1:30" x14ac:dyDescent="0.3">
      <c r="A1886" s="4">
        <v>1904</v>
      </c>
      <c r="B1886" s="5">
        <v>1879</v>
      </c>
      <c r="C1886">
        <v>1967</v>
      </c>
      <c r="D1886" t="s">
        <v>4159</v>
      </c>
      <c r="E1886" t="s">
        <v>54</v>
      </c>
      <c r="F1886" t="s">
        <v>136</v>
      </c>
      <c r="G1886" t="s">
        <v>4160</v>
      </c>
      <c r="H1886" t="str">
        <f>"201405001893"</f>
        <v>201405001893</v>
      </c>
      <c r="I1886">
        <v>39.6</v>
      </c>
      <c r="J1886">
        <v>0</v>
      </c>
      <c r="L1886">
        <v>6</v>
      </c>
      <c r="N1886">
        <v>6</v>
      </c>
      <c r="O1886">
        <v>4</v>
      </c>
      <c r="P1886">
        <v>2</v>
      </c>
      <c r="Q1886">
        <v>51.6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6</v>
      </c>
      <c r="AB1886">
        <v>0</v>
      </c>
      <c r="AD1886">
        <v>57.6</v>
      </c>
    </row>
    <row r="1887" spans="1:30" x14ac:dyDescent="0.3">
      <c r="A1887" s="4">
        <v>1905</v>
      </c>
      <c r="B1887" s="5">
        <v>1880</v>
      </c>
      <c r="C1887">
        <v>1115</v>
      </c>
      <c r="D1887" t="s">
        <v>4161</v>
      </c>
      <c r="E1887" t="s">
        <v>139</v>
      </c>
      <c r="F1887" t="s">
        <v>136</v>
      </c>
      <c r="G1887" t="s">
        <v>4162</v>
      </c>
      <c r="H1887" t="str">
        <f>"00857615"</f>
        <v>00857615</v>
      </c>
      <c r="I1887">
        <v>39.6</v>
      </c>
      <c r="J1887">
        <v>0</v>
      </c>
      <c r="K1887">
        <v>8</v>
      </c>
      <c r="N1887">
        <v>8</v>
      </c>
      <c r="O1887">
        <v>4</v>
      </c>
      <c r="P1887">
        <v>0</v>
      </c>
      <c r="Q1887">
        <v>51.6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6</v>
      </c>
      <c r="AB1887">
        <v>0</v>
      </c>
      <c r="AD1887">
        <v>57.6</v>
      </c>
    </row>
    <row r="1888" spans="1:30" x14ac:dyDescent="0.3">
      <c r="A1888" s="4">
        <v>1906</v>
      </c>
      <c r="B1888" s="5">
        <v>1881</v>
      </c>
      <c r="C1888">
        <v>4115</v>
      </c>
      <c r="D1888" t="s">
        <v>4163</v>
      </c>
      <c r="E1888" t="s">
        <v>132</v>
      </c>
      <c r="F1888" t="s">
        <v>361</v>
      </c>
      <c r="G1888" t="s">
        <v>4164</v>
      </c>
      <c r="H1888" t="str">
        <f>"00532904"</f>
        <v>00532904</v>
      </c>
      <c r="I1888">
        <v>21.6</v>
      </c>
      <c r="J1888">
        <v>0</v>
      </c>
      <c r="L1888">
        <v>6</v>
      </c>
      <c r="N1888">
        <v>6</v>
      </c>
      <c r="O1888">
        <v>4</v>
      </c>
      <c r="P1888">
        <v>2</v>
      </c>
      <c r="Q1888">
        <v>33.6</v>
      </c>
      <c r="R1888">
        <v>8</v>
      </c>
      <c r="S1888">
        <v>8</v>
      </c>
      <c r="T1888">
        <v>0</v>
      </c>
      <c r="U1888">
        <v>0</v>
      </c>
      <c r="V1888">
        <v>7</v>
      </c>
      <c r="W1888">
        <v>10</v>
      </c>
      <c r="X1888">
        <v>0</v>
      </c>
      <c r="Y1888">
        <v>0</v>
      </c>
      <c r="Z1888">
        <v>18</v>
      </c>
      <c r="AA1888">
        <v>6</v>
      </c>
      <c r="AB1888">
        <v>0</v>
      </c>
      <c r="AD1888">
        <v>57.6</v>
      </c>
    </row>
    <row r="1889" spans="1:30" x14ac:dyDescent="0.3">
      <c r="A1889" s="4">
        <v>1907</v>
      </c>
      <c r="B1889" s="5">
        <v>1882</v>
      </c>
      <c r="C1889">
        <v>11</v>
      </c>
      <c r="D1889" t="s">
        <v>4165</v>
      </c>
      <c r="E1889" t="s">
        <v>744</v>
      </c>
      <c r="F1889" t="s">
        <v>20</v>
      </c>
      <c r="G1889" t="s">
        <v>4166</v>
      </c>
      <c r="H1889" t="str">
        <f>"00764758"</f>
        <v>00764758</v>
      </c>
      <c r="I1889">
        <v>57.6</v>
      </c>
      <c r="J1889">
        <v>0</v>
      </c>
      <c r="N1889">
        <v>0</v>
      </c>
      <c r="O1889">
        <v>0</v>
      </c>
      <c r="P1889">
        <v>0</v>
      </c>
      <c r="Q1889">
        <v>57.6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D1889">
        <v>57.6</v>
      </c>
    </row>
    <row r="1890" spans="1:30" x14ac:dyDescent="0.3">
      <c r="A1890" s="4">
        <v>1908</v>
      </c>
      <c r="B1890" s="5">
        <v>1883</v>
      </c>
      <c r="C1890">
        <v>3516</v>
      </c>
      <c r="D1890" t="s">
        <v>4167</v>
      </c>
      <c r="E1890" t="s">
        <v>789</v>
      </c>
      <c r="F1890" t="s">
        <v>375</v>
      </c>
      <c r="G1890" t="s">
        <v>4168</v>
      </c>
      <c r="H1890" t="str">
        <f>"00487171"</f>
        <v>00487171</v>
      </c>
      <c r="I1890">
        <v>57.6</v>
      </c>
      <c r="J1890">
        <v>0</v>
      </c>
      <c r="N1890">
        <v>0</v>
      </c>
      <c r="O1890">
        <v>0</v>
      </c>
      <c r="P1890">
        <v>0</v>
      </c>
      <c r="Q1890">
        <v>57.6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D1890">
        <v>57.6</v>
      </c>
    </row>
    <row r="1891" spans="1:30" x14ac:dyDescent="0.3">
      <c r="A1891" s="4">
        <v>1909</v>
      </c>
      <c r="B1891" s="5">
        <v>1884</v>
      </c>
      <c r="C1891">
        <v>323</v>
      </c>
      <c r="D1891" t="s">
        <v>4169</v>
      </c>
      <c r="E1891" t="s">
        <v>249</v>
      </c>
      <c r="F1891" t="s">
        <v>20</v>
      </c>
      <c r="G1891" t="s">
        <v>4170</v>
      </c>
      <c r="H1891" t="str">
        <f>"00857040"</f>
        <v>00857040</v>
      </c>
      <c r="I1891">
        <v>57.6</v>
      </c>
      <c r="J1891">
        <v>0</v>
      </c>
      <c r="N1891">
        <v>0</v>
      </c>
      <c r="O1891">
        <v>0</v>
      </c>
      <c r="P1891">
        <v>0</v>
      </c>
      <c r="Q1891">
        <v>57.6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D1891">
        <v>57.6</v>
      </c>
    </row>
    <row r="1892" spans="1:30" x14ac:dyDescent="0.3">
      <c r="A1892" s="4">
        <v>1910</v>
      </c>
      <c r="B1892" s="5">
        <v>1885</v>
      </c>
      <c r="C1892">
        <v>3470</v>
      </c>
      <c r="D1892" t="s">
        <v>4171</v>
      </c>
      <c r="E1892" t="s">
        <v>54</v>
      </c>
      <c r="F1892" t="s">
        <v>17</v>
      </c>
      <c r="G1892" t="s">
        <v>4172</v>
      </c>
      <c r="H1892" t="str">
        <f>"00864951"</f>
        <v>00864951</v>
      </c>
      <c r="I1892">
        <v>57.6</v>
      </c>
      <c r="J1892">
        <v>0</v>
      </c>
      <c r="N1892">
        <v>0</v>
      </c>
      <c r="O1892">
        <v>0</v>
      </c>
      <c r="P1892">
        <v>0</v>
      </c>
      <c r="Q1892">
        <v>57.6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D1892">
        <v>57.6</v>
      </c>
    </row>
    <row r="1893" spans="1:30" x14ac:dyDescent="0.3">
      <c r="A1893" s="4">
        <v>1911</v>
      </c>
      <c r="B1893" s="5">
        <v>1886</v>
      </c>
      <c r="C1893">
        <v>4580</v>
      </c>
      <c r="D1893" t="s">
        <v>4173</v>
      </c>
      <c r="E1893" t="s">
        <v>115</v>
      </c>
      <c r="F1893" t="s">
        <v>38</v>
      </c>
      <c r="G1893" t="s">
        <v>4174</v>
      </c>
      <c r="H1893" t="str">
        <f>"00820154"</f>
        <v>00820154</v>
      </c>
      <c r="I1893">
        <v>57.6</v>
      </c>
      <c r="J1893">
        <v>0</v>
      </c>
      <c r="N1893">
        <v>0</v>
      </c>
      <c r="O1893">
        <v>0</v>
      </c>
      <c r="P1893">
        <v>0</v>
      </c>
      <c r="Q1893">
        <v>57.6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D1893">
        <v>57.6</v>
      </c>
    </row>
    <row r="1894" spans="1:30" x14ac:dyDescent="0.3">
      <c r="A1894" s="4">
        <v>1912</v>
      </c>
      <c r="B1894" s="5">
        <v>1887</v>
      </c>
      <c r="C1894">
        <v>3529</v>
      </c>
      <c r="D1894" t="s">
        <v>4175</v>
      </c>
      <c r="E1894" t="s">
        <v>283</v>
      </c>
      <c r="F1894" t="s">
        <v>4176</v>
      </c>
      <c r="G1894" t="s">
        <v>4177</v>
      </c>
      <c r="H1894" t="str">
        <f>"00638305"</f>
        <v>00638305</v>
      </c>
      <c r="I1894">
        <v>57.6</v>
      </c>
      <c r="J1894">
        <v>0</v>
      </c>
      <c r="N1894">
        <v>0</v>
      </c>
      <c r="O1894">
        <v>0</v>
      </c>
      <c r="P1894">
        <v>0</v>
      </c>
      <c r="Q1894">
        <v>57.6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D1894">
        <v>57.6</v>
      </c>
    </row>
    <row r="1895" spans="1:30" x14ac:dyDescent="0.3">
      <c r="A1895" s="4">
        <v>1913</v>
      </c>
      <c r="B1895" s="5">
        <v>1888</v>
      </c>
      <c r="C1895">
        <v>3680</v>
      </c>
      <c r="D1895" t="s">
        <v>4178</v>
      </c>
      <c r="E1895" t="s">
        <v>33</v>
      </c>
      <c r="F1895" t="s">
        <v>136</v>
      </c>
      <c r="G1895" t="s">
        <v>4179</v>
      </c>
      <c r="H1895" t="str">
        <f>"00862062"</f>
        <v>00862062</v>
      </c>
      <c r="I1895">
        <v>57.6</v>
      </c>
      <c r="J1895">
        <v>0</v>
      </c>
      <c r="N1895">
        <v>0</v>
      </c>
      <c r="O1895">
        <v>0</v>
      </c>
      <c r="P1895">
        <v>0</v>
      </c>
      <c r="Q1895">
        <v>57.6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D1895">
        <v>57.6</v>
      </c>
    </row>
    <row r="1896" spans="1:30" x14ac:dyDescent="0.3">
      <c r="A1896" s="4">
        <v>1914</v>
      </c>
      <c r="B1896" s="5">
        <v>1889</v>
      </c>
      <c r="C1896">
        <v>546</v>
      </c>
      <c r="D1896" t="s">
        <v>181</v>
      </c>
      <c r="E1896" t="s">
        <v>1576</v>
      </c>
      <c r="F1896" t="s">
        <v>1023</v>
      </c>
      <c r="G1896" t="s">
        <v>4180</v>
      </c>
      <c r="H1896" t="str">
        <f>"00856730"</f>
        <v>00856730</v>
      </c>
      <c r="I1896">
        <v>57.6</v>
      </c>
      <c r="J1896">
        <v>0</v>
      </c>
      <c r="N1896">
        <v>0</v>
      </c>
      <c r="O1896">
        <v>0</v>
      </c>
      <c r="P1896">
        <v>0</v>
      </c>
      <c r="Q1896">
        <v>57.6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D1896">
        <v>57.6</v>
      </c>
    </row>
    <row r="1897" spans="1:30" x14ac:dyDescent="0.3">
      <c r="A1897" s="4">
        <v>1915</v>
      </c>
      <c r="B1897" s="5">
        <v>1890</v>
      </c>
      <c r="C1897">
        <v>3189</v>
      </c>
      <c r="D1897" t="s">
        <v>4181</v>
      </c>
      <c r="E1897" t="s">
        <v>29</v>
      </c>
      <c r="F1897" t="s">
        <v>4182</v>
      </c>
      <c r="G1897" t="s">
        <v>4183</v>
      </c>
      <c r="H1897" t="str">
        <f>"00555560"</f>
        <v>00555560</v>
      </c>
      <c r="I1897">
        <v>57.6</v>
      </c>
      <c r="J1897">
        <v>0</v>
      </c>
      <c r="N1897">
        <v>0</v>
      </c>
      <c r="O1897">
        <v>0</v>
      </c>
      <c r="P1897">
        <v>0</v>
      </c>
      <c r="Q1897">
        <v>57.6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D1897">
        <v>57.6</v>
      </c>
    </row>
    <row r="1898" spans="1:30" x14ac:dyDescent="0.3">
      <c r="A1898" s="4">
        <v>1916</v>
      </c>
      <c r="B1898" s="5">
        <v>1891</v>
      </c>
      <c r="C1898">
        <v>259</v>
      </c>
      <c r="D1898" t="s">
        <v>4184</v>
      </c>
      <c r="E1898" t="s">
        <v>789</v>
      </c>
      <c r="F1898" t="s">
        <v>328</v>
      </c>
      <c r="G1898" t="s">
        <v>4185</v>
      </c>
      <c r="H1898" t="str">
        <f>"00142357"</f>
        <v>00142357</v>
      </c>
      <c r="I1898">
        <v>39.6</v>
      </c>
      <c r="J1898">
        <v>10</v>
      </c>
      <c r="M1898">
        <v>4</v>
      </c>
      <c r="N1898">
        <v>4</v>
      </c>
      <c r="O1898">
        <v>4</v>
      </c>
      <c r="P1898">
        <v>0</v>
      </c>
      <c r="Q1898">
        <v>57.6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D1898">
        <v>57.6</v>
      </c>
    </row>
    <row r="1899" spans="1:30" x14ac:dyDescent="0.3">
      <c r="A1899" s="4">
        <v>1917</v>
      </c>
      <c r="B1899" s="5">
        <v>1892</v>
      </c>
      <c r="C1899">
        <v>3586</v>
      </c>
      <c r="D1899" t="s">
        <v>4186</v>
      </c>
      <c r="E1899" t="s">
        <v>33</v>
      </c>
      <c r="F1899" t="s">
        <v>68</v>
      </c>
      <c r="G1899" t="s">
        <v>4187</v>
      </c>
      <c r="H1899" t="str">
        <f>"201412004293"</f>
        <v>201412004293</v>
      </c>
      <c r="I1899">
        <v>39.6</v>
      </c>
      <c r="J1899">
        <v>0</v>
      </c>
      <c r="K1899">
        <v>8</v>
      </c>
      <c r="L1899">
        <v>6</v>
      </c>
      <c r="N1899">
        <v>14</v>
      </c>
      <c r="O1899">
        <v>4</v>
      </c>
      <c r="P1899">
        <v>0</v>
      </c>
      <c r="Q1899">
        <v>57.6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D1899">
        <v>57.6</v>
      </c>
    </row>
    <row r="1900" spans="1:30" x14ac:dyDescent="0.3">
      <c r="A1900" s="4">
        <v>1918</v>
      </c>
      <c r="B1900" s="5">
        <v>1893</v>
      </c>
      <c r="C1900">
        <v>4721</v>
      </c>
      <c r="D1900" t="s">
        <v>2342</v>
      </c>
      <c r="E1900" t="s">
        <v>1189</v>
      </c>
      <c r="F1900" t="s">
        <v>136</v>
      </c>
      <c r="G1900" t="s">
        <v>4188</v>
      </c>
      <c r="H1900" t="str">
        <f>"201512003304"</f>
        <v>201512003304</v>
      </c>
      <c r="I1900">
        <v>39.6</v>
      </c>
      <c r="J1900">
        <v>0</v>
      </c>
      <c r="N1900">
        <v>0</v>
      </c>
      <c r="O1900">
        <v>4</v>
      </c>
      <c r="P1900">
        <v>2</v>
      </c>
      <c r="Q1900">
        <v>45.6</v>
      </c>
      <c r="R1900">
        <v>12</v>
      </c>
      <c r="S1900">
        <v>12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12</v>
      </c>
      <c r="AA1900">
        <v>0</v>
      </c>
      <c r="AB1900">
        <v>0</v>
      </c>
      <c r="AD1900">
        <v>57.6</v>
      </c>
    </row>
    <row r="1901" spans="1:30" x14ac:dyDescent="0.3">
      <c r="A1901" s="4">
        <v>1919</v>
      </c>
      <c r="B1901" s="5">
        <v>1894</v>
      </c>
      <c r="C1901">
        <v>2421</v>
      </c>
      <c r="D1901" t="s">
        <v>4189</v>
      </c>
      <c r="E1901" t="s">
        <v>88</v>
      </c>
      <c r="F1901" t="s">
        <v>30</v>
      </c>
      <c r="G1901" t="s">
        <v>4190</v>
      </c>
      <c r="H1901" t="str">
        <f>"00456089"</f>
        <v>00456089</v>
      </c>
      <c r="I1901">
        <v>21.6</v>
      </c>
      <c r="J1901">
        <v>0</v>
      </c>
      <c r="M1901">
        <v>4</v>
      </c>
      <c r="N1901">
        <v>4</v>
      </c>
      <c r="O1901">
        <v>4</v>
      </c>
      <c r="P1901">
        <v>2</v>
      </c>
      <c r="Q1901">
        <v>31.6</v>
      </c>
      <c r="R1901">
        <v>8</v>
      </c>
      <c r="S1901">
        <v>8</v>
      </c>
      <c r="T1901">
        <v>9</v>
      </c>
      <c r="U1901">
        <v>18</v>
      </c>
      <c r="V1901">
        <v>0</v>
      </c>
      <c r="W1901">
        <v>0</v>
      </c>
      <c r="X1901">
        <v>0</v>
      </c>
      <c r="Y1901">
        <v>0</v>
      </c>
      <c r="Z1901">
        <v>26</v>
      </c>
      <c r="AA1901">
        <v>0</v>
      </c>
      <c r="AB1901">
        <v>0</v>
      </c>
      <c r="AD1901">
        <v>57.6</v>
      </c>
    </row>
    <row r="1902" spans="1:30" x14ac:dyDescent="0.3">
      <c r="A1902" s="4">
        <v>1920</v>
      </c>
      <c r="B1902" s="5">
        <v>1895</v>
      </c>
      <c r="C1902">
        <v>1339</v>
      </c>
      <c r="D1902" t="s">
        <v>1604</v>
      </c>
      <c r="E1902" t="s">
        <v>178</v>
      </c>
      <c r="F1902" t="s">
        <v>136</v>
      </c>
      <c r="G1902" t="s">
        <v>4191</v>
      </c>
      <c r="H1902" t="str">
        <f>"00509351"</f>
        <v>00509351</v>
      </c>
      <c r="I1902">
        <v>23.48</v>
      </c>
      <c r="J1902">
        <v>0</v>
      </c>
      <c r="N1902">
        <v>0</v>
      </c>
      <c r="O1902">
        <v>0</v>
      </c>
      <c r="P1902">
        <v>0</v>
      </c>
      <c r="Q1902">
        <v>23.48</v>
      </c>
      <c r="R1902">
        <v>28</v>
      </c>
      <c r="S1902">
        <v>28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28</v>
      </c>
      <c r="AA1902">
        <v>6</v>
      </c>
      <c r="AB1902">
        <v>0</v>
      </c>
      <c r="AD1902">
        <v>57.48</v>
      </c>
    </row>
    <row r="1903" spans="1:30" x14ac:dyDescent="0.3">
      <c r="A1903" s="4">
        <v>1921</v>
      </c>
      <c r="B1903" s="5">
        <v>1896</v>
      </c>
      <c r="C1903">
        <v>3203</v>
      </c>
      <c r="D1903" t="s">
        <v>4192</v>
      </c>
      <c r="E1903" t="s">
        <v>789</v>
      </c>
      <c r="F1903" t="s">
        <v>68</v>
      </c>
      <c r="G1903" t="s">
        <v>4193</v>
      </c>
      <c r="H1903" t="str">
        <f>"00531337"</f>
        <v>00531337</v>
      </c>
      <c r="I1903">
        <v>33.44</v>
      </c>
      <c r="J1903">
        <v>0</v>
      </c>
      <c r="N1903">
        <v>0</v>
      </c>
      <c r="O1903">
        <v>4</v>
      </c>
      <c r="P1903">
        <v>2</v>
      </c>
      <c r="Q1903">
        <v>39.44</v>
      </c>
      <c r="R1903">
        <v>18</v>
      </c>
      <c r="S1903">
        <v>18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18</v>
      </c>
      <c r="AA1903">
        <v>0</v>
      </c>
      <c r="AB1903">
        <v>0</v>
      </c>
      <c r="AD1903">
        <v>57.44</v>
      </c>
    </row>
    <row r="1904" spans="1:30" x14ac:dyDescent="0.3">
      <c r="A1904" s="4">
        <v>1922</v>
      </c>
      <c r="B1904" s="5">
        <v>1897</v>
      </c>
      <c r="C1904">
        <v>3868</v>
      </c>
      <c r="D1904" t="s">
        <v>1746</v>
      </c>
      <c r="E1904" t="s">
        <v>550</v>
      </c>
      <c r="F1904" t="s">
        <v>20</v>
      </c>
      <c r="G1904" t="s">
        <v>4194</v>
      </c>
      <c r="H1904" t="str">
        <f>"00746874"</f>
        <v>00746874</v>
      </c>
      <c r="I1904">
        <v>50.4</v>
      </c>
      <c r="J1904">
        <v>0</v>
      </c>
      <c r="N1904">
        <v>0</v>
      </c>
      <c r="O1904">
        <v>4</v>
      </c>
      <c r="P1904">
        <v>0</v>
      </c>
      <c r="Q1904">
        <v>54.4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3</v>
      </c>
      <c r="AB1904">
        <v>0</v>
      </c>
      <c r="AD1904">
        <v>57.4</v>
      </c>
    </row>
    <row r="1905" spans="1:30" x14ac:dyDescent="0.3">
      <c r="A1905" s="4">
        <v>1923</v>
      </c>
      <c r="B1905" s="5">
        <v>1898</v>
      </c>
      <c r="C1905">
        <v>1432</v>
      </c>
      <c r="D1905" t="s">
        <v>1010</v>
      </c>
      <c r="E1905" t="s">
        <v>471</v>
      </c>
      <c r="F1905" t="s">
        <v>1023</v>
      </c>
      <c r="G1905" t="s">
        <v>4195</v>
      </c>
      <c r="H1905" t="str">
        <f>"00556613"</f>
        <v>00556613</v>
      </c>
      <c r="I1905">
        <v>50.4</v>
      </c>
      <c r="J1905">
        <v>0</v>
      </c>
      <c r="N1905">
        <v>0</v>
      </c>
      <c r="O1905">
        <v>4</v>
      </c>
      <c r="P1905">
        <v>0</v>
      </c>
      <c r="Q1905">
        <v>54.4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3</v>
      </c>
      <c r="AB1905">
        <v>0</v>
      </c>
      <c r="AD1905">
        <v>57.4</v>
      </c>
    </row>
    <row r="1906" spans="1:30" x14ac:dyDescent="0.3">
      <c r="A1906" s="4">
        <v>1924</v>
      </c>
      <c r="B1906" s="5">
        <v>1899</v>
      </c>
      <c r="C1906">
        <v>3483</v>
      </c>
      <c r="D1906" t="s">
        <v>4196</v>
      </c>
      <c r="E1906" t="s">
        <v>29</v>
      </c>
      <c r="F1906" t="s">
        <v>81</v>
      </c>
      <c r="G1906" t="s">
        <v>4197</v>
      </c>
      <c r="H1906" t="str">
        <f>"00484204"</f>
        <v>00484204</v>
      </c>
      <c r="I1906">
        <v>14.4</v>
      </c>
      <c r="J1906">
        <v>0</v>
      </c>
      <c r="L1906">
        <v>6</v>
      </c>
      <c r="N1906">
        <v>6</v>
      </c>
      <c r="O1906">
        <v>4</v>
      </c>
      <c r="P1906">
        <v>2</v>
      </c>
      <c r="Q1906">
        <v>26.4</v>
      </c>
      <c r="R1906">
        <v>18</v>
      </c>
      <c r="S1906">
        <v>18</v>
      </c>
      <c r="T1906">
        <v>0</v>
      </c>
      <c r="U1906">
        <v>0</v>
      </c>
      <c r="V1906">
        <v>7</v>
      </c>
      <c r="W1906">
        <v>10</v>
      </c>
      <c r="X1906">
        <v>0</v>
      </c>
      <c r="Y1906">
        <v>0</v>
      </c>
      <c r="Z1906">
        <v>28</v>
      </c>
      <c r="AA1906">
        <v>3</v>
      </c>
      <c r="AB1906">
        <v>0</v>
      </c>
      <c r="AD1906">
        <v>57.4</v>
      </c>
    </row>
    <row r="1907" spans="1:30" x14ac:dyDescent="0.3">
      <c r="A1907" s="4">
        <v>1925</v>
      </c>
      <c r="B1907" s="5">
        <v>1900</v>
      </c>
      <c r="C1907">
        <v>3548</v>
      </c>
      <c r="D1907" t="s">
        <v>4198</v>
      </c>
      <c r="E1907" t="s">
        <v>110</v>
      </c>
      <c r="F1907" t="s">
        <v>124</v>
      </c>
      <c r="G1907" t="s">
        <v>4199</v>
      </c>
      <c r="H1907" t="str">
        <f>"00494085"</f>
        <v>00494085</v>
      </c>
      <c r="I1907">
        <v>14.4</v>
      </c>
      <c r="J1907">
        <v>0</v>
      </c>
      <c r="N1907">
        <v>0</v>
      </c>
      <c r="O1907">
        <v>4</v>
      </c>
      <c r="P1907">
        <v>2</v>
      </c>
      <c r="Q1907">
        <v>20.399999999999999</v>
      </c>
      <c r="R1907">
        <v>37</v>
      </c>
      <c r="S1907">
        <v>37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37</v>
      </c>
      <c r="AA1907">
        <v>0</v>
      </c>
      <c r="AB1907">
        <v>0</v>
      </c>
      <c r="AD1907">
        <v>57.4</v>
      </c>
    </row>
    <row r="1908" spans="1:30" x14ac:dyDescent="0.3">
      <c r="A1908" s="4">
        <v>1926</v>
      </c>
      <c r="B1908" s="5">
        <v>1901</v>
      </c>
      <c r="C1908">
        <v>1264</v>
      </c>
      <c r="D1908" t="s">
        <v>2631</v>
      </c>
      <c r="E1908" t="s">
        <v>166</v>
      </c>
      <c r="F1908" t="s">
        <v>171</v>
      </c>
      <c r="G1908" t="s">
        <v>4200</v>
      </c>
      <c r="H1908" t="str">
        <f>"00511908"</f>
        <v>00511908</v>
      </c>
      <c r="I1908">
        <v>32.36</v>
      </c>
      <c r="J1908">
        <v>0</v>
      </c>
      <c r="N1908">
        <v>0</v>
      </c>
      <c r="O1908">
        <v>4</v>
      </c>
      <c r="P1908">
        <v>2</v>
      </c>
      <c r="Q1908">
        <v>38.36</v>
      </c>
      <c r="R1908">
        <v>16</v>
      </c>
      <c r="S1908">
        <v>16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16</v>
      </c>
      <c r="AA1908">
        <v>3</v>
      </c>
      <c r="AB1908">
        <v>0</v>
      </c>
      <c r="AD1908">
        <v>57.36</v>
      </c>
    </row>
    <row r="1909" spans="1:30" x14ac:dyDescent="0.3">
      <c r="A1909" s="4">
        <v>1927</v>
      </c>
      <c r="B1909" s="5">
        <v>1902</v>
      </c>
      <c r="C1909">
        <v>4358</v>
      </c>
      <c r="D1909" t="s">
        <v>4201</v>
      </c>
      <c r="E1909" t="s">
        <v>789</v>
      </c>
      <c r="F1909" t="s">
        <v>30</v>
      </c>
      <c r="G1909" t="s">
        <v>4202</v>
      </c>
      <c r="H1909" t="str">
        <f>"00483918"</f>
        <v>00483918</v>
      </c>
      <c r="I1909">
        <v>25.32</v>
      </c>
      <c r="J1909">
        <v>0</v>
      </c>
      <c r="N1909">
        <v>0</v>
      </c>
      <c r="O1909">
        <v>0</v>
      </c>
      <c r="P1909">
        <v>0</v>
      </c>
      <c r="Q1909">
        <v>25.32</v>
      </c>
      <c r="R1909">
        <v>32</v>
      </c>
      <c r="S1909">
        <v>32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32</v>
      </c>
      <c r="AA1909">
        <v>0</v>
      </c>
      <c r="AB1909">
        <v>0</v>
      </c>
      <c r="AD1909">
        <v>57.32</v>
      </c>
    </row>
    <row r="1910" spans="1:30" x14ac:dyDescent="0.3">
      <c r="A1910" s="4">
        <v>1928</v>
      </c>
      <c r="B1910" s="5">
        <v>1903</v>
      </c>
      <c r="C1910">
        <v>2050</v>
      </c>
      <c r="D1910" t="s">
        <v>4203</v>
      </c>
      <c r="E1910" t="s">
        <v>100</v>
      </c>
      <c r="F1910" t="s">
        <v>4204</v>
      </c>
      <c r="G1910" t="s">
        <v>4205</v>
      </c>
      <c r="H1910" t="str">
        <f>"00847597"</f>
        <v>00847597</v>
      </c>
      <c r="I1910">
        <v>38.24</v>
      </c>
      <c r="J1910">
        <v>10</v>
      </c>
      <c r="N1910">
        <v>0</v>
      </c>
      <c r="O1910">
        <v>4</v>
      </c>
      <c r="P1910">
        <v>2</v>
      </c>
      <c r="Q1910">
        <v>54.24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3</v>
      </c>
      <c r="AB1910">
        <v>0</v>
      </c>
      <c r="AD1910">
        <v>57.24</v>
      </c>
    </row>
    <row r="1911" spans="1:30" x14ac:dyDescent="0.3">
      <c r="A1911" s="4">
        <v>1929</v>
      </c>
      <c r="B1911" s="5">
        <v>1904</v>
      </c>
      <c r="C1911">
        <v>1640</v>
      </c>
      <c r="D1911" t="s">
        <v>4206</v>
      </c>
      <c r="E1911" t="s">
        <v>143</v>
      </c>
      <c r="F1911" t="s">
        <v>259</v>
      </c>
      <c r="G1911" t="s">
        <v>4207</v>
      </c>
      <c r="H1911" t="str">
        <f>"200803000487"</f>
        <v>200803000487</v>
      </c>
      <c r="I1911">
        <v>43.2</v>
      </c>
      <c r="J1911">
        <v>0</v>
      </c>
      <c r="M1911">
        <v>4</v>
      </c>
      <c r="N1911">
        <v>4</v>
      </c>
      <c r="O1911">
        <v>4</v>
      </c>
      <c r="P1911">
        <v>0</v>
      </c>
      <c r="Q1911">
        <v>51.2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6</v>
      </c>
      <c r="AB1911">
        <v>0</v>
      </c>
      <c r="AD1911">
        <v>57.2</v>
      </c>
    </row>
    <row r="1912" spans="1:30" x14ac:dyDescent="0.3">
      <c r="A1912" s="4">
        <v>1930</v>
      </c>
      <c r="B1912" s="5">
        <v>1905</v>
      </c>
      <c r="C1912">
        <v>1119</v>
      </c>
      <c r="D1912" t="s">
        <v>4208</v>
      </c>
      <c r="E1912" t="s">
        <v>100</v>
      </c>
      <c r="F1912" t="s">
        <v>68</v>
      </c>
      <c r="G1912" t="s">
        <v>4209</v>
      </c>
      <c r="H1912" t="str">
        <f>"00856935"</f>
        <v>00856935</v>
      </c>
      <c r="I1912">
        <v>39.200000000000003</v>
      </c>
      <c r="J1912">
        <v>0</v>
      </c>
      <c r="M1912">
        <v>8</v>
      </c>
      <c r="N1912">
        <v>8</v>
      </c>
      <c r="O1912">
        <v>4</v>
      </c>
      <c r="P1912">
        <v>0</v>
      </c>
      <c r="Q1912">
        <v>51.2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6</v>
      </c>
      <c r="AB1912">
        <v>0</v>
      </c>
      <c r="AD1912">
        <v>57.2</v>
      </c>
    </row>
    <row r="1913" spans="1:30" x14ac:dyDescent="0.3">
      <c r="A1913" s="4">
        <v>1931</v>
      </c>
      <c r="B1913" s="5">
        <v>1906</v>
      </c>
      <c r="C1913">
        <v>2382</v>
      </c>
      <c r="D1913" t="s">
        <v>4210</v>
      </c>
      <c r="E1913" t="s">
        <v>147</v>
      </c>
      <c r="F1913" t="s">
        <v>30</v>
      </c>
      <c r="G1913" t="s">
        <v>4211</v>
      </c>
      <c r="H1913" t="str">
        <f>"00409636"</f>
        <v>00409636</v>
      </c>
      <c r="I1913">
        <v>39.200000000000003</v>
      </c>
      <c r="J1913">
        <v>0</v>
      </c>
      <c r="K1913">
        <v>8</v>
      </c>
      <c r="N1913">
        <v>8</v>
      </c>
      <c r="O1913">
        <v>4</v>
      </c>
      <c r="P1913">
        <v>0</v>
      </c>
      <c r="Q1913">
        <v>51.2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6</v>
      </c>
      <c r="AB1913">
        <v>0</v>
      </c>
      <c r="AD1913">
        <v>57.2</v>
      </c>
    </row>
    <row r="1914" spans="1:30" x14ac:dyDescent="0.3">
      <c r="A1914" s="4">
        <v>1932</v>
      </c>
      <c r="B1914" s="5">
        <v>1907</v>
      </c>
      <c r="C1914">
        <v>1108</v>
      </c>
      <c r="D1914" t="s">
        <v>4212</v>
      </c>
      <c r="E1914" t="s">
        <v>2843</v>
      </c>
      <c r="F1914" t="s">
        <v>20</v>
      </c>
      <c r="G1914" t="s">
        <v>4213</v>
      </c>
      <c r="H1914" t="str">
        <f>"00700547"</f>
        <v>00700547</v>
      </c>
      <c r="I1914">
        <v>37.200000000000003</v>
      </c>
      <c r="J1914">
        <v>10</v>
      </c>
      <c r="N1914">
        <v>0</v>
      </c>
      <c r="O1914">
        <v>4</v>
      </c>
      <c r="P1914">
        <v>0</v>
      </c>
      <c r="Q1914">
        <v>51.2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6</v>
      </c>
      <c r="AB1914">
        <v>0</v>
      </c>
      <c r="AD1914">
        <v>57.2</v>
      </c>
    </row>
    <row r="1915" spans="1:30" x14ac:dyDescent="0.3">
      <c r="A1915" s="4">
        <v>1933</v>
      </c>
      <c r="B1915" s="5">
        <v>1908</v>
      </c>
      <c r="C1915">
        <v>4033</v>
      </c>
      <c r="D1915" t="s">
        <v>4214</v>
      </c>
      <c r="E1915" t="s">
        <v>22</v>
      </c>
      <c r="F1915" t="s">
        <v>227</v>
      </c>
      <c r="G1915" t="s">
        <v>4215</v>
      </c>
      <c r="H1915" t="str">
        <f>"00509608"</f>
        <v>00509608</v>
      </c>
      <c r="I1915">
        <v>31.2</v>
      </c>
      <c r="J1915">
        <v>0</v>
      </c>
      <c r="K1915">
        <v>8</v>
      </c>
      <c r="N1915">
        <v>8</v>
      </c>
      <c r="O1915">
        <v>4</v>
      </c>
      <c r="P1915">
        <v>2</v>
      </c>
      <c r="Q1915">
        <v>45.2</v>
      </c>
      <c r="R1915">
        <v>6</v>
      </c>
      <c r="S1915">
        <v>6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6</v>
      </c>
      <c r="AA1915">
        <v>6</v>
      </c>
      <c r="AB1915">
        <v>0</v>
      </c>
      <c r="AD1915">
        <v>57.2</v>
      </c>
    </row>
    <row r="1916" spans="1:30" x14ac:dyDescent="0.3">
      <c r="A1916" s="4">
        <v>1934</v>
      </c>
      <c r="B1916" s="5">
        <v>1909</v>
      </c>
      <c r="C1916">
        <v>3621</v>
      </c>
      <c r="D1916" t="s">
        <v>4216</v>
      </c>
      <c r="E1916" t="s">
        <v>88</v>
      </c>
      <c r="F1916" t="s">
        <v>38</v>
      </c>
      <c r="G1916" t="s">
        <v>4217</v>
      </c>
      <c r="H1916" t="str">
        <f>"00529406"</f>
        <v>00529406</v>
      </c>
      <c r="I1916">
        <v>43.2</v>
      </c>
      <c r="J1916">
        <v>0</v>
      </c>
      <c r="N1916">
        <v>0</v>
      </c>
      <c r="O1916">
        <v>0</v>
      </c>
      <c r="P1916">
        <v>0</v>
      </c>
      <c r="Q1916">
        <v>43.2</v>
      </c>
      <c r="R1916">
        <v>8</v>
      </c>
      <c r="S1916">
        <v>8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8</v>
      </c>
      <c r="AA1916">
        <v>6</v>
      </c>
      <c r="AB1916">
        <v>0</v>
      </c>
      <c r="AD1916">
        <v>57.2</v>
      </c>
    </row>
    <row r="1917" spans="1:30" x14ac:dyDescent="0.3">
      <c r="A1917" s="4">
        <v>1935</v>
      </c>
      <c r="B1917" s="5">
        <v>1910</v>
      </c>
      <c r="C1917">
        <v>1968</v>
      </c>
      <c r="D1917" t="s">
        <v>4218</v>
      </c>
      <c r="E1917" t="s">
        <v>26</v>
      </c>
      <c r="F1917" t="s">
        <v>1854</v>
      </c>
      <c r="G1917" t="s">
        <v>4219</v>
      </c>
      <c r="H1917" t="str">
        <f>"00163015"</f>
        <v>00163015</v>
      </c>
      <c r="I1917">
        <v>43.2</v>
      </c>
      <c r="J1917">
        <v>0</v>
      </c>
      <c r="K1917">
        <v>8</v>
      </c>
      <c r="N1917">
        <v>8</v>
      </c>
      <c r="O1917">
        <v>4</v>
      </c>
      <c r="P1917">
        <v>2</v>
      </c>
      <c r="Q1917">
        <v>57.2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D1917">
        <v>57.2</v>
      </c>
    </row>
    <row r="1918" spans="1:30" x14ac:dyDescent="0.3">
      <c r="A1918" s="4">
        <v>1936</v>
      </c>
      <c r="B1918" s="5">
        <v>1911</v>
      </c>
      <c r="C1918">
        <v>3645</v>
      </c>
      <c r="D1918" t="s">
        <v>932</v>
      </c>
      <c r="E1918" t="s">
        <v>33</v>
      </c>
      <c r="F1918" t="s">
        <v>136</v>
      </c>
      <c r="G1918" t="s">
        <v>4220</v>
      </c>
      <c r="H1918" t="str">
        <f>"00374002"</f>
        <v>00374002</v>
      </c>
      <c r="I1918">
        <v>43.2</v>
      </c>
      <c r="J1918">
        <v>10</v>
      </c>
      <c r="M1918">
        <v>4</v>
      </c>
      <c r="N1918">
        <v>4</v>
      </c>
      <c r="O1918">
        <v>0</v>
      </c>
      <c r="P1918">
        <v>0</v>
      </c>
      <c r="Q1918">
        <v>57.2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D1918">
        <v>57.2</v>
      </c>
    </row>
    <row r="1919" spans="1:30" x14ac:dyDescent="0.3">
      <c r="A1919" s="4">
        <v>1937</v>
      </c>
      <c r="B1919" s="5">
        <v>1912</v>
      </c>
      <c r="C1919">
        <v>1309</v>
      </c>
      <c r="D1919" t="s">
        <v>3181</v>
      </c>
      <c r="E1919" t="s">
        <v>4221</v>
      </c>
      <c r="F1919" t="s">
        <v>38</v>
      </c>
      <c r="G1919" t="s">
        <v>4222</v>
      </c>
      <c r="H1919" t="str">
        <f>"201511042005"</f>
        <v>201511042005</v>
      </c>
      <c r="I1919">
        <v>43.2</v>
      </c>
      <c r="J1919">
        <v>0</v>
      </c>
      <c r="K1919">
        <v>8</v>
      </c>
      <c r="N1919">
        <v>8</v>
      </c>
      <c r="O1919">
        <v>4</v>
      </c>
      <c r="P1919">
        <v>2</v>
      </c>
      <c r="Q1919">
        <v>57.2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D1919">
        <v>57.2</v>
      </c>
    </row>
    <row r="1920" spans="1:30" x14ac:dyDescent="0.3">
      <c r="A1920" s="4">
        <v>1938</v>
      </c>
      <c r="B1920" s="5">
        <v>1913</v>
      </c>
      <c r="C1920">
        <v>2067</v>
      </c>
      <c r="D1920" t="s">
        <v>4223</v>
      </c>
      <c r="E1920" t="s">
        <v>454</v>
      </c>
      <c r="F1920" t="s">
        <v>1460</v>
      </c>
      <c r="G1920" t="s">
        <v>4224</v>
      </c>
      <c r="H1920" t="str">
        <f>"00862383"</f>
        <v>00862383</v>
      </c>
      <c r="I1920">
        <v>43.2</v>
      </c>
      <c r="J1920">
        <v>0</v>
      </c>
      <c r="K1920">
        <v>8</v>
      </c>
      <c r="N1920">
        <v>8</v>
      </c>
      <c r="O1920">
        <v>4</v>
      </c>
      <c r="P1920">
        <v>2</v>
      </c>
      <c r="Q1920">
        <v>57.2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D1920">
        <v>57.2</v>
      </c>
    </row>
    <row r="1921" spans="1:30" x14ac:dyDescent="0.3">
      <c r="A1921" s="4">
        <v>1939</v>
      </c>
      <c r="B1921" s="5">
        <v>1914</v>
      </c>
      <c r="C1921">
        <v>3429</v>
      </c>
      <c r="D1921" t="s">
        <v>1742</v>
      </c>
      <c r="E1921" t="s">
        <v>1874</v>
      </c>
      <c r="F1921" t="s">
        <v>81</v>
      </c>
      <c r="G1921" t="s">
        <v>4225</v>
      </c>
      <c r="H1921" t="str">
        <f>"00190866"</f>
        <v>00190866</v>
      </c>
      <c r="I1921">
        <v>43.2</v>
      </c>
      <c r="J1921">
        <v>10</v>
      </c>
      <c r="N1921">
        <v>0</v>
      </c>
      <c r="O1921">
        <v>4</v>
      </c>
      <c r="P1921">
        <v>0</v>
      </c>
      <c r="Q1921">
        <v>57.2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D1921">
        <v>57.2</v>
      </c>
    </row>
    <row r="1922" spans="1:30" x14ac:dyDescent="0.3">
      <c r="A1922" s="4">
        <v>1940</v>
      </c>
      <c r="B1922" s="5">
        <v>1915</v>
      </c>
      <c r="C1922">
        <v>1434</v>
      </c>
      <c r="D1922" t="s">
        <v>4226</v>
      </c>
      <c r="E1922" t="s">
        <v>4227</v>
      </c>
      <c r="F1922" t="s">
        <v>30</v>
      </c>
      <c r="G1922" t="s">
        <v>4228</v>
      </c>
      <c r="H1922" t="str">
        <f>"00857621"</f>
        <v>00857621</v>
      </c>
      <c r="I1922">
        <v>43.2</v>
      </c>
      <c r="J1922">
        <v>0</v>
      </c>
      <c r="K1922">
        <v>8</v>
      </c>
      <c r="N1922">
        <v>8</v>
      </c>
      <c r="O1922">
        <v>4</v>
      </c>
      <c r="P1922">
        <v>2</v>
      </c>
      <c r="Q1922">
        <v>57.2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D1922">
        <v>57.2</v>
      </c>
    </row>
    <row r="1923" spans="1:30" x14ac:dyDescent="0.3">
      <c r="A1923" s="4">
        <v>1941</v>
      </c>
      <c r="B1923" s="5">
        <v>1916</v>
      </c>
      <c r="C1923">
        <v>4172</v>
      </c>
      <c r="D1923" t="s">
        <v>4229</v>
      </c>
      <c r="E1923" t="s">
        <v>178</v>
      </c>
      <c r="F1923" t="s">
        <v>62</v>
      </c>
      <c r="G1923" t="s">
        <v>4230</v>
      </c>
      <c r="H1923" t="str">
        <f>"00863192"</f>
        <v>00863192</v>
      </c>
      <c r="I1923">
        <v>39.200000000000003</v>
      </c>
      <c r="J1923">
        <v>10</v>
      </c>
      <c r="M1923">
        <v>4</v>
      </c>
      <c r="N1923">
        <v>4</v>
      </c>
      <c r="O1923">
        <v>4</v>
      </c>
      <c r="P1923">
        <v>0</v>
      </c>
      <c r="Q1923">
        <v>57.2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D1923">
        <v>57.2</v>
      </c>
    </row>
    <row r="1924" spans="1:30" x14ac:dyDescent="0.3">
      <c r="A1924" s="4">
        <v>1942</v>
      </c>
      <c r="B1924" s="5">
        <v>1917</v>
      </c>
      <c r="C1924">
        <v>4830</v>
      </c>
      <c r="D1924" t="s">
        <v>4231</v>
      </c>
      <c r="E1924" t="s">
        <v>126</v>
      </c>
      <c r="F1924" t="s">
        <v>62</v>
      </c>
      <c r="G1924" t="s">
        <v>4232</v>
      </c>
      <c r="H1924" t="str">
        <f>"201406010357"</f>
        <v>201406010357</v>
      </c>
      <c r="I1924">
        <v>37.200000000000003</v>
      </c>
      <c r="J1924">
        <v>0</v>
      </c>
      <c r="K1924">
        <v>8</v>
      </c>
      <c r="L1924">
        <v>6</v>
      </c>
      <c r="N1924">
        <v>14</v>
      </c>
      <c r="O1924">
        <v>4</v>
      </c>
      <c r="P1924">
        <v>2</v>
      </c>
      <c r="Q1924">
        <v>57.2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D1924">
        <v>57.2</v>
      </c>
    </row>
    <row r="1925" spans="1:30" x14ac:dyDescent="0.3">
      <c r="A1925" s="4">
        <v>1943</v>
      </c>
      <c r="B1925" s="5">
        <v>1918</v>
      </c>
      <c r="C1925">
        <v>3064</v>
      </c>
      <c r="D1925" t="s">
        <v>4233</v>
      </c>
      <c r="E1925" t="s">
        <v>166</v>
      </c>
      <c r="F1925" t="s">
        <v>17</v>
      </c>
      <c r="G1925" t="s">
        <v>4234</v>
      </c>
      <c r="H1925" t="str">
        <f>"00533411"</f>
        <v>00533411</v>
      </c>
      <c r="I1925">
        <v>43.2</v>
      </c>
      <c r="J1925">
        <v>0</v>
      </c>
      <c r="M1925">
        <v>4</v>
      </c>
      <c r="N1925">
        <v>4</v>
      </c>
      <c r="O1925">
        <v>4</v>
      </c>
      <c r="P1925">
        <v>0</v>
      </c>
      <c r="Q1925">
        <v>51.2</v>
      </c>
      <c r="R1925">
        <v>6</v>
      </c>
      <c r="S1925">
        <v>6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6</v>
      </c>
      <c r="AA1925">
        <v>0</v>
      </c>
      <c r="AB1925">
        <v>0</v>
      </c>
      <c r="AD1925">
        <v>57.2</v>
      </c>
    </row>
    <row r="1926" spans="1:30" x14ac:dyDescent="0.3">
      <c r="A1926" s="4">
        <v>1945</v>
      </c>
      <c r="B1926" s="5">
        <v>1919</v>
      </c>
      <c r="C1926">
        <v>3177</v>
      </c>
      <c r="D1926" t="s">
        <v>4237</v>
      </c>
      <c r="E1926" t="s">
        <v>22</v>
      </c>
      <c r="F1926" t="s">
        <v>20</v>
      </c>
      <c r="G1926" t="s">
        <v>4238</v>
      </c>
      <c r="H1926" t="str">
        <f>"00487402"</f>
        <v>00487402</v>
      </c>
      <c r="I1926">
        <v>7.2</v>
      </c>
      <c r="J1926">
        <v>0</v>
      </c>
      <c r="M1926">
        <v>4</v>
      </c>
      <c r="N1926">
        <v>4</v>
      </c>
      <c r="O1926">
        <v>4</v>
      </c>
      <c r="P1926">
        <v>2</v>
      </c>
      <c r="Q1926">
        <v>17.2</v>
      </c>
      <c r="R1926">
        <v>40</v>
      </c>
      <c r="S1926">
        <v>40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40</v>
      </c>
      <c r="AA1926">
        <v>0</v>
      </c>
      <c r="AB1926">
        <v>0</v>
      </c>
      <c r="AD1926">
        <v>57.2</v>
      </c>
    </row>
    <row r="1927" spans="1:30" x14ac:dyDescent="0.3">
      <c r="A1927" s="4">
        <v>1946</v>
      </c>
      <c r="B1927" s="5">
        <v>1920</v>
      </c>
      <c r="C1927">
        <v>1819</v>
      </c>
      <c r="D1927" t="s">
        <v>181</v>
      </c>
      <c r="E1927" t="s">
        <v>4239</v>
      </c>
      <c r="F1927" t="s">
        <v>892</v>
      </c>
      <c r="G1927" t="s">
        <v>4240</v>
      </c>
      <c r="H1927" t="str">
        <f>"200801002203"</f>
        <v>200801002203</v>
      </c>
      <c r="I1927">
        <v>39.08</v>
      </c>
      <c r="J1927">
        <v>0</v>
      </c>
      <c r="M1927">
        <v>8</v>
      </c>
      <c r="N1927">
        <v>8</v>
      </c>
      <c r="O1927">
        <v>4</v>
      </c>
      <c r="P1927">
        <v>0</v>
      </c>
      <c r="Q1927">
        <v>51.08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6</v>
      </c>
      <c r="AB1927">
        <v>0</v>
      </c>
      <c r="AD1927">
        <v>57.08</v>
      </c>
    </row>
    <row r="1928" spans="1:30" x14ac:dyDescent="0.3">
      <c r="A1928" s="4">
        <v>1947</v>
      </c>
      <c r="B1928" s="5">
        <v>1921</v>
      </c>
      <c r="C1928">
        <v>2219</v>
      </c>
      <c r="D1928" t="s">
        <v>4241</v>
      </c>
      <c r="E1928" t="s">
        <v>29</v>
      </c>
      <c r="F1928" t="s">
        <v>972</v>
      </c>
      <c r="G1928" t="s">
        <v>4242</v>
      </c>
      <c r="H1928" t="str">
        <f>"00858521"</f>
        <v>00858521</v>
      </c>
      <c r="I1928">
        <v>36</v>
      </c>
      <c r="J1928">
        <v>0</v>
      </c>
      <c r="K1928">
        <v>8</v>
      </c>
      <c r="N1928">
        <v>8</v>
      </c>
      <c r="O1928">
        <v>4</v>
      </c>
      <c r="P1928">
        <v>0</v>
      </c>
      <c r="Q1928">
        <v>48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9</v>
      </c>
      <c r="AB1928">
        <v>0</v>
      </c>
      <c r="AD1928">
        <v>57</v>
      </c>
    </row>
    <row r="1929" spans="1:30" x14ac:dyDescent="0.3">
      <c r="A1929" s="4">
        <v>1948</v>
      </c>
      <c r="B1929" s="5">
        <v>1922</v>
      </c>
      <c r="C1929">
        <v>2115</v>
      </c>
      <c r="D1929" t="s">
        <v>4243</v>
      </c>
      <c r="E1929" t="s">
        <v>51</v>
      </c>
      <c r="F1929" t="s">
        <v>652</v>
      </c>
      <c r="G1929" t="s">
        <v>4244</v>
      </c>
      <c r="H1929" t="str">
        <f>"00150228"</f>
        <v>00150228</v>
      </c>
      <c r="I1929">
        <v>36</v>
      </c>
      <c r="J1929">
        <v>0</v>
      </c>
      <c r="M1929">
        <v>4</v>
      </c>
      <c r="N1929">
        <v>4</v>
      </c>
      <c r="O1929">
        <v>4</v>
      </c>
      <c r="P1929">
        <v>0</v>
      </c>
      <c r="Q1929">
        <v>44</v>
      </c>
      <c r="R1929">
        <v>7</v>
      </c>
      <c r="S1929">
        <v>7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7</v>
      </c>
      <c r="AA1929">
        <v>6</v>
      </c>
      <c r="AB1929">
        <v>0</v>
      </c>
      <c r="AD1929">
        <v>57</v>
      </c>
    </row>
    <row r="1930" spans="1:30" x14ac:dyDescent="0.3">
      <c r="A1930" s="4">
        <v>1949</v>
      </c>
      <c r="B1930" s="5">
        <v>1923</v>
      </c>
      <c r="C1930">
        <v>1602</v>
      </c>
      <c r="D1930" t="s">
        <v>4245</v>
      </c>
      <c r="E1930" t="s">
        <v>29</v>
      </c>
      <c r="F1930" t="s">
        <v>442</v>
      </c>
      <c r="G1930" t="s">
        <v>4246</v>
      </c>
      <c r="H1930" t="str">
        <f>"00425895"</f>
        <v>00425895</v>
      </c>
      <c r="I1930">
        <v>40</v>
      </c>
      <c r="J1930">
        <v>0</v>
      </c>
      <c r="K1930">
        <v>8</v>
      </c>
      <c r="N1930">
        <v>8</v>
      </c>
      <c r="O1930">
        <v>4</v>
      </c>
      <c r="P1930">
        <v>2</v>
      </c>
      <c r="Q1930">
        <v>54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3</v>
      </c>
      <c r="AB1930">
        <v>0</v>
      </c>
      <c r="AD1930">
        <v>57</v>
      </c>
    </row>
    <row r="1931" spans="1:30" x14ac:dyDescent="0.3">
      <c r="A1931" s="4">
        <v>1951</v>
      </c>
      <c r="B1931" s="5">
        <v>1924</v>
      </c>
      <c r="C1931">
        <v>3921</v>
      </c>
      <c r="D1931" t="s">
        <v>4247</v>
      </c>
      <c r="E1931" t="s">
        <v>54</v>
      </c>
      <c r="F1931" t="s">
        <v>68</v>
      </c>
      <c r="G1931" t="s">
        <v>4248</v>
      </c>
      <c r="H1931" t="str">
        <f>"00480516"</f>
        <v>00480516</v>
      </c>
      <c r="I1931">
        <v>36</v>
      </c>
      <c r="J1931">
        <v>0</v>
      </c>
      <c r="K1931">
        <v>8</v>
      </c>
      <c r="N1931">
        <v>8</v>
      </c>
      <c r="O1931">
        <v>4</v>
      </c>
      <c r="P1931">
        <v>0</v>
      </c>
      <c r="Q1931">
        <v>48</v>
      </c>
      <c r="R1931">
        <v>6</v>
      </c>
      <c r="S1931">
        <v>6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6</v>
      </c>
      <c r="AA1931">
        <v>3</v>
      </c>
      <c r="AB1931">
        <v>0</v>
      </c>
      <c r="AD1931">
        <v>57</v>
      </c>
    </row>
    <row r="1932" spans="1:30" x14ac:dyDescent="0.3">
      <c r="A1932" s="4">
        <v>1952</v>
      </c>
      <c r="B1932" s="5">
        <v>1925</v>
      </c>
      <c r="C1932">
        <v>2510</v>
      </c>
      <c r="D1932" t="s">
        <v>4249</v>
      </c>
      <c r="E1932" t="s">
        <v>170</v>
      </c>
      <c r="F1932" t="s">
        <v>20</v>
      </c>
      <c r="G1932" t="s">
        <v>4250</v>
      </c>
      <c r="H1932" t="str">
        <f>"00233252"</f>
        <v>00233252</v>
      </c>
      <c r="I1932">
        <v>38</v>
      </c>
      <c r="J1932">
        <v>0</v>
      </c>
      <c r="M1932">
        <v>4</v>
      </c>
      <c r="N1932">
        <v>4</v>
      </c>
      <c r="O1932">
        <v>4</v>
      </c>
      <c r="P1932">
        <v>0</v>
      </c>
      <c r="Q1932">
        <v>46</v>
      </c>
      <c r="R1932">
        <v>8</v>
      </c>
      <c r="S1932">
        <v>8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8</v>
      </c>
      <c r="AA1932">
        <v>3</v>
      </c>
      <c r="AB1932">
        <v>0</v>
      </c>
      <c r="AD1932">
        <v>57</v>
      </c>
    </row>
    <row r="1933" spans="1:30" x14ac:dyDescent="0.3">
      <c r="A1933" s="4">
        <v>1953</v>
      </c>
      <c r="B1933" s="5">
        <v>1926</v>
      </c>
      <c r="C1933">
        <v>4171</v>
      </c>
      <c r="D1933" t="s">
        <v>4251</v>
      </c>
      <c r="E1933" t="s">
        <v>342</v>
      </c>
      <c r="F1933" t="s">
        <v>17</v>
      </c>
      <c r="G1933" t="s">
        <v>4252</v>
      </c>
      <c r="H1933" t="str">
        <f>"200911000361"</f>
        <v>200911000361</v>
      </c>
      <c r="I1933">
        <v>36</v>
      </c>
      <c r="J1933">
        <v>0</v>
      </c>
      <c r="N1933">
        <v>0</v>
      </c>
      <c r="O1933">
        <v>4</v>
      </c>
      <c r="P1933">
        <v>0</v>
      </c>
      <c r="Q1933">
        <v>40</v>
      </c>
      <c r="R1933">
        <v>14</v>
      </c>
      <c r="S1933">
        <v>14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14</v>
      </c>
      <c r="AA1933">
        <v>3</v>
      </c>
      <c r="AB1933">
        <v>0</v>
      </c>
      <c r="AD1933">
        <v>57</v>
      </c>
    </row>
    <row r="1934" spans="1:30" x14ac:dyDescent="0.3">
      <c r="A1934" s="4">
        <v>1954</v>
      </c>
      <c r="B1934" s="5">
        <v>1927</v>
      </c>
      <c r="C1934">
        <v>3732</v>
      </c>
      <c r="D1934" t="s">
        <v>549</v>
      </c>
      <c r="E1934" t="s">
        <v>26</v>
      </c>
      <c r="F1934" t="s">
        <v>385</v>
      </c>
      <c r="G1934" t="s">
        <v>4253</v>
      </c>
      <c r="H1934" t="str">
        <f>"00500220"</f>
        <v>00500220</v>
      </c>
      <c r="I1934">
        <v>36.799999999999997</v>
      </c>
      <c r="J1934">
        <v>10</v>
      </c>
      <c r="N1934">
        <v>0</v>
      </c>
      <c r="O1934">
        <v>4</v>
      </c>
      <c r="P1934">
        <v>0</v>
      </c>
      <c r="Q1934">
        <v>50.8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6</v>
      </c>
      <c r="AB1934">
        <v>0</v>
      </c>
      <c r="AD1934">
        <v>56.8</v>
      </c>
    </row>
    <row r="1935" spans="1:30" x14ac:dyDescent="0.3">
      <c r="A1935" s="4">
        <v>1955</v>
      </c>
      <c r="B1935" s="5">
        <v>1928</v>
      </c>
      <c r="C1935">
        <v>637</v>
      </c>
      <c r="D1935" t="s">
        <v>4254</v>
      </c>
      <c r="E1935" t="s">
        <v>4255</v>
      </c>
      <c r="F1935" t="s">
        <v>30</v>
      </c>
      <c r="G1935" t="s">
        <v>4256</v>
      </c>
      <c r="H1935" t="str">
        <f>"00567401"</f>
        <v>00567401</v>
      </c>
      <c r="I1935">
        <v>28.8</v>
      </c>
      <c r="J1935">
        <v>10</v>
      </c>
      <c r="K1935">
        <v>8</v>
      </c>
      <c r="N1935">
        <v>8</v>
      </c>
      <c r="O1935">
        <v>4</v>
      </c>
      <c r="P1935">
        <v>0</v>
      </c>
      <c r="Q1935">
        <v>50.8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6</v>
      </c>
      <c r="AB1935">
        <v>0</v>
      </c>
      <c r="AD1935">
        <v>56.8</v>
      </c>
    </row>
    <row r="1936" spans="1:30" x14ac:dyDescent="0.3">
      <c r="A1936" s="4">
        <v>1956</v>
      </c>
      <c r="B1936" s="5">
        <v>1929</v>
      </c>
      <c r="C1936">
        <v>215</v>
      </c>
      <c r="D1936" t="s">
        <v>4257</v>
      </c>
      <c r="E1936" t="s">
        <v>4258</v>
      </c>
      <c r="F1936" t="s">
        <v>17</v>
      </c>
      <c r="G1936" t="s">
        <v>4259</v>
      </c>
      <c r="H1936" t="str">
        <f>"00533479"</f>
        <v>00533479</v>
      </c>
      <c r="I1936">
        <v>28.8</v>
      </c>
      <c r="J1936">
        <v>0</v>
      </c>
      <c r="K1936">
        <v>8</v>
      </c>
      <c r="N1936">
        <v>8</v>
      </c>
      <c r="O1936">
        <v>4</v>
      </c>
      <c r="P1936">
        <v>0</v>
      </c>
      <c r="Q1936">
        <v>40.799999999999997</v>
      </c>
      <c r="R1936">
        <v>16</v>
      </c>
      <c r="S1936">
        <v>16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16</v>
      </c>
      <c r="AA1936">
        <v>0</v>
      </c>
      <c r="AB1936">
        <v>0</v>
      </c>
      <c r="AD1936">
        <v>56.8</v>
      </c>
    </row>
    <row r="1937" spans="1:30" x14ac:dyDescent="0.3">
      <c r="A1937" s="4">
        <v>1957</v>
      </c>
      <c r="B1937" s="5">
        <v>1930</v>
      </c>
      <c r="C1937">
        <v>3722</v>
      </c>
      <c r="D1937" t="s">
        <v>4260</v>
      </c>
      <c r="E1937" t="s">
        <v>2838</v>
      </c>
      <c r="F1937" t="s">
        <v>158</v>
      </c>
      <c r="G1937" t="s">
        <v>4261</v>
      </c>
      <c r="H1937" t="str">
        <f>"00521634"</f>
        <v>00521634</v>
      </c>
      <c r="I1937">
        <v>28.8</v>
      </c>
      <c r="J1937">
        <v>0</v>
      </c>
      <c r="M1937">
        <v>4</v>
      </c>
      <c r="N1937">
        <v>4</v>
      </c>
      <c r="O1937">
        <v>4</v>
      </c>
      <c r="P1937">
        <v>2</v>
      </c>
      <c r="Q1937">
        <v>38.799999999999997</v>
      </c>
      <c r="R1937">
        <v>18</v>
      </c>
      <c r="S1937">
        <v>18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18</v>
      </c>
      <c r="AA1937">
        <v>0</v>
      </c>
      <c r="AB1937">
        <v>0</v>
      </c>
      <c r="AD1937">
        <v>56.8</v>
      </c>
    </row>
    <row r="1938" spans="1:30" x14ac:dyDescent="0.3">
      <c r="A1938" s="4">
        <v>1958</v>
      </c>
      <c r="B1938" s="5">
        <v>1931</v>
      </c>
      <c r="C1938">
        <v>3336</v>
      </c>
      <c r="D1938" t="s">
        <v>4262</v>
      </c>
      <c r="E1938" t="s">
        <v>54</v>
      </c>
      <c r="F1938" t="s">
        <v>20</v>
      </c>
      <c r="G1938" t="s">
        <v>4263</v>
      </c>
      <c r="H1938" t="str">
        <f>"201104000147"</f>
        <v>201104000147</v>
      </c>
      <c r="I1938">
        <v>39.6</v>
      </c>
      <c r="J1938">
        <v>0</v>
      </c>
      <c r="M1938">
        <v>4</v>
      </c>
      <c r="N1938">
        <v>4</v>
      </c>
      <c r="O1938">
        <v>4</v>
      </c>
      <c r="P1938">
        <v>0</v>
      </c>
      <c r="Q1938">
        <v>47.6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9</v>
      </c>
      <c r="AB1938">
        <v>0</v>
      </c>
      <c r="AD1938">
        <v>56.6</v>
      </c>
    </row>
    <row r="1939" spans="1:30" x14ac:dyDescent="0.3">
      <c r="A1939" s="4">
        <v>1959</v>
      </c>
      <c r="B1939" s="5">
        <v>1932</v>
      </c>
      <c r="C1939">
        <v>1792</v>
      </c>
      <c r="D1939" t="s">
        <v>3015</v>
      </c>
      <c r="E1939" t="s">
        <v>54</v>
      </c>
      <c r="F1939" t="s">
        <v>30</v>
      </c>
      <c r="G1939" t="s">
        <v>4264</v>
      </c>
      <c r="H1939" t="str">
        <f>"00105238"</f>
        <v>00105238</v>
      </c>
      <c r="I1939">
        <v>39.6</v>
      </c>
      <c r="J1939">
        <v>0</v>
      </c>
      <c r="K1939">
        <v>8</v>
      </c>
      <c r="N1939">
        <v>8</v>
      </c>
      <c r="O1939">
        <v>4</v>
      </c>
      <c r="P1939">
        <v>2</v>
      </c>
      <c r="Q1939">
        <v>53.6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3</v>
      </c>
      <c r="AB1939">
        <v>0</v>
      </c>
      <c r="AD1939">
        <v>56.6</v>
      </c>
    </row>
    <row r="1940" spans="1:30" x14ac:dyDescent="0.3">
      <c r="A1940" s="4">
        <v>1960</v>
      </c>
      <c r="B1940" s="5">
        <v>1933</v>
      </c>
      <c r="C1940">
        <v>4121</v>
      </c>
      <c r="D1940" t="s">
        <v>4265</v>
      </c>
      <c r="E1940" t="s">
        <v>33</v>
      </c>
      <c r="F1940" t="s">
        <v>190</v>
      </c>
      <c r="G1940" t="s">
        <v>4266</v>
      </c>
      <c r="H1940" t="str">
        <f>"200902000153"</f>
        <v>200902000153</v>
      </c>
      <c r="I1940">
        <v>35.6</v>
      </c>
      <c r="J1940">
        <v>0</v>
      </c>
      <c r="K1940">
        <v>8</v>
      </c>
      <c r="M1940">
        <v>4</v>
      </c>
      <c r="N1940">
        <v>12</v>
      </c>
      <c r="O1940">
        <v>4</v>
      </c>
      <c r="P1940">
        <v>2</v>
      </c>
      <c r="Q1940">
        <v>53.6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3</v>
      </c>
      <c r="AB1940">
        <v>0</v>
      </c>
      <c r="AD1940">
        <v>56.6</v>
      </c>
    </row>
    <row r="1941" spans="1:30" x14ac:dyDescent="0.3">
      <c r="A1941" s="4">
        <v>1961</v>
      </c>
      <c r="B1941" s="5">
        <v>1934</v>
      </c>
      <c r="C1941">
        <v>1525</v>
      </c>
      <c r="D1941" t="s">
        <v>4267</v>
      </c>
      <c r="E1941" t="s">
        <v>71</v>
      </c>
      <c r="F1941" t="s">
        <v>892</v>
      </c>
      <c r="G1941" t="s">
        <v>4268</v>
      </c>
      <c r="H1941" t="str">
        <f>"00628525"</f>
        <v>00628525</v>
      </c>
      <c r="I1941">
        <v>32.56</v>
      </c>
      <c r="J1941">
        <v>0</v>
      </c>
      <c r="K1941">
        <v>8</v>
      </c>
      <c r="N1941">
        <v>8</v>
      </c>
      <c r="O1941">
        <v>4</v>
      </c>
      <c r="P1941">
        <v>0</v>
      </c>
      <c r="Q1941">
        <v>44.56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12</v>
      </c>
      <c r="AB1941">
        <v>0</v>
      </c>
      <c r="AD1941">
        <v>56.56</v>
      </c>
    </row>
    <row r="1942" spans="1:30" x14ac:dyDescent="0.3">
      <c r="A1942" s="4">
        <v>1962</v>
      </c>
      <c r="B1942" s="5">
        <v>1935</v>
      </c>
      <c r="C1942">
        <v>794</v>
      </c>
      <c r="D1942" t="s">
        <v>4269</v>
      </c>
      <c r="E1942" t="s">
        <v>37</v>
      </c>
      <c r="F1942" t="s">
        <v>17</v>
      </c>
      <c r="G1942" t="s">
        <v>4270</v>
      </c>
      <c r="H1942" t="str">
        <f>"00855786"</f>
        <v>00855786</v>
      </c>
      <c r="I1942">
        <v>50.4</v>
      </c>
      <c r="J1942">
        <v>0</v>
      </c>
      <c r="N1942">
        <v>0</v>
      </c>
      <c r="O1942">
        <v>0</v>
      </c>
      <c r="P1942">
        <v>0</v>
      </c>
      <c r="Q1942">
        <v>50.4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6</v>
      </c>
      <c r="AB1942">
        <v>0</v>
      </c>
      <c r="AD1942">
        <v>56.4</v>
      </c>
    </row>
    <row r="1943" spans="1:30" x14ac:dyDescent="0.3">
      <c r="A1943" s="4">
        <v>1963</v>
      </c>
      <c r="B1943" s="5">
        <v>1936</v>
      </c>
      <c r="C1943">
        <v>2087</v>
      </c>
      <c r="D1943" t="s">
        <v>4271</v>
      </c>
      <c r="E1943" t="s">
        <v>29</v>
      </c>
      <c r="F1943" t="s">
        <v>52</v>
      </c>
      <c r="G1943" t="s">
        <v>4272</v>
      </c>
      <c r="H1943" t="str">
        <f>"00555401"</f>
        <v>00555401</v>
      </c>
      <c r="I1943">
        <v>50.4</v>
      </c>
      <c r="J1943">
        <v>0</v>
      </c>
      <c r="N1943">
        <v>0</v>
      </c>
      <c r="O1943">
        <v>0</v>
      </c>
      <c r="P1943">
        <v>0</v>
      </c>
      <c r="Q1943">
        <v>50.4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6</v>
      </c>
      <c r="AB1943">
        <v>0</v>
      </c>
      <c r="AD1943">
        <v>56.4</v>
      </c>
    </row>
    <row r="1944" spans="1:30" x14ac:dyDescent="0.3">
      <c r="A1944" s="4">
        <v>1964</v>
      </c>
      <c r="B1944" s="5">
        <v>1937</v>
      </c>
      <c r="C1944">
        <v>1966</v>
      </c>
      <c r="D1944" t="s">
        <v>4273</v>
      </c>
      <c r="E1944" t="s">
        <v>54</v>
      </c>
      <c r="F1944" t="s">
        <v>136</v>
      </c>
      <c r="G1944" t="s">
        <v>4274</v>
      </c>
      <c r="H1944" t="str">
        <f>"00855006"</f>
        <v>00855006</v>
      </c>
      <c r="I1944">
        <v>50.4</v>
      </c>
      <c r="J1944">
        <v>0</v>
      </c>
      <c r="N1944">
        <v>0</v>
      </c>
      <c r="O1944">
        <v>0</v>
      </c>
      <c r="P1944">
        <v>0</v>
      </c>
      <c r="Q1944">
        <v>50.4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6</v>
      </c>
      <c r="AB1944">
        <v>0</v>
      </c>
      <c r="AD1944">
        <v>56.4</v>
      </c>
    </row>
    <row r="1945" spans="1:30" x14ac:dyDescent="0.3">
      <c r="A1945" s="4">
        <v>1965</v>
      </c>
      <c r="B1945" s="5">
        <v>1938</v>
      </c>
      <c r="C1945">
        <v>3994</v>
      </c>
      <c r="D1945" t="s">
        <v>2600</v>
      </c>
      <c r="E1945" t="s">
        <v>4275</v>
      </c>
      <c r="F1945" t="s">
        <v>68</v>
      </c>
      <c r="G1945" t="s">
        <v>4276</v>
      </c>
      <c r="H1945" t="str">
        <f>"00631036"</f>
        <v>00631036</v>
      </c>
      <c r="I1945">
        <v>50.4</v>
      </c>
      <c r="J1945">
        <v>0</v>
      </c>
      <c r="N1945">
        <v>0</v>
      </c>
      <c r="O1945">
        <v>4</v>
      </c>
      <c r="P1945">
        <v>2</v>
      </c>
      <c r="Q1945">
        <v>56.4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D1945">
        <v>56.4</v>
      </c>
    </row>
    <row r="1946" spans="1:30" x14ac:dyDescent="0.3">
      <c r="A1946" s="4">
        <v>1966</v>
      </c>
      <c r="B1946" s="5">
        <v>1939</v>
      </c>
      <c r="C1946">
        <v>2026</v>
      </c>
      <c r="D1946" t="s">
        <v>4277</v>
      </c>
      <c r="E1946" t="s">
        <v>170</v>
      </c>
      <c r="F1946" t="s">
        <v>20</v>
      </c>
      <c r="G1946" t="s">
        <v>4278</v>
      </c>
      <c r="H1946" t="str">
        <f>"00800621"</f>
        <v>00800621</v>
      </c>
      <c r="I1946">
        <v>50.4</v>
      </c>
      <c r="J1946">
        <v>0</v>
      </c>
      <c r="N1946">
        <v>0</v>
      </c>
      <c r="O1946">
        <v>4</v>
      </c>
      <c r="P1946">
        <v>2</v>
      </c>
      <c r="Q1946">
        <v>56.4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D1946">
        <v>56.4</v>
      </c>
    </row>
    <row r="1947" spans="1:30" x14ac:dyDescent="0.3">
      <c r="A1947" s="4">
        <v>1967</v>
      </c>
      <c r="B1947" s="5">
        <v>1940</v>
      </c>
      <c r="C1947">
        <v>2113</v>
      </c>
      <c r="D1947" t="s">
        <v>4279</v>
      </c>
      <c r="E1947" t="s">
        <v>88</v>
      </c>
      <c r="F1947" t="s">
        <v>626</v>
      </c>
      <c r="G1947" t="s">
        <v>4280</v>
      </c>
      <c r="H1947" t="str">
        <f>"00764787"</f>
        <v>00764787</v>
      </c>
      <c r="I1947">
        <v>50.4</v>
      </c>
      <c r="J1947">
        <v>0</v>
      </c>
      <c r="M1947">
        <v>4</v>
      </c>
      <c r="N1947">
        <v>4</v>
      </c>
      <c r="O1947">
        <v>0</v>
      </c>
      <c r="P1947">
        <v>2</v>
      </c>
      <c r="Q1947">
        <v>56.4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D1947">
        <v>56.4</v>
      </c>
    </row>
    <row r="1948" spans="1:30" x14ac:dyDescent="0.3">
      <c r="A1948" s="4">
        <v>1968</v>
      </c>
      <c r="B1948" s="5">
        <v>1941</v>
      </c>
      <c r="C1948">
        <v>4945</v>
      </c>
      <c r="D1948" t="s">
        <v>148</v>
      </c>
      <c r="E1948" t="s">
        <v>54</v>
      </c>
      <c r="F1948" t="s">
        <v>30</v>
      </c>
      <c r="G1948" t="s">
        <v>4281</v>
      </c>
      <c r="H1948" t="str">
        <f>"00865489"</f>
        <v>00865489</v>
      </c>
      <c r="I1948">
        <v>50.4</v>
      </c>
      <c r="J1948">
        <v>0</v>
      </c>
      <c r="M1948">
        <v>4</v>
      </c>
      <c r="N1948">
        <v>4</v>
      </c>
      <c r="O1948">
        <v>0</v>
      </c>
      <c r="P1948">
        <v>2</v>
      </c>
      <c r="Q1948">
        <v>56.4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D1948">
        <v>56.4</v>
      </c>
    </row>
    <row r="1949" spans="1:30" x14ac:dyDescent="0.3">
      <c r="A1949" s="4">
        <v>1969</v>
      </c>
      <c r="B1949" s="5">
        <v>1942</v>
      </c>
      <c r="C1949">
        <v>4745</v>
      </c>
      <c r="D1949" t="s">
        <v>4282</v>
      </c>
      <c r="E1949" t="s">
        <v>792</v>
      </c>
      <c r="F1949" t="s">
        <v>17</v>
      </c>
      <c r="G1949" t="s">
        <v>4283</v>
      </c>
      <c r="H1949" t="str">
        <f>"00866030"</f>
        <v>00866030</v>
      </c>
      <c r="I1949">
        <v>50.4</v>
      </c>
      <c r="J1949">
        <v>0</v>
      </c>
      <c r="N1949">
        <v>0</v>
      </c>
      <c r="O1949">
        <v>4</v>
      </c>
      <c r="P1949">
        <v>2</v>
      </c>
      <c r="Q1949">
        <v>56.4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D1949">
        <v>56.4</v>
      </c>
    </row>
    <row r="1950" spans="1:30" x14ac:dyDescent="0.3">
      <c r="A1950" s="4">
        <v>1970</v>
      </c>
      <c r="B1950" s="5">
        <v>1943</v>
      </c>
      <c r="C1950">
        <v>676</v>
      </c>
      <c r="D1950" t="s">
        <v>4284</v>
      </c>
      <c r="E1950" t="s">
        <v>22</v>
      </c>
      <c r="F1950" t="s">
        <v>1023</v>
      </c>
      <c r="G1950" t="s">
        <v>4285</v>
      </c>
      <c r="H1950" t="str">
        <f>"00855350"</f>
        <v>00855350</v>
      </c>
      <c r="I1950">
        <v>50.4</v>
      </c>
      <c r="J1950">
        <v>0</v>
      </c>
      <c r="N1950">
        <v>0</v>
      </c>
      <c r="O1950">
        <v>4</v>
      </c>
      <c r="P1950">
        <v>2</v>
      </c>
      <c r="Q1950">
        <v>56.4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D1950">
        <v>56.4</v>
      </c>
    </row>
    <row r="1951" spans="1:30" x14ac:dyDescent="0.3">
      <c r="A1951" s="4">
        <v>1971</v>
      </c>
      <c r="B1951" s="5">
        <v>1944</v>
      </c>
      <c r="C1951">
        <v>4255</v>
      </c>
      <c r="D1951" t="s">
        <v>4286</v>
      </c>
      <c r="E1951" t="s">
        <v>161</v>
      </c>
      <c r="F1951" t="s">
        <v>20</v>
      </c>
      <c r="G1951" t="s">
        <v>4287</v>
      </c>
      <c r="H1951" t="str">
        <f>"00864538"</f>
        <v>00864538</v>
      </c>
      <c r="I1951">
        <v>38.4</v>
      </c>
      <c r="J1951">
        <v>10</v>
      </c>
      <c r="K1951">
        <v>8</v>
      </c>
      <c r="N1951">
        <v>8</v>
      </c>
      <c r="O1951">
        <v>0</v>
      </c>
      <c r="P1951">
        <v>0</v>
      </c>
      <c r="Q1951">
        <v>56.4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D1951">
        <v>56.4</v>
      </c>
    </row>
    <row r="1952" spans="1:30" x14ac:dyDescent="0.3">
      <c r="A1952" s="4">
        <v>1972</v>
      </c>
      <c r="B1952" s="5">
        <v>1945</v>
      </c>
      <c r="C1952">
        <v>4677</v>
      </c>
      <c r="D1952" t="s">
        <v>1449</v>
      </c>
      <c r="E1952" t="s">
        <v>29</v>
      </c>
      <c r="F1952" t="s">
        <v>259</v>
      </c>
      <c r="G1952" t="s">
        <v>4288</v>
      </c>
      <c r="H1952" t="str">
        <f>"201511025041"</f>
        <v>201511025041</v>
      </c>
      <c r="I1952">
        <v>38.4</v>
      </c>
      <c r="J1952">
        <v>10</v>
      </c>
      <c r="M1952">
        <v>4</v>
      </c>
      <c r="N1952">
        <v>4</v>
      </c>
      <c r="O1952">
        <v>4</v>
      </c>
      <c r="P1952">
        <v>0</v>
      </c>
      <c r="Q1952">
        <v>56.4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D1952">
        <v>56.4</v>
      </c>
    </row>
    <row r="1953" spans="1:30" x14ac:dyDescent="0.3">
      <c r="A1953" s="4">
        <v>1973</v>
      </c>
      <c r="B1953" s="5">
        <v>1946</v>
      </c>
      <c r="C1953">
        <v>1726</v>
      </c>
      <c r="D1953" t="s">
        <v>4289</v>
      </c>
      <c r="E1953" t="s">
        <v>178</v>
      </c>
      <c r="F1953" t="s">
        <v>243</v>
      </c>
      <c r="G1953" t="s">
        <v>4290</v>
      </c>
      <c r="H1953" t="str">
        <f>"201604004935"</f>
        <v>201604004935</v>
      </c>
      <c r="I1953">
        <v>43.2</v>
      </c>
      <c r="J1953">
        <v>0</v>
      </c>
      <c r="N1953">
        <v>0</v>
      </c>
      <c r="O1953">
        <v>4</v>
      </c>
      <c r="P1953">
        <v>0</v>
      </c>
      <c r="Q1953">
        <v>47.2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9</v>
      </c>
      <c r="AB1953">
        <v>0</v>
      </c>
      <c r="AD1953">
        <v>56.2</v>
      </c>
    </row>
    <row r="1954" spans="1:30" x14ac:dyDescent="0.3">
      <c r="A1954" s="4">
        <v>1974</v>
      </c>
      <c r="B1954" s="5">
        <v>1947</v>
      </c>
      <c r="C1954">
        <v>2000</v>
      </c>
      <c r="D1954" t="s">
        <v>4291</v>
      </c>
      <c r="E1954" t="s">
        <v>97</v>
      </c>
      <c r="F1954" t="s">
        <v>230</v>
      </c>
      <c r="G1954" t="s">
        <v>4292</v>
      </c>
      <c r="H1954" t="str">
        <f>"00073197"</f>
        <v>00073197</v>
      </c>
      <c r="I1954">
        <v>38.200000000000003</v>
      </c>
      <c r="J1954">
        <v>0</v>
      </c>
      <c r="K1954">
        <v>8</v>
      </c>
      <c r="N1954">
        <v>8</v>
      </c>
      <c r="O1954">
        <v>4</v>
      </c>
      <c r="P1954">
        <v>0</v>
      </c>
      <c r="Q1954">
        <v>50.2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6</v>
      </c>
      <c r="AB1954">
        <v>0</v>
      </c>
      <c r="AD1954">
        <v>56.2</v>
      </c>
    </row>
    <row r="1955" spans="1:30" x14ac:dyDescent="0.3">
      <c r="A1955" s="4">
        <v>1975</v>
      </c>
      <c r="B1955" s="5">
        <v>1948</v>
      </c>
      <c r="C1955">
        <v>2188</v>
      </c>
      <c r="D1955" t="s">
        <v>3889</v>
      </c>
      <c r="E1955" t="s">
        <v>1053</v>
      </c>
      <c r="F1955" t="s">
        <v>136</v>
      </c>
      <c r="G1955" t="s">
        <v>4293</v>
      </c>
      <c r="H1955" t="str">
        <f>"00861790"</f>
        <v>00861790</v>
      </c>
      <c r="I1955">
        <v>30.2</v>
      </c>
      <c r="J1955">
        <v>10</v>
      </c>
      <c r="K1955">
        <v>8</v>
      </c>
      <c r="N1955">
        <v>8</v>
      </c>
      <c r="O1955">
        <v>0</v>
      </c>
      <c r="P1955">
        <v>2</v>
      </c>
      <c r="Q1955">
        <v>50.2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6</v>
      </c>
      <c r="AB1955">
        <v>0</v>
      </c>
      <c r="AD1955">
        <v>56.2</v>
      </c>
    </row>
    <row r="1956" spans="1:30" x14ac:dyDescent="0.3">
      <c r="A1956" s="4">
        <v>1976</v>
      </c>
      <c r="B1956" s="5">
        <v>1949</v>
      </c>
      <c r="C1956">
        <v>2303</v>
      </c>
      <c r="D1956" t="s">
        <v>4294</v>
      </c>
      <c r="E1956" t="s">
        <v>4295</v>
      </c>
      <c r="F1956" t="s">
        <v>1265</v>
      </c>
      <c r="G1956" t="s">
        <v>4296</v>
      </c>
      <c r="H1956" t="str">
        <f>"00580445"</f>
        <v>00580445</v>
      </c>
      <c r="I1956">
        <v>39.200000000000003</v>
      </c>
      <c r="J1956">
        <v>0</v>
      </c>
      <c r="K1956">
        <v>8</v>
      </c>
      <c r="N1956">
        <v>8</v>
      </c>
      <c r="O1956">
        <v>4</v>
      </c>
      <c r="P1956">
        <v>2</v>
      </c>
      <c r="Q1956">
        <v>53.2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3</v>
      </c>
      <c r="AB1956">
        <v>0</v>
      </c>
      <c r="AD1956">
        <v>56.2</v>
      </c>
    </row>
    <row r="1957" spans="1:30" x14ac:dyDescent="0.3">
      <c r="A1957" s="4">
        <v>1977</v>
      </c>
      <c r="B1957" s="5">
        <v>1950</v>
      </c>
      <c r="C1957">
        <v>1182</v>
      </c>
      <c r="D1957" t="s">
        <v>4297</v>
      </c>
      <c r="E1957" t="s">
        <v>320</v>
      </c>
      <c r="F1957" t="s">
        <v>17</v>
      </c>
      <c r="G1957" t="s">
        <v>4298</v>
      </c>
      <c r="H1957" t="str">
        <f>"201511005766"</f>
        <v>201511005766</v>
      </c>
      <c r="I1957">
        <v>39.200000000000003</v>
      </c>
      <c r="J1957">
        <v>10</v>
      </c>
      <c r="N1957">
        <v>0</v>
      </c>
      <c r="O1957">
        <v>4</v>
      </c>
      <c r="P1957">
        <v>0</v>
      </c>
      <c r="Q1957">
        <v>53.2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3</v>
      </c>
      <c r="AB1957">
        <v>0</v>
      </c>
      <c r="AD1957">
        <v>56.2</v>
      </c>
    </row>
    <row r="1958" spans="1:30" x14ac:dyDescent="0.3">
      <c r="A1958" s="4">
        <v>1978</v>
      </c>
      <c r="B1958" s="5">
        <v>1951</v>
      </c>
      <c r="C1958">
        <v>920</v>
      </c>
      <c r="D1958" t="s">
        <v>4299</v>
      </c>
      <c r="E1958" t="s">
        <v>97</v>
      </c>
      <c r="F1958" t="s">
        <v>801</v>
      </c>
      <c r="G1958" t="s">
        <v>4300</v>
      </c>
      <c r="H1958" t="str">
        <f>"201402008298"</f>
        <v>201402008298</v>
      </c>
      <c r="I1958">
        <v>39.200000000000003</v>
      </c>
      <c r="J1958">
        <v>0</v>
      </c>
      <c r="K1958">
        <v>8</v>
      </c>
      <c r="N1958">
        <v>8</v>
      </c>
      <c r="O1958">
        <v>4</v>
      </c>
      <c r="P1958">
        <v>2</v>
      </c>
      <c r="Q1958">
        <v>53.2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3</v>
      </c>
      <c r="AB1958">
        <v>0</v>
      </c>
      <c r="AD1958">
        <v>56.2</v>
      </c>
    </row>
    <row r="1959" spans="1:30" x14ac:dyDescent="0.3">
      <c r="A1959" s="4">
        <v>1979</v>
      </c>
      <c r="B1959" s="5">
        <v>1952</v>
      </c>
      <c r="C1959">
        <v>2438</v>
      </c>
      <c r="D1959" t="s">
        <v>4301</v>
      </c>
      <c r="E1959" t="s">
        <v>213</v>
      </c>
      <c r="F1959" t="s">
        <v>190</v>
      </c>
      <c r="G1959" t="s">
        <v>4302</v>
      </c>
      <c r="H1959" t="str">
        <f>"00513022"</f>
        <v>00513022</v>
      </c>
      <c r="I1959">
        <v>7.2</v>
      </c>
      <c r="J1959">
        <v>0</v>
      </c>
      <c r="N1959">
        <v>0</v>
      </c>
      <c r="O1959">
        <v>4</v>
      </c>
      <c r="P1959">
        <v>2</v>
      </c>
      <c r="Q1959">
        <v>13.2</v>
      </c>
      <c r="R1959">
        <v>40</v>
      </c>
      <c r="S1959">
        <v>40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40</v>
      </c>
      <c r="AA1959">
        <v>3</v>
      </c>
      <c r="AB1959">
        <v>0</v>
      </c>
      <c r="AD1959">
        <v>56.2</v>
      </c>
    </row>
    <row r="1960" spans="1:30" x14ac:dyDescent="0.3">
      <c r="A1960" s="4">
        <v>1980</v>
      </c>
      <c r="B1960" s="5">
        <v>1953</v>
      </c>
      <c r="C1960">
        <v>295</v>
      </c>
      <c r="D1960" t="s">
        <v>4303</v>
      </c>
      <c r="E1960" t="s">
        <v>132</v>
      </c>
      <c r="F1960" t="s">
        <v>375</v>
      </c>
      <c r="G1960" t="s">
        <v>4304</v>
      </c>
      <c r="H1960" t="str">
        <f>"00654065"</f>
        <v>00654065</v>
      </c>
      <c r="I1960">
        <v>30.12</v>
      </c>
      <c r="J1960">
        <v>0</v>
      </c>
      <c r="L1960">
        <v>6</v>
      </c>
      <c r="N1960">
        <v>6</v>
      </c>
      <c r="O1960">
        <v>4</v>
      </c>
      <c r="P1960">
        <v>2</v>
      </c>
      <c r="Q1960">
        <v>42.12</v>
      </c>
      <c r="R1960">
        <v>8</v>
      </c>
      <c r="S1960">
        <v>8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8</v>
      </c>
      <c r="AA1960">
        <v>6</v>
      </c>
      <c r="AB1960">
        <v>0</v>
      </c>
      <c r="AD1960">
        <v>56.12</v>
      </c>
    </row>
    <row r="1961" spans="1:30" x14ac:dyDescent="0.3">
      <c r="A1961" s="4">
        <v>1981</v>
      </c>
      <c r="B1961" s="5">
        <v>1954</v>
      </c>
      <c r="C1961">
        <v>2807</v>
      </c>
      <c r="D1961" t="s">
        <v>2600</v>
      </c>
      <c r="E1961" t="s">
        <v>22</v>
      </c>
      <c r="F1961" t="s">
        <v>68</v>
      </c>
      <c r="G1961" t="s">
        <v>4305</v>
      </c>
      <c r="H1961" t="str">
        <f>"00603118"</f>
        <v>00603118</v>
      </c>
      <c r="I1961">
        <v>40</v>
      </c>
      <c r="J1961">
        <v>0</v>
      </c>
      <c r="M1961">
        <v>4</v>
      </c>
      <c r="N1961">
        <v>4</v>
      </c>
      <c r="O1961">
        <v>4</v>
      </c>
      <c r="P1961">
        <v>2</v>
      </c>
      <c r="Q1961">
        <v>50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6</v>
      </c>
      <c r="AB1961">
        <v>0</v>
      </c>
      <c r="AD1961">
        <v>56</v>
      </c>
    </row>
    <row r="1962" spans="1:30" x14ac:dyDescent="0.3">
      <c r="A1962" s="4">
        <v>1982</v>
      </c>
      <c r="B1962" s="5">
        <v>1955</v>
      </c>
      <c r="C1962">
        <v>1695</v>
      </c>
      <c r="D1962" t="s">
        <v>4306</v>
      </c>
      <c r="E1962" t="s">
        <v>161</v>
      </c>
      <c r="F1962" t="s">
        <v>38</v>
      </c>
      <c r="G1962" t="s">
        <v>4307</v>
      </c>
      <c r="H1962" t="str">
        <f>"00107301"</f>
        <v>00107301</v>
      </c>
      <c r="I1962">
        <v>40</v>
      </c>
      <c r="J1962">
        <v>0</v>
      </c>
      <c r="M1962">
        <v>4</v>
      </c>
      <c r="N1962">
        <v>4</v>
      </c>
      <c r="O1962">
        <v>4</v>
      </c>
      <c r="P1962">
        <v>2</v>
      </c>
      <c r="Q1962">
        <v>50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6</v>
      </c>
      <c r="AB1962">
        <v>0</v>
      </c>
      <c r="AD1962">
        <v>56</v>
      </c>
    </row>
    <row r="1963" spans="1:30" x14ac:dyDescent="0.3">
      <c r="A1963" s="4">
        <v>1983</v>
      </c>
      <c r="B1963" s="5">
        <v>1956</v>
      </c>
      <c r="C1963">
        <v>3120</v>
      </c>
      <c r="D1963" t="s">
        <v>4308</v>
      </c>
      <c r="E1963" t="s">
        <v>2838</v>
      </c>
      <c r="F1963" t="s">
        <v>442</v>
      </c>
      <c r="G1963" t="s">
        <v>4309</v>
      </c>
      <c r="H1963" t="str">
        <f>"00733708"</f>
        <v>00733708</v>
      </c>
      <c r="I1963">
        <v>40</v>
      </c>
      <c r="J1963">
        <v>0</v>
      </c>
      <c r="M1963">
        <v>4</v>
      </c>
      <c r="N1963">
        <v>4</v>
      </c>
      <c r="O1963">
        <v>4</v>
      </c>
      <c r="P1963">
        <v>2</v>
      </c>
      <c r="Q1963">
        <v>50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6</v>
      </c>
      <c r="AB1963">
        <v>0</v>
      </c>
      <c r="AD1963">
        <v>56</v>
      </c>
    </row>
    <row r="1964" spans="1:30" x14ac:dyDescent="0.3">
      <c r="A1964" s="4">
        <v>1984</v>
      </c>
      <c r="B1964" s="5">
        <v>1957</v>
      </c>
      <c r="C1964">
        <v>1027</v>
      </c>
      <c r="D1964" t="s">
        <v>4310</v>
      </c>
      <c r="E1964" t="s">
        <v>22</v>
      </c>
      <c r="F1964" t="s">
        <v>20</v>
      </c>
      <c r="G1964" t="s">
        <v>4311</v>
      </c>
      <c r="H1964" t="str">
        <f>"201511026865"</f>
        <v>201511026865</v>
      </c>
      <c r="I1964">
        <v>40</v>
      </c>
      <c r="J1964">
        <v>0</v>
      </c>
      <c r="M1964">
        <v>4</v>
      </c>
      <c r="N1964">
        <v>4</v>
      </c>
      <c r="O1964">
        <v>4</v>
      </c>
      <c r="P1964">
        <v>2</v>
      </c>
      <c r="Q1964">
        <v>50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6</v>
      </c>
      <c r="AB1964">
        <v>0</v>
      </c>
      <c r="AD1964">
        <v>56</v>
      </c>
    </row>
    <row r="1965" spans="1:30" x14ac:dyDescent="0.3">
      <c r="A1965" s="4">
        <v>1985</v>
      </c>
      <c r="B1965" s="5">
        <v>1958</v>
      </c>
      <c r="C1965">
        <v>1742</v>
      </c>
      <c r="D1965" t="s">
        <v>4312</v>
      </c>
      <c r="E1965" t="s">
        <v>560</v>
      </c>
      <c r="F1965" t="s">
        <v>1450</v>
      </c>
      <c r="G1965" t="s">
        <v>4313</v>
      </c>
      <c r="H1965" t="str">
        <f>"00307833"</f>
        <v>00307833</v>
      </c>
      <c r="I1965">
        <v>40</v>
      </c>
      <c r="J1965">
        <v>0</v>
      </c>
      <c r="M1965">
        <v>4</v>
      </c>
      <c r="N1965">
        <v>4</v>
      </c>
      <c r="O1965">
        <v>4</v>
      </c>
      <c r="P1965">
        <v>2</v>
      </c>
      <c r="Q1965">
        <v>50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6</v>
      </c>
      <c r="AB1965">
        <v>0</v>
      </c>
      <c r="AD1965">
        <v>56</v>
      </c>
    </row>
    <row r="1966" spans="1:30" x14ac:dyDescent="0.3">
      <c r="A1966" s="4">
        <v>1986</v>
      </c>
      <c r="B1966" s="5">
        <v>1959</v>
      </c>
      <c r="C1966">
        <v>4548</v>
      </c>
      <c r="D1966" t="s">
        <v>4314</v>
      </c>
      <c r="E1966" t="s">
        <v>2573</v>
      </c>
      <c r="F1966" t="s">
        <v>4315</v>
      </c>
      <c r="G1966" t="s">
        <v>4316</v>
      </c>
      <c r="H1966" t="str">
        <f>"00337739"</f>
        <v>00337739</v>
      </c>
      <c r="I1966">
        <v>38</v>
      </c>
      <c r="J1966">
        <v>0</v>
      </c>
      <c r="K1966">
        <v>8</v>
      </c>
      <c r="N1966">
        <v>8</v>
      </c>
      <c r="O1966">
        <v>4</v>
      </c>
      <c r="P1966">
        <v>0</v>
      </c>
      <c r="Q1966">
        <v>50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6</v>
      </c>
      <c r="AB1966">
        <v>0</v>
      </c>
      <c r="AD1966">
        <v>56</v>
      </c>
    </row>
    <row r="1967" spans="1:30" x14ac:dyDescent="0.3">
      <c r="A1967" s="4">
        <v>1987</v>
      </c>
      <c r="B1967" s="5">
        <v>1960</v>
      </c>
      <c r="C1967">
        <v>4477</v>
      </c>
      <c r="D1967" t="s">
        <v>4317</v>
      </c>
      <c r="E1967" t="s">
        <v>117</v>
      </c>
      <c r="F1967" t="s">
        <v>892</v>
      </c>
      <c r="G1967" t="s">
        <v>4318</v>
      </c>
      <c r="H1967" t="str">
        <f>"00860813"</f>
        <v>00860813</v>
      </c>
      <c r="I1967">
        <v>36</v>
      </c>
      <c r="J1967">
        <v>0</v>
      </c>
      <c r="K1967">
        <v>8</v>
      </c>
      <c r="N1967">
        <v>8</v>
      </c>
      <c r="O1967">
        <v>4</v>
      </c>
      <c r="P1967">
        <v>2</v>
      </c>
      <c r="Q1967">
        <v>50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6</v>
      </c>
      <c r="AB1967">
        <v>0</v>
      </c>
      <c r="AD1967">
        <v>56</v>
      </c>
    </row>
    <row r="1968" spans="1:30" x14ac:dyDescent="0.3">
      <c r="A1968" s="4">
        <v>1988</v>
      </c>
      <c r="B1968" s="5">
        <v>1961</v>
      </c>
      <c r="C1968">
        <v>621</v>
      </c>
      <c r="D1968" t="s">
        <v>4319</v>
      </c>
      <c r="E1968" t="s">
        <v>126</v>
      </c>
      <c r="F1968" t="s">
        <v>425</v>
      </c>
      <c r="G1968" t="s">
        <v>4320</v>
      </c>
      <c r="H1968" t="str">
        <f>"00726943"</f>
        <v>00726943</v>
      </c>
      <c r="I1968">
        <v>36</v>
      </c>
      <c r="J1968">
        <v>10</v>
      </c>
      <c r="N1968">
        <v>0</v>
      </c>
      <c r="O1968">
        <v>4</v>
      </c>
      <c r="P1968">
        <v>0</v>
      </c>
      <c r="Q1968">
        <v>50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6</v>
      </c>
      <c r="AB1968">
        <v>0</v>
      </c>
      <c r="AD1968">
        <v>56</v>
      </c>
    </row>
    <row r="1969" spans="1:30" x14ac:dyDescent="0.3">
      <c r="A1969" s="4">
        <v>1989</v>
      </c>
      <c r="B1969" s="5">
        <v>1962</v>
      </c>
      <c r="C1969">
        <v>2042</v>
      </c>
      <c r="D1969" t="s">
        <v>4321</v>
      </c>
      <c r="E1969" t="s">
        <v>54</v>
      </c>
      <c r="F1969" t="s">
        <v>68</v>
      </c>
      <c r="G1969" t="s">
        <v>4322</v>
      </c>
      <c r="H1969" t="str">
        <f>"200802008719"</f>
        <v>200802008719</v>
      </c>
      <c r="I1969">
        <v>36</v>
      </c>
      <c r="J1969">
        <v>0</v>
      </c>
      <c r="M1969">
        <v>8</v>
      </c>
      <c r="N1969">
        <v>8</v>
      </c>
      <c r="O1969">
        <v>4</v>
      </c>
      <c r="P1969">
        <v>2</v>
      </c>
      <c r="Q1969">
        <v>50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6</v>
      </c>
      <c r="AB1969">
        <v>0</v>
      </c>
      <c r="AD1969">
        <v>56</v>
      </c>
    </row>
    <row r="1970" spans="1:30" x14ac:dyDescent="0.3">
      <c r="A1970" s="4">
        <v>1990</v>
      </c>
      <c r="B1970" s="5">
        <v>1963</v>
      </c>
      <c r="C1970">
        <v>723</v>
      </c>
      <c r="D1970" t="s">
        <v>1530</v>
      </c>
      <c r="E1970" t="s">
        <v>110</v>
      </c>
      <c r="F1970" t="s">
        <v>17</v>
      </c>
      <c r="G1970" t="s">
        <v>4323</v>
      </c>
      <c r="H1970" t="str">
        <f>"201402008598"</f>
        <v>201402008598</v>
      </c>
      <c r="I1970">
        <v>40</v>
      </c>
      <c r="J1970">
        <v>10</v>
      </c>
      <c r="N1970">
        <v>0</v>
      </c>
      <c r="O1970">
        <v>4</v>
      </c>
      <c r="P1970">
        <v>2</v>
      </c>
      <c r="Q1970">
        <v>56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D1970">
        <v>56</v>
      </c>
    </row>
    <row r="1971" spans="1:30" x14ac:dyDescent="0.3">
      <c r="A1971" s="4">
        <v>1991</v>
      </c>
      <c r="B1971" s="5">
        <v>1964</v>
      </c>
      <c r="C1971">
        <v>2358</v>
      </c>
      <c r="D1971" t="s">
        <v>703</v>
      </c>
      <c r="E1971" t="s">
        <v>26</v>
      </c>
      <c r="F1971" t="s">
        <v>328</v>
      </c>
      <c r="G1971" t="s">
        <v>4324</v>
      </c>
      <c r="H1971" t="str">
        <f>"00855048"</f>
        <v>00855048</v>
      </c>
      <c r="I1971">
        <v>40</v>
      </c>
      <c r="J1971">
        <v>10</v>
      </c>
      <c r="N1971">
        <v>0</v>
      </c>
      <c r="O1971">
        <v>4</v>
      </c>
      <c r="P1971">
        <v>2</v>
      </c>
      <c r="Q1971">
        <v>56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D1971">
        <v>56</v>
      </c>
    </row>
    <row r="1972" spans="1:30" x14ac:dyDescent="0.3">
      <c r="A1972" s="4">
        <v>1992</v>
      </c>
      <c r="B1972" s="5">
        <v>1965</v>
      </c>
      <c r="C1972">
        <v>2749</v>
      </c>
      <c r="D1972" t="s">
        <v>4325</v>
      </c>
      <c r="E1972" t="s">
        <v>471</v>
      </c>
      <c r="F1972" t="s">
        <v>68</v>
      </c>
      <c r="G1972" t="s">
        <v>4326</v>
      </c>
      <c r="H1972" t="str">
        <f>"00859183"</f>
        <v>00859183</v>
      </c>
      <c r="I1972">
        <v>40</v>
      </c>
      <c r="J1972">
        <v>10</v>
      </c>
      <c r="N1972">
        <v>0</v>
      </c>
      <c r="O1972">
        <v>4</v>
      </c>
      <c r="P1972">
        <v>2</v>
      </c>
      <c r="Q1972">
        <v>56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D1972">
        <v>56</v>
      </c>
    </row>
    <row r="1973" spans="1:30" x14ac:dyDescent="0.3">
      <c r="A1973" s="4">
        <v>1993</v>
      </c>
      <c r="B1973" s="5">
        <v>1966</v>
      </c>
      <c r="C1973">
        <v>3286</v>
      </c>
      <c r="D1973" t="s">
        <v>181</v>
      </c>
      <c r="E1973" t="s">
        <v>29</v>
      </c>
      <c r="F1973" t="s">
        <v>3439</v>
      </c>
      <c r="G1973" t="s">
        <v>4327</v>
      </c>
      <c r="H1973" t="str">
        <f>"00221477"</f>
        <v>00221477</v>
      </c>
      <c r="I1973">
        <v>40</v>
      </c>
      <c r="J1973">
        <v>10</v>
      </c>
      <c r="N1973">
        <v>0</v>
      </c>
      <c r="O1973">
        <v>4</v>
      </c>
      <c r="P1973">
        <v>2</v>
      </c>
      <c r="Q1973">
        <v>56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D1973">
        <v>56</v>
      </c>
    </row>
    <row r="1974" spans="1:30" x14ac:dyDescent="0.3">
      <c r="A1974" s="4">
        <v>1994</v>
      </c>
      <c r="B1974" s="5">
        <v>1967</v>
      </c>
      <c r="C1974">
        <v>269</v>
      </c>
      <c r="D1974" t="s">
        <v>4328</v>
      </c>
      <c r="E1974" t="s">
        <v>3719</v>
      </c>
      <c r="F1974" t="s">
        <v>81</v>
      </c>
      <c r="G1974" t="s">
        <v>4329</v>
      </c>
      <c r="H1974" t="str">
        <f>"201402011092"</f>
        <v>201402011092</v>
      </c>
      <c r="I1974">
        <v>36</v>
      </c>
      <c r="J1974">
        <v>10</v>
      </c>
      <c r="M1974">
        <v>4</v>
      </c>
      <c r="N1974">
        <v>4</v>
      </c>
      <c r="O1974">
        <v>4</v>
      </c>
      <c r="P1974">
        <v>2</v>
      </c>
      <c r="Q1974">
        <v>56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D1974">
        <v>56</v>
      </c>
    </row>
    <row r="1975" spans="1:30" x14ac:dyDescent="0.3">
      <c r="A1975" s="4">
        <v>1995</v>
      </c>
      <c r="B1975" s="5">
        <v>1968</v>
      </c>
      <c r="C1975">
        <v>4601</v>
      </c>
      <c r="D1975" t="s">
        <v>4330</v>
      </c>
      <c r="E1975" t="s">
        <v>22</v>
      </c>
      <c r="F1975" t="s">
        <v>238</v>
      </c>
      <c r="G1975" t="s">
        <v>4331</v>
      </c>
      <c r="H1975" t="str">
        <f>"00808082"</f>
        <v>00808082</v>
      </c>
      <c r="I1975">
        <v>36</v>
      </c>
      <c r="J1975">
        <v>10</v>
      </c>
      <c r="L1975">
        <v>6</v>
      </c>
      <c r="N1975">
        <v>6</v>
      </c>
      <c r="O1975">
        <v>4</v>
      </c>
      <c r="P1975">
        <v>0</v>
      </c>
      <c r="Q1975">
        <v>56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D1975">
        <v>56</v>
      </c>
    </row>
    <row r="1976" spans="1:30" x14ac:dyDescent="0.3">
      <c r="A1976" s="4">
        <v>1996</v>
      </c>
      <c r="B1976" s="5">
        <v>1969</v>
      </c>
      <c r="C1976">
        <v>892</v>
      </c>
      <c r="D1976" t="s">
        <v>4332</v>
      </c>
      <c r="E1976" t="s">
        <v>157</v>
      </c>
      <c r="F1976" t="s">
        <v>38</v>
      </c>
      <c r="G1976" t="s">
        <v>4333</v>
      </c>
      <c r="H1976" t="str">
        <f>"200907000008"</f>
        <v>200907000008</v>
      </c>
      <c r="I1976">
        <v>20.92</v>
      </c>
      <c r="J1976">
        <v>10</v>
      </c>
      <c r="N1976">
        <v>0</v>
      </c>
      <c r="O1976">
        <v>4</v>
      </c>
      <c r="P1976">
        <v>2</v>
      </c>
      <c r="Q1976">
        <v>36.92</v>
      </c>
      <c r="R1976">
        <v>13</v>
      </c>
      <c r="S1976">
        <v>13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13</v>
      </c>
      <c r="AA1976">
        <v>6</v>
      </c>
      <c r="AB1976">
        <v>0</v>
      </c>
      <c r="AD1976">
        <v>55.92</v>
      </c>
    </row>
    <row r="1977" spans="1:30" x14ac:dyDescent="0.3">
      <c r="A1977" s="4">
        <v>1997</v>
      </c>
      <c r="B1977" s="5">
        <v>1970</v>
      </c>
      <c r="C1977">
        <v>2620</v>
      </c>
      <c r="D1977" t="s">
        <v>1250</v>
      </c>
      <c r="E1977" t="s">
        <v>97</v>
      </c>
      <c r="F1977" t="s">
        <v>442</v>
      </c>
      <c r="G1977" t="s">
        <v>4334</v>
      </c>
      <c r="H1977" t="str">
        <f>"00076768"</f>
        <v>00076768</v>
      </c>
      <c r="I1977">
        <v>22.92</v>
      </c>
      <c r="J1977">
        <v>0</v>
      </c>
      <c r="N1977">
        <v>0</v>
      </c>
      <c r="O1977">
        <v>4</v>
      </c>
      <c r="P1977">
        <v>0</v>
      </c>
      <c r="Q1977">
        <v>26.92</v>
      </c>
      <c r="R1977">
        <v>29</v>
      </c>
      <c r="S1977">
        <v>29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29</v>
      </c>
      <c r="AA1977">
        <v>0</v>
      </c>
      <c r="AB1977">
        <v>0</v>
      </c>
      <c r="AD1977">
        <v>55.92</v>
      </c>
    </row>
    <row r="1978" spans="1:30" x14ac:dyDescent="0.3">
      <c r="A1978" s="4">
        <v>1998</v>
      </c>
      <c r="B1978" s="5">
        <v>1971</v>
      </c>
      <c r="C1978">
        <v>4168</v>
      </c>
      <c r="D1978" t="s">
        <v>4335</v>
      </c>
      <c r="E1978" t="s">
        <v>29</v>
      </c>
      <c r="F1978" t="s">
        <v>878</v>
      </c>
      <c r="G1978" t="s">
        <v>4336</v>
      </c>
      <c r="H1978" t="str">
        <f>"00533022"</f>
        <v>00533022</v>
      </c>
      <c r="I1978">
        <v>14.4</v>
      </c>
      <c r="J1978">
        <v>10</v>
      </c>
      <c r="M1978">
        <v>4</v>
      </c>
      <c r="N1978">
        <v>4</v>
      </c>
      <c r="O1978">
        <v>4</v>
      </c>
      <c r="P1978">
        <v>0</v>
      </c>
      <c r="Q1978">
        <v>32.4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3</v>
      </c>
      <c r="AB1978">
        <v>20.399999999999999</v>
      </c>
      <c r="AD1978">
        <v>55.8</v>
      </c>
    </row>
    <row r="1979" spans="1:30" x14ac:dyDescent="0.3">
      <c r="A1979" s="4">
        <v>1999</v>
      </c>
      <c r="B1979" s="5">
        <v>1972</v>
      </c>
      <c r="C1979">
        <v>3900</v>
      </c>
      <c r="D1979" t="s">
        <v>4337</v>
      </c>
      <c r="E1979" t="s">
        <v>4338</v>
      </c>
      <c r="F1979" t="s">
        <v>1700</v>
      </c>
      <c r="G1979" t="s">
        <v>4339</v>
      </c>
      <c r="H1979" t="str">
        <f>"00450960"</f>
        <v>00450960</v>
      </c>
      <c r="I1979">
        <v>32.799999999999997</v>
      </c>
      <c r="J1979">
        <v>10</v>
      </c>
      <c r="N1979">
        <v>0</v>
      </c>
      <c r="O1979">
        <v>4</v>
      </c>
      <c r="P1979">
        <v>0</v>
      </c>
      <c r="Q1979">
        <v>46.8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9</v>
      </c>
      <c r="AB1979">
        <v>0</v>
      </c>
      <c r="AD1979">
        <v>55.8</v>
      </c>
    </row>
    <row r="1980" spans="1:30" x14ac:dyDescent="0.3">
      <c r="A1980" s="4">
        <v>2000</v>
      </c>
      <c r="B1980" s="5">
        <v>1973</v>
      </c>
      <c r="C1980">
        <v>270</v>
      </c>
      <c r="D1980" t="s">
        <v>229</v>
      </c>
      <c r="E1980" t="s">
        <v>26</v>
      </c>
      <c r="F1980" t="s">
        <v>20</v>
      </c>
      <c r="G1980" t="s">
        <v>4340</v>
      </c>
      <c r="H1980" t="str">
        <f>"00557473"</f>
        <v>00557473</v>
      </c>
      <c r="I1980">
        <v>28.8</v>
      </c>
      <c r="J1980">
        <v>10</v>
      </c>
      <c r="M1980">
        <v>4</v>
      </c>
      <c r="N1980">
        <v>4</v>
      </c>
      <c r="O1980">
        <v>4</v>
      </c>
      <c r="P1980">
        <v>0</v>
      </c>
      <c r="Q1980">
        <v>46.8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9</v>
      </c>
      <c r="AB1980">
        <v>0</v>
      </c>
      <c r="AD1980">
        <v>55.8</v>
      </c>
    </row>
    <row r="1981" spans="1:30" x14ac:dyDescent="0.3">
      <c r="A1981" s="4">
        <v>2001</v>
      </c>
      <c r="B1981" s="5">
        <v>1974</v>
      </c>
      <c r="C1981">
        <v>3455</v>
      </c>
      <c r="D1981" t="s">
        <v>4341</v>
      </c>
      <c r="E1981" t="s">
        <v>255</v>
      </c>
      <c r="F1981" t="s">
        <v>17</v>
      </c>
      <c r="G1981" t="s">
        <v>4342</v>
      </c>
      <c r="H1981" t="str">
        <f>"201512000648"</f>
        <v>201512000648</v>
      </c>
      <c r="I1981">
        <v>25.8</v>
      </c>
      <c r="J1981">
        <v>0</v>
      </c>
      <c r="N1981">
        <v>0</v>
      </c>
      <c r="O1981">
        <v>4</v>
      </c>
      <c r="P1981">
        <v>2</v>
      </c>
      <c r="Q1981">
        <v>31.8</v>
      </c>
      <c r="R1981">
        <v>18</v>
      </c>
      <c r="S1981">
        <v>18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18</v>
      </c>
      <c r="AA1981">
        <v>6</v>
      </c>
      <c r="AB1981">
        <v>0</v>
      </c>
      <c r="AD1981">
        <v>55.8</v>
      </c>
    </row>
    <row r="1982" spans="1:30" x14ac:dyDescent="0.3">
      <c r="A1982" s="4">
        <v>2002</v>
      </c>
      <c r="B1982" s="5">
        <v>1975</v>
      </c>
      <c r="C1982">
        <v>2533</v>
      </c>
      <c r="D1982" t="s">
        <v>4343</v>
      </c>
      <c r="E1982" t="s">
        <v>54</v>
      </c>
      <c r="F1982" t="s">
        <v>4344</v>
      </c>
      <c r="G1982" t="s">
        <v>4345</v>
      </c>
      <c r="H1982" t="str">
        <f>"00555680"</f>
        <v>00555680</v>
      </c>
      <c r="I1982">
        <v>38.799999999999997</v>
      </c>
      <c r="J1982">
        <v>10</v>
      </c>
      <c r="N1982">
        <v>0</v>
      </c>
      <c r="O1982">
        <v>4</v>
      </c>
      <c r="P1982">
        <v>0</v>
      </c>
      <c r="Q1982">
        <v>52.8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3</v>
      </c>
      <c r="AB1982">
        <v>0</v>
      </c>
      <c r="AD1982">
        <v>55.8</v>
      </c>
    </row>
    <row r="1983" spans="1:30" x14ac:dyDescent="0.3">
      <c r="A1983" s="4">
        <v>2003</v>
      </c>
      <c r="B1983" s="5">
        <v>1976</v>
      </c>
      <c r="C1983">
        <v>3870</v>
      </c>
      <c r="D1983" t="s">
        <v>4346</v>
      </c>
      <c r="E1983" t="s">
        <v>789</v>
      </c>
      <c r="F1983" t="s">
        <v>81</v>
      </c>
      <c r="G1983" t="s">
        <v>4347</v>
      </c>
      <c r="H1983" t="str">
        <f>"00390737"</f>
        <v>00390737</v>
      </c>
      <c r="I1983">
        <v>28.8</v>
      </c>
      <c r="J1983">
        <v>0</v>
      </c>
      <c r="N1983">
        <v>0</v>
      </c>
      <c r="O1983">
        <v>4</v>
      </c>
      <c r="P1983">
        <v>2</v>
      </c>
      <c r="Q1983">
        <v>34.799999999999997</v>
      </c>
      <c r="R1983">
        <v>18</v>
      </c>
      <c r="S1983">
        <v>18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18</v>
      </c>
      <c r="AA1983">
        <v>3</v>
      </c>
      <c r="AB1983">
        <v>0</v>
      </c>
      <c r="AD1983">
        <v>55.8</v>
      </c>
    </row>
    <row r="1984" spans="1:30" x14ac:dyDescent="0.3">
      <c r="A1984" s="4">
        <v>2004</v>
      </c>
      <c r="B1984" s="5">
        <v>1977</v>
      </c>
      <c r="C1984">
        <v>2065</v>
      </c>
      <c r="D1984" t="s">
        <v>181</v>
      </c>
      <c r="E1984" t="s">
        <v>115</v>
      </c>
      <c r="F1984" t="s">
        <v>20</v>
      </c>
      <c r="G1984" t="s">
        <v>4348</v>
      </c>
      <c r="H1984" t="str">
        <f>"00039352"</f>
        <v>00039352</v>
      </c>
      <c r="I1984">
        <v>37.72</v>
      </c>
      <c r="J1984">
        <v>0</v>
      </c>
      <c r="M1984">
        <v>8</v>
      </c>
      <c r="N1984">
        <v>8</v>
      </c>
      <c r="O1984">
        <v>4</v>
      </c>
      <c r="P1984">
        <v>0</v>
      </c>
      <c r="Q1984">
        <v>49.72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6</v>
      </c>
      <c r="AB1984">
        <v>0</v>
      </c>
      <c r="AD1984">
        <v>55.72</v>
      </c>
    </row>
    <row r="1985" spans="1:30" x14ac:dyDescent="0.3">
      <c r="A1985" s="4">
        <v>2005</v>
      </c>
      <c r="B1985" s="5">
        <v>1978</v>
      </c>
      <c r="C1985">
        <v>2069</v>
      </c>
      <c r="D1985" t="s">
        <v>4349</v>
      </c>
      <c r="E1985" t="s">
        <v>208</v>
      </c>
      <c r="F1985" t="s">
        <v>117</v>
      </c>
      <c r="G1985" t="s">
        <v>4350</v>
      </c>
      <c r="H1985" t="str">
        <f>"00560519"</f>
        <v>00560519</v>
      </c>
      <c r="I1985">
        <v>37.72</v>
      </c>
      <c r="J1985">
        <v>0</v>
      </c>
      <c r="K1985">
        <v>8</v>
      </c>
      <c r="N1985">
        <v>8</v>
      </c>
      <c r="O1985">
        <v>4</v>
      </c>
      <c r="P1985">
        <v>0</v>
      </c>
      <c r="Q1985">
        <v>49.72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6</v>
      </c>
      <c r="AB1985">
        <v>0</v>
      </c>
      <c r="AD1985">
        <v>55.72</v>
      </c>
    </row>
    <row r="1986" spans="1:30" x14ac:dyDescent="0.3">
      <c r="A1986" s="4">
        <v>2006</v>
      </c>
      <c r="B1986" s="5">
        <v>1979</v>
      </c>
      <c r="C1986">
        <v>1465</v>
      </c>
      <c r="D1986" t="s">
        <v>4351</v>
      </c>
      <c r="E1986" t="s">
        <v>1694</v>
      </c>
      <c r="F1986" t="s">
        <v>1998</v>
      </c>
      <c r="G1986" t="s">
        <v>4352</v>
      </c>
      <c r="H1986" t="str">
        <f>"00387762"</f>
        <v>00387762</v>
      </c>
      <c r="I1986">
        <v>39.6</v>
      </c>
      <c r="J1986">
        <v>0</v>
      </c>
      <c r="M1986">
        <v>4</v>
      </c>
      <c r="N1986">
        <v>4</v>
      </c>
      <c r="O1986">
        <v>4</v>
      </c>
      <c r="P1986">
        <v>2</v>
      </c>
      <c r="Q1986">
        <v>49.6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6</v>
      </c>
      <c r="AB1986">
        <v>0</v>
      </c>
      <c r="AD1986">
        <v>55.6</v>
      </c>
    </row>
    <row r="1987" spans="1:30" x14ac:dyDescent="0.3">
      <c r="A1987" s="4">
        <v>2007</v>
      </c>
      <c r="B1987" s="5">
        <v>1980</v>
      </c>
      <c r="C1987">
        <v>1541</v>
      </c>
      <c r="D1987" t="s">
        <v>4353</v>
      </c>
      <c r="E1987" t="s">
        <v>41</v>
      </c>
      <c r="F1987" t="s">
        <v>892</v>
      </c>
      <c r="G1987" t="s">
        <v>4354</v>
      </c>
      <c r="H1987" t="str">
        <f>"00194298"</f>
        <v>00194298</v>
      </c>
      <c r="I1987">
        <v>39.6</v>
      </c>
      <c r="J1987">
        <v>0</v>
      </c>
      <c r="M1987">
        <v>4</v>
      </c>
      <c r="N1987">
        <v>4</v>
      </c>
      <c r="O1987">
        <v>4</v>
      </c>
      <c r="P1987">
        <v>2</v>
      </c>
      <c r="Q1987">
        <v>49.6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6</v>
      </c>
      <c r="AB1987">
        <v>0</v>
      </c>
      <c r="AD1987">
        <v>55.6</v>
      </c>
    </row>
    <row r="1988" spans="1:30" x14ac:dyDescent="0.3">
      <c r="A1988" s="4">
        <v>2008</v>
      </c>
      <c r="B1988" s="5">
        <v>1981</v>
      </c>
      <c r="C1988">
        <v>2539</v>
      </c>
      <c r="D1988" t="s">
        <v>4355</v>
      </c>
      <c r="E1988" t="s">
        <v>957</v>
      </c>
      <c r="F1988" t="s">
        <v>124</v>
      </c>
      <c r="G1988" t="s">
        <v>4356</v>
      </c>
      <c r="H1988" t="str">
        <f>"00862022"</f>
        <v>00862022</v>
      </c>
      <c r="I1988">
        <v>39.6</v>
      </c>
      <c r="J1988">
        <v>0</v>
      </c>
      <c r="M1988">
        <v>4</v>
      </c>
      <c r="N1988">
        <v>4</v>
      </c>
      <c r="O1988">
        <v>4</v>
      </c>
      <c r="P1988">
        <v>2</v>
      </c>
      <c r="Q1988">
        <v>49.6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6</v>
      </c>
      <c r="AB1988">
        <v>0</v>
      </c>
      <c r="AD1988">
        <v>55.6</v>
      </c>
    </row>
    <row r="1989" spans="1:30" x14ac:dyDescent="0.3">
      <c r="A1989" s="4">
        <v>2009</v>
      </c>
      <c r="B1989" s="5">
        <v>1982</v>
      </c>
      <c r="C1989">
        <v>3011</v>
      </c>
      <c r="D1989" t="s">
        <v>4357</v>
      </c>
      <c r="E1989" t="s">
        <v>219</v>
      </c>
      <c r="F1989" t="s">
        <v>117</v>
      </c>
      <c r="G1989" t="s">
        <v>4358</v>
      </c>
      <c r="H1989" t="str">
        <f>"00090570"</f>
        <v>00090570</v>
      </c>
      <c r="I1989">
        <v>39.6</v>
      </c>
      <c r="J1989">
        <v>10</v>
      </c>
      <c r="N1989">
        <v>0</v>
      </c>
      <c r="O1989">
        <v>0</v>
      </c>
      <c r="P1989">
        <v>0</v>
      </c>
      <c r="Q1989">
        <v>49.6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6</v>
      </c>
      <c r="AB1989">
        <v>0</v>
      </c>
      <c r="AD1989">
        <v>55.6</v>
      </c>
    </row>
    <row r="1990" spans="1:30" x14ac:dyDescent="0.3">
      <c r="A1990" s="4">
        <v>2010</v>
      </c>
      <c r="B1990" s="5">
        <v>1983</v>
      </c>
      <c r="C1990">
        <v>3245</v>
      </c>
      <c r="D1990" t="s">
        <v>4359</v>
      </c>
      <c r="E1990" t="s">
        <v>157</v>
      </c>
      <c r="F1990" t="s">
        <v>158</v>
      </c>
      <c r="G1990" t="s">
        <v>4360</v>
      </c>
      <c r="H1990" t="str">
        <f>"00513349"</f>
        <v>00513349</v>
      </c>
      <c r="I1990">
        <v>31.6</v>
      </c>
      <c r="J1990">
        <v>0</v>
      </c>
      <c r="N1990">
        <v>0</v>
      </c>
      <c r="O1990">
        <v>0</v>
      </c>
      <c r="P1990">
        <v>2</v>
      </c>
      <c r="Q1990">
        <v>33.6</v>
      </c>
      <c r="R1990">
        <v>16</v>
      </c>
      <c r="S1990">
        <v>16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16</v>
      </c>
      <c r="AA1990">
        <v>6</v>
      </c>
      <c r="AB1990">
        <v>0</v>
      </c>
      <c r="AD1990">
        <v>55.6</v>
      </c>
    </row>
    <row r="1991" spans="1:30" x14ac:dyDescent="0.3">
      <c r="A1991" s="4">
        <v>2011</v>
      </c>
      <c r="B1991" s="5">
        <v>1984</v>
      </c>
      <c r="C1991">
        <v>3524</v>
      </c>
      <c r="D1991" t="s">
        <v>4361</v>
      </c>
      <c r="E1991" t="s">
        <v>4362</v>
      </c>
      <c r="F1991" t="s">
        <v>17</v>
      </c>
      <c r="G1991" t="s">
        <v>4363</v>
      </c>
      <c r="H1991" t="str">
        <f>"00526632"</f>
        <v>00526632</v>
      </c>
      <c r="I1991">
        <v>21.6</v>
      </c>
      <c r="J1991">
        <v>10</v>
      </c>
      <c r="N1991">
        <v>0</v>
      </c>
      <c r="O1991">
        <v>0</v>
      </c>
      <c r="P1991">
        <v>0</v>
      </c>
      <c r="Q1991">
        <v>31.6</v>
      </c>
      <c r="R1991">
        <v>18</v>
      </c>
      <c r="S1991">
        <v>18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18</v>
      </c>
      <c r="AA1991">
        <v>6</v>
      </c>
      <c r="AB1991">
        <v>0</v>
      </c>
      <c r="AD1991">
        <v>55.6</v>
      </c>
    </row>
    <row r="1992" spans="1:30" x14ac:dyDescent="0.3">
      <c r="A1992" s="4">
        <v>2012</v>
      </c>
      <c r="B1992" s="5">
        <v>1985</v>
      </c>
      <c r="C1992">
        <v>3634</v>
      </c>
      <c r="D1992" t="s">
        <v>4364</v>
      </c>
      <c r="E1992" t="s">
        <v>110</v>
      </c>
      <c r="F1992" t="s">
        <v>238</v>
      </c>
      <c r="G1992" t="s">
        <v>4365</v>
      </c>
      <c r="H1992" t="str">
        <f>"201401000829"</f>
        <v>201401000829</v>
      </c>
      <c r="I1992">
        <v>37.6</v>
      </c>
      <c r="J1992">
        <v>10</v>
      </c>
      <c r="M1992">
        <v>4</v>
      </c>
      <c r="N1992">
        <v>4</v>
      </c>
      <c r="O1992">
        <v>4</v>
      </c>
      <c r="P1992">
        <v>0</v>
      </c>
      <c r="Q1992">
        <v>55.6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D1992">
        <v>55.6</v>
      </c>
    </row>
    <row r="1993" spans="1:30" x14ac:dyDescent="0.3">
      <c r="A1993" s="4">
        <v>2013</v>
      </c>
      <c r="B1993" s="5">
        <v>1986</v>
      </c>
      <c r="C1993">
        <v>63</v>
      </c>
      <c r="D1993" t="s">
        <v>4366</v>
      </c>
      <c r="E1993" t="s">
        <v>1576</v>
      </c>
      <c r="F1993" t="s">
        <v>310</v>
      </c>
      <c r="G1993" t="s">
        <v>4367</v>
      </c>
      <c r="H1993" t="str">
        <f>"00472354"</f>
        <v>00472354</v>
      </c>
      <c r="I1993">
        <v>14.4</v>
      </c>
      <c r="J1993">
        <v>0</v>
      </c>
      <c r="N1993">
        <v>0</v>
      </c>
      <c r="O1993">
        <v>0</v>
      </c>
      <c r="P1993">
        <v>0</v>
      </c>
      <c r="Q1993">
        <v>14.4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9</v>
      </c>
      <c r="AB1993">
        <v>32</v>
      </c>
      <c r="AD1993">
        <v>55.4</v>
      </c>
    </row>
    <row r="1994" spans="1:30" x14ac:dyDescent="0.3">
      <c r="A1994" s="4">
        <v>2014</v>
      </c>
      <c r="B1994" s="5">
        <v>1987</v>
      </c>
      <c r="C1994">
        <v>1388</v>
      </c>
      <c r="D1994" t="s">
        <v>1641</v>
      </c>
      <c r="E1994" t="s">
        <v>2538</v>
      </c>
      <c r="F1994" t="s">
        <v>14</v>
      </c>
      <c r="G1994" t="s">
        <v>4368</v>
      </c>
      <c r="H1994" t="str">
        <f>"00557843"</f>
        <v>00557843</v>
      </c>
      <c r="I1994">
        <v>38.4</v>
      </c>
      <c r="J1994">
        <v>10</v>
      </c>
      <c r="N1994">
        <v>0</v>
      </c>
      <c r="O1994">
        <v>0</v>
      </c>
      <c r="P1994">
        <v>2</v>
      </c>
      <c r="Q1994">
        <v>50.4</v>
      </c>
      <c r="R1994">
        <v>5</v>
      </c>
      <c r="S1994">
        <v>5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5</v>
      </c>
      <c r="AA1994">
        <v>0</v>
      </c>
      <c r="AB1994">
        <v>0</v>
      </c>
      <c r="AD1994">
        <v>55.4</v>
      </c>
    </row>
    <row r="1995" spans="1:30" x14ac:dyDescent="0.3">
      <c r="A1995" s="4">
        <v>2015</v>
      </c>
      <c r="B1995" s="5">
        <v>1988</v>
      </c>
      <c r="C1995">
        <v>3110</v>
      </c>
      <c r="D1995" t="s">
        <v>4369</v>
      </c>
      <c r="E1995" t="s">
        <v>255</v>
      </c>
      <c r="F1995" t="s">
        <v>4370</v>
      </c>
      <c r="G1995" t="s">
        <v>4371</v>
      </c>
      <c r="H1995" t="str">
        <f>"00472669"</f>
        <v>00472669</v>
      </c>
      <c r="I1995">
        <v>36.4</v>
      </c>
      <c r="J1995">
        <v>10</v>
      </c>
      <c r="N1995">
        <v>0</v>
      </c>
      <c r="O1995">
        <v>4</v>
      </c>
      <c r="P1995">
        <v>0</v>
      </c>
      <c r="Q1995">
        <v>50.4</v>
      </c>
      <c r="R1995">
        <v>5</v>
      </c>
      <c r="S1995">
        <v>5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5</v>
      </c>
      <c r="AA1995">
        <v>0</v>
      </c>
      <c r="AB1995">
        <v>0</v>
      </c>
      <c r="AD1995">
        <v>55.4</v>
      </c>
    </row>
    <row r="1996" spans="1:30" x14ac:dyDescent="0.3">
      <c r="A1996" s="4">
        <v>2016</v>
      </c>
      <c r="B1996" s="5">
        <v>1989</v>
      </c>
      <c r="C1996">
        <v>3625</v>
      </c>
      <c r="D1996" t="s">
        <v>74</v>
      </c>
      <c r="E1996" t="s">
        <v>88</v>
      </c>
      <c r="F1996" t="s">
        <v>416</v>
      </c>
      <c r="G1996" t="s">
        <v>4372</v>
      </c>
      <c r="H1996" t="str">
        <f>"00161693"</f>
        <v>00161693</v>
      </c>
      <c r="I1996">
        <v>14.4</v>
      </c>
      <c r="J1996">
        <v>0</v>
      </c>
      <c r="M1996">
        <v>4</v>
      </c>
      <c r="N1996">
        <v>4</v>
      </c>
      <c r="O1996">
        <v>4</v>
      </c>
      <c r="P1996">
        <v>2</v>
      </c>
      <c r="Q1996">
        <v>24.4</v>
      </c>
      <c r="R1996">
        <v>31</v>
      </c>
      <c r="S1996">
        <v>31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31</v>
      </c>
      <c r="AA1996">
        <v>0</v>
      </c>
      <c r="AB1996">
        <v>0</v>
      </c>
      <c r="AD1996">
        <v>55.4</v>
      </c>
    </row>
    <row r="1997" spans="1:30" x14ac:dyDescent="0.3">
      <c r="A1997" s="4">
        <v>2017</v>
      </c>
      <c r="B1997" s="5">
        <v>1990</v>
      </c>
      <c r="C1997">
        <v>1142</v>
      </c>
      <c r="D1997" t="s">
        <v>4373</v>
      </c>
      <c r="E1997" t="s">
        <v>4374</v>
      </c>
      <c r="F1997" t="s">
        <v>17</v>
      </c>
      <c r="G1997" t="s">
        <v>4375</v>
      </c>
      <c r="H1997" t="str">
        <f>"00533196"</f>
        <v>00533196</v>
      </c>
      <c r="I1997">
        <v>20.28</v>
      </c>
      <c r="J1997">
        <v>0</v>
      </c>
      <c r="N1997">
        <v>0</v>
      </c>
      <c r="O1997">
        <v>0</v>
      </c>
      <c r="P1997">
        <v>0</v>
      </c>
      <c r="Q1997">
        <v>20.28</v>
      </c>
      <c r="R1997">
        <v>29</v>
      </c>
      <c r="S1997">
        <v>29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29</v>
      </c>
      <c r="AA1997">
        <v>6</v>
      </c>
      <c r="AB1997">
        <v>0</v>
      </c>
      <c r="AD1997">
        <v>55.28</v>
      </c>
    </row>
    <row r="1998" spans="1:30" x14ac:dyDescent="0.3">
      <c r="A1998" s="4">
        <v>2018</v>
      </c>
      <c r="B1998" s="5">
        <v>1991</v>
      </c>
      <c r="C1998">
        <v>912</v>
      </c>
      <c r="D1998" t="s">
        <v>3983</v>
      </c>
      <c r="E1998" t="s">
        <v>697</v>
      </c>
      <c r="F1998" t="s">
        <v>1460</v>
      </c>
      <c r="G1998" t="s">
        <v>4376</v>
      </c>
      <c r="H1998" t="str">
        <f>"00644628"</f>
        <v>00644628</v>
      </c>
      <c r="I1998">
        <v>43.2</v>
      </c>
      <c r="J1998">
        <v>0</v>
      </c>
      <c r="N1998">
        <v>0</v>
      </c>
      <c r="O1998">
        <v>4</v>
      </c>
      <c r="P1998">
        <v>2</v>
      </c>
      <c r="Q1998">
        <v>49.2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6</v>
      </c>
      <c r="AB1998">
        <v>0</v>
      </c>
      <c r="AD1998">
        <v>55.2</v>
      </c>
    </row>
    <row r="1999" spans="1:30" x14ac:dyDescent="0.3">
      <c r="A1999" s="4">
        <v>2019</v>
      </c>
      <c r="B1999" s="5">
        <v>1992</v>
      </c>
      <c r="C1999">
        <v>1990</v>
      </c>
      <c r="D1999" t="s">
        <v>4377</v>
      </c>
      <c r="E1999" t="s">
        <v>29</v>
      </c>
      <c r="F1999" t="s">
        <v>892</v>
      </c>
      <c r="G1999" t="s">
        <v>4378</v>
      </c>
      <c r="H1999" t="str">
        <f>"00756267"</f>
        <v>00756267</v>
      </c>
      <c r="I1999">
        <v>43.2</v>
      </c>
      <c r="J1999">
        <v>0</v>
      </c>
      <c r="N1999">
        <v>0</v>
      </c>
      <c r="O1999">
        <v>4</v>
      </c>
      <c r="P1999">
        <v>2</v>
      </c>
      <c r="Q1999">
        <v>49.2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6</v>
      </c>
      <c r="AB1999">
        <v>0</v>
      </c>
      <c r="AD1999">
        <v>55.2</v>
      </c>
    </row>
    <row r="2000" spans="1:30" x14ac:dyDescent="0.3">
      <c r="A2000" s="4">
        <v>2020</v>
      </c>
      <c r="B2000" s="5">
        <v>1993</v>
      </c>
      <c r="C2000">
        <v>1097</v>
      </c>
      <c r="D2000" t="s">
        <v>4379</v>
      </c>
      <c r="E2000" t="s">
        <v>100</v>
      </c>
      <c r="F2000" t="s">
        <v>4380</v>
      </c>
      <c r="G2000" t="s">
        <v>4381</v>
      </c>
      <c r="H2000" t="str">
        <f>"00686375"</f>
        <v>00686375</v>
      </c>
      <c r="I2000">
        <v>43.2</v>
      </c>
      <c r="J2000">
        <v>0</v>
      </c>
      <c r="N2000">
        <v>0</v>
      </c>
      <c r="O2000">
        <v>4</v>
      </c>
      <c r="P2000">
        <v>2</v>
      </c>
      <c r="Q2000">
        <v>49.2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6</v>
      </c>
      <c r="AB2000">
        <v>0</v>
      </c>
      <c r="AD2000">
        <v>55.2</v>
      </c>
    </row>
    <row r="2001" spans="1:30" x14ac:dyDescent="0.3">
      <c r="A2001" s="4">
        <v>2021</v>
      </c>
      <c r="B2001" s="5">
        <v>1994</v>
      </c>
      <c r="C2001">
        <v>2858</v>
      </c>
      <c r="D2001" t="s">
        <v>4382</v>
      </c>
      <c r="E2001" t="s">
        <v>132</v>
      </c>
      <c r="F2001" t="s">
        <v>17</v>
      </c>
      <c r="G2001" t="s">
        <v>4383</v>
      </c>
      <c r="H2001" t="str">
        <f>"201402001901"</f>
        <v>201402001901</v>
      </c>
      <c r="I2001">
        <v>39.200000000000003</v>
      </c>
      <c r="J2001">
        <v>0</v>
      </c>
      <c r="M2001">
        <v>4</v>
      </c>
      <c r="N2001">
        <v>4</v>
      </c>
      <c r="O2001">
        <v>4</v>
      </c>
      <c r="P2001">
        <v>2</v>
      </c>
      <c r="Q2001">
        <v>49.2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6</v>
      </c>
      <c r="AB2001">
        <v>0</v>
      </c>
      <c r="AD2001">
        <v>55.2</v>
      </c>
    </row>
    <row r="2002" spans="1:30" x14ac:dyDescent="0.3">
      <c r="A2002" s="4">
        <v>2022</v>
      </c>
      <c r="B2002" s="5">
        <v>1995</v>
      </c>
      <c r="C2002">
        <v>1650</v>
      </c>
      <c r="D2002" t="s">
        <v>4189</v>
      </c>
      <c r="E2002" t="s">
        <v>29</v>
      </c>
      <c r="F2002" t="s">
        <v>30</v>
      </c>
      <c r="G2002" t="s">
        <v>4384</v>
      </c>
      <c r="H2002" t="str">
        <f>"00509754"</f>
        <v>00509754</v>
      </c>
      <c r="I2002">
        <v>18.2</v>
      </c>
      <c r="J2002">
        <v>0</v>
      </c>
      <c r="N2002">
        <v>0</v>
      </c>
      <c r="O2002">
        <v>0</v>
      </c>
      <c r="P2002">
        <v>0</v>
      </c>
      <c r="Q2002">
        <v>18.2</v>
      </c>
      <c r="R2002">
        <v>31</v>
      </c>
      <c r="S2002">
        <v>31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31</v>
      </c>
      <c r="AA2002">
        <v>6</v>
      </c>
      <c r="AB2002">
        <v>0</v>
      </c>
      <c r="AD2002">
        <v>55.2</v>
      </c>
    </row>
    <row r="2003" spans="1:30" x14ac:dyDescent="0.3">
      <c r="A2003" s="4">
        <v>2023</v>
      </c>
      <c r="B2003" s="5">
        <v>1996</v>
      </c>
      <c r="C2003">
        <v>1165</v>
      </c>
      <c r="D2003" t="s">
        <v>1907</v>
      </c>
      <c r="E2003" t="s">
        <v>182</v>
      </c>
      <c r="F2003" t="s">
        <v>30</v>
      </c>
      <c r="G2003" t="s">
        <v>4385</v>
      </c>
      <c r="H2003" t="str">
        <f>"201511031150"</f>
        <v>201511031150</v>
      </c>
      <c r="I2003">
        <v>43.2</v>
      </c>
      <c r="J2003">
        <v>0</v>
      </c>
      <c r="K2003">
        <v>8</v>
      </c>
      <c r="N2003">
        <v>8</v>
      </c>
      <c r="O2003">
        <v>4</v>
      </c>
      <c r="P2003">
        <v>0</v>
      </c>
      <c r="Q2003">
        <v>55.2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D2003">
        <v>55.2</v>
      </c>
    </row>
    <row r="2004" spans="1:30" x14ac:dyDescent="0.3">
      <c r="A2004" s="4">
        <v>2024</v>
      </c>
      <c r="B2004" s="5">
        <v>1997</v>
      </c>
      <c r="C2004">
        <v>4639</v>
      </c>
      <c r="D2004" t="s">
        <v>4386</v>
      </c>
      <c r="E2004" t="s">
        <v>132</v>
      </c>
      <c r="F2004" t="s">
        <v>34</v>
      </c>
      <c r="G2004" t="s">
        <v>4387</v>
      </c>
      <c r="H2004" t="str">
        <f>"00529340"</f>
        <v>00529340</v>
      </c>
      <c r="I2004">
        <v>43.2</v>
      </c>
      <c r="J2004">
        <v>0</v>
      </c>
      <c r="L2004">
        <v>6</v>
      </c>
      <c r="N2004">
        <v>6</v>
      </c>
      <c r="O2004">
        <v>4</v>
      </c>
      <c r="P2004">
        <v>2</v>
      </c>
      <c r="Q2004">
        <v>55.2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D2004">
        <v>55.2</v>
      </c>
    </row>
    <row r="2005" spans="1:30" x14ac:dyDescent="0.3">
      <c r="A2005" s="4">
        <v>2025</v>
      </c>
      <c r="B2005" s="5">
        <v>1998</v>
      </c>
      <c r="C2005">
        <v>3479</v>
      </c>
      <c r="D2005" t="s">
        <v>4388</v>
      </c>
      <c r="E2005" t="s">
        <v>54</v>
      </c>
      <c r="F2005" t="s">
        <v>652</v>
      </c>
      <c r="G2005" t="s">
        <v>4389</v>
      </c>
      <c r="H2005" t="str">
        <f>"00859483"</f>
        <v>00859483</v>
      </c>
      <c r="I2005">
        <v>43.2</v>
      </c>
      <c r="J2005">
        <v>0</v>
      </c>
      <c r="K2005">
        <v>8</v>
      </c>
      <c r="N2005">
        <v>8</v>
      </c>
      <c r="O2005">
        <v>4</v>
      </c>
      <c r="P2005">
        <v>0</v>
      </c>
      <c r="Q2005">
        <v>55.2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D2005">
        <v>55.2</v>
      </c>
    </row>
    <row r="2006" spans="1:30" x14ac:dyDescent="0.3">
      <c r="A2006" s="4">
        <v>2026</v>
      </c>
      <c r="B2006" s="5">
        <v>1999</v>
      </c>
      <c r="C2006">
        <v>984</v>
      </c>
      <c r="D2006" t="s">
        <v>4390</v>
      </c>
      <c r="E2006" t="s">
        <v>4391</v>
      </c>
      <c r="F2006" t="s">
        <v>20</v>
      </c>
      <c r="G2006" t="s">
        <v>4392</v>
      </c>
      <c r="H2006" t="str">
        <f>"00316148"</f>
        <v>00316148</v>
      </c>
      <c r="I2006">
        <v>43.2</v>
      </c>
      <c r="J2006">
        <v>0</v>
      </c>
      <c r="L2006">
        <v>6</v>
      </c>
      <c r="N2006">
        <v>6</v>
      </c>
      <c r="O2006">
        <v>4</v>
      </c>
      <c r="P2006">
        <v>2</v>
      </c>
      <c r="Q2006">
        <v>55.2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D2006">
        <v>55.2</v>
      </c>
    </row>
    <row r="2007" spans="1:30" x14ac:dyDescent="0.3">
      <c r="A2007" s="4">
        <v>2027</v>
      </c>
      <c r="B2007" s="5">
        <v>2000</v>
      </c>
      <c r="C2007">
        <v>2262</v>
      </c>
      <c r="D2007" t="s">
        <v>1613</v>
      </c>
      <c r="E2007" t="s">
        <v>3964</v>
      </c>
      <c r="F2007" t="s">
        <v>117</v>
      </c>
      <c r="G2007" t="s">
        <v>4393</v>
      </c>
      <c r="H2007" t="str">
        <f>"00804812"</f>
        <v>00804812</v>
      </c>
      <c r="I2007">
        <v>39.200000000000003</v>
      </c>
      <c r="J2007">
        <v>10</v>
      </c>
      <c r="N2007">
        <v>0</v>
      </c>
      <c r="O2007">
        <v>4</v>
      </c>
      <c r="P2007">
        <v>2</v>
      </c>
      <c r="Q2007">
        <v>55.2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D2007">
        <v>55.2</v>
      </c>
    </row>
    <row r="2008" spans="1:30" x14ac:dyDescent="0.3">
      <c r="A2008" s="4">
        <v>2028</v>
      </c>
      <c r="B2008" s="5">
        <v>2001</v>
      </c>
      <c r="C2008">
        <v>1862</v>
      </c>
      <c r="D2008" t="s">
        <v>1822</v>
      </c>
      <c r="E2008" t="s">
        <v>789</v>
      </c>
      <c r="F2008" t="s">
        <v>2442</v>
      </c>
      <c r="G2008" t="s">
        <v>4394</v>
      </c>
      <c r="H2008" t="str">
        <f>"00077045"</f>
        <v>00077045</v>
      </c>
      <c r="I2008">
        <v>29.08</v>
      </c>
      <c r="J2008">
        <v>10</v>
      </c>
      <c r="M2008">
        <v>4</v>
      </c>
      <c r="N2008">
        <v>4</v>
      </c>
      <c r="O2008">
        <v>4</v>
      </c>
      <c r="P2008">
        <v>2</v>
      </c>
      <c r="Q2008">
        <v>49.08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6</v>
      </c>
      <c r="AB2008">
        <v>0</v>
      </c>
      <c r="AD2008">
        <v>55.08</v>
      </c>
    </row>
    <row r="2009" spans="1:30" x14ac:dyDescent="0.3">
      <c r="A2009" s="4">
        <v>2029</v>
      </c>
      <c r="B2009" s="5">
        <v>2002</v>
      </c>
      <c r="C2009">
        <v>2504</v>
      </c>
      <c r="D2009" t="s">
        <v>3253</v>
      </c>
      <c r="E2009" t="s">
        <v>182</v>
      </c>
      <c r="F2009" t="s">
        <v>38</v>
      </c>
      <c r="G2009" t="s">
        <v>4395</v>
      </c>
      <c r="H2009" t="str">
        <f>"00525909"</f>
        <v>00525909</v>
      </c>
      <c r="I2009">
        <v>40</v>
      </c>
      <c r="J2009">
        <v>0</v>
      </c>
      <c r="L2009">
        <v>6</v>
      </c>
      <c r="N2009">
        <v>6</v>
      </c>
      <c r="O2009">
        <v>4</v>
      </c>
      <c r="P2009">
        <v>2</v>
      </c>
      <c r="Q2009">
        <v>52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3</v>
      </c>
      <c r="AB2009">
        <v>0</v>
      </c>
      <c r="AD2009">
        <v>55</v>
      </c>
    </row>
    <row r="2010" spans="1:30" x14ac:dyDescent="0.3">
      <c r="A2010" s="4">
        <v>2030</v>
      </c>
      <c r="B2010" s="5">
        <v>2003</v>
      </c>
      <c r="C2010">
        <v>1051</v>
      </c>
      <c r="D2010" t="s">
        <v>4396</v>
      </c>
      <c r="E2010" t="s">
        <v>29</v>
      </c>
      <c r="F2010" t="s">
        <v>652</v>
      </c>
      <c r="G2010" t="s">
        <v>4397</v>
      </c>
      <c r="H2010" t="str">
        <f>"00857787"</f>
        <v>00857787</v>
      </c>
      <c r="I2010">
        <v>40</v>
      </c>
      <c r="J2010">
        <v>0</v>
      </c>
      <c r="L2010">
        <v>6</v>
      </c>
      <c r="N2010">
        <v>6</v>
      </c>
      <c r="O2010">
        <v>4</v>
      </c>
      <c r="P2010">
        <v>2</v>
      </c>
      <c r="Q2010">
        <v>52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3</v>
      </c>
      <c r="AB2010">
        <v>0</v>
      </c>
      <c r="AD2010">
        <v>55</v>
      </c>
    </row>
    <row r="2011" spans="1:30" x14ac:dyDescent="0.3">
      <c r="A2011" s="4">
        <v>2031</v>
      </c>
      <c r="B2011" s="5">
        <v>2004</v>
      </c>
      <c r="C2011">
        <v>495</v>
      </c>
      <c r="D2011" t="s">
        <v>4398</v>
      </c>
      <c r="E2011" t="s">
        <v>166</v>
      </c>
      <c r="F2011" t="s">
        <v>55</v>
      </c>
      <c r="G2011" t="s">
        <v>4399</v>
      </c>
      <c r="H2011" t="str">
        <f>"00526739"</f>
        <v>00526739</v>
      </c>
      <c r="I2011">
        <v>12</v>
      </c>
      <c r="J2011">
        <v>10</v>
      </c>
      <c r="N2011">
        <v>0</v>
      </c>
      <c r="O2011">
        <v>0</v>
      </c>
      <c r="P2011">
        <v>0</v>
      </c>
      <c r="Q2011">
        <v>22</v>
      </c>
      <c r="R2011">
        <v>30</v>
      </c>
      <c r="S2011">
        <v>30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30</v>
      </c>
      <c r="AA2011">
        <v>3</v>
      </c>
      <c r="AB2011">
        <v>0</v>
      </c>
      <c r="AD2011">
        <v>55</v>
      </c>
    </row>
    <row r="2012" spans="1:30" x14ac:dyDescent="0.3">
      <c r="A2012" s="4">
        <v>2032</v>
      </c>
      <c r="B2012" s="5">
        <v>2005</v>
      </c>
      <c r="C2012">
        <v>1382</v>
      </c>
      <c r="D2012" t="s">
        <v>4400</v>
      </c>
      <c r="E2012" t="s">
        <v>4401</v>
      </c>
      <c r="F2012" t="s">
        <v>17</v>
      </c>
      <c r="G2012" t="s">
        <v>4402</v>
      </c>
      <c r="H2012" t="str">
        <f>"00533647"</f>
        <v>00533647</v>
      </c>
      <c r="I2012">
        <v>36</v>
      </c>
      <c r="J2012">
        <v>0</v>
      </c>
      <c r="M2012">
        <v>4</v>
      </c>
      <c r="N2012">
        <v>4</v>
      </c>
      <c r="O2012">
        <v>4</v>
      </c>
      <c r="P2012">
        <v>2</v>
      </c>
      <c r="Q2012">
        <v>46</v>
      </c>
      <c r="R2012">
        <v>9</v>
      </c>
      <c r="S2012">
        <v>9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9</v>
      </c>
      <c r="AA2012">
        <v>0</v>
      </c>
      <c r="AB2012">
        <v>0</v>
      </c>
      <c r="AD2012">
        <v>55</v>
      </c>
    </row>
    <row r="2013" spans="1:30" x14ac:dyDescent="0.3">
      <c r="A2013" s="4">
        <v>2033</v>
      </c>
      <c r="B2013" s="5">
        <v>2006</v>
      </c>
      <c r="C2013">
        <v>372</v>
      </c>
      <c r="D2013" t="s">
        <v>3200</v>
      </c>
      <c r="E2013" t="s">
        <v>88</v>
      </c>
      <c r="F2013" t="s">
        <v>892</v>
      </c>
      <c r="G2013" t="s">
        <v>4403</v>
      </c>
      <c r="H2013" t="str">
        <f>"00580854"</f>
        <v>00580854</v>
      </c>
      <c r="I2013">
        <v>38.92</v>
      </c>
      <c r="J2013">
        <v>0</v>
      </c>
      <c r="M2013">
        <v>4</v>
      </c>
      <c r="N2013">
        <v>4</v>
      </c>
      <c r="O2013">
        <v>4</v>
      </c>
      <c r="P2013">
        <v>2</v>
      </c>
      <c r="Q2013">
        <v>48.92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6</v>
      </c>
      <c r="AB2013">
        <v>0</v>
      </c>
      <c r="AD2013">
        <v>54.92</v>
      </c>
    </row>
    <row r="2014" spans="1:30" x14ac:dyDescent="0.3">
      <c r="A2014" s="4">
        <v>2034</v>
      </c>
      <c r="B2014" s="5">
        <v>2007</v>
      </c>
      <c r="C2014">
        <v>195</v>
      </c>
      <c r="D2014" t="s">
        <v>4404</v>
      </c>
      <c r="E2014" t="s">
        <v>29</v>
      </c>
      <c r="F2014" t="s">
        <v>4405</v>
      </c>
      <c r="G2014">
        <v>335596</v>
      </c>
      <c r="H2014" t="str">
        <f>"00471888"</f>
        <v>00471888</v>
      </c>
      <c r="I2014">
        <v>28.8</v>
      </c>
      <c r="J2014">
        <v>10</v>
      </c>
      <c r="N2014">
        <v>0</v>
      </c>
      <c r="O2014">
        <v>4</v>
      </c>
      <c r="P2014">
        <v>0</v>
      </c>
      <c r="Q2014">
        <v>42.8</v>
      </c>
      <c r="R2014">
        <v>6</v>
      </c>
      <c r="S2014">
        <v>6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6</v>
      </c>
      <c r="AA2014">
        <v>6</v>
      </c>
      <c r="AB2014">
        <v>0</v>
      </c>
      <c r="AD2014">
        <v>54.8</v>
      </c>
    </row>
    <row r="2015" spans="1:30" x14ac:dyDescent="0.3">
      <c r="A2015" s="4">
        <v>2035</v>
      </c>
      <c r="B2015" s="5">
        <v>2008</v>
      </c>
      <c r="C2015">
        <v>2788</v>
      </c>
      <c r="D2015" t="s">
        <v>1896</v>
      </c>
      <c r="E2015" t="s">
        <v>97</v>
      </c>
      <c r="F2015" t="s">
        <v>167</v>
      </c>
      <c r="G2015" t="s">
        <v>4406</v>
      </c>
      <c r="H2015" t="str">
        <f>"00502323"</f>
        <v>00502323</v>
      </c>
      <c r="I2015">
        <v>38.799999999999997</v>
      </c>
      <c r="J2015">
        <v>0</v>
      </c>
      <c r="L2015">
        <v>6</v>
      </c>
      <c r="M2015">
        <v>4</v>
      </c>
      <c r="N2015">
        <v>10</v>
      </c>
      <c r="O2015">
        <v>4</v>
      </c>
      <c r="P2015">
        <v>2</v>
      </c>
      <c r="Q2015">
        <v>54.8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D2015">
        <v>54.8</v>
      </c>
    </row>
    <row r="2016" spans="1:30" x14ac:dyDescent="0.3">
      <c r="A2016" s="4">
        <v>2036</v>
      </c>
      <c r="B2016" s="5">
        <v>2009</v>
      </c>
      <c r="C2016">
        <v>2140</v>
      </c>
      <c r="D2016" t="s">
        <v>4407</v>
      </c>
      <c r="E2016" t="s">
        <v>132</v>
      </c>
      <c r="F2016" t="s">
        <v>81</v>
      </c>
      <c r="G2016" t="s">
        <v>4408</v>
      </c>
      <c r="H2016" t="str">
        <f>"00613826"</f>
        <v>00613826</v>
      </c>
      <c r="I2016">
        <v>38.799999999999997</v>
      </c>
      <c r="J2016">
        <v>10</v>
      </c>
      <c r="N2016">
        <v>0</v>
      </c>
      <c r="O2016">
        <v>4</v>
      </c>
      <c r="P2016">
        <v>2</v>
      </c>
      <c r="Q2016">
        <v>54.8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D2016">
        <v>54.8</v>
      </c>
    </row>
    <row r="2017" spans="1:30" x14ac:dyDescent="0.3">
      <c r="A2017" s="4">
        <v>2037</v>
      </c>
      <c r="B2017" s="5">
        <v>2010</v>
      </c>
      <c r="C2017">
        <v>450</v>
      </c>
      <c r="D2017" t="s">
        <v>4409</v>
      </c>
      <c r="E2017" t="s">
        <v>286</v>
      </c>
      <c r="F2017" t="s">
        <v>190</v>
      </c>
      <c r="G2017" t="s">
        <v>4410</v>
      </c>
      <c r="H2017" t="str">
        <f>"00616510"</f>
        <v>00616510</v>
      </c>
      <c r="I2017">
        <v>38.799999999999997</v>
      </c>
      <c r="J2017">
        <v>10</v>
      </c>
      <c r="N2017">
        <v>0</v>
      </c>
      <c r="O2017">
        <v>4</v>
      </c>
      <c r="P2017">
        <v>2</v>
      </c>
      <c r="Q2017">
        <v>54.8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D2017">
        <v>54.8</v>
      </c>
    </row>
    <row r="2018" spans="1:30" x14ac:dyDescent="0.3">
      <c r="A2018" s="4">
        <v>2038</v>
      </c>
      <c r="B2018" s="5">
        <v>2011</v>
      </c>
      <c r="C2018">
        <v>2357</v>
      </c>
      <c r="D2018" t="s">
        <v>4411</v>
      </c>
      <c r="E2018" t="s">
        <v>115</v>
      </c>
      <c r="F2018" t="s">
        <v>117</v>
      </c>
      <c r="G2018" t="s">
        <v>4412</v>
      </c>
      <c r="H2018" t="str">
        <f>"00510438"</f>
        <v>00510438</v>
      </c>
      <c r="I2018">
        <v>28.8</v>
      </c>
      <c r="J2018">
        <v>0</v>
      </c>
      <c r="M2018">
        <v>4</v>
      </c>
      <c r="N2018">
        <v>4</v>
      </c>
      <c r="O2018">
        <v>4</v>
      </c>
      <c r="P2018">
        <v>2</v>
      </c>
      <c r="Q2018">
        <v>38.799999999999997</v>
      </c>
      <c r="R2018">
        <v>16</v>
      </c>
      <c r="S2018">
        <v>16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16</v>
      </c>
      <c r="AA2018">
        <v>0</v>
      </c>
      <c r="AB2018">
        <v>0</v>
      </c>
      <c r="AD2018">
        <v>54.8</v>
      </c>
    </row>
    <row r="2019" spans="1:30" x14ac:dyDescent="0.3">
      <c r="A2019" s="4">
        <v>2039</v>
      </c>
      <c r="B2019" s="5">
        <v>2012</v>
      </c>
      <c r="C2019">
        <v>4696</v>
      </c>
      <c r="D2019" t="s">
        <v>4413</v>
      </c>
      <c r="E2019" t="s">
        <v>471</v>
      </c>
      <c r="F2019" t="s">
        <v>124</v>
      </c>
      <c r="G2019" t="s">
        <v>4414</v>
      </c>
      <c r="H2019" t="str">
        <f>"00865667"</f>
        <v>00865667</v>
      </c>
      <c r="I2019">
        <v>37.76</v>
      </c>
      <c r="J2019">
        <v>10</v>
      </c>
      <c r="N2019">
        <v>0</v>
      </c>
      <c r="O2019">
        <v>4</v>
      </c>
      <c r="P2019">
        <v>0</v>
      </c>
      <c r="Q2019">
        <v>51.76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3</v>
      </c>
      <c r="AB2019">
        <v>0</v>
      </c>
      <c r="AD2019">
        <v>54.76</v>
      </c>
    </row>
    <row r="2020" spans="1:30" x14ac:dyDescent="0.3">
      <c r="A2020" s="4">
        <v>2040</v>
      </c>
      <c r="B2020" s="5">
        <v>2013</v>
      </c>
      <c r="C2020">
        <v>4232</v>
      </c>
      <c r="D2020" t="s">
        <v>4415</v>
      </c>
      <c r="E2020" t="s">
        <v>471</v>
      </c>
      <c r="F2020" t="s">
        <v>38</v>
      </c>
      <c r="G2020" t="s">
        <v>4416</v>
      </c>
      <c r="H2020" t="str">
        <f>"00531791"</f>
        <v>00531791</v>
      </c>
      <c r="I2020">
        <v>19.68</v>
      </c>
      <c r="J2020">
        <v>10</v>
      </c>
      <c r="N2020">
        <v>0</v>
      </c>
      <c r="O2020">
        <v>4</v>
      </c>
      <c r="P2020">
        <v>2</v>
      </c>
      <c r="Q2020">
        <v>35.68</v>
      </c>
      <c r="R2020">
        <v>13</v>
      </c>
      <c r="S2020">
        <v>13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13</v>
      </c>
      <c r="AA2020">
        <v>6</v>
      </c>
      <c r="AB2020">
        <v>0</v>
      </c>
      <c r="AD2020">
        <v>54.68</v>
      </c>
    </row>
    <row r="2021" spans="1:30" x14ac:dyDescent="0.3">
      <c r="A2021" s="4">
        <v>2041</v>
      </c>
      <c r="B2021" s="5">
        <v>2014</v>
      </c>
      <c r="C2021">
        <v>524</v>
      </c>
      <c r="D2021" t="s">
        <v>4417</v>
      </c>
      <c r="E2021" t="s">
        <v>2372</v>
      </c>
      <c r="F2021" t="s">
        <v>136</v>
      </c>
      <c r="G2021" t="s">
        <v>4418</v>
      </c>
      <c r="H2021" t="str">
        <f>"00172837"</f>
        <v>00172837</v>
      </c>
      <c r="I2021">
        <v>22.68</v>
      </c>
      <c r="J2021">
        <v>10</v>
      </c>
      <c r="N2021">
        <v>0</v>
      </c>
      <c r="O2021">
        <v>4</v>
      </c>
      <c r="P2021">
        <v>0</v>
      </c>
      <c r="Q2021">
        <v>36.68</v>
      </c>
      <c r="R2021">
        <v>18</v>
      </c>
      <c r="S2021">
        <v>18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18</v>
      </c>
      <c r="AA2021">
        <v>0</v>
      </c>
      <c r="AB2021">
        <v>0</v>
      </c>
      <c r="AD2021">
        <v>54.68</v>
      </c>
    </row>
    <row r="2022" spans="1:30" x14ac:dyDescent="0.3">
      <c r="A2022" s="4">
        <v>2042</v>
      </c>
      <c r="B2022" s="5">
        <v>2015</v>
      </c>
      <c r="C2022">
        <v>4409</v>
      </c>
      <c r="D2022" t="s">
        <v>114</v>
      </c>
      <c r="E2022" t="s">
        <v>54</v>
      </c>
      <c r="F2022" t="s">
        <v>136</v>
      </c>
      <c r="G2022" t="s">
        <v>4419</v>
      </c>
      <c r="H2022" t="str">
        <f>"00237830"</f>
        <v>00237830</v>
      </c>
      <c r="I2022">
        <v>36.6</v>
      </c>
      <c r="J2022">
        <v>0</v>
      </c>
      <c r="K2022">
        <v>8</v>
      </c>
      <c r="N2022">
        <v>8</v>
      </c>
      <c r="O2022">
        <v>4</v>
      </c>
      <c r="P2022">
        <v>0</v>
      </c>
      <c r="Q2022">
        <v>48.6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6</v>
      </c>
      <c r="AB2022">
        <v>0</v>
      </c>
      <c r="AD2022">
        <v>54.6</v>
      </c>
    </row>
    <row r="2023" spans="1:30" x14ac:dyDescent="0.3">
      <c r="A2023" s="4">
        <v>2043</v>
      </c>
      <c r="B2023" s="5">
        <v>2016</v>
      </c>
      <c r="C2023">
        <v>2150</v>
      </c>
      <c r="D2023" t="s">
        <v>4420</v>
      </c>
      <c r="E2023" t="s">
        <v>4421</v>
      </c>
      <c r="F2023" t="s">
        <v>909</v>
      </c>
      <c r="G2023" t="s">
        <v>4422</v>
      </c>
      <c r="H2023" t="str">
        <f>"201511025540"</f>
        <v>201511025540</v>
      </c>
      <c r="I2023">
        <v>21.6</v>
      </c>
      <c r="J2023">
        <v>10</v>
      </c>
      <c r="M2023">
        <v>4</v>
      </c>
      <c r="N2023">
        <v>4</v>
      </c>
      <c r="O2023">
        <v>4</v>
      </c>
      <c r="P2023">
        <v>2</v>
      </c>
      <c r="Q2023">
        <v>41.6</v>
      </c>
      <c r="R2023">
        <v>7</v>
      </c>
      <c r="S2023">
        <v>7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7</v>
      </c>
      <c r="AA2023">
        <v>6</v>
      </c>
      <c r="AB2023">
        <v>0</v>
      </c>
      <c r="AD2023">
        <v>54.6</v>
      </c>
    </row>
    <row r="2024" spans="1:30" x14ac:dyDescent="0.3">
      <c r="A2024" s="4">
        <v>2044</v>
      </c>
      <c r="B2024" s="5">
        <v>2017</v>
      </c>
      <c r="C2024">
        <v>3684</v>
      </c>
      <c r="D2024" t="s">
        <v>3983</v>
      </c>
      <c r="E2024" t="s">
        <v>342</v>
      </c>
      <c r="F2024" t="s">
        <v>91</v>
      </c>
      <c r="G2024" t="s">
        <v>4423</v>
      </c>
      <c r="H2024" t="str">
        <f>"00816636"</f>
        <v>00816636</v>
      </c>
      <c r="I2024">
        <v>37.6</v>
      </c>
      <c r="J2024">
        <v>0</v>
      </c>
      <c r="K2024">
        <v>8</v>
      </c>
      <c r="N2024">
        <v>8</v>
      </c>
      <c r="O2024">
        <v>4</v>
      </c>
      <c r="P2024">
        <v>2</v>
      </c>
      <c r="Q2024">
        <v>51.6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3</v>
      </c>
      <c r="AB2024">
        <v>0</v>
      </c>
      <c r="AD2024">
        <v>54.6</v>
      </c>
    </row>
    <row r="2025" spans="1:30" x14ac:dyDescent="0.3">
      <c r="A2025" s="4">
        <v>2045</v>
      </c>
      <c r="B2025" s="5">
        <v>2018</v>
      </c>
      <c r="C2025">
        <v>2286</v>
      </c>
      <c r="D2025" t="s">
        <v>1378</v>
      </c>
      <c r="E2025" t="s">
        <v>301</v>
      </c>
      <c r="F2025" t="s">
        <v>17</v>
      </c>
      <c r="G2025" t="s">
        <v>4424</v>
      </c>
      <c r="H2025" t="str">
        <f>"201402001153"</f>
        <v>201402001153</v>
      </c>
      <c r="I2025">
        <v>39.6</v>
      </c>
      <c r="J2025">
        <v>0</v>
      </c>
      <c r="N2025">
        <v>0</v>
      </c>
      <c r="O2025">
        <v>4</v>
      </c>
      <c r="P2025">
        <v>0</v>
      </c>
      <c r="Q2025">
        <v>43.6</v>
      </c>
      <c r="R2025">
        <v>8</v>
      </c>
      <c r="S2025">
        <v>8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8</v>
      </c>
      <c r="AA2025">
        <v>3</v>
      </c>
      <c r="AB2025">
        <v>0</v>
      </c>
      <c r="AD2025">
        <v>54.6</v>
      </c>
    </row>
    <row r="2026" spans="1:30" x14ac:dyDescent="0.3">
      <c r="A2026" s="4">
        <v>2046</v>
      </c>
      <c r="B2026" s="5">
        <v>2019</v>
      </c>
      <c r="C2026">
        <v>3536</v>
      </c>
      <c r="D2026" t="s">
        <v>4425</v>
      </c>
      <c r="E2026" t="s">
        <v>487</v>
      </c>
      <c r="F2026" t="s">
        <v>328</v>
      </c>
      <c r="G2026" t="s">
        <v>4426</v>
      </c>
      <c r="H2026" t="str">
        <f>"201201000074"</f>
        <v>201201000074</v>
      </c>
      <c r="I2026">
        <v>21.6</v>
      </c>
      <c r="J2026">
        <v>0</v>
      </c>
      <c r="L2026">
        <v>6</v>
      </c>
      <c r="N2026">
        <v>6</v>
      </c>
      <c r="O2026">
        <v>4</v>
      </c>
      <c r="P2026">
        <v>2</v>
      </c>
      <c r="Q2026">
        <v>33.6</v>
      </c>
      <c r="R2026">
        <v>18</v>
      </c>
      <c r="S2026">
        <v>18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18</v>
      </c>
      <c r="AA2026">
        <v>3</v>
      </c>
      <c r="AB2026">
        <v>0</v>
      </c>
      <c r="AC2026" t="s">
        <v>130</v>
      </c>
      <c r="AD2026">
        <v>54.6</v>
      </c>
    </row>
    <row r="2027" spans="1:30" x14ac:dyDescent="0.3">
      <c r="A2027" s="4">
        <v>2047</v>
      </c>
      <c r="B2027" s="5">
        <v>2020</v>
      </c>
      <c r="C2027">
        <v>265</v>
      </c>
      <c r="D2027" t="s">
        <v>743</v>
      </c>
      <c r="E2027" t="s">
        <v>29</v>
      </c>
      <c r="F2027" t="s">
        <v>243</v>
      </c>
      <c r="G2027" t="s">
        <v>4427</v>
      </c>
      <c r="H2027" t="str">
        <f>"20160705472"</f>
        <v>20160705472</v>
      </c>
      <c r="I2027">
        <v>21.6</v>
      </c>
      <c r="J2027">
        <v>0</v>
      </c>
      <c r="N2027">
        <v>0</v>
      </c>
      <c r="O2027">
        <v>4</v>
      </c>
      <c r="P2027">
        <v>2</v>
      </c>
      <c r="Q2027">
        <v>27.6</v>
      </c>
      <c r="R2027">
        <v>24</v>
      </c>
      <c r="S2027">
        <v>24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24</v>
      </c>
      <c r="AA2027">
        <v>3</v>
      </c>
      <c r="AB2027">
        <v>0</v>
      </c>
      <c r="AD2027">
        <v>54.6</v>
      </c>
    </row>
    <row r="2028" spans="1:30" x14ac:dyDescent="0.3">
      <c r="A2028" s="4">
        <v>2048</v>
      </c>
      <c r="B2028" s="5">
        <v>2021</v>
      </c>
      <c r="C2028">
        <v>1267</v>
      </c>
      <c r="D2028" t="s">
        <v>4428</v>
      </c>
      <c r="E2028" t="s">
        <v>54</v>
      </c>
      <c r="F2028" t="s">
        <v>30</v>
      </c>
      <c r="G2028" t="s">
        <v>4429</v>
      </c>
      <c r="H2028" t="str">
        <f>"00161142"</f>
        <v>00161142</v>
      </c>
      <c r="I2028">
        <v>39.6</v>
      </c>
      <c r="J2028">
        <v>0</v>
      </c>
      <c r="N2028">
        <v>0</v>
      </c>
      <c r="O2028">
        <v>4</v>
      </c>
      <c r="P2028">
        <v>0</v>
      </c>
      <c r="Q2028">
        <v>43.6</v>
      </c>
      <c r="R2028">
        <v>11</v>
      </c>
      <c r="S2028">
        <v>11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11</v>
      </c>
      <c r="AA2028">
        <v>0</v>
      </c>
      <c r="AB2028">
        <v>0</v>
      </c>
      <c r="AD2028">
        <v>54.6</v>
      </c>
    </row>
    <row r="2029" spans="1:30" x14ac:dyDescent="0.3">
      <c r="A2029" s="4">
        <v>2049</v>
      </c>
      <c r="B2029" s="5">
        <v>2022</v>
      </c>
      <c r="C2029">
        <v>4246</v>
      </c>
      <c r="D2029" t="s">
        <v>4430</v>
      </c>
      <c r="E2029" t="s">
        <v>789</v>
      </c>
      <c r="F2029" t="s">
        <v>1399</v>
      </c>
      <c r="G2029" t="s">
        <v>4431</v>
      </c>
      <c r="H2029" t="str">
        <f>"00141348"</f>
        <v>00141348</v>
      </c>
      <c r="I2029">
        <v>21.6</v>
      </c>
      <c r="J2029">
        <v>10</v>
      </c>
      <c r="M2029">
        <v>4</v>
      </c>
      <c r="N2029">
        <v>4</v>
      </c>
      <c r="O2029">
        <v>4</v>
      </c>
      <c r="P2029">
        <v>2</v>
      </c>
      <c r="Q2029">
        <v>41.6</v>
      </c>
      <c r="R2029">
        <v>13</v>
      </c>
      <c r="S2029">
        <v>13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13</v>
      </c>
      <c r="AA2029">
        <v>0</v>
      </c>
      <c r="AB2029">
        <v>0</v>
      </c>
      <c r="AD2029">
        <v>54.6</v>
      </c>
    </row>
    <row r="2030" spans="1:30" x14ac:dyDescent="0.3">
      <c r="A2030" s="4">
        <v>2050</v>
      </c>
      <c r="B2030" s="5">
        <v>2023</v>
      </c>
      <c r="C2030">
        <v>2397</v>
      </c>
      <c r="D2030" t="s">
        <v>4432</v>
      </c>
      <c r="E2030" t="s">
        <v>789</v>
      </c>
      <c r="F2030" t="s">
        <v>81</v>
      </c>
      <c r="G2030" t="s">
        <v>4433</v>
      </c>
      <c r="H2030" t="str">
        <f>"00146830"</f>
        <v>00146830</v>
      </c>
      <c r="I2030">
        <v>21.6</v>
      </c>
      <c r="J2030">
        <v>10</v>
      </c>
      <c r="M2030">
        <v>4</v>
      </c>
      <c r="N2030">
        <v>4</v>
      </c>
      <c r="O2030">
        <v>4</v>
      </c>
      <c r="P2030">
        <v>0</v>
      </c>
      <c r="Q2030">
        <v>39.6</v>
      </c>
      <c r="R2030">
        <v>15</v>
      </c>
      <c r="S2030">
        <v>15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15</v>
      </c>
      <c r="AA2030">
        <v>0</v>
      </c>
      <c r="AB2030">
        <v>0</v>
      </c>
      <c r="AD2030">
        <v>54.6</v>
      </c>
    </row>
    <row r="2031" spans="1:30" x14ac:dyDescent="0.3">
      <c r="A2031" s="4">
        <v>2051</v>
      </c>
      <c r="B2031" s="5">
        <v>2024</v>
      </c>
      <c r="C2031">
        <v>1068</v>
      </c>
      <c r="D2031" t="s">
        <v>1449</v>
      </c>
      <c r="E2031" t="s">
        <v>2843</v>
      </c>
      <c r="F2031" t="s">
        <v>521</v>
      </c>
      <c r="G2031" t="s">
        <v>4434</v>
      </c>
      <c r="H2031" t="str">
        <f>"201511036385"</f>
        <v>201511036385</v>
      </c>
      <c r="I2031">
        <v>34.56</v>
      </c>
      <c r="J2031">
        <v>0</v>
      </c>
      <c r="K2031">
        <v>8</v>
      </c>
      <c r="N2031">
        <v>8</v>
      </c>
      <c r="O2031">
        <v>4</v>
      </c>
      <c r="P2031">
        <v>2</v>
      </c>
      <c r="Q2031">
        <v>48.56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6</v>
      </c>
      <c r="AB2031">
        <v>0</v>
      </c>
      <c r="AD2031">
        <v>54.56</v>
      </c>
    </row>
    <row r="2032" spans="1:30" x14ac:dyDescent="0.3">
      <c r="A2032" s="4">
        <v>2052</v>
      </c>
      <c r="B2032" s="5">
        <v>2025</v>
      </c>
      <c r="C2032">
        <v>2728</v>
      </c>
      <c r="D2032" t="s">
        <v>4435</v>
      </c>
      <c r="E2032" t="s">
        <v>550</v>
      </c>
      <c r="F2032" t="s">
        <v>343</v>
      </c>
      <c r="G2032" t="s">
        <v>4436</v>
      </c>
      <c r="H2032" t="str">
        <f>"00577895"</f>
        <v>00577895</v>
      </c>
      <c r="I2032">
        <v>32.4</v>
      </c>
      <c r="J2032">
        <v>10</v>
      </c>
      <c r="N2032">
        <v>0</v>
      </c>
      <c r="O2032">
        <v>4</v>
      </c>
      <c r="P2032">
        <v>2</v>
      </c>
      <c r="Q2032">
        <v>48.4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6</v>
      </c>
      <c r="AB2032">
        <v>0</v>
      </c>
      <c r="AD2032">
        <v>54.4</v>
      </c>
    </row>
    <row r="2033" spans="1:30" x14ac:dyDescent="0.3">
      <c r="A2033" s="4">
        <v>2053</v>
      </c>
      <c r="B2033" s="5">
        <v>2026</v>
      </c>
      <c r="C2033">
        <v>652</v>
      </c>
      <c r="D2033" t="s">
        <v>4437</v>
      </c>
      <c r="E2033" t="s">
        <v>132</v>
      </c>
      <c r="F2033" t="s">
        <v>570</v>
      </c>
      <c r="G2033" t="s">
        <v>4438</v>
      </c>
      <c r="H2033" t="str">
        <f>"00526473"</f>
        <v>00526473</v>
      </c>
      <c r="I2033">
        <v>50.4</v>
      </c>
      <c r="J2033">
        <v>0</v>
      </c>
      <c r="N2033">
        <v>0</v>
      </c>
      <c r="O2033">
        <v>4</v>
      </c>
      <c r="P2033">
        <v>0</v>
      </c>
      <c r="Q2033">
        <v>54.4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D2033">
        <v>54.4</v>
      </c>
    </row>
    <row r="2034" spans="1:30" x14ac:dyDescent="0.3">
      <c r="A2034" s="4">
        <v>2054</v>
      </c>
      <c r="B2034" s="5">
        <v>2027</v>
      </c>
      <c r="C2034">
        <v>3815</v>
      </c>
      <c r="D2034" t="s">
        <v>4439</v>
      </c>
      <c r="E2034" t="s">
        <v>816</v>
      </c>
      <c r="F2034" t="s">
        <v>20</v>
      </c>
      <c r="G2034" t="s">
        <v>4440</v>
      </c>
      <c r="H2034" t="str">
        <f>"00532839"</f>
        <v>00532839</v>
      </c>
      <c r="I2034">
        <v>50.4</v>
      </c>
      <c r="J2034">
        <v>0</v>
      </c>
      <c r="N2034">
        <v>0</v>
      </c>
      <c r="O2034">
        <v>4</v>
      </c>
      <c r="P2034">
        <v>0</v>
      </c>
      <c r="Q2034">
        <v>54.4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D2034">
        <v>54.4</v>
      </c>
    </row>
    <row r="2035" spans="1:30" x14ac:dyDescent="0.3">
      <c r="A2035" s="4">
        <v>2055</v>
      </c>
      <c r="B2035" s="5">
        <v>2028</v>
      </c>
      <c r="C2035">
        <v>1167</v>
      </c>
      <c r="D2035" t="s">
        <v>4441</v>
      </c>
      <c r="E2035" t="s">
        <v>4442</v>
      </c>
      <c r="F2035" t="s">
        <v>20</v>
      </c>
      <c r="G2035" t="s">
        <v>4443</v>
      </c>
      <c r="H2035" t="str">
        <f>"00855664"</f>
        <v>00855664</v>
      </c>
      <c r="I2035">
        <v>50.4</v>
      </c>
      <c r="J2035">
        <v>0</v>
      </c>
      <c r="M2035">
        <v>4</v>
      </c>
      <c r="N2035">
        <v>4</v>
      </c>
      <c r="O2035">
        <v>0</v>
      </c>
      <c r="P2035">
        <v>0</v>
      </c>
      <c r="Q2035">
        <v>54.4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D2035">
        <v>54.4</v>
      </c>
    </row>
    <row r="2036" spans="1:30" x14ac:dyDescent="0.3">
      <c r="A2036" s="4">
        <v>2056</v>
      </c>
      <c r="B2036" s="5">
        <v>2029</v>
      </c>
      <c r="C2036">
        <v>2606</v>
      </c>
      <c r="D2036" t="s">
        <v>4444</v>
      </c>
      <c r="E2036" t="s">
        <v>97</v>
      </c>
      <c r="F2036" t="s">
        <v>1265</v>
      </c>
      <c r="G2036" t="s">
        <v>4445</v>
      </c>
      <c r="H2036" t="str">
        <f>"00193272"</f>
        <v>00193272</v>
      </c>
      <c r="I2036">
        <v>50.4</v>
      </c>
      <c r="J2036">
        <v>0</v>
      </c>
      <c r="N2036">
        <v>0</v>
      </c>
      <c r="O2036">
        <v>4</v>
      </c>
      <c r="P2036">
        <v>0</v>
      </c>
      <c r="Q2036">
        <v>54.4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D2036">
        <v>54.4</v>
      </c>
    </row>
    <row r="2037" spans="1:30" x14ac:dyDescent="0.3">
      <c r="A2037" s="4">
        <v>2057</v>
      </c>
      <c r="B2037" s="5">
        <v>2030</v>
      </c>
      <c r="C2037">
        <v>2479</v>
      </c>
      <c r="D2037" t="s">
        <v>2797</v>
      </c>
      <c r="E2037" t="s">
        <v>188</v>
      </c>
      <c r="F2037" t="s">
        <v>1023</v>
      </c>
      <c r="G2037" t="s">
        <v>4446</v>
      </c>
      <c r="H2037" t="str">
        <f>"00855040"</f>
        <v>00855040</v>
      </c>
      <c r="I2037">
        <v>50.4</v>
      </c>
      <c r="J2037">
        <v>0</v>
      </c>
      <c r="N2037">
        <v>0</v>
      </c>
      <c r="O2037">
        <v>4</v>
      </c>
      <c r="P2037">
        <v>0</v>
      </c>
      <c r="Q2037">
        <v>54.4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D2037">
        <v>54.4</v>
      </c>
    </row>
    <row r="2038" spans="1:30" x14ac:dyDescent="0.3">
      <c r="A2038" s="4">
        <v>2058</v>
      </c>
      <c r="B2038" s="5">
        <v>2031</v>
      </c>
      <c r="C2038">
        <v>283</v>
      </c>
      <c r="D2038" t="s">
        <v>4447</v>
      </c>
      <c r="E2038" t="s">
        <v>29</v>
      </c>
      <c r="F2038" t="s">
        <v>652</v>
      </c>
      <c r="G2038" t="s">
        <v>4448</v>
      </c>
      <c r="H2038" t="str">
        <f>"00804155"</f>
        <v>00804155</v>
      </c>
      <c r="I2038">
        <v>50.4</v>
      </c>
      <c r="J2038">
        <v>0</v>
      </c>
      <c r="N2038">
        <v>0</v>
      </c>
      <c r="O2038">
        <v>4</v>
      </c>
      <c r="P2038">
        <v>0</v>
      </c>
      <c r="Q2038">
        <v>54.4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D2038">
        <v>54.4</v>
      </c>
    </row>
    <row r="2039" spans="1:30" x14ac:dyDescent="0.3">
      <c r="A2039" s="4">
        <v>2059</v>
      </c>
      <c r="B2039" s="5">
        <v>2032</v>
      </c>
      <c r="C2039">
        <v>928</v>
      </c>
      <c r="D2039" t="s">
        <v>4449</v>
      </c>
      <c r="E2039" t="s">
        <v>400</v>
      </c>
      <c r="F2039" t="s">
        <v>4450</v>
      </c>
      <c r="G2039" t="s">
        <v>4451</v>
      </c>
      <c r="H2039" t="str">
        <f>"00856514"</f>
        <v>00856514</v>
      </c>
      <c r="I2039">
        <v>50.4</v>
      </c>
      <c r="J2039">
        <v>0</v>
      </c>
      <c r="M2039">
        <v>4</v>
      </c>
      <c r="N2039">
        <v>4</v>
      </c>
      <c r="O2039">
        <v>0</v>
      </c>
      <c r="P2039">
        <v>0</v>
      </c>
      <c r="Q2039">
        <v>54.4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D2039">
        <v>54.4</v>
      </c>
    </row>
    <row r="2040" spans="1:30" x14ac:dyDescent="0.3">
      <c r="A2040" s="4">
        <v>2060</v>
      </c>
      <c r="B2040" s="5">
        <v>2033</v>
      </c>
      <c r="C2040">
        <v>3513</v>
      </c>
      <c r="D2040" t="s">
        <v>4452</v>
      </c>
      <c r="E2040" t="s">
        <v>97</v>
      </c>
      <c r="F2040" t="s">
        <v>68</v>
      </c>
      <c r="G2040" t="s">
        <v>4453</v>
      </c>
      <c r="H2040" t="str">
        <f>"00865572"</f>
        <v>00865572</v>
      </c>
      <c r="I2040">
        <v>50.4</v>
      </c>
      <c r="J2040">
        <v>0</v>
      </c>
      <c r="M2040">
        <v>4</v>
      </c>
      <c r="N2040">
        <v>4</v>
      </c>
      <c r="O2040">
        <v>0</v>
      </c>
      <c r="P2040">
        <v>0</v>
      </c>
      <c r="Q2040">
        <v>54.4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D2040">
        <v>54.4</v>
      </c>
    </row>
    <row r="2041" spans="1:30" x14ac:dyDescent="0.3">
      <c r="A2041" s="4">
        <v>2061</v>
      </c>
      <c r="B2041" s="5">
        <v>2034</v>
      </c>
      <c r="C2041">
        <v>3744</v>
      </c>
      <c r="D2041" t="s">
        <v>4454</v>
      </c>
      <c r="E2041" t="s">
        <v>54</v>
      </c>
      <c r="F2041" t="s">
        <v>30</v>
      </c>
      <c r="G2041" t="s">
        <v>4455</v>
      </c>
      <c r="H2041" t="str">
        <f>"00862562"</f>
        <v>00862562</v>
      </c>
      <c r="I2041">
        <v>50.4</v>
      </c>
      <c r="J2041">
        <v>0</v>
      </c>
      <c r="N2041">
        <v>0</v>
      </c>
      <c r="O2041">
        <v>4</v>
      </c>
      <c r="P2041">
        <v>0</v>
      </c>
      <c r="Q2041">
        <v>54.4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D2041">
        <v>54.4</v>
      </c>
    </row>
    <row r="2042" spans="1:30" x14ac:dyDescent="0.3">
      <c r="A2042" s="4">
        <v>2062</v>
      </c>
      <c r="B2042" s="5">
        <v>2035</v>
      </c>
      <c r="C2042">
        <v>4905</v>
      </c>
      <c r="D2042" t="s">
        <v>4456</v>
      </c>
      <c r="E2042" t="s">
        <v>188</v>
      </c>
      <c r="F2042" t="s">
        <v>909</v>
      </c>
      <c r="G2042" t="s">
        <v>4457</v>
      </c>
      <c r="H2042" t="str">
        <f>"00760374"</f>
        <v>00760374</v>
      </c>
      <c r="I2042">
        <v>50.4</v>
      </c>
      <c r="J2042">
        <v>0</v>
      </c>
      <c r="N2042">
        <v>0</v>
      </c>
      <c r="O2042">
        <v>4</v>
      </c>
      <c r="P2042">
        <v>0</v>
      </c>
      <c r="Q2042">
        <v>54.4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D2042">
        <v>54.4</v>
      </c>
    </row>
    <row r="2043" spans="1:30" x14ac:dyDescent="0.3">
      <c r="A2043" s="4">
        <v>2063</v>
      </c>
      <c r="B2043" s="5">
        <v>2036</v>
      </c>
      <c r="C2043">
        <v>4644</v>
      </c>
      <c r="D2043" t="s">
        <v>4458</v>
      </c>
      <c r="E2043" t="s">
        <v>4459</v>
      </c>
      <c r="F2043" t="s">
        <v>38</v>
      </c>
      <c r="G2043" t="s">
        <v>4460</v>
      </c>
      <c r="H2043" t="str">
        <f>"00224341"</f>
        <v>00224341</v>
      </c>
      <c r="I2043">
        <v>50.4</v>
      </c>
      <c r="J2043">
        <v>0</v>
      </c>
      <c r="N2043">
        <v>0</v>
      </c>
      <c r="O2043">
        <v>4</v>
      </c>
      <c r="P2043">
        <v>0</v>
      </c>
      <c r="Q2043">
        <v>54.4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D2043">
        <v>54.4</v>
      </c>
    </row>
    <row r="2044" spans="1:30" x14ac:dyDescent="0.3">
      <c r="A2044" s="4">
        <v>2064</v>
      </c>
      <c r="B2044" s="5">
        <v>2037</v>
      </c>
      <c r="C2044">
        <v>4372</v>
      </c>
      <c r="D2044" t="s">
        <v>4461</v>
      </c>
      <c r="E2044" t="s">
        <v>166</v>
      </c>
      <c r="F2044" t="s">
        <v>124</v>
      </c>
      <c r="G2044" t="s">
        <v>4462</v>
      </c>
      <c r="H2044" t="str">
        <f>"00862527"</f>
        <v>00862527</v>
      </c>
      <c r="I2044">
        <v>50.4</v>
      </c>
      <c r="J2044">
        <v>0</v>
      </c>
      <c r="M2044">
        <v>4</v>
      </c>
      <c r="N2044">
        <v>4</v>
      </c>
      <c r="O2044">
        <v>0</v>
      </c>
      <c r="P2044">
        <v>0</v>
      </c>
      <c r="Q2044">
        <v>54.4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D2044">
        <v>54.4</v>
      </c>
    </row>
    <row r="2045" spans="1:30" x14ac:dyDescent="0.3">
      <c r="A2045" s="4">
        <v>2065</v>
      </c>
      <c r="B2045" s="5">
        <v>2038</v>
      </c>
      <c r="C2045">
        <v>2648</v>
      </c>
      <c r="D2045" t="s">
        <v>4463</v>
      </c>
      <c r="E2045" t="s">
        <v>139</v>
      </c>
      <c r="F2045" t="s">
        <v>17</v>
      </c>
      <c r="G2045" t="s">
        <v>4464</v>
      </c>
      <c r="H2045" t="str">
        <f>"00530873"</f>
        <v>00530873</v>
      </c>
      <c r="I2045">
        <v>14.4</v>
      </c>
      <c r="J2045">
        <v>10</v>
      </c>
      <c r="K2045">
        <v>8</v>
      </c>
      <c r="N2045">
        <v>8</v>
      </c>
      <c r="O2045">
        <v>4</v>
      </c>
      <c r="P2045">
        <v>2</v>
      </c>
      <c r="Q2045">
        <v>38.4</v>
      </c>
      <c r="R2045">
        <v>16</v>
      </c>
      <c r="S2045">
        <v>16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16</v>
      </c>
      <c r="AA2045">
        <v>0</v>
      </c>
      <c r="AB2045">
        <v>0</v>
      </c>
      <c r="AD2045">
        <v>54.4</v>
      </c>
    </row>
    <row r="2046" spans="1:30" x14ac:dyDescent="0.3">
      <c r="A2046" s="4">
        <v>2066</v>
      </c>
      <c r="B2046" s="5">
        <v>2039</v>
      </c>
      <c r="C2046">
        <v>354</v>
      </c>
      <c r="D2046" t="s">
        <v>3879</v>
      </c>
      <c r="E2046" t="s">
        <v>1997</v>
      </c>
      <c r="F2046" t="s">
        <v>17</v>
      </c>
      <c r="G2046" t="s">
        <v>4465</v>
      </c>
      <c r="H2046" t="str">
        <f>"00526478"</f>
        <v>00526478</v>
      </c>
      <c r="I2046">
        <v>14.4</v>
      </c>
      <c r="J2046">
        <v>0</v>
      </c>
      <c r="N2046">
        <v>0</v>
      </c>
      <c r="O2046">
        <v>4</v>
      </c>
      <c r="P2046">
        <v>0</v>
      </c>
      <c r="Q2046">
        <v>18.399999999999999</v>
      </c>
      <c r="R2046">
        <v>36</v>
      </c>
      <c r="S2046">
        <v>36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36</v>
      </c>
      <c r="AA2046">
        <v>0</v>
      </c>
      <c r="AB2046">
        <v>0</v>
      </c>
      <c r="AD2046">
        <v>54.4</v>
      </c>
    </row>
    <row r="2047" spans="1:30" x14ac:dyDescent="0.3">
      <c r="A2047" s="4">
        <v>2067</v>
      </c>
      <c r="B2047" s="5">
        <v>2040</v>
      </c>
      <c r="C2047">
        <v>4027</v>
      </c>
      <c r="D2047" t="s">
        <v>4466</v>
      </c>
      <c r="E2047" t="s">
        <v>258</v>
      </c>
      <c r="F2047" t="s">
        <v>17</v>
      </c>
      <c r="G2047" t="s">
        <v>4467</v>
      </c>
      <c r="H2047" t="str">
        <f>"00506435"</f>
        <v>00506435</v>
      </c>
      <c r="I2047">
        <v>36.36</v>
      </c>
      <c r="J2047">
        <v>0</v>
      </c>
      <c r="N2047">
        <v>0</v>
      </c>
      <c r="O2047">
        <v>4</v>
      </c>
      <c r="P2047">
        <v>0</v>
      </c>
      <c r="Q2047">
        <v>40.36</v>
      </c>
      <c r="R2047">
        <v>8</v>
      </c>
      <c r="S2047">
        <v>8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8</v>
      </c>
      <c r="AA2047">
        <v>6</v>
      </c>
      <c r="AB2047">
        <v>0</v>
      </c>
      <c r="AD2047">
        <v>54.36</v>
      </c>
    </row>
    <row r="2048" spans="1:30" x14ac:dyDescent="0.3">
      <c r="A2048" s="4">
        <v>2068</v>
      </c>
      <c r="B2048" s="5">
        <v>2041</v>
      </c>
      <c r="C2048">
        <v>2998</v>
      </c>
      <c r="D2048" t="s">
        <v>4468</v>
      </c>
      <c r="E2048" t="s">
        <v>268</v>
      </c>
      <c r="F2048" t="s">
        <v>626</v>
      </c>
      <c r="G2048" t="s">
        <v>4469</v>
      </c>
      <c r="H2048" t="str">
        <f>"00522992"</f>
        <v>00522992</v>
      </c>
      <c r="I2048">
        <v>32.28</v>
      </c>
      <c r="J2048">
        <v>0</v>
      </c>
      <c r="N2048">
        <v>0</v>
      </c>
      <c r="O2048">
        <v>0</v>
      </c>
      <c r="P2048">
        <v>0</v>
      </c>
      <c r="Q2048">
        <v>32.28</v>
      </c>
      <c r="R2048">
        <v>16</v>
      </c>
      <c r="S2048">
        <v>16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16</v>
      </c>
      <c r="AA2048">
        <v>6</v>
      </c>
      <c r="AB2048">
        <v>0</v>
      </c>
      <c r="AD2048">
        <v>54.28</v>
      </c>
    </row>
    <row r="2049" spans="1:30" x14ac:dyDescent="0.3">
      <c r="A2049" s="4">
        <v>2069</v>
      </c>
      <c r="B2049" s="5">
        <v>2042</v>
      </c>
      <c r="C2049">
        <v>4756</v>
      </c>
      <c r="D2049" t="s">
        <v>4470</v>
      </c>
      <c r="E2049" t="s">
        <v>22</v>
      </c>
      <c r="F2049" t="s">
        <v>17</v>
      </c>
      <c r="G2049" t="s">
        <v>4471</v>
      </c>
      <c r="H2049" t="str">
        <f>"00864813"</f>
        <v>00864813</v>
      </c>
      <c r="I2049">
        <v>38.28</v>
      </c>
      <c r="J2049">
        <v>10</v>
      </c>
      <c r="N2049">
        <v>0</v>
      </c>
      <c r="O2049">
        <v>4</v>
      </c>
      <c r="P2049">
        <v>2</v>
      </c>
      <c r="Q2049">
        <v>54.28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D2049">
        <v>54.28</v>
      </c>
    </row>
    <row r="2050" spans="1:30" x14ac:dyDescent="0.3">
      <c r="A2050" s="4">
        <v>2070</v>
      </c>
      <c r="B2050" s="5">
        <v>2043</v>
      </c>
      <c r="C2050">
        <v>4316</v>
      </c>
      <c r="D2050" t="s">
        <v>4472</v>
      </c>
      <c r="E2050" t="s">
        <v>2467</v>
      </c>
      <c r="F2050" t="s">
        <v>30</v>
      </c>
      <c r="G2050" t="s">
        <v>4473</v>
      </c>
      <c r="H2050" t="str">
        <f>"00228612"</f>
        <v>00228612</v>
      </c>
      <c r="I2050">
        <v>39.200000000000003</v>
      </c>
      <c r="J2050">
        <v>0</v>
      </c>
      <c r="N2050">
        <v>0</v>
      </c>
      <c r="O2050">
        <v>4</v>
      </c>
      <c r="P2050">
        <v>2</v>
      </c>
      <c r="Q2050">
        <v>45.2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9</v>
      </c>
      <c r="AB2050">
        <v>0</v>
      </c>
      <c r="AD2050">
        <v>54.2</v>
      </c>
    </row>
    <row r="2051" spans="1:30" x14ac:dyDescent="0.3">
      <c r="A2051" s="4">
        <v>2071</v>
      </c>
      <c r="B2051" s="5">
        <v>2044</v>
      </c>
      <c r="C2051">
        <v>2191</v>
      </c>
      <c r="D2051" t="s">
        <v>4474</v>
      </c>
      <c r="E2051" t="s">
        <v>110</v>
      </c>
      <c r="F2051" t="s">
        <v>3642</v>
      </c>
      <c r="G2051" t="s">
        <v>4475</v>
      </c>
      <c r="H2051" t="str">
        <f>"00644398"</f>
        <v>00644398</v>
      </c>
      <c r="I2051">
        <v>43.2</v>
      </c>
      <c r="J2051">
        <v>0</v>
      </c>
      <c r="M2051">
        <v>4</v>
      </c>
      <c r="N2051">
        <v>4</v>
      </c>
      <c r="O2051">
        <v>4</v>
      </c>
      <c r="P2051">
        <v>0</v>
      </c>
      <c r="Q2051">
        <v>51.2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3</v>
      </c>
      <c r="AB2051">
        <v>0</v>
      </c>
      <c r="AD2051">
        <v>54.2</v>
      </c>
    </row>
    <row r="2052" spans="1:30" x14ac:dyDescent="0.3">
      <c r="A2052" s="4">
        <v>2072</v>
      </c>
      <c r="B2052" s="5">
        <v>2045</v>
      </c>
      <c r="C2052">
        <v>463</v>
      </c>
      <c r="D2052" t="s">
        <v>4476</v>
      </c>
      <c r="E2052" t="s">
        <v>4477</v>
      </c>
      <c r="F2052" t="s">
        <v>117</v>
      </c>
      <c r="G2052" t="s">
        <v>4478</v>
      </c>
      <c r="H2052" t="str">
        <f>"201510000488"</f>
        <v>201510000488</v>
      </c>
      <c r="I2052">
        <v>43.2</v>
      </c>
      <c r="J2052">
        <v>0</v>
      </c>
      <c r="M2052">
        <v>4</v>
      </c>
      <c r="N2052">
        <v>4</v>
      </c>
      <c r="O2052">
        <v>4</v>
      </c>
      <c r="P2052">
        <v>0</v>
      </c>
      <c r="Q2052">
        <v>51.2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3</v>
      </c>
      <c r="AB2052">
        <v>0</v>
      </c>
      <c r="AD2052">
        <v>54.2</v>
      </c>
    </row>
    <row r="2053" spans="1:30" x14ac:dyDescent="0.3">
      <c r="A2053" s="4">
        <v>2073</v>
      </c>
      <c r="B2053" s="5">
        <v>2046</v>
      </c>
      <c r="C2053">
        <v>285</v>
      </c>
      <c r="D2053" t="s">
        <v>4479</v>
      </c>
      <c r="E2053" t="s">
        <v>744</v>
      </c>
      <c r="F2053" t="s">
        <v>442</v>
      </c>
      <c r="G2053" t="s">
        <v>4480</v>
      </c>
      <c r="H2053" t="str">
        <f>"00701451"</f>
        <v>00701451</v>
      </c>
      <c r="I2053">
        <v>43.2</v>
      </c>
      <c r="J2053">
        <v>0</v>
      </c>
      <c r="M2053">
        <v>4</v>
      </c>
      <c r="N2053">
        <v>4</v>
      </c>
      <c r="O2053">
        <v>4</v>
      </c>
      <c r="P2053">
        <v>0</v>
      </c>
      <c r="Q2053">
        <v>51.2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3</v>
      </c>
      <c r="AB2053">
        <v>0</v>
      </c>
      <c r="AD2053">
        <v>54.2</v>
      </c>
    </row>
    <row r="2054" spans="1:30" x14ac:dyDescent="0.3">
      <c r="A2054" s="4">
        <v>2074</v>
      </c>
      <c r="B2054" s="5">
        <v>2047</v>
      </c>
      <c r="C2054">
        <v>1157</v>
      </c>
      <c r="D2054" t="s">
        <v>4481</v>
      </c>
      <c r="E2054" t="s">
        <v>149</v>
      </c>
      <c r="F2054" t="s">
        <v>4482</v>
      </c>
      <c r="G2054" t="s">
        <v>4483</v>
      </c>
      <c r="H2054" t="str">
        <f>"00620781"</f>
        <v>00620781</v>
      </c>
      <c r="I2054">
        <v>43.2</v>
      </c>
      <c r="J2054">
        <v>0</v>
      </c>
      <c r="M2054">
        <v>4</v>
      </c>
      <c r="N2054">
        <v>4</v>
      </c>
      <c r="O2054">
        <v>4</v>
      </c>
      <c r="P2054">
        <v>0</v>
      </c>
      <c r="Q2054">
        <v>51.2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3</v>
      </c>
      <c r="AB2054">
        <v>0</v>
      </c>
      <c r="AD2054">
        <v>54.2</v>
      </c>
    </row>
    <row r="2055" spans="1:30" x14ac:dyDescent="0.3">
      <c r="A2055" s="4">
        <v>2075</v>
      </c>
      <c r="B2055" s="5">
        <v>2048</v>
      </c>
      <c r="C2055">
        <v>3379</v>
      </c>
      <c r="D2055" t="s">
        <v>2961</v>
      </c>
      <c r="E2055" t="s">
        <v>37</v>
      </c>
      <c r="F2055" t="s">
        <v>117</v>
      </c>
      <c r="G2055" t="s">
        <v>4484</v>
      </c>
      <c r="H2055" t="str">
        <f>"00533558"</f>
        <v>00533558</v>
      </c>
      <c r="I2055">
        <v>25.2</v>
      </c>
      <c r="J2055">
        <v>0</v>
      </c>
      <c r="K2055">
        <v>8</v>
      </c>
      <c r="N2055">
        <v>8</v>
      </c>
      <c r="O2055">
        <v>4</v>
      </c>
      <c r="P2055">
        <v>0</v>
      </c>
      <c r="Q2055">
        <v>37.200000000000003</v>
      </c>
      <c r="R2055">
        <v>17</v>
      </c>
      <c r="S2055">
        <v>17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17</v>
      </c>
      <c r="AA2055">
        <v>0</v>
      </c>
      <c r="AB2055">
        <v>0</v>
      </c>
      <c r="AD2055">
        <v>54.2</v>
      </c>
    </row>
    <row r="2056" spans="1:30" x14ac:dyDescent="0.3">
      <c r="A2056" s="4">
        <v>2076</v>
      </c>
      <c r="B2056" s="5">
        <v>2049</v>
      </c>
      <c r="C2056">
        <v>3777</v>
      </c>
      <c r="D2056" t="s">
        <v>4485</v>
      </c>
      <c r="E2056" t="s">
        <v>4486</v>
      </c>
      <c r="F2056" t="s">
        <v>4487</v>
      </c>
      <c r="G2056" t="s">
        <v>4488</v>
      </c>
      <c r="H2056" t="str">
        <f>"00485060"</f>
        <v>00485060</v>
      </c>
      <c r="I2056">
        <v>23.2</v>
      </c>
      <c r="J2056">
        <v>0</v>
      </c>
      <c r="K2056">
        <v>8</v>
      </c>
      <c r="N2056">
        <v>8</v>
      </c>
      <c r="O2056">
        <v>4</v>
      </c>
      <c r="P2056">
        <v>2</v>
      </c>
      <c r="Q2056">
        <v>37.200000000000003</v>
      </c>
      <c r="R2056">
        <v>17</v>
      </c>
      <c r="S2056">
        <v>17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17</v>
      </c>
      <c r="AA2056">
        <v>0</v>
      </c>
      <c r="AB2056">
        <v>0</v>
      </c>
      <c r="AD2056">
        <v>54.2</v>
      </c>
    </row>
    <row r="2057" spans="1:30" x14ac:dyDescent="0.3">
      <c r="A2057" s="4">
        <v>2077</v>
      </c>
      <c r="B2057" s="5">
        <v>2050</v>
      </c>
      <c r="C2057">
        <v>4251</v>
      </c>
      <c r="D2057" t="s">
        <v>4489</v>
      </c>
      <c r="E2057" t="s">
        <v>88</v>
      </c>
      <c r="F2057" t="s">
        <v>117</v>
      </c>
      <c r="G2057" t="s">
        <v>4490</v>
      </c>
      <c r="H2057" t="str">
        <f>"00530590"</f>
        <v>00530590</v>
      </c>
      <c r="I2057">
        <v>13.08</v>
      </c>
      <c r="J2057">
        <v>0</v>
      </c>
      <c r="N2057">
        <v>0</v>
      </c>
      <c r="O2057">
        <v>4</v>
      </c>
      <c r="P2057">
        <v>0</v>
      </c>
      <c r="Q2057">
        <v>17.079999999999998</v>
      </c>
      <c r="R2057">
        <v>31</v>
      </c>
      <c r="S2057">
        <v>31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31</v>
      </c>
      <c r="AA2057">
        <v>6</v>
      </c>
      <c r="AB2057">
        <v>0</v>
      </c>
      <c r="AD2057">
        <v>54.08</v>
      </c>
    </row>
    <row r="2058" spans="1:30" x14ac:dyDescent="0.3">
      <c r="A2058" s="4">
        <v>2078</v>
      </c>
      <c r="B2058" s="5">
        <v>2051</v>
      </c>
      <c r="C2058">
        <v>3763</v>
      </c>
      <c r="D2058" t="s">
        <v>4491</v>
      </c>
      <c r="E2058" t="s">
        <v>213</v>
      </c>
      <c r="F2058" t="s">
        <v>243</v>
      </c>
      <c r="G2058" t="s">
        <v>4492</v>
      </c>
      <c r="H2058" t="str">
        <f>"00865158"</f>
        <v>00865158</v>
      </c>
      <c r="I2058">
        <v>40</v>
      </c>
      <c r="J2058">
        <v>0</v>
      </c>
      <c r="N2058">
        <v>0</v>
      </c>
      <c r="O2058">
        <v>0</v>
      </c>
      <c r="P2058">
        <v>2</v>
      </c>
      <c r="Q2058">
        <v>42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12</v>
      </c>
      <c r="AB2058">
        <v>0</v>
      </c>
      <c r="AD2058">
        <v>54</v>
      </c>
    </row>
    <row r="2059" spans="1:30" x14ac:dyDescent="0.3">
      <c r="A2059" s="4">
        <v>2079</v>
      </c>
      <c r="B2059" s="5">
        <v>2052</v>
      </c>
      <c r="C2059">
        <v>4766</v>
      </c>
      <c r="D2059" t="s">
        <v>1613</v>
      </c>
      <c r="E2059" t="s">
        <v>4493</v>
      </c>
      <c r="F2059" t="s">
        <v>259</v>
      </c>
      <c r="G2059" t="s">
        <v>4494</v>
      </c>
      <c r="H2059" t="str">
        <f>"00866095"</f>
        <v>00866095</v>
      </c>
      <c r="I2059">
        <v>40</v>
      </c>
      <c r="J2059">
        <v>0</v>
      </c>
      <c r="M2059">
        <v>4</v>
      </c>
      <c r="N2059">
        <v>4</v>
      </c>
      <c r="O2059">
        <v>0</v>
      </c>
      <c r="P2059">
        <v>0</v>
      </c>
      <c r="Q2059">
        <v>44</v>
      </c>
      <c r="R2059">
        <v>1</v>
      </c>
      <c r="S2059">
        <v>1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1</v>
      </c>
      <c r="AA2059">
        <v>9</v>
      </c>
      <c r="AB2059">
        <v>0</v>
      </c>
      <c r="AD2059">
        <v>54</v>
      </c>
    </row>
    <row r="2060" spans="1:30" x14ac:dyDescent="0.3">
      <c r="A2060" s="4">
        <v>2080</v>
      </c>
      <c r="B2060" s="5">
        <v>2053</v>
      </c>
      <c r="C2060">
        <v>802</v>
      </c>
      <c r="D2060" t="s">
        <v>4495</v>
      </c>
      <c r="E2060" t="s">
        <v>161</v>
      </c>
      <c r="F2060" t="s">
        <v>20</v>
      </c>
      <c r="G2060" t="s">
        <v>4496</v>
      </c>
      <c r="H2060" t="str">
        <f>"00560714"</f>
        <v>00560714</v>
      </c>
      <c r="I2060">
        <v>40</v>
      </c>
      <c r="J2060">
        <v>0</v>
      </c>
      <c r="M2060">
        <v>4</v>
      </c>
      <c r="N2060">
        <v>4</v>
      </c>
      <c r="O2060">
        <v>4</v>
      </c>
      <c r="P2060">
        <v>0</v>
      </c>
      <c r="Q2060">
        <v>48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6</v>
      </c>
      <c r="AB2060">
        <v>0</v>
      </c>
      <c r="AD2060">
        <v>54</v>
      </c>
    </row>
    <row r="2061" spans="1:30" x14ac:dyDescent="0.3">
      <c r="A2061" s="4">
        <v>2081</v>
      </c>
      <c r="B2061" s="5">
        <v>2054</v>
      </c>
      <c r="C2061">
        <v>3021</v>
      </c>
      <c r="D2061" t="s">
        <v>1173</v>
      </c>
      <c r="E2061" t="s">
        <v>935</v>
      </c>
      <c r="F2061" t="s">
        <v>117</v>
      </c>
      <c r="G2061" t="s">
        <v>4497</v>
      </c>
      <c r="H2061" t="str">
        <f>"00650663"</f>
        <v>00650663</v>
      </c>
      <c r="I2061">
        <v>40</v>
      </c>
      <c r="J2061">
        <v>0</v>
      </c>
      <c r="M2061">
        <v>4</v>
      </c>
      <c r="N2061">
        <v>4</v>
      </c>
      <c r="O2061">
        <v>4</v>
      </c>
      <c r="P2061">
        <v>0</v>
      </c>
      <c r="Q2061">
        <v>48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6</v>
      </c>
      <c r="AB2061">
        <v>0</v>
      </c>
      <c r="AD2061">
        <v>54</v>
      </c>
    </row>
    <row r="2062" spans="1:30" x14ac:dyDescent="0.3">
      <c r="A2062" s="4">
        <v>2082</v>
      </c>
      <c r="B2062" s="5">
        <v>2055</v>
      </c>
      <c r="C2062">
        <v>4078</v>
      </c>
      <c r="D2062" t="s">
        <v>4498</v>
      </c>
      <c r="E2062" t="s">
        <v>161</v>
      </c>
      <c r="F2062" t="s">
        <v>38</v>
      </c>
      <c r="G2062" t="s">
        <v>4499</v>
      </c>
      <c r="H2062" t="str">
        <f>"00768231"</f>
        <v>00768231</v>
      </c>
      <c r="I2062">
        <v>40</v>
      </c>
      <c r="J2062">
        <v>0</v>
      </c>
      <c r="M2062">
        <v>4</v>
      </c>
      <c r="N2062">
        <v>4</v>
      </c>
      <c r="O2062">
        <v>4</v>
      </c>
      <c r="P2062">
        <v>0</v>
      </c>
      <c r="Q2062">
        <v>48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6</v>
      </c>
      <c r="AB2062">
        <v>0</v>
      </c>
      <c r="AD2062">
        <v>54</v>
      </c>
    </row>
    <row r="2063" spans="1:30" x14ac:dyDescent="0.3">
      <c r="A2063" s="4">
        <v>2083</v>
      </c>
      <c r="B2063" s="5">
        <v>2056</v>
      </c>
      <c r="C2063">
        <v>1183</v>
      </c>
      <c r="D2063" t="s">
        <v>947</v>
      </c>
      <c r="E2063" t="s">
        <v>100</v>
      </c>
      <c r="F2063" t="s">
        <v>158</v>
      </c>
      <c r="G2063" t="s">
        <v>4500</v>
      </c>
      <c r="H2063" t="str">
        <f>"00484274"</f>
        <v>00484274</v>
      </c>
      <c r="I2063">
        <v>40</v>
      </c>
      <c r="J2063">
        <v>0</v>
      </c>
      <c r="M2063">
        <v>4</v>
      </c>
      <c r="N2063">
        <v>4</v>
      </c>
      <c r="O2063">
        <v>4</v>
      </c>
      <c r="P2063">
        <v>0</v>
      </c>
      <c r="Q2063">
        <v>48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6</v>
      </c>
      <c r="AB2063">
        <v>0</v>
      </c>
      <c r="AD2063">
        <v>54</v>
      </c>
    </row>
    <row r="2064" spans="1:30" x14ac:dyDescent="0.3">
      <c r="A2064" s="4">
        <v>2084</v>
      </c>
      <c r="B2064" s="5">
        <v>2057</v>
      </c>
      <c r="C2064">
        <v>2981</v>
      </c>
      <c r="D2064" t="s">
        <v>4501</v>
      </c>
      <c r="E2064" t="s">
        <v>4502</v>
      </c>
      <c r="F2064" t="s">
        <v>457</v>
      </c>
      <c r="G2064" t="s">
        <v>4503</v>
      </c>
      <c r="H2064" t="str">
        <f>"00184941"</f>
        <v>00184941</v>
      </c>
      <c r="I2064">
        <v>40</v>
      </c>
      <c r="J2064">
        <v>0</v>
      </c>
      <c r="M2064">
        <v>4</v>
      </c>
      <c r="N2064">
        <v>4</v>
      </c>
      <c r="O2064">
        <v>4</v>
      </c>
      <c r="P2064">
        <v>0</v>
      </c>
      <c r="Q2064">
        <v>48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6</v>
      </c>
      <c r="AB2064">
        <v>0</v>
      </c>
      <c r="AD2064">
        <v>54</v>
      </c>
    </row>
    <row r="2065" spans="1:30" x14ac:dyDescent="0.3">
      <c r="A2065" s="4">
        <v>2085</v>
      </c>
      <c r="B2065" s="5">
        <v>2058</v>
      </c>
      <c r="C2065">
        <v>134</v>
      </c>
      <c r="D2065" t="s">
        <v>4504</v>
      </c>
      <c r="E2065" t="s">
        <v>213</v>
      </c>
      <c r="F2065" t="s">
        <v>30</v>
      </c>
      <c r="G2065" t="s">
        <v>4505</v>
      </c>
      <c r="H2065" t="str">
        <f>"200802006831"</f>
        <v>200802006831</v>
      </c>
      <c r="I2065">
        <v>40</v>
      </c>
      <c r="J2065">
        <v>0</v>
      </c>
      <c r="M2065">
        <v>4</v>
      </c>
      <c r="N2065">
        <v>4</v>
      </c>
      <c r="O2065">
        <v>4</v>
      </c>
      <c r="P2065">
        <v>0</v>
      </c>
      <c r="Q2065">
        <v>48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6</v>
      </c>
      <c r="AB2065">
        <v>0</v>
      </c>
      <c r="AD2065">
        <v>54</v>
      </c>
    </row>
    <row r="2066" spans="1:30" x14ac:dyDescent="0.3">
      <c r="A2066" s="4">
        <v>2086</v>
      </c>
      <c r="B2066" s="5">
        <v>2059</v>
      </c>
      <c r="C2066">
        <v>4648</v>
      </c>
      <c r="D2066" t="s">
        <v>3724</v>
      </c>
      <c r="E2066" t="s">
        <v>110</v>
      </c>
      <c r="F2066" t="s">
        <v>17</v>
      </c>
      <c r="G2066" t="s">
        <v>4506</v>
      </c>
      <c r="H2066" t="str">
        <f>"00773095"</f>
        <v>00773095</v>
      </c>
      <c r="I2066">
        <v>36</v>
      </c>
      <c r="J2066">
        <v>0</v>
      </c>
      <c r="K2066">
        <v>8</v>
      </c>
      <c r="N2066">
        <v>8</v>
      </c>
      <c r="O2066">
        <v>4</v>
      </c>
      <c r="P2066">
        <v>0</v>
      </c>
      <c r="Q2066">
        <v>48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6</v>
      </c>
      <c r="AB2066">
        <v>0</v>
      </c>
      <c r="AD2066">
        <v>54</v>
      </c>
    </row>
    <row r="2067" spans="1:30" x14ac:dyDescent="0.3">
      <c r="A2067" s="4">
        <v>2087</v>
      </c>
      <c r="B2067" s="5">
        <v>2060</v>
      </c>
      <c r="C2067">
        <v>4039</v>
      </c>
      <c r="D2067" t="s">
        <v>4507</v>
      </c>
      <c r="E2067" t="s">
        <v>636</v>
      </c>
      <c r="F2067" t="s">
        <v>81</v>
      </c>
      <c r="G2067" t="s">
        <v>4508</v>
      </c>
      <c r="H2067" t="str">
        <f>"00864093"</f>
        <v>00864093</v>
      </c>
      <c r="I2067">
        <v>40</v>
      </c>
      <c r="J2067">
        <v>10</v>
      </c>
      <c r="N2067">
        <v>0</v>
      </c>
      <c r="O2067">
        <v>4</v>
      </c>
      <c r="P2067">
        <v>0</v>
      </c>
      <c r="Q2067">
        <v>54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D2067">
        <v>54</v>
      </c>
    </row>
    <row r="2068" spans="1:30" x14ac:dyDescent="0.3">
      <c r="A2068" s="4">
        <v>2088</v>
      </c>
      <c r="B2068" s="5">
        <v>2061</v>
      </c>
      <c r="C2068">
        <v>3035</v>
      </c>
      <c r="D2068" t="s">
        <v>4509</v>
      </c>
      <c r="E2068" t="s">
        <v>1815</v>
      </c>
      <c r="F2068" t="s">
        <v>91</v>
      </c>
      <c r="G2068" t="s">
        <v>4510</v>
      </c>
      <c r="H2068" t="str">
        <f>"00198978"</f>
        <v>00198978</v>
      </c>
      <c r="I2068">
        <v>40</v>
      </c>
      <c r="J2068">
        <v>0</v>
      </c>
      <c r="K2068">
        <v>8</v>
      </c>
      <c r="N2068">
        <v>8</v>
      </c>
      <c r="O2068">
        <v>4</v>
      </c>
      <c r="P2068">
        <v>2</v>
      </c>
      <c r="Q2068">
        <v>54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D2068">
        <v>54</v>
      </c>
    </row>
    <row r="2069" spans="1:30" x14ac:dyDescent="0.3">
      <c r="A2069" s="4">
        <v>2089</v>
      </c>
      <c r="B2069" s="5">
        <v>2062</v>
      </c>
      <c r="C2069">
        <v>307</v>
      </c>
      <c r="D2069" t="s">
        <v>4511</v>
      </c>
      <c r="E2069" t="s">
        <v>4512</v>
      </c>
      <c r="F2069" t="s">
        <v>136</v>
      </c>
      <c r="G2069" t="s">
        <v>4513</v>
      </c>
      <c r="H2069" t="str">
        <f>"00526633"</f>
        <v>00526633</v>
      </c>
      <c r="I2069">
        <v>40</v>
      </c>
      <c r="J2069">
        <v>0</v>
      </c>
      <c r="K2069">
        <v>8</v>
      </c>
      <c r="N2069">
        <v>8</v>
      </c>
      <c r="O2069">
        <v>4</v>
      </c>
      <c r="P2069">
        <v>2</v>
      </c>
      <c r="Q2069">
        <v>54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D2069">
        <v>54</v>
      </c>
    </row>
    <row r="2070" spans="1:30" x14ac:dyDescent="0.3">
      <c r="A2070" s="4">
        <v>2090</v>
      </c>
      <c r="B2070" s="5">
        <v>2063</v>
      </c>
      <c r="C2070">
        <v>4557</v>
      </c>
      <c r="D2070" t="s">
        <v>4514</v>
      </c>
      <c r="E2070" t="s">
        <v>178</v>
      </c>
      <c r="F2070" t="s">
        <v>124</v>
      </c>
      <c r="G2070" t="s">
        <v>4515</v>
      </c>
      <c r="H2070" t="str">
        <f>"00505240"</f>
        <v>00505240</v>
      </c>
      <c r="I2070">
        <v>34</v>
      </c>
      <c r="J2070">
        <v>10</v>
      </c>
      <c r="L2070">
        <v>6</v>
      </c>
      <c r="N2070">
        <v>6</v>
      </c>
      <c r="O2070">
        <v>4</v>
      </c>
      <c r="P2070">
        <v>0</v>
      </c>
      <c r="Q2070">
        <v>54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D2070">
        <v>54</v>
      </c>
    </row>
    <row r="2071" spans="1:30" x14ac:dyDescent="0.3">
      <c r="A2071" s="4">
        <v>2091</v>
      </c>
      <c r="B2071" s="5">
        <v>2064</v>
      </c>
      <c r="C2071">
        <v>1808</v>
      </c>
      <c r="D2071" t="s">
        <v>4516</v>
      </c>
      <c r="E2071" t="s">
        <v>4517</v>
      </c>
      <c r="F2071" t="s">
        <v>38</v>
      </c>
      <c r="G2071" t="s">
        <v>4518</v>
      </c>
      <c r="H2071" t="str">
        <f>"200802007935"</f>
        <v>200802007935</v>
      </c>
      <c r="I2071">
        <v>26.92</v>
      </c>
      <c r="J2071">
        <v>0</v>
      </c>
      <c r="N2071">
        <v>0</v>
      </c>
      <c r="O2071">
        <v>4</v>
      </c>
      <c r="P2071">
        <v>2</v>
      </c>
      <c r="Q2071">
        <v>32.92</v>
      </c>
      <c r="R2071">
        <v>15</v>
      </c>
      <c r="S2071">
        <v>15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15</v>
      </c>
      <c r="AA2071">
        <v>6</v>
      </c>
      <c r="AB2071">
        <v>0</v>
      </c>
      <c r="AD2071">
        <v>53.92</v>
      </c>
    </row>
    <row r="2072" spans="1:30" x14ac:dyDescent="0.3">
      <c r="A2072" s="4">
        <v>2092</v>
      </c>
      <c r="B2072" s="5">
        <v>2065</v>
      </c>
      <c r="C2072">
        <v>3553</v>
      </c>
      <c r="D2072" t="s">
        <v>4519</v>
      </c>
      <c r="E2072" t="s">
        <v>2743</v>
      </c>
      <c r="F2072" t="s">
        <v>158</v>
      </c>
      <c r="G2072" t="s">
        <v>4520</v>
      </c>
      <c r="H2072" t="str">
        <f>"201511038831"</f>
        <v>201511038831</v>
      </c>
      <c r="I2072">
        <v>37.880000000000003</v>
      </c>
      <c r="J2072">
        <v>0</v>
      </c>
      <c r="M2072">
        <v>4</v>
      </c>
      <c r="N2072">
        <v>4</v>
      </c>
      <c r="O2072">
        <v>4</v>
      </c>
      <c r="P2072">
        <v>2</v>
      </c>
      <c r="Q2072">
        <v>47.88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6</v>
      </c>
      <c r="AB2072">
        <v>0</v>
      </c>
      <c r="AD2072">
        <v>53.88</v>
      </c>
    </row>
    <row r="2073" spans="1:30" x14ac:dyDescent="0.3">
      <c r="A2073" s="4">
        <v>2093</v>
      </c>
      <c r="B2073" s="5">
        <v>2066</v>
      </c>
      <c r="C2073">
        <v>4754</v>
      </c>
      <c r="D2073" t="s">
        <v>4521</v>
      </c>
      <c r="E2073" t="s">
        <v>2481</v>
      </c>
      <c r="F2073" t="s">
        <v>346</v>
      </c>
      <c r="G2073" t="s">
        <v>4522</v>
      </c>
      <c r="H2073" t="str">
        <f>"201511037626"</f>
        <v>201511037626</v>
      </c>
      <c r="I2073">
        <v>34.799999999999997</v>
      </c>
      <c r="J2073">
        <v>0</v>
      </c>
      <c r="M2073">
        <v>4</v>
      </c>
      <c r="N2073">
        <v>4</v>
      </c>
      <c r="O2073">
        <v>4</v>
      </c>
      <c r="P2073">
        <v>2</v>
      </c>
      <c r="Q2073">
        <v>44.8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9</v>
      </c>
      <c r="AB2073">
        <v>0</v>
      </c>
      <c r="AD2073">
        <v>53.8</v>
      </c>
    </row>
    <row r="2074" spans="1:30" x14ac:dyDescent="0.3">
      <c r="A2074" s="4">
        <v>2094</v>
      </c>
      <c r="B2074" s="5">
        <v>2067</v>
      </c>
      <c r="C2074">
        <v>2856</v>
      </c>
      <c r="D2074" t="s">
        <v>682</v>
      </c>
      <c r="E2074" t="s">
        <v>208</v>
      </c>
      <c r="F2074" t="s">
        <v>17</v>
      </c>
      <c r="G2074" t="s">
        <v>4523</v>
      </c>
      <c r="H2074" t="str">
        <f>"00861755"</f>
        <v>00861755</v>
      </c>
      <c r="I2074">
        <v>38.799999999999997</v>
      </c>
      <c r="J2074">
        <v>10</v>
      </c>
      <c r="N2074">
        <v>0</v>
      </c>
      <c r="O2074">
        <v>0</v>
      </c>
      <c r="P2074">
        <v>2</v>
      </c>
      <c r="Q2074">
        <v>50.8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3</v>
      </c>
      <c r="AB2074">
        <v>0</v>
      </c>
      <c r="AD2074">
        <v>53.8</v>
      </c>
    </row>
    <row r="2075" spans="1:30" x14ac:dyDescent="0.3">
      <c r="A2075" s="4">
        <v>2095</v>
      </c>
      <c r="B2075" s="5">
        <v>2068</v>
      </c>
      <c r="C2075">
        <v>316</v>
      </c>
      <c r="D2075" t="s">
        <v>1296</v>
      </c>
      <c r="E2075" t="s">
        <v>29</v>
      </c>
      <c r="F2075" t="s">
        <v>136</v>
      </c>
      <c r="G2075" t="s">
        <v>4524</v>
      </c>
      <c r="H2075" t="str">
        <f>"201511033630"</f>
        <v>201511033630</v>
      </c>
      <c r="I2075">
        <v>30.8</v>
      </c>
      <c r="J2075">
        <v>10</v>
      </c>
      <c r="M2075">
        <v>4</v>
      </c>
      <c r="N2075">
        <v>4</v>
      </c>
      <c r="O2075">
        <v>4</v>
      </c>
      <c r="P2075">
        <v>2</v>
      </c>
      <c r="Q2075">
        <v>50.8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3</v>
      </c>
      <c r="AB2075">
        <v>0</v>
      </c>
      <c r="AD2075">
        <v>53.8</v>
      </c>
    </row>
    <row r="2076" spans="1:30" x14ac:dyDescent="0.3">
      <c r="A2076" s="4">
        <v>2096</v>
      </c>
      <c r="B2076" s="5">
        <v>2069</v>
      </c>
      <c r="C2076">
        <v>2555</v>
      </c>
      <c r="D2076" t="s">
        <v>4439</v>
      </c>
      <c r="E2076" t="s">
        <v>166</v>
      </c>
      <c r="F2076" t="s">
        <v>17</v>
      </c>
      <c r="G2076" t="s">
        <v>4525</v>
      </c>
      <c r="H2076" t="str">
        <f>"00531470"</f>
        <v>00531470</v>
      </c>
      <c r="I2076">
        <v>15.72</v>
      </c>
      <c r="J2076">
        <v>10</v>
      </c>
      <c r="K2076">
        <v>8</v>
      </c>
      <c r="N2076">
        <v>8</v>
      </c>
      <c r="O2076">
        <v>4</v>
      </c>
      <c r="P2076">
        <v>2</v>
      </c>
      <c r="Q2076">
        <v>39.72</v>
      </c>
      <c r="R2076">
        <v>5</v>
      </c>
      <c r="S2076">
        <v>5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5</v>
      </c>
      <c r="AA2076">
        <v>9</v>
      </c>
      <c r="AB2076">
        <v>0</v>
      </c>
      <c r="AD2076">
        <v>53.72</v>
      </c>
    </row>
    <row r="2077" spans="1:30" x14ac:dyDescent="0.3">
      <c r="A2077" s="4">
        <v>2097</v>
      </c>
      <c r="B2077" s="5">
        <v>2070</v>
      </c>
      <c r="C2077">
        <v>2445</v>
      </c>
      <c r="D2077" t="s">
        <v>4526</v>
      </c>
      <c r="E2077" t="s">
        <v>178</v>
      </c>
      <c r="F2077" t="s">
        <v>343</v>
      </c>
      <c r="G2077" t="s">
        <v>4527</v>
      </c>
      <c r="H2077" t="str">
        <f>"00863529"</f>
        <v>00863529</v>
      </c>
      <c r="I2077">
        <v>39.72</v>
      </c>
      <c r="J2077">
        <v>0</v>
      </c>
      <c r="K2077">
        <v>8</v>
      </c>
      <c r="N2077">
        <v>8</v>
      </c>
      <c r="O2077">
        <v>0</v>
      </c>
      <c r="P2077">
        <v>0</v>
      </c>
      <c r="Q2077">
        <v>47.72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6</v>
      </c>
      <c r="AB2077">
        <v>0</v>
      </c>
      <c r="AD2077">
        <v>53.72</v>
      </c>
    </row>
    <row r="2078" spans="1:30" x14ac:dyDescent="0.3">
      <c r="A2078" s="4">
        <v>2098</v>
      </c>
      <c r="B2078" s="5">
        <v>2071</v>
      </c>
      <c r="C2078">
        <v>2916</v>
      </c>
      <c r="D2078" t="s">
        <v>4528</v>
      </c>
      <c r="E2078" t="s">
        <v>4529</v>
      </c>
      <c r="F2078" t="s">
        <v>117</v>
      </c>
      <c r="G2078" t="s">
        <v>4530</v>
      </c>
      <c r="H2078" t="str">
        <f>"00556794"</f>
        <v>00556794</v>
      </c>
      <c r="I2078">
        <v>39.68</v>
      </c>
      <c r="J2078">
        <v>0</v>
      </c>
      <c r="M2078">
        <v>4</v>
      </c>
      <c r="N2078">
        <v>4</v>
      </c>
      <c r="O2078">
        <v>4</v>
      </c>
      <c r="P2078">
        <v>0</v>
      </c>
      <c r="Q2078">
        <v>47.68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6</v>
      </c>
      <c r="AB2078">
        <v>0</v>
      </c>
      <c r="AD2078">
        <v>53.68</v>
      </c>
    </row>
    <row r="2079" spans="1:30" x14ac:dyDescent="0.3">
      <c r="A2079" s="4">
        <v>2099</v>
      </c>
      <c r="B2079" s="5">
        <v>2072</v>
      </c>
      <c r="C2079">
        <v>1321</v>
      </c>
      <c r="D2079" t="s">
        <v>4531</v>
      </c>
      <c r="E2079" t="s">
        <v>697</v>
      </c>
      <c r="F2079" t="s">
        <v>4532</v>
      </c>
      <c r="G2079" t="s">
        <v>4533</v>
      </c>
      <c r="H2079" t="str">
        <f>"00522413"</f>
        <v>00522413</v>
      </c>
      <c r="I2079">
        <v>15.64</v>
      </c>
      <c r="J2079">
        <v>10</v>
      </c>
      <c r="K2079">
        <v>8</v>
      </c>
      <c r="N2079">
        <v>8</v>
      </c>
      <c r="O2079">
        <v>4</v>
      </c>
      <c r="P2079">
        <v>2</v>
      </c>
      <c r="Q2079">
        <v>39.64</v>
      </c>
      <c r="R2079">
        <v>5</v>
      </c>
      <c r="S2079">
        <v>5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5</v>
      </c>
      <c r="AA2079">
        <v>9</v>
      </c>
      <c r="AB2079">
        <v>0</v>
      </c>
      <c r="AD2079">
        <v>53.64</v>
      </c>
    </row>
    <row r="2080" spans="1:30" x14ac:dyDescent="0.3">
      <c r="A2080" s="4">
        <v>2100</v>
      </c>
      <c r="B2080" s="5">
        <v>2073</v>
      </c>
      <c r="C2080">
        <v>3288</v>
      </c>
      <c r="D2080" t="s">
        <v>4534</v>
      </c>
      <c r="E2080" t="s">
        <v>1140</v>
      </c>
      <c r="F2080" t="s">
        <v>38</v>
      </c>
      <c r="G2080" t="s">
        <v>4535</v>
      </c>
      <c r="H2080" t="str">
        <f>"00693744"</f>
        <v>00693744</v>
      </c>
      <c r="I2080">
        <v>39.6</v>
      </c>
      <c r="J2080">
        <v>0</v>
      </c>
      <c r="M2080">
        <v>4</v>
      </c>
      <c r="N2080">
        <v>4</v>
      </c>
      <c r="O2080">
        <v>4</v>
      </c>
      <c r="P2080">
        <v>0</v>
      </c>
      <c r="Q2080">
        <v>47.6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6</v>
      </c>
      <c r="AB2080">
        <v>0</v>
      </c>
      <c r="AD2080">
        <v>53.6</v>
      </c>
    </row>
    <row r="2081" spans="1:30" x14ac:dyDescent="0.3">
      <c r="A2081" s="4">
        <v>2101</v>
      </c>
      <c r="B2081" s="5">
        <v>2074</v>
      </c>
      <c r="C2081">
        <v>1292</v>
      </c>
      <c r="D2081" t="s">
        <v>4536</v>
      </c>
      <c r="E2081" t="s">
        <v>4537</v>
      </c>
      <c r="F2081" t="s">
        <v>167</v>
      </c>
      <c r="G2081" t="s">
        <v>4538</v>
      </c>
      <c r="H2081" t="str">
        <f>"00107736"</f>
        <v>00107736</v>
      </c>
      <c r="I2081">
        <v>35.6</v>
      </c>
      <c r="J2081">
        <v>0</v>
      </c>
      <c r="N2081">
        <v>0</v>
      </c>
      <c r="O2081">
        <v>4</v>
      </c>
      <c r="P2081">
        <v>0</v>
      </c>
      <c r="Q2081">
        <v>39.6</v>
      </c>
      <c r="R2081">
        <v>8</v>
      </c>
      <c r="S2081">
        <v>8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8</v>
      </c>
      <c r="AA2081">
        <v>6</v>
      </c>
      <c r="AB2081">
        <v>0</v>
      </c>
      <c r="AD2081">
        <v>53.6</v>
      </c>
    </row>
    <row r="2082" spans="1:30" x14ac:dyDescent="0.3">
      <c r="A2082" s="4">
        <v>2102</v>
      </c>
      <c r="B2082" s="5">
        <v>2075</v>
      </c>
      <c r="C2082">
        <v>4807</v>
      </c>
      <c r="D2082" t="s">
        <v>4539</v>
      </c>
      <c r="E2082" t="s">
        <v>471</v>
      </c>
      <c r="F2082" t="s">
        <v>81</v>
      </c>
      <c r="G2082" t="s">
        <v>4540</v>
      </c>
      <c r="H2082" t="str">
        <f>"00223558"</f>
        <v>00223558</v>
      </c>
      <c r="I2082">
        <v>21.6</v>
      </c>
      <c r="J2082">
        <v>0</v>
      </c>
      <c r="L2082">
        <v>6</v>
      </c>
      <c r="N2082">
        <v>6</v>
      </c>
      <c r="O2082">
        <v>4</v>
      </c>
      <c r="P2082">
        <v>2</v>
      </c>
      <c r="Q2082">
        <v>33.6</v>
      </c>
      <c r="R2082">
        <v>17</v>
      </c>
      <c r="S2082">
        <v>17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17</v>
      </c>
      <c r="AA2082">
        <v>3</v>
      </c>
      <c r="AB2082">
        <v>0</v>
      </c>
      <c r="AD2082">
        <v>53.6</v>
      </c>
    </row>
    <row r="2083" spans="1:30" x14ac:dyDescent="0.3">
      <c r="A2083" s="4">
        <v>2103</v>
      </c>
      <c r="B2083" s="5">
        <v>2076</v>
      </c>
      <c r="C2083">
        <v>2949</v>
      </c>
      <c r="D2083" t="s">
        <v>4541</v>
      </c>
      <c r="E2083" t="s">
        <v>61</v>
      </c>
      <c r="F2083" t="s">
        <v>81</v>
      </c>
      <c r="G2083" t="s">
        <v>4542</v>
      </c>
      <c r="H2083" t="str">
        <f>"201511029196"</f>
        <v>201511029196</v>
      </c>
      <c r="I2083">
        <v>39.6</v>
      </c>
      <c r="J2083">
        <v>10</v>
      </c>
      <c r="N2083">
        <v>0</v>
      </c>
      <c r="O2083">
        <v>4</v>
      </c>
      <c r="P2083">
        <v>0</v>
      </c>
      <c r="Q2083">
        <v>53.6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D2083">
        <v>53.6</v>
      </c>
    </row>
    <row r="2084" spans="1:30" x14ac:dyDescent="0.3">
      <c r="A2084" s="4">
        <v>2104</v>
      </c>
      <c r="B2084" s="5">
        <v>2077</v>
      </c>
      <c r="C2084">
        <v>769</v>
      </c>
      <c r="D2084" t="s">
        <v>4543</v>
      </c>
      <c r="E2084" t="s">
        <v>255</v>
      </c>
      <c r="F2084" t="s">
        <v>136</v>
      </c>
      <c r="G2084" t="s">
        <v>4544</v>
      </c>
      <c r="H2084" t="str">
        <f>"00508290"</f>
        <v>00508290</v>
      </c>
      <c r="I2084">
        <v>39.6</v>
      </c>
      <c r="J2084">
        <v>0</v>
      </c>
      <c r="K2084">
        <v>8</v>
      </c>
      <c r="N2084">
        <v>8</v>
      </c>
      <c r="O2084">
        <v>4</v>
      </c>
      <c r="P2084">
        <v>2</v>
      </c>
      <c r="Q2084">
        <v>53.6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D2084">
        <v>53.6</v>
      </c>
    </row>
    <row r="2085" spans="1:30" x14ac:dyDescent="0.3">
      <c r="A2085" s="4">
        <v>2105</v>
      </c>
      <c r="B2085" s="5">
        <v>2078</v>
      </c>
      <c r="C2085">
        <v>655</v>
      </c>
      <c r="D2085" t="s">
        <v>767</v>
      </c>
      <c r="E2085" t="s">
        <v>166</v>
      </c>
      <c r="F2085" t="s">
        <v>81</v>
      </c>
      <c r="G2085" t="s">
        <v>4545</v>
      </c>
      <c r="H2085" t="str">
        <f>"00561631"</f>
        <v>00561631</v>
      </c>
      <c r="I2085">
        <v>39.6</v>
      </c>
      <c r="J2085">
        <v>10</v>
      </c>
      <c r="N2085">
        <v>0</v>
      </c>
      <c r="O2085">
        <v>4</v>
      </c>
      <c r="P2085">
        <v>0</v>
      </c>
      <c r="Q2085">
        <v>53.6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D2085">
        <v>53.6</v>
      </c>
    </row>
    <row r="2086" spans="1:30" x14ac:dyDescent="0.3">
      <c r="A2086" s="4">
        <v>2106</v>
      </c>
      <c r="B2086" s="5">
        <v>2079</v>
      </c>
      <c r="C2086">
        <v>4804</v>
      </c>
      <c r="D2086" t="s">
        <v>4038</v>
      </c>
      <c r="E2086" t="s">
        <v>37</v>
      </c>
      <c r="F2086" t="s">
        <v>4546</v>
      </c>
      <c r="G2086" t="s">
        <v>4547</v>
      </c>
      <c r="H2086" t="str">
        <f>"00533821"</f>
        <v>00533821</v>
      </c>
      <c r="I2086">
        <v>39.6</v>
      </c>
      <c r="J2086">
        <v>10</v>
      </c>
      <c r="N2086">
        <v>0</v>
      </c>
      <c r="O2086">
        <v>4</v>
      </c>
      <c r="P2086">
        <v>0</v>
      </c>
      <c r="Q2086">
        <v>53.6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D2086">
        <v>53.6</v>
      </c>
    </row>
    <row r="2087" spans="1:30" x14ac:dyDescent="0.3">
      <c r="A2087" s="4">
        <v>2107</v>
      </c>
      <c r="B2087" s="5">
        <v>2080</v>
      </c>
      <c r="C2087">
        <v>1249</v>
      </c>
      <c r="D2087" t="s">
        <v>4548</v>
      </c>
      <c r="E2087" t="s">
        <v>4549</v>
      </c>
      <c r="F2087" t="s">
        <v>136</v>
      </c>
      <c r="G2087" t="s">
        <v>4550</v>
      </c>
      <c r="H2087" t="str">
        <f>"00426166"</f>
        <v>00426166</v>
      </c>
      <c r="I2087">
        <v>31.6</v>
      </c>
      <c r="J2087">
        <v>0</v>
      </c>
      <c r="M2087">
        <v>4</v>
      </c>
      <c r="N2087">
        <v>4</v>
      </c>
      <c r="O2087">
        <v>4</v>
      </c>
      <c r="P2087">
        <v>0</v>
      </c>
      <c r="Q2087">
        <v>39.6</v>
      </c>
      <c r="R2087">
        <v>14</v>
      </c>
      <c r="S2087">
        <v>14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14</v>
      </c>
      <c r="AA2087">
        <v>0</v>
      </c>
      <c r="AB2087">
        <v>0</v>
      </c>
      <c r="AD2087">
        <v>53.6</v>
      </c>
    </row>
    <row r="2088" spans="1:30" x14ac:dyDescent="0.3">
      <c r="A2088" s="4">
        <v>2108</v>
      </c>
      <c r="B2088" s="5">
        <v>2081</v>
      </c>
      <c r="C2088">
        <v>5</v>
      </c>
      <c r="D2088" t="s">
        <v>3033</v>
      </c>
      <c r="E2088" t="s">
        <v>110</v>
      </c>
      <c r="F2088" t="s">
        <v>20</v>
      </c>
      <c r="G2088" t="s">
        <v>4551</v>
      </c>
      <c r="H2088" t="str">
        <f>"00530979"</f>
        <v>00530979</v>
      </c>
      <c r="I2088">
        <v>21.6</v>
      </c>
      <c r="J2088">
        <v>0</v>
      </c>
      <c r="K2088">
        <v>8</v>
      </c>
      <c r="N2088">
        <v>8</v>
      </c>
      <c r="O2088">
        <v>4</v>
      </c>
      <c r="P2088">
        <v>2</v>
      </c>
      <c r="Q2088">
        <v>35.6</v>
      </c>
      <c r="R2088">
        <v>18</v>
      </c>
      <c r="S2088">
        <v>18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18</v>
      </c>
      <c r="AA2088">
        <v>0</v>
      </c>
      <c r="AB2088">
        <v>0</v>
      </c>
      <c r="AD2088">
        <v>53.6</v>
      </c>
    </row>
    <row r="2089" spans="1:30" x14ac:dyDescent="0.3">
      <c r="A2089" s="4">
        <v>2109</v>
      </c>
      <c r="B2089" s="5">
        <v>2082</v>
      </c>
      <c r="C2089">
        <v>1623</v>
      </c>
      <c r="D2089" t="s">
        <v>4552</v>
      </c>
      <c r="E2089" t="s">
        <v>692</v>
      </c>
      <c r="F2089" t="s">
        <v>81</v>
      </c>
      <c r="G2089" t="s">
        <v>4553</v>
      </c>
      <c r="H2089" t="str">
        <f>"00507212"</f>
        <v>00507212</v>
      </c>
      <c r="I2089">
        <v>21.6</v>
      </c>
      <c r="J2089">
        <v>0</v>
      </c>
      <c r="M2089">
        <v>4</v>
      </c>
      <c r="N2089">
        <v>4</v>
      </c>
      <c r="O2089">
        <v>4</v>
      </c>
      <c r="P2089">
        <v>2</v>
      </c>
      <c r="Q2089">
        <v>31.6</v>
      </c>
      <c r="R2089">
        <v>22</v>
      </c>
      <c r="S2089">
        <v>22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22</v>
      </c>
      <c r="AA2089">
        <v>0</v>
      </c>
      <c r="AB2089">
        <v>0</v>
      </c>
      <c r="AD2089">
        <v>53.6</v>
      </c>
    </row>
    <row r="2090" spans="1:30" x14ac:dyDescent="0.3">
      <c r="A2090" s="4">
        <v>2110</v>
      </c>
      <c r="B2090" s="5">
        <v>2083</v>
      </c>
      <c r="C2090">
        <v>3611</v>
      </c>
      <c r="D2090" t="s">
        <v>4554</v>
      </c>
      <c r="E2090" t="s">
        <v>41</v>
      </c>
      <c r="F2090" t="s">
        <v>38</v>
      </c>
      <c r="G2090" t="s">
        <v>4555</v>
      </c>
      <c r="H2090" t="str">
        <f>"00507538"</f>
        <v>00507538</v>
      </c>
      <c r="I2090">
        <v>21.6</v>
      </c>
      <c r="J2090">
        <v>0</v>
      </c>
      <c r="N2090">
        <v>0</v>
      </c>
      <c r="O2090">
        <v>4</v>
      </c>
      <c r="P2090">
        <v>0</v>
      </c>
      <c r="Q2090">
        <v>25.6</v>
      </c>
      <c r="R2090">
        <v>28</v>
      </c>
      <c r="S2090">
        <v>28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28</v>
      </c>
      <c r="AA2090">
        <v>0</v>
      </c>
      <c r="AB2090">
        <v>0</v>
      </c>
      <c r="AD2090">
        <v>53.6</v>
      </c>
    </row>
    <row r="2091" spans="1:30" x14ac:dyDescent="0.3">
      <c r="A2091" s="4">
        <v>2111</v>
      </c>
      <c r="B2091" s="5">
        <v>2084</v>
      </c>
      <c r="C2091">
        <v>4050</v>
      </c>
      <c r="D2091" t="s">
        <v>4556</v>
      </c>
      <c r="E2091" t="s">
        <v>41</v>
      </c>
      <c r="F2091" t="s">
        <v>17</v>
      </c>
      <c r="G2091" t="s">
        <v>4557</v>
      </c>
      <c r="H2091" t="str">
        <f>"00480265"</f>
        <v>00480265</v>
      </c>
      <c r="I2091">
        <v>22.56</v>
      </c>
      <c r="J2091">
        <v>0</v>
      </c>
      <c r="N2091">
        <v>0</v>
      </c>
      <c r="O2091">
        <v>4</v>
      </c>
      <c r="P2091">
        <v>0</v>
      </c>
      <c r="Q2091">
        <v>26.56</v>
      </c>
      <c r="R2091">
        <v>27</v>
      </c>
      <c r="S2091">
        <v>27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27</v>
      </c>
      <c r="AA2091">
        <v>0</v>
      </c>
      <c r="AB2091">
        <v>0</v>
      </c>
      <c r="AD2091">
        <v>53.56</v>
      </c>
    </row>
    <row r="2092" spans="1:30" x14ac:dyDescent="0.3">
      <c r="A2092" s="4">
        <v>2112</v>
      </c>
      <c r="B2092" s="5">
        <v>2085</v>
      </c>
      <c r="C2092">
        <v>3184</v>
      </c>
      <c r="D2092" t="s">
        <v>4558</v>
      </c>
      <c r="E2092" t="s">
        <v>213</v>
      </c>
      <c r="F2092" t="s">
        <v>68</v>
      </c>
      <c r="G2092" t="s">
        <v>4559</v>
      </c>
      <c r="H2092" t="str">
        <f>"00060633"</f>
        <v>00060633</v>
      </c>
      <c r="I2092">
        <v>29.44</v>
      </c>
      <c r="J2092">
        <v>10</v>
      </c>
      <c r="M2092">
        <v>4</v>
      </c>
      <c r="N2092">
        <v>4</v>
      </c>
      <c r="O2092">
        <v>4</v>
      </c>
      <c r="P2092">
        <v>0</v>
      </c>
      <c r="Q2092">
        <v>47.44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6</v>
      </c>
      <c r="AB2092">
        <v>0</v>
      </c>
      <c r="AD2092">
        <v>53.44</v>
      </c>
    </row>
    <row r="2093" spans="1:30" x14ac:dyDescent="0.3">
      <c r="A2093" s="4">
        <v>2113</v>
      </c>
      <c r="B2093" s="5">
        <v>2086</v>
      </c>
      <c r="C2093">
        <v>4182</v>
      </c>
      <c r="D2093" t="s">
        <v>4560</v>
      </c>
      <c r="E2093" t="s">
        <v>132</v>
      </c>
      <c r="F2093" t="s">
        <v>62</v>
      </c>
      <c r="G2093" t="s">
        <v>4561</v>
      </c>
      <c r="H2093" t="str">
        <f>"00459476"</f>
        <v>00459476</v>
      </c>
      <c r="I2093">
        <v>50.4</v>
      </c>
      <c r="J2093">
        <v>0</v>
      </c>
      <c r="N2093">
        <v>0</v>
      </c>
      <c r="O2093">
        <v>0</v>
      </c>
      <c r="P2093">
        <v>0</v>
      </c>
      <c r="Q2093">
        <v>50.4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3</v>
      </c>
      <c r="AB2093">
        <v>0</v>
      </c>
      <c r="AD2093">
        <v>53.4</v>
      </c>
    </row>
    <row r="2094" spans="1:30" x14ac:dyDescent="0.3">
      <c r="A2094" s="4">
        <v>2114</v>
      </c>
      <c r="B2094" s="5">
        <v>2087</v>
      </c>
      <c r="C2094">
        <v>3087</v>
      </c>
      <c r="D2094" t="s">
        <v>4562</v>
      </c>
      <c r="E2094" t="s">
        <v>132</v>
      </c>
      <c r="F2094" t="s">
        <v>975</v>
      </c>
      <c r="G2094" t="s">
        <v>4563</v>
      </c>
      <c r="H2094" t="str">
        <f>"00771823"</f>
        <v>00771823</v>
      </c>
      <c r="I2094">
        <v>50.4</v>
      </c>
      <c r="J2094">
        <v>0</v>
      </c>
      <c r="N2094">
        <v>0</v>
      </c>
      <c r="O2094">
        <v>0</v>
      </c>
      <c r="P2094">
        <v>0</v>
      </c>
      <c r="Q2094">
        <v>50.4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3</v>
      </c>
      <c r="AB2094">
        <v>0</v>
      </c>
      <c r="AD2094">
        <v>53.4</v>
      </c>
    </row>
    <row r="2095" spans="1:30" x14ac:dyDescent="0.3">
      <c r="A2095" s="4">
        <v>2115</v>
      </c>
      <c r="B2095" s="5">
        <v>2088</v>
      </c>
      <c r="C2095">
        <v>4451</v>
      </c>
      <c r="D2095" t="s">
        <v>4564</v>
      </c>
      <c r="E2095" t="s">
        <v>37</v>
      </c>
      <c r="F2095" t="s">
        <v>343</v>
      </c>
      <c r="G2095" t="s">
        <v>4565</v>
      </c>
      <c r="H2095" t="str">
        <f>"00477621"</f>
        <v>00477621</v>
      </c>
      <c r="I2095">
        <v>50.4</v>
      </c>
      <c r="J2095">
        <v>0</v>
      </c>
      <c r="N2095">
        <v>0</v>
      </c>
      <c r="O2095">
        <v>0</v>
      </c>
      <c r="P2095">
        <v>0</v>
      </c>
      <c r="Q2095">
        <v>50.4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3</v>
      </c>
      <c r="AB2095">
        <v>0</v>
      </c>
      <c r="AD2095">
        <v>53.4</v>
      </c>
    </row>
    <row r="2096" spans="1:30" x14ac:dyDescent="0.3">
      <c r="A2096" s="4">
        <v>2116</v>
      </c>
      <c r="B2096" s="5">
        <v>2089</v>
      </c>
      <c r="C2096">
        <v>442</v>
      </c>
      <c r="D2096" t="s">
        <v>1095</v>
      </c>
      <c r="E2096" t="s">
        <v>4566</v>
      </c>
      <c r="F2096" t="s">
        <v>243</v>
      </c>
      <c r="G2096" t="s">
        <v>4567</v>
      </c>
      <c r="H2096" t="str">
        <f>"00659100"</f>
        <v>00659100</v>
      </c>
      <c r="I2096">
        <v>50.4</v>
      </c>
      <c r="J2096">
        <v>0</v>
      </c>
      <c r="N2096">
        <v>0</v>
      </c>
      <c r="O2096">
        <v>0</v>
      </c>
      <c r="P2096">
        <v>0</v>
      </c>
      <c r="Q2096">
        <v>50.4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3</v>
      </c>
      <c r="AB2096">
        <v>0</v>
      </c>
      <c r="AD2096">
        <v>53.4</v>
      </c>
    </row>
    <row r="2097" spans="1:30" x14ac:dyDescent="0.3">
      <c r="A2097" s="4">
        <v>2117</v>
      </c>
      <c r="B2097" s="5">
        <v>2090</v>
      </c>
      <c r="C2097">
        <v>1682</v>
      </c>
      <c r="D2097" t="s">
        <v>4568</v>
      </c>
      <c r="E2097" t="s">
        <v>2643</v>
      </c>
      <c r="F2097" t="s">
        <v>117</v>
      </c>
      <c r="G2097" t="s">
        <v>4569</v>
      </c>
      <c r="H2097" t="str">
        <f>"00069314"</f>
        <v>00069314</v>
      </c>
      <c r="I2097">
        <v>14.4</v>
      </c>
      <c r="J2097">
        <v>0</v>
      </c>
      <c r="N2097">
        <v>0</v>
      </c>
      <c r="O2097">
        <v>4</v>
      </c>
      <c r="P2097">
        <v>2</v>
      </c>
      <c r="Q2097">
        <v>20.399999999999999</v>
      </c>
      <c r="R2097">
        <v>16</v>
      </c>
      <c r="S2097">
        <v>16</v>
      </c>
      <c r="T2097">
        <v>7</v>
      </c>
      <c r="U2097">
        <v>14</v>
      </c>
      <c r="V2097">
        <v>0</v>
      </c>
      <c r="W2097">
        <v>0</v>
      </c>
      <c r="X2097">
        <v>0</v>
      </c>
      <c r="Y2097">
        <v>0</v>
      </c>
      <c r="Z2097">
        <v>30</v>
      </c>
      <c r="AA2097">
        <v>3</v>
      </c>
      <c r="AB2097">
        <v>0</v>
      </c>
      <c r="AD2097">
        <v>53.4</v>
      </c>
    </row>
    <row r="2098" spans="1:30" x14ac:dyDescent="0.3">
      <c r="A2098" s="4">
        <v>2118</v>
      </c>
      <c r="B2098" s="5">
        <v>2091</v>
      </c>
      <c r="C2098">
        <v>1376</v>
      </c>
      <c r="D2098" t="s">
        <v>4570</v>
      </c>
      <c r="E2098" t="s">
        <v>1117</v>
      </c>
      <c r="F2098" t="s">
        <v>190</v>
      </c>
      <c r="G2098" t="s">
        <v>4571</v>
      </c>
      <c r="H2098" t="str">
        <f>"00561449"</f>
        <v>00561449</v>
      </c>
      <c r="I2098">
        <v>33.32</v>
      </c>
      <c r="J2098">
        <v>10</v>
      </c>
      <c r="N2098">
        <v>0</v>
      </c>
      <c r="O2098">
        <v>4</v>
      </c>
      <c r="P2098">
        <v>0</v>
      </c>
      <c r="Q2098">
        <v>47.32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6</v>
      </c>
      <c r="AB2098">
        <v>0</v>
      </c>
      <c r="AD2098">
        <v>53.32</v>
      </c>
    </row>
    <row r="2099" spans="1:30" x14ac:dyDescent="0.3">
      <c r="A2099" s="4">
        <v>2119</v>
      </c>
      <c r="B2099" s="5">
        <v>2092</v>
      </c>
      <c r="C2099">
        <v>492</v>
      </c>
      <c r="D2099" t="s">
        <v>4572</v>
      </c>
      <c r="E2099" t="s">
        <v>789</v>
      </c>
      <c r="F2099" t="s">
        <v>38</v>
      </c>
      <c r="G2099" t="s">
        <v>4573</v>
      </c>
      <c r="H2099" t="str">
        <f>"00554360"</f>
        <v>00554360</v>
      </c>
      <c r="I2099">
        <v>39.28</v>
      </c>
      <c r="J2099">
        <v>0</v>
      </c>
      <c r="M2099">
        <v>4</v>
      </c>
      <c r="N2099">
        <v>4</v>
      </c>
      <c r="O2099">
        <v>4</v>
      </c>
      <c r="P2099">
        <v>0</v>
      </c>
      <c r="Q2099">
        <v>47.28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6</v>
      </c>
      <c r="AB2099">
        <v>0</v>
      </c>
      <c r="AD2099">
        <v>53.28</v>
      </c>
    </row>
    <row r="2100" spans="1:30" x14ac:dyDescent="0.3">
      <c r="A2100" s="4">
        <v>2120</v>
      </c>
      <c r="B2100" s="5">
        <v>2093</v>
      </c>
      <c r="C2100">
        <v>3451</v>
      </c>
      <c r="D2100" t="s">
        <v>4574</v>
      </c>
      <c r="E2100" t="s">
        <v>29</v>
      </c>
      <c r="F2100" t="s">
        <v>230</v>
      </c>
      <c r="G2100" t="s">
        <v>4575</v>
      </c>
      <c r="H2100" t="str">
        <f>"00526343"</f>
        <v>00526343</v>
      </c>
      <c r="I2100">
        <v>34.24</v>
      </c>
      <c r="J2100">
        <v>0</v>
      </c>
      <c r="N2100">
        <v>0</v>
      </c>
      <c r="O2100">
        <v>0</v>
      </c>
      <c r="P2100">
        <v>0</v>
      </c>
      <c r="Q2100">
        <v>34.24</v>
      </c>
      <c r="R2100">
        <v>13</v>
      </c>
      <c r="S2100">
        <v>13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13</v>
      </c>
      <c r="AA2100">
        <v>6</v>
      </c>
      <c r="AB2100">
        <v>0</v>
      </c>
      <c r="AD2100">
        <v>53.24</v>
      </c>
    </row>
    <row r="2101" spans="1:30" x14ac:dyDescent="0.3">
      <c r="A2101" s="4">
        <v>2121</v>
      </c>
      <c r="B2101" s="5">
        <v>2094</v>
      </c>
      <c r="C2101">
        <v>3696</v>
      </c>
      <c r="D2101" t="s">
        <v>4576</v>
      </c>
      <c r="E2101" t="s">
        <v>29</v>
      </c>
      <c r="F2101" t="s">
        <v>442</v>
      </c>
      <c r="G2101" t="s">
        <v>4577</v>
      </c>
      <c r="H2101" t="str">
        <f>"00515332"</f>
        <v>00515332</v>
      </c>
      <c r="I2101">
        <v>7.2</v>
      </c>
      <c r="J2101">
        <v>10</v>
      </c>
      <c r="N2101">
        <v>0</v>
      </c>
      <c r="O2101">
        <v>0</v>
      </c>
      <c r="P2101">
        <v>0</v>
      </c>
      <c r="Q2101">
        <v>17.2</v>
      </c>
      <c r="R2101">
        <v>24</v>
      </c>
      <c r="S2101">
        <v>24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24</v>
      </c>
      <c r="AA2101">
        <v>12</v>
      </c>
      <c r="AB2101">
        <v>0</v>
      </c>
      <c r="AD2101">
        <v>53.2</v>
      </c>
    </row>
    <row r="2102" spans="1:30" x14ac:dyDescent="0.3">
      <c r="A2102" s="4">
        <v>2122</v>
      </c>
      <c r="B2102" s="5">
        <v>2095</v>
      </c>
      <c r="C2102">
        <v>455</v>
      </c>
      <c r="D2102" t="s">
        <v>4578</v>
      </c>
      <c r="E2102" t="s">
        <v>71</v>
      </c>
      <c r="F2102" t="s">
        <v>343</v>
      </c>
      <c r="G2102" t="s">
        <v>4579</v>
      </c>
      <c r="H2102" t="str">
        <f>"201406000081"</f>
        <v>201406000081</v>
      </c>
      <c r="I2102">
        <v>43.2</v>
      </c>
      <c r="J2102">
        <v>0</v>
      </c>
      <c r="N2102">
        <v>0</v>
      </c>
      <c r="O2102">
        <v>4</v>
      </c>
      <c r="P2102">
        <v>0</v>
      </c>
      <c r="Q2102">
        <v>47.2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6</v>
      </c>
      <c r="AB2102">
        <v>0</v>
      </c>
      <c r="AD2102">
        <v>53.2</v>
      </c>
    </row>
    <row r="2103" spans="1:30" x14ac:dyDescent="0.3">
      <c r="A2103" s="4">
        <v>2123</v>
      </c>
      <c r="B2103" s="5">
        <v>2096</v>
      </c>
      <c r="C2103">
        <v>932</v>
      </c>
      <c r="D2103" t="s">
        <v>3340</v>
      </c>
      <c r="E2103" t="s">
        <v>29</v>
      </c>
      <c r="F2103" t="s">
        <v>1450</v>
      </c>
      <c r="G2103" t="s">
        <v>4580</v>
      </c>
      <c r="H2103" t="str">
        <f>"201408000009"</f>
        <v>201408000009</v>
      </c>
      <c r="I2103">
        <v>43.2</v>
      </c>
      <c r="J2103">
        <v>0</v>
      </c>
      <c r="N2103">
        <v>0</v>
      </c>
      <c r="O2103">
        <v>4</v>
      </c>
      <c r="P2103">
        <v>0</v>
      </c>
      <c r="Q2103">
        <v>47.2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6</v>
      </c>
      <c r="AB2103">
        <v>0</v>
      </c>
      <c r="AD2103">
        <v>53.2</v>
      </c>
    </row>
    <row r="2104" spans="1:30" x14ac:dyDescent="0.3">
      <c r="A2104" s="4">
        <v>2124</v>
      </c>
      <c r="B2104" s="5">
        <v>2097</v>
      </c>
      <c r="C2104">
        <v>2553</v>
      </c>
      <c r="D2104" t="s">
        <v>3849</v>
      </c>
      <c r="E2104" t="s">
        <v>110</v>
      </c>
      <c r="F2104" t="s">
        <v>1367</v>
      </c>
      <c r="G2104" t="s">
        <v>4581</v>
      </c>
      <c r="H2104" t="str">
        <f>"00185670"</f>
        <v>00185670</v>
      </c>
      <c r="I2104">
        <v>43.2</v>
      </c>
      <c r="J2104">
        <v>10</v>
      </c>
      <c r="N2104">
        <v>0</v>
      </c>
      <c r="O2104">
        <v>0</v>
      </c>
      <c r="P2104">
        <v>0</v>
      </c>
      <c r="Q2104">
        <v>53.2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D2104">
        <v>53.2</v>
      </c>
    </row>
    <row r="2105" spans="1:30" x14ac:dyDescent="0.3">
      <c r="A2105" s="4">
        <v>2125</v>
      </c>
      <c r="B2105" s="5">
        <v>2098</v>
      </c>
      <c r="C2105">
        <v>499</v>
      </c>
      <c r="D2105" t="s">
        <v>473</v>
      </c>
      <c r="E2105" t="s">
        <v>88</v>
      </c>
      <c r="F2105" t="s">
        <v>750</v>
      </c>
      <c r="G2105" t="s">
        <v>4582</v>
      </c>
      <c r="H2105" t="str">
        <f>"00498672"</f>
        <v>00498672</v>
      </c>
      <c r="I2105">
        <v>43.2</v>
      </c>
      <c r="J2105">
        <v>0</v>
      </c>
      <c r="M2105">
        <v>4</v>
      </c>
      <c r="N2105">
        <v>4</v>
      </c>
      <c r="O2105">
        <v>4</v>
      </c>
      <c r="P2105">
        <v>2</v>
      </c>
      <c r="Q2105">
        <v>53.2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D2105">
        <v>53.2</v>
      </c>
    </row>
    <row r="2106" spans="1:30" x14ac:dyDescent="0.3">
      <c r="A2106" s="4">
        <v>2126</v>
      </c>
      <c r="B2106" s="5">
        <v>2099</v>
      </c>
      <c r="C2106">
        <v>4512</v>
      </c>
      <c r="D2106" t="s">
        <v>1857</v>
      </c>
      <c r="E2106" t="s">
        <v>54</v>
      </c>
      <c r="F2106" t="s">
        <v>79</v>
      </c>
      <c r="G2106" t="s">
        <v>4583</v>
      </c>
      <c r="H2106" t="str">
        <f>"00311163"</f>
        <v>00311163</v>
      </c>
      <c r="I2106">
        <v>43.2</v>
      </c>
      <c r="J2106">
        <v>0</v>
      </c>
      <c r="M2106">
        <v>4</v>
      </c>
      <c r="N2106">
        <v>4</v>
      </c>
      <c r="O2106">
        <v>4</v>
      </c>
      <c r="P2106">
        <v>2</v>
      </c>
      <c r="Q2106">
        <v>53.2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D2106">
        <v>53.2</v>
      </c>
    </row>
    <row r="2107" spans="1:30" x14ac:dyDescent="0.3">
      <c r="A2107" s="4">
        <v>2127</v>
      </c>
      <c r="B2107" s="5">
        <v>2100</v>
      </c>
      <c r="C2107">
        <v>3000</v>
      </c>
      <c r="D2107" t="s">
        <v>2043</v>
      </c>
      <c r="E2107" t="s">
        <v>178</v>
      </c>
      <c r="F2107" t="s">
        <v>81</v>
      </c>
      <c r="G2107" t="s">
        <v>4584</v>
      </c>
      <c r="H2107" t="str">
        <f>"00859994"</f>
        <v>00859994</v>
      </c>
      <c r="I2107">
        <v>43.2</v>
      </c>
      <c r="J2107">
        <v>0</v>
      </c>
      <c r="M2107">
        <v>4</v>
      </c>
      <c r="N2107">
        <v>4</v>
      </c>
      <c r="O2107">
        <v>4</v>
      </c>
      <c r="P2107">
        <v>2</v>
      </c>
      <c r="Q2107">
        <v>53.2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D2107">
        <v>53.2</v>
      </c>
    </row>
    <row r="2108" spans="1:30" x14ac:dyDescent="0.3">
      <c r="A2108" s="4">
        <v>2128</v>
      </c>
      <c r="B2108" s="5">
        <v>2101</v>
      </c>
      <c r="C2108">
        <v>1949</v>
      </c>
      <c r="D2108" t="s">
        <v>3035</v>
      </c>
      <c r="E2108" t="s">
        <v>161</v>
      </c>
      <c r="F2108" t="s">
        <v>136</v>
      </c>
      <c r="G2108" t="s">
        <v>4585</v>
      </c>
      <c r="H2108" t="str">
        <f>"00554940"</f>
        <v>00554940</v>
      </c>
      <c r="I2108">
        <v>43.2</v>
      </c>
      <c r="J2108">
        <v>10</v>
      </c>
      <c r="N2108">
        <v>0</v>
      </c>
      <c r="O2108">
        <v>0</v>
      </c>
      <c r="P2108">
        <v>0</v>
      </c>
      <c r="Q2108">
        <v>53.2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D2108">
        <v>53.2</v>
      </c>
    </row>
    <row r="2109" spans="1:30" x14ac:dyDescent="0.3">
      <c r="A2109" s="4">
        <v>2129</v>
      </c>
      <c r="B2109" s="5">
        <v>2102</v>
      </c>
      <c r="C2109">
        <v>4068</v>
      </c>
      <c r="D2109" t="s">
        <v>4586</v>
      </c>
      <c r="E2109" t="s">
        <v>516</v>
      </c>
      <c r="F2109" t="s">
        <v>81</v>
      </c>
      <c r="G2109" t="s">
        <v>4587</v>
      </c>
      <c r="H2109" t="str">
        <f>"00794086"</f>
        <v>00794086</v>
      </c>
      <c r="I2109">
        <v>43.2</v>
      </c>
      <c r="J2109">
        <v>0</v>
      </c>
      <c r="M2109">
        <v>4</v>
      </c>
      <c r="N2109">
        <v>4</v>
      </c>
      <c r="O2109">
        <v>4</v>
      </c>
      <c r="P2109">
        <v>2</v>
      </c>
      <c r="Q2109">
        <v>53.2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D2109">
        <v>53.2</v>
      </c>
    </row>
    <row r="2110" spans="1:30" x14ac:dyDescent="0.3">
      <c r="A2110" s="4">
        <v>2130</v>
      </c>
      <c r="B2110" s="5">
        <v>2103</v>
      </c>
      <c r="C2110">
        <v>2691</v>
      </c>
      <c r="D2110" t="s">
        <v>4588</v>
      </c>
      <c r="E2110" t="s">
        <v>789</v>
      </c>
      <c r="F2110" t="s">
        <v>20</v>
      </c>
      <c r="G2110" t="s">
        <v>4589</v>
      </c>
      <c r="H2110" t="str">
        <f>"00565540"</f>
        <v>00565540</v>
      </c>
      <c r="I2110">
        <v>43.2</v>
      </c>
      <c r="J2110">
        <v>0</v>
      </c>
      <c r="M2110">
        <v>4</v>
      </c>
      <c r="N2110">
        <v>4</v>
      </c>
      <c r="O2110">
        <v>4</v>
      </c>
      <c r="P2110">
        <v>2</v>
      </c>
      <c r="Q2110">
        <v>53.2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D2110">
        <v>53.2</v>
      </c>
    </row>
    <row r="2111" spans="1:30" x14ac:dyDescent="0.3">
      <c r="A2111" s="4">
        <v>2131</v>
      </c>
      <c r="B2111" s="5">
        <v>2104</v>
      </c>
      <c r="C2111">
        <v>972</v>
      </c>
      <c r="D2111" t="s">
        <v>4590</v>
      </c>
      <c r="E2111" t="s">
        <v>4591</v>
      </c>
      <c r="F2111" t="s">
        <v>167</v>
      </c>
      <c r="G2111" t="s">
        <v>4592</v>
      </c>
      <c r="H2111" t="str">
        <f>"00856702"</f>
        <v>00856702</v>
      </c>
      <c r="I2111">
        <v>43.2</v>
      </c>
      <c r="J2111">
        <v>10</v>
      </c>
      <c r="N2111">
        <v>0</v>
      </c>
      <c r="O2111">
        <v>0</v>
      </c>
      <c r="P2111">
        <v>0</v>
      </c>
      <c r="Q2111">
        <v>53.2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D2111">
        <v>53.2</v>
      </c>
    </row>
    <row r="2112" spans="1:30" x14ac:dyDescent="0.3">
      <c r="A2112" s="4">
        <v>2132</v>
      </c>
      <c r="B2112" s="5">
        <v>2105</v>
      </c>
      <c r="C2112">
        <v>1974</v>
      </c>
      <c r="D2112" t="s">
        <v>4593</v>
      </c>
      <c r="E2112" t="s">
        <v>29</v>
      </c>
      <c r="F2112" t="s">
        <v>243</v>
      </c>
      <c r="G2112" t="s">
        <v>4594</v>
      </c>
      <c r="H2112" t="str">
        <f>"00193688"</f>
        <v>00193688</v>
      </c>
      <c r="I2112">
        <v>39.200000000000003</v>
      </c>
      <c r="J2112">
        <v>0</v>
      </c>
      <c r="K2112">
        <v>8</v>
      </c>
      <c r="N2112">
        <v>8</v>
      </c>
      <c r="O2112">
        <v>4</v>
      </c>
      <c r="P2112">
        <v>2</v>
      </c>
      <c r="Q2112">
        <v>53.2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D2112">
        <v>53.2</v>
      </c>
    </row>
    <row r="2113" spans="1:30" x14ac:dyDescent="0.3">
      <c r="A2113" s="4">
        <v>2133</v>
      </c>
      <c r="B2113" s="5">
        <v>2106</v>
      </c>
      <c r="C2113">
        <v>1212</v>
      </c>
      <c r="D2113" t="s">
        <v>4595</v>
      </c>
      <c r="E2113" t="s">
        <v>110</v>
      </c>
      <c r="F2113" t="s">
        <v>136</v>
      </c>
      <c r="G2113" t="s">
        <v>4596</v>
      </c>
      <c r="H2113" t="str">
        <f>"00528779"</f>
        <v>00528779</v>
      </c>
      <c r="I2113">
        <v>20.16</v>
      </c>
      <c r="J2113">
        <v>10</v>
      </c>
      <c r="N2113">
        <v>0</v>
      </c>
      <c r="O2113">
        <v>4</v>
      </c>
      <c r="P2113">
        <v>2</v>
      </c>
      <c r="Q2113">
        <v>36.159999999999997</v>
      </c>
      <c r="R2113">
        <v>11</v>
      </c>
      <c r="S2113">
        <v>11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11</v>
      </c>
      <c r="AA2113">
        <v>6</v>
      </c>
      <c r="AB2113">
        <v>0</v>
      </c>
      <c r="AD2113">
        <v>53.16</v>
      </c>
    </row>
    <row r="2114" spans="1:30" x14ac:dyDescent="0.3">
      <c r="A2114" s="4">
        <v>2134</v>
      </c>
      <c r="B2114" s="5">
        <v>2107</v>
      </c>
      <c r="C2114">
        <v>1188</v>
      </c>
      <c r="D2114" t="s">
        <v>4597</v>
      </c>
      <c r="E2114" t="s">
        <v>471</v>
      </c>
      <c r="F2114" t="s">
        <v>62</v>
      </c>
      <c r="G2114" t="s">
        <v>4598</v>
      </c>
      <c r="H2114" t="str">
        <f>"00228933"</f>
        <v>00228933</v>
      </c>
      <c r="I2114">
        <v>40</v>
      </c>
      <c r="J2114">
        <v>0</v>
      </c>
      <c r="N2114">
        <v>0</v>
      </c>
      <c r="O2114">
        <v>4</v>
      </c>
      <c r="P2114">
        <v>0</v>
      </c>
      <c r="Q2114">
        <v>44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9</v>
      </c>
      <c r="AB2114">
        <v>0</v>
      </c>
      <c r="AD2114">
        <v>53</v>
      </c>
    </row>
    <row r="2115" spans="1:30" x14ac:dyDescent="0.3">
      <c r="A2115" s="4">
        <v>2135</v>
      </c>
      <c r="B2115" s="5">
        <v>2108</v>
      </c>
      <c r="C2115">
        <v>2677</v>
      </c>
      <c r="D2115" t="s">
        <v>4051</v>
      </c>
      <c r="E2115" t="s">
        <v>97</v>
      </c>
      <c r="F2115" t="s">
        <v>52</v>
      </c>
      <c r="G2115" t="s">
        <v>4599</v>
      </c>
      <c r="H2115" t="str">
        <f>"00082719"</f>
        <v>00082719</v>
      </c>
      <c r="I2115">
        <v>40</v>
      </c>
      <c r="J2115">
        <v>0</v>
      </c>
      <c r="N2115">
        <v>0</v>
      </c>
      <c r="O2115">
        <v>4</v>
      </c>
      <c r="P2115">
        <v>0</v>
      </c>
      <c r="Q2115">
        <v>44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9</v>
      </c>
      <c r="AB2115">
        <v>0</v>
      </c>
      <c r="AD2115">
        <v>53</v>
      </c>
    </row>
    <row r="2116" spans="1:30" x14ac:dyDescent="0.3">
      <c r="A2116" s="4">
        <v>2136</v>
      </c>
      <c r="B2116" s="5">
        <v>2109</v>
      </c>
      <c r="C2116">
        <v>712</v>
      </c>
      <c r="D2116" t="s">
        <v>4600</v>
      </c>
      <c r="E2116" t="s">
        <v>858</v>
      </c>
      <c r="F2116" t="s">
        <v>4601</v>
      </c>
      <c r="G2116" t="s">
        <v>4602</v>
      </c>
      <c r="H2116" t="str">
        <f>"00137684"</f>
        <v>00137684</v>
      </c>
      <c r="I2116">
        <v>36</v>
      </c>
      <c r="J2116">
        <v>0</v>
      </c>
      <c r="M2116">
        <v>4</v>
      </c>
      <c r="N2116">
        <v>4</v>
      </c>
      <c r="O2116">
        <v>4</v>
      </c>
      <c r="P2116">
        <v>0</v>
      </c>
      <c r="Q2116">
        <v>44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9</v>
      </c>
      <c r="AB2116">
        <v>0</v>
      </c>
      <c r="AD2116">
        <v>53</v>
      </c>
    </row>
    <row r="2117" spans="1:30" x14ac:dyDescent="0.3">
      <c r="A2117" s="4">
        <v>2137</v>
      </c>
      <c r="B2117" s="5">
        <v>2110</v>
      </c>
      <c r="C2117">
        <v>1356</v>
      </c>
      <c r="D2117" t="s">
        <v>4603</v>
      </c>
      <c r="E2117" t="s">
        <v>33</v>
      </c>
      <c r="F2117" t="s">
        <v>167</v>
      </c>
      <c r="G2117" t="s">
        <v>4604</v>
      </c>
      <c r="H2117" t="str">
        <f>"00457052"</f>
        <v>00457052</v>
      </c>
      <c r="I2117">
        <v>36</v>
      </c>
      <c r="J2117">
        <v>0</v>
      </c>
      <c r="M2117">
        <v>4</v>
      </c>
      <c r="N2117">
        <v>4</v>
      </c>
      <c r="O2117">
        <v>4</v>
      </c>
      <c r="P2117">
        <v>0</v>
      </c>
      <c r="Q2117">
        <v>44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9</v>
      </c>
      <c r="AB2117">
        <v>0</v>
      </c>
      <c r="AD2117">
        <v>53</v>
      </c>
    </row>
    <row r="2118" spans="1:30" x14ac:dyDescent="0.3">
      <c r="A2118" s="4">
        <v>2138</v>
      </c>
      <c r="B2118" s="5">
        <v>2111</v>
      </c>
      <c r="C2118">
        <v>3289</v>
      </c>
      <c r="D2118" t="s">
        <v>4605</v>
      </c>
      <c r="E2118" t="s">
        <v>110</v>
      </c>
      <c r="F2118" t="s">
        <v>81</v>
      </c>
      <c r="G2118" t="s">
        <v>4606</v>
      </c>
      <c r="H2118" t="str">
        <f>"00495992"</f>
        <v>00495992</v>
      </c>
      <c r="I2118">
        <v>16</v>
      </c>
      <c r="J2118">
        <v>10</v>
      </c>
      <c r="M2118">
        <v>4</v>
      </c>
      <c r="N2118">
        <v>4</v>
      </c>
      <c r="O2118">
        <v>4</v>
      </c>
      <c r="P2118">
        <v>2</v>
      </c>
      <c r="Q2118">
        <v>36</v>
      </c>
      <c r="R2118">
        <v>11</v>
      </c>
      <c r="S2118">
        <v>11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11</v>
      </c>
      <c r="AA2118">
        <v>6</v>
      </c>
      <c r="AB2118">
        <v>0</v>
      </c>
      <c r="AD2118">
        <v>53</v>
      </c>
    </row>
    <row r="2119" spans="1:30" x14ac:dyDescent="0.3">
      <c r="A2119" s="4">
        <v>2139</v>
      </c>
      <c r="B2119" s="5">
        <v>2112</v>
      </c>
      <c r="C2119">
        <v>68</v>
      </c>
      <c r="D2119" t="s">
        <v>4607</v>
      </c>
      <c r="E2119" t="s">
        <v>4608</v>
      </c>
      <c r="F2119" t="s">
        <v>442</v>
      </c>
      <c r="G2119" t="s">
        <v>4609</v>
      </c>
      <c r="H2119" t="str">
        <f>"00472342"</f>
        <v>00472342</v>
      </c>
      <c r="I2119">
        <v>40</v>
      </c>
      <c r="J2119">
        <v>0</v>
      </c>
      <c r="M2119">
        <v>4</v>
      </c>
      <c r="N2119">
        <v>4</v>
      </c>
      <c r="O2119">
        <v>4</v>
      </c>
      <c r="P2119">
        <v>2</v>
      </c>
      <c r="Q2119">
        <v>50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3</v>
      </c>
      <c r="AB2119">
        <v>0</v>
      </c>
      <c r="AD2119">
        <v>53</v>
      </c>
    </row>
    <row r="2120" spans="1:30" x14ac:dyDescent="0.3">
      <c r="A2120" s="4">
        <v>2140</v>
      </c>
      <c r="B2120" s="5">
        <v>2113</v>
      </c>
      <c r="C2120">
        <v>1044</v>
      </c>
      <c r="D2120" t="s">
        <v>1425</v>
      </c>
      <c r="E2120" t="s">
        <v>2381</v>
      </c>
      <c r="F2120" t="s">
        <v>17</v>
      </c>
      <c r="G2120" t="s">
        <v>4610</v>
      </c>
      <c r="H2120" t="str">
        <f>"200801009600"</f>
        <v>200801009600</v>
      </c>
      <c r="I2120">
        <v>40</v>
      </c>
      <c r="J2120">
        <v>0</v>
      </c>
      <c r="M2120">
        <v>4</v>
      </c>
      <c r="N2120">
        <v>4</v>
      </c>
      <c r="O2120">
        <v>4</v>
      </c>
      <c r="P2120">
        <v>2</v>
      </c>
      <c r="Q2120">
        <v>50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3</v>
      </c>
      <c r="AB2120">
        <v>0</v>
      </c>
      <c r="AD2120">
        <v>53</v>
      </c>
    </row>
    <row r="2121" spans="1:30" x14ac:dyDescent="0.3">
      <c r="A2121" s="4">
        <v>2141</v>
      </c>
      <c r="B2121" s="5">
        <v>2114</v>
      </c>
      <c r="C2121">
        <v>4472</v>
      </c>
      <c r="D2121" t="s">
        <v>2706</v>
      </c>
      <c r="E2121" t="s">
        <v>161</v>
      </c>
      <c r="F2121" t="s">
        <v>243</v>
      </c>
      <c r="G2121" t="s">
        <v>4611</v>
      </c>
      <c r="H2121" t="str">
        <f>"00390656"</f>
        <v>00390656</v>
      </c>
      <c r="I2121">
        <v>40</v>
      </c>
      <c r="J2121">
        <v>10</v>
      </c>
      <c r="N2121">
        <v>0</v>
      </c>
      <c r="O2121">
        <v>0</v>
      </c>
      <c r="P2121">
        <v>0</v>
      </c>
      <c r="Q2121">
        <v>50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3</v>
      </c>
      <c r="AB2121">
        <v>0</v>
      </c>
      <c r="AD2121">
        <v>53</v>
      </c>
    </row>
    <row r="2122" spans="1:30" x14ac:dyDescent="0.3">
      <c r="A2122" s="4">
        <v>2142</v>
      </c>
      <c r="B2122" s="5">
        <v>2115</v>
      </c>
      <c r="C2122">
        <v>1345</v>
      </c>
      <c r="D2122" t="s">
        <v>4612</v>
      </c>
      <c r="E2122" t="s">
        <v>4613</v>
      </c>
      <c r="F2122" t="s">
        <v>259</v>
      </c>
      <c r="G2122" t="s">
        <v>4614</v>
      </c>
      <c r="H2122" t="str">
        <f>"00612641"</f>
        <v>00612641</v>
      </c>
      <c r="I2122">
        <v>36</v>
      </c>
      <c r="J2122">
        <v>10</v>
      </c>
      <c r="N2122">
        <v>0</v>
      </c>
      <c r="O2122">
        <v>4</v>
      </c>
      <c r="P2122">
        <v>0</v>
      </c>
      <c r="Q2122">
        <v>50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3</v>
      </c>
      <c r="AB2122">
        <v>0</v>
      </c>
      <c r="AC2122" t="s">
        <v>130</v>
      </c>
      <c r="AD2122">
        <v>53</v>
      </c>
    </row>
    <row r="2123" spans="1:30" x14ac:dyDescent="0.3">
      <c r="A2123" s="4">
        <v>2143</v>
      </c>
      <c r="B2123" s="5">
        <v>2116</v>
      </c>
      <c r="C2123">
        <v>252</v>
      </c>
      <c r="D2123" t="s">
        <v>4615</v>
      </c>
      <c r="E2123" t="s">
        <v>97</v>
      </c>
      <c r="F2123" t="s">
        <v>488</v>
      </c>
      <c r="G2123" t="s">
        <v>4616</v>
      </c>
      <c r="H2123" t="str">
        <f>"00530751"</f>
        <v>00530751</v>
      </c>
      <c r="I2123">
        <v>20</v>
      </c>
      <c r="J2123">
        <v>10</v>
      </c>
      <c r="N2123">
        <v>0</v>
      </c>
      <c r="O2123">
        <v>4</v>
      </c>
      <c r="P2123">
        <v>2</v>
      </c>
      <c r="Q2123">
        <v>36</v>
      </c>
      <c r="R2123">
        <v>14</v>
      </c>
      <c r="S2123">
        <v>14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14</v>
      </c>
      <c r="AA2123">
        <v>3</v>
      </c>
      <c r="AB2123">
        <v>0</v>
      </c>
      <c r="AD2123">
        <v>53</v>
      </c>
    </row>
    <row r="2124" spans="1:30" x14ac:dyDescent="0.3">
      <c r="A2124" s="4">
        <v>2144</v>
      </c>
      <c r="B2124" s="5">
        <v>2117</v>
      </c>
      <c r="C2124">
        <v>3059</v>
      </c>
      <c r="D2124" t="s">
        <v>4617</v>
      </c>
      <c r="E2124" t="s">
        <v>697</v>
      </c>
      <c r="F2124" t="s">
        <v>81</v>
      </c>
      <c r="G2124" t="s">
        <v>4618</v>
      </c>
      <c r="H2124" t="str">
        <f>"201511004724"</f>
        <v>201511004724</v>
      </c>
      <c r="I2124">
        <v>38.799999999999997</v>
      </c>
      <c r="J2124">
        <v>0</v>
      </c>
      <c r="M2124">
        <v>4</v>
      </c>
      <c r="N2124">
        <v>4</v>
      </c>
      <c r="O2124">
        <v>4</v>
      </c>
      <c r="P2124">
        <v>0</v>
      </c>
      <c r="Q2124">
        <v>46.8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6</v>
      </c>
      <c r="AB2124">
        <v>0</v>
      </c>
      <c r="AD2124">
        <v>52.8</v>
      </c>
    </row>
    <row r="2125" spans="1:30" x14ac:dyDescent="0.3">
      <c r="A2125" s="4">
        <v>2145</v>
      </c>
      <c r="B2125" s="5">
        <v>2118</v>
      </c>
      <c r="C2125">
        <v>4013</v>
      </c>
      <c r="D2125" t="s">
        <v>4619</v>
      </c>
      <c r="E2125" t="s">
        <v>97</v>
      </c>
      <c r="F2125" t="s">
        <v>4620</v>
      </c>
      <c r="G2125" t="s">
        <v>4621</v>
      </c>
      <c r="H2125" t="str">
        <f>"00863475"</f>
        <v>00863475</v>
      </c>
      <c r="I2125">
        <v>28.8</v>
      </c>
      <c r="J2125">
        <v>10</v>
      </c>
      <c r="M2125">
        <v>4</v>
      </c>
      <c r="N2125">
        <v>4</v>
      </c>
      <c r="O2125">
        <v>4</v>
      </c>
      <c r="P2125">
        <v>0</v>
      </c>
      <c r="Q2125">
        <v>46.8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6</v>
      </c>
      <c r="AB2125">
        <v>0</v>
      </c>
      <c r="AD2125">
        <v>52.8</v>
      </c>
    </row>
    <row r="2126" spans="1:30" x14ac:dyDescent="0.3">
      <c r="A2126" s="4">
        <v>2146</v>
      </c>
      <c r="B2126" s="5">
        <v>2119</v>
      </c>
      <c r="C2126">
        <v>4418</v>
      </c>
      <c r="D2126" t="s">
        <v>4622</v>
      </c>
      <c r="E2126" t="s">
        <v>143</v>
      </c>
      <c r="F2126" t="s">
        <v>68</v>
      </c>
      <c r="G2126" t="s">
        <v>4623</v>
      </c>
      <c r="H2126" t="str">
        <f>"00305303"</f>
        <v>00305303</v>
      </c>
      <c r="I2126">
        <v>28.8</v>
      </c>
      <c r="J2126">
        <v>0</v>
      </c>
      <c r="N2126">
        <v>0</v>
      </c>
      <c r="O2126">
        <v>4</v>
      </c>
      <c r="P2126">
        <v>0</v>
      </c>
      <c r="Q2126">
        <v>32.799999999999997</v>
      </c>
      <c r="R2126">
        <v>14</v>
      </c>
      <c r="S2126">
        <v>14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14</v>
      </c>
      <c r="AA2126">
        <v>6</v>
      </c>
      <c r="AB2126">
        <v>0</v>
      </c>
      <c r="AD2126">
        <v>52.8</v>
      </c>
    </row>
    <row r="2127" spans="1:30" x14ac:dyDescent="0.3">
      <c r="A2127" s="4">
        <v>2147</v>
      </c>
      <c r="B2127" s="5">
        <v>2120</v>
      </c>
      <c r="C2127">
        <v>4465</v>
      </c>
      <c r="D2127" t="s">
        <v>67</v>
      </c>
      <c r="E2127" t="s">
        <v>29</v>
      </c>
      <c r="F2127" t="s">
        <v>892</v>
      </c>
      <c r="G2127" t="s">
        <v>4624</v>
      </c>
      <c r="H2127" t="str">
        <f>"00523676"</f>
        <v>00523676</v>
      </c>
      <c r="I2127">
        <v>28.8</v>
      </c>
      <c r="J2127">
        <v>0</v>
      </c>
      <c r="N2127">
        <v>0</v>
      </c>
      <c r="O2127">
        <v>0</v>
      </c>
      <c r="P2127">
        <v>0</v>
      </c>
      <c r="Q2127">
        <v>28.8</v>
      </c>
      <c r="R2127">
        <v>18</v>
      </c>
      <c r="S2127">
        <v>18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18</v>
      </c>
      <c r="AA2127">
        <v>6</v>
      </c>
      <c r="AB2127">
        <v>0</v>
      </c>
      <c r="AD2127">
        <v>52.8</v>
      </c>
    </row>
    <row r="2128" spans="1:30" x14ac:dyDescent="0.3">
      <c r="A2128" s="4">
        <v>2148</v>
      </c>
      <c r="B2128" s="5">
        <v>2121</v>
      </c>
      <c r="C2128">
        <v>1984</v>
      </c>
      <c r="D2128" t="s">
        <v>4625</v>
      </c>
      <c r="E2128" t="s">
        <v>110</v>
      </c>
      <c r="F2128" t="s">
        <v>38</v>
      </c>
      <c r="G2128" t="s">
        <v>32035</v>
      </c>
      <c r="H2128" t="str">
        <f>"00504904"</f>
        <v>00504904</v>
      </c>
      <c r="I2128">
        <v>30.8</v>
      </c>
      <c r="J2128">
        <v>10</v>
      </c>
      <c r="M2128">
        <v>4</v>
      </c>
      <c r="N2128">
        <v>4</v>
      </c>
      <c r="O2128">
        <v>4</v>
      </c>
      <c r="P2128">
        <v>0</v>
      </c>
      <c r="Q2128">
        <v>48.8</v>
      </c>
      <c r="R2128">
        <v>1</v>
      </c>
      <c r="S2128">
        <v>1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1</v>
      </c>
      <c r="AA2128">
        <v>3</v>
      </c>
      <c r="AB2128">
        <v>0</v>
      </c>
      <c r="AD2128">
        <v>52.8</v>
      </c>
    </row>
    <row r="2129" spans="1:30" x14ac:dyDescent="0.3">
      <c r="A2129" s="4">
        <v>2149</v>
      </c>
      <c r="B2129" s="5">
        <v>2122</v>
      </c>
      <c r="C2129">
        <v>1879</v>
      </c>
      <c r="D2129" t="s">
        <v>4597</v>
      </c>
      <c r="E2129" t="s">
        <v>166</v>
      </c>
      <c r="F2129" t="s">
        <v>38</v>
      </c>
      <c r="G2129" t="s">
        <v>4626</v>
      </c>
      <c r="H2129" t="str">
        <f>"00128579"</f>
        <v>00128579</v>
      </c>
      <c r="I2129">
        <v>36.799999999999997</v>
      </c>
      <c r="J2129">
        <v>0</v>
      </c>
      <c r="L2129">
        <v>6</v>
      </c>
      <c r="M2129">
        <v>4</v>
      </c>
      <c r="N2129">
        <v>10</v>
      </c>
      <c r="O2129">
        <v>4</v>
      </c>
      <c r="P2129">
        <v>2</v>
      </c>
      <c r="Q2129">
        <v>52.8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D2129">
        <v>52.8</v>
      </c>
    </row>
    <row r="2130" spans="1:30" x14ac:dyDescent="0.3">
      <c r="A2130" s="4">
        <v>2150</v>
      </c>
      <c r="B2130" s="5">
        <v>2123</v>
      </c>
      <c r="C2130">
        <v>2569</v>
      </c>
      <c r="D2130" t="s">
        <v>4627</v>
      </c>
      <c r="E2130" t="s">
        <v>115</v>
      </c>
      <c r="F2130" t="s">
        <v>20</v>
      </c>
      <c r="G2130" t="s">
        <v>4628</v>
      </c>
      <c r="H2130" t="str">
        <f>"00273548"</f>
        <v>00273548</v>
      </c>
      <c r="I2130">
        <v>28.8</v>
      </c>
      <c r="J2130">
        <v>0</v>
      </c>
      <c r="M2130">
        <v>4</v>
      </c>
      <c r="N2130">
        <v>4</v>
      </c>
      <c r="O2130">
        <v>4</v>
      </c>
      <c r="P2130">
        <v>2</v>
      </c>
      <c r="Q2130">
        <v>38.799999999999997</v>
      </c>
      <c r="R2130">
        <v>14</v>
      </c>
      <c r="S2130">
        <v>14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14</v>
      </c>
      <c r="AA2130">
        <v>0</v>
      </c>
      <c r="AB2130">
        <v>0</v>
      </c>
      <c r="AD2130">
        <v>52.8</v>
      </c>
    </row>
    <row r="2131" spans="1:30" x14ac:dyDescent="0.3">
      <c r="A2131" s="4">
        <v>2151</v>
      </c>
      <c r="B2131" s="5">
        <v>2124</v>
      </c>
      <c r="C2131">
        <v>917</v>
      </c>
      <c r="D2131" t="s">
        <v>4629</v>
      </c>
      <c r="E2131" t="s">
        <v>188</v>
      </c>
      <c r="F2131" t="s">
        <v>136</v>
      </c>
      <c r="G2131" t="s">
        <v>4630</v>
      </c>
      <c r="H2131" t="str">
        <f>"201511007254"</f>
        <v>201511007254</v>
      </c>
      <c r="I2131">
        <v>28.8</v>
      </c>
      <c r="J2131">
        <v>10</v>
      </c>
      <c r="N2131">
        <v>0</v>
      </c>
      <c r="O2131">
        <v>0</v>
      </c>
      <c r="P2131">
        <v>0</v>
      </c>
      <c r="Q2131">
        <v>38.799999999999997</v>
      </c>
      <c r="R2131">
        <v>14</v>
      </c>
      <c r="S2131">
        <v>14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14</v>
      </c>
      <c r="AA2131">
        <v>0</v>
      </c>
      <c r="AB2131">
        <v>0</v>
      </c>
      <c r="AD2131">
        <v>52.8</v>
      </c>
    </row>
    <row r="2132" spans="1:30" x14ac:dyDescent="0.3">
      <c r="A2132" s="4">
        <v>2152</v>
      </c>
      <c r="B2132" s="5">
        <v>2125</v>
      </c>
      <c r="C2132">
        <v>3847</v>
      </c>
      <c r="D2132" t="s">
        <v>4631</v>
      </c>
      <c r="E2132" t="s">
        <v>792</v>
      </c>
      <c r="F2132" t="s">
        <v>17</v>
      </c>
      <c r="G2132" t="s">
        <v>4632</v>
      </c>
      <c r="H2132" t="str">
        <f>"00529811"</f>
        <v>00529811</v>
      </c>
      <c r="I2132">
        <v>28.8</v>
      </c>
      <c r="J2132">
        <v>0</v>
      </c>
      <c r="N2132">
        <v>0</v>
      </c>
      <c r="O2132">
        <v>4</v>
      </c>
      <c r="P2132">
        <v>2</v>
      </c>
      <c r="Q2132">
        <v>34.799999999999997</v>
      </c>
      <c r="R2132">
        <v>18</v>
      </c>
      <c r="S2132">
        <v>18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18</v>
      </c>
      <c r="AA2132">
        <v>0</v>
      </c>
      <c r="AB2132">
        <v>0</v>
      </c>
      <c r="AD2132">
        <v>52.8</v>
      </c>
    </row>
    <row r="2133" spans="1:30" x14ac:dyDescent="0.3">
      <c r="A2133" s="4">
        <v>2153</v>
      </c>
      <c r="B2133" s="5">
        <v>2126</v>
      </c>
      <c r="C2133">
        <v>4318</v>
      </c>
      <c r="D2133" t="s">
        <v>3587</v>
      </c>
      <c r="E2133" t="s">
        <v>4633</v>
      </c>
      <c r="F2133" t="s">
        <v>230</v>
      </c>
      <c r="G2133" t="s">
        <v>4634</v>
      </c>
      <c r="H2133" t="str">
        <f>"00441798"</f>
        <v>00441798</v>
      </c>
      <c r="I2133">
        <v>28.8</v>
      </c>
      <c r="J2133">
        <v>0</v>
      </c>
      <c r="M2133">
        <v>4</v>
      </c>
      <c r="N2133">
        <v>4</v>
      </c>
      <c r="O2133">
        <v>0</v>
      </c>
      <c r="P2133">
        <v>2</v>
      </c>
      <c r="Q2133">
        <v>34.799999999999997</v>
      </c>
      <c r="R2133">
        <v>18</v>
      </c>
      <c r="S2133">
        <v>18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18</v>
      </c>
      <c r="AA2133">
        <v>0</v>
      </c>
      <c r="AB2133">
        <v>0</v>
      </c>
      <c r="AD2133">
        <v>52.8</v>
      </c>
    </row>
    <row r="2134" spans="1:30" x14ac:dyDescent="0.3">
      <c r="A2134" s="4">
        <v>2154</v>
      </c>
      <c r="B2134" s="5">
        <v>2127</v>
      </c>
      <c r="C2134">
        <v>2928</v>
      </c>
      <c r="D2134" t="s">
        <v>4635</v>
      </c>
      <c r="E2134" t="s">
        <v>744</v>
      </c>
      <c r="F2134" t="s">
        <v>2225</v>
      </c>
      <c r="G2134" t="s">
        <v>4636</v>
      </c>
      <c r="H2134" t="str">
        <f>"00476290"</f>
        <v>00476290</v>
      </c>
      <c r="I2134">
        <v>28.8</v>
      </c>
      <c r="J2134">
        <v>0</v>
      </c>
      <c r="N2134">
        <v>0</v>
      </c>
      <c r="O2134">
        <v>4</v>
      </c>
      <c r="P2134">
        <v>2</v>
      </c>
      <c r="Q2134">
        <v>34.799999999999997</v>
      </c>
      <c r="R2134">
        <v>18</v>
      </c>
      <c r="S2134">
        <v>18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18</v>
      </c>
      <c r="AA2134">
        <v>0</v>
      </c>
      <c r="AB2134">
        <v>0</v>
      </c>
      <c r="AD2134">
        <v>52.8</v>
      </c>
    </row>
    <row r="2135" spans="1:30" x14ac:dyDescent="0.3">
      <c r="A2135" s="4">
        <v>2155</v>
      </c>
      <c r="B2135" s="5">
        <v>2128</v>
      </c>
      <c r="C2135">
        <v>4643</v>
      </c>
      <c r="D2135" t="s">
        <v>4637</v>
      </c>
      <c r="E2135" t="s">
        <v>4638</v>
      </c>
      <c r="F2135" t="s">
        <v>190</v>
      </c>
      <c r="G2135" t="s">
        <v>4639</v>
      </c>
      <c r="H2135" t="str">
        <f>"00533678"</f>
        <v>00533678</v>
      </c>
      <c r="I2135">
        <v>8.8000000000000007</v>
      </c>
      <c r="J2135">
        <v>0</v>
      </c>
      <c r="N2135">
        <v>0</v>
      </c>
      <c r="O2135">
        <v>0</v>
      </c>
      <c r="P2135">
        <v>0</v>
      </c>
      <c r="Q2135">
        <v>8.8000000000000007</v>
      </c>
      <c r="R2135">
        <v>44</v>
      </c>
      <c r="S2135">
        <v>44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44</v>
      </c>
      <c r="AA2135">
        <v>0</v>
      </c>
      <c r="AB2135">
        <v>0</v>
      </c>
      <c r="AD2135">
        <v>52.8</v>
      </c>
    </row>
    <row r="2136" spans="1:30" x14ac:dyDescent="0.3">
      <c r="A2136" s="4">
        <v>2156</v>
      </c>
      <c r="B2136" s="5">
        <v>2129</v>
      </c>
      <c r="C2136">
        <v>2460</v>
      </c>
      <c r="D2136" t="s">
        <v>1425</v>
      </c>
      <c r="E2136" t="s">
        <v>380</v>
      </c>
      <c r="F2136" t="s">
        <v>14</v>
      </c>
      <c r="G2136" t="s">
        <v>4640</v>
      </c>
      <c r="H2136" t="str">
        <f>"00030531"</f>
        <v>00030531</v>
      </c>
      <c r="I2136">
        <v>39.72</v>
      </c>
      <c r="J2136">
        <v>0</v>
      </c>
      <c r="N2136">
        <v>0</v>
      </c>
      <c r="O2136">
        <v>4</v>
      </c>
      <c r="P2136">
        <v>0</v>
      </c>
      <c r="Q2136">
        <v>43.72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9</v>
      </c>
      <c r="AB2136">
        <v>0</v>
      </c>
      <c r="AD2136">
        <v>52.72</v>
      </c>
    </row>
    <row r="2137" spans="1:30" x14ac:dyDescent="0.3">
      <c r="A2137" s="4">
        <v>2157</v>
      </c>
      <c r="B2137" s="5">
        <v>2130</v>
      </c>
      <c r="C2137">
        <v>1853</v>
      </c>
      <c r="D2137" t="s">
        <v>4641</v>
      </c>
      <c r="E2137" t="s">
        <v>550</v>
      </c>
      <c r="F2137" t="s">
        <v>4642</v>
      </c>
      <c r="G2137" t="s">
        <v>4643</v>
      </c>
      <c r="H2137" t="str">
        <f>"00004270"</f>
        <v>00004270</v>
      </c>
      <c r="I2137">
        <v>20.72</v>
      </c>
      <c r="J2137">
        <v>0</v>
      </c>
      <c r="N2137">
        <v>0</v>
      </c>
      <c r="O2137">
        <v>4</v>
      </c>
      <c r="P2137">
        <v>2</v>
      </c>
      <c r="Q2137">
        <v>26.72</v>
      </c>
      <c r="R2137">
        <v>26</v>
      </c>
      <c r="S2137">
        <v>26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26</v>
      </c>
      <c r="AA2137">
        <v>0</v>
      </c>
      <c r="AB2137">
        <v>0</v>
      </c>
      <c r="AD2137">
        <v>52.72</v>
      </c>
    </row>
    <row r="2138" spans="1:30" x14ac:dyDescent="0.3">
      <c r="A2138" s="4">
        <v>2158</v>
      </c>
      <c r="B2138" s="5">
        <v>2131</v>
      </c>
      <c r="C2138">
        <v>947</v>
      </c>
      <c r="D2138" t="s">
        <v>4644</v>
      </c>
      <c r="E2138" t="s">
        <v>132</v>
      </c>
      <c r="F2138" t="s">
        <v>136</v>
      </c>
      <c r="G2138" t="s">
        <v>4645</v>
      </c>
      <c r="H2138" t="str">
        <f>"00161828"</f>
        <v>00161828</v>
      </c>
      <c r="I2138">
        <v>29.64</v>
      </c>
      <c r="J2138">
        <v>10</v>
      </c>
      <c r="N2138">
        <v>0</v>
      </c>
      <c r="O2138">
        <v>0</v>
      </c>
      <c r="P2138">
        <v>0</v>
      </c>
      <c r="Q2138">
        <v>39.64</v>
      </c>
      <c r="R2138">
        <v>13</v>
      </c>
      <c r="S2138">
        <v>13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13</v>
      </c>
      <c r="AA2138">
        <v>0</v>
      </c>
      <c r="AB2138">
        <v>0</v>
      </c>
      <c r="AD2138">
        <v>52.64</v>
      </c>
    </row>
    <row r="2139" spans="1:30" x14ac:dyDescent="0.3">
      <c r="A2139" s="4">
        <v>2159</v>
      </c>
      <c r="B2139" s="5">
        <v>2132</v>
      </c>
      <c r="C2139">
        <v>2425</v>
      </c>
      <c r="D2139" t="s">
        <v>2236</v>
      </c>
      <c r="E2139" t="s">
        <v>1140</v>
      </c>
      <c r="F2139" t="s">
        <v>17</v>
      </c>
      <c r="G2139" t="s">
        <v>4646</v>
      </c>
      <c r="H2139" t="str">
        <f>"00856380"</f>
        <v>00856380</v>
      </c>
      <c r="I2139">
        <v>33.6</v>
      </c>
      <c r="J2139">
        <v>0</v>
      </c>
      <c r="M2139">
        <v>4</v>
      </c>
      <c r="N2139">
        <v>4</v>
      </c>
      <c r="O2139">
        <v>4</v>
      </c>
      <c r="P2139">
        <v>2</v>
      </c>
      <c r="Q2139">
        <v>43.6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9</v>
      </c>
      <c r="AB2139">
        <v>0</v>
      </c>
      <c r="AD2139">
        <v>52.6</v>
      </c>
    </row>
    <row r="2140" spans="1:30" x14ac:dyDescent="0.3">
      <c r="A2140" s="4">
        <v>2160</v>
      </c>
      <c r="B2140" s="5">
        <v>2133</v>
      </c>
      <c r="C2140">
        <v>4837</v>
      </c>
      <c r="D2140" t="s">
        <v>4647</v>
      </c>
      <c r="E2140" t="s">
        <v>166</v>
      </c>
      <c r="F2140" t="s">
        <v>801</v>
      </c>
      <c r="G2140" t="s">
        <v>4648</v>
      </c>
      <c r="H2140" t="str">
        <f>"00243971"</f>
        <v>00243971</v>
      </c>
      <c r="I2140">
        <v>39.6</v>
      </c>
      <c r="J2140">
        <v>0</v>
      </c>
      <c r="M2140">
        <v>4</v>
      </c>
      <c r="N2140">
        <v>4</v>
      </c>
      <c r="O2140">
        <v>4</v>
      </c>
      <c r="P2140">
        <v>2</v>
      </c>
      <c r="Q2140">
        <v>49.6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3</v>
      </c>
      <c r="AB2140">
        <v>0</v>
      </c>
      <c r="AD2140">
        <v>52.6</v>
      </c>
    </row>
    <row r="2141" spans="1:30" x14ac:dyDescent="0.3">
      <c r="A2141" s="4">
        <v>2161</v>
      </c>
      <c r="B2141" s="5">
        <v>2134</v>
      </c>
      <c r="C2141">
        <v>4667</v>
      </c>
      <c r="D2141" t="s">
        <v>788</v>
      </c>
      <c r="E2141" t="s">
        <v>100</v>
      </c>
      <c r="F2141" t="s">
        <v>136</v>
      </c>
      <c r="G2141" t="s">
        <v>4649</v>
      </c>
      <c r="H2141" t="str">
        <f>"00629846"</f>
        <v>00629846</v>
      </c>
      <c r="I2141">
        <v>35.6</v>
      </c>
      <c r="J2141">
        <v>0</v>
      </c>
      <c r="K2141">
        <v>8</v>
      </c>
      <c r="N2141">
        <v>8</v>
      </c>
      <c r="O2141">
        <v>4</v>
      </c>
      <c r="P2141">
        <v>2</v>
      </c>
      <c r="Q2141">
        <v>49.6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3</v>
      </c>
      <c r="AB2141">
        <v>0</v>
      </c>
      <c r="AD2141">
        <v>52.6</v>
      </c>
    </row>
    <row r="2142" spans="1:30" x14ac:dyDescent="0.3">
      <c r="A2142" s="4">
        <v>2162</v>
      </c>
      <c r="B2142" s="5">
        <v>2135</v>
      </c>
      <c r="C2142">
        <v>2924</v>
      </c>
      <c r="D2142" t="s">
        <v>4650</v>
      </c>
      <c r="E2142" t="s">
        <v>276</v>
      </c>
      <c r="F2142" t="s">
        <v>4651</v>
      </c>
      <c r="G2142" t="s">
        <v>4652</v>
      </c>
      <c r="H2142" t="str">
        <f>"00531181"</f>
        <v>00531181</v>
      </c>
      <c r="I2142">
        <v>21.6</v>
      </c>
      <c r="J2142">
        <v>0</v>
      </c>
      <c r="N2142">
        <v>0</v>
      </c>
      <c r="O2142">
        <v>0</v>
      </c>
      <c r="P2142">
        <v>0</v>
      </c>
      <c r="Q2142">
        <v>21.6</v>
      </c>
      <c r="R2142">
        <v>28</v>
      </c>
      <c r="S2142">
        <v>28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28</v>
      </c>
      <c r="AA2142">
        <v>3</v>
      </c>
      <c r="AB2142">
        <v>0</v>
      </c>
      <c r="AD2142">
        <v>52.6</v>
      </c>
    </row>
    <row r="2143" spans="1:30" x14ac:dyDescent="0.3">
      <c r="A2143" s="4">
        <v>2163</v>
      </c>
      <c r="B2143" s="5">
        <v>2136</v>
      </c>
      <c r="C2143">
        <v>2835</v>
      </c>
      <c r="D2143" t="s">
        <v>4653</v>
      </c>
      <c r="E2143" t="s">
        <v>255</v>
      </c>
      <c r="F2143" t="s">
        <v>91</v>
      </c>
      <c r="G2143" t="s">
        <v>4654</v>
      </c>
      <c r="H2143" t="str">
        <f>"00496382"</f>
        <v>00496382</v>
      </c>
      <c r="I2143">
        <v>21.6</v>
      </c>
      <c r="J2143">
        <v>10</v>
      </c>
      <c r="N2143">
        <v>0</v>
      </c>
      <c r="O2143">
        <v>4</v>
      </c>
      <c r="P2143">
        <v>2</v>
      </c>
      <c r="Q2143">
        <v>37.6</v>
      </c>
      <c r="R2143">
        <v>15</v>
      </c>
      <c r="S2143">
        <v>15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15</v>
      </c>
      <c r="AA2143">
        <v>0</v>
      </c>
      <c r="AB2143">
        <v>0</v>
      </c>
      <c r="AD2143">
        <v>52.6</v>
      </c>
    </row>
    <row r="2144" spans="1:30" x14ac:dyDescent="0.3">
      <c r="A2144" s="4">
        <v>2164</v>
      </c>
      <c r="B2144" s="5">
        <v>2137</v>
      </c>
      <c r="C2144">
        <v>3605</v>
      </c>
      <c r="D2144" t="s">
        <v>4655</v>
      </c>
      <c r="E2144" t="s">
        <v>4656</v>
      </c>
      <c r="F2144" t="s">
        <v>136</v>
      </c>
      <c r="G2144" t="s">
        <v>4657</v>
      </c>
      <c r="H2144" t="str">
        <f>"201511008400"</f>
        <v>201511008400</v>
      </c>
      <c r="I2144">
        <v>21.6</v>
      </c>
      <c r="J2144">
        <v>0</v>
      </c>
      <c r="K2144">
        <v>8</v>
      </c>
      <c r="N2144">
        <v>8</v>
      </c>
      <c r="O2144">
        <v>4</v>
      </c>
      <c r="P2144">
        <v>2</v>
      </c>
      <c r="Q2144">
        <v>35.6</v>
      </c>
      <c r="R2144">
        <v>17</v>
      </c>
      <c r="S2144">
        <v>17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17</v>
      </c>
      <c r="AA2144">
        <v>0</v>
      </c>
      <c r="AB2144">
        <v>0</v>
      </c>
      <c r="AD2144">
        <v>52.6</v>
      </c>
    </row>
    <row r="2145" spans="1:30" x14ac:dyDescent="0.3">
      <c r="A2145" s="4">
        <v>2165</v>
      </c>
      <c r="B2145" s="5">
        <v>2138</v>
      </c>
      <c r="C2145">
        <v>4278</v>
      </c>
      <c r="D2145" t="s">
        <v>4658</v>
      </c>
      <c r="E2145" t="s">
        <v>54</v>
      </c>
      <c r="F2145" t="s">
        <v>55</v>
      </c>
      <c r="G2145" t="s">
        <v>4659</v>
      </c>
      <c r="H2145" t="str">
        <f>"00161620"</f>
        <v>00161620</v>
      </c>
      <c r="I2145">
        <v>38.56</v>
      </c>
      <c r="J2145">
        <v>0</v>
      </c>
      <c r="M2145">
        <v>4</v>
      </c>
      <c r="N2145">
        <v>4</v>
      </c>
      <c r="O2145">
        <v>4</v>
      </c>
      <c r="P2145">
        <v>0</v>
      </c>
      <c r="Q2145">
        <v>46.56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6</v>
      </c>
      <c r="AB2145">
        <v>0</v>
      </c>
      <c r="AD2145">
        <v>52.56</v>
      </c>
    </row>
    <row r="2146" spans="1:30" x14ac:dyDescent="0.3">
      <c r="A2146" s="4">
        <v>2166</v>
      </c>
      <c r="B2146" s="5">
        <v>2139</v>
      </c>
      <c r="C2146">
        <v>4457</v>
      </c>
      <c r="D2146" t="s">
        <v>3013</v>
      </c>
      <c r="E2146" t="s">
        <v>173</v>
      </c>
      <c r="F2146" t="s">
        <v>68</v>
      </c>
      <c r="G2146" t="s">
        <v>4660</v>
      </c>
      <c r="H2146" t="str">
        <f>"00083864"</f>
        <v>00083864</v>
      </c>
      <c r="I2146">
        <v>39.520000000000003</v>
      </c>
      <c r="J2146">
        <v>0</v>
      </c>
      <c r="N2146">
        <v>0</v>
      </c>
      <c r="O2146">
        <v>4</v>
      </c>
      <c r="P2146">
        <v>0</v>
      </c>
      <c r="Q2146">
        <v>43.52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9</v>
      </c>
      <c r="AB2146">
        <v>0</v>
      </c>
      <c r="AD2146">
        <v>52.52</v>
      </c>
    </row>
    <row r="2147" spans="1:30" x14ac:dyDescent="0.3">
      <c r="A2147" s="4">
        <v>2167</v>
      </c>
      <c r="B2147" s="5">
        <v>2140</v>
      </c>
      <c r="C2147">
        <v>890</v>
      </c>
      <c r="D2147" t="s">
        <v>4661</v>
      </c>
      <c r="E2147" t="s">
        <v>825</v>
      </c>
      <c r="F2147" t="s">
        <v>17</v>
      </c>
      <c r="G2147" t="s">
        <v>4662</v>
      </c>
      <c r="H2147" t="str">
        <f>"00532783"</f>
        <v>00532783</v>
      </c>
      <c r="I2147">
        <v>36.520000000000003</v>
      </c>
      <c r="J2147">
        <v>0</v>
      </c>
      <c r="M2147">
        <v>4</v>
      </c>
      <c r="N2147">
        <v>4</v>
      </c>
      <c r="O2147">
        <v>4</v>
      </c>
      <c r="P2147">
        <v>2</v>
      </c>
      <c r="Q2147">
        <v>46.52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6</v>
      </c>
      <c r="AB2147">
        <v>0</v>
      </c>
      <c r="AD2147">
        <v>52.52</v>
      </c>
    </row>
    <row r="2148" spans="1:30" x14ac:dyDescent="0.3">
      <c r="A2148" s="4">
        <v>2168</v>
      </c>
      <c r="B2148" s="5">
        <v>2141</v>
      </c>
      <c r="C2148">
        <v>4920</v>
      </c>
      <c r="D2148" t="s">
        <v>1750</v>
      </c>
      <c r="E2148" t="s">
        <v>837</v>
      </c>
      <c r="F2148" t="s">
        <v>17</v>
      </c>
      <c r="G2148" t="s">
        <v>4663</v>
      </c>
      <c r="H2148" t="str">
        <f>"00561327"</f>
        <v>00561327</v>
      </c>
      <c r="I2148">
        <v>33.44</v>
      </c>
      <c r="J2148">
        <v>10</v>
      </c>
      <c r="N2148">
        <v>0</v>
      </c>
      <c r="O2148">
        <v>0</v>
      </c>
      <c r="P2148">
        <v>0</v>
      </c>
      <c r="Q2148">
        <v>43.44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9</v>
      </c>
      <c r="AB2148">
        <v>0</v>
      </c>
      <c r="AD2148">
        <v>52.44</v>
      </c>
    </row>
    <row r="2149" spans="1:30" x14ac:dyDescent="0.3">
      <c r="A2149" s="4">
        <v>2169</v>
      </c>
      <c r="B2149" s="5">
        <v>2142</v>
      </c>
      <c r="C2149">
        <v>4748</v>
      </c>
      <c r="D2149" t="s">
        <v>4664</v>
      </c>
      <c r="E2149" t="s">
        <v>97</v>
      </c>
      <c r="F2149" t="s">
        <v>91</v>
      </c>
      <c r="G2149" t="s">
        <v>4665</v>
      </c>
      <c r="H2149" t="str">
        <f>"00193748"</f>
        <v>00193748</v>
      </c>
      <c r="I2149">
        <v>38.4</v>
      </c>
      <c r="J2149">
        <v>0</v>
      </c>
      <c r="M2149">
        <v>4</v>
      </c>
      <c r="N2149">
        <v>4</v>
      </c>
      <c r="O2149">
        <v>4</v>
      </c>
      <c r="P2149">
        <v>0</v>
      </c>
      <c r="Q2149">
        <v>46.4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6</v>
      </c>
      <c r="AB2149">
        <v>0</v>
      </c>
      <c r="AD2149">
        <v>52.4</v>
      </c>
    </row>
    <row r="2150" spans="1:30" x14ac:dyDescent="0.3">
      <c r="A2150" s="4">
        <v>2170</v>
      </c>
      <c r="B2150" s="5">
        <v>2143</v>
      </c>
      <c r="C2150">
        <v>3669</v>
      </c>
      <c r="D2150" t="s">
        <v>4666</v>
      </c>
      <c r="E2150" t="s">
        <v>4667</v>
      </c>
      <c r="F2150" t="s">
        <v>81</v>
      </c>
      <c r="G2150" t="s">
        <v>4668</v>
      </c>
      <c r="H2150" t="str">
        <f>"00854600"</f>
        <v>00854600</v>
      </c>
      <c r="I2150">
        <v>50.4</v>
      </c>
      <c r="J2150">
        <v>0</v>
      </c>
      <c r="N2150">
        <v>0</v>
      </c>
      <c r="O2150">
        <v>0</v>
      </c>
      <c r="P2150">
        <v>2</v>
      </c>
      <c r="Q2150">
        <v>52.4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D2150">
        <v>52.4</v>
      </c>
    </row>
    <row r="2151" spans="1:30" x14ac:dyDescent="0.3">
      <c r="A2151" s="4">
        <v>2171</v>
      </c>
      <c r="B2151" s="5">
        <v>2144</v>
      </c>
      <c r="C2151">
        <v>563</v>
      </c>
      <c r="D2151" t="s">
        <v>4669</v>
      </c>
      <c r="E2151" t="s">
        <v>54</v>
      </c>
      <c r="F2151" t="s">
        <v>972</v>
      </c>
      <c r="G2151" t="s">
        <v>4670</v>
      </c>
      <c r="H2151" t="str">
        <f>"00857820"</f>
        <v>00857820</v>
      </c>
      <c r="I2151">
        <v>50.4</v>
      </c>
      <c r="J2151">
        <v>0</v>
      </c>
      <c r="N2151">
        <v>0</v>
      </c>
      <c r="O2151">
        <v>0</v>
      </c>
      <c r="P2151">
        <v>2</v>
      </c>
      <c r="Q2151">
        <v>52.4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D2151">
        <v>52.4</v>
      </c>
    </row>
    <row r="2152" spans="1:30" x14ac:dyDescent="0.3">
      <c r="A2152" s="4">
        <v>2172</v>
      </c>
      <c r="B2152" s="5">
        <v>2145</v>
      </c>
      <c r="C2152">
        <v>3734</v>
      </c>
      <c r="D2152" t="s">
        <v>3390</v>
      </c>
      <c r="E2152" t="s">
        <v>1743</v>
      </c>
      <c r="F2152" t="s">
        <v>20</v>
      </c>
      <c r="G2152" t="s">
        <v>4671</v>
      </c>
      <c r="H2152" t="str">
        <f>"00589230"</f>
        <v>00589230</v>
      </c>
      <c r="I2152">
        <v>38.4</v>
      </c>
      <c r="J2152">
        <v>0</v>
      </c>
      <c r="K2152">
        <v>8</v>
      </c>
      <c r="N2152">
        <v>8</v>
      </c>
      <c r="O2152">
        <v>4</v>
      </c>
      <c r="P2152">
        <v>2</v>
      </c>
      <c r="Q2152">
        <v>52.4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D2152">
        <v>52.4</v>
      </c>
    </row>
    <row r="2153" spans="1:30" x14ac:dyDescent="0.3">
      <c r="A2153" s="4">
        <v>2173</v>
      </c>
      <c r="B2153" s="5">
        <v>2146</v>
      </c>
      <c r="C2153">
        <v>4411</v>
      </c>
      <c r="D2153" t="s">
        <v>4672</v>
      </c>
      <c r="E2153" t="s">
        <v>213</v>
      </c>
      <c r="F2153" t="s">
        <v>193</v>
      </c>
      <c r="G2153" t="s">
        <v>4673</v>
      </c>
      <c r="H2153" t="str">
        <f>"00091611"</f>
        <v>00091611</v>
      </c>
      <c r="I2153">
        <v>38.4</v>
      </c>
      <c r="J2153">
        <v>10</v>
      </c>
      <c r="N2153">
        <v>0</v>
      </c>
      <c r="O2153">
        <v>4</v>
      </c>
      <c r="P2153">
        <v>0</v>
      </c>
      <c r="Q2153">
        <v>52.4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D2153">
        <v>52.4</v>
      </c>
    </row>
    <row r="2154" spans="1:30" x14ac:dyDescent="0.3">
      <c r="A2154" s="4">
        <v>2174</v>
      </c>
      <c r="B2154" s="5">
        <v>2147</v>
      </c>
      <c r="C2154">
        <v>4385</v>
      </c>
      <c r="D2154" t="s">
        <v>181</v>
      </c>
      <c r="E2154" t="s">
        <v>355</v>
      </c>
      <c r="F2154" t="s">
        <v>38</v>
      </c>
      <c r="G2154" t="s">
        <v>4674</v>
      </c>
      <c r="H2154" t="str">
        <f>"201510000135"</f>
        <v>201510000135</v>
      </c>
      <c r="I2154">
        <v>38.4</v>
      </c>
      <c r="J2154">
        <v>10</v>
      </c>
      <c r="N2154">
        <v>0</v>
      </c>
      <c r="O2154">
        <v>4</v>
      </c>
      <c r="P2154">
        <v>0</v>
      </c>
      <c r="Q2154">
        <v>52.4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D2154">
        <v>52.4</v>
      </c>
    </row>
    <row r="2155" spans="1:30" x14ac:dyDescent="0.3">
      <c r="A2155" s="4">
        <v>2175</v>
      </c>
      <c r="B2155" s="5">
        <v>2148</v>
      </c>
      <c r="C2155">
        <v>2905</v>
      </c>
      <c r="D2155" t="s">
        <v>4675</v>
      </c>
      <c r="E2155" t="s">
        <v>178</v>
      </c>
      <c r="F2155" t="s">
        <v>55</v>
      </c>
      <c r="G2155" t="s">
        <v>4676</v>
      </c>
      <c r="H2155" t="str">
        <f>"201511008376"</f>
        <v>201511008376</v>
      </c>
      <c r="I2155">
        <v>36.4</v>
      </c>
      <c r="J2155">
        <v>10</v>
      </c>
      <c r="N2155">
        <v>0</v>
      </c>
      <c r="O2155">
        <v>4</v>
      </c>
      <c r="P2155">
        <v>2</v>
      </c>
      <c r="Q2155">
        <v>52.4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D2155">
        <v>52.4</v>
      </c>
    </row>
    <row r="2156" spans="1:30" x14ac:dyDescent="0.3">
      <c r="A2156" s="4">
        <v>2176</v>
      </c>
      <c r="B2156" s="5">
        <v>2149</v>
      </c>
      <c r="C2156">
        <v>719</v>
      </c>
      <c r="D2156" t="s">
        <v>4677</v>
      </c>
      <c r="E2156" t="s">
        <v>858</v>
      </c>
      <c r="F2156" t="s">
        <v>17</v>
      </c>
      <c r="G2156" t="s">
        <v>4678</v>
      </c>
      <c r="H2156" t="str">
        <f>"00323417"</f>
        <v>00323417</v>
      </c>
      <c r="I2156">
        <v>28.36</v>
      </c>
      <c r="J2156">
        <v>0</v>
      </c>
      <c r="N2156">
        <v>0</v>
      </c>
      <c r="O2156">
        <v>4</v>
      </c>
      <c r="P2156">
        <v>0</v>
      </c>
      <c r="Q2156">
        <v>32.36</v>
      </c>
      <c r="R2156">
        <v>17</v>
      </c>
      <c r="S2156">
        <v>17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17</v>
      </c>
      <c r="AA2156">
        <v>3</v>
      </c>
      <c r="AB2156">
        <v>0</v>
      </c>
      <c r="AD2156">
        <v>52.36</v>
      </c>
    </row>
    <row r="2157" spans="1:30" x14ac:dyDescent="0.3">
      <c r="A2157" s="4">
        <v>2177</v>
      </c>
      <c r="B2157" s="5">
        <v>2150</v>
      </c>
      <c r="C2157">
        <v>1906</v>
      </c>
      <c r="D2157" t="s">
        <v>4679</v>
      </c>
      <c r="E2157" t="s">
        <v>837</v>
      </c>
      <c r="F2157" t="s">
        <v>4680</v>
      </c>
      <c r="G2157" t="s">
        <v>4681</v>
      </c>
      <c r="H2157" t="str">
        <f>"00865545"</f>
        <v>00865545</v>
      </c>
      <c r="I2157">
        <v>39.28</v>
      </c>
      <c r="J2157">
        <v>0</v>
      </c>
      <c r="N2157">
        <v>0</v>
      </c>
      <c r="O2157">
        <v>4</v>
      </c>
      <c r="P2157">
        <v>0</v>
      </c>
      <c r="Q2157">
        <v>43.28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9</v>
      </c>
      <c r="AB2157">
        <v>0</v>
      </c>
      <c r="AD2157">
        <v>52.28</v>
      </c>
    </row>
    <row r="2158" spans="1:30" x14ac:dyDescent="0.3">
      <c r="A2158" s="4">
        <v>2178</v>
      </c>
      <c r="B2158" s="5">
        <v>2151</v>
      </c>
      <c r="C2158">
        <v>4882</v>
      </c>
      <c r="D2158" t="s">
        <v>4682</v>
      </c>
      <c r="E2158" t="s">
        <v>1189</v>
      </c>
      <c r="F2158" t="s">
        <v>20</v>
      </c>
      <c r="G2158" t="s">
        <v>4683</v>
      </c>
      <c r="H2158" t="str">
        <f>"00554278"</f>
        <v>00554278</v>
      </c>
      <c r="I2158">
        <v>38.24</v>
      </c>
      <c r="J2158">
        <v>0</v>
      </c>
      <c r="M2158">
        <v>4</v>
      </c>
      <c r="N2158">
        <v>4</v>
      </c>
      <c r="O2158">
        <v>4</v>
      </c>
      <c r="P2158">
        <v>0</v>
      </c>
      <c r="Q2158">
        <v>46.24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6</v>
      </c>
      <c r="AB2158">
        <v>0</v>
      </c>
      <c r="AD2158">
        <v>52.24</v>
      </c>
    </row>
    <row r="2159" spans="1:30" x14ac:dyDescent="0.3">
      <c r="A2159" s="4">
        <v>2179</v>
      </c>
      <c r="B2159" s="5">
        <v>2152</v>
      </c>
      <c r="C2159">
        <v>2574</v>
      </c>
      <c r="D2159" t="s">
        <v>4684</v>
      </c>
      <c r="E2159" t="s">
        <v>88</v>
      </c>
      <c r="F2159" t="s">
        <v>136</v>
      </c>
      <c r="G2159" t="s">
        <v>4685</v>
      </c>
      <c r="H2159" t="str">
        <f>"00856246"</f>
        <v>00856246</v>
      </c>
      <c r="I2159">
        <v>43.2</v>
      </c>
      <c r="J2159">
        <v>0</v>
      </c>
      <c r="N2159">
        <v>0</v>
      </c>
      <c r="O2159">
        <v>4</v>
      </c>
      <c r="P2159">
        <v>2</v>
      </c>
      <c r="Q2159">
        <v>49.2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3</v>
      </c>
      <c r="AB2159">
        <v>0</v>
      </c>
      <c r="AD2159">
        <v>52.2</v>
      </c>
    </row>
    <row r="2160" spans="1:30" x14ac:dyDescent="0.3">
      <c r="A2160" s="4">
        <v>2180</v>
      </c>
      <c r="B2160" s="5">
        <v>2153</v>
      </c>
      <c r="C2160">
        <v>2081</v>
      </c>
      <c r="D2160" t="s">
        <v>4686</v>
      </c>
      <c r="E2160" t="s">
        <v>283</v>
      </c>
      <c r="F2160" t="s">
        <v>892</v>
      </c>
      <c r="G2160" t="s">
        <v>4687</v>
      </c>
      <c r="H2160" t="str">
        <f>"00497278"</f>
        <v>00497278</v>
      </c>
      <c r="I2160">
        <v>43.2</v>
      </c>
      <c r="J2160">
        <v>0</v>
      </c>
      <c r="N2160">
        <v>0</v>
      </c>
      <c r="O2160">
        <v>4</v>
      </c>
      <c r="P2160">
        <v>2</v>
      </c>
      <c r="Q2160">
        <v>49.2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3</v>
      </c>
      <c r="AB2160">
        <v>0</v>
      </c>
      <c r="AD2160">
        <v>52.2</v>
      </c>
    </row>
    <row r="2161" spans="1:30" x14ac:dyDescent="0.3">
      <c r="A2161" s="4">
        <v>2181</v>
      </c>
      <c r="B2161" s="5">
        <v>2154</v>
      </c>
      <c r="C2161">
        <v>4925</v>
      </c>
      <c r="D2161" t="s">
        <v>3718</v>
      </c>
      <c r="E2161" t="s">
        <v>161</v>
      </c>
      <c r="F2161" t="s">
        <v>20</v>
      </c>
      <c r="G2161" t="s">
        <v>4688</v>
      </c>
      <c r="H2161" t="str">
        <f>"00532093"</f>
        <v>00532093</v>
      </c>
      <c r="I2161">
        <v>43.2</v>
      </c>
      <c r="J2161">
        <v>0</v>
      </c>
      <c r="M2161">
        <v>4</v>
      </c>
      <c r="N2161">
        <v>4</v>
      </c>
      <c r="O2161">
        <v>0</v>
      </c>
      <c r="P2161">
        <v>2</v>
      </c>
      <c r="Q2161">
        <v>49.2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3</v>
      </c>
      <c r="AB2161">
        <v>0</v>
      </c>
      <c r="AD2161">
        <v>52.2</v>
      </c>
    </row>
    <row r="2162" spans="1:30" x14ac:dyDescent="0.3">
      <c r="A2162" s="4">
        <v>2182</v>
      </c>
      <c r="B2162" s="5">
        <v>2155</v>
      </c>
      <c r="C2162">
        <v>692</v>
      </c>
      <c r="D2162" t="s">
        <v>577</v>
      </c>
      <c r="E2162" t="s">
        <v>54</v>
      </c>
      <c r="F2162" t="s">
        <v>68</v>
      </c>
      <c r="G2162" t="s">
        <v>4689</v>
      </c>
      <c r="H2162" t="str">
        <f>"00486257"</f>
        <v>00486257</v>
      </c>
      <c r="I2162">
        <v>43.2</v>
      </c>
      <c r="J2162">
        <v>0</v>
      </c>
      <c r="N2162">
        <v>0</v>
      </c>
      <c r="O2162">
        <v>4</v>
      </c>
      <c r="P2162">
        <v>2</v>
      </c>
      <c r="Q2162">
        <v>49.2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3</v>
      </c>
      <c r="AB2162">
        <v>0</v>
      </c>
      <c r="AD2162">
        <v>52.2</v>
      </c>
    </row>
    <row r="2163" spans="1:30" x14ac:dyDescent="0.3">
      <c r="A2163" s="4">
        <v>2183</v>
      </c>
      <c r="B2163" s="5">
        <v>2156</v>
      </c>
      <c r="C2163">
        <v>4769</v>
      </c>
      <c r="D2163" t="s">
        <v>4690</v>
      </c>
      <c r="E2163" t="s">
        <v>4691</v>
      </c>
      <c r="F2163" t="s">
        <v>38</v>
      </c>
      <c r="G2163" t="s">
        <v>4692</v>
      </c>
      <c r="H2163" t="str">
        <f>"00654434"</f>
        <v>00654434</v>
      </c>
      <c r="I2163">
        <v>39.200000000000003</v>
      </c>
      <c r="J2163">
        <v>0</v>
      </c>
      <c r="M2163">
        <v>4</v>
      </c>
      <c r="N2163">
        <v>4</v>
      </c>
      <c r="O2163">
        <v>4</v>
      </c>
      <c r="P2163">
        <v>2</v>
      </c>
      <c r="Q2163">
        <v>49.2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3</v>
      </c>
      <c r="AB2163">
        <v>0</v>
      </c>
      <c r="AD2163">
        <v>52.2</v>
      </c>
    </row>
    <row r="2164" spans="1:30" x14ac:dyDescent="0.3">
      <c r="A2164" s="4">
        <v>2184</v>
      </c>
      <c r="B2164" s="5">
        <v>2157</v>
      </c>
      <c r="C2164">
        <v>1469</v>
      </c>
      <c r="D2164" t="s">
        <v>4693</v>
      </c>
      <c r="E2164" t="s">
        <v>54</v>
      </c>
      <c r="F2164" t="s">
        <v>38</v>
      </c>
      <c r="G2164" t="s">
        <v>4694</v>
      </c>
      <c r="H2164" t="str">
        <f>"00531331"</f>
        <v>00531331</v>
      </c>
      <c r="I2164">
        <v>18.16</v>
      </c>
      <c r="J2164">
        <v>0</v>
      </c>
      <c r="N2164">
        <v>0</v>
      </c>
      <c r="O2164">
        <v>4</v>
      </c>
      <c r="P2164">
        <v>2</v>
      </c>
      <c r="Q2164">
        <v>24.16</v>
      </c>
      <c r="R2164">
        <v>22</v>
      </c>
      <c r="S2164">
        <v>22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22</v>
      </c>
      <c r="AA2164">
        <v>6</v>
      </c>
      <c r="AB2164">
        <v>0</v>
      </c>
      <c r="AD2164">
        <v>52.16</v>
      </c>
    </row>
    <row r="2165" spans="1:30" x14ac:dyDescent="0.3">
      <c r="A2165" s="4">
        <v>2185</v>
      </c>
      <c r="B2165" s="5">
        <v>2158</v>
      </c>
      <c r="C2165">
        <v>4108</v>
      </c>
      <c r="D2165" t="s">
        <v>181</v>
      </c>
      <c r="E2165" t="s">
        <v>4695</v>
      </c>
      <c r="F2165" t="s">
        <v>34</v>
      </c>
      <c r="G2165" t="s">
        <v>4696</v>
      </c>
      <c r="H2165" t="str">
        <f>"00521730"</f>
        <v>00521730</v>
      </c>
      <c r="I2165">
        <v>39.159999999999997</v>
      </c>
      <c r="J2165">
        <v>0</v>
      </c>
      <c r="M2165">
        <v>4</v>
      </c>
      <c r="N2165">
        <v>4</v>
      </c>
      <c r="O2165">
        <v>4</v>
      </c>
      <c r="P2165">
        <v>2</v>
      </c>
      <c r="Q2165">
        <v>49.16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3</v>
      </c>
      <c r="AB2165">
        <v>0</v>
      </c>
      <c r="AD2165">
        <v>52.16</v>
      </c>
    </row>
    <row r="2166" spans="1:30" x14ac:dyDescent="0.3">
      <c r="A2166" s="4">
        <v>2186</v>
      </c>
      <c r="B2166" s="5">
        <v>2159</v>
      </c>
      <c r="C2166">
        <v>4019</v>
      </c>
      <c r="D2166" t="s">
        <v>432</v>
      </c>
      <c r="E2166" t="s">
        <v>29</v>
      </c>
      <c r="F2166" t="s">
        <v>20</v>
      </c>
      <c r="G2166" t="s">
        <v>4697</v>
      </c>
      <c r="H2166" t="str">
        <f>"00199658"</f>
        <v>00199658</v>
      </c>
      <c r="I2166">
        <v>14.12</v>
      </c>
      <c r="J2166">
        <v>0</v>
      </c>
      <c r="N2166">
        <v>0</v>
      </c>
      <c r="O2166">
        <v>0</v>
      </c>
      <c r="P2166">
        <v>0</v>
      </c>
      <c r="Q2166">
        <v>14.12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6</v>
      </c>
      <c r="AB2166">
        <v>32</v>
      </c>
      <c r="AD2166">
        <v>52.12</v>
      </c>
    </row>
    <row r="2167" spans="1:30" x14ac:dyDescent="0.3">
      <c r="A2167" s="4">
        <v>2187</v>
      </c>
      <c r="B2167" s="5">
        <v>2160</v>
      </c>
      <c r="C2167">
        <v>473</v>
      </c>
      <c r="D2167" t="s">
        <v>4698</v>
      </c>
      <c r="E2167" t="s">
        <v>289</v>
      </c>
      <c r="F2167" t="s">
        <v>20</v>
      </c>
      <c r="G2167" t="s">
        <v>4699</v>
      </c>
      <c r="H2167" t="str">
        <f>"00855215"</f>
        <v>00855215</v>
      </c>
      <c r="I2167">
        <v>7.2</v>
      </c>
      <c r="J2167">
        <v>0</v>
      </c>
      <c r="K2167">
        <v>8</v>
      </c>
      <c r="N2167">
        <v>8</v>
      </c>
      <c r="O2167">
        <v>4</v>
      </c>
      <c r="P2167">
        <v>0</v>
      </c>
      <c r="Q2167">
        <v>19.2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6</v>
      </c>
      <c r="AB2167">
        <v>26.8</v>
      </c>
      <c r="AD2167">
        <v>52</v>
      </c>
    </row>
    <row r="2168" spans="1:30" x14ac:dyDescent="0.3">
      <c r="A2168" s="4">
        <v>2188</v>
      </c>
      <c r="B2168" s="5">
        <v>2161</v>
      </c>
      <c r="C2168">
        <v>3711</v>
      </c>
      <c r="D2168" t="s">
        <v>4700</v>
      </c>
      <c r="E2168" t="s">
        <v>255</v>
      </c>
      <c r="F2168" t="s">
        <v>343</v>
      </c>
      <c r="G2168" t="s">
        <v>4701</v>
      </c>
      <c r="H2168" t="str">
        <f>"00860595"</f>
        <v>00860595</v>
      </c>
      <c r="I2168">
        <v>40</v>
      </c>
      <c r="J2168">
        <v>0</v>
      </c>
      <c r="N2168">
        <v>0</v>
      </c>
      <c r="O2168">
        <v>4</v>
      </c>
      <c r="P2168">
        <v>2</v>
      </c>
      <c r="Q2168">
        <v>46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6</v>
      </c>
      <c r="AB2168">
        <v>0</v>
      </c>
      <c r="AD2168">
        <v>52</v>
      </c>
    </row>
    <row r="2169" spans="1:30" x14ac:dyDescent="0.3">
      <c r="A2169" s="4">
        <v>2189</v>
      </c>
      <c r="B2169" s="5">
        <v>2162</v>
      </c>
      <c r="C2169">
        <v>1986</v>
      </c>
      <c r="D2169" t="s">
        <v>4702</v>
      </c>
      <c r="E2169" t="s">
        <v>88</v>
      </c>
      <c r="F2169" t="s">
        <v>652</v>
      </c>
      <c r="G2169" t="s">
        <v>4703</v>
      </c>
      <c r="H2169" t="str">
        <f>"00208046"</f>
        <v>00208046</v>
      </c>
      <c r="I2169">
        <v>36</v>
      </c>
      <c r="J2169">
        <v>0</v>
      </c>
      <c r="M2169">
        <v>4</v>
      </c>
      <c r="N2169">
        <v>4</v>
      </c>
      <c r="O2169">
        <v>4</v>
      </c>
      <c r="P2169">
        <v>2</v>
      </c>
      <c r="Q2169">
        <v>46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6</v>
      </c>
      <c r="AB2169">
        <v>0</v>
      </c>
      <c r="AD2169">
        <v>52</v>
      </c>
    </row>
    <row r="2170" spans="1:30" x14ac:dyDescent="0.3">
      <c r="A2170" s="4">
        <v>2190</v>
      </c>
      <c r="B2170" s="5">
        <v>2163</v>
      </c>
      <c r="C2170">
        <v>3591</v>
      </c>
      <c r="D2170" t="s">
        <v>4704</v>
      </c>
      <c r="E2170" t="s">
        <v>182</v>
      </c>
      <c r="F2170" t="s">
        <v>30</v>
      </c>
      <c r="G2170" t="s">
        <v>4705</v>
      </c>
      <c r="H2170" t="str">
        <f>"00861494"</f>
        <v>00861494</v>
      </c>
      <c r="I2170">
        <v>36</v>
      </c>
      <c r="J2170">
        <v>0</v>
      </c>
      <c r="M2170">
        <v>4</v>
      </c>
      <c r="N2170">
        <v>4</v>
      </c>
      <c r="O2170">
        <v>4</v>
      </c>
      <c r="P2170">
        <v>2</v>
      </c>
      <c r="Q2170">
        <v>46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6</v>
      </c>
      <c r="AB2170">
        <v>0</v>
      </c>
      <c r="AD2170">
        <v>52</v>
      </c>
    </row>
    <row r="2171" spans="1:30" x14ac:dyDescent="0.3">
      <c r="A2171" s="4">
        <v>2191</v>
      </c>
      <c r="B2171" s="5">
        <v>2164</v>
      </c>
      <c r="C2171">
        <v>3246</v>
      </c>
      <c r="D2171" t="s">
        <v>4706</v>
      </c>
      <c r="E2171" t="s">
        <v>22</v>
      </c>
      <c r="F2171" t="s">
        <v>587</v>
      </c>
      <c r="G2171" t="s">
        <v>4707</v>
      </c>
      <c r="H2171" t="str">
        <f>"00163330"</f>
        <v>00163330</v>
      </c>
      <c r="I2171">
        <v>36</v>
      </c>
      <c r="J2171">
        <v>0</v>
      </c>
      <c r="M2171">
        <v>4</v>
      </c>
      <c r="N2171">
        <v>4</v>
      </c>
      <c r="O2171">
        <v>4</v>
      </c>
      <c r="P2171">
        <v>2</v>
      </c>
      <c r="Q2171">
        <v>46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6</v>
      </c>
      <c r="AB2171">
        <v>0</v>
      </c>
      <c r="AD2171">
        <v>52</v>
      </c>
    </row>
    <row r="2172" spans="1:30" x14ac:dyDescent="0.3">
      <c r="A2172" s="4">
        <v>2192</v>
      </c>
      <c r="B2172" s="5">
        <v>2165</v>
      </c>
      <c r="C2172">
        <v>745</v>
      </c>
      <c r="D2172" t="s">
        <v>4708</v>
      </c>
      <c r="E2172" t="s">
        <v>471</v>
      </c>
      <c r="F2172" t="s">
        <v>570</v>
      </c>
      <c r="G2172" t="s">
        <v>4709</v>
      </c>
      <c r="H2172" t="str">
        <f>"00856159"</f>
        <v>00856159</v>
      </c>
      <c r="I2172">
        <v>36</v>
      </c>
      <c r="J2172">
        <v>10</v>
      </c>
      <c r="N2172">
        <v>0</v>
      </c>
      <c r="O2172">
        <v>0</v>
      </c>
      <c r="P2172">
        <v>0</v>
      </c>
      <c r="Q2172">
        <v>46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6</v>
      </c>
      <c r="AB2172">
        <v>0</v>
      </c>
      <c r="AD2172">
        <v>52</v>
      </c>
    </row>
    <row r="2173" spans="1:30" x14ac:dyDescent="0.3">
      <c r="A2173" s="4">
        <v>2193</v>
      </c>
      <c r="B2173" s="5">
        <v>2166</v>
      </c>
      <c r="C2173">
        <v>107</v>
      </c>
      <c r="D2173" t="s">
        <v>4710</v>
      </c>
      <c r="E2173" t="s">
        <v>54</v>
      </c>
      <c r="F2173" t="s">
        <v>81</v>
      </c>
      <c r="G2173" t="s">
        <v>4711</v>
      </c>
      <c r="H2173" t="str">
        <f>"00519054"</f>
        <v>00519054</v>
      </c>
      <c r="I2173">
        <v>36</v>
      </c>
      <c r="J2173">
        <v>0</v>
      </c>
      <c r="M2173">
        <v>4</v>
      </c>
      <c r="N2173">
        <v>4</v>
      </c>
      <c r="O2173">
        <v>4</v>
      </c>
      <c r="P2173">
        <v>2</v>
      </c>
      <c r="Q2173">
        <v>46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6</v>
      </c>
      <c r="AB2173">
        <v>0</v>
      </c>
      <c r="AD2173">
        <v>52</v>
      </c>
    </row>
    <row r="2174" spans="1:30" x14ac:dyDescent="0.3">
      <c r="A2174" s="4">
        <v>2194</v>
      </c>
      <c r="B2174" s="5">
        <v>2167</v>
      </c>
      <c r="C2174">
        <v>3128</v>
      </c>
      <c r="D2174" t="s">
        <v>4712</v>
      </c>
      <c r="E2174" t="s">
        <v>29</v>
      </c>
      <c r="F2174" t="s">
        <v>570</v>
      </c>
      <c r="G2174" t="s">
        <v>4713</v>
      </c>
      <c r="H2174" t="str">
        <f>"00736854"</f>
        <v>00736854</v>
      </c>
      <c r="I2174">
        <v>36</v>
      </c>
      <c r="J2174">
        <v>0</v>
      </c>
      <c r="M2174">
        <v>4</v>
      </c>
      <c r="N2174">
        <v>4</v>
      </c>
      <c r="O2174">
        <v>4</v>
      </c>
      <c r="P2174">
        <v>2</v>
      </c>
      <c r="Q2174">
        <v>46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6</v>
      </c>
      <c r="AB2174">
        <v>0</v>
      </c>
      <c r="AD2174">
        <v>52</v>
      </c>
    </row>
    <row r="2175" spans="1:30" x14ac:dyDescent="0.3">
      <c r="A2175" s="4">
        <v>2195</v>
      </c>
      <c r="B2175" s="5">
        <v>2168</v>
      </c>
      <c r="C2175">
        <v>4898</v>
      </c>
      <c r="D2175" t="s">
        <v>4714</v>
      </c>
      <c r="E2175" t="s">
        <v>29</v>
      </c>
      <c r="F2175" t="s">
        <v>81</v>
      </c>
      <c r="G2175" t="s">
        <v>4715</v>
      </c>
      <c r="H2175" t="str">
        <f>"00698090"</f>
        <v>00698090</v>
      </c>
      <c r="I2175">
        <v>32</v>
      </c>
      <c r="J2175">
        <v>0</v>
      </c>
      <c r="K2175">
        <v>8</v>
      </c>
      <c r="N2175">
        <v>8</v>
      </c>
      <c r="O2175">
        <v>4</v>
      </c>
      <c r="P2175">
        <v>2</v>
      </c>
      <c r="Q2175">
        <v>46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6</v>
      </c>
      <c r="AB2175">
        <v>0</v>
      </c>
      <c r="AD2175">
        <v>52</v>
      </c>
    </row>
    <row r="2176" spans="1:30" x14ac:dyDescent="0.3">
      <c r="A2176" s="4">
        <v>2196</v>
      </c>
      <c r="B2176" s="5">
        <v>2169</v>
      </c>
      <c r="C2176">
        <v>3126</v>
      </c>
      <c r="D2176" t="s">
        <v>4716</v>
      </c>
      <c r="E2176" t="s">
        <v>4717</v>
      </c>
      <c r="F2176" t="s">
        <v>81</v>
      </c>
      <c r="G2176" t="s">
        <v>4718</v>
      </c>
      <c r="H2176" t="str">
        <f>"00219784"</f>
        <v>00219784</v>
      </c>
      <c r="I2176">
        <v>28</v>
      </c>
      <c r="J2176">
        <v>10</v>
      </c>
      <c r="M2176">
        <v>4</v>
      </c>
      <c r="N2176">
        <v>4</v>
      </c>
      <c r="O2176">
        <v>4</v>
      </c>
      <c r="P2176">
        <v>0</v>
      </c>
      <c r="Q2176">
        <v>46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6</v>
      </c>
      <c r="AB2176">
        <v>0</v>
      </c>
      <c r="AD2176">
        <v>52</v>
      </c>
    </row>
    <row r="2177" spans="1:30" x14ac:dyDescent="0.3">
      <c r="A2177" s="4">
        <v>2197</v>
      </c>
      <c r="B2177" s="5">
        <v>2170</v>
      </c>
      <c r="C2177">
        <v>607</v>
      </c>
      <c r="D2177" t="s">
        <v>4719</v>
      </c>
      <c r="E2177" t="s">
        <v>957</v>
      </c>
      <c r="F2177" t="s">
        <v>17</v>
      </c>
      <c r="G2177" t="s">
        <v>4720</v>
      </c>
      <c r="H2177" t="str">
        <f>"00514379"</f>
        <v>00514379</v>
      </c>
      <c r="I2177">
        <v>36</v>
      </c>
      <c r="J2177">
        <v>0</v>
      </c>
      <c r="N2177">
        <v>0</v>
      </c>
      <c r="O2177">
        <v>0</v>
      </c>
      <c r="P2177">
        <v>2</v>
      </c>
      <c r="Q2177">
        <v>38</v>
      </c>
      <c r="R2177">
        <v>8</v>
      </c>
      <c r="S2177">
        <v>8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8</v>
      </c>
      <c r="AA2177">
        <v>6</v>
      </c>
      <c r="AB2177">
        <v>0</v>
      </c>
      <c r="AD2177">
        <v>52</v>
      </c>
    </row>
    <row r="2178" spans="1:30" x14ac:dyDescent="0.3">
      <c r="A2178" s="4">
        <v>2198</v>
      </c>
      <c r="B2178" s="5">
        <v>2171</v>
      </c>
      <c r="C2178">
        <v>950</v>
      </c>
      <c r="D2178" t="s">
        <v>3487</v>
      </c>
      <c r="E2178" t="s">
        <v>54</v>
      </c>
      <c r="F2178" t="s">
        <v>171</v>
      </c>
      <c r="G2178" t="s">
        <v>4721</v>
      </c>
      <c r="H2178" t="str">
        <f>"00859606"</f>
        <v>00859606</v>
      </c>
      <c r="I2178">
        <v>38</v>
      </c>
      <c r="J2178">
        <v>10</v>
      </c>
      <c r="N2178">
        <v>0</v>
      </c>
      <c r="O2178">
        <v>4</v>
      </c>
      <c r="P2178">
        <v>0</v>
      </c>
      <c r="Q2178">
        <v>52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D2178">
        <v>52</v>
      </c>
    </row>
    <row r="2179" spans="1:30" x14ac:dyDescent="0.3">
      <c r="A2179" s="4">
        <v>2199</v>
      </c>
      <c r="B2179" s="5">
        <v>2172</v>
      </c>
      <c r="C2179">
        <v>4320</v>
      </c>
      <c r="D2179" t="s">
        <v>3091</v>
      </c>
      <c r="E2179" t="s">
        <v>22</v>
      </c>
      <c r="F2179" t="s">
        <v>243</v>
      </c>
      <c r="G2179" t="s">
        <v>4722</v>
      </c>
      <c r="H2179" t="str">
        <f>"00295727"</f>
        <v>00295727</v>
      </c>
      <c r="I2179">
        <v>34</v>
      </c>
      <c r="J2179">
        <v>10</v>
      </c>
      <c r="M2179">
        <v>4</v>
      </c>
      <c r="N2179">
        <v>4</v>
      </c>
      <c r="O2179">
        <v>4</v>
      </c>
      <c r="P2179">
        <v>0</v>
      </c>
      <c r="Q2179">
        <v>52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D2179">
        <v>52</v>
      </c>
    </row>
    <row r="2180" spans="1:30" x14ac:dyDescent="0.3">
      <c r="A2180" s="4">
        <v>2200</v>
      </c>
      <c r="B2180" s="5">
        <v>2173</v>
      </c>
      <c r="C2180">
        <v>774</v>
      </c>
      <c r="D2180" t="s">
        <v>4723</v>
      </c>
      <c r="E2180" t="s">
        <v>1728</v>
      </c>
      <c r="F2180" t="s">
        <v>68</v>
      </c>
      <c r="G2180" t="s">
        <v>4724</v>
      </c>
      <c r="H2180" t="str">
        <f>"00484322"</f>
        <v>00484322</v>
      </c>
      <c r="I2180">
        <v>36</v>
      </c>
      <c r="J2180">
        <v>0</v>
      </c>
      <c r="L2180">
        <v>6</v>
      </c>
      <c r="N2180">
        <v>6</v>
      </c>
      <c r="O2180">
        <v>4</v>
      </c>
      <c r="P2180">
        <v>2</v>
      </c>
      <c r="Q2180">
        <v>48</v>
      </c>
      <c r="R2180">
        <v>4</v>
      </c>
      <c r="S2180">
        <v>4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4</v>
      </c>
      <c r="AA2180">
        <v>0</v>
      </c>
      <c r="AB2180">
        <v>0</v>
      </c>
      <c r="AD2180">
        <v>52</v>
      </c>
    </row>
    <row r="2181" spans="1:30" x14ac:dyDescent="0.3">
      <c r="A2181" s="4">
        <v>2201</v>
      </c>
      <c r="B2181" s="5">
        <v>2174</v>
      </c>
      <c r="C2181">
        <v>3102</v>
      </c>
      <c r="D2181" t="s">
        <v>4725</v>
      </c>
      <c r="E2181" t="s">
        <v>550</v>
      </c>
      <c r="F2181" t="s">
        <v>243</v>
      </c>
      <c r="G2181" t="s">
        <v>4726</v>
      </c>
      <c r="H2181" t="str">
        <f>"00527494"</f>
        <v>00527494</v>
      </c>
      <c r="I2181">
        <v>38</v>
      </c>
      <c r="J2181">
        <v>0</v>
      </c>
      <c r="L2181">
        <v>6</v>
      </c>
      <c r="N2181">
        <v>6</v>
      </c>
      <c r="O2181">
        <v>0</v>
      </c>
      <c r="P2181">
        <v>0</v>
      </c>
      <c r="Q2181">
        <v>44</v>
      </c>
      <c r="R2181">
        <v>8</v>
      </c>
      <c r="S2181">
        <v>8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8</v>
      </c>
      <c r="AA2181">
        <v>0</v>
      </c>
      <c r="AB2181">
        <v>0</v>
      </c>
      <c r="AD2181">
        <v>52</v>
      </c>
    </row>
    <row r="2182" spans="1:30" x14ac:dyDescent="0.3">
      <c r="A2182" s="4">
        <v>2202</v>
      </c>
      <c r="B2182" s="5">
        <v>2175</v>
      </c>
      <c r="C2182">
        <v>16</v>
      </c>
      <c r="D2182" t="s">
        <v>249</v>
      </c>
      <c r="E2182" t="s">
        <v>100</v>
      </c>
      <c r="F2182" t="s">
        <v>158</v>
      </c>
      <c r="G2182" t="s">
        <v>4727</v>
      </c>
      <c r="H2182" t="str">
        <f>"00424446"</f>
        <v>00424446</v>
      </c>
      <c r="I2182">
        <v>36</v>
      </c>
      <c r="J2182">
        <v>0</v>
      </c>
      <c r="N2182">
        <v>0</v>
      </c>
      <c r="O2182">
        <v>4</v>
      </c>
      <c r="P2182">
        <v>0</v>
      </c>
      <c r="Q2182">
        <v>40</v>
      </c>
      <c r="R2182">
        <v>12</v>
      </c>
      <c r="S2182">
        <v>12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12</v>
      </c>
      <c r="AA2182">
        <v>0</v>
      </c>
      <c r="AB2182">
        <v>0</v>
      </c>
      <c r="AD2182">
        <v>52</v>
      </c>
    </row>
    <row r="2183" spans="1:30" x14ac:dyDescent="0.3">
      <c r="A2183" s="4">
        <v>2203</v>
      </c>
      <c r="B2183" s="5">
        <v>2176</v>
      </c>
      <c r="C2183">
        <v>3142</v>
      </c>
      <c r="D2183" t="s">
        <v>4728</v>
      </c>
      <c r="E2183" t="s">
        <v>29</v>
      </c>
      <c r="F2183" t="s">
        <v>190</v>
      </c>
      <c r="G2183" t="s">
        <v>4729</v>
      </c>
      <c r="H2183" t="str">
        <f>"00518970"</f>
        <v>00518970</v>
      </c>
      <c r="I2183">
        <v>0</v>
      </c>
      <c r="J2183">
        <v>10</v>
      </c>
      <c r="N2183">
        <v>0</v>
      </c>
      <c r="O2183">
        <v>4</v>
      </c>
      <c r="P2183">
        <v>2</v>
      </c>
      <c r="Q2183">
        <v>16</v>
      </c>
      <c r="R2183">
        <v>36</v>
      </c>
      <c r="S2183">
        <v>36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36</v>
      </c>
      <c r="AA2183">
        <v>0</v>
      </c>
      <c r="AB2183">
        <v>0</v>
      </c>
      <c r="AD2183">
        <v>52</v>
      </c>
    </row>
    <row r="2184" spans="1:30" x14ac:dyDescent="0.3">
      <c r="A2184" s="4">
        <v>2204</v>
      </c>
      <c r="B2184" s="5">
        <v>2177</v>
      </c>
      <c r="C2184">
        <v>4876</v>
      </c>
      <c r="D2184" t="s">
        <v>32</v>
      </c>
      <c r="E2184" t="s">
        <v>4730</v>
      </c>
      <c r="F2184" t="s">
        <v>30</v>
      </c>
      <c r="G2184" t="s">
        <v>4731</v>
      </c>
      <c r="H2184" t="str">
        <f>"201512004528"</f>
        <v>201512004528</v>
      </c>
      <c r="I2184">
        <v>18.16</v>
      </c>
      <c r="J2184">
        <v>0</v>
      </c>
      <c r="N2184">
        <v>0</v>
      </c>
      <c r="O2184">
        <v>4</v>
      </c>
      <c r="P2184">
        <v>0</v>
      </c>
      <c r="Q2184">
        <v>22.16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3</v>
      </c>
      <c r="AB2184">
        <v>26.8</v>
      </c>
      <c r="AD2184">
        <v>51.96</v>
      </c>
    </row>
    <row r="2185" spans="1:30" x14ac:dyDescent="0.3">
      <c r="A2185" s="4">
        <v>2205</v>
      </c>
      <c r="B2185" s="5">
        <v>2178</v>
      </c>
      <c r="C2185">
        <v>4405</v>
      </c>
      <c r="D2185" t="s">
        <v>93</v>
      </c>
      <c r="E2185" t="s">
        <v>575</v>
      </c>
      <c r="F2185" t="s">
        <v>20</v>
      </c>
      <c r="G2185" t="s">
        <v>4732</v>
      </c>
      <c r="H2185" t="str">
        <f>"00512040"</f>
        <v>00512040</v>
      </c>
      <c r="I2185">
        <v>32.880000000000003</v>
      </c>
      <c r="J2185">
        <v>10</v>
      </c>
      <c r="N2185">
        <v>0</v>
      </c>
      <c r="O2185">
        <v>0</v>
      </c>
      <c r="P2185">
        <v>0</v>
      </c>
      <c r="Q2185">
        <v>42.88</v>
      </c>
      <c r="R2185">
        <v>0</v>
      </c>
      <c r="S2185">
        <v>0</v>
      </c>
      <c r="T2185">
        <v>0</v>
      </c>
      <c r="U2185">
        <v>0</v>
      </c>
      <c r="V2185">
        <v>4</v>
      </c>
      <c r="W2185">
        <v>6</v>
      </c>
      <c r="X2185">
        <v>0</v>
      </c>
      <c r="Y2185">
        <v>0</v>
      </c>
      <c r="Z2185">
        <v>6</v>
      </c>
      <c r="AA2185">
        <v>3</v>
      </c>
      <c r="AB2185">
        <v>0</v>
      </c>
      <c r="AD2185">
        <v>51.88</v>
      </c>
    </row>
    <row r="2186" spans="1:30" x14ac:dyDescent="0.3">
      <c r="A2186" s="4">
        <v>2206</v>
      </c>
      <c r="B2186" s="5">
        <v>2179</v>
      </c>
      <c r="C2186">
        <v>3387</v>
      </c>
      <c r="D2186" t="s">
        <v>4733</v>
      </c>
      <c r="E2186" t="s">
        <v>4734</v>
      </c>
      <c r="F2186" t="s">
        <v>62</v>
      </c>
      <c r="G2186" t="s">
        <v>4735</v>
      </c>
      <c r="H2186" t="str">
        <f>"00790304"</f>
        <v>00790304</v>
      </c>
      <c r="I2186">
        <v>28.8</v>
      </c>
      <c r="J2186">
        <v>0</v>
      </c>
      <c r="K2186">
        <v>8</v>
      </c>
      <c r="N2186">
        <v>8</v>
      </c>
      <c r="O2186">
        <v>4</v>
      </c>
      <c r="P2186">
        <v>2</v>
      </c>
      <c r="Q2186">
        <v>42.8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9</v>
      </c>
      <c r="AB2186">
        <v>0</v>
      </c>
      <c r="AD2186">
        <v>51.8</v>
      </c>
    </row>
    <row r="2187" spans="1:30" x14ac:dyDescent="0.3">
      <c r="A2187" s="4">
        <v>2207</v>
      </c>
      <c r="B2187" s="5">
        <v>2180</v>
      </c>
      <c r="C2187">
        <v>3549</v>
      </c>
      <c r="D2187" t="s">
        <v>4736</v>
      </c>
      <c r="E2187" t="s">
        <v>1809</v>
      </c>
      <c r="F2187" t="s">
        <v>62</v>
      </c>
      <c r="G2187" t="s">
        <v>4737</v>
      </c>
      <c r="H2187" t="str">
        <f>"00502977"</f>
        <v>00502977</v>
      </c>
      <c r="I2187">
        <v>28.8</v>
      </c>
      <c r="J2187">
        <v>10</v>
      </c>
      <c r="M2187">
        <v>4</v>
      </c>
      <c r="N2187">
        <v>4</v>
      </c>
      <c r="O2187">
        <v>0</v>
      </c>
      <c r="P2187">
        <v>0</v>
      </c>
      <c r="Q2187">
        <v>42.8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9</v>
      </c>
      <c r="AB2187">
        <v>0</v>
      </c>
      <c r="AD2187">
        <v>51.8</v>
      </c>
    </row>
    <row r="2188" spans="1:30" x14ac:dyDescent="0.3">
      <c r="A2188" s="4">
        <v>2208</v>
      </c>
      <c r="B2188" s="5">
        <v>2181</v>
      </c>
      <c r="C2188">
        <v>2004</v>
      </c>
      <c r="D2188" t="s">
        <v>4738</v>
      </c>
      <c r="E2188" t="s">
        <v>26</v>
      </c>
      <c r="F2188" t="s">
        <v>38</v>
      </c>
      <c r="G2188" t="s">
        <v>4739</v>
      </c>
      <c r="H2188" t="str">
        <f>"201511028546"</f>
        <v>201511028546</v>
      </c>
      <c r="I2188">
        <v>38.799999999999997</v>
      </c>
      <c r="J2188">
        <v>0</v>
      </c>
      <c r="M2188">
        <v>4</v>
      </c>
      <c r="N2188">
        <v>4</v>
      </c>
      <c r="O2188">
        <v>4</v>
      </c>
      <c r="P2188">
        <v>2</v>
      </c>
      <c r="Q2188">
        <v>48.8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3</v>
      </c>
      <c r="AB2188">
        <v>0</v>
      </c>
      <c r="AD2188">
        <v>51.8</v>
      </c>
    </row>
    <row r="2189" spans="1:30" x14ac:dyDescent="0.3">
      <c r="A2189" s="4">
        <v>2209</v>
      </c>
      <c r="B2189" s="5">
        <v>2182</v>
      </c>
      <c r="C2189">
        <v>2299</v>
      </c>
      <c r="D2189" t="s">
        <v>4740</v>
      </c>
      <c r="E2189" t="s">
        <v>4741</v>
      </c>
      <c r="F2189" t="s">
        <v>91</v>
      </c>
      <c r="G2189" t="s">
        <v>4742</v>
      </c>
      <c r="H2189" t="str">
        <f>"00556291"</f>
        <v>00556291</v>
      </c>
      <c r="I2189">
        <v>36.799999999999997</v>
      </c>
      <c r="J2189">
        <v>0</v>
      </c>
      <c r="L2189">
        <v>6</v>
      </c>
      <c r="N2189">
        <v>6</v>
      </c>
      <c r="O2189">
        <v>4</v>
      </c>
      <c r="P2189">
        <v>2</v>
      </c>
      <c r="Q2189">
        <v>48.8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3</v>
      </c>
      <c r="AB2189">
        <v>0</v>
      </c>
      <c r="AD2189">
        <v>51.8</v>
      </c>
    </row>
    <row r="2190" spans="1:30" x14ac:dyDescent="0.3">
      <c r="A2190" s="4">
        <v>2210</v>
      </c>
      <c r="B2190" s="5">
        <v>2183</v>
      </c>
      <c r="C2190">
        <v>4274</v>
      </c>
      <c r="D2190" t="s">
        <v>4743</v>
      </c>
      <c r="E2190" t="s">
        <v>2481</v>
      </c>
      <c r="F2190" t="s">
        <v>158</v>
      </c>
      <c r="G2190" t="s">
        <v>4744</v>
      </c>
      <c r="H2190" t="str">
        <f>"201511035709"</f>
        <v>201511035709</v>
      </c>
      <c r="I2190">
        <v>28.8</v>
      </c>
      <c r="J2190">
        <v>10</v>
      </c>
      <c r="M2190">
        <v>4</v>
      </c>
      <c r="N2190">
        <v>4</v>
      </c>
      <c r="O2190">
        <v>4</v>
      </c>
      <c r="P2190">
        <v>2</v>
      </c>
      <c r="Q2190">
        <v>48.8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3</v>
      </c>
      <c r="AB2190">
        <v>0</v>
      </c>
      <c r="AD2190">
        <v>51.8</v>
      </c>
    </row>
    <row r="2191" spans="1:30" x14ac:dyDescent="0.3">
      <c r="A2191" s="4">
        <v>2211</v>
      </c>
      <c r="B2191" s="5">
        <v>2184</v>
      </c>
      <c r="C2191">
        <v>4511</v>
      </c>
      <c r="D2191" t="s">
        <v>3072</v>
      </c>
      <c r="E2191" t="s">
        <v>110</v>
      </c>
      <c r="F2191" t="s">
        <v>38</v>
      </c>
      <c r="G2191" t="s">
        <v>4745</v>
      </c>
      <c r="H2191" t="str">
        <f>"00864949"</f>
        <v>00864949</v>
      </c>
      <c r="I2191">
        <v>28.8</v>
      </c>
      <c r="J2191">
        <v>10</v>
      </c>
      <c r="M2191">
        <v>4</v>
      </c>
      <c r="N2191">
        <v>4</v>
      </c>
      <c r="O2191">
        <v>4</v>
      </c>
      <c r="P2191">
        <v>2</v>
      </c>
      <c r="Q2191">
        <v>48.8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3</v>
      </c>
      <c r="AB2191">
        <v>0</v>
      </c>
      <c r="AD2191">
        <v>51.8</v>
      </c>
    </row>
    <row r="2192" spans="1:30" x14ac:dyDescent="0.3">
      <c r="A2192" s="4">
        <v>2212</v>
      </c>
      <c r="B2192" s="5">
        <v>2185</v>
      </c>
      <c r="C2192">
        <v>725</v>
      </c>
      <c r="D2192" t="s">
        <v>3390</v>
      </c>
      <c r="E2192" t="s">
        <v>100</v>
      </c>
      <c r="F2192" t="s">
        <v>17</v>
      </c>
      <c r="G2192" t="s">
        <v>4746</v>
      </c>
      <c r="H2192" t="str">
        <f>"00764105"</f>
        <v>00764105</v>
      </c>
      <c r="I2192">
        <v>27.72</v>
      </c>
      <c r="J2192">
        <v>10</v>
      </c>
      <c r="M2192">
        <v>4</v>
      </c>
      <c r="N2192">
        <v>4</v>
      </c>
      <c r="O2192">
        <v>4</v>
      </c>
      <c r="P2192">
        <v>0</v>
      </c>
      <c r="Q2192">
        <v>45.72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6</v>
      </c>
      <c r="AB2192">
        <v>0</v>
      </c>
      <c r="AD2192">
        <v>51.72</v>
      </c>
    </row>
    <row r="2193" spans="1:30" x14ac:dyDescent="0.3">
      <c r="A2193" s="4">
        <v>2213</v>
      </c>
      <c r="B2193" s="5">
        <v>2186</v>
      </c>
      <c r="C2193">
        <v>1962</v>
      </c>
      <c r="D2193" t="s">
        <v>3072</v>
      </c>
      <c r="E2193" t="s">
        <v>97</v>
      </c>
      <c r="F2193" t="s">
        <v>652</v>
      </c>
      <c r="G2193" t="s">
        <v>4747</v>
      </c>
      <c r="H2193" t="str">
        <f>"00712666"</f>
        <v>00712666</v>
      </c>
      <c r="I2193">
        <v>27.64</v>
      </c>
      <c r="J2193">
        <v>10</v>
      </c>
      <c r="M2193">
        <v>4</v>
      </c>
      <c r="N2193">
        <v>4</v>
      </c>
      <c r="O2193">
        <v>4</v>
      </c>
      <c r="P2193">
        <v>0</v>
      </c>
      <c r="Q2193">
        <v>45.64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6</v>
      </c>
      <c r="AB2193">
        <v>0</v>
      </c>
      <c r="AD2193">
        <v>51.64</v>
      </c>
    </row>
    <row r="2194" spans="1:30" x14ac:dyDescent="0.3">
      <c r="A2194" s="4">
        <v>2214</v>
      </c>
      <c r="B2194" s="5">
        <v>2187</v>
      </c>
      <c r="C2194">
        <v>1109</v>
      </c>
      <c r="D2194" t="s">
        <v>1707</v>
      </c>
      <c r="E2194" t="s">
        <v>908</v>
      </c>
      <c r="F2194" t="s">
        <v>1526</v>
      </c>
      <c r="G2194" t="s">
        <v>4748</v>
      </c>
      <c r="H2194" t="str">
        <f>"201511005656"</f>
        <v>201511005656</v>
      </c>
      <c r="I2194">
        <v>39.6</v>
      </c>
      <c r="J2194">
        <v>0</v>
      </c>
      <c r="N2194">
        <v>0</v>
      </c>
      <c r="O2194">
        <v>4</v>
      </c>
      <c r="P2194">
        <v>2</v>
      </c>
      <c r="Q2194">
        <v>45.6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6</v>
      </c>
      <c r="AB2194">
        <v>0</v>
      </c>
      <c r="AD2194">
        <v>51.6</v>
      </c>
    </row>
    <row r="2195" spans="1:30" x14ac:dyDescent="0.3">
      <c r="A2195" s="4">
        <v>2215</v>
      </c>
      <c r="B2195" s="5">
        <v>2188</v>
      </c>
      <c r="C2195">
        <v>2942</v>
      </c>
      <c r="D2195" t="s">
        <v>4749</v>
      </c>
      <c r="E2195" t="s">
        <v>100</v>
      </c>
      <c r="F2195" t="s">
        <v>4750</v>
      </c>
      <c r="G2195" t="s">
        <v>4751</v>
      </c>
      <c r="H2195" t="str">
        <f>"00531748"</f>
        <v>00531748</v>
      </c>
      <c r="I2195">
        <v>21.6</v>
      </c>
      <c r="J2195">
        <v>0</v>
      </c>
      <c r="K2195">
        <v>8</v>
      </c>
      <c r="N2195">
        <v>8</v>
      </c>
      <c r="O2195">
        <v>4</v>
      </c>
      <c r="P2195">
        <v>2</v>
      </c>
      <c r="Q2195">
        <v>35.6</v>
      </c>
      <c r="R2195">
        <v>10</v>
      </c>
      <c r="S2195">
        <v>10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10</v>
      </c>
      <c r="AA2195">
        <v>6</v>
      </c>
      <c r="AB2195">
        <v>0</v>
      </c>
      <c r="AD2195">
        <v>51.6</v>
      </c>
    </row>
    <row r="2196" spans="1:30" x14ac:dyDescent="0.3">
      <c r="A2196" s="4">
        <v>2216</v>
      </c>
      <c r="B2196" s="5">
        <v>2189</v>
      </c>
      <c r="C2196">
        <v>1772</v>
      </c>
      <c r="D2196" t="s">
        <v>4752</v>
      </c>
      <c r="E2196" t="s">
        <v>935</v>
      </c>
      <c r="F2196" t="s">
        <v>1450</v>
      </c>
      <c r="G2196" t="s">
        <v>4753</v>
      </c>
      <c r="H2196" t="str">
        <f>"00865739"</f>
        <v>00865739</v>
      </c>
      <c r="I2196">
        <v>39.6</v>
      </c>
      <c r="J2196">
        <v>0</v>
      </c>
      <c r="K2196">
        <v>8</v>
      </c>
      <c r="N2196">
        <v>8</v>
      </c>
      <c r="O2196">
        <v>4</v>
      </c>
      <c r="P2196">
        <v>0</v>
      </c>
      <c r="Q2196">
        <v>51.6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D2196">
        <v>51.6</v>
      </c>
    </row>
    <row r="2197" spans="1:30" x14ac:dyDescent="0.3">
      <c r="A2197" s="4">
        <v>2217</v>
      </c>
      <c r="B2197" s="5">
        <v>2190</v>
      </c>
      <c r="C2197">
        <v>4895</v>
      </c>
      <c r="D2197" t="s">
        <v>4754</v>
      </c>
      <c r="E2197" t="s">
        <v>149</v>
      </c>
      <c r="F2197" t="s">
        <v>2582</v>
      </c>
      <c r="G2197" t="s">
        <v>4755</v>
      </c>
      <c r="H2197" t="str">
        <f>"00532647"</f>
        <v>00532647</v>
      </c>
      <c r="I2197">
        <v>18.760000000000002</v>
      </c>
      <c r="J2197">
        <v>0</v>
      </c>
      <c r="N2197">
        <v>0</v>
      </c>
      <c r="O2197">
        <v>0</v>
      </c>
      <c r="P2197">
        <v>0</v>
      </c>
      <c r="Q2197">
        <v>18.760000000000002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6</v>
      </c>
      <c r="AB2197">
        <v>26.8</v>
      </c>
      <c r="AD2197">
        <v>51.56</v>
      </c>
    </row>
    <row r="2198" spans="1:30" x14ac:dyDescent="0.3">
      <c r="A2198" s="4">
        <v>2218</v>
      </c>
      <c r="B2198" s="5">
        <v>2191</v>
      </c>
      <c r="C2198">
        <v>2290</v>
      </c>
      <c r="D2198" t="s">
        <v>2251</v>
      </c>
      <c r="E2198" t="s">
        <v>51</v>
      </c>
      <c r="F2198" t="s">
        <v>17</v>
      </c>
      <c r="G2198" t="s">
        <v>4756</v>
      </c>
      <c r="H2198" t="str">
        <f>"00739236"</f>
        <v>00739236</v>
      </c>
      <c r="I2198">
        <v>26.48</v>
      </c>
      <c r="J2198">
        <v>10</v>
      </c>
      <c r="K2198">
        <v>8</v>
      </c>
      <c r="N2198">
        <v>8</v>
      </c>
      <c r="O2198">
        <v>4</v>
      </c>
      <c r="P2198">
        <v>0</v>
      </c>
      <c r="Q2198">
        <v>48.48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3</v>
      </c>
      <c r="AB2198">
        <v>0</v>
      </c>
      <c r="AD2198">
        <v>51.48</v>
      </c>
    </row>
    <row r="2199" spans="1:30" x14ac:dyDescent="0.3">
      <c r="A2199" s="4">
        <v>2219</v>
      </c>
      <c r="B2199" s="5">
        <v>2192</v>
      </c>
      <c r="C2199">
        <v>1176</v>
      </c>
      <c r="D2199" t="s">
        <v>181</v>
      </c>
      <c r="E2199" t="s">
        <v>4757</v>
      </c>
      <c r="F2199" t="s">
        <v>20</v>
      </c>
      <c r="G2199" t="s">
        <v>4758</v>
      </c>
      <c r="H2199" t="str">
        <f>"00081333"</f>
        <v>00081333</v>
      </c>
      <c r="I2199">
        <v>38.4</v>
      </c>
      <c r="J2199">
        <v>0</v>
      </c>
      <c r="N2199">
        <v>0</v>
      </c>
      <c r="O2199">
        <v>4</v>
      </c>
      <c r="P2199">
        <v>0</v>
      </c>
      <c r="Q2199">
        <v>42.4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9</v>
      </c>
      <c r="AB2199">
        <v>0</v>
      </c>
      <c r="AD2199">
        <v>51.4</v>
      </c>
    </row>
    <row r="2200" spans="1:30" x14ac:dyDescent="0.3">
      <c r="A2200" s="4">
        <v>2220</v>
      </c>
      <c r="B2200" s="5">
        <v>2193</v>
      </c>
      <c r="C2200">
        <v>3988</v>
      </c>
      <c r="D2200" t="s">
        <v>4759</v>
      </c>
      <c r="E2200" t="s">
        <v>4760</v>
      </c>
      <c r="F2200" t="s">
        <v>4761</v>
      </c>
      <c r="G2200" t="s">
        <v>4762</v>
      </c>
      <c r="H2200" t="str">
        <f>"00426416"</f>
        <v>00426416</v>
      </c>
      <c r="I2200">
        <v>38.4</v>
      </c>
      <c r="J2200">
        <v>0</v>
      </c>
      <c r="N2200">
        <v>0</v>
      </c>
      <c r="O2200">
        <v>4</v>
      </c>
      <c r="P2200">
        <v>0</v>
      </c>
      <c r="Q2200">
        <v>42.4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9</v>
      </c>
      <c r="AB2200">
        <v>0</v>
      </c>
      <c r="AD2200">
        <v>51.4</v>
      </c>
    </row>
    <row r="2201" spans="1:30" x14ac:dyDescent="0.3">
      <c r="A2201" s="4">
        <v>2221</v>
      </c>
      <c r="B2201" s="5">
        <v>2194</v>
      </c>
      <c r="C2201">
        <v>3842</v>
      </c>
      <c r="D2201" t="s">
        <v>4763</v>
      </c>
      <c r="E2201" t="s">
        <v>132</v>
      </c>
      <c r="F2201" t="s">
        <v>91</v>
      </c>
      <c r="G2201" t="s">
        <v>4764</v>
      </c>
      <c r="H2201" t="str">
        <f>"00028072"</f>
        <v>00028072</v>
      </c>
      <c r="I2201">
        <v>32.4</v>
      </c>
      <c r="J2201">
        <v>0</v>
      </c>
      <c r="N2201">
        <v>0</v>
      </c>
      <c r="O2201">
        <v>4</v>
      </c>
      <c r="P2201">
        <v>2</v>
      </c>
      <c r="Q2201">
        <v>38.4</v>
      </c>
      <c r="R2201">
        <v>10</v>
      </c>
      <c r="S2201">
        <v>10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10</v>
      </c>
      <c r="AA2201">
        <v>3</v>
      </c>
      <c r="AB2201">
        <v>0</v>
      </c>
      <c r="AD2201">
        <v>51.4</v>
      </c>
    </row>
    <row r="2202" spans="1:30" x14ac:dyDescent="0.3">
      <c r="A2202" s="4">
        <v>2222</v>
      </c>
      <c r="B2202" s="5">
        <v>2195</v>
      </c>
      <c r="C2202">
        <v>3476</v>
      </c>
      <c r="D2202" t="s">
        <v>4765</v>
      </c>
      <c r="E2202" t="s">
        <v>258</v>
      </c>
      <c r="F2202" t="s">
        <v>68</v>
      </c>
      <c r="G2202" t="s">
        <v>4766</v>
      </c>
      <c r="H2202" t="str">
        <f>"00531752"</f>
        <v>00531752</v>
      </c>
      <c r="I2202">
        <v>14.4</v>
      </c>
      <c r="J2202">
        <v>10</v>
      </c>
      <c r="M2202">
        <v>4</v>
      </c>
      <c r="N2202">
        <v>4</v>
      </c>
      <c r="O2202">
        <v>4</v>
      </c>
      <c r="P2202">
        <v>2</v>
      </c>
      <c r="Q2202">
        <v>34.4</v>
      </c>
      <c r="R2202">
        <v>17</v>
      </c>
      <c r="S2202">
        <v>17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17</v>
      </c>
      <c r="AA2202">
        <v>0</v>
      </c>
      <c r="AB2202">
        <v>0</v>
      </c>
      <c r="AD2202">
        <v>51.4</v>
      </c>
    </row>
    <row r="2203" spans="1:30" x14ac:dyDescent="0.3">
      <c r="A2203" s="4">
        <v>2223</v>
      </c>
      <c r="B2203" s="5">
        <v>2196</v>
      </c>
      <c r="C2203">
        <v>1534</v>
      </c>
      <c r="D2203" t="s">
        <v>4767</v>
      </c>
      <c r="E2203" t="s">
        <v>54</v>
      </c>
      <c r="F2203" t="s">
        <v>91</v>
      </c>
      <c r="G2203" t="s">
        <v>4768</v>
      </c>
      <c r="H2203" t="str">
        <f>"00442053"</f>
        <v>00442053</v>
      </c>
      <c r="I2203">
        <v>14.4</v>
      </c>
      <c r="J2203">
        <v>10</v>
      </c>
      <c r="N2203">
        <v>0</v>
      </c>
      <c r="O2203">
        <v>0</v>
      </c>
      <c r="P2203">
        <v>0</v>
      </c>
      <c r="Q2203">
        <v>24.4</v>
      </c>
      <c r="R2203">
        <v>17</v>
      </c>
      <c r="S2203">
        <v>17</v>
      </c>
      <c r="T2203">
        <v>0</v>
      </c>
      <c r="U2203">
        <v>0</v>
      </c>
      <c r="V2203">
        <v>7</v>
      </c>
      <c r="W2203">
        <v>10</v>
      </c>
      <c r="X2203">
        <v>0</v>
      </c>
      <c r="Y2203">
        <v>0</v>
      </c>
      <c r="Z2203">
        <v>27</v>
      </c>
      <c r="AA2203">
        <v>0</v>
      </c>
      <c r="AB2203">
        <v>0</v>
      </c>
      <c r="AD2203">
        <v>51.4</v>
      </c>
    </row>
    <row r="2204" spans="1:30" x14ac:dyDescent="0.3">
      <c r="A2204" s="4">
        <v>2224</v>
      </c>
      <c r="B2204" s="5">
        <v>2197</v>
      </c>
      <c r="C2204">
        <v>748</v>
      </c>
      <c r="D2204" t="s">
        <v>3487</v>
      </c>
      <c r="E2204" t="s">
        <v>4769</v>
      </c>
      <c r="F2204" t="s">
        <v>62</v>
      </c>
      <c r="G2204" t="s">
        <v>4770</v>
      </c>
      <c r="H2204" t="str">
        <f>"00309232"</f>
        <v>00309232</v>
      </c>
      <c r="I2204">
        <v>17.52</v>
      </c>
      <c r="J2204">
        <v>0</v>
      </c>
      <c r="N2204">
        <v>0</v>
      </c>
      <c r="O2204">
        <v>4</v>
      </c>
      <c r="P2204">
        <v>0</v>
      </c>
      <c r="Q2204">
        <v>21.52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3</v>
      </c>
      <c r="AB2204">
        <v>26.8</v>
      </c>
      <c r="AD2204">
        <v>51.32</v>
      </c>
    </row>
    <row r="2205" spans="1:30" x14ac:dyDescent="0.3">
      <c r="A2205" s="4">
        <v>2225</v>
      </c>
      <c r="B2205" s="5">
        <v>2198</v>
      </c>
      <c r="C2205">
        <v>547</v>
      </c>
      <c r="D2205" t="s">
        <v>4771</v>
      </c>
      <c r="E2205" t="s">
        <v>471</v>
      </c>
      <c r="F2205" t="s">
        <v>17</v>
      </c>
      <c r="G2205" t="s">
        <v>4772</v>
      </c>
      <c r="H2205" t="str">
        <f>"00118958"</f>
        <v>00118958</v>
      </c>
      <c r="I2205">
        <v>43.2</v>
      </c>
      <c r="J2205">
        <v>0</v>
      </c>
      <c r="N2205">
        <v>0</v>
      </c>
      <c r="O2205">
        <v>0</v>
      </c>
      <c r="P2205">
        <v>2</v>
      </c>
      <c r="Q2205">
        <v>45.2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6</v>
      </c>
      <c r="AB2205">
        <v>0</v>
      </c>
      <c r="AD2205">
        <v>51.2</v>
      </c>
    </row>
    <row r="2206" spans="1:30" x14ac:dyDescent="0.3">
      <c r="A2206" s="4">
        <v>2226</v>
      </c>
      <c r="B2206" s="5">
        <v>2199</v>
      </c>
      <c r="C2206">
        <v>82</v>
      </c>
      <c r="D2206" t="s">
        <v>4773</v>
      </c>
      <c r="E2206" t="s">
        <v>4774</v>
      </c>
      <c r="F2206" t="s">
        <v>328</v>
      </c>
      <c r="G2206" t="s">
        <v>4775</v>
      </c>
      <c r="H2206" t="str">
        <f>"200712002035"</f>
        <v>200712002035</v>
      </c>
      <c r="I2206">
        <v>39.200000000000003</v>
      </c>
      <c r="J2206">
        <v>0</v>
      </c>
      <c r="N2206">
        <v>0</v>
      </c>
      <c r="O2206">
        <v>4</v>
      </c>
      <c r="P2206">
        <v>2</v>
      </c>
      <c r="Q2206">
        <v>45.2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6</v>
      </c>
      <c r="AB2206">
        <v>0</v>
      </c>
      <c r="AD2206">
        <v>51.2</v>
      </c>
    </row>
    <row r="2207" spans="1:30" x14ac:dyDescent="0.3">
      <c r="A2207" s="4">
        <v>2227</v>
      </c>
      <c r="B2207" s="5">
        <v>2200</v>
      </c>
      <c r="C2207">
        <v>2028</v>
      </c>
      <c r="D2207" t="s">
        <v>4776</v>
      </c>
      <c r="E2207" t="s">
        <v>2401</v>
      </c>
      <c r="F2207" t="s">
        <v>4777</v>
      </c>
      <c r="G2207" t="s">
        <v>4778</v>
      </c>
      <c r="H2207" t="str">
        <f>"00561574"</f>
        <v>00561574</v>
      </c>
      <c r="I2207">
        <v>31.2</v>
      </c>
      <c r="J2207">
        <v>0</v>
      </c>
      <c r="K2207">
        <v>8</v>
      </c>
      <c r="N2207">
        <v>8</v>
      </c>
      <c r="O2207">
        <v>4</v>
      </c>
      <c r="P2207">
        <v>2</v>
      </c>
      <c r="Q2207">
        <v>45.2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6</v>
      </c>
      <c r="AB2207">
        <v>0</v>
      </c>
      <c r="AD2207">
        <v>51.2</v>
      </c>
    </row>
    <row r="2208" spans="1:30" x14ac:dyDescent="0.3">
      <c r="A2208" s="4">
        <v>2228</v>
      </c>
      <c r="B2208" s="5">
        <v>2201</v>
      </c>
      <c r="C2208">
        <v>24</v>
      </c>
      <c r="D2208" t="s">
        <v>2978</v>
      </c>
      <c r="E2208" t="s">
        <v>4779</v>
      </c>
      <c r="F2208" t="s">
        <v>343</v>
      </c>
      <c r="G2208" t="s">
        <v>4780</v>
      </c>
      <c r="H2208" t="str">
        <f>"00487038"</f>
        <v>00487038</v>
      </c>
      <c r="I2208">
        <v>34.200000000000003</v>
      </c>
      <c r="J2208">
        <v>10</v>
      </c>
      <c r="N2208">
        <v>0</v>
      </c>
      <c r="O2208">
        <v>4</v>
      </c>
      <c r="P2208">
        <v>0</v>
      </c>
      <c r="Q2208">
        <v>48.2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3</v>
      </c>
      <c r="AB2208">
        <v>0</v>
      </c>
      <c r="AD2208">
        <v>51.2</v>
      </c>
    </row>
    <row r="2209" spans="1:30" x14ac:dyDescent="0.3">
      <c r="A2209" s="4">
        <v>2229</v>
      </c>
      <c r="B2209" s="5">
        <v>2202</v>
      </c>
      <c r="C2209">
        <v>4858</v>
      </c>
      <c r="D2209" t="s">
        <v>2043</v>
      </c>
      <c r="E2209" t="s">
        <v>454</v>
      </c>
      <c r="F2209" t="s">
        <v>81</v>
      </c>
      <c r="G2209">
        <v>14708</v>
      </c>
      <c r="H2209" t="str">
        <f>"00179325"</f>
        <v>00179325</v>
      </c>
      <c r="I2209">
        <v>43.2</v>
      </c>
      <c r="J2209">
        <v>0</v>
      </c>
      <c r="M2209">
        <v>4</v>
      </c>
      <c r="N2209">
        <v>4</v>
      </c>
      <c r="O2209">
        <v>4</v>
      </c>
      <c r="P2209">
        <v>0</v>
      </c>
      <c r="Q2209">
        <v>51.2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D2209">
        <v>51.2</v>
      </c>
    </row>
    <row r="2210" spans="1:30" x14ac:dyDescent="0.3">
      <c r="A2210" s="4">
        <v>2230</v>
      </c>
      <c r="B2210" s="5">
        <v>2203</v>
      </c>
      <c r="C2210">
        <v>1270</v>
      </c>
      <c r="D2210" t="s">
        <v>4781</v>
      </c>
      <c r="E2210" t="s">
        <v>255</v>
      </c>
      <c r="F2210" t="s">
        <v>38</v>
      </c>
      <c r="G2210" t="s">
        <v>4782</v>
      </c>
      <c r="H2210" t="str">
        <f>"00779330"</f>
        <v>00779330</v>
      </c>
      <c r="I2210">
        <v>43.2</v>
      </c>
      <c r="J2210">
        <v>0</v>
      </c>
      <c r="M2210">
        <v>4</v>
      </c>
      <c r="N2210">
        <v>4</v>
      </c>
      <c r="O2210">
        <v>4</v>
      </c>
      <c r="P2210">
        <v>0</v>
      </c>
      <c r="Q2210">
        <v>51.2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D2210">
        <v>51.2</v>
      </c>
    </row>
    <row r="2211" spans="1:30" x14ac:dyDescent="0.3">
      <c r="A2211" s="4">
        <v>2231</v>
      </c>
      <c r="B2211" s="5">
        <v>2204</v>
      </c>
      <c r="C2211">
        <v>2580</v>
      </c>
      <c r="D2211" t="s">
        <v>4783</v>
      </c>
      <c r="E2211" t="s">
        <v>132</v>
      </c>
      <c r="F2211" t="s">
        <v>81</v>
      </c>
      <c r="G2211" t="s">
        <v>4784</v>
      </c>
      <c r="H2211" t="str">
        <f>"00531079"</f>
        <v>00531079</v>
      </c>
      <c r="I2211">
        <v>43.2</v>
      </c>
      <c r="J2211">
        <v>0</v>
      </c>
      <c r="M2211">
        <v>4</v>
      </c>
      <c r="N2211">
        <v>4</v>
      </c>
      <c r="O2211">
        <v>4</v>
      </c>
      <c r="P2211">
        <v>0</v>
      </c>
      <c r="Q2211">
        <v>51.2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D2211">
        <v>51.2</v>
      </c>
    </row>
    <row r="2212" spans="1:30" x14ac:dyDescent="0.3">
      <c r="A2212" s="4">
        <v>2232</v>
      </c>
      <c r="B2212" s="5">
        <v>2205</v>
      </c>
      <c r="C2212">
        <v>3061</v>
      </c>
      <c r="D2212" t="s">
        <v>4785</v>
      </c>
      <c r="E2212" t="s">
        <v>29</v>
      </c>
      <c r="F2212" t="s">
        <v>81</v>
      </c>
      <c r="G2212" t="s">
        <v>4786</v>
      </c>
      <c r="H2212" t="str">
        <f>"00864673"</f>
        <v>00864673</v>
      </c>
      <c r="I2212">
        <v>43.2</v>
      </c>
      <c r="J2212">
        <v>0</v>
      </c>
      <c r="M2212">
        <v>4</v>
      </c>
      <c r="N2212">
        <v>4</v>
      </c>
      <c r="O2212">
        <v>4</v>
      </c>
      <c r="P2212">
        <v>0</v>
      </c>
      <c r="Q2212">
        <v>51.2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D2212">
        <v>51.2</v>
      </c>
    </row>
    <row r="2213" spans="1:30" x14ac:dyDescent="0.3">
      <c r="A2213" s="4">
        <v>2233</v>
      </c>
      <c r="B2213" s="5">
        <v>2206</v>
      </c>
      <c r="C2213">
        <v>698</v>
      </c>
      <c r="D2213" t="s">
        <v>22</v>
      </c>
      <c r="E2213" t="s">
        <v>4787</v>
      </c>
      <c r="F2213" t="s">
        <v>158</v>
      </c>
      <c r="G2213" t="s">
        <v>4788</v>
      </c>
      <c r="H2213" t="str">
        <f>"00565370"</f>
        <v>00565370</v>
      </c>
      <c r="I2213">
        <v>43.2</v>
      </c>
      <c r="J2213">
        <v>0</v>
      </c>
      <c r="M2213">
        <v>4</v>
      </c>
      <c r="N2213">
        <v>4</v>
      </c>
      <c r="O2213">
        <v>4</v>
      </c>
      <c r="P2213">
        <v>0</v>
      </c>
      <c r="Q2213">
        <v>51.2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D2213">
        <v>51.2</v>
      </c>
    </row>
    <row r="2214" spans="1:30" x14ac:dyDescent="0.3">
      <c r="A2214" s="4">
        <v>2234</v>
      </c>
      <c r="B2214" s="5">
        <v>2207</v>
      </c>
      <c r="C2214">
        <v>1817</v>
      </c>
      <c r="D2214" t="s">
        <v>1078</v>
      </c>
      <c r="E2214" t="s">
        <v>22</v>
      </c>
      <c r="F2214" t="s">
        <v>17</v>
      </c>
      <c r="G2214" t="s">
        <v>4789</v>
      </c>
      <c r="H2214" t="str">
        <f>"00864031"</f>
        <v>00864031</v>
      </c>
      <c r="I2214">
        <v>43.2</v>
      </c>
      <c r="J2214">
        <v>0</v>
      </c>
      <c r="K2214">
        <v>8</v>
      </c>
      <c r="N2214">
        <v>8</v>
      </c>
      <c r="O2214">
        <v>0</v>
      </c>
      <c r="P2214">
        <v>0</v>
      </c>
      <c r="Q2214">
        <v>51.2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D2214">
        <v>51.2</v>
      </c>
    </row>
    <row r="2215" spans="1:30" x14ac:dyDescent="0.3">
      <c r="A2215" s="4">
        <v>2235</v>
      </c>
      <c r="B2215" s="5">
        <v>2208</v>
      </c>
      <c r="C2215">
        <v>166</v>
      </c>
      <c r="D2215" t="s">
        <v>4790</v>
      </c>
      <c r="E2215" t="s">
        <v>29</v>
      </c>
      <c r="F2215" t="s">
        <v>243</v>
      </c>
      <c r="G2215" t="s">
        <v>4791</v>
      </c>
      <c r="H2215" t="str">
        <f>"00234151"</f>
        <v>00234151</v>
      </c>
      <c r="I2215">
        <v>43.2</v>
      </c>
      <c r="J2215">
        <v>0</v>
      </c>
      <c r="M2215">
        <v>4</v>
      </c>
      <c r="N2215">
        <v>4</v>
      </c>
      <c r="O2215">
        <v>4</v>
      </c>
      <c r="P2215">
        <v>0</v>
      </c>
      <c r="Q2215">
        <v>51.2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D2215">
        <v>51.2</v>
      </c>
    </row>
    <row r="2216" spans="1:30" x14ac:dyDescent="0.3">
      <c r="A2216" s="4">
        <v>2236</v>
      </c>
      <c r="B2216" s="5">
        <v>2209</v>
      </c>
      <c r="C2216">
        <v>891</v>
      </c>
      <c r="D2216" t="s">
        <v>1578</v>
      </c>
      <c r="E2216" t="s">
        <v>29</v>
      </c>
      <c r="F2216" t="s">
        <v>298</v>
      </c>
      <c r="G2216" t="s">
        <v>4792</v>
      </c>
      <c r="H2216" t="str">
        <f>"00814886"</f>
        <v>00814886</v>
      </c>
      <c r="I2216">
        <v>43.2</v>
      </c>
      <c r="J2216">
        <v>0</v>
      </c>
      <c r="K2216">
        <v>8</v>
      </c>
      <c r="N2216">
        <v>8</v>
      </c>
      <c r="O2216">
        <v>0</v>
      </c>
      <c r="P2216">
        <v>0</v>
      </c>
      <c r="Q2216">
        <v>51.2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D2216">
        <v>51.2</v>
      </c>
    </row>
    <row r="2217" spans="1:30" x14ac:dyDescent="0.3">
      <c r="A2217" s="4">
        <v>2237</v>
      </c>
      <c r="B2217" s="5">
        <v>2210</v>
      </c>
      <c r="C2217">
        <v>1139</v>
      </c>
      <c r="D2217" t="s">
        <v>4793</v>
      </c>
      <c r="E2217" t="s">
        <v>54</v>
      </c>
      <c r="F2217" t="s">
        <v>62</v>
      </c>
      <c r="G2217" t="s">
        <v>4794</v>
      </c>
      <c r="H2217" t="str">
        <f>"00555233"</f>
        <v>00555233</v>
      </c>
      <c r="I2217">
        <v>43.2</v>
      </c>
      <c r="J2217">
        <v>0</v>
      </c>
      <c r="M2217">
        <v>4</v>
      </c>
      <c r="N2217">
        <v>4</v>
      </c>
      <c r="O2217">
        <v>4</v>
      </c>
      <c r="P2217">
        <v>0</v>
      </c>
      <c r="Q2217">
        <v>51.2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D2217">
        <v>51.2</v>
      </c>
    </row>
    <row r="2218" spans="1:30" x14ac:dyDescent="0.3">
      <c r="A2218" s="4">
        <v>2238</v>
      </c>
      <c r="B2218" s="5">
        <v>2211</v>
      </c>
      <c r="C2218">
        <v>711</v>
      </c>
      <c r="D2218" t="s">
        <v>4795</v>
      </c>
      <c r="E2218" t="s">
        <v>4796</v>
      </c>
      <c r="F2218" t="s">
        <v>136</v>
      </c>
      <c r="G2218" t="s">
        <v>4797</v>
      </c>
      <c r="H2218" t="str">
        <f>"00856414"</f>
        <v>00856414</v>
      </c>
      <c r="I2218">
        <v>43.2</v>
      </c>
      <c r="J2218">
        <v>0</v>
      </c>
      <c r="K2218">
        <v>8</v>
      </c>
      <c r="N2218">
        <v>8</v>
      </c>
      <c r="O2218">
        <v>0</v>
      </c>
      <c r="P2218">
        <v>0</v>
      </c>
      <c r="Q2218">
        <v>51.2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D2218">
        <v>51.2</v>
      </c>
    </row>
    <row r="2219" spans="1:30" x14ac:dyDescent="0.3">
      <c r="A2219" s="4">
        <v>2239</v>
      </c>
      <c r="B2219" s="5">
        <v>2212</v>
      </c>
      <c r="C2219">
        <v>2723</v>
      </c>
      <c r="D2219" t="s">
        <v>4798</v>
      </c>
      <c r="E2219" t="s">
        <v>29</v>
      </c>
      <c r="F2219" t="s">
        <v>117</v>
      </c>
      <c r="G2219" t="s">
        <v>4799</v>
      </c>
      <c r="H2219" t="str">
        <f>"00557293"</f>
        <v>00557293</v>
      </c>
      <c r="I2219">
        <v>43.2</v>
      </c>
      <c r="J2219">
        <v>0</v>
      </c>
      <c r="M2219">
        <v>4</v>
      </c>
      <c r="N2219">
        <v>4</v>
      </c>
      <c r="O2219">
        <v>4</v>
      </c>
      <c r="P2219">
        <v>0</v>
      </c>
      <c r="Q2219">
        <v>51.2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D2219">
        <v>51.2</v>
      </c>
    </row>
    <row r="2220" spans="1:30" x14ac:dyDescent="0.3">
      <c r="A2220" s="4">
        <v>2240</v>
      </c>
      <c r="B2220" s="5">
        <v>2213</v>
      </c>
      <c r="C2220">
        <v>763</v>
      </c>
      <c r="D2220" t="s">
        <v>1404</v>
      </c>
      <c r="E2220" t="s">
        <v>1371</v>
      </c>
      <c r="F2220" t="s">
        <v>20</v>
      </c>
      <c r="G2220" t="s">
        <v>4800</v>
      </c>
      <c r="H2220" t="str">
        <f>"00855820"</f>
        <v>00855820</v>
      </c>
      <c r="I2220">
        <v>43.2</v>
      </c>
      <c r="J2220">
        <v>0</v>
      </c>
      <c r="M2220">
        <v>4</v>
      </c>
      <c r="N2220">
        <v>4</v>
      </c>
      <c r="O2220">
        <v>4</v>
      </c>
      <c r="P2220">
        <v>0</v>
      </c>
      <c r="Q2220">
        <v>51.2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D2220">
        <v>51.2</v>
      </c>
    </row>
    <row r="2221" spans="1:30" x14ac:dyDescent="0.3">
      <c r="A2221" s="4">
        <v>2241</v>
      </c>
      <c r="B2221" s="5">
        <v>2214</v>
      </c>
      <c r="C2221">
        <v>835</v>
      </c>
      <c r="D2221" t="s">
        <v>1033</v>
      </c>
      <c r="E2221" t="s">
        <v>4801</v>
      </c>
      <c r="F2221" t="s">
        <v>62</v>
      </c>
      <c r="G2221" t="s">
        <v>4802</v>
      </c>
      <c r="H2221" t="str">
        <f>"00201365"</f>
        <v>00201365</v>
      </c>
      <c r="I2221">
        <v>43.2</v>
      </c>
      <c r="J2221">
        <v>0</v>
      </c>
      <c r="M2221">
        <v>4</v>
      </c>
      <c r="N2221">
        <v>4</v>
      </c>
      <c r="O2221">
        <v>4</v>
      </c>
      <c r="P2221">
        <v>0</v>
      </c>
      <c r="Q2221">
        <v>51.2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D2221">
        <v>51.2</v>
      </c>
    </row>
    <row r="2222" spans="1:30" x14ac:dyDescent="0.3">
      <c r="A2222" s="4">
        <v>2242</v>
      </c>
      <c r="B2222" s="5">
        <v>2215</v>
      </c>
      <c r="C2222">
        <v>3388</v>
      </c>
      <c r="D2222" t="s">
        <v>4803</v>
      </c>
      <c r="E2222" t="s">
        <v>1300</v>
      </c>
      <c r="F2222" t="s">
        <v>259</v>
      </c>
      <c r="G2222" t="s">
        <v>4804</v>
      </c>
      <c r="H2222" t="str">
        <f>"00859605"</f>
        <v>00859605</v>
      </c>
      <c r="I2222">
        <v>39.200000000000003</v>
      </c>
      <c r="J2222">
        <v>10</v>
      </c>
      <c r="N2222">
        <v>0</v>
      </c>
      <c r="O2222">
        <v>0</v>
      </c>
      <c r="P2222">
        <v>2</v>
      </c>
      <c r="Q2222">
        <v>51.2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D2222">
        <v>51.2</v>
      </c>
    </row>
    <row r="2223" spans="1:30" x14ac:dyDescent="0.3">
      <c r="A2223" s="4">
        <v>2243</v>
      </c>
      <c r="B2223" s="5">
        <v>2216</v>
      </c>
      <c r="C2223">
        <v>1057</v>
      </c>
      <c r="D2223" t="s">
        <v>4805</v>
      </c>
      <c r="E2223" t="s">
        <v>54</v>
      </c>
      <c r="F2223" t="s">
        <v>81</v>
      </c>
      <c r="G2223" t="s">
        <v>4806</v>
      </c>
      <c r="H2223" t="str">
        <f>"00828205"</f>
        <v>00828205</v>
      </c>
      <c r="I2223">
        <v>39.200000000000003</v>
      </c>
      <c r="J2223">
        <v>10</v>
      </c>
      <c r="N2223">
        <v>0</v>
      </c>
      <c r="O2223">
        <v>0</v>
      </c>
      <c r="P2223">
        <v>2</v>
      </c>
      <c r="Q2223">
        <v>51.2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D2223">
        <v>51.2</v>
      </c>
    </row>
    <row r="2224" spans="1:30" x14ac:dyDescent="0.3">
      <c r="A2224" s="4">
        <v>2244</v>
      </c>
      <c r="B2224" s="5">
        <v>2217</v>
      </c>
      <c r="C2224">
        <v>3799</v>
      </c>
      <c r="D2224" t="s">
        <v>4807</v>
      </c>
      <c r="E2224" t="s">
        <v>789</v>
      </c>
      <c r="F2224" t="s">
        <v>4808</v>
      </c>
      <c r="G2224" t="s">
        <v>32036</v>
      </c>
      <c r="H2224" t="str">
        <f>"00453700"</f>
        <v>00453700</v>
      </c>
      <c r="I2224">
        <v>37.200000000000003</v>
      </c>
      <c r="J2224">
        <v>0</v>
      </c>
      <c r="N2224">
        <v>0</v>
      </c>
      <c r="O2224">
        <v>4</v>
      </c>
      <c r="P2224">
        <v>2</v>
      </c>
      <c r="Q2224">
        <v>43.2</v>
      </c>
      <c r="R2224">
        <v>8</v>
      </c>
      <c r="S2224">
        <v>8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8</v>
      </c>
      <c r="AA2224">
        <v>0</v>
      </c>
      <c r="AB2224">
        <v>0</v>
      </c>
      <c r="AD2224">
        <v>51.2</v>
      </c>
    </row>
    <row r="2225" spans="1:30" x14ac:dyDescent="0.3">
      <c r="A2225" s="4">
        <v>2245</v>
      </c>
      <c r="B2225" s="5">
        <v>2218</v>
      </c>
      <c r="C2225">
        <v>3024</v>
      </c>
      <c r="D2225" t="s">
        <v>4809</v>
      </c>
      <c r="E2225" t="s">
        <v>26</v>
      </c>
      <c r="F2225" t="s">
        <v>38</v>
      </c>
      <c r="G2225" t="s">
        <v>4810</v>
      </c>
      <c r="H2225" t="str">
        <f>"00074919"</f>
        <v>00074919</v>
      </c>
      <c r="I2225">
        <v>40</v>
      </c>
      <c r="J2225">
        <v>0</v>
      </c>
      <c r="M2225">
        <v>4</v>
      </c>
      <c r="N2225">
        <v>4</v>
      </c>
      <c r="O2225">
        <v>4</v>
      </c>
      <c r="P2225">
        <v>0</v>
      </c>
      <c r="Q2225">
        <v>48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3</v>
      </c>
      <c r="AB2225">
        <v>0</v>
      </c>
      <c r="AD2225">
        <v>51</v>
      </c>
    </row>
    <row r="2226" spans="1:30" x14ac:dyDescent="0.3">
      <c r="A2226" s="4">
        <v>2246</v>
      </c>
      <c r="B2226" s="5">
        <v>2219</v>
      </c>
      <c r="C2226">
        <v>2597</v>
      </c>
      <c r="D2226" t="s">
        <v>4811</v>
      </c>
      <c r="E2226" t="s">
        <v>4812</v>
      </c>
      <c r="F2226" t="s">
        <v>230</v>
      </c>
      <c r="G2226" t="s">
        <v>4813</v>
      </c>
      <c r="H2226" t="str">
        <f>"00858675"</f>
        <v>00858675</v>
      </c>
      <c r="I2226">
        <v>36</v>
      </c>
      <c r="J2226">
        <v>0</v>
      </c>
      <c r="M2226">
        <v>8</v>
      </c>
      <c r="N2226">
        <v>8</v>
      </c>
      <c r="O2226">
        <v>4</v>
      </c>
      <c r="P2226">
        <v>0</v>
      </c>
      <c r="Q2226">
        <v>48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3</v>
      </c>
      <c r="AB2226">
        <v>0</v>
      </c>
      <c r="AD2226">
        <v>51</v>
      </c>
    </row>
    <row r="2227" spans="1:30" x14ac:dyDescent="0.3">
      <c r="A2227" s="4">
        <v>2247</v>
      </c>
      <c r="B2227" s="5">
        <v>2220</v>
      </c>
      <c r="C2227">
        <v>4581</v>
      </c>
      <c r="D2227" t="s">
        <v>4814</v>
      </c>
      <c r="E2227" t="s">
        <v>2125</v>
      </c>
      <c r="F2227" t="s">
        <v>68</v>
      </c>
      <c r="G2227" t="s">
        <v>4815</v>
      </c>
      <c r="H2227" t="str">
        <f>"00035916"</f>
        <v>00035916</v>
      </c>
      <c r="I2227">
        <v>33</v>
      </c>
      <c r="J2227">
        <v>10</v>
      </c>
      <c r="M2227">
        <v>4</v>
      </c>
      <c r="N2227">
        <v>4</v>
      </c>
      <c r="O2227">
        <v>4</v>
      </c>
      <c r="P2227">
        <v>0</v>
      </c>
      <c r="Q2227">
        <v>51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D2227">
        <v>51</v>
      </c>
    </row>
    <row r="2228" spans="1:30" x14ac:dyDescent="0.3">
      <c r="A2228" s="4">
        <v>2248</v>
      </c>
      <c r="B2228" s="5">
        <v>2221</v>
      </c>
      <c r="C2228">
        <v>3658</v>
      </c>
      <c r="D2228" t="s">
        <v>4038</v>
      </c>
      <c r="E2228" t="s">
        <v>33</v>
      </c>
      <c r="F2228" t="s">
        <v>30</v>
      </c>
      <c r="G2228" t="s">
        <v>4816</v>
      </c>
      <c r="H2228" t="str">
        <f>"00533244"</f>
        <v>00533244</v>
      </c>
      <c r="I2228">
        <v>30.92</v>
      </c>
      <c r="J2228">
        <v>10</v>
      </c>
      <c r="N2228">
        <v>0</v>
      </c>
      <c r="O2228">
        <v>4</v>
      </c>
      <c r="P2228">
        <v>0</v>
      </c>
      <c r="Q2228">
        <v>44.92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6</v>
      </c>
      <c r="AB2228">
        <v>0</v>
      </c>
      <c r="AD2228">
        <v>50.92</v>
      </c>
    </row>
    <row r="2229" spans="1:30" x14ac:dyDescent="0.3">
      <c r="A2229" s="4">
        <v>2249</v>
      </c>
      <c r="B2229" s="5">
        <v>2222</v>
      </c>
      <c r="C2229">
        <v>77</v>
      </c>
      <c r="D2229" t="s">
        <v>4817</v>
      </c>
      <c r="E2229" t="s">
        <v>88</v>
      </c>
      <c r="F2229" t="s">
        <v>771</v>
      </c>
      <c r="G2229" t="s">
        <v>4818</v>
      </c>
      <c r="H2229" t="str">
        <f>"00458340"</f>
        <v>00458340</v>
      </c>
      <c r="I2229">
        <v>33.880000000000003</v>
      </c>
      <c r="J2229">
        <v>0</v>
      </c>
      <c r="M2229">
        <v>4</v>
      </c>
      <c r="N2229">
        <v>4</v>
      </c>
      <c r="O2229">
        <v>4</v>
      </c>
      <c r="P2229">
        <v>0</v>
      </c>
      <c r="Q2229">
        <v>41.88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9</v>
      </c>
      <c r="AB2229">
        <v>0</v>
      </c>
      <c r="AD2229">
        <v>50.88</v>
      </c>
    </row>
    <row r="2230" spans="1:30" x14ac:dyDescent="0.3">
      <c r="A2230" s="4">
        <v>2250</v>
      </c>
      <c r="B2230" s="5">
        <v>2223</v>
      </c>
      <c r="C2230">
        <v>2459</v>
      </c>
      <c r="D2230" t="s">
        <v>415</v>
      </c>
      <c r="E2230" t="s">
        <v>188</v>
      </c>
      <c r="F2230" t="s">
        <v>81</v>
      </c>
      <c r="G2230" t="s">
        <v>4819</v>
      </c>
      <c r="H2230" t="str">
        <f>"00509211"</f>
        <v>00509211</v>
      </c>
      <c r="I2230">
        <v>7.2</v>
      </c>
      <c r="J2230">
        <v>0</v>
      </c>
      <c r="N2230">
        <v>0</v>
      </c>
      <c r="O2230">
        <v>4</v>
      </c>
      <c r="P2230">
        <v>0</v>
      </c>
      <c r="Q2230">
        <v>11.2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6</v>
      </c>
      <c r="AB2230">
        <v>33.6</v>
      </c>
      <c r="AD2230">
        <v>50.8</v>
      </c>
    </row>
    <row r="2231" spans="1:30" x14ac:dyDescent="0.3">
      <c r="A2231" s="4">
        <v>2251</v>
      </c>
      <c r="B2231" s="5">
        <v>2224</v>
      </c>
      <c r="C2231">
        <v>4917</v>
      </c>
      <c r="D2231" t="s">
        <v>4820</v>
      </c>
      <c r="E2231" t="s">
        <v>4821</v>
      </c>
      <c r="F2231" t="s">
        <v>117</v>
      </c>
      <c r="G2231" t="s">
        <v>4822</v>
      </c>
      <c r="H2231" t="str">
        <f>"00531478"</f>
        <v>00531478</v>
      </c>
      <c r="I2231">
        <v>28.8</v>
      </c>
      <c r="J2231">
        <v>10</v>
      </c>
      <c r="N2231">
        <v>0</v>
      </c>
      <c r="O2231">
        <v>4</v>
      </c>
      <c r="P2231">
        <v>2</v>
      </c>
      <c r="Q2231">
        <v>44.8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6</v>
      </c>
      <c r="AB2231">
        <v>0</v>
      </c>
      <c r="AD2231">
        <v>50.8</v>
      </c>
    </row>
    <row r="2232" spans="1:30" x14ac:dyDescent="0.3">
      <c r="A2232" s="4">
        <v>2252</v>
      </c>
      <c r="B2232" s="5">
        <v>2225</v>
      </c>
      <c r="C2232">
        <v>2702</v>
      </c>
      <c r="D2232" t="s">
        <v>4823</v>
      </c>
      <c r="E2232" t="s">
        <v>41</v>
      </c>
      <c r="F2232" t="s">
        <v>30</v>
      </c>
      <c r="G2232" t="s">
        <v>4824</v>
      </c>
      <c r="H2232" t="str">
        <f>"00491588"</f>
        <v>00491588</v>
      </c>
      <c r="I2232">
        <v>28.8</v>
      </c>
      <c r="J2232">
        <v>10</v>
      </c>
      <c r="N2232">
        <v>0</v>
      </c>
      <c r="O2232">
        <v>0</v>
      </c>
      <c r="P2232">
        <v>0</v>
      </c>
      <c r="Q2232">
        <v>38.799999999999997</v>
      </c>
      <c r="R2232">
        <v>6</v>
      </c>
      <c r="S2232">
        <v>6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6</v>
      </c>
      <c r="AA2232">
        <v>6</v>
      </c>
      <c r="AB2232">
        <v>0</v>
      </c>
      <c r="AD2232">
        <v>50.8</v>
      </c>
    </row>
    <row r="2233" spans="1:30" x14ac:dyDescent="0.3">
      <c r="A2233" s="4">
        <v>2253</v>
      </c>
      <c r="B2233" s="5">
        <v>2226</v>
      </c>
      <c r="C2233">
        <v>1277</v>
      </c>
      <c r="D2233" t="s">
        <v>4825</v>
      </c>
      <c r="E2233" t="s">
        <v>147</v>
      </c>
      <c r="F2233" t="s">
        <v>4826</v>
      </c>
      <c r="G2233" t="s">
        <v>4827</v>
      </c>
      <c r="H2233" t="str">
        <f>"00543833"</f>
        <v>00543833</v>
      </c>
      <c r="I2233">
        <v>36.799999999999997</v>
      </c>
      <c r="J2233">
        <v>10</v>
      </c>
      <c r="M2233">
        <v>4</v>
      </c>
      <c r="N2233">
        <v>4</v>
      </c>
      <c r="O2233">
        <v>0</v>
      </c>
      <c r="P2233">
        <v>0</v>
      </c>
      <c r="Q2233">
        <v>50.8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D2233">
        <v>50.8</v>
      </c>
    </row>
    <row r="2234" spans="1:30" x14ac:dyDescent="0.3">
      <c r="A2234" s="4">
        <v>2254</v>
      </c>
      <c r="B2234" s="5">
        <v>2227</v>
      </c>
      <c r="C2234">
        <v>1106</v>
      </c>
      <c r="D2234" t="s">
        <v>4828</v>
      </c>
      <c r="E2234" t="s">
        <v>166</v>
      </c>
      <c r="F2234" t="s">
        <v>570</v>
      </c>
      <c r="G2234" t="s">
        <v>4829</v>
      </c>
      <c r="H2234" t="str">
        <f>"00478269"</f>
        <v>00478269</v>
      </c>
      <c r="I2234">
        <v>36.799999999999997</v>
      </c>
      <c r="J2234">
        <v>0</v>
      </c>
      <c r="K2234">
        <v>8</v>
      </c>
      <c r="N2234">
        <v>8</v>
      </c>
      <c r="O2234">
        <v>4</v>
      </c>
      <c r="P2234">
        <v>2</v>
      </c>
      <c r="Q2234">
        <v>50.8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D2234">
        <v>50.8</v>
      </c>
    </row>
    <row r="2235" spans="1:30" x14ac:dyDescent="0.3">
      <c r="A2235" s="4">
        <v>2255</v>
      </c>
      <c r="B2235" s="5">
        <v>2228</v>
      </c>
      <c r="C2235">
        <v>4423</v>
      </c>
      <c r="D2235" t="s">
        <v>4830</v>
      </c>
      <c r="E2235" t="s">
        <v>97</v>
      </c>
      <c r="F2235" t="s">
        <v>38</v>
      </c>
      <c r="G2235" t="s">
        <v>4831</v>
      </c>
      <c r="H2235" t="str">
        <f>"201406012972"</f>
        <v>201406012972</v>
      </c>
      <c r="I2235">
        <v>36.799999999999997</v>
      </c>
      <c r="J2235">
        <v>0</v>
      </c>
      <c r="K2235">
        <v>8</v>
      </c>
      <c r="N2235">
        <v>8</v>
      </c>
      <c r="O2235">
        <v>4</v>
      </c>
      <c r="P2235">
        <v>2</v>
      </c>
      <c r="Q2235">
        <v>50.8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D2235">
        <v>50.8</v>
      </c>
    </row>
    <row r="2236" spans="1:30" x14ac:dyDescent="0.3">
      <c r="A2236" s="4">
        <v>2256</v>
      </c>
      <c r="B2236" s="5">
        <v>2229</v>
      </c>
      <c r="C2236">
        <v>3896</v>
      </c>
      <c r="D2236" t="s">
        <v>891</v>
      </c>
      <c r="E2236" t="s">
        <v>744</v>
      </c>
      <c r="F2236" t="s">
        <v>190</v>
      </c>
      <c r="G2236" t="s">
        <v>4832</v>
      </c>
      <c r="H2236" t="str">
        <f>"00324876"</f>
        <v>00324876</v>
      </c>
      <c r="I2236">
        <v>36.799999999999997</v>
      </c>
      <c r="J2236">
        <v>10</v>
      </c>
      <c r="N2236">
        <v>0</v>
      </c>
      <c r="O2236">
        <v>4</v>
      </c>
      <c r="P2236">
        <v>0</v>
      </c>
      <c r="Q2236">
        <v>50.8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D2236">
        <v>50.8</v>
      </c>
    </row>
    <row r="2237" spans="1:30" x14ac:dyDescent="0.3">
      <c r="A2237" s="4">
        <v>2257</v>
      </c>
      <c r="B2237" s="5">
        <v>2230</v>
      </c>
      <c r="C2237">
        <v>559</v>
      </c>
      <c r="D2237" t="s">
        <v>4833</v>
      </c>
      <c r="E2237" t="s">
        <v>166</v>
      </c>
      <c r="F2237" t="s">
        <v>243</v>
      </c>
      <c r="G2237" t="s">
        <v>31996</v>
      </c>
      <c r="H2237" t="str">
        <f>"00525684"</f>
        <v>00525684</v>
      </c>
      <c r="I2237">
        <v>26.8</v>
      </c>
      <c r="J2237">
        <v>10</v>
      </c>
      <c r="K2237">
        <v>8</v>
      </c>
      <c r="N2237">
        <v>8</v>
      </c>
      <c r="O2237">
        <v>4</v>
      </c>
      <c r="P2237">
        <v>2</v>
      </c>
      <c r="Q2237">
        <v>50.8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D2237">
        <v>50.8</v>
      </c>
    </row>
    <row r="2238" spans="1:30" x14ac:dyDescent="0.3">
      <c r="A2238" s="4">
        <v>2258</v>
      </c>
      <c r="B2238" s="5">
        <v>2231</v>
      </c>
      <c r="C2238">
        <v>1234</v>
      </c>
      <c r="D2238" t="s">
        <v>4612</v>
      </c>
      <c r="E2238" t="s">
        <v>342</v>
      </c>
      <c r="F2238" t="s">
        <v>91</v>
      </c>
      <c r="G2238" t="s">
        <v>4834</v>
      </c>
      <c r="H2238" t="str">
        <f>"201412000059"</f>
        <v>201412000059</v>
      </c>
      <c r="I2238">
        <v>28.8</v>
      </c>
      <c r="J2238">
        <v>0</v>
      </c>
      <c r="L2238">
        <v>6</v>
      </c>
      <c r="N2238">
        <v>6</v>
      </c>
      <c r="O2238">
        <v>4</v>
      </c>
      <c r="P2238">
        <v>0</v>
      </c>
      <c r="Q2238">
        <v>38.799999999999997</v>
      </c>
      <c r="R2238">
        <v>12</v>
      </c>
      <c r="S2238">
        <v>12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12</v>
      </c>
      <c r="AA2238">
        <v>0</v>
      </c>
      <c r="AB2238">
        <v>0</v>
      </c>
      <c r="AD2238">
        <v>50.8</v>
      </c>
    </row>
    <row r="2239" spans="1:30" x14ac:dyDescent="0.3">
      <c r="A2239" s="4">
        <v>2259</v>
      </c>
      <c r="B2239" s="5">
        <v>2232</v>
      </c>
      <c r="C2239">
        <v>1955</v>
      </c>
      <c r="D2239" t="s">
        <v>4835</v>
      </c>
      <c r="E2239" t="s">
        <v>283</v>
      </c>
      <c r="F2239" t="s">
        <v>649</v>
      </c>
      <c r="G2239" t="s">
        <v>4836</v>
      </c>
      <c r="H2239" t="str">
        <f>"201412003340"</f>
        <v>201412003340</v>
      </c>
      <c r="I2239">
        <v>28.8</v>
      </c>
      <c r="J2239">
        <v>0</v>
      </c>
      <c r="N2239">
        <v>0</v>
      </c>
      <c r="O2239">
        <v>4</v>
      </c>
      <c r="P2239">
        <v>2</v>
      </c>
      <c r="Q2239">
        <v>34.799999999999997</v>
      </c>
      <c r="R2239">
        <v>16</v>
      </c>
      <c r="S2239">
        <v>16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16</v>
      </c>
      <c r="AA2239">
        <v>0</v>
      </c>
      <c r="AB2239">
        <v>0</v>
      </c>
      <c r="AD2239">
        <v>50.8</v>
      </c>
    </row>
    <row r="2240" spans="1:30" x14ac:dyDescent="0.3">
      <c r="A2240" s="4">
        <v>2260</v>
      </c>
      <c r="B2240" s="5">
        <v>2233</v>
      </c>
      <c r="C2240">
        <v>2449</v>
      </c>
      <c r="D2240" t="s">
        <v>4837</v>
      </c>
      <c r="E2240" t="s">
        <v>166</v>
      </c>
      <c r="F2240" t="s">
        <v>68</v>
      </c>
      <c r="G2240" t="s">
        <v>4838</v>
      </c>
      <c r="H2240" t="str">
        <f>"00516372"</f>
        <v>00516372</v>
      </c>
      <c r="I2240">
        <v>28.8</v>
      </c>
      <c r="J2240">
        <v>0</v>
      </c>
      <c r="N2240">
        <v>0</v>
      </c>
      <c r="O2240">
        <v>4</v>
      </c>
      <c r="P2240">
        <v>2</v>
      </c>
      <c r="Q2240">
        <v>34.799999999999997</v>
      </c>
      <c r="R2240">
        <v>16</v>
      </c>
      <c r="S2240">
        <v>16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16</v>
      </c>
      <c r="AA2240">
        <v>0</v>
      </c>
      <c r="AB2240">
        <v>0</v>
      </c>
      <c r="AD2240">
        <v>50.8</v>
      </c>
    </row>
    <row r="2241" spans="1:30" x14ac:dyDescent="0.3">
      <c r="A2241" s="4">
        <v>2261</v>
      </c>
      <c r="B2241" s="5">
        <v>2234</v>
      </c>
      <c r="C2241">
        <v>3209</v>
      </c>
      <c r="D2241" t="s">
        <v>4839</v>
      </c>
      <c r="E2241" t="s">
        <v>471</v>
      </c>
      <c r="F2241" t="s">
        <v>81</v>
      </c>
      <c r="G2241" t="s">
        <v>4840</v>
      </c>
      <c r="H2241" t="str">
        <f>"00273027"</f>
        <v>00273027</v>
      </c>
      <c r="I2241">
        <v>28.8</v>
      </c>
      <c r="J2241">
        <v>0</v>
      </c>
      <c r="N2241">
        <v>0</v>
      </c>
      <c r="O2241">
        <v>4</v>
      </c>
      <c r="P2241">
        <v>0</v>
      </c>
      <c r="Q2241">
        <v>32.799999999999997</v>
      </c>
      <c r="R2241">
        <v>18</v>
      </c>
      <c r="S2241">
        <v>18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18</v>
      </c>
      <c r="AA2241">
        <v>0</v>
      </c>
      <c r="AB2241">
        <v>0</v>
      </c>
      <c r="AD2241">
        <v>50.8</v>
      </c>
    </row>
    <row r="2242" spans="1:30" x14ac:dyDescent="0.3">
      <c r="A2242" s="4">
        <v>2262</v>
      </c>
      <c r="B2242" s="5">
        <v>2235</v>
      </c>
      <c r="C2242">
        <v>734</v>
      </c>
      <c r="D2242" t="s">
        <v>4841</v>
      </c>
      <c r="E2242" t="s">
        <v>22</v>
      </c>
      <c r="F2242" t="s">
        <v>2582</v>
      </c>
      <c r="G2242" t="s">
        <v>4842</v>
      </c>
      <c r="H2242" t="str">
        <f>"201604002786"</f>
        <v>201604002786</v>
      </c>
      <c r="I2242">
        <v>27.68</v>
      </c>
      <c r="J2242">
        <v>10</v>
      </c>
      <c r="N2242">
        <v>0</v>
      </c>
      <c r="O2242">
        <v>4</v>
      </c>
      <c r="P2242">
        <v>0</v>
      </c>
      <c r="Q2242">
        <v>41.68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9</v>
      </c>
      <c r="AB2242">
        <v>0</v>
      </c>
      <c r="AD2242">
        <v>50.68</v>
      </c>
    </row>
    <row r="2243" spans="1:30" x14ac:dyDescent="0.3">
      <c r="A2243" s="4">
        <v>2263</v>
      </c>
      <c r="B2243" s="5">
        <v>2236</v>
      </c>
      <c r="C2243">
        <v>431</v>
      </c>
      <c r="D2243" t="s">
        <v>348</v>
      </c>
      <c r="E2243" t="s">
        <v>4843</v>
      </c>
      <c r="F2243" t="s">
        <v>2318</v>
      </c>
      <c r="G2243" t="s">
        <v>4844</v>
      </c>
      <c r="H2243" t="str">
        <f>"00530295"</f>
        <v>00530295</v>
      </c>
      <c r="I2243">
        <v>15.68</v>
      </c>
      <c r="J2243">
        <v>10</v>
      </c>
      <c r="M2243">
        <v>4</v>
      </c>
      <c r="N2243">
        <v>4</v>
      </c>
      <c r="O2243">
        <v>4</v>
      </c>
      <c r="P2243">
        <v>0</v>
      </c>
      <c r="Q2243">
        <v>33.68</v>
      </c>
      <c r="R2243">
        <v>11</v>
      </c>
      <c r="S2243">
        <v>11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11</v>
      </c>
      <c r="AA2243">
        <v>6</v>
      </c>
      <c r="AB2243">
        <v>0</v>
      </c>
      <c r="AD2243">
        <v>50.68</v>
      </c>
    </row>
    <row r="2244" spans="1:30" x14ac:dyDescent="0.3">
      <c r="A2244" s="4">
        <v>2264</v>
      </c>
      <c r="B2244" s="5">
        <v>2237</v>
      </c>
      <c r="C2244">
        <v>4475</v>
      </c>
      <c r="D2244" t="s">
        <v>4845</v>
      </c>
      <c r="E2244" t="s">
        <v>26</v>
      </c>
      <c r="F2244" t="s">
        <v>442</v>
      </c>
      <c r="G2244" t="s">
        <v>4846</v>
      </c>
      <c r="H2244" t="str">
        <f>"00859234"</f>
        <v>00859234</v>
      </c>
      <c r="I2244">
        <v>39.68</v>
      </c>
      <c r="J2244">
        <v>0</v>
      </c>
      <c r="M2244">
        <v>4</v>
      </c>
      <c r="N2244">
        <v>4</v>
      </c>
      <c r="O2244">
        <v>4</v>
      </c>
      <c r="P2244">
        <v>0</v>
      </c>
      <c r="Q2244">
        <v>47.68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3</v>
      </c>
      <c r="AB2244">
        <v>0</v>
      </c>
      <c r="AD2244">
        <v>50.68</v>
      </c>
    </row>
    <row r="2245" spans="1:30" x14ac:dyDescent="0.3">
      <c r="A2245" s="4">
        <v>2265</v>
      </c>
      <c r="B2245" s="5">
        <v>2238</v>
      </c>
      <c r="C2245">
        <v>4538</v>
      </c>
      <c r="D2245" t="s">
        <v>4847</v>
      </c>
      <c r="E2245" t="s">
        <v>104</v>
      </c>
      <c r="F2245" t="s">
        <v>343</v>
      </c>
      <c r="G2245" t="s">
        <v>4848</v>
      </c>
      <c r="H2245" t="str">
        <f>"00635449"</f>
        <v>00635449</v>
      </c>
      <c r="I2245">
        <v>35.64</v>
      </c>
      <c r="J2245">
        <v>0</v>
      </c>
      <c r="K2245">
        <v>8</v>
      </c>
      <c r="N2245">
        <v>8</v>
      </c>
      <c r="O2245">
        <v>4</v>
      </c>
      <c r="P2245">
        <v>0</v>
      </c>
      <c r="Q2245">
        <v>47.64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3</v>
      </c>
      <c r="AB2245">
        <v>0</v>
      </c>
      <c r="AD2245">
        <v>50.64</v>
      </c>
    </row>
    <row r="2246" spans="1:30" x14ac:dyDescent="0.3">
      <c r="A2246" s="4">
        <v>2266</v>
      </c>
      <c r="B2246" s="5">
        <v>2239</v>
      </c>
      <c r="C2246">
        <v>1601</v>
      </c>
      <c r="D2246" t="s">
        <v>4849</v>
      </c>
      <c r="E2246" t="s">
        <v>143</v>
      </c>
      <c r="F2246" t="s">
        <v>38</v>
      </c>
      <c r="G2246" t="s">
        <v>4850</v>
      </c>
      <c r="H2246" t="str">
        <f>"00498558"</f>
        <v>00498558</v>
      </c>
      <c r="I2246">
        <v>21.6</v>
      </c>
      <c r="J2246">
        <v>0</v>
      </c>
      <c r="M2246">
        <v>4</v>
      </c>
      <c r="N2246">
        <v>4</v>
      </c>
      <c r="O2246">
        <v>4</v>
      </c>
      <c r="P2246">
        <v>2</v>
      </c>
      <c r="Q2246">
        <v>31.6</v>
      </c>
      <c r="R2246">
        <v>13</v>
      </c>
      <c r="S2246">
        <v>13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13</v>
      </c>
      <c r="AA2246">
        <v>6</v>
      </c>
      <c r="AB2246">
        <v>0</v>
      </c>
      <c r="AD2246">
        <v>50.6</v>
      </c>
    </row>
    <row r="2247" spans="1:30" x14ac:dyDescent="0.3">
      <c r="A2247" s="4">
        <v>2267</v>
      </c>
      <c r="B2247" s="5">
        <v>2240</v>
      </c>
      <c r="C2247">
        <v>3217</v>
      </c>
      <c r="D2247" t="s">
        <v>4851</v>
      </c>
      <c r="E2247" t="s">
        <v>178</v>
      </c>
      <c r="F2247" t="s">
        <v>136</v>
      </c>
      <c r="G2247" t="s">
        <v>4852</v>
      </c>
      <c r="H2247" t="str">
        <f>"00861426"</f>
        <v>00861426</v>
      </c>
      <c r="I2247">
        <v>39.6</v>
      </c>
      <c r="J2247">
        <v>0</v>
      </c>
      <c r="M2247">
        <v>4</v>
      </c>
      <c r="N2247">
        <v>4</v>
      </c>
      <c r="O2247">
        <v>4</v>
      </c>
      <c r="P2247">
        <v>0</v>
      </c>
      <c r="Q2247">
        <v>47.6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3</v>
      </c>
      <c r="AB2247">
        <v>0</v>
      </c>
      <c r="AD2247">
        <v>50.6</v>
      </c>
    </row>
    <row r="2248" spans="1:30" x14ac:dyDescent="0.3">
      <c r="A2248" s="4">
        <v>2268</v>
      </c>
      <c r="B2248" s="5">
        <v>2241</v>
      </c>
      <c r="C2248">
        <v>385</v>
      </c>
      <c r="D2248" t="s">
        <v>4853</v>
      </c>
      <c r="E2248" t="s">
        <v>258</v>
      </c>
      <c r="F2248" t="s">
        <v>34</v>
      </c>
      <c r="G2248" t="s">
        <v>4854</v>
      </c>
      <c r="H2248" t="str">
        <f>"00525401"</f>
        <v>00525401</v>
      </c>
      <c r="I2248">
        <v>21.6</v>
      </c>
      <c r="J2248">
        <v>0</v>
      </c>
      <c r="N2248">
        <v>0</v>
      </c>
      <c r="O2248">
        <v>4</v>
      </c>
      <c r="P2248">
        <v>2</v>
      </c>
      <c r="Q2248">
        <v>27.6</v>
      </c>
      <c r="R2248">
        <v>20</v>
      </c>
      <c r="S2248">
        <v>20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20</v>
      </c>
      <c r="AA2248">
        <v>3</v>
      </c>
      <c r="AB2248">
        <v>0</v>
      </c>
      <c r="AD2248">
        <v>50.6</v>
      </c>
    </row>
    <row r="2249" spans="1:30" x14ac:dyDescent="0.3">
      <c r="A2249" s="4">
        <v>2269</v>
      </c>
      <c r="B2249" s="5">
        <v>2242</v>
      </c>
      <c r="C2249">
        <v>2334</v>
      </c>
      <c r="D2249" t="s">
        <v>181</v>
      </c>
      <c r="E2249" t="s">
        <v>4855</v>
      </c>
      <c r="F2249" t="s">
        <v>136</v>
      </c>
      <c r="G2249" t="s">
        <v>4856</v>
      </c>
      <c r="H2249" t="str">
        <f>"00532311"</f>
        <v>00532311</v>
      </c>
      <c r="I2249">
        <v>21.6</v>
      </c>
      <c r="J2249">
        <v>0</v>
      </c>
      <c r="L2249">
        <v>6</v>
      </c>
      <c r="N2249">
        <v>6</v>
      </c>
      <c r="O2249">
        <v>4</v>
      </c>
      <c r="P2249">
        <v>2</v>
      </c>
      <c r="Q2249">
        <v>33.6</v>
      </c>
      <c r="R2249">
        <v>17</v>
      </c>
      <c r="S2249">
        <v>17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17</v>
      </c>
      <c r="AA2249">
        <v>0</v>
      </c>
      <c r="AB2249">
        <v>0</v>
      </c>
      <c r="AD2249">
        <v>50.6</v>
      </c>
    </row>
    <row r="2250" spans="1:30" x14ac:dyDescent="0.3">
      <c r="A2250" s="4">
        <v>2270</v>
      </c>
      <c r="B2250" s="5">
        <v>2243</v>
      </c>
      <c r="C2250">
        <v>1675</v>
      </c>
      <c r="D2250" t="s">
        <v>4857</v>
      </c>
      <c r="E2250" t="s">
        <v>54</v>
      </c>
      <c r="F2250" t="s">
        <v>81</v>
      </c>
      <c r="G2250" t="s">
        <v>4858</v>
      </c>
      <c r="H2250" t="str">
        <f>"00157024"</f>
        <v>00157024</v>
      </c>
      <c r="I2250">
        <v>38.56</v>
      </c>
      <c r="J2250">
        <v>0</v>
      </c>
      <c r="K2250">
        <v>8</v>
      </c>
      <c r="N2250">
        <v>8</v>
      </c>
      <c r="O2250">
        <v>4</v>
      </c>
      <c r="P2250">
        <v>0</v>
      </c>
      <c r="Q2250">
        <v>50.56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D2250">
        <v>50.56</v>
      </c>
    </row>
    <row r="2251" spans="1:30" x14ac:dyDescent="0.3">
      <c r="A2251" s="4">
        <v>2271</v>
      </c>
      <c r="B2251" s="5">
        <v>2244</v>
      </c>
      <c r="C2251">
        <v>2655</v>
      </c>
      <c r="D2251" t="s">
        <v>752</v>
      </c>
      <c r="E2251" t="s">
        <v>744</v>
      </c>
      <c r="F2251" t="s">
        <v>1526</v>
      </c>
      <c r="G2251" t="s">
        <v>4859</v>
      </c>
      <c r="H2251" t="str">
        <f>"00862047"</f>
        <v>00862047</v>
      </c>
      <c r="I2251">
        <v>21.52</v>
      </c>
      <c r="J2251">
        <v>10</v>
      </c>
      <c r="N2251">
        <v>0</v>
      </c>
      <c r="O2251">
        <v>4</v>
      </c>
      <c r="P2251">
        <v>0</v>
      </c>
      <c r="Q2251">
        <v>35.520000000000003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15</v>
      </c>
      <c r="AB2251">
        <v>0</v>
      </c>
      <c r="AD2251">
        <v>50.52</v>
      </c>
    </row>
    <row r="2252" spans="1:30" x14ac:dyDescent="0.3">
      <c r="A2252" s="4">
        <v>2272</v>
      </c>
      <c r="B2252" s="5">
        <v>2245</v>
      </c>
      <c r="C2252">
        <v>1872</v>
      </c>
      <c r="D2252" t="s">
        <v>4860</v>
      </c>
      <c r="E2252" t="s">
        <v>1508</v>
      </c>
      <c r="F2252" t="s">
        <v>81</v>
      </c>
      <c r="G2252" t="s">
        <v>4861</v>
      </c>
      <c r="H2252" t="str">
        <f>"00790653"</f>
        <v>00790653</v>
      </c>
      <c r="I2252">
        <v>27.48</v>
      </c>
      <c r="J2252">
        <v>10</v>
      </c>
      <c r="N2252">
        <v>0</v>
      </c>
      <c r="O2252">
        <v>4</v>
      </c>
      <c r="P2252">
        <v>0</v>
      </c>
      <c r="Q2252">
        <v>41.48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9</v>
      </c>
      <c r="AB2252">
        <v>0</v>
      </c>
      <c r="AD2252">
        <v>50.48</v>
      </c>
    </row>
    <row r="2253" spans="1:30" x14ac:dyDescent="0.3">
      <c r="A2253" s="4">
        <v>2273</v>
      </c>
      <c r="B2253" s="5">
        <v>2246</v>
      </c>
      <c r="C2253">
        <v>2266</v>
      </c>
      <c r="D2253" t="s">
        <v>4803</v>
      </c>
      <c r="E2253" t="s">
        <v>471</v>
      </c>
      <c r="F2253" t="s">
        <v>328</v>
      </c>
      <c r="G2253" t="s">
        <v>4862</v>
      </c>
      <c r="H2253" t="str">
        <f>"00519860"</f>
        <v>00519860</v>
      </c>
      <c r="I2253">
        <v>14.4</v>
      </c>
      <c r="J2253">
        <v>0</v>
      </c>
      <c r="N2253">
        <v>0</v>
      </c>
      <c r="O2253">
        <v>4</v>
      </c>
      <c r="P2253">
        <v>0</v>
      </c>
      <c r="Q2253">
        <v>18.399999999999999</v>
      </c>
      <c r="R2253">
        <v>23</v>
      </c>
      <c r="S2253">
        <v>23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23</v>
      </c>
      <c r="AA2253">
        <v>9</v>
      </c>
      <c r="AB2253">
        <v>0</v>
      </c>
      <c r="AD2253">
        <v>50.4</v>
      </c>
    </row>
    <row r="2254" spans="1:30" x14ac:dyDescent="0.3">
      <c r="A2254" s="4">
        <v>2274</v>
      </c>
      <c r="B2254" s="5">
        <v>2247</v>
      </c>
      <c r="C2254">
        <v>1006</v>
      </c>
      <c r="D2254" t="s">
        <v>4863</v>
      </c>
      <c r="E2254" t="s">
        <v>26</v>
      </c>
      <c r="F2254" t="s">
        <v>416</v>
      </c>
      <c r="G2254" t="s">
        <v>4864</v>
      </c>
      <c r="H2254" t="str">
        <f>"00521436"</f>
        <v>00521436</v>
      </c>
      <c r="I2254">
        <v>50.4</v>
      </c>
      <c r="J2254">
        <v>0</v>
      </c>
      <c r="N2254">
        <v>0</v>
      </c>
      <c r="O2254">
        <v>0</v>
      </c>
      <c r="P2254">
        <v>0</v>
      </c>
      <c r="Q2254">
        <v>50.4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D2254">
        <v>50.4</v>
      </c>
    </row>
    <row r="2255" spans="1:30" x14ac:dyDescent="0.3">
      <c r="A2255" s="4">
        <v>2275</v>
      </c>
      <c r="B2255" s="5">
        <v>2248</v>
      </c>
      <c r="C2255">
        <v>4652</v>
      </c>
      <c r="D2255" t="s">
        <v>4865</v>
      </c>
      <c r="E2255" t="s">
        <v>147</v>
      </c>
      <c r="F2255" t="s">
        <v>136</v>
      </c>
      <c r="G2255" t="s">
        <v>4866</v>
      </c>
      <c r="H2255" t="str">
        <f>"00554817"</f>
        <v>00554817</v>
      </c>
      <c r="I2255">
        <v>50.4</v>
      </c>
      <c r="J2255">
        <v>0</v>
      </c>
      <c r="N2255">
        <v>0</v>
      </c>
      <c r="O2255">
        <v>0</v>
      </c>
      <c r="P2255">
        <v>0</v>
      </c>
      <c r="Q2255">
        <v>50.4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D2255">
        <v>50.4</v>
      </c>
    </row>
    <row r="2256" spans="1:30" x14ac:dyDescent="0.3">
      <c r="A2256" s="4">
        <v>2276</v>
      </c>
      <c r="B2256" s="5">
        <v>2249</v>
      </c>
      <c r="C2256">
        <v>1146</v>
      </c>
      <c r="D2256" t="s">
        <v>4867</v>
      </c>
      <c r="E2256" t="s">
        <v>4421</v>
      </c>
      <c r="F2256" t="s">
        <v>442</v>
      </c>
      <c r="G2256" t="s">
        <v>4868</v>
      </c>
      <c r="H2256" t="str">
        <f>"00854757"</f>
        <v>00854757</v>
      </c>
      <c r="I2256">
        <v>50.4</v>
      </c>
      <c r="J2256">
        <v>0</v>
      </c>
      <c r="N2256">
        <v>0</v>
      </c>
      <c r="O2256">
        <v>0</v>
      </c>
      <c r="P2256">
        <v>0</v>
      </c>
      <c r="Q2256">
        <v>50.4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D2256">
        <v>50.4</v>
      </c>
    </row>
    <row r="2257" spans="1:30" x14ac:dyDescent="0.3">
      <c r="A2257" s="4">
        <v>2277</v>
      </c>
      <c r="B2257" s="5">
        <v>2250</v>
      </c>
      <c r="C2257">
        <v>4663</v>
      </c>
      <c r="D2257" t="s">
        <v>4869</v>
      </c>
      <c r="E2257" t="s">
        <v>4870</v>
      </c>
      <c r="F2257" t="s">
        <v>117</v>
      </c>
      <c r="G2257" t="s">
        <v>4871</v>
      </c>
      <c r="H2257" t="str">
        <f>"00865391"</f>
        <v>00865391</v>
      </c>
      <c r="I2257">
        <v>50.4</v>
      </c>
      <c r="J2257">
        <v>0</v>
      </c>
      <c r="N2257">
        <v>0</v>
      </c>
      <c r="O2257">
        <v>0</v>
      </c>
      <c r="P2257">
        <v>0</v>
      </c>
      <c r="Q2257">
        <v>50.4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D2257">
        <v>50.4</v>
      </c>
    </row>
    <row r="2258" spans="1:30" x14ac:dyDescent="0.3">
      <c r="A2258" s="4">
        <v>2278</v>
      </c>
      <c r="B2258" s="5">
        <v>2251</v>
      </c>
      <c r="C2258">
        <v>373</v>
      </c>
      <c r="D2258" t="s">
        <v>4872</v>
      </c>
      <c r="E2258" t="s">
        <v>213</v>
      </c>
      <c r="F2258" t="s">
        <v>4873</v>
      </c>
      <c r="G2258" t="s">
        <v>4874</v>
      </c>
      <c r="H2258" t="str">
        <f>"00857596"</f>
        <v>00857596</v>
      </c>
      <c r="I2258">
        <v>50.4</v>
      </c>
      <c r="J2258">
        <v>0</v>
      </c>
      <c r="N2258">
        <v>0</v>
      </c>
      <c r="O2258">
        <v>0</v>
      </c>
      <c r="P2258">
        <v>0</v>
      </c>
      <c r="Q2258">
        <v>50.4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D2258">
        <v>50.4</v>
      </c>
    </row>
    <row r="2259" spans="1:30" x14ac:dyDescent="0.3">
      <c r="A2259" s="4">
        <v>2279</v>
      </c>
      <c r="B2259" s="5">
        <v>2252</v>
      </c>
      <c r="C2259">
        <v>2308</v>
      </c>
      <c r="D2259" t="s">
        <v>4875</v>
      </c>
      <c r="E2259" t="s">
        <v>88</v>
      </c>
      <c r="F2259" t="s">
        <v>117</v>
      </c>
      <c r="G2259" t="s">
        <v>4876</v>
      </c>
      <c r="H2259" t="str">
        <f>"00259002"</f>
        <v>00259002</v>
      </c>
      <c r="I2259">
        <v>50.4</v>
      </c>
      <c r="J2259">
        <v>0</v>
      </c>
      <c r="N2259">
        <v>0</v>
      </c>
      <c r="O2259">
        <v>0</v>
      </c>
      <c r="P2259">
        <v>0</v>
      </c>
      <c r="Q2259">
        <v>50.4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D2259">
        <v>50.4</v>
      </c>
    </row>
    <row r="2260" spans="1:30" x14ac:dyDescent="0.3">
      <c r="A2260" s="4">
        <v>2280</v>
      </c>
      <c r="B2260" s="5">
        <v>2253</v>
      </c>
      <c r="C2260">
        <v>2127</v>
      </c>
      <c r="D2260" t="s">
        <v>264</v>
      </c>
      <c r="E2260" t="s">
        <v>4877</v>
      </c>
      <c r="F2260" t="s">
        <v>81</v>
      </c>
      <c r="G2260" t="s">
        <v>4878</v>
      </c>
      <c r="H2260" t="str">
        <f>"00691469"</f>
        <v>00691469</v>
      </c>
      <c r="I2260">
        <v>50.4</v>
      </c>
      <c r="J2260">
        <v>0</v>
      </c>
      <c r="N2260">
        <v>0</v>
      </c>
      <c r="O2260">
        <v>0</v>
      </c>
      <c r="P2260">
        <v>0</v>
      </c>
      <c r="Q2260">
        <v>50.4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 t="s">
        <v>130</v>
      </c>
      <c r="AD2260">
        <v>50.4</v>
      </c>
    </row>
    <row r="2261" spans="1:30" x14ac:dyDescent="0.3">
      <c r="A2261" s="4">
        <v>2281</v>
      </c>
      <c r="B2261" s="5">
        <v>2254</v>
      </c>
      <c r="C2261">
        <v>4528</v>
      </c>
      <c r="D2261" t="s">
        <v>4879</v>
      </c>
      <c r="E2261" t="s">
        <v>744</v>
      </c>
      <c r="F2261" t="s">
        <v>193</v>
      </c>
      <c r="G2261" t="s">
        <v>4880</v>
      </c>
      <c r="H2261" t="str">
        <f>"00860091"</f>
        <v>00860091</v>
      </c>
      <c r="I2261">
        <v>50.4</v>
      </c>
      <c r="J2261">
        <v>0</v>
      </c>
      <c r="N2261">
        <v>0</v>
      </c>
      <c r="O2261">
        <v>0</v>
      </c>
      <c r="P2261">
        <v>0</v>
      </c>
      <c r="Q2261">
        <v>50.4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D2261">
        <v>50.4</v>
      </c>
    </row>
    <row r="2262" spans="1:30" x14ac:dyDescent="0.3">
      <c r="A2262" s="4">
        <v>2282</v>
      </c>
      <c r="B2262" s="5">
        <v>2255</v>
      </c>
      <c r="C2262">
        <v>1203</v>
      </c>
      <c r="D2262" t="s">
        <v>434</v>
      </c>
      <c r="E2262" t="s">
        <v>54</v>
      </c>
      <c r="F2262" t="s">
        <v>17</v>
      </c>
      <c r="G2262" t="s">
        <v>4881</v>
      </c>
      <c r="H2262" t="str">
        <f>"00080509"</f>
        <v>00080509</v>
      </c>
      <c r="I2262">
        <v>38.4</v>
      </c>
      <c r="J2262">
        <v>0</v>
      </c>
      <c r="K2262">
        <v>8</v>
      </c>
      <c r="N2262">
        <v>8</v>
      </c>
      <c r="O2262">
        <v>4</v>
      </c>
      <c r="P2262">
        <v>0</v>
      </c>
      <c r="Q2262">
        <v>50.4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D2262">
        <v>50.4</v>
      </c>
    </row>
    <row r="2263" spans="1:30" x14ac:dyDescent="0.3">
      <c r="A2263" s="4">
        <v>2283</v>
      </c>
      <c r="B2263" s="5">
        <v>2256</v>
      </c>
      <c r="C2263">
        <v>243</v>
      </c>
      <c r="D2263" t="s">
        <v>2453</v>
      </c>
      <c r="E2263" t="s">
        <v>51</v>
      </c>
      <c r="F2263" t="s">
        <v>55</v>
      </c>
      <c r="G2263" t="s">
        <v>4882</v>
      </c>
      <c r="H2263" t="str">
        <f>"201401001272"</f>
        <v>201401001272</v>
      </c>
      <c r="I2263">
        <v>14.4</v>
      </c>
      <c r="J2263">
        <v>10</v>
      </c>
      <c r="M2263">
        <v>4</v>
      </c>
      <c r="N2263">
        <v>4</v>
      </c>
      <c r="O2263">
        <v>4</v>
      </c>
      <c r="P2263">
        <v>2</v>
      </c>
      <c r="Q2263">
        <v>34.4</v>
      </c>
      <c r="R2263">
        <v>16</v>
      </c>
      <c r="S2263">
        <v>16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16</v>
      </c>
      <c r="AA2263">
        <v>0</v>
      </c>
      <c r="AB2263">
        <v>0</v>
      </c>
      <c r="AD2263">
        <v>50.4</v>
      </c>
    </row>
    <row r="2264" spans="1:30" x14ac:dyDescent="0.3">
      <c r="A2264" s="4">
        <v>2284</v>
      </c>
      <c r="B2264" s="5">
        <v>2257</v>
      </c>
      <c r="C2264">
        <v>2481</v>
      </c>
      <c r="D2264" t="s">
        <v>4883</v>
      </c>
      <c r="E2264" t="s">
        <v>149</v>
      </c>
      <c r="F2264" t="s">
        <v>20</v>
      </c>
      <c r="G2264" t="s">
        <v>4884</v>
      </c>
      <c r="H2264" t="str">
        <f>"00502652"</f>
        <v>00502652</v>
      </c>
      <c r="I2264">
        <v>14.4</v>
      </c>
      <c r="J2264">
        <v>0</v>
      </c>
      <c r="K2264">
        <v>8</v>
      </c>
      <c r="N2264">
        <v>8</v>
      </c>
      <c r="O2264">
        <v>4</v>
      </c>
      <c r="P2264">
        <v>0</v>
      </c>
      <c r="Q2264">
        <v>26.4</v>
      </c>
      <c r="R2264">
        <v>24</v>
      </c>
      <c r="S2264">
        <v>24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24</v>
      </c>
      <c r="AA2264">
        <v>0</v>
      </c>
      <c r="AB2264">
        <v>0</v>
      </c>
      <c r="AD2264">
        <v>50.4</v>
      </c>
    </row>
    <row r="2265" spans="1:30" x14ac:dyDescent="0.3">
      <c r="A2265" s="4">
        <v>2285</v>
      </c>
      <c r="B2265" s="5">
        <v>2258</v>
      </c>
      <c r="C2265">
        <v>3886</v>
      </c>
      <c r="D2265" t="s">
        <v>4885</v>
      </c>
      <c r="E2265" t="s">
        <v>41</v>
      </c>
      <c r="F2265" t="s">
        <v>38</v>
      </c>
      <c r="G2265" t="s">
        <v>4886</v>
      </c>
      <c r="H2265" t="str">
        <f>"00530652"</f>
        <v>00530652</v>
      </c>
      <c r="I2265">
        <v>21.32</v>
      </c>
      <c r="J2265">
        <v>0</v>
      </c>
      <c r="N2265">
        <v>0</v>
      </c>
      <c r="O2265">
        <v>4</v>
      </c>
      <c r="P2265">
        <v>2</v>
      </c>
      <c r="Q2265">
        <v>27.32</v>
      </c>
      <c r="R2265">
        <v>14</v>
      </c>
      <c r="S2265">
        <v>14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14</v>
      </c>
      <c r="AA2265">
        <v>9</v>
      </c>
      <c r="AB2265">
        <v>0</v>
      </c>
      <c r="AD2265">
        <v>50.32</v>
      </c>
    </row>
    <row r="2266" spans="1:30" x14ac:dyDescent="0.3">
      <c r="A2266" s="4">
        <v>2286</v>
      </c>
      <c r="B2266" s="5">
        <v>2259</v>
      </c>
      <c r="C2266">
        <v>485</v>
      </c>
      <c r="D2266" t="s">
        <v>4887</v>
      </c>
      <c r="E2266" t="s">
        <v>161</v>
      </c>
      <c r="F2266" t="s">
        <v>3130</v>
      </c>
      <c r="G2266" t="s">
        <v>4888</v>
      </c>
      <c r="H2266" t="str">
        <f>"00475987"</f>
        <v>00475987</v>
      </c>
      <c r="I2266">
        <v>27.28</v>
      </c>
      <c r="J2266">
        <v>0</v>
      </c>
      <c r="M2266">
        <v>4</v>
      </c>
      <c r="N2266">
        <v>4</v>
      </c>
      <c r="O2266">
        <v>4</v>
      </c>
      <c r="P2266">
        <v>0</v>
      </c>
      <c r="Q2266">
        <v>35.28</v>
      </c>
      <c r="R2266">
        <v>6</v>
      </c>
      <c r="S2266">
        <v>6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6</v>
      </c>
      <c r="AA2266">
        <v>9</v>
      </c>
      <c r="AB2266">
        <v>0</v>
      </c>
      <c r="AD2266">
        <v>50.28</v>
      </c>
    </row>
    <row r="2267" spans="1:30" x14ac:dyDescent="0.3">
      <c r="A2267" s="4">
        <v>2287</v>
      </c>
      <c r="B2267" s="5">
        <v>2260</v>
      </c>
      <c r="C2267">
        <v>104</v>
      </c>
      <c r="D2267" t="s">
        <v>4889</v>
      </c>
      <c r="E2267" t="s">
        <v>4890</v>
      </c>
      <c r="F2267" t="s">
        <v>68</v>
      </c>
      <c r="G2267" t="s">
        <v>4891</v>
      </c>
      <c r="H2267" t="str">
        <f>"00520252"</f>
        <v>00520252</v>
      </c>
      <c r="I2267">
        <v>34.24</v>
      </c>
      <c r="J2267">
        <v>10</v>
      </c>
      <c r="N2267">
        <v>0</v>
      </c>
      <c r="O2267">
        <v>0</v>
      </c>
      <c r="P2267">
        <v>0</v>
      </c>
      <c r="Q2267">
        <v>44.24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6</v>
      </c>
      <c r="AB2267">
        <v>0</v>
      </c>
      <c r="AD2267">
        <v>50.24</v>
      </c>
    </row>
    <row r="2268" spans="1:30" x14ac:dyDescent="0.3">
      <c r="A2268" s="4">
        <v>2288</v>
      </c>
      <c r="B2268" s="5">
        <v>2261</v>
      </c>
      <c r="C2268">
        <v>21</v>
      </c>
      <c r="D2268" t="s">
        <v>891</v>
      </c>
      <c r="E2268" t="s">
        <v>132</v>
      </c>
      <c r="F2268" t="s">
        <v>81</v>
      </c>
      <c r="G2268" t="s">
        <v>4892</v>
      </c>
      <c r="H2268" t="str">
        <f>"201405001775"</f>
        <v>201405001775</v>
      </c>
      <c r="I2268">
        <v>43.2</v>
      </c>
      <c r="J2268">
        <v>0</v>
      </c>
      <c r="N2268">
        <v>0</v>
      </c>
      <c r="O2268">
        <v>4</v>
      </c>
      <c r="P2268">
        <v>0</v>
      </c>
      <c r="Q2268">
        <v>47.2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3</v>
      </c>
      <c r="AB2268">
        <v>0</v>
      </c>
      <c r="AD2268">
        <v>50.2</v>
      </c>
    </row>
    <row r="2269" spans="1:30" x14ac:dyDescent="0.3">
      <c r="A2269" s="4">
        <v>2289</v>
      </c>
      <c r="B2269" s="5">
        <v>2262</v>
      </c>
      <c r="C2269">
        <v>665</v>
      </c>
      <c r="D2269" t="s">
        <v>4893</v>
      </c>
      <c r="E2269" t="s">
        <v>100</v>
      </c>
      <c r="F2269" t="s">
        <v>136</v>
      </c>
      <c r="G2269" t="s">
        <v>4894</v>
      </c>
      <c r="H2269" t="str">
        <f>"201401002416"</f>
        <v>201401002416</v>
      </c>
      <c r="I2269">
        <v>43.2</v>
      </c>
      <c r="J2269">
        <v>0</v>
      </c>
      <c r="N2269">
        <v>0</v>
      </c>
      <c r="O2269">
        <v>4</v>
      </c>
      <c r="P2269">
        <v>0</v>
      </c>
      <c r="Q2269">
        <v>47.2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3</v>
      </c>
      <c r="AB2269">
        <v>0</v>
      </c>
      <c r="AD2269">
        <v>50.2</v>
      </c>
    </row>
    <row r="2270" spans="1:30" x14ac:dyDescent="0.3">
      <c r="A2270" s="4">
        <v>2290</v>
      </c>
      <c r="B2270" s="5">
        <v>2263</v>
      </c>
      <c r="C2270">
        <v>3039</v>
      </c>
      <c r="D2270" t="s">
        <v>4895</v>
      </c>
      <c r="E2270" t="s">
        <v>132</v>
      </c>
      <c r="F2270" t="s">
        <v>38</v>
      </c>
      <c r="G2270" t="s">
        <v>4896</v>
      </c>
      <c r="H2270" t="str">
        <f>"00462741"</f>
        <v>00462741</v>
      </c>
      <c r="I2270">
        <v>43.2</v>
      </c>
      <c r="J2270">
        <v>0</v>
      </c>
      <c r="N2270">
        <v>0</v>
      </c>
      <c r="O2270">
        <v>4</v>
      </c>
      <c r="P2270">
        <v>0</v>
      </c>
      <c r="Q2270">
        <v>47.2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3</v>
      </c>
      <c r="AB2270">
        <v>0</v>
      </c>
      <c r="AD2270">
        <v>50.2</v>
      </c>
    </row>
    <row r="2271" spans="1:30" x14ac:dyDescent="0.3">
      <c r="A2271" s="4">
        <v>2291</v>
      </c>
      <c r="B2271" s="5">
        <v>2264</v>
      </c>
      <c r="C2271">
        <v>2520</v>
      </c>
      <c r="D2271" t="s">
        <v>565</v>
      </c>
      <c r="E2271" t="s">
        <v>273</v>
      </c>
      <c r="F2271" t="s">
        <v>171</v>
      </c>
      <c r="G2271" t="s">
        <v>4897</v>
      </c>
      <c r="H2271" t="str">
        <f>"00864112"</f>
        <v>00864112</v>
      </c>
      <c r="I2271">
        <v>43.2</v>
      </c>
      <c r="J2271">
        <v>0</v>
      </c>
      <c r="N2271">
        <v>0</v>
      </c>
      <c r="O2271">
        <v>4</v>
      </c>
      <c r="P2271">
        <v>0</v>
      </c>
      <c r="Q2271">
        <v>47.2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3</v>
      </c>
      <c r="AB2271">
        <v>0</v>
      </c>
      <c r="AD2271">
        <v>50.2</v>
      </c>
    </row>
    <row r="2272" spans="1:30" x14ac:dyDescent="0.3">
      <c r="A2272" s="4">
        <v>2292</v>
      </c>
      <c r="B2272" s="5">
        <v>2265</v>
      </c>
      <c r="C2272">
        <v>127</v>
      </c>
      <c r="D2272" t="s">
        <v>4898</v>
      </c>
      <c r="E2272" t="s">
        <v>166</v>
      </c>
      <c r="F2272" t="s">
        <v>782</v>
      </c>
      <c r="G2272" t="s">
        <v>4899</v>
      </c>
      <c r="H2272" t="str">
        <f>"00478064"</f>
        <v>00478064</v>
      </c>
      <c r="I2272">
        <v>43.2</v>
      </c>
      <c r="J2272">
        <v>0</v>
      </c>
      <c r="N2272">
        <v>0</v>
      </c>
      <c r="O2272">
        <v>4</v>
      </c>
      <c r="P2272">
        <v>0</v>
      </c>
      <c r="Q2272">
        <v>47.2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3</v>
      </c>
      <c r="AB2272">
        <v>0</v>
      </c>
      <c r="AD2272">
        <v>50.2</v>
      </c>
    </row>
    <row r="2273" spans="1:30" x14ac:dyDescent="0.3">
      <c r="A2273" s="4">
        <v>2293</v>
      </c>
      <c r="B2273" s="5">
        <v>2266</v>
      </c>
      <c r="C2273">
        <v>1014</v>
      </c>
      <c r="D2273" t="s">
        <v>1907</v>
      </c>
      <c r="E2273" t="s">
        <v>471</v>
      </c>
      <c r="F2273" t="s">
        <v>20</v>
      </c>
      <c r="G2273" t="s">
        <v>4900</v>
      </c>
      <c r="H2273" t="str">
        <f>"00357861"</f>
        <v>00357861</v>
      </c>
      <c r="I2273">
        <v>27.16</v>
      </c>
      <c r="J2273">
        <v>10</v>
      </c>
      <c r="N2273">
        <v>0</v>
      </c>
      <c r="O2273">
        <v>4</v>
      </c>
      <c r="P2273">
        <v>0</v>
      </c>
      <c r="Q2273">
        <v>41.16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9</v>
      </c>
      <c r="AB2273">
        <v>0</v>
      </c>
      <c r="AD2273">
        <v>50.16</v>
      </c>
    </row>
    <row r="2274" spans="1:30" x14ac:dyDescent="0.3">
      <c r="A2274" s="4">
        <v>2294</v>
      </c>
      <c r="B2274" s="5">
        <v>2267</v>
      </c>
      <c r="C2274">
        <v>132</v>
      </c>
      <c r="D2274" t="s">
        <v>4901</v>
      </c>
      <c r="E2274" t="s">
        <v>188</v>
      </c>
      <c r="F2274" t="s">
        <v>927</v>
      </c>
      <c r="G2274" t="s">
        <v>4902</v>
      </c>
      <c r="H2274" t="str">
        <f>"00400892"</f>
        <v>00400892</v>
      </c>
      <c r="I2274">
        <v>34.159999999999997</v>
      </c>
      <c r="J2274">
        <v>0</v>
      </c>
      <c r="N2274">
        <v>0</v>
      </c>
      <c r="O2274">
        <v>0</v>
      </c>
      <c r="P2274">
        <v>2</v>
      </c>
      <c r="Q2274">
        <v>36.159999999999997</v>
      </c>
      <c r="R2274">
        <v>14</v>
      </c>
      <c r="S2274">
        <v>14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14</v>
      </c>
      <c r="AA2274">
        <v>0</v>
      </c>
      <c r="AB2274">
        <v>0</v>
      </c>
      <c r="AD2274">
        <v>50.16</v>
      </c>
    </row>
    <row r="2275" spans="1:30" x14ac:dyDescent="0.3">
      <c r="A2275" s="4">
        <v>2295</v>
      </c>
      <c r="B2275" s="5">
        <v>2268</v>
      </c>
      <c r="C2275">
        <v>3248</v>
      </c>
      <c r="D2275" t="s">
        <v>4903</v>
      </c>
      <c r="E2275" t="s">
        <v>967</v>
      </c>
      <c r="F2275" t="s">
        <v>17</v>
      </c>
      <c r="G2275" t="s">
        <v>4904</v>
      </c>
      <c r="H2275" t="str">
        <f>"201405000783"</f>
        <v>201405000783</v>
      </c>
      <c r="I2275">
        <v>37.08</v>
      </c>
      <c r="J2275">
        <v>0</v>
      </c>
      <c r="N2275">
        <v>0</v>
      </c>
      <c r="O2275">
        <v>4</v>
      </c>
      <c r="P2275">
        <v>2</v>
      </c>
      <c r="Q2275">
        <v>43.08</v>
      </c>
      <c r="R2275">
        <v>7</v>
      </c>
      <c r="S2275">
        <v>7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7</v>
      </c>
      <c r="AA2275">
        <v>0</v>
      </c>
      <c r="AB2275">
        <v>0</v>
      </c>
      <c r="AD2275">
        <v>50.08</v>
      </c>
    </row>
    <row r="2276" spans="1:30" x14ac:dyDescent="0.3">
      <c r="A2276" s="4">
        <v>2296</v>
      </c>
      <c r="B2276" s="5">
        <v>2269</v>
      </c>
      <c r="C2276">
        <v>4454</v>
      </c>
      <c r="D2276" t="s">
        <v>4905</v>
      </c>
      <c r="E2276" t="s">
        <v>166</v>
      </c>
      <c r="F2276" t="s">
        <v>136</v>
      </c>
      <c r="G2276" t="s">
        <v>4906</v>
      </c>
      <c r="H2276" t="str">
        <f>"00859390"</f>
        <v>00859390</v>
      </c>
      <c r="I2276">
        <v>40</v>
      </c>
      <c r="J2276">
        <v>0</v>
      </c>
      <c r="N2276">
        <v>0</v>
      </c>
      <c r="O2276">
        <v>4</v>
      </c>
      <c r="P2276">
        <v>0</v>
      </c>
      <c r="Q2276">
        <v>44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6</v>
      </c>
      <c r="AB2276">
        <v>0</v>
      </c>
      <c r="AD2276">
        <v>50</v>
      </c>
    </row>
    <row r="2277" spans="1:30" x14ac:dyDescent="0.3">
      <c r="A2277" s="4">
        <v>2297</v>
      </c>
      <c r="B2277" s="5">
        <v>2270</v>
      </c>
      <c r="C2277">
        <v>750</v>
      </c>
      <c r="D2277" t="s">
        <v>2043</v>
      </c>
      <c r="E2277" t="s">
        <v>29</v>
      </c>
      <c r="F2277" t="s">
        <v>81</v>
      </c>
      <c r="G2277" t="s">
        <v>4907</v>
      </c>
      <c r="H2277" t="str">
        <f>"00250965"</f>
        <v>00250965</v>
      </c>
      <c r="I2277">
        <v>40</v>
      </c>
      <c r="J2277">
        <v>0</v>
      </c>
      <c r="N2277">
        <v>0</v>
      </c>
      <c r="O2277">
        <v>4</v>
      </c>
      <c r="P2277">
        <v>0</v>
      </c>
      <c r="Q2277">
        <v>44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6</v>
      </c>
      <c r="AB2277">
        <v>0</v>
      </c>
      <c r="AD2277">
        <v>50</v>
      </c>
    </row>
    <row r="2278" spans="1:30" x14ac:dyDescent="0.3">
      <c r="A2278" s="4">
        <v>2298</v>
      </c>
      <c r="B2278" s="5">
        <v>2271</v>
      </c>
      <c r="C2278">
        <v>2441</v>
      </c>
      <c r="D2278" t="s">
        <v>4908</v>
      </c>
      <c r="E2278" t="s">
        <v>54</v>
      </c>
      <c r="F2278" t="s">
        <v>343</v>
      </c>
      <c r="G2278" t="s">
        <v>4909</v>
      </c>
      <c r="H2278" t="str">
        <f>"00596405"</f>
        <v>00596405</v>
      </c>
      <c r="I2278">
        <v>36</v>
      </c>
      <c r="J2278">
        <v>0</v>
      </c>
      <c r="K2278">
        <v>8</v>
      </c>
      <c r="N2278">
        <v>8</v>
      </c>
      <c r="O2278">
        <v>0</v>
      </c>
      <c r="P2278">
        <v>0</v>
      </c>
      <c r="Q2278">
        <v>44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6</v>
      </c>
      <c r="AB2278">
        <v>0</v>
      </c>
      <c r="AD2278">
        <v>50</v>
      </c>
    </row>
    <row r="2279" spans="1:30" x14ac:dyDescent="0.3">
      <c r="A2279" s="4">
        <v>2299</v>
      </c>
      <c r="B2279" s="5">
        <v>2272</v>
      </c>
      <c r="C2279">
        <v>625</v>
      </c>
      <c r="D2279" t="s">
        <v>4910</v>
      </c>
      <c r="E2279" t="s">
        <v>110</v>
      </c>
      <c r="F2279" t="s">
        <v>14</v>
      </c>
      <c r="G2279" t="s">
        <v>4911</v>
      </c>
      <c r="H2279" t="str">
        <f>"00854983"</f>
        <v>00854983</v>
      </c>
      <c r="I2279">
        <v>36</v>
      </c>
      <c r="J2279">
        <v>0</v>
      </c>
      <c r="M2279">
        <v>4</v>
      </c>
      <c r="N2279">
        <v>4</v>
      </c>
      <c r="O2279">
        <v>4</v>
      </c>
      <c r="P2279">
        <v>0</v>
      </c>
      <c r="Q2279">
        <v>44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6</v>
      </c>
      <c r="AB2279">
        <v>0</v>
      </c>
      <c r="AD2279">
        <v>50</v>
      </c>
    </row>
    <row r="2280" spans="1:30" x14ac:dyDescent="0.3">
      <c r="A2280" s="4">
        <v>2300</v>
      </c>
      <c r="B2280" s="5">
        <v>2273</v>
      </c>
      <c r="C2280">
        <v>997</v>
      </c>
      <c r="D2280" t="s">
        <v>4912</v>
      </c>
      <c r="E2280" t="s">
        <v>471</v>
      </c>
      <c r="F2280" t="s">
        <v>167</v>
      </c>
      <c r="G2280" t="s">
        <v>4913</v>
      </c>
      <c r="H2280" t="str">
        <f>"00530529"</f>
        <v>00530529</v>
      </c>
      <c r="I2280">
        <v>32</v>
      </c>
      <c r="J2280">
        <v>0</v>
      </c>
      <c r="M2280">
        <v>4</v>
      </c>
      <c r="N2280">
        <v>4</v>
      </c>
      <c r="O2280">
        <v>4</v>
      </c>
      <c r="P2280">
        <v>2</v>
      </c>
      <c r="Q2280">
        <v>42</v>
      </c>
      <c r="R2280">
        <v>2</v>
      </c>
      <c r="S2280">
        <v>2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2</v>
      </c>
      <c r="AA2280">
        <v>6</v>
      </c>
      <c r="AB2280">
        <v>0</v>
      </c>
      <c r="AD2280">
        <v>50</v>
      </c>
    </row>
    <row r="2281" spans="1:30" x14ac:dyDescent="0.3">
      <c r="A2281" s="4">
        <v>2301</v>
      </c>
      <c r="B2281" s="5">
        <v>2274</v>
      </c>
      <c r="C2281">
        <v>3340</v>
      </c>
      <c r="D2281" t="s">
        <v>4914</v>
      </c>
      <c r="E2281" t="s">
        <v>2011</v>
      </c>
      <c r="F2281" t="s">
        <v>252</v>
      </c>
      <c r="G2281" t="s">
        <v>4915</v>
      </c>
      <c r="H2281" t="str">
        <f>"00321223"</f>
        <v>00321223</v>
      </c>
      <c r="I2281">
        <v>40</v>
      </c>
      <c r="J2281">
        <v>0</v>
      </c>
      <c r="M2281">
        <v>4</v>
      </c>
      <c r="N2281">
        <v>4</v>
      </c>
      <c r="O2281">
        <v>4</v>
      </c>
      <c r="P2281">
        <v>2</v>
      </c>
      <c r="Q2281">
        <v>50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D2281">
        <v>50</v>
      </c>
    </row>
    <row r="2282" spans="1:30" x14ac:dyDescent="0.3">
      <c r="A2282" s="4">
        <v>2303</v>
      </c>
      <c r="B2282" s="5">
        <v>2275</v>
      </c>
      <c r="C2282">
        <v>1930</v>
      </c>
      <c r="D2282" t="s">
        <v>4916</v>
      </c>
      <c r="E2282" t="s">
        <v>188</v>
      </c>
      <c r="F2282" t="s">
        <v>17</v>
      </c>
      <c r="G2282" t="s">
        <v>4917</v>
      </c>
      <c r="H2282" t="str">
        <f>"00860979"</f>
        <v>00860979</v>
      </c>
      <c r="I2282">
        <v>40</v>
      </c>
      <c r="J2282">
        <v>0</v>
      </c>
      <c r="M2282">
        <v>4</v>
      </c>
      <c r="N2282">
        <v>4</v>
      </c>
      <c r="O2282">
        <v>4</v>
      </c>
      <c r="P2282">
        <v>2</v>
      </c>
      <c r="Q2282">
        <v>50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D2282">
        <v>50</v>
      </c>
    </row>
    <row r="2283" spans="1:30" x14ac:dyDescent="0.3">
      <c r="A2283" s="4">
        <v>2304</v>
      </c>
      <c r="B2283" s="5">
        <v>2276</v>
      </c>
      <c r="C2283">
        <v>4057</v>
      </c>
      <c r="D2283" t="s">
        <v>4918</v>
      </c>
      <c r="E2283" t="s">
        <v>26</v>
      </c>
      <c r="F2283" t="s">
        <v>117</v>
      </c>
      <c r="G2283" t="s">
        <v>4919</v>
      </c>
      <c r="H2283" t="str">
        <f>"00693012"</f>
        <v>00693012</v>
      </c>
      <c r="I2283">
        <v>40</v>
      </c>
      <c r="J2283">
        <v>10</v>
      </c>
      <c r="N2283">
        <v>0</v>
      </c>
      <c r="O2283">
        <v>0</v>
      </c>
      <c r="P2283">
        <v>0</v>
      </c>
      <c r="Q2283">
        <v>50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D2283">
        <v>50</v>
      </c>
    </row>
    <row r="2284" spans="1:30" x14ac:dyDescent="0.3">
      <c r="A2284" s="4">
        <v>2305</v>
      </c>
      <c r="B2284" s="5">
        <v>2277</v>
      </c>
      <c r="C2284">
        <v>4646</v>
      </c>
      <c r="D2284" t="s">
        <v>4920</v>
      </c>
      <c r="E2284" t="s">
        <v>54</v>
      </c>
      <c r="F2284" t="s">
        <v>136</v>
      </c>
      <c r="G2284" t="s">
        <v>4921</v>
      </c>
      <c r="H2284" t="str">
        <f>"00452290"</f>
        <v>00452290</v>
      </c>
      <c r="I2284">
        <v>40</v>
      </c>
      <c r="J2284">
        <v>0</v>
      </c>
      <c r="M2284">
        <v>4</v>
      </c>
      <c r="N2284">
        <v>4</v>
      </c>
      <c r="O2284">
        <v>4</v>
      </c>
      <c r="P2284">
        <v>2</v>
      </c>
      <c r="Q2284">
        <v>50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D2284">
        <v>50</v>
      </c>
    </row>
    <row r="2285" spans="1:30" x14ac:dyDescent="0.3">
      <c r="A2285" s="4">
        <v>2306</v>
      </c>
      <c r="B2285" s="5">
        <v>2278</v>
      </c>
      <c r="C2285">
        <v>4435</v>
      </c>
      <c r="D2285" t="s">
        <v>4922</v>
      </c>
      <c r="E2285" t="s">
        <v>4923</v>
      </c>
      <c r="F2285" t="s">
        <v>4924</v>
      </c>
      <c r="G2285" t="s">
        <v>4925</v>
      </c>
      <c r="H2285" t="str">
        <f>"00685424"</f>
        <v>00685424</v>
      </c>
      <c r="I2285">
        <v>40</v>
      </c>
      <c r="J2285">
        <v>10</v>
      </c>
      <c r="N2285">
        <v>0</v>
      </c>
      <c r="O2285">
        <v>0</v>
      </c>
      <c r="P2285">
        <v>0</v>
      </c>
      <c r="Q2285">
        <v>50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D2285">
        <v>50</v>
      </c>
    </row>
    <row r="2286" spans="1:30" x14ac:dyDescent="0.3">
      <c r="A2286" s="4">
        <v>2307</v>
      </c>
      <c r="B2286" s="5">
        <v>2279</v>
      </c>
      <c r="C2286">
        <v>2035</v>
      </c>
      <c r="D2286" t="s">
        <v>932</v>
      </c>
      <c r="E2286" t="s">
        <v>132</v>
      </c>
      <c r="F2286" t="s">
        <v>158</v>
      </c>
      <c r="G2286" t="s">
        <v>4926</v>
      </c>
      <c r="H2286" t="str">
        <f>"00091989"</f>
        <v>00091989</v>
      </c>
      <c r="I2286">
        <v>40</v>
      </c>
      <c r="J2286">
        <v>0</v>
      </c>
      <c r="M2286">
        <v>4</v>
      </c>
      <c r="N2286">
        <v>4</v>
      </c>
      <c r="O2286">
        <v>4</v>
      </c>
      <c r="P2286">
        <v>2</v>
      </c>
      <c r="Q2286">
        <v>50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D2286">
        <v>50</v>
      </c>
    </row>
    <row r="2287" spans="1:30" x14ac:dyDescent="0.3">
      <c r="A2287" s="4">
        <v>2308</v>
      </c>
      <c r="B2287" s="5">
        <v>2280</v>
      </c>
      <c r="C2287">
        <v>3971</v>
      </c>
      <c r="D2287" t="s">
        <v>4927</v>
      </c>
      <c r="E2287" t="s">
        <v>41</v>
      </c>
      <c r="F2287" t="s">
        <v>4928</v>
      </c>
      <c r="G2287" t="s">
        <v>4929</v>
      </c>
      <c r="H2287" t="str">
        <f>"00315620"</f>
        <v>00315620</v>
      </c>
      <c r="I2287">
        <v>40</v>
      </c>
      <c r="J2287">
        <v>0</v>
      </c>
      <c r="M2287">
        <v>4</v>
      </c>
      <c r="N2287">
        <v>4</v>
      </c>
      <c r="O2287">
        <v>4</v>
      </c>
      <c r="P2287">
        <v>2</v>
      </c>
      <c r="Q2287">
        <v>50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D2287">
        <v>50</v>
      </c>
    </row>
    <row r="2288" spans="1:30" x14ac:dyDescent="0.3">
      <c r="A2288" s="4">
        <v>2309</v>
      </c>
      <c r="B2288" s="5">
        <v>2281</v>
      </c>
      <c r="C2288">
        <v>3772</v>
      </c>
      <c r="D2288" t="s">
        <v>4930</v>
      </c>
      <c r="E2288" t="s">
        <v>33</v>
      </c>
      <c r="F2288" t="s">
        <v>17</v>
      </c>
      <c r="G2288" t="s">
        <v>4931</v>
      </c>
      <c r="H2288" t="str">
        <f>"00864765"</f>
        <v>00864765</v>
      </c>
      <c r="I2288">
        <v>38</v>
      </c>
      <c r="J2288">
        <v>0</v>
      </c>
      <c r="K2288">
        <v>8</v>
      </c>
      <c r="N2288">
        <v>8</v>
      </c>
      <c r="O2288">
        <v>4</v>
      </c>
      <c r="P2288">
        <v>0</v>
      </c>
      <c r="Q2288">
        <v>50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D2288">
        <v>50</v>
      </c>
    </row>
    <row r="2289" spans="1:30" x14ac:dyDescent="0.3">
      <c r="A2289" s="4">
        <v>2310</v>
      </c>
      <c r="B2289" s="5">
        <v>2282</v>
      </c>
      <c r="C2289">
        <v>3484</v>
      </c>
      <c r="D2289" t="s">
        <v>4932</v>
      </c>
      <c r="E2289" t="s">
        <v>3442</v>
      </c>
      <c r="F2289" t="s">
        <v>158</v>
      </c>
      <c r="G2289" t="s">
        <v>4933</v>
      </c>
      <c r="H2289" t="str">
        <f>"00618328"</f>
        <v>00618328</v>
      </c>
      <c r="I2289">
        <v>38</v>
      </c>
      <c r="J2289">
        <v>0</v>
      </c>
      <c r="K2289">
        <v>8</v>
      </c>
      <c r="N2289">
        <v>8</v>
      </c>
      <c r="O2289">
        <v>4</v>
      </c>
      <c r="P2289">
        <v>0</v>
      </c>
      <c r="Q2289">
        <v>50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D2289">
        <v>50</v>
      </c>
    </row>
    <row r="2290" spans="1:30" x14ac:dyDescent="0.3">
      <c r="A2290" s="4">
        <v>2311</v>
      </c>
      <c r="B2290" s="5">
        <v>2283</v>
      </c>
      <c r="C2290">
        <v>286</v>
      </c>
      <c r="D2290" t="s">
        <v>4934</v>
      </c>
      <c r="E2290" t="s">
        <v>4935</v>
      </c>
      <c r="F2290" t="s">
        <v>230</v>
      </c>
      <c r="G2290" t="s">
        <v>4936</v>
      </c>
      <c r="H2290" t="str">
        <f>"201511007511"</f>
        <v>201511007511</v>
      </c>
      <c r="I2290">
        <v>36</v>
      </c>
      <c r="J2290">
        <v>10</v>
      </c>
      <c r="N2290">
        <v>0</v>
      </c>
      <c r="O2290">
        <v>4</v>
      </c>
      <c r="P2290">
        <v>0</v>
      </c>
      <c r="Q2290">
        <v>50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D2290">
        <v>50</v>
      </c>
    </row>
    <row r="2291" spans="1:30" x14ac:dyDescent="0.3">
      <c r="A2291" s="4">
        <v>2312</v>
      </c>
      <c r="B2291" s="5">
        <v>2284</v>
      </c>
      <c r="C2291">
        <v>390</v>
      </c>
      <c r="D2291" t="s">
        <v>4937</v>
      </c>
      <c r="E2291" t="s">
        <v>54</v>
      </c>
      <c r="F2291" t="s">
        <v>81</v>
      </c>
      <c r="G2291" t="s">
        <v>4938</v>
      </c>
      <c r="H2291" t="str">
        <f>"201604000615"</f>
        <v>201604000615</v>
      </c>
      <c r="I2291">
        <v>36</v>
      </c>
      <c r="J2291">
        <v>0</v>
      </c>
      <c r="K2291">
        <v>8</v>
      </c>
      <c r="N2291">
        <v>8</v>
      </c>
      <c r="O2291">
        <v>4</v>
      </c>
      <c r="P2291">
        <v>2</v>
      </c>
      <c r="Q2291">
        <v>50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D2291">
        <v>50</v>
      </c>
    </row>
    <row r="2292" spans="1:30" x14ac:dyDescent="0.3">
      <c r="A2292" s="4">
        <v>2313</v>
      </c>
      <c r="B2292" s="5">
        <v>2285</v>
      </c>
      <c r="C2292">
        <v>1419</v>
      </c>
      <c r="D2292" t="s">
        <v>4939</v>
      </c>
      <c r="E2292" t="s">
        <v>471</v>
      </c>
      <c r="F2292" t="s">
        <v>17</v>
      </c>
      <c r="G2292" t="s">
        <v>4940</v>
      </c>
      <c r="H2292" t="str">
        <f>"00508514"</f>
        <v>00508514</v>
      </c>
      <c r="I2292">
        <v>36</v>
      </c>
      <c r="J2292">
        <v>0</v>
      </c>
      <c r="K2292">
        <v>8</v>
      </c>
      <c r="N2292">
        <v>8</v>
      </c>
      <c r="O2292">
        <v>4</v>
      </c>
      <c r="P2292">
        <v>2</v>
      </c>
      <c r="Q2292">
        <v>50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D2292">
        <v>50</v>
      </c>
    </row>
    <row r="2293" spans="1:30" x14ac:dyDescent="0.3">
      <c r="A2293" s="4">
        <v>2314</v>
      </c>
      <c r="B2293" s="5">
        <v>2286</v>
      </c>
      <c r="C2293">
        <v>818</v>
      </c>
      <c r="D2293" t="s">
        <v>93</v>
      </c>
      <c r="E2293" t="s">
        <v>283</v>
      </c>
      <c r="F2293" t="s">
        <v>4941</v>
      </c>
      <c r="G2293" t="s">
        <v>4942</v>
      </c>
      <c r="H2293" t="str">
        <f>"00594026"</f>
        <v>00594026</v>
      </c>
      <c r="I2293">
        <v>36</v>
      </c>
      <c r="J2293">
        <v>0</v>
      </c>
      <c r="K2293">
        <v>8</v>
      </c>
      <c r="N2293">
        <v>8</v>
      </c>
      <c r="O2293">
        <v>4</v>
      </c>
      <c r="P2293">
        <v>2</v>
      </c>
      <c r="Q2293">
        <v>50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D2293">
        <v>50</v>
      </c>
    </row>
    <row r="2294" spans="1:30" x14ac:dyDescent="0.3">
      <c r="A2294" s="4">
        <v>2315</v>
      </c>
      <c r="B2294" s="5">
        <v>2287</v>
      </c>
      <c r="C2294">
        <v>1782</v>
      </c>
      <c r="D2294" t="s">
        <v>4943</v>
      </c>
      <c r="E2294" t="s">
        <v>4944</v>
      </c>
      <c r="F2294" t="s">
        <v>649</v>
      </c>
      <c r="G2294" t="s">
        <v>4945</v>
      </c>
      <c r="H2294" t="str">
        <f>"00530040"</f>
        <v>00530040</v>
      </c>
      <c r="I2294">
        <v>26</v>
      </c>
      <c r="J2294">
        <v>0</v>
      </c>
      <c r="M2294">
        <v>4</v>
      </c>
      <c r="N2294">
        <v>4</v>
      </c>
      <c r="O2294">
        <v>0</v>
      </c>
      <c r="P2294">
        <v>2</v>
      </c>
      <c r="Q2294">
        <v>32</v>
      </c>
      <c r="R2294">
        <v>18</v>
      </c>
      <c r="S2294">
        <v>18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18</v>
      </c>
      <c r="AA2294">
        <v>0</v>
      </c>
      <c r="AB2294">
        <v>0</v>
      </c>
      <c r="AD2294">
        <v>50</v>
      </c>
    </row>
    <row r="2295" spans="1:30" x14ac:dyDescent="0.3">
      <c r="A2295" s="4">
        <v>2316</v>
      </c>
      <c r="B2295" s="5">
        <v>2288</v>
      </c>
      <c r="C2295">
        <v>2142</v>
      </c>
      <c r="D2295" t="s">
        <v>4946</v>
      </c>
      <c r="E2295" t="s">
        <v>22</v>
      </c>
      <c r="F2295" t="s">
        <v>4947</v>
      </c>
      <c r="G2295" t="s">
        <v>4948</v>
      </c>
      <c r="H2295" t="str">
        <f>"00510942"</f>
        <v>00510942</v>
      </c>
      <c r="I2295">
        <v>0</v>
      </c>
      <c r="J2295">
        <v>0</v>
      </c>
      <c r="L2295">
        <v>6</v>
      </c>
      <c r="N2295">
        <v>6</v>
      </c>
      <c r="O2295">
        <v>4</v>
      </c>
      <c r="P2295">
        <v>2</v>
      </c>
      <c r="Q2295">
        <v>12</v>
      </c>
      <c r="R2295">
        <v>28</v>
      </c>
      <c r="S2295">
        <v>28</v>
      </c>
      <c r="T2295">
        <v>0</v>
      </c>
      <c r="U2295">
        <v>0</v>
      </c>
      <c r="V2295">
        <v>7</v>
      </c>
      <c r="W2295">
        <v>10</v>
      </c>
      <c r="X2295">
        <v>0</v>
      </c>
      <c r="Y2295">
        <v>0</v>
      </c>
      <c r="Z2295">
        <v>38</v>
      </c>
      <c r="AA2295">
        <v>0</v>
      </c>
      <c r="AB2295">
        <v>0</v>
      </c>
      <c r="AD2295">
        <v>50</v>
      </c>
    </row>
    <row r="2296" spans="1:30" x14ac:dyDescent="0.3">
      <c r="A2296" s="4">
        <v>2317</v>
      </c>
      <c r="B2296" s="5">
        <v>2289</v>
      </c>
      <c r="C2296">
        <v>805</v>
      </c>
      <c r="D2296" t="s">
        <v>4949</v>
      </c>
      <c r="E2296" t="s">
        <v>29</v>
      </c>
      <c r="F2296" t="s">
        <v>190</v>
      </c>
      <c r="G2296" t="s">
        <v>4950</v>
      </c>
      <c r="H2296" t="str">
        <f>"00555380"</f>
        <v>00555380</v>
      </c>
      <c r="I2296">
        <v>36.880000000000003</v>
      </c>
      <c r="J2296">
        <v>0</v>
      </c>
      <c r="M2296">
        <v>4</v>
      </c>
      <c r="N2296">
        <v>4</v>
      </c>
      <c r="O2296">
        <v>0</v>
      </c>
      <c r="P2296">
        <v>0</v>
      </c>
      <c r="Q2296">
        <v>40.880000000000003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9</v>
      </c>
      <c r="AB2296">
        <v>0</v>
      </c>
      <c r="AD2296">
        <v>49.88</v>
      </c>
    </row>
    <row r="2297" spans="1:30" x14ac:dyDescent="0.3">
      <c r="A2297" s="4">
        <v>2318</v>
      </c>
      <c r="B2297" s="5">
        <v>2290</v>
      </c>
      <c r="C2297">
        <v>1491</v>
      </c>
      <c r="D2297" t="s">
        <v>1911</v>
      </c>
      <c r="E2297" t="s">
        <v>550</v>
      </c>
      <c r="F2297" t="s">
        <v>136</v>
      </c>
      <c r="G2297" t="s">
        <v>4951</v>
      </c>
      <c r="H2297" t="str">
        <f>"201511020526"</f>
        <v>201511020526</v>
      </c>
      <c r="I2297">
        <v>25.72</v>
      </c>
      <c r="J2297">
        <v>10</v>
      </c>
      <c r="M2297">
        <v>4</v>
      </c>
      <c r="N2297">
        <v>4</v>
      </c>
      <c r="O2297">
        <v>4</v>
      </c>
      <c r="P2297">
        <v>0</v>
      </c>
      <c r="Q2297">
        <v>43.72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6</v>
      </c>
      <c r="AB2297">
        <v>0</v>
      </c>
      <c r="AD2297">
        <v>49.72</v>
      </c>
    </row>
    <row r="2298" spans="1:30" x14ac:dyDescent="0.3">
      <c r="A2298" s="4">
        <v>2319</v>
      </c>
      <c r="B2298" s="5">
        <v>2291</v>
      </c>
      <c r="C2298">
        <v>2674</v>
      </c>
      <c r="D2298" t="s">
        <v>4952</v>
      </c>
      <c r="E2298" t="s">
        <v>33</v>
      </c>
      <c r="F2298" t="s">
        <v>442</v>
      </c>
      <c r="G2298" t="s">
        <v>4953</v>
      </c>
      <c r="H2298" t="str">
        <f>"00754661"</f>
        <v>00754661</v>
      </c>
      <c r="I2298">
        <v>30.68</v>
      </c>
      <c r="J2298">
        <v>10</v>
      </c>
      <c r="N2298">
        <v>0</v>
      </c>
      <c r="O2298">
        <v>0</v>
      </c>
      <c r="P2298">
        <v>0</v>
      </c>
      <c r="Q2298">
        <v>40.68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9</v>
      </c>
      <c r="AB2298">
        <v>0</v>
      </c>
      <c r="AD2298">
        <v>49.68</v>
      </c>
    </row>
    <row r="2299" spans="1:30" x14ac:dyDescent="0.3">
      <c r="A2299" s="4">
        <v>2320</v>
      </c>
      <c r="B2299" s="5">
        <v>2292</v>
      </c>
      <c r="C2299">
        <v>2703</v>
      </c>
      <c r="D2299" t="s">
        <v>1920</v>
      </c>
      <c r="E2299" t="s">
        <v>33</v>
      </c>
      <c r="F2299" t="s">
        <v>20</v>
      </c>
      <c r="G2299" t="s">
        <v>4954</v>
      </c>
      <c r="H2299" t="str">
        <f>"00532899"</f>
        <v>00532899</v>
      </c>
      <c r="I2299">
        <v>35.64</v>
      </c>
      <c r="J2299">
        <v>0</v>
      </c>
      <c r="N2299">
        <v>0</v>
      </c>
      <c r="O2299">
        <v>0</v>
      </c>
      <c r="P2299">
        <v>0</v>
      </c>
      <c r="Q2299">
        <v>35.64</v>
      </c>
      <c r="R2299">
        <v>8</v>
      </c>
      <c r="S2299">
        <v>8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8</v>
      </c>
      <c r="AA2299">
        <v>6</v>
      </c>
      <c r="AB2299">
        <v>0</v>
      </c>
      <c r="AD2299">
        <v>49.64</v>
      </c>
    </row>
    <row r="2300" spans="1:30" x14ac:dyDescent="0.3">
      <c r="A2300" s="4">
        <v>2321</v>
      </c>
      <c r="B2300" s="5">
        <v>2293</v>
      </c>
      <c r="C2300">
        <v>1941</v>
      </c>
      <c r="D2300" t="s">
        <v>4955</v>
      </c>
      <c r="E2300" t="s">
        <v>4956</v>
      </c>
      <c r="F2300" t="s">
        <v>68</v>
      </c>
      <c r="G2300" t="s">
        <v>4957</v>
      </c>
      <c r="H2300" t="str">
        <f>"00700637"</f>
        <v>00700637</v>
      </c>
      <c r="I2300">
        <v>39.6</v>
      </c>
      <c r="J2300">
        <v>0</v>
      </c>
      <c r="M2300">
        <v>4</v>
      </c>
      <c r="N2300">
        <v>4</v>
      </c>
      <c r="O2300">
        <v>0</v>
      </c>
      <c r="P2300">
        <v>0</v>
      </c>
      <c r="Q2300">
        <v>43.6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6</v>
      </c>
      <c r="AB2300">
        <v>0</v>
      </c>
      <c r="AD2300">
        <v>49.6</v>
      </c>
    </row>
    <row r="2301" spans="1:30" x14ac:dyDescent="0.3">
      <c r="A2301" s="4">
        <v>2322</v>
      </c>
      <c r="B2301" s="5">
        <v>2294</v>
      </c>
      <c r="C2301">
        <v>985</v>
      </c>
      <c r="D2301" t="s">
        <v>4536</v>
      </c>
      <c r="E2301" t="s">
        <v>143</v>
      </c>
      <c r="F2301" t="s">
        <v>20</v>
      </c>
      <c r="G2301" t="s">
        <v>4958</v>
      </c>
      <c r="H2301" t="str">
        <f>"00711888"</f>
        <v>00711888</v>
      </c>
      <c r="I2301">
        <v>21.6</v>
      </c>
      <c r="J2301">
        <v>10</v>
      </c>
      <c r="K2301">
        <v>8</v>
      </c>
      <c r="N2301">
        <v>8</v>
      </c>
      <c r="O2301">
        <v>4</v>
      </c>
      <c r="P2301">
        <v>0</v>
      </c>
      <c r="Q2301">
        <v>43.6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6</v>
      </c>
      <c r="AB2301">
        <v>0</v>
      </c>
      <c r="AD2301">
        <v>49.6</v>
      </c>
    </row>
    <row r="2302" spans="1:30" x14ac:dyDescent="0.3">
      <c r="A2302" s="4">
        <v>2323</v>
      </c>
      <c r="B2302" s="5">
        <v>2295</v>
      </c>
      <c r="C2302">
        <v>3920</v>
      </c>
      <c r="D2302" t="s">
        <v>4959</v>
      </c>
      <c r="E2302" t="s">
        <v>789</v>
      </c>
      <c r="F2302" t="s">
        <v>38</v>
      </c>
      <c r="G2302" t="s">
        <v>4960</v>
      </c>
      <c r="H2302" t="str">
        <f>"00532002"</f>
        <v>00532002</v>
      </c>
      <c r="I2302">
        <v>21.6</v>
      </c>
      <c r="J2302">
        <v>0</v>
      </c>
      <c r="N2302">
        <v>0</v>
      </c>
      <c r="O2302">
        <v>4</v>
      </c>
      <c r="P2302">
        <v>2</v>
      </c>
      <c r="Q2302">
        <v>27.6</v>
      </c>
      <c r="R2302">
        <v>16</v>
      </c>
      <c r="S2302">
        <v>16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16</v>
      </c>
      <c r="AA2302">
        <v>6</v>
      </c>
      <c r="AB2302">
        <v>0</v>
      </c>
      <c r="AD2302">
        <v>49.6</v>
      </c>
    </row>
    <row r="2303" spans="1:30" x14ac:dyDescent="0.3">
      <c r="A2303" s="4">
        <v>2324</v>
      </c>
      <c r="B2303" s="5">
        <v>2296</v>
      </c>
      <c r="C2303">
        <v>870</v>
      </c>
      <c r="D2303" t="s">
        <v>4439</v>
      </c>
      <c r="E2303" t="s">
        <v>170</v>
      </c>
      <c r="F2303" t="s">
        <v>117</v>
      </c>
      <c r="G2303" t="s">
        <v>4961</v>
      </c>
      <c r="H2303" t="str">
        <f>"00576905"</f>
        <v>00576905</v>
      </c>
      <c r="I2303">
        <v>39.6</v>
      </c>
      <c r="J2303">
        <v>10</v>
      </c>
      <c r="N2303">
        <v>0</v>
      </c>
      <c r="O2303">
        <v>0</v>
      </c>
      <c r="P2303">
        <v>0</v>
      </c>
      <c r="Q2303">
        <v>49.6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D2303">
        <v>49.6</v>
      </c>
    </row>
    <row r="2304" spans="1:30" x14ac:dyDescent="0.3">
      <c r="A2304" s="4">
        <v>2325</v>
      </c>
      <c r="B2304" s="5">
        <v>2297</v>
      </c>
      <c r="C2304">
        <v>2220</v>
      </c>
      <c r="D2304" t="s">
        <v>4962</v>
      </c>
      <c r="E2304" t="s">
        <v>4963</v>
      </c>
      <c r="F2304" t="s">
        <v>17</v>
      </c>
      <c r="G2304" t="s">
        <v>4964</v>
      </c>
      <c r="H2304" t="str">
        <f>"00511732"</f>
        <v>00511732</v>
      </c>
      <c r="I2304">
        <v>39.6</v>
      </c>
      <c r="J2304">
        <v>0</v>
      </c>
      <c r="M2304">
        <v>4</v>
      </c>
      <c r="N2304">
        <v>4</v>
      </c>
      <c r="O2304">
        <v>4</v>
      </c>
      <c r="P2304">
        <v>2</v>
      </c>
      <c r="Q2304">
        <v>49.6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D2304">
        <v>49.6</v>
      </c>
    </row>
    <row r="2305" spans="1:30" x14ac:dyDescent="0.3">
      <c r="A2305" s="4">
        <v>2326</v>
      </c>
      <c r="B2305" s="5">
        <v>2298</v>
      </c>
      <c r="C2305">
        <v>798</v>
      </c>
      <c r="D2305" t="s">
        <v>2251</v>
      </c>
      <c r="E2305" t="s">
        <v>71</v>
      </c>
      <c r="F2305" t="s">
        <v>30</v>
      </c>
      <c r="G2305" t="s">
        <v>4965</v>
      </c>
      <c r="H2305" t="str">
        <f>"00446808"</f>
        <v>00446808</v>
      </c>
      <c r="I2305">
        <v>37.6</v>
      </c>
      <c r="J2305">
        <v>0</v>
      </c>
      <c r="L2305">
        <v>6</v>
      </c>
      <c r="N2305">
        <v>6</v>
      </c>
      <c r="O2305">
        <v>4</v>
      </c>
      <c r="P2305">
        <v>2</v>
      </c>
      <c r="Q2305">
        <v>49.6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 t="s">
        <v>130</v>
      </c>
      <c r="AD2305">
        <v>49.6</v>
      </c>
    </row>
    <row r="2306" spans="1:30" x14ac:dyDescent="0.3">
      <c r="A2306" s="4">
        <v>2327</v>
      </c>
      <c r="B2306" s="5">
        <v>2299</v>
      </c>
      <c r="C2306">
        <v>4414</v>
      </c>
      <c r="D2306" t="s">
        <v>4966</v>
      </c>
      <c r="E2306" t="s">
        <v>1053</v>
      </c>
      <c r="F2306" t="s">
        <v>167</v>
      </c>
      <c r="G2306" t="s">
        <v>4967</v>
      </c>
      <c r="H2306" t="str">
        <f>"00594116"</f>
        <v>00594116</v>
      </c>
      <c r="I2306">
        <v>35.6</v>
      </c>
      <c r="J2306">
        <v>0</v>
      </c>
      <c r="K2306">
        <v>8</v>
      </c>
      <c r="N2306">
        <v>8</v>
      </c>
      <c r="O2306">
        <v>4</v>
      </c>
      <c r="P2306">
        <v>2</v>
      </c>
      <c r="Q2306">
        <v>49.6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D2306">
        <v>49.6</v>
      </c>
    </row>
    <row r="2307" spans="1:30" x14ac:dyDescent="0.3">
      <c r="A2307" s="4">
        <v>2328</v>
      </c>
      <c r="B2307" s="5">
        <v>2300</v>
      </c>
      <c r="C2307">
        <v>1854</v>
      </c>
      <c r="D2307" t="s">
        <v>4968</v>
      </c>
      <c r="E2307" t="s">
        <v>22</v>
      </c>
      <c r="F2307" t="s">
        <v>62</v>
      </c>
      <c r="G2307" t="s">
        <v>4969</v>
      </c>
      <c r="H2307" t="str">
        <f>"00415878"</f>
        <v>00415878</v>
      </c>
      <c r="I2307">
        <v>26.56</v>
      </c>
      <c r="J2307">
        <v>10</v>
      </c>
      <c r="N2307">
        <v>0</v>
      </c>
      <c r="O2307">
        <v>4</v>
      </c>
      <c r="P2307">
        <v>0</v>
      </c>
      <c r="Q2307">
        <v>40.56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9</v>
      </c>
      <c r="AB2307">
        <v>0</v>
      </c>
      <c r="AD2307">
        <v>49.56</v>
      </c>
    </row>
    <row r="2308" spans="1:30" x14ac:dyDescent="0.3">
      <c r="A2308" s="4">
        <v>2329</v>
      </c>
      <c r="B2308" s="5">
        <v>2301</v>
      </c>
      <c r="C2308">
        <v>4919</v>
      </c>
      <c r="D2308" t="s">
        <v>4970</v>
      </c>
      <c r="E2308" t="s">
        <v>166</v>
      </c>
      <c r="F2308" t="s">
        <v>840</v>
      </c>
      <c r="G2308" t="s">
        <v>4971</v>
      </c>
      <c r="H2308" t="str">
        <f>"00195803"</f>
        <v>00195803</v>
      </c>
      <c r="I2308">
        <v>31.56</v>
      </c>
      <c r="J2308">
        <v>10</v>
      </c>
      <c r="M2308">
        <v>4</v>
      </c>
      <c r="N2308">
        <v>4</v>
      </c>
      <c r="O2308">
        <v>4</v>
      </c>
      <c r="P2308">
        <v>0</v>
      </c>
      <c r="Q2308">
        <v>49.56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D2308">
        <v>49.56</v>
      </c>
    </row>
    <row r="2309" spans="1:30" x14ac:dyDescent="0.3">
      <c r="A2309" s="4">
        <v>2330</v>
      </c>
      <c r="B2309" s="5">
        <v>2302</v>
      </c>
      <c r="C2309">
        <v>1063</v>
      </c>
      <c r="D2309" t="s">
        <v>1282</v>
      </c>
      <c r="E2309" t="s">
        <v>26</v>
      </c>
      <c r="F2309" t="s">
        <v>878</v>
      </c>
      <c r="G2309" t="s">
        <v>4972</v>
      </c>
      <c r="H2309" t="str">
        <f>"00857155"</f>
        <v>00857155</v>
      </c>
      <c r="I2309">
        <v>27.56</v>
      </c>
      <c r="J2309">
        <v>10</v>
      </c>
      <c r="K2309">
        <v>8</v>
      </c>
      <c r="N2309">
        <v>8</v>
      </c>
      <c r="O2309">
        <v>4</v>
      </c>
      <c r="P2309">
        <v>0</v>
      </c>
      <c r="Q2309">
        <v>49.56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D2309">
        <v>49.56</v>
      </c>
    </row>
    <row r="2310" spans="1:30" x14ac:dyDescent="0.3">
      <c r="A2310" s="4">
        <v>2331</v>
      </c>
      <c r="B2310" s="5">
        <v>2303</v>
      </c>
      <c r="C2310">
        <v>300</v>
      </c>
      <c r="D2310" t="s">
        <v>2064</v>
      </c>
      <c r="E2310" t="s">
        <v>697</v>
      </c>
      <c r="F2310" t="s">
        <v>55</v>
      </c>
      <c r="G2310" t="s">
        <v>4973</v>
      </c>
      <c r="H2310" t="str">
        <f>"00367965"</f>
        <v>00367965</v>
      </c>
      <c r="I2310">
        <v>16.72</v>
      </c>
      <c r="J2310">
        <v>0</v>
      </c>
      <c r="N2310">
        <v>0</v>
      </c>
      <c r="O2310">
        <v>0</v>
      </c>
      <c r="P2310">
        <v>0</v>
      </c>
      <c r="Q2310">
        <v>16.72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6</v>
      </c>
      <c r="AB2310">
        <v>26.8</v>
      </c>
      <c r="AD2310">
        <v>49.52</v>
      </c>
    </row>
    <row r="2311" spans="1:30" x14ac:dyDescent="0.3">
      <c r="A2311" s="4">
        <v>2332</v>
      </c>
      <c r="B2311" s="5">
        <v>2304</v>
      </c>
      <c r="C2311">
        <v>1094</v>
      </c>
      <c r="D2311" t="s">
        <v>4974</v>
      </c>
      <c r="E2311" t="s">
        <v>1231</v>
      </c>
      <c r="F2311" t="s">
        <v>17</v>
      </c>
      <c r="G2311" t="s">
        <v>4975</v>
      </c>
      <c r="H2311" t="str">
        <f>"00534471"</f>
        <v>00534471</v>
      </c>
      <c r="I2311">
        <v>20.52</v>
      </c>
      <c r="J2311">
        <v>0</v>
      </c>
      <c r="K2311">
        <v>8</v>
      </c>
      <c r="N2311">
        <v>8</v>
      </c>
      <c r="O2311">
        <v>4</v>
      </c>
      <c r="P2311">
        <v>2</v>
      </c>
      <c r="Q2311">
        <v>34.520000000000003</v>
      </c>
      <c r="R2311">
        <v>6</v>
      </c>
      <c r="S2311">
        <v>6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6</v>
      </c>
      <c r="AA2311">
        <v>9</v>
      </c>
      <c r="AB2311">
        <v>0</v>
      </c>
      <c r="AD2311">
        <v>49.52</v>
      </c>
    </row>
    <row r="2312" spans="1:30" x14ac:dyDescent="0.3">
      <c r="A2312" s="4">
        <v>2333</v>
      </c>
      <c r="B2312" s="5">
        <v>2305</v>
      </c>
      <c r="C2312">
        <v>2800</v>
      </c>
      <c r="D2312" t="s">
        <v>4976</v>
      </c>
      <c r="E2312" t="s">
        <v>208</v>
      </c>
      <c r="F2312" t="s">
        <v>38</v>
      </c>
      <c r="G2312" t="s">
        <v>4977</v>
      </c>
      <c r="H2312" t="str">
        <f>"00379426"</f>
        <v>00379426</v>
      </c>
      <c r="I2312">
        <v>39.520000000000003</v>
      </c>
      <c r="J2312">
        <v>0</v>
      </c>
      <c r="N2312">
        <v>0</v>
      </c>
      <c r="O2312">
        <v>4</v>
      </c>
      <c r="P2312">
        <v>0</v>
      </c>
      <c r="Q2312">
        <v>43.52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6</v>
      </c>
      <c r="AB2312">
        <v>0</v>
      </c>
      <c r="AD2312">
        <v>49.52</v>
      </c>
    </row>
    <row r="2313" spans="1:30" x14ac:dyDescent="0.3">
      <c r="A2313" s="4">
        <v>2334</v>
      </c>
      <c r="B2313" s="5">
        <v>2306</v>
      </c>
      <c r="C2313">
        <v>2467</v>
      </c>
      <c r="D2313" t="s">
        <v>4978</v>
      </c>
      <c r="E2313" t="s">
        <v>471</v>
      </c>
      <c r="F2313" t="s">
        <v>328</v>
      </c>
      <c r="G2313" t="s">
        <v>4979</v>
      </c>
      <c r="H2313" t="str">
        <f>"00531336"</f>
        <v>00531336</v>
      </c>
      <c r="I2313">
        <v>32.44</v>
      </c>
      <c r="J2313">
        <v>0</v>
      </c>
      <c r="N2313">
        <v>0</v>
      </c>
      <c r="O2313">
        <v>0</v>
      </c>
      <c r="P2313">
        <v>0</v>
      </c>
      <c r="Q2313">
        <v>32.44</v>
      </c>
      <c r="R2313">
        <v>8</v>
      </c>
      <c r="S2313">
        <v>8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8</v>
      </c>
      <c r="AA2313">
        <v>9</v>
      </c>
      <c r="AB2313">
        <v>0</v>
      </c>
      <c r="AD2313">
        <v>49.44</v>
      </c>
    </row>
    <row r="2314" spans="1:30" x14ac:dyDescent="0.3">
      <c r="A2314" s="4">
        <v>2335</v>
      </c>
      <c r="B2314" s="5">
        <v>2307</v>
      </c>
      <c r="C2314">
        <v>3666</v>
      </c>
      <c r="D2314" t="s">
        <v>4980</v>
      </c>
      <c r="E2314" t="s">
        <v>132</v>
      </c>
      <c r="F2314" t="s">
        <v>81</v>
      </c>
      <c r="G2314" t="s">
        <v>4981</v>
      </c>
      <c r="H2314" t="str">
        <f>"00555859"</f>
        <v>00555859</v>
      </c>
      <c r="I2314">
        <v>29.44</v>
      </c>
      <c r="J2314">
        <v>10</v>
      </c>
      <c r="N2314">
        <v>0</v>
      </c>
      <c r="O2314">
        <v>4</v>
      </c>
      <c r="P2314">
        <v>0</v>
      </c>
      <c r="Q2314">
        <v>43.44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6</v>
      </c>
      <c r="AB2314">
        <v>0</v>
      </c>
      <c r="AD2314">
        <v>49.44</v>
      </c>
    </row>
    <row r="2315" spans="1:30" x14ac:dyDescent="0.3">
      <c r="A2315" s="4">
        <v>2336</v>
      </c>
      <c r="B2315" s="5">
        <v>2308</v>
      </c>
      <c r="C2315">
        <v>545</v>
      </c>
      <c r="D2315" t="s">
        <v>4927</v>
      </c>
      <c r="E2315" t="s">
        <v>4982</v>
      </c>
      <c r="F2315" t="s">
        <v>17</v>
      </c>
      <c r="G2315" t="s">
        <v>4983</v>
      </c>
      <c r="H2315" t="str">
        <f>"00516673"</f>
        <v>00516673</v>
      </c>
      <c r="I2315">
        <v>19.440000000000001</v>
      </c>
      <c r="J2315">
        <v>0</v>
      </c>
      <c r="N2315">
        <v>0</v>
      </c>
      <c r="O2315">
        <v>4</v>
      </c>
      <c r="P2315">
        <v>2</v>
      </c>
      <c r="Q2315">
        <v>25.44</v>
      </c>
      <c r="R2315">
        <v>18</v>
      </c>
      <c r="S2315">
        <v>18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18</v>
      </c>
      <c r="AA2315">
        <v>6</v>
      </c>
      <c r="AB2315">
        <v>0</v>
      </c>
      <c r="AD2315">
        <v>49.44</v>
      </c>
    </row>
    <row r="2316" spans="1:30" x14ac:dyDescent="0.3">
      <c r="A2316" s="4">
        <v>2337</v>
      </c>
      <c r="B2316" s="5">
        <v>2309</v>
      </c>
      <c r="C2316">
        <v>1332</v>
      </c>
      <c r="D2316" t="s">
        <v>4984</v>
      </c>
      <c r="E2316" t="s">
        <v>258</v>
      </c>
      <c r="F2316" t="s">
        <v>878</v>
      </c>
      <c r="G2316" t="s">
        <v>4985</v>
      </c>
      <c r="H2316" t="str">
        <f>"00311154"</f>
        <v>00311154</v>
      </c>
      <c r="I2316">
        <v>14.4</v>
      </c>
      <c r="J2316">
        <v>0</v>
      </c>
      <c r="N2316">
        <v>0</v>
      </c>
      <c r="O2316">
        <v>4</v>
      </c>
      <c r="P2316">
        <v>0</v>
      </c>
      <c r="Q2316">
        <v>18.399999999999999</v>
      </c>
      <c r="R2316">
        <v>19</v>
      </c>
      <c r="S2316">
        <v>19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19</v>
      </c>
      <c r="AA2316">
        <v>12</v>
      </c>
      <c r="AB2316">
        <v>0</v>
      </c>
      <c r="AD2316">
        <v>49.4</v>
      </c>
    </row>
    <row r="2317" spans="1:30" x14ac:dyDescent="0.3">
      <c r="A2317" s="4">
        <v>2338</v>
      </c>
      <c r="B2317" s="5">
        <v>2310</v>
      </c>
      <c r="C2317">
        <v>4094</v>
      </c>
      <c r="D2317" t="s">
        <v>4986</v>
      </c>
      <c r="E2317" t="s">
        <v>22</v>
      </c>
      <c r="F2317" t="s">
        <v>68</v>
      </c>
      <c r="G2317" t="s">
        <v>4987</v>
      </c>
      <c r="H2317" t="str">
        <f>"00282231"</f>
        <v>00282231</v>
      </c>
      <c r="I2317">
        <v>37.32</v>
      </c>
      <c r="J2317">
        <v>0</v>
      </c>
      <c r="K2317">
        <v>8</v>
      </c>
      <c r="N2317">
        <v>8</v>
      </c>
      <c r="O2317">
        <v>4</v>
      </c>
      <c r="P2317">
        <v>0</v>
      </c>
      <c r="Q2317">
        <v>49.32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D2317">
        <v>49.32</v>
      </c>
    </row>
    <row r="2318" spans="1:30" x14ac:dyDescent="0.3">
      <c r="A2318" s="4">
        <v>2339</v>
      </c>
      <c r="B2318" s="5">
        <v>2311</v>
      </c>
      <c r="C2318">
        <v>486</v>
      </c>
      <c r="D2318" t="s">
        <v>4988</v>
      </c>
      <c r="E2318" t="s">
        <v>54</v>
      </c>
      <c r="F2318" t="s">
        <v>243</v>
      </c>
      <c r="G2318" t="s">
        <v>4989</v>
      </c>
      <c r="H2318" t="str">
        <f>"00505597"</f>
        <v>00505597</v>
      </c>
      <c r="I2318">
        <v>16.28</v>
      </c>
      <c r="J2318">
        <v>10</v>
      </c>
      <c r="N2318">
        <v>0</v>
      </c>
      <c r="O2318">
        <v>4</v>
      </c>
      <c r="P2318">
        <v>0</v>
      </c>
      <c r="Q2318">
        <v>30.28</v>
      </c>
      <c r="R2318">
        <v>13</v>
      </c>
      <c r="S2318">
        <v>13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13</v>
      </c>
      <c r="AA2318">
        <v>6</v>
      </c>
      <c r="AB2318">
        <v>0</v>
      </c>
      <c r="AD2318">
        <v>49.28</v>
      </c>
    </row>
    <row r="2319" spans="1:30" x14ac:dyDescent="0.3">
      <c r="A2319" s="4">
        <v>2340</v>
      </c>
      <c r="B2319" s="5">
        <v>2312</v>
      </c>
      <c r="C2319">
        <v>3261</v>
      </c>
      <c r="D2319" t="s">
        <v>4990</v>
      </c>
      <c r="E2319" t="s">
        <v>54</v>
      </c>
      <c r="F2319" t="s">
        <v>91</v>
      </c>
      <c r="G2319" t="s">
        <v>4991</v>
      </c>
      <c r="H2319" t="str">
        <f>"00531693"</f>
        <v>00531693</v>
      </c>
      <c r="I2319">
        <v>30.24</v>
      </c>
      <c r="J2319">
        <v>0</v>
      </c>
      <c r="N2319">
        <v>0</v>
      </c>
      <c r="O2319">
        <v>4</v>
      </c>
      <c r="P2319">
        <v>0</v>
      </c>
      <c r="Q2319">
        <v>34.24</v>
      </c>
      <c r="R2319">
        <v>6</v>
      </c>
      <c r="S2319">
        <v>6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6</v>
      </c>
      <c r="AA2319">
        <v>9</v>
      </c>
      <c r="AB2319">
        <v>0</v>
      </c>
      <c r="AD2319">
        <v>49.24</v>
      </c>
    </row>
    <row r="2320" spans="1:30" x14ac:dyDescent="0.3">
      <c r="A2320" s="4">
        <v>2341</v>
      </c>
      <c r="B2320" s="5">
        <v>2313</v>
      </c>
      <c r="C2320">
        <v>4264</v>
      </c>
      <c r="D2320" t="s">
        <v>4992</v>
      </c>
      <c r="E2320" t="s">
        <v>4993</v>
      </c>
      <c r="F2320" t="s">
        <v>158</v>
      </c>
      <c r="G2320" t="s">
        <v>4994</v>
      </c>
      <c r="H2320" t="str">
        <f>"00781897"</f>
        <v>00781897</v>
      </c>
      <c r="I2320">
        <v>43.2</v>
      </c>
      <c r="J2320">
        <v>0</v>
      </c>
      <c r="N2320">
        <v>0</v>
      </c>
      <c r="O2320">
        <v>0</v>
      </c>
      <c r="P2320">
        <v>0</v>
      </c>
      <c r="Q2320">
        <v>43.2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6</v>
      </c>
      <c r="AB2320">
        <v>0</v>
      </c>
      <c r="AD2320">
        <v>49.2</v>
      </c>
    </row>
    <row r="2321" spans="1:30" x14ac:dyDescent="0.3">
      <c r="A2321" s="4">
        <v>2342</v>
      </c>
      <c r="B2321" s="5">
        <v>2314</v>
      </c>
      <c r="C2321">
        <v>4324</v>
      </c>
      <c r="D2321" t="s">
        <v>4995</v>
      </c>
      <c r="E2321" t="s">
        <v>29</v>
      </c>
      <c r="F2321" t="s">
        <v>136</v>
      </c>
      <c r="G2321" t="s">
        <v>4996</v>
      </c>
      <c r="H2321" t="str">
        <f>"00627955"</f>
        <v>00627955</v>
      </c>
      <c r="I2321">
        <v>39.200000000000003</v>
      </c>
      <c r="J2321">
        <v>0</v>
      </c>
      <c r="N2321">
        <v>0</v>
      </c>
      <c r="O2321">
        <v>4</v>
      </c>
      <c r="P2321">
        <v>0</v>
      </c>
      <c r="Q2321">
        <v>43.2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6</v>
      </c>
      <c r="AB2321">
        <v>0</v>
      </c>
      <c r="AD2321">
        <v>49.2</v>
      </c>
    </row>
    <row r="2322" spans="1:30" x14ac:dyDescent="0.3">
      <c r="A2322" s="4">
        <v>2343</v>
      </c>
      <c r="B2322" s="5">
        <v>2315</v>
      </c>
      <c r="C2322">
        <v>667</v>
      </c>
      <c r="D2322" t="s">
        <v>4997</v>
      </c>
      <c r="E2322" t="s">
        <v>563</v>
      </c>
      <c r="F2322" t="s">
        <v>81</v>
      </c>
      <c r="G2322" t="s">
        <v>4998</v>
      </c>
      <c r="H2322" t="str">
        <f>"00496358"</f>
        <v>00496358</v>
      </c>
      <c r="I2322">
        <v>7.2</v>
      </c>
      <c r="J2322">
        <v>10</v>
      </c>
      <c r="K2322">
        <v>8</v>
      </c>
      <c r="N2322">
        <v>8</v>
      </c>
      <c r="O2322">
        <v>4</v>
      </c>
      <c r="P2322">
        <v>2</v>
      </c>
      <c r="Q2322">
        <v>31.2</v>
      </c>
      <c r="R2322">
        <v>12</v>
      </c>
      <c r="S2322">
        <v>12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12</v>
      </c>
      <c r="AA2322">
        <v>6</v>
      </c>
      <c r="AB2322">
        <v>0</v>
      </c>
      <c r="AD2322">
        <v>49.2</v>
      </c>
    </row>
    <row r="2323" spans="1:30" x14ac:dyDescent="0.3">
      <c r="A2323" s="4">
        <v>2344</v>
      </c>
      <c r="B2323" s="5">
        <v>2316</v>
      </c>
      <c r="C2323">
        <v>3165</v>
      </c>
      <c r="D2323" t="s">
        <v>4999</v>
      </c>
      <c r="E2323" t="s">
        <v>1997</v>
      </c>
      <c r="F2323" t="s">
        <v>20</v>
      </c>
      <c r="G2323" t="s">
        <v>5000</v>
      </c>
      <c r="H2323" t="str">
        <f>"201507004974"</f>
        <v>201507004974</v>
      </c>
      <c r="I2323">
        <v>7.2</v>
      </c>
      <c r="J2323">
        <v>0</v>
      </c>
      <c r="N2323">
        <v>0</v>
      </c>
      <c r="O2323">
        <v>4</v>
      </c>
      <c r="P2323">
        <v>2</v>
      </c>
      <c r="Q2323">
        <v>13.2</v>
      </c>
      <c r="R2323">
        <v>30</v>
      </c>
      <c r="S2323">
        <v>30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30</v>
      </c>
      <c r="AA2323">
        <v>6</v>
      </c>
      <c r="AB2323">
        <v>0</v>
      </c>
      <c r="AC2323" t="s">
        <v>130</v>
      </c>
      <c r="AD2323">
        <v>49.2</v>
      </c>
    </row>
    <row r="2324" spans="1:30" x14ac:dyDescent="0.3">
      <c r="A2324" s="4">
        <v>2345</v>
      </c>
      <c r="B2324" s="5">
        <v>2317</v>
      </c>
      <c r="C2324">
        <v>2093</v>
      </c>
      <c r="D2324" t="s">
        <v>5001</v>
      </c>
      <c r="E2324" t="s">
        <v>5002</v>
      </c>
      <c r="F2324" t="s">
        <v>55</v>
      </c>
      <c r="G2324" t="s">
        <v>5003</v>
      </c>
      <c r="H2324" t="str">
        <f>"00864766"</f>
        <v>00864766</v>
      </c>
      <c r="I2324">
        <v>43.2</v>
      </c>
      <c r="J2324">
        <v>0</v>
      </c>
      <c r="M2324">
        <v>4</v>
      </c>
      <c r="N2324">
        <v>4</v>
      </c>
      <c r="O2324">
        <v>0</v>
      </c>
      <c r="P2324">
        <v>2</v>
      </c>
      <c r="Q2324">
        <v>49.2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D2324">
        <v>49.2</v>
      </c>
    </row>
    <row r="2325" spans="1:30" x14ac:dyDescent="0.3">
      <c r="A2325" s="4">
        <v>2346</v>
      </c>
      <c r="B2325" s="5">
        <v>2318</v>
      </c>
      <c r="C2325">
        <v>2706</v>
      </c>
      <c r="D2325" t="s">
        <v>2449</v>
      </c>
      <c r="E2325" t="s">
        <v>967</v>
      </c>
      <c r="F2325" t="s">
        <v>30</v>
      </c>
      <c r="G2325" t="s">
        <v>5004</v>
      </c>
      <c r="H2325" t="str">
        <f>"00857941"</f>
        <v>00857941</v>
      </c>
      <c r="I2325">
        <v>43.2</v>
      </c>
      <c r="J2325">
        <v>0</v>
      </c>
      <c r="M2325">
        <v>4</v>
      </c>
      <c r="N2325">
        <v>4</v>
      </c>
      <c r="O2325">
        <v>0</v>
      </c>
      <c r="P2325">
        <v>2</v>
      </c>
      <c r="Q2325">
        <v>49.2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D2325">
        <v>49.2</v>
      </c>
    </row>
    <row r="2326" spans="1:30" x14ac:dyDescent="0.3">
      <c r="A2326" s="4">
        <v>2347</v>
      </c>
      <c r="B2326" s="5">
        <v>2319</v>
      </c>
      <c r="C2326">
        <v>3545</v>
      </c>
      <c r="D2326" t="s">
        <v>4597</v>
      </c>
      <c r="E2326" t="s">
        <v>188</v>
      </c>
      <c r="F2326" t="s">
        <v>442</v>
      </c>
      <c r="G2326" t="s">
        <v>5005</v>
      </c>
      <c r="H2326" t="str">
        <f>"00861019"</f>
        <v>00861019</v>
      </c>
      <c r="I2326">
        <v>43.2</v>
      </c>
      <c r="J2326">
        <v>0</v>
      </c>
      <c r="N2326">
        <v>0</v>
      </c>
      <c r="O2326">
        <v>4</v>
      </c>
      <c r="P2326">
        <v>2</v>
      </c>
      <c r="Q2326">
        <v>49.2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D2326">
        <v>49.2</v>
      </c>
    </row>
    <row r="2327" spans="1:30" x14ac:dyDescent="0.3">
      <c r="A2327" s="4">
        <v>2348</v>
      </c>
      <c r="B2327" s="5">
        <v>2320</v>
      </c>
      <c r="C2327">
        <v>821</v>
      </c>
      <c r="D2327" t="s">
        <v>5006</v>
      </c>
      <c r="E2327" t="s">
        <v>100</v>
      </c>
      <c r="F2327" t="s">
        <v>81</v>
      </c>
      <c r="G2327" t="s">
        <v>5007</v>
      </c>
      <c r="H2327" t="str">
        <f>"00857014"</f>
        <v>00857014</v>
      </c>
      <c r="I2327">
        <v>43.2</v>
      </c>
      <c r="J2327">
        <v>0</v>
      </c>
      <c r="N2327">
        <v>0</v>
      </c>
      <c r="O2327">
        <v>4</v>
      </c>
      <c r="P2327">
        <v>2</v>
      </c>
      <c r="Q2327">
        <v>49.2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D2327">
        <v>49.2</v>
      </c>
    </row>
    <row r="2328" spans="1:30" x14ac:dyDescent="0.3">
      <c r="A2328" s="4">
        <v>2349</v>
      </c>
      <c r="B2328" s="5">
        <v>2321</v>
      </c>
      <c r="C2328">
        <v>2495</v>
      </c>
      <c r="D2328" t="s">
        <v>5008</v>
      </c>
      <c r="E2328" t="s">
        <v>5009</v>
      </c>
      <c r="F2328" t="s">
        <v>20</v>
      </c>
      <c r="G2328" t="s">
        <v>5010</v>
      </c>
      <c r="H2328" t="str">
        <f>"00729296"</f>
        <v>00729296</v>
      </c>
      <c r="I2328">
        <v>43.2</v>
      </c>
      <c r="J2328">
        <v>0</v>
      </c>
      <c r="N2328">
        <v>0</v>
      </c>
      <c r="O2328">
        <v>4</v>
      </c>
      <c r="P2328">
        <v>2</v>
      </c>
      <c r="Q2328">
        <v>49.2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D2328">
        <v>49.2</v>
      </c>
    </row>
    <row r="2329" spans="1:30" x14ac:dyDescent="0.3">
      <c r="A2329" s="4">
        <v>2350</v>
      </c>
      <c r="B2329" s="5">
        <v>2322</v>
      </c>
      <c r="C2329">
        <v>2117</v>
      </c>
      <c r="D2329" t="s">
        <v>5011</v>
      </c>
      <c r="E2329" t="s">
        <v>161</v>
      </c>
      <c r="F2329" t="s">
        <v>20</v>
      </c>
      <c r="G2329" t="s">
        <v>5012</v>
      </c>
      <c r="H2329" t="str">
        <f>"00860142"</f>
        <v>00860142</v>
      </c>
      <c r="I2329">
        <v>43.2</v>
      </c>
      <c r="J2329">
        <v>0</v>
      </c>
      <c r="N2329">
        <v>0</v>
      </c>
      <c r="O2329">
        <v>4</v>
      </c>
      <c r="P2329">
        <v>2</v>
      </c>
      <c r="Q2329">
        <v>49.2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D2329">
        <v>49.2</v>
      </c>
    </row>
    <row r="2330" spans="1:30" x14ac:dyDescent="0.3">
      <c r="A2330" s="4">
        <v>2351</v>
      </c>
      <c r="B2330" s="5">
        <v>2323</v>
      </c>
      <c r="C2330">
        <v>2887</v>
      </c>
      <c r="D2330" t="s">
        <v>5013</v>
      </c>
      <c r="E2330" t="s">
        <v>550</v>
      </c>
      <c r="F2330" t="s">
        <v>5014</v>
      </c>
      <c r="G2330" t="s">
        <v>5015</v>
      </c>
      <c r="H2330" t="str">
        <f>"00726693"</f>
        <v>00726693</v>
      </c>
      <c r="I2330">
        <v>43.2</v>
      </c>
      <c r="J2330">
        <v>0</v>
      </c>
      <c r="N2330">
        <v>0</v>
      </c>
      <c r="O2330">
        <v>4</v>
      </c>
      <c r="P2330">
        <v>2</v>
      </c>
      <c r="Q2330">
        <v>49.2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D2330">
        <v>49.2</v>
      </c>
    </row>
    <row r="2331" spans="1:30" x14ac:dyDescent="0.3">
      <c r="A2331" s="4">
        <v>2352</v>
      </c>
      <c r="B2331" s="5">
        <v>2324</v>
      </c>
      <c r="C2331">
        <v>3687</v>
      </c>
      <c r="D2331" t="s">
        <v>5016</v>
      </c>
      <c r="E2331" t="s">
        <v>5017</v>
      </c>
      <c r="F2331" t="s">
        <v>81</v>
      </c>
      <c r="G2331" t="s">
        <v>5018</v>
      </c>
      <c r="H2331" t="str">
        <f>"00666624"</f>
        <v>00666624</v>
      </c>
      <c r="I2331">
        <v>43.2</v>
      </c>
      <c r="J2331">
        <v>0</v>
      </c>
      <c r="M2331">
        <v>4</v>
      </c>
      <c r="N2331">
        <v>4</v>
      </c>
      <c r="O2331">
        <v>0</v>
      </c>
      <c r="P2331">
        <v>2</v>
      </c>
      <c r="Q2331">
        <v>49.2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D2331">
        <v>49.2</v>
      </c>
    </row>
    <row r="2332" spans="1:30" x14ac:dyDescent="0.3">
      <c r="A2332" s="4">
        <v>2353</v>
      </c>
      <c r="B2332" s="5">
        <v>2325</v>
      </c>
      <c r="C2332">
        <v>3550</v>
      </c>
      <c r="D2332" t="s">
        <v>2666</v>
      </c>
      <c r="E2332" t="s">
        <v>2467</v>
      </c>
      <c r="F2332" t="s">
        <v>17</v>
      </c>
      <c r="G2332" t="s">
        <v>5019</v>
      </c>
      <c r="H2332" t="str">
        <f>"201511011321"</f>
        <v>201511011321</v>
      </c>
      <c r="I2332">
        <v>43.2</v>
      </c>
      <c r="J2332">
        <v>0</v>
      </c>
      <c r="N2332">
        <v>0</v>
      </c>
      <c r="O2332">
        <v>4</v>
      </c>
      <c r="P2332">
        <v>2</v>
      </c>
      <c r="Q2332">
        <v>49.2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D2332">
        <v>49.2</v>
      </c>
    </row>
    <row r="2333" spans="1:30" x14ac:dyDescent="0.3">
      <c r="A2333" s="4">
        <v>2354</v>
      </c>
      <c r="B2333" s="5">
        <v>2326</v>
      </c>
      <c r="C2333">
        <v>3051</v>
      </c>
      <c r="D2333" t="s">
        <v>5020</v>
      </c>
      <c r="E2333" t="s">
        <v>5021</v>
      </c>
      <c r="F2333" t="s">
        <v>136</v>
      </c>
      <c r="G2333" t="s">
        <v>5022</v>
      </c>
      <c r="H2333" t="str">
        <f>"00549911"</f>
        <v>00549911</v>
      </c>
      <c r="I2333">
        <v>39.200000000000003</v>
      </c>
      <c r="J2333">
        <v>0</v>
      </c>
      <c r="M2333">
        <v>4</v>
      </c>
      <c r="N2333">
        <v>4</v>
      </c>
      <c r="O2333">
        <v>4</v>
      </c>
      <c r="P2333">
        <v>2</v>
      </c>
      <c r="Q2333">
        <v>49.2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D2333">
        <v>49.2</v>
      </c>
    </row>
    <row r="2334" spans="1:30" x14ac:dyDescent="0.3">
      <c r="A2334" s="4">
        <v>2355</v>
      </c>
      <c r="B2334" s="5">
        <v>2327</v>
      </c>
      <c r="C2334">
        <v>2442</v>
      </c>
      <c r="D2334" t="s">
        <v>2998</v>
      </c>
      <c r="E2334" t="s">
        <v>1117</v>
      </c>
      <c r="F2334" t="s">
        <v>81</v>
      </c>
      <c r="G2334" t="s">
        <v>5023</v>
      </c>
      <c r="H2334" t="str">
        <f>"00526722"</f>
        <v>00526722</v>
      </c>
      <c r="I2334">
        <v>39.200000000000003</v>
      </c>
      <c r="J2334">
        <v>0</v>
      </c>
      <c r="M2334">
        <v>4</v>
      </c>
      <c r="N2334">
        <v>4</v>
      </c>
      <c r="O2334">
        <v>4</v>
      </c>
      <c r="P2334">
        <v>2</v>
      </c>
      <c r="Q2334">
        <v>49.2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D2334">
        <v>49.2</v>
      </c>
    </row>
    <row r="2335" spans="1:30" x14ac:dyDescent="0.3">
      <c r="A2335" s="4">
        <v>2356</v>
      </c>
      <c r="B2335" s="5">
        <v>2328</v>
      </c>
      <c r="C2335">
        <v>1492</v>
      </c>
      <c r="D2335" t="s">
        <v>5024</v>
      </c>
      <c r="E2335" t="s">
        <v>219</v>
      </c>
      <c r="F2335" t="s">
        <v>91</v>
      </c>
      <c r="G2335" t="s">
        <v>5025</v>
      </c>
      <c r="H2335" t="str">
        <f>"00360578"</f>
        <v>00360578</v>
      </c>
      <c r="I2335">
        <v>39.200000000000003</v>
      </c>
      <c r="J2335">
        <v>10</v>
      </c>
      <c r="N2335">
        <v>0</v>
      </c>
      <c r="O2335">
        <v>0</v>
      </c>
      <c r="P2335">
        <v>0</v>
      </c>
      <c r="Q2335">
        <v>49.2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D2335">
        <v>49.2</v>
      </c>
    </row>
    <row r="2336" spans="1:30" x14ac:dyDescent="0.3">
      <c r="A2336" s="4">
        <v>2357</v>
      </c>
      <c r="B2336" s="5">
        <v>2329</v>
      </c>
      <c r="C2336">
        <v>2765</v>
      </c>
      <c r="D2336" t="s">
        <v>5026</v>
      </c>
      <c r="E2336" t="s">
        <v>5027</v>
      </c>
      <c r="F2336" t="s">
        <v>79</v>
      </c>
      <c r="G2336" t="s">
        <v>5028</v>
      </c>
      <c r="H2336" t="str">
        <f>"00860924"</f>
        <v>00860924</v>
      </c>
      <c r="I2336">
        <v>39.200000000000003</v>
      </c>
      <c r="J2336">
        <v>0</v>
      </c>
      <c r="M2336">
        <v>4</v>
      </c>
      <c r="N2336">
        <v>4</v>
      </c>
      <c r="O2336">
        <v>4</v>
      </c>
      <c r="P2336">
        <v>2</v>
      </c>
      <c r="Q2336">
        <v>49.2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D2336">
        <v>49.2</v>
      </c>
    </row>
    <row r="2337" spans="1:30" x14ac:dyDescent="0.3">
      <c r="A2337" s="4">
        <v>2358</v>
      </c>
      <c r="B2337" s="5">
        <v>2330</v>
      </c>
      <c r="C2337">
        <v>2151</v>
      </c>
      <c r="D2337" t="s">
        <v>421</v>
      </c>
      <c r="E2337" t="s">
        <v>178</v>
      </c>
      <c r="F2337" t="s">
        <v>17</v>
      </c>
      <c r="G2337" t="s">
        <v>5029</v>
      </c>
      <c r="H2337" t="str">
        <f>"00857390"</f>
        <v>00857390</v>
      </c>
      <c r="I2337">
        <v>37.200000000000003</v>
      </c>
      <c r="J2337">
        <v>10</v>
      </c>
      <c r="N2337">
        <v>0</v>
      </c>
      <c r="O2337">
        <v>0</v>
      </c>
      <c r="P2337">
        <v>2</v>
      </c>
      <c r="Q2337">
        <v>49.2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D2337">
        <v>49.2</v>
      </c>
    </row>
    <row r="2338" spans="1:30" x14ac:dyDescent="0.3">
      <c r="A2338" s="4">
        <v>2359</v>
      </c>
      <c r="B2338" s="5">
        <v>2331</v>
      </c>
      <c r="C2338">
        <v>2448</v>
      </c>
      <c r="D2338" t="s">
        <v>5030</v>
      </c>
      <c r="E2338" t="s">
        <v>37</v>
      </c>
      <c r="F2338" t="s">
        <v>2595</v>
      </c>
      <c r="G2338" t="s">
        <v>5031</v>
      </c>
      <c r="H2338" t="str">
        <f>"00023346"</f>
        <v>00023346</v>
      </c>
      <c r="I2338">
        <v>39.119999999999997</v>
      </c>
      <c r="J2338">
        <v>0</v>
      </c>
      <c r="N2338">
        <v>0</v>
      </c>
      <c r="O2338">
        <v>4</v>
      </c>
      <c r="P2338">
        <v>0</v>
      </c>
      <c r="Q2338">
        <v>43.12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6</v>
      </c>
      <c r="AB2338">
        <v>0</v>
      </c>
      <c r="AD2338">
        <v>49.12</v>
      </c>
    </row>
    <row r="2339" spans="1:30" x14ac:dyDescent="0.3">
      <c r="A2339" s="4">
        <v>2360</v>
      </c>
      <c r="B2339" s="5">
        <v>2332</v>
      </c>
      <c r="C2339">
        <v>3326</v>
      </c>
      <c r="D2339" t="s">
        <v>3230</v>
      </c>
      <c r="E2339" t="s">
        <v>29</v>
      </c>
      <c r="F2339" t="s">
        <v>238</v>
      </c>
      <c r="G2339" t="s">
        <v>5032</v>
      </c>
      <c r="H2339" t="str">
        <f>"00705664"</f>
        <v>00705664</v>
      </c>
      <c r="I2339">
        <v>39.119999999999997</v>
      </c>
      <c r="J2339">
        <v>0</v>
      </c>
      <c r="M2339">
        <v>4</v>
      </c>
      <c r="N2339">
        <v>4</v>
      </c>
      <c r="O2339">
        <v>0</v>
      </c>
      <c r="P2339">
        <v>0</v>
      </c>
      <c r="Q2339">
        <v>43.12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6</v>
      </c>
      <c r="AB2339">
        <v>0</v>
      </c>
      <c r="AD2339">
        <v>49.12</v>
      </c>
    </row>
    <row r="2340" spans="1:30" x14ac:dyDescent="0.3">
      <c r="A2340" s="4">
        <v>2361</v>
      </c>
      <c r="B2340" s="5">
        <v>2333</v>
      </c>
      <c r="C2340">
        <v>3833</v>
      </c>
      <c r="D2340" t="s">
        <v>5033</v>
      </c>
      <c r="E2340" t="s">
        <v>38</v>
      </c>
      <c r="F2340" t="s">
        <v>81</v>
      </c>
      <c r="G2340" t="s">
        <v>5034</v>
      </c>
      <c r="H2340" t="str">
        <f>"00862564"</f>
        <v>00862564</v>
      </c>
      <c r="I2340">
        <v>31.12</v>
      </c>
      <c r="J2340">
        <v>0</v>
      </c>
      <c r="K2340">
        <v>8</v>
      </c>
      <c r="M2340">
        <v>4</v>
      </c>
      <c r="N2340">
        <v>12</v>
      </c>
      <c r="O2340">
        <v>0</v>
      </c>
      <c r="P2340">
        <v>0</v>
      </c>
      <c r="Q2340">
        <v>43.12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6</v>
      </c>
      <c r="AB2340">
        <v>0</v>
      </c>
      <c r="AD2340">
        <v>49.12</v>
      </c>
    </row>
    <row r="2341" spans="1:30" x14ac:dyDescent="0.3">
      <c r="A2341" s="4">
        <v>2362</v>
      </c>
      <c r="B2341" s="5">
        <v>2334</v>
      </c>
      <c r="C2341">
        <v>3241</v>
      </c>
      <c r="D2341" t="s">
        <v>1742</v>
      </c>
      <c r="E2341" t="s">
        <v>208</v>
      </c>
      <c r="F2341" t="s">
        <v>68</v>
      </c>
      <c r="G2341" t="s">
        <v>5035</v>
      </c>
      <c r="H2341" t="str">
        <f>"200712004522"</f>
        <v>200712004522</v>
      </c>
      <c r="I2341">
        <v>40</v>
      </c>
      <c r="J2341">
        <v>0</v>
      </c>
      <c r="N2341">
        <v>0</v>
      </c>
      <c r="O2341">
        <v>0</v>
      </c>
      <c r="P2341">
        <v>0</v>
      </c>
      <c r="Q2341">
        <v>40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9</v>
      </c>
      <c r="AB2341">
        <v>0</v>
      </c>
      <c r="AD2341">
        <v>49</v>
      </c>
    </row>
    <row r="2342" spans="1:30" x14ac:dyDescent="0.3">
      <c r="A2342" s="4">
        <v>2363</v>
      </c>
      <c r="B2342" s="5">
        <v>2335</v>
      </c>
      <c r="C2342">
        <v>2688</v>
      </c>
      <c r="D2342" t="s">
        <v>5036</v>
      </c>
      <c r="E2342" t="s">
        <v>29</v>
      </c>
      <c r="F2342" t="s">
        <v>158</v>
      </c>
      <c r="G2342" t="s">
        <v>5037</v>
      </c>
      <c r="H2342" t="str">
        <f>"00858933"</f>
        <v>00858933</v>
      </c>
      <c r="I2342">
        <v>36</v>
      </c>
      <c r="J2342">
        <v>0</v>
      </c>
      <c r="M2342">
        <v>4</v>
      </c>
      <c r="N2342">
        <v>4</v>
      </c>
      <c r="O2342">
        <v>0</v>
      </c>
      <c r="P2342">
        <v>0</v>
      </c>
      <c r="Q2342">
        <v>40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9</v>
      </c>
      <c r="AB2342">
        <v>0</v>
      </c>
      <c r="AD2342">
        <v>49</v>
      </c>
    </row>
    <row r="2343" spans="1:30" x14ac:dyDescent="0.3">
      <c r="A2343" s="4">
        <v>2364</v>
      </c>
      <c r="B2343" s="5">
        <v>2336</v>
      </c>
      <c r="C2343">
        <v>4487</v>
      </c>
      <c r="D2343" t="s">
        <v>5038</v>
      </c>
      <c r="E2343" t="s">
        <v>4935</v>
      </c>
      <c r="F2343" t="s">
        <v>81</v>
      </c>
      <c r="G2343" t="s">
        <v>5039</v>
      </c>
      <c r="H2343" t="str">
        <f>"00805260"</f>
        <v>00805260</v>
      </c>
      <c r="I2343">
        <v>36</v>
      </c>
      <c r="J2343">
        <v>0</v>
      </c>
      <c r="N2343">
        <v>0</v>
      </c>
      <c r="O2343">
        <v>4</v>
      </c>
      <c r="P2343">
        <v>0</v>
      </c>
      <c r="Q2343">
        <v>40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9</v>
      </c>
      <c r="AB2343">
        <v>0</v>
      </c>
      <c r="AD2343">
        <v>49</v>
      </c>
    </row>
    <row r="2344" spans="1:30" x14ac:dyDescent="0.3">
      <c r="A2344" s="4">
        <v>2365</v>
      </c>
      <c r="B2344" s="5">
        <v>2337</v>
      </c>
      <c r="C2344">
        <v>4341</v>
      </c>
      <c r="D2344" t="s">
        <v>5040</v>
      </c>
      <c r="E2344" t="s">
        <v>1474</v>
      </c>
      <c r="F2344" t="s">
        <v>38</v>
      </c>
      <c r="G2344" t="s">
        <v>5041</v>
      </c>
      <c r="H2344" t="str">
        <f>"00409291"</f>
        <v>00409291</v>
      </c>
      <c r="I2344">
        <v>36</v>
      </c>
      <c r="J2344">
        <v>0</v>
      </c>
      <c r="N2344">
        <v>0</v>
      </c>
      <c r="O2344">
        <v>4</v>
      </c>
      <c r="P2344">
        <v>0</v>
      </c>
      <c r="Q2344">
        <v>40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9</v>
      </c>
      <c r="AB2344">
        <v>0</v>
      </c>
      <c r="AD2344">
        <v>49</v>
      </c>
    </row>
    <row r="2345" spans="1:30" x14ac:dyDescent="0.3">
      <c r="A2345" s="4">
        <v>2366</v>
      </c>
      <c r="B2345" s="5">
        <v>2338</v>
      </c>
      <c r="C2345">
        <v>3597</v>
      </c>
      <c r="D2345" t="s">
        <v>5042</v>
      </c>
      <c r="E2345" t="s">
        <v>789</v>
      </c>
      <c r="F2345" t="s">
        <v>20</v>
      </c>
      <c r="G2345" t="s">
        <v>5043</v>
      </c>
      <c r="H2345" t="str">
        <f>"200802007638"</f>
        <v>200802007638</v>
      </c>
      <c r="I2345">
        <v>36</v>
      </c>
      <c r="J2345">
        <v>0</v>
      </c>
      <c r="L2345">
        <v>6</v>
      </c>
      <c r="N2345">
        <v>6</v>
      </c>
      <c r="O2345">
        <v>4</v>
      </c>
      <c r="P2345">
        <v>0</v>
      </c>
      <c r="Q2345">
        <v>46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3</v>
      </c>
      <c r="AB2345">
        <v>0</v>
      </c>
      <c r="AD2345">
        <v>49</v>
      </c>
    </row>
    <row r="2346" spans="1:30" x14ac:dyDescent="0.3">
      <c r="A2346" s="4">
        <v>2367</v>
      </c>
      <c r="B2346" s="5">
        <v>2339</v>
      </c>
      <c r="C2346">
        <v>253</v>
      </c>
      <c r="D2346" t="s">
        <v>5044</v>
      </c>
      <c r="E2346" t="s">
        <v>1659</v>
      </c>
      <c r="F2346" t="s">
        <v>243</v>
      </c>
      <c r="G2346" t="s">
        <v>5045</v>
      </c>
      <c r="H2346" t="str">
        <f>"00246714"</f>
        <v>00246714</v>
      </c>
      <c r="I2346">
        <v>36</v>
      </c>
      <c r="J2346">
        <v>0</v>
      </c>
      <c r="M2346">
        <v>4</v>
      </c>
      <c r="N2346">
        <v>4</v>
      </c>
      <c r="O2346">
        <v>4</v>
      </c>
      <c r="P2346">
        <v>2</v>
      </c>
      <c r="Q2346">
        <v>46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3</v>
      </c>
      <c r="AB2346">
        <v>0</v>
      </c>
      <c r="AD2346">
        <v>49</v>
      </c>
    </row>
    <row r="2347" spans="1:30" x14ac:dyDescent="0.3">
      <c r="A2347" s="4">
        <v>2368</v>
      </c>
      <c r="B2347" s="5">
        <v>2340</v>
      </c>
      <c r="C2347">
        <v>2380</v>
      </c>
      <c r="D2347" t="s">
        <v>5046</v>
      </c>
      <c r="E2347" t="s">
        <v>26</v>
      </c>
      <c r="F2347" t="s">
        <v>38</v>
      </c>
      <c r="G2347" t="s">
        <v>5047</v>
      </c>
      <c r="H2347" t="str">
        <f>"00112900"</f>
        <v>00112900</v>
      </c>
      <c r="I2347">
        <v>36</v>
      </c>
      <c r="J2347">
        <v>0</v>
      </c>
      <c r="M2347">
        <v>4</v>
      </c>
      <c r="N2347">
        <v>4</v>
      </c>
      <c r="O2347">
        <v>4</v>
      </c>
      <c r="P2347">
        <v>2</v>
      </c>
      <c r="Q2347">
        <v>46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3</v>
      </c>
      <c r="AB2347">
        <v>0</v>
      </c>
      <c r="AD2347">
        <v>49</v>
      </c>
    </row>
    <row r="2348" spans="1:30" x14ac:dyDescent="0.3">
      <c r="A2348" s="4">
        <v>2369</v>
      </c>
      <c r="B2348" s="5">
        <v>2341</v>
      </c>
      <c r="C2348">
        <v>2698</v>
      </c>
      <c r="D2348" t="s">
        <v>2530</v>
      </c>
      <c r="E2348" t="s">
        <v>219</v>
      </c>
      <c r="F2348" t="s">
        <v>68</v>
      </c>
      <c r="G2348" t="s">
        <v>5048</v>
      </c>
      <c r="H2348" t="str">
        <f>"00510187"</f>
        <v>00510187</v>
      </c>
      <c r="I2348">
        <v>0</v>
      </c>
      <c r="J2348">
        <v>0</v>
      </c>
      <c r="N2348">
        <v>0</v>
      </c>
      <c r="O2348">
        <v>4</v>
      </c>
      <c r="P2348">
        <v>2</v>
      </c>
      <c r="Q2348">
        <v>6</v>
      </c>
      <c r="R2348">
        <v>40</v>
      </c>
      <c r="S2348">
        <v>40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40</v>
      </c>
      <c r="AA2348">
        <v>3</v>
      </c>
      <c r="AB2348">
        <v>0</v>
      </c>
      <c r="AD2348">
        <v>49</v>
      </c>
    </row>
    <row r="2349" spans="1:30" x14ac:dyDescent="0.3">
      <c r="A2349" s="4">
        <v>2370</v>
      </c>
      <c r="B2349" s="5">
        <v>2342</v>
      </c>
      <c r="C2349">
        <v>3663</v>
      </c>
      <c r="D2349" t="s">
        <v>5049</v>
      </c>
      <c r="E2349" t="s">
        <v>100</v>
      </c>
      <c r="F2349" t="s">
        <v>5050</v>
      </c>
      <c r="G2349" t="s">
        <v>5051</v>
      </c>
      <c r="H2349" t="str">
        <f>"00530739"</f>
        <v>00530739</v>
      </c>
      <c r="I2349">
        <v>36</v>
      </c>
      <c r="J2349">
        <v>0</v>
      </c>
      <c r="N2349">
        <v>0</v>
      </c>
      <c r="O2349">
        <v>0</v>
      </c>
      <c r="P2349">
        <v>2</v>
      </c>
      <c r="Q2349">
        <v>38</v>
      </c>
      <c r="R2349">
        <v>11</v>
      </c>
      <c r="S2349">
        <v>11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11</v>
      </c>
      <c r="AA2349">
        <v>0</v>
      </c>
      <c r="AB2349">
        <v>0</v>
      </c>
      <c r="AD2349">
        <v>49</v>
      </c>
    </row>
    <row r="2350" spans="1:30" x14ac:dyDescent="0.3">
      <c r="A2350" s="4">
        <v>2371</v>
      </c>
      <c r="B2350" s="5">
        <v>2343</v>
      </c>
      <c r="C2350">
        <v>1859</v>
      </c>
      <c r="D2350" t="s">
        <v>5052</v>
      </c>
      <c r="E2350" t="s">
        <v>29</v>
      </c>
      <c r="F2350" t="s">
        <v>238</v>
      </c>
      <c r="G2350" t="s">
        <v>5053</v>
      </c>
      <c r="H2350" t="str">
        <f>"00863403"</f>
        <v>00863403</v>
      </c>
      <c r="I2350">
        <v>28.84</v>
      </c>
      <c r="J2350">
        <v>10</v>
      </c>
      <c r="N2350">
        <v>0</v>
      </c>
      <c r="O2350">
        <v>4</v>
      </c>
      <c r="P2350">
        <v>0</v>
      </c>
      <c r="Q2350">
        <v>42.84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6</v>
      </c>
      <c r="AB2350">
        <v>0</v>
      </c>
      <c r="AD2350">
        <v>48.84</v>
      </c>
    </row>
    <row r="2351" spans="1:30" x14ac:dyDescent="0.3">
      <c r="A2351" s="4">
        <v>2372</v>
      </c>
      <c r="B2351" s="5">
        <v>2344</v>
      </c>
      <c r="C2351">
        <v>2654</v>
      </c>
      <c r="D2351" t="s">
        <v>5054</v>
      </c>
      <c r="E2351" t="s">
        <v>54</v>
      </c>
      <c r="F2351" t="s">
        <v>158</v>
      </c>
      <c r="G2351" t="s">
        <v>5055</v>
      </c>
      <c r="H2351" t="str">
        <f>"00863127"</f>
        <v>00863127</v>
      </c>
      <c r="I2351">
        <v>38.799999999999997</v>
      </c>
      <c r="J2351">
        <v>0</v>
      </c>
      <c r="N2351">
        <v>0</v>
      </c>
      <c r="O2351">
        <v>4</v>
      </c>
      <c r="P2351">
        <v>0</v>
      </c>
      <c r="Q2351">
        <v>42.8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6</v>
      </c>
      <c r="AB2351">
        <v>0</v>
      </c>
      <c r="AD2351">
        <v>48.8</v>
      </c>
    </row>
    <row r="2352" spans="1:30" x14ac:dyDescent="0.3">
      <c r="A2352" s="4">
        <v>2373</v>
      </c>
      <c r="B2352" s="5">
        <v>2345</v>
      </c>
      <c r="C2352">
        <v>2546</v>
      </c>
      <c r="D2352" t="s">
        <v>5056</v>
      </c>
      <c r="E2352" t="s">
        <v>208</v>
      </c>
      <c r="F2352" t="s">
        <v>136</v>
      </c>
      <c r="G2352" t="s">
        <v>5057</v>
      </c>
      <c r="H2352" t="str">
        <f>"201402011385"</f>
        <v>201402011385</v>
      </c>
      <c r="I2352">
        <v>28.8</v>
      </c>
      <c r="J2352">
        <v>0</v>
      </c>
      <c r="K2352">
        <v>8</v>
      </c>
      <c r="N2352">
        <v>8</v>
      </c>
      <c r="O2352">
        <v>4</v>
      </c>
      <c r="P2352">
        <v>2</v>
      </c>
      <c r="Q2352">
        <v>42.8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6</v>
      </c>
      <c r="AB2352">
        <v>0</v>
      </c>
      <c r="AD2352">
        <v>48.8</v>
      </c>
    </row>
    <row r="2353" spans="1:30" x14ac:dyDescent="0.3">
      <c r="A2353" s="4">
        <v>2374</v>
      </c>
      <c r="B2353" s="5">
        <v>2346</v>
      </c>
      <c r="C2353">
        <v>2720</v>
      </c>
      <c r="D2353" t="s">
        <v>1170</v>
      </c>
      <c r="E2353" t="s">
        <v>54</v>
      </c>
      <c r="F2353" t="s">
        <v>30</v>
      </c>
      <c r="G2353" t="s">
        <v>5058</v>
      </c>
      <c r="H2353" t="str">
        <f>"00492775"</f>
        <v>00492775</v>
      </c>
      <c r="I2353">
        <v>28.8</v>
      </c>
      <c r="J2353">
        <v>0</v>
      </c>
      <c r="K2353">
        <v>8</v>
      </c>
      <c r="N2353">
        <v>8</v>
      </c>
      <c r="O2353">
        <v>4</v>
      </c>
      <c r="P2353">
        <v>2</v>
      </c>
      <c r="Q2353">
        <v>42.8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6</v>
      </c>
      <c r="AB2353">
        <v>0</v>
      </c>
      <c r="AD2353">
        <v>48.8</v>
      </c>
    </row>
    <row r="2354" spans="1:30" x14ac:dyDescent="0.3">
      <c r="A2354" s="4">
        <v>2375</v>
      </c>
      <c r="B2354" s="5">
        <v>2347</v>
      </c>
      <c r="C2354">
        <v>4067</v>
      </c>
      <c r="D2354" t="s">
        <v>5059</v>
      </c>
      <c r="E2354" t="s">
        <v>100</v>
      </c>
      <c r="F2354" t="s">
        <v>5060</v>
      </c>
      <c r="G2354" t="s">
        <v>5061</v>
      </c>
      <c r="H2354" t="str">
        <f>"00555684"</f>
        <v>00555684</v>
      </c>
      <c r="I2354">
        <v>38.799999999999997</v>
      </c>
      <c r="J2354">
        <v>0</v>
      </c>
      <c r="M2354">
        <v>4</v>
      </c>
      <c r="N2354">
        <v>4</v>
      </c>
      <c r="O2354">
        <v>4</v>
      </c>
      <c r="P2354">
        <v>2</v>
      </c>
      <c r="Q2354">
        <v>48.8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D2354">
        <v>48.8</v>
      </c>
    </row>
    <row r="2355" spans="1:30" x14ac:dyDescent="0.3">
      <c r="A2355" s="4">
        <v>2376</v>
      </c>
      <c r="B2355" s="5">
        <v>2348</v>
      </c>
      <c r="C2355">
        <v>4215</v>
      </c>
      <c r="D2355" t="s">
        <v>408</v>
      </c>
      <c r="E2355" t="s">
        <v>2011</v>
      </c>
      <c r="F2355" t="s">
        <v>136</v>
      </c>
      <c r="G2355" t="s">
        <v>5062</v>
      </c>
      <c r="H2355" t="str">
        <f>"00859363"</f>
        <v>00859363</v>
      </c>
      <c r="I2355">
        <v>38.799999999999997</v>
      </c>
      <c r="J2355">
        <v>0</v>
      </c>
      <c r="M2355">
        <v>4</v>
      </c>
      <c r="N2355">
        <v>4</v>
      </c>
      <c r="O2355">
        <v>4</v>
      </c>
      <c r="P2355">
        <v>2</v>
      </c>
      <c r="Q2355">
        <v>48.8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D2355">
        <v>48.8</v>
      </c>
    </row>
    <row r="2356" spans="1:30" x14ac:dyDescent="0.3">
      <c r="A2356" s="4">
        <v>2377</v>
      </c>
      <c r="B2356" s="5">
        <v>2349</v>
      </c>
      <c r="C2356">
        <v>1771</v>
      </c>
      <c r="D2356" t="s">
        <v>5063</v>
      </c>
      <c r="E2356" t="s">
        <v>100</v>
      </c>
      <c r="F2356" t="s">
        <v>17</v>
      </c>
      <c r="G2356" t="s">
        <v>5064</v>
      </c>
      <c r="H2356" t="str">
        <f>"00526721"</f>
        <v>00526721</v>
      </c>
      <c r="I2356">
        <v>38.799999999999997</v>
      </c>
      <c r="J2356">
        <v>0</v>
      </c>
      <c r="M2356">
        <v>4</v>
      </c>
      <c r="N2356">
        <v>4</v>
      </c>
      <c r="O2356">
        <v>4</v>
      </c>
      <c r="P2356">
        <v>2</v>
      </c>
      <c r="Q2356">
        <v>48.8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D2356">
        <v>48.8</v>
      </c>
    </row>
    <row r="2357" spans="1:30" x14ac:dyDescent="0.3">
      <c r="A2357" s="4">
        <v>2378</v>
      </c>
      <c r="B2357" s="5">
        <v>2350</v>
      </c>
      <c r="C2357">
        <v>772</v>
      </c>
      <c r="D2357" t="s">
        <v>5065</v>
      </c>
      <c r="E2357" t="s">
        <v>110</v>
      </c>
      <c r="F2357" t="s">
        <v>375</v>
      </c>
      <c r="G2357" t="s">
        <v>5066</v>
      </c>
      <c r="H2357" t="str">
        <f>"201604002940"</f>
        <v>201604002940</v>
      </c>
      <c r="I2357">
        <v>28.8</v>
      </c>
      <c r="J2357">
        <v>10</v>
      </c>
      <c r="M2357">
        <v>4</v>
      </c>
      <c r="N2357">
        <v>4</v>
      </c>
      <c r="O2357">
        <v>4</v>
      </c>
      <c r="P2357">
        <v>2</v>
      </c>
      <c r="Q2357">
        <v>48.8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D2357">
        <v>48.8</v>
      </c>
    </row>
    <row r="2358" spans="1:30" x14ac:dyDescent="0.3">
      <c r="A2358" s="4">
        <v>2379</v>
      </c>
      <c r="B2358" s="5">
        <v>2351</v>
      </c>
      <c r="C2358">
        <v>2847</v>
      </c>
      <c r="D2358" t="s">
        <v>5067</v>
      </c>
      <c r="E2358" t="s">
        <v>789</v>
      </c>
      <c r="F2358" t="s">
        <v>892</v>
      </c>
      <c r="G2358" t="s">
        <v>5068</v>
      </c>
      <c r="H2358" t="str">
        <f>"00730023"</f>
        <v>00730023</v>
      </c>
      <c r="I2358">
        <v>36.799999999999997</v>
      </c>
      <c r="J2358">
        <v>0</v>
      </c>
      <c r="N2358">
        <v>0</v>
      </c>
      <c r="O2358">
        <v>0</v>
      </c>
      <c r="P2358">
        <v>2</v>
      </c>
      <c r="Q2358">
        <v>38.799999999999997</v>
      </c>
      <c r="R2358">
        <v>10</v>
      </c>
      <c r="S2358">
        <v>10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10</v>
      </c>
      <c r="AA2358">
        <v>0</v>
      </c>
      <c r="AB2358">
        <v>0</v>
      </c>
      <c r="AD2358">
        <v>48.8</v>
      </c>
    </row>
    <row r="2359" spans="1:30" x14ac:dyDescent="0.3">
      <c r="A2359" s="4">
        <v>2380</v>
      </c>
      <c r="B2359" s="5">
        <v>2352</v>
      </c>
      <c r="C2359">
        <v>2556</v>
      </c>
      <c r="D2359" t="s">
        <v>181</v>
      </c>
      <c r="E2359" t="s">
        <v>1997</v>
      </c>
      <c r="F2359" t="s">
        <v>20</v>
      </c>
      <c r="G2359" t="s">
        <v>5069</v>
      </c>
      <c r="H2359" t="str">
        <f>"00527021"</f>
        <v>00527021</v>
      </c>
      <c r="I2359">
        <v>28.8</v>
      </c>
      <c r="J2359">
        <v>0</v>
      </c>
      <c r="N2359">
        <v>0</v>
      </c>
      <c r="O2359">
        <v>4</v>
      </c>
      <c r="P2359">
        <v>2</v>
      </c>
      <c r="Q2359">
        <v>34.799999999999997</v>
      </c>
      <c r="R2359">
        <v>14</v>
      </c>
      <c r="S2359">
        <v>14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14</v>
      </c>
      <c r="AA2359">
        <v>0</v>
      </c>
      <c r="AB2359">
        <v>0</v>
      </c>
      <c r="AD2359">
        <v>48.8</v>
      </c>
    </row>
    <row r="2360" spans="1:30" x14ac:dyDescent="0.3">
      <c r="A2360" s="4">
        <v>2381</v>
      </c>
      <c r="B2360" s="5">
        <v>2353</v>
      </c>
      <c r="C2360">
        <v>4010</v>
      </c>
      <c r="D2360" t="s">
        <v>3022</v>
      </c>
      <c r="E2360" t="s">
        <v>4362</v>
      </c>
      <c r="F2360" t="s">
        <v>124</v>
      </c>
      <c r="G2360" t="s">
        <v>5070</v>
      </c>
      <c r="H2360" t="str">
        <f>"00280723"</f>
        <v>00280723</v>
      </c>
      <c r="I2360">
        <v>37.76</v>
      </c>
      <c r="J2360">
        <v>0</v>
      </c>
      <c r="M2360">
        <v>4</v>
      </c>
      <c r="N2360">
        <v>4</v>
      </c>
      <c r="O2360">
        <v>4</v>
      </c>
      <c r="P2360">
        <v>0</v>
      </c>
      <c r="Q2360">
        <v>45.76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3</v>
      </c>
      <c r="AB2360">
        <v>0</v>
      </c>
      <c r="AD2360">
        <v>48.76</v>
      </c>
    </row>
    <row r="2361" spans="1:30" x14ac:dyDescent="0.3">
      <c r="A2361" s="4">
        <v>2382</v>
      </c>
      <c r="B2361" s="5">
        <v>2354</v>
      </c>
      <c r="C2361">
        <v>1628</v>
      </c>
      <c r="D2361" t="s">
        <v>5071</v>
      </c>
      <c r="E2361" t="s">
        <v>29</v>
      </c>
      <c r="F2361" t="s">
        <v>81</v>
      </c>
      <c r="G2361" t="s">
        <v>5072</v>
      </c>
      <c r="H2361" t="str">
        <f>"00391644"</f>
        <v>00391644</v>
      </c>
      <c r="I2361">
        <v>36.72</v>
      </c>
      <c r="J2361">
        <v>0</v>
      </c>
      <c r="N2361">
        <v>0</v>
      </c>
      <c r="O2361">
        <v>4</v>
      </c>
      <c r="P2361">
        <v>2</v>
      </c>
      <c r="Q2361">
        <v>42.72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6</v>
      </c>
      <c r="AB2361">
        <v>0</v>
      </c>
      <c r="AD2361">
        <v>48.72</v>
      </c>
    </row>
    <row r="2362" spans="1:30" x14ac:dyDescent="0.3">
      <c r="A2362" s="4">
        <v>2383</v>
      </c>
      <c r="B2362" s="5">
        <v>2355</v>
      </c>
      <c r="C2362">
        <v>3947</v>
      </c>
      <c r="D2362" t="s">
        <v>3350</v>
      </c>
      <c r="E2362" t="s">
        <v>560</v>
      </c>
      <c r="F2362" t="s">
        <v>81</v>
      </c>
      <c r="G2362" t="s">
        <v>5073</v>
      </c>
      <c r="H2362" t="str">
        <f>"00863855"</f>
        <v>00863855</v>
      </c>
      <c r="I2362">
        <v>38.68</v>
      </c>
      <c r="J2362">
        <v>0</v>
      </c>
      <c r="N2362">
        <v>0</v>
      </c>
      <c r="O2362">
        <v>4</v>
      </c>
      <c r="P2362">
        <v>0</v>
      </c>
      <c r="Q2362">
        <v>42.68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6</v>
      </c>
      <c r="AB2362">
        <v>0</v>
      </c>
      <c r="AD2362">
        <v>48.68</v>
      </c>
    </row>
    <row r="2363" spans="1:30" x14ac:dyDescent="0.3">
      <c r="A2363" s="4">
        <v>2384</v>
      </c>
      <c r="B2363" s="5">
        <v>2356</v>
      </c>
      <c r="C2363">
        <v>2966</v>
      </c>
      <c r="D2363" t="s">
        <v>5074</v>
      </c>
      <c r="E2363" t="s">
        <v>213</v>
      </c>
      <c r="F2363" t="s">
        <v>20</v>
      </c>
      <c r="G2363" t="s">
        <v>5075</v>
      </c>
      <c r="H2363" t="str">
        <f>"00697261"</f>
        <v>00697261</v>
      </c>
      <c r="I2363">
        <v>35.6</v>
      </c>
      <c r="J2363">
        <v>0</v>
      </c>
      <c r="N2363">
        <v>0</v>
      </c>
      <c r="O2363">
        <v>4</v>
      </c>
      <c r="P2363">
        <v>0</v>
      </c>
      <c r="Q2363">
        <v>39.6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9</v>
      </c>
      <c r="AB2363">
        <v>0</v>
      </c>
      <c r="AD2363">
        <v>48.6</v>
      </c>
    </row>
    <row r="2364" spans="1:30" x14ac:dyDescent="0.3">
      <c r="A2364" s="4">
        <v>2385</v>
      </c>
      <c r="B2364" s="5">
        <v>2357</v>
      </c>
      <c r="C2364">
        <v>3727</v>
      </c>
      <c r="D2364" t="s">
        <v>5076</v>
      </c>
      <c r="E2364" t="s">
        <v>100</v>
      </c>
      <c r="F2364" t="s">
        <v>20</v>
      </c>
      <c r="G2364" t="s">
        <v>5077</v>
      </c>
      <c r="H2364" t="str">
        <f>"200802003628"</f>
        <v>200802003628</v>
      </c>
      <c r="I2364">
        <v>21.6</v>
      </c>
      <c r="J2364">
        <v>0</v>
      </c>
      <c r="K2364">
        <v>8</v>
      </c>
      <c r="M2364">
        <v>4</v>
      </c>
      <c r="N2364">
        <v>12</v>
      </c>
      <c r="O2364">
        <v>4</v>
      </c>
      <c r="P2364">
        <v>2</v>
      </c>
      <c r="Q2364">
        <v>39.6</v>
      </c>
      <c r="R2364">
        <v>0</v>
      </c>
      <c r="S2364">
        <v>0</v>
      </c>
      <c r="T2364">
        <v>0</v>
      </c>
      <c r="U2364">
        <v>0</v>
      </c>
      <c r="V2364">
        <v>4</v>
      </c>
      <c r="W2364">
        <v>6</v>
      </c>
      <c r="X2364">
        <v>0</v>
      </c>
      <c r="Y2364">
        <v>0</v>
      </c>
      <c r="Z2364">
        <v>6</v>
      </c>
      <c r="AA2364">
        <v>3</v>
      </c>
      <c r="AB2364">
        <v>0</v>
      </c>
      <c r="AD2364">
        <v>48.6</v>
      </c>
    </row>
    <row r="2365" spans="1:30" x14ac:dyDescent="0.3">
      <c r="A2365" s="4">
        <v>2386</v>
      </c>
      <c r="B2365" s="5">
        <v>2358</v>
      </c>
      <c r="C2365">
        <v>1396</v>
      </c>
      <c r="D2365" t="s">
        <v>28</v>
      </c>
      <c r="E2365" t="s">
        <v>54</v>
      </c>
      <c r="F2365" t="s">
        <v>3511</v>
      </c>
      <c r="G2365" t="s">
        <v>5078</v>
      </c>
      <c r="H2365" t="str">
        <f>"00529676"</f>
        <v>00529676</v>
      </c>
      <c r="I2365">
        <v>21.6</v>
      </c>
      <c r="J2365">
        <v>0</v>
      </c>
      <c r="M2365">
        <v>4</v>
      </c>
      <c r="N2365">
        <v>4</v>
      </c>
      <c r="O2365">
        <v>4</v>
      </c>
      <c r="P2365">
        <v>2</v>
      </c>
      <c r="Q2365">
        <v>31.6</v>
      </c>
      <c r="R2365">
        <v>14</v>
      </c>
      <c r="S2365">
        <v>14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14</v>
      </c>
      <c r="AA2365">
        <v>3</v>
      </c>
      <c r="AB2365">
        <v>0</v>
      </c>
      <c r="AD2365">
        <v>48.6</v>
      </c>
    </row>
    <row r="2366" spans="1:30" x14ac:dyDescent="0.3">
      <c r="A2366" s="4">
        <v>2387</v>
      </c>
      <c r="B2366" s="5">
        <v>2359</v>
      </c>
      <c r="C2366">
        <v>3233</v>
      </c>
      <c r="D2366" t="s">
        <v>5079</v>
      </c>
      <c r="E2366" t="s">
        <v>5080</v>
      </c>
      <c r="F2366" t="s">
        <v>158</v>
      </c>
      <c r="G2366" t="s">
        <v>5081</v>
      </c>
      <c r="H2366" t="str">
        <f>"00530060"</f>
        <v>00530060</v>
      </c>
      <c r="I2366">
        <v>21.6</v>
      </c>
      <c r="J2366">
        <v>10</v>
      </c>
      <c r="M2366">
        <v>4</v>
      </c>
      <c r="N2366">
        <v>4</v>
      </c>
      <c r="O2366">
        <v>4</v>
      </c>
      <c r="P2366">
        <v>0</v>
      </c>
      <c r="Q2366">
        <v>39.6</v>
      </c>
      <c r="R2366">
        <v>9</v>
      </c>
      <c r="S2366">
        <v>9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9</v>
      </c>
      <c r="AA2366">
        <v>0</v>
      </c>
      <c r="AB2366">
        <v>0</v>
      </c>
      <c r="AD2366">
        <v>48.6</v>
      </c>
    </row>
    <row r="2367" spans="1:30" x14ac:dyDescent="0.3">
      <c r="A2367" s="4">
        <v>2388</v>
      </c>
      <c r="B2367" s="5">
        <v>2360</v>
      </c>
      <c r="C2367">
        <v>1439</v>
      </c>
      <c r="D2367" t="s">
        <v>5082</v>
      </c>
      <c r="E2367" t="s">
        <v>54</v>
      </c>
      <c r="F2367" t="s">
        <v>20</v>
      </c>
      <c r="G2367" t="s">
        <v>5083</v>
      </c>
      <c r="H2367" t="str">
        <f>"00391433"</f>
        <v>00391433</v>
      </c>
      <c r="I2367">
        <v>21.6</v>
      </c>
      <c r="J2367">
        <v>10</v>
      </c>
      <c r="N2367">
        <v>0</v>
      </c>
      <c r="O2367">
        <v>0</v>
      </c>
      <c r="P2367">
        <v>0</v>
      </c>
      <c r="Q2367">
        <v>31.6</v>
      </c>
      <c r="R2367">
        <v>17</v>
      </c>
      <c r="S2367">
        <v>17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17</v>
      </c>
      <c r="AA2367">
        <v>0</v>
      </c>
      <c r="AB2367">
        <v>0</v>
      </c>
      <c r="AD2367">
        <v>48.6</v>
      </c>
    </row>
    <row r="2368" spans="1:30" x14ac:dyDescent="0.3">
      <c r="A2368" s="4">
        <v>2389</v>
      </c>
      <c r="B2368" s="5">
        <v>2361</v>
      </c>
      <c r="C2368">
        <v>1162</v>
      </c>
      <c r="D2368" t="s">
        <v>5084</v>
      </c>
      <c r="E2368" t="s">
        <v>48</v>
      </c>
      <c r="F2368" t="s">
        <v>20</v>
      </c>
      <c r="G2368" t="s">
        <v>5085</v>
      </c>
      <c r="H2368" t="str">
        <f>"00083617"</f>
        <v>00083617</v>
      </c>
      <c r="I2368">
        <v>26.56</v>
      </c>
      <c r="J2368">
        <v>0</v>
      </c>
      <c r="N2368">
        <v>0</v>
      </c>
      <c r="O2368">
        <v>4</v>
      </c>
      <c r="P2368">
        <v>2</v>
      </c>
      <c r="Q2368">
        <v>32.56</v>
      </c>
      <c r="R2368">
        <v>10</v>
      </c>
      <c r="S2368">
        <v>10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10</v>
      </c>
      <c r="AA2368">
        <v>6</v>
      </c>
      <c r="AB2368">
        <v>0</v>
      </c>
      <c r="AD2368">
        <v>48.56</v>
      </c>
    </row>
    <row r="2369" spans="1:30" x14ac:dyDescent="0.3">
      <c r="A2369" s="4">
        <v>2390</v>
      </c>
      <c r="B2369" s="5">
        <v>2362</v>
      </c>
      <c r="C2369">
        <v>2508</v>
      </c>
      <c r="D2369" t="s">
        <v>5086</v>
      </c>
      <c r="E2369" t="s">
        <v>29</v>
      </c>
      <c r="F2369" t="s">
        <v>20</v>
      </c>
      <c r="G2369" t="s">
        <v>5087</v>
      </c>
      <c r="H2369" t="str">
        <f>"00093861"</f>
        <v>00093861</v>
      </c>
      <c r="I2369">
        <v>25.44</v>
      </c>
      <c r="J2369">
        <v>0</v>
      </c>
      <c r="K2369">
        <v>8</v>
      </c>
      <c r="N2369">
        <v>8</v>
      </c>
      <c r="O2369">
        <v>4</v>
      </c>
      <c r="P2369">
        <v>2</v>
      </c>
      <c r="Q2369">
        <v>39.44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9</v>
      </c>
      <c r="AB2369">
        <v>0</v>
      </c>
      <c r="AD2369">
        <v>48.44</v>
      </c>
    </row>
    <row r="2370" spans="1:30" x14ac:dyDescent="0.3">
      <c r="A2370" s="4">
        <v>2391</v>
      </c>
      <c r="B2370" s="5">
        <v>2363</v>
      </c>
      <c r="C2370">
        <v>2137</v>
      </c>
      <c r="D2370" t="s">
        <v>5088</v>
      </c>
      <c r="E2370" t="s">
        <v>41</v>
      </c>
      <c r="F2370" t="s">
        <v>243</v>
      </c>
      <c r="G2370" t="s">
        <v>5089</v>
      </c>
      <c r="H2370" t="str">
        <f>"00530457"</f>
        <v>00530457</v>
      </c>
      <c r="I2370">
        <v>35.44</v>
      </c>
      <c r="J2370">
        <v>0</v>
      </c>
      <c r="M2370">
        <v>4</v>
      </c>
      <c r="N2370">
        <v>4</v>
      </c>
      <c r="O2370">
        <v>4</v>
      </c>
      <c r="P2370">
        <v>2</v>
      </c>
      <c r="Q2370">
        <v>45.44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3</v>
      </c>
      <c r="AB2370">
        <v>0</v>
      </c>
      <c r="AD2370">
        <v>48.44</v>
      </c>
    </row>
    <row r="2371" spans="1:30" x14ac:dyDescent="0.3">
      <c r="A2371" s="4">
        <v>2392</v>
      </c>
      <c r="B2371" s="5">
        <v>2364</v>
      </c>
      <c r="C2371">
        <v>634</v>
      </c>
      <c r="D2371" t="s">
        <v>4013</v>
      </c>
      <c r="E2371" t="s">
        <v>213</v>
      </c>
      <c r="F2371" t="s">
        <v>17</v>
      </c>
      <c r="G2371" t="s">
        <v>5090</v>
      </c>
      <c r="H2371" t="str">
        <f>"00190792"</f>
        <v>00190792</v>
      </c>
      <c r="I2371">
        <v>30.4</v>
      </c>
      <c r="J2371">
        <v>0</v>
      </c>
      <c r="N2371">
        <v>0</v>
      </c>
      <c r="O2371">
        <v>4</v>
      </c>
      <c r="P2371">
        <v>2</v>
      </c>
      <c r="Q2371">
        <v>36.4</v>
      </c>
      <c r="R2371">
        <v>6</v>
      </c>
      <c r="S2371">
        <v>6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6</v>
      </c>
      <c r="AA2371">
        <v>6</v>
      </c>
      <c r="AB2371">
        <v>0</v>
      </c>
      <c r="AD2371">
        <v>48.4</v>
      </c>
    </row>
    <row r="2372" spans="1:30" x14ac:dyDescent="0.3">
      <c r="A2372" s="4">
        <v>2393</v>
      </c>
      <c r="B2372" s="5">
        <v>2365</v>
      </c>
      <c r="C2372">
        <v>4680</v>
      </c>
      <c r="D2372" t="s">
        <v>5091</v>
      </c>
      <c r="E2372" t="s">
        <v>37</v>
      </c>
      <c r="F2372" t="s">
        <v>375</v>
      </c>
      <c r="G2372" t="s">
        <v>5092</v>
      </c>
      <c r="H2372" t="str">
        <f>"00529769"</f>
        <v>00529769</v>
      </c>
      <c r="I2372">
        <v>26.4</v>
      </c>
      <c r="J2372">
        <v>0</v>
      </c>
      <c r="N2372">
        <v>0</v>
      </c>
      <c r="O2372">
        <v>0</v>
      </c>
      <c r="P2372">
        <v>2</v>
      </c>
      <c r="Q2372">
        <v>28.4</v>
      </c>
      <c r="R2372">
        <v>14</v>
      </c>
      <c r="S2372">
        <v>14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14</v>
      </c>
      <c r="AA2372">
        <v>6</v>
      </c>
      <c r="AB2372">
        <v>0</v>
      </c>
      <c r="AD2372">
        <v>48.4</v>
      </c>
    </row>
    <row r="2373" spans="1:30" x14ac:dyDescent="0.3">
      <c r="A2373" s="4">
        <v>2394</v>
      </c>
      <c r="B2373" s="5">
        <v>2366</v>
      </c>
      <c r="C2373">
        <v>4087</v>
      </c>
      <c r="D2373" t="s">
        <v>1035</v>
      </c>
      <c r="E2373" t="s">
        <v>132</v>
      </c>
      <c r="F2373" t="s">
        <v>117</v>
      </c>
      <c r="G2373" t="s">
        <v>5093</v>
      </c>
      <c r="H2373" t="str">
        <f>"00137360"</f>
        <v>00137360</v>
      </c>
      <c r="I2373">
        <v>38.4</v>
      </c>
      <c r="J2373">
        <v>0</v>
      </c>
      <c r="L2373">
        <v>6</v>
      </c>
      <c r="N2373">
        <v>6</v>
      </c>
      <c r="O2373">
        <v>4</v>
      </c>
      <c r="P2373">
        <v>0</v>
      </c>
      <c r="Q2373">
        <v>48.4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D2373">
        <v>48.4</v>
      </c>
    </row>
    <row r="2374" spans="1:30" x14ac:dyDescent="0.3">
      <c r="A2374" s="4">
        <v>2395</v>
      </c>
      <c r="B2374" s="5">
        <v>2367</v>
      </c>
      <c r="C2374">
        <v>756</v>
      </c>
      <c r="D2374" t="s">
        <v>701</v>
      </c>
      <c r="E2374" t="s">
        <v>115</v>
      </c>
      <c r="F2374" t="s">
        <v>1265</v>
      </c>
      <c r="G2374" t="s">
        <v>31997</v>
      </c>
      <c r="H2374" t="str">
        <f>"00530661"</f>
        <v>00530661</v>
      </c>
      <c r="I2374">
        <v>14.4</v>
      </c>
      <c r="J2374">
        <v>0</v>
      </c>
      <c r="K2374">
        <v>8</v>
      </c>
      <c r="N2374">
        <v>8</v>
      </c>
      <c r="O2374">
        <v>4</v>
      </c>
      <c r="P2374">
        <v>2</v>
      </c>
      <c r="Q2374">
        <v>28.4</v>
      </c>
      <c r="R2374">
        <v>20</v>
      </c>
      <c r="S2374">
        <v>20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20</v>
      </c>
      <c r="AA2374">
        <v>0</v>
      </c>
      <c r="AB2374">
        <v>0</v>
      </c>
      <c r="AD2374">
        <v>48.4</v>
      </c>
    </row>
    <row r="2375" spans="1:30" x14ac:dyDescent="0.3">
      <c r="A2375" s="4">
        <v>2396</v>
      </c>
      <c r="B2375" s="5">
        <v>2368</v>
      </c>
      <c r="C2375">
        <v>581</v>
      </c>
      <c r="D2375" t="s">
        <v>5094</v>
      </c>
      <c r="E2375" t="s">
        <v>37</v>
      </c>
      <c r="F2375" t="s">
        <v>136</v>
      </c>
      <c r="G2375" t="s">
        <v>5095</v>
      </c>
      <c r="H2375" t="str">
        <f>"201511010288"</f>
        <v>201511010288</v>
      </c>
      <c r="I2375">
        <v>14.4</v>
      </c>
      <c r="J2375">
        <v>0</v>
      </c>
      <c r="N2375">
        <v>0</v>
      </c>
      <c r="O2375">
        <v>4</v>
      </c>
      <c r="P2375">
        <v>2</v>
      </c>
      <c r="Q2375">
        <v>20.399999999999999</v>
      </c>
      <c r="R2375">
        <v>28</v>
      </c>
      <c r="S2375">
        <v>28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28</v>
      </c>
      <c r="AA2375">
        <v>0</v>
      </c>
      <c r="AB2375">
        <v>0</v>
      </c>
      <c r="AD2375">
        <v>48.4</v>
      </c>
    </row>
    <row r="2376" spans="1:30" x14ac:dyDescent="0.3">
      <c r="A2376" s="4">
        <v>2397</v>
      </c>
      <c r="B2376" s="5">
        <v>2369</v>
      </c>
      <c r="C2376">
        <v>3752</v>
      </c>
      <c r="D2376" t="s">
        <v>3849</v>
      </c>
      <c r="E2376" t="s">
        <v>97</v>
      </c>
      <c r="F2376" t="s">
        <v>190</v>
      </c>
      <c r="G2376" t="s">
        <v>5096</v>
      </c>
      <c r="H2376" t="str">
        <f>"00509663"</f>
        <v>00509663</v>
      </c>
      <c r="I2376">
        <v>14.4</v>
      </c>
      <c r="J2376">
        <v>0</v>
      </c>
      <c r="N2376">
        <v>0</v>
      </c>
      <c r="O2376">
        <v>0</v>
      </c>
      <c r="P2376">
        <v>0</v>
      </c>
      <c r="Q2376">
        <v>14.4</v>
      </c>
      <c r="R2376">
        <v>34</v>
      </c>
      <c r="S2376">
        <v>34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34</v>
      </c>
      <c r="AA2376">
        <v>0</v>
      </c>
      <c r="AB2376">
        <v>0</v>
      </c>
      <c r="AC2376" t="s">
        <v>130</v>
      </c>
      <c r="AD2376">
        <v>48.4</v>
      </c>
    </row>
    <row r="2377" spans="1:30" x14ac:dyDescent="0.3">
      <c r="A2377" s="4">
        <v>2398</v>
      </c>
      <c r="B2377" s="5">
        <v>2370</v>
      </c>
      <c r="C2377">
        <v>979</v>
      </c>
      <c r="D2377" t="s">
        <v>5097</v>
      </c>
      <c r="E2377" t="s">
        <v>88</v>
      </c>
      <c r="F2377" t="s">
        <v>68</v>
      </c>
      <c r="G2377" t="s">
        <v>5098</v>
      </c>
      <c r="H2377" t="str">
        <f>"00529812"</f>
        <v>00529812</v>
      </c>
      <c r="I2377">
        <v>14.4</v>
      </c>
      <c r="J2377">
        <v>0</v>
      </c>
      <c r="N2377">
        <v>0</v>
      </c>
      <c r="O2377">
        <v>4</v>
      </c>
      <c r="P2377">
        <v>0</v>
      </c>
      <c r="Q2377">
        <v>18.399999999999999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3</v>
      </c>
      <c r="AB2377">
        <v>26.8</v>
      </c>
      <c r="AD2377">
        <v>48.2</v>
      </c>
    </row>
    <row r="2378" spans="1:30" x14ac:dyDescent="0.3">
      <c r="A2378" s="4">
        <v>2399</v>
      </c>
      <c r="B2378" s="5">
        <v>2371</v>
      </c>
      <c r="C2378">
        <v>2336</v>
      </c>
      <c r="D2378" t="s">
        <v>5099</v>
      </c>
      <c r="E2378" t="s">
        <v>29</v>
      </c>
      <c r="F2378" t="s">
        <v>892</v>
      </c>
      <c r="G2378" t="s">
        <v>5100</v>
      </c>
      <c r="H2378" t="str">
        <f>"00370257"</f>
        <v>00370257</v>
      </c>
      <c r="I2378">
        <v>39.200000000000003</v>
      </c>
      <c r="J2378">
        <v>0</v>
      </c>
      <c r="N2378">
        <v>0</v>
      </c>
      <c r="O2378">
        <v>0</v>
      </c>
      <c r="P2378">
        <v>0</v>
      </c>
      <c r="Q2378">
        <v>39.200000000000003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9</v>
      </c>
      <c r="AB2378">
        <v>0</v>
      </c>
      <c r="AD2378">
        <v>48.2</v>
      </c>
    </row>
    <row r="2379" spans="1:30" x14ac:dyDescent="0.3">
      <c r="A2379" s="4">
        <v>2400</v>
      </c>
      <c r="B2379" s="5">
        <v>2372</v>
      </c>
      <c r="C2379">
        <v>2731</v>
      </c>
      <c r="D2379" t="s">
        <v>1566</v>
      </c>
      <c r="E2379" t="s">
        <v>5101</v>
      </c>
      <c r="F2379" t="s">
        <v>17</v>
      </c>
      <c r="G2379" t="s">
        <v>5102</v>
      </c>
      <c r="H2379" t="str">
        <f>"00860913"</f>
        <v>00860913</v>
      </c>
      <c r="I2379">
        <v>43.2</v>
      </c>
      <c r="J2379">
        <v>0</v>
      </c>
      <c r="N2379">
        <v>0</v>
      </c>
      <c r="O2379">
        <v>0</v>
      </c>
      <c r="P2379">
        <v>2</v>
      </c>
      <c r="Q2379">
        <v>45.2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3</v>
      </c>
      <c r="AB2379">
        <v>0</v>
      </c>
      <c r="AD2379">
        <v>48.2</v>
      </c>
    </row>
    <row r="2380" spans="1:30" x14ac:dyDescent="0.3">
      <c r="A2380" s="4">
        <v>2401</v>
      </c>
      <c r="B2380" s="5">
        <v>2373</v>
      </c>
      <c r="C2380">
        <v>4204</v>
      </c>
      <c r="D2380" t="s">
        <v>5103</v>
      </c>
      <c r="E2380" t="s">
        <v>166</v>
      </c>
      <c r="F2380" t="s">
        <v>20</v>
      </c>
      <c r="G2380" t="s">
        <v>5104</v>
      </c>
      <c r="H2380" t="str">
        <f>"00566353"</f>
        <v>00566353</v>
      </c>
      <c r="I2380">
        <v>39.200000000000003</v>
      </c>
      <c r="J2380">
        <v>0</v>
      </c>
      <c r="N2380">
        <v>0</v>
      </c>
      <c r="O2380">
        <v>4</v>
      </c>
      <c r="P2380">
        <v>2</v>
      </c>
      <c r="Q2380">
        <v>45.2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3</v>
      </c>
      <c r="AB2380">
        <v>0</v>
      </c>
      <c r="AD2380">
        <v>48.2</v>
      </c>
    </row>
    <row r="2381" spans="1:30" x14ac:dyDescent="0.3">
      <c r="A2381" s="4">
        <v>2402</v>
      </c>
      <c r="B2381" s="5">
        <v>2374</v>
      </c>
      <c r="C2381">
        <v>4459</v>
      </c>
      <c r="D2381" t="s">
        <v>324</v>
      </c>
      <c r="E2381" t="s">
        <v>1053</v>
      </c>
      <c r="F2381" t="s">
        <v>38</v>
      </c>
      <c r="G2381" t="s">
        <v>5105</v>
      </c>
      <c r="H2381" t="str">
        <f>"00530842"</f>
        <v>00530842</v>
      </c>
      <c r="I2381">
        <v>14.16</v>
      </c>
      <c r="J2381">
        <v>0</v>
      </c>
      <c r="K2381">
        <v>8</v>
      </c>
      <c r="N2381">
        <v>8</v>
      </c>
      <c r="O2381">
        <v>4</v>
      </c>
      <c r="P2381">
        <v>2</v>
      </c>
      <c r="Q2381">
        <v>28.16</v>
      </c>
      <c r="R2381">
        <v>14</v>
      </c>
      <c r="S2381">
        <v>14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14</v>
      </c>
      <c r="AA2381">
        <v>6</v>
      </c>
      <c r="AB2381">
        <v>0</v>
      </c>
      <c r="AD2381">
        <v>48.16</v>
      </c>
    </row>
    <row r="2382" spans="1:30" x14ac:dyDescent="0.3">
      <c r="A2382" s="4">
        <v>2403</v>
      </c>
      <c r="B2382" s="5">
        <v>2375</v>
      </c>
      <c r="C2382">
        <v>1524</v>
      </c>
      <c r="D2382" t="s">
        <v>5106</v>
      </c>
      <c r="E2382" t="s">
        <v>255</v>
      </c>
      <c r="F2382" t="s">
        <v>38</v>
      </c>
      <c r="G2382" t="s">
        <v>5107</v>
      </c>
      <c r="H2382" t="str">
        <f>"00441661"</f>
        <v>00441661</v>
      </c>
      <c r="I2382">
        <v>36</v>
      </c>
      <c r="J2382">
        <v>0</v>
      </c>
      <c r="N2382">
        <v>0</v>
      </c>
      <c r="O2382">
        <v>0</v>
      </c>
      <c r="P2382">
        <v>0</v>
      </c>
      <c r="Q2382">
        <v>36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12</v>
      </c>
      <c r="AB2382">
        <v>0</v>
      </c>
      <c r="AD2382">
        <v>48</v>
      </c>
    </row>
    <row r="2383" spans="1:30" x14ac:dyDescent="0.3">
      <c r="A2383" s="4">
        <v>2404</v>
      </c>
      <c r="B2383" s="5">
        <v>2376</v>
      </c>
      <c r="C2383">
        <v>2566</v>
      </c>
      <c r="D2383" t="s">
        <v>5108</v>
      </c>
      <c r="E2383" t="s">
        <v>1189</v>
      </c>
      <c r="F2383" t="s">
        <v>190</v>
      </c>
      <c r="G2383" t="s">
        <v>5109</v>
      </c>
      <c r="H2383" t="str">
        <f>"201511022924"</f>
        <v>201511022924</v>
      </c>
      <c r="I2383">
        <v>36</v>
      </c>
      <c r="J2383">
        <v>0</v>
      </c>
      <c r="N2383">
        <v>0</v>
      </c>
      <c r="O2383">
        <v>4</v>
      </c>
      <c r="P2383">
        <v>2</v>
      </c>
      <c r="Q2383">
        <v>42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6</v>
      </c>
      <c r="AB2383">
        <v>0</v>
      </c>
      <c r="AD2383">
        <v>48</v>
      </c>
    </row>
    <row r="2384" spans="1:30" x14ac:dyDescent="0.3">
      <c r="A2384" s="4">
        <v>2405</v>
      </c>
      <c r="B2384" s="5">
        <v>2377</v>
      </c>
      <c r="C2384">
        <v>3009</v>
      </c>
      <c r="D2384" t="s">
        <v>5110</v>
      </c>
      <c r="E2384" t="s">
        <v>219</v>
      </c>
      <c r="F2384" t="s">
        <v>17</v>
      </c>
      <c r="G2384" t="s">
        <v>5111</v>
      </c>
      <c r="H2384" t="str">
        <f>"00559475"</f>
        <v>00559475</v>
      </c>
      <c r="I2384">
        <v>36</v>
      </c>
      <c r="J2384">
        <v>0</v>
      </c>
      <c r="N2384">
        <v>0</v>
      </c>
      <c r="O2384">
        <v>4</v>
      </c>
      <c r="P2384">
        <v>2</v>
      </c>
      <c r="Q2384">
        <v>42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6</v>
      </c>
      <c r="AB2384">
        <v>0</v>
      </c>
      <c r="AD2384">
        <v>48</v>
      </c>
    </row>
    <row r="2385" spans="1:30" x14ac:dyDescent="0.3">
      <c r="A2385" s="4">
        <v>2406</v>
      </c>
      <c r="B2385" s="5">
        <v>2378</v>
      </c>
      <c r="C2385">
        <v>114</v>
      </c>
      <c r="D2385" t="s">
        <v>5112</v>
      </c>
      <c r="E2385" t="s">
        <v>33</v>
      </c>
      <c r="F2385" t="s">
        <v>62</v>
      </c>
      <c r="G2385" t="s">
        <v>5113</v>
      </c>
      <c r="H2385" t="str">
        <f>"00112573"</f>
        <v>00112573</v>
      </c>
      <c r="I2385">
        <v>40</v>
      </c>
      <c r="J2385">
        <v>0</v>
      </c>
      <c r="M2385">
        <v>4</v>
      </c>
      <c r="N2385">
        <v>4</v>
      </c>
      <c r="O2385">
        <v>4</v>
      </c>
      <c r="P2385">
        <v>0</v>
      </c>
      <c r="Q2385">
        <v>48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D2385">
        <v>48</v>
      </c>
    </row>
    <row r="2386" spans="1:30" x14ac:dyDescent="0.3">
      <c r="A2386" s="4">
        <v>2407</v>
      </c>
      <c r="B2386" s="5">
        <v>2379</v>
      </c>
      <c r="C2386">
        <v>2877</v>
      </c>
      <c r="D2386" t="s">
        <v>5114</v>
      </c>
      <c r="E2386" t="s">
        <v>170</v>
      </c>
      <c r="F2386" t="s">
        <v>416</v>
      </c>
      <c r="G2386" t="s">
        <v>5115</v>
      </c>
      <c r="H2386" t="str">
        <f>"00863030"</f>
        <v>00863030</v>
      </c>
      <c r="I2386">
        <v>40</v>
      </c>
      <c r="J2386">
        <v>0</v>
      </c>
      <c r="M2386">
        <v>4</v>
      </c>
      <c r="N2386">
        <v>4</v>
      </c>
      <c r="O2386">
        <v>4</v>
      </c>
      <c r="P2386">
        <v>0</v>
      </c>
      <c r="Q2386">
        <v>48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D2386">
        <v>48</v>
      </c>
    </row>
    <row r="2387" spans="1:30" x14ac:dyDescent="0.3">
      <c r="A2387" s="4">
        <v>2408</v>
      </c>
      <c r="B2387" s="5">
        <v>2380</v>
      </c>
      <c r="C2387">
        <v>3266</v>
      </c>
      <c r="D2387" t="s">
        <v>5116</v>
      </c>
      <c r="E2387" t="s">
        <v>575</v>
      </c>
      <c r="F2387" t="s">
        <v>38</v>
      </c>
      <c r="G2387" t="s">
        <v>5117</v>
      </c>
      <c r="H2387" t="str">
        <f>"00861033"</f>
        <v>00861033</v>
      </c>
      <c r="I2387">
        <v>40</v>
      </c>
      <c r="J2387">
        <v>0</v>
      </c>
      <c r="M2387">
        <v>4</v>
      </c>
      <c r="N2387">
        <v>4</v>
      </c>
      <c r="O2387">
        <v>4</v>
      </c>
      <c r="P2387">
        <v>0</v>
      </c>
      <c r="Q2387">
        <v>48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D2387">
        <v>48</v>
      </c>
    </row>
    <row r="2388" spans="1:30" x14ac:dyDescent="0.3">
      <c r="A2388" s="4">
        <v>2409</v>
      </c>
      <c r="B2388" s="5">
        <v>2381</v>
      </c>
      <c r="C2388">
        <v>1643</v>
      </c>
      <c r="D2388" t="s">
        <v>3968</v>
      </c>
      <c r="E2388" t="s">
        <v>22</v>
      </c>
      <c r="F2388" t="s">
        <v>136</v>
      </c>
      <c r="G2388" t="s">
        <v>5118</v>
      </c>
      <c r="H2388" t="str">
        <f>"00856407"</f>
        <v>00856407</v>
      </c>
      <c r="I2388">
        <v>40</v>
      </c>
      <c r="J2388">
        <v>0</v>
      </c>
      <c r="M2388">
        <v>4</v>
      </c>
      <c r="N2388">
        <v>4</v>
      </c>
      <c r="O2388">
        <v>4</v>
      </c>
      <c r="P2388">
        <v>0</v>
      </c>
      <c r="Q2388">
        <v>48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D2388">
        <v>48</v>
      </c>
    </row>
    <row r="2389" spans="1:30" x14ac:dyDescent="0.3">
      <c r="A2389" s="4">
        <v>2410</v>
      </c>
      <c r="B2389" s="5">
        <v>2382</v>
      </c>
      <c r="C2389">
        <v>3765</v>
      </c>
      <c r="D2389" t="s">
        <v>5119</v>
      </c>
      <c r="E2389" t="s">
        <v>29</v>
      </c>
      <c r="F2389" t="s">
        <v>68</v>
      </c>
      <c r="G2389" t="s">
        <v>5120</v>
      </c>
      <c r="H2389" t="str">
        <f>"00795826"</f>
        <v>00795826</v>
      </c>
      <c r="I2389">
        <v>36</v>
      </c>
      <c r="J2389">
        <v>0</v>
      </c>
      <c r="K2389">
        <v>8</v>
      </c>
      <c r="N2389">
        <v>8</v>
      </c>
      <c r="O2389">
        <v>4</v>
      </c>
      <c r="P2389">
        <v>0</v>
      </c>
      <c r="Q2389">
        <v>48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D2389">
        <v>48</v>
      </c>
    </row>
    <row r="2390" spans="1:30" x14ac:dyDescent="0.3">
      <c r="A2390" s="4">
        <v>2411</v>
      </c>
      <c r="B2390" s="5">
        <v>2383</v>
      </c>
      <c r="C2390">
        <v>2501</v>
      </c>
      <c r="D2390" t="s">
        <v>1329</v>
      </c>
      <c r="E2390" t="s">
        <v>100</v>
      </c>
      <c r="F2390" t="s">
        <v>158</v>
      </c>
      <c r="G2390" t="s">
        <v>5121</v>
      </c>
      <c r="H2390" t="str">
        <f>"00208906"</f>
        <v>00208906</v>
      </c>
      <c r="I2390">
        <v>36</v>
      </c>
      <c r="J2390">
        <v>0</v>
      </c>
      <c r="K2390">
        <v>8</v>
      </c>
      <c r="N2390">
        <v>8</v>
      </c>
      <c r="O2390">
        <v>4</v>
      </c>
      <c r="P2390">
        <v>0</v>
      </c>
      <c r="Q2390">
        <v>48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D2390">
        <v>48</v>
      </c>
    </row>
    <row r="2391" spans="1:30" x14ac:dyDescent="0.3">
      <c r="A2391" s="4">
        <v>2412</v>
      </c>
      <c r="B2391" s="5">
        <v>2384</v>
      </c>
      <c r="C2391">
        <v>2953</v>
      </c>
      <c r="D2391" t="s">
        <v>902</v>
      </c>
      <c r="E2391" t="s">
        <v>575</v>
      </c>
      <c r="F2391" t="s">
        <v>17</v>
      </c>
      <c r="G2391" t="s">
        <v>5122</v>
      </c>
      <c r="H2391" t="str">
        <f>"00553697"</f>
        <v>00553697</v>
      </c>
      <c r="I2391">
        <v>34</v>
      </c>
      <c r="J2391">
        <v>0</v>
      </c>
      <c r="K2391">
        <v>8</v>
      </c>
      <c r="N2391">
        <v>8</v>
      </c>
      <c r="O2391">
        <v>4</v>
      </c>
      <c r="P2391">
        <v>2</v>
      </c>
      <c r="Q2391">
        <v>48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 t="s">
        <v>130</v>
      </c>
      <c r="AD2391">
        <v>48</v>
      </c>
    </row>
    <row r="2392" spans="1:30" x14ac:dyDescent="0.3">
      <c r="A2392" s="4">
        <v>2413</v>
      </c>
      <c r="B2392" s="5">
        <v>2385</v>
      </c>
      <c r="C2392">
        <v>2337</v>
      </c>
      <c r="D2392" t="s">
        <v>860</v>
      </c>
      <c r="E2392" t="s">
        <v>54</v>
      </c>
      <c r="F2392" t="s">
        <v>20</v>
      </c>
      <c r="G2392" t="s">
        <v>5123</v>
      </c>
      <c r="H2392" t="str">
        <f>"201511041141"</f>
        <v>201511041141</v>
      </c>
      <c r="I2392">
        <v>32</v>
      </c>
      <c r="J2392">
        <v>0</v>
      </c>
      <c r="M2392">
        <v>4</v>
      </c>
      <c r="N2392">
        <v>4</v>
      </c>
      <c r="O2392">
        <v>4</v>
      </c>
      <c r="P2392">
        <v>0</v>
      </c>
      <c r="Q2392">
        <v>40</v>
      </c>
      <c r="R2392">
        <v>8</v>
      </c>
      <c r="S2392">
        <v>8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8</v>
      </c>
      <c r="AA2392">
        <v>0</v>
      </c>
      <c r="AB2392">
        <v>0</v>
      </c>
      <c r="AD2392">
        <v>48</v>
      </c>
    </row>
    <row r="2393" spans="1:30" x14ac:dyDescent="0.3">
      <c r="A2393" s="4">
        <v>2414</v>
      </c>
      <c r="B2393" s="5">
        <v>2386</v>
      </c>
      <c r="C2393">
        <v>713</v>
      </c>
      <c r="D2393" t="s">
        <v>5124</v>
      </c>
      <c r="E2393" t="s">
        <v>41</v>
      </c>
      <c r="F2393" t="s">
        <v>20</v>
      </c>
      <c r="G2393" t="s">
        <v>5125</v>
      </c>
      <c r="H2393" t="str">
        <f>"00531548"</f>
        <v>00531548</v>
      </c>
      <c r="I2393">
        <v>36.880000000000003</v>
      </c>
      <c r="J2393">
        <v>0</v>
      </c>
      <c r="N2393">
        <v>0</v>
      </c>
      <c r="O2393">
        <v>0</v>
      </c>
      <c r="P2393">
        <v>2</v>
      </c>
      <c r="Q2393">
        <v>38.880000000000003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9</v>
      </c>
      <c r="AB2393">
        <v>0</v>
      </c>
      <c r="AD2393">
        <v>47.88</v>
      </c>
    </row>
    <row r="2394" spans="1:30" x14ac:dyDescent="0.3">
      <c r="A2394" s="4">
        <v>2415</v>
      </c>
      <c r="B2394" s="5">
        <v>2387</v>
      </c>
      <c r="C2394">
        <v>1286</v>
      </c>
      <c r="D2394" t="s">
        <v>5126</v>
      </c>
      <c r="E2394" t="s">
        <v>54</v>
      </c>
      <c r="F2394" t="s">
        <v>136</v>
      </c>
      <c r="G2394" t="s">
        <v>5127</v>
      </c>
      <c r="H2394" t="str">
        <f>"00770137"</f>
        <v>00770137</v>
      </c>
      <c r="I2394">
        <v>36.799999999999997</v>
      </c>
      <c r="J2394">
        <v>0</v>
      </c>
      <c r="M2394">
        <v>4</v>
      </c>
      <c r="N2394">
        <v>4</v>
      </c>
      <c r="O2394">
        <v>4</v>
      </c>
      <c r="P2394">
        <v>0</v>
      </c>
      <c r="Q2394">
        <v>44.8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3</v>
      </c>
      <c r="AB2394">
        <v>0</v>
      </c>
      <c r="AD2394">
        <v>47.8</v>
      </c>
    </row>
    <row r="2395" spans="1:30" x14ac:dyDescent="0.3">
      <c r="A2395" s="4">
        <v>2416</v>
      </c>
      <c r="B2395" s="5">
        <v>2388</v>
      </c>
      <c r="C2395">
        <v>3048</v>
      </c>
      <c r="D2395" t="s">
        <v>5128</v>
      </c>
      <c r="E2395" t="s">
        <v>149</v>
      </c>
      <c r="F2395" t="s">
        <v>328</v>
      </c>
      <c r="G2395" t="s">
        <v>5129</v>
      </c>
      <c r="H2395" t="str">
        <f>"00479885"</f>
        <v>00479885</v>
      </c>
      <c r="I2395">
        <v>28.8</v>
      </c>
      <c r="J2395">
        <v>10</v>
      </c>
      <c r="N2395">
        <v>0</v>
      </c>
      <c r="O2395">
        <v>4</v>
      </c>
      <c r="P2395">
        <v>2</v>
      </c>
      <c r="Q2395">
        <v>44.8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3</v>
      </c>
      <c r="AB2395">
        <v>0</v>
      </c>
      <c r="AD2395">
        <v>47.8</v>
      </c>
    </row>
    <row r="2396" spans="1:30" x14ac:dyDescent="0.3">
      <c r="A2396" s="4">
        <v>2417</v>
      </c>
      <c r="B2396" s="5">
        <v>2389</v>
      </c>
      <c r="C2396">
        <v>1761</v>
      </c>
      <c r="D2396" t="s">
        <v>5130</v>
      </c>
      <c r="E2396" t="s">
        <v>110</v>
      </c>
      <c r="F2396" t="s">
        <v>30</v>
      </c>
      <c r="G2396" t="s">
        <v>5131</v>
      </c>
      <c r="H2396" t="str">
        <f>"201511021048"</f>
        <v>201511021048</v>
      </c>
      <c r="I2396">
        <v>13.8</v>
      </c>
      <c r="J2396">
        <v>0</v>
      </c>
      <c r="N2396">
        <v>0</v>
      </c>
      <c r="O2396">
        <v>4</v>
      </c>
      <c r="P2396">
        <v>2</v>
      </c>
      <c r="Q2396">
        <v>19.8</v>
      </c>
      <c r="R2396">
        <v>25</v>
      </c>
      <c r="S2396">
        <v>25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25</v>
      </c>
      <c r="AA2396">
        <v>3</v>
      </c>
      <c r="AB2396">
        <v>0</v>
      </c>
      <c r="AD2396">
        <v>47.8</v>
      </c>
    </row>
    <row r="2397" spans="1:30" x14ac:dyDescent="0.3">
      <c r="A2397" s="4">
        <v>2418</v>
      </c>
      <c r="B2397" s="5">
        <v>2390</v>
      </c>
      <c r="C2397">
        <v>2496</v>
      </c>
      <c r="D2397" t="s">
        <v>5132</v>
      </c>
      <c r="E2397" t="s">
        <v>143</v>
      </c>
      <c r="F2397" t="s">
        <v>81</v>
      </c>
      <c r="G2397" t="s">
        <v>5133</v>
      </c>
      <c r="H2397" t="str">
        <f>"00155018"</f>
        <v>00155018</v>
      </c>
      <c r="I2397">
        <v>28.8</v>
      </c>
      <c r="J2397">
        <v>0</v>
      </c>
      <c r="K2397">
        <v>8</v>
      </c>
      <c r="N2397">
        <v>8</v>
      </c>
      <c r="O2397">
        <v>4</v>
      </c>
      <c r="P2397">
        <v>2</v>
      </c>
      <c r="Q2397">
        <v>42.8</v>
      </c>
      <c r="R2397">
        <v>5</v>
      </c>
      <c r="S2397">
        <v>5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5</v>
      </c>
      <c r="AA2397">
        <v>0</v>
      </c>
      <c r="AB2397">
        <v>0</v>
      </c>
      <c r="AD2397">
        <v>47.8</v>
      </c>
    </row>
    <row r="2398" spans="1:30" x14ac:dyDescent="0.3">
      <c r="A2398" s="4">
        <v>2419</v>
      </c>
      <c r="B2398" s="5">
        <v>2391</v>
      </c>
      <c r="C2398">
        <v>2825</v>
      </c>
      <c r="D2398" t="s">
        <v>5134</v>
      </c>
      <c r="E2398" t="s">
        <v>5135</v>
      </c>
      <c r="F2398" t="s">
        <v>587</v>
      </c>
      <c r="G2398" t="s">
        <v>5136</v>
      </c>
      <c r="H2398" t="str">
        <f>"00528048"</f>
        <v>00528048</v>
      </c>
      <c r="I2398">
        <v>2.74</v>
      </c>
      <c r="J2398">
        <v>0</v>
      </c>
      <c r="N2398">
        <v>0</v>
      </c>
      <c r="O2398">
        <v>0</v>
      </c>
      <c r="P2398">
        <v>2</v>
      </c>
      <c r="Q2398">
        <v>4.74</v>
      </c>
      <c r="R2398">
        <v>37</v>
      </c>
      <c r="S2398">
        <v>37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37</v>
      </c>
      <c r="AA2398">
        <v>6</v>
      </c>
      <c r="AB2398">
        <v>0</v>
      </c>
      <c r="AD2398">
        <v>47.74</v>
      </c>
    </row>
    <row r="2399" spans="1:30" x14ac:dyDescent="0.3">
      <c r="A2399" s="4">
        <v>2420</v>
      </c>
      <c r="B2399" s="5">
        <v>2392</v>
      </c>
      <c r="C2399">
        <v>511</v>
      </c>
      <c r="D2399" t="s">
        <v>5137</v>
      </c>
      <c r="E2399" t="s">
        <v>117</v>
      </c>
      <c r="F2399" t="s">
        <v>124</v>
      </c>
      <c r="G2399" t="s">
        <v>5138</v>
      </c>
      <c r="H2399" t="str">
        <f>"00091876"</f>
        <v>00091876</v>
      </c>
      <c r="I2399">
        <v>30.68</v>
      </c>
      <c r="J2399">
        <v>0</v>
      </c>
      <c r="M2399">
        <v>4</v>
      </c>
      <c r="N2399">
        <v>4</v>
      </c>
      <c r="O2399">
        <v>0</v>
      </c>
      <c r="P2399">
        <v>0</v>
      </c>
      <c r="Q2399">
        <v>34.68</v>
      </c>
      <c r="R2399">
        <v>13</v>
      </c>
      <c r="S2399">
        <v>13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13</v>
      </c>
      <c r="AA2399">
        <v>0</v>
      </c>
      <c r="AB2399">
        <v>0</v>
      </c>
      <c r="AD2399">
        <v>47.68</v>
      </c>
    </row>
    <row r="2400" spans="1:30" x14ac:dyDescent="0.3">
      <c r="A2400" s="4">
        <v>2421</v>
      </c>
      <c r="B2400" s="5">
        <v>2393</v>
      </c>
      <c r="C2400">
        <v>3607</v>
      </c>
      <c r="D2400" t="s">
        <v>267</v>
      </c>
      <c r="E2400" t="s">
        <v>5139</v>
      </c>
      <c r="F2400" t="s">
        <v>20</v>
      </c>
      <c r="G2400" t="s">
        <v>5140</v>
      </c>
      <c r="H2400" t="str">
        <f>"00524573"</f>
        <v>00524573</v>
      </c>
      <c r="I2400">
        <v>21.6</v>
      </c>
      <c r="J2400">
        <v>0</v>
      </c>
      <c r="K2400">
        <v>8</v>
      </c>
      <c r="N2400">
        <v>8</v>
      </c>
      <c r="O2400">
        <v>4</v>
      </c>
      <c r="P2400">
        <v>2</v>
      </c>
      <c r="Q2400">
        <v>35.6</v>
      </c>
      <c r="R2400">
        <v>3</v>
      </c>
      <c r="S2400">
        <v>3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3</v>
      </c>
      <c r="AA2400">
        <v>9</v>
      </c>
      <c r="AB2400">
        <v>0</v>
      </c>
      <c r="AD2400">
        <v>47.6</v>
      </c>
    </row>
    <row r="2401" spans="1:30" x14ac:dyDescent="0.3">
      <c r="A2401" s="4">
        <v>2422</v>
      </c>
      <c r="B2401" s="5">
        <v>2394</v>
      </c>
      <c r="C2401">
        <v>1474</v>
      </c>
      <c r="D2401" t="s">
        <v>2651</v>
      </c>
      <c r="E2401" t="s">
        <v>5141</v>
      </c>
      <c r="F2401" t="s">
        <v>1812</v>
      </c>
      <c r="G2401" t="s">
        <v>5142</v>
      </c>
      <c r="H2401" t="str">
        <f>"00793249"</f>
        <v>00793249</v>
      </c>
      <c r="I2401">
        <v>37.6</v>
      </c>
      <c r="J2401">
        <v>0</v>
      </c>
      <c r="N2401">
        <v>0</v>
      </c>
      <c r="O2401">
        <v>4</v>
      </c>
      <c r="P2401">
        <v>0</v>
      </c>
      <c r="Q2401">
        <v>41.6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6</v>
      </c>
      <c r="AB2401">
        <v>0</v>
      </c>
      <c r="AD2401">
        <v>47.6</v>
      </c>
    </row>
    <row r="2402" spans="1:30" x14ac:dyDescent="0.3">
      <c r="A2402" s="4">
        <v>2423</v>
      </c>
      <c r="B2402" s="5">
        <v>2395</v>
      </c>
      <c r="C2402">
        <v>1444</v>
      </c>
      <c r="D2402" t="s">
        <v>1133</v>
      </c>
      <c r="E2402" t="s">
        <v>41</v>
      </c>
      <c r="F2402" t="s">
        <v>91</v>
      </c>
      <c r="G2402" t="s">
        <v>5143</v>
      </c>
      <c r="H2402" t="str">
        <f>"00530514"</f>
        <v>00530514</v>
      </c>
      <c r="I2402">
        <v>21.6</v>
      </c>
      <c r="J2402">
        <v>0</v>
      </c>
      <c r="N2402">
        <v>0</v>
      </c>
      <c r="O2402">
        <v>4</v>
      </c>
      <c r="P2402">
        <v>0</v>
      </c>
      <c r="Q2402">
        <v>25.6</v>
      </c>
      <c r="R2402">
        <v>16</v>
      </c>
      <c r="S2402">
        <v>16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16</v>
      </c>
      <c r="AA2402">
        <v>6</v>
      </c>
      <c r="AB2402">
        <v>0</v>
      </c>
      <c r="AD2402">
        <v>47.6</v>
      </c>
    </row>
    <row r="2403" spans="1:30" x14ac:dyDescent="0.3">
      <c r="A2403" s="4">
        <v>2424</v>
      </c>
      <c r="B2403" s="5">
        <v>2396</v>
      </c>
      <c r="C2403">
        <v>2687</v>
      </c>
      <c r="D2403" t="s">
        <v>5144</v>
      </c>
      <c r="E2403" t="s">
        <v>268</v>
      </c>
      <c r="F2403" t="s">
        <v>17</v>
      </c>
      <c r="G2403" t="s">
        <v>5145</v>
      </c>
      <c r="H2403" t="str">
        <f>"00227010"</f>
        <v>00227010</v>
      </c>
      <c r="I2403">
        <v>39.6</v>
      </c>
      <c r="J2403">
        <v>0</v>
      </c>
      <c r="M2403">
        <v>4</v>
      </c>
      <c r="N2403">
        <v>4</v>
      </c>
      <c r="O2403">
        <v>4</v>
      </c>
      <c r="P2403">
        <v>0</v>
      </c>
      <c r="Q2403">
        <v>47.6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D2403">
        <v>47.6</v>
      </c>
    </row>
    <row r="2404" spans="1:30" x14ac:dyDescent="0.3">
      <c r="A2404" s="4">
        <v>2425</v>
      </c>
      <c r="B2404" s="5">
        <v>2397</v>
      </c>
      <c r="C2404">
        <v>3424</v>
      </c>
      <c r="D2404" t="s">
        <v>5146</v>
      </c>
      <c r="E2404" t="s">
        <v>5147</v>
      </c>
      <c r="F2404" t="s">
        <v>822</v>
      </c>
      <c r="G2404" t="s">
        <v>5148</v>
      </c>
      <c r="H2404" t="str">
        <f>"00859025"</f>
        <v>00859025</v>
      </c>
      <c r="I2404">
        <v>39.6</v>
      </c>
      <c r="J2404">
        <v>0</v>
      </c>
      <c r="M2404">
        <v>4</v>
      </c>
      <c r="N2404">
        <v>4</v>
      </c>
      <c r="O2404">
        <v>4</v>
      </c>
      <c r="P2404">
        <v>0</v>
      </c>
      <c r="Q2404">
        <v>47.6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D2404">
        <v>47.6</v>
      </c>
    </row>
    <row r="2405" spans="1:30" x14ac:dyDescent="0.3">
      <c r="A2405" s="4">
        <v>2426</v>
      </c>
      <c r="B2405" s="5">
        <v>2398</v>
      </c>
      <c r="C2405">
        <v>2173</v>
      </c>
      <c r="D2405" t="s">
        <v>5149</v>
      </c>
      <c r="E2405" t="s">
        <v>178</v>
      </c>
      <c r="F2405" t="s">
        <v>52</v>
      </c>
      <c r="G2405" t="s">
        <v>5150</v>
      </c>
      <c r="H2405" t="str">
        <f>"00861268"</f>
        <v>00861268</v>
      </c>
      <c r="I2405">
        <v>39.6</v>
      </c>
      <c r="J2405">
        <v>0</v>
      </c>
      <c r="M2405">
        <v>4</v>
      </c>
      <c r="N2405">
        <v>4</v>
      </c>
      <c r="O2405">
        <v>4</v>
      </c>
      <c r="P2405">
        <v>0</v>
      </c>
      <c r="Q2405">
        <v>47.6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D2405">
        <v>47.6</v>
      </c>
    </row>
    <row r="2406" spans="1:30" x14ac:dyDescent="0.3">
      <c r="A2406" s="4">
        <v>2427</v>
      </c>
      <c r="B2406" s="5">
        <v>2399</v>
      </c>
      <c r="C2406">
        <v>3152</v>
      </c>
      <c r="D2406" t="s">
        <v>5151</v>
      </c>
      <c r="E2406" t="s">
        <v>5152</v>
      </c>
      <c r="F2406" t="s">
        <v>17</v>
      </c>
      <c r="G2406" t="s">
        <v>5153</v>
      </c>
      <c r="H2406" t="str">
        <f>"00855912"</f>
        <v>00855912</v>
      </c>
      <c r="I2406">
        <v>39.6</v>
      </c>
      <c r="J2406">
        <v>0</v>
      </c>
      <c r="M2406">
        <v>4</v>
      </c>
      <c r="N2406">
        <v>4</v>
      </c>
      <c r="O2406">
        <v>4</v>
      </c>
      <c r="P2406">
        <v>0</v>
      </c>
      <c r="Q2406">
        <v>47.6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D2406">
        <v>47.6</v>
      </c>
    </row>
    <row r="2407" spans="1:30" x14ac:dyDescent="0.3">
      <c r="A2407" s="4">
        <v>2428</v>
      </c>
      <c r="B2407" s="5">
        <v>2400</v>
      </c>
      <c r="C2407">
        <v>1503</v>
      </c>
      <c r="D2407" t="s">
        <v>3764</v>
      </c>
      <c r="E2407" t="s">
        <v>335</v>
      </c>
      <c r="F2407" t="s">
        <v>230</v>
      </c>
      <c r="G2407" t="s">
        <v>5154</v>
      </c>
      <c r="H2407" t="str">
        <f>"00657862"</f>
        <v>00657862</v>
      </c>
      <c r="I2407">
        <v>37.6</v>
      </c>
      <c r="J2407">
        <v>10</v>
      </c>
      <c r="N2407">
        <v>0</v>
      </c>
      <c r="O2407">
        <v>0</v>
      </c>
      <c r="P2407">
        <v>0</v>
      </c>
      <c r="Q2407">
        <v>47.6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D2407">
        <v>47.6</v>
      </c>
    </row>
    <row r="2408" spans="1:30" x14ac:dyDescent="0.3">
      <c r="A2408" s="4">
        <v>2429</v>
      </c>
      <c r="B2408" s="5">
        <v>2401</v>
      </c>
      <c r="C2408">
        <v>4254</v>
      </c>
      <c r="D2408" t="s">
        <v>5155</v>
      </c>
      <c r="E2408" t="s">
        <v>5156</v>
      </c>
      <c r="F2408" t="s">
        <v>38</v>
      </c>
      <c r="G2408" t="s">
        <v>5157</v>
      </c>
      <c r="H2408" t="str">
        <f>"00441758"</f>
        <v>00441758</v>
      </c>
      <c r="I2408">
        <v>21.6</v>
      </c>
      <c r="J2408">
        <v>0</v>
      </c>
      <c r="L2408">
        <v>6</v>
      </c>
      <c r="N2408">
        <v>6</v>
      </c>
      <c r="O2408">
        <v>4</v>
      </c>
      <c r="P2408">
        <v>0</v>
      </c>
      <c r="Q2408">
        <v>31.6</v>
      </c>
      <c r="R2408">
        <v>16</v>
      </c>
      <c r="S2408">
        <v>16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16</v>
      </c>
      <c r="AA2408">
        <v>0</v>
      </c>
      <c r="AB2408">
        <v>0</v>
      </c>
      <c r="AD2408">
        <v>47.6</v>
      </c>
    </row>
    <row r="2409" spans="1:30" x14ac:dyDescent="0.3">
      <c r="A2409" s="4">
        <v>2430</v>
      </c>
      <c r="B2409" s="5">
        <v>2402</v>
      </c>
      <c r="C2409">
        <v>2943</v>
      </c>
      <c r="D2409" t="s">
        <v>5158</v>
      </c>
      <c r="E2409" t="s">
        <v>29</v>
      </c>
      <c r="F2409" t="s">
        <v>375</v>
      </c>
      <c r="G2409" t="s">
        <v>5159</v>
      </c>
      <c r="H2409" t="str">
        <f>"00103457"</f>
        <v>00103457</v>
      </c>
      <c r="I2409">
        <v>21.6</v>
      </c>
      <c r="J2409">
        <v>0</v>
      </c>
      <c r="M2409">
        <v>4</v>
      </c>
      <c r="N2409">
        <v>4</v>
      </c>
      <c r="O2409">
        <v>4</v>
      </c>
      <c r="P2409">
        <v>2</v>
      </c>
      <c r="Q2409">
        <v>31.6</v>
      </c>
      <c r="R2409">
        <v>16</v>
      </c>
      <c r="S2409">
        <v>16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16</v>
      </c>
      <c r="AA2409">
        <v>0</v>
      </c>
      <c r="AB2409">
        <v>0</v>
      </c>
      <c r="AD2409">
        <v>47.6</v>
      </c>
    </row>
    <row r="2410" spans="1:30" x14ac:dyDescent="0.3">
      <c r="A2410" s="4">
        <v>2431</v>
      </c>
      <c r="B2410" s="5">
        <v>2403</v>
      </c>
      <c r="C2410">
        <v>2936</v>
      </c>
      <c r="D2410" t="s">
        <v>5160</v>
      </c>
      <c r="E2410" t="s">
        <v>37</v>
      </c>
      <c r="F2410" t="s">
        <v>136</v>
      </c>
      <c r="G2410" t="s">
        <v>5161</v>
      </c>
      <c r="H2410" t="str">
        <f>"00842671"</f>
        <v>00842671</v>
      </c>
      <c r="I2410">
        <v>33.520000000000003</v>
      </c>
      <c r="J2410">
        <v>0</v>
      </c>
      <c r="M2410">
        <v>4</v>
      </c>
      <c r="N2410">
        <v>4</v>
      </c>
      <c r="O2410">
        <v>4</v>
      </c>
      <c r="P2410">
        <v>0</v>
      </c>
      <c r="Q2410">
        <v>41.52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6</v>
      </c>
      <c r="AB2410">
        <v>0</v>
      </c>
      <c r="AD2410">
        <v>47.52</v>
      </c>
    </row>
    <row r="2411" spans="1:30" x14ac:dyDescent="0.3">
      <c r="A2411" s="4">
        <v>2432</v>
      </c>
      <c r="B2411" s="5">
        <v>2404</v>
      </c>
      <c r="C2411">
        <v>257</v>
      </c>
      <c r="D2411" t="s">
        <v>5162</v>
      </c>
      <c r="E2411" t="s">
        <v>29</v>
      </c>
      <c r="F2411" t="s">
        <v>136</v>
      </c>
      <c r="G2411" t="s">
        <v>5163</v>
      </c>
      <c r="H2411" t="str">
        <f>"00857127"</f>
        <v>00857127</v>
      </c>
      <c r="I2411">
        <v>37.44</v>
      </c>
      <c r="J2411">
        <v>0</v>
      </c>
      <c r="N2411">
        <v>0</v>
      </c>
      <c r="O2411">
        <v>4</v>
      </c>
      <c r="P2411">
        <v>0</v>
      </c>
      <c r="Q2411">
        <v>41.44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6</v>
      </c>
      <c r="AB2411">
        <v>0</v>
      </c>
      <c r="AD2411">
        <v>47.44</v>
      </c>
    </row>
    <row r="2412" spans="1:30" x14ac:dyDescent="0.3">
      <c r="A2412" s="4">
        <v>2433</v>
      </c>
      <c r="B2412" s="5">
        <v>2405</v>
      </c>
      <c r="C2412">
        <v>3299</v>
      </c>
      <c r="D2412" t="s">
        <v>5164</v>
      </c>
      <c r="E2412" t="s">
        <v>22</v>
      </c>
      <c r="F2412" t="s">
        <v>20</v>
      </c>
      <c r="G2412" t="s">
        <v>5165</v>
      </c>
      <c r="H2412" t="str">
        <f>"00861438"</f>
        <v>00861438</v>
      </c>
      <c r="I2412">
        <v>37.44</v>
      </c>
      <c r="J2412">
        <v>0</v>
      </c>
      <c r="N2412">
        <v>0</v>
      </c>
      <c r="O2412">
        <v>4</v>
      </c>
      <c r="P2412">
        <v>0</v>
      </c>
      <c r="Q2412">
        <v>41.44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6</v>
      </c>
      <c r="AB2412">
        <v>0</v>
      </c>
      <c r="AD2412">
        <v>47.44</v>
      </c>
    </row>
    <row r="2413" spans="1:30" x14ac:dyDescent="0.3">
      <c r="A2413" s="4">
        <v>2434</v>
      </c>
      <c r="B2413" s="5">
        <v>2406</v>
      </c>
      <c r="C2413">
        <v>843</v>
      </c>
      <c r="D2413" t="s">
        <v>5166</v>
      </c>
      <c r="E2413" t="s">
        <v>29</v>
      </c>
      <c r="F2413" t="s">
        <v>38</v>
      </c>
      <c r="G2413" t="s">
        <v>5167</v>
      </c>
      <c r="H2413" t="str">
        <f>"00372052"</f>
        <v>00372052</v>
      </c>
      <c r="I2413">
        <v>22.4</v>
      </c>
      <c r="J2413">
        <v>10</v>
      </c>
      <c r="N2413">
        <v>0</v>
      </c>
      <c r="O2413">
        <v>4</v>
      </c>
      <c r="P2413">
        <v>2</v>
      </c>
      <c r="Q2413">
        <v>38.4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9</v>
      </c>
      <c r="AB2413">
        <v>0</v>
      </c>
      <c r="AD2413">
        <v>47.4</v>
      </c>
    </row>
    <row r="2414" spans="1:30" x14ac:dyDescent="0.3">
      <c r="A2414" s="4">
        <v>2435</v>
      </c>
      <c r="B2414" s="5">
        <v>2407</v>
      </c>
      <c r="C2414">
        <v>94</v>
      </c>
      <c r="D2414" t="s">
        <v>5168</v>
      </c>
      <c r="E2414" t="s">
        <v>161</v>
      </c>
      <c r="F2414" t="s">
        <v>38</v>
      </c>
      <c r="G2414" t="s">
        <v>5169</v>
      </c>
      <c r="H2414" t="str">
        <f>"00333235"</f>
        <v>00333235</v>
      </c>
      <c r="I2414">
        <v>38.4</v>
      </c>
      <c r="J2414">
        <v>0</v>
      </c>
      <c r="N2414">
        <v>0</v>
      </c>
      <c r="O2414">
        <v>4</v>
      </c>
      <c r="P2414">
        <v>2</v>
      </c>
      <c r="Q2414">
        <v>44.4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3</v>
      </c>
      <c r="AB2414">
        <v>0</v>
      </c>
      <c r="AD2414">
        <v>47.4</v>
      </c>
    </row>
    <row r="2415" spans="1:30" x14ac:dyDescent="0.3">
      <c r="A2415" s="4">
        <v>2436</v>
      </c>
      <c r="B2415" s="5">
        <v>2408</v>
      </c>
      <c r="C2415">
        <v>2658</v>
      </c>
      <c r="D2415" t="s">
        <v>5170</v>
      </c>
      <c r="E2415" t="s">
        <v>182</v>
      </c>
      <c r="F2415" t="s">
        <v>5171</v>
      </c>
      <c r="G2415" t="s">
        <v>5172</v>
      </c>
      <c r="H2415" t="str">
        <f>"00516068"</f>
        <v>00516068</v>
      </c>
      <c r="I2415">
        <v>14.4</v>
      </c>
      <c r="J2415">
        <v>0</v>
      </c>
      <c r="K2415">
        <v>8</v>
      </c>
      <c r="N2415">
        <v>8</v>
      </c>
      <c r="O2415">
        <v>4</v>
      </c>
      <c r="P2415">
        <v>2</v>
      </c>
      <c r="Q2415">
        <v>28.4</v>
      </c>
      <c r="R2415">
        <v>16</v>
      </c>
      <c r="S2415">
        <v>16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16</v>
      </c>
      <c r="AA2415">
        <v>3</v>
      </c>
      <c r="AB2415">
        <v>0</v>
      </c>
      <c r="AD2415">
        <v>47.4</v>
      </c>
    </row>
    <row r="2416" spans="1:30" x14ac:dyDescent="0.3">
      <c r="A2416" s="4">
        <v>2437</v>
      </c>
      <c r="B2416" s="5">
        <v>2409</v>
      </c>
      <c r="C2416">
        <v>1229</v>
      </c>
      <c r="D2416" t="s">
        <v>3738</v>
      </c>
      <c r="E2416" t="s">
        <v>188</v>
      </c>
      <c r="F2416" t="s">
        <v>68</v>
      </c>
      <c r="G2416" t="s">
        <v>5173</v>
      </c>
      <c r="H2416" t="str">
        <f>"00530502"</f>
        <v>00530502</v>
      </c>
      <c r="I2416">
        <v>14.4</v>
      </c>
      <c r="J2416">
        <v>10</v>
      </c>
      <c r="M2416">
        <v>4</v>
      </c>
      <c r="N2416">
        <v>4</v>
      </c>
      <c r="O2416">
        <v>4</v>
      </c>
      <c r="P2416">
        <v>2</v>
      </c>
      <c r="Q2416">
        <v>34.4</v>
      </c>
      <c r="R2416">
        <v>13</v>
      </c>
      <c r="S2416">
        <v>13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13</v>
      </c>
      <c r="AA2416">
        <v>0</v>
      </c>
      <c r="AB2416">
        <v>0</v>
      </c>
      <c r="AD2416">
        <v>47.4</v>
      </c>
    </row>
    <row r="2417" spans="1:30" x14ac:dyDescent="0.3">
      <c r="A2417" s="4">
        <v>2438</v>
      </c>
      <c r="B2417" s="5">
        <v>2410</v>
      </c>
      <c r="C2417">
        <v>1166</v>
      </c>
      <c r="D2417" t="s">
        <v>5174</v>
      </c>
      <c r="E2417" t="s">
        <v>54</v>
      </c>
      <c r="F2417" t="s">
        <v>68</v>
      </c>
      <c r="G2417" t="s">
        <v>5175</v>
      </c>
      <c r="H2417" t="str">
        <f>"00356881"</f>
        <v>00356881</v>
      </c>
      <c r="I2417">
        <v>14.4</v>
      </c>
      <c r="J2417">
        <v>0</v>
      </c>
      <c r="N2417">
        <v>0</v>
      </c>
      <c r="O2417">
        <v>0</v>
      </c>
      <c r="P2417">
        <v>0</v>
      </c>
      <c r="Q2417">
        <v>14.4</v>
      </c>
      <c r="R2417">
        <v>27</v>
      </c>
      <c r="S2417">
        <v>27</v>
      </c>
      <c r="T2417">
        <v>0</v>
      </c>
      <c r="U2417">
        <v>0</v>
      </c>
      <c r="V2417">
        <v>4</v>
      </c>
      <c r="W2417">
        <v>6</v>
      </c>
      <c r="X2417">
        <v>0</v>
      </c>
      <c r="Y2417">
        <v>0</v>
      </c>
      <c r="Z2417">
        <v>33</v>
      </c>
      <c r="AA2417">
        <v>0</v>
      </c>
      <c r="AB2417">
        <v>0</v>
      </c>
      <c r="AD2417">
        <v>47.4</v>
      </c>
    </row>
    <row r="2418" spans="1:30" x14ac:dyDescent="0.3">
      <c r="A2418" s="4">
        <v>2439</v>
      </c>
      <c r="B2418" s="5">
        <v>2411</v>
      </c>
      <c r="C2418">
        <v>2830</v>
      </c>
      <c r="D2418" t="s">
        <v>181</v>
      </c>
      <c r="E2418" t="s">
        <v>26</v>
      </c>
      <c r="F2418" t="s">
        <v>136</v>
      </c>
      <c r="G2418" t="s">
        <v>5176</v>
      </c>
      <c r="H2418" t="str">
        <f>"200810000610"</f>
        <v>200810000610</v>
      </c>
      <c r="I2418">
        <v>36.36</v>
      </c>
      <c r="J2418">
        <v>0</v>
      </c>
      <c r="M2418">
        <v>4</v>
      </c>
      <c r="N2418">
        <v>4</v>
      </c>
      <c r="O2418">
        <v>4</v>
      </c>
      <c r="P2418">
        <v>0</v>
      </c>
      <c r="Q2418">
        <v>44.36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3</v>
      </c>
      <c r="AB2418">
        <v>0</v>
      </c>
      <c r="AD2418">
        <v>47.36</v>
      </c>
    </row>
    <row r="2419" spans="1:30" x14ac:dyDescent="0.3">
      <c r="A2419" s="4">
        <v>2440</v>
      </c>
      <c r="B2419" s="5">
        <v>2412</v>
      </c>
      <c r="C2419">
        <v>4281</v>
      </c>
      <c r="D2419" t="s">
        <v>999</v>
      </c>
      <c r="E2419" t="s">
        <v>5177</v>
      </c>
      <c r="F2419" t="s">
        <v>17</v>
      </c>
      <c r="G2419" t="s">
        <v>5178</v>
      </c>
      <c r="H2419" t="str">
        <f>"00528728"</f>
        <v>00528728</v>
      </c>
      <c r="I2419">
        <v>37.32</v>
      </c>
      <c r="J2419">
        <v>0</v>
      </c>
      <c r="M2419">
        <v>4</v>
      </c>
      <c r="N2419">
        <v>4</v>
      </c>
      <c r="O2419">
        <v>0</v>
      </c>
      <c r="P2419">
        <v>0</v>
      </c>
      <c r="Q2419">
        <v>41.32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6</v>
      </c>
      <c r="AB2419">
        <v>0</v>
      </c>
      <c r="AD2419">
        <v>47.32</v>
      </c>
    </row>
    <row r="2420" spans="1:30" x14ac:dyDescent="0.3">
      <c r="A2420" s="4">
        <v>2441</v>
      </c>
      <c r="B2420" s="5">
        <v>2413</v>
      </c>
      <c r="C2420">
        <v>4127</v>
      </c>
      <c r="D2420" t="s">
        <v>5179</v>
      </c>
      <c r="E2420" t="s">
        <v>29</v>
      </c>
      <c r="F2420" t="s">
        <v>20</v>
      </c>
      <c r="G2420" t="s">
        <v>5180</v>
      </c>
      <c r="H2420" t="str">
        <f>"00529630"</f>
        <v>00529630</v>
      </c>
      <c r="I2420">
        <v>37.32</v>
      </c>
      <c r="J2420">
        <v>0</v>
      </c>
      <c r="N2420">
        <v>0</v>
      </c>
      <c r="O2420">
        <v>4</v>
      </c>
      <c r="P2420">
        <v>0</v>
      </c>
      <c r="Q2420">
        <v>41.32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6</v>
      </c>
      <c r="AB2420">
        <v>0</v>
      </c>
      <c r="AD2420">
        <v>47.32</v>
      </c>
    </row>
    <row r="2421" spans="1:30" x14ac:dyDescent="0.3">
      <c r="A2421" s="4">
        <v>2442</v>
      </c>
      <c r="B2421" s="5">
        <v>2414</v>
      </c>
      <c r="C2421">
        <v>3290</v>
      </c>
      <c r="D2421" t="s">
        <v>5181</v>
      </c>
      <c r="E2421" t="s">
        <v>54</v>
      </c>
      <c r="F2421" t="s">
        <v>91</v>
      </c>
      <c r="G2421" t="s">
        <v>5182</v>
      </c>
      <c r="H2421" t="str">
        <f>"00479560"</f>
        <v>00479560</v>
      </c>
      <c r="I2421">
        <v>33.32</v>
      </c>
      <c r="J2421">
        <v>10</v>
      </c>
      <c r="N2421">
        <v>0</v>
      </c>
      <c r="O2421">
        <v>4</v>
      </c>
      <c r="P2421">
        <v>0</v>
      </c>
      <c r="Q2421">
        <v>47.32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D2421">
        <v>47.32</v>
      </c>
    </row>
    <row r="2422" spans="1:30" x14ac:dyDescent="0.3">
      <c r="A2422" s="4">
        <v>2443</v>
      </c>
      <c r="B2422" s="5">
        <v>2415</v>
      </c>
      <c r="C2422">
        <v>3346</v>
      </c>
      <c r="D2422" t="s">
        <v>5183</v>
      </c>
      <c r="E2422" t="s">
        <v>188</v>
      </c>
      <c r="F2422" t="s">
        <v>346</v>
      </c>
      <c r="G2422" t="s">
        <v>5184</v>
      </c>
      <c r="H2422" t="str">
        <f>"00532659"</f>
        <v>00532659</v>
      </c>
      <c r="I2422">
        <v>27.28</v>
      </c>
      <c r="J2422">
        <v>0</v>
      </c>
      <c r="N2422">
        <v>0</v>
      </c>
      <c r="O2422">
        <v>4</v>
      </c>
      <c r="P2422">
        <v>0</v>
      </c>
      <c r="Q2422">
        <v>31.28</v>
      </c>
      <c r="R2422">
        <v>13</v>
      </c>
      <c r="S2422">
        <v>13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13</v>
      </c>
      <c r="AA2422">
        <v>3</v>
      </c>
      <c r="AB2422">
        <v>0</v>
      </c>
      <c r="AD2422">
        <v>47.28</v>
      </c>
    </row>
    <row r="2423" spans="1:30" x14ac:dyDescent="0.3">
      <c r="A2423" s="4">
        <v>2444</v>
      </c>
      <c r="B2423" s="5">
        <v>2416</v>
      </c>
      <c r="C2423">
        <v>3701</v>
      </c>
      <c r="D2423" t="s">
        <v>5185</v>
      </c>
      <c r="E2423" t="s">
        <v>37</v>
      </c>
      <c r="F2423" t="s">
        <v>20</v>
      </c>
      <c r="G2423" t="s">
        <v>5186</v>
      </c>
      <c r="H2423" t="str">
        <f>"00394257"</f>
        <v>00394257</v>
      </c>
      <c r="I2423">
        <v>34.24</v>
      </c>
      <c r="J2423">
        <v>0</v>
      </c>
      <c r="N2423">
        <v>0</v>
      </c>
      <c r="O2423">
        <v>4</v>
      </c>
      <c r="P2423">
        <v>0</v>
      </c>
      <c r="Q2423">
        <v>38.24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9</v>
      </c>
      <c r="AB2423">
        <v>0</v>
      </c>
      <c r="AD2423">
        <v>47.24</v>
      </c>
    </row>
    <row r="2424" spans="1:30" x14ac:dyDescent="0.3">
      <c r="A2424" s="4">
        <v>2445</v>
      </c>
      <c r="B2424" s="5">
        <v>2417</v>
      </c>
      <c r="C2424">
        <v>2347</v>
      </c>
      <c r="D2424" t="s">
        <v>860</v>
      </c>
      <c r="E2424" t="s">
        <v>5187</v>
      </c>
      <c r="F2424" t="s">
        <v>972</v>
      </c>
      <c r="G2424" t="s">
        <v>5188</v>
      </c>
      <c r="H2424" t="str">
        <f>"00663829"</f>
        <v>00663829</v>
      </c>
      <c r="I2424">
        <v>31.2</v>
      </c>
      <c r="J2424">
        <v>10</v>
      </c>
      <c r="N2424">
        <v>0</v>
      </c>
      <c r="O2424">
        <v>0</v>
      </c>
      <c r="P2424">
        <v>0</v>
      </c>
      <c r="Q2424">
        <v>41.2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6</v>
      </c>
      <c r="AB2424">
        <v>0</v>
      </c>
      <c r="AD2424">
        <v>47.2</v>
      </c>
    </row>
    <row r="2425" spans="1:30" x14ac:dyDescent="0.3">
      <c r="A2425" s="4">
        <v>2446</v>
      </c>
      <c r="B2425" s="5">
        <v>2418</v>
      </c>
      <c r="C2425">
        <v>2918</v>
      </c>
      <c r="D2425" t="s">
        <v>5189</v>
      </c>
      <c r="E2425" t="s">
        <v>5190</v>
      </c>
      <c r="F2425" t="s">
        <v>782</v>
      </c>
      <c r="G2425" t="s">
        <v>5191</v>
      </c>
      <c r="H2425" t="str">
        <f>"201412003037"</f>
        <v>201412003037</v>
      </c>
      <c r="I2425">
        <v>43.2</v>
      </c>
      <c r="J2425">
        <v>0</v>
      </c>
      <c r="M2425">
        <v>4</v>
      </c>
      <c r="N2425">
        <v>4</v>
      </c>
      <c r="O2425">
        <v>0</v>
      </c>
      <c r="P2425">
        <v>0</v>
      </c>
      <c r="Q2425">
        <v>47.2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D2425">
        <v>47.2</v>
      </c>
    </row>
    <row r="2426" spans="1:30" x14ac:dyDescent="0.3">
      <c r="A2426" s="4">
        <v>2447</v>
      </c>
      <c r="B2426" s="5">
        <v>2419</v>
      </c>
      <c r="C2426">
        <v>1706</v>
      </c>
      <c r="D2426" t="s">
        <v>5192</v>
      </c>
      <c r="E2426" t="s">
        <v>283</v>
      </c>
      <c r="F2426" t="s">
        <v>38</v>
      </c>
      <c r="G2426" t="s">
        <v>5193</v>
      </c>
      <c r="H2426" t="str">
        <f>"00772015"</f>
        <v>00772015</v>
      </c>
      <c r="I2426">
        <v>43.2</v>
      </c>
      <c r="J2426">
        <v>0</v>
      </c>
      <c r="N2426">
        <v>0</v>
      </c>
      <c r="O2426">
        <v>4</v>
      </c>
      <c r="P2426">
        <v>0</v>
      </c>
      <c r="Q2426">
        <v>47.2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D2426">
        <v>47.2</v>
      </c>
    </row>
    <row r="2427" spans="1:30" x14ac:dyDescent="0.3">
      <c r="A2427" s="4">
        <v>2448</v>
      </c>
      <c r="B2427" s="5">
        <v>2420</v>
      </c>
      <c r="C2427">
        <v>1579</v>
      </c>
      <c r="D2427" t="s">
        <v>5194</v>
      </c>
      <c r="E2427" t="s">
        <v>825</v>
      </c>
      <c r="F2427" t="s">
        <v>17</v>
      </c>
      <c r="G2427" t="s">
        <v>5195</v>
      </c>
      <c r="H2427" t="str">
        <f>"00854643"</f>
        <v>00854643</v>
      </c>
      <c r="I2427">
        <v>43.2</v>
      </c>
      <c r="J2427">
        <v>0</v>
      </c>
      <c r="M2427">
        <v>4</v>
      </c>
      <c r="N2427">
        <v>4</v>
      </c>
      <c r="O2427">
        <v>0</v>
      </c>
      <c r="P2427">
        <v>0</v>
      </c>
      <c r="Q2427">
        <v>47.2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D2427">
        <v>47.2</v>
      </c>
    </row>
    <row r="2428" spans="1:30" x14ac:dyDescent="0.3">
      <c r="A2428" s="4">
        <v>2449</v>
      </c>
      <c r="B2428" s="5">
        <v>2421</v>
      </c>
      <c r="C2428">
        <v>3655</v>
      </c>
      <c r="D2428" t="s">
        <v>5196</v>
      </c>
      <c r="E2428" t="s">
        <v>54</v>
      </c>
      <c r="F2428" t="s">
        <v>91</v>
      </c>
      <c r="G2428" t="s">
        <v>5197</v>
      </c>
      <c r="H2428" t="str">
        <f>"00272287"</f>
        <v>00272287</v>
      </c>
      <c r="I2428">
        <v>43.2</v>
      </c>
      <c r="J2428">
        <v>0</v>
      </c>
      <c r="N2428">
        <v>0</v>
      </c>
      <c r="O2428">
        <v>4</v>
      </c>
      <c r="P2428">
        <v>0</v>
      </c>
      <c r="Q2428">
        <v>47.2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D2428">
        <v>47.2</v>
      </c>
    </row>
    <row r="2429" spans="1:30" x14ac:dyDescent="0.3">
      <c r="A2429" s="4">
        <v>2450</v>
      </c>
      <c r="B2429" s="5">
        <v>2422</v>
      </c>
      <c r="C2429">
        <v>4399</v>
      </c>
      <c r="D2429" t="s">
        <v>5198</v>
      </c>
      <c r="E2429" t="s">
        <v>3313</v>
      </c>
      <c r="F2429" t="s">
        <v>91</v>
      </c>
      <c r="G2429" t="s">
        <v>5199</v>
      </c>
      <c r="H2429" t="str">
        <f>"00862848"</f>
        <v>00862848</v>
      </c>
      <c r="I2429">
        <v>43.2</v>
      </c>
      <c r="J2429">
        <v>0</v>
      </c>
      <c r="N2429">
        <v>0</v>
      </c>
      <c r="O2429">
        <v>4</v>
      </c>
      <c r="P2429">
        <v>0</v>
      </c>
      <c r="Q2429">
        <v>47.2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D2429">
        <v>47.2</v>
      </c>
    </row>
    <row r="2430" spans="1:30" x14ac:dyDescent="0.3">
      <c r="A2430" s="4">
        <v>2451</v>
      </c>
      <c r="B2430" s="5">
        <v>2423</v>
      </c>
      <c r="C2430">
        <v>569</v>
      </c>
      <c r="D2430" t="s">
        <v>5200</v>
      </c>
      <c r="E2430" t="s">
        <v>5201</v>
      </c>
      <c r="F2430" t="s">
        <v>81</v>
      </c>
      <c r="G2430" t="s">
        <v>5202</v>
      </c>
      <c r="H2430" t="str">
        <f>"201511015303"</f>
        <v>201511015303</v>
      </c>
      <c r="I2430">
        <v>43.2</v>
      </c>
      <c r="J2430">
        <v>0</v>
      </c>
      <c r="N2430">
        <v>0</v>
      </c>
      <c r="O2430">
        <v>4</v>
      </c>
      <c r="P2430">
        <v>0</v>
      </c>
      <c r="Q2430">
        <v>47.2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D2430">
        <v>47.2</v>
      </c>
    </row>
    <row r="2431" spans="1:30" x14ac:dyDescent="0.3">
      <c r="A2431" s="4">
        <v>2452</v>
      </c>
      <c r="B2431" s="5">
        <v>2424</v>
      </c>
      <c r="C2431">
        <v>3073</v>
      </c>
      <c r="D2431" t="s">
        <v>28</v>
      </c>
      <c r="E2431" t="s">
        <v>29</v>
      </c>
      <c r="F2431" t="s">
        <v>81</v>
      </c>
      <c r="G2431" t="s">
        <v>5203</v>
      </c>
      <c r="H2431" t="str">
        <f>"00727316"</f>
        <v>00727316</v>
      </c>
      <c r="I2431">
        <v>43.2</v>
      </c>
      <c r="J2431">
        <v>0</v>
      </c>
      <c r="N2431">
        <v>0</v>
      </c>
      <c r="O2431">
        <v>4</v>
      </c>
      <c r="P2431">
        <v>0</v>
      </c>
      <c r="Q2431">
        <v>47.2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D2431">
        <v>47.2</v>
      </c>
    </row>
    <row r="2432" spans="1:30" x14ac:dyDescent="0.3">
      <c r="A2432" s="4">
        <v>2453</v>
      </c>
      <c r="B2432" s="5">
        <v>2425</v>
      </c>
      <c r="C2432">
        <v>819</v>
      </c>
      <c r="D2432" t="s">
        <v>5204</v>
      </c>
      <c r="E2432" t="s">
        <v>97</v>
      </c>
      <c r="F2432" t="s">
        <v>343</v>
      </c>
      <c r="G2432" t="s">
        <v>5205</v>
      </c>
      <c r="H2432" t="str">
        <f>"00782154"</f>
        <v>00782154</v>
      </c>
      <c r="I2432">
        <v>43.2</v>
      </c>
      <c r="J2432">
        <v>0</v>
      </c>
      <c r="N2432">
        <v>0</v>
      </c>
      <c r="O2432">
        <v>4</v>
      </c>
      <c r="P2432">
        <v>0</v>
      </c>
      <c r="Q2432">
        <v>47.2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D2432">
        <v>47.2</v>
      </c>
    </row>
    <row r="2433" spans="1:30" x14ac:dyDescent="0.3">
      <c r="A2433" s="4">
        <v>2454</v>
      </c>
      <c r="B2433" s="5">
        <v>2426</v>
      </c>
      <c r="C2433">
        <v>4765</v>
      </c>
      <c r="D2433" t="s">
        <v>5206</v>
      </c>
      <c r="E2433" t="s">
        <v>29</v>
      </c>
      <c r="F2433" t="s">
        <v>325</v>
      </c>
      <c r="G2433" t="s">
        <v>5207</v>
      </c>
      <c r="H2433" t="str">
        <f>"00560496"</f>
        <v>00560496</v>
      </c>
      <c r="I2433">
        <v>43.2</v>
      </c>
      <c r="J2433">
        <v>0</v>
      </c>
      <c r="N2433">
        <v>0</v>
      </c>
      <c r="O2433">
        <v>4</v>
      </c>
      <c r="P2433">
        <v>0</v>
      </c>
      <c r="Q2433">
        <v>47.2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D2433">
        <v>47.2</v>
      </c>
    </row>
    <row r="2434" spans="1:30" x14ac:dyDescent="0.3">
      <c r="A2434" s="4">
        <v>2455</v>
      </c>
      <c r="B2434" s="5">
        <v>2427</v>
      </c>
      <c r="C2434">
        <v>4031</v>
      </c>
      <c r="D2434" t="s">
        <v>5208</v>
      </c>
      <c r="E2434" t="s">
        <v>54</v>
      </c>
      <c r="F2434" t="s">
        <v>3854</v>
      </c>
      <c r="G2434" t="s">
        <v>5209</v>
      </c>
      <c r="H2434" t="str">
        <f>"00862423"</f>
        <v>00862423</v>
      </c>
      <c r="I2434">
        <v>43.2</v>
      </c>
      <c r="J2434">
        <v>0</v>
      </c>
      <c r="N2434">
        <v>0</v>
      </c>
      <c r="O2434">
        <v>4</v>
      </c>
      <c r="P2434">
        <v>0</v>
      </c>
      <c r="Q2434">
        <v>47.2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D2434">
        <v>47.2</v>
      </c>
    </row>
    <row r="2435" spans="1:30" x14ac:dyDescent="0.3">
      <c r="A2435" s="4">
        <v>2456</v>
      </c>
      <c r="B2435" s="5">
        <v>2428</v>
      </c>
      <c r="C2435">
        <v>274</v>
      </c>
      <c r="D2435" t="s">
        <v>5210</v>
      </c>
      <c r="E2435" t="s">
        <v>22</v>
      </c>
      <c r="F2435" t="s">
        <v>117</v>
      </c>
      <c r="G2435" t="s">
        <v>5211</v>
      </c>
      <c r="H2435" t="str">
        <f>"00739301"</f>
        <v>00739301</v>
      </c>
      <c r="I2435">
        <v>39.200000000000003</v>
      </c>
      <c r="J2435">
        <v>0</v>
      </c>
      <c r="M2435">
        <v>4</v>
      </c>
      <c r="N2435">
        <v>4</v>
      </c>
      <c r="O2435">
        <v>4</v>
      </c>
      <c r="P2435">
        <v>0</v>
      </c>
      <c r="Q2435">
        <v>47.2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D2435">
        <v>47.2</v>
      </c>
    </row>
    <row r="2436" spans="1:30" x14ac:dyDescent="0.3">
      <c r="A2436" s="4">
        <v>2457</v>
      </c>
      <c r="B2436" s="5">
        <v>2429</v>
      </c>
      <c r="C2436">
        <v>4757</v>
      </c>
      <c r="D2436" t="s">
        <v>5212</v>
      </c>
      <c r="E2436" t="s">
        <v>1189</v>
      </c>
      <c r="F2436" t="s">
        <v>5213</v>
      </c>
      <c r="G2436" t="s">
        <v>5214</v>
      </c>
      <c r="H2436" t="str">
        <f>"00866782"</f>
        <v>00866782</v>
      </c>
      <c r="I2436">
        <v>39.200000000000003</v>
      </c>
      <c r="J2436">
        <v>0</v>
      </c>
      <c r="M2436">
        <v>4</v>
      </c>
      <c r="N2436">
        <v>4</v>
      </c>
      <c r="O2436">
        <v>4</v>
      </c>
      <c r="P2436">
        <v>0</v>
      </c>
      <c r="Q2436">
        <v>47.2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D2436">
        <v>47.2</v>
      </c>
    </row>
    <row r="2437" spans="1:30" x14ac:dyDescent="0.3">
      <c r="A2437" s="4">
        <v>2458</v>
      </c>
      <c r="B2437" s="5">
        <v>2430</v>
      </c>
      <c r="C2437">
        <v>967</v>
      </c>
      <c r="D2437" t="s">
        <v>5215</v>
      </c>
      <c r="E2437" t="s">
        <v>5216</v>
      </c>
      <c r="F2437" t="s">
        <v>117</v>
      </c>
      <c r="G2437" t="s">
        <v>5217</v>
      </c>
      <c r="H2437" t="str">
        <f>"201412007020"</f>
        <v>201412007020</v>
      </c>
      <c r="I2437">
        <v>37.200000000000003</v>
      </c>
      <c r="J2437">
        <v>0</v>
      </c>
      <c r="M2437">
        <v>4</v>
      </c>
      <c r="N2437">
        <v>4</v>
      </c>
      <c r="O2437">
        <v>4</v>
      </c>
      <c r="P2437">
        <v>2</v>
      </c>
      <c r="Q2437">
        <v>47.2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D2437">
        <v>47.2</v>
      </c>
    </row>
    <row r="2438" spans="1:30" x14ac:dyDescent="0.3">
      <c r="A2438" s="4">
        <v>2459</v>
      </c>
      <c r="B2438" s="5">
        <v>2431</v>
      </c>
      <c r="C2438">
        <v>751</v>
      </c>
      <c r="D2438" t="s">
        <v>5218</v>
      </c>
      <c r="E2438" t="s">
        <v>479</v>
      </c>
      <c r="F2438" t="s">
        <v>55</v>
      </c>
      <c r="G2438" t="s">
        <v>5219</v>
      </c>
      <c r="H2438" t="str">
        <f>"00261915"</f>
        <v>00261915</v>
      </c>
      <c r="I2438">
        <v>37.200000000000003</v>
      </c>
      <c r="J2438">
        <v>0</v>
      </c>
      <c r="M2438">
        <v>4</v>
      </c>
      <c r="N2438">
        <v>4</v>
      </c>
      <c r="O2438">
        <v>4</v>
      </c>
      <c r="P2438">
        <v>2</v>
      </c>
      <c r="Q2438">
        <v>47.2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D2438">
        <v>47.2</v>
      </c>
    </row>
    <row r="2439" spans="1:30" x14ac:dyDescent="0.3">
      <c r="A2439" s="4">
        <v>2460</v>
      </c>
      <c r="B2439" s="5">
        <v>2432</v>
      </c>
      <c r="C2439">
        <v>1897</v>
      </c>
      <c r="D2439" t="s">
        <v>5220</v>
      </c>
      <c r="E2439" t="s">
        <v>100</v>
      </c>
      <c r="F2439" t="s">
        <v>17</v>
      </c>
      <c r="G2439" t="s">
        <v>5221</v>
      </c>
      <c r="H2439" t="str">
        <f>"00528648"</f>
        <v>00528648</v>
      </c>
      <c r="I2439">
        <v>7.2</v>
      </c>
      <c r="J2439">
        <v>10</v>
      </c>
      <c r="N2439">
        <v>0</v>
      </c>
      <c r="O2439">
        <v>4</v>
      </c>
      <c r="P2439">
        <v>0</v>
      </c>
      <c r="Q2439">
        <v>21.2</v>
      </c>
      <c r="R2439">
        <v>26</v>
      </c>
      <c r="S2439">
        <v>26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26</v>
      </c>
      <c r="AA2439">
        <v>0</v>
      </c>
      <c r="AB2439">
        <v>0</v>
      </c>
      <c r="AD2439">
        <v>47.2</v>
      </c>
    </row>
    <row r="2440" spans="1:30" x14ac:dyDescent="0.3">
      <c r="A2440" s="4">
        <v>2461</v>
      </c>
      <c r="B2440" s="5">
        <v>2433</v>
      </c>
      <c r="C2440">
        <v>2202</v>
      </c>
      <c r="D2440" t="s">
        <v>4286</v>
      </c>
      <c r="E2440" t="s">
        <v>789</v>
      </c>
      <c r="F2440" t="s">
        <v>136</v>
      </c>
      <c r="G2440" t="s">
        <v>5222</v>
      </c>
      <c r="H2440" t="str">
        <f>"00100969"</f>
        <v>00100969</v>
      </c>
      <c r="I2440">
        <v>10.119999999999999</v>
      </c>
      <c r="J2440">
        <v>0</v>
      </c>
      <c r="N2440">
        <v>0</v>
      </c>
      <c r="O2440">
        <v>4</v>
      </c>
      <c r="P2440">
        <v>2</v>
      </c>
      <c r="Q2440">
        <v>16.12</v>
      </c>
      <c r="R2440">
        <v>22</v>
      </c>
      <c r="S2440">
        <v>22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22</v>
      </c>
      <c r="AA2440">
        <v>9</v>
      </c>
      <c r="AB2440">
        <v>0</v>
      </c>
      <c r="AD2440">
        <v>47.12</v>
      </c>
    </row>
    <row r="2441" spans="1:30" x14ac:dyDescent="0.3">
      <c r="A2441" s="4">
        <v>2462</v>
      </c>
      <c r="B2441" s="5">
        <v>2434</v>
      </c>
      <c r="C2441">
        <v>3748</v>
      </c>
      <c r="D2441" t="s">
        <v>5223</v>
      </c>
      <c r="E2441" t="s">
        <v>132</v>
      </c>
      <c r="F2441" t="s">
        <v>652</v>
      </c>
      <c r="G2441" t="s">
        <v>5224</v>
      </c>
      <c r="H2441" t="str">
        <f>"201511041063"</f>
        <v>201511041063</v>
      </c>
      <c r="I2441">
        <v>40</v>
      </c>
      <c r="J2441">
        <v>0</v>
      </c>
      <c r="N2441">
        <v>0</v>
      </c>
      <c r="O2441">
        <v>4</v>
      </c>
      <c r="P2441">
        <v>0</v>
      </c>
      <c r="Q2441">
        <v>44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3</v>
      </c>
      <c r="AB2441">
        <v>0</v>
      </c>
      <c r="AD2441">
        <v>47</v>
      </c>
    </row>
    <row r="2442" spans="1:30" x14ac:dyDescent="0.3">
      <c r="A2442" s="4">
        <v>2463</v>
      </c>
      <c r="B2442" s="5">
        <v>2435</v>
      </c>
      <c r="C2442">
        <v>3675</v>
      </c>
      <c r="D2442" t="s">
        <v>5225</v>
      </c>
      <c r="E2442" t="s">
        <v>33</v>
      </c>
      <c r="F2442" t="s">
        <v>81</v>
      </c>
      <c r="G2442" t="s">
        <v>5226</v>
      </c>
      <c r="H2442" t="str">
        <f>"00619831"</f>
        <v>00619831</v>
      </c>
      <c r="I2442">
        <v>40</v>
      </c>
      <c r="J2442">
        <v>0</v>
      </c>
      <c r="N2442">
        <v>0</v>
      </c>
      <c r="O2442">
        <v>4</v>
      </c>
      <c r="P2442">
        <v>0</v>
      </c>
      <c r="Q2442">
        <v>44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3</v>
      </c>
      <c r="AB2442">
        <v>0</v>
      </c>
      <c r="AD2442">
        <v>47</v>
      </c>
    </row>
    <row r="2443" spans="1:30" x14ac:dyDescent="0.3">
      <c r="A2443" s="4">
        <v>2464</v>
      </c>
      <c r="B2443" s="5">
        <v>2436</v>
      </c>
      <c r="C2443">
        <v>1302</v>
      </c>
      <c r="D2443" t="s">
        <v>5227</v>
      </c>
      <c r="E2443" t="s">
        <v>41</v>
      </c>
      <c r="F2443" t="s">
        <v>20</v>
      </c>
      <c r="G2443" t="s">
        <v>5228</v>
      </c>
      <c r="H2443" t="str">
        <f>"00856348"</f>
        <v>00856348</v>
      </c>
      <c r="I2443">
        <v>40</v>
      </c>
      <c r="J2443">
        <v>0</v>
      </c>
      <c r="N2443">
        <v>0</v>
      </c>
      <c r="O2443">
        <v>4</v>
      </c>
      <c r="P2443">
        <v>0</v>
      </c>
      <c r="Q2443">
        <v>44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3</v>
      </c>
      <c r="AB2443">
        <v>0</v>
      </c>
      <c r="AD2443">
        <v>47</v>
      </c>
    </row>
    <row r="2444" spans="1:30" x14ac:dyDescent="0.3">
      <c r="A2444" s="4">
        <v>2465</v>
      </c>
      <c r="B2444" s="5">
        <v>2437</v>
      </c>
      <c r="C2444">
        <v>4904</v>
      </c>
      <c r="D2444" t="s">
        <v>5229</v>
      </c>
      <c r="E2444" t="s">
        <v>550</v>
      </c>
      <c r="F2444" t="s">
        <v>20</v>
      </c>
      <c r="G2444" t="s">
        <v>5230</v>
      </c>
      <c r="H2444" t="str">
        <f>"00305534"</f>
        <v>00305534</v>
      </c>
      <c r="I2444">
        <v>40</v>
      </c>
      <c r="J2444">
        <v>0</v>
      </c>
      <c r="N2444">
        <v>0</v>
      </c>
      <c r="O2444">
        <v>4</v>
      </c>
      <c r="P2444">
        <v>0</v>
      </c>
      <c r="Q2444">
        <v>44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3</v>
      </c>
      <c r="AB2444">
        <v>0</v>
      </c>
      <c r="AD2444">
        <v>47</v>
      </c>
    </row>
    <row r="2445" spans="1:30" x14ac:dyDescent="0.3">
      <c r="A2445" s="4">
        <v>2466</v>
      </c>
      <c r="B2445" s="5">
        <v>2438</v>
      </c>
      <c r="C2445">
        <v>136</v>
      </c>
      <c r="D2445" t="s">
        <v>5231</v>
      </c>
      <c r="E2445" t="s">
        <v>5232</v>
      </c>
      <c r="F2445" t="s">
        <v>243</v>
      </c>
      <c r="G2445" t="s">
        <v>5233</v>
      </c>
      <c r="H2445" t="str">
        <f>"00533871"</f>
        <v>00533871</v>
      </c>
      <c r="I2445">
        <v>40</v>
      </c>
      <c r="J2445">
        <v>0</v>
      </c>
      <c r="N2445">
        <v>0</v>
      </c>
      <c r="O2445">
        <v>4</v>
      </c>
      <c r="P2445">
        <v>0</v>
      </c>
      <c r="Q2445">
        <v>44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3</v>
      </c>
      <c r="AB2445">
        <v>0</v>
      </c>
      <c r="AD2445">
        <v>47</v>
      </c>
    </row>
    <row r="2446" spans="1:30" x14ac:dyDescent="0.3">
      <c r="A2446" s="4">
        <v>2467</v>
      </c>
      <c r="B2446" s="5">
        <v>2439</v>
      </c>
      <c r="C2446">
        <v>2350</v>
      </c>
      <c r="D2446" t="s">
        <v>5234</v>
      </c>
      <c r="E2446" t="s">
        <v>97</v>
      </c>
      <c r="F2446" t="s">
        <v>5235</v>
      </c>
      <c r="G2446" t="s">
        <v>5236</v>
      </c>
      <c r="H2446" t="str">
        <f>"00801957"</f>
        <v>00801957</v>
      </c>
      <c r="I2446">
        <v>36</v>
      </c>
      <c r="J2446">
        <v>0</v>
      </c>
      <c r="M2446">
        <v>4</v>
      </c>
      <c r="N2446">
        <v>4</v>
      </c>
      <c r="O2446">
        <v>4</v>
      </c>
      <c r="P2446">
        <v>0</v>
      </c>
      <c r="Q2446">
        <v>44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3</v>
      </c>
      <c r="AB2446">
        <v>0</v>
      </c>
      <c r="AD2446">
        <v>47</v>
      </c>
    </row>
    <row r="2447" spans="1:30" x14ac:dyDescent="0.3">
      <c r="A2447" s="4">
        <v>2468</v>
      </c>
      <c r="B2447" s="5">
        <v>2440</v>
      </c>
      <c r="C2447">
        <v>1826</v>
      </c>
      <c r="D2447" t="s">
        <v>1654</v>
      </c>
      <c r="E2447" t="s">
        <v>5237</v>
      </c>
      <c r="F2447" t="s">
        <v>385</v>
      </c>
      <c r="G2447" t="s">
        <v>5238</v>
      </c>
      <c r="H2447" t="str">
        <f>"00524606"</f>
        <v>00524606</v>
      </c>
      <c r="I2447">
        <v>36</v>
      </c>
      <c r="J2447">
        <v>0</v>
      </c>
      <c r="M2447">
        <v>4</v>
      </c>
      <c r="N2447">
        <v>4</v>
      </c>
      <c r="O2447">
        <v>4</v>
      </c>
      <c r="P2447">
        <v>0</v>
      </c>
      <c r="Q2447">
        <v>44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3</v>
      </c>
      <c r="AB2447">
        <v>0</v>
      </c>
      <c r="AD2447">
        <v>47</v>
      </c>
    </row>
    <row r="2448" spans="1:30" x14ac:dyDescent="0.3">
      <c r="A2448" s="4">
        <v>2469</v>
      </c>
      <c r="B2448" s="5">
        <v>2441</v>
      </c>
      <c r="C2448">
        <v>4386</v>
      </c>
      <c r="D2448" t="s">
        <v>5239</v>
      </c>
      <c r="E2448" t="s">
        <v>126</v>
      </c>
      <c r="F2448" t="s">
        <v>343</v>
      </c>
      <c r="G2448" t="s">
        <v>5240</v>
      </c>
      <c r="H2448" t="str">
        <f>"00278960"</f>
        <v>00278960</v>
      </c>
      <c r="I2448">
        <v>36</v>
      </c>
      <c r="J2448">
        <v>0</v>
      </c>
      <c r="M2448">
        <v>4</v>
      </c>
      <c r="N2448">
        <v>4</v>
      </c>
      <c r="O2448">
        <v>4</v>
      </c>
      <c r="P2448">
        <v>0</v>
      </c>
      <c r="Q2448">
        <v>44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3</v>
      </c>
      <c r="AB2448">
        <v>0</v>
      </c>
      <c r="AD2448">
        <v>47</v>
      </c>
    </row>
    <row r="2449" spans="1:30" x14ac:dyDescent="0.3">
      <c r="A2449" s="4">
        <v>2470</v>
      </c>
      <c r="B2449" s="5">
        <v>2442</v>
      </c>
      <c r="C2449">
        <v>2581</v>
      </c>
      <c r="D2449" t="s">
        <v>5241</v>
      </c>
      <c r="E2449" t="s">
        <v>110</v>
      </c>
      <c r="F2449" t="s">
        <v>416</v>
      </c>
      <c r="G2449" t="s">
        <v>5242</v>
      </c>
      <c r="H2449" t="str">
        <f>"00864833"</f>
        <v>00864833</v>
      </c>
      <c r="I2449">
        <v>36</v>
      </c>
      <c r="J2449">
        <v>0</v>
      </c>
      <c r="M2449">
        <v>4</v>
      </c>
      <c r="N2449">
        <v>4</v>
      </c>
      <c r="O2449">
        <v>4</v>
      </c>
      <c r="P2449">
        <v>0</v>
      </c>
      <c r="Q2449">
        <v>44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3</v>
      </c>
      <c r="AB2449">
        <v>0</v>
      </c>
      <c r="AD2449">
        <v>47</v>
      </c>
    </row>
    <row r="2450" spans="1:30" x14ac:dyDescent="0.3">
      <c r="A2450" s="4">
        <v>2471</v>
      </c>
      <c r="B2450" s="5">
        <v>2443</v>
      </c>
      <c r="C2450">
        <v>2909</v>
      </c>
      <c r="D2450" t="s">
        <v>5243</v>
      </c>
      <c r="E2450" t="s">
        <v>792</v>
      </c>
      <c r="F2450" t="s">
        <v>117</v>
      </c>
      <c r="G2450" t="s">
        <v>5244</v>
      </c>
      <c r="H2450" t="str">
        <f>"00860154"</f>
        <v>00860154</v>
      </c>
      <c r="I2450">
        <v>36</v>
      </c>
      <c r="J2450">
        <v>0</v>
      </c>
      <c r="M2450">
        <v>4</v>
      </c>
      <c r="N2450">
        <v>4</v>
      </c>
      <c r="O2450">
        <v>4</v>
      </c>
      <c r="P2450">
        <v>0</v>
      </c>
      <c r="Q2450">
        <v>44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3</v>
      </c>
      <c r="AB2450">
        <v>0</v>
      </c>
      <c r="AD2450">
        <v>47</v>
      </c>
    </row>
    <row r="2451" spans="1:30" x14ac:dyDescent="0.3">
      <c r="A2451" s="4">
        <v>2472</v>
      </c>
      <c r="B2451" s="5">
        <v>2444</v>
      </c>
      <c r="C2451">
        <v>4178</v>
      </c>
      <c r="D2451" t="s">
        <v>5245</v>
      </c>
      <c r="E2451" t="s">
        <v>789</v>
      </c>
      <c r="F2451" t="s">
        <v>30</v>
      </c>
      <c r="G2451" t="s">
        <v>5246</v>
      </c>
      <c r="H2451" t="str">
        <f>"00835901"</f>
        <v>00835901</v>
      </c>
      <c r="I2451">
        <v>36</v>
      </c>
      <c r="J2451">
        <v>0</v>
      </c>
      <c r="M2451">
        <v>4</v>
      </c>
      <c r="N2451">
        <v>4</v>
      </c>
      <c r="O2451">
        <v>4</v>
      </c>
      <c r="P2451">
        <v>0</v>
      </c>
      <c r="Q2451">
        <v>44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3</v>
      </c>
      <c r="AB2451">
        <v>0</v>
      </c>
      <c r="AD2451">
        <v>47</v>
      </c>
    </row>
    <row r="2452" spans="1:30" x14ac:dyDescent="0.3">
      <c r="A2452" s="4">
        <v>2473</v>
      </c>
      <c r="B2452" s="5">
        <v>2445</v>
      </c>
      <c r="C2452">
        <v>2063</v>
      </c>
      <c r="D2452" t="s">
        <v>5247</v>
      </c>
      <c r="E2452" t="s">
        <v>26</v>
      </c>
      <c r="F2452" t="s">
        <v>5248</v>
      </c>
      <c r="G2452" t="s">
        <v>5249</v>
      </c>
      <c r="H2452" t="str">
        <f>"00862112"</f>
        <v>00862112</v>
      </c>
      <c r="I2452">
        <v>36.92</v>
      </c>
      <c r="J2452">
        <v>0</v>
      </c>
      <c r="N2452">
        <v>0</v>
      </c>
      <c r="O2452">
        <v>4</v>
      </c>
      <c r="P2452">
        <v>0</v>
      </c>
      <c r="Q2452">
        <v>40.92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6</v>
      </c>
      <c r="AB2452">
        <v>0</v>
      </c>
      <c r="AD2452">
        <v>46.92</v>
      </c>
    </row>
    <row r="2453" spans="1:30" x14ac:dyDescent="0.3">
      <c r="A2453" s="4">
        <v>2474</v>
      </c>
      <c r="B2453" s="5">
        <v>2446</v>
      </c>
      <c r="C2453">
        <v>3596</v>
      </c>
      <c r="D2453" t="s">
        <v>577</v>
      </c>
      <c r="E2453" t="s">
        <v>54</v>
      </c>
      <c r="F2453" t="s">
        <v>193</v>
      </c>
      <c r="G2453" t="s">
        <v>5250</v>
      </c>
      <c r="H2453" t="str">
        <f>"00856507"</f>
        <v>00856507</v>
      </c>
      <c r="I2453">
        <v>26.92</v>
      </c>
      <c r="J2453">
        <v>10</v>
      </c>
      <c r="M2453">
        <v>4</v>
      </c>
      <c r="N2453">
        <v>4</v>
      </c>
      <c r="O2453">
        <v>0</v>
      </c>
      <c r="P2453">
        <v>0</v>
      </c>
      <c r="Q2453">
        <v>40.92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6</v>
      </c>
      <c r="AB2453">
        <v>0</v>
      </c>
      <c r="AD2453">
        <v>46.92</v>
      </c>
    </row>
    <row r="2454" spans="1:30" x14ac:dyDescent="0.3">
      <c r="A2454" s="4">
        <v>2475</v>
      </c>
      <c r="B2454" s="5">
        <v>2447</v>
      </c>
      <c r="C2454">
        <v>873</v>
      </c>
      <c r="D2454" t="s">
        <v>5251</v>
      </c>
      <c r="E2454" t="s">
        <v>182</v>
      </c>
      <c r="F2454" t="s">
        <v>17</v>
      </c>
      <c r="G2454" t="s">
        <v>5252</v>
      </c>
      <c r="H2454" t="str">
        <f>"00438465"</f>
        <v>00438465</v>
      </c>
      <c r="I2454">
        <v>32.92</v>
      </c>
      <c r="J2454">
        <v>10</v>
      </c>
      <c r="N2454">
        <v>0</v>
      </c>
      <c r="O2454">
        <v>4</v>
      </c>
      <c r="P2454">
        <v>0</v>
      </c>
      <c r="Q2454">
        <v>46.92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D2454">
        <v>46.92</v>
      </c>
    </row>
    <row r="2455" spans="1:30" x14ac:dyDescent="0.3">
      <c r="A2455" s="4">
        <v>2476</v>
      </c>
      <c r="B2455" s="5">
        <v>2448</v>
      </c>
      <c r="C2455">
        <v>1052</v>
      </c>
      <c r="D2455" t="s">
        <v>181</v>
      </c>
      <c r="E2455" t="s">
        <v>255</v>
      </c>
      <c r="F2455" t="s">
        <v>136</v>
      </c>
      <c r="G2455" t="s">
        <v>5253</v>
      </c>
      <c r="H2455" t="str">
        <f>"201303000105"</f>
        <v>201303000105</v>
      </c>
      <c r="I2455">
        <v>29.88</v>
      </c>
      <c r="J2455">
        <v>0</v>
      </c>
      <c r="M2455">
        <v>4</v>
      </c>
      <c r="N2455">
        <v>4</v>
      </c>
      <c r="O2455">
        <v>4</v>
      </c>
      <c r="P2455">
        <v>0</v>
      </c>
      <c r="Q2455">
        <v>37.880000000000003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9</v>
      </c>
      <c r="AB2455">
        <v>0</v>
      </c>
      <c r="AD2455">
        <v>46.88</v>
      </c>
    </row>
    <row r="2456" spans="1:30" x14ac:dyDescent="0.3">
      <c r="A2456" s="4">
        <v>2477</v>
      </c>
      <c r="B2456" s="5">
        <v>2449</v>
      </c>
      <c r="C2456">
        <v>1130</v>
      </c>
      <c r="D2456" t="s">
        <v>5254</v>
      </c>
      <c r="E2456" t="s">
        <v>143</v>
      </c>
      <c r="F2456" t="s">
        <v>5255</v>
      </c>
      <c r="G2456" t="s">
        <v>5256</v>
      </c>
      <c r="H2456" t="str">
        <f>"00399629"</f>
        <v>00399629</v>
      </c>
      <c r="I2456">
        <v>36.799999999999997</v>
      </c>
      <c r="J2456">
        <v>0</v>
      </c>
      <c r="N2456">
        <v>0</v>
      </c>
      <c r="O2456">
        <v>4</v>
      </c>
      <c r="P2456">
        <v>0</v>
      </c>
      <c r="Q2456">
        <v>40.799999999999997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6</v>
      </c>
      <c r="AB2456">
        <v>0</v>
      </c>
      <c r="AD2456">
        <v>46.8</v>
      </c>
    </row>
    <row r="2457" spans="1:30" x14ac:dyDescent="0.3">
      <c r="A2457" s="4">
        <v>2478</v>
      </c>
      <c r="B2457" s="5">
        <v>2450</v>
      </c>
      <c r="C2457">
        <v>3652</v>
      </c>
      <c r="D2457" t="s">
        <v>5257</v>
      </c>
      <c r="E2457" t="s">
        <v>54</v>
      </c>
      <c r="F2457" t="s">
        <v>3642</v>
      </c>
      <c r="G2457" t="s">
        <v>5258</v>
      </c>
      <c r="H2457" t="str">
        <f>"00840268"</f>
        <v>00840268</v>
      </c>
      <c r="I2457">
        <v>28.8</v>
      </c>
      <c r="J2457">
        <v>0</v>
      </c>
      <c r="K2457">
        <v>8</v>
      </c>
      <c r="N2457">
        <v>8</v>
      </c>
      <c r="O2457">
        <v>4</v>
      </c>
      <c r="P2457">
        <v>0</v>
      </c>
      <c r="Q2457">
        <v>40.799999999999997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6</v>
      </c>
      <c r="AB2457">
        <v>0</v>
      </c>
      <c r="AD2457">
        <v>46.8</v>
      </c>
    </row>
    <row r="2458" spans="1:30" x14ac:dyDescent="0.3">
      <c r="A2458" s="4">
        <v>2479</v>
      </c>
      <c r="B2458" s="5">
        <v>2451</v>
      </c>
      <c r="C2458">
        <v>446</v>
      </c>
      <c r="D2458" t="s">
        <v>5259</v>
      </c>
      <c r="E2458" t="s">
        <v>100</v>
      </c>
      <c r="F2458" t="s">
        <v>4546</v>
      </c>
      <c r="G2458" t="s">
        <v>5260</v>
      </c>
      <c r="H2458" t="str">
        <f>"00660368"</f>
        <v>00660368</v>
      </c>
      <c r="I2458">
        <v>28.8</v>
      </c>
      <c r="J2458">
        <v>0</v>
      </c>
      <c r="K2458">
        <v>8</v>
      </c>
      <c r="N2458">
        <v>8</v>
      </c>
      <c r="O2458">
        <v>4</v>
      </c>
      <c r="P2458">
        <v>0</v>
      </c>
      <c r="Q2458">
        <v>40.799999999999997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6</v>
      </c>
      <c r="AB2458">
        <v>0</v>
      </c>
      <c r="AD2458">
        <v>46.8</v>
      </c>
    </row>
    <row r="2459" spans="1:30" x14ac:dyDescent="0.3">
      <c r="A2459" s="4">
        <v>2480</v>
      </c>
      <c r="B2459" s="5">
        <v>2452</v>
      </c>
      <c r="C2459">
        <v>4941</v>
      </c>
      <c r="D2459" t="s">
        <v>5261</v>
      </c>
      <c r="E2459" t="s">
        <v>837</v>
      </c>
      <c r="F2459" t="s">
        <v>20</v>
      </c>
      <c r="G2459" t="s">
        <v>5262</v>
      </c>
      <c r="H2459" t="str">
        <f>"00554620"</f>
        <v>00554620</v>
      </c>
      <c r="I2459">
        <v>20.8</v>
      </c>
      <c r="J2459">
        <v>10</v>
      </c>
      <c r="M2459">
        <v>4</v>
      </c>
      <c r="N2459">
        <v>4</v>
      </c>
      <c r="O2459">
        <v>4</v>
      </c>
      <c r="P2459">
        <v>2</v>
      </c>
      <c r="Q2459">
        <v>40.799999999999997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6</v>
      </c>
      <c r="AB2459">
        <v>0</v>
      </c>
      <c r="AD2459">
        <v>46.8</v>
      </c>
    </row>
    <row r="2460" spans="1:30" x14ac:dyDescent="0.3">
      <c r="A2460" s="4">
        <v>2481</v>
      </c>
      <c r="B2460" s="5">
        <v>2453</v>
      </c>
      <c r="C2460">
        <v>2051</v>
      </c>
      <c r="D2460" t="s">
        <v>5263</v>
      </c>
      <c r="E2460" t="s">
        <v>161</v>
      </c>
      <c r="F2460" t="s">
        <v>17</v>
      </c>
      <c r="G2460" t="s">
        <v>5264</v>
      </c>
      <c r="H2460" t="str">
        <f>"00855089"</f>
        <v>00855089</v>
      </c>
      <c r="I2460">
        <v>25.8</v>
      </c>
      <c r="J2460">
        <v>10</v>
      </c>
      <c r="M2460">
        <v>4</v>
      </c>
      <c r="N2460">
        <v>4</v>
      </c>
      <c r="O2460">
        <v>4</v>
      </c>
      <c r="P2460">
        <v>0</v>
      </c>
      <c r="Q2460">
        <v>43.8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3</v>
      </c>
      <c r="AB2460">
        <v>0</v>
      </c>
      <c r="AD2460">
        <v>46.8</v>
      </c>
    </row>
    <row r="2461" spans="1:30" x14ac:dyDescent="0.3">
      <c r="A2461" s="4">
        <v>2482</v>
      </c>
      <c r="B2461" s="5">
        <v>2454</v>
      </c>
      <c r="C2461">
        <v>4743</v>
      </c>
      <c r="D2461" t="s">
        <v>5265</v>
      </c>
      <c r="E2461" t="s">
        <v>166</v>
      </c>
      <c r="F2461" t="s">
        <v>136</v>
      </c>
      <c r="G2461" t="s">
        <v>5266</v>
      </c>
      <c r="H2461" t="str">
        <f>"00654752"</f>
        <v>00654752</v>
      </c>
      <c r="I2461">
        <v>36.799999999999997</v>
      </c>
      <c r="J2461">
        <v>0</v>
      </c>
      <c r="L2461">
        <v>6</v>
      </c>
      <c r="N2461">
        <v>6</v>
      </c>
      <c r="O2461">
        <v>4</v>
      </c>
      <c r="P2461">
        <v>0</v>
      </c>
      <c r="Q2461">
        <v>46.8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D2461">
        <v>46.8</v>
      </c>
    </row>
    <row r="2462" spans="1:30" x14ac:dyDescent="0.3">
      <c r="A2462" s="4">
        <v>2483</v>
      </c>
      <c r="B2462" s="5">
        <v>2455</v>
      </c>
      <c r="C2462">
        <v>2879</v>
      </c>
      <c r="D2462" t="s">
        <v>5267</v>
      </c>
      <c r="E2462" t="s">
        <v>161</v>
      </c>
      <c r="F2462" t="s">
        <v>416</v>
      </c>
      <c r="G2462" t="s">
        <v>5268</v>
      </c>
      <c r="H2462" t="str">
        <f>"201604003086"</f>
        <v>201604003086</v>
      </c>
      <c r="I2462">
        <v>28.8</v>
      </c>
      <c r="J2462">
        <v>10</v>
      </c>
      <c r="M2462">
        <v>4</v>
      </c>
      <c r="N2462">
        <v>4</v>
      </c>
      <c r="O2462">
        <v>4</v>
      </c>
      <c r="P2462">
        <v>0</v>
      </c>
      <c r="Q2462">
        <v>46.8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D2462">
        <v>46.8</v>
      </c>
    </row>
    <row r="2463" spans="1:30" x14ac:dyDescent="0.3">
      <c r="A2463" s="4">
        <v>2484</v>
      </c>
      <c r="B2463" s="5">
        <v>2456</v>
      </c>
      <c r="C2463">
        <v>4712</v>
      </c>
      <c r="D2463" t="s">
        <v>5269</v>
      </c>
      <c r="E2463" t="s">
        <v>2573</v>
      </c>
      <c r="F2463" t="s">
        <v>158</v>
      </c>
      <c r="G2463" t="s">
        <v>5270</v>
      </c>
      <c r="H2463" t="str">
        <f>"00653092"</f>
        <v>00653092</v>
      </c>
      <c r="I2463">
        <v>37.76</v>
      </c>
      <c r="J2463">
        <v>0</v>
      </c>
      <c r="N2463">
        <v>0</v>
      </c>
      <c r="O2463">
        <v>0</v>
      </c>
      <c r="P2463">
        <v>0</v>
      </c>
      <c r="Q2463">
        <v>37.76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9</v>
      </c>
      <c r="AB2463">
        <v>0</v>
      </c>
      <c r="AD2463">
        <v>46.76</v>
      </c>
    </row>
    <row r="2464" spans="1:30" x14ac:dyDescent="0.3">
      <c r="A2464" s="4">
        <v>2485</v>
      </c>
      <c r="B2464" s="5">
        <v>2457</v>
      </c>
      <c r="C2464">
        <v>71</v>
      </c>
      <c r="D2464" t="s">
        <v>1457</v>
      </c>
      <c r="E2464" t="s">
        <v>33</v>
      </c>
      <c r="F2464" t="s">
        <v>136</v>
      </c>
      <c r="G2464" t="s">
        <v>5271</v>
      </c>
      <c r="H2464" t="str">
        <f>"00142591"</f>
        <v>00142591</v>
      </c>
      <c r="I2464">
        <v>32.72</v>
      </c>
      <c r="J2464">
        <v>0</v>
      </c>
      <c r="M2464">
        <v>4</v>
      </c>
      <c r="N2464">
        <v>4</v>
      </c>
      <c r="O2464">
        <v>4</v>
      </c>
      <c r="P2464">
        <v>0</v>
      </c>
      <c r="Q2464">
        <v>40.72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6</v>
      </c>
      <c r="AB2464">
        <v>0</v>
      </c>
      <c r="AD2464">
        <v>46.72</v>
      </c>
    </row>
    <row r="2465" spans="1:30" x14ac:dyDescent="0.3">
      <c r="A2465" s="4">
        <v>2486</v>
      </c>
      <c r="B2465" s="5">
        <v>2458</v>
      </c>
      <c r="C2465">
        <v>575</v>
      </c>
      <c r="D2465" t="s">
        <v>2635</v>
      </c>
      <c r="E2465" t="s">
        <v>400</v>
      </c>
      <c r="F2465" t="s">
        <v>243</v>
      </c>
      <c r="G2465" t="s">
        <v>32037</v>
      </c>
      <c r="H2465" t="str">
        <f>"00511986"</f>
        <v>00511986</v>
      </c>
      <c r="I2465">
        <v>15.72</v>
      </c>
      <c r="J2465">
        <v>0</v>
      </c>
      <c r="N2465">
        <v>0</v>
      </c>
      <c r="O2465">
        <v>0</v>
      </c>
      <c r="P2465">
        <v>0</v>
      </c>
      <c r="Q2465">
        <v>15.72</v>
      </c>
      <c r="R2465">
        <v>25</v>
      </c>
      <c r="S2465">
        <v>25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25</v>
      </c>
      <c r="AA2465">
        <v>6</v>
      </c>
      <c r="AB2465">
        <v>0</v>
      </c>
      <c r="AD2465">
        <v>46.72</v>
      </c>
    </row>
    <row r="2466" spans="1:30" x14ac:dyDescent="0.3">
      <c r="A2466" s="4">
        <v>2487</v>
      </c>
      <c r="B2466" s="5">
        <v>2459</v>
      </c>
      <c r="C2466">
        <v>4252</v>
      </c>
      <c r="D2466" t="s">
        <v>5272</v>
      </c>
      <c r="E2466" t="s">
        <v>5273</v>
      </c>
      <c r="F2466" t="s">
        <v>158</v>
      </c>
      <c r="G2466" t="s">
        <v>5274</v>
      </c>
      <c r="H2466" t="str">
        <f>"00861483"</f>
        <v>00861483</v>
      </c>
      <c r="I2466">
        <v>31.68</v>
      </c>
      <c r="J2466">
        <v>0</v>
      </c>
      <c r="N2466">
        <v>0</v>
      </c>
      <c r="O2466">
        <v>0</v>
      </c>
      <c r="P2466">
        <v>0</v>
      </c>
      <c r="Q2466">
        <v>31.68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15</v>
      </c>
      <c r="AB2466">
        <v>0</v>
      </c>
      <c r="AD2466">
        <v>46.68</v>
      </c>
    </row>
    <row r="2467" spans="1:30" x14ac:dyDescent="0.3">
      <c r="A2467" s="4">
        <v>2488</v>
      </c>
      <c r="B2467" s="5">
        <v>2460</v>
      </c>
      <c r="C2467">
        <v>3606</v>
      </c>
      <c r="D2467" t="s">
        <v>5275</v>
      </c>
      <c r="E2467" t="s">
        <v>563</v>
      </c>
      <c r="F2467" t="s">
        <v>17</v>
      </c>
      <c r="G2467" t="s">
        <v>5276</v>
      </c>
      <c r="H2467" t="str">
        <f>"00699351"</f>
        <v>00699351</v>
      </c>
      <c r="I2467">
        <v>34.68</v>
      </c>
      <c r="J2467">
        <v>0</v>
      </c>
      <c r="N2467">
        <v>0</v>
      </c>
      <c r="O2467">
        <v>0</v>
      </c>
      <c r="P2467">
        <v>0</v>
      </c>
      <c r="Q2467">
        <v>34.68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12</v>
      </c>
      <c r="AB2467">
        <v>0</v>
      </c>
      <c r="AD2467">
        <v>46.68</v>
      </c>
    </row>
    <row r="2468" spans="1:30" x14ac:dyDescent="0.3">
      <c r="A2468" s="4">
        <v>2489</v>
      </c>
      <c r="B2468" s="5">
        <v>2461</v>
      </c>
      <c r="C2468">
        <v>2207</v>
      </c>
      <c r="D2468" t="s">
        <v>5277</v>
      </c>
      <c r="E2468" t="s">
        <v>283</v>
      </c>
      <c r="F2468" t="s">
        <v>652</v>
      </c>
      <c r="G2468" t="s">
        <v>5278</v>
      </c>
      <c r="H2468" t="str">
        <f>"00865029"</f>
        <v>00865029</v>
      </c>
      <c r="I2468">
        <v>21.6</v>
      </c>
      <c r="J2468">
        <v>0</v>
      </c>
      <c r="K2468">
        <v>8</v>
      </c>
      <c r="N2468">
        <v>8</v>
      </c>
      <c r="O2468">
        <v>0</v>
      </c>
      <c r="P2468">
        <v>2</v>
      </c>
      <c r="Q2468">
        <v>31.6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15</v>
      </c>
      <c r="AB2468">
        <v>0</v>
      </c>
      <c r="AD2468">
        <v>46.6</v>
      </c>
    </row>
    <row r="2469" spans="1:30" x14ac:dyDescent="0.3">
      <c r="A2469" s="4">
        <v>2490</v>
      </c>
      <c r="B2469" s="5">
        <v>2462</v>
      </c>
      <c r="C2469">
        <v>3540</v>
      </c>
      <c r="D2469" t="s">
        <v>5279</v>
      </c>
      <c r="E2469" t="s">
        <v>342</v>
      </c>
      <c r="F2469" t="s">
        <v>38</v>
      </c>
      <c r="G2469" t="s">
        <v>5280</v>
      </c>
      <c r="H2469" t="str">
        <f>"00359815"</f>
        <v>00359815</v>
      </c>
      <c r="I2469">
        <v>39.6</v>
      </c>
      <c r="J2469">
        <v>0</v>
      </c>
      <c r="M2469">
        <v>4</v>
      </c>
      <c r="N2469">
        <v>4</v>
      </c>
      <c r="O2469">
        <v>0</v>
      </c>
      <c r="P2469">
        <v>0</v>
      </c>
      <c r="Q2469">
        <v>43.6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3</v>
      </c>
      <c r="AB2469">
        <v>0</v>
      </c>
      <c r="AD2469">
        <v>46.6</v>
      </c>
    </row>
    <row r="2470" spans="1:30" x14ac:dyDescent="0.3">
      <c r="A2470" s="4">
        <v>2491</v>
      </c>
      <c r="B2470" s="5">
        <v>2463</v>
      </c>
      <c r="C2470">
        <v>2853</v>
      </c>
      <c r="D2470" t="s">
        <v>5281</v>
      </c>
      <c r="E2470" t="s">
        <v>1319</v>
      </c>
      <c r="F2470" t="s">
        <v>652</v>
      </c>
      <c r="G2470" t="s">
        <v>5282</v>
      </c>
      <c r="H2470" t="str">
        <f>"00531052"</f>
        <v>00531052</v>
      </c>
      <c r="I2470">
        <v>21.6</v>
      </c>
      <c r="J2470">
        <v>10</v>
      </c>
      <c r="N2470">
        <v>0</v>
      </c>
      <c r="O2470">
        <v>4</v>
      </c>
      <c r="P2470">
        <v>0</v>
      </c>
      <c r="Q2470">
        <v>35.6</v>
      </c>
      <c r="R2470">
        <v>11</v>
      </c>
      <c r="S2470">
        <v>11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11</v>
      </c>
      <c r="AA2470">
        <v>0</v>
      </c>
      <c r="AB2470">
        <v>0</v>
      </c>
      <c r="AD2470">
        <v>46.6</v>
      </c>
    </row>
    <row r="2471" spans="1:30" x14ac:dyDescent="0.3">
      <c r="A2471" s="4">
        <v>2492</v>
      </c>
      <c r="B2471" s="5">
        <v>2464</v>
      </c>
      <c r="C2471">
        <v>1820</v>
      </c>
      <c r="D2471" t="s">
        <v>397</v>
      </c>
      <c r="E2471" t="s">
        <v>54</v>
      </c>
      <c r="F2471" t="s">
        <v>38</v>
      </c>
      <c r="G2471" t="s">
        <v>5283</v>
      </c>
      <c r="H2471" t="str">
        <f>"00860711"</f>
        <v>00860711</v>
      </c>
      <c r="I2471">
        <v>21.6</v>
      </c>
      <c r="J2471">
        <v>0</v>
      </c>
      <c r="N2471">
        <v>0</v>
      </c>
      <c r="O2471">
        <v>4</v>
      </c>
      <c r="P2471">
        <v>0</v>
      </c>
      <c r="Q2471">
        <v>25.6</v>
      </c>
      <c r="R2471">
        <v>21</v>
      </c>
      <c r="S2471">
        <v>21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21</v>
      </c>
      <c r="AA2471">
        <v>0</v>
      </c>
      <c r="AB2471">
        <v>0</v>
      </c>
      <c r="AD2471">
        <v>46.6</v>
      </c>
    </row>
    <row r="2472" spans="1:30" x14ac:dyDescent="0.3">
      <c r="A2472" s="4">
        <v>2493</v>
      </c>
      <c r="B2472" s="5">
        <v>2465</v>
      </c>
      <c r="C2472">
        <v>1627</v>
      </c>
      <c r="D2472" t="s">
        <v>5284</v>
      </c>
      <c r="E2472" t="s">
        <v>5285</v>
      </c>
      <c r="F2472" t="s">
        <v>81</v>
      </c>
      <c r="G2472" t="s">
        <v>5286</v>
      </c>
      <c r="H2472" t="str">
        <f>"201511006786"</f>
        <v>201511006786</v>
      </c>
      <c r="I2472">
        <v>22.56</v>
      </c>
      <c r="J2472">
        <v>0</v>
      </c>
      <c r="N2472">
        <v>0</v>
      </c>
      <c r="O2472">
        <v>4</v>
      </c>
      <c r="P2472">
        <v>0</v>
      </c>
      <c r="Q2472">
        <v>26.56</v>
      </c>
      <c r="R2472">
        <v>20</v>
      </c>
      <c r="S2472">
        <v>20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20</v>
      </c>
      <c r="AA2472">
        <v>0</v>
      </c>
      <c r="AB2472">
        <v>0</v>
      </c>
      <c r="AD2472">
        <v>46.56</v>
      </c>
    </row>
    <row r="2473" spans="1:30" x14ac:dyDescent="0.3">
      <c r="A2473" s="4">
        <v>2494</v>
      </c>
      <c r="B2473" s="5">
        <v>2466</v>
      </c>
      <c r="C2473">
        <v>4183</v>
      </c>
      <c r="D2473" t="s">
        <v>5287</v>
      </c>
      <c r="E2473" t="s">
        <v>33</v>
      </c>
      <c r="F2473" t="s">
        <v>101</v>
      </c>
      <c r="G2473" t="s">
        <v>5288</v>
      </c>
      <c r="H2473" t="str">
        <f>"201511021384"</f>
        <v>201511021384</v>
      </c>
      <c r="I2473">
        <v>36.4</v>
      </c>
      <c r="J2473">
        <v>0</v>
      </c>
      <c r="N2473">
        <v>0</v>
      </c>
      <c r="O2473">
        <v>4</v>
      </c>
      <c r="P2473">
        <v>0</v>
      </c>
      <c r="Q2473">
        <v>40.4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6</v>
      </c>
      <c r="AB2473">
        <v>0</v>
      </c>
      <c r="AD2473">
        <v>46.4</v>
      </c>
    </row>
    <row r="2474" spans="1:30" x14ac:dyDescent="0.3">
      <c r="A2474" s="4">
        <v>2495</v>
      </c>
      <c r="B2474" s="5">
        <v>2467</v>
      </c>
      <c r="C2474">
        <v>4805</v>
      </c>
      <c r="D2474" t="s">
        <v>267</v>
      </c>
      <c r="E2474" t="s">
        <v>149</v>
      </c>
      <c r="F2474" t="s">
        <v>68</v>
      </c>
      <c r="G2474" t="s">
        <v>5289</v>
      </c>
      <c r="H2474" t="str">
        <f>"00518496"</f>
        <v>00518496</v>
      </c>
      <c r="I2474">
        <v>34.4</v>
      </c>
      <c r="J2474">
        <v>0</v>
      </c>
      <c r="N2474">
        <v>0</v>
      </c>
      <c r="O2474">
        <v>4</v>
      </c>
      <c r="P2474">
        <v>2</v>
      </c>
      <c r="Q2474">
        <v>40.4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6</v>
      </c>
      <c r="AB2474">
        <v>0</v>
      </c>
      <c r="AD2474">
        <v>46.4</v>
      </c>
    </row>
    <row r="2475" spans="1:30" x14ac:dyDescent="0.3">
      <c r="A2475" s="4">
        <v>2496</v>
      </c>
      <c r="B2475" s="5">
        <v>2468</v>
      </c>
      <c r="C2475">
        <v>3147</v>
      </c>
      <c r="D2475" t="s">
        <v>5290</v>
      </c>
      <c r="E2475" t="s">
        <v>54</v>
      </c>
      <c r="F2475" t="s">
        <v>20</v>
      </c>
      <c r="G2475" t="s">
        <v>5291</v>
      </c>
      <c r="H2475" t="str">
        <f>"00183660"</f>
        <v>00183660</v>
      </c>
      <c r="I2475">
        <v>28.4</v>
      </c>
      <c r="J2475">
        <v>0</v>
      </c>
      <c r="K2475">
        <v>8</v>
      </c>
      <c r="N2475">
        <v>8</v>
      </c>
      <c r="O2475">
        <v>4</v>
      </c>
      <c r="P2475">
        <v>0</v>
      </c>
      <c r="Q2475">
        <v>40.4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6</v>
      </c>
      <c r="AB2475">
        <v>0</v>
      </c>
      <c r="AD2475">
        <v>46.4</v>
      </c>
    </row>
    <row r="2476" spans="1:30" x14ac:dyDescent="0.3">
      <c r="A2476" s="4">
        <v>2497</v>
      </c>
      <c r="B2476" s="5">
        <v>2469</v>
      </c>
      <c r="C2476">
        <v>2183</v>
      </c>
      <c r="D2476" t="s">
        <v>5292</v>
      </c>
      <c r="E2476" t="s">
        <v>166</v>
      </c>
      <c r="F2476" t="s">
        <v>17</v>
      </c>
      <c r="G2476" t="s">
        <v>5293</v>
      </c>
      <c r="H2476" t="str">
        <f>"00533979"</f>
        <v>00533979</v>
      </c>
      <c r="I2476">
        <v>26.4</v>
      </c>
      <c r="J2476">
        <v>0</v>
      </c>
      <c r="N2476">
        <v>0</v>
      </c>
      <c r="O2476">
        <v>4</v>
      </c>
      <c r="P2476">
        <v>2</v>
      </c>
      <c r="Q2476">
        <v>32.4</v>
      </c>
      <c r="R2476">
        <v>8</v>
      </c>
      <c r="S2476">
        <v>8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8</v>
      </c>
      <c r="AA2476">
        <v>6</v>
      </c>
      <c r="AB2476">
        <v>0</v>
      </c>
      <c r="AD2476">
        <v>46.4</v>
      </c>
    </row>
    <row r="2477" spans="1:30" x14ac:dyDescent="0.3">
      <c r="A2477" s="4">
        <v>2498</v>
      </c>
      <c r="B2477" s="5">
        <v>2470</v>
      </c>
      <c r="C2477">
        <v>345</v>
      </c>
      <c r="D2477" t="s">
        <v>5294</v>
      </c>
      <c r="E2477" t="s">
        <v>29</v>
      </c>
      <c r="F2477" t="s">
        <v>117</v>
      </c>
      <c r="G2477" t="s">
        <v>5295</v>
      </c>
      <c r="H2477" t="str">
        <f>"00761467"</f>
        <v>00761467</v>
      </c>
      <c r="I2477">
        <v>34.4</v>
      </c>
      <c r="J2477">
        <v>10</v>
      </c>
      <c r="N2477">
        <v>0</v>
      </c>
      <c r="O2477">
        <v>0</v>
      </c>
      <c r="P2477">
        <v>2</v>
      </c>
      <c r="Q2477">
        <v>46.4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D2477">
        <v>46.4</v>
      </c>
    </row>
    <row r="2478" spans="1:30" x14ac:dyDescent="0.3">
      <c r="A2478" s="4">
        <v>2499</v>
      </c>
      <c r="B2478" s="5">
        <v>2471</v>
      </c>
      <c r="C2478">
        <v>580</v>
      </c>
      <c r="D2478" t="s">
        <v>5296</v>
      </c>
      <c r="E2478" t="s">
        <v>29</v>
      </c>
      <c r="F2478" t="s">
        <v>52</v>
      </c>
      <c r="G2478" t="s">
        <v>5297</v>
      </c>
      <c r="H2478" t="str">
        <f>"00150530"</f>
        <v>00150530</v>
      </c>
      <c r="I2478">
        <v>14.4</v>
      </c>
      <c r="J2478">
        <v>10</v>
      </c>
      <c r="N2478">
        <v>0</v>
      </c>
      <c r="O2478">
        <v>4</v>
      </c>
      <c r="P2478">
        <v>2</v>
      </c>
      <c r="Q2478">
        <v>30.4</v>
      </c>
      <c r="R2478">
        <v>16</v>
      </c>
      <c r="S2478">
        <v>16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16</v>
      </c>
      <c r="AA2478">
        <v>0</v>
      </c>
      <c r="AB2478">
        <v>0</v>
      </c>
      <c r="AD2478">
        <v>46.4</v>
      </c>
    </row>
    <row r="2479" spans="1:30" x14ac:dyDescent="0.3">
      <c r="A2479" s="4">
        <v>2500</v>
      </c>
      <c r="B2479" s="5">
        <v>2472</v>
      </c>
      <c r="C2479">
        <v>707</v>
      </c>
      <c r="D2479" t="s">
        <v>5124</v>
      </c>
      <c r="E2479" t="s">
        <v>97</v>
      </c>
      <c r="F2479" t="s">
        <v>20</v>
      </c>
      <c r="G2479" t="s">
        <v>5298</v>
      </c>
      <c r="H2479" t="str">
        <f>"00557253"</f>
        <v>00557253</v>
      </c>
      <c r="I2479">
        <v>37.32</v>
      </c>
      <c r="J2479">
        <v>0</v>
      </c>
      <c r="N2479">
        <v>0</v>
      </c>
      <c r="O2479">
        <v>0</v>
      </c>
      <c r="P2479">
        <v>0</v>
      </c>
      <c r="Q2479">
        <v>37.32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9</v>
      </c>
      <c r="AB2479">
        <v>0</v>
      </c>
      <c r="AD2479">
        <v>46.32</v>
      </c>
    </row>
    <row r="2480" spans="1:30" x14ac:dyDescent="0.3">
      <c r="A2480" s="4">
        <v>2501</v>
      </c>
      <c r="B2480" s="5">
        <v>2473</v>
      </c>
      <c r="C2480">
        <v>3313</v>
      </c>
      <c r="D2480" t="s">
        <v>5299</v>
      </c>
      <c r="E2480" t="s">
        <v>132</v>
      </c>
      <c r="F2480" t="s">
        <v>5300</v>
      </c>
      <c r="G2480" t="s">
        <v>5301</v>
      </c>
      <c r="H2480" t="str">
        <f>"00526959"</f>
        <v>00526959</v>
      </c>
      <c r="I2480">
        <v>33.32</v>
      </c>
      <c r="J2480">
        <v>0</v>
      </c>
      <c r="N2480">
        <v>0</v>
      </c>
      <c r="O2480">
        <v>4</v>
      </c>
      <c r="P2480">
        <v>0</v>
      </c>
      <c r="Q2480">
        <v>37.32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9</v>
      </c>
      <c r="AB2480">
        <v>0</v>
      </c>
      <c r="AD2480">
        <v>46.32</v>
      </c>
    </row>
    <row r="2481" spans="1:30" x14ac:dyDescent="0.3">
      <c r="A2481" s="4">
        <v>2502</v>
      </c>
      <c r="B2481" s="5">
        <v>2474</v>
      </c>
      <c r="C2481">
        <v>3560</v>
      </c>
      <c r="D2481" t="s">
        <v>5302</v>
      </c>
      <c r="E2481" t="s">
        <v>5303</v>
      </c>
      <c r="F2481" t="s">
        <v>5304</v>
      </c>
      <c r="G2481" t="s">
        <v>5305</v>
      </c>
      <c r="H2481" t="str">
        <f>"00513392"</f>
        <v>00513392</v>
      </c>
      <c r="I2481">
        <v>22.28</v>
      </c>
      <c r="J2481">
        <v>0</v>
      </c>
      <c r="N2481">
        <v>0</v>
      </c>
      <c r="O2481">
        <v>0</v>
      </c>
      <c r="P2481">
        <v>0</v>
      </c>
      <c r="Q2481">
        <v>22.28</v>
      </c>
      <c r="R2481">
        <v>18</v>
      </c>
      <c r="S2481">
        <v>18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18</v>
      </c>
      <c r="AA2481">
        <v>6</v>
      </c>
      <c r="AB2481">
        <v>0</v>
      </c>
      <c r="AD2481">
        <v>46.28</v>
      </c>
    </row>
    <row r="2482" spans="1:30" x14ac:dyDescent="0.3">
      <c r="A2482" s="4">
        <v>2503</v>
      </c>
      <c r="B2482" s="5">
        <v>2475</v>
      </c>
      <c r="C2482">
        <v>783</v>
      </c>
      <c r="D2482" t="s">
        <v>5306</v>
      </c>
      <c r="E2482" t="s">
        <v>19</v>
      </c>
      <c r="F2482" t="s">
        <v>302</v>
      </c>
      <c r="G2482" t="s">
        <v>5307</v>
      </c>
      <c r="H2482" t="str">
        <f>"00842521"</f>
        <v>00842521</v>
      </c>
      <c r="I2482">
        <v>30.24</v>
      </c>
      <c r="J2482">
        <v>0</v>
      </c>
      <c r="N2482">
        <v>0</v>
      </c>
      <c r="O2482">
        <v>4</v>
      </c>
      <c r="P2482">
        <v>0</v>
      </c>
      <c r="Q2482">
        <v>34.24</v>
      </c>
      <c r="R2482">
        <v>6</v>
      </c>
      <c r="S2482">
        <v>6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6</v>
      </c>
      <c r="AA2482">
        <v>6</v>
      </c>
      <c r="AB2482">
        <v>0</v>
      </c>
      <c r="AD2482">
        <v>46.24</v>
      </c>
    </row>
    <row r="2483" spans="1:30" x14ac:dyDescent="0.3">
      <c r="A2483" s="4">
        <v>2504</v>
      </c>
      <c r="B2483" s="5">
        <v>2476</v>
      </c>
      <c r="C2483">
        <v>3890</v>
      </c>
      <c r="D2483" t="s">
        <v>4364</v>
      </c>
      <c r="E2483" t="s">
        <v>265</v>
      </c>
      <c r="F2483" t="s">
        <v>2474</v>
      </c>
      <c r="G2483" t="s">
        <v>5308</v>
      </c>
      <c r="H2483" t="str">
        <f>"00681478"</f>
        <v>00681478</v>
      </c>
      <c r="I2483">
        <v>7.2</v>
      </c>
      <c r="J2483">
        <v>0</v>
      </c>
      <c r="N2483">
        <v>0</v>
      </c>
      <c r="O2483">
        <v>4</v>
      </c>
      <c r="P2483">
        <v>2</v>
      </c>
      <c r="Q2483">
        <v>13.2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3</v>
      </c>
      <c r="AB2483">
        <v>30</v>
      </c>
      <c r="AD2483">
        <v>46.2</v>
      </c>
    </row>
    <row r="2484" spans="1:30" x14ac:dyDescent="0.3">
      <c r="A2484" s="4">
        <v>2505</v>
      </c>
      <c r="B2484" s="5">
        <v>2477</v>
      </c>
      <c r="C2484">
        <v>3462</v>
      </c>
      <c r="D2484" t="s">
        <v>1746</v>
      </c>
      <c r="E2484" t="s">
        <v>29</v>
      </c>
      <c r="F2484" t="s">
        <v>17</v>
      </c>
      <c r="G2484" t="s">
        <v>5309</v>
      </c>
      <c r="H2484" t="str">
        <f>"00555128"</f>
        <v>00555128</v>
      </c>
      <c r="I2484">
        <v>37.200000000000003</v>
      </c>
      <c r="J2484">
        <v>0</v>
      </c>
      <c r="N2484">
        <v>0</v>
      </c>
      <c r="O2484">
        <v>0</v>
      </c>
      <c r="P2484">
        <v>0</v>
      </c>
      <c r="Q2484">
        <v>37.200000000000003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9</v>
      </c>
      <c r="AB2484">
        <v>0</v>
      </c>
      <c r="AD2484">
        <v>46.2</v>
      </c>
    </row>
    <row r="2485" spans="1:30" x14ac:dyDescent="0.3">
      <c r="A2485" s="4">
        <v>2506</v>
      </c>
      <c r="B2485" s="5">
        <v>2478</v>
      </c>
      <c r="C2485">
        <v>1800</v>
      </c>
      <c r="D2485" t="s">
        <v>5310</v>
      </c>
      <c r="E2485" t="s">
        <v>5311</v>
      </c>
      <c r="F2485" t="s">
        <v>158</v>
      </c>
      <c r="G2485" t="s">
        <v>5312</v>
      </c>
      <c r="H2485" t="str">
        <f>"201511036152"</f>
        <v>201511036152</v>
      </c>
      <c r="I2485">
        <v>29.2</v>
      </c>
      <c r="J2485">
        <v>0</v>
      </c>
      <c r="M2485">
        <v>4</v>
      </c>
      <c r="N2485">
        <v>4</v>
      </c>
      <c r="O2485">
        <v>4</v>
      </c>
      <c r="P2485">
        <v>0</v>
      </c>
      <c r="Q2485">
        <v>37.200000000000003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9</v>
      </c>
      <c r="AB2485">
        <v>0</v>
      </c>
      <c r="AD2485">
        <v>46.2</v>
      </c>
    </row>
    <row r="2486" spans="1:30" x14ac:dyDescent="0.3">
      <c r="A2486" s="4">
        <v>2507</v>
      </c>
      <c r="B2486" s="5">
        <v>2479</v>
      </c>
      <c r="C2486">
        <v>2972</v>
      </c>
      <c r="D2486" t="s">
        <v>2695</v>
      </c>
      <c r="E2486" t="s">
        <v>967</v>
      </c>
      <c r="F2486" t="s">
        <v>81</v>
      </c>
      <c r="G2486" t="s">
        <v>5313</v>
      </c>
      <c r="H2486" t="str">
        <f>"201511008805"</f>
        <v>201511008805</v>
      </c>
      <c r="I2486">
        <v>14.2</v>
      </c>
      <c r="J2486">
        <v>10</v>
      </c>
      <c r="N2486">
        <v>0</v>
      </c>
      <c r="O2486">
        <v>0</v>
      </c>
      <c r="P2486">
        <v>2</v>
      </c>
      <c r="Q2486">
        <v>26.2</v>
      </c>
      <c r="R2486">
        <v>14</v>
      </c>
      <c r="S2486">
        <v>14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14</v>
      </c>
      <c r="AA2486">
        <v>6</v>
      </c>
      <c r="AB2486">
        <v>0</v>
      </c>
      <c r="AD2486">
        <v>46.2</v>
      </c>
    </row>
    <row r="2487" spans="1:30" x14ac:dyDescent="0.3">
      <c r="A2487" s="4">
        <v>2508</v>
      </c>
      <c r="B2487" s="5">
        <v>2480</v>
      </c>
      <c r="C2487">
        <v>2920</v>
      </c>
      <c r="D2487" t="s">
        <v>5314</v>
      </c>
      <c r="E2487" t="s">
        <v>26</v>
      </c>
      <c r="F2487" t="s">
        <v>328</v>
      </c>
      <c r="G2487" t="s">
        <v>5315</v>
      </c>
      <c r="H2487" t="str">
        <f>"00693261"</f>
        <v>00693261</v>
      </c>
      <c r="I2487">
        <v>37.159999999999997</v>
      </c>
      <c r="J2487">
        <v>0</v>
      </c>
      <c r="N2487">
        <v>0</v>
      </c>
      <c r="O2487">
        <v>0</v>
      </c>
      <c r="P2487">
        <v>0</v>
      </c>
      <c r="Q2487">
        <v>37.159999999999997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9</v>
      </c>
      <c r="AB2487">
        <v>0</v>
      </c>
      <c r="AD2487">
        <v>46.16</v>
      </c>
    </row>
    <row r="2488" spans="1:30" x14ac:dyDescent="0.3">
      <c r="A2488" s="4">
        <v>2509</v>
      </c>
      <c r="B2488" s="5">
        <v>2481</v>
      </c>
      <c r="C2488">
        <v>3738</v>
      </c>
      <c r="D2488" t="s">
        <v>5316</v>
      </c>
      <c r="E2488" t="s">
        <v>3184</v>
      </c>
      <c r="F2488" t="s">
        <v>687</v>
      </c>
      <c r="G2488" t="s">
        <v>5317</v>
      </c>
      <c r="H2488" t="str">
        <f>"00332249"</f>
        <v>00332249</v>
      </c>
      <c r="I2488">
        <v>37.159999999999997</v>
      </c>
      <c r="J2488">
        <v>0</v>
      </c>
      <c r="N2488">
        <v>0</v>
      </c>
      <c r="O2488">
        <v>4</v>
      </c>
      <c r="P2488">
        <v>2</v>
      </c>
      <c r="Q2488">
        <v>43.16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3</v>
      </c>
      <c r="AB2488">
        <v>0</v>
      </c>
      <c r="AD2488">
        <v>46.16</v>
      </c>
    </row>
    <row r="2489" spans="1:30" x14ac:dyDescent="0.3">
      <c r="A2489" s="4">
        <v>2510</v>
      </c>
      <c r="B2489" s="5">
        <v>2482</v>
      </c>
      <c r="C2489">
        <v>3901</v>
      </c>
      <c r="D2489" t="s">
        <v>5318</v>
      </c>
      <c r="E2489" t="s">
        <v>173</v>
      </c>
      <c r="F2489" t="s">
        <v>17</v>
      </c>
      <c r="G2489" t="s">
        <v>5319</v>
      </c>
      <c r="H2489" t="str">
        <f>"00555157"</f>
        <v>00555157</v>
      </c>
      <c r="I2489">
        <v>38.159999999999997</v>
      </c>
      <c r="J2489">
        <v>0</v>
      </c>
      <c r="M2489">
        <v>4</v>
      </c>
      <c r="N2489">
        <v>4</v>
      </c>
      <c r="O2489">
        <v>4</v>
      </c>
      <c r="P2489">
        <v>0</v>
      </c>
      <c r="Q2489">
        <v>46.16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D2489">
        <v>46.16</v>
      </c>
    </row>
    <row r="2490" spans="1:30" x14ac:dyDescent="0.3">
      <c r="A2490" s="4">
        <v>2511</v>
      </c>
      <c r="B2490" s="5">
        <v>2483</v>
      </c>
      <c r="C2490">
        <v>4505</v>
      </c>
      <c r="D2490" t="s">
        <v>5320</v>
      </c>
      <c r="E2490" t="s">
        <v>5321</v>
      </c>
      <c r="F2490" t="s">
        <v>20</v>
      </c>
      <c r="G2490" t="s">
        <v>5322</v>
      </c>
      <c r="H2490" t="str">
        <f>"00010889"</f>
        <v>00010889</v>
      </c>
      <c r="I2490">
        <v>30.12</v>
      </c>
      <c r="J2490">
        <v>0</v>
      </c>
      <c r="M2490">
        <v>4</v>
      </c>
      <c r="N2490">
        <v>4</v>
      </c>
      <c r="O2490">
        <v>4</v>
      </c>
      <c r="P2490">
        <v>2</v>
      </c>
      <c r="Q2490">
        <v>40.119999999999997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6</v>
      </c>
      <c r="AB2490">
        <v>0</v>
      </c>
      <c r="AD2490">
        <v>46.12</v>
      </c>
    </row>
    <row r="2491" spans="1:30" x14ac:dyDescent="0.3">
      <c r="A2491" s="4">
        <v>2512</v>
      </c>
      <c r="B2491" s="5">
        <v>2484</v>
      </c>
      <c r="C2491">
        <v>4271</v>
      </c>
      <c r="D2491" t="s">
        <v>5323</v>
      </c>
      <c r="E2491" t="s">
        <v>54</v>
      </c>
      <c r="F2491" t="s">
        <v>17</v>
      </c>
      <c r="G2491" t="s">
        <v>5324</v>
      </c>
      <c r="H2491" t="str">
        <f>"00408825"</f>
        <v>00408825</v>
      </c>
      <c r="I2491">
        <v>40</v>
      </c>
      <c r="J2491">
        <v>0</v>
      </c>
      <c r="N2491">
        <v>0</v>
      </c>
      <c r="O2491">
        <v>0</v>
      </c>
      <c r="P2491">
        <v>0</v>
      </c>
      <c r="Q2491">
        <v>40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6</v>
      </c>
      <c r="AB2491">
        <v>0</v>
      </c>
      <c r="AD2491">
        <v>46</v>
      </c>
    </row>
    <row r="2492" spans="1:30" x14ac:dyDescent="0.3">
      <c r="A2492" s="4">
        <v>2513</v>
      </c>
      <c r="B2492" s="5">
        <v>2485</v>
      </c>
      <c r="C2492">
        <v>4100</v>
      </c>
      <c r="D2492" t="s">
        <v>1889</v>
      </c>
      <c r="E2492" t="s">
        <v>471</v>
      </c>
      <c r="F2492" t="s">
        <v>17</v>
      </c>
      <c r="G2492" t="s">
        <v>5325</v>
      </c>
      <c r="H2492" t="str">
        <f>"00863838"</f>
        <v>00863838</v>
      </c>
      <c r="I2492">
        <v>40</v>
      </c>
      <c r="J2492">
        <v>0</v>
      </c>
      <c r="N2492">
        <v>0</v>
      </c>
      <c r="O2492">
        <v>0</v>
      </c>
      <c r="P2492">
        <v>0</v>
      </c>
      <c r="Q2492">
        <v>40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6</v>
      </c>
      <c r="AB2492">
        <v>0</v>
      </c>
      <c r="AD2492">
        <v>46</v>
      </c>
    </row>
    <row r="2493" spans="1:30" x14ac:dyDescent="0.3">
      <c r="A2493" s="4">
        <v>2514</v>
      </c>
      <c r="B2493" s="5">
        <v>2486</v>
      </c>
      <c r="C2493">
        <v>3173</v>
      </c>
      <c r="D2493" t="s">
        <v>5326</v>
      </c>
      <c r="E2493" t="s">
        <v>29</v>
      </c>
      <c r="F2493" t="s">
        <v>136</v>
      </c>
      <c r="G2493" t="s">
        <v>5327</v>
      </c>
      <c r="H2493" t="str">
        <f>"00395456"</f>
        <v>00395456</v>
      </c>
      <c r="I2493">
        <v>38</v>
      </c>
      <c r="J2493">
        <v>0</v>
      </c>
      <c r="N2493">
        <v>0</v>
      </c>
      <c r="O2493">
        <v>0</v>
      </c>
      <c r="P2493">
        <v>2</v>
      </c>
      <c r="Q2493">
        <v>40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6</v>
      </c>
      <c r="AB2493">
        <v>0</v>
      </c>
      <c r="AD2493">
        <v>46</v>
      </c>
    </row>
    <row r="2494" spans="1:30" x14ac:dyDescent="0.3">
      <c r="A2494" s="4">
        <v>2515</v>
      </c>
      <c r="B2494" s="5">
        <v>2487</v>
      </c>
      <c r="C2494">
        <v>230</v>
      </c>
      <c r="D2494" t="s">
        <v>5328</v>
      </c>
      <c r="E2494" t="s">
        <v>29</v>
      </c>
      <c r="F2494" t="s">
        <v>1161</v>
      </c>
      <c r="G2494" t="s">
        <v>5329</v>
      </c>
      <c r="H2494" t="str">
        <f>"00386159"</f>
        <v>00386159</v>
      </c>
      <c r="I2494">
        <v>36</v>
      </c>
      <c r="J2494">
        <v>0</v>
      </c>
      <c r="N2494">
        <v>0</v>
      </c>
      <c r="O2494">
        <v>4</v>
      </c>
      <c r="P2494">
        <v>0</v>
      </c>
      <c r="Q2494">
        <v>40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6</v>
      </c>
      <c r="AB2494">
        <v>0</v>
      </c>
      <c r="AD2494">
        <v>46</v>
      </c>
    </row>
    <row r="2495" spans="1:30" x14ac:dyDescent="0.3">
      <c r="A2495" s="4">
        <v>2516</v>
      </c>
      <c r="B2495" s="5">
        <v>2488</v>
      </c>
      <c r="C2495">
        <v>4467</v>
      </c>
      <c r="D2495" t="s">
        <v>5330</v>
      </c>
      <c r="E2495" t="s">
        <v>5331</v>
      </c>
      <c r="F2495" t="s">
        <v>20</v>
      </c>
      <c r="G2495" t="s">
        <v>5332</v>
      </c>
      <c r="H2495" t="str">
        <f>"00864167"</f>
        <v>00864167</v>
      </c>
      <c r="I2495">
        <v>36</v>
      </c>
      <c r="J2495">
        <v>0</v>
      </c>
      <c r="N2495">
        <v>0</v>
      </c>
      <c r="O2495">
        <v>4</v>
      </c>
      <c r="P2495">
        <v>0</v>
      </c>
      <c r="Q2495">
        <v>40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6</v>
      </c>
      <c r="AB2495">
        <v>0</v>
      </c>
      <c r="AD2495">
        <v>46</v>
      </c>
    </row>
    <row r="2496" spans="1:30" x14ac:dyDescent="0.3">
      <c r="A2496" s="4">
        <v>2517</v>
      </c>
      <c r="B2496" s="5">
        <v>2489</v>
      </c>
      <c r="C2496">
        <v>4536</v>
      </c>
      <c r="D2496" t="s">
        <v>5333</v>
      </c>
      <c r="E2496" t="s">
        <v>5334</v>
      </c>
      <c r="F2496" t="s">
        <v>68</v>
      </c>
      <c r="G2496" t="s">
        <v>5335</v>
      </c>
      <c r="H2496" t="str">
        <f>"00280518"</f>
        <v>00280518</v>
      </c>
      <c r="I2496">
        <v>36</v>
      </c>
      <c r="J2496">
        <v>0</v>
      </c>
      <c r="N2496">
        <v>0</v>
      </c>
      <c r="O2496">
        <v>4</v>
      </c>
      <c r="P2496">
        <v>0</v>
      </c>
      <c r="Q2496">
        <v>40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6</v>
      </c>
      <c r="AB2496">
        <v>0</v>
      </c>
      <c r="AD2496">
        <v>46</v>
      </c>
    </row>
    <row r="2497" spans="1:30" x14ac:dyDescent="0.3">
      <c r="A2497" s="4">
        <v>2518</v>
      </c>
      <c r="B2497" s="5">
        <v>2490</v>
      </c>
      <c r="C2497">
        <v>4412</v>
      </c>
      <c r="D2497" t="s">
        <v>577</v>
      </c>
      <c r="E2497" t="s">
        <v>789</v>
      </c>
      <c r="F2497" t="s">
        <v>117</v>
      </c>
      <c r="G2497" t="s">
        <v>5336</v>
      </c>
      <c r="H2497" t="str">
        <f>"00863298"</f>
        <v>00863298</v>
      </c>
      <c r="I2497">
        <v>36</v>
      </c>
      <c r="J2497">
        <v>0</v>
      </c>
      <c r="N2497">
        <v>0</v>
      </c>
      <c r="O2497">
        <v>4</v>
      </c>
      <c r="P2497">
        <v>0</v>
      </c>
      <c r="Q2497">
        <v>40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6</v>
      </c>
      <c r="AB2497">
        <v>0</v>
      </c>
      <c r="AD2497">
        <v>46</v>
      </c>
    </row>
    <row r="2498" spans="1:30" x14ac:dyDescent="0.3">
      <c r="A2498" s="4">
        <v>2519</v>
      </c>
      <c r="B2498" s="5">
        <v>2491</v>
      </c>
      <c r="C2498">
        <v>3200</v>
      </c>
      <c r="D2498" t="s">
        <v>5337</v>
      </c>
      <c r="E2498" t="s">
        <v>563</v>
      </c>
      <c r="F2498" t="s">
        <v>570</v>
      </c>
      <c r="G2498" t="s">
        <v>5338</v>
      </c>
      <c r="H2498" t="str">
        <f>"00498070"</f>
        <v>00498070</v>
      </c>
      <c r="I2498">
        <v>16</v>
      </c>
      <c r="J2498">
        <v>0</v>
      </c>
      <c r="N2498">
        <v>0</v>
      </c>
      <c r="O2498">
        <v>4</v>
      </c>
      <c r="P2498">
        <v>2</v>
      </c>
      <c r="Q2498">
        <v>22</v>
      </c>
      <c r="R2498">
        <v>11</v>
      </c>
      <c r="S2498">
        <v>11</v>
      </c>
      <c r="T2498">
        <v>0</v>
      </c>
      <c r="U2498">
        <v>0</v>
      </c>
      <c r="V2498">
        <v>7</v>
      </c>
      <c r="W2498">
        <v>10</v>
      </c>
      <c r="X2498">
        <v>0</v>
      </c>
      <c r="Y2498">
        <v>0</v>
      </c>
      <c r="Z2498">
        <v>21</v>
      </c>
      <c r="AA2498">
        <v>3</v>
      </c>
      <c r="AB2498">
        <v>0</v>
      </c>
      <c r="AD2498">
        <v>46</v>
      </c>
    </row>
    <row r="2499" spans="1:30" x14ac:dyDescent="0.3">
      <c r="A2499" s="4">
        <v>2520</v>
      </c>
      <c r="B2499" s="5">
        <v>2492</v>
      </c>
      <c r="C2499">
        <v>2766</v>
      </c>
      <c r="D2499" t="s">
        <v>5339</v>
      </c>
      <c r="E2499" t="s">
        <v>22</v>
      </c>
      <c r="F2499" t="s">
        <v>17</v>
      </c>
      <c r="G2499" t="s">
        <v>5340</v>
      </c>
      <c r="H2499" t="str">
        <f>"00864124"</f>
        <v>00864124</v>
      </c>
      <c r="I2499">
        <v>40</v>
      </c>
      <c r="J2499">
        <v>0</v>
      </c>
      <c r="N2499">
        <v>0</v>
      </c>
      <c r="O2499">
        <v>4</v>
      </c>
      <c r="P2499">
        <v>2</v>
      </c>
      <c r="Q2499">
        <v>46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D2499">
        <v>46</v>
      </c>
    </row>
    <row r="2500" spans="1:30" x14ac:dyDescent="0.3">
      <c r="A2500" s="4">
        <v>2521</v>
      </c>
      <c r="B2500" s="5">
        <v>2493</v>
      </c>
      <c r="C2500">
        <v>4016</v>
      </c>
      <c r="D2500" t="s">
        <v>1549</v>
      </c>
      <c r="E2500" t="s">
        <v>935</v>
      </c>
      <c r="F2500" t="s">
        <v>343</v>
      </c>
      <c r="G2500" t="s">
        <v>5341</v>
      </c>
      <c r="H2500" t="str">
        <f>"00508827"</f>
        <v>00508827</v>
      </c>
      <c r="I2500">
        <v>40</v>
      </c>
      <c r="J2500">
        <v>0</v>
      </c>
      <c r="N2500">
        <v>0</v>
      </c>
      <c r="O2500">
        <v>4</v>
      </c>
      <c r="P2500">
        <v>2</v>
      </c>
      <c r="Q2500">
        <v>46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D2500">
        <v>46</v>
      </c>
    </row>
    <row r="2501" spans="1:30" x14ac:dyDescent="0.3">
      <c r="A2501" s="4">
        <v>2522</v>
      </c>
      <c r="B2501" s="5">
        <v>2494</v>
      </c>
      <c r="C2501">
        <v>2122</v>
      </c>
      <c r="D2501" t="s">
        <v>5342</v>
      </c>
      <c r="E2501" t="s">
        <v>1815</v>
      </c>
      <c r="F2501" t="s">
        <v>5343</v>
      </c>
      <c r="G2501" t="s">
        <v>5344</v>
      </c>
      <c r="H2501" t="str">
        <f>"00443640"</f>
        <v>00443640</v>
      </c>
      <c r="I2501">
        <v>40</v>
      </c>
      <c r="J2501">
        <v>0</v>
      </c>
      <c r="N2501">
        <v>0</v>
      </c>
      <c r="O2501">
        <v>4</v>
      </c>
      <c r="P2501">
        <v>2</v>
      </c>
      <c r="Q2501">
        <v>46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D2501">
        <v>46</v>
      </c>
    </row>
    <row r="2502" spans="1:30" x14ac:dyDescent="0.3">
      <c r="A2502" s="4">
        <v>2523</v>
      </c>
      <c r="B2502" s="5">
        <v>2495</v>
      </c>
      <c r="C2502">
        <v>3161</v>
      </c>
      <c r="D2502" t="s">
        <v>5345</v>
      </c>
      <c r="E2502" t="s">
        <v>255</v>
      </c>
      <c r="F2502" t="s">
        <v>124</v>
      </c>
      <c r="G2502" t="s">
        <v>5346</v>
      </c>
      <c r="H2502" t="str">
        <f>"201511028296"</f>
        <v>201511028296</v>
      </c>
      <c r="I2502">
        <v>40</v>
      </c>
      <c r="J2502">
        <v>0</v>
      </c>
      <c r="N2502">
        <v>0</v>
      </c>
      <c r="O2502">
        <v>4</v>
      </c>
      <c r="P2502">
        <v>2</v>
      </c>
      <c r="Q2502">
        <v>46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D2502">
        <v>46</v>
      </c>
    </row>
    <row r="2503" spans="1:30" x14ac:dyDescent="0.3">
      <c r="A2503" s="4">
        <v>2524</v>
      </c>
      <c r="B2503" s="5">
        <v>2496</v>
      </c>
      <c r="C2503">
        <v>4440</v>
      </c>
      <c r="D2503" t="s">
        <v>1611</v>
      </c>
      <c r="E2503" t="s">
        <v>182</v>
      </c>
      <c r="F2503" t="s">
        <v>243</v>
      </c>
      <c r="G2503" t="s">
        <v>5347</v>
      </c>
      <c r="H2503" t="str">
        <f>"00861303"</f>
        <v>00861303</v>
      </c>
      <c r="I2503">
        <v>38</v>
      </c>
      <c r="J2503">
        <v>0</v>
      </c>
      <c r="M2503">
        <v>4</v>
      </c>
      <c r="N2503">
        <v>4</v>
      </c>
      <c r="O2503">
        <v>4</v>
      </c>
      <c r="P2503">
        <v>0</v>
      </c>
      <c r="Q2503">
        <v>46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D2503">
        <v>46</v>
      </c>
    </row>
    <row r="2504" spans="1:30" x14ac:dyDescent="0.3">
      <c r="A2504" s="4">
        <v>2525</v>
      </c>
      <c r="B2504" s="5">
        <v>2497</v>
      </c>
      <c r="C2504">
        <v>3013</v>
      </c>
      <c r="D2504" t="s">
        <v>5348</v>
      </c>
      <c r="E2504" t="s">
        <v>143</v>
      </c>
      <c r="F2504" t="s">
        <v>81</v>
      </c>
      <c r="G2504" t="s">
        <v>5349</v>
      </c>
      <c r="H2504" t="str">
        <f>"00494708"</f>
        <v>00494708</v>
      </c>
      <c r="I2504">
        <v>38</v>
      </c>
      <c r="J2504">
        <v>0</v>
      </c>
      <c r="M2504">
        <v>4</v>
      </c>
      <c r="N2504">
        <v>4</v>
      </c>
      <c r="O2504">
        <v>4</v>
      </c>
      <c r="P2504">
        <v>0</v>
      </c>
      <c r="Q2504">
        <v>46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D2504">
        <v>46</v>
      </c>
    </row>
    <row r="2505" spans="1:30" x14ac:dyDescent="0.3">
      <c r="A2505" s="4">
        <v>2526</v>
      </c>
      <c r="B2505" s="5">
        <v>2498</v>
      </c>
      <c r="C2505">
        <v>2635</v>
      </c>
      <c r="D2505" t="s">
        <v>5350</v>
      </c>
      <c r="E2505" t="s">
        <v>1093</v>
      </c>
      <c r="F2505" t="s">
        <v>81</v>
      </c>
      <c r="G2505" t="s">
        <v>5351</v>
      </c>
      <c r="H2505" t="str">
        <f>"00542002"</f>
        <v>00542002</v>
      </c>
      <c r="I2505">
        <v>36</v>
      </c>
      <c r="J2505">
        <v>10</v>
      </c>
      <c r="N2505">
        <v>0</v>
      </c>
      <c r="O2505">
        <v>0</v>
      </c>
      <c r="P2505">
        <v>0</v>
      </c>
      <c r="Q2505">
        <v>46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D2505">
        <v>46</v>
      </c>
    </row>
    <row r="2506" spans="1:30" x14ac:dyDescent="0.3">
      <c r="A2506" s="4">
        <v>2527</v>
      </c>
      <c r="B2506" s="5">
        <v>2499</v>
      </c>
      <c r="C2506">
        <v>1472</v>
      </c>
      <c r="D2506" t="s">
        <v>1530</v>
      </c>
      <c r="E2506" t="s">
        <v>1140</v>
      </c>
      <c r="F2506" t="s">
        <v>17</v>
      </c>
      <c r="G2506" t="s">
        <v>5352</v>
      </c>
      <c r="H2506" t="str">
        <f>"00113089"</f>
        <v>00113089</v>
      </c>
      <c r="I2506">
        <v>36</v>
      </c>
      <c r="J2506">
        <v>0</v>
      </c>
      <c r="M2506">
        <v>4</v>
      </c>
      <c r="N2506">
        <v>4</v>
      </c>
      <c r="O2506">
        <v>4</v>
      </c>
      <c r="P2506">
        <v>2</v>
      </c>
      <c r="Q2506">
        <v>46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D2506">
        <v>46</v>
      </c>
    </row>
    <row r="2507" spans="1:30" x14ac:dyDescent="0.3">
      <c r="A2507" s="4">
        <v>2528</v>
      </c>
      <c r="B2507" s="5">
        <v>2500</v>
      </c>
      <c r="C2507">
        <v>4384</v>
      </c>
      <c r="D2507" t="s">
        <v>5353</v>
      </c>
      <c r="E2507" t="s">
        <v>26</v>
      </c>
      <c r="F2507" t="s">
        <v>136</v>
      </c>
      <c r="G2507" t="s">
        <v>5354</v>
      </c>
      <c r="H2507" t="str">
        <f>"00830767"</f>
        <v>00830767</v>
      </c>
      <c r="I2507">
        <v>36</v>
      </c>
      <c r="J2507">
        <v>0</v>
      </c>
      <c r="M2507">
        <v>4</v>
      </c>
      <c r="N2507">
        <v>4</v>
      </c>
      <c r="O2507">
        <v>4</v>
      </c>
      <c r="P2507">
        <v>2</v>
      </c>
      <c r="Q2507">
        <v>46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D2507">
        <v>46</v>
      </c>
    </row>
    <row r="2508" spans="1:30" x14ac:dyDescent="0.3">
      <c r="A2508" s="4">
        <v>2529</v>
      </c>
      <c r="B2508" s="5">
        <v>2501</v>
      </c>
      <c r="C2508">
        <v>4194</v>
      </c>
      <c r="D2508" t="s">
        <v>4108</v>
      </c>
      <c r="E2508" t="s">
        <v>100</v>
      </c>
      <c r="F2508" t="s">
        <v>442</v>
      </c>
      <c r="G2508" t="s">
        <v>5355</v>
      </c>
      <c r="H2508" t="str">
        <f>"00378161"</f>
        <v>00378161</v>
      </c>
      <c r="I2508">
        <v>36</v>
      </c>
      <c r="J2508">
        <v>0</v>
      </c>
      <c r="M2508">
        <v>4</v>
      </c>
      <c r="N2508">
        <v>4</v>
      </c>
      <c r="O2508">
        <v>4</v>
      </c>
      <c r="P2508">
        <v>2</v>
      </c>
      <c r="Q2508">
        <v>46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D2508">
        <v>46</v>
      </c>
    </row>
    <row r="2509" spans="1:30" x14ac:dyDescent="0.3">
      <c r="A2509" s="4">
        <v>2530</v>
      </c>
      <c r="B2509" s="5">
        <v>2502</v>
      </c>
      <c r="C2509">
        <v>4695</v>
      </c>
      <c r="D2509" t="s">
        <v>3340</v>
      </c>
      <c r="E2509" t="s">
        <v>5237</v>
      </c>
      <c r="F2509" t="s">
        <v>20</v>
      </c>
      <c r="G2509" t="s">
        <v>5356</v>
      </c>
      <c r="H2509" t="str">
        <f>"00099621"</f>
        <v>00099621</v>
      </c>
      <c r="I2509">
        <v>36</v>
      </c>
      <c r="J2509">
        <v>0</v>
      </c>
      <c r="M2509">
        <v>4</v>
      </c>
      <c r="N2509">
        <v>4</v>
      </c>
      <c r="O2509">
        <v>4</v>
      </c>
      <c r="P2509">
        <v>2</v>
      </c>
      <c r="Q2509">
        <v>46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D2509">
        <v>46</v>
      </c>
    </row>
    <row r="2510" spans="1:30" x14ac:dyDescent="0.3">
      <c r="A2510" s="4">
        <v>2531</v>
      </c>
      <c r="B2510" s="5">
        <v>2503</v>
      </c>
      <c r="C2510">
        <v>3702</v>
      </c>
      <c r="D2510" t="s">
        <v>5357</v>
      </c>
      <c r="E2510" t="s">
        <v>338</v>
      </c>
      <c r="F2510" t="s">
        <v>570</v>
      </c>
      <c r="G2510" t="s">
        <v>5358</v>
      </c>
      <c r="H2510" t="str">
        <f>"00863235"</f>
        <v>00863235</v>
      </c>
      <c r="I2510">
        <v>36</v>
      </c>
      <c r="J2510">
        <v>0</v>
      </c>
      <c r="M2510">
        <v>4</v>
      </c>
      <c r="N2510">
        <v>4</v>
      </c>
      <c r="O2510">
        <v>4</v>
      </c>
      <c r="P2510">
        <v>2</v>
      </c>
      <c r="Q2510">
        <v>46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D2510">
        <v>46</v>
      </c>
    </row>
    <row r="2511" spans="1:30" x14ac:dyDescent="0.3">
      <c r="A2511" s="4">
        <v>2532</v>
      </c>
      <c r="B2511" s="5">
        <v>2504</v>
      </c>
      <c r="C2511">
        <v>3140</v>
      </c>
      <c r="D2511" t="s">
        <v>5359</v>
      </c>
      <c r="E2511" t="s">
        <v>406</v>
      </c>
      <c r="F2511" t="s">
        <v>30</v>
      </c>
      <c r="G2511" t="s">
        <v>5360</v>
      </c>
      <c r="H2511" t="str">
        <f>"00860460"</f>
        <v>00860460</v>
      </c>
      <c r="I2511">
        <v>36</v>
      </c>
      <c r="J2511">
        <v>0</v>
      </c>
      <c r="M2511">
        <v>4</v>
      </c>
      <c r="N2511">
        <v>4</v>
      </c>
      <c r="O2511">
        <v>4</v>
      </c>
      <c r="P2511">
        <v>2</v>
      </c>
      <c r="Q2511">
        <v>46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D2511">
        <v>46</v>
      </c>
    </row>
    <row r="2512" spans="1:30" x14ac:dyDescent="0.3">
      <c r="A2512" s="4">
        <v>2533</v>
      </c>
      <c r="B2512" s="5">
        <v>2505</v>
      </c>
      <c r="C2512">
        <v>4870</v>
      </c>
      <c r="D2512" t="s">
        <v>717</v>
      </c>
      <c r="E2512" t="s">
        <v>110</v>
      </c>
      <c r="F2512" t="s">
        <v>68</v>
      </c>
      <c r="G2512" t="s">
        <v>5361</v>
      </c>
      <c r="H2512" t="str">
        <f>"00532875"</f>
        <v>00532875</v>
      </c>
      <c r="I2512">
        <v>36</v>
      </c>
      <c r="J2512">
        <v>0</v>
      </c>
      <c r="M2512">
        <v>4</v>
      </c>
      <c r="N2512">
        <v>4</v>
      </c>
      <c r="O2512">
        <v>4</v>
      </c>
      <c r="P2512">
        <v>2</v>
      </c>
      <c r="Q2512">
        <v>46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D2512">
        <v>46</v>
      </c>
    </row>
    <row r="2513" spans="1:30" x14ac:dyDescent="0.3">
      <c r="A2513" s="4">
        <v>2534</v>
      </c>
      <c r="B2513" s="5">
        <v>2506</v>
      </c>
      <c r="C2513">
        <v>1371</v>
      </c>
      <c r="D2513" t="s">
        <v>5362</v>
      </c>
      <c r="E2513" t="s">
        <v>48</v>
      </c>
      <c r="F2513" t="s">
        <v>68</v>
      </c>
      <c r="G2513" t="s">
        <v>5363</v>
      </c>
      <c r="H2513" t="str">
        <f>"00462918"</f>
        <v>00462918</v>
      </c>
      <c r="I2513">
        <v>36</v>
      </c>
      <c r="J2513">
        <v>10</v>
      </c>
      <c r="N2513">
        <v>0</v>
      </c>
      <c r="O2513">
        <v>0</v>
      </c>
      <c r="P2513">
        <v>0</v>
      </c>
      <c r="Q2513">
        <v>46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D2513">
        <v>46</v>
      </c>
    </row>
    <row r="2514" spans="1:30" x14ac:dyDescent="0.3">
      <c r="A2514" s="4">
        <v>2535</v>
      </c>
      <c r="B2514" s="5">
        <v>2507</v>
      </c>
      <c r="C2514">
        <v>2616</v>
      </c>
      <c r="D2514" t="s">
        <v>5364</v>
      </c>
      <c r="E2514" t="s">
        <v>208</v>
      </c>
      <c r="F2514" t="s">
        <v>117</v>
      </c>
      <c r="G2514" t="s">
        <v>5365</v>
      </c>
      <c r="H2514" t="str">
        <f>"00461227"</f>
        <v>00461227</v>
      </c>
      <c r="I2514">
        <v>36</v>
      </c>
      <c r="J2514">
        <v>0</v>
      </c>
      <c r="M2514">
        <v>4</v>
      </c>
      <c r="N2514">
        <v>4</v>
      </c>
      <c r="O2514">
        <v>4</v>
      </c>
      <c r="P2514">
        <v>2</v>
      </c>
      <c r="Q2514">
        <v>46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D2514">
        <v>46</v>
      </c>
    </row>
    <row r="2515" spans="1:30" x14ac:dyDescent="0.3">
      <c r="A2515" s="4">
        <v>2536</v>
      </c>
      <c r="B2515" s="5">
        <v>2508</v>
      </c>
      <c r="C2515">
        <v>1763</v>
      </c>
      <c r="D2515" t="s">
        <v>5366</v>
      </c>
      <c r="E2515" t="s">
        <v>48</v>
      </c>
      <c r="F2515" t="s">
        <v>20</v>
      </c>
      <c r="G2515" t="s">
        <v>5367</v>
      </c>
      <c r="H2515" t="str">
        <f>"00532891"</f>
        <v>00532891</v>
      </c>
      <c r="I2515">
        <v>36</v>
      </c>
      <c r="J2515">
        <v>0</v>
      </c>
      <c r="M2515">
        <v>4</v>
      </c>
      <c r="N2515">
        <v>4</v>
      </c>
      <c r="O2515">
        <v>4</v>
      </c>
      <c r="P2515">
        <v>2</v>
      </c>
      <c r="Q2515">
        <v>46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D2515">
        <v>46</v>
      </c>
    </row>
    <row r="2516" spans="1:30" x14ac:dyDescent="0.3">
      <c r="A2516" s="4">
        <v>2537</v>
      </c>
      <c r="B2516" s="5">
        <v>2509</v>
      </c>
      <c r="C2516">
        <v>2147</v>
      </c>
      <c r="D2516" t="s">
        <v>5368</v>
      </c>
      <c r="E2516" t="s">
        <v>54</v>
      </c>
      <c r="F2516" t="s">
        <v>81</v>
      </c>
      <c r="G2516" t="s">
        <v>5369</v>
      </c>
      <c r="H2516" t="str">
        <f>"00509301"</f>
        <v>00509301</v>
      </c>
      <c r="I2516">
        <v>36</v>
      </c>
      <c r="J2516">
        <v>0</v>
      </c>
      <c r="L2516">
        <v>6</v>
      </c>
      <c r="N2516">
        <v>6</v>
      </c>
      <c r="O2516">
        <v>4</v>
      </c>
      <c r="P2516">
        <v>0</v>
      </c>
      <c r="Q2516">
        <v>46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D2516">
        <v>46</v>
      </c>
    </row>
    <row r="2517" spans="1:30" x14ac:dyDescent="0.3">
      <c r="A2517" s="4">
        <v>2538</v>
      </c>
      <c r="B2517" s="5">
        <v>2510</v>
      </c>
      <c r="C2517">
        <v>2690</v>
      </c>
      <c r="D2517" t="s">
        <v>5370</v>
      </c>
      <c r="E2517" t="s">
        <v>54</v>
      </c>
      <c r="F2517" t="s">
        <v>17</v>
      </c>
      <c r="G2517" t="s">
        <v>5371</v>
      </c>
      <c r="H2517" t="str">
        <f>"00860240"</f>
        <v>00860240</v>
      </c>
      <c r="I2517">
        <v>36</v>
      </c>
      <c r="J2517">
        <v>0</v>
      </c>
      <c r="M2517">
        <v>4</v>
      </c>
      <c r="N2517">
        <v>4</v>
      </c>
      <c r="O2517">
        <v>4</v>
      </c>
      <c r="P2517">
        <v>2</v>
      </c>
      <c r="Q2517">
        <v>46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D2517">
        <v>46</v>
      </c>
    </row>
    <row r="2518" spans="1:30" x14ac:dyDescent="0.3">
      <c r="A2518" s="4">
        <v>2539</v>
      </c>
      <c r="B2518" s="5">
        <v>2511</v>
      </c>
      <c r="C2518">
        <v>924</v>
      </c>
      <c r="D2518" t="s">
        <v>5372</v>
      </c>
      <c r="E2518" t="s">
        <v>147</v>
      </c>
      <c r="F2518" t="s">
        <v>136</v>
      </c>
      <c r="G2518" t="s">
        <v>5373</v>
      </c>
      <c r="H2518" t="str">
        <f>"00855980"</f>
        <v>00855980</v>
      </c>
      <c r="I2518">
        <v>34</v>
      </c>
      <c r="J2518">
        <v>0</v>
      </c>
      <c r="K2518">
        <v>8</v>
      </c>
      <c r="N2518">
        <v>8</v>
      </c>
      <c r="O2518">
        <v>4</v>
      </c>
      <c r="P2518">
        <v>0</v>
      </c>
      <c r="Q2518">
        <v>46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D2518">
        <v>46</v>
      </c>
    </row>
    <row r="2519" spans="1:30" x14ac:dyDescent="0.3">
      <c r="A2519" s="4">
        <v>2540</v>
      </c>
      <c r="B2519" s="5">
        <v>2512</v>
      </c>
      <c r="C2519">
        <v>3192</v>
      </c>
      <c r="D2519" t="s">
        <v>5374</v>
      </c>
      <c r="E2519" t="s">
        <v>30</v>
      </c>
      <c r="F2519" t="s">
        <v>5375</v>
      </c>
      <c r="G2519" t="s">
        <v>5376</v>
      </c>
      <c r="H2519" t="str">
        <f>"00527467"</f>
        <v>00527467</v>
      </c>
      <c r="I2519">
        <v>0</v>
      </c>
      <c r="J2519">
        <v>10</v>
      </c>
      <c r="M2519">
        <v>4</v>
      </c>
      <c r="N2519">
        <v>4</v>
      </c>
      <c r="O2519">
        <v>4</v>
      </c>
      <c r="P2519">
        <v>0</v>
      </c>
      <c r="Q2519">
        <v>18</v>
      </c>
      <c r="R2519">
        <v>28</v>
      </c>
      <c r="S2519">
        <v>28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28</v>
      </c>
      <c r="AA2519">
        <v>0</v>
      </c>
      <c r="AB2519">
        <v>0</v>
      </c>
      <c r="AD2519">
        <v>46</v>
      </c>
    </row>
    <row r="2520" spans="1:30" x14ac:dyDescent="0.3">
      <c r="A2520" s="4">
        <v>2541</v>
      </c>
      <c r="B2520" s="5">
        <v>2513</v>
      </c>
      <c r="C2520">
        <v>942</v>
      </c>
      <c r="D2520" t="s">
        <v>5377</v>
      </c>
      <c r="E2520" t="s">
        <v>22</v>
      </c>
      <c r="F2520" t="s">
        <v>5378</v>
      </c>
      <c r="G2520" t="s">
        <v>5379</v>
      </c>
      <c r="H2520" t="str">
        <f>"00748383"</f>
        <v>00748383</v>
      </c>
      <c r="I2520">
        <v>36.880000000000003</v>
      </c>
      <c r="J2520">
        <v>0</v>
      </c>
      <c r="N2520">
        <v>0</v>
      </c>
      <c r="O2520">
        <v>0</v>
      </c>
      <c r="P2520">
        <v>0</v>
      </c>
      <c r="Q2520">
        <v>36.880000000000003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9</v>
      </c>
      <c r="AB2520">
        <v>0</v>
      </c>
      <c r="AD2520">
        <v>45.88</v>
      </c>
    </row>
    <row r="2521" spans="1:30" x14ac:dyDescent="0.3">
      <c r="A2521" s="4">
        <v>2542</v>
      </c>
      <c r="B2521" s="5">
        <v>2514</v>
      </c>
      <c r="C2521">
        <v>1638</v>
      </c>
      <c r="D2521" t="s">
        <v>5380</v>
      </c>
      <c r="E2521" t="s">
        <v>178</v>
      </c>
      <c r="F2521" t="s">
        <v>81</v>
      </c>
      <c r="G2521" t="s">
        <v>5381</v>
      </c>
      <c r="H2521" t="str">
        <f>"00078274"</f>
        <v>00078274</v>
      </c>
      <c r="I2521">
        <v>36.799999999999997</v>
      </c>
      <c r="J2521">
        <v>0</v>
      </c>
      <c r="N2521">
        <v>0</v>
      </c>
      <c r="O2521">
        <v>0</v>
      </c>
      <c r="P2521">
        <v>0</v>
      </c>
      <c r="Q2521">
        <v>36.799999999999997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9</v>
      </c>
      <c r="AB2521">
        <v>0</v>
      </c>
      <c r="AD2521">
        <v>45.8</v>
      </c>
    </row>
    <row r="2522" spans="1:30" x14ac:dyDescent="0.3">
      <c r="A2522" s="4">
        <v>2543</v>
      </c>
      <c r="B2522" s="5">
        <v>2515</v>
      </c>
      <c r="C2522">
        <v>2967</v>
      </c>
      <c r="D2522" t="s">
        <v>5382</v>
      </c>
      <c r="E2522" t="s">
        <v>29</v>
      </c>
      <c r="F2522" t="s">
        <v>62</v>
      </c>
      <c r="G2522" t="s">
        <v>5383</v>
      </c>
      <c r="H2522" t="str">
        <f>"00256281"</f>
        <v>00256281</v>
      </c>
      <c r="I2522">
        <v>36.799999999999997</v>
      </c>
      <c r="J2522">
        <v>0</v>
      </c>
      <c r="N2522">
        <v>0</v>
      </c>
      <c r="O2522">
        <v>0</v>
      </c>
      <c r="P2522">
        <v>0</v>
      </c>
      <c r="Q2522">
        <v>36.799999999999997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9</v>
      </c>
      <c r="AB2522">
        <v>0</v>
      </c>
      <c r="AD2522">
        <v>45.8</v>
      </c>
    </row>
    <row r="2523" spans="1:30" x14ac:dyDescent="0.3">
      <c r="A2523" s="4">
        <v>2544</v>
      </c>
      <c r="B2523" s="5">
        <v>2516</v>
      </c>
      <c r="C2523">
        <v>3030</v>
      </c>
      <c r="D2523" t="s">
        <v>5384</v>
      </c>
      <c r="E2523" t="s">
        <v>5385</v>
      </c>
      <c r="F2523" t="s">
        <v>81</v>
      </c>
      <c r="G2523" t="s">
        <v>5386</v>
      </c>
      <c r="H2523" t="str">
        <f>"00530388"</f>
        <v>00530388</v>
      </c>
      <c r="I2523">
        <v>26.8</v>
      </c>
      <c r="J2523">
        <v>0</v>
      </c>
      <c r="N2523">
        <v>0</v>
      </c>
      <c r="O2523">
        <v>0</v>
      </c>
      <c r="P2523">
        <v>0</v>
      </c>
      <c r="Q2523">
        <v>26.8</v>
      </c>
      <c r="R2523">
        <v>13</v>
      </c>
      <c r="S2523">
        <v>13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13</v>
      </c>
      <c r="AA2523">
        <v>6</v>
      </c>
      <c r="AB2523">
        <v>0</v>
      </c>
      <c r="AD2523">
        <v>45.8</v>
      </c>
    </row>
    <row r="2524" spans="1:30" x14ac:dyDescent="0.3">
      <c r="A2524" s="4">
        <v>2545</v>
      </c>
      <c r="B2524" s="5">
        <v>2517</v>
      </c>
      <c r="C2524">
        <v>2176</v>
      </c>
      <c r="D2524" t="s">
        <v>5387</v>
      </c>
      <c r="E2524" t="s">
        <v>29</v>
      </c>
      <c r="F2524" t="s">
        <v>20</v>
      </c>
      <c r="G2524" t="s">
        <v>5388</v>
      </c>
      <c r="H2524" t="str">
        <f>"00588645"</f>
        <v>00588645</v>
      </c>
      <c r="I2524">
        <v>28.8</v>
      </c>
      <c r="J2524">
        <v>0</v>
      </c>
      <c r="K2524">
        <v>8</v>
      </c>
      <c r="N2524">
        <v>8</v>
      </c>
      <c r="O2524">
        <v>4</v>
      </c>
      <c r="P2524">
        <v>2</v>
      </c>
      <c r="Q2524">
        <v>42.8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3</v>
      </c>
      <c r="AB2524">
        <v>0</v>
      </c>
      <c r="AD2524">
        <v>45.8</v>
      </c>
    </row>
    <row r="2525" spans="1:30" x14ac:dyDescent="0.3">
      <c r="A2525" s="4">
        <v>2546</v>
      </c>
      <c r="B2525" s="5">
        <v>2518</v>
      </c>
      <c r="C2525">
        <v>1895</v>
      </c>
      <c r="D2525" t="s">
        <v>5389</v>
      </c>
      <c r="E2525" t="s">
        <v>170</v>
      </c>
      <c r="F2525" t="s">
        <v>117</v>
      </c>
      <c r="G2525" t="s">
        <v>5390</v>
      </c>
      <c r="H2525" t="str">
        <f>"00530313"</f>
        <v>00530313</v>
      </c>
      <c r="I2525">
        <v>28.8</v>
      </c>
      <c r="J2525">
        <v>0</v>
      </c>
      <c r="N2525">
        <v>0</v>
      </c>
      <c r="O2525">
        <v>0</v>
      </c>
      <c r="P2525">
        <v>0</v>
      </c>
      <c r="Q2525">
        <v>28.8</v>
      </c>
      <c r="R2525">
        <v>17</v>
      </c>
      <c r="S2525">
        <v>17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17</v>
      </c>
      <c r="AA2525">
        <v>0</v>
      </c>
      <c r="AB2525">
        <v>0</v>
      </c>
      <c r="AD2525">
        <v>45.8</v>
      </c>
    </row>
    <row r="2526" spans="1:30" x14ac:dyDescent="0.3">
      <c r="A2526" s="4">
        <v>2547</v>
      </c>
      <c r="B2526" s="5">
        <v>2519</v>
      </c>
      <c r="C2526">
        <v>3235</v>
      </c>
      <c r="D2526" t="s">
        <v>5391</v>
      </c>
      <c r="E2526" t="s">
        <v>100</v>
      </c>
      <c r="F2526" t="s">
        <v>68</v>
      </c>
      <c r="G2526" t="s">
        <v>5392</v>
      </c>
      <c r="H2526" t="str">
        <f>"00529520"</f>
        <v>00529520</v>
      </c>
      <c r="I2526">
        <v>14.8</v>
      </c>
      <c r="J2526">
        <v>0</v>
      </c>
      <c r="N2526">
        <v>0</v>
      </c>
      <c r="O2526">
        <v>4</v>
      </c>
      <c r="P2526">
        <v>2</v>
      </c>
      <c r="Q2526">
        <v>20.8</v>
      </c>
      <c r="R2526">
        <v>25</v>
      </c>
      <c r="S2526">
        <v>25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25</v>
      </c>
      <c r="AA2526">
        <v>0</v>
      </c>
      <c r="AB2526">
        <v>0</v>
      </c>
      <c r="AD2526">
        <v>45.8</v>
      </c>
    </row>
    <row r="2527" spans="1:30" x14ac:dyDescent="0.3">
      <c r="A2527" s="4">
        <v>2548</v>
      </c>
      <c r="B2527" s="5">
        <v>2520</v>
      </c>
      <c r="C2527">
        <v>4591</v>
      </c>
      <c r="D2527" t="s">
        <v>3849</v>
      </c>
      <c r="E2527" t="s">
        <v>29</v>
      </c>
      <c r="F2527" t="s">
        <v>62</v>
      </c>
      <c r="G2527" t="s">
        <v>5393</v>
      </c>
      <c r="H2527" t="str">
        <f>"00800795"</f>
        <v>00800795</v>
      </c>
      <c r="I2527">
        <v>33.76</v>
      </c>
      <c r="J2527">
        <v>0</v>
      </c>
      <c r="K2527">
        <v>8</v>
      </c>
      <c r="N2527">
        <v>8</v>
      </c>
      <c r="O2527">
        <v>4</v>
      </c>
      <c r="P2527">
        <v>0</v>
      </c>
      <c r="Q2527">
        <v>45.76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D2527">
        <v>45.76</v>
      </c>
    </row>
    <row r="2528" spans="1:30" x14ac:dyDescent="0.3">
      <c r="A2528" s="4">
        <v>2549</v>
      </c>
      <c r="B2528" s="5">
        <v>2521</v>
      </c>
      <c r="C2528">
        <v>2627</v>
      </c>
      <c r="D2528" t="s">
        <v>5394</v>
      </c>
      <c r="E2528" t="s">
        <v>2011</v>
      </c>
      <c r="F2528" t="s">
        <v>81</v>
      </c>
      <c r="G2528" t="s">
        <v>5395</v>
      </c>
      <c r="H2528" t="str">
        <f>"00276343"</f>
        <v>00276343</v>
      </c>
      <c r="I2528">
        <v>31.72</v>
      </c>
      <c r="J2528">
        <v>0</v>
      </c>
      <c r="M2528">
        <v>4</v>
      </c>
      <c r="N2528">
        <v>4</v>
      </c>
      <c r="O2528">
        <v>4</v>
      </c>
      <c r="P2528">
        <v>0</v>
      </c>
      <c r="Q2528">
        <v>39.72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6</v>
      </c>
      <c r="AB2528">
        <v>0</v>
      </c>
      <c r="AD2528">
        <v>45.72</v>
      </c>
    </row>
    <row r="2529" spans="1:30" x14ac:dyDescent="0.3">
      <c r="A2529" s="4">
        <v>2550</v>
      </c>
      <c r="B2529" s="5">
        <v>2522</v>
      </c>
      <c r="C2529">
        <v>2440</v>
      </c>
      <c r="D2529" t="s">
        <v>5396</v>
      </c>
      <c r="E2529" t="s">
        <v>147</v>
      </c>
      <c r="F2529" t="s">
        <v>38</v>
      </c>
      <c r="G2529" t="s">
        <v>5397</v>
      </c>
      <c r="H2529" t="str">
        <f>"00296951"</f>
        <v>00296951</v>
      </c>
      <c r="I2529">
        <v>38.68</v>
      </c>
      <c r="J2529">
        <v>0</v>
      </c>
      <c r="N2529">
        <v>0</v>
      </c>
      <c r="O2529">
        <v>4</v>
      </c>
      <c r="P2529">
        <v>0</v>
      </c>
      <c r="Q2529">
        <v>42.68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3</v>
      </c>
      <c r="AB2529">
        <v>0</v>
      </c>
      <c r="AD2529">
        <v>45.68</v>
      </c>
    </row>
    <row r="2530" spans="1:30" x14ac:dyDescent="0.3">
      <c r="A2530" s="4">
        <v>2551</v>
      </c>
      <c r="B2530" s="5">
        <v>2523</v>
      </c>
      <c r="C2530">
        <v>3497</v>
      </c>
      <c r="D2530" t="s">
        <v>5398</v>
      </c>
      <c r="E2530" t="s">
        <v>471</v>
      </c>
      <c r="F2530" t="s">
        <v>117</v>
      </c>
      <c r="G2530" t="s">
        <v>5399</v>
      </c>
      <c r="H2530" t="str">
        <f>"00862362"</f>
        <v>00862362</v>
      </c>
      <c r="I2530">
        <v>38.68</v>
      </c>
      <c r="J2530">
        <v>0</v>
      </c>
      <c r="N2530">
        <v>0</v>
      </c>
      <c r="O2530">
        <v>4</v>
      </c>
      <c r="P2530">
        <v>0</v>
      </c>
      <c r="Q2530">
        <v>42.68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3</v>
      </c>
      <c r="AB2530">
        <v>0</v>
      </c>
      <c r="AD2530">
        <v>45.68</v>
      </c>
    </row>
    <row r="2531" spans="1:30" x14ac:dyDescent="0.3">
      <c r="A2531" s="4">
        <v>2552</v>
      </c>
      <c r="B2531" s="5">
        <v>2524</v>
      </c>
      <c r="C2531">
        <v>3745</v>
      </c>
      <c r="D2531" t="s">
        <v>3432</v>
      </c>
      <c r="E2531" t="s">
        <v>132</v>
      </c>
      <c r="F2531" t="s">
        <v>457</v>
      </c>
      <c r="G2531" t="s">
        <v>5400</v>
      </c>
      <c r="H2531" t="str">
        <f>"00864011"</f>
        <v>00864011</v>
      </c>
      <c r="I2531">
        <v>38.68</v>
      </c>
      <c r="J2531">
        <v>0</v>
      </c>
      <c r="N2531">
        <v>0</v>
      </c>
      <c r="O2531">
        <v>4</v>
      </c>
      <c r="P2531">
        <v>0</v>
      </c>
      <c r="Q2531">
        <v>42.68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3</v>
      </c>
      <c r="AB2531">
        <v>0</v>
      </c>
      <c r="AD2531">
        <v>45.68</v>
      </c>
    </row>
    <row r="2532" spans="1:30" x14ac:dyDescent="0.3">
      <c r="A2532" s="4">
        <v>2553</v>
      </c>
      <c r="B2532" s="5">
        <v>2525</v>
      </c>
      <c r="C2532">
        <v>4285</v>
      </c>
      <c r="D2532" t="s">
        <v>4097</v>
      </c>
      <c r="E2532" t="s">
        <v>744</v>
      </c>
      <c r="F2532" t="s">
        <v>4546</v>
      </c>
      <c r="G2532" t="s">
        <v>5401</v>
      </c>
      <c r="H2532" t="str">
        <f>"00004174"</f>
        <v>00004174</v>
      </c>
      <c r="I2532">
        <v>39.6</v>
      </c>
      <c r="J2532">
        <v>0</v>
      </c>
      <c r="N2532">
        <v>0</v>
      </c>
      <c r="O2532">
        <v>0</v>
      </c>
      <c r="P2532">
        <v>0</v>
      </c>
      <c r="Q2532">
        <v>39.6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6</v>
      </c>
      <c r="AB2532">
        <v>0</v>
      </c>
      <c r="AD2532">
        <v>45.6</v>
      </c>
    </row>
    <row r="2533" spans="1:30" x14ac:dyDescent="0.3">
      <c r="A2533" s="4">
        <v>2554</v>
      </c>
      <c r="B2533" s="5">
        <v>2526</v>
      </c>
      <c r="C2533">
        <v>754</v>
      </c>
      <c r="D2533" t="s">
        <v>5402</v>
      </c>
      <c r="E2533" t="s">
        <v>161</v>
      </c>
      <c r="F2533" t="s">
        <v>5403</v>
      </c>
      <c r="G2533" t="s">
        <v>5404</v>
      </c>
      <c r="H2533" t="str">
        <f>"00021196"</f>
        <v>00021196</v>
      </c>
      <c r="I2533">
        <v>31.6</v>
      </c>
      <c r="J2533">
        <v>0</v>
      </c>
      <c r="M2533">
        <v>4</v>
      </c>
      <c r="N2533">
        <v>4</v>
      </c>
      <c r="O2533">
        <v>4</v>
      </c>
      <c r="P2533">
        <v>0</v>
      </c>
      <c r="Q2533">
        <v>39.6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6</v>
      </c>
      <c r="AB2533">
        <v>0</v>
      </c>
      <c r="AD2533">
        <v>45.6</v>
      </c>
    </row>
    <row r="2534" spans="1:30" x14ac:dyDescent="0.3">
      <c r="A2534" s="4">
        <v>2555</v>
      </c>
      <c r="B2534" s="5">
        <v>2527</v>
      </c>
      <c r="C2534">
        <v>1661</v>
      </c>
      <c r="D2534" t="s">
        <v>5405</v>
      </c>
      <c r="E2534" t="s">
        <v>5406</v>
      </c>
      <c r="F2534" t="s">
        <v>68</v>
      </c>
      <c r="G2534" t="s">
        <v>5407</v>
      </c>
      <c r="H2534" t="str">
        <f>"00193031"</f>
        <v>00193031</v>
      </c>
      <c r="I2534">
        <v>25.6</v>
      </c>
      <c r="J2534">
        <v>10</v>
      </c>
      <c r="N2534">
        <v>0</v>
      </c>
      <c r="O2534">
        <v>4</v>
      </c>
      <c r="P2534">
        <v>0</v>
      </c>
      <c r="Q2534">
        <v>39.6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6</v>
      </c>
      <c r="AB2534">
        <v>0</v>
      </c>
      <c r="AD2534">
        <v>45.6</v>
      </c>
    </row>
    <row r="2535" spans="1:30" x14ac:dyDescent="0.3">
      <c r="A2535" s="4">
        <v>2556</v>
      </c>
      <c r="B2535" s="5">
        <v>2528</v>
      </c>
      <c r="C2535">
        <v>4971</v>
      </c>
      <c r="D2535" t="s">
        <v>5408</v>
      </c>
      <c r="E2535" t="s">
        <v>403</v>
      </c>
      <c r="F2535" t="s">
        <v>2582</v>
      </c>
      <c r="G2535" t="s">
        <v>5409</v>
      </c>
      <c r="H2535" t="str">
        <f>"00865809"</f>
        <v>00865809</v>
      </c>
      <c r="I2535">
        <v>39.6</v>
      </c>
      <c r="J2535">
        <v>0</v>
      </c>
      <c r="N2535">
        <v>0</v>
      </c>
      <c r="O2535">
        <v>4</v>
      </c>
      <c r="P2535">
        <v>2</v>
      </c>
      <c r="Q2535">
        <v>45.6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D2535">
        <v>45.6</v>
      </c>
    </row>
    <row r="2536" spans="1:30" x14ac:dyDescent="0.3">
      <c r="A2536" s="4">
        <v>2557</v>
      </c>
      <c r="B2536" s="5">
        <v>2529</v>
      </c>
      <c r="C2536">
        <v>2632</v>
      </c>
      <c r="D2536" t="s">
        <v>5410</v>
      </c>
      <c r="E2536" t="s">
        <v>744</v>
      </c>
      <c r="F2536" t="s">
        <v>38</v>
      </c>
      <c r="G2536" t="s">
        <v>5411</v>
      </c>
      <c r="H2536" t="str">
        <f>"00655065"</f>
        <v>00655065</v>
      </c>
      <c r="I2536">
        <v>39.6</v>
      </c>
      <c r="J2536">
        <v>0</v>
      </c>
      <c r="N2536">
        <v>0</v>
      </c>
      <c r="O2536">
        <v>4</v>
      </c>
      <c r="P2536">
        <v>2</v>
      </c>
      <c r="Q2536">
        <v>45.6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D2536">
        <v>45.6</v>
      </c>
    </row>
    <row r="2537" spans="1:30" x14ac:dyDescent="0.3">
      <c r="A2537" s="4">
        <v>2558</v>
      </c>
      <c r="B2537" s="5">
        <v>2530</v>
      </c>
      <c r="C2537">
        <v>4727</v>
      </c>
      <c r="D2537" t="s">
        <v>4131</v>
      </c>
      <c r="E2537" t="s">
        <v>789</v>
      </c>
      <c r="F2537" t="s">
        <v>117</v>
      </c>
      <c r="G2537" t="s">
        <v>5412</v>
      </c>
      <c r="H2537" t="str">
        <f>"00491283"</f>
        <v>00491283</v>
      </c>
      <c r="I2537">
        <v>37.6</v>
      </c>
      <c r="J2537">
        <v>0</v>
      </c>
      <c r="M2537">
        <v>8</v>
      </c>
      <c r="N2537">
        <v>8</v>
      </c>
      <c r="O2537">
        <v>0</v>
      </c>
      <c r="P2537">
        <v>0</v>
      </c>
      <c r="Q2537">
        <v>45.6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D2537">
        <v>45.6</v>
      </c>
    </row>
    <row r="2538" spans="1:30" x14ac:dyDescent="0.3">
      <c r="A2538" s="4">
        <v>2559</v>
      </c>
      <c r="B2538" s="5">
        <v>2531</v>
      </c>
      <c r="C2538">
        <v>3055</v>
      </c>
      <c r="D2538" t="s">
        <v>5413</v>
      </c>
      <c r="E2538" t="s">
        <v>5414</v>
      </c>
      <c r="F2538" t="s">
        <v>17</v>
      </c>
      <c r="G2538" t="s">
        <v>5415</v>
      </c>
      <c r="H2538" t="str">
        <f>"00859802"</f>
        <v>00859802</v>
      </c>
      <c r="I2538">
        <v>37.6</v>
      </c>
      <c r="J2538">
        <v>0</v>
      </c>
      <c r="M2538">
        <v>4</v>
      </c>
      <c r="N2538">
        <v>4</v>
      </c>
      <c r="O2538">
        <v>4</v>
      </c>
      <c r="P2538">
        <v>0</v>
      </c>
      <c r="Q2538">
        <v>45.6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D2538">
        <v>45.6</v>
      </c>
    </row>
    <row r="2539" spans="1:30" x14ac:dyDescent="0.3">
      <c r="A2539" s="4">
        <v>2560</v>
      </c>
      <c r="B2539" s="5">
        <v>2532</v>
      </c>
      <c r="C2539">
        <v>4152</v>
      </c>
      <c r="D2539" t="s">
        <v>577</v>
      </c>
      <c r="E2539" t="s">
        <v>3184</v>
      </c>
      <c r="F2539" t="s">
        <v>442</v>
      </c>
      <c r="G2539" t="s">
        <v>5416</v>
      </c>
      <c r="H2539" t="str">
        <f>"00400057"</f>
        <v>00400057</v>
      </c>
      <c r="I2539">
        <v>35.6</v>
      </c>
      <c r="J2539">
        <v>10</v>
      </c>
      <c r="N2539">
        <v>0</v>
      </c>
      <c r="O2539">
        <v>0</v>
      </c>
      <c r="P2539">
        <v>0</v>
      </c>
      <c r="Q2539">
        <v>45.6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D2539">
        <v>45.6</v>
      </c>
    </row>
    <row r="2540" spans="1:30" x14ac:dyDescent="0.3">
      <c r="A2540" s="4">
        <v>2561</v>
      </c>
      <c r="B2540" s="5">
        <v>2533</v>
      </c>
      <c r="C2540">
        <v>170</v>
      </c>
      <c r="D2540" t="s">
        <v>5417</v>
      </c>
      <c r="E2540" t="s">
        <v>230</v>
      </c>
      <c r="F2540" t="s">
        <v>68</v>
      </c>
      <c r="G2540" t="s">
        <v>5418</v>
      </c>
      <c r="H2540" t="str">
        <f>"00855815"</f>
        <v>00855815</v>
      </c>
      <c r="I2540">
        <v>31.6</v>
      </c>
      <c r="J2540">
        <v>10</v>
      </c>
      <c r="N2540">
        <v>0</v>
      </c>
      <c r="O2540">
        <v>4</v>
      </c>
      <c r="P2540">
        <v>0</v>
      </c>
      <c r="Q2540">
        <v>45.6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D2540">
        <v>45.6</v>
      </c>
    </row>
    <row r="2541" spans="1:30" x14ac:dyDescent="0.3">
      <c r="A2541" s="4">
        <v>2562</v>
      </c>
      <c r="B2541" s="5">
        <v>2534</v>
      </c>
      <c r="C2541">
        <v>4256</v>
      </c>
      <c r="D2541" t="s">
        <v>5419</v>
      </c>
      <c r="E2541" t="s">
        <v>1089</v>
      </c>
      <c r="F2541" t="s">
        <v>38</v>
      </c>
      <c r="G2541" t="s">
        <v>5420</v>
      </c>
      <c r="H2541" t="str">
        <f>"00250599"</f>
        <v>00250599</v>
      </c>
      <c r="I2541">
        <v>14.76</v>
      </c>
      <c r="J2541">
        <v>0</v>
      </c>
      <c r="N2541">
        <v>0</v>
      </c>
      <c r="O2541">
        <v>4</v>
      </c>
      <c r="P2541">
        <v>0</v>
      </c>
      <c r="Q2541">
        <v>18.760000000000002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26.8</v>
      </c>
      <c r="AD2541">
        <v>45.56</v>
      </c>
    </row>
    <row r="2542" spans="1:30" x14ac:dyDescent="0.3">
      <c r="A2542" s="4">
        <v>2563</v>
      </c>
      <c r="B2542" s="5">
        <v>2535</v>
      </c>
      <c r="C2542">
        <v>2024</v>
      </c>
      <c r="D2542" t="s">
        <v>5421</v>
      </c>
      <c r="E2542" t="s">
        <v>29</v>
      </c>
      <c r="F2542" t="s">
        <v>158</v>
      </c>
      <c r="G2542" t="s">
        <v>5422</v>
      </c>
      <c r="H2542" t="str">
        <f>"00863573"</f>
        <v>00863573</v>
      </c>
      <c r="I2542">
        <v>39.56</v>
      </c>
      <c r="J2542">
        <v>0</v>
      </c>
      <c r="N2542">
        <v>0</v>
      </c>
      <c r="O2542">
        <v>0</v>
      </c>
      <c r="P2542">
        <v>0</v>
      </c>
      <c r="Q2542">
        <v>39.56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6</v>
      </c>
      <c r="AB2542">
        <v>0</v>
      </c>
      <c r="AD2542">
        <v>45.56</v>
      </c>
    </row>
    <row r="2543" spans="1:30" x14ac:dyDescent="0.3">
      <c r="A2543" s="4">
        <v>2564</v>
      </c>
      <c r="B2543" s="5">
        <v>2536</v>
      </c>
      <c r="C2543">
        <v>554</v>
      </c>
      <c r="D2543" t="s">
        <v>5423</v>
      </c>
      <c r="E2543" t="s">
        <v>5424</v>
      </c>
      <c r="F2543" t="s">
        <v>81</v>
      </c>
      <c r="G2543" t="s">
        <v>5425</v>
      </c>
      <c r="H2543" t="str">
        <f>"201206000082"</f>
        <v>201206000082</v>
      </c>
      <c r="I2543">
        <v>14.4</v>
      </c>
      <c r="J2543">
        <v>10</v>
      </c>
      <c r="M2543">
        <v>4</v>
      </c>
      <c r="N2543">
        <v>4</v>
      </c>
      <c r="O2543">
        <v>4</v>
      </c>
      <c r="P2543">
        <v>2</v>
      </c>
      <c r="Q2543">
        <v>34.4</v>
      </c>
      <c r="R2543">
        <v>5</v>
      </c>
      <c r="S2543">
        <v>5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5</v>
      </c>
      <c r="AA2543">
        <v>6</v>
      </c>
      <c r="AB2543">
        <v>0</v>
      </c>
      <c r="AD2543">
        <v>45.4</v>
      </c>
    </row>
    <row r="2544" spans="1:30" x14ac:dyDescent="0.3">
      <c r="A2544" s="4">
        <v>2565</v>
      </c>
      <c r="B2544" s="5">
        <v>2537</v>
      </c>
      <c r="C2544">
        <v>2023</v>
      </c>
      <c r="D2544" t="s">
        <v>902</v>
      </c>
      <c r="E2544" t="s">
        <v>188</v>
      </c>
      <c r="F2544" t="s">
        <v>243</v>
      </c>
      <c r="G2544" t="s">
        <v>5426</v>
      </c>
      <c r="H2544" t="str">
        <f>"00092971"</f>
        <v>00092971</v>
      </c>
      <c r="I2544">
        <v>38.4</v>
      </c>
      <c r="J2544">
        <v>0</v>
      </c>
      <c r="N2544">
        <v>0</v>
      </c>
      <c r="O2544">
        <v>4</v>
      </c>
      <c r="P2544">
        <v>0</v>
      </c>
      <c r="Q2544">
        <v>42.4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3</v>
      </c>
      <c r="AB2544">
        <v>0</v>
      </c>
      <c r="AD2544">
        <v>45.4</v>
      </c>
    </row>
    <row r="2545" spans="1:30" x14ac:dyDescent="0.3">
      <c r="A2545" s="4">
        <v>2566</v>
      </c>
      <c r="B2545" s="5">
        <v>2538</v>
      </c>
      <c r="C2545">
        <v>1331</v>
      </c>
      <c r="D2545" t="s">
        <v>5427</v>
      </c>
      <c r="E2545" t="s">
        <v>521</v>
      </c>
      <c r="F2545" t="s">
        <v>243</v>
      </c>
      <c r="G2545" t="s">
        <v>5428</v>
      </c>
      <c r="H2545" t="str">
        <f>"00356833"</f>
        <v>00356833</v>
      </c>
      <c r="I2545">
        <v>14.4</v>
      </c>
      <c r="J2545">
        <v>10</v>
      </c>
      <c r="N2545">
        <v>0</v>
      </c>
      <c r="O2545">
        <v>4</v>
      </c>
      <c r="P2545">
        <v>0</v>
      </c>
      <c r="Q2545">
        <v>28.4</v>
      </c>
      <c r="R2545">
        <v>17</v>
      </c>
      <c r="S2545">
        <v>17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17</v>
      </c>
      <c r="AA2545">
        <v>0</v>
      </c>
      <c r="AB2545">
        <v>0</v>
      </c>
      <c r="AD2545">
        <v>45.4</v>
      </c>
    </row>
    <row r="2546" spans="1:30" x14ac:dyDescent="0.3">
      <c r="A2546" s="4">
        <v>2567</v>
      </c>
      <c r="B2546" s="5">
        <v>2539</v>
      </c>
      <c r="C2546">
        <v>4540</v>
      </c>
      <c r="D2546" t="s">
        <v>5429</v>
      </c>
      <c r="E2546" t="s">
        <v>88</v>
      </c>
      <c r="F2546" t="s">
        <v>136</v>
      </c>
      <c r="G2546" t="s">
        <v>5430</v>
      </c>
      <c r="H2546" t="str">
        <f>"00484952"</f>
        <v>00484952</v>
      </c>
      <c r="I2546">
        <v>14.4</v>
      </c>
      <c r="J2546">
        <v>0</v>
      </c>
      <c r="N2546">
        <v>0</v>
      </c>
      <c r="O2546">
        <v>4</v>
      </c>
      <c r="P2546">
        <v>2</v>
      </c>
      <c r="Q2546">
        <v>20.399999999999999</v>
      </c>
      <c r="R2546">
        <v>25</v>
      </c>
      <c r="S2546">
        <v>25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25</v>
      </c>
      <c r="AA2546">
        <v>0</v>
      </c>
      <c r="AB2546">
        <v>0</v>
      </c>
      <c r="AD2546">
        <v>45.4</v>
      </c>
    </row>
    <row r="2547" spans="1:30" x14ac:dyDescent="0.3">
      <c r="A2547" s="4">
        <v>2568</v>
      </c>
      <c r="B2547" s="5">
        <v>2540</v>
      </c>
      <c r="C2547">
        <v>4015</v>
      </c>
      <c r="D2547" t="s">
        <v>1791</v>
      </c>
      <c r="E2547" t="s">
        <v>178</v>
      </c>
      <c r="F2547" t="s">
        <v>91</v>
      </c>
      <c r="G2547" t="s">
        <v>5431</v>
      </c>
      <c r="H2547" t="str">
        <f>"00678267"</f>
        <v>00678267</v>
      </c>
      <c r="I2547">
        <v>36.36</v>
      </c>
      <c r="J2547">
        <v>0</v>
      </c>
      <c r="N2547">
        <v>0</v>
      </c>
      <c r="O2547">
        <v>0</v>
      </c>
      <c r="P2547">
        <v>0</v>
      </c>
      <c r="Q2547">
        <v>36.36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9</v>
      </c>
      <c r="AB2547">
        <v>0</v>
      </c>
      <c r="AD2547">
        <v>45.36</v>
      </c>
    </row>
    <row r="2548" spans="1:30" x14ac:dyDescent="0.3">
      <c r="A2548" s="4">
        <v>2569</v>
      </c>
      <c r="B2548" s="5">
        <v>2541</v>
      </c>
      <c r="C2548">
        <v>1874</v>
      </c>
      <c r="D2548" t="s">
        <v>357</v>
      </c>
      <c r="E2548" t="s">
        <v>19</v>
      </c>
      <c r="F2548" t="s">
        <v>230</v>
      </c>
      <c r="G2548" t="s">
        <v>5432</v>
      </c>
      <c r="H2548" t="str">
        <f>"00367503"</f>
        <v>00367503</v>
      </c>
      <c r="I2548">
        <v>28.28</v>
      </c>
      <c r="J2548">
        <v>10</v>
      </c>
      <c r="N2548">
        <v>0</v>
      </c>
      <c r="O2548">
        <v>4</v>
      </c>
      <c r="P2548">
        <v>0</v>
      </c>
      <c r="Q2548">
        <v>42.28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3</v>
      </c>
      <c r="AB2548">
        <v>0</v>
      </c>
      <c r="AD2548">
        <v>45.28</v>
      </c>
    </row>
    <row r="2549" spans="1:30" x14ac:dyDescent="0.3">
      <c r="A2549" s="4">
        <v>2570</v>
      </c>
      <c r="B2549" s="5">
        <v>2542</v>
      </c>
      <c r="C2549">
        <v>1177</v>
      </c>
      <c r="D2549" t="s">
        <v>5433</v>
      </c>
      <c r="E2549" t="s">
        <v>147</v>
      </c>
      <c r="F2549" t="s">
        <v>5434</v>
      </c>
      <c r="G2549" t="s">
        <v>5435</v>
      </c>
      <c r="H2549" t="str">
        <f>"00781280"</f>
        <v>00781280</v>
      </c>
      <c r="I2549">
        <v>27.28</v>
      </c>
      <c r="J2549">
        <v>10</v>
      </c>
      <c r="M2549">
        <v>4</v>
      </c>
      <c r="N2549">
        <v>4</v>
      </c>
      <c r="O2549">
        <v>4</v>
      </c>
      <c r="P2549">
        <v>0</v>
      </c>
      <c r="Q2549">
        <v>45.28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D2549">
        <v>45.28</v>
      </c>
    </row>
    <row r="2550" spans="1:30" x14ac:dyDescent="0.3">
      <c r="A2550" s="4">
        <v>2571</v>
      </c>
      <c r="B2550" s="5">
        <v>2543</v>
      </c>
      <c r="C2550">
        <v>1198</v>
      </c>
      <c r="D2550" t="s">
        <v>5436</v>
      </c>
      <c r="E2550" t="s">
        <v>170</v>
      </c>
      <c r="F2550" t="s">
        <v>30</v>
      </c>
      <c r="G2550" t="s">
        <v>5437</v>
      </c>
      <c r="H2550" t="str">
        <f>"00824030"</f>
        <v>00824030</v>
      </c>
      <c r="I2550">
        <v>37.24</v>
      </c>
      <c r="J2550">
        <v>0</v>
      </c>
      <c r="N2550">
        <v>0</v>
      </c>
      <c r="O2550">
        <v>0</v>
      </c>
      <c r="P2550">
        <v>2</v>
      </c>
      <c r="Q2550">
        <v>39.24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6</v>
      </c>
      <c r="AB2550">
        <v>0</v>
      </c>
      <c r="AD2550">
        <v>45.24</v>
      </c>
    </row>
    <row r="2551" spans="1:30" x14ac:dyDescent="0.3">
      <c r="A2551" s="4">
        <v>2572</v>
      </c>
      <c r="B2551" s="5">
        <v>2544</v>
      </c>
      <c r="C2551">
        <v>2258</v>
      </c>
      <c r="D2551" t="s">
        <v>5438</v>
      </c>
      <c r="E2551" t="s">
        <v>188</v>
      </c>
      <c r="F2551" t="s">
        <v>230</v>
      </c>
      <c r="G2551" t="s">
        <v>5439</v>
      </c>
      <c r="H2551" t="str">
        <f>"00531104"</f>
        <v>00531104</v>
      </c>
      <c r="I2551">
        <v>7.2</v>
      </c>
      <c r="J2551">
        <v>0</v>
      </c>
      <c r="K2551">
        <v>8</v>
      </c>
      <c r="N2551">
        <v>8</v>
      </c>
      <c r="O2551">
        <v>4</v>
      </c>
      <c r="P2551">
        <v>0</v>
      </c>
      <c r="Q2551">
        <v>19.2</v>
      </c>
      <c r="R2551">
        <v>17</v>
      </c>
      <c r="S2551">
        <v>17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17</v>
      </c>
      <c r="AA2551">
        <v>9</v>
      </c>
      <c r="AB2551">
        <v>0</v>
      </c>
      <c r="AD2551">
        <v>45.2</v>
      </c>
    </row>
    <row r="2552" spans="1:30" x14ac:dyDescent="0.3">
      <c r="A2552" s="4">
        <v>2573</v>
      </c>
      <c r="B2552" s="5">
        <v>2545</v>
      </c>
      <c r="C2552">
        <v>722</v>
      </c>
      <c r="D2552" t="s">
        <v>5440</v>
      </c>
      <c r="E2552" t="s">
        <v>1371</v>
      </c>
      <c r="F2552" t="s">
        <v>136</v>
      </c>
      <c r="G2552" t="s">
        <v>5441</v>
      </c>
      <c r="H2552" t="str">
        <f>"00282349"</f>
        <v>00282349</v>
      </c>
      <c r="I2552">
        <v>39.200000000000003</v>
      </c>
      <c r="J2552">
        <v>0</v>
      </c>
      <c r="N2552">
        <v>0</v>
      </c>
      <c r="O2552">
        <v>0</v>
      </c>
      <c r="P2552">
        <v>0</v>
      </c>
      <c r="Q2552">
        <v>39.200000000000003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6</v>
      </c>
      <c r="AB2552">
        <v>0</v>
      </c>
      <c r="AD2552">
        <v>45.2</v>
      </c>
    </row>
    <row r="2553" spans="1:30" x14ac:dyDescent="0.3">
      <c r="A2553" s="4">
        <v>2574</v>
      </c>
      <c r="B2553" s="5">
        <v>2546</v>
      </c>
      <c r="C2553">
        <v>4874</v>
      </c>
      <c r="D2553" t="s">
        <v>5442</v>
      </c>
      <c r="E2553" t="s">
        <v>738</v>
      </c>
      <c r="F2553" t="s">
        <v>38</v>
      </c>
      <c r="G2553" t="s">
        <v>5443</v>
      </c>
      <c r="H2553" t="str">
        <f>"00865511"</f>
        <v>00865511</v>
      </c>
      <c r="I2553">
        <v>39.200000000000003</v>
      </c>
      <c r="J2553">
        <v>0</v>
      </c>
      <c r="N2553">
        <v>0</v>
      </c>
      <c r="O2553">
        <v>0</v>
      </c>
      <c r="P2553">
        <v>0</v>
      </c>
      <c r="Q2553">
        <v>39.200000000000003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6</v>
      </c>
      <c r="AB2553">
        <v>0</v>
      </c>
      <c r="AD2553">
        <v>45.2</v>
      </c>
    </row>
    <row r="2554" spans="1:30" x14ac:dyDescent="0.3">
      <c r="A2554" s="4">
        <v>2575</v>
      </c>
      <c r="B2554" s="5">
        <v>2547</v>
      </c>
      <c r="C2554">
        <v>2836</v>
      </c>
      <c r="D2554" t="s">
        <v>5444</v>
      </c>
      <c r="E2554" t="s">
        <v>178</v>
      </c>
      <c r="F2554" t="s">
        <v>81</v>
      </c>
      <c r="G2554" t="s">
        <v>5445</v>
      </c>
      <c r="H2554" t="str">
        <f>"00708937"</f>
        <v>00708937</v>
      </c>
      <c r="I2554">
        <v>43.2</v>
      </c>
      <c r="J2554">
        <v>0</v>
      </c>
      <c r="N2554">
        <v>0</v>
      </c>
      <c r="O2554">
        <v>0</v>
      </c>
      <c r="P2554">
        <v>2</v>
      </c>
      <c r="Q2554">
        <v>45.2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D2554">
        <v>45.2</v>
      </c>
    </row>
    <row r="2555" spans="1:30" x14ac:dyDescent="0.3">
      <c r="A2555" s="4">
        <v>2576</v>
      </c>
      <c r="B2555" s="5">
        <v>2548</v>
      </c>
      <c r="C2555">
        <v>2587</v>
      </c>
      <c r="D2555" t="s">
        <v>5446</v>
      </c>
      <c r="E2555" t="s">
        <v>5447</v>
      </c>
      <c r="F2555" t="s">
        <v>2017</v>
      </c>
      <c r="G2555" t="s">
        <v>5448</v>
      </c>
      <c r="H2555" t="str">
        <f>"00383508"</f>
        <v>00383508</v>
      </c>
      <c r="I2555">
        <v>39.200000000000003</v>
      </c>
      <c r="J2555">
        <v>0</v>
      </c>
      <c r="N2555">
        <v>0</v>
      </c>
      <c r="O2555">
        <v>4</v>
      </c>
      <c r="P2555">
        <v>2</v>
      </c>
      <c r="Q2555">
        <v>45.2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D2555">
        <v>45.2</v>
      </c>
    </row>
    <row r="2556" spans="1:30" x14ac:dyDescent="0.3">
      <c r="A2556" s="4">
        <v>2577</v>
      </c>
      <c r="B2556" s="5">
        <v>2549</v>
      </c>
      <c r="C2556">
        <v>4948</v>
      </c>
      <c r="D2556" t="s">
        <v>5449</v>
      </c>
      <c r="E2556" t="s">
        <v>41</v>
      </c>
      <c r="F2556" t="s">
        <v>5450</v>
      </c>
      <c r="G2556" t="s">
        <v>5451</v>
      </c>
      <c r="H2556" t="str">
        <f>"00863336"</f>
        <v>00863336</v>
      </c>
      <c r="I2556">
        <v>39.200000000000003</v>
      </c>
      <c r="J2556">
        <v>0</v>
      </c>
      <c r="N2556">
        <v>0</v>
      </c>
      <c r="O2556">
        <v>4</v>
      </c>
      <c r="P2556">
        <v>2</v>
      </c>
      <c r="Q2556">
        <v>45.2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D2556">
        <v>45.2</v>
      </c>
    </row>
    <row r="2557" spans="1:30" x14ac:dyDescent="0.3">
      <c r="A2557" s="4">
        <v>2578</v>
      </c>
      <c r="B2557" s="5">
        <v>2550</v>
      </c>
      <c r="C2557">
        <v>1093</v>
      </c>
      <c r="D2557" t="s">
        <v>511</v>
      </c>
      <c r="E2557" t="s">
        <v>4801</v>
      </c>
      <c r="F2557" t="s">
        <v>52</v>
      </c>
      <c r="G2557" t="s">
        <v>5452</v>
      </c>
      <c r="H2557" t="str">
        <f>"00858820"</f>
        <v>00858820</v>
      </c>
      <c r="I2557">
        <v>37.200000000000003</v>
      </c>
      <c r="J2557">
        <v>0</v>
      </c>
      <c r="M2557">
        <v>4</v>
      </c>
      <c r="N2557">
        <v>4</v>
      </c>
      <c r="O2557">
        <v>4</v>
      </c>
      <c r="P2557">
        <v>0</v>
      </c>
      <c r="Q2557">
        <v>45.2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D2557">
        <v>45.2</v>
      </c>
    </row>
    <row r="2558" spans="1:30" x14ac:dyDescent="0.3">
      <c r="A2558" s="4">
        <v>2579</v>
      </c>
      <c r="B2558" s="5">
        <v>2551</v>
      </c>
      <c r="C2558">
        <v>3377</v>
      </c>
      <c r="D2558" t="s">
        <v>5453</v>
      </c>
      <c r="E2558" t="s">
        <v>29</v>
      </c>
      <c r="F2558" t="s">
        <v>91</v>
      </c>
      <c r="G2558" t="s">
        <v>5454</v>
      </c>
      <c r="H2558" t="str">
        <f>"00321080"</f>
        <v>00321080</v>
      </c>
      <c r="I2558">
        <v>35.200000000000003</v>
      </c>
      <c r="J2558">
        <v>0</v>
      </c>
      <c r="M2558">
        <v>4</v>
      </c>
      <c r="N2558">
        <v>4</v>
      </c>
      <c r="O2558">
        <v>4</v>
      </c>
      <c r="P2558">
        <v>2</v>
      </c>
      <c r="Q2558">
        <v>45.2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D2558">
        <v>45.2</v>
      </c>
    </row>
    <row r="2559" spans="1:30" x14ac:dyDescent="0.3">
      <c r="A2559" s="4">
        <v>2580</v>
      </c>
      <c r="B2559" s="5">
        <v>2552</v>
      </c>
      <c r="C2559">
        <v>3329</v>
      </c>
      <c r="D2559" t="s">
        <v>5455</v>
      </c>
      <c r="E2559" t="s">
        <v>738</v>
      </c>
      <c r="F2559" t="s">
        <v>652</v>
      </c>
      <c r="G2559" t="s">
        <v>5456</v>
      </c>
      <c r="H2559" t="str">
        <f>"00853951"</f>
        <v>00853951</v>
      </c>
      <c r="I2559">
        <v>35.200000000000003</v>
      </c>
      <c r="J2559">
        <v>10</v>
      </c>
      <c r="N2559">
        <v>0</v>
      </c>
      <c r="O2559">
        <v>0</v>
      </c>
      <c r="P2559">
        <v>0</v>
      </c>
      <c r="Q2559">
        <v>45.2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D2559">
        <v>45.2</v>
      </c>
    </row>
    <row r="2560" spans="1:30" x14ac:dyDescent="0.3">
      <c r="A2560" s="4">
        <v>2581</v>
      </c>
      <c r="B2560" s="5">
        <v>2553</v>
      </c>
      <c r="C2560">
        <v>3380</v>
      </c>
      <c r="D2560" t="s">
        <v>5457</v>
      </c>
      <c r="E2560" t="s">
        <v>5458</v>
      </c>
      <c r="F2560" t="s">
        <v>343</v>
      </c>
      <c r="G2560" t="s">
        <v>5459</v>
      </c>
      <c r="H2560" t="str">
        <f>"00529899"</f>
        <v>00529899</v>
      </c>
      <c r="I2560">
        <v>7.2</v>
      </c>
      <c r="J2560">
        <v>0</v>
      </c>
      <c r="N2560">
        <v>0</v>
      </c>
      <c r="O2560">
        <v>4</v>
      </c>
      <c r="P2560">
        <v>2</v>
      </c>
      <c r="Q2560">
        <v>13.2</v>
      </c>
      <c r="R2560">
        <v>32</v>
      </c>
      <c r="S2560">
        <v>32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32</v>
      </c>
      <c r="AA2560">
        <v>0</v>
      </c>
      <c r="AB2560">
        <v>0</v>
      </c>
      <c r="AD2560">
        <v>45.2</v>
      </c>
    </row>
    <row r="2561" spans="1:30" x14ac:dyDescent="0.3">
      <c r="A2561" s="4">
        <v>2582</v>
      </c>
      <c r="B2561" s="5">
        <v>2554</v>
      </c>
      <c r="C2561">
        <v>2615</v>
      </c>
      <c r="D2561" t="s">
        <v>3587</v>
      </c>
      <c r="E2561" t="s">
        <v>439</v>
      </c>
      <c r="F2561" t="s">
        <v>1450</v>
      </c>
      <c r="G2561" t="s">
        <v>5460</v>
      </c>
      <c r="H2561" t="str">
        <f>"00375441"</f>
        <v>00375441</v>
      </c>
      <c r="I2561">
        <v>34.159999999999997</v>
      </c>
      <c r="J2561">
        <v>0</v>
      </c>
      <c r="M2561">
        <v>4</v>
      </c>
      <c r="N2561">
        <v>4</v>
      </c>
      <c r="O2561">
        <v>4</v>
      </c>
      <c r="P2561">
        <v>0</v>
      </c>
      <c r="Q2561">
        <v>42.16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3</v>
      </c>
      <c r="AB2561">
        <v>0</v>
      </c>
      <c r="AD2561">
        <v>45.16</v>
      </c>
    </row>
    <row r="2562" spans="1:30" x14ac:dyDescent="0.3">
      <c r="A2562" s="4">
        <v>2583</v>
      </c>
      <c r="B2562" s="5">
        <v>2555</v>
      </c>
      <c r="C2562">
        <v>141</v>
      </c>
      <c r="D2562" t="s">
        <v>5461</v>
      </c>
      <c r="E2562" t="s">
        <v>795</v>
      </c>
      <c r="F2562" t="s">
        <v>1812</v>
      </c>
      <c r="G2562" t="s">
        <v>5462</v>
      </c>
      <c r="H2562" t="str">
        <f>"00857711"</f>
        <v>00857711</v>
      </c>
      <c r="I2562">
        <v>39.119999999999997</v>
      </c>
      <c r="J2562">
        <v>0</v>
      </c>
      <c r="N2562">
        <v>0</v>
      </c>
      <c r="O2562">
        <v>0</v>
      </c>
      <c r="P2562">
        <v>0</v>
      </c>
      <c r="Q2562">
        <v>39.119999999999997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6</v>
      </c>
      <c r="AB2562">
        <v>0</v>
      </c>
      <c r="AD2562">
        <v>45.12</v>
      </c>
    </row>
    <row r="2563" spans="1:30" x14ac:dyDescent="0.3">
      <c r="A2563" s="4">
        <v>2584</v>
      </c>
      <c r="B2563" s="5">
        <v>2556</v>
      </c>
      <c r="C2563">
        <v>1595</v>
      </c>
      <c r="D2563" t="s">
        <v>5463</v>
      </c>
      <c r="E2563" t="s">
        <v>795</v>
      </c>
      <c r="F2563" t="s">
        <v>570</v>
      </c>
      <c r="G2563" t="s">
        <v>5464</v>
      </c>
      <c r="H2563" t="str">
        <f>"00858096"</f>
        <v>00858096</v>
      </c>
      <c r="I2563">
        <v>25.08</v>
      </c>
      <c r="J2563">
        <v>10</v>
      </c>
      <c r="N2563">
        <v>0</v>
      </c>
      <c r="O2563">
        <v>4</v>
      </c>
      <c r="P2563">
        <v>0</v>
      </c>
      <c r="Q2563">
        <v>39.08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6</v>
      </c>
      <c r="AB2563">
        <v>0</v>
      </c>
      <c r="AD2563">
        <v>45.08</v>
      </c>
    </row>
    <row r="2564" spans="1:30" x14ac:dyDescent="0.3">
      <c r="A2564" s="4">
        <v>2585</v>
      </c>
      <c r="B2564" s="5">
        <v>2557</v>
      </c>
      <c r="C2564">
        <v>2088</v>
      </c>
      <c r="D2564" t="s">
        <v>5465</v>
      </c>
      <c r="E2564" t="s">
        <v>41</v>
      </c>
      <c r="F2564" t="s">
        <v>20</v>
      </c>
      <c r="G2564" t="s">
        <v>5466</v>
      </c>
      <c r="H2564" t="str">
        <f>"00841872"</f>
        <v>00841872</v>
      </c>
      <c r="I2564">
        <v>32</v>
      </c>
      <c r="J2564">
        <v>0</v>
      </c>
      <c r="M2564">
        <v>4</v>
      </c>
      <c r="N2564">
        <v>4</v>
      </c>
      <c r="O2564">
        <v>0</v>
      </c>
      <c r="P2564">
        <v>0</v>
      </c>
      <c r="Q2564">
        <v>36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9</v>
      </c>
      <c r="AB2564">
        <v>0</v>
      </c>
      <c r="AD2564">
        <v>45</v>
      </c>
    </row>
    <row r="2565" spans="1:30" x14ac:dyDescent="0.3">
      <c r="A2565" s="4">
        <v>2586</v>
      </c>
      <c r="B2565" s="5">
        <v>2558</v>
      </c>
      <c r="C2565">
        <v>3810</v>
      </c>
      <c r="D2565" t="s">
        <v>5467</v>
      </c>
      <c r="E2565" t="s">
        <v>964</v>
      </c>
      <c r="F2565" t="s">
        <v>136</v>
      </c>
      <c r="G2565" t="s">
        <v>5468</v>
      </c>
      <c r="H2565" t="str">
        <f>"00515401"</f>
        <v>00515401</v>
      </c>
      <c r="I2565">
        <v>30</v>
      </c>
      <c r="J2565">
        <v>0</v>
      </c>
      <c r="N2565">
        <v>0</v>
      </c>
      <c r="O2565">
        <v>4</v>
      </c>
      <c r="P2565">
        <v>0</v>
      </c>
      <c r="Q2565">
        <v>34</v>
      </c>
      <c r="R2565">
        <v>5</v>
      </c>
      <c r="S2565">
        <v>5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5</v>
      </c>
      <c r="AA2565">
        <v>6</v>
      </c>
      <c r="AB2565">
        <v>0</v>
      </c>
      <c r="AD2565">
        <v>45</v>
      </c>
    </row>
    <row r="2566" spans="1:30" x14ac:dyDescent="0.3">
      <c r="A2566" s="4">
        <v>2587</v>
      </c>
      <c r="B2566" s="5">
        <v>2559</v>
      </c>
      <c r="C2566">
        <v>4434</v>
      </c>
      <c r="D2566" t="s">
        <v>5469</v>
      </c>
      <c r="E2566" t="s">
        <v>5470</v>
      </c>
      <c r="F2566" t="s">
        <v>17</v>
      </c>
      <c r="G2566" t="s">
        <v>5471</v>
      </c>
      <c r="H2566" t="str">
        <f>"00862507"</f>
        <v>00862507</v>
      </c>
      <c r="I2566">
        <v>40</v>
      </c>
      <c r="J2566">
        <v>0</v>
      </c>
      <c r="N2566">
        <v>0</v>
      </c>
      <c r="O2566">
        <v>0</v>
      </c>
      <c r="P2566">
        <v>2</v>
      </c>
      <c r="Q2566">
        <v>42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3</v>
      </c>
      <c r="AB2566">
        <v>0</v>
      </c>
      <c r="AD2566">
        <v>45</v>
      </c>
    </row>
    <row r="2567" spans="1:30" x14ac:dyDescent="0.3">
      <c r="A2567" s="4">
        <v>2588</v>
      </c>
      <c r="B2567" s="5">
        <v>2560</v>
      </c>
      <c r="C2567">
        <v>3499</v>
      </c>
      <c r="D2567" t="s">
        <v>5472</v>
      </c>
      <c r="E2567" t="s">
        <v>104</v>
      </c>
      <c r="F2567" t="s">
        <v>328</v>
      </c>
      <c r="G2567" t="s">
        <v>5473</v>
      </c>
      <c r="H2567" t="str">
        <f>"201511015908"</f>
        <v>201511015908</v>
      </c>
      <c r="I2567">
        <v>28</v>
      </c>
      <c r="J2567">
        <v>10</v>
      </c>
      <c r="N2567">
        <v>0</v>
      </c>
      <c r="O2567">
        <v>4</v>
      </c>
      <c r="P2567">
        <v>0</v>
      </c>
      <c r="Q2567">
        <v>42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3</v>
      </c>
      <c r="AB2567">
        <v>0</v>
      </c>
      <c r="AD2567">
        <v>45</v>
      </c>
    </row>
    <row r="2568" spans="1:30" x14ac:dyDescent="0.3">
      <c r="A2568" s="4">
        <v>2589</v>
      </c>
      <c r="B2568" s="5">
        <v>2561</v>
      </c>
      <c r="C2568">
        <v>2385</v>
      </c>
      <c r="D2568" t="s">
        <v>5474</v>
      </c>
      <c r="E2568" t="s">
        <v>54</v>
      </c>
      <c r="F2568" t="s">
        <v>68</v>
      </c>
      <c r="G2568" t="s">
        <v>5475</v>
      </c>
      <c r="H2568" t="str">
        <f>"00531607"</f>
        <v>00531607</v>
      </c>
      <c r="I2568">
        <v>36</v>
      </c>
      <c r="J2568">
        <v>0</v>
      </c>
      <c r="M2568">
        <v>4</v>
      </c>
      <c r="N2568">
        <v>4</v>
      </c>
      <c r="O2568">
        <v>4</v>
      </c>
      <c r="P2568">
        <v>0</v>
      </c>
      <c r="Q2568">
        <v>44</v>
      </c>
      <c r="R2568">
        <v>1</v>
      </c>
      <c r="S2568">
        <v>1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1</v>
      </c>
      <c r="AA2568">
        <v>0</v>
      </c>
      <c r="AB2568">
        <v>0</v>
      </c>
      <c r="AD2568">
        <v>45</v>
      </c>
    </row>
    <row r="2569" spans="1:30" x14ac:dyDescent="0.3">
      <c r="A2569" s="4">
        <v>2590</v>
      </c>
      <c r="B2569" s="5">
        <v>2562</v>
      </c>
      <c r="C2569">
        <v>2744</v>
      </c>
      <c r="D2569" t="s">
        <v>5476</v>
      </c>
      <c r="E2569" t="s">
        <v>5477</v>
      </c>
      <c r="F2569" t="s">
        <v>68</v>
      </c>
      <c r="G2569" t="s">
        <v>5478</v>
      </c>
      <c r="H2569" t="str">
        <f>"00530429"</f>
        <v>00530429</v>
      </c>
      <c r="I2569">
        <v>0</v>
      </c>
      <c r="J2569">
        <v>0</v>
      </c>
      <c r="M2569">
        <v>4</v>
      </c>
      <c r="N2569">
        <v>4</v>
      </c>
      <c r="O2569">
        <v>0</v>
      </c>
      <c r="P2569">
        <v>0</v>
      </c>
      <c r="Q2569">
        <v>4</v>
      </c>
      <c r="R2569">
        <v>31</v>
      </c>
      <c r="S2569">
        <v>31</v>
      </c>
      <c r="T2569">
        <v>0</v>
      </c>
      <c r="U2569">
        <v>0</v>
      </c>
      <c r="V2569">
        <v>7</v>
      </c>
      <c r="W2569">
        <v>10</v>
      </c>
      <c r="X2569">
        <v>0</v>
      </c>
      <c r="Y2569">
        <v>0</v>
      </c>
      <c r="Z2569">
        <v>41</v>
      </c>
      <c r="AA2569">
        <v>0</v>
      </c>
      <c r="AB2569">
        <v>0</v>
      </c>
      <c r="AD2569">
        <v>45</v>
      </c>
    </row>
    <row r="2570" spans="1:30" x14ac:dyDescent="0.3">
      <c r="A2570" s="4">
        <v>2591</v>
      </c>
      <c r="B2570" s="5">
        <v>2563</v>
      </c>
      <c r="C2570">
        <v>1868</v>
      </c>
      <c r="D2570" t="s">
        <v>5479</v>
      </c>
      <c r="E2570" t="s">
        <v>29</v>
      </c>
      <c r="F2570" t="s">
        <v>20</v>
      </c>
      <c r="G2570" t="s">
        <v>5480</v>
      </c>
      <c r="H2570" t="str">
        <f>"00518158"</f>
        <v>00518158</v>
      </c>
      <c r="I2570">
        <v>0</v>
      </c>
      <c r="J2570">
        <v>0</v>
      </c>
      <c r="N2570">
        <v>0</v>
      </c>
      <c r="O2570">
        <v>4</v>
      </c>
      <c r="P2570">
        <v>0</v>
      </c>
      <c r="Q2570">
        <v>4</v>
      </c>
      <c r="R2570">
        <v>41</v>
      </c>
      <c r="S2570">
        <v>41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41</v>
      </c>
      <c r="AA2570">
        <v>0</v>
      </c>
      <c r="AB2570">
        <v>0</v>
      </c>
      <c r="AD2570">
        <v>45</v>
      </c>
    </row>
    <row r="2571" spans="1:30" x14ac:dyDescent="0.3">
      <c r="A2571" s="4">
        <v>2592</v>
      </c>
      <c r="B2571" s="5">
        <v>2564</v>
      </c>
      <c r="C2571">
        <v>4658</v>
      </c>
      <c r="D2571" t="s">
        <v>1101</v>
      </c>
      <c r="E2571" t="s">
        <v>5481</v>
      </c>
      <c r="F2571" t="s">
        <v>5060</v>
      </c>
      <c r="G2571" t="s">
        <v>5482</v>
      </c>
      <c r="H2571" t="str">
        <f>"200803000690"</f>
        <v>200803000690</v>
      </c>
      <c r="I2571">
        <v>24.92</v>
      </c>
      <c r="J2571">
        <v>10</v>
      </c>
      <c r="M2571">
        <v>4</v>
      </c>
      <c r="N2571">
        <v>4</v>
      </c>
      <c r="O2571">
        <v>4</v>
      </c>
      <c r="P2571">
        <v>2</v>
      </c>
      <c r="Q2571">
        <v>44.92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D2571">
        <v>44.92</v>
      </c>
    </row>
    <row r="2572" spans="1:30" x14ac:dyDescent="0.3">
      <c r="A2572" s="4">
        <v>2593</v>
      </c>
      <c r="B2572" s="5">
        <v>2565</v>
      </c>
      <c r="C2572">
        <v>3989</v>
      </c>
      <c r="D2572" t="s">
        <v>5483</v>
      </c>
      <c r="E2572" t="s">
        <v>54</v>
      </c>
      <c r="F2572" t="s">
        <v>20</v>
      </c>
      <c r="G2572" t="s">
        <v>5484</v>
      </c>
      <c r="H2572" t="str">
        <f>"00560163"</f>
        <v>00560163</v>
      </c>
      <c r="I2572">
        <v>28.8</v>
      </c>
      <c r="J2572">
        <v>0</v>
      </c>
      <c r="M2572">
        <v>4</v>
      </c>
      <c r="N2572">
        <v>4</v>
      </c>
      <c r="O2572">
        <v>4</v>
      </c>
      <c r="P2572">
        <v>2</v>
      </c>
      <c r="Q2572">
        <v>38.799999999999997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6</v>
      </c>
      <c r="AB2572">
        <v>0</v>
      </c>
      <c r="AD2572">
        <v>44.8</v>
      </c>
    </row>
    <row r="2573" spans="1:30" x14ac:dyDescent="0.3">
      <c r="A2573" s="4">
        <v>2594</v>
      </c>
      <c r="B2573" s="5">
        <v>2566</v>
      </c>
      <c r="C2573">
        <v>4095</v>
      </c>
      <c r="D2573" t="s">
        <v>5485</v>
      </c>
      <c r="E2573" t="s">
        <v>268</v>
      </c>
      <c r="F2573" t="s">
        <v>17</v>
      </c>
      <c r="G2573" t="s">
        <v>5486</v>
      </c>
      <c r="H2573" t="str">
        <f>"00531846"</f>
        <v>00531846</v>
      </c>
      <c r="I2573">
        <v>25.8</v>
      </c>
      <c r="J2573">
        <v>10</v>
      </c>
      <c r="N2573">
        <v>0</v>
      </c>
      <c r="O2573">
        <v>4</v>
      </c>
      <c r="P2573">
        <v>2</v>
      </c>
      <c r="Q2573">
        <v>41.8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3</v>
      </c>
      <c r="AB2573">
        <v>0</v>
      </c>
      <c r="AD2573">
        <v>44.8</v>
      </c>
    </row>
    <row r="2574" spans="1:30" x14ac:dyDescent="0.3">
      <c r="A2574" s="4">
        <v>2595</v>
      </c>
      <c r="B2574" s="5">
        <v>2567</v>
      </c>
      <c r="C2574">
        <v>2273</v>
      </c>
      <c r="D2574" t="s">
        <v>5487</v>
      </c>
      <c r="E2574" t="s">
        <v>2157</v>
      </c>
      <c r="F2574" t="s">
        <v>5304</v>
      </c>
      <c r="G2574" t="s">
        <v>5488</v>
      </c>
      <c r="H2574" t="str">
        <f>"00515149"</f>
        <v>00515149</v>
      </c>
      <c r="I2574">
        <v>28.8</v>
      </c>
      <c r="J2574">
        <v>0</v>
      </c>
      <c r="M2574">
        <v>4</v>
      </c>
      <c r="N2574">
        <v>4</v>
      </c>
      <c r="O2574">
        <v>4</v>
      </c>
      <c r="P2574">
        <v>0</v>
      </c>
      <c r="Q2574">
        <v>36.799999999999997</v>
      </c>
      <c r="R2574">
        <v>5</v>
      </c>
      <c r="S2574">
        <v>5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5</v>
      </c>
      <c r="AA2574">
        <v>3</v>
      </c>
      <c r="AB2574">
        <v>0</v>
      </c>
      <c r="AD2574">
        <v>44.8</v>
      </c>
    </row>
    <row r="2575" spans="1:30" x14ac:dyDescent="0.3">
      <c r="A2575" s="4">
        <v>2596</v>
      </c>
      <c r="B2575" s="5">
        <v>2568</v>
      </c>
      <c r="C2575">
        <v>298</v>
      </c>
      <c r="D2575" t="s">
        <v>5489</v>
      </c>
      <c r="E2575" t="s">
        <v>132</v>
      </c>
      <c r="F2575" t="s">
        <v>20</v>
      </c>
      <c r="G2575" t="s">
        <v>5490</v>
      </c>
      <c r="H2575" t="str">
        <f>"00765743"</f>
        <v>00765743</v>
      </c>
      <c r="I2575">
        <v>36.799999999999997</v>
      </c>
      <c r="J2575">
        <v>0</v>
      </c>
      <c r="M2575">
        <v>4</v>
      </c>
      <c r="N2575">
        <v>4</v>
      </c>
      <c r="O2575">
        <v>4</v>
      </c>
      <c r="P2575">
        <v>0</v>
      </c>
      <c r="Q2575">
        <v>44.8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D2575">
        <v>44.8</v>
      </c>
    </row>
    <row r="2576" spans="1:30" x14ac:dyDescent="0.3">
      <c r="A2576" s="4">
        <v>2597</v>
      </c>
      <c r="B2576" s="5">
        <v>2569</v>
      </c>
      <c r="C2576">
        <v>399</v>
      </c>
      <c r="D2576" t="s">
        <v>5491</v>
      </c>
      <c r="E2576" t="s">
        <v>29</v>
      </c>
      <c r="F2576" t="s">
        <v>243</v>
      </c>
      <c r="G2576" t="s">
        <v>5492</v>
      </c>
      <c r="H2576" t="str">
        <f>"00854455"</f>
        <v>00854455</v>
      </c>
      <c r="I2576">
        <v>36.799999999999997</v>
      </c>
      <c r="J2576">
        <v>0</v>
      </c>
      <c r="M2576">
        <v>4</v>
      </c>
      <c r="N2576">
        <v>4</v>
      </c>
      <c r="O2576">
        <v>4</v>
      </c>
      <c r="P2576">
        <v>0</v>
      </c>
      <c r="Q2576">
        <v>44.8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D2576">
        <v>44.8</v>
      </c>
    </row>
    <row r="2577" spans="1:30" x14ac:dyDescent="0.3">
      <c r="A2577" s="4">
        <v>2598</v>
      </c>
      <c r="B2577" s="5">
        <v>2570</v>
      </c>
      <c r="C2577">
        <v>3364</v>
      </c>
      <c r="D2577" t="s">
        <v>5493</v>
      </c>
      <c r="E2577" t="s">
        <v>143</v>
      </c>
      <c r="F2577" t="s">
        <v>230</v>
      </c>
      <c r="G2577" t="s">
        <v>5494</v>
      </c>
      <c r="H2577" t="str">
        <f>"00856877"</f>
        <v>00856877</v>
      </c>
      <c r="I2577">
        <v>28.8</v>
      </c>
      <c r="J2577">
        <v>10</v>
      </c>
      <c r="N2577">
        <v>0</v>
      </c>
      <c r="O2577">
        <v>4</v>
      </c>
      <c r="P2577">
        <v>2</v>
      </c>
      <c r="Q2577">
        <v>44.8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D2577">
        <v>44.8</v>
      </c>
    </row>
    <row r="2578" spans="1:30" x14ac:dyDescent="0.3">
      <c r="A2578" s="4">
        <v>2599</v>
      </c>
      <c r="B2578" s="5">
        <v>2571</v>
      </c>
      <c r="C2578">
        <v>3092</v>
      </c>
      <c r="D2578" t="s">
        <v>5495</v>
      </c>
      <c r="E2578" t="s">
        <v>4695</v>
      </c>
      <c r="F2578" t="s">
        <v>972</v>
      </c>
      <c r="G2578" t="s">
        <v>5496</v>
      </c>
      <c r="H2578" t="str">
        <f>"00523412"</f>
        <v>00523412</v>
      </c>
      <c r="I2578">
        <v>21.68</v>
      </c>
      <c r="J2578">
        <v>10</v>
      </c>
      <c r="N2578">
        <v>0</v>
      </c>
      <c r="O2578">
        <v>4</v>
      </c>
      <c r="P2578">
        <v>2</v>
      </c>
      <c r="Q2578">
        <v>37.68</v>
      </c>
      <c r="R2578">
        <v>7</v>
      </c>
      <c r="S2578">
        <v>7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7</v>
      </c>
      <c r="AA2578">
        <v>0</v>
      </c>
      <c r="AB2578">
        <v>0</v>
      </c>
      <c r="AD2578">
        <v>44.68</v>
      </c>
    </row>
    <row r="2579" spans="1:30" x14ac:dyDescent="0.3">
      <c r="A2579" s="4">
        <v>2600</v>
      </c>
      <c r="B2579" s="5">
        <v>2572</v>
      </c>
      <c r="C2579">
        <v>4063</v>
      </c>
      <c r="D2579" t="s">
        <v>5497</v>
      </c>
      <c r="E2579" t="s">
        <v>5498</v>
      </c>
      <c r="F2579" t="s">
        <v>167</v>
      </c>
      <c r="G2579" t="s">
        <v>5499</v>
      </c>
      <c r="H2579" t="str">
        <f>"00663740"</f>
        <v>00663740</v>
      </c>
      <c r="I2579">
        <v>37.6</v>
      </c>
      <c r="J2579">
        <v>0</v>
      </c>
      <c r="N2579">
        <v>0</v>
      </c>
      <c r="O2579">
        <v>4</v>
      </c>
      <c r="P2579">
        <v>0</v>
      </c>
      <c r="Q2579">
        <v>41.6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3</v>
      </c>
      <c r="AB2579">
        <v>0</v>
      </c>
      <c r="AD2579">
        <v>44.6</v>
      </c>
    </row>
    <row r="2580" spans="1:30" x14ac:dyDescent="0.3">
      <c r="A2580" s="4">
        <v>2601</v>
      </c>
      <c r="B2580" s="5">
        <v>2573</v>
      </c>
      <c r="C2580">
        <v>4205</v>
      </c>
      <c r="D2580" t="s">
        <v>5500</v>
      </c>
      <c r="E2580" t="s">
        <v>22</v>
      </c>
      <c r="F2580" t="s">
        <v>416</v>
      </c>
      <c r="G2580" t="s">
        <v>5501</v>
      </c>
      <c r="H2580" t="str">
        <f>"00531441"</f>
        <v>00531441</v>
      </c>
      <c r="I2580">
        <v>21.6</v>
      </c>
      <c r="J2580">
        <v>0</v>
      </c>
      <c r="N2580">
        <v>0</v>
      </c>
      <c r="O2580">
        <v>4</v>
      </c>
      <c r="P2580">
        <v>2</v>
      </c>
      <c r="Q2580">
        <v>27.6</v>
      </c>
      <c r="R2580">
        <v>14</v>
      </c>
      <c r="S2580">
        <v>14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14</v>
      </c>
      <c r="AA2580">
        <v>3</v>
      </c>
      <c r="AB2580">
        <v>0</v>
      </c>
      <c r="AD2580">
        <v>44.6</v>
      </c>
    </row>
    <row r="2581" spans="1:30" x14ac:dyDescent="0.3">
      <c r="A2581" s="4">
        <v>2602</v>
      </c>
      <c r="B2581" s="5">
        <v>2574</v>
      </c>
      <c r="C2581">
        <v>2680</v>
      </c>
      <c r="D2581" t="s">
        <v>5502</v>
      </c>
      <c r="E2581" t="s">
        <v>41</v>
      </c>
      <c r="F2581" t="s">
        <v>190</v>
      </c>
      <c r="G2581" t="s">
        <v>5503</v>
      </c>
      <c r="H2581" t="str">
        <f>"00859912"</f>
        <v>00859912</v>
      </c>
      <c r="I2581">
        <v>35.56</v>
      </c>
      <c r="J2581">
        <v>0</v>
      </c>
      <c r="N2581">
        <v>0</v>
      </c>
      <c r="O2581">
        <v>0</v>
      </c>
      <c r="P2581">
        <v>0</v>
      </c>
      <c r="Q2581">
        <v>35.56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9</v>
      </c>
      <c r="AB2581">
        <v>0</v>
      </c>
      <c r="AD2581">
        <v>44.56</v>
      </c>
    </row>
    <row r="2582" spans="1:30" x14ac:dyDescent="0.3">
      <c r="A2582" s="4">
        <v>2603</v>
      </c>
      <c r="B2582" s="5">
        <v>2575</v>
      </c>
      <c r="C2582">
        <v>2061</v>
      </c>
      <c r="D2582" t="s">
        <v>5504</v>
      </c>
      <c r="E2582" t="s">
        <v>5505</v>
      </c>
      <c r="F2582" t="s">
        <v>5060</v>
      </c>
      <c r="G2582" t="s">
        <v>5506</v>
      </c>
      <c r="H2582" t="str">
        <f>"00863561"</f>
        <v>00863561</v>
      </c>
      <c r="I2582">
        <v>34.56</v>
      </c>
      <c r="J2582">
        <v>0</v>
      </c>
      <c r="N2582">
        <v>0</v>
      </c>
      <c r="O2582">
        <v>4</v>
      </c>
      <c r="P2582">
        <v>0</v>
      </c>
      <c r="Q2582">
        <v>38.56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6</v>
      </c>
      <c r="AB2582">
        <v>0</v>
      </c>
      <c r="AD2582">
        <v>44.56</v>
      </c>
    </row>
    <row r="2583" spans="1:30" x14ac:dyDescent="0.3">
      <c r="A2583" s="4">
        <v>2604</v>
      </c>
      <c r="B2583" s="5">
        <v>2576</v>
      </c>
      <c r="C2583">
        <v>3037</v>
      </c>
      <c r="D2583" t="s">
        <v>3948</v>
      </c>
      <c r="E2583" t="s">
        <v>286</v>
      </c>
      <c r="F2583" t="s">
        <v>91</v>
      </c>
      <c r="G2583" t="s">
        <v>5507</v>
      </c>
      <c r="H2583" t="str">
        <f>"00539059"</f>
        <v>00539059</v>
      </c>
      <c r="I2583">
        <v>28.52</v>
      </c>
      <c r="J2583">
        <v>10</v>
      </c>
      <c r="N2583">
        <v>0</v>
      </c>
      <c r="O2583">
        <v>4</v>
      </c>
      <c r="P2583">
        <v>2</v>
      </c>
      <c r="Q2583">
        <v>44.52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D2583">
        <v>44.52</v>
      </c>
    </row>
    <row r="2584" spans="1:30" x14ac:dyDescent="0.3">
      <c r="A2584" s="4">
        <v>2605</v>
      </c>
      <c r="B2584" s="5">
        <v>2577</v>
      </c>
      <c r="C2584">
        <v>1032</v>
      </c>
      <c r="D2584" t="s">
        <v>2064</v>
      </c>
      <c r="E2584" t="s">
        <v>255</v>
      </c>
      <c r="F2584" t="s">
        <v>38</v>
      </c>
      <c r="G2584" t="s">
        <v>5508</v>
      </c>
      <c r="H2584" t="str">
        <f>"00697456"</f>
        <v>00697456</v>
      </c>
      <c r="I2584">
        <v>38.4</v>
      </c>
      <c r="J2584">
        <v>0</v>
      </c>
      <c r="N2584">
        <v>0</v>
      </c>
      <c r="O2584">
        <v>0</v>
      </c>
      <c r="P2584">
        <v>0</v>
      </c>
      <c r="Q2584">
        <v>38.4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6</v>
      </c>
      <c r="AB2584">
        <v>0</v>
      </c>
      <c r="AD2584">
        <v>44.4</v>
      </c>
    </row>
    <row r="2585" spans="1:30" x14ac:dyDescent="0.3">
      <c r="A2585" s="4">
        <v>2606</v>
      </c>
      <c r="B2585" s="5">
        <v>2578</v>
      </c>
      <c r="C2585">
        <v>2175</v>
      </c>
      <c r="D2585" t="s">
        <v>5509</v>
      </c>
      <c r="E2585" t="s">
        <v>29</v>
      </c>
      <c r="F2585" t="s">
        <v>227</v>
      </c>
      <c r="G2585" t="s">
        <v>5510</v>
      </c>
      <c r="H2585" t="str">
        <f>"00159797"</f>
        <v>00159797</v>
      </c>
      <c r="I2585">
        <v>14.4</v>
      </c>
      <c r="J2585">
        <v>0</v>
      </c>
      <c r="N2585">
        <v>0</v>
      </c>
      <c r="O2585">
        <v>4</v>
      </c>
      <c r="P2585">
        <v>0</v>
      </c>
      <c r="Q2585">
        <v>18.399999999999999</v>
      </c>
      <c r="R2585">
        <v>20</v>
      </c>
      <c r="S2585">
        <v>20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20</v>
      </c>
      <c r="AA2585">
        <v>6</v>
      </c>
      <c r="AB2585">
        <v>0</v>
      </c>
      <c r="AD2585">
        <v>44.4</v>
      </c>
    </row>
    <row r="2586" spans="1:30" x14ac:dyDescent="0.3">
      <c r="A2586" s="4">
        <v>2607</v>
      </c>
      <c r="B2586" s="5">
        <v>2579</v>
      </c>
      <c r="C2586">
        <v>1597</v>
      </c>
      <c r="D2586" t="s">
        <v>4607</v>
      </c>
      <c r="E2586" t="s">
        <v>1280</v>
      </c>
      <c r="F2586" t="s">
        <v>30</v>
      </c>
      <c r="G2586" t="s">
        <v>5511</v>
      </c>
      <c r="H2586" t="str">
        <f>"00530757"</f>
        <v>00530757</v>
      </c>
      <c r="I2586">
        <v>14.4</v>
      </c>
      <c r="J2586">
        <v>10</v>
      </c>
      <c r="N2586">
        <v>0</v>
      </c>
      <c r="O2586">
        <v>4</v>
      </c>
      <c r="P2586">
        <v>0</v>
      </c>
      <c r="Q2586">
        <v>28.4</v>
      </c>
      <c r="R2586">
        <v>13</v>
      </c>
      <c r="S2586">
        <v>13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13</v>
      </c>
      <c r="AA2586">
        <v>3</v>
      </c>
      <c r="AB2586">
        <v>0</v>
      </c>
      <c r="AD2586">
        <v>44.4</v>
      </c>
    </row>
    <row r="2587" spans="1:30" x14ac:dyDescent="0.3">
      <c r="A2587" s="4">
        <v>2608</v>
      </c>
      <c r="B2587" s="5">
        <v>2580</v>
      </c>
      <c r="C2587">
        <v>4359</v>
      </c>
      <c r="D2587" t="s">
        <v>5512</v>
      </c>
      <c r="E2587" t="s">
        <v>132</v>
      </c>
      <c r="F2587" t="s">
        <v>238</v>
      </c>
      <c r="G2587" t="s">
        <v>5513</v>
      </c>
      <c r="H2587" t="str">
        <f>"00865106"</f>
        <v>00865106</v>
      </c>
      <c r="I2587">
        <v>34.4</v>
      </c>
      <c r="J2587">
        <v>10</v>
      </c>
      <c r="N2587">
        <v>0</v>
      </c>
      <c r="O2587">
        <v>0</v>
      </c>
      <c r="P2587">
        <v>0</v>
      </c>
      <c r="Q2587">
        <v>44.4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D2587">
        <v>44.4</v>
      </c>
    </row>
    <row r="2588" spans="1:30" x14ac:dyDescent="0.3">
      <c r="A2588" s="4">
        <v>2609</v>
      </c>
      <c r="B2588" s="5">
        <v>2581</v>
      </c>
      <c r="C2588">
        <v>493</v>
      </c>
      <c r="D2588" t="s">
        <v>3340</v>
      </c>
      <c r="E2588" t="s">
        <v>5237</v>
      </c>
      <c r="F2588" t="s">
        <v>782</v>
      </c>
      <c r="G2588" t="s">
        <v>5514</v>
      </c>
      <c r="H2588" t="str">
        <f>"200802011309"</f>
        <v>200802011309</v>
      </c>
      <c r="I2588">
        <v>34.4</v>
      </c>
      <c r="J2588">
        <v>0</v>
      </c>
      <c r="M2588">
        <v>4</v>
      </c>
      <c r="N2588">
        <v>4</v>
      </c>
      <c r="O2588">
        <v>4</v>
      </c>
      <c r="P2588">
        <v>2</v>
      </c>
      <c r="Q2588">
        <v>44.4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D2588">
        <v>44.4</v>
      </c>
    </row>
    <row r="2589" spans="1:30" x14ac:dyDescent="0.3">
      <c r="A2589" s="4">
        <v>2610</v>
      </c>
      <c r="B2589" s="5">
        <v>2582</v>
      </c>
      <c r="C2589">
        <v>2903</v>
      </c>
      <c r="D2589" t="s">
        <v>5515</v>
      </c>
      <c r="E2589" t="s">
        <v>188</v>
      </c>
      <c r="F2589" t="s">
        <v>68</v>
      </c>
      <c r="G2589" t="s">
        <v>5516</v>
      </c>
      <c r="H2589" t="str">
        <f>"201511015502"</f>
        <v>201511015502</v>
      </c>
      <c r="I2589">
        <v>28.36</v>
      </c>
      <c r="J2589">
        <v>10</v>
      </c>
      <c r="N2589">
        <v>0</v>
      </c>
      <c r="O2589">
        <v>4</v>
      </c>
      <c r="P2589">
        <v>2</v>
      </c>
      <c r="Q2589">
        <v>44.36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D2589">
        <v>44.36</v>
      </c>
    </row>
    <row r="2590" spans="1:30" x14ac:dyDescent="0.3">
      <c r="A2590" s="4">
        <v>2611</v>
      </c>
      <c r="B2590" s="5">
        <v>2583</v>
      </c>
      <c r="C2590">
        <v>1936</v>
      </c>
      <c r="D2590" t="s">
        <v>5517</v>
      </c>
      <c r="E2590" t="s">
        <v>29</v>
      </c>
      <c r="F2590" t="s">
        <v>20</v>
      </c>
      <c r="G2590" t="s">
        <v>5518</v>
      </c>
      <c r="H2590" t="str">
        <f>"00798931"</f>
        <v>00798931</v>
      </c>
      <c r="I2590">
        <v>28.36</v>
      </c>
      <c r="J2590">
        <v>0</v>
      </c>
      <c r="L2590">
        <v>6</v>
      </c>
      <c r="M2590">
        <v>4</v>
      </c>
      <c r="N2590">
        <v>10</v>
      </c>
      <c r="O2590">
        <v>4</v>
      </c>
      <c r="P2590">
        <v>2</v>
      </c>
      <c r="Q2590">
        <v>44.36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D2590">
        <v>44.36</v>
      </c>
    </row>
    <row r="2591" spans="1:30" x14ac:dyDescent="0.3">
      <c r="A2591" s="4">
        <v>2612</v>
      </c>
      <c r="B2591" s="5">
        <v>2584</v>
      </c>
      <c r="C2591">
        <v>1494</v>
      </c>
      <c r="D2591" t="s">
        <v>5519</v>
      </c>
      <c r="E2591" t="s">
        <v>54</v>
      </c>
      <c r="F2591" t="s">
        <v>158</v>
      </c>
      <c r="G2591" t="s">
        <v>5520</v>
      </c>
      <c r="H2591" t="str">
        <f>"00433063"</f>
        <v>00433063</v>
      </c>
      <c r="I2591">
        <v>28.32</v>
      </c>
      <c r="J2591">
        <v>0</v>
      </c>
      <c r="L2591">
        <v>6</v>
      </c>
      <c r="N2591">
        <v>6</v>
      </c>
      <c r="O2591">
        <v>4</v>
      </c>
      <c r="P2591">
        <v>0</v>
      </c>
      <c r="Q2591">
        <v>38.32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6</v>
      </c>
      <c r="AB2591">
        <v>0</v>
      </c>
      <c r="AD2591">
        <v>44.32</v>
      </c>
    </row>
    <row r="2592" spans="1:30" x14ac:dyDescent="0.3">
      <c r="A2592" s="4">
        <v>2613</v>
      </c>
      <c r="B2592" s="5">
        <v>2585</v>
      </c>
      <c r="C2592">
        <v>3435</v>
      </c>
      <c r="D2592" t="s">
        <v>2162</v>
      </c>
      <c r="E2592" t="s">
        <v>29</v>
      </c>
      <c r="F2592" t="s">
        <v>81</v>
      </c>
      <c r="G2592" t="s">
        <v>5521</v>
      </c>
      <c r="H2592" t="str">
        <f>"00525384"</f>
        <v>00525384</v>
      </c>
      <c r="I2592">
        <v>18.28</v>
      </c>
      <c r="J2592">
        <v>0</v>
      </c>
      <c r="N2592">
        <v>0</v>
      </c>
      <c r="O2592">
        <v>4</v>
      </c>
      <c r="P2592">
        <v>0</v>
      </c>
      <c r="Q2592">
        <v>22.28</v>
      </c>
      <c r="R2592">
        <v>16</v>
      </c>
      <c r="S2592">
        <v>16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16</v>
      </c>
      <c r="AA2592">
        <v>6</v>
      </c>
      <c r="AB2592">
        <v>0</v>
      </c>
      <c r="AD2592">
        <v>44.28</v>
      </c>
    </row>
    <row r="2593" spans="1:30" x14ac:dyDescent="0.3">
      <c r="A2593" s="4">
        <v>2614</v>
      </c>
      <c r="B2593" s="5">
        <v>2586</v>
      </c>
      <c r="C2593">
        <v>3191</v>
      </c>
      <c r="D2593" t="s">
        <v>5522</v>
      </c>
      <c r="E2593" t="s">
        <v>875</v>
      </c>
      <c r="F2593" t="s">
        <v>20</v>
      </c>
      <c r="G2593" t="s">
        <v>5523</v>
      </c>
      <c r="H2593" t="str">
        <f>"201402012510"</f>
        <v>201402012510</v>
      </c>
      <c r="I2593">
        <v>12.24</v>
      </c>
      <c r="J2593">
        <v>0</v>
      </c>
      <c r="N2593">
        <v>0</v>
      </c>
      <c r="O2593">
        <v>0</v>
      </c>
      <c r="P2593">
        <v>0</v>
      </c>
      <c r="Q2593">
        <v>12.24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32</v>
      </c>
      <c r="AD2593">
        <v>44.24</v>
      </c>
    </row>
    <row r="2594" spans="1:30" x14ac:dyDescent="0.3">
      <c r="A2594" s="4">
        <v>2615</v>
      </c>
      <c r="B2594" s="5">
        <v>2587</v>
      </c>
      <c r="C2594">
        <v>966</v>
      </c>
      <c r="D2594" t="s">
        <v>5524</v>
      </c>
      <c r="E2594" t="s">
        <v>908</v>
      </c>
      <c r="F2594" t="s">
        <v>34</v>
      </c>
      <c r="G2594" t="s">
        <v>5525</v>
      </c>
      <c r="H2594" t="str">
        <f>"00858487"</f>
        <v>00858487</v>
      </c>
      <c r="I2594">
        <v>31.2</v>
      </c>
      <c r="J2594">
        <v>10</v>
      </c>
      <c r="N2594">
        <v>0</v>
      </c>
      <c r="O2594">
        <v>0</v>
      </c>
      <c r="P2594">
        <v>0</v>
      </c>
      <c r="Q2594">
        <v>41.2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3</v>
      </c>
      <c r="AB2594">
        <v>0</v>
      </c>
      <c r="AD2594">
        <v>44.2</v>
      </c>
    </row>
    <row r="2595" spans="1:30" x14ac:dyDescent="0.3">
      <c r="A2595" s="4">
        <v>2616</v>
      </c>
      <c r="B2595" s="5">
        <v>2588</v>
      </c>
      <c r="C2595">
        <v>3822</v>
      </c>
      <c r="D2595" t="s">
        <v>421</v>
      </c>
      <c r="E2595" t="s">
        <v>5526</v>
      </c>
      <c r="F2595" t="s">
        <v>79</v>
      </c>
      <c r="G2595" t="s">
        <v>5527</v>
      </c>
      <c r="H2595" t="str">
        <f>"201507003107"</f>
        <v>201507003107</v>
      </c>
      <c r="I2595">
        <v>7.2</v>
      </c>
      <c r="J2595">
        <v>10</v>
      </c>
      <c r="M2595">
        <v>4</v>
      </c>
      <c r="N2595">
        <v>4</v>
      </c>
      <c r="O2595">
        <v>4</v>
      </c>
      <c r="P2595">
        <v>2</v>
      </c>
      <c r="Q2595">
        <v>27.2</v>
      </c>
      <c r="R2595">
        <v>14</v>
      </c>
      <c r="S2595">
        <v>14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14</v>
      </c>
      <c r="AA2595">
        <v>3</v>
      </c>
      <c r="AB2595">
        <v>0</v>
      </c>
      <c r="AD2595">
        <v>44.2</v>
      </c>
    </row>
    <row r="2596" spans="1:30" x14ac:dyDescent="0.3">
      <c r="A2596" s="4">
        <v>2617</v>
      </c>
      <c r="B2596" s="5">
        <v>2589</v>
      </c>
      <c r="C2596">
        <v>2056</v>
      </c>
      <c r="D2596" t="s">
        <v>5528</v>
      </c>
      <c r="E2596" t="s">
        <v>41</v>
      </c>
      <c r="F2596" t="s">
        <v>81</v>
      </c>
      <c r="G2596" t="s">
        <v>5529</v>
      </c>
      <c r="H2596" t="str">
        <f>"00678413"</f>
        <v>00678413</v>
      </c>
      <c r="I2596">
        <v>40</v>
      </c>
      <c r="J2596">
        <v>0</v>
      </c>
      <c r="N2596">
        <v>0</v>
      </c>
      <c r="O2596">
        <v>4</v>
      </c>
      <c r="P2596">
        <v>0</v>
      </c>
      <c r="Q2596">
        <v>44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D2596">
        <v>44</v>
      </c>
    </row>
    <row r="2597" spans="1:30" x14ac:dyDescent="0.3">
      <c r="A2597" s="4">
        <v>2618</v>
      </c>
      <c r="B2597" s="5">
        <v>2590</v>
      </c>
      <c r="C2597">
        <v>4737</v>
      </c>
      <c r="D2597" t="s">
        <v>5530</v>
      </c>
      <c r="E2597" t="s">
        <v>3736</v>
      </c>
      <c r="F2597" t="s">
        <v>3642</v>
      </c>
      <c r="G2597" t="s">
        <v>5531</v>
      </c>
      <c r="H2597" t="str">
        <f>"00641135"</f>
        <v>00641135</v>
      </c>
      <c r="I2597">
        <v>40</v>
      </c>
      <c r="J2597">
        <v>0</v>
      </c>
      <c r="M2597">
        <v>4</v>
      </c>
      <c r="N2597">
        <v>4</v>
      </c>
      <c r="O2597">
        <v>0</v>
      </c>
      <c r="P2597">
        <v>0</v>
      </c>
      <c r="Q2597">
        <v>44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D2597">
        <v>44</v>
      </c>
    </row>
    <row r="2598" spans="1:30" x14ac:dyDescent="0.3">
      <c r="A2598" s="4">
        <v>2619</v>
      </c>
      <c r="B2598" s="5">
        <v>2591</v>
      </c>
      <c r="C2598">
        <v>4801</v>
      </c>
      <c r="D2598" t="s">
        <v>5532</v>
      </c>
      <c r="E2598" t="s">
        <v>29</v>
      </c>
      <c r="F2598" t="s">
        <v>58</v>
      </c>
      <c r="G2598" t="s">
        <v>5533</v>
      </c>
      <c r="H2598" t="str">
        <f>"00866254"</f>
        <v>00866254</v>
      </c>
      <c r="I2598">
        <v>40</v>
      </c>
      <c r="J2598">
        <v>0</v>
      </c>
      <c r="N2598">
        <v>0</v>
      </c>
      <c r="O2598">
        <v>4</v>
      </c>
      <c r="P2598">
        <v>0</v>
      </c>
      <c r="Q2598">
        <v>44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D2598">
        <v>44</v>
      </c>
    </row>
    <row r="2599" spans="1:30" x14ac:dyDescent="0.3">
      <c r="A2599" s="4">
        <v>2620</v>
      </c>
      <c r="B2599" s="5">
        <v>2592</v>
      </c>
      <c r="C2599">
        <v>187</v>
      </c>
      <c r="D2599" t="s">
        <v>5534</v>
      </c>
      <c r="E2599" t="s">
        <v>161</v>
      </c>
      <c r="F2599" t="s">
        <v>227</v>
      </c>
      <c r="G2599" t="s">
        <v>5535</v>
      </c>
      <c r="H2599" t="str">
        <f>"201402011724"</f>
        <v>201402011724</v>
      </c>
      <c r="I2599">
        <v>40</v>
      </c>
      <c r="J2599">
        <v>0</v>
      </c>
      <c r="N2599">
        <v>0</v>
      </c>
      <c r="O2599">
        <v>4</v>
      </c>
      <c r="P2599">
        <v>0</v>
      </c>
      <c r="Q2599">
        <v>44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D2599">
        <v>44</v>
      </c>
    </row>
    <row r="2600" spans="1:30" x14ac:dyDescent="0.3">
      <c r="A2600" s="4">
        <v>2621</v>
      </c>
      <c r="B2600" s="5">
        <v>2593</v>
      </c>
      <c r="C2600">
        <v>2282</v>
      </c>
      <c r="D2600" t="s">
        <v>994</v>
      </c>
      <c r="E2600" t="s">
        <v>273</v>
      </c>
      <c r="F2600" t="s">
        <v>136</v>
      </c>
      <c r="G2600" t="s">
        <v>5536</v>
      </c>
      <c r="H2600" t="str">
        <f>"00862436"</f>
        <v>00862436</v>
      </c>
      <c r="I2600">
        <v>40</v>
      </c>
      <c r="J2600">
        <v>0</v>
      </c>
      <c r="M2600">
        <v>4</v>
      </c>
      <c r="N2600">
        <v>4</v>
      </c>
      <c r="O2600">
        <v>0</v>
      </c>
      <c r="P2600">
        <v>0</v>
      </c>
      <c r="Q2600">
        <v>44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D2600">
        <v>44</v>
      </c>
    </row>
    <row r="2601" spans="1:30" x14ac:dyDescent="0.3">
      <c r="A2601" s="4">
        <v>2622</v>
      </c>
      <c r="B2601" s="5">
        <v>2594</v>
      </c>
      <c r="C2601">
        <v>150</v>
      </c>
      <c r="D2601" t="s">
        <v>415</v>
      </c>
      <c r="E2601" t="s">
        <v>5537</v>
      </c>
      <c r="F2601" t="s">
        <v>1748</v>
      </c>
      <c r="G2601" t="s">
        <v>5538</v>
      </c>
      <c r="H2601" t="str">
        <f>"00858276"</f>
        <v>00858276</v>
      </c>
      <c r="I2601">
        <v>40</v>
      </c>
      <c r="J2601">
        <v>0</v>
      </c>
      <c r="N2601">
        <v>0</v>
      </c>
      <c r="O2601">
        <v>4</v>
      </c>
      <c r="P2601">
        <v>0</v>
      </c>
      <c r="Q2601">
        <v>44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D2601">
        <v>44</v>
      </c>
    </row>
    <row r="2602" spans="1:30" x14ac:dyDescent="0.3">
      <c r="A2602" s="4">
        <v>2623</v>
      </c>
      <c r="B2602" s="5">
        <v>2595</v>
      </c>
      <c r="C2602">
        <v>239</v>
      </c>
      <c r="D2602" t="s">
        <v>3340</v>
      </c>
      <c r="E2602" t="s">
        <v>5539</v>
      </c>
      <c r="F2602" t="s">
        <v>158</v>
      </c>
      <c r="G2602" t="s">
        <v>5540</v>
      </c>
      <c r="H2602" t="str">
        <f>"00858934"</f>
        <v>00858934</v>
      </c>
      <c r="I2602">
        <v>40</v>
      </c>
      <c r="J2602">
        <v>0</v>
      </c>
      <c r="M2602">
        <v>4</v>
      </c>
      <c r="N2602">
        <v>4</v>
      </c>
      <c r="O2602">
        <v>0</v>
      </c>
      <c r="P2602">
        <v>0</v>
      </c>
      <c r="Q2602">
        <v>44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D2602">
        <v>44</v>
      </c>
    </row>
    <row r="2603" spans="1:30" x14ac:dyDescent="0.3">
      <c r="A2603" s="4">
        <v>2624</v>
      </c>
      <c r="B2603" s="5">
        <v>2596</v>
      </c>
      <c r="C2603">
        <v>90</v>
      </c>
      <c r="D2603" t="s">
        <v>5130</v>
      </c>
      <c r="E2603" t="s">
        <v>170</v>
      </c>
      <c r="F2603" t="s">
        <v>325</v>
      </c>
      <c r="G2603" t="s">
        <v>5541</v>
      </c>
      <c r="H2603" t="str">
        <f>"00643454"</f>
        <v>00643454</v>
      </c>
      <c r="I2603">
        <v>40</v>
      </c>
      <c r="J2603">
        <v>0</v>
      </c>
      <c r="N2603">
        <v>0</v>
      </c>
      <c r="O2603">
        <v>4</v>
      </c>
      <c r="P2603">
        <v>0</v>
      </c>
      <c r="Q2603">
        <v>44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D2603">
        <v>44</v>
      </c>
    </row>
    <row r="2604" spans="1:30" x14ac:dyDescent="0.3">
      <c r="A2604" s="4">
        <v>2625</v>
      </c>
      <c r="B2604" s="5">
        <v>2597</v>
      </c>
      <c r="C2604">
        <v>4617</v>
      </c>
      <c r="D2604" t="s">
        <v>5542</v>
      </c>
      <c r="E2604" t="s">
        <v>182</v>
      </c>
      <c r="F2604" t="s">
        <v>136</v>
      </c>
      <c r="G2604" t="s">
        <v>5543</v>
      </c>
      <c r="H2604" t="str">
        <f>"00640232"</f>
        <v>00640232</v>
      </c>
      <c r="I2604">
        <v>40</v>
      </c>
      <c r="J2604">
        <v>0</v>
      </c>
      <c r="M2604">
        <v>4</v>
      </c>
      <c r="N2604">
        <v>4</v>
      </c>
      <c r="O2604">
        <v>0</v>
      </c>
      <c r="P2604">
        <v>0</v>
      </c>
      <c r="Q2604">
        <v>44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D2604">
        <v>44</v>
      </c>
    </row>
    <row r="2605" spans="1:30" x14ac:dyDescent="0.3">
      <c r="A2605" s="4">
        <v>2626</v>
      </c>
      <c r="B2605" s="5">
        <v>2598</v>
      </c>
      <c r="C2605">
        <v>3360</v>
      </c>
      <c r="D2605" t="s">
        <v>5008</v>
      </c>
      <c r="E2605" t="s">
        <v>88</v>
      </c>
      <c r="F2605" t="s">
        <v>34</v>
      </c>
      <c r="G2605" t="s">
        <v>5544</v>
      </c>
      <c r="H2605" t="str">
        <f>"00778896"</f>
        <v>00778896</v>
      </c>
      <c r="I2605">
        <v>38</v>
      </c>
      <c r="J2605">
        <v>0</v>
      </c>
      <c r="M2605">
        <v>4</v>
      </c>
      <c r="N2605">
        <v>4</v>
      </c>
      <c r="O2605">
        <v>0</v>
      </c>
      <c r="P2605">
        <v>2</v>
      </c>
      <c r="Q2605">
        <v>44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D2605">
        <v>44</v>
      </c>
    </row>
    <row r="2606" spans="1:30" x14ac:dyDescent="0.3">
      <c r="A2606" s="4">
        <v>2627</v>
      </c>
      <c r="B2606" s="5">
        <v>2599</v>
      </c>
      <c r="C2606">
        <v>3339</v>
      </c>
      <c r="D2606" t="s">
        <v>5545</v>
      </c>
      <c r="E2606" t="s">
        <v>29</v>
      </c>
      <c r="F2606" t="s">
        <v>416</v>
      </c>
      <c r="G2606" t="s">
        <v>5546</v>
      </c>
      <c r="H2606" t="str">
        <f>"201511017392"</f>
        <v>201511017392</v>
      </c>
      <c r="I2606">
        <v>38</v>
      </c>
      <c r="J2606">
        <v>0</v>
      </c>
      <c r="N2606">
        <v>0</v>
      </c>
      <c r="O2606">
        <v>4</v>
      </c>
      <c r="P2606">
        <v>2</v>
      </c>
      <c r="Q2606">
        <v>44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D2606">
        <v>44</v>
      </c>
    </row>
    <row r="2607" spans="1:30" x14ac:dyDescent="0.3">
      <c r="A2607" s="4">
        <v>2628</v>
      </c>
      <c r="B2607" s="5">
        <v>2600</v>
      </c>
      <c r="C2607">
        <v>3574</v>
      </c>
      <c r="D2607" t="s">
        <v>5547</v>
      </c>
      <c r="E2607" t="s">
        <v>406</v>
      </c>
      <c r="F2607" t="s">
        <v>17</v>
      </c>
      <c r="G2607" t="s">
        <v>5548</v>
      </c>
      <c r="H2607" t="str">
        <f>"00839476"</f>
        <v>00839476</v>
      </c>
      <c r="I2607">
        <v>36</v>
      </c>
      <c r="J2607">
        <v>0</v>
      </c>
      <c r="M2607">
        <v>4</v>
      </c>
      <c r="N2607">
        <v>4</v>
      </c>
      <c r="O2607">
        <v>4</v>
      </c>
      <c r="P2607">
        <v>0</v>
      </c>
      <c r="Q2607">
        <v>44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D2607">
        <v>44</v>
      </c>
    </row>
    <row r="2608" spans="1:30" x14ac:dyDescent="0.3">
      <c r="A2608" s="4">
        <v>2629</v>
      </c>
      <c r="B2608" s="5">
        <v>2601</v>
      </c>
      <c r="C2608">
        <v>643</v>
      </c>
      <c r="D2608" t="s">
        <v>28</v>
      </c>
      <c r="E2608" t="s">
        <v>5549</v>
      </c>
      <c r="F2608" t="s">
        <v>171</v>
      </c>
      <c r="G2608" t="s">
        <v>5550</v>
      </c>
      <c r="H2608" t="str">
        <f>"00210415"</f>
        <v>00210415</v>
      </c>
      <c r="I2608">
        <v>36</v>
      </c>
      <c r="J2608">
        <v>0</v>
      </c>
      <c r="M2608">
        <v>4</v>
      </c>
      <c r="N2608">
        <v>4</v>
      </c>
      <c r="O2608">
        <v>4</v>
      </c>
      <c r="P2608">
        <v>0</v>
      </c>
      <c r="Q2608">
        <v>44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D2608">
        <v>44</v>
      </c>
    </row>
    <row r="2609" spans="1:30" x14ac:dyDescent="0.3">
      <c r="A2609" s="4">
        <v>2630</v>
      </c>
      <c r="B2609" s="5">
        <v>2602</v>
      </c>
      <c r="C2609">
        <v>2961</v>
      </c>
      <c r="D2609" t="s">
        <v>5551</v>
      </c>
      <c r="E2609" t="s">
        <v>454</v>
      </c>
      <c r="F2609" t="s">
        <v>30</v>
      </c>
      <c r="G2609" t="s">
        <v>5552</v>
      </c>
      <c r="H2609" t="str">
        <f>"00472475"</f>
        <v>00472475</v>
      </c>
      <c r="I2609">
        <v>36</v>
      </c>
      <c r="J2609">
        <v>0</v>
      </c>
      <c r="M2609">
        <v>4</v>
      </c>
      <c r="N2609">
        <v>4</v>
      </c>
      <c r="O2609">
        <v>4</v>
      </c>
      <c r="P2609">
        <v>0</v>
      </c>
      <c r="Q2609">
        <v>44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D2609">
        <v>44</v>
      </c>
    </row>
    <row r="2610" spans="1:30" x14ac:dyDescent="0.3">
      <c r="A2610" s="4">
        <v>2631</v>
      </c>
      <c r="B2610" s="5">
        <v>2603</v>
      </c>
      <c r="C2610">
        <v>4249</v>
      </c>
      <c r="D2610" t="s">
        <v>5553</v>
      </c>
      <c r="E2610" t="s">
        <v>29</v>
      </c>
      <c r="F2610" t="s">
        <v>68</v>
      </c>
      <c r="G2610" t="s">
        <v>5554</v>
      </c>
      <c r="H2610" t="str">
        <f>"00863313"</f>
        <v>00863313</v>
      </c>
      <c r="I2610">
        <v>36</v>
      </c>
      <c r="J2610">
        <v>0</v>
      </c>
      <c r="M2610">
        <v>4</v>
      </c>
      <c r="N2610">
        <v>4</v>
      </c>
      <c r="O2610">
        <v>4</v>
      </c>
      <c r="P2610">
        <v>0</v>
      </c>
      <c r="Q2610">
        <v>44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D2610">
        <v>44</v>
      </c>
    </row>
    <row r="2611" spans="1:30" x14ac:dyDescent="0.3">
      <c r="A2611" s="4">
        <v>2632</v>
      </c>
      <c r="B2611" s="5">
        <v>2604</v>
      </c>
      <c r="C2611">
        <v>3957</v>
      </c>
      <c r="D2611" t="s">
        <v>5555</v>
      </c>
      <c r="E2611" t="s">
        <v>29</v>
      </c>
      <c r="F2611" t="s">
        <v>17</v>
      </c>
      <c r="G2611" t="s">
        <v>5556</v>
      </c>
      <c r="H2611" t="str">
        <f>"00755813"</f>
        <v>00755813</v>
      </c>
      <c r="I2611">
        <v>36</v>
      </c>
      <c r="J2611">
        <v>0</v>
      </c>
      <c r="M2611">
        <v>4</v>
      </c>
      <c r="N2611">
        <v>4</v>
      </c>
      <c r="O2611">
        <v>4</v>
      </c>
      <c r="P2611">
        <v>0</v>
      </c>
      <c r="Q2611">
        <v>44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D2611">
        <v>44</v>
      </c>
    </row>
    <row r="2612" spans="1:30" x14ac:dyDescent="0.3">
      <c r="A2612" s="4">
        <v>2633</v>
      </c>
      <c r="B2612" s="5">
        <v>2605</v>
      </c>
      <c r="C2612">
        <v>3839</v>
      </c>
      <c r="D2612" t="s">
        <v>5557</v>
      </c>
      <c r="E2612" t="s">
        <v>29</v>
      </c>
      <c r="F2612" t="s">
        <v>457</v>
      </c>
      <c r="G2612" t="s">
        <v>5558</v>
      </c>
      <c r="H2612" t="str">
        <f>"00860214"</f>
        <v>00860214</v>
      </c>
      <c r="I2612">
        <v>36</v>
      </c>
      <c r="J2612">
        <v>0</v>
      </c>
      <c r="M2612">
        <v>4</v>
      </c>
      <c r="N2612">
        <v>4</v>
      </c>
      <c r="O2612">
        <v>4</v>
      </c>
      <c r="P2612">
        <v>0</v>
      </c>
      <c r="Q2612">
        <v>44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D2612">
        <v>44</v>
      </c>
    </row>
    <row r="2613" spans="1:30" x14ac:dyDescent="0.3">
      <c r="A2613" s="4">
        <v>2634</v>
      </c>
      <c r="B2613" s="5">
        <v>2606</v>
      </c>
      <c r="C2613">
        <v>2017</v>
      </c>
      <c r="D2613" t="s">
        <v>5559</v>
      </c>
      <c r="E2613" t="s">
        <v>88</v>
      </c>
      <c r="F2613" t="s">
        <v>20</v>
      </c>
      <c r="G2613" t="s">
        <v>5560</v>
      </c>
      <c r="H2613" t="str">
        <f>"00857841"</f>
        <v>00857841</v>
      </c>
      <c r="I2613">
        <v>36</v>
      </c>
      <c r="J2613">
        <v>0</v>
      </c>
      <c r="M2613">
        <v>4</v>
      </c>
      <c r="N2613">
        <v>4</v>
      </c>
      <c r="O2613">
        <v>4</v>
      </c>
      <c r="P2613">
        <v>0</v>
      </c>
      <c r="Q2613">
        <v>44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D2613">
        <v>44</v>
      </c>
    </row>
    <row r="2614" spans="1:30" x14ac:dyDescent="0.3">
      <c r="A2614" s="4">
        <v>2635</v>
      </c>
      <c r="B2614" s="5">
        <v>2607</v>
      </c>
      <c r="C2614">
        <v>1728</v>
      </c>
      <c r="D2614" t="s">
        <v>5561</v>
      </c>
      <c r="E2614" t="s">
        <v>161</v>
      </c>
      <c r="F2614" t="s">
        <v>339</v>
      </c>
      <c r="G2614" t="s">
        <v>5562</v>
      </c>
      <c r="H2614" t="str">
        <f>"00860080"</f>
        <v>00860080</v>
      </c>
      <c r="I2614">
        <v>36</v>
      </c>
      <c r="J2614">
        <v>0</v>
      </c>
      <c r="M2614">
        <v>4</v>
      </c>
      <c r="N2614">
        <v>4</v>
      </c>
      <c r="O2614">
        <v>4</v>
      </c>
      <c r="P2614">
        <v>0</v>
      </c>
      <c r="Q2614">
        <v>44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D2614">
        <v>44</v>
      </c>
    </row>
    <row r="2615" spans="1:30" x14ac:dyDescent="0.3">
      <c r="A2615" s="4">
        <v>2636</v>
      </c>
      <c r="B2615" s="5">
        <v>2608</v>
      </c>
      <c r="C2615">
        <v>4690</v>
      </c>
      <c r="D2615" t="s">
        <v>3657</v>
      </c>
      <c r="E2615" t="s">
        <v>283</v>
      </c>
      <c r="F2615" t="s">
        <v>20</v>
      </c>
      <c r="G2615" t="s">
        <v>5563</v>
      </c>
      <c r="H2615" t="str">
        <f>"00768717"</f>
        <v>00768717</v>
      </c>
      <c r="I2615">
        <v>36</v>
      </c>
      <c r="J2615">
        <v>0</v>
      </c>
      <c r="M2615">
        <v>4</v>
      </c>
      <c r="N2615">
        <v>4</v>
      </c>
      <c r="O2615">
        <v>4</v>
      </c>
      <c r="P2615">
        <v>0</v>
      </c>
      <c r="Q2615">
        <v>44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D2615">
        <v>44</v>
      </c>
    </row>
    <row r="2616" spans="1:30" x14ac:dyDescent="0.3">
      <c r="A2616" s="4">
        <v>2637</v>
      </c>
      <c r="B2616" s="5">
        <v>2609</v>
      </c>
      <c r="C2616">
        <v>1296</v>
      </c>
      <c r="D2616" t="s">
        <v>5564</v>
      </c>
      <c r="E2616" t="s">
        <v>33</v>
      </c>
      <c r="F2616" t="s">
        <v>652</v>
      </c>
      <c r="G2616" t="s">
        <v>5565</v>
      </c>
      <c r="H2616" t="str">
        <f>"00212218"</f>
        <v>00212218</v>
      </c>
      <c r="I2616">
        <v>36</v>
      </c>
      <c r="J2616">
        <v>0</v>
      </c>
      <c r="M2616">
        <v>4</v>
      </c>
      <c r="N2616">
        <v>4</v>
      </c>
      <c r="O2616">
        <v>4</v>
      </c>
      <c r="P2616">
        <v>0</v>
      </c>
      <c r="Q2616">
        <v>44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D2616">
        <v>44</v>
      </c>
    </row>
    <row r="2617" spans="1:30" x14ac:dyDescent="0.3">
      <c r="A2617" s="4">
        <v>2638</v>
      </c>
      <c r="B2617" s="5">
        <v>2610</v>
      </c>
      <c r="C2617">
        <v>357</v>
      </c>
      <c r="D2617" t="s">
        <v>1224</v>
      </c>
      <c r="E2617" t="s">
        <v>41</v>
      </c>
      <c r="F2617" t="s">
        <v>20</v>
      </c>
      <c r="G2617" t="s">
        <v>5566</v>
      </c>
      <c r="H2617" t="str">
        <f>"00856211"</f>
        <v>00856211</v>
      </c>
      <c r="I2617">
        <v>36</v>
      </c>
      <c r="J2617">
        <v>0</v>
      </c>
      <c r="M2617">
        <v>4</v>
      </c>
      <c r="N2617">
        <v>4</v>
      </c>
      <c r="O2617">
        <v>4</v>
      </c>
      <c r="P2617">
        <v>0</v>
      </c>
      <c r="Q2617">
        <v>44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D2617">
        <v>44</v>
      </c>
    </row>
    <row r="2618" spans="1:30" x14ac:dyDescent="0.3">
      <c r="A2618" s="4">
        <v>2639</v>
      </c>
      <c r="B2618" s="5">
        <v>2611</v>
      </c>
      <c r="C2618">
        <v>3250</v>
      </c>
      <c r="D2618" t="s">
        <v>5567</v>
      </c>
      <c r="E2618" t="s">
        <v>697</v>
      </c>
      <c r="F2618" t="s">
        <v>17</v>
      </c>
      <c r="G2618" t="s">
        <v>5568</v>
      </c>
      <c r="H2618" t="str">
        <f>"00863797"</f>
        <v>00863797</v>
      </c>
      <c r="I2618">
        <v>36</v>
      </c>
      <c r="J2618">
        <v>0</v>
      </c>
      <c r="M2618">
        <v>8</v>
      </c>
      <c r="N2618">
        <v>8</v>
      </c>
      <c r="O2618">
        <v>0</v>
      </c>
      <c r="P2618">
        <v>0</v>
      </c>
      <c r="Q2618">
        <v>44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D2618">
        <v>44</v>
      </c>
    </row>
    <row r="2619" spans="1:30" x14ac:dyDescent="0.3">
      <c r="A2619" s="4">
        <v>2640</v>
      </c>
      <c r="B2619" s="5">
        <v>2612</v>
      </c>
      <c r="C2619">
        <v>1019</v>
      </c>
      <c r="D2619" t="s">
        <v>322</v>
      </c>
      <c r="E2619" t="s">
        <v>54</v>
      </c>
      <c r="F2619" t="s">
        <v>17</v>
      </c>
      <c r="G2619" t="s">
        <v>5569</v>
      </c>
      <c r="H2619" t="str">
        <f>"00859610"</f>
        <v>00859610</v>
      </c>
      <c r="I2619">
        <v>36</v>
      </c>
      <c r="J2619">
        <v>0</v>
      </c>
      <c r="K2619">
        <v>8</v>
      </c>
      <c r="N2619">
        <v>8</v>
      </c>
      <c r="O2619">
        <v>0</v>
      </c>
      <c r="P2619">
        <v>0</v>
      </c>
      <c r="Q2619">
        <v>44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D2619">
        <v>44</v>
      </c>
    </row>
    <row r="2620" spans="1:30" x14ac:dyDescent="0.3">
      <c r="A2620" s="4">
        <v>2641</v>
      </c>
      <c r="B2620" s="5">
        <v>2613</v>
      </c>
      <c r="C2620">
        <v>3260</v>
      </c>
      <c r="D2620" t="s">
        <v>715</v>
      </c>
      <c r="E2620" t="s">
        <v>88</v>
      </c>
      <c r="F2620" t="s">
        <v>892</v>
      </c>
      <c r="G2620" t="s">
        <v>5570</v>
      </c>
      <c r="H2620" t="str">
        <f>"00456536"</f>
        <v>00456536</v>
      </c>
      <c r="I2620">
        <v>34</v>
      </c>
      <c r="J2620">
        <v>0</v>
      </c>
      <c r="M2620">
        <v>4</v>
      </c>
      <c r="N2620">
        <v>4</v>
      </c>
      <c r="O2620">
        <v>4</v>
      </c>
      <c r="P2620">
        <v>2</v>
      </c>
      <c r="Q2620">
        <v>44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D2620">
        <v>44</v>
      </c>
    </row>
    <row r="2621" spans="1:30" x14ac:dyDescent="0.3">
      <c r="A2621" s="4">
        <v>2642</v>
      </c>
      <c r="B2621" s="5">
        <v>2614</v>
      </c>
      <c r="C2621">
        <v>673</v>
      </c>
      <c r="D2621" t="s">
        <v>5571</v>
      </c>
      <c r="E2621" t="s">
        <v>173</v>
      </c>
      <c r="F2621" t="s">
        <v>30</v>
      </c>
      <c r="G2621" t="s">
        <v>5572</v>
      </c>
      <c r="H2621" t="str">
        <f>"00856945"</f>
        <v>00856945</v>
      </c>
      <c r="I2621">
        <v>30</v>
      </c>
      <c r="J2621">
        <v>10</v>
      </c>
      <c r="M2621">
        <v>4</v>
      </c>
      <c r="N2621">
        <v>4</v>
      </c>
      <c r="O2621">
        <v>0</v>
      </c>
      <c r="P2621">
        <v>0</v>
      </c>
      <c r="Q2621">
        <v>44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D2621">
        <v>44</v>
      </c>
    </row>
    <row r="2622" spans="1:30" x14ac:dyDescent="0.3">
      <c r="A2622" s="4">
        <v>2643</v>
      </c>
      <c r="B2622" s="5">
        <v>2615</v>
      </c>
      <c r="C2622">
        <v>2805</v>
      </c>
      <c r="D2622" t="s">
        <v>5573</v>
      </c>
      <c r="E2622" t="s">
        <v>132</v>
      </c>
      <c r="F2622" t="s">
        <v>20</v>
      </c>
      <c r="G2622" t="s">
        <v>5574</v>
      </c>
      <c r="H2622" t="str">
        <f>"00530826"</f>
        <v>00530826</v>
      </c>
      <c r="I2622">
        <v>36</v>
      </c>
      <c r="J2622">
        <v>0</v>
      </c>
      <c r="N2622">
        <v>0</v>
      </c>
      <c r="O2622">
        <v>0</v>
      </c>
      <c r="P2622">
        <v>2</v>
      </c>
      <c r="Q2622">
        <v>38</v>
      </c>
      <c r="R2622">
        <v>6</v>
      </c>
      <c r="S2622">
        <v>6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6</v>
      </c>
      <c r="AA2622">
        <v>0</v>
      </c>
      <c r="AB2622">
        <v>0</v>
      </c>
      <c r="AD2622">
        <v>44</v>
      </c>
    </row>
    <row r="2623" spans="1:30" x14ac:dyDescent="0.3">
      <c r="A2623" s="4">
        <v>2644</v>
      </c>
      <c r="B2623" s="5">
        <v>2616</v>
      </c>
      <c r="C2623">
        <v>4353</v>
      </c>
      <c r="D2623" t="s">
        <v>1304</v>
      </c>
      <c r="E2623" t="s">
        <v>170</v>
      </c>
      <c r="F2623" t="s">
        <v>393</v>
      </c>
      <c r="G2623" t="s">
        <v>5575</v>
      </c>
      <c r="H2623" t="str">
        <f>"00532634"</f>
        <v>00532634</v>
      </c>
      <c r="I2623">
        <v>32.92</v>
      </c>
      <c r="J2623">
        <v>0</v>
      </c>
      <c r="N2623">
        <v>0</v>
      </c>
      <c r="O2623">
        <v>0</v>
      </c>
      <c r="P2623">
        <v>0</v>
      </c>
      <c r="Q2623">
        <v>32.92</v>
      </c>
      <c r="R2623">
        <v>11</v>
      </c>
      <c r="S2623">
        <v>11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11</v>
      </c>
      <c r="AA2623">
        <v>0</v>
      </c>
      <c r="AB2623">
        <v>0</v>
      </c>
      <c r="AD2623">
        <v>43.92</v>
      </c>
    </row>
    <row r="2624" spans="1:30" x14ac:dyDescent="0.3">
      <c r="A2624" s="4">
        <v>2645</v>
      </c>
      <c r="B2624" s="5">
        <v>2617</v>
      </c>
      <c r="C2624">
        <v>1179</v>
      </c>
      <c r="D2624" t="s">
        <v>2772</v>
      </c>
      <c r="E2624" t="s">
        <v>132</v>
      </c>
      <c r="F2624" t="s">
        <v>3968</v>
      </c>
      <c r="G2624" t="s">
        <v>5576</v>
      </c>
      <c r="H2624" t="str">
        <f>"00650756"</f>
        <v>00650756</v>
      </c>
      <c r="I2624">
        <v>33.799999999999997</v>
      </c>
      <c r="J2624">
        <v>0</v>
      </c>
      <c r="N2624">
        <v>0</v>
      </c>
      <c r="O2624">
        <v>4</v>
      </c>
      <c r="P2624">
        <v>0</v>
      </c>
      <c r="Q2624">
        <v>37.799999999999997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6</v>
      </c>
      <c r="AB2624">
        <v>0</v>
      </c>
      <c r="AD2624">
        <v>43.8</v>
      </c>
    </row>
    <row r="2625" spans="1:30" x14ac:dyDescent="0.3">
      <c r="A2625" s="4">
        <v>2646</v>
      </c>
      <c r="B2625" s="5">
        <v>2618</v>
      </c>
      <c r="C2625">
        <v>4613</v>
      </c>
      <c r="D2625" t="s">
        <v>5577</v>
      </c>
      <c r="E2625" t="s">
        <v>825</v>
      </c>
      <c r="F2625" t="s">
        <v>117</v>
      </c>
      <c r="G2625" t="s">
        <v>5578</v>
      </c>
      <c r="H2625" t="str">
        <f>"00504835"</f>
        <v>00504835</v>
      </c>
      <c r="I2625">
        <v>28.8</v>
      </c>
      <c r="J2625">
        <v>0</v>
      </c>
      <c r="L2625">
        <v>6</v>
      </c>
      <c r="N2625">
        <v>6</v>
      </c>
      <c r="O2625">
        <v>4</v>
      </c>
      <c r="P2625">
        <v>2</v>
      </c>
      <c r="Q2625">
        <v>40.799999999999997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3</v>
      </c>
      <c r="AB2625">
        <v>0</v>
      </c>
      <c r="AD2625">
        <v>43.8</v>
      </c>
    </row>
    <row r="2626" spans="1:30" x14ac:dyDescent="0.3">
      <c r="A2626" s="4">
        <v>2647</v>
      </c>
      <c r="B2626" s="5">
        <v>2619</v>
      </c>
      <c r="C2626">
        <v>4022</v>
      </c>
      <c r="D2626" t="s">
        <v>1950</v>
      </c>
      <c r="E2626" t="s">
        <v>166</v>
      </c>
      <c r="F2626" t="s">
        <v>20</v>
      </c>
      <c r="G2626" t="s">
        <v>5579</v>
      </c>
      <c r="H2626" t="str">
        <f>"201511042828"</f>
        <v>201511042828</v>
      </c>
      <c r="I2626">
        <v>22.8</v>
      </c>
      <c r="J2626">
        <v>10</v>
      </c>
      <c r="N2626">
        <v>0</v>
      </c>
      <c r="O2626">
        <v>4</v>
      </c>
      <c r="P2626">
        <v>2</v>
      </c>
      <c r="Q2626">
        <v>38.799999999999997</v>
      </c>
      <c r="R2626">
        <v>5</v>
      </c>
      <c r="S2626">
        <v>5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5</v>
      </c>
      <c r="AA2626">
        <v>0</v>
      </c>
      <c r="AB2626">
        <v>0</v>
      </c>
      <c r="AD2626">
        <v>43.8</v>
      </c>
    </row>
    <row r="2627" spans="1:30" x14ac:dyDescent="0.3">
      <c r="A2627" s="4">
        <v>2648</v>
      </c>
      <c r="B2627" s="5">
        <v>2620</v>
      </c>
      <c r="C2627">
        <v>1890</v>
      </c>
      <c r="D2627" t="s">
        <v>3752</v>
      </c>
      <c r="E2627" t="s">
        <v>380</v>
      </c>
      <c r="F2627" t="s">
        <v>30</v>
      </c>
      <c r="G2627" t="s">
        <v>5580</v>
      </c>
      <c r="H2627" t="str">
        <f>"00395444"</f>
        <v>00395444</v>
      </c>
      <c r="I2627">
        <v>28.8</v>
      </c>
      <c r="J2627">
        <v>0</v>
      </c>
      <c r="N2627">
        <v>0</v>
      </c>
      <c r="O2627">
        <v>0</v>
      </c>
      <c r="P2627">
        <v>0</v>
      </c>
      <c r="Q2627">
        <v>28.8</v>
      </c>
      <c r="R2627">
        <v>15</v>
      </c>
      <c r="S2627">
        <v>15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15</v>
      </c>
      <c r="AA2627">
        <v>0</v>
      </c>
      <c r="AB2627">
        <v>0</v>
      </c>
      <c r="AD2627">
        <v>43.8</v>
      </c>
    </row>
    <row r="2628" spans="1:30" x14ac:dyDescent="0.3">
      <c r="A2628" s="4">
        <v>2649</v>
      </c>
      <c r="B2628" s="5">
        <v>2621</v>
      </c>
      <c r="C2628">
        <v>325</v>
      </c>
      <c r="D2628" t="s">
        <v>5581</v>
      </c>
      <c r="E2628" t="s">
        <v>1576</v>
      </c>
      <c r="F2628" t="s">
        <v>4601</v>
      </c>
      <c r="G2628" t="s">
        <v>5582</v>
      </c>
      <c r="H2628" t="str">
        <f>"00511363"</f>
        <v>00511363</v>
      </c>
      <c r="I2628">
        <v>14.8</v>
      </c>
      <c r="J2628">
        <v>10</v>
      </c>
      <c r="N2628">
        <v>0</v>
      </c>
      <c r="O2628">
        <v>4</v>
      </c>
      <c r="P2628">
        <v>0</v>
      </c>
      <c r="Q2628">
        <v>28.8</v>
      </c>
      <c r="R2628">
        <v>5</v>
      </c>
      <c r="S2628">
        <v>5</v>
      </c>
      <c r="T2628">
        <v>5</v>
      </c>
      <c r="U2628">
        <v>10</v>
      </c>
      <c r="V2628">
        <v>0</v>
      </c>
      <c r="W2628">
        <v>0</v>
      </c>
      <c r="X2628">
        <v>0</v>
      </c>
      <c r="Y2628">
        <v>0</v>
      </c>
      <c r="Z2628">
        <v>15</v>
      </c>
      <c r="AA2628">
        <v>0</v>
      </c>
      <c r="AB2628">
        <v>0</v>
      </c>
      <c r="AD2628">
        <v>43.8</v>
      </c>
    </row>
    <row r="2629" spans="1:30" x14ac:dyDescent="0.3">
      <c r="A2629" s="4">
        <v>2650</v>
      </c>
      <c r="B2629" s="5">
        <v>2622</v>
      </c>
      <c r="C2629">
        <v>3522</v>
      </c>
      <c r="D2629" t="s">
        <v>5583</v>
      </c>
      <c r="E2629" t="s">
        <v>166</v>
      </c>
      <c r="F2629" t="s">
        <v>62</v>
      </c>
      <c r="G2629" t="s">
        <v>5584</v>
      </c>
      <c r="H2629" t="str">
        <f>"201511034978"</f>
        <v>201511034978</v>
      </c>
      <c r="I2629">
        <v>37.76</v>
      </c>
      <c r="J2629">
        <v>0</v>
      </c>
      <c r="N2629">
        <v>0</v>
      </c>
      <c r="O2629">
        <v>0</v>
      </c>
      <c r="P2629">
        <v>0</v>
      </c>
      <c r="Q2629">
        <v>37.76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6</v>
      </c>
      <c r="AB2629">
        <v>0</v>
      </c>
      <c r="AD2629">
        <v>43.76</v>
      </c>
    </row>
    <row r="2630" spans="1:30" x14ac:dyDescent="0.3">
      <c r="A2630" s="4">
        <v>2651</v>
      </c>
      <c r="B2630" s="5">
        <v>2623</v>
      </c>
      <c r="C2630">
        <v>1504</v>
      </c>
      <c r="D2630" t="s">
        <v>5585</v>
      </c>
      <c r="E2630" t="s">
        <v>41</v>
      </c>
      <c r="F2630" t="s">
        <v>38</v>
      </c>
      <c r="G2630" t="s">
        <v>5586</v>
      </c>
      <c r="H2630" t="str">
        <f>"00533901"</f>
        <v>00533901</v>
      </c>
      <c r="I2630">
        <v>20.72</v>
      </c>
      <c r="J2630">
        <v>10</v>
      </c>
      <c r="N2630">
        <v>0</v>
      </c>
      <c r="O2630">
        <v>4</v>
      </c>
      <c r="P2630">
        <v>0</v>
      </c>
      <c r="Q2630">
        <v>34.72</v>
      </c>
      <c r="R2630">
        <v>6</v>
      </c>
      <c r="S2630">
        <v>6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6</v>
      </c>
      <c r="AA2630">
        <v>3</v>
      </c>
      <c r="AB2630">
        <v>0</v>
      </c>
      <c r="AD2630">
        <v>43.72</v>
      </c>
    </row>
    <row r="2631" spans="1:30" x14ac:dyDescent="0.3">
      <c r="A2631" s="4">
        <v>2652</v>
      </c>
      <c r="B2631" s="5">
        <v>2624</v>
      </c>
      <c r="C2631">
        <v>4692</v>
      </c>
      <c r="D2631" t="s">
        <v>5587</v>
      </c>
      <c r="E2631" t="s">
        <v>837</v>
      </c>
      <c r="F2631" t="s">
        <v>5588</v>
      </c>
      <c r="G2631" t="s">
        <v>5589</v>
      </c>
      <c r="H2631" t="str">
        <f>"00560967"</f>
        <v>00560967</v>
      </c>
      <c r="I2631">
        <v>38.68</v>
      </c>
      <c r="J2631">
        <v>0</v>
      </c>
      <c r="N2631">
        <v>0</v>
      </c>
      <c r="O2631">
        <v>0</v>
      </c>
      <c r="P2631">
        <v>2</v>
      </c>
      <c r="Q2631">
        <v>40.68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3</v>
      </c>
      <c r="AB2631">
        <v>0</v>
      </c>
      <c r="AD2631">
        <v>43.68</v>
      </c>
    </row>
    <row r="2632" spans="1:30" x14ac:dyDescent="0.3">
      <c r="A2632" s="4">
        <v>2653</v>
      </c>
      <c r="B2632" s="5">
        <v>2625</v>
      </c>
      <c r="C2632">
        <v>3786</v>
      </c>
      <c r="D2632" t="s">
        <v>5590</v>
      </c>
      <c r="E2632" t="s">
        <v>37</v>
      </c>
      <c r="F2632" t="s">
        <v>167</v>
      </c>
      <c r="G2632" t="s">
        <v>5591</v>
      </c>
      <c r="H2632" t="str">
        <f>"00820036"</f>
        <v>00820036</v>
      </c>
      <c r="I2632">
        <v>35.6</v>
      </c>
      <c r="J2632">
        <v>0</v>
      </c>
      <c r="N2632">
        <v>0</v>
      </c>
      <c r="O2632">
        <v>0</v>
      </c>
      <c r="P2632">
        <v>2</v>
      </c>
      <c r="Q2632">
        <v>37.6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6</v>
      </c>
      <c r="AB2632">
        <v>0</v>
      </c>
      <c r="AD2632">
        <v>43.6</v>
      </c>
    </row>
    <row r="2633" spans="1:30" x14ac:dyDescent="0.3">
      <c r="A2633" s="4">
        <v>2654</v>
      </c>
      <c r="B2633" s="5">
        <v>2626</v>
      </c>
      <c r="C2633">
        <v>512</v>
      </c>
      <c r="D2633" t="s">
        <v>5592</v>
      </c>
      <c r="E2633" t="s">
        <v>208</v>
      </c>
      <c r="F2633" t="s">
        <v>68</v>
      </c>
      <c r="G2633" t="s">
        <v>5593</v>
      </c>
      <c r="H2633" t="str">
        <f>"200805001332"</f>
        <v>200805001332</v>
      </c>
      <c r="I2633">
        <v>27.6</v>
      </c>
      <c r="J2633">
        <v>0</v>
      </c>
      <c r="M2633">
        <v>4</v>
      </c>
      <c r="N2633">
        <v>4</v>
      </c>
      <c r="O2633">
        <v>4</v>
      </c>
      <c r="P2633">
        <v>2</v>
      </c>
      <c r="Q2633">
        <v>37.6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6</v>
      </c>
      <c r="AB2633">
        <v>0</v>
      </c>
      <c r="AD2633">
        <v>43.6</v>
      </c>
    </row>
    <row r="2634" spans="1:30" x14ac:dyDescent="0.3">
      <c r="A2634" s="4">
        <v>2655</v>
      </c>
      <c r="B2634" s="5">
        <v>2627</v>
      </c>
      <c r="C2634">
        <v>4025</v>
      </c>
      <c r="D2634" t="s">
        <v>3266</v>
      </c>
      <c r="E2634" t="s">
        <v>5594</v>
      </c>
      <c r="F2634" t="s">
        <v>5595</v>
      </c>
      <c r="G2634" t="s">
        <v>5596</v>
      </c>
      <c r="H2634" t="str">
        <f>"00532200"</f>
        <v>00532200</v>
      </c>
      <c r="I2634">
        <v>20.6</v>
      </c>
      <c r="J2634">
        <v>10</v>
      </c>
      <c r="M2634">
        <v>4</v>
      </c>
      <c r="N2634">
        <v>4</v>
      </c>
      <c r="O2634">
        <v>4</v>
      </c>
      <c r="P2634">
        <v>2</v>
      </c>
      <c r="Q2634">
        <v>40.6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3</v>
      </c>
      <c r="AB2634">
        <v>0</v>
      </c>
      <c r="AD2634">
        <v>43.6</v>
      </c>
    </row>
    <row r="2635" spans="1:30" x14ac:dyDescent="0.3">
      <c r="A2635" s="4">
        <v>2656</v>
      </c>
      <c r="B2635" s="5">
        <v>2628</v>
      </c>
      <c r="C2635">
        <v>3650</v>
      </c>
      <c r="D2635" t="s">
        <v>5597</v>
      </c>
      <c r="E2635" t="s">
        <v>143</v>
      </c>
      <c r="F2635" t="s">
        <v>17</v>
      </c>
      <c r="G2635" t="s">
        <v>5598</v>
      </c>
      <c r="H2635" t="str">
        <f>"00218513"</f>
        <v>00218513</v>
      </c>
      <c r="I2635">
        <v>39.6</v>
      </c>
      <c r="J2635">
        <v>0</v>
      </c>
      <c r="N2635">
        <v>0</v>
      </c>
      <c r="O2635">
        <v>4</v>
      </c>
      <c r="P2635">
        <v>0</v>
      </c>
      <c r="Q2635">
        <v>43.6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D2635">
        <v>43.6</v>
      </c>
    </row>
    <row r="2636" spans="1:30" x14ac:dyDescent="0.3">
      <c r="A2636" s="4">
        <v>2657</v>
      </c>
      <c r="B2636" s="5">
        <v>2629</v>
      </c>
      <c r="C2636">
        <v>4685</v>
      </c>
      <c r="D2636" t="s">
        <v>5599</v>
      </c>
      <c r="E2636" t="s">
        <v>149</v>
      </c>
      <c r="F2636" t="s">
        <v>20</v>
      </c>
      <c r="G2636" t="s">
        <v>5600</v>
      </c>
      <c r="H2636" t="str">
        <f>"00779982"</f>
        <v>00779982</v>
      </c>
      <c r="I2636">
        <v>33.6</v>
      </c>
      <c r="J2636">
        <v>10</v>
      </c>
      <c r="N2636">
        <v>0</v>
      </c>
      <c r="O2636">
        <v>0</v>
      </c>
      <c r="P2636">
        <v>0</v>
      </c>
      <c r="Q2636">
        <v>43.6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D2636">
        <v>43.6</v>
      </c>
    </row>
    <row r="2637" spans="1:30" x14ac:dyDescent="0.3">
      <c r="A2637" s="4">
        <v>2658</v>
      </c>
      <c r="B2637" s="5">
        <v>2630</v>
      </c>
      <c r="C2637">
        <v>4930</v>
      </c>
      <c r="D2637" t="s">
        <v>5601</v>
      </c>
      <c r="E2637" t="s">
        <v>88</v>
      </c>
      <c r="F2637" t="s">
        <v>124</v>
      </c>
      <c r="G2637" t="s">
        <v>5602</v>
      </c>
      <c r="H2637" t="str">
        <f>"00530376"</f>
        <v>00530376</v>
      </c>
      <c r="I2637">
        <v>34.56</v>
      </c>
      <c r="J2637">
        <v>0</v>
      </c>
      <c r="N2637">
        <v>0</v>
      </c>
      <c r="O2637">
        <v>0</v>
      </c>
      <c r="P2637">
        <v>0</v>
      </c>
      <c r="Q2637">
        <v>34.56</v>
      </c>
      <c r="R2637">
        <v>6</v>
      </c>
      <c r="S2637">
        <v>6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6</v>
      </c>
      <c r="AA2637">
        <v>3</v>
      </c>
      <c r="AB2637">
        <v>0</v>
      </c>
      <c r="AD2637">
        <v>43.56</v>
      </c>
    </row>
    <row r="2638" spans="1:30" x14ac:dyDescent="0.3">
      <c r="A2638" s="4">
        <v>2659</v>
      </c>
      <c r="B2638" s="5">
        <v>2631</v>
      </c>
      <c r="C2638">
        <v>2018</v>
      </c>
      <c r="D2638" t="s">
        <v>5179</v>
      </c>
      <c r="E2638" t="s">
        <v>178</v>
      </c>
      <c r="F2638" t="s">
        <v>20</v>
      </c>
      <c r="G2638" t="s">
        <v>5603</v>
      </c>
      <c r="H2638" t="str">
        <f>"00652991"</f>
        <v>00652991</v>
      </c>
      <c r="I2638">
        <v>39.56</v>
      </c>
      <c r="J2638">
        <v>0</v>
      </c>
      <c r="N2638">
        <v>0</v>
      </c>
      <c r="O2638">
        <v>4</v>
      </c>
      <c r="P2638">
        <v>0</v>
      </c>
      <c r="Q2638">
        <v>43.56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D2638">
        <v>43.56</v>
      </c>
    </row>
    <row r="2639" spans="1:30" x14ac:dyDescent="0.3">
      <c r="A2639" s="4">
        <v>2660</v>
      </c>
      <c r="B2639" s="5">
        <v>2632</v>
      </c>
      <c r="C2639">
        <v>3801</v>
      </c>
      <c r="D2639" t="s">
        <v>181</v>
      </c>
      <c r="E2639" t="s">
        <v>37</v>
      </c>
      <c r="F2639" t="s">
        <v>20</v>
      </c>
      <c r="G2639" t="s">
        <v>5604</v>
      </c>
      <c r="H2639" t="str">
        <f>"00532266"</f>
        <v>00532266</v>
      </c>
      <c r="I2639">
        <v>29.52</v>
      </c>
      <c r="J2639">
        <v>0</v>
      </c>
      <c r="N2639">
        <v>0</v>
      </c>
      <c r="O2639">
        <v>0</v>
      </c>
      <c r="P2639">
        <v>0</v>
      </c>
      <c r="Q2639">
        <v>29.52</v>
      </c>
      <c r="R2639">
        <v>11</v>
      </c>
      <c r="S2639">
        <v>11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11</v>
      </c>
      <c r="AA2639">
        <v>3</v>
      </c>
      <c r="AB2639">
        <v>0</v>
      </c>
      <c r="AD2639">
        <v>43.52</v>
      </c>
    </row>
    <row r="2640" spans="1:30" x14ac:dyDescent="0.3">
      <c r="A2640" s="4">
        <v>2661</v>
      </c>
      <c r="B2640" s="5">
        <v>2633</v>
      </c>
      <c r="C2640">
        <v>3074</v>
      </c>
      <c r="D2640" t="s">
        <v>5605</v>
      </c>
      <c r="E2640" t="s">
        <v>149</v>
      </c>
      <c r="F2640" t="s">
        <v>68</v>
      </c>
      <c r="G2640" t="s">
        <v>5606</v>
      </c>
      <c r="H2640" t="str">
        <f>"201502003416"</f>
        <v>201502003416</v>
      </c>
      <c r="I2640">
        <v>25.52</v>
      </c>
      <c r="J2640">
        <v>10</v>
      </c>
      <c r="M2640">
        <v>4</v>
      </c>
      <c r="N2640">
        <v>4</v>
      </c>
      <c r="O2640">
        <v>4</v>
      </c>
      <c r="P2640">
        <v>0</v>
      </c>
      <c r="Q2640">
        <v>43.52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D2640">
        <v>43.52</v>
      </c>
    </row>
    <row r="2641" spans="1:30" x14ac:dyDescent="0.3">
      <c r="A2641" s="4">
        <v>2662</v>
      </c>
      <c r="B2641" s="5">
        <v>2634</v>
      </c>
      <c r="C2641">
        <v>2317</v>
      </c>
      <c r="D2641" t="s">
        <v>5607</v>
      </c>
      <c r="E2641" t="s">
        <v>338</v>
      </c>
      <c r="F2641" t="s">
        <v>81</v>
      </c>
      <c r="G2641" t="s">
        <v>5608</v>
      </c>
      <c r="H2641" t="str">
        <f>"00509256"</f>
        <v>00509256</v>
      </c>
      <c r="I2641">
        <v>14.4</v>
      </c>
      <c r="J2641">
        <v>0</v>
      </c>
      <c r="K2641">
        <v>8</v>
      </c>
      <c r="N2641">
        <v>8</v>
      </c>
      <c r="O2641">
        <v>0</v>
      </c>
      <c r="P2641">
        <v>2</v>
      </c>
      <c r="Q2641">
        <v>24.4</v>
      </c>
      <c r="R2641">
        <v>10</v>
      </c>
      <c r="S2641">
        <v>10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10</v>
      </c>
      <c r="AA2641">
        <v>9</v>
      </c>
      <c r="AB2641">
        <v>0</v>
      </c>
      <c r="AD2641">
        <v>43.4</v>
      </c>
    </row>
    <row r="2642" spans="1:30" x14ac:dyDescent="0.3">
      <c r="A2642" s="4">
        <v>2663</v>
      </c>
      <c r="B2642" s="5">
        <v>2635</v>
      </c>
      <c r="C2642">
        <v>4672</v>
      </c>
      <c r="D2642" t="s">
        <v>5609</v>
      </c>
      <c r="E2642" t="s">
        <v>2795</v>
      </c>
      <c r="F2642" t="s">
        <v>62</v>
      </c>
      <c r="G2642" t="s">
        <v>5610</v>
      </c>
      <c r="H2642" t="str">
        <f>"00532886"</f>
        <v>00532886</v>
      </c>
      <c r="I2642">
        <v>14.4</v>
      </c>
      <c r="J2642">
        <v>0</v>
      </c>
      <c r="N2642">
        <v>0</v>
      </c>
      <c r="O2642">
        <v>4</v>
      </c>
      <c r="P2642">
        <v>2</v>
      </c>
      <c r="Q2642">
        <v>20.399999999999999</v>
      </c>
      <c r="R2642">
        <v>14</v>
      </c>
      <c r="S2642">
        <v>14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14</v>
      </c>
      <c r="AA2642">
        <v>9</v>
      </c>
      <c r="AB2642">
        <v>0</v>
      </c>
      <c r="AD2642">
        <v>43.4</v>
      </c>
    </row>
    <row r="2643" spans="1:30" x14ac:dyDescent="0.3">
      <c r="A2643" s="4">
        <v>2664</v>
      </c>
      <c r="B2643" s="5">
        <v>2636</v>
      </c>
      <c r="C2643">
        <v>3154</v>
      </c>
      <c r="D2643" t="s">
        <v>5611</v>
      </c>
      <c r="E2643" t="s">
        <v>29</v>
      </c>
      <c r="F2643" t="s">
        <v>20</v>
      </c>
      <c r="G2643" t="s">
        <v>5612</v>
      </c>
      <c r="H2643" t="str">
        <f>"00562688"</f>
        <v>00562688</v>
      </c>
      <c r="I2643">
        <v>31.4</v>
      </c>
      <c r="J2643">
        <v>0</v>
      </c>
      <c r="K2643">
        <v>8</v>
      </c>
      <c r="N2643">
        <v>8</v>
      </c>
      <c r="O2643">
        <v>4</v>
      </c>
      <c r="P2643">
        <v>0</v>
      </c>
      <c r="Q2643">
        <v>43.4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D2643">
        <v>43.4</v>
      </c>
    </row>
    <row r="2644" spans="1:30" x14ac:dyDescent="0.3">
      <c r="A2644" s="4">
        <v>2665</v>
      </c>
      <c r="B2644" s="5">
        <v>2637</v>
      </c>
      <c r="C2644">
        <v>3773</v>
      </c>
      <c r="D2644" t="s">
        <v>5613</v>
      </c>
      <c r="E2644" t="s">
        <v>258</v>
      </c>
      <c r="F2644" t="s">
        <v>5614</v>
      </c>
      <c r="G2644" t="s">
        <v>5615</v>
      </c>
      <c r="H2644" t="str">
        <f>"00303088"</f>
        <v>00303088</v>
      </c>
      <c r="I2644">
        <v>18.28</v>
      </c>
      <c r="J2644">
        <v>10</v>
      </c>
      <c r="N2644">
        <v>0</v>
      </c>
      <c r="O2644">
        <v>4</v>
      </c>
      <c r="P2644">
        <v>2</v>
      </c>
      <c r="Q2644">
        <v>34.28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9</v>
      </c>
      <c r="AB2644">
        <v>0</v>
      </c>
      <c r="AD2644">
        <v>43.28</v>
      </c>
    </row>
    <row r="2645" spans="1:30" x14ac:dyDescent="0.3">
      <c r="A2645" s="4">
        <v>2666</v>
      </c>
      <c r="B2645" s="5">
        <v>2638</v>
      </c>
      <c r="C2645">
        <v>4200</v>
      </c>
      <c r="D2645" t="s">
        <v>3382</v>
      </c>
      <c r="E2645" t="s">
        <v>2193</v>
      </c>
      <c r="F2645" t="s">
        <v>68</v>
      </c>
      <c r="G2645" t="s">
        <v>5616</v>
      </c>
      <c r="H2645" t="str">
        <f>"00685490"</f>
        <v>00685490</v>
      </c>
      <c r="I2645">
        <v>25.2</v>
      </c>
      <c r="J2645">
        <v>0</v>
      </c>
      <c r="K2645">
        <v>8</v>
      </c>
      <c r="N2645">
        <v>8</v>
      </c>
      <c r="O2645">
        <v>4</v>
      </c>
      <c r="P2645">
        <v>0</v>
      </c>
      <c r="Q2645">
        <v>37.200000000000003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6</v>
      </c>
      <c r="AB2645">
        <v>0</v>
      </c>
      <c r="AD2645">
        <v>43.2</v>
      </c>
    </row>
    <row r="2646" spans="1:30" x14ac:dyDescent="0.3">
      <c r="A2646" s="4">
        <v>2667</v>
      </c>
      <c r="B2646" s="5">
        <v>2639</v>
      </c>
      <c r="C2646">
        <v>2376</v>
      </c>
      <c r="D2646" t="s">
        <v>5617</v>
      </c>
      <c r="E2646" t="s">
        <v>147</v>
      </c>
      <c r="F2646" t="s">
        <v>2561</v>
      </c>
      <c r="G2646" t="s">
        <v>5618</v>
      </c>
      <c r="H2646" t="str">
        <f>"00862721"</f>
        <v>00862721</v>
      </c>
      <c r="I2646">
        <v>34.200000000000003</v>
      </c>
      <c r="J2646">
        <v>0</v>
      </c>
      <c r="N2646">
        <v>0</v>
      </c>
      <c r="O2646">
        <v>4</v>
      </c>
      <c r="P2646">
        <v>2</v>
      </c>
      <c r="Q2646">
        <v>40.200000000000003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3</v>
      </c>
      <c r="AB2646">
        <v>0</v>
      </c>
      <c r="AD2646">
        <v>43.2</v>
      </c>
    </row>
    <row r="2647" spans="1:30" x14ac:dyDescent="0.3">
      <c r="A2647" s="4">
        <v>2668</v>
      </c>
      <c r="B2647" s="5">
        <v>2640</v>
      </c>
      <c r="C2647">
        <v>460</v>
      </c>
      <c r="D2647" t="s">
        <v>1791</v>
      </c>
      <c r="E2647" t="s">
        <v>115</v>
      </c>
      <c r="F2647" t="s">
        <v>38</v>
      </c>
      <c r="G2647" t="s">
        <v>5619</v>
      </c>
      <c r="H2647" t="str">
        <f>"00644158"</f>
        <v>00644158</v>
      </c>
      <c r="I2647">
        <v>43.2</v>
      </c>
      <c r="J2647">
        <v>0</v>
      </c>
      <c r="N2647">
        <v>0</v>
      </c>
      <c r="O2647">
        <v>0</v>
      </c>
      <c r="P2647">
        <v>0</v>
      </c>
      <c r="Q2647">
        <v>43.2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D2647">
        <v>43.2</v>
      </c>
    </row>
    <row r="2648" spans="1:30" x14ac:dyDescent="0.3">
      <c r="A2648" s="4">
        <v>2669</v>
      </c>
      <c r="B2648" s="5">
        <v>2641</v>
      </c>
      <c r="C2648">
        <v>4691</v>
      </c>
      <c r="D2648" t="s">
        <v>731</v>
      </c>
      <c r="E2648" t="s">
        <v>5620</v>
      </c>
      <c r="F2648" t="s">
        <v>52</v>
      </c>
      <c r="G2648" t="s">
        <v>5621</v>
      </c>
      <c r="H2648" t="str">
        <f>"00866533"</f>
        <v>00866533</v>
      </c>
      <c r="I2648">
        <v>43.2</v>
      </c>
      <c r="J2648">
        <v>0</v>
      </c>
      <c r="N2648">
        <v>0</v>
      </c>
      <c r="O2648">
        <v>0</v>
      </c>
      <c r="P2648">
        <v>0</v>
      </c>
      <c r="Q2648">
        <v>43.2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D2648">
        <v>43.2</v>
      </c>
    </row>
    <row r="2649" spans="1:30" x14ac:dyDescent="0.3">
      <c r="A2649" s="4">
        <v>2670</v>
      </c>
      <c r="B2649" s="5">
        <v>2642</v>
      </c>
      <c r="C2649">
        <v>1158</v>
      </c>
      <c r="D2649" t="s">
        <v>5622</v>
      </c>
      <c r="E2649" t="s">
        <v>29</v>
      </c>
      <c r="F2649" t="s">
        <v>81</v>
      </c>
      <c r="G2649" t="s">
        <v>5623</v>
      </c>
      <c r="H2649" t="str">
        <f>"00856778"</f>
        <v>00856778</v>
      </c>
      <c r="I2649">
        <v>43.2</v>
      </c>
      <c r="J2649">
        <v>0</v>
      </c>
      <c r="N2649">
        <v>0</v>
      </c>
      <c r="O2649">
        <v>0</v>
      </c>
      <c r="P2649">
        <v>0</v>
      </c>
      <c r="Q2649">
        <v>43.2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D2649">
        <v>43.2</v>
      </c>
    </row>
    <row r="2650" spans="1:30" x14ac:dyDescent="0.3">
      <c r="A2650" s="4">
        <v>2671</v>
      </c>
      <c r="B2650" s="5">
        <v>2643</v>
      </c>
      <c r="C2650">
        <v>328</v>
      </c>
      <c r="D2650" t="s">
        <v>5624</v>
      </c>
      <c r="E2650" t="s">
        <v>54</v>
      </c>
      <c r="F2650" t="s">
        <v>782</v>
      </c>
      <c r="G2650" t="s">
        <v>5625</v>
      </c>
      <c r="H2650" t="str">
        <f>"00857951"</f>
        <v>00857951</v>
      </c>
      <c r="I2650">
        <v>43.2</v>
      </c>
      <c r="J2650">
        <v>0</v>
      </c>
      <c r="N2650">
        <v>0</v>
      </c>
      <c r="O2650">
        <v>0</v>
      </c>
      <c r="P2650">
        <v>0</v>
      </c>
      <c r="Q2650">
        <v>43.2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D2650">
        <v>43.2</v>
      </c>
    </row>
    <row r="2651" spans="1:30" x14ac:dyDescent="0.3">
      <c r="A2651" s="4">
        <v>2672</v>
      </c>
      <c r="B2651" s="5">
        <v>2644</v>
      </c>
      <c r="C2651">
        <v>1694</v>
      </c>
      <c r="D2651" t="s">
        <v>1097</v>
      </c>
      <c r="E2651" t="s">
        <v>390</v>
      </c>
      <c r="F2651" t="s">
        <v>117</v>
      </c>
      <c r="G2651" t="s">
        <v>5626</v>
      </c>
      <c r="H2651" t="str">
        <f>"00544498"</f>
        <v>00544498</v>
      </c>
      <c r="I2651">
        <v>43.2</v>
      </c>
      <c r="J2651">
        <v>0</v>
      </c>
      <c r="N2651">
        <v>0</v>
      </c>
      <c r="O2651">
        <v>0</v>
      </c>
      <c r="P2651">
        <v>0</v>
      </c>
      <c r="Q2651">
        <v>43.2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D2651">
        <v>43.2</v>
      </c>
    </row>
    <row r="2652" spans="1:30" x14ac:dyDescent="0.3">
      <c r="A2652" s="4">
        <v>2673</v>
      </c>
      <c r="B2652" s="5">
        <v>2645</v>
      </c>
      <c r="C2652">
        <v>803</v>
      </c>
      <c r="D2652" t="s">
        <v>5627</v>
      </c>
      <c r="E2652" t="s">
        <v>110</v>
      </c>
      <c r="F2652" t="s">
        <v>20</v>
      </c>
      <c r="G2652" t="s">
        <v>5628</v>
      </c>
      <c r="H2652" t="str">
        <f>"00857603"</f>
        <v>00857603</v>
      </c>
      <c r="I2652">
        <v>43.2</v>
      </c>
      <c r="J2652">
        <v>0</v>
      </c>
      <c r="N2652">
        <v>0</v>
      </c>
      <c r="O2652">
        <v>0</v>
      </c>
      <c r="P2652">
        <v>0</v>
      </c>
      <c r="Q2652">
        <v>43.2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D2652">
        <v>43.2</v>
      </c>
    </row>
    <row r="2653" spans="1:30" x14ac:dyDescent="0.3">
      <c r="A2653" s="4">
        <v>2674</v>
      </c>
      <c r="B2653" s="5">
        <v>2646</v>
      </c>
      <c r="C2653">
        <v>1596</v>
      </c>
      <c r="D2653" t="s">
        <v>5629</v>
      </c>
      <c r="E2653" t="s">
        <v>5630</v>
      </c>
      <c r="F2653" t="s">
        <v>2561</v>
      </c>
      <c r="G2653" t="s">
        <v>5631</v>
      </c>
      <c r="H2653" t="str">
        <f>"00856887"</f>
        <v>00856887</v>
      </c>
      <c r="I2653">
        <v>43.2</v>
      </c>
      <c r="J2653">
        <v>0</v>
      </c>
      <c r="N2653">
        <v>0</v>
      </c>
      <c r="O2653">
        <v>0</v>
      </c>
      <c r="P2653">
        <v>0</v>
      </c>
      <c r="Q2653">
        <v>43.2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D2653">
        <v>43.2</v>
      </c>
    </row>
    <row r="2654" spans="1:30" x14ac:dyDescent="0.3">
      <c r="A2654" s="4">
        <v>2675</v>
      </c>
      <c r="B2654" s="5">
        <v>2647</v>
      </c>
      <c r="C2654">
        <v>2457</v>
      </c>
      <c r="D2654" t="s">
        <v>5632</v>
      </c>
      <c r="E2654" t="s">
        <v>5633</v>
      </c>
      <c r="F2654" t="s">
        <v>466</v>
      </c>
      <c r="G2654" t="s">
        <v>5634</v>
      </c>
      <c r="H2654" t="str">
        <f>"00863629"</f>
        <v>00863629</v>
      </c>
      <c r="I2654">
        <v>43.2</v>
      </c>
      <c r="J2654">
        <v>0</v>
      </c>
      <c r="N2654">
        <v>0</v>
      </c>
      <c r="O2654">
        <v>0</v>
      </c>
      <c r="P2654">
        <v>0</v>
      </c>
      <c r="Q2654">
        <v>43.2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D2654">
        <v>43.2</v>
      </c>
    </row>
    <row r="2655" spans="1:30" x14ac:dyDescent="0.3">
      <c r="A2655" s="4">
        <v>2676</v>
      </c>
      <c r="B2655" s="5">
        <v>2648</v>
      </c>
      <c r="C2655">
        <v>4377</v>
      </c>
      <c r="D2655" t="s">
        <v>5635</v>
      </c>
      <c r="E2655" t="s">
        <v>126</v>
      </c>
      <c r="F2655" t="s">
        <v>81</v>
      </c>
      <c r="G2655" t="s">
        <v>5636</v>
      </c>
      <c r="H2655" t="str">
        <f>"00528646"</f>
        <v>00528646</v>
      </c>
      <c r="I2655">
        <v>43.2</v>
      </c>
      <c r="J2655">
        <v>0</v>
      </c>
      <c r="N2655">
        <v>0</v>
      </c>
      <c r="O2655">
        <v>0</v>
      </c>
      <c r="P2655">
        <v>0</v>
      </c>
      <c r="Q2655">
        <v>43.2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D2655">
        <v>43.2</v>
      </c>
    </row>
    <row r="2656" spans="1:30" x14ac:dyDescent="0.3">
      <c r="A2656" s="4">
        <v>2677</v>
      </c>
      <c r="B2656" s="5">
        <v>2649</v>
      </c>
      <c r="C2656">
        <v>2956</v>
      </c>
      <c r="D2656" t="s">
        <v>5637</v>
      </c>
      <c r="E2656" t="s">
        <v>161</v>
      </c>
      <c r="F2656" t="s">
        <v>136</v>
      </c>
      <c r="G2656" t="s">
        <v>5638</v>
      </c>
      <c r="H2656" t="str">
        <f>"00860608"</f>
        <v>00860608</v>
      </c>
      <c r="I2656">
        <v>43.2</v>
      </c>
      <c r="J2656">
        <v>0</v>
      </c>
      <c r="N2656">
        <v>0</v>
      </c>
      <c r="O2656">
        <v>0</v>
      </c>
      <c r="P2656">
        <v>0</v>
      </c>
      <c r="Q2656">
        <v>43.2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D2656">
        <v>43.2</v>
      </c>
    </row>
    <row r="2657" spans="1:30" x14ac:dyDescent="0.3">
      <c r="A2657" s="4">
        <v>2678</v>
      </c>
      <c r="B2657" s="5">
        <v>2650</v>
      </c>
      <c r="C2657">
        <v>4816</v>
      </c>
      <c r="D2657" t="s">
        <v>181</v>
      </c>
      <c r="E2657" t="s">
        <v>33</v>
      </c>
      <c r="F2657" t="s">
        <v>117</v>
      </c>
      <c r="G2657" t="s">
        <v>5639</v>
      </c>
      <c r="H2657" t="str">
        <f>"00864484"</f>
        <v>00864484</v>
      </c>
      <c r="I2657">
        <v>39.200000000000003</v>
      </c>
      <c r="J2657">
        <v>0</v>
      </c>
      <c r="M2657">
        <v>4</v>
      </c>
      <c r="N2657">
        <v>4</v>
      </c>
      <c r="O2657">
        <v>0</v>
      </c>
      <c r="P2657">
        <v>0</v>
      </c>
      <c r="Q2657">
        <v>43.2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D2657">
        <v>43.2</v>
      </c>
    </row>
    <row r="2658" spans="1:30" x14ac:dyDescent="0.3">
      <c r="A2658" s="4">
        <v>2679</v>
      </c>
      <c r="B2658" s="5">
        <v>2651</v>
      </c>
      <c r="C2658">
        <v>109</v>
      </c>
      <c r="D2658" t="s">
        <v>5640</v>
      </c>
      <c r="E2658" t="s">
        <v>1809</v>
      </c>
      <c r="F2658" t="s">
        <v>55</v>
      </c>
      <c r="G2658" t="s">
        <v>5641</v>
      </c>
      <c r="H2658" t="str">
        <f>"00704096"</f>
        <v>00704096</v>
      </c>
      <c r="I2658">
        <v>39.200000000000003</v>
      </c>
      <c r="J2658">
        <v>0</v>
      </c>
      <c r="N2658">
        <v>0</v>
      </c>
      <c r="O2658">
        <v>4</v>
      </c>
      <c r="P2658">
        <v>0</v>
      </c>
      <c r="Q2658">
        <v>43.2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D2658">
        <v>43.2</v>
      </c>
    </row>
    <row r="2659" spans="1:30" x14ac:dyDescent="0.3">
      <c r="A2659" s="4">
        <v>2680</v>
      </c>
      <c r="B2659" s="5">
        <v>2652</v>
      </c>
      <c r="C2659">
        <v>1970</v>
      </c>
      <c r="D2659" t="s">
        <v>5642</v>
      </c>
      <c r="E2659" t="s">
        <v>29</v>
      </c>
      <c r="F2659" t="s">
        <v>34</v>
      </c>
      <c r="G2659" t="s">
        <v>5643</v>
      </c>
      <c r="H2659" t="str">
        <f>"00318713"</f>
        <v>00318713</v>
      </c>
      <c r="I2659">
        <v>39.200000000000003</v>
      </c>
      <c r="J2659">
        <v>0</v>
      </c>
      <c r="N2659">
        <v>0</v>
      </c>
      <c r="O2659">
        <v>4</v>
      </c>
      <c r="P2659">
        <v>0</v>
      </c>
      <c r="Q2659">
        <v>43.2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D2659">
        <v>43.2</v>
      </c>
    </row>
    <row r="2660" spans="1:30" x14ac:dyDescent="0.3">
      <c r="A2660" s="4">
        <v>2681</v>
      </c>
      <c r="B2660" s="5">
        <v>2653</v>
      </c>
      <c r="C2660">
        <v>3046</v>
      </c>
      <c r="D2660" t="s">
        <v>2066</v>
      </c>
      <c r="E2660" t="s">
        <v>22</v>
      </c>
      <c r="F2660" t="s">
        <v>68</v>
      </c>
      <c r="G2660" t="s">
        <v>5644</v>
      </c>
      <c r="H2660" t="str">
        <f>"200910000500"</f>
        <v>200910000500</v>
      </c>
      <c r="I2660">
        <v>37.200000000000003</v>
      </c>
      <c r="J2660">
        <v>0</v>
      </c>
      <c r="N2660">
        <v>0</v>
      </c>
      <c r="O2660">
        <v>4</v>
      </c>
      <c r="P2660">
        <v>2</v>
      </c>
      <c r="Q2660">
        <v>43.2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D2660">
        <v>43.2</v>
      </c>
    </row>
    <row r="2661" spans="1:30" x14ac:dyDescent="0.3">
      <c r="A2661" s="4">
        <v>2682</v>
      </c>
      <c r="B2661" s="5">
        <v>2654</v>
      </c>
      <c r="C2661">
        <v>736</v>
      </c>
      <c r="D2661" t="s">
        <v>451</v>
      </c>
      <c r="E2661" t="s">
        <v>54</v>
      </c>
      <c r="F2661" t="s">
        <v>158</v>
      </c>
      <c r="G2661" t="s">
        <v>5645</v>
      </c>
      <c r="H2661" t="str">
        <f>"00701440"</f>
        <v>00701440</v>
      </c>
      <c r="I2661">
        <v>35.200000000000003</v>
      </c>
      <c r="J2661">
        <v>0</v>
      </c>
      <c r="M2661">
        <v>4</v>
      </c>
      <c r="N2661">
        <v>4</v>
      </c>
      <c r="O2661">
        <v>4</v>
      </c>
      <c r="P2661">
        <v>0</v>
      </c>
      <c r="Q2661">
        <v>43.2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D2661">
        <v>43.2</v>
      </c>
    </row>
    <row r="2662" spans="1:30" x14ac:dyDescent="0.3">
      <c r="A2662" s="4">
        <v>2683</v>
      </c>
      <c r="B2662" s="5">
        <v>2655</v>
      </c>
      <c r="C2662">
        <v>227</v>
      </c>
      <c r="D2662" t="s">
        <v>5646</v>
      </c>
      <c r="E2662" t="s">
        <v>41</v>
      </c>
      <c r="F2662" t="s">
        <v>626</v>
      </c>
      <c r="G2662" t="s">
        <v>5647</v>
      </c>
      <c r="H2662" t="str">
        <f>"00858519"</f>
        <v>00858519</v>
      </c>
      <c r="I2662">
        <v>33.200000000000003</v>
      </c>
      <c r="J2662">
        <v>10</v>
      </c>
      <c r="N2662">
        <v>0</v>
      </c>
      <c r="O2662">
        <v>0</v>
      </c>
      <c r="P2662">
        <v>0</v>
      </c>
      <c r="Q2662">
        <v>43.2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D2662">
        <v>43.2</v>
      </c>
    </row>
    <row r="2663" spans="1:30" x14ac:dyDescent="0.3">
      <c r="A2663" s="4">
        <v>2684</v>
      </c>
      <c r="B2663" s="5">
        <v>2656</v>
      </c>
      <c r="C2663">
        <v>1062</v>
      </c>
      <c r="D2663" t="s">
        <v>267</v>
      </c>
      <c r="E2663" t="s">
        <v>147</v>
      </c>
      <c r="F2663" t="s">
        <v>91</v>
      </c>
      <c r="G2663" t="s">
        <v>5648</v>
      </c>
      <c r="H2663" t="str">
        <f>"201411001591"</f>
        <v>201411001591</v>
      </c>
      <c r="I2663">
        <v>31.2</v>
      </c>
      <c r="J2663">
        <v>0</v>
      </c>
      <c r="K2663">
        <v>8</v>
      </c>
      <c r="N2663">
        <v>8</v>
      </c>
      <c r="O2663">
        <v>4</v>
      </c>
      <c r="P2663">
        <v>0</v>
      </c>
      <c r="Q2663">
        <v>43.2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D2663">
        <v>43.2</v>
      </c>
    </row>
    <row r="2664" spans="1:30" x14ac:dyDescent="0.3">
      <c r="A2664" s="4">
        <v>2685</v>
      </c>
      <c r="B2664" s="5">
        <v>2657</v>
      </c>
      <c r="C2664">
        <v>192</v>
      </c>
      <c r="D2664" t="s">
        <v>5649</v>
      </c>
      <c r="E2664" t="s">
        <v>2157</v>
      </c>
      <c r="F2664" t="s">
        <v>190</v>
      </c>
      <c r="G2664" t="s">
        <v>5650</v>
      </c>
      <c r="H2664" t="str">
        <f>"00857905"</f>
        <v>00857905</v>
      </c>
      <c r="I2664">
        <v>30.16</v>
      </c>
      <c r="J2664">
        <v>0</v>
      </c>
      <c r="N2664">
        <v>0</v>
      </c>
      <c r="O2664">
        <v>4</v>
      </c>
      <c r="P2664">
        <v>0</v>
      </c>
      <c r="Q2664">
        <v>34.159999999999997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9</v>
      </c>
      <c r="AB2664">
        <v>0</v>
      </c>
      <c r="AD2664">
        <v>43.16</v>
      </c>
    </row>
    <row r="2665" spans="1:30" x14ac:dyDescent="0.3">
      <c r="A2665" s="4">
        <v>2686</v>
      </c>
      <c r="B2665" s="5">
        <v>2658</v>
      </c>
      <c r="C2665">
        <v>4501</v>
      </c>
      <c r="D2665" t="s">
        <v>5651</v>
      </c>
      <c r="E2665" t="s">
        <v>29</v>
      </c>
      <c r="F2665" t="s">
        <v>30</v>
      </c>
      <c r="G2665" t="s">
        <v>5652</v>
      </c>
      <c r="H2665" t="str">
        <f>"00488625"</f>
        <v>00488625</v>
      </c>
      <c r="I2665">
        <v>22.16</v>
      </c>
      <c r="J2665">
        <v>10</v>
      </c>
      <c r="N2665">
        <v>0</v>
      </c>
      <c r="O2665">
        <v>4</v>
      </c>
      <c r="P2665">
        <v>2</v>
      </c>
      <c r="Q2665">
        <v>38.159999999999997</v>
      </c>
      <c r="R2665">
        <v>5</v>
      </c>
      <c r="S2665">
        <v>5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5</v>
      </c>
      <c r="AA2665">
        <v>0</v>
      </c>
      <c r="AB2665">
        <v>0</v>
      </c>
      <c r="AD2665">
        <v>43.16</v>
      </c>
    </row>
    <row r="2666" spans="1:30" x14ac:dyDescent="0.3">
      <c r="A2666" s="4">
        <v>2687</v>
      </c>
      <c r="B2666" s="5">
        <v>2659</v>
      </c>
      <c r="C2666">
        <v>1846</v>
      </c>
      <c r="D2666" t="s">
        <v>1035</v>
      </c>
      <c r="E2666" t="s">
        <v>51</v>
      </c>
      <c r="F2666" t="s">
        <v>1511</v>
      </c>
      <c r="G2666" t="s">
        <v>5653</v>
      </c>
      <c r="H2666" t="str">
        <f>"00281273"</f>
        <v>00281273</v>
      </c>
      <c r="I2666">
        <v>35.119999999999997</v>
      </c>
      <c r="J2666">
        <v>0</v>
      </c>
      <c r="N2666">
        <v>0</v>
      </c>
      <c r="O2666">
        <v>0</v>
      </c>
      <c r="P2666">
        <v>2</v>
      </c>
      <c r="Q2666">
        <v>37.119999999999997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6</v>
      </c>
      <c r="AB2666">
        <v>0</v>
      </c>
      <c r="AD2666">
        <v>43.12</v>
      </c>
    </row>
    <row r="2667" spans="1:30" x14ac:dyDescent="0.3">
      <c r="A2667" s="4">
        <v>2688</v>
      </c>
      <c r="B2667" s="5">
        <v>2660</v>
      </c>
      <c r="C2667">
        <v>1294</v>
      </c>
      <c r="D2667" t="s">
        <v>5654</v>
      </c>
      <c r="E2667" t="s">
        <v>29</v>
      </c>
      <c r="F2667" t="s">
        <v>30</v>
      </c>
      <c r="G2667" t="s">
        <v>5655</v>
      </c>
      <c r="H2667" t="str">
        <f>"200801004359"</f>
        <v>200801004359</v>
      </c>
      <c r="I2667">
        <v>18.12</v>
      </c>
      <c r="J2667">
        <v>10</v>
      </c>
      <c r="L2667">
        <v>6</v>
      </c>
      <c r="N2667">
        <v>6</v>
      </c>
      <c r="O2667">
        <v>4</v>
      </c>
      <c r="P2667">
        <v>2</v>
      </c>
      <c r="Q2667">
        <v>40.119999999999997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3</v>
      </c>
      <c r="AB2667">
        <v>0</v>
      </c>
      <c r="AD2667">
        <v>43.12</v>
      </c>
    </row>
    <row r="2668" spans="1:30" x14ac:dyDescent="0.3">
      <c r="A2668" s="4">
        <v>2689</v>
      </c>
      <c r="B2668" s="5">
        <v>2661</v>
      </c>
      <c r="C2668">
        <v>1954</v>
      </c>
      <c r="D2668" t="s">
        <v>767</v>
      </c>
      <c r="E2668" t="s">
        <v>166</v>
      </c>
      <c r="F2668" t="s">
        <v>298</v>
      </c>
      <c r="G2668" t="s">
        <v>5656</v>
      </c>
      <c r="H2668" t="str">
        <f>"201604006006"</f>
        <v>201604006006</v>
      </c>
      <c r="I2668">
        <v>21.08</v>
      </c>
      <c r="J2668">
        <v>10</v>
      </c>
      <c r="N2668">
        <v>0</v>
      </c>
      <c r="O2668">
        <v>4</v>
      </c>
      <c r="P2668">
        <v>2</v>
      </c>
      <c r="Q2668">
        <v>37.08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6</v>
      </c>
      <c r="AB2668">
        <v>0</v>
      </c>
      <c r="AD2668">
        <v>43.08</v>
      </c>
    </row>
    <row r="2669" spans="1:30" x14ac:dyDescent="0.3">
      <c r="A2669" s="4">
        <v>2690</v>
      </c>
      <c r="B2669" s="5">
        <v>2662</v>
      </c>
      <c r="C2669">
        <v>4428</v>
      </c>
      <c r="D2669" t="s">
        <v>1907</v>
      </c>
      <c r="E2669" t="s">
        <v>41</v>
      </c>
      <c r="F2669" t="s">
        <v>38</v>
      </c>
      <c r="G2669" t="s">
        <v>5657</v>
      </c>
      <c r="H2669" t="str">
        <f>"00110589"</f>
        <v>00110589</v>
      </c>
      <c r="I2669">
        <v>31.08</v>
      </c>
      <c r="J2669">
        <v>0</v>
      </c>
      <c r="K2669">
        <v>8</v>
      </c>
      <c r="N2669">
        <v>8</v>
      </c>
      <c r="O2669">
        <v>4</v>
      </c>
      <c r="P2669">
        <v>0</v>
      </c>
      <c r="Q2669">
        <v>43.08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D2669">
        <v>43.08</v>
      </c>
    </row>
    <row r="2670" spans="1:30" x14ac:dyDescent="0.3">
      <c r="A2670" s="4">
        <v>2691</v>
      </c>
      <c r="B2670" s="5">
        <v>2663</v>
      </c>
      <c r="C2670">
        <v>4143</v>
      </c>
      <c r="D2670" t="s">
        <v>5658</v>
      </c>
      <c r="E2670" t="s">
        <v>88</v>
      </c>
      <c r="F2670" t="s">
        <v>259</v>
      </c>
      <c r="G2670" t="s">
        <v>5659</v>
      </c>
      <c r="H2670" t="str">
        <f>"00532238"</f>
        <v>00532238</v>
      </c>
      <c r="I2670">
        <v>33.08</v>
      </c>
      <c r="J2670">
        <v>0</v>
      </c>
      <c r="N2670">
        <v>0</v>
      </c>
      <c r="O2670">
        <v>4</v>
      </c>
      <c r="P2670">
        <v>0</v>
      </c>
      <c r="Q2670">
        <v>37.08</v>
      </c>
      <c r="R2670">
        <v>6</v>
      </c>
      <c r="S2670">
        <v>6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6</v>
      </c>
      <c r="AA2670">
        <v>0</v>
      </c>
      <c r="AB2670">
        <v>0</v>
      </c>
      <c r="AD2670">
        <v>43.08</v>
      </c>
    </row>
    <row r="2671" spans="1:30" x14ac:dyDescent="0.3">
      <c r="A2671" s="4">
        <v>2692</v>
      </c>
      <c r="B2671" s="5">
        <v>2664</v>
      </c>
      <c r="C2671">
        <v>4159</v>
      </c>
      <c r="D2671" t="s">
        <v>5660</v>
      </c>
      <c r="E2671" t="s">
        <v>268</v>
      </c>
      <c r="F2671" t="s">
        <v>38</v>
      </c>
      <c r="G2671" t="s">
        <v>5661</v>
      </c>
      <c r="H2671" t="str">
        <f>"00686670"</f>
        <v>00686670</v>
      </c>
      <c r="I2671">
        <v>30</v>
      </c>
      <c r="J2671">
        <v>0</v>
      </c>
      <c r="N2671">
        <v>0</v>
      </c>
      <c r="O2671">
        <v>4</v>
      </c>
      <c r="P2671">
        <v>0</v>
      </c>
      <c r="Q2671">
        <v>34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9</v>
      </c>
      <c r="AB2671">
        <v>0</v>
      </c>
      <c r="AD2671">
        <v>43</v>
      </c>
    </row>
    <row r="2672" spans="1:30" x14ac:dyDescent="0.3">
      <c r="A2672" s="4">
        <v>2693</v>
      </c>
      <c r="B2672" s="5">
        <v>2665</v>
      </c>
      <c r="C2672">
        <v>1095</v>
      </c>
      <c r="D2672" t="s">
        <v>5662</v>
      </c>
      <c r="E2672" t="s">
        <v>335</v>
      </c>
      <c r="F2672" t="s">
        <v>17</v>
      </c>
      <c r="G2672" t="s">
        <v>5663</v>
      </c>
      <c r="H2672" t="str">
        <f>"201406018110"</f>
        <v>201406018110</v>
      </c>
      <c r="I2672">
        <v>36</v>
      </c>
      <c r="J2672">
        <v>0</v>
      </c>
      <c r="M2672">
        <v>4</v>
      </c>
      <c r="N2672">
        <v>4</v>
      </c>
      <c r="O2672">
        <v>0</v>
      </c>
      <c r="P2672">
        <v>0</v>
      </c>
      <c r="Q2672">
        <v>40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3</v>
      </c>
      <c r="AB2672">
        <v>0</v>
      </c>
      <c r="AD2672">
        <v>43</v>
      </c>
    </row>
    <row r="2673" spans="1:30" x14ac:dyDescent="0.3">
      <c r="A2673" s="4">
        <v>2694</v>
      </c>
      <c r="B2673" s="5">
        <v>2666</v>
      </c>
      <c r="C2673">
        <v>3726</v>
      </c>
      <c r="D2673" t="s">
        <v>5664</v>
      </c>
      <c r="E2673" t="s">
        <v>166</v>
      </c>
      <c r="F2673" t="s">
        <v>167</v>
      </c>
      <c r="G2673" t="s">
        <v>5665</v>
      </c>
      <c r="H2673" t="str">
        <f>"200802011370"</f>
        <v>200802011370</v>
      </c>
      <c r="I2673">
        <v>36</v>
      </c>
      <c r="J2673">
        <v>0</v>
      </c>
      <c r="N2673">
        <v>0</v>
      </c>
      <c r="O2673">
        <v>4</v>
      </c>
      <c r="P2673">
        <v>0</v>
      </c>
      <c r="Q2673">
        <v>40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3</v>
      </c>
      <c r="AB2673">
        <v>0</v>
      </c>
      <c r="AC2673" t="s">
        <v>130</v>
      </c>
      <c r="AD2673">
        <v>43</v>
      </c>
    </row>
    <row r="2674" spans="1:30" x14ac:dyDescent="0.3">
      <c r="A2674" s="4">
        <v>2695</v>
      </c>
      <c r="B2674" s="5">
        <v>2667</v>
      </c>
      <c r="C2674">
        <v>3510</v>
      </c>
      <c r="D2674" t="s">
        <v>2600</v>
      </c>
      <c r="E2674" t="s">
        <v>957</v>
      </c>
      <c r="F2674" t="s">
        <v>17</v>
      </c>
      <c r="G2674" t="s">
        <v>5666</v>
      </c>
      <c r="H2674" t="str">
        <f>"00854844"</f>
        <v>00854844</v>
      </c>
      <c r="I2674">
        <v>36</v>
      </c>
      <c r="J2674">
        <v>0</v>
      </c>
      <c r="N2674">
        <v>0</v>
      </c>
      <c r="O2674">
        <v>4</v>
      </c>
      <c r="P2674">
        <v>0</v>
      </c>
      <c r="Q2674">
        <v>40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3</v>
      </c>
      <c r="AB2674">
        <v>0</v>
      </c>
      <c r="AD2674">
        <v>43</v>
      </c>
    </row>
    <row r="2675" spans="1:30" x14ac:dyDescent="0.3">
      <c r="A2675" s="4">
        <v>2696</v>
      </c>
      <c r="B2675" s="5">
        <v>2668</v>
      </c>
      <c r="C2675">
        <v>3401</v>
      </c>
      <c r="D2675" t="s">
        <v>5667</v>
      </c>
      <c r="E2675" t="s">
        <v>2481</v>
      </c>
      <c r="F2675" t="s">
        <v>158</v>
      </c>
      <c r="G2675" t="s">
        <v>5668</v>
      </c>
      <c r="H2675" t="str">
        <f>"00805843"</f>
        <v>00805843</v>
      </c>
      <c r="I2675">
        <v>36</v>
      </c>
      <c r="J2675">
        <v>0</v>
      </c>
      <c r="M2675">
        <v>4</v>
      </c>
      <c r="N2675">
        <v>4</v>
      </c>
      <c r="O2675">
        <v>0</v>
      </c>
      <c r="P2675">
        <v>0</v>
      </c>
      <c r="Q2675">
        <v>40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3</v>
      </c>
      <c r="AB2675">
        <v>0</v>
      </c>
      <c r="AD2675">
        <v>43</v>
      </c>
    </row>
    <row r="2676" spans="1:30" x14ac:dyDescent="0.3">
      <c r="A2676" s="4">
        <v>2697</v>
      </c>
      <c r="B2676" s="5">
        <v>2669</v>
      </c>
      <c r="C2676">
        <v>2782</v>
      </c>
      <c r="D2676" t="s">
        <v>5669</v>
      </c>
      <c r="E2676" t="s">
        <v>406</v>
      </c>
      <c r="F2676" t="s">
        <v>17</v>
      </c>
      <c r="G2676" t="s">
        <v>5670</v>
      </c>
      <c r="H2676" t="str">
        <f>"00557099"</f>
        <v>00557099</v>
      </c>
      <c r="I2676">
        <v>36</v>
      </c>
      <c r="J2676">
        <v>0</v>
      </c>
      <c r="N2676">
        <v>0</v>
      </c>
      <c r="O2676">
        <v>4</v>
      </c>
      <c r="P2676">
        <v>0</v>
      </c>
      <c r="Q2676">
        <v>40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3</v>
      </c>
      <c r="AB2676">
        <v>0</v>
      </c>
      <c r="AD2676">
        <v>43</v>
      </c>
    </row>
    <row r="2677" spans="1:30" x14ac:dyDescent="0.3">
      <c r="A2677" s="4">
        <v>2698</v>
      </c>
      <c r="B2677" s="5">
        <v>2670</v>
      </c>
      <c r="C2677">
        <v>1046</v>
      </c>
      <c r="D2677" t="s">
        <v>473</v>
      </c>
      <c r="E2677" t="s">
        <v>22</v>
      </c>
      <c r="F2677" t="s">
        <v>81</v>
      </c>
      <c r="G2677" t="s">
        <v>5671</v>
      </c>
      <c r="H2677" t="str">
        <f>"00512364"</f>
        <v>00512364</v>
      </c>
      <c r="I2677">
        <v>36</v>
      </c>
      <c r="J2677">
        <v>0</v>
      </c>
      <c r="N2677">
        <v>0</v>
      </c>
      <c r="O2677">
        <v>4</v>
      </c>
      <c r="P2677">
        <v>0</v>
      </c>
      <c r="Q2677">
        <v>40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3</v>
      </c>
      <c r="AB2677">
        <v>0</v>
      </c>
      <c r="AD2677">
        <v>43</v>
      </c>
    </row>
    <row r="2678" spans="1:30" x14ac:dyDescent="0.3">
      <c r="A2678" s="4">
        <v>2699</v>
      </c>
      <c r="B2678" s="5">
        <v>2671</v>
      </c>
      <c r="C2678">
        <v>4605</v>
      </c>
      <c r="D2678" t="s">
        <v>3783</v>
      </c>
      <c r="E2678" t="s">
        <v>71</v>
      </c>
      <c r="F2678" t="s">
        <v>117</v>
      </c>
      <c r="G2678" t="s">
        <v>5672</v>
      </c>
      <c r="H2678" t="str">
        <f>"00224313"</f>
        <v>00224313</v>
      </c>
      <c r="I2678">
        <v>36</v>
      </c>
      <c r="J2678">
        <v>0</v>
      </c>
      <c r="N2678">
        <v>0</v>
      </c>
      <c r="O2678">
        <v>4</v>
      </c>
      <c r="P2678">
        <v>0</v>
      </c>
      <c r="Q2678">
        <v>40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3</v>
      </c>
      <c r="AB2678">
        <v>0</v>
      </c>
      <c r="AD2678">
        <v>43</v>
      </c>
    </row>
    <row r="2679" spans="1:30" x14ac:dyDescent="0.3">
      <c r="A2679" s="4">
        <v>2700</v>
      </c>
      <c r="B2679" s="5">
        <v>2672</v>
      </c>
      <c r="C2679">
        <v>828</v>
      </c>
      <c r="D2679" t="s">
        <v>67</v>
      </c>
      <c r="E2679" t="s">
        <v>161</v>
      </c>
      <c r="F2679" t="s">
        <v>840</v>
      </c>
      <c r="G2679" t="s">
        <v>5673</v>
      </c>
      <c r="H2679" t="str">
        <f>"00200819"</f>
        <v>00200819</v>
      </c>
      <c r="I2679">
        <v>36</v>
      </c>
      <c r="J2679">
        <v>0</v>
      </c>
      <c r="N2679">
        <v>0</v>
      </c>
      <c r="O2679">
        <v>4</v>
      </c>
      <c r="P2679">
        <v>0</v>
      </c>
      <c r="Q2679">
        <v>40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3</v>
      </c>
      <c r="AB2679">
        <v>0</v>
      </c>
      <c r="AD2679">
        <v>43</v>
      </c>
    </row>
    <row r="2680" spans="1:30" x14ac:dyDescent="0.3">
      <c r="A2680" s="4">
        <v>2701</v>
      </c>
      <c r="B2680" s="5">
        <v>2673</v>
      </c>
      <c r="C2680">
        <v>1305</v>
      </c>
      <c r="D2680" t="s">
        <v>5674</v>
      </c>
      <c r="E2680" t="s">
        <v>88</v>
      </c>
      <c r="F2680" t="s">
        <v>1854</v>
      </c>
      <c r="G2680" t="s">
        <v>5675</v>
      </c>
      <c r="H2680" t="str">
        <f>"00814438"</f>
        <v>00814438</v>
      </c>
      <c r="I2680">
        <v>36</v>
      </c>
      <c r="J2680">
        <v>0</v>
      </c>
      <c r="N2680">
        <v>0</v>
      </c>
      <c r="O2680">
        <v>4</v>
      </c>
      <c r="P2680">
        <v>0</v>
      </c>
      <c r="Q2680">
        <v>40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3</v>
      </c>
      <c r="AB2680">
        <v>0</v>
      </c>
      <c r="AD2680">
        <v>43</v>
      </c>
    </row>
    <row r="2681" spans="1:30" x14ac:dyDescent="0.3">
      <c r="A2681" s="4">
        <v>2702</v>
      </c>
      <c r="B2681" s="5">
        <v>2674</v>
      </c>
      <c r="C2681">
        <v>2505</v>
      </c>
      <c r="D2681" t="s">
        <v>5676</v>
      </c>
      <c r="E2681" t="s">
        <v>3775</v>
      </c>
      <c r="F2681" t="s">
        <v>30</v>
      </c>
      <c r="G2681" t="s">
        <v>5677</v>
      </c>
      <c r="H2681" t="str">
        <f>"00528484"</f>
        <v>00528484</v>
      </c>
      <c r="I2681">
        <v>20</v>
      </c>
      <c r="J2681">
        <v>0</v>
      </c>
      <c r="K2681">
        <v>8</v>
      </c>
      <c r="N2681">
        <v>8</v>
      </c>
      <c r="O2681">
        <v>4</v>
      </c>
      <c r="P2681">
        <v>0</v>
      </c>
      <c r="Q2681">
        <v>32</v>
      </c>
      <c r="R2681">
        <v>8</v>
      </c>
      <c r="S2681">
        <v>8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8</v>
      </c>
      <c r="AA2681">
        <v>3</v>
      </c>
      <c r="AB2681">
        <v>0</v>
      </c>
      <c r="AC2681" t="s">
        <v>130</v>
      </c>
      <c r="AD2681">
        <v>43</v>
      </c>
    </row>
    <row r="2682" spans="1:30" x14ac:dyDescent="0.3">
      <c r="A2682" s="4">
        <v>2703</v>
      </c>
      <c r="B2682" s="5">
        <v>2675</v>
      </c>
      <c r="C2682">
        <v>3761</v>
      </c>
      <c r="D2682" t="s">
        <v>5678</v>
      </c>
      <c r="E2682" t="s">
        <v>88</v>
      </c>
      <c r="F2682" t="s">
        <v>381</v>
      </c>
      <c r="G2682" t="s">
        <v>5679</v>
      </c>
      <c r="H2682" t="str">
        <f>"00527185"</f>
        <v>00527185</v>
      </c>
      <c r="I2682">
        <v>32.92</v>
      </c>
      <c r="J2682">
        <v>0</v>
      </c>
      <c r="M2682">
        <v>4</v>
      </c>
      <c r="N2682">
        <v>4</v>
      </c>
      <c r="O2682">
        <v>4</v>
      </c>
      <c r="P2682">
        <v>2</v>
      </c>
      <c r="Q2682">
        <v>42.92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D2682">
        <v>42.92</v>
      </c>
    </row>
    <row r="2683" spans="1:30" x14ac:dyDescent="0.3">
      <c r="A2683" s="4">
        <v>2704</v>
      </c>
      <c r="B2683" s="5">
        <v>2676</v>
      </c>
      <c r="C2683">
        <v>1443</v>
      </c>
      <c r="D2683" t="s">
        <v>181</v>
      </c>
      <c r="E2683" t="s">
        <v>161</v>
      </c>
      <c r="F2683" t="s">
        <v>38</v>
      </c>
      <c r="G2683" t="s">
        <v>5680</v>
      </c>
      <c r="H2683" t="str">
        <f>"00532577"</f>
        <v>00532577</v>
      </c>
      <c r="I2683">
        <v>32.880000000000003</v>
      </c>
      <c r="J2683">
        <v>0</v>
      </c>
      <c r="N2683">
        <v>0</v>
      </c>
      <c r="O2683">
        <v>4</v>
      </c>
      <c r="P2683">
        <v>0</v>
      </c>
      <c r="Q2683">
        <v>36.880000000000003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6</v>
      </c>
      <c r="AB2683">
        <v>0</v>
      </c>
      <c r="AD2683">
        <v>42.88</v>
      </c>
    </row>
    <row r="2684" spans="1:30" x14ac:dyDescent="0.3">
      <c r="A2684" s="4">
        <v>2705</v>
      </c>
      <c r="B2684" s="5">
        <v>2677</v>
      </c>
      <c r="C2684">
        <v>1689</v>
      </c>
      <c r="D2684" t="s">
        <v>5681</v>
      </c>
      <c r="E2684" t="s">
        <v>5682</v>
      </c>
      <c r="F2684" t="s">
        <v>62</v>
      </c>
      <c r="G2684" t="s">
        <v>5683</v>
      </c>
      <c r="H2684" t="str">
        <f>"00504411"</f>
        <v>00504411</v>
      </c>
      <c r="I2684">
        <v>9.8800000000000008</v>
      </c>
      <c r="J2684">
        <v>0</v>
      </c>
      <c r="N2684">
        <v>0</v>
      </c>
      <c r="O2684">
        <v>4</v>
      </c>
      <c r="P2684">
        <v>0</v>
      </c>
      <c r="Q2684">
        <v>13.88</v>
      </c>
      <c r="R2684">
        <v>26</v>
      </c>
      <c r="S2684">
        <v>26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26</v>
      </c>
      <c r="AA2684">
        <v>3</v>
      </c>
      <c r="AB2684">
        <v>0</v>
      </c>
      <c r="AD2684">
        <v>42.88</v>
      </c>
    </row>
    <row r="2685" spans="1:30" x14ac:dyDescent="0.3">
      <c r="A2685" s="4">
        <v>2706</v>
      </c>
      <c r="B2685" s="5">
        <v>2678</v>
      </c>
      <c r="C2685">
        <v>352</v>
      </c>
      <c r="D2685" t="s">
        <v>5684</v>
      </c>
      <c r="E2685" t="s">
        <v>5685</v>
      </c>
      <c r="F2685" t="s">
        <v>158</v>
      </c>
      <c r="G2685" t="s">
        <v>5686</v>
      </c>
      <c r="H2685" t="str">
        <f>"00856630"</f>
        <v>00856630</v>
      </c>
      <c r="I2685">
        <v>32.880000000000003</v>
      </c>
      <c r="J2685">
        <v>0</v>
      </c>
      <c r="M2685">
        <v>4</v>
      </c>
      <c r="N2685">
        <v>4</v>
      </c>
      <c r="O2685">
        <v>4</v>
      </c>
      <c r="P2685">
        <v>2</v>
      </c>
      <c r="Q2685">
        <v>42.88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D2685">
        <v>42.88</v>
      </c>
    </row>
    <row r="2686" spans="1:30" x14ac:dyDescent="0.3">
      <c r="A2686" s="4">
        <v>2707</v>
      </c>
      <c r="B2686" s="5">
        <v>2679</v>
      </c>
      <c r="C2686">
        <v>3771</v>
      </c>
      <c r="D2686" t="s">
        <v>5687</v>
      </c>
      <c r="E2686" t="s">
        <v>29</v>
      </c>
      <c r="F2686" t="s">
        <v>38</v>
      </c>
      <c r="G2686" t="s">
        <v>5688</v>
      </c>
      <c r="H2686" t="str">
        <f>"00507842"</f>
        <v>00507842</v>
      </c>
      <c r="I2686">
        <v>28.8</v>
      </c>
      <c r="J2686">
        <v>0</v>
      </c>
      <c r="M2686">
        <v>4</v>
      </c>
      <c r="N2686">
        <v>4</v>
      </c>
      <c r="O2686">
        <v>4</v>
      </c>
      <c r="P2686">
        <v>0</v>
      </c>
      <c r="Q2686">
        <v>36.799999999999997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6</v>
      </c>
      <c r="AB2686">
        <v>0</v>
      </c>
      <c r="AD2686">
        <v>42.8</v>
      </c>
    </row>
    <row r="2687" spans="1:30" x14ac:dyDescent="0.3">
      <c r="A2687" s="4">
        <v>2708</v>
      </c>
      <c r="B2687" s="5">
        <v>2680</v>
      </c>
      <c r="C2687">
        <v>1635</v>
      </c>
      <c r="D2687" t="s">
        <v>5689</v>
      </c>
      <c r="E2687" t="s">
        <v>5690</v>
      </c>
      <c r="F2687" t="s">
        <v>5691</v>
      </c>
      <c r="G2687" t="s">
        <v>5692</v>
      </c>
      <c r="H2687" t="str">
        <f>"00517468"</f>
        <v>00517468</v>
      </c>
      <c r="I2687">
        <v>38.799999999999997</v>
      </c>
      <c r="J2687">
        <v>0</v>
      </c>
      <c r="M2687">
        <v>4</v>
      </c>
      <c r="N2687">
        <v>4</v>
      </c>
      <c r="O2687">
        <v>0</v>
      </c>
      <c r="P2687">
        <v>0</v>
      </c>
      <c r="Q2687">
        <v>42.8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D2687">
        <v>42.8</v>
      </c>
    </row>
    <row r="2688" spans="1:30" x14ac:dyDescent="0.3">
      <c r="A2688" s="4">
        <v>2709</v>
      </c>
      <c r="B2688" s="5">
        <v>2681</v>
      </c>
      <c r="C2688">
        <v>899</v>
      </c>
      <c r="D2688" t="s">
        <v>1822</v>
      </c>
      <c r="E2688" t="s">
        <v>789</v>
      </c>
      <c r="F2688" t="s">
        <v>5693</v>
      </c>
      <c r="G2688" t="s">
        <v>5694</v>
      </c>
      <c r="H2688" t="str">
        <f>"00839436"</f>
        <v>00839436</v>
      </c>
      <c r="I2688">
        <v>38.799999999999997</v>
      </c>
      <c r="J2688">
        <v>0</v>
      </c>
      <c r="M2688">
        <v>4</v>
      </c>
      <c r="N2688">
        <v>4</v>
      </c>
      <c r="O2688">
        <v>0</v>
      </c>
      <c r="P2688">
        <v>0</v>
      </c>
      <c r="Q2688">
        <v>42.8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D2688">
        <v>42.8</v>
      </c>
    </row>
    <row r="2689" spans="1:30" x14ac:dyDescent="0.3">
      <c r="A2689" s="4">
        <v>2710</v>
      </c>
      <c r="B2689" s="5">
        <v>2682</v>
      </c>
      <c r="C2689">
        <v>4453</v>
      </c>
      <c r="D2689" t="s">
        <v>5695</v>
      </c>
      <c r="E2689" t="s">
        <v>166</v>
      </c>
      <c r="F2689" t="s">
        <v>158</v>
      </c>
      <c r="G2689" t="s">
        <v>5696</v>
      </c>
      <c r="H2689" t="str">
        <f>"00497016"</f>
        <v>00497016</v>
      </c>
      <c r="I2689">
        <v>38.799999999999997</v>
      </c>
      <c r="J2689">
        <v>0</v>
      </c>
      <c r="N2689">
        <v>0</v>
      </c>
      <c r="O2689">
        <v>4</v>
      </c>
      <c r="P2689">
        <v>0</v>
      </c>
      <c r="Q2689">
        <v>42.8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D2689">
        <v>42.8</v>
      </c>
    </row>
    <row r="2690" spans="1:30" x14ac:dyDescent="0.3">
      <c r="A2690" s="4">
        <v>2711</v>
      </c>
      <c r="B2690" s="5">
        <v>2683</v>
      </c>
      <c r="C2690">
        <v>4241</v>
      </c>
      <c r="D2690" t="s">
        <v>5697</v>
      </c>
      <c r="E2690" t="s">
        <v>41</v>
      </c>
      <c r="F2690" t="s">
        <v>5698</v>
      </c>
      <c r="G2690" t="s">
        <v>5699</v>
      </c>
      <c r="H2690" t="str">
        <f>"00861765"</f>
        <v>00861765</v>
      </c>
      <c r="I2690">
        <v>38.799999999999997</v>
      </c>
      <c r="J2690">
        <v>0</v>
      </c>
      <c r="N2690">
        <v>0</v>
      </c>
      <c r="O2690">
        <v>4</v>
      </c>
      <c r="P2690">
        <v>0</v>
      </c>
      <c r="Q2690">
        <v>42.8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D2690">
        <v>42.8</v>
      </c>
    </row>
    <row r="2691" spans="1:30" x14ac:dyDescent="0.3">
      <c r="A2691" s="4">
        <v>2712</v>
      </c>
      <c r="B2691" s="5">
        <v>2684</v>
      </c>
      <c r="C2691">
        <v>2302</v>
      </c>
      <c r="D2691" t="s">
        <v>181</v>
      </c>
      <c r="E2691" t="s">
        <v>1743</v>
      </c>
      <c r="F2691" t="s">
        <v>259</v>
      </c>
      <c r="G2691" t="s">
        <v>5700</v>
      </c>
      <c r="H2691" t="str">
        <f>"00547434"</f>
        <v>00547434</v>
      </c>
      <c r="I2691">
        <v>38.799999999999997</v>
      </c>
      <c r="J2691">
        <v>0</v>
      </c>
      <c r="N2691">
        <v>0</v>
      </c>
      <c r="O2691">
        <v>4</v>
      </c>
      <c r="P2691">
        <v>0</v>
      </c>
      <c r="Q2691">
        <v>42.8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D2691">
        <v>42.8</v>
      </c>
    </row>
    <row r="2692" spans="1:30" x14ac:dyDescent="0.3">
      <c r="A2692" s="4">
        <v>2713</v>
      </c>
      <c r="B2692" s="5">
        <v>2685</v>
      </c>
      <c r="C2692">
        <v>863</v>
      </c>
      <c r="D2692" t="s">
        <v>1078</v>
      </c>
      <c r="E2692" t="s">
        <v>22</v>
      </c>
      <c r="F2692" t="s">
        <v>782</v>
      </c>
      <c r="G2692" t="s">
        <v>5701</v>
      </c>
      <c r="H2692" t="str">
        <f>"00854417"</f>
        <v>00854417</v>
      </c>
      <c r="I2692">
        <v>36.799999999999997</v>
      </c>
      <c r="J2692">
        <v>0</v>
      </c>
      <c r="L2692">
        <v>6</v>
      </c>
      <c r="N2692">
        <v>6</v>
      </c>
      <c r="O2692">
        <v>0</v>
      </c>
      <c r="P2692">
        <v>0</v>
      </c>
      <c r="Q2692">
        <v>42.8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D2692">
        <v>42.8</v>
      </c>
    </row>
    <row r="2693" spans="1:30" x14ac:dyDescent="0.3">
      <c r="A2693" s="4">
        <v>2714</v>
      </c>
      <c r="B2693" s="5">
        <v>2686</v>
      </c>
      <c r="C2693">
        <v>3798</v>
      </c>
      <c r="D2693" t="s">
        <v>5079</v>
      </c>
      <c r="E2693" t="s">
        <v>5702</v>
      </c>
      <c r="F2693" t="s">
        <v>20</v>
      </c>
      <c r="G2693" t="s">
        <v>5703</v>
      </c>
      <c r="H2693" t="str">
        <f>"00859841"</f>
        <v>00859841</v>
      </c>
      <c r="I2693">
        <v>36.799999999999997</v>
      </c>
      <c r="J2693">
        <v>0</v>
      </c>
      <c r="N2693">
        <v>0</v>
      </c>
      <c r="O2693">
        <v>4</v>
      </c>
      <c r="P2693">
        <v>2</v>
      </c>
      <c r="Q2693">
        <v>42.8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D2693">
        <v>42.8</v>
      </c>
    </row>
    <row r="2694" spans="1:30" x14ac:dyDescent="0.3">
      <c r="A2694" s="4">
        <v>2715</v>
      </c>
      <c r="B2694" s="5">
        <v>2687</v>
      </c>
      <c r="C2694">
        <v>3296</v>
      </c>
      <c r="D2694" t="s">
        <v>5512</v>
      </c>
      <c r="E2694" t="s">
        <v>2044</v>
      </c>
      <c r="F2694" t="s">
        <v>238</v>
      </c>
      <c r="G2694" t="s">
        <v>5704</v>
      </c>
      <c r="H2694" t="str">
        <f>"00865163"</f>
        <v>00865163</v>
      </c>
      <c r="I2694">
        <v>32.799999999999997</v>
      </c>
      <c r="J2694">
        <v>10</v>
      </c>
      <c r="N2694">
        <v>0</v>
      </c>
      <c r="O2694">
        <v>0</v>
      </c>
      <c r="P2694">
        <v>0</v>
      </c>
      <c r="Q2694">
        <v>42.8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D2694">
        <v>42.8</v>
      </c>
    </row>
    <row r="2695" spans="1:30" x14ac:dyDescent="0.3">
      <c r="A2695" s="4">
        <v>2716</v>
      </c>
      <c r="B2695" s="5">
        <v>2688</v>
      </c>
      <c r="C2695">
        <v>3712</v>
      </c>
      <c r="D2695" t="s">
        <v>5705</v>
      </c>
      <c r="E2695" t="s">
        <v>697</v>
      </c>
      <c r="F2695" t="s">
        <v>38</v>
      </c>
      <c r="G2695" t="s">
        <v>5706</v>
      </c>
      <c r="H2695" t="str">
        <f>"00862313"</f>
        <v>00862313</v>
      </c>
      <c r="I2695">
        <v>32.799999999999997</v>
      </c>
      <c r="J2695">
        <v>10</v>
      </c>
      <c r="N2695">
        <v>0</v>
      </c>
      <c r="O2695">
        <v>0</v>
      </c>
      <c r="P2695">
        <v>0</v>
      </c>
      <c r="Q2695">
        <v>42.8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D2695">
        <v>42.8</v>
      </c>
    </row>
    <row r="2696" spans="1:30" x14ac:dyDescent="0.3">
      <c r="A2696" s="4">
        <v>2717</v>
      </c>
      <c r="B2696" s="5">
        <v>2689</v>
      </c>
      <c r="C2696">
        <v>2021</v>
      </c>
      <c r="D2696" t="s">
        <v>5707</v>
      </c>
      <c r="E2696" t="s">
        <v>178</v>
      </c>
      <c r="F2696" t="s">
        <v>158</v>
      </c>
      <c r="G2696" t="s">
        <v>5708</v>
      </c>
      <c r="H2696" t="str">
        <f>"201406013857"</f>
        <v>201406013857</v>
      </c>
      <c r="I2696">
        <v>28.8</v>
      </c>
      <c r="J2696">
        <v>0</v>
      </c>
      <c r="K2696">
        <v>8</v>
      </c>
      <c r="N2696">
        <v>8</v>
      </c>
      <c r="O2696">
        <v>4</v>
      </c>
      <c r="P2696">
        <v>2</v>
      </c>
      <c r="Q2696">
        <v>42.8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D2696">
        <v>42.8</v>
      </c>
    </row>
    <row r="2697" spans="1:30" x14ac:dyDescent="0.3">
      <c r="A2697" s="4">
        <v>2718</v>
      </c>
      <c r="B2697" s="5">
        <v>2690</v>
      </c>
      <c r="C2697">
        <v>3639</v>
      </c>
      <c r="D2697" t="s">
        <v>1624</v>
      </c>
      <c r="E2697" t="s">
        <v>139</v>
      </c>
      <c r="F2697" t="s">
        <v>2017</v>
      </c>
      <c r="G2697" t="s">
        <v>5709</v>
      </c>
      <c r="H2697" t="str">
        <f>"00800104"</f>
        <v>00800104</v>
      </c>
      <c r="I2697">
        <v>28.8</v>
      </c>
      <c r="J2697">
        <v>0</v>
      </c>
      <c r="K2697">
        <v>8</v>
      </c>
      <c r="N2697">
        <v>8</v>
      </c>
      <c r="O2697">
        <v>4</v>
      </c>
      <c r="P2697">
        <v>2</v>
      </c>
      <c r="Q2697">
        <v>42.8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D2697">
        <v>42.8</v>
      </c>
    </row>
    <row r="2698" spans="1:30" x14ac:dyDescent="0.3">
      <c r="A2698" s="4">
        <v>2719</v>
      </c>
      <c r="B2698" s="5">
        <v>2691</v>
      </c>
      <c r="C2698">
        <v>3463</v>
      </c>
      <c r="D2698" t="s">
        <v>5710</v>
      </c>
      <c r="E2698" t="s">
        <v>1542</v>
      </c>
      <c r="F2698" t="s">
        <v>62</v>
      </c>
      <c r="G2698" t="s">
        <v>5711</v>
      </c>
      <c r="H2698" t="str">
        <f>"00859327"</f>
        <v>00859327</v>
      </c>
      <c r="I2698">
        <v>28.8</v>
      </c>
      <c r="J2698">
        <v>10</v>
      </c>
      <c r="N2698">
        <v>0</v>
      </c>
      <c r="O2698">
        <v>4</v>
      </c>
      <c r="P2698">
        <v>0</v>
      </c>
      <c r="Q2698">
        <v>42.8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D2698">
        <v>42.8</v>
      </c>
    </row>
    <row r="2699" spans="1:30" x14ac:dyDescent="0.3">
      <c r="A2699" s="4">
        <v>2720</v>
      </c>
      <c r="B2699" s="5">
        <v>2692</v>
      </c>
      <c r="C2699">
        <v>3719</v>
      </c>
      <c r="D2699" t="s">
        <v>5712</v>
      </c>
      <c r="E2699" t="s">
        <v>1280</v>
      </c>
      <c r="F2699" t="s">
        <v>38</v>
      </c>
      <c r="G2699" t="s">
        <v>5713</v>
      </c>
      <c r="H2699" t="str">
        <f>"00317495"</f>
        <v>00317495</v>
      </c>
      <c r="I2699">
        <v>28.8</v>
      </c>
      <c r="J2699">
        <v>0</v>
      </c>
      <c r="K2699">
        <v>8</v>
      </c>
      <c r="N2699">
        <v>8</v>
      </c>
      <c r="O2699">
        <v>4</v>
      </c>
      <c r="P2699">
        <v>2</v>
      </c>
      <c r="Q2699">
        <v>42.8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D2699">
        <v>42.8</v>
      </c>
    </row>
    <row r="2700" spans="1:30" x14ac:dyDescent="0.3">
      <c r="A2700" s="4">
        <v>2721</v>
      </c>
      <c r="B2700" s="5">
        <v>2693</v>
      </c>
      <c r="C2700">
        <v>3737</v>
      </c>
      <c r="D2700" t="s">
        <v>5714</v>
      </c>
      <c r="E2700" t="s">
        <v>88</v>
      </c>
      <c r="F2700" t="s">
        <v>81</v>
      </c>
      <c r="G2700" t="s">
        <v>5715</v>
      </c>
      <c r="H2700" t="str">
        <f>"00531746"</f>
        <v>00531746</v>
      </c>
      <c r="I2700">
        <v>28.8</v>
      </c>
      <c r="J2700">
        <v>10</v>
      </c>
      <c r="N2700">
        <v>0</v>
      </c>
      <c r="O2700">
        <v>4</v>
      </c>
      <c r="P2700">
        <v>0</v>
      </c>
      <c r="Q2700">
        <v>42.8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D2700">
        <v>42.8</v>
      </c>
    </row>
    <row r="2701" spans="1:30" x14ac:dyDescent="0.3">
      <c r="A2701" s="4">
        <v>2722</v>
      </c>
      <c r="B2701" s="5">
        <v>2694</v>
      </c>
      <c r="C2701">
        <v>2759</v>
      </c>
      <c r="D2701" t="s">
        <v>5716</v>
      </c>
      <c r="E2701" t="s">
        <v>1508</v>
      </c>
      <c r="F2701" t="s">
        <v>243</v>
      </c>
      <c r="G2701" t="s">
        <v>5717</v>
      </c>
      <c r="H2701" t="str">
        <f>"201511031566"</f>
        <v>201511031566</v>
      </c>
      <c r="I2701">
        <v>28.8</v>
      </c>
      <c r="J2701">
        <v>0</v>
      </c>
      <c r="K2701">
        <v>8</v>
      </c>
      <c r="N2701">
        <v>8</v>
      </c>
      <c r="O2701">
        <v>4</v>
      </c>
      <c r="P2701">
        <v>2</v>
      </c>
      <c r="Q2701">
        <v>42.8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D2701">
        <v>42.8</v>
      </c>
    </row>
    <row r="2702" spans="1:30" x14ac:dyDescent="0.3">
      <c r="A2702" s="4">
        <v>2723</v>
      </c>
      <c r="B2702" s="5">
        <v>2695</v>
      </c>
      <c r="C2702">
        <v>1208</v>
      </c>
      <c r="D2702" t="s">
        <v>5718</v>
      </c>
      <c r="E2702" t="s">
        <v>136</v>
      </c>
      <c r="F2702" t="s">
        <v>117</v>
      </c>
      <c r="G2702" t="s">
        <v>5719</v>
      </c>
      <c r="H2702" t="str">
        <f>"00537614"</f>
        <v>00537614</v>
      </c>
      <c r="I2702">
        <v>28.8</v>
      </c>
      <c r="J2702">
        <v>10</v>
      </c>
      <c r="N2702">
        <v>0</v>
      </c>
      <c r="O2702">
        <v>4</v>
      </c>
      <c r="P2702">
        <v>0</v>
      </c>
      <c r="Q2702">
        <v>42.8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D2702">
        <v>42.8</v>
      </c>
    </row>
    <row r="2703" spans="1:30" x14ac:dyDescent="0.3">
      <c r="A2703" s="4">
        <v>2724</v>
      </c>
      <c r="B2703" s="5">
        <v>2696</v>
      </c>
      <c r="C2703">
        <v>1869</v>
      </c>
      <c r="D2703" t="s">
        <v>5720</v>
      </c>
      <c r="E2703" t="s">
        <v>41</v>
      </c>
      <c r="F2703" t="s">
        <v>17</v>
      </c>
      <c r="G2703" t="s">
        <v>5721</v>
      </c>
      <c r="H2703" t="str">
        <f>"00859339"</f>
        <v>00859339</v>
      </c>
      <c r="I2703">
        <v>28.8</v>
      </c>
      <c r="J2703">
        <v>0</v>
      </c>
      <c r="K2703">
        <v>8</v>
      </c>
      <c r="N2703">
        <v>8</v>
      </c>
      <c r="O2703">
        <v>4</v>
      </c>
      <c r="P2703">
        <v>2</v>
      </c>
      <c r="Q2703">
        <v>42.8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D2703">
        <v>42.8</v>
      </c>
    </row>
    <row r="2704" spans="1:30" x14ac:dyDescent="0.3">
      <c r="A2704" s="4">
        <v>2725</v>
      </c>
      <c r="B2704" s="5">
        <v>2697</v>
      </c>
      <c r="C2704">
        <v>2736</v>
      </c>
      <c r="D2704" t="s">
        <v>438</v>
      </c>
      <c r="E2704" t="s">
        <v>1152</v>
      </c>
      <c r="F2704" t="s">
        <v>17</v>
      </c>
      <c r="G2704" t="s">
        <v>5722</v>
      </c>
      <c r="H2704" t="str">
        <f>"00776162"</f>
        <v>00776162</v>
      </c>
      <c r="I2704">
        <v>28.8</v>
      </c>
      <c r="J2704">
        <v>10</v>
      </c>
      <c r="N2704">
        <v>0</v>
      </c>
      <c r="O2704">
        <v>4</v>
      </c>
      <c r="P2704">
        <v>0</v>
      </c>
      <c r="Q2704">
        <v>42.8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D2704">
        <v>42.8</v>
      </c>
    </row>
    <row r="2705" spans="1:30" x14ac:dyDescent="0.3">
      <c r="A2705" s="4">
        <v>2726</v>
      </c>
      <c r="B2705" s="5">
        <v>2698</v>
      </c>
      <c r="C2705">
        <v>3667</v>
      </c>
      <c r="D2705" t="s">
        <v>5723</v>
      </c>
      <c r="E2705" t="s">
        <v>5724</v>
      </c>
      <c r="F2705" t="s">
        <v>5725</v>
      </c>
      <c r="G2705" t="s">
        <v>5726</v>
      </c>
      <c r="H2705" t="str">
        <f>"00622585"</f>
        <v>00622585</v>
      </c>
      <c r="I2705">
        <v>28.8</v>
      </c>
      <c r="J2705">
        <v>0</v>
      </c>
      <c r="K2705">
        <v>8</v>
      </c>
      <c r="N2705">
        <v>8</v>
      </c>
      <c r="O2705">
        <v>4</v>
      </c>
      <c r="P2705">
        <v>2</v>
      </c>
      <c r="Q2705">
        <v>42.8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D2705">
        <v>42.8</v>
      </c>
    </row>
    <row r="2706" spans="1:30" x14ac:dyDescent="0.3">
      <c r="A2706" s="4">
        <v>2727</v>
      </c>
      <c r="B2706" s="5">
        <v>2699</v>
      </c>
      <c r="C2706">
        <v>1102</v>
      </c>
      <c r="D2706" t="s">
        <v>5727</v>
      </c>
      <c r="E2706" t="s">
        <v>170</v>
      </c>
      <c r="F2706" t="s">
        <v>158</v>
      </c>
      <c r="G2706" t="s">
        <v>5728</v>
      </c>
      <c r="H2706" t="str">
        <f>"00857643"</f>
        <v>00857643</v>
      </c>
      <c r="I2706">
        <v>28.8</v>
      </c>
      <c r="J2706">
        <v>10</v>
      </c>
      <c r="N2706">
        <v>0</v>
      </c>
      <c r="O2706">
        <v>4</v>
      </c>
      <c r="P2706">
        <v>0</v>
      </c>
      <c r="Q2706">
        <v>42.8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D2706">
        <v>42.8</v>
      </c>
    </row>
    <row r="2707" spans="1:30" x14ac:dyDescent="0.3">
      <c r="A2707" s="4">
        <v>2728</v>
      </c>
      <c r="B2707" s="5">
        <v>2700</v>
      </c>
      <c r="C2707">
        <v>3022</v>
      </c>
      <c r="D2707" t="s">
        <v>5729</v>
      </c>
      <c r="E2707" t="s">
        <v>5730</v>
      </c>
      <c r="F2707" t="s">
        <v>117</v>
      </c>
      <c r="G2707" t="s">
        <v>5731</v>
      </c>
      <c r="H2707" t="str">
        <f>"00556979"</f>
        <v>00556979</v>
      </c>
      <c r="I2707">
        <v>28.8</v>
      </c>
      <c r="J2707">
        <v>0</v>
      </c>
      <c r="K2707">
        <v>8</v>
      </c>
      <c r="N2707">
        <v>8</v>
      </c>
      <c r="O2707">
        <v>4</v>
      </c>
      <c r="P2707">
        <v>2</v>
      </c>
      <c r="Q2707">
        <v>42.8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D2707">
        <v>42.8</v>
      </c>
    </row>
    <row r="2708" spans="1:30" x14ac:dyDescent="0.3">
      <c r="A2708" s="4">
        <v>2729</v>
      </c>
      <c r="B2708" s="5">
        <v>2701</v>
      </c>
      <c r="C2708">
        <v>3782</v>
      </c>
      <c r="D2708" t="s">
        <v>5732</v>
      </c>
      <c r="E2708" t="s">
        <v>29</v>
      </c>
      <c r="F2708" t="s">
        <v>20</v>
      </c>
      <c r="G2708" t="s">
        <v>5733</v>
      </c>
      <c r="H2708" t="str">
        <f>"00118227"</f>
        <v>00118227</v>
      </c>
      <c r="I2708">
        <v>28.8</v>
      </c>
      <c r="J2708">
        <v>0</v>
      </c>
      <c r="K2708">
        <v>8</v>
      </c>
      <c r="N2708">
        <v>8</v>
      </c>
      <c r="O2708">
        <v>4</v>
      </c>
      <c r="P2708">
        <v>2</v>
      </c>
      <c r="Q2708">
        <v>42.8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D2708">
        <v>42.8</v>
      </c>
    </row>
    <row r="2709" spans="1:30" x14ac:dyDescent="0.3">
      <c r="A2709" s="4">
        <v>2730</v>
      </c>
      <c r="B2709" s="5">
        <v>2702</v>
      </c>
      <c r="C2709">
        <v>3889</v>
      </c>
      <c r="D2709" t="s">
        <v>5734</v>
      </c>
      <c r="E2709" t="s">
        <v>29</v>
      </c>
      <c r="F2709" t="s">
        <v>227</v>
      </c>
      <c r="G2709" t="s">
        <v>5735</v>
      </c>
      <c r="H2709" t="str">
        <f>"201406002538"</f>
        <v>201406002538</v>
      </c>
      <c r="I2709">
        <v>28.8</v>
      </c>
      <c r="J2709">
        <v>0</v>
      </c>
      <c r="M2709">
        <v>8</v>
      </c>
      <c r="N2709">
        <v>8</v>
      </c>
      <c r="O2709">
        <v>4</v>
      </c>
      <c r="P2709">
        <v>2</v>
      </c>
      <c r="Q2709">
        <v>42.8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D2709">
        <v>42.8</v>
      </c>
    </row>
    <row r="2710" spans="1:30" x14ac:dyDescent="0.3">
      <c r="A2710" s="4">
        <v>2731</v>
      </c>
      <c r="B2710" s="5">
        <v>2703</v>
      </c>
      <c r="C2710">
        <v>1338</v>
      </c>
      <c r="D2710" t="s">
        <v>5149</v>
      </c>
      <c r="E2710" t="s">
        <v>208</v>
      </c>
      <c r="F2710" t="s">
        <v>1265</v>
      </c>
      <c r="G2710" t="s">
        <v>5736</v>
      </c>
      <c r="H2710" t="str">
        <f>"00442287"</f>
        <v>00442287</v>
      </c>
      <c r="I2710">
        <v>28.8</v>
      </c>
      <c r="J2710">
        <v>10</v>
      </c>
      <c r="N2710">
        <v>0</v>
      </c>
      <c r="O2710">
        <v>4</v>
      </c>
      <c r="P2710">
        <v>0</v>
      </c>
      <c r="Q2710">
        <v>42.8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D2710">
        <v>42.8</v>
      </c>
    </row>
    <row r="2711" spans="1:30" x14ac:dyDescent="0.3">
      <c r="A2711" s="4">
        <v>2732</v>
      </c>
      <c r="B2711" s="5">
        <v>2704</v>
      </c>
      <c r="C2711">
        <v>505</v>
      </c>
      <c r="D2711" t="s">
        <v>4719</v>
      </c>
      <c r="E2711" t="s">
        <v>3719</v>
      </c>
      <c r="F2711" t="s">
        <v>20</v>
      </c>
      <c r="G2711" t="s">
        <v>5737</v>
      </c>
      <c r="H2711" t="str">
        <f>"00475585"</f>
        <v>00475585</v>
      </c>
      <c r="I2711">
        <v>28.8</v>
      </c>
      <c r="J2711">
        <v>10</v>
      </c>
      <c r="N2711">
        <v>0</v>
      </c>
      <c r="O2711">
        <v>4</v>
      </c>
      <c r="P2711">
        <v>0</v>
      </c>
      <c r="Q2711">
        <v>42.8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D2711">
        <v>42.8</v>
      </c>
    </row>
    <row r="2712" spans="1:30" x14ac:dyDescent="0.3">
      <c r="A2712" s="4">
        <v>2733</v>
      </c>
      <c r="B2712" s="5">
        <v>2705</v>
      </c>
      <c r="C2712">
        <v>1173</v>
      </c>
      <c r="D2712" t="s">
        <v>5738</v>
      </c>
      <c r="E2712" t="s">
        <v>935</v>
      </c>
      <c r="F2712" t="s">
        <v>30</v>
      </c>
      <c r="G2712" t="s">
        <v>5739</v>
      </c>
      <c r="H2712" t="str">
        <f>"00316745"</f>
        <v>00316745</v>
      </c>
      <c r="I2712">
        <v>28.8</v>
      </c>
      <c r="J2712">
        <v>0</v>
      </c>
      <c r="M2712">
        <v>4</v>
      </c>
      <c r="N2712">
        <v>4</v>
      </c>
      <c r="O2712">
        <v>4</v>
      </c>
      <c r="P2712">
        <v>0</v>
      </c>
      <c r="Q2712">
        <v>36.799999999999997</v>
      </c>
      <c r="R2712">
        <v>6</v>
      </c>
      <c r="S2712">
        <v>6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6</v>
      </c>
      <c r="AA2712">
        <v>0</v>
      </c>
      <c r="AB2712">
        <v>0</v>
      </c>
      <c r="AD2712">
        <v>42.8</v>
      </c>
    </row>
    <row r="2713" spans="1:30" x14ac:dyDescent="0.3">
      <c r="A2713" s="4">
        <v>2734</v>
      </c>
      <c r="B2713" s="5">
        <v>2706</v>
      </c>
      <c r="C2713">
        <v>3919</v>
      </c>
      <c r="D2713" t="s">
        <v>5740</v>
      </c>
      <c r="E2713" t="s">
        <v>173</v>
      </c>
      <c r="F2713" t="s">
        <v>5741</v>
      </c>
      <c r="G2713" t="s">
        <v>5742</v>
      </c>
      <c r="H2713" t="str">
        <f>"00445551"</f>
        <v>00445551</v>
      </c>
      <c r="I2713">
        <v>19.72</v>
      </c>
      <c r="J2713">
        <v>0</v>
      </c>
      <c r="N2713">
        <v>0</v>
      </c>
      <c r="O2713">
        <v>4</v>
      </c>
      <c r="P2713">
        <v>2</v>
      </c>
      <c r="Q2713">
        <v>25.72</v>
      </c>
      <c r="R2713">
        <v>5</v>
      </c>
      <c r="S2713">
        <v>5</v>
      </c>
      <c r="T2713">
        <v>0</v>
      </c>
      <c r="U2713">
        <v>0</v>
      </c>
      <c r="V2713">
        <v>4</v>
      </c>
      <c r="W2713">
        <v>6</v>
      </c>
      <c r="X2713">
        <v>0</v>
      </c>
      <c r="Y2713">
        <v>0</v>
      </c>
      <c r="Z2713">
        <v>11</v>
      </c>
      <c r="AA2713">
        <v>6</v>
      </c>
      <c r="AB2713">
        <v>0</v>
      </c>
      <c r="AD2713">
        <v>42.72</v>
      </c>
    </row>
    <row r="2714" spans="1:30" x14ac:dyDescent="0.3">
      <c r="A2714" s="4">
        <v>2735</v>
      </c>
      <c r="B2714" s="5">
        <v>2707</v>
      </c>
      <c r="C2714">
        <v>1707</v>
      </c>
      <c r="D2714" t="s">
        <v>5743</v>
      </c>
      <c r="E2714" t="s">
        <v>2481</v>
      </c>
      <c r="F2714" t="s">
        <v>62</v>
      </c>
      <c r="G2714" t="s">
        <v>5744</v>
      </c>
      <c r="H2714" t="str">
        <f>"00526730"</f>
        <v>00526730</v>
      </c>
      <c r="I2714">
        <v>15.72</v>
      </c>
      <c r="J2714">
        <v>0</v>
      </c>
      <c r="M2714">
        <v>4</v>
      </c>
      <c r="N2714">
        <v>4</v>
      </c>
      <c r="O2714">
        <v>4</v>
      </c>
      <c r="P2714">
        <v>2</v>
      </c>
      <c r="Q2714">
        <v>25.72</v>
      </c>
      <c r="R2714">
        <v>17</v>
      </c>
      <c r="S2714">
        <v>17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17</v>
      </c>
      <c r="AA2714">
        <v>0</v>
      </c>
      <c r="AB2714">
        <v>0</v>
      </c>
      <c r="AD2714">
        <v>42.72</v>
      </c>
    </row>
    <row r="2715" spans="1:30" x14ac:dyDescent="0.3">
      <c r="A2715" s="4">
        <v>2736</v>
      </c>
      <c r="B2715" s="5">
        <v>2708</v>
      </c>
      <c r="C2715">
        <v>2214</v>
      </c>
      <c r="D2715" t="s">
        <v>2786</v>
      </c>
      <c r="E2715" t="s">
        <v>255</v>
      </c>
      <c r="F2715" t="s">
        <v>117</v>
      </c>
      <c r="G2715" t="s">
        <v>5745</v>
      </c>
      <c r="H2715" t="str">
        <f>"00470860"</f>
        <v>00470860</v>
      </c>
      <c r="I2715">
        <v>34.68</v>
      </c>
      <c r="J2715">
        <v>0</v>
      </c>
      <c r="M2715">
        <v>4</v>
      </c>
      <c r="N2715">
        <v>4</v>
      </c>
      <c r="O2715">
        <v>4</v>
      </c>
      <c r="P2715">
        <v>0</v>
      </c>
      <c r="Q2715">
        <v>42.68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D2715">
        <v>42.68</v>
      </c>
    </row>
    <row r="2716" spans="1:30" x14ac:dyDescent="0.3">
      <c r="A2716" s="4">
        <v>2737</v>
      </c>
      <c r="B2716" s="5">
        <v>2709</v>
      </c>
      <c r="C2716">
        <v>1739</v>
      </c>
      <c r="D2716" t="s">
        <v>3181</v>
      </c>
      <c r="E2716" t="s">
        <v>26</v>
      </c>
      <c r="F2716" t="s">
        <v>892</v>
      </c>
      <c r="G2716" t="s">
        <v>5746</v>
      </c>
      <c r="H2716" t="str">
        <f>"00862730"</f>
        <v>00862730</v>
      </c>
      <c r="I2716">
        <v>21.6</v>
      </c>
      <c r="J2716">
        <v>0</v>
      </c>
      <c r="K2716">
        <v>8</v>
      </c>
      <c r="N2716">
        <v>8</v>
      </c>
      <c r="O2716">
        <v>4</v>
      </c>
      <c r="P2716">
        <v>0</v>
      </c>
      <c r="Q2716">
        <v>33.6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9</v>
      </c>
      <c r="AB2716">
        <v>0</v>
      </c>
      <c r="AD2716">
        <v>42.6</v>
      </c>
    </row>
    <row r="2717" spans="1:30" x14ac:dyDescent="0.3">
      <c r="A2717" s="4">
        <v>2738</v>
      </c>
      <c r="B2717" s="5">
        <v>2710</v>
      </c>
      <c r="C2717">
        <v>2824</v>
      </c>
      <c r="D2717" t="s">
        <v>5747</v>
      </c>
      <c r="E2717" t="s">
        <v>744</v>
      </c>
      <c r="F2717" t="s">
        <v>521</v>
      </c>
      <c r="G2717" t="s">
        <v>5748</v>
      </c>
      <c r="H2717" t="str">
        <f>"00449117"</f>
        <v>00449117</v>
      </c>
      <c r="I2717">
        <v>21.6</v>
      </c>
      <c r="J2717">
        <v>0</v>
      </c>
      <c r="M2717">
        <v>4</v>
      </c>
      <c r="N2717">
        <v>4</v>
      </c>
      <c r="O2717">
        <v>4</v>
      </c>
      <c r="P2717">
        <v>0</v>
      </c>
      <c r="Q2717">
        <v>29.6</v>
      </c>
      <c r="R2717">
        <v>7</v>
      </c>
      <c r="S2717">
        <v>7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7</v>
      </c>
      <c r="AA2717">
        <v>6</v>
      </c>
      <c r="AB2717">
        <v>0</v>
      </c>
      <c r="AD2717">
        <v>42.6</v>
      </c>
    </row>
    <row r="2718" spans="1:30" x14ac:dyDescent="0.3">
      <c r="A2718" s="4">
        <v>2739</v>
      </c>
      <c r="B2718" s="5">
        <v>2711</v>
      </c>
      <c r="C2718">
        <v>387</v>
      </c>
      <c r="D2718" t="s">
        <v>5749</v>
      </c>
      <c r="E2718" t="s">
        <v>147</v>
      </c>
      <c r="F2718" t="s">
        <v>972</v>
      </c>
      <c r="G2718" t="s">
        <v>5750</v>
      </c>
      <c r="H2718" t="str">
        <f>"00856432"</f>
        <v>00856432</v>
      </c>
      <c r="I2718">
        <v>39.6</v>
      </c>
      <c r="J2718">
        <v>0</v>
      </c>
      <c r="N2718">
        <v>0</v>
      </c>
      <c r="O2718">
        <v>0</v>
      </c>
      <c r="P2718">
        <v>0</v>
      </c>
      <c r="Q2718">
        <v>39.6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3</v>
      </c>
      <c r="AB2718">
        <v>0</v>
      </c>
      <c r="AD2718">
        <v>42.6</v>
      </c>
    </row>
    <row r="2719" spans="1:30" x14ac:dyDescent="0.3">
      <c r="A2719" s="4">
        <v>2740</v>
      </c>
      <c r="B2719" s="5">
        <v>2712</v>
      </c>
      <c r="C2719">
        <v>994</v>
      </c>
      <c r="D2719" t="s">
        <v>5751</v>
      </c>
      <c r="E2719" t="s">
        <v>744</v>
      </c>
      <c r="F2719" t="s">
        <v>167</v>
      </c>
      <c r="G2719" t="s">
        <v>5752</v>
      </c>
      <c r="H2719" t="str">
        <f>"00857484"</f>
        <v>00857484</v>
      </c>
      <c r="I2719">
        <v>39.6</v>
      </c>
      <c r="J2719">
        <v>0</v>
      </c>
      <c r="N2719">
        <v>0</v>
      </c>
      <c r="O2719">
        <v>0</v>
      </c>
      <c r="P2719">
        <v>0</v>
      </c>
      <c r="Q2719">
        <v>39.6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3</v>
      </c>
      <c r="AB2719">
        <v>0</v>
      </c>
      <c r="AD2719">
        <v>42.6</v>
      </c>
    </row>
    <row r="2720" spans="1:30" x14ac:dyDescent="0.3">
      <c r="A2720" s="4">
        <v>2741</v>
      </c>
      <c r="B2720" s="5">
        <v>2713</v>
      </c>
      <c r="C2720">
        <v>586</v>
      </c>
      <c r="D2720" t="s">
        <v>1907</v>
      </c>
      <c r="E2720" t="s">
        <v>1155</v>
      </c>
      <c r="F2720" t="s">
        <v>117</v>
      </c>
      <c r="G2720" t="s">
        <v>5753</v>
      </c>
      <c r="H2720" t="str">
        <f>"00551565"</f>
        <v>00551565</v>
      </c>
      <c r="I2720">
        <v>35.56</v>
      </c>
      <c r="J2720">
        <v>0</v>
      </c>
      <c r="N2720">
        <v>0</v>
      </c>
      <c r="O2720">
        <v>4</v>
      </c>
      <c r="P2720">
        <v>0</v>
      </c>
      <c r="Q2720">
        <v>39.56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3</v>
      </c>
      <c r="AB2720">
        <v>0</v>
      </c>
      <c r="AD2720">
        <v>42.56</v>
      </c>
    </row>
    <row r="2721" spans="1:30" x14ac:dyDescent="0.3">
      <c r="A2721" s="4">
        <v>2742</v>
      </c>
      <c r="B2721" s="5">
        <v>2714</v>
      </c>
      <c r="C2721">
        <v>3439</v>
      </c>
      <c r="D2721" t="s">
        <v>5754</v>
      </c>
      <c r="E2721" t="s">
        <v>33</v>
      </c>
      <c r="F2721" t="s">
        <v>259</v>
      </c>
      <c r="G2721" t="s">
        <v>5755</v>
      </c>
      <c r="H2721" t="str">
        <f>"00863141"</f>
        <v>00863141</v>
      </c>
      <c r="I2721">
        <v>32.520000000000003</v>
      </c>
      <c r="J2721">
        <v>0</v>
      </c>
      <c r="N2721">
        <v>0</v>
      </c>
      <c r="O2721">
        <v>4</v>
      </c>
      <c r="P2721">
        <v>0</v>
      </c>
      <c r="Q2721">
        <v>36.520000000000003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6</v>
      </c>
      <c r="AB2721">
        <v>0</v>
      </c>
      <c r="AD2721">
        <v>42.52</v>
      </c>
    </row>
    <row r="2722" spans="1:30" x14ac:dyDescent="0.3">
      <c r="A2722" s="4">
        <v>2743</v>
      </c>
      <c r="B2722" s="5">
        <v>2715</v>
      </c>
      <c r="C2722">
        <v>3898</v>
      </c>
      <c r="D2722" t="s">
        <v>5483</v>
      </c>
      <c r="E2722" t="s">
        <v>26</v>
      </c>
      <c r="F2722" t="s">
        <v>136</v>
      </c>
      <c r="G2722" t="s">
        <v>5756</v>
      </c>
      <c r="H2722" t="str">
        <f>"00858927"</f>
        <v>00858927</v>
      </c>
      <c r="I2722">
        <v>32.44</v>
      </c>
      <c r="J2722">
        <v>0</v>
      </c>
      <c r="N2722">
        <v>0</v>
      </c>
      <c r="O2722">
        <v>4</v>
      </c>
      <c r="P2722">
        <v>0</v>
      </c>
      <c r="Q2722">
        <v>36.44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6</v>
      </c>
      <c r="AB2722">
        <v>0</v>
      </c>
      <c r="AD2722">
        <v>42.44</v>
      </c>
    </row>
    <row r="2723" spans="1:30" x14ac:dyDescent="0.3">
      <c r="A2723" s="4">
        <v>2744</v>
      </c>
      <c r="B2723" s="5">
        <v>2716</v>
      </c>
      <c r="C2723">
        <v>1221</v>
      </c>
      <c r="D2723" t="s">
        <v>565</v>
      </c>
      <c r="E2723" t="s">
        <v>255</v>
      </c>
      <c r="F2723" t="s">
        <v>124</v>
      </c>
      <c r="G2723" t="s">
        <v>5757</v>
      </c>
      <c r="H2723" t="str">
        <f>"00023846"</f>
        <v>00023846</v>
      </c>
      <c r="I2723">
        <v>14.4</v>
      </c>
      <c r="J2723">
        <v>10</v>
      </c>
      <c r="M2723">
        <v>4</v>
      </c>
      <c r="N2723">
        <v>4</v>
      </c>
      <c r="O2723">
        <v>4</v>
      </c>
      <c r="P2723">
        <v>0</v>
      </c>
      <c r="Q2723">
        <v>32.4</v>
      </c>
      <c r="R2723">
        <v>4</v>
      </c>
      <c r="S2723">
        <v>4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4</v>
      </c>
      <c r="AA2723">
        <v>6</v>
      </c>
      <c r="AB2723">
        <v>0</v>
      </c>
      <c r="AD2723">
        <v>42.4</v>
      </c>
    </row>
    <row r="2724" spans="1:30" x14ac:dyDescent="0.3">
      <c r="A2724" s="4">
        <v>2745</v>
      </c>
      <c r="B2724" s="5">
        <v>2717</v>
      </c>
      <c r="C2724">
        <v>4072</v>
      </c>
      <c r="D2724" t="s">
        <v>3989</v>
      </c>
      <c r="E2724" t="s">
        <v>307</v>
      </c>
      <c r="F2724" t="s">
        <v>38</v>
      </c>
      <c r="G2724" t="s">
        <v>5758</v>
      </c>
      <c r="H2724" t="str">
        <f>"00863793"</f>
        <v>00863793</v>
      </c>
      <c r="I2724">
        <v>36.4</v>
      </c>
      <c r="J2724">
        <v>0</v>
      </c>
      <c r="M2724">
        <v>4</v>
      </c>
      <c r="N2724">
        <v>4</v>
      </c>
      <c r="O2724">
        <v>0</v>
      </c>
      <c r="P2724">
        <v>2</v>
      </c>
      <c r="Q2724">
        <v>42.4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D2724">
        <v>42.4</v>
      </c>
    </row>
    <row r="2725" spans="1:30" x14ac:dyDescent="0.3">
      <c r="A2725" s="4">
        <v>2746</v>
      </c>
      <c r="B2725" s="5">
        <v>2718</v>
      </c>
      <c r="C2725">
        <v>4592</v>
      </c>
      <c r="D2725" t="s">
        <v>5759</v>
      </c>
      <c r="E2725" t="s">
        <v>3964</v>
      </c>
      <c r="F2725" t="s">
        <v>892</v>
      </c>
      <c r="G2725" t="s">
        <v>5760</v>
      </c>
      <c r="H2725" t="str">
        <f>"00777090"</f>
        <v>00777090</v>
      </c>
      <c r="I2725">
        <v>36.4</v>
      </c>
      <c r="J2725">
        <v>0</v>
      </c>
      <c r="M2725">
        <v>4</v>
      </c>
      <c r="N2725">
        <v>4</v>
      </c>
      <c r="O2725">
        <v>0</v>
      </c>
      <c r="P2725">
        <v>2</v>
      </c>
      <c r="Q2725">
        <v>42.4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D2725">
        <v>42.4</v>
      </c>
    </row>
    <row r="2726" spans="1:30" x14ac:dyDescent="0.3">
      <c r="A2726" s="4">
        <v>2747</v>
      </c>
      <c r="B2726" s="5">
        <v>2719</v>
      </c>
      <c r="C2726">
        <v>3670</v>
      </c>
      <c r="D2726" t="s">
        <v>5761</v>
      </c>
      <c r="E2726" t="s">
        <v>5762</v>
      </c>
      <c r="F2726" t="s">
        <v>34</v>
      </c>
      <c r="G2726" t="s">
        <v>5763</v>
      </c>
      <c r="H2726" t="str">
        <f>"00862247"</f>
        <v>00862247</v>
      </c>
      <c r="I2726">
        <v>34.4</v>
      </c>
      <c r="J2726">
        <v>0</v>
      </c>
      <c r="M2726">
        <v>4</v>
      </c>
      <c r="N2726">
        <v>4</v>
      </c>
      <c r="O2726">
        <v>4</v>
      </c>
      <c r="P2726">
        <v>0</v>
      </c>
      <c r="Q2726">
        <v>42.4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D2726">
        <v>42.4</v>
      </c>
    </row>
    <row r="2727" spans="1:30" x14ac:dyDescent="0.3">
      <c r="A2727" s="4">
        <v>2748</v>
      </c>
      <c r="B2727" s="5">
        <v>2720</v>
      </c>
      <c r="C2727">
        <v>3673</v>
      </c>
      <c r="D2727" t="s">
        <v>5239</v>
      </c>
      <c r="E2727" t="s">
        <v>19</v>
      </c>
      <c r="F2727" t="s">
        <v>81</v>
      </c>
      <c r="G2727" t="s">
        <v>5764</v>
      </c>
      <c r="H2727" t="str">
        <f>"00863924"</f>
        <v>00863924</v>
      </c>
      <c r="I2727">
        <v>28.4</v>
      </c>
      <c r="J2727">
        <v>0</v>
      </c>
      <c r="K2727">
        <v>8</v>
      </c>
      <c r="N2727">
        <v>8</v>
      </c>
      <c r="O2727">
        <v>4</v>
      </c>
      <c r="P2727">
        <v>2</v>
      </c>
      <c r="Q2727">
        <v>42.4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D2727">
        <v>42.4</v>
      </c>
    </row>
    <row r="2728" spans="1:30" x14ac:dyDescent="0.3">
      <c r="A2728" s="4">
        <v>2749</v>
      </c>
      <c r="B2728" s="5">
        <v>2721</v>
      </c>
      <c r="C2728">
        <v>4777</v>
      </c>
      <c r="D2728" t="s">
        <v>5765</v>
      </c>
      <c r="E2728" t="s">
        <v>5201</v>
      </c>
      <c r="F2728" t="s">
        <v>30</v>
      </c>
      <c r="G2728" t="s">
        <v>5766</v>
      </c>
      <c r="H2728" t="str">
        <f>"00560384"</f>
        <v>00560384</v>
      </c>
      <c r="I2728">
        <v>20.28</v>
      </c>
      <c r="J2728">
        <v>10</v>
      </c>
      <c r="M2728">
        <v>4</v>
      </c>
      <c r="N2728">
        <v>4</v>
      </c>
      <c r="O2728">
        <v>0</v>
      </c>
      <c r="P2728">
        <v>2</v>
      </c>
      <c r="Q2728">
        <v>36.28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6</v>
      </c>
      <c r="AB2728">
        <v>0</v>
      </c>
      <c r="AD2728">
        <v>42.28</v>
      </c>
    </row>
    <row r="2729" spans="1:30" x14ac:dyDescent="0.3">
      <c r="A2729" s="4">
        <v>2750</v>
      </c>
      <c r="B2729" s="5">
        <v>2722</v>
      </c>
      <c r="C2729">
        <v>3118</v>
      </c>
      <c r="D2729" t="s">
        <v>3872</v>
      </c>
      <c r="E2729" t="s">
        <v>5767</v>
      </c>
      <c r="F2729" t="s">
        <v>79</v>
      </c>
      <c r="G2729" t="s">
        <v>5768</v>
      </c>
      <c r="H2729" t="str">
        <f>"00530257"</f>
        <v>00530257</v>
      </c>
      <c r="I2729">
        <v>7.2</v>
      </c>
      <c r="J2729">
        <v>10</v>
      </c>
      <c r="N2729">
        <v>0</v>
      </c>
      <c r="O2729">
        <v>4</v>
      </c>
      <c r="P2729">
        <v>2</v>
      </c>
      <c r="Q2729">
        <v>23.2</v>
      </c>
      <c r="R2729">
        <v>10</v>
      </c>
      <c r="S2729">
        <v>10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10</v>
      </c>
      <c r="AA2729">
        <v>9</v>
      </c>
      <c r="AB2729">
        <v>0</v>
      </c>
      <c r="AD2729">
        <v>42.2</v>
      </c>
    </row>
    <row r="2730" spans="1:30" x14ac:dyDescent="0.3">
      <c r="A2730" s="4">
        <v>2751</v>
      </c>
      <c r="B2730" s="5">
        <v>2723</v>
      </c>
      <c r="C2730">
        <v>4629</v>
      </c>
      <c r="D2730" t="s">
        <v>2774</v>
      </c>
      <c r="E2730" t="s">
        <v>110</v>
      </c>
      <c r="F2730" t="s">
        <v>20</v>
      </c>
      <c r="G2730" t="s">
        <v>5769</v>
      </c>
      <c r="H2730" t="str">
        <f>"00529829"</f>
        <v>00529829</v>
      </c>
      <c r="I2730">
        <v>7.2</v>
      </c>
      <c r="J2730">
        <v>0</v>
      </c>
      <c r="K2730">
        <v>8</v>
      </c>
      <c r="N2730">
        <v>8</v>
      </c>
      <c r="O2730">
        <v>4</v>
      </c>
      <c r="P2730">
        <v>2</v>
      </c>
      <c r="Q2730">
        <v>21.2</v>
      </c>
      <c r="R2730">
        <v>15</v>
      </c>
      <c r="S2730">
        <v>15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15</v>
      </c>
      <c r="AA2730">
        <v>6</v>
      </c>
      <c r="AB2730">
        <v>0</v>
      </c>
      <c r="AD2730">
        <v>42.2</v>
      </c>
    </row>
    <row r="2731" spans="1:30" x14ac:dyDescent="0.3">
      <c r="A2731" s="4">
        <v>2752</v>
      </c>
      <c r="B2731" s="5">
        <v>2724</v>
      </c>
      <c r="C2731">
        <v>115</v>
      </c>
      <c r="D2731" t="s">
        <v>5770</v>
      </c>
      <c r="E2731" t="s">
        <v>188</v>
      </c>
      <c r="F2731" t="s">
        <v>972</v>
      </c>
      <c r="G2731" t="s">
        <v>5771</v>
      </c>
      <c r="H2731" t="str">
        <f>"00857228"</f>
        <v>00857228</v>
      </c>
      <c r="I2731">
        <v>39.200000000000003</v>
      </c>
      <c r="J2731">
        <v>0</v>
      </c>
      <c r="N2731">
        <v>0</v>
      </c>
      <c r="O2731">
        <v>0</v>
      </c>
      <c r="P2731">
        <v>0</v>
      </c>
      <c r="Q2731">
        <v>39.200000000000003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3</v>
      </c>
      <c r="AB2731">
        <v>0</v>
      </c>
      <c r="AD2731">
        <v>42.2</v>
      </c>
    </row>
    <row r="2732" spans="1:30" x14ac:dyDescent="0.3">
      <c r="A2732" s="4">
        <v>2753</v>
      </c>
      <c r="B2732" s="5">
        <v>2725</v>
      </c>
      <c r="C2732">
        <v>921</v>
      </c>
      <c r="D2732" t="s">
        <v>5772</v>
      </c>
      <c r="E2732" t="s">
        <v>161</v>
      </c>
      <c r="F2732" t="s">
        <v>17</v>
      </c>
      <c r="G2732" t="s">
        <v>5773</v>
      </c>
      <c r="H2732" t="str">
        <f>"00218519"</f>
        <v>00218519</v>
      </c>
      <c r="I2732">
        <v>39.200000000000003</v>
      </c>
      <c r="J2732">
        <v>0</v>
      </c>
      <c r="N2732">
        <v>0</v>
      </c>
      <c r="O2732">
        <v>0</v>
      </c>
      <c r="P2732">
        <v>0</v>
      </c>
      <c r="Q2732">
        <v>39.200000000000003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3</v>
      </c>
      <c r="AB2732">
        <v>0</v>
      </c>
      <c r="AD2732">
        <v>42.2</v>
      </c>
    </row>
    <row r="2733" spans="1:30" x14ac:dyDescent="0.3">
      <c r="A2733" s="4">
        <v>2754</v>
      </c>
      <c r="B2733" s="5">
        <v>2726</v>
      </c>
      <c r="C2733">
        <v>2464</v>
      </c>
      <c r="D2733" t="s">
        <v>1170</v>
      </c>
      <c r="E2733" t="s">
        <v>1997</v>
      </c>
      <c r="F2733" t="s">
        <v>310</v>
      </c>
      <c r="G2733" t="s">
        <v>5774</v>
      </c>
      <c r="H2733" t="str">
        <f>"00861681"</f>
        <v>00861681</v>
      </c>
      <c r="I2733">
        <v>35.200000000000003</v>
      </c>
      <c r="J2733">
        <v>0</v>
      </c>
      <c r="N2733">
        <v>0</v>
      </c>
      <c r="O2733">
        <v>4</v>
      </c>
      <c r="P2733">
        <v>0</v>
      </c>
      <c r="Q2733">
        <v>39.200000000000003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3</v>
      </c>
      <c r="AB2733">
        <v>0</v>
      </c>
      <c r="AD2733">
        <v>42.2</v>
      </c>
    </row>
    <row r="2734" spans="1:30" x14ac:dyDescent="0.3">
      <c r="A2734" s="4">
        <v>2755</v>
      </c>
      <c r="B2734" s="5">
        <v>2727</v>
      </c>
      <c r="C2734">
        <v>4522</v>
      </c>
      <c r="D2734" t="s">
        <v>3831</v>
      </c>
      <c r="E2734" t="s">
        <v>132</v>
      </c>
      <c r="F2734" t="s">
        <v>20</v>
      </c>
      <c r="G2734" t="s">
        <v>5775</v>
      </c>
      <c r="H2734" t="str">
        <f>"00307117"</f>
        <v>00307117</v>
      </c>
      <c r="I2734">
        <v>7.2</v>
      </c>
      <c r="J2734">
        <v>10</v>
      </c>
      <c r="N2734">
        <v>0</v>
      </c>
      <c r="O2734">
        <v>4</v>
      </c>
      <c r="P2734">
        <v>0</v>
      </c>
      <c r="Q2734">
        <v>21.2</v>
      </c>
      <c r="R2734">
        <v>18</v>
      </c>
      <c r="S2734">
        <v>18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18</v>
      </c>
      <c r="AA2734">
        <v>3</v>
      </c>
      <c r="AB2734">
        <v>0</v>
      </c>
      <c r="AD2734">
        <v>42.2</v>
      </c>
    </row>
    <row r="2735" spans="1:30" x14ac:dyDescent="0.3">
      <c r="A2735" s="4">
        <v>2756</v>
      </c>
      <c r="B2735" s="5">
        <v>2728</v>
      </c>
      <c r="C2735">
        <v>507</v>
      </c>
      <c r="D2735" t="s">
        <v>775</v>
      </c>
      <c r="E2735" t="s">
        <v>5776</v>
      </c>
      <c r="F2735" t="s">
        <v>158</v>
      </c>
      <c r="G2735" t="s">
        <v>5777</v>
      </c>
      <c r="H2735" t="str">
        <f>"00530465"</f>
        <v>00530465</v>
      </c>
      <c r="I2735">
        <v>29.2</v>
      </c>
      <c r="J2735">
        <v>0</v>
      </c>
      <c r="L2735">
        <v>6</v>
      </c>
      <c r="N2735">
        <v>6</v>
      </c>
      <c r="O2735">
        <v>0</v>
      </c>
      <c r="P2735">
        <v>0</v>
      </c>
      <c r="Q2735">
        <v>35.200000000000003</v>
      </c>
      <c r="R2735">
        <v>7</v>
      </c>
      <c r="S2735">
        <v>7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7</v>
      </c>
      <c r="AA2735">
        <v>0</v>
      </c>
      <c r="AB2735">
        <v>0</v>
      </c>
      <c r="AD2735">
        <v>42.2</v>
      </c>
    </row>
    <row r="2736" spans="1:30" x14ac:dyDescent="0.3">
      <c r="A2736" s="4">
        <v>2757</v>
      </c>
      <c r="B2736" s="5">
        <v>2729</v>
      </c>
      <c r="C2736">
        <v>4369</v>
      </c>
      <c r="D2736" t="s">
        <v>5778</v>
      </c>
      <c r="E2736" t="s">
        <v>29</v>
      </c>
      <c r="F2736" t="s">
        <v>30</v>
      </c>
      <c r="G2736" t="s">
        <v>5779</v>
      </c>
      <c r="H2736" t="str">
        <f>"00864677"</f>
        <v>00864677</v>
      </c>
      <c r="I2736">
        <v>22.16</v>
      </c>
      <c r="J2736">
        <v>10</v>
      </c>
      <c r="N2736">
        <v>0</v>
      </c>
      <c r="O2736">
        <v>4</v>
      </c>
      <c r="P2736">
        <v>0</v>
      </c>
      <c r="Q2736">
        <v>36.159999999999997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6</v>
      </c>
      <c r="AB2736">
        <v>0</v>
      </c>
      <c r="AD2736">
        <v>42.16</v>
      </c>
    </row>
    <row r="2737" spans="1:30" x14ac:dyDescent="0.3">
      <c r="A2737" s="4">
        <v>2758</v>
      </c>
      <c r="B2737" s="5">
        <v>2730</v>
      </c>
      <c r="C2737">
        <v>558</v>
      </c>
      <c r="D2737" t="s">
        <v>5780</v>
      </c>
      <c r="E2737" t="s">
        <v>29</v>
      </c>
      <c r="F2737" t="s">
        <v>81</v>
      </c>
      <c r="G2737" t="s">
        <v>5781</v>
      </c>
      <c r="H2737" t="str">
        <f>"00518853"</f>
        <v>00518853</v>
      </c>
      <c r="I2737">
        <v>27.08</v>
      </c>
      <c r="J2737">
        <v>0</v>
      </c>
      <c r="N2737">
        <v>0</v>
      </c>
      <c r="O2737">
        <v>4</v>
      </c>
      <c r="P2737">
        <v>0</v>
      </c>
      <c r="Q2737">
        <v>31.08</v>
      </c>
      <c r="R2737">
        <v>8</v>
      </c>
      <c r="S2737">
        <v>8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8</v>
      </c>
      <c r="AA2737">
        <v>3</v>
      </c>
      <c r="AB2737">
        <v>0</v>
      </c>
      <c r="AD2737">
        <v>42.08</v>
      </c>
    </row>
    <row r="2738" spans="1:30" x14ac:dyDescent="0.3">
      <c r="A2738" s="4">
        <v>2759</v>
      </c>
      <c r="B2738" s="5">
        <v>2731</v>
      </c>
      <c r="C2738">
        <v>1427</v>
      </c>
      <c r="D2738" t="s">
        <v>5782</v>
      </c>
      <c r="E2738" t="s">
        <v>1210</v>
      </c>
      <c r="F2738" t="s">
        <v>17</v>
      </c>
      <c r="G2738" t="s">
        <v>5783</v>
      </c>
      <c r="H2738" t="str">
        <f>"00858662"</f>
        <v>00858662</v>
      </c>
      <c r="I2738">
        <v>36</v>
      </c>
      <c r="J2738">
        <v>0</v>
      </c>
      <c r="N2738">
        <v>0</v>
      </c>
      <c r="O2738">
        <v>0</v>
      </c>
      <c r="P2738">
        <v>0</v>
      </c>
      <c r="Q2738">
        <v>36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6</v>
      </c>
      <c r="AB2738">
        <v>0</v>
      </c>
      <c r="AD2738">
        <v>42</v>
      </c>
    </row>
    <row r="2739" spans="1:30" x14ac:dyDescent="0.3">
      <c r="A2739" s="4">
        <v>2760</v>
      </c>
      <c r="B2739" s="5">
        <v>2732</v>
      </c>
      <c r="C2739">
        <v>3578</v>
      </c>
      <c r="D2739" t="s">
        <v>3802</v>
      </c>
      <c r="E2739" t="s">
        <v>88</v>
      </c>
      <c r="F2739" t="s">
        <v>17</v>
      </c>
      <c r="G2739" t="s">
        <v>5784</v>
      </c>
      <c r="H2739" t="str">
        <f>"00805373"</f>
        <v>00805373</v>
      </c>
      <c r="I2739">
        <v>36</v>
      </c>
      <c r="J2739">
        <v>0</v>
      </c>
      <c r="N2739">
        <v>0</v>
      </c>
      <c r="O2739">
        <v>0</v>
      </c>
      <c r="P2739">
        <v>0</v>
      </c>
      <c r="Q2739">
        <v>36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6</v>
      </c>
      <c r="AB2739">
        <v>0</v>
      </c>
      <c r="AD2739">
        <v>42</v>
      </c>
    </row>
    <row r="2740" spans="1:30" x14ac:dyDescent="0.3">
      <c r="A2740" s="4">
        <v>2761</v>
      </c>
      <c r="B2740" s="5">
        <v>2733</v>
      </c>
      <c r="C2740">
        <v>217</v>
      </c>
      <c r="D2740" t="s">
        <v>5785</v>
      </c>
      <c r="E2740" t="s">
        <v>5786</v>
      </c>
      <c r="F2740" t="s">
        <v>17</v>
      </c>
      <c r="G2740" t="s">
        <v>5787</v>
      </c>
      <c r="H2740" t="str">
        <f>"00853999"</f>
        <v>00853999</v>
      </c>
      <c r="I2740">
        <v>36</v>
      </c>
      <c r="J2740">
        <v>0</v>
      </c>
      <c r="N2740">
        <v>0</v>
      </c>
      <c r="O2740">
        <v>0</v>
      </c>
      <c r="P2740">
        <v>0</v>
      </c>
      <c r="Q2740">
        <v>36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6</v>
      </c>
      <c r="AB2740">
        <v>0</v>
      </c>
      <c r="AD2740">
        <v>42</v>
      </c>
    </row>
    <row r="2741" spans="1:30" x14ac:dyDescent="0.3">
      <c r="A2741" s="4">
        <v>2762</v>
      </c>
      <c r="B2741" s="5">
        <v>2734</v>
      </c>
      <c r="C2741">
        <v>2694</v>
      </c>
      <c r="D2741" t="s">
        <v>5788</v>
      </c>
      <c r="E2741" t="s">
        <v>149</v>
      </c>
      <c r="F2741" t="s">
        <v>17</v>
      </c>
      <c r="G2741" t="s">
        <v>5789</v>
      </c>
      <c r="H2741" t="str">
        <f>"00679783"</f>
        <v>00679783</v>
      </c>
      <c r="I2741">
        <v>36</v>
      </c>
      <c r="J2741">
        <v>0</v>
      </c>
      <c r="N2741">
        <v>0</v>
      </c>
      <c r="O2741">
        <v>0</v>
      </c>
      <c r="P2741">
        <v>0</v>
      </c>
      <c r="Q2741">
        <v>36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6</v>
      </c>
      <c r="AB2741">
        <v>0</v>
      </c>
      <c r="AD2741">
        <v>42</v>
      </c>
    </row>
    <row r="2742" spans="1:30" x14ac:dyDescent="0.3">
      <c r="A2742" s="4">
        <v>2763</v>
      </c>
      <c r="B2742" s="5">
        <v>2735</v>
      </c>
      <c r="C2742">
        <v>4664</v>
      </c>
      <c r="D2742" t="s">
        <v>5790</v>
      </c>
      <c r="E2742" t="s">
        <v>4033</v>
      </c>
      <c r="F2742" t="s">
        <v>158</v>
      </c>
      <c r="G2742" t="s">
        <v>5791</v>
      </c>
      <c r="H2742" t="str">
        <f>"201011000036"</f>
        <v>201011000036</v>
      </c>
      <c r="I2742">
        <v>36</v>
      </c>
      <c r="J2742">
        <v>0</v>
      </c>
      <c r="N2742">
        <v>0</v>
      </c>
      <c r="O2742">
        <v>0</v>
      </c>
      <c r="P2742">
        <v>0</v>
      </c>
      <c r="Q2742">
        <v>36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6</v>
      </c>
      <c r="AB2742">
        <v>0</v>
      </c>
      <c r="AD2742">
        <v>42</v>
      </c>
    </row>
    <row r="2743" spans="1:30" x14ac:dyDescent="0.3">
      <c r="A2743" s="4">
        <v>2764</v>
      </c>
      <c r="B2743" s="5">
        <v>2736</v>
      </c>
      <c r="C2743">
        <v>4245</v>
      </c>
      <c r="D2743" t="s">
        <v>5792</v>
      </c>
      <c r="E2743" t="s">
        <v>22</v>
      </c>
      <c r="F2743" t="s">
        <v>124</v>
      </c>
      <c r="G2743" t="s">
        <v>5793</v>
      </c>
      <c r="H2743" t="str">
        <f>"00863896"</f>
        <v>00863896</v>
      </c>
      <c r="I2743">
        <v>34</v>
      </c>
      <c r="J2743">
        <v>0</v>
      </c>
      <c r="N2743">
        <v>0</v>
      </c>
      <c r="O2743">
        <v>0</v>
      </c>
      <c r="P2743">
        <v>2</v>
      </c>
      <c r="Q2743">
        <v>36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6</v>
      </c>
      <c r="AB2743">
        <v>0</v>
      </c>
      <c r="AD2743">
        <v>42</v>
      </c>
    </row>
    <row r="2744" spans="1:30" x14ac:dyDescent="0.3">
      <c r="A2744" s="4">
        <v>2765</v>
      </c>
      <c r="B2744" s="5">
        <v>2737</v>
      </c>
      <c r="C2744">
        <v>2408</v>
      </c>
      <c r="D2744" t="s">
        <v>1822</v>
      </c>
      <c r="E2744" t="s">
        <v>2011</v>
      </c>
      <c r="F2744" t="s">
        <v>30</v>
      </c>
      <c r="G2744" t="s">
        <v>5794</v>
      </c>
      <c r="H2744" t="str">
        <f>"00532055"</f>
        <v>00532055</v>
      </c>
      <c r="I2744">
        <v>38</v>
      </c>
      <c r="J2744">
        <v>0</v>
      </c>
      <c r="N2744">
        <v>0</v>
      </c>
      <c r="O2744">
        <v>4</v>
      </c>
      <c r="P2744">
        <v>0</v>
      </c>
      <c r="Q2744">
        <v>42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D2744">
        <v>42</v>
      </c>
    </row>
    <row r="2745" spans="1:30" x14ac:dyDescent="0.3">
      <c r="A2745" s="4">
        <v>2766</v>
      </c>
      <c r="B2745" s="5">
        <v>2738</v>
      </c>
      <c r="C2745">
        <v>4323</v>
      </c>
      <c r="D2745" t="s">
        <v>5795</v>
      </c>
      <c r="E2745" t="s">
        <v>560</v>
      </c>
      <c r="F2745" t="s">
        <v>81</v>
      </c>
      <c r="G2745" t="s">
        <v>5796</v>
      </c>
      <c r="H2745" t="str">
        <f>"00862185"</f>
        <v>00862185</v>
      </c>
      <c r="I2745">
        <v>38</v>
      </c>
      <c r="J2745">
        <v>0</v>
      </c>
      <c r="N2745">
        <v>0</v>
      </c>
      <c r="O2745">
        <v>4</v>
      </c>
      <c r="P2745">
        <v>0</v>
      </c>
      <c r="Q2745">
        <v>42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D2745">
        <v>42</v>
      </c>
    </row>
    <row r="2746" spans="1:30" x14ac:dyDescent="0.3">
      <c r="A2746" s="4">
        <v>2767</v>
      </c>
      <c r="B2746" s="5">
        <v>2739</v>
      </c>
      <c r="C2746">
        <v>3580</v>
      </c>
      <c r="D2746" t="s">
        <v>5797</v>
      </c>
      <c r="E2746" t="s">
        <v>406</v>
      </c>
      <c r="F2746" t="s">
        <v>243</v>
      </c>
      <c r="G2746" t="s">
        <v>5798</v>
      </c>
      <c r="H2746" t="str">
        <f>"00858068"</f>
        <v>00858068</v>
      </c>
      <c r="I2746">
        <v>36</v>
      </c>
      <c r="J2746">
        <v>0</v>
      </c>
      <c r="M2746">
        <v>4</v>
      </c>
      <c r="N2746">
        <v>4</v>
      </c>
      <c r="O2746">
        <v>0</v>
      </c>
      <c r="P2746">
        <v>2</v>
      </c>
      <c r="Q2746">
        <v>42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D2746">
        <v>42</v>
      </c>
    </row>
    <row r="2747" spans="1:30" x14ac:dyDescent="0.3">
      <c r="A2747" s="4">
        <v>2768</v>
      </c>
      <c r="B2747" s="5">
        <v>2740</v>
      </c>
      <c r="C2747">
        <v>1743</v>
      </c>
      <c r="D2747" t="s">
        <v>5799</v>
      </c>
      <c r="E2747" t="s">
        <v>54</v>
      </c>
      <c r="F2747" t="s">
        <v>385</v>
      </c>
      <c r="G2747" t="s">
        <v>5800</v>
      </c>
      <c r="H2747" t="str">
        <f>"00802821"</f>
        <v>00802821</v>
      </c>
      <c r="I2747">
        <v>36</v>
      </c>
      <c r="J2747">
        <v>0</v>
      </c>
      <c r="N2747">
        <v>0</v>
      </c>
      <c r="O2747">
        <v>4</v>
      </c>
      <c r="P2747">
        <v>2</v>
      </c>
      <c r="Q2747">
        <v>42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D2747">
        <v>42</v>
      </c>
    </row>
    <row r="2748" spans="1:30" x14ac:dyDescent="0.3">
      <c r="A2748" s="4">
        <v>2769</v>
      </c>
      <c r="B2748" s="5">
        <v>2741</v>
      </c>
      <c r="C2748">
        <v>4034</v>
      </c>
      <c r="D2748" t="s">
        <v>5801</v>
      </c>
      <c r="E2748" t="s">
        <v>1975</v>
      </c>
      <c r="F2748" t="s">
        <v>91</v>
      </c>
      <c r="G2748" t="s">
        <v>5802</v>
      </c>
      <c r="H2748" t="str">
        <f>"00854909"</f>
        <v>00854909</v>
      </c>
      <c r="I2748">
        <v>36</v>
      </c>
      <c r="J2748">
        <v>0</v>
      </c>
      <c r="N2748">
        <v>0</v>
      </c>
      <c r="O2748">
        <v>4</v>
      </c>
      <c r="P2748">
        <v>2</v>
      </c>
      <c r="Q2748">
        <v>42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D2748">
        <v>42</v>
      </c>
    </row>
    <row r="2749" spans="1:30" x14ac:dyDescent="0.3">
      <c r="A2749" s="4">
        <v>2770</v>
      </c>
      <c r="B2749" s="5">
        <v>2742</v>
      </c>
      <c r="C2749">
        <v>937</v>
      </c>
      <c r="D2749" t="s">
        <v>5803</v>
      </c>
      <c r="E2749" t="s">
        <v>173</v>
      </c>
      <c r="F2749" t="s">
        <v>2998</v>
      </c>
      <c r="G2749" t="s">
        <v>5804</v>
      </c>
      <c r="H2749" t="str">
        <f>"00779939"</f>
        <v>00779939</v>
      </c>
      <c r="I2749">
        <v>36</v>
      </c>
      <c r="J2749">
        <v>0</v>
      </c>
      <c r="N2749">
        <v>0</v>
      </c>
      <c r="O2749">
        <v>4</v>
      </c>
      <c r="P2749">
        <v>2</v>
      </c>
      <c r="Q2749">
        <v>42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D2749">
        <v>42</v>
      </c>
    </row>
    <row r="2750" spans="1:30" x14ac:dyDescent="0.3">
      <c r="A2750" s="4">
        <v>2771</v>
      </c>
      <c r="B2750" s="5">
        <v>2743</v>
      </c>
      <c r="C2750">
        <v>1445</v>
      </c>
      <c r="D2750" t="s">
        <v>5805</v>
      </c>
      <c r="E2750" t="s">
        <v>255</v>
      </c>
      <c r="F2750" t="s">
        <v>38</v>
      </c>
      <c r="G2750" t="s">
        <v>5806</v>
      </c>
      <c r="H2750" t="str">
        <f>"00531982"</f>
        <v>00531982</v>
      </c>
      <c r="I2750">
        <v>36</v>
      </c>
      <c r="J2750">
        <v>0</v>
      </c>
      <c r="N2750">
        <v>0</v>
      </c>
      <c r="O2750">
        <v>4</v>
      </c>
      <c r="P2750">
        <v>2</v>
      </c>
      <c r="Q2750">
        <v>42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D2750">
        <v>42</v>
      </c>
    </row>
    <row r="2751" spans="1:30" x14ac:dyDescent="0.3">
      <c r="A2751" s="4">
        <v>2772</v>
      </c>
      <c r="B2751" s="5">
        <v>2744</v>
      </c>
      <c r="C2751">
        <v>2342</v>
      </c>
      <c r="D2751" t="s">
        <v>565</v>
      </c>
      <c r="E2751" t="s">
        <v>1465</v>
      </c>
      <c r="F2751" t="s">
        <v>5807</v>
      </c>
      <c r="G2751" t="s">
        <v>5808</v>
      </c>
      <c r="H2751" t="str">
        <f>"00860611"</f>
        <v>00860611</v>
      </c>
      <c r="I2751">
        <v>36</v>
      </c>
      <c r="J2751">
        <v>0</v>
      </c>
      <c r="N2751">
        <v>0</v>
      </c>
      <c r="O2751">
        <v>4</v>
      </c>
      <c r="P2751">
        <v>2</v>
      </c>
      <c r="Q2751">
        <v>42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D2751">
        <v>42</v>
      </c>
    </row>
    <row r="2752" spans="1:30" x14ac:dyDescent="0.3">
      <c r="A2752" s="4">
        <v>2773</v>
      </c>
      <c r="B2752" s="5">
        <v>2745</v>
      </c>
      <c r="C2752">
        <v>416</v>
      </c>
      <c r="D2752" t="s">
        <v>5809</v>
      </c>
      <c r="E2752" t="s">
        <v>166</v>
      </c>
      <c r="F2752" t="s">
        <v>892</v>
      </c>
      <c r="G2752" t="s">
        <v>5810</v>
      </c>
      <c r="H2752" t="str">
        <f>"00857665"</f>
        <v>00857665</v>
      </c>
      <c r="I2752">
        <v>28</v>
      </c>
      <c r="J2752">
        <v>0</v>
      </c>
      <c r="K2752">
        <v>8</v>
      </c>
      <c r="N2752">
        <v>8</v>
      </c>
      <c r="O2752">
        <v>4</v>
      </c>
      <c r="P2752">
        <v>2</v>
      </c>
      <c r="Q2752">
        <v>42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D2752">
        <v>42</v>
      </c>
    </row>
    <row r="2753" spans="1:30" x14ac:dyDescent="0.3">
      <c r="A2753" s="4">
        <v>2774</v>
      </c>
      <c r="B2753" s="5">
        <v>2746</v>
      </c>
      <c r="C2753">
        <v>1624</v>
      </c>
      <c r="D2753" t="s">
        <v>4294</v>
      </c>
      <c r="E2753" t="s">
        <v>5811</v>
      </c>
      <c r="F2753" t="s">
        <v>55</v>
      </c>
      <c r="G2753" t="s">
        <v>5812</v>
      </c>
      <c r="H2753" t="str">
        <f>"00524241"</f>
        <v>00524241</v>
      </c>
      <c r="I2753">
        <v>0</v>
      </c>
      <c r="J2753">
        <v>0</v>
      </c>
      <c r="N2753">
        <v>0</v>
      </c>
      <c r="O2753">
        <v>4</v>
      </c>
      <c r="P2753">
        <v>2</v>
      </c>
      <c r="Q2753">
        <v>6</v>
      </c>
      <c r="R2753">
        <v>36</v>
      </c>
      <c r="S2753">
        <v>36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36</v>
      </c>
      <c r="AA2753">
        <v>0</v>
      </c>
      <c r="AB2753">
        <v>0</v>
      </c>
      <c r="AD2753">
        <v>42</v>
      </c>
    </row>
    <row r="2754" spans="1:30" x14ac:dyDescent="0.3">
      <c r="A2754" s="4">
        <v>2775</v>
      </c>
      <c r="B2754" s="5">
        <v>2747</v>
      </c>
      <c r="C2754">
        <v>4675</v>
      </c>
      <c r="D2754" t="s">
        <v>5813</v>
      </c>
      <c r="E2754" t="s">
        <v>161</v>
      </c>
      <c r="F2754" t="s">
        <v>5814</v>
      </c>
      <c r="G2754" t="s">
        <v>5815</v>
      </c>
      <c r="H2754" t="str">
        <f>"00529007"</f>
        <v>00529007</v>
      </c>
      <c r="I2754">
        <v>32.880000000000003</v>
      </c>
      <c r="J2754">
        <v>0</v>
      </c>
      <c r="N2754">
        <v>0</v>
      </c>
      <c r="O2754">
        <v>0</v>
      </c>
      <c r="P2754">
        <v>0</v>
      </c>
      <c r="Q2754">
        <v>32.880000000000003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9</v>
      </c>
      <c r="AB2754">
        <v>0</v>
      </c>
      <c r="AD2754">
        <v>41.88</v>
      </c>
    </row>
    <row r="2755" spans="1:30" x14ac:dyDescent="0.3">
      <c r="A2755" s="4">
        <v>2776</v>
      </c>
      <c r="B2755" s="5">
        <v>2748</v>
      </c>
      <c r="C2755">
        <v>815</v>
      </c>
      <c r="D2755" t="s">
        <v>2043</v>
      </c>
      <c r="E2755" t="s">
        <v>170</v>
      </c>
      <c r="F2755" t="s">
        <v>81</v>
      </c>
      <c r="G2755" t="s">
        <v>5816</v>
      </c>
      <c r="H2755" t="str">
        <f>"00531695"</f>
        <v>00531695</v>
      </c>
      <c r="I2755">
        <v>36.880000000000003</v>
      </c>
      <c r="J2755">
        <v>0</v>
      </c>
      <c r="N2755">
        <v>0</v>
      </c>
      <c r="O2755">
        <v>0</v>
      </c>
      <c r="P2755">
        <v>2</v>
      </c>
      <c r="Q2755">
        <v>38.880000000000003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3</v>
      </c>
      <c r="AB2755">
        <v>0</v>
      </c>
      <c r="AD2755">
        <v>41.88</v>
      </c>
    </row>
    <row r="2756" spans="1:30" x14ac:dyDescent="0.3">
      <c r="A2756" s="4">
        <v>2777</v>
      </c>
      <c r="B2756" s="5">
        <v>2749</v>
      </c>
      <c r="C2756">
        <v>4562</v>
      </c>
      <c r="D2756" t="s">
        <v>1250</v>
      </c>
      <c r="E2756" t="s">
        <v>208</v>
      </c>
      <c r="F2756" t="s">
        <v>117</v>
      </c>
      <c r="G2756" t="s">
        <v>5817</v>
      </c>
      <c r="H2756" t="str">
        <f>"00856054"</f>
        <v>00856054</v>
      </c>
      <c r="I2756">
        <v>0</v>
      </c>
      <c r="J2756">
        <v>0</v>
      </c>
      <c r="M2756">
        <v>8</v>
      </c>
      <c r="N2756">
        <v>8</v>
      </c>
      <c r="O2756">
        <v>4</v>
      </c>
      <c r="P2756">
        <v>0</v>
      </c>
      <c r="Q2756">
        <v>12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3</v>
      </c>
      <c r="AB2756">
        <v>26.8</v>
      </c>
      <c r="AD2756">
        <v>41.8</v>
      </c>
    </row>
    <row r="2757" spans="1:30" x14ac:dyDescent="0.3">
      <c r="A2757" s="4">
        <v>2778</v>
      </c>
      <c r="B2757" s="5">
        <v>2750</v>
      </c>
      <c r="C2757">
        <v>3627</v>
      </c>
      <c r="D2757" t="s">
        <v>5818</v>
      </c>
      <c r="E2757" t="s">
        <v>132</v>
      </c>
      <c r="F2757" t="s">
        <v>136</v>
      </c>
      <c r="G2757" t="s">
        <v>5819</v>
      </c>
      <c r="H2757" t="str">
        <f>"00856505"</f>
        <v>00856505</v>
      </c>
      <c r="I2757">
        <v>28.8</v>
      </c>
      <c r="J2757">
        <v>0</v>
      </c>
      <c r="N2757">
        <v>0</v>
      </c>
      <c r="O2757">
        <v>4</v>
      </c>
      <c r="P2757">
        <v>0</v>
      </c>
      <c r="Q2757">
        <v>32.799999999999997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9</v>
      </c>
      <c r="AB2757">
        <v>0</v>
      </c>
      <c r="AD2757">
        <v>41.8</v>
      </c>
    </row>
    <row r="2758" spans="1:30" x14ac:dyDescent="0.3">
      <c r="A2758" s="4">
        <v>2779</v>
      </c>
      <c r="B2758" s="5">
        <v>2751</v>
      </c>
      <c r="C2758">
        <v>159</v>
      </c>
      <c r="D2758" t="s">
        <v>5820</v>
      </c>
      <c r="E2758" t="s">
        <v>41</v>
      </c>
      <c r="F2758" t="s">
        <v>4941</v>
      </c>
      <c r="G2758" t="s">
        <v>5821</v>
      </c>
      <c r="H2758" t="str">
        <f>"00534295"</f>
        <v>00534295</v>
      </c>
      <c r="I2758">
        <v>28.8</v>
      </c>
      <c r="J2758">
        <v>0</v>
      </c>
      <c r="N2758">
        <v>0</v>
      </c>
      <c r="O2758">
        <v>4</v>
      </c>
      <c r="P2758">
        <v>0</v>
      </c>
      <c r="Q2758">
        <v>32.799999999999997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9</v>
      </c>
      <c r="AB2758">
        <v>0</v>
      </c>
      <c r="AD2758">
        <v>41.8</v>
      </c>
    </row>
    <row r="2759" spans="1:30" x14ac:dyDescent="0.3">
      <c r="A2759" s="4">
        <v>2780</v>
      </c>
      <c r="B2759" s="5">
        <v>2752</v>
      </c>
      <c r="C2759">
        <v>1350</v>
      </c>
      <c r="D2759" t="s">
        <v>5822</v>
      </c>
      <c r="E2759" t="s">
        <v>161</v>
      </c>
      <c r="F2759" t="s">
        <v>68</v>
      </c>
      <c r="G2759" t="s">
        <v>5823</v>
      </c>
      <c r="H2759" t="str">
        <f>"00143699"</f>
        <v>00143699</v>
      </c>
      <c r="I2759">
        <v>28.8</v>
      </c>
      <c r="J2759">
        <v>0</v>
      </c>
      <c r="L2759">
        <v>6</v>
      </c>
      <c r="N2759">
        <v>6</v>
      </c>
      <c r="O2759">
        <v>4</v>
      </c>
      <c r="P2759">
        <v>0</v>
      </c>
      <c r="Q2759">
        <v>38.799999999999997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3</v>
      </c>
      <c r="AB2759">
        <v>0</v>
      </c>
      <c r="AD2759">
        <v>41.8</v>
      </c>
    </row>
    <row r="2760" spans="1:30" x14ac:dyDescent="0.3">
      <c r="A2760" s="4">
        <v>2781</v>
      </c>
      <c r="B2760" s="5">
        <v>2753</v>
      </c>
      <c r="C2760">
        <v>3563</v>
      </c>
      <c r="D2760" t="s">
        <v>5824</v>
      </c>
      <c r="E2760" t="s">
        <v>5825</v>
      </c>
      <c r="F2760" t="s">
        <v>38</v>
      </c>
      <c r="G2760" t="s">
        <v>5826</v>
      </c>
      <c r="H2760" t="str">
        <f>"00558455"</f>
        <v>00558455</v>
      </c>
      <c r="I2760">
        <v>28.8</v>
      </c>
      <c r="J2760">
        <v>0</v>
      </c>
      <c r="M2760">
        <v>4</v>
      </c>
      <c r="N2760">
        <v>4</v>
      </c>
      <c r="O2760">
        <v>4</v>
      </c>
      <c r="P2760">
        <v>2</v>
      </c>
      <c r="Q2760">
        <v>38.799999999999997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3</v>
      </c>
      <c r="AB2760">
        <v>0</v>
      </c>
      <c r="AD2760">
        <v>41.8</v>
      </c>
    </row>
    <row r="2761" spans="1:30" x14ac:dyDescent="0.3">
      <c r="A2761" s="4">
        <v>2782</v>
      </c>
      <c r="B2761" s="5">
        <v>2754</v>
      </c>
      <c r="C2761">
        <v>3018</v>
      </c>
      <c r="D2761" t="s">
        <v>5827</v>
      </c>
      <c r="E2761" t="s">
        <v>166</v>
      </c>
      <c r="F2761" t="s">
        <v>626</v>
      </c>
      <c r="G2761" t="s">
        <v>5828</v>
      </c>
      <c r="H2761" t="str">
        <f>"00654988"</f>
        <v>00654988</v>
      </c>
      <c r="I2761">
        <v>31.72</v>
      </c>
      <c r="J2761">
        <v>0</v>
      </c>
      <c r="N2761">
        <v>0</v>
      </c>
      <c r="O2761">
        <v>4</v>
      </c>
      <c r="P2761">
        <v>0</v>
      </c>
      <c r="Q2761">
        <v>35.72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6</v>
      </c>
      <c r="AB2761">
        <v>0</v>
      </c>
      <c r="AD2761">
        <v>41.72</v>
      </c>
    </row>
    <row r="2762" spans="1:30" x14ac:dyDescent="0.3">
      <c r="A2762" s="4">
        <v>2783</v>
      </c>
      <c r="B2762" s="5">
        <v>2755</v>
      </c>
      <c r="C2762">
        <v>3311</v>
      </c>
      <c r="D2762" t="s">
        <v>4355</v>
      </c>
      <c r="E2762" t="s">
        <v>29</v>
      </c>
      <c r="F2762" t="s">
        <v>346</v>
      </c>
      <c r="G2762" t="s">
        <v>5829</v>
      </c>
      <c r="H2762" t="str">
        <f>"00200244"</f>
        <v>00200244</v>
      </c>
      <c r="I2762">
        <v>24.72</v>
      </c>
      <c r="J2762">
        <v>10</v>
      </c>
      <c r="N2762">
        <v>0</v>
      </c>
      <c r="O2762">
        <v>4</v>
      </c>
      <c r="P2762">
        <v>0</v>
      </c>
      <c r="Q2762">
        <v>38.72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3</v>
      </c>
      <c r="AB2762">
        <v>0</v>
      </c>
      <c r="AD2762">
        <v>41.72</v>
      </c>
    </row>
    <row r="2763" spans="1:30" x14ac:dyDescent="0.3">
      <c r="A2763" s="4">
        <v>2784</v>
      </c>
      <c r="B2763" s="5">
        <v>2756</v>
      </c>
      <c r="C2763">
        <v>1334</v>
      </c>
      <c r="D2763" t="s">
        <v>5830</v>
      </c>
      <c r="E2763" t="s">
        <v>100</v>
      </c>
      <c r="F2763" t="s">
        <v>81</v>
      </c>
      <c r="G2763" t="s">
        <v>5831</v>
      </c>
      <c r="H2763" t="str">
        <f>"201412002838"</f>
        <v>201412002838</v>
      </c>
      <c r="I2763">
        <v>38.68</v>
      </c>
      <c r="J2763">
        <v>0</v>
      </c>
      <c r="N2763">
        <v>0</v>
      </c>
      <c r="O2763">
        <v>0</v>
      </c>
      <c r="P2763">
        <v>0</v>
      </c>
      <c r="Q2763">
        <v>38.68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3</v>
      </c>
      <c r="AB2763">
        <v>0</v>
      </c>
      <c r="AD2763">
        <v>41.68</v>
      </c>
    </row>
    <row r="2764" spans="1:30" x14ac:dyDescent="0.3">
      <c r="A2764" s="4">
        <v>2785</v>
      </c>
      <c r="B2764" s="5">
        <v>2757</v>
      </c>
      <c r="C2764">
        <v>2101</v>
      </c>
      <c r="D2764" t="s">
        <v>1304</v>
      </c>
      <c r="E2764" t="s">
        <v>29</v>
      </c>
      <c r="F2764" t="s">
        <v>81</v>
      </c>
      <c r="G2764" t="s">
        <v>5832</v>
      </c>
      <c r="H2764" t="str">
        <f>"201511039123"</f>
        <v>201511039123</v>
      </c>
      <c r="I2764">
        <v>25.64</v>
      </c>
      <c r="J2764">
        <v>0</v>
      </c>
      <c r="N2764">
        <v>0</v>
      </c>
      <c r="O2764">
        <v>0</v>
      </c>
      <c r="P2764">
        <v>0</v>
      </c>
      <c r="Q2764">
        <v>25.64</v>
      </c>
      <c r="R2764">
        <v>13</v>
      </c>
      <c r="S2764">
        <v>13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13</v>
      </c>
      <c r="AA2764">
        <v>3</v>
      </c>
      <c r="AB2764">
        <v>0</v>
      </c>
      <c r="AD2764">
        <v>41.64</v>
      </c>
    </row>
    <row r="2765" spans="1:30" x14ac:dyDescent="0.3">
      <c r="A2765" s="4">
        <v>2786</v>
      </c>
      <c r="B2765" s="5">
        <v>2758</v>
      </c>
      <c r="C2765">
        <v>2005</v>
      </c>
      <c r="D2765" t="s">
        <v>5833</v>
      </c>
      <c r="E2765" t="s">
        <v>5834</v>
      </c>
      <c r="F2765" t="s">
        <v>17</v>
      </c>
      <c r="G2765" t="s">
        <v>5835</v>
      </c>
      <c r="H2765" t="str">
        <f>"00857817"</f>
        <v>00857817</v>
      </c>
      <c r="I2765">
        <v>21.6</v>
      </c>
      <c r="J2765">
        <v>0</v>
      </c>
      <c r="K2765">
        <v>8</v>
      </c>
      <c r="N2765">
        <v>8</v>
      </c>
      <c r="O2765">
        <v>4</v>
      </c>
      <c r="P2765">
        <v>2</v>
      </c>
      <c r="Q2765">
        <v>35.6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6</v>
      </c>
      <c r="AB2765">
        <v>0</v>
      </c>
      <c r="AD2765">
        <v>41.6</v>
      </c>
    </row>
    <row r="2766" spans="1:30" x14ac:dyDescent="0.3">
      <c r="A2766" s="4">
        <v>2787</v>
      </c>
      <c r="B2766" s="5">
        <v>2759</v>
      </c>
      <c r="C2766">
        <v>2455</v>
      </c>
      <c r="D2766" t="s">
        <v>5836</v>
      </c>
      <c r="E2766" t="s">
        <v>100</v>
      </c>
      <c r="F2766" t="s">
        <v>62</v>
      </c>
      <c r="G2766" t="s">
        <v>5837</v>
      </c>
      <c r="H2766" t="str">
        <f>"00534421"</f>
        <v>00534421</v>
      </c>
      <c r="I2766">
        <v>21.6</v>
      </c>
      <c r="J2766">
        <v>0</v>
      </c>
      <c r="K2766">
        <v>8</v>
      </c>
      <c r="N2766">
        <v>8</v>
      </c>
      <c r="O2766">
        <v>4</v>
      </c>
      <c r="P2766">
        <v>0</v>
      </c>
      <c r="Q2766">
        <v>33.6</v>
      </c>
      <c r="R2766">
        <v>5</v>
      </c>
      <c r="S2766">
        <v>5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5</v>
      </c>
      <c r="AA2766">
        <v>3</v>
      </c>
      <c r="AB2766">
        <v>0</v>
      </c>
      <c r="AD2766">
        <v>41.6</v>
      </c>
    </row>
    <row r="2767" spans="1:30" x14ac:dyDescent="0.3">
      <c r="A2767" s="4">
        <v>2788</v>
      </c>
      <c r="B2767" s="5">
        <v>2760</v>
      </c>
      <c r="C2767">
        <v>978</v>
      </c>
      <c r="D2767" t="s">
        <v>5838</v>
      </c>
      <c r="E2767" t="s">
        <v>1300</v>
      </c>
      <c r="F2767" t="s">
        <v>17</v>
      </c>
      <c r="G2767" t="s">
        <v>5839</v>
      </c>
      <c r="H2767" t="str">
        <f>"00858182"</f>
        <v>00858182</v>
      </c>
      <c r="I2767">
        <v>39.6</v>
      </c>
      <c r="J2767">
        <v>0</v>
      </c>
      <c r="N2767">
        <v>0</v>
      </c>
      <c r="O2767">
        <v>0</v>
      </c>
      <c r="P2767">
        <v>2</v>
      </c>
      <c r="Q2767">
        <v>41.6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D2767">
        <v>41.6</v>
      </c>
    </row>
    <row r="2768" spans="1:30" x14ac:dyDescent="0.3">
      <c r="A2768" s="4">
        <v>2789</v>
      </c>
      <c r="B2768" s="5">
        <v>2761</v>
      </c>
      <c r="C2768">
        <v>4573</v>
      </c>
      <c r="D2768" t="s">
        <v>2666</v>
      </c>
      <c r="E2768" t="s">
        <v>5840</v>
      </c>
      <c r="F2768" t="s">
        <v>30</v>
      </c>
      <c r="G2768" t="s">
        <v>5841</v>
      </c>
      <c r="H2768" t="str">
        <f>"00640829"</f>
        <v>00640829</v>
      </c>
      <c r="I2768">
        <v>37.6</v>
      </c>
      <c r="J2768">
        <v>0</v>
      </c>
      <c r="M2768">
        <v>4</v>
      </c>
      <c r="N2768">
        <v>4</v>
      </c>
      <c r="O2768">
        <v>0</v>
      </c>
      <c r="P2768">
        <v>0</v>
      </c>
      <c r="Q2768">
        <v>41.6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D2768">
        <v>41.6</v>
      </c>
    </row>
    <row r="2769" spans="1:30" x14ac:dyDescent="0.3">
      <c r="A2769" s="4">
        <v>2790</v>
      </c>
      <c r="B2769" s="5">
        <v>2762</v>
      </c>
      <c r="C2769">
        <v>1548</v>
      </c>
      <c r="D2769" t="s">
        <v>5842</v>
      </c>
      <c r="E2769" t="s">
        <v>789</v>
      </c>
      <c r="F2769" t="s">
        <v>81</v>
      </c>
      <c r="G2769" t="s">
        <v>5843</v>
      </c>
      <c r="H2769" t="str">
        <f>"00371450"</f>
        <v>00371450</v>
      </c>
      <c r="I2769">
        <v>31.6</v>
      </c>
      <c r="J2769">
        <v>0</v>
      </c>
      <c r="K2769">
        <v>8</v>
      </c>
      <c r="N2769">
        <v>8</v>
      </c>
      <c r="O2769">
        <v>0</v>
      </c>
      <c r="P2769">
        <v>2</v>
      </c>
      <c r="Q2769">
        <v>41.6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D2769">
        <v>41.6</v>
      </c>
    </row>
    <row r="2770" spans="1:30" x14ac:dyDescent="0.3">
      <c r="A2770" s="4">
        <v>2791</v>
      </c>
      <c r="B2770" s="5">
        <v>2763</v>
      </c>
      <c r="C2770">
        <v>4608</v>
      </c>
      <c r="D2770" t="s">
        <v>569</v>
      </c>
      <c r="E2770" t="s">
        <v>29</v>
      </c>
      <c r="F2770" t="s">
        <v>81</v>
      </c>
      <c r="G2770" t="s">
        <v>5844</v>
      </c>
      <c r="H2770" t="str">
        <f>"00752300"</f>
        <v>00752300</v>
      </c>
      <c r="I2770">
        <v>31.6</v>
      </c>
      <c r="J2770">
        <v>10</v>
      </c>
      <c r="N2770">
        <v>0</v>
      </c>
      <c r="O2770">
        <v>0</v>
      </c>
      <c r="P2770">
        <v>0</v>
      </c>
      <c r="Q2770">
        <v>41.6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D2770">
        <v>41.6</v>
      </c>
    </row>
    <row r="2771" spans="1:30" x14ac:dyDescent="0.3">
      <c r="A2771" s="4">
        <v>2792</v>
      </c>
      <c r="B2771" s="5">
        <v>2764</v>
      </c>
      <c r="C2771">
        <v>1337</v>
      </c>
      <c r="D2771" t="s">
        <v>5845</v>
      </c>
      <c r="E2771" t="s">
        <v>54</v>
      </c>
      <c r="F2771" t="s">
        <v>343</v>
      </c>
      <c r="G2771" t="s">
        <v>5846</v>
      </c>
      <c r="H2771" t="str">
        <f>"00857739"</f>
        <v>00857739</v>
      </c>
      <c r="I2771">
        <v>27.6</v>
      </c>
      <c r="J2771">
        <v>10</v>
      </c>
      <c r="N2771">
        <v>0</v>
      </c>
      <c r="O2771">
        <v>4</v>
      </c>
      <c r="P2771">
        <v>0</v>
      </c>
      <c r="Q2771">
        <v>41.6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D2771">
        <v>41.6</v>
      </c>
    </row>
    <row r="2772" spans="1:30" x14ac:dyDescent="0.3">
      <c r="A2772" s="4">
        <v>2793</v>
      </c>
      <c r="B2772" s="5">
        <v>2765</v>
      </c>
      <c r="C2772">
        <v>3406</v>
      </c>
      <c r="D2772" t="s">
        <v>5847</v>
      </c>
      <c r="E2772" t="s">
        <v>166</v>
      </c>
      <c r="F2772" t="s">
        <v>17</v>
      </c>
      <c r="G2772" t="s">
        <v>5848</v>
      </c>
      <c r="H2772" t="str">
        <f>"00577715"</f>
        <v>00577715</v>
      </c>
      <c r="I2772">
        <v>21.6</v>
      </c>
      <c r="J2772">
        <v>0</v>
      </c>
      <c r="K2772">
        <v>8</v>
      </c>
      <c r="L2772">
        <v>6</v>
      </c>
      <c r="N2772">
        <v>14</v>
      </c>
      <c r="O2772">
        <v>4</v>
      </c>
      <c r="P2772">
        <v>2</v>
      </c>
      <c r="Q2772">
        <v>41.6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D2772">
        <v>41.6</v>
      </c>
    </row>
    <row r="2773" spans="1:30" x14ac:dyDescent="0.3">
      <c r="A2773" s="4">
        <v>2794</v>
      </c>
      <c r="B2773" s="5">
        <v>2766</v>
      </c>
      <c r="C2773">
        <v>3106</v>
      </c>
      <c r="D2773" t="s">
        <v>5849</v>
      </c>
      <c r="E2773" t="s">
        <v>5850</v>
      </c>
      <c r="F2773" t="s">
        <v>5851</v>
      </c>
      <c r="G2773" t="s">
        <v>5852</v>
      </c>
      <c r="H2773" t="str">
        <f>"00291692"</f>
        <v>00291692</v>
      </c>
      <c r="I2773">
        <v>19.600000000000001</v>
      </c>
      <c r="J2773">
        <v>0</v>
      </c>
      <c r="K2773">
        <v>16</v>
      </c>
      <c r="N2773">
        <v>16</v>
      </c>
      <c r="O2773">
        <v>4</v>
      </c>
      <c r="P2773">
        <v>2</v>
      </c>
      <c r="Q2773">
        <v>41.6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D2773">
        <v>41.6</v>
      </c>
    </row>
    <row r="2774" spans="1:30" x14ac:dyDescent="0.3">
      <c r="A2774" s="4">
        <v>2795</v>
      </c>
      <c r="B2774" s="5">
        <v>2767</v>
      </c>
      <c r="C2774">
        <v>3275</v>
      </c>
      <c r="D2774" t="s">
        <v>5853</v>
      </c>
      <c r="E2774" t="s">
        <v>744</v>
      </c>
      <c r="F2774" t="s">
        <v>328</v>
      </c>
      <c r="G2774" t="s">
        <v>5854</v>
      </c>
      <c r="H2774" t="str">
        <f>"00531919"</f>
        <v>00531919</v>
      </c>
      <c r="I2774">
        <v>29.6</v>
      </c>
      <c r="J2774">
        <v>0</v>
      </c>
      <c r="N2774">
        <v>0</v>
      </c>
      <c r="O2774">
        <v>4</v>
      </c>
      <c r="P2774">
        <v>0</v>
      </c>
      <c r="Q2774">
        <v>33.6</v>
      </c>
      <c r="R2774">
        <v>8</v>
      </c>
      <c r="S2774">
        <v>8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8</v>
      </c>
      <c r="AA2774">
        <v>0</v>
      </c>
      <c r="AB2774">
        <v>0</v>
      </c>
      <c r="AD2774">
        <v>41.6</v>
      </c>
    </row>
    <row r="2775" spans="1:30" x14ac:dyDescent="0.3">
      <c r="A2775" s="4">
        <v>2796</v>
      </c>
      <c r="B2775" s="5">
        <v>2768</v>
      </c>
      <c r="C2775">
        <v>196</v>
      </c>
      <c r="D2775" t="s">
        <v>5855</v>
      </c>
      <c r="E2775" t="s">
        <v>268</v>
      </c>
      <c r="F2775" t="s">
        <v>5856</v>
      </c>
      <c r="G2775" t="s">
        <v>5857</v>
      </c>
      <c r="H2775" t="str">
        <f>"00532696"</f>
        <v>00532696</v>
      </c>
      <c r="I2775">
        <v>21.6</v>
      </c>
      <c r="J2775">
        <v>0</v>
      </c>
      <c r="N2775">
        <v>0</v>
      </c>
      <c r="O2775">
        <v>4</v>
      </c>
      <c r="P2775">
        <v>2</v>
      </c>
      <c r="Q2775">
        <v>27.6</v>
      </c>
      <c r="R2775">
        <v>14</v>
      </c>
      <c r="S2775">
        <v>14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14</v>
      </c>
      <c r="AA2775">
        <v>0</v>
      </c>
      <c r="AB2775">
        <v>0</v>
      </c>
      <c r="AD2775">
        <v>41.6</v>
      </c>
    </row>
    <row r="2776" spans="1:30" x14ac:dyDescent="0.3">
      <c r="A2776" s="4">
        <v>2797</v>
      </c>
      <c r="B2776" s="5">
        <v>2769</v>
      </c>
      <c r="C2776">
        <v>3623</v>
      </c>
      <c r="D2776" t="s">
        <v>5858</v>
      </c>
      <c r="E2776" t="s">
        <v>1327</v>
      </c>
      <c r="F2776" t="s">
        <v>62</v>
      </c>
      <c r="G2776" t="s">
        <v>5859</v>
      </c>
      <c r="H2776" t="str">
        <f>"00264275"</f>
        <v>00264275</v>
      </c>
      <c r="I2776">
        <v>38.56</v>
      </c>
      <c r="J2776">
        <v>0</v>
      </c>
      <c r="N2776">
        <v>0</v>
      </c>
      <c r="O2776">
        <v>0</v>
      </c>
      <c r="P2776">
        <v>0</v>
      </c>
      <c r="Q2776">
        <v>38.56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3</v>
      </c>
      <c r="AB2776">
        <v>0</v>
      </c>
      <c r="AD2776">
        <v>41.56</v>
      </c>
    </row>
    <row r="2777" spans="1:30" x14ac:dyDescent="0.3">
      <c r="A2777" s="4">
        <v>2798</v>
      </c>
      <c r="B2777" s="5">
        <v>2770</v>
      </c>
      <c r="C2777">
        <v>677</v>
      </c>
      <c r="D2777" t="s">
        <v>4171</v>
      </c>
      <c r="E2777" t="s">
        <v>188</v>
      </c>
      <c r="F2777" t="s">
        <v>52</v>
      </c>
      <c r="G2777" t="s">
        <v>5860</v>
      </c>
      <c r="H2777" t="str">
        <f>"00776742"</f>
        <v>00776742</v>
      </c>
      <c r="I2777">
        <v>34.56</v>
      </c>
      <c r="J2777">
        <v>0</v>
      </c>
      <c r="N2777">
        <v>0</v>
      </c>
      <c r="O2777">
        <v>4</v>
      </c>
      <c r="P2777">
        <v>0</v>
      </c>
      <c r="Q2777">
        <v>38.56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3</v>
      </c>
      <c r="AB2777">
        <v>0</v>
      </c>
      <c r="AD2777">
        <v>41.56</v>
      </c>
    </row>
    <row r="2778" spans="1:30" x14ac:dyDescent="0.3">
      <c r="A2778" s="4">
        <v>2799</v>
      </c>
      <c r="B2778" s="5">
        <v>2771</v>
      </c>
      <c r="C2778">
        <v>3452</v>
      </c>
      <c r="D2778" t="s">
        <v>4841</v>
      </c>
      <c r="E2778" t="s">
        <v>19</v>
      </c>
      <c r="F2778" t="s">
        <v>230</v>
      </c>
      <c r="G2778" t="s">
        <v>5861</v>
      </c>
      <c r="H2778" t="str">
        <f>"00504645"</f>
        <v>00504645</v>
      </c>
      <c r="I2778">
        <v>35.44</v>
      </c>
      <c r="J2778">
        <v>0</v>
      </c>
      <c r="N2778">
        <v>0</v>
      </c>
      <c r="O2778">
        <v>0</v>
      </c>
      <c r="P2778">
        <v>0</v>
      </c>
      <c r="Q2778">
        <v>35.44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6</v>
      </c>
      <c r="AB2778">
        <v>0</v>
      </c>
      <c r="AD2778">
        <v>41.44</v>
      </c>
    </row>
    <row r="2779" spans="1:30" x14ac:dyDescent="0.3">
      <c r="A2779" s="4">
        <v>2800</v>
      </c>
      <c r="B2779" s="5">
        <v>2772</v>
      </c>
      <c r="C2779">
        <v>2603</v>
      </c>
      <c r="D2779" t="s">
        <v>5862</v>
      </c>
      <c r="E2779" t="s">
        <v>5863</v>
      </c>
      <c r="F2779" t="s">
        <v>5864</v>
      </c>
      <c r="G2779" t="s">
        <v>5865</v>
      </c>
      <c r="H2779" t="str">
        <f>"00562454"</f>
        <v>00562454</v>
      </c>
      <c r="I2779">
        <v>25.44</v>
      </c>
      <c r="J2779">
        <v>10</v>
      </c>
      <c r="N2779">
        <v>0</v>
      </c>
      <c r="O2779">
        <v>0</v>
      </c>
      <c r="P2779">
        <v>0</v>
      </c>
      <c r="Q2779">
        <v>35.44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6</v>
      </c>
      <c r="AB2779">
        <v>0</v>
      </c>
      <c r="AD2779">
        <v>41.44</v>
      </c>
    </row>
    <row r="2780" spans="1:30" x14ac:dyDescent="0.3">
      <c r="A2780" s="4">
        <v>2801</v>
      </c>
      <c r="B2780" s="5">
        <v>2773</v>
      </c>
      <c r="C2780">
        <v>167</v>
      </c>
      <c r="D2780" t="s">
        <v>5866</v>
      </c>
      <c r="E2780" t="s">
        <v>22</v>
      </c>
      <c r="F2780" t="s">
        <v>38</v>
      </c>
      <c r="G2780" t="s">
        <v>5867</v>
      </c>
      <c r="H2780" t="str">
        <f>"00854786"</f>
        <v>00854786</v>
      </c>
      <c r="I2780">
        <v>33.44</v>
      </c>
      <c r="J2780">
        <v>0</v>
      </c>
      <c r="M2780">
        <v>4</v>
      </c>
      <c r="N2780">
        <v>4</v>
      </c>
      <c r="O2780">
        <v>4</v>
      </c>
      <c r="P2780">
        <v>0</v>
      </c>
      <c r="Q2780">
        <v>41.44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D2780">
        <v>41.44</v>
      </c>
    </row>
    <row r="2781" spans="1:30" x14ac:dyDescent="0.3">
      <c r="A2781" s="4">
        <v>2802</v>
      </c>
      <c r="B2781" s="5">
        <v>2774</v>
      </c>
      <c r="C2781">
        <v>2917</v>
      </c>
      <c r="D2781" t="s">
        <v>5868</v>
      </c>
      <c r="E2781" t="s">
        <v>161</v>
      </c>
      <c r="F2781" t="s">
        <v>972</v>
      </c>
      <c r="G2781" t="s">
        <v>5869</v>
      </c>
      <c r="H2781" t="str">
        <f>"00530585"</f>
        <v>00530585</v>
      </c>
      <c r="I2781">
        <v>14.4</v>
      </c>
      <c r="J2781">
        <v>0</v>
      </c>
      <c r="K2781">
        <v>8</v>
      </c>
      <c r="N2781">
        <v>8</v>
      </c>
      <c r="O2781">
        <v>4</v>
      </c>
      <c r="P2781">
        <v>2</v>
      </c>
      <c r="Q2781">
        <v>28.4</v>
      </c>
      <c r="R2781">
        <v>7</v>
      </c>
      <c r="S2781">
        <v>7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7</v>
      </c>
      <c r="AA2781">
        <v>6</v>
      </c>
      <c r="AB2781">
        <v>0</v>
      </c>
      <c r="AD2781">
        <v>41.4</v>
      </c>
    </row>
    <row r="2782" spans="1:30" x14ac:dyDescent="0.3">
      <c r="A2782" s="4">
        <v>2803</v>
      </c>
      <c r="B2782" s="5">
        <v>2775</v>
      </c>
      <c r="C2782">
        <v>1570</v>
      </c>
      <c r="D2782" t="s">
        <v>5870</v>
      </c>
      <c r="E2782" t="s">
        <v>132</v>
      </c>
      <c r="F2782" t="s">
        <v>328</v>
      </c>
      <c r="G2782" t="s">
        <v>5871</v>
      </c>
      <c r="H2782" t="str">
        <f>"201511027490"</f>
        <v>201511027490</v>
      </c>
      <c r="I2782">
        <v>14.4</v>
      </c>
      <c r="J2782">
        <v>10</v>
      </c>
      <c r="K2782">
        <v>8</v>
      </c>
      <c r="N2782">
        <v>8</v>
      </c>
      <c r="O2782">
        <v>4</v>
      </c>
      <c r="P2782">
        <v>2</v>
      </c>
      <c r="Q2782">
        <v>38.4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3</v>
      </c>
      <c r="AB2782">
        <v>0</v>
      </c>
      <c r="AD2782">
        <v>41.4</v>
      </c>
    </row>
    <row r="2783" spans="1:30" x14ac:dyDescent="0.3">
      <c r="A2783" s="4">
        <v>2804</v>
      </c>
      <c r="B2783" s="5">
        <v>2776</v>
      </c>
      <c r="C2783">
        <v>2383</v>
      </c>
      <c r="D2783" t="s">
        <v>5872</v>
      </c>
      <c r="E2783" t="s">
        <v>338</v>
      </c>
      <c r="F2783" t="s">
        <v>649</v>
      </c>
      <c r="G2783" t="s">
        <v>5873</v>
      </c>
      <c r="H2783" t="str">
        <f>"201511034585"</f>
        <v>201511034585</v>
      </c>
      <c r="I2783">
        <v>14.4</v>
      </c>
      <c r="J2783">
        <v>0</v>
      </c>
      <c r="M2783">
        <v>4</v>
      </c>
      <c r="N2783">
        <v>4</v>
      </c>
      <c r="O2783">
        <v>4</v>
      </c>
      <c r="P2783">
        <v>2</v>
      </c>
      <c r="Q2783">
        <v>24.4</v>
      </c>
      <c r="R2783">
        <v>17</v>
      </c>
      <c r="S2783">
        <v>17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17</v>
      </c>
      <c r="AA2783">
        <v>0</v>
      </c>
      <c r="AB2783">
        <v>0</v>
      </c>
      <c r="AD2783">
        <v>41.4</v>
      </c>
    </row>
    <row r="2784" spans="1:30" x14ac:dyDescent="0.3">
      <c r="A2784" s="4">
        <v>2805</v>
      </c>
      <c r="B2784" s="5">
        <v>2777</v>
      </c>
      <c r="C2784">
        <v>622</v>
      </c>
      <c r="D2784" t="s">
        <v>5874</v>
      </c>
      <c r="E2784" t="s">
        <v>5875</v>
      </c>
      <c r="F2784" t="s">
        <v>55</v>
      </c>
      <c r="G2784" t="s">
        <v>5876</v>
      </c>
      <c r="H2784" t="str">
        <f>"00856043"</f>
        <v>00856043</v>
      </c>
      <c r="I2784">
        <v>37.32</v>
      </c>
      <c r="J2784">
        <v>0</v>
      </c>
      <c r="M2784">
        <v>4</v>
      </c>
      <c r="N2784">
        <v>4</v>
      </c>
      <c r="O2784">
        <v>0</v>
      </c>
      <c r="P2784">
        <v>0</v>
      </c>
      <c r="Q2784">
        <v>41.32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D2784">
        <v>41.32</v>
      </c>
    </row>
    <row r="2785" spans="1:30" x14ac:dyDescent="0.3">
      <c r="A2785" s="4">
        <v>2806</v>
      </c>
      <c r="B2785" s="5">
        <v>2778</v>
      </c>
      <c r="C2785">
        <v>2885</v>
      </c>
      <c r="D2785" t="s">
        <v>5877</v>
      </c>
      <c r="E2785" t="s">
        <v>166</v>
      </c>
      <c r="F2785" t="s">
        <v>20</v>
      </c>
      <c r="G2785" t="s">
        <v>5878</v>
      </c>
      <c r="H2785" t="str">
        <f>"00861012"</f>
        <v>00861012</v>
      </c>
      <c r="I2785">
        <v>38.28</v>
      </c>
      <c r="J2785">
        <v>0</v>
      </c>
      <c r="N2785">
        <v>0</v>
      </c>
      <c r="O2785">
        <v>0</v>
      </c>
      <c r="P2785">
        <v>0</v>
      </c>
      <c r="Q2785">
        <v>38.28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3</v>
      </c>
      <c r="AB2785">
        <v>0</v>
      </c>
      <c r="AD2785">
        <v>41.28</v>
      </c>
    </row>
    <row r="2786" spans="1:30" x14ac:dyDescent="0.3">
      <c r="A2786" s="4">
        <v>2807</v>
      </c>
      <c r="B2786" s="5">
        <v>2779</v>
      </c>
      <c r="C2786">
        <v>4767</v>
      </c>
      <c r="D2786" t="s">
        <v>5879</v>
      </c>
      <c r="E2786" t="s">
        <v>479</v>
      </c>
      <c r="F2786" t="s">
        <v>30</v>
      </c>
      <c r="G2786" t="s">
        <v>5880</v>
      </c>
      <c r="H2786" t="str">
        <f>"00531286"</f>
        <v>00531286</v>
      </c>
      <c r="I2786">
        <v>24.28</v>
      </c>
      <c r="J2786">
        <v>10</v>
      </c>
      <c r="N2786">
        <v>0</v>
      </c>
      <c r="O2786">
        <v>4</v>
      </c>
      <c r="P2786">
        <v>0</v>
      </c>
      <c r="Q2786">
        <v>38.28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3</v>
      </c>
      <c r="AB2786">
        <v>0</v>
      </c>
      <c r="AD2786">
        <v>41.28</v>
      </c>
    </row>
    <row r="2787" spans="1:30" x14ac:dyDescent="0.3">
      <c r="A2787" s="4">
        <v>2808</v>
      </c>
      <c r="B2787" s="5">
        <v>2780</v>
      </c>
      <c r="C2787">
        <v>1319</v>
      </c>
      <c r="D2787" t="s">
        <v>5881</v>
      </c>
      <c r="E2787" t="s">
        <v>560</v>
      </c>
      <c r="F2787" t="s">
        <v>136</v>
      </c>
      <c r="G2787" t="s">
        <v>5882</v>
      </c>
      <c r="H2787" t="str">
        <f>"00747486"</f>
        <v>00747486</v>
      </c>
      <c r="I2787">
        <v>29.24</v>
      </c>
      <c r="J2787">
        <v>0</v>
      </c>
      <c r="N2787">
        <v>0</v>
      </c>
      <c r="O2787">
        <v>4</v>
      </c>
      <c r="P2787">
        <v>2</v>
      </c>
      <c r="Q2787">
        <v>35.24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6</v>
      </c>
      <c r="AB2787">
        <v>0</v>
      </c>
      <c r="AD2787">
        <v>41.24</v>
      </c>
    </row>
    <row r="2788" spans="1:30" x14ac:dyDescent="0.3">
      <c r="A2788" s="4">
        <v>2809</v>
      </c>
      <c r="B2788" s="5">
        <v>2781</v>
      </c>
      <c r="C2788">
        <v>2865</v>
      </c>
      <c r="D2788" t="s">
        <v>2216</v>
      </c>
      <c r="E2788" t="s">
        <v>5883</v>
      </c>
      <c r="F2788" t="s">
        <v>328</v>
      </c>
      <c r="G2788" t="s">
        <v>5884</v>
      </c>
      <c r="H2788" t="str">
        <f>"00508400"</f>
        <v>00508400</v>
      </c>
      <c r="I2788">
        <v>34.24</v>
      </c>
      <c r="J2788">
        <v>0</v>
      </c>
      <c r="N2788">
        <v>0</v>
      </c>
      <c r="O2788">
        <v>4</v>
      </c>
      <c r="P2788">
        <v>0</v>
      </c>
      <c r="Q2788">
        <v>38.24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3</v>
      </c>
      <c r="AB2788">
        <v>0</v>
      </c>
      <c r="AD2788">
        <v>41.24</v>
      </c>
    </row>
    <row r="2789" spans="1:30" x14ac:dyDescent="0.3">
      <c r="A2789" s="4">
        <v>2810</v>
      </c>
      <c r="B2789" s="5">
        <v>2782</v>
      </c>
      <c r="C2789">
        <v>1187</v>
      </c>
      <c r="D2789" t="s">
        <v>2036</v>
      </c>
      <c r="E2789" t="s">
        <v>178</v>
      </c>
      <c r="F2789" t="s">
        <v>238</v>
      </c>
      <c r="G2789" t="s">
        <v>5885</v>
      </c>
      <c r="H2789" t="str">
        <f>"00146962"</f>
        <v>00146962</v>
      </c>
      <c r="I2789">
        <v>30.24</v>
      </c>
      <c r="J2789">
        <v>0</v>
      </c>
      <c r="M2789">
        <v>4</v>
      </c>
      <c r="N2789">
        <v>4</v>
      </c>
      <c r="O2789">
        <v>4</v>
      </c>
      <c r="P2789">
        <v>0</v>
      </c>
      <c r="Q2789">
        <v>38.24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3</v>
      </c>
      <c r="AB2789">
        <v>0</v>
      </c>
      <c r="AD2789">
        <v>41.24</v>
      </c>
    </row>
    <row r="2790" spans="1:30" x14ac:dyDescent="0.3">
      <c r="A2790" s="4">
        <v>2811</v>
      </c>
      <c r="B2790" s="5">
        <v>2783</v>
      </c>
      <c r="C2790">
        <v>3933</v>
      </c>
      <c r="D2790" t="s">
        <v>5886</v>
      </c>
      <c r="E2790" t="s">
        <v>268</v>
      </c>
      <c r="F2790" t="s">
        <v>68</v>
      </c>
      <c r="G2790" t="s">
        <v>5887</v>
      </c>
      <c r="H2790" t="str">
        <f>"00554412"</f>
        <v>00554412</v>
      </c>
      <c r="I2790">
        <v>30.2</v>
      </c>
      <c r="J2790">
        <v>0</v>
      </c>
      <c r="M2790">
        <v>4</v>
      </c>
      <c r="N2790">
        <v>4</v>
      </c>
      <c r="O2790">
        <v>0</v>
      </c>
      <c r="P2790">
        <v>0</v>
      </c>
      <c r="Q2790">
        <v>34.200000000000003</v>
      </c>
      <c r="R2790">
        <v>1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1</v>
      </c>
      <c r="AA2790">
        <v>6</v>
      </c>
      <c r="AB2790">
        <v>0</v>
      </c>
      <c r="AD2790">
        <v>41.2</v>
      </c>
    </row>
    <row r="2791" spans="1:30" x14ac:dyDescent="0.3">
      <c r="A2791" s="4">
        <v>2812</v>
      </c>
      <c r="B2791" s="5">
        <v>2784</v>
      </c>
      <c r="C2791">
        <v>3482</v>
      </c>
      <c r="D2791" t="s">
        <v>5888</v>
      </c>
      <c r="E2791" t="s">
        <v>992</v>
      </c>
      <c r="F2791" t="s">
        <v>62</v>
      </c>
      <c r="G2791" t="s">
        <v>5889</v>
      </c>
      <c r="H2791" t="str">
        <f>"00533043"</f>
        <v>00533043</v>
      </c>
      <c r="I2791">
        <v>25.2</v>
      </c>
      <c r="J2791">
        <v>0</v>
      </c>
      <c r="M2791">
        <v>4</v>
      </c>
      <c r="N2791">
        <v>4</v>
      </c>
      <c r="O2791">
        <v>4</v>
      </c>
      <c r="P2791">
        <v>0</v>
      </c>
      <c r="Q2791">
        <v>33.200000000000003</v>
      </c>
      <c r="R2791">
        <v>5</v>
      </c>
      <c r="S2791">
        <v>5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5</v>
      </c>
      <c r="AA2791">
        <v>3</v>
      </c>
      <c r="AB2791">
        <v>0</v>
      </c>
      <c r="AD2791">
        <v>41.2</v>
      </c>
    </row>
    <row r="2792" spans="1:30" x14ac:dyDescent="0.3">
      <c r="A2792" s="4">
        <v>2813</v>
      </c>
      <c r="B2792" s="5">
        <v>2785</v>
      </c>
      <c r="C2792">
        <v>2256</v>
      </c>
      <c r="D2792" t="s">
        <v>5890</v>
      </c>
      <c r="E2792" t="s">
        <v>825</v>
      </c>
      <c r="F2792" t="s">
        <v>167</v>
      </c>
      <c r="G2792" t="s">
        <v>5891</v>
      </c>
      <c r="H2792" t="str">
        <f>"00860907"</f>
        <v>00860907</v>
      </c>
      <c r="I2792">
        <v>39.200000000000003</v>
      </c>
      <c r="J2792">
        <v>0</v>
      </c>
      <c r="N2792">
        <v>0</v>
      </c>
      <c r="O2792">
        <v>0</v>
      </c>
      <c r="P2792">
        <v>2</v>
      </c>
      <c r="Q2792">
        <v>41.2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D2792">
        <v>41.2</v>
      </c>
    </row>
    <row r="2793" spans="1:30" x14ac:dyDescent="0.3">
      <c r="A2793" s="4">
        <v>2814</v>
      </c>
      <c r="B2793" s="5">
        <v>2786</v>
      </c>
      <c r="C2793">
        <v>2951</v>
      </c>
      <c r="D2793" t="s">
        <v>5892</v>
      </c>
      <c r="E2793" t="s">
        <v>5893</v>
      </c>
      <c r="F2793" t="s">
        <v>20</v>
      </c>
      <c r="G2793" t="s">
        <v>5894</v>
      </c>
      <c r="H2793" t="str">
        <f>"00860705"</f>
        <v>00860705</v>
      </c>
      <c r="I2793">
        <v>39.200000000000003</v>
      </c>
      <c r="J2793">
        <v>0</v>
      </c>
      <c r="N2793">
        <v>0</v>
      </c>
      <c r="O2793">
        <v>0</v>
      </c>
      <c r="P2793">
        <v>2</v>
      </c>
      <c r="Q2793">
        <v>41.2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D2793">
        <v>41.2</v>
      </c>
    </row>
    <row r="2794" spans="1:30" x14ac:dyDescent="0.3">
      <c r="A2794" s="4">
        <v>2815</v>
      </c>
      <c r="B2794" s="5">
        <v>2787</v>
      </c>
      <c r="C2794">
        <v>1948</v>
      </c>
      <c r="D2794" t="s">
        <v>5895</v>
      </c>
      <c r="E2794" t="s">
        <v>5152</v>
      </c>
      <c r="F2794" t="s">
        <v>5896</v>
      </c>
      <c r="G2794" t="s">
        <v>5897</v>
      </c>
      <c r="H2794" t="str">
        <f>"00853501"</f>
        <v>00853501</v>
      </c>
      <c r="I2794">
        <v>37.200000000000003</v>
      </c>
      <c r="J2794">
        <v>0</v>
      </c>
      <c r="N2794">
        <v>0</v>
      </c>
      <c r="O2794">
        <v>4</v>
      </c>
      <c r="P2794">
        <v>0</v>
      </c>
      <c r="Q2794">
        <v>41.2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D2794">
        <v>41.2</v>
      </c>
    </row>
    <row r="2795" spans="1:30" x14ac:dyDescent="0.3">
      <c r="A2795" s="4">
        <v>2816</v>
      </c>
      <c r="B2795" s="5">
        <v>2788</v>
      </c>
      <c r="C2795">
        <v>3001</v>
      </c>
      <c r="D2795" t="s">
        <v>5898</v>
      </c>
      <c r="E2795" t="s">
        <v>5899</v>
      </c>
      <c r="F2795" t="s">
        <v>20</v>
      </c>
      <c r="G2795" t="s">
        <v>5900</v>
      </c>
      <c r="H2795" t="str">
        <f>"00855108"</f>
        <v>00855108</v>
      </c>
      <c r="I2795">
        <v>33.200000000000003</v>
      </c>
      <c r="J2795">
        <v>0</v>
      </c>
      <c r="M2795">
        <v>4</v>
      </c>
      <c r="N2795">
        <v>4</v>
      </c>
      <c r="O2795">
        <v>4</v>
      </c>
      <c r="P2795">
        <v>0</v>
      </c>
      <c r="Q2795">
        <v>41.2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D2795">
        <v>41.2</v>
      </c>
    </row>
    <row r="2796" spans="1:30" x14ac:dyDescent="0.3">
      <c r="A2796" s="4">
        <v>2817</v>
      </c>
      <c r="B2796" s="5">
        <v>2789</v>
      </c>
      <c r="C2796">
        <v>4173</v>
      </c>
      <c r="D2796" t="s">
        <v>5901</v>
      </c>
      <c r="E2796" t="s">
        <v>41</v>
      </c>
      <c r="F2796" t="s">
        <v>416</v>
      </c>
      <c r="G2796" t="s">
        <v>5902</v>
      </c>
      <c r="H2796" t="str">
        <f>"00863566"</f>
        <v>00863566</v>
      </c>
      <c r="I2796">
        <v>31.2</v>
      </c>
      <c r="J2796">
        <v>0</v>
      </c>
      <c r="M2796">
        <v>4</v>
      </c>
      <c r="N2796">
        <v>4</v>
      </c>
      <c r="O2796">
        <v>4</v>
      </c>
      <c r="P2796">
        <v>2</v>
      </c>
      <c r="Q2796">
        <v>41.2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D2796">
        <v>41.2</v>
      </c>
    </row>
    <row r="2797" spans="1:30" x14ac:dyDescent="0.3">
      <c r="A2797" s="4">
        <v>2818</v>
      </c>
      <c r="B2797" s="5">
        <v>2790</v>
      </c>
      <c r="C2797">
        <v>1537</v>
      </c>
      <c r="D2797" t="s">
        <v>1078</v>
      </c>
      <c r="E2797" t="s">
        <v>439</v>
      </c>
      <c r="F2797" t="s">
        <v>243</v>
      </c>
      <c r="G2797" t="s">
        <v>5903</v>
      </c>
      <c r="H2797" t="str">
        <f>"00529710"</f>
        <v>00529710</v>
      </c>
      <c r="I2797">
        <v>21.2</v>
      </c>
      <c r="J2797">
        <v>0</v>
      </c>
      <c r="M2797">
        <v>4</v>
      </c>
      <c r="N2797">
        <v>4</v>
      </c>
      <c r="O2797">
        <v>0</v>
      </c>
      <c r="P2797">
        <v>2</v>
      </c>
      <c r="Q2797">
        <v>27.2</v>
      </c>
      <c r="R2797">
        <v>14</v>
      </c>
      <c r="S2797">
        <v>14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14</v>
      </c>
      <c r="AA2797">
        <v>0</v>
      </c>
      <c r="AB2797">
        <v>0</v>
      </c>
      <c r="AC2797" t="s">
        <v>130</v>
      </c>
      <c r="AD2797">
        <v>41.2</v>
      </c>
    </row>
    <row r="2798" spans="1:30" x14ac:dyDescent="0.3">
      <c r="A2798" s="4">
        <v>2819</v>
      </c>
      <c r="B2798" s="5">
        <v>2791</v>
      </c>
      <c r="C2798">
        <v>3222</v>
      </c>
      <c r="D2798" t="s">
        <v>5904</v>
      </c>
      <c r="E2798" t="s">
        <v>697</v>
      </c>
      <c r="F2798" t="s">
        <v>158</v>
      </c>
      <c r="G2798" t="s">
        <v>5905</v>
      </c>
      <c r="H2798" t="str">
        <f>"00556540"</f>
        <v>00556540</v>
      </c>
      <c r="I2798">
        <v>35.119999999999997</v>
      </c>
      <c r="J2798">
        <v>0</v>
      </c>
      <c r="N2798">
        <v>0</v>
      </c>
      <c r="O2798">
        <v>0</v>
      </c>
      <c r="P2798">
        <v>0</v>
      </c>
      <c r="Q2798">
        <v>35.119999999999997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6</v>
      </c>
      <c r="AB2798">
        <v>0</v>
      </c>
      <c r="AD2798">
        <v>41.12</v>
      </c>
    </row>
    <row r="2799" spans="1:30" x14ac:dyDescent="0.3">
      <c r="A2799" s="4">
        <v>2820</v>
      </c>
      <c r="B2799" s="5">
        <v>2792</v>
      </c>
      <c r="C2799">
        <v>4594</v>
      </c>
      <c r="D2799" t="s">
        <v>5906</v>
      </c>
      <c r="E2799" t="s">
        <v>789</v>
      </c>
      <c r="F2799" t="s">
        <v>17</v>
      </c>
      <c r="G2799" t="s">
        <v>5907</v>
      </c>
      <c r="H2799" t="str">
        <f>"201401000194"</f>
        <v>201401000194</v>
      </c>
      <c r="I2799">
        <v>37.08</v>
      </c>
      <c r="J2799">
        <v>0</v>
      </c>
      <c r="M2799">
        <v>4</v>
      </c>
      <c r="N2799">
        <v>4</v>
      </c>
      <c r="O2799">
        <v>0</v>
      </c>
      <c r="P2799">
        <v>0</v>
      </c>
      <c r="Q2799">
        <v>41.08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D2799">
        <v>41.08</v>
      </c>
    </row>
    <row r="2800" spans="1:30" x14ac:dyDescent="0.3">
      <c r="A2800" s="4">
        <v>2821</v>
      </c>
      <c r="B2800" s="5">
        <v>2793</v>
      </c>
      <c r="C2800">
        <v>3416</v>
      </c>
      <c r="D2800" t="s">
        <v>1250</v>
      </c>
      <c r="E2800" t="s">
        <v>132</v>
      </c>
      <c r="F2800" t="s">
        <v>30</v>
      </c>
      <c r="G2800" t="s">
        <v>5908</v>
      </c>
      <c r="H2800" t="str">
        <f>"00527334"</f>
        <v>00527334</v>
      </c>
      <c r="I2800">
        <v>22</v>
      </c>
      <c r="J2800">
        <v>0</v>
      </c>
      <c r="N2800">
        <v>0</v>
      </c>
      <c r="O2800">
        <v>0</v>
      </c>
      <c r="P2800">
        <v>2</v>
      </c>
      <c r="Q2800">
        <v>24</v>
      </c>
      <c r="R2800">
        <v>11</v>
      </c>
      <c r="S2800">
        <v>11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11</v>
      </c>
      <c r="AA2800">
        <v>6</v>
      </c>
      <c r="AB2800">
        <v>0</v>
      </c>
      <c r="AD2800">
        <v>41</v>
      </c>
    </row>
    <row r="2801" spans="1:30" x14ac:dyDescent="0.3">
      <c r="A2801" s="4">
        <v>2822</v>
      </c>
      <c r="B2801" s="5">
        <v>2794</v>
      </c>
      <c r="C2801">
        <v>1842</v>
      </c>
      <c r="D2801" t="s">
        <v>5909</v>
      </c>
      <c r="E2801" t="s">
        <v>268</v>
      </c>
      <c r="F2801" t="s">
        <v>117</v>
      </c>
      <c r="G2801" t="s">
        <v>5910</v>
      </c>
      <c r="H2801" t="str">
        <f>"00533491"</f>
        <v>00533491</v>
      </c>
      <c r="I2801">
        <v>0</v>
      </c>
      <c r="J2801">
        <v>10</v>
      </c>
      <c r="N2801">
        <v>0</v>
      </c>
      <c r="O2801">
        <v>4</v>
      </c>
      <c r="P2801">
        <v>0</v>
      </c>
      <c r="Q2801">
        <v>14</v>
      </c>
      <c r="R2801">
        <v>21</v>
      </c>
      <c r="S2801">
        <v>21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21</v>
      </c>
      <c r="AA2801">
        <v>6</v>
      </c>
      <c r="AB2801">
        <v>0</v>
      </c>
      <c r="AD2801">
        <v>41</v>
      </c>
    </row>
    <row r="2802" spans="1:30" x14ac:dyDescent="0.3">
      <c r="A2802" s="4">
        <v>2823</v>
      </c>
      <c r="B2802" s="5">
        <v>2795</v>
      </c>
      <c r="C2802">
        <v>2604</v>
      </c>
      <c r="D2802" t="s">
        <v>5911</v>
      </c>
      <c r="E2802" t="s">
        <v>166</v>
      </c>
      <c r="F2802" t="s">
        <v>328</v>
      </c>
      <c r="G2802" t="s">
        <v>5912</v>
      </c>
      <c r="H2802" t="str">
        <f>"201511043159"</f>
        <v>201511043159</v>
      </c>
      <c r="I2802">
        <v>38</v>
      </c>
      <c r="J2802">
        <v>0</v>
      </c>
      <c r="N2802">
        <v>0</v>
      </c>
      <c r="O2802">
        <v>0</v>
      </c>
      <c r="P2802">
        <v>0</v>
      </c>
      <c r="Q2802">
        <v>38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3</v>
      </c>
      <c r="AB2802">
        <v>0</v>
      </c>
      <c r="AD2802">
        <v>41</v>
      </c>
    </row>
    <row r="2803" spans="1:30" x14ac:dyDescent="0.3">
      <c r="A2803" s="4">
        <v>2824</v>
      </c>
      <c r="B2803" s="5">
        <v>2796</v>
      </c>
      <c r="C2803">
        <v>3433</v>
      </c>
      <c r="D2803" t="s">
        <v>5913</v>
      </c>
      <c r="E2803" t="s">
        <v>188</v>
      </c>
      <c r="F2803" t="s">
        <v>68</v>
      </c>
      <c r="G2803" t="s">
        <v>5914</v>
      </c>
      <c r="H2803" t="str">
        <f>"201511018010"</f>
        <v>201511018010</v>
      </c>
      <c r="I2803">
        <v>36</v>
      </c>
      <c r="J2803">
        <v>0</v>
      </c>
      <c r="N2803">
        <v>0</v>
      </c>
      <c r="O2803">
        <v>0</v>
      </c>
      <c r="P2803">
        <v>2</v>
      </c>
      <c r="Q2803">
        <v>38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3</v>
      </c>
      <c r="AB2803">
        <v>0</v>
      </c>
      <c r="AD2803">
        <v>41</v>
      </c>
    </row>
    <row r="2804" spans="1:30" x14ac:dyDescent="0.3">
      <c r="A2804" s="4">
        <v>2825</v>
      </c>
      <c r="B2804" s="5">
        <v>2797</v>
      </c>
      <c r="C2804">
        <v>1618</v>
      </c>
      <c r="D2804" t="s">
        <v>5915</v>
      </c>
      <c r="E2804" t="s">
        <v>178</v>
      </c>
      <c r="F2804" t="s">
        <v>343</v>
      </c>
      <c r="G2804" t="s">
        <v>5916</v>
      </c>
      <c r="H2804" t="str">
        <f>"00557688"</f>
        <v>00557688</v>
      </c>
      <c r="I2804">
        <v>34</v>
      </c>
      <c r="J2804">
        <v>0</v>
      </c>
      <c r="N2804">
        <v>0</v>
      </c>
      <c r="O2804">
        <v>0</v>
      </c>
      <c r="P2804">
        <v>2</v>
      </c>
      <c r="Q2804">
        <v>36</v>
      </c>
      <c r="R2804">
        <v>5</v>
      </c>
      <c r="S2804">
        <v>5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5</v>
      </c>
      <c r="AA2804">
        <v>0</v>
      </c>
      <c r="AB2804">
        <v>0</v>
      </c>
      <c r="AD2804">
        <v>41</v>
      </c>
    </row>
    <row r="2805" spans="1:30" x14ac:dyDescent="0.3">
      <c r="A2805" s="4">
        <v>2826</v>
      </c>
      <c r="B2805" s="5">
        <v>2798</v>
      </c>
      <c r="C2805">
        <v>4290</v>
      </c>
      <c r="D2805" t="s">
        <v>5917</v>
      </c>
      <c r="E2805" t="s">
        <v>4935</v>
      </c>
      <c r="F2805" t="s">
        <v>23</v>
      </c>
      <c r="G2805" t="s">
        <v>5918</v>
      </c>
      <c r="H2805" t="str">
        <f>"00477750"</f>
        <v>00477750</v>
      </c>
      <c r="I2805">
        <v>22.92</v>
      </c>
      <c r="J2805">
        <v>10</v>
      </c>
      <c r="N2805">
        <v>0</v>
      </c>
      <c r="O2805">
        <v>4</v>
      </c>
      <c r="P2805">
        <v>0</v>
      </c>
      <c r="Q2805">
        <v>36.92</v>
      </c>
      <c r="R2805">
        <v>1</v>
      </c>
      <c r="S2805">
        <v>1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1</v>
      </c>
      <c r="AA2805">
        <v>3</v>
      </c>
      <c r="AB2805">
        <v>0</v>
      </c>
      <c r="AD2805">
        <v>40.92</v>
      </c>
    </row>
    <row r="2806" spans="1:30" x14ac:dyDescent="0.3">
      <c r="A2806" s="4">
        <v>2827</v>
      </c>
      <c r="B2806" s="5">
        <v>2799</v>
      </c>
      <c r="C2806">
        <v>3434</v>
      </c>
      <c r="D2806" t="s">
        <v>5919</v>
      </c>
      <c r="E2806" t="s">
        <v>5920</v>
      </c>
      <c r="F2806" t="s">
        <v>91</v>
      </c>
      <c r="G2806" t="s">
        <v>5921</v>
      </c>
      <c r="H2806" t="str">
        <f>"00355621"</f>
        <v>00355621</v>
      </c>
      <c r="I2806">
        <v>34.799999999999997</v>
      </c>
      <c r="J2806">
        <v>0</v>
      </c>
      <c r="N2806">
        <v>0</v>
      </c>
      <c r="O2806">
        <v>0</v>
      </c>
      <c r="P2806">
        <v>0</v>
      </c>
      <c r="Q2806">
        <v>34.799999999999997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6</v>
      </c>
      <c r="AB2806">
        <v>0</v>
      </c>
      <c r="AD2806">
        <v>40.799999999999997</v>
      </c>
    </row>
    <row r="2807" spans="1:30" x14ac:dyDescent="0.3">
      <c r="A2807" s="4">
        <v>2828</v>
      </c>
      <c r="B2807" s="5">
        <v>2800</v>
      </c>
      <c r="C2807">
        <v>3631</v>
      </c>
      <c r="D2807" t="s">
        <v>5922</v>
      </c>
      <c r="E2807" t="s">
        <v>54</v>
      </c>
      <c r="F2807" t="s">
        <v>17</v>
      </c>
      <c r="G2807" t="s">
        <v>5923</v>
      </c>
      <c r="H2807" t="str">
        <f>"00861287"</f>
        <v>00861287</v>
      </c>
      <c r="I2807">
        <v>28.8</v>
      </c>
      <c r="J2807">
        <v>0</v>
      </c>
      <c r="N2807">
        <v>0</v>
      </c>
      <c r="O2807">
        <v>4</v>
      </c>
      <c r="P2807">
        <v>2</v>
      </c>
      <c r="Q2807">
        <v>34.799999999999997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6</v>
      </c>
      <c r="AB2807">
        <v>0</v>
      </c>
      <c r="AD2807">
        <v>40.799999999999997</v>
      </c>
    </row>
    <row r="2808" spans="1:30" x14ac:dyDescent="0.3">
      <c r="A2808" s="4">
        <v>2829</v>
      </c>
      <c r="B2808" s="5">
        <v>2801</v>
      </c>
      <c r="C2808">
        <v>1035</v>
      </c>
      <c r="D2808" t="s">
        <v>5924</v>
      </c>
      <c r="E2808" t="s">
        <v>29</v>
      </c>
      <c r="F2808" t="s">
        <v>81</v>
      </c>
      <c r="G2808" t="s">
        <v>5925</v>
      </c>
      <c r="H2808" t="str">
        <f>"00857768"</f>
        <v>00857768</v>
      </c>
      <c r="I2808">
        <v>28.8</v>
      </c>
      <c r="J2808">
        <v>0</v>
      </c>
      <c r="N2808">
        <v>0</v>
      </c>
      <c r="O2808">
        <v>4</v>
      </c>
      <c r="P2808">
        <v>2</v>
      </c>
      <c r="Q2808">
        <v>34.799999999999997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6</v>
      </c>
      <c r="AB2808">
        <v>0</v>
      </c>
      <c r="AD2808">
        <v>40.799999999999997</v>
      </c>
    </row>
    <row r="2809" spans="1:30" x14ac:dyDescent="0.3">
      <c r="A2809" s="4">
        <v>2830</v>
      </c>
      <c r="B2809" s="5">
        <v>2802</v>
      </c>
      <c r="C2809">
        <v>630</v>
      </c>
      <c r="D2809" t="s">
        <v>3340</v>
      </c>
      <c r="E2809" t="s">
        <v>789</v>
      </c>
      <c r="F2809" t="s">
        <v>62</v>
      </c>
      <c r="G2809" t="s">
        <v>5926</v>
      </c>
      <c r="H2809" t="str">
        <f>"00857611"</f>
        <v>00857611</v>
      </c>
      <c r="I2809">
        <v>36.799999999999997</v>
      </c>
      <c r="J2809">
        <v>0</v>
      </c>
      <c r="M2809">
        <v>4</v>
      </c>
      <c r="N2809">
        <v>4</v>
      </c>
      <c r="O2809">
        <v>0</v>
      </c>
      <c r="P2809">
        <v>0</v>
      </c>
      <c r="Q2809">
        <v>40.799999999999997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D2809">
        <v>40.799999999999997</v>
      </c>
    </row>
    <row r="2810" spans="1:30" x14ac:dyDescent="0.3">
      <c r="A2810" s="4">
        <v>2831</v>
      </c>
      <c r="B2810" s="5">
        <v>2803</v>
      </c>
      <c r="C2810">
        <v>2248</v>
      </c>
      <c r="D2810" t="s">
        <v>5927</v>
      </c>
      <c r="E2810" t="s">
        <v>81</v>
      </c>
      <c r="F2810" t="s">
        <v>801</v>
      </c>
      <c r="G2810" t="s">
        <v>5928</v>
      </c>
      <c r="H2810" t="str">
        <f>"00791989"</f>
        <v>00791989</v>
      </c>
      <c r="I2810">
        <v>36.799999999999997</v>
      </c>
      <c r="J2810">
        <v>0</v>
      </c>
      <c r="N2810">
        <v>0</v>
      </c>
      <c r="O2810">
        <v>4</v>
      </c>
      <c r="P2810">
        <v>0</v>
      </c>
      <c r="Q2810">
        <v>40.799999999999997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D2810">
        <v>40.799999999999997</v>
      </c>
    </row>
    <row r="2811" spans="1:30" x14ac:dyDescent="0.3">
      <c r="A2811" s="4">
        <v>2832</v>
      </c>
      <c r="B2811" s="5">
        <v>2804</v>
      </c>
      <c r="C2811">
        <v>4890</v>
      </c>
      <c r="D2811" t="s">
        <v>5306</v>
      </c>
      <c r="E2811" t="s">
        <v>161</v>
      </c>
      <c r="F2811" t="s">
        <v>23</v>
      </c>
      <c r="G2811" t="s">
        <v>5929</v>
      </c>
      <c r="H2811" t="str">
        <f>"201512000544"</f>
        <v>201512000544</v>
      </c>
      <c r="I2811">
        <v>36.799999999999997</v>
      </c>
      <c r="J2811">
        <v>0</v>
      </c>
      <c r="N2811">
        <v>0</v>
      </c>
      <c r="O2811">
        <v>4</v>
      </c>
      <c r="P2811">
        <v>0</v>
      </c>
      <c r="Q2811">
        <v>40.799999999999997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D2811">
        <v>40.799999999999997</v>
      </c>
    </row>
    <row r="2812" spans="1:30" x14ac:dyDescent="0.3">
      <c r="A2812" s="4">
        <v>2833</v>
      </c>
      <c r="B2812" s="5">
        <v>2805</v>
      </c>
      <c r="C2812">
        <v>4689</v>
      </c>
      <c r="D2812" t="s">
        <v>2361</v>
      </c>
      <c r="E2812" t="s">
        <v>161</v>
      </c>
      <c r="F2812" t="s">
        <v>2582</v>
      </c>
      <c r="G2812" t="s">
        <v>5930</v>
      </c>
      <c r="H2812" t="str">
        <f>"00726907"</f>
        <v>00726907</v>
      </c>
      <c r="I2812">
        <v>36.799999999999997</v>
      </c>
      <c r="J2812">
        <v>0</v>
      </c>
      <c r="N2812">
        <v>0</v>
      </c>
      <c r="O2812">
        <v>4</v>
      </c>
      <c r="P2812">
        <v>0</v>
      </c>
      <c r="Q2812">
        <v>40.799999999999997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D2812">
        <v>40.799999999999997</v>
      </c>
    </row>
    <row r="2813" spans="1:30" x14ac:dyDescent="0.3">
      <c r="A2813" s="4">
        <v>2834</v>
      </c>
      <c r="B2813" s="5">
        <v>2806</v>
      </c>
      <c r="C2813">
        <v>3704</v>
      </c>
      <c r="D2813" t="s">
        <v>5931</v>
      </c>
      <c r="E2813" t="s">
        <v>33</v>
      </c>
      <c r="F2813" t="s">
        <v>243</v>
      </c>
      <c r="G2813" t="s">
        <v>5932</v>
      </c>
      <c r="H2813" t="str">
        <f>"00861913"</f>
        <v>00861913</v>
      </c>
      <c r="I2813">
        <v>32.799999999999997</v>
      </c>
      <c r="J2813">
        <v>0</v>
      </c>
      <c r="M2813">
        <v>4</v>
      </c>
      <c r="N2813">
        <v>4</v>
      </c>
      <c r="O2813">
        <v>4</v>
      </c>
      <c r="P2813">
        <v>0</v>
      </c>
      <c r="Q2813">
        <v>40.799999999999997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D2813">
        <v>40.799999999999997</v>
      </c>
    </row>
    <row r="2814" spans="1:30" x14ac:dyDescent="0.3">
      <c r="A2814" s="4">
        <v>2835</v>
      </c>
      <c r="B2814" s="5">
        <v>2807</v>
      </c>
      <c r="C2814">
        <v>3982</v>
      </c>
      <c r="D2814" t="s">
        <v>5933</v>
      </c>
      <c r="E2814" t="s">
        <v>5934</v>
      </c>
      <c r="F2814" t="s">
        <v>158</v>
      </c>
      <c r="G2814" t="s">
        <v>5935</v>
      </c>
      <c r="H2814" t="str">
        <f>"00864115"</f>
        <v>00864115</v>
      </c>
      <c r="I2814">
        <v>30.8</v>
      </c>
      <c r="J2814">
        <v>0</v>
      </c>
      <c r="M2814">
        <v>4</v>
      </c>
      <c r="N2814">
        <v>4</v>
      </c>
      <c r="O2814">
        <v>4</v>
      </c>
      <c r="P2814">
        <v>2</v>
      </c>
      <c r="Q2814">
        <v>40.799999999999997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D2814">
        <v>40.799999999999997</v>
      </c>
    </row>
    <row r="2815" spans="1:30" x14ac:dyDescent="0.3">
      <c r="A2815" s="4">
        <v>2836</v>
      </c>
      <c r="B2815" s="5">
        <v>2808</v>
      </c>
      <c r="C2815">
        <v>4083</v>
      </c>
      <c r="D2815" t="s">
        <v>5936</v>
      </c>
      <c r="E2815" t="s">
        <v>4033</v>
      </c>
      <c r="F2815" t="s">
        <v>38</v>
      </c>
      <c r="G2815" t="s">
        <v>5937</v>
      </c>
      <c r="H2815" t="str">
        <f>"00577299"</f>
        <v>00577299</v>
      </c>
      <c r="I2815">
        <v>28.8</v>
      </c>
      <c r="J2815">
        <v>0</v>
      </c>
      <c r="K2815">
        <v>8</v>
      </c>
      <c r="N2815">
        <v>8</v>
      </c>
      <c r="O2815">
        <v>4</v>
      </c>
      <c r="P2815">
        <v>0</v>
      </c>
      <c r="Q2815">
        <v>40.799999999999997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D2815">
        <v>40.799999999999997</v>
      </c>
    </row>
    <row r="2816" spans="1:30" x14ac:dyDescent="0.3">
      <c r="A2816" s="4">
        <v>2837</v>
      </c>
      <c r="B2816" s="5">
        <v>2809</v>
      </c>
      <c r="C2816">
        <v>849</v>
      </c>
      <c r="D2816" t="s">
        <v>5938</v>
      </c>
      <c r="E2816" t="s">
        <v>789</v>
      </c>
      <c r="F2816" t="s">
        <v>5614</v>
      </c>
      <c r="G2816" t="s">
        <v>5939</v>
      </c>
      <c r="H2816" t="str">
        <f>"00532006"</f>
        <v>00532006</v>
      </c>
      <c r="I2816">
        <v>28.8</v>
      </c>
      <c r="J2816">
        <v>0</v>
      </c>
      <c r="K2816">
        <v>8</v>
      </c>
      <c r="N2816">
        <v>8</v>
      </c>
      <c r="O2816">
        <v>4</v>
      </c>
      <c r="P2816">
        <v>0</v>
      </c>
      <c r="Q2816">
        <v>40.799999999999997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D2816">
        <v>40.799999999999997</v>
      </c>
    </row>
    <row r="2817" spans="1:30" x14ac:dyDescent="0.3">
      <c r="A2817" s="4">
        <v>2838</v>
      </c>
      <c r="B2817" s="5">
        <v>2810</v>
      </c>
      <c r="C2817">
        <v>3067</v>
      </c>
      <c r="D2817" t="s">
        <v>5940</v>
      </c>
      <c r="E2817" t="s">
        <v>100</v>
      </c>
      <c r="F2817" t="s">
        <v>68</v>
      </c>
      <c r="G2817" t="s">
        <v>5941</v>
      </c>
      <c r="H2817" t="str">
        <f>"00864081"</f>
        <v>00864081</v>
      </c>
      <c r="I2817">
        <v>28.8</v>
      </c>
      <c r="J2817">
        <v>0</v>
      </c>
      <c r="K2817">
        <v>8</v>
      </c>
      <c r="N2817">
        <v>8</v>
      </c>
      <c r="O2817">
        <v>4</v>
      </c>
      <c r="P2817">
        <v>0</v>
      </c>
      <c r="Q2817">
        <v>40.799999999999997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D2817">
        <v>40.799999999999997</v>
      </c>
    </row>
    <row r="2818" spans="1:30" x14ac:dyDescent="0.3">
      <c r="A2818" s="4">
        <v>2839</v>
      </c>
      <c r="B2818" s="5">
        <v>2811</v>
      </c>
      <c r="C2818">
        <v>948</v>
      </c>
      <c r="D2818" t="s">
        <v>5942</v>
      </c>
      <c r="E2818" t="s">
        <v>166</v>
      </c>
      <c r="F2818" t="s">
        <v>81</v>
      </c>
      <c r="G2818" t="s">
        <v>5943</v>
      </c>
      <c r="H2818" t="str">
        <f>"00855603"</f>
        <v>00855603</v>
      </c>
      <c r="I2818">
        <v>28.8</v>
      </c>
      <c r="J2818">
        <v>0</v>
      </c>
      <c r="L2818">
        <v>6</v>
      </c>
      <c r="N2818">
        <v>6</v>
      </c>
      <c r="O2818">
        <v>4</v>
      </c>
      <c r="P2818">
        <v>2</v>
      </c>
      <c r="Q2818">
        <v>40.799999999999997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D2818">
        <v>40.799999999999997</v>
      </c>
    </row>
    <row r="2819" spans="1:30" x14ac:dyDescent="0.3">
      <c r="A2819" s="4">
        <v>2840</v>
      </c>
      <c r="B2819" s="5">
        <v>2812</v>
      </c>
      <c r="C2819">
        <v>4638</v>
      </c>
      <c r="D2819" t="s">
        <v>4175</v>
      </c>
      <c r="E2819" t="s">
        <v>33</v>
      </c>
      <c r="F2819" t="s">
        <v>17</v>
      </c>
      <c r="G2819" t="s">
        <v>5944</v>
      </c>
      <c r="H2819" t="str">
        <f>"00317695"</f>
        <v>00317695</v>
      </c>
      <c r="I2819">
        <v>28.8</v>
      </c>
      <c r="J2819">
        <v>0</v>
      </c>
      <c r="L2819">
        <v>6</v>
      </c>
      <c r="N2819">
        <v>6</v>
      </c>
      <c r="O2819">
        <v>4</v>
      </c>
      <c r="P2819">
        <v>2</v>
      </c>
      <c r="Q2819">
        <v>40.799999999999997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D2819">
        <v>40.799999999999997</v>
      </c>
    </row>
    <row r="2820" spans="1:30" x14ac:dyDescent="0.3">
      <c r="A2820" s="4">
        <v>2841</v>
      </c>
      <c r="B2820" s="5">
        <v>2813</v>
      </c>
      <c r="C2820">
        <v>7</v>
      </c>
      <c r="D2820" t="s">
        <v>5945</v>
      </c>
      <c r="E2820" t="s">
        <v>5946</v>
      </c>
      <c r="F2820" t="s">
        <v>539</v>
      </c>
      <c r="G2820" t="s">
        <v>5947</v>
      </c>
      <c r="H2820" t="str">
        <f>"201411002567"</f>
        <v>201411002567</v>
      </c>
      <c r="I2820">
        <v>28.8</v>
      </c>
      <c r="J2820">
        <v>0</v>
      </c>
      <c r="K2820">
        <v>8</v>
      </c>
      <c r="N2820">
        <v>8</v>
      </c>
      <c r="O2820">
        <v>4</v>
      </c>
      <c r="P2820">
        <v>0</v>
      </c>
      <c r="Q2820">
        <v>40.799999999999997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D2820">
        <v>40.799999999999997</v>
      </c>
    </row>
    <row r="2821" spans="1:30" x14ac:dyDescent="0.3">
      <c r="A2821" s="4">
        <v>2842</v>
      </c>
      <c r="B2821" s="5">
        <v>2814</v>
      </c>
      <c r="C2821">
        <v>3954</v>
      </c>
      <c r="D2821" t="s">
        <v>577</v>
      </c>
      <c r="E2821" t="s">
        <v>355</v>
      </c>
      <c r="F2821" t="s">
        <v>136</v>
      </c>
      <c r="G2821" t="s">
        <v>5948</v>
      </c>
      <c r="H2821" t="str">
        <f>"00560750"</f>
        <v>00560750</v>
      </c>
      <c r="I2821">
        <v>28.8</v>
      </c>
      <c r="J2821">
        <v>10</v>
      </c>
      <c r="N2821">
        <v>0</v>
      </c>
      <c r="O2821">
        <v>0</v>
      </c>
      <c r="P2821">
        <v>2</v>
      </c>
      <c r="Q2821">
        <v>40.799999999999997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D2821">
        <v>40.799999999999997</v>
      </c>
    </row>
    <row r="2822" spans="1:30" x14ac:dyDescent="0.3">
      <c r="A2822" s="4">
        <v>2843</v>
      </c>
      <c r="B2822" s="5">
        <v>2815</v>
      </c>
      <c r="C2822">
        <v>3168</v>
      </c>
      <c r="D2822" t="s">
        <v>2951</v>
      </c>
      <c r="E2822" t="s">
        <v>5949</v>
      </c>
      <c r="F2822" t="s">
        <v>20</v>
      </c>
      <c r="G2822" t="s">
        <v>5950</v>
      </c>
      <c r="H2822" t="str">
        <f>"00864066"</f>
        <v>00864066</v>
      </c>
      <c r="I2822">
        <v>28.8</v>
      </c>
      <c r="J2822">
        <v>0</v>
      </c>
      <c r="K2822">
        <v>8</v>
      </c>
      <c r="N2822">
        <v>8</v>
      </c>
      <c r="O2822">
        <v>4</v>
      </c>
      <c r="P2822">
        <v>0</v>
      </c>
      <c r="Q2822">
        <v>40.799999999999997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D2822">
        <v>40.799999999999997</v>
      </c>
    </row>
    <row r="2823" spans="1:30" x14ac:dyDescent="0.3">
      <c r="A2823" s="4">
        <v>2844</v>
      </c>
      <c r="B2823" s="5">
        <v>2816</v>
      </c>
      <c r="C2823">
        <v>2132</v>
      </c>
      <c r="D2823" t="s">
        <v>2405</v>
      </c>
      <c r="E2823" t="s">
        <v>188</v>
      </c>
      <c r="F2823" t="s">
        <v>81</v>
      </c>
      <c r="G2823" t="s">
        <v>5951</v>
      </c>
      <c r="H2823" t="str">
        <f>"201511019763"</f>
        <v>201511019763</v>
      </c>
      <c r="I2823">
        <v>28.8</v>
      </c>
      <c r="J2823">
        <v>0</v>
      </c>
      <c r="K2823">
        <v>8</v>
      </c>
      <c r="N2823">
        <v>8</v>
      </c>
      <c r="O2823">
        <v>4</v>
      </c>
      <c r="P2823">
        <v>0</v>
      </c>
      <c r="Q2823">
        <v>40.799999999999997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D2823">
        <v>40.799999999999997</v>
      </c>
    </row>
    <row r="2824" spans="1:30" x14ac:dyDescent="0.3">
      <c r="A2824" s="4">
        <v>2845</v>
      </c>
      <c r="B2824" s="5">
        <v>2817</v>
      </c>
      <c r="C2824">
        <v>3088</v>
      </c>
      <c r="D2824" t="s">
        <v>459</v>
      </c>
      <c r="E2824" t="s">
        <v>166</v>
      </c>
      <c r="F2824" t="s">
        <v>158</v>
      </c>
      <c r="G2824" t="s">
        <v>5952</v>
      </c>
      <c r="H2824" t="str">
        <f>"00599006"</f>
        <v>00599006</v>
      </c>
      <c r="I2824">
        <v>21.8</v>
      </c>
      <c r="J2824">
        <v>0</v>
      </c>
      <c r="N2824">
        <v>0</v>
      </c>
      <c r="O2824">
        <v>4</v>
      </c>
      <c r="P2824">
        <v>2</v>
      </c>
      <c r="Q2824">
        <v>27.8</v>
      </c>
      <c r="R2824">
        <v>13</v>
      </c>
      <c r="S2824">
        <v>13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13</v>
      </c>
      <c r="AA2824">
        <v>0</v>
      </c>
      <c r="AB2824">
        <v>0</v>
      </c>
      <c r="AD2824">
        <v>40.799999999999997</v>
      </c>
    </row>
    <row r="2825" spans="1:30" x14ac:dyDescent="0.3">
      <c r="A2825" s="4">
        <v>2846</v>
      </c>
      <c r="B2825" s="5">
        <v>2818</v>
      </c>
      <c r="C2825">
        <v>2576</v>
      </c>
      <c r="D2825" t="s">
        <v>3200</v>
      </c>
      <c r="E2825" t="s">
        <v>208</v>
      </c>
      <c r="F2825" t="s">
        <v>167</v>
      </c>
      <c r="G2825" t="s">
        <v>5953</v>
      </c>
      <c r="H2825" t="str">
        <f>"00530106"</f>
        <v>00530106</v>
      </c>
      <c r="I2825">
        <v>21.6</v>
      </c>
      <c r="J2825">
        <v>0</v>
      </c>
      <c r="N2825">
        <v>0</v>
      </c>
      <c r="O2825">
        <v>4</v>
      </c>
      <c r="P2825">
        <v>2</v>
      </c>
      <c r="Q2825">
        <v>27.6</v>
      </c>
      <c r="R2825">
        <v>7</v>
      </c>
      <c r="S2825">
        <v>7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7</v>
      </c>
      <c r="AA2825">
        <v>6</v>
      </c>
      <c r="AB2825">
        <v>0</v>
      </c>
      <c r="AD2825">
        <v>40.6</v>
      </c>
    </row>
    <row r="2826" spans="1:30" x14ac:dyDescent="0.3">
      <c r="A2826" s="4">
        <v>2847</v>
      </c>
      <c r="B2826" s="5">
        <v>2819</v>
      </c>
      <c r="C2826">
        <v>959</v>
      </c>
      <c r="D2826" t="s">
        <v>5954</v>
      </c>
      <c r="E2826" t="s">
        <v>166</v>
      </c>
      <c r="F2826" t="s">
        <v>81</v>
      </c>
      <c r="G2826" t="s">
        <v>5955</v>
      </c>
      <c r="H2826" t="str">
        <f>"00858563"</f>
        <v>00858563</v>
      </c>
      <c r="I2826">
        <v>33.6</v>
      </c>
      <c r="J2826">
        <v>0</v>
      </c>
      <c r="N2826">
        <v>0</v>
      </c>
      <c r="O2826">
        <v>4</v>
      </c>
      <c r="P2826">
        <v>0</v>
      </c>
      <c r="Q2826">
        <v>37.6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3</v>
      </c>
      <c r="AB2826">
        <v>0</v>
      </c>
      <c r="AD2826">
        <v>40.6</v>
      </c>
    </row>
    <row r="2827" spans="1:30" x14ac:dyDescent="0.3">
      <c r="A2827" s="4">
        <v>2848</v>
      </c>
      <c r="B2827" s="5">
        <v>2820</v>
      </c>
      <c r="C2827">
        <v>4614</v>
      </c>
      <c r="D2827" t="s">
        <v>4612</v>
      </c>
      <c r="E2827" t="s">
        <v>219</v>
      </c>
      <c r="F2827" t="s">
        <v>81</v>
      </c>
      <c r="G2827" t="s">
        <v>5956</v>
      </c>
      <c r="H2827" t="str">
        <f>"00484861"</f>
        <v>00484861</v>
      </c>
      <c r="I2827">
        <v>21.6</v>
      </c>
      <c r="J2827">
        <v>0</v>
      </c>
      <c r="M2827">
        <v>4</v>
      </c>
      <c r="N2827">
        <v>4</v>
      </c>
      <c r="O2827">
        <v>0</v>
      </c>
      <c r="P2827">
        <v>0</v>
      </c>
      <c r="Q2827">
        <v>25.6</v>
      </c>
      <c r="R2827">
        <v>12</v>
      </c>
      <c r="S2827">
        <v>12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12</v>
      </c>
      <c r="AA2827">
        <v>3</v>
      </c>
      <c r="AB2827">
        <v>0</v>
      </c>
      <c r="AD2827">
        <v>40.6</v>
      </c>
    </row>
    <row r="2828" spans="1:30" x14ac:dyDescent="0.3">
      <c r="A2828" s="4">
        <v>2849</v>
      </c>
      <c r="B2828" s="5">
        <v>2821</v>
      </c>
      <c r="C2828">
        <v>3708</v>
      </c>
      <c r="D2828" t="s">
        <v>5957</v>
      </c>
      <c r="E2828" t="s">
        <v>91</v>
      </c>
      <c r="F2828" t="s">
        <v>124</v>
      </c>
      <c r="G2828" t="s">
        <v>5958</v>
      </c>
      <c r="H2828" t="str">
        <f>"00501187"</f>
        <v>00501187</v>
      </c>
      <c r="I2828">
        <v>21.6</v>
      </c>
      <c r="J2828">
        <v>0</v>
      </c>
      <c r="K2828">
        <v>8</v>
      </c>
      <c r="N2828">
        <v>8</v>
      </c>
      <c r="O2828">
        <v>4</v>
      </c>
      <c r="P2828">
        <v>0</v>
      </c>
      <c r="Q2828">
        <v>33.6</v>
      </c>
      <c r="R2828">
        <v>7</v>
      </c>
      <c r="S2828">
        <v>7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7</v>
      </c>
      <c r="AA2828">
        <v>0</v>
      </c>
      <c r="AB2828">
        <v>0</v>
      </c>
      <c r="AD2828">
        <v>40.6</v>
      </c>
    </row>
    <row r="2829" spans="1:30" x14ac:dyDescent="0.3">
      <c r="A2829" s="4">
        <v>2850</v>
      </c>
      <c r="B2829" s="5">
        <v>2822</v>
      </c>
      <c r="C2829">
        <v>4794</v>
      </c>
      <c r="D2829" t="s">
        <v>5959</v>
      </c>
      <c r="E2829" t="s">
        <v>110</v>
      </c>
      <c r="F2829" t="s">
        <v>17</v>
      </c>
      <c r="G2829" t="s">
        <v>5960</v>
      </c>
      <c r="H2829" t="str">
        <f>"00527394"</f>
        <v>00527394</v>
      </c>
      <c r="I2829">
        <v>23.6</v>
      </c>
      <c r="J2829">
        <v>0</v>
      </c>
      <c r="N2829">
        <v>0</v>
      </c>
      <c r="O2829">
        <v>0</v>
      </c>
      <c r="P2829">
        <v>0</v>
      </c>
      <c r="Q2829">
        <v>23.6</v>
      </c>
      <c r="R2829">
        <v>17</v>
      </c>
      <c r="S2829">
        <v>17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17</v>
      </c>
      <c r="AA2829">
        <v>0</v>
      </c>
      <c r="AB2829">
        <v>0</v>
      </c>
      <c r="AD2829">
        <v>40.6</v>
      </c>
    </row>
    <row r="2830" spans="1:30" x14ac:dyDescent="0.3">
      <c r="A2830" s="4">
        <v>2851</v>
      </c>
      <c r="B2830" s="5">
        <v>2823</v>
      </c>
      <c r="C2830">
        <v>1883</v>
      </c>
      <c r="D2830" t="s">
        <v>5961</v>
      </c>
      <c r="E2830" t="s">
        <v>5962</v>
      </c>
      <c r="F2830" t="s">
        <v>68</v>
      </c>
      <c r="G2830" t="s">
        <v>5963</v>
      </c>
      <c r="H2830" t="str">
        <f>"00712560"</f>
        <v>00712560</v>
      </c>
      <c r="I2830">
        <v>20.56</v>
      </c>
      <c r="J2830">
        <v>10</v>
      </c>
      <c r="N2830">
        <v>0</v>
      </c>
      <c r="O2830">
        <v>4</v>
      </c>
      <c r="P2830">
        <v>0</v>
      </c>
      <c r="Q2830">
        <v>34.56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6</v>
      </c>
      <c r="AB2830">
        <v>0</v>
      </c>
      <c r="AD2830">
        <v>40.56</v>
      </c>
    </row>
    <row r="2831" spans="1:30" x14ac:dyDescent="0.3">
      <c r="A2831" s="4">
        <v>2852</v>
      </c>
      <c r="B2831" s="5">
        <v>2824</v>
      </c>
      <c r="C2831">
        <v>3125</v>
      </c>
      <c r="D2831" t="s">
        <v>999</v>
      </c>
      <c r="E2831" t="s">
        <v>33</v>
      </c>
      <c r="F2831" t="s">
        <v>1000</v>
      </c>
      <c r="G2831" t="s">
        <v>5964</v>
      </c>
      <c r="H2831" t="str">
        <f>"00862067"</f>
        <v>00862067</v>
      </c>
      <c r="I2831">
        <v>37.520000000000003</v>
      </c>
      <c r="J2831">
        <v>0</v>
      </c>
      <c r="N2831">
        <v>0</v>
      </c>
      <c r="O2831">
        <v>0</v>
      </c>
      <c r="P2831">
        <v>0</v>
      </c>
      <c r="Q2831">
        <v>37.520000000000003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3</v>
      </c>
      <c r="AB2831">
        <v>0</v>
      </c>
      <c r="AD2831">
        <v>40.520000000000003</v>
      </c>
    </row>
    <row r="2832" spans="1:30" x14ac:dyDescent="0.3">
      <c r="A2832" s="4">
        <v>2853</v>
      </c>
      <c r="B2832" s="5">
        <v>2825</v>
      </c>
      <c r="C2832">
        <v>2725</v>
      </c>
      <c r="D2832" t="s">
        <v>5965</v>
      </c>
      <c r="E2832" t="s">
        <v>1597</v>
      </c>
      <c r="F2832" t="s">
        <v>626</v>
      </c>
      <c r="G2832" t="s">
        <v>5966</v>
      </c>
      <c r="H2832" t="str">
        <f>"00860409"</f>
        <v>00860409</v>
      </c>
      <c r="I2832">
        <v>27.48</v>
      </c>
      <c r="J2832">
        <v>0</v>
      </c>
      <c r="N2832">
        <v>0</v>
      </c>
      <c r="O2832">
        <v>4</v>
      </c>
      <c r="P2832">
        <v>0</v>
      </c>
      <c r="Q2832">
        <v>31.48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9</v>
      </c>
      <c r="AB2832">
        <v>0</v>
      </c>
      <c r="AD2832">
        <v>40.479999999999997</v>
      </c>
    </row>
    <row r="2833" spans="1:30" x14ac:dyDescent="0.3">
      <c r="A2833" s="4">
        <v>2854</v>
      </c>
      <c r="B2833" s="5">
        <v>2826</v>
      </c>
      <c r="C2833">
        <v>336</v>
      </c>
      <c r="D2833" t="s">
        <v>5967</v>
      </c>
      <c r="E2833" t="s">
        <v>110</v>
      </c>
      <c r="F2833" t="s">
        <v>20</v>
      </c>
      <c r="G2833" t="s">
        <v>5968</v>
      </c>
      <c r="H2833" t="str">
        <f>"00267826"</f>
        <v>00267826</v>
      </c>
      <c r="I2833">
        <v>37.44</v>
      </c>
      <c r="J2833">
        <v>0</v>
      </c>
      <c r="N2833">
        <v>0</v>
      </c>
      <c r="O2833">
        <v>0</v>
      </c>
      <c r="P2833">
        <v>0</v>
      </c>
      <c r="Q2833">
        <v>37.44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3</v>
      </c>
      <c r="AB2833">
        <v>0</v>
      </c>
      <c r="AD2833">
        <v>40.44</v>
      </c>
    </row>
    <row r="2834" spans="1:30" x14ac:dyDescent="0.3">
      <c r="A2834" s="4">
        <v>2855</v>
      </c>
      <c r="B2834" s="5">
        <v>2827</v>
      </c>
      <c r="C2834">
        <v>1873</v>
      </c>
      <c r="D2834" t="s">
        <v>5969</v>
      </c>
      <c r="E2834" t="s">
        <v>132</v>
      </c>
      <c r="F2834" t="s">
        <v>30</v>
      </c>
      <c r="G2834" t="s">
        <v>32038</v>
      </c>
      <c r="H2834" t="str">
        <f>"00688689"</f>
        <v>00688689</v>
      </c>
      <c r="I2834">
        <v>29.44</v>
      </c>
      <c r="J2834">
        <v>0</v>
      </c>
      <c r="M2834">
        <v>4</v>
      </c>
      <c r="N2834">
        <v>4</v>
      </c>
      <c r="O2834">
        <v>4</v>
      </c>
      <c r="P2834">
        <v>0</v>
      </c>
      <c r="Q2834">
        <v>37.44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3</v>
      </c>
      <c r="AB2834">
        <v>0</v>
      </c>
      <c r="AD2834">
        <v>40.44</v>
      </c>
    </row>
    <row r="2835" spans="1:30" x14ac:dyDescent="0.3">
      <c r="A2835" s="4">
        <v>2856</v>
      </c>
      <c r="B2835" s="5">
        <v>2828</v>
      </c>
      <c r="C2835">
        <v>1380</v>
      </c>
      <c r="D2835" t="s">
        <v>5970</v>
      </c>
      <c r="E2835" t="s">
        <v>88</v>
      </c>
      <c r="F2835" t="s">
        <v>5971</v>
      </c>
      <c r="G2835" t="s">
        <v>5972</v>
      </c>
      <c r="H2835" t="str">
        <f>"00264259"</f>
        <v>00264259</v>
      </c>
      <c r="I2835">
        <v>28.44</v>
      </c>
      <c r="J2835">
        <v>0</v>
      </c>
      <c r="K2835">
        <v>8</v>
      </c>
      <c r="N2835">
        <v>8</v>
      </c>
      <c r="O2835">
        <v>4</v>
      </c>
      <c r="P2835">
        <v>0</v>
      </c>
      <c r="Q2835">
        <v>40.44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D2835">
        <v>40.44</v>
      </c>
    </row>
    <row r="2836" spans="1:30" x14ac:dyDescent="0.3">
      <c r="A2836" s="4">
        <v>2857</v>
      </c>
      <c r="B2836" s="5">
        <v>2829</v>
      </c>
      <c r="C2836">
        <v>3342</v>
      </c>
      <c r="D2836" t="s">
        <v>5973</v>
      </c>
      <c r="E2836" t="s">
        <v>110</v>
      </c>
      <c r="F2836" t="s">
        <v>30</v>
      </c>
      <c r="G2836" t="s">
        <v>5974</v>
      </c>
      <c r="H2836" t="str">
        <f>"00773240"</f>
        <v>00773240</v>
      </c>
      <c r="I2836">
        <v>36.4</v>
      </c>
      <c r="J2836">
        <v>0</v>
      </c>
      <c r="N2836">
        <v>0</v>
      </c>
      <c r="O2836">
        <v>4</v>
      </c>
      <c r="P2836">
        <v>0</v>
      </c>
      <c r="Q2836">
        <v>40.4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D2836">
        <v>40.4</v>
      </c>
    </row>
    <row r="2837" spans="1:30" x14ac:dyDescent="0.3">
      <c r="A2837" s="4">
        <v>2858</v>
      </c>
      <c r="B2837" s="5">
        <v>2830</v>
      </c>
      <c r="C2837">
        <v>23</v>
      </c>
      <c r="D2837" t="s">
        <v>5975</v>
      </c>
      <c r="E2837" t="s">
        <v>166</v>
      </c>
      <c r="F2837" t="s">
        <v>4370</v>
      </c>
      <c r="G2837" t="s">
        <v>5976</v>
      </c>
      <c r="H2837" t="str">
        <f>"00575394"</f>
        <v>00575394</v>
      </c>
      <c r="I2837">
        <v>30.4</v>
      </c>
      <c r="J2837">
        <v>0</v>
      </c>
      <c r="M2837">
        <v>4</v>
      </c>
      <c r="N2837">
        <v>4</v>
      </c>
      <c r="O2837">
        <v>4</v>
      </c>
      <c r="P2837">
        <v>2</v>
      </c>
      <c r="Q2837">
        <v>40.4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D2837">
        <v>40.4</v>
      </c>
    </row>
    <row r="2838" spans="1:30" x14ac:dyDescent="0.3">
      <c r="A2838" s="4">
        <v>2859</v>
      </c>
      <c r="B2838" s="5">
        <v>2831</v>
      </c>
      <c r="C2838">
        <v>838</v>
      </c>
      <c r="D2838" t="s">
        <v>5977</v>
      </c>
      <c r="E2838" t="s">
        <v>5978</v>
      </c>
      <c r="F2838" t="s">
        <v>136</v>
      </c>
      <c r="G2838" t="s">
        <v>5979</v>
      </c>
      <c r="H2838" t="str">
        <f>"00529932"</f>
        <v>00529932</v>
      </c>
      <c r="I2838">
        <v>14.4</v>
      </c>
      <c r="J2838">
        <v>0</v>
      </c>
      <c r="M2838">
        <v>4</v>
      </c>
      <c r="N2838">
        <v>4</v>
      </c>
      <c r="O2838">
        <v>4</v>
      </c>
      <c r="P2838">
        <v>2</v>
      </c>
      <c r="Q2838">
        <v>24.4</v>
      </c>
      <c r="R2838">
        <v>6</v>
      </c>
      <c r="S2838">
        <v>6</v>
      </c>
      <c r="T2838">
        <v>0</v>
      </c>
      <c r="U2838">
        <v>0</v>
      </c>
      <c r="V2838">
        <v>7</v>
      </c>
      <c r="W2838">
        <v>10</v>
      </c>
      <c r="X2838">
        <v>0</v>
      </c>
      <c r="Y2838">
        <v>0</v>
      </c>
      <c r="Z2838">
        <v>16</v>
      </c>
      <c r="AA2838">
        <v>0</v>
      </c>
      <c r="AB2838">
        <v>0</v>
      </c>
      <c r="AD2838">
        <v>40.4</v>
      </c>
    </row>
    <row r="2839" spans="1:30" x14ac:dyDescent="0.3">
      <c r="A2839" s="4">
        <v>2860</v>
      </c>
      <c r="B2839" s="5">
        <v>2832</v>
      </c>
      <c r="C2839">
        <v>1699</v>
      </c>
      <c r="D2839" t="s">
        <v>3072</v>
      </c>
      <c r="E2839" t="s">
        <v>208</v>
      </c>
      <c r="F2839" t="s">
        <v>30</v>
      </c>
      <c r="G2839" t="s">
        <v>5980</v>
      </c>
      <c r="H2839" t="str">
        <f>"00531476"</f>
        <v>00531476</v>
      </c>
      <c r="I2839">
        <v>14.4</v>
      </c>
      <c r="J2839">
        <v>0</v>
      </c>
      <c r="M2839">
        <v>4</v>
      </c>
      <c r="N2839">
        <v>4</v>
      </c>
      <c r="O2839">
        <v>4</v>
      </c>
      <c r="P2839">
        <v>2</v>
      </c>
      <c r="Q2839">
        <v>24.4</v>
      </c>
      <c r="R2839">
        <v>16</v>
      </c>
      <c r="S2839">
        <v>16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16</v>
      </c>
      <c r="AA2839">
        <v>0</v>
      </c>
      <c r="AB2839">
        <v>0</v>
      </c>
      <c r="AD2839">
        <v>40.4</v>
      </c>
    </row>
    <row r="2840" spans="1:30" x14ac:dyDescent="0.3">
      <c r="A2840" s="4">
        <v>2861</v>
      </c>
      <c r="B2840" s="5">
        <v>2833</v>
      </c>
      <c r="C2840">
        <v>1578</v>
      </c>
      <c r="D2840" t="s">
        <v>2658</v>
      </c>
      <c r="E2840" t="s">
        <v>967</v>
      </c>
      <c r="F2840" t="s">
        <v>55</v>
      </c>
      <c r="G2840" t="s">
        <v>5981</v>
      </c>
      <c r="H2840" t="str">
        <f>"00519449"</f>
        <v>00519449</v>
      </c>
      <c r="I2840">
        <v>24.36</v>
      </c>
      <c r="J2840">
        <v>0</v>
      </c>
      <c r="N2840">
        <v>0</v>
      </c>
      <c r="O2840">
        <v>4</v>
      </c>
      <c r="P2840">
        <v>0</v>
      </c>
      <c r="Q2840">
        <v>28.36</v>
      </c>
      <c r="R2840">
        <v>6</v>
      </c>
      <c r="S2840">
        <v>6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6</v>
      </c>
      <c r="AA2840">
        <v>6</v>
      </c>
      <c r="AB2840">
        <v>0</v>
      </c>
      <c r="AD2840">
        <v>40.36</v>
      </c>
    </row>
    <row r="2841" spans="1:30" x14ac:dyDescent="0.3">
      <c r="A2841" s="4">
        <v>2862</v>
      </c>
      <c r="B2841" s="5">
        <v>2834</v>
      </c>
      <c r="C2841">
        <v>341</v>
      </c>
      <c r="D2841" t="s">
        <v>5982</v>
      </c>
      <c r="E2841" t="s">
        <v>5983</v>
      </c>
      <c r="F2841" t="s">
        <v>20</v>
      </c>
      <c r="G2841" t="s">
        <v>5984</v>
      </c>
      <c r="H2841" t="str">
        <f>"00511655"</f>
        <v>00511655</v>
      </c>
      <c r="I2841">
        <v>24.36</v>
      </c>
      <c r="J2841">
        <v>0</v>
      </c>
      <c r="N2841">
        <v>0</v>
      </c>
      <c r="O2841">
        <v>0</v>
      </c>
      <c r="P2841">
        <v>0</v>
      </c>
      <c r="Q2841">
        <v>24.36</v>
      </c>
      <c r="R2841">
        <v>16</v>
      </c>
      <c r="S2841">
        <v>16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16</v>
      </c>
      <c r="AA2841">
        <v>0</v>
      </c>
      <c r="AB2841">
        <v>0</v>
      </c>
      <c r="AD2841">
        <v>40.36</v>
      </c>
    </row>
    <row r="2842" spans="1:30" x14ac:dyDescent="0.3">
      <c r="A2842" s="4">
        <v>2863</v>
      </c>
      <c r="B2842" s="5">
        <v>2835</v>
      </c>
      <c r="C2842">
        <v>1860</v>
      </c>
      <c r="D2842" t="s">
        <v>5985</v>
      </c>
      <c r="E2842" t="s">
        <v>166</v>
      </c>
      <c r="F2842" t="s">
        <v>38</v>
      </c>
      <c r="G2842" t="s">
        <v>5986</v>
      </c>
      <c r="H2842" t="str">
        <f>"200803000718"</f>
        <v>200803000718</v>
      </c>
      <c r="I2842">
        <v>27.28</v>
      </c>
      <c r="J2842">
        <v>0</v>
      </c>
      <c r="N2842">
        <v>0</v>
      </c>
      <c r="O2842">
        <v>4</v>
      </c>
      <c r="P2842">
        <v>0</v>
      </c>
      <c r="Q2842">
        <v>31.28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9</v>
      </c>
      <c r="AB2842">
        <v>0</v>
      </c>
      <c r="AD2842">
        <v>40.28</v>
      </c>
    </row>
    <row r="2843" spans="1:30" x14ac:dyDescent="0.3">
      <c r="A2843" s="4">
        <v>2864</v>
      </c>
      <c r="B2843" s="5">
        <v>2836</v>
      </c>
      <c r="C2843">
        <v>735</v>
      </c>
      <c r="D2843" t="s">
        <v>5987</v>
      </c>
      <c r="E2843" t="s">
        <v>29</v>
      </c>
      <c r="F2843" t="s">
        <v>230</v>
      </c>
      <c r="G2843" t="s">
        <v>5988</v>
      </c>
      <c r="H2843" t="str">
        <f>"00855881"</f>
        <v>00855881</v>
      </c>
      <c r="I2843">
        <v>30.28</v>
      </c>
      <c r="J2843">
        <v>10</v>
      </c>
      <c r="N2843">
        <v>0</v>
      </c>
      <c r="O2843">
        <v>0</v>
      </c>
      <c r="P2843">
        <v>0</v>
      </c>
      <c r="Q2843">
        <v>40.28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D2843">
        <v>40.28</v>
      </c>
    </row>
    <row r="2844" spans="1:30" x14ac:dyDescent="0.3">
      <c r="A2844" s="4">
        <v>2865</v>
      </c>
      <c r="B2844" s="5">
        <v>2837</v>
      </c>
      <c r="C2844">
        <v>401</v>
      </c>
      <c r="D2844" t="s">
        <v>5989</v>
      </c>
      <c r="E2844" t="s">
        <v>166</v>
      </c>
      <c r="F2844" t="s">
        <v>17</v>
      </c>
      <c r="G2844" t="s">
        <v>5990</v>
      </c>
      <c r="H2844" t="str">
        <f>"00857052"</f>
        <v>00857052</v>
      </c>
      <c r="I2844">
        <v>30.24</v>
      </c>
      <c r="J2844">
        <v>0</v>
      </c>
      <c r="M2844">
        <v>4</v>
      </c>
      <c r="N2844">
        <v>4</v>
      </c>
      <c r="O2844">
        <v>0</v>
      </c>
      <c r="P2844">
        <v>0</v>
      </c>
      <c r="Q2844">
        <v>34.24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6</v>
      </c>
      <c r="AB2844">
        <v>0</v>
      </c>
      <c r="AD2844">
        <v>40.24</v>
      </c>
    </row>
    <row r="2845" spans="1:30" x14ac:dyDescent="0.3">
      <c r="A2845" s="4">
        <v>2866</v>
      </c>
      <c r="B2845" s="5">
        <v>2838</v>
      </c>
      <c r="C2845">
        <v>3895</v>
      </c>
      <c r="D2845" t="s">
        <v>5991</v>
      </c>
      <c r="E2845" t="s">
        <v>5992</v>
      </c>
      <c r="F2845" t="s">
        <v>328</v>
      </c>
      <c r="G2845" t="s">
        <v>5993</v>
      </c>
      <c r="H2845" t="str">
        <f>"201409006113"</f>
        <v>201409006113</v>
      </c>
      <c r="I2845">
        <v>7.2</v>
      </c>
      <c r="J2845">
        <v>0</v>
      </c>
      <c r="M2845">
        <v>4</v>
      </c>
      <c r="N2845">
        <v>4</v>
      </c>
      <c r="O2845">
        <v>4</v>
      </c>
      <c r="P2845">
        <v>2</v>
      </c>
      <c r="Q2845">
        <v>17.2</v>
      </c>
      <c r="R2845">
        <v>13</v>
      </c>
      <c r="S2845">
        <v>13</v>
      </c>
      <c r="T2845">
        <v>0</v>
      </c>
      <c r="U2845">
        <v>0</v>
      </c>
      <c r="V2845">
        <v>7</v>
      </c>
      <c r="W2845">
        <v>10</v>
      </c>
      <c r="X2845">
        <v>0</v>
      </c>
      <c r="Y2845">
        <v>0</v>
      </c>
      <c r="Z2845">
        <v>23</v>
      </c>
      <c r="AA2845">
        <v>0</v>
      </c>
      <c r="AB2845">
        <v>0</v>
      </c>
      <c r="AD2845">
        <v>40.200000000000003</v>
      </c>
    </row>
    <row r="2846" spans="1:30" x14ac:dyDescent="0.3">
      <c r="A2846" s="4">
        <v>2867</v>
      </c>
      <c r="B2846" s="5">
        <v>2839</v>
      </c>
      <c r="C2846">
        <v>2560</v>
      </c>
      <c r="D2846" t="s">
        <v>3792</v>
      </c>
      <c r="E2846" t="s">
        <v>110</v>
      </c>
      <c r="F2846" t="s">
        <v>20</v>
      </c>
      <c r="G2846" t="s">
        <v>5994</v>
      </c>
      <c r="H2846" t="str">
        <f>"00147582"</f>
        <v>00147582</v>
      </c>
      <c r="I2846">
        <v>19.16</v>
      </c>
      <c r="J2846">
        <v>0</v>
      </c>
      <c r="K2846">
        <v>8</v>
      </c>
      <c r="N2846">
        <v>8</v>
      </c>
      <c r="O2846">
        <v>4</v>
      </c>
      <c r="P2846">
        <v>0</v>
      </c>
      <c r="Q2846">
        <v>31.16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9</v>
      </c>
      <c r="AB2846">
        <v>0</v>
      </c>
      <c r="AD2846">
        <v>40.159999999999997</v>
      </c>
    </row>
    <row r="2847" spans="1:30" x14ac:dyDescent="0.3">
      <c r="A2847" s="4">
        <v>2868</v>
      </c>
      <c r="B2847" s="5">
        <v>2840</v>
      </c>
      <c r="C2847">
        <v>1456</v>
      </c>
      <c r="D2847" t="s">
        <v>5995</v>
      </c>
      <c r="E2847" t="s">
        <v>335</v>
      </c>
      <c r="F2847" t="s">
        <v>5996</v>
      </c>
      <c r="G2847" t="s">
        <v>5997</v>
      </c>
      <c r="H2847" t="str">
        <f>"00521240"</f>
        <v>00521240</v>
      </c>
      <c r="I2847">
        <v>25</v>
      </c>
      <c r="J2847">
        <v>0</v>
      </c>
      <c r="N2847">
        <v>0</v>
      </c>
      <c r="O2847">
        <v>0</v>
      </c>
      <c r="P2847">
        <v>0</v>
      </c>
      <c r="Q2847">
        <v>25</v>
      </c>
      <c r="R2847">
        <v>6</v>
      </c>
      <c r="S2847">
        <v>6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6</v>
      </c>
      <c r="AA2847">
        <v>9</v>
      </c>
      <c r="AB2847">
        <v>0</v>
      </c>
      <c r="AD2847">
        <v>40</v>
      </c>
    </row>
    <row r="2848" spans="1:30" x14ac:dyDescent="0.3">
      <c r="A2848" s="4">
        <v>2869</v>
      </c>
      <c r="B2848" s="5">
        <v>2841</v>
      </c>
      <c r="C2848">
        <v>686</v>
      </c>
      <c r="D2848" t="s">
        <v>5998</v>
      </c>
      <c r="E2848" t="s">
        <v>29</v>
      </c>
      <c r="F2848" t="s">
        <v>385</v>
      </c>
      <c r="G2848" t="s">
        <v>5999</v>
      </c>
      <c r="H2848" t="str">
        <f>"00519838"</f>
        <v>00519838</v>
      </c>
      <c r="I2848">
        <v>0</v>
      </c>
      <c r="J2848">
        <v>0</v>
      </c>
      <c r="N2848">
        <v>0</v>
      </c>
      <c r="O2848">
        <v>4</v>
      </c>
      <c r="P2848">
        <v>0</v>
      </c>
      <c r="Q2848">
        <v>4</v>
      </c>
      <c r="R2848">
        <v>30</v>
      </c>
      <c r="S2848">
        <v>30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30</v>
      </c>
      <c r="AA2848">
        <v>6</v>
      </c>
      <c r="AB2848">
        <v>0</v>
      </c>
      <c r="AD2848">
        <v>40</v>
      </c>
    </row>
    <row r="2849" spans="1:30" x14ac:dyDescent="0.3">
      <c r="A2849" s="4">
        <v>2870</v>
      </c>
      <c r="B2849" s="5">
        <v>2842</v>
      </c>
      <c r="C2849">
        <v>1921</v>
      </c>
      <c r="D2849" t="s">
        <v>6000</v>
      </c>
      <c r="E2849" t="s">
        <v>166</v>
      </c>
      <c r="F2849" t="s">
        <v>68</v>
      </c>
      <c r="G2849" t="s">
        <v>6001</v>
      </c>
      <c r="H2849" t="str">
        <f>"00864074"</f>
        <v>00864074</v>
      </c>
      <c r="I2849">
        <v>40</v>
      </c>
      <c r="J2849">
        <v>0</v>
      </c>
      <c r="N2849">
        <v>0</v>
      </c>
      <c r="O2849">
        <v>0</v>
      </c>
      <c r="P2849">
        <v>0</v>
      </c>
      <c r="Q2849">
        <v>40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D2849">
        <v>40</v>
      </c>
    </row>
    <row r="2850" spans="1:30" x14ac:dyDescent="0.3">
      <c r="A2850" s="4">
        <v>2871</v>
      </c>
      <c r="B2850" s="5">
        <v>2843</v>
      </c>
      <c r="C2850">
        <v>3302</v>
      </c>
      <c r="D2850" t="s">
        <v>6002</v>
      </c>
      <c r="E2850" t="s">
        <v>110</v>
      </c>
      <c r="F2850" t="s">
        <v>442</v>
      </c>
      <c r="G2850" t="s">
        <v>6003</v>
      </c>
      <c r="H2850" t="str">
        <f>"00861321"</f>
        <v>00861321</v>
      </c>
      <c r="I2850">
        <v>36</v>
      </c>
      <c r="J2850">
        <v>0</v>
      </c>
      <c r="M2850">
        <v>4</v>
      </c>
      <c r="N2850">
        <v>4</v>
      </c>
      <c r="O2850">
        <v>0</v>
      </c>
      <c r="P2850">
        <v>0</v>
      </c>
      <c r="Q2850">
        <v>40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D2850">
        <v>40</v>
      </c>
    </row>
    <row r="2851" spans="1:30" x14ac:dyDescent="0.3">
      <c r="A2851" s="4">
        <v>2872</v>
      </c>
      <c r="B2851" s="5">
        <v>2844</v>
      </c>
      <c r="C2851">
        <v>4406</v>
      </c>
      <c r="D2851" t="s">
        <v>6004</v>
      </c>
      <c r="E2851" t="s">
        <v>37</v>
      </c>
      <c r="F2851" t="s">
        <v>136</v>
      </c>
      <c r="G2851" t="s">
        <v>6005</v>
      </c>
      <c r="H2851" t="str">
        <f>"00863359"</f>
        <v>00863359</v>
      </c>
      <c r="I2851">
        <v>36</v>
      </c>
      <c r="J2851">
        <v>0</v>
      </c>
      <c r="M2851">
        <v>4</v>
      </c>
      <c r="N2851">
        <v>4</v>
      </c>
      <c r="O2851">
        <v>0</v>
      </c>
      <c r="P2851">
        <v>0</v>
      </c>
      <c r="Q2851">
        <v>40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D2851">
        <v>40</v>
      </c>
    </row>
    <row r="2852" spans="1:30" x14ac:dyDescent="0.3">
      <c r="A2852" s="4">
        <v>2873</v>
      </c>
      <c r="B2852" s="5">
        <v>2845</v>
      </c>
      <c r="C2852">
        <v>3104</v>
      </c>
      <c r="D2852" t="s">
        <v>6006</v>
      </c>
      <c r="E2852" t="s">
        <v>406</v>
      </c>
      <c r="F2852" t="s">
        <v>117</v>
      </c>
      <c r="G2852" t="s">
        <v>6007</v>
      </c>
      <c r="H2852" t="str">
        <f>"00864726"</f>
        <v>00864726</v>
      </c>
      <c r="I2852">
        <v>36</v>
      </c>
      <c r="J2852">
        <v>0</v>
      </c>
      <c r="N2852">
        <v>0</v>
      </c>
      <c r="O2852">
        <v>4</v>
      </c>
      <c r="P2852">
        <v>0</v>
      </c>
      <c r="Q2852">
        <v>40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D2852">
        <v>40</v>
      </c>
    </row>
    <row r="2853" spans="1:30" x14ac:dyDescent="0.3">
      <c r="A2853" s="4">
        <v>2874</v>
      </c>
      <c r="B2853" s="5">
        <v>2846</v>
      </c>
      <c r="C2853">
        <v>3131</v>
      </c>
      <c r="D2853" t="s">
        <v>6008</v>
      </c>
      <c r="E2853" t="s">
        <v>283</v>
      </c>
      <c r="F2853" t="s">
        <v>81</v>
      </c>
      <c r="G2853" t="s">
        <v>6009</v>
      </c>
      <c r="H2853" t="str">
        <f>"00737311"</f>
        <v>00737311</v>
      </c>
      <c r="I2853">
        <v>36</v>
      </c>
      <c r="J2853">
        <v>0</v>
      </c>
      <c r="N2853">
        <v>0</v>
      </c>
      <c r="O2853">
        <v>4</v>
      </c>
      <c r="P2853">
        <v>0</v>
      </c>
      <c r="Q2853">
        <v>40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D2853">
        <v>40</v>
      </c>
    </row>
    <row r="2854" spans="1:30" x14ac:dyDescent="0.3">
      <c r="A2854" s="4">
        <v>2875</v>
      </c>
      <c r="B2854" s="5">
        <v>2847</v>
      </c>
      <c r="C2854">
        <v>4051</v>
      </c>
      <c r="D2854" t="s">
        <v>6010</v>
      </c>
      <c r="E2854" t="s">
        <v>406</v>
      </c>
      <c r="F2854" t="s">
        <v>17</v>
      </c>
      <c r="G2854" t="s">
        <v>6011</v>
      </c>
      <c r="H2854" t="str">
        <f>"00512333"</f>
        <v>00512333</v>
      </c>
      <c r="I2854">
        <v>36</v>
      </c>
      <c r="J2854">
        <v>0</v>
      </c>
      <c r="N2854">
        <v>0</v>
      </c>
      <c r="O2854">
        <v>4</v>
      </c>
      <c r="P2854">
        <v>0</v>
      </c>
      <c r="Q2854">
        <v>40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D2854">
        <v>40</v>
      </c>
    </row>
    <row r="2855" spans="1:30" x14ac:dyDescent="0.3">
      <c r="A2855" s="4">
        <v>2876</v>
      </c>
      <c r="B2855" s="5">
        <v>2848</v>
      </c>
      <c r="C2855">
        <v>1919</v>
      </c>
      <c r="D2855" t="s">
        <v>6012</v>
      </c>
      <c r="E2855" t="s">
        <v>29</v>
      </c>
      <c r="F2855" t="s">
        <v>17</v>
      </c>
      <c r="G2855" t="s">
        <v>6013</v>
      </c>
      <c r="H2855" t="str">
        <f>"00859969"</f>
        <v>00859969</v>
      </c>
      <c r="I2855">
        <v>36</v>
      </c>
      <c r="J2855">
        <v>0</v>
      </c>
      <c r="M2855">
        <v>4</v>
      </c>
      <c r="N2855">
        <v>4</v>
      </c>
      <c r="O2855">
        <v>0</v>
      </c>
      <c r="P2855">
        <v>0</v>
      </c>
      <c r="Q2855">
        <v>40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D2855">
        <v>40</v>
      </c>
    </row>
    <row r="2856" spans="1:30" x14ac:dyDescent="0.3">
      <c r="A2856" s="4">
        <v>2877</v>
      </c>
      <c r="B2856" s="5">
        <v>2849</v>
      </c>
      <c r="C2856">
        <v>4005</v>
      </c>
      <c r="D2856" t="s">
        <v>6014</v>
      </c>
      <c r="E2856" t="s">
        <v>33</v>
      </c>
      <c r="F2856" t="s">
        <v>62</v>
      </c>
      <c r="G2856" t="s">
        <v>6015</v>
      </c>
      <c r="H2856" t="str">
        <f>"00859324"</f>
        <v>00859324</v>
      </c>
      <c r="I2856">
        <v>36</v>
      </c>
      <c r="J2856">
        <v>0</v>
      </c>
      <c r="N2856">
        <v>0</v>
      </c>
      <c r="O2856">
        <v>4</v>
      </c>
      <c r="P2856">
        <v>0</v>
      </c>
      <c r="Q2856">
        <v>40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D2856">
        <v>40</v>
      </c>
    </row>
    <row r="2857" spans="1:30" x14ac:dyDescent="0.3">
      <c r="A2857" s="4">
        <v>2878</v>
      </c>
      <c r="B2857" s="5">
        <v>2850</v>
      </c>
      <c r="C2857">
        <v>2511</v>
      </c>
      <c r="D2857" t="s">
        <v>6016</v>
      </c>
      <c r="E2857" t="s">
        <v>110</v>
      </c>
      <c r="F2857" t="s">
        <v>782</v>
      </c>
      <c r="G2857" t="s">
        <v>6017</v>
      </c>
      <c r="H2857" t="str">
        <f>"00390619"</f>
        <v>00390619</v>
      </c>
      <c r="I2857">
        <v>36</v>
      </c>
      <c r="J2857">
        <v>0</v>
      </c>
      <c r="N2857">
        <v>0</v>
      </c>
      <c r="O2857">
        <v>4</v>
      </c>
      <c r="P2857">
        <v>0</v>
      </c>
      <c r="Q2857">
        <v>40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D2857">
        <v>40</v>
      </c>
    </row>
    <row r="2858" spans="1:30" x14ac:dyDescent="0.3">
      <c r="A2858" s="4">
        <v>2879</v>
      </c>
      <c r="B2858" s="5">
        <v>2851</v>
      </c>
      <c r="C2858">
        <v>4883</v>
      </c>
      <c r="D2858" t="s">
        <v>6018</v>
      </c>
      <c r="E2858" t="s">
        <v>1694</v>
      </c>
      <c r="F2858" t="s">
        <v>14</v>
      </c>
      <c r="G2858" t="s">
        <v>6019</v>
      </c>
      <c r="H2858" t="str">
        <f>"00184192"</f>
        <v>00184192</v>
      </c>
      <c r="I2858">
        <v>36</v>
      </c>
      <c r="J2858">
        <v>0</v>
      </c>
      <c r="N2858">
        <v>0</v>
      </c>
      <c r="O2858">
        <v>4</v>
      </c>
      <c r="P2858">
        <v>0</v>
      </c>
      <c r="Q2858">
        <v>40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D2858">
        <v>40</v>
      </c>
    </row>
    <row r="2859" spans="1:30" x14ac:dyDescent="0.3">
      <c r="A2859" s="4">
        <v>2880</v>
      </c>
      <c r="B2859" s="5">
        <v>2852</v>
      </c>
      <c r="C2859">
        <v>2794</v>
      </c>
      <c r="D2859" t="s">
        <v>6020</v>
      </c>
      <c r="E2859" t="s">
        <v>1874</v>
      </c>
      <c r="F2859" t="s">
        <v>20</v>
      </c>
      <c r="G2859" t="s">
        <v>6021</v>
      </c>
      <c r="H2859" t="str">
        <f>"00221739"</f>
        <v>00221739</v>
      </c>
      <c r="I2859">
        <v>36</v>
      </c>
      <c r="J2859">
        <v>0</v>
      </c>
      <c r="N2859">
        <v>0</v>
      </c>
      <c r="O2859">
        <v>4</v>
      </c>
      <c r="P2859">
        <v>0</v>
      </c>
      <c r="Q2859">
        <v>40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D2859">
        <v>40</v>
      </c>
    </row>
    <row r="2860" spans="1:30" x14ac:dyDescent="0.3">
      <c r="A2860" s="4">
        <v>2881</v>
      </c>
      <c r="B2860" s="5">
        <v>2853</v>
      </c>
      <c r="C2860">
        <v>219</v>
      </c>
      <c r="D2860" t="s">
        <v>6022</v>
      </c>
      <c r="E2860" t="s">
        <v>29</v>
      </c>
      <c r="F2860" t="s">
        <v>38</v>
      </c>
      <c r="G2860" t="s">
        <v>6023</v>
      </c>
      <c r="H2860" t="str">
        <f>"00265978"</f>
        <v>00265978</v>
      </c>
      <c r="I2860">
        <v>36</v>
      </c>
      <c r="J2860">
        <v>0</v>
      </c>
      <c r="N2860">
        <v>0</v>
      </c>
      <c r="O2860">
        <v>4</v>
      </c>
      <c r="P2860">
        <v>0</v>
      </c>
      <c r="Q2860">
        <v>40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D2860">
        <v>40</v>
      </c>
    </row>
    <row r="2861" spans="1:30" x14ac:dyDescent="0.3">
      <c r="A2861" s="4">
        <v>2882</v>
      </c>
      <c r="B2861" s="5">
        <v>2854</v>
      </c>
      <c r="C2861">
        <v>437</v>
      </c>
      <c r="D2861" t="s">
        <v>6024</v>
      </c>
      <c r="E2861" t="s">
        <v>161</v>
      </c>
      <c r="F2861" t="s">
        <v>34</v>
      </c>
      <c r="G2861" t="s">
        <v>6025</v>
      </c>
      <c r="H2861" t="str">
        <f>"00855713"</f>
        <v>00855713</v>
      </c>
      <c r="I2861">
        <v>36</v>
      </c>
      <c r="J2861">
        <v>0</v>
      </c>
      <c r="N2861">
        <v>0</v>
      </c>
      <c r="O2861">
        <v>4</v>
      </c>
      <c r="P2861">
        <v>0</v>
      </c>
      <c r="Q2861">
        <v>40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D2861">
        <v>40</v>
      </c>
    </row>
    <row r="2862" spans="1:30" x14ac:dyDescent="0.3">
      <c r="A2862" s="4">
        <v>2883</v>
      </c>
      <c r="B2862" s="5">
        <v>2855</v>
      </c>
      <c r="C2862">
        <v>2402</v>
      </c>
      <c r="D2862" t="s">
        <v>6026</v>
      </c>
      <c r="E2862" t="s">
        <v>161</v>
      </c>
      <c r="F2862" t="s">
        <v>20</v>
      </c>
      <c r="G2862" t="s">
        <v>6027</v>
      </c>
      <c r="H2862" t="str">
        <f>"00318212"</f>
        <v>00318212</v>
      </c>
      <c r="I2862">
        <v>34</v>
      </c>
      <c r="J2862">
        <v>0</v>
      </c>
      <c r="N2862">
        <v>0</v>
      </c>
      <c r="O2862">
        <v>4</v>
      </c>
      <c r="P2862">
        <v>2</v>
      </c>
      <c r="Q2862">
        <v>40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D2862">
        <v>40</v>
      </c>
    </row>
    <row r="2863" spans="1:30" x14ac:dyDescent="0.3">
      <c r="A2863" s="4">
        <v>2884</v>
      </c>
      <c r="B2863" s="5">
        <v>2856</v>
      </c>
      <c r="C2863">
        <v>4596</v>
      </c>
      <c r="D2863" t="s">
        <v>6028</v>
      </c>
      <c r="E2863" t="s">
        <v>208</v>
      </c>
      <c r="F2863" t="s">
        <v>81</v>
      </c>
      <c r="G2863" t="s">
        <v>6029</v>
      </c>
      <c r="H2863" t="str">
        <f>"00313740"</f>
        <v>00313740</v>
      </c>
      <c r="I2863">
        <v>30</v>
      </c>
      <c r="J2863">
        <v>0</v>
      </c>
      <c r="M2863">
        <v>4</v>
      </c>
      <c r="N2863">
        <v>4</v>
      </c>
      <c r="O2863">
        <v>4</v>
      </c>
      <c r="P2863">
        <v>2</v>
      </c>
      <c r="Q2863">
        <v>40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D2863">
        <v>40</v>
      </c>
    </row>
    <row r="2864" spans="1:30" x14ac:dyDescent="0.3">
      <c r="A2864" s="4">
        <v>2885</v>
      </c>
      <c r="B2864" s="5">
        <v>2857</v>
      </c>
      <c r="C2864">
        <v>2500</v>
      </c>
      <c r="D2864" t="s">
        <v>3033</v>
      </c>
      <c r="E2864" t="s">
        <v>161</v>
      </c>
      <c r="F2864" t="s">
        <v>190</v>
      </c>
      <c r="G2864" t="s">
        <v>6030</v>
      </c>
      <c r="H2864" t="str">
        <f>"00769516"</f>
        <v>00769516</v>
      </c>
      <c r="I2864">
        <v>22</v>
      </c>
      <c r="J2864">
        <v>10</v>
      </c>
      <c r="M2864">
        <v>4</v>
      </c>
      <c r="N2864">
        <v>4</v>
      </c>
      <c r="O2864">
        <v>4</v>
      </c>
      <c r="P2864">
        <v>0</v>
      </c>
      <c r="Q2864">
        <v>40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D2864">
        <v>40</v>
      </c>
    </row>
    <row r="2865" spans="1:30" x14ac:dyDescent="0.3">
      <c r="A2865" s="4">
        <v>2886</v>
      </c>
      <c r="B2865" s="5">
        <v>2858</v>
      </c>
      <c r="C2865">
        <v>2221</v>
      </c>
      <c r="D2865" t="s">
        <v>6031</v>
      </c>
      <c r="E2865" t="s">
        <v>255</v>
      </c>
      <c r="F2865" t="s">
        <v>81</v>
      </c>
      <c r="G2865" t="s">
        <v>6032</v>
      </c>
      <c r="H2865" t="str">
        <f>"00863750"</f>
        <v>00863750</v>
      </c>
      <c r="I2865">
        <v>29.8</v>
      </c>
      <c r="J2865">
        <v>0</v>
      </c>
      <c r="N2865">
        <v>0</v>
      </c>
      <c r="O2865">
        <v>4</v>
      </c>
      <c r="P2865">
        <v>0</v>
      </c>
      <c r="Q2865">
        <v>33.799999999999997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6</v>
      </c>
      <c r="AB2865">
        <v>0</v>
      </c>
      <c r="AD2865">
        <v>39.799999999999997</v>
      </c>
    </row>
    <row r="2866" spans="1:30" x14ac:dyDescent="0.3">
      <c r="A2866" s="4">
        <v>2887</v>
      </c>
      <c r="B2866" s="5">
        <v>2859</v>
      </c>
      <c r="C2866">
        <v>2922</v>
      </c>
      <c r="D2866" t="s">
        <v>6033</v>
      </c>
      <c r="E2866" t="s">
        <v>54</v>
      </c>
      <c r="F2866" t="s">
        <v>328</v>
      </c>
      <c r="G2866" t="s">
        <v>6034</v>
      </c>
      <c r="H2866" t="str">
        <f>"00703542"</f>
        <v>00703542</v>
      </c>
      <c r="I2866">
        <v>32.799999999999997</v>
      </c>
      <c r="J2866">
        <v>0</v>
      </c>
      <c r="N2866">
        <v>0</v>
      </c>
      <c r="O2866">
        <v>4</v>
      </c>
      <c r="P2866">
        <v>0</v>
      </c>
      <c r="Q2866">
        <v>36.799999999999997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3</v>
      </c>
      <c r="AB2866">
        <v>0</v>
      </c>
      <c r="AD2866">
        <v>39.799999999999997</v>
      </c>
    </row>
    <row r="2867" spans="1:30" x14ac:dyDescent="0.3">
      <c r="A2867" s="4">
        <v>2888</v>
      </c>
      <c r="B2867" s="5">
        <v>2860</v>
      </c>
      <c r="C2867">
        <v>2994</v>
      </c>
      <c r="D2867" t="s">
        <v>6035</v>
      </c>
      <c r="E2867" t="s">
        <v>6036</v>
      </c>
      <c r="F2867" t="s">
        <v>158</v>
      </c>
      <c r="G2867" t="s">
        <v>6037</v>
      </c>
      <c r="H2867" t="str">
        <f>"00613522"</f>
        <v>00613522</v>
      </c>
      <c r="I2867">
        <v>32.799999999999997</v>
      </c>
      <c r="J2867">
        <v>0</v>
      </c>
      <c r="M2867">
        <v>4</v>
      </c>
      <c r="N2867">
        <v>4</v>
      </c>
      <c r="O2867">
        <v>0</v>
      </c>
      <c r="P2867">
        <v>0</v>
      </c>
      <c r="Q2867">
        <v>36.799999999999997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3</v>
      </c>
      <c r="AB2867">
        <v>0</v>
      </c>
      <c r="AD2867">
        <v>39.799999999999997</v>
      </c>
    </row>
    <row r="2868" spans="1:30" x14ac:dyDescent="0.3">
      <c r="A2868" s="4">
        <v>2889</v>
      </c>
      <c r="B2868" s="5">
        <v>2861</v>
      </c>
      <c r="C2868">
        <v>2852</v>
      </c>
      <c r="D2868" t="s">
        <v>6038</v>
      </c>
      <c r="E2868" t="s">
        <v>208</v>
      </c>
      <c r="F2868" t="s">
        <v>6039</v>
      </c>
      <c r="G2868" t="s">
        <v>6040</v>
      </c>
      <c r="H2868" t="str">
        <f>"00472683"</f>
        <v>00472683</v>
      </c>
      <c r="I2868">
        <v>28.8</v>
      </c>
      <c r="J2868">
        <v>0</v>
      </c>
      <c r="K2868">
        <v>8</v>
      </c>
      <c r="N2868">
        <v>8</v>
      </c>
      <c r="O2868">
        <v>0</v>
      </c>
      <c r="P2868">
        <v>0</v>
      </c>
      <c r="Q2868">
        <v>36.799999999999997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3</v>
      </c>
      <c r="AB2868">
        <v>0</v>
      </c>
      <c r="AD2868">
        <v>39.799999999999997</v>
      </c>
    </row>
    <row r="2869" spans="1:30" x14ac:dyDescent="0.3">
      <c r="A2869" s="4">
        <v>2890</v>
      </c>
      <c r="B2869" s="5">
        <v>2862</v>
      </c>
      <c r="C2869">
        <v>909</v>
      </c>
      <c r="D2869" t="s">
        <v>1530</v>
      </c>
      <c r="E2869" t="s">
        <v>6041</v>
      </c>
      <c r="F2869" t="s">
        <v>81</v>
      </c>
      <c r="G2869" t="s">
        <v>6042</v>
      </c>
      <c r="H2869" t="str">
        <f>"00503850"</f>
        <v>00503850</v>
      </c>
      <c r="I2869">
        <v>28.8</v>
      </c>
      <c r="J2869">
        <v>0</v>
      </c>
      <c r="M2869">
        <v>4</v>
      </c>
      <c r="N2869">
        <v>4</v>
      </c>
      <c r="O2869">
        <v>4</v>
      </c>
      <c r="P2869">
        <v>0</v>
      </c>
      <c r="Q2869">
        <v>36.799999999999997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3</v>
      </c>
      <c r="AB2869">
        <v>0</v>
      </c>
      <c r="AD2869">
        <v>39.799999999999997</v>
      </c>
    </row>
    <row r="2870" spans="1:30" x14ac:dyDescent="0.3">
      <c r="A2870" s="4">
        <v>2891</v>
      </c>
      <c r="B2870" s="5">
        <v>2863</v>
      </c>
      <c r="C2870">
        <v>1626</v>
      </c>
      <c r="D2870" t="s">
        <v>6043</v>
      </c>
      <c r="E2870" t="s">
        <v>439</v>
      </c>
      <c r="F2870" t="s">
        <v>81</v>
      </c>
      <c r="G2870" t="s">
        <v>6044</v>
      </c>
      <c r="H2870" t="str">
        <f>"00562735"</f>
        <v>00562735</v>
      </c>
      <c r="I2870">
        <v>28.8</v>
      </c>
      <c r="J2870">
        <v>0</v>
      </c>
      <c r="M2870">
        <v>4</v>
      </c>
      <c r="N2870">
        <v>4</v>
      </c>
      <c r="O2870">
        <v>4</v>
      </c>
      <c r="P2870">
        <v>0</v>
      </c>
      <c r="Q2870">
        <v>36.799999999999997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3</v>
      </c>
      <c r="AB2870">
        <v>0</v>
      </c>
      <c r="AD2870">
        <v>39.799999999999997</v>
      </c>
    </row>
    <row r="2871" spans="1:30" x14ac:dyDescent="0.3">
      <c r="A2871" s="4">
        <v>2892</v>
      </c>
      <c r="B2871" s="5">
        <v>2864</v>
      </c>
      <c r="C2871">
        <v>4909</v>
      </c>
      <c r="D2871" t="s">
        <v>3434</v>
      </c>
      <c r="E2871" t="s">
        <v>29</v>
      </c>
      <c r="F2871" t="s">
        <v>81</v>
      </c>
      <c r="G2871" t="s">
        <v>6045</v>
      </c>
      <c r="H2871" t="str">
        <f>"00559369"</f>
        <v>00559369</v>
      </c>
      <c r="I2871">
        <v>28.8</v>
      </c>
      <c r="J2871">
        <v>0</v>
      </c>
      <c r="M2871">
        <v>4</v>
      </c>
      <c r="N2871">
        <v>4</v>
      </c>
      <c r="O2871">
        <v>4</v>
      </c>
      <c r="P2871">
        <v>0</v>
      </c>
      <c r="Q2871">
        <v>36.799999999999997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3</v>
      </c>
      <c r="AB2871">
        <v>0</v>
      </c>
      <c r="AD2871">
        <v>39.799999999999997</v>
      </c>
    </row>
    <row r="2872" spans="1:30" x14ac:dyDescent="0.3">
      <c r="A2872" s="4">
        <v>2893</v>
      </c>
      <c r="B2872" s="5">
        <v>2865</v>
      </c>
      <c r="C2872">
        <v>1755</v>
      </c>
      <c r="D2872" t="s">
        <v>577</v>
      </c>
      <c r="E2872" t="s">
        <v>29</v>
      </c>
      <c r="F2872" t="s">
        <v>20</v>
      </c>
      <c r="G2872" t="s">
        <v>6046</v>
      </c>
      <c r="H2872" t="str">
        <f>"00530715"</f>
        <v>00530715</v>
      </c>
      <c r="I2872">
        <v>28.8</v>
      </c>
      <c r="J2872">
        <v>0</v>
      </c>
      <c r="N2872">
        <v>0</v>
      </c>
      <c r="O2872">
        <v>4</v>
      </c>
      <c r="P2872">
        <v>2</v>
      </c>
      <c r="Q2872">
        <v>34.799999999999997</v>
      </c>
      <c r="R2872">
        <v>5</v>
      </c>
      <c r="S2872">
        <v>5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5</v>
      </c>
      <c r="AA2872">
        <v>0</v>
      </c>
      <c r="AB2872">
        <v>0</v>
      </c>
      <c r="AD2872">
        <v>39.799999999999997</v>
      </c>
    </row>
    <row r="2873" spans="1:30" x14ac:dyDescent="0.3">
      <c r="A2873" s="4">
        <v>2894</v>
      </c>
      <c r="B2873" s="5">
        <v>2866</v>
      </c>
      <c r="C2873">
        <v>1349</v>
      </c>
      <c r="D2873" t="s">
        <v>6047</v>
      </c>
      <c r="E2873" t="s">
        <v>182</v>
      </c>
      <c r="F2873" t="s">
        <v>38</v>
      </c>
      <c r="G2873" t="s">
        <v>6048</v>
      </c>
      <c r="H2873" t="str">
        <f>"201410000288"</f>
        <v>201410000288</v>
      </c>
      <c r="I2873">
        <v>28.8</v>
      </c>
      <c r="J2873">
        <v>0</v>
      </c>
      <c r="N2873">
        <v>0</v>
      </c>
      <c r="O2873">
        <v>4</v>
      </c>
      <c r="P2873">
        <v>0</v>
      </c>
      <c r="Q2873">
        <v>32.799999999999997</v>
      </c>
      <c r="R2873">
        <v>7</v>
      </c>
      <c r="S2873">
        <v>7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7</v>
      </c>
      <c r="AA2873">
        <v>0</v>
      </c>
      <c r="AB2873">
        <v>0</v>
      </c>
      <c r="AD2873">
        <v>39.799999999999997</v>
      </c>
    </row>
    <row r="2874" spans="1:30" x14ac:dyDescent="0.3">
      <c r="A2874" s="4">
        <v>2895</v>
      </c>
      <c r="B2874" s="5">
        <v>2867</v>
      </c>
      <c r="C2874">
        <v>1199</v>
      </c>
      <c r="D2874" t="s">
        <v>6049</v>
      </c>
      <c r="E2874" t="s">
        <v>110</v>
      </c>
      <c r="F2874" t="s">
        <v>81</v>
      </c>
      <c r="G2874" t="s">
        <v>6050</v>
      </c>
      <c r="H2874" t="str">
        <f>"00003633"</f>
        <v>00003633</v>
      </c>
      <c r="I2874">
        <v>9.8000000000000007</v>
      </c>
      <c r="J2874">
        <v>0</v>
      </c>
      <c r="N2874">
        <v>0</v>
      </c>
      <c r="O2874">
        <v>0</v>
      </c>
      <c r="P2874">
        <v>0</v>
      </c>
      <c r="Q2874">
        <v>9.8000000000000007</v>
      </c>
      <c r="R2874">
        <v>30</v>
      </c>
      <c r="S2874">
        <v>30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30</v>
      </c>
      <c r="AA2874">
        <v>0</v>
      </c>
      <c r="AB2874">
        <v>0</v>
      </c>
      <c r="AD2874">
        <v>39.799999999999997</v>
      </c>
    </row>
    <row r="2875" spans="1:30" x14ac:dyDescent="0.3">
      <c r="A2875" s="4">
        <v>2896</v>
      </c>
      <c r="B2875" s="5">
        <v>2868</v>
      </c>
      <c r="C2875">
        <v>2849</v>
      </c>
      <c r="D2875" t="s">
        <v>6051</v>
      </c>
      <c r="E2875" t="s">
        <v>97</v>
      </c>
      <c r="F2875" t="s">
        <v>1161</v>
      </c>
      <c r="G2875" t="s">
        <v>6052</v>
      </c>
      <c r="H2875" t="str">
        <f>"00642040"</f>
        <v>00642040</v>
      </c>
      <c r="I2875">
        <v>31.72</v>
      </c>
      <c r="J2875">
        <v>0</v>
      </c>
      <c r="M2875">
        <v>4</v>
      </c>
      <c r="N2875">
        <v>4</v>
      </c>
      <c r="O2875">
        <v>4</v>
      </c>
      <c r="P2875">
        <v>0</v>
      </c>
      <c r="Q2875">
        <v>39.72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D2875">
        <v>39.72</v>
      </c>
    </row>
    <row r="2876" spans="1:30" x14ac:dyDescent="0.3">
      <c r="A2876" s="4">
        <v>2897</v>
      </c>
      <c r="B2876" s="5">
        <v>2869</v>
      </c>
      <c r="C2876">
        <v>3501</v>
      </c>
      <c r="D2876" t="s">
        <v>2666</v>
      </c>
      <c r="E2876" t="s">
        <v>143</v>
      </c>
      <c r="F2876" t="s">
        <v>1450</v>
      </c>
      <c r="G2876" t="s">
        <v>6053</v>
      </c>
      <c r="H2876" t="str">
        <f>"00519922"</f>
        <v>00519922</v>
      </c>
      <c r="I2876">
        <v>16.72</v>
      </c>
      <c r="J2876">
        <v>0</v>
      </c>
      <c r="N2876">
        <v>0</v>
      </c>
      <c r="O2876">
        <v>0</v>
      </c>
      <c r="P2876">
        <v>0</v>
      </c>
      <c r="Q2876">
        <v>16.72</v>
      </c>
      <c r="R2876">
        <v>23</v>
      </c>
      <c r="S2876">
        <v>23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23</v>
      </c>
      <c r="AA2876">
        <v>0</v>
      </c>
      <c r="AB2876">
        <v>0</v>
      </c>
      <c r="AD2876">
        <v>39.72</v>
      </c>
    </row>
    <row r="2877" spans="1:30" x14ac:dyDescent="0.3">
      <c r="A2877" s="4">
        <v>2898</v>
      </c>
      <c r="B2877" s="5">
        <v>2870</v>
      </c>
      <c r="C2877">
        <v>4009</v>
      </c>
      <c r="D2877" t="s">
        <v>6054</v>
      </c>
      <c r="E2877" t="s">
        <v>149</v>
      </c>
      <c r="F2877" t="s">
        <v>909</v>
      </c>
      <c r="G2877" t="s">
        <v>6055</v>
      </c>
      <c r="H2877" t="str">
        <f>"00856995"</f>
        <v>00856995</v>
      </c>
      <c r="I2877">
        <v>27.64</v>
      </c>
      <c r="J2877">
        <v>0</v>
      </c>
      <c r="N2877">
        <v>0</v>
      </c>
      <c r="O2877">
        <v>4</v>
      </c>
      <c r="P2877">
        <v>2</v>
      </c>
      <c r="Q2877">
        <v>33.64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6</v>
      </c>
      <c r="AB2877">
        <v>0</v>
      </c>
      <c r="AD2877">
        <v>39.64</v>
      </c>
    </row>
    <row r="2878" spans="1:30" x14ac:dyDescent="0.3">
      <c r="A2878" s="4">
        <v>2899</v>
      </c>
      <c r="B2878" s="5">
        <v>2871</v>
      </c>
      <c r="C2878">
        <v>4954</v>
      </c>
      <c r="D2878" t="s">
        <v>1538</v>
      </c>
      <c r="E2878" t="s">
        <v>744</v>
      </c>
      <c r="F2878" t="s">
        <v>1526</v>
      </c>
      <c r="G2878" t="s">
        <v>6056</v>
      </c>
      <c r="H2878" t="str">
        <f>"00283402"</f>
        <v>00283402</v>
      </c>
      <c r="I2878">
        <v>21.6</v>
      </c>
      <c r="J2878">
        <v>0</v>
      </c>
      <c r="N2878">
        <v>0</v>
      </c>
      <c r="O2878">
        <v>4</v>
      </c>
      <c r="P2878">
        <v>2</v>
      </c>
      <c r="Q2878">
        <v>27.6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12</v>
      </c>
      <c r="AB2878">
        <v>0</v>
      </c>
      <c r="AD2878">
        <v>39.6</v>
      </c>
    </row>
    <row r="2879" spans="1:30" x14ac:dyDescent="0.3">
      <c r="A2879" s="4">
        <v>2900</v>
      </c>
      <c r="B2879" s="5">
        <v>2872</v>
      </c>
      <c r="C2879">
        <v>1275</v>
      </c>
      <c r="D2879" t="s">
        <v>6057</v>
      </c>
      <c r="E2879" t="s">
        <v>3719</v>
      </c>
      <c r="F2879" t="s">
        <v>416</v>
      </c>
      <c r="G2879" t="s">
        <v>6058</v>
      </c>
      <c r="H2879" t="str">
        <f>"00858140"</f>
        <v>00858140</v>
      </c>
      <c r="I2879">
        <v>21.6</v>
      </c>
      <c r="J2879">
        <v>0</v>
      </c>
      <c r="K2879">
        <v>8</v>
      </c>
      <c r="N2879">
        <v>8</v>
      </c>
      <c r="O2879">
        <v>4</v>
      </c>
      <c r="P2879">
        <v>0</v>
      </c>
      <c r="Q2879">
        <v>33.6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6</v>
      </c>
      <c r="AB2879">
        <v>0</v>
      </c>
      <c r="AD2879">
        <v>39.6</v>
      </c>
    </row>
    <row r="2880" spans="1:30" x14ac:dyDescent="0.3">
      <c r="A2880" s="4">
        <v>2901</v>
      </c>
      <c r="B2880" s="5">
        <v>2873</v>
      </c>
      <c r="C2880">
        <v>3015</v>
      </c>
      <c r="D2880" t="s">
        <v>6059</v>
      </c>
      <c r="E2880" t="s">
        <v>132</v>
      </c>
      <c r="F2880" t="s">
        <v>38</v>
      </c>
      <c r="G2880" t="s">
        <v>6060</v>
      </c>
      <c r="H2880" t="str">
        <f>"200905000598"</f>
        <v>200905000598</v>
      </c>
      <c r="I2880">
        <v>21.6</v>
      </c>
      <c r="J2880">
        <v>0</v>
      </c>
      <c r="N2880">
        <v>0</v>
      </c>
      <c r="O2880">
        <v>4</v>
      </c>
      <c r="P2880">
        <v>2</v>
      </c>
      <c r="Q2880">
        <v>27.6</v>
      </c>
      <c r="R2880">
        <v>6</v>
      </c>
      <c r="S2880">
        <v>6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6</v>
      </c>
      <c r="AA2880">
        <v>6</v>
      </c>
      <c r="AB2880">
        <v>0</v>
      </c>
      <c r="AD2880">
        <v>39.6</v>
      </c>
    </row>
    <row r="2881" spans="1:30" x14ac:dyDescent="0.3">
      <c r="A2881" s="4">
        <v>2902</v>
      </c>
      <c r="B2881" s="5">
        <v>2874</v>
      </c>
      <c r="C2881">
        <v>998</v>
      </c>
      <c r="D2881" t="s">
        <v>6061</v>
      </c>
      <c r="E2881" t="s">
        <v>188</v>
      </c>
      <c r="F2881" t="s">
        <v>30</v>
      </c>
      <c r="G2881" t="s">
        <v>6062</v>
      </c>
      <c r="H2881" t="str">
        <f>"00233120"</f>
        <v>00233120</v>
      </c>
      <c r="I2881">
        <v>21.6</v>
      </c>
      <c r="J2881">
        <v>0</v>
      </c>
      <c r="N2881">
        <v>0</v>
      </c>
      <c r="O2881">
        <v>4</v>
      </c>
      <c r="P2881">
        <v>0</v>
      </c>
      <c r="Q2881">
        <v>25.6</v>
      </c>
      <c r="R2881">
        <v>8</v>
      </c>
      <c r="S2881">
        <v>8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8</v>
      </c>
      <c r="AA2881">
        <v>6</v>
      </c>
      <c r="AB2881">
        <v>0</v>
      </c>
      <c r="AD2881">
        <v>39.6</v>
      </c>
    </row>
    <row r="2882" spans="1:30" x14ac:dyDescent="0.3">
      <c r="A2882" s="4">
        <v>2903</v>
      </c>
      <c r="B2882" s="5">
        <v>2875</v>
      </c>
      <c r="C2882">
        <v>353</v>
      </c>
      <c r="D2882" t="s">
        <v>6063</v>
      </c>
      <c r="E2882" t="s">
        <v>143</v>
      </c>
      <c r="F2882" t="s">
        <v>17</v>
      </c>
      <c r="G2882" t="s">
        <v>6064</v>
      </c>
      <c r="H2882" t="str">
        <f>"00376983"</f>
        <v>00376983</v>
      </c>
      <c r="I2882">
        <v>24.6</v>
      </c>
      <c r="J2882">
        <v>0</v>
      </c>
      <c r="K2882">
        <v>8</v>
      </c>
      <c r="N2882">
        <v>8</v>
      </c>
      <c r="O2882">
        <v>4</v>
      </c>
      <c r="P2882">
        <v>0</v>
      </c>
      <c r="Q2882">
        <v>36.6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3</v>
      </c>
      <c r="AB2882">
        <v>0</v>
      </c>
      <c r="AD2882">
        <v>39.6</v>
      </c>
    </row>
    <row r="2883" spans="1:30" x14ac:dyDescent="0.3">
      <c r="A2883" s="4">
        <v>2904</v>
      </c>
      <c r="B2883" s="5">
        <v>2876</v>
      </c>
      <c r="C2883">
        <v>1690</v>
      </c>
      <c r="D2883" t="s">
        <v>6065</v>
      </c>
      <c r="E2883" t="s">
        <v>29</v>
      </c>
      <c r="F2883" t="s">
        <v>81</v>
      </c>
      <c r="G2883" t="s">
        <v>6066</v>
      </c>
      <c r="H2883" t="str">
        <f>"00865223"</f>
        <v>00865223</v>
      </c>
      <c r="I2883">
        <v>39.6</v>
      </c>
      <c r="J2883">
        <v>0</v>
      </c>
      <c r="N2883">
        <v>0</v>
      </c>
      <c r="O2883">
        <v>0</v>
      </c>
      <c r="P2883">
        <v>0</v>
      </c>
      <c r="Q2883">
        <v>39.6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D2883">
        <v>39.6</v>
      </c>
    </row>
    <row r="2884" spans="1:30" x14ac:dyDescent="0.3">
      <c r="A2884" s="4">
        <v>2905</v>
      </c>
      <c r="B2884" s="5">
        <v>2877</v>
      </c>
      <c r="C2884">
        <v>4844</v>
      </c>
      <c r="D2884" t="s">
        <v>6067</v>
      </c>
      <c r="E2884" t="s">
        <v>1319</v>
      </c>
      <c r="F2884" t="s">
        <v>68</v>
      </c>
      <c r="G2884" t="s">
        <v>6068</v>
      </c>
      <c r="H2884" t="str">
        <f>"00258952"</f>
        <v>00258952</v>
      </c>
      <c r="I2884">
        <v>39.6</v>
      </c>
      <c r="J2884">
        <v>0</v>
      </c>
      <c r="N2884">
        <v>0</v>
      </c>
      <c r="O2884">
        <v>0</v>
      </c>
      <c r="P2884">
        <v>0</v>
      </c>
      <c r="Q2884">
        <v>39.6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D2884">
        <v>39.6</v>
      </c>
    </row>
    <row r="2885" spans="1:30" x14ac:dyDescent="0.3">
      <c r="A2885" s="4">
        <v>2906</v>
      </c>
      <c r="B2885" s="5">
        <v>2878</v>
      </c>
      <c r="C2885">
        <v>1117</v>
      </c>
      <c r="D2885" t="s">
        <v>6069</v>
      </c>
      <c r="E2885" t="s">
        <v>6070</v>
      </c>
      <c r="F2885" t="s">
        <v>6071</v>
      </c>
      <c r="G2885" t="s">
        <v>6072</v>
      </c>
      <c r="H2885" t="str">
        <f>"00683478"</f>
        <v>00683478</v>
      </c>
      <c r="I2885">
        <v>39.6</v>
      </c>
      <c r="J2885">
        <v>0</v>
      </c>
      <c r="N2885">
        <v>0</v>
      </c>
      <c r="O2885">
        <v>0</v>
      </c>
      <c r="P2885">
        <v>0</v>
      </c>
      <c r="Q2885">
        <v>39.6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D2885">
        <v>39.6</v>
      </c>
    </row>
    <row r="2886" spans="1:30" x14ac:dyDescent="0.3">
      <c r="A2886" s="4">
        <v>2907</v>
      </c>
      <c r="B2886" s="5">
        <v>2879</v>
      </c>
      <c r="C2886">
        <v>3197</v>
      </c>
      <c r="D2886" t="s">
        <v>6073</v>
      </c>
      <c r="E2886" t="s">
        <v>29</v>
      </c>
      <c r="F2886" t="s">
        <v>30</v>
      </c>
      <c r="G2886" t="s">
        <v>6074</v>
      </c>
      <c r="H2886" t="str">
        <f>"00556275"</f>
        <v>00556275</v>
      </c>
      <c r="I2886">
        <v>35.6</v>
      </c>
      <c r="J2886">
        <v>0</v>
      </c>
      <c r="N2886">
        <v>0</v>
      </c>
      <c r="O2886">
        <v>4</v>
      </c>
      <c r="P2886">
        <v>0</v>
      </c>
      <c r="Q2886">
        <v>39.6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D2886">
        <v>39.6</v>
      </c>
    </row>
    <row r="2887" spans="1:30" x14ac:dyDescent="0.3">
      <c r="A2887" s="4">
        <v>2908</v>
      </c>
      <c r="B2887" s="5">
        <v>2880</v>
      </c>
      <c r="C2887">
        <v>537</v>
      </c>
      <c r="D2887" t="s">
        <v>6075</v>
      </c>
      <c r="E2887" t="s">
        <v>208</v>
      </c>
      <c r="F2887" t="s">
        <v>30</v>
      </c>
      <c r="G2887" t="s">
        <v>6076</v>
      </c>
      <c r="H2887" t="str">
        <f>"00856301"</f>
        <v>00856301</v>
      </c>
      <c r="I2887">
        <v>35.6</v>
      </c>
      <c r="J2887">
        <v>0</v>
      </c>
      <c r="M2887">
        <v>4</v>
      </c>
      <c r="N2887">
        <v>4</v>
      </c>
      <c r="O2887">
        <v>0</v>
      </c>
      <c r="P2887">
        <v>0</v>
      </c>
      <c r="Q2887">
        <v>39.6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D2887">
        <v>39.6</v>
      </c>
    </row>
    <row r="2888" spans="1:30" x14ac:dyDescent="0.3">
      <c r="A2888" s="4">
        <v>2909</v>
      </c>
      <c r="B2888" s="5">
        <v>2881</v>
      </c>
      <c r="C2888">
        <v>1969</v>
      </c>
      <c r="D2888" t="s">
        <v>6077</v>
      </c>
      <c r="E2888" t="s">
        <v>115</v>
      </c>
      <c r="F2888" t="s">
        <v>55</v>
      </c>
      <c r="G2888" t="s">
        <v>6078</v>
      </c>
      <c r="H2888" t="str">
        <f>"00216004"</f>
        <v>00216004</v>
      </c>
      <c r="I2888">
        <v>35.6</v>
      </c>
      <c r="J2888">
        <v>0</v>
      </c>
      <c r="N2888">
        <v>0</v>
      </c>
      <c r="O2888">
        <v>4</v>
      </c>
      <c r="P2888">
        <v>0</v>
      </c>
      <c r="Q2888">
        <v>39.6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D2888">
        <v>39.6</v>
      </c>
    </row>
    <row r="2889" spans="1:30" x14ac:dyDescent="0.3">
      <c r="A2889" s="4">
        <v>2910</v>
      </c>
      <c r="B2889" s="5">
        <v>2882</v>
      </c>
      <c r="C2889">
        <v>1877</v>
      </c>
      <c r="D2889" t="s">
        <v>3350</v>
      </c>
      <c r="E2889" t="s">
        <v>1371</v>
      </c>
      <c r="F2889" t="s">
        <v>136</v>
      </c>
      <c r="G2889" t="s">
        <v>6079</v>
      </c>
      <c r="H2889" t="str">
        <f>"00855133"</f>
        <v>00855133</v>
      </c>
      <c r="I2889">
        <v>29.6</v>
      </c>
      <c r="J2889">
        <v>10</v>
      </c>
      <c r="N2889">
        <v>0</v>
      </c>
      <c r="O2889">
        <v>0</v>
      </c>
      <c r="P2889">
        <v>0</v>
      </c>
      <c r="Q2889">
        <v>39.6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D2889">
        <v>39.6</v>
      </c>
    </row>
    <row r="2890" spans="1:30" x14ac:dyDescent="0.3">
      <c r="A2890" s="4">
        <v>2911</v>
      </c>
      <c r="B2890" s="5">
        <v>2883</v>
      </c>
      <c r="C2890">
        <v>3100</v>
      </c>
      <c r="D2890" t="s">
        <v>4857</v>
      </c>
      <c r="E2890" t="s">
        <v>789</v>
      </c>
      <c r="F2890" t="s">
        <v>6080</v>
      </c>
      <c r="G2890" t="s">
        <v>6081</v>
      </c>
      <c r="H2890" t="str">
        <f>"00802814"</f>
        <v>00802814</v>
      </c>
      <c r="I2890">
        <v>21.6</v>
      </c>
      <c r="J2890">
        <v>10</v>
      </c>
      <c r="M2890">
        <v>4</v>
      </c>
      <c r="N2890">
        <v>4</v>
      </c>
      <c r="O2890">
        <v>4</v>
      </c>
      <c r="P2890">
        <v>0</v>
      </c>
      <c r="Q2890">
        <v>39.6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D2890">
        <v>39.6</v>
      </c>
    </row>
    <row r="2891" spans="1:30" x14ac:dyDescent="0.3">
      <c r="A2891" s="4">
        <v>2912</v>
      </c>
      <c r="B2891" s="5">
        <v>2884</v>
      </c>
      <c r="C2891">
        <v>2033</v>
      </c>
      <c r="D2891" t="s">
        <v>6082</v>
      </c>
      <c r="E2891" t="s">
        <v>149</v>
      </c>
      <c r="F2891" t="s">
        <v>117</v>
      </c>
      <c r="G2891" t="s">
        <v>6083</v>
      </c>
      <c r="H2891" t="str">
        <f>"00512420"</f>
        <v>00512420</v>
      </c>
      <c r="I2891">
        <v>25.6</v>
      </c>
      <c r="J2891">
        <v>0</v>
      </c>
      <c r="M2891">
        <v>4</v>
      </c>
      <c r="N2891">
        <v>4</v>
      </c>
      <c r="O2891">
        <v>4</v>
      </c>
      <c r="P2891">
        <v>0</v>
      </c>
      <c r="Q2891">
        <v>33.6</v>
      </c>
      <c r="R2891">
        <v>6</v>
      </c>
      <c r="S2891">
        <v>6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6</v>
      </c>
      <c r="AA2891">
        <v>0</v>
      </c>
      <c r="AB2891">
        <v>0</v>
      </c>
      <c r="AD2891">
        <v>39.6</v>
      </c>
    </row>
    <row r="2892" spans="1:30" x14ac:dyDescent="0.3">
      <c r="A2892" s="4">
        <v>2913</v>
      </c>
      <c r="B2892" s="5">
        <v>2885</v>
      </c>
      <c r="C2892">
        <v>3980</v>
      </c>
      <c r="D2892" t="s">
        <v>6084</v>
      </c>
      <c r="E2892" t="s">
        <v>166</v>
      </c>
      <c r="F2892" t="s">
        <v>117</v>
      </c>
      <c r="G2892" t="s">
        <v>6085</v>
      </c>
      <c r="H2892" t="str">
        <f>"00533774"</f>
        <v>00533774</v>
      </c>
      <c r="I2892">
        <v>21.6</v>
      </c>
      <c r="J2892">
        <v>0</v>
      </c>
      <c r="M2892">
        <v>4</v>
      </c>
      <c r="N2892">
        <v>4</v>
      </c>
      <c r="O2892">
        <v>4</v>
      </c>
      <c r="P2892">
        <v>2</v>
      </c>
      <c r="Q2892">
        <v>31.6</v>
      </c>
      <c r="R2892">
        <v>8</v>
      </c>
      <c r="S2892">
        <v>8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8</v>
      </c>
      <c r="AA2892">
        <v>0</v>
      </c>
      <c r="AB2892">
        <v>0</v>
      </c>
      <c r="AD2892">
        <v>39.6</v>
      </c>
    </row>
    <row r="2893" spans="1:30" x14ac:dyDescent="0.3">
      <c r="A2893" s="4">
        <v>2914</v>
      </c>
      <c r="B2893" s="5">
        <v>2886</v>
      </c>
      <c r="C2893">
        <v>1788</v>
      </c>
      <c r="D2893" t="s">
        <v>680</v>
      </c>
      <c r="E2893" t="s">
        <v>471</v>
      </c>
      <c r="F2893" t="s">
        <v>230</v>
      </c>
      <c r="G2893" t="s">
        <v>6086</v>
      </c>
      <c r="H2893" t="str">
        <f>"00527550"</f>
        <v>00527550</v>
      </c>
      <c r="I2893">
        <v>11.48</v>
      </c>
      <c r="J2893">
        <v>10</v>
      </c>
      <c r="N2893">
        <v>0</v>
      </c>
      <c r="O2893">
        <v>4</v>
      </c>
      <c r="P2893">
        <v>0</v>
      </c>
      <c r="Q2893">
        <v>25.48</v>
      </c>
      <c r="R2893">
        <v>8</v>
      </c>
      <c r="S2893">
        <v>8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8</v>
      </c>
      <c r="AA2893">
        <v>6</v>
      </c>
      <c r="AB2893">
        <v>0</v>
      </c>
      <c r="AD2893">
        <v>39.479999999999997</v>
      </c>
    </row>
    <row r="2894" spans="1:30" x14ac:dyDescent="0.3">
      <c r="A2894" s="4">
        <v>2915</v>
      </c>
      <c r="B2894" s="5">
        <v>2887</v>
      </c>
      <c r="C2894">
        <v>617</v>
      </c>
      <c r="D2894" t="s">
        <v>6087</v>
      </c>
      <c r="E2894" t="s">
        <v>29</v>
      </c>
      <c r="F2894" t="s">
        <v>238</v>
      </c>
      <c r="G2894" t="s">
        <v>6088</v>
      </c>
      <c r="H2894" t="str">
        <f>"00366785"</f>
        <v>00366785</v>
      </c>
      <c r="I2894">
        <v>33.44</v>
      </c>
      <c r="J2894">
        <v>0</v>
      </c>
      <c r="M2894">
        <v>4</v>
      </c>
      <c r="N2894">
        <v>4</v>
      </c>
      <c r="O2894">
        <v>0</v>
      </c>
      <c r="P2894">
        <v>2</v>
      </c>
      <c r="Q2894">
        <v>39.44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D2894">
        <v>39.44</v>
      </c>
    </row>
    <row r="2895" spans="1:30" x14ac:dyDescent="0.3">
      <c r="A2895" s="4">
        <v>2916</v>
      </c>
      <c r="B2895" s="5">
        <v>2888</v>
      </c>
      <c r="C2895">
        <v>469</v>
      </c>
      <c r="D2895" t="s">
        <v>6089</v>
      </c>
      <c r="E2895" t="s">
        <v>188</v>
      </c>
      <c r="F2895" t="s">
        <v>17</v>
      </c>
      <c r="G2895" t="s">
        <v>6090</v>
      </c>
      <c r="H2895" t="str">
        <f>"00292941"</f>
        <v>00292941</v>
      </c>
      <c r="I2895">
        <v>14.4</v>
      </c>
      <c r="J2895">
        <v>0</v>
      </c>
      <c r="K2895">
        <v>8</v>
      </c>
      <c r="N2895">
        <v>8</v>
      </c>
      <c r="O2895">
        <v>4</v>
      </c>
      <c r="P2895">
        <v>0</v>
      </c>
      <c r="Q2895">
        <v>26.4</v>
      </c>
      <c r="R2895">
        <v>7</v>
      </c>
      <c r="S2895">
        <v>7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7</v>
      </c>
      <c r="AA2895">
        <v>6</v>
      </c>
      <c r="AB2895">
        <v>0</v>
      </c>
      <c r="AD2895">
        <v>39.4</v>
      </c>
    </row>
    <row r="2896" spans="1:30" x14ac:dyDescent="0.3">
      <c r="A2896" s="4">
        <v>2917</v>
      </c>
      <c r="B2896" s="5">
        <v>2889</v>
      </c>
      <c r="C2896">
        <v>3206</v>
      </c>
      <c r="D2896" t="s">
        <v>6091</v>
      </c>
      <c r="E2896" t="s">
        <v>54</v>
      </c>
      <c r="F2896" t="s">
        <v>20</v>
      </c>
      <c r="G2896" t="s">
        <v>6092</v>
      </c>
      <c r="H2896" t="str">
        <f>"00545711"</f>
        <v>00545711</v>
      </c>
      <c r="I2896">
        <v>25.32</v>
      </c>
      <c r="J2896">
        <v>0</v>
      </c>
      <c r="M2896">
        <v>4</v>
      </c>
      <c r="N2896">
        <v>4</v>
      </c>
      <c r="O2896">
        <v>4</v>
      </c>
      <c r="P2896">
        <v>0</v>
      </c>
      <c r="Q2896">
        <v>33.32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6</v>
      </c>
      <c r="AB2896">
        <v>0</v>
      </c>
      <c r="AD2896">
        <v>39.32</v>
      </c>
    </row>
    <row r="2897" spans="1:30" x14ac:dyDescent="0.3">
      <c r="A2897" s="4">
        <v>2918</v>
      </c>
      <c r="B2897" s="5">
        <v>2890</v>
      </c>
      <c r="C2897">
        <v>371</v>
      </c>
      <c r="D2897" t="s">
        <v>3404</v>
      </c>
      <c r="E2897" t="s">
        <v>29</v>
      </c>
      <c r="F2897" t="s">
        <v>81</v>
      </c>
      <c r="G2897" t="s">
        <v>6093</v>
      </c>
      <c r="H2897" t="str">
        <f>"00533953"</f>
        <v>00533953</v>
      </c>
      <c r="I2897">
        <v>17.32</v>
      </c>
      <c r="J2897">
        <v>10</v>
      </c>
      <c r="N2897">
        <v>0</v>
      </c>
      <c r="O2897">
        <v>4</v>
      </c>
      <c r="P2897">
        <v>0</v>
      </c>
      <c r="Q2897">
        <v>31.32</v>
      </c>
      <c r="R2897">
        <v>2</v>
      </c>
      <c r="S2897">
        <v>2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2</v>
      </c>
      <c r="AA2897">
        <v>6</v>
      </c>
      <c r="AB2897">
        <v>0</v>
      </c>
      <c r="AD2897">
        <v>39.32</v>
      </c>
    </row>
    <row r="2898" spans="1:30" x14ac:dyDescent="0.3">
      <c r="A2898" s="4">
        <v>2919</v>
      </c>
      <c r="B2898" s="5">
        <v>2891</v>
      </c>
      <c r="C2898">
        <v>579</v>
      </c>
      <c r="D2898" t="s">
        <v>6094</v>
      </c>
      <c r="E2898" t="s">
        <v>29</v>
      </c>
      <c r="F2898" t="s">
        <v>6095</v>
      </c>
      <c r="G2898" t="s">
        <v>6096</v>
      </c>
      <c r="H2898" t="str">
        <f>"00497792"</f>
        <v>00497792</v>
      </c>
      <c r="I2898">
        <v>32.32</v>
      </c>
      <c r="J2898">
        <v>0</v>
      </c>
      <c r="N2898">
        <v>0</v>
      </c>
      <c r="O2898">
        <v>4</v>
      </c>
      <c r="P2898">
        <v>0</v>
      </c>
      <c r="Q2898">
        <v>36.32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3</v>
      </c>
      <c r="AB2898">
        <v>0</v>
      </c>
      <c r="AD2898">
        <v>39.32</v>
      </c>
    </row>
    <row r="2899" spans="1:30" x14ac:dyDescent="0.3">
      <c r="A2899" s="4">
        <v>2920</v>
      </c>
      <c r="B2899" s="5">
        <v>2892</v>
      </c>
      <c r="C2899">
        <v>4444</v>
      </c>
      <c r="D2899" t="s">
        <v>6097</v>
      </c>
      <c r="E2899" t="s">
        <v>178</v>
      </c>
      <c r="F2899" t="s">
        <v>20</v>
      </c>
      <c r="G2899" t="s">
        <v>6098</v>
      </c>
      <c r="H2899" t="str">
        <f>"00506130"</f>
        <v>00506130</v>
      </c>
      <c r="I2899">
        <v>7.2</v>
      </c>
      <c r="J2899">
        <v>0</v>
      </c>
      <c r="N2899">
        <v>0</v>
      </c>
      <c r="O2899">
        <v>4</v>
      </c>
      <c r="P2899">
        <v>0</v>
      </c>
      <c r="Q2899">
        <v>11.2</v>
      </c>
      <c r="R2899">
        <v>19</v>
      </c>
      <c r="S2899">
        <v>19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19</v>
      </c>
      <c r="AA2899">
        <v>9</v>
      </c>
      <c r="AB2899">
        <v>0</v>
      </c>
      <c r="AD2899">
        <v>39.200000000000003</v>
      </c>
    </row>
    <row r="2900" spans="1:30" x14ac:dyDescent="0.3">
      <c r="A2900" s="4">
        <v>2922</v>
      </c>
      <c r="B2900" s="5">
        <v>2893</v>
      </c>
      <c r="C2900">
        <v>241</v>
      </c>
      <c r="D2900" t="s">
        <v>6100</v>
      </c>
      <c r="E2900" t="s">
        <v>54</v>
      </c>
      <c r="F2900" t="s">
        <v>68</v>
      </c>
      <c r="G2900" t="s">
        <v>6101</v>
      </c>
      <c r="H2900" t="str">
        <f>"00532373"</f>
        <v>00532373</v>
      </c>
      <c r="I2900">
        <v>35.200000000000003</v>
      </c>
      <c r="J2900">
        <v>0</v>
      </c>
      <c r="N2900">
        <v>0</v>
      </c>
      <c r="O2900">
        <v>4</v>
      </c>
      <c r="P2900">
        <v>0</v>
      </c>
      <c r="Q2900">
        <v>39.200000000000003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D2900">
        <v>39.200000000000003</v>
      </c>
    </row>
    <row r="2901" spans="1:30" x14ac:dyDescent="0.3">
      <c r="A2901" s="4">
        <v>2923</v>
      </c>
      <c r="B2901" s="5">
        <v>2894</v>
      </c>
      <c r="C2901">
        <v>4003</v>
      </c>
      <c r="D2901" t="s">
        <v>6102</v>
      </c>
      <c r="E2901" t="s">
        <v>170</v>
      </c>
      <c r="F2901" t="s">
        <v>539</v>
      </c>
      <c r="G2901" t="s">
        <v>6103</v>
      </c>
      <c r="H2901" t="str">
        <f>"00863146"</f>
        <v>00863146</v>
      </c>
      <c r="I2901">
        <v>31.2</v>
      </c>
      <c r="J2901">
        <v>0</v>
      </c>
      <c r="M2901">
        <v>4</v>
      </c>
      <c r="N2901">
        <v>4</v>
      </c>
      <c r="O2901">
        <v>4</v>
      </c>
      <c r="P2901">
        <v>0</v>
      </c>
      <c r="Q2901">
        <v>39.200000000000003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D2901">
        <v>39.200000000000003</v>
      </c>
    </row>
    <row r="2902" spans="1:30" x14ac:dyDescent="0.3">
      <c r="A2902" s="4">
        <v>2924</v>
      </c>
      <c r="B2902" s="5">
        <v>2895</v>
      </c>
      <c r="C2902">
        <v>3555</v>
      </c>
      <c r="D2902" t="s">
        <v>2320</v>
      </c>
      <c r="E2902" t="s">
        <v>22</v>
      </c>
      <c r="F2902" t="s">
        <v>570</v>
      </c>
      <c r="G2902" t="s">
        <v>6104</v>
      </c>
      <c r="H2902" t="str">
        <f>"00512067"</f>
        <v>00512067</v>
      </c>
      <c r="I2902">
        <v>21.16</v>
      </c>
      <c r="J2902">
        <v>0</v>
      </c>
      <c r="N2902">
        <v>0</v>
      </c>
      <c r="O2902">
        <v>0</v>
      </c>
      <c r="P2902">
        <v>2</v>
      </c>
      <c r="Q2902">
        <v>23.16</v>
      </c>
      <c r="R2902">
        <v>13</v>
      </c>
      <c r="S2902">
        <v>13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13</v>
      </c>
      <c r="AA2902">
        <v>3</v>
      </c>
      <c r="AB2902">
        <v>0</v>
      </c>
      <c r="AD2902">
        <v>39.159999999999997</v>
      </c>
    </row>
    <row r="2903" spans="1:30" x14ac:dyDescent="0.3">
      <c r="A2903" s="4">
        <v>2925</v>
      </c>
      <c r="B2903" s="5">
        <v>2896</v>
      </c>
      <c r="C2903">
        <v>1500</v>
      </c>
      <c r="D2903" t="s">
        <v>6105</v>
      </c>
      <c r="E2903" t="s">
        <v>37</v>
      </c>
      <c r="F2903" t="s">
        <v>79</v>
      </c>
      <c r="G2903" t="s">
        <v>6106</v>
      </c>
      <c r="H2903" t="str">
        <f>"00266349"</f>
        <v>00266349</v>
      </c>
      <c r="I2903">
        <v>25.08</v>
      </c>
      <c r="J2903">
        <v>0</v>
      </c>
      <c r="M2903">
        <v>4</v>
      </c>
      <c r="N2903">
        <v>4</v>
      </c>
      <c r="O2903">
        <v>4</v>
      </c>
      <c r="P2903">
        <v>0</v>
      </c>
      <c r="Q2903">
        <v>33.08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6</v>
      </c>
      <c r="AB2903">
        <v>0</v>
      </c>
      <c r="AD2903">
        <v>39.08</v>
      </c>
    </row>
    <row r="2904" spans="1:30" x14ac:dyDescent="0.3">
      <c r="A2904" s="4">
        <v>2926</v>
      </c>
      <c r="B2904" s="5">
        <v>2897</v>
      </c>
      <c r="C2904">
        <v>721</v>
      </c>
      <c r="D2904" t="s">
        <v>6107</v>
      </c>
      <c r="E2904" t="s">
        <v>789</v>
      </c>
      <c r="F2904" t="s">
        <v>6108</v>
      </c>
      <c r="G2904" t="s">
        <v>6109</v>
      </c>
      <c r="H2904" t="str">
        <f>"201604005070"</f>
        <v>201604005070</v>
      </c>
      <c r="I2904">
        <v>25.08</v>
      </c>
      <c r="J2904">
        <v>0</v>
      </c>
      <c r="N2904">
        <v>0</v>
      </c>
      <c r="O2904">
        <v>4</v>
      </c>
      <c r="P2904">
        <v>2</v>
      </c>
      <c r="Q2904">
        <v>31.08</v>
      </c>
      <c r="R2904">
        <v>8</v>
      </c>
      <c r="S2904">
        <v>8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8</v>
      </c>
      <c r="AA2904">
        <v>0</v>
      </c>
      <c r="AB2904">
        <v>0</v>
      </c>
      <c r="AD2904">
        <v>39.08</v>
      </c>
    </row>
    <row r="2905" spans="1:30" x14ac:dyDescent="0.3">
      <c r="A2905" s="4">
        <v>2927</v>
      </c>
      <c r="B2905" s="5">
        <v>2898</v>
      </c>
      <c r="C2905">
        <v>34</v>
      </c>
      <c r="D2905" t="s">
        <v>6110</v>
      </c>
      <c r="E2905" t="s">
        <v>692</v>
      </c>
      <c r="F2905" t="s">
        <v>243</v>
      </c>
      <c r="G2905" t="s">
        <v>6111</v>
      </c>
      <c r="H2905" t="str">
        <f>"00515389"</f>
        <v>00515389</v>
      </c>
      <c r="I2905">
        <v>36</v>
      </c>
      <c r="J2905">
        <v>0</v>
      </c>
      <c r="N2905">
        <v>0</v>
      </c>
      <c r="O2905">
        <v>0</v>
      </c>
      <c r="P2905">
        <v>0</v>
      </c>
      <c r="Q2905">
        <v>36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3</v>
      </c>
      <c r="AB2905">
        <v>0</v>
      </c>
      <c r="AD2905">
        <v>39</v>
      </c>
    </row>
    <row r="2906" spans="1:30" x14ac:dyDescent="0.3">
      <c r="A2906" s="4">
        <v>2928</v>
      </c>
      <c r="B2906" s="5">
        <v>2899</v>
      </c>
      <c r="C2906">
        <v>2072</v>
      </c>
      <c r="D2906" t="s">
        <v>6112</v>
      </c>
      <c r="E2906" t="s">
        <v>2792</v>
      </c>
      <c r="F2906" t="s">
        <v>4873</v>
      </c>
      <c r="G2906" t="s">
        <v>6113</v>
      </c>
      <c r="H2906" t="str">
        <f>"00863521"</f>
        <v>00863521</v>
      </c>
      <c r="I2906">
        <v>36</v>
      </c>
      <c r="J2906">
        <v>0</v>
      </c>
      <c r="N2906">
        <v>0</v>
      </c>
      <c r="O2906">
        <v>0</v>
      </c>
      <c r="P2906">
        <v>0</v>
      </c>
      <c r="Q2906">
        <v>36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3</v>
      </c>
      <c r="AB2906">
        <v>0</v>
      </c>
      <c r="AD2906">
        <v>39</v>
      </c>
    </row>
    <row r="2907" spans="1:30" x14ac:dyDescent="0.3">
      <c r="A2907" s="4">
        <v>2929</v>
      </c>
      <c r="B2907" s="5">
        <v>2900</v>
      </c>
      <c r="C2907">
        <v>2325</v>
      </c>
      <c r="D2907" t="s">
        <v>3831</v>
      </c>
      <c r="E2907" t="s">
        <v>550</v>
      </c>
      <c r="F2907" t="s">
        <v>17</v>
      </c>
      <c r="G2907" t="s">
        <v>6114</v>
      </c>
      <c r="H2907" t="str">
        <f>"00791821"</f>
        <v>00791821</v>
      </c>
      <c r="I2907">
        <v>36</v>
      </c>
      <c r="J2907">
        <v>0</v>
      </c>
      <c r="N2907">
        <v>0</v>
      </c>
      <c r="O2907">
        <v>0</v>
      </c>
      <c r="P2907">
        <v>0</v>
      </c>
      <c r="Q2907">
        <v>36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3</v>
      </c>
      <c r="AB2907">
        <v>0</v>
      </c>
      <c r="AD2907">
        <v>39</v>
      </c>
    </row>
    <row r="2908" spans="1:30" x14ac:dyDescent="0.3">
      <c r="A2908" s="4">
        <v>2930</v>
      </c>
      <c r="B2908" s="5">
        <v>2901</v>
      </c>
      <c r="C2908">
        <v>87</v>
      </c>
      <c r="D2908" t="s">
        <v>6115</v>
      </c>
      <c r="E2908" t="s">
        <v>1576</v>
      </c>
      <c r="F2908" t="s">
        <v>20</v>
      </c>
      <c r="G2908" t="s">
        <v>6116</v>
      </c>
      <c r="H2908" t="str">
        <f>"00855314"</f>
        <v>00855314</v>
      </c>
      <c r="I2908">
        <v>36</v>
      </c>
      <c r="J2908">
        <v>0</v>
      </c>
      <c r="N2908">
        <v>0</v>
      </c>
      <c r="O2908">
        <v>0</v>
      </c>
      <c r="P2908">
        <v>0</v>
      </c>
      <c r="Q2908">
        <v>36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3</v>
      </c>
      <c r="AB2908">
        <v>0</v>
      </c>
      <c r="AD2908">
        <v>39</v>
      </c>
    </row>
    <row r="2909" spans="1:30" x14ac:dyDescent="0.3">
      <c r="A2909" s="4">
        <v>2931</v>
      </c>
      <c r="B2909" s="5">
        <v>2902</v>
      </c>
      <c r="C2909">
        <v>2997</v>
      </c>
      <c r="D2909" t="s">
        <v>6117</v>
      </c>
      <c r="E2909" t="s">
        <v>816</v>
      </c>
      <c r="F2909" t="s">
        <v>20</v>
      </c>
      <c r="G2909" t="s">
        <v>6118</v>
      </c>
      <c r="H2909" t="str">
        <f>"00864002"</f>
        <v>00864002</v>
      </c>
      <c r="I2909">
        <v>36</v>
      </c>
      <c r="J2909">
        <v>0</v>
      </c>
      <c r="N2909">
        <v>0</v>
      </c>
      <c r="O2909">
        <v>0</v>
      </c>
      <c r="P2909">
        <v>0</v>
      </c>
      <c r="Q2909">
        <v>36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3</v>
      </c>
      <c r="AB2909">
        <v>0</v>
      </c>
      <c r="AD2909">
        <v>39</v>
      </c>
    </row>
    <row r="2910" spans="1:30" x14ac:dyDescent="0.3">
      <c r="A2910" s="4">
        <v>2932</v>
      </c>
      <c r="B2910" s="5">
        <v>2903</v>
      </c>
      <c r="C2910">
        <v>1717</v>
      </c>
      <c r="D2910" t="s">
        <v>6119</v>
      </c>
      <c r="E2910" t="s">
        <v>132</v>
      </c>
      <c r="F2910" t="s">
        <v>62</v>
      </c>
      <c r="G2910" t="s">
        <v>6120</v>
      </c>
      <c r="H2910" t="str">
        <f>"00273712"</f>
        <v>00273712</v>
      </c>
      <c r="I2910">
        <v>26.92</v>
      </c>
      <c r="J2910">
        <v>0</v>
      </c>
      <c r="N2910">
        <v>0</v>
      </c>
      <c r="O2910">
        <v>0</v>
      </c>
      <c r="P2910">
        <v>0</v>
      </c>
      <c r="Q2910">
        <v>26.92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12</v>
      </c>
      <c r="AB2910">
        <v>0</v>
      </c>
      <c r="AD2910">
        <v>38.92</v>
      </c>
    </row>
    <row r="2911" spans="1:30" x14ac:dyDescent="0.3">
      <c r="A2911" s="4">
        <v>2933</v>
      </c>
      <c r="B2911" s="5">
        <v>2904</v>
      </c>
      <c r="C2911">
        <v>2906</v>
      </c>
      <c r="D2911" t="s">
        <v>4128</v>
      </c>
      <c r="E2911" t="s">
        <v>6121</v>
      </c>
      <c r="F2911" t="s">
        <v>136</v>
      </c>
      <c r="G2911" t="s">
        <v>6122</v>
      </c>
      <c r="H2911" t="str">
        <f>"00431437"</f>
        <v>00431437</v>
      </c>
      <c r="I2911">
        <v>28.8</v>
      </c>
      <c r="J2911">
        <v>0</v>
      </c>
      <c r="N2911">
        <v>0</v>
      </c>
      <c r="O2911">
        <v>4</v>
      </c>
      <c r="P2911">
        <v>0</v>
      </c>
      <c r="Q2911">
        <v>32.799999999999997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6</v>
      </c>
      <c r="AB2911">
        <v>0</v>
      </c>
      <c r="AD2911">
        <v>38.799999999999997</v>
      </c>
    </row>
    <row r="2912" spans="1:30" x14ac:dyDescent="0.3">
      <c r="A2912" s="4">
        <v>2934</v>
      </c>
      <c r="B2912" s="5">
        <v>2905</v>
      </c>
      <c r="C2912">
        <v>986</v>
      </c>
      <c r="D2912" t="s">
        <v>6123</v>
      </c>
      <c r="E2912" t="s">
        <v>575</v>
      </c>
      <c r="F2912" t="s">
        <v>20</v>
      </c>
      <c r="G2912" t="s">
        <v>6124</v>
      </c>
      <c r="H2912" t="str">
        <f>"201412002875"</f>
        <v>201412002875</v>
      </c>
      <c r="I2912">
        <v>28.8</v>
      </c>
      <c r="J2912">
        <v>0</v>
      </c>
      <c r="M2912">
        <v>4</v>
      </c>
      <c r="N2912">
        <v>4</v>
      </c>
      <c r="O2912">
        <v>0</v>
      </c>
      <c r="P2912">
        <v>0</v>
      </c>
      <c r="Q2912">
        <v>32.799999999999997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6</v>
      </c>
      <c r="AB2912">
        <v>0</v>
      </c>
      <c r="AD2912">
        <v>38.799999999999997</v>
      </c>
    </row>
    <row r="2913" spans="1:30" x14ac:dyDescent="0.3">
      <c r="A2913" s="4">
        <v>2935</v>
      </c>
      <c r="B2913" s="5">
        <v>2906</v>
      </c>
      <c r="C2913">
        <v>3759</v>
      </c>
      <c r="D2913" t="s">
        <v>6125</v>
      </c>
      <c r="E2913" t="s">
        <v>110</v>
      </c>
      <c r="F2913" t="s">
        <v>652</v>
      </c>
      <c r="G2913" t="s">
        <v>6126</v>
      </c>
      <c r="H2913" t="str">
        <f>"00375171"</f>
        <v>00375171</v>
      </c>
      <c r="I2913">
        <v>28.8</v>
      </c>
      <c r="J2913">
        <v>0</v>
      </c>
      <c r="N2913">
        <v>0</v>
      </c>
      <c r="O2913">
        <v>4</v>
      </c>
      <c r="P2913">
        <v>0</v>
      </c>
      <c r="Q2913">
        <v>32.799999999999997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6</v>
      </c>
      <c r="AB2913">
        <v>0</v>
      </c>
      <c r="AD2913">
        <v>38.799999999999997</v>
      </c>
    </row>
    <row r="2914" spans="1:30" x14ac:dyDescent="0.3">
      <c r="A2914" s="4">
        <v>2936</v>
      </c>
      <c r="B2914" s="5">
        <v>2907</v>
      </c>
      <c r="C2914">
        <v>1729</v>
      </c>
      <c r="D2914" t="s">
        <v>6127</v>
      </c>
      <c r="E2914" t="s">
        <v>88</v>
      </c>
      <c r="F2914" t="s">
        <v>2802</v>
      </c>
      <c r="G2914" t="s">
        <v>6128</v>
      </c>
      <c r="H2914" t="str">
        <f>"00083821"</f>
        <v>00083821</v>
      </c>
      <c r="I2914">
        <v>28.8</v>
      </c>
      <c r="J2914">
        <v>0</v>
      </c>
      <c r="N2914">
        <v>0</v>
      </c>
      <c r="O2914">
        <v>4</v>
      </c>
      <c r="P2914">
        <v>0</v>
      </c>
      <c r="Q2914">
        <v>32.799999999999997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6</v>
      </c>
      <c r="AB2914">
        <v>0</v>
      </c>
      <c r="AD2914">
        <v>38.799999999999997</v>
      </c>
    </row>
    <row r="2915" spans="1:30" x14ac:dyDescent="0.3">
      <c r="A2915" s="4">
        <v>2937</v>
      </c>
      <c r="B2915" s="5">
        <v>2908</v>
      </c>
      <c r="C2915">
        <v>1765</v>
      </c>
      <c r="D2915" t="s">
        <v>6129</v>
      </c>
      <c r="E2915" t="s">
        <v>2435</v>
      </c>
      <c r="F2915" t="s">
        <v>17</v>
      </c>
      <c r="G2915" t="s">
        <v>6130</v>
      </c>
      <c r="H2915" t="str">
        <f>"00525621"</f>
        <v>00525621</v>
      </c>
      <c r="I2915">
        <v>28.8</v>
      </c>
      <c r="J2915">
        <v>0</v>
      </c>
      <c r="N2915">
        <v>0</v>
      </c>
      <c r="O2915">
        <v>4</v>
      </c>
      <c r="P2915">
        <v>0</v>
      </c>
      <c r="Q2915">
        <v>32.799999999999997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6</v>
      </c>
      <c r="AB2915">
        <v>0</v>
      </c>
      <c r="AD2915">
        <v>38.799999999999997</v>
      </c>
    </row>
    <row r="2916" spans="1:30" x14ac:dyDescent="0.3">
      <c r="A2916" s="4">
        <v>2938</v>
      </c>
      <c r="B2916" s="5">
        <v>2909</v>
      </c>
      <c r="C2916">
        <v>606</v>
      </c>
      <c r="D2916" t="s">
        <v>6131</v>
      </c>
      <c r="E2916" t="s">
        <v>22</v>
      </c>
      <c r="F2916" t="s">
        <v>117</v>
      </c>
      <c r="G2916" t="s">
        <v>6132</v>
      </c>
      <c r="H2916" t="str">
        <f>"00353536"</f>
        <v>00353536</v>
      </c>
      <c r="I2916">
        <v>28.8</v>
      </c>
      <c r="J2916">
        <v>0</v>
      </c>
      <c r="N2916">
        <v>0</v>
      </c>
      <c r="O2916">
        <v>4</v>
      </c>
      <c r="P2916">
        <v>0</v>
      </c>
      <c r="Q2916">
        <v>32.799999999999997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6</v>
      </c>
      <c r="AB2916">
        <v>0</v>
      </c>
      <c r="AD2916">
        <v>38.799999999999997</v>
      </c>
    </row>
    <row r="2917" spans="1:30" x14ac:dyDescent="0.3">
      <c r="A2917" s="4">
        <v>2939</v>
      </c>
      <c r="B2917" s="5">
        <v>2910</v>
      </c>
      <c r="C2917">
        <v>2978</v>
      </c>
      <c r="D2917" t="s">
        <v>6133</v>
      </c>
      <c r="E2917" t="s">
        <v>22</v>
      </c>
      <c r="F2917" t="s">
        <v>30</v>
      </c>
      <c r="G2917" t="s">
        <v>6134</v>
      </c>
      <c r="H2917" t="str">
        <f>"00030380"</f>
        <v>00030380</v>
      </c>
      <c r="I2917">
        <v>28.8</v>
      </c>
      <c r="J2917">
        <v>0</v>
      </c>
      <c r="N2917">
        <v>0</v>
      </c>
      <c r="O2917">
        <v>4</v>
      </c>
      <c r="P2917">
        <v>0</v>
      </c>
      <c r="Q2917">
        <v>32.799999999999997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6</v>
      </c>
      <c r="AB2917">
        <v>0</v>
      </c>
      <c r="AD2917">
        <v>38.799999999999997</v>
      </c>
    </row>
    <row r="2918" spans="1:30" x14ac:dyDescent="0.3">
      <c r="A2918" s="4">
        <v>2940</v>
      </c>
      <c r="B2918" s="5">
        <v>2911</v>
      </c>
      <c r="C2918">
        <v>3422</v>
      </c>
      <c r="D2918" t="s">
        <v>6135</v>
      </c>
      <c r="E2918" t="s">
        <v>166</v>
      </c>
      <c r="F2918" t="s">
        <v>68</v>
      </c>
      <c r="G2918" t="s">
        <v>6136</v>
      </c>
      <c r="H2918" t="str">
        <f>"00860599"</f>
        <v>00860599</v>
      </c>
      <c r="I2918">
        <v>28.8</v>
      </c>
      <c r="J2918">
        <v>0</v>
      </c>
      <c r="N2918">
        <v>0</v>
      </c>
      <c r="O2918">
        <v>4</v>
      </c>
      <c r="P2918">
        <v>0</v>
      </c>
      <c r="Q2918">
        <v>32.799999999999997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6</v>
      </c>
      <c r="AB2918">
        <v>0</v>
      </c>
      <c r="AD2918">
        <v>38.799999999999997</v>
      </c>
    </row>
    <row r="2919" spans="1:30" x14ac:dyDescent="0.3">
      <c r="A2919" s="4">
        <v>2941</v>
      </c>
      <c r="B2919" s="5">
        <v>2912</v>
      </c>
      <c r="C2919">
        <v>3400</v>
      </c>
      <c r="D2919" t="s">
        <v>6137</v>
      </c>
      <c r="E2919" t="s">
        <v>161</v>
      </c>
      <c r="F2919" t="s">
        <v>30</v>
      </c>
      <c r="G2919" t="s">
        <v>6138</v>
      </c>
      <c r="H2919" t="str">
        <f>"00828441"</f>
        <v>00828441</v>
      </c>
      <c r="I2919">
        <v>32.799999999999997</v>
      </c>
      <c r="J2919">
        <v>0</v>
      </c>
      <c r="M2919">
        <v>4</v>
      </c>
      <c r="N2919">
        <v>4</v>
      </c>
      <c r="O2919">
        <v>0</v>
      </c>
      <c r="P2919">
        <v>2</v>
      </c>
      <c r="Q2919">
        <v>38.799999999999997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D2919">
        <v>38.799999999999997</v>
      </c>
    </row>
    <row r="2920" spans="1:30" x14ac:dyDescent="0.3">
      <c r="A2920" s="4">
        <v>2942</v>
      </c>
      <c r="B2920" s="5">
        <v>2913</v>
      </c>
      <c r="C2920">
        <v>1982</v>
      </c>
      <c r="D2920" t="s">
        <v>3404</v>
      </c>
      <c r="E2920" t="s">
        <v>471</v>
      </c>
      <c r="F2920" t="s">
        <v>343</v>
      </c>
      <c r="G2920" t="s">
        <v>6139</v>
      </c>
      <c r="H2920" t="str">
        <f>"00614843"</f>
        <v>00614843</v>
      </c>
      <c r="I2920">
        <v>28.8</v>
      </c>
      <c r="J2920">
        <v>0</v>
      </c>
      <c r="M2920">
        <v>4</v>
      </c>
      <c r="N2920">
        <v>4</v>
      </c>
      <c r="O2920">
        <v>4</v>
      </c>
      <c r="P2920">
        <v>2</v>
      </c>
      <c r="Q2920">
        <v>38.799999999999997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D2920">
        <v>38.799999999999997</v>
      </c>
    </row>
    <row r="2921" spans="1:30" x14ac:dyDescent="0.3">
      <c r="A2921" s="4">
        <v>2943</v>
      </c>
      <c r="B2921" s="5">
        <v>2914</v>
      </c>
      <c r="C2921">
        <v>3803</v>
      </c>
      <c r="D2921" t="s">
        <v>6140</v>
      </c>
      <c r="E2921" t="s">
        <v>17</v>
      </c>
      <c r="F2921" t="s">
        <v>38</v>
      </c>
      <c r="G2921" t="s">
        <v>6141</v>
      </c>
      <c r="H2921" t="str">
        <f>"201603000033"</f>
        <v>201603000033</v>
      </c>
      <c r="I2921">
        <v>28.8</v>
      </c>
      <c r="J2921">
        <v>0</v>
      </c>
      <c r="L2921">
        <v>6</v>
      </c>
      <c r="N2921">
        <v>6</v>
      </c>
      <c r="O2921">
        <v>4</v>
      </c>
      <c r="P2921">
        <v>0</v>
      </c>
      <c r="Q2921">
        <v>38.799999999999997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D2921">
        <v>38.799999999999997</v>
      </c>
    </row>
    <row r="2922" spans="1:30" x14ac:dyDescent="0.3">
      <c r="A2922" s="4">
        <v>2944</v>
      </c>
      <c r="B2922" s="5">
        <v>2915</v>
      </c>
      <c r="C2922">
        <v>3283</v>
      </c>
      <c r="D2922" t="s">
        <v>28</v>
      </c>
      <c r="E2922" t="s">
        <v>54</v>
      </c>
      <c r="F2922" t="s">
        <v>68</v>
      </c>
      <c r="G2922" t="s">
        <v>6142</v>
      </c>
      <c r="H2922" t="str">
        <f>"00734256"</f>
        <v>00734256</v>
      </c>
      <c r="I2922">
        <v>28.8</v>
      </c>
      <c r="J2922">
        <v>0</v>
      </c>
      <c r="M2922">
        <v>4</v>
      </c>
      <c r="N2922">
        <v>4</v>
      </c>
      <c r="O2922">
        <v>4</v>
      </c>
      <c r="P2922">
        <v>2</v>
      </c>
      <c r="Q2922">
        <v>38.799999999999997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D2922">
        <v>38.799999999999997</v>
      </c>
    </row>
    <row r="2923" spans="1:30" x14ac:dyDescent="0.3">
      <c r="A2923" s="4">
        <v>2945</v>
      </c>
      <c r="B2923" s="5">
        <v>2916</v>
      </c>
      <c r="C2923">
        <v>1989</v>
      </c>
      <c r="D2923" t="s">
        <v>6143</v>
      </c>
      <c r="E2923" t="s">
        <v>6144</v>
      </c>
      <c r="F2923" t="s">
        <v>17</v>
      </c>
      <c r="G2923" t="s">
        <v>6145</v>
      </c>
      <c r="H2923" t="str">
        <f>"00532513"</f>
        <v>00532513</v>
      </c>
      <c r="I2923">
        <v>28.8</v>
      </c>
      <c r="J2923">
        <v>0</v>
      </c>
      <c r="M2923">
        <v>4</v>
      </c>
      <c r="N2923">
        <v>4</v>
      </c>
      <c r="O2923">
        <v>4</v>
      </c>
      <c r="P2923">
        <v>2</v>
      </c>
      <c r="Q2923">
        <v>38.799999999999997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D2923">
        <v>38.799999999999997</v>
      </c>
    </row>
    <row r="2924" spans="1:30" x14ac:dyDescent="0.3">
      <c r="A2924" s="4">
        <v>2946</v>
      </c>
      <c r="B2924" s="5">
        <v>2917</v>
      </c>
      <c r="C2924">
        <v>2778</v>
      </c>
      <c r="D2924" t="s">
        <v>3691</v>
      </c>
      <c r="E2924" t="s">
        <v>166</v>
      </c>
      <c r="F2924" t="s">
        <v>38</v>
      </c>
      <c r="G2924" t="s">
        <v>6146</v>
      </c>
      <c r="H2924" t="str">
        <f>"00214231"</f>
        <v>00214231</v>
      </c>
      <c r="I2924">
        <v>28.8</v>
      </c>
      <c r="J2924">
        <v>0</v>
      </c>
      <c r="M2924">
        <v>4</v>
      </c>
      <c r="N2924">
        <v>4</v>
      </c>
      <c r="O2924">
        <v>4</v>
      </c>
      <c r="P2924">
        <v>2</v>
      </c>
      <c r="Q2924">
        <v>38.799999999999997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D2924">
        <v>38.799999999999997</v>
      </c>
    </row>
    <row r="2925" spans="1:30" x14ac:dyDescent="0.3">
      <c r="A2925" s="4">
        <v>2947</v>
      </c>
      <c r="B2925" s="5">
        <v>2918</v>
      </c>
      <c r="C2925">
        <v>3193</v>
      </c>
      <c r="D2925" t="s">
        <v>1457</v>
      </c>
      <c r="E2925" t="s">
        <v>29</v>
      </c>
      <c r="F2925" t="s">
        <v>30</v>
      </c>
      <c r="G2925" t="s">
        <v>6147</v>
      </c>
      <c r="H2925" t="str">
        <f>"00863865"</f>
        <v>00863865</v>
      </c>
      <c r="I2925">
        <v>28.8</v>
      </c>
      <c r="J2925">
        <v>0</v>
      </c>
      <c r="K2925">
        <v>8</v>
      </c>
      <c r="N2925">
        <v>8</v>
      </c>
      <c r="O2925">
        <v>0</v>
      </c>
      <c r="P2925">
        <v>2</v>
      </c>
      <c r="Q2925">
        <v>38.799999999999997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D2925">
        <v>38.799999999999997</v>
      </c>
    </row>
    <row r="2926" spans="1:30" x14ac:dyDescent="0.3">
      <c r="A2926" s="4">
        <v>2948</v>
      </c>
      <c r="B2926" s="5">
        <v>2919</v>
      </c>
      <c r="C2926">
        <v>2596</v>
      </c>
      <c r="D2926" t="s">
        <v>3662</v>
      </c>
      <c r="E2926" t="s">
        <v>6148</v>
      </c>
      <c r="F2926" t="s">
        <v>4546</v>
      </c>
      <c r="G2926" t="s">
        <v>6149</v>
      </c>
      <c r="H2926" t="str">
        <f>"00532853"</f>
        <v>00532853</v>
      </c>
      <c r="I2926">
        <v>28.8</v>
      </c>
      <c r="J2926">
        <v>0</v>
      </c>
      <c r="M2926">
        <v>4</v>
      </c>
      <c r="N2926">
        <v>4</v>
      </c>
      <c r="O2926">
        <v>4</v>
      </c>
      <c r="P2926">
        <v>2</v>
      </c>
      <c r="Q2926">
        <v>38.799999999999997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D2926">
        <v>38.799999999999997</v>
      </c>
    </row>
    <row r="2927" spans="1:30" x14ac:dyDescent="0.3">
      <c r="A2927" s="4">
        <v>2949</v>
      </c>
      <c r="B2927" s="5">
        <v>2920</v>
      </c>
      <c r="C2927">
        <v>2108</v>
      </c>
      <c r="D2927" t="s">
        <v>1299</v>
      </c>
      <c r="E2927" t="s">
        <v>283</v>
      </c>
      <c r="F2927" t="s">
        <v>68</v>
      </c>
      <c r="G2927" t="s">
        <v>6150</v>
      </c>
      <c r="H2927" t="str">
        <f>"201210000118"</f>
        <v>201210000118</v>
      </c>
      <c r="I2927">
        <v>28.8</v>
      </c>
      <c r="J2927">
        <v>0</v>
      </c>
      <c r="M2927">
        <v>4</v>
      </c>
      <c r="N2927">
        <v>4</v>
      </c>
      <c r="O2927">
        <v>4</v>
      </c>
      <c r="P2927">
        <v>2</v>
      </c>
      <c r="Q2927">
        <v>38.799999999999997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D2927">
        <v>38.799999999999997</v>
      </c>
    </row>
    <row r="2928" spans="1:30" x14ac:dyDescent="0.3">
      <c r="A2928" s="4">
        <v>2950</v>
      </c>
      <c r="B2928" s="5">
        <v>2921</v>
      </c>
      <c r="C2928">
        <v>2991</v>
      </c>
      <c r="D2928" t="s">
        <v>6151</v>
      </c>
      <c r="E2928" t="s">
        <v>33</v>
      </c>
      <c r="F2928" t="s">
        <v>62</v>
      </c>
      <c r="G2928" t="s">
        <v>6152</v>
      </c>
      <c r="H2928" t="str">
        <f>"00809908"</f>
        <v>00809908</v>
      </c>
      <c r="I2928">
        <v>28.8</v>
      </c>
      <c r="J2928">
        <v>0</v>
      </c>
      <c r="K2928">
        <v>8</v>
      </c>
      <c r="N2928">
        <v>8</v>
      </c>
      <c r="O2928">
        <v>0</v>
      </c>
      <c r="P2928">
        <v>2</v>
      </c>
      <c r="Q2928">
        <v>38.799999999999997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D2928">
        <v>38.799999999999997</v>
      </c>
    </row>
    <row r="2929" spans="1:30" x14ac:dyDescent="0.3">
      <c r="A2929" s="4">
        <v>2951</v>
      </c>
      <c r="B2929" s="5">
        <v>2922</v>
      </c>
      <c r="C2929">
        <v>4336</v>
      </c>
      <c r="D2929" t="s">
        <v>6153</v>
      </c>
      <c r="E2929" t="s">
        <v>208</v>
      </c>
      <c r="F2929" t="s">
        <v>81</v>
      </c>
      <c r="G2929" t="s">
        <v>6154</v>
      </c>
      <c r="H2929" t="str">
        <f>"00592142"</f>
        <v>00592142</v>
      </c>
      <c r="I2929">
        <v>28.8</v>
      </c>
      <c r="J2929">
        <v>0</v>
      </c>
      <c r="M2929">
        <v>4</v>
      </c>
      <c r="N2929">
        <v>4</v>
      </c>
      <c r="O2929">
        <v>4</v>
      </c>
      <c r="P2929">
        <v>2</v>
      </c>
      <c r="Q2929">
        <v>38.799999999999997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D2929">
        <v>38.799999999999997</v>
      </c>
    </row>
    <row r="2930" spans="1:30" x14ac:dyDescent="0.3">
      <c r="A2930" s="4">
        <v>2952</v>
      </c>
      <c r="B2930" s="5">
        <v>2923</v>
      </c>
      <c r="C2930">
        <v>1316</v>
      </c>
      <c r="D2930" t="s">
        <v>1693</v>
      </c>
      <c r="E2930" t="s">
        <v>147</v>
      </c>
      <c r="F2930" t="s">
        <v>3854</v>
      </c>
      <c r="G2930" t="s">
        <v>6155</v>
      </c>
      <c r="H2930" t="str">
        <f>"00855931"</f>
        <v>00855931</v>
      </c>
      <c r="I2930">
        <v>28.8</v>
      </c>
      <c r="J2930">
        <v>0</v>
      </c>
      <c r="M2930">
        <v>4</v>
      </c>
      <c r="N2930">
        <v>4</v>
      </c>
      <c r="O2930">
        <v>4</v>
      </c>
      <c r="P2930">
        <v>2</v>
      </c>
      <c r="Q2930">
        <v>38.799999999999997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D2930">
        <v>38.799999999999997</v>
      </c>
    </row>
    <row r="2931" spans="1:30" x14ac:dyDescent="0.3">
      <c r="A2931" s="4">
        <v>2953</v>
      </c>
      <c r="B2931" s="5">
        <v>2924</v>
      </c>
      <c r="C2931">
        <v>4113</v>
      </c>
      <c r="D2931" t="s">
        <v>6156</v>
      </c>
      <c r="E2931" t="s">
        <v>37</v>
      </c>
      <c r="F2931" t="s">
        <v>17</v>
      </c>
      <c r="G2931" t="s">
        <v>6157</v>
      </c>
      <c r="H2931" t="str">
        <f>"00855485"</f>
        <v>00855485</v>
      </c>
      <c r="I2931">
        <v>28.8</v>
      </c>
      <c r="J2931">
        <v>0</v>
      </c>
      <c r="M2931">
        <v>4</v>
      </c>
      <c r="N2931">
        <v>4</v>
      </c>
      <c r="O2931">
        <v>4</v>
      </c>
      <c r="P2931">
        <v>2</v>
      </c>
      <c r="Q2931">
        <v>38.799999999999997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D2931">
        <v>38.799999999999997</v>
      </c>
    </row>
    <row r="2932" spans="1:30" x14ac:dyDescent="0.3">
      <c r="A2932" s="4">
        <v>2954</v>
      </c>
      <c r="B2932" s="5">
        <v>2925</v>
      </c>
      <c r="C2932">
        <v>1438</v>
      </c>
      <c r="D2932" t="s">
        <v>6158</v>
      </c>
      <c r="E2932" t="s">
        <v>342</v>
      </c>
      <c r="F2932" t="s">
        <v>167</v>
      </c>
      <c r="G2932" t="s">
        <v>6159</v>
      </c>
      <c r="H2932" t="str">
        <f>"00248062"</f>
        <v>00248062</v>
      </c>
      <c r="I2932">
        <v>22.76</v>
      </c>
      <c r="J2932">
        <v>10</v>
      </c>
      <c r="N2932">
        <v>0</v>
      </c>
      <c r="O2932">
        <v>0</v>
      </c>
      <c r="P2932">
        <v>0</v>
      </c>
      <c r="Q2932">
        <v>32.76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6</v>
      </c>
      <c r="AB2932">
        <v>0</v>
      </c>
      <c r="AD2932">
        <v>38.76</v>
      </c>
    </row>
    <row r="2933" spans="1:30" x14ac:dyDescent="0.3">
      <c r="A2933" s="4">
        <v>2955</v>
      </c>
      <c r="B2933" s="5">
        <v>2926</v>
      </c>
      <c r="C2933">
        <v>3577</v>
      </c>
      <c r="D2933" t="s">
        <v>3970</v>
      </c>
      <c r="E2933" t="s">
        <v>188</v>
      </c>
      <c r="F2933" t="s">
        <v>1450</v>
      </c>
      <c r="G2933" t="s">
        <v>6160</v>
      </c>
      <c r="H2933" t="str">
        <f>"201409003544"</f>
        <v>201409003544</v>
      </c>
      <c r="I2933">
        <v>25.76</v>
      </c>
      <c r="J2933">
        <v>10</v>
      </c>
      <c r="N2933">
        <v>0</v>
      </c>
      <c r="O2933">
        <v>0</v>
      </c>
      <c r="P2933">
        <v>0</v>
      </c>
      <c r="Q2933">
        <v>35.76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3</v>
      </c>
      <c r="AB2933">
        <v>0</v>
      </c>
      <c r="AD2933">
        <v>38.76</v>
      </c>
    </row>
    <row r="2934" spans="1:30" x14ac:dyDescent="0.3">
      <c r="A2934" s="4">
        <v>2956</v>
      </c>
      <c r="B2934" s="5">
        <v>2927</v>
      </c>
      <c r="C2934">
        <v>2146</v>
      </c>
      <c r="D2934" t="s">
        <v>6161</v>
      </c>
      <c r="E2934" t="s">
        <v>283</v>
      </c>
      <c r="F2934" t="s">
        <v>30</v>
      </c>
      <c r="G2934" t="s">
        <v>6162</v>
      </c>
      <c r="H2934" t="str">
        <f>"00830489"</f>
        <v>00830489</v>
      </c>
      <c r="I2934">
        <v>24.72</v>
      </c>
      <c r="J2934">
        <v>10</v>
      </c>
      <c r="N2934">
        <v>0</v>
      </c>
      <c r="O2934">
        <v>4</v>
      </c>
      <c r="P2934">
        <v>0</v>
      </c>
      <c r="Q2934">
        <v>38.72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D2934">
        <v>38.72</v>
      </c>
    </row>
    <row r="2935" spans="1:30" x14ac:dyDescent="0.3">
      <c r="A2935" s="4">
        <v>2957</v>
      </c>
      <c r="B2935" s="5">
        <v>2928</v>
      </c>
      <c r="C2935">
        <v>1915</v>
      </c>
      <c r="D2935" t="s">
        <v>6163</v>
      </c>
      <c r="E2935" t="s">
        <v>170</v>
      </c>
      <c r="F2935" t="s">
        <v>6164</v>
      </c>
      <c r="G2935" t="s">
        <v>6165</v>
      </c>
      <c r="H2935" t="str">
        <f>"00653966"</f>
        <v>00653966</v>
      </c>
      <c r="I2935">
        <v>38.68</v>
      </c>
      <c r="J2935">
        <v>0</v>
      </c>
      <c r="N2935">
        <v>0</v>
      </c>
      <c r="O2935">
        <v>0</v>
      </c>
      <c r="P2935">
        <v>0</v>
      </c>
      <c r="Q2935">
        <v>38.68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D2935">
        <v>38.68</v>
      </c>
    </row>
    <row r="2936" spans="1:30" x14ac:dyDescent="0.3">
      <c r="A2936" s="4">
        <v>2958</v>
      </c>
      <c r="B2936" s="5">
        <v>2929</v>
      </c>
      <c r="C2936">
        <v>3188</v>
      </c>
      <c r="D2936" t="s">
        <v>2622</v>
      </c>
      <c r="E2936" t="s">
        <v>22</v>
      </c>
      <c r="F2936" t="s">
        <v>136</v>
      </c>
      <c r="G2936" t="s">
        <v>6166</v>
      </c>
      <c r="H2936" t="str">
        <f>"00864088"</f>
        <v>00864088</v>
      </c>
      <c r="I2936">
        <v>29.6</v>
      </c>
      <c r="J2936">
        <v>0</v>
      </c>
      <c r="N2936">
        <v>0</v>
      </c>
      <c r="O2936">
        <v>0</v>
      </c>
      <c r="P2936">
        <v>0</v>
      </c>
      <c r="Q2936">
        <v>29.6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9</v>
      </c>
      <c r="AB2936">
        <v>0</v>
      </c>
      <c r="AD2936">
        <v>38.6</v>
      </c>
    </row>
    <row r="2937" spans="1:30" x14ac:dyDescent="0.3">
      <c r="A2937" s="4">
        <v>2959</v>
      </c>
      <c r="B2937" s="5">
        <v>2930</v>
      </c>
      <c r="C2937">
        <v>1502</v>
      </c>
      <c r="D2937" t="s">
        <v>6167</v>
      </c>
      <c r="E2937" t="s">
        <v>54</v>
      </c>
      <c r="F2937" t="s">
        <v>17</v>
      </c>
      <c r="G2937" t="s">
        <v>6168</v>
      </c>
      <c r="H2937" t="str">
        <f>"00483208"</f>
        <v>00483208</v>
      </c>
      <c r="I2937">
        <v>21.6</v>
      </c>
      <c r="J2937">
        <v>0</v>
      </c>
      <c r="M2937">
        <v>4</v>
      </c>
      <c r="N2937">
        <v>4</v>
      </c>
      <c r="O2937">
        <v>4</v>
      </c>
      <c r="P2937">
        <v>0</v>
      </c>
      <c r="Q2937">
        <v>29.6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9</v>
      </c>
      <c r="AB2937">
        <v>0</v>
      </c>
      <c r="AD2937">
        <v>38.6</v>
      </c>
    </row>
    <row r="2938" spans="1:30" x14ac:dyDescent="0.3">
      <c r="A2938" s="4">
        <v>2960</v>
      </c>
      <c r="B2938" s="5">
        <v>2931</v>
      </c>
      <c r="C2938">
        <v>1680</v>
      </c>
      <c r="D2938" t="s">
        <v>6169</v>
      </c>
      <c r="E2938" t="s">
        <v>697</v>
      </c>
      <c r="F2938" t="s">
        <v>62</v>
      </c>
      <c r="G2938" t="s">
        <v>6170</v>
      </c>
      <c r="H2938" t="str">
        <f>"00449682"</f>
        <v>00449682</v>
      </c>
      <c r="I2938">
        <v>31.6</v>
      </c>
      <c r="J2938">
        <v>0</v>
      </c>
      <c r="N2938">
        <v>0</v>
      </c>
      <c r="O2938">
        <v>4</v>
      </c>
      <c r="P2938">
        <v>0</v>
      </c>
      <c r="Q2938">
        <v>35.6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3</v>
      </c>
      <c r="AB2938">
        <v>0</v>
      </c>
      <c r="AD2938">
        <v>38.6</v>
      </c>
    </row>
    <row r="2939" spans="1:30" x14ac:dyDescent="0.3">
      <c r="A2939" s="4">
        <v>2961</v>
      </c>
      <c r="B2939" s="5">
        <v>2932</v>
      </c>
      <c r="C2939">
        <v>3750</v>
      </c>
      <c r="D2939" t="s">
        <v>6171</v>
      </c>
      <c r="E2939" t="s">
        <v>516</v>
      </c>
      <c r="F2939" t="s">
        <v>6172</v>
      </c>
      <c r="G2939" t="s">
        <v>6173</v>
      </c>
      <c r="H2939" t="str">
        <f>"00861907"</f>
        <v>00861907</v>
      </c>
      <c r="I2939">
        <v>21.6</v>
      </c>
      <c r="J2939">
        <v>10</v>
      </c>
      <c r="N2939">
        <v>0</v>
      </c>
      <c r="O2939">
        <v>4</v>
      </c>
      <c r="P2939">
        <v>0</v>
      </c>
      <c r="Q2939">
        <v>35.6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3</v>
      </c>
      <c r="AB2939">
        <v>0</v>
      </c>
      <c r="AD2939">
        <v>38.6</v>
      </c>
    </row>
    <row r="2940" spans="1:30" x14ac:dyDescent="0.3">
      <c r="A2940" s="4">
        <v>2962</v>
      </c>
      <c r="B2940" s="5">
        <v>2933</v>
      </c>
      <c r="C2940">
        <v>2886</v>
      </c>
      <c r="D2940" t="s">
        <v>6174</v>
      </c>
      <c r="E2940" t="s">
        <v>6175</v>
      </c>
      <c r="F2940" t="s">
        <v>81</v>
      </c>
      <c r="G2940" t="s">
        <v>6176</v>
      </c>
      <c r="H2940" t="str">
        <f>"00859529"</f>
        <v>00859529</v>
      </c>
      <c r="I2940">
        <v>21.6</v>
      </c>
      <c r="J2940">
        <v>10</v>
      </c>
      <c r="N2940">
        <v>0</v>
      </c>
      <c r="O2940">
        <v>4</v>
      </c>
      <c r="P2940">
        <v>0</v>
      </c>
      <c r="Q2940">
        <v>35.6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3</v>
      </c>
      <c r="AB2940">
        <v>0</v>
      </c>
      <c r="AD2940">
        <v>38.6</v>
      </c>
    </row>
    <row r="2941" spans="1:30" x14ac:dyDescent="0.3">
      <c r="A2941" s="4">
        <v>2963</v>
      </c>
      <c r="B2941" s="5">
        <v>2934</v>
      </c>
      <c r="C2941">
        <v>2326</v>
      </c>
      <c r="D2941" t="s">
        <v>6177</v>
      </c>
      <c r="E2941" t="s">
        <v>563</v>
      </c>
      <c r="F2941" t="s">
        <v>343</v>
      </c>
      <c r="G2941" t="s">
        <v>6178</v>
      </c>
      <c r="H2941" t="str">
        <f>"00529547"</f>
        <v>00529547</v>
      </c>
      <c r="I2941">
        <v>21.6</v>
      </c>
      <c r="J2941">
        <v>0</v>
      </c>
      <c r="N2941">
        <v>0</v>
      </c>
      <c r="O2941">
        <v>4</v>
      </c>
      <c r="P2941">
        <v>2</v>
      </c>
      <c r="Q2941">
        <v>27.6</v>
      </c>
      <c r="R2941">
        <v>0</v>
      </c>
      <c r="S2941">
        <v>0</v>
      </c>
      <c r="T2941">
        <v>4</v>
      </c>
      <c r="U2941">
        <v>8</v>
      </c>
      <c r="V2941">
        <v>0</v>
      </c>
      <c r="W2941">
        <v>0</v>
      </c>
      <c r="X2941">
        <v>0</v>
      </c>
      <c r="Y2941">
        <v>0</v>
      </c>
      <c r="Z2941">
        <v>8</v>
      </c>
      <c r="AA2941">
        <v>3</v>
      </c>
      <c r="AB2941">
        <v>0</v>
      </c>
      <c r="AD2941">
        <v>38.6</v>
      </c>
    </row>
    <row r="2942" spans="1:30" x14ac:dyDescent="0.3">
      <c r="A2942" s="4">
        <v>2964</v>
      </c>
      <c r="B2942" s="5">
        <v>2935</v>
      </c>
      <c r="C2942">
        <v>3913</v>
      </c>
      <c r="D2942" t="s">
        <v>6179</v>
      </c>
      <c r="E2942" t="s">
        <v>2538</v>
      </c>
      <c r="F2942" t="s">
        <v>243</v>
      </c>
      <c r="G2942" t="s">
        <v>6180</v>
      </c>
      <c r="H2942" t="str">
        <f>"00511674"</f>
        <v>00511674</v>
      </c>
      <c r="I2942">
        <v>21.6</v>
      </c>
      <c r="J2942">
        <v>0</v>
      </c>
      <c r="N2942">
        <v>0</v>
      </c>
      <c r="O2942">
        <v>4</v>
      </c>
      <c r="P2942">
        <v>0</v>
      </c>
      <c r="Q2942">
        <v>25.6</v>
      </c>
      <c r="R2942">
        <v>13</v>
      </c>
      <c r="S2942">
        <v>13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13</v>
      </c>
      <c r="AA2942">
        <v>0</v>
      </c>
      <c r="AB2942">
        <v>0</v>
      </c>
      <c r="AD2942">
        <v>38.6</v>
      </c>
    </row>
    <row r="2943" spans="1:30" x14ac:dyDescent="0.3">
      <c r="A2943" s="4">
        <v>2965</v>
      </c>
      <c r="B2943" s="5">
        <v>2936</v>
      </c>
      <c r="C2943">
        <v>4647</v>
      </c>
      <c r="D2943" t="s">
        <v>6181</v>
      </c>
      <c r="E2943" t="s">
        <v>26</v>
      </c>
      <c r="F2943" t="s">
        <v>587</v>
      </c>
      <c r="G2943" t="s">
        <v>6182</v>
      </c>
      <c r="H2943" t="str">
        <f>"00037815"</f>
        <v>00037815</v>
      </c>
      <c r="I2943">
        <v>25.52</v>
      </c>
      <c r="J2943">
        <v>0</v>
      </c>
      <c r="N2943">
        <v>0</v>
      </c>
      <c r="O2943">
        <v>4</v>
      </c>
      <c r="P2943">
        <v>0</v>
      </c>
      <c r="Q2943">
        <v>29.52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9</v>
      </c>
      <c r="AB2943">
        <v>0</v>
      </c>
      <c r="AD2943">
        <v>38.520000000000003</v>
      </c>
    </row>
    <row r="2944" spans="1:30" x14ac:dyDescent="0.3">
      <c r="A2944" s="4">
        <v>2966</v>
      </c>
      <c r="B2944" s="5">
        <v>2937</v>
      </c>
      <c r="C2944">
        <v>2643</v>
      </c>
      <c r="D2944" t="s">
        <v>4872</v>
      </c>
      <c r="E2944" t="s">
        <v>88</v>
      </c>
      <c r="F2944" t="s">
        <v>30</v>
      </c>
      <c r="G2944" t="s">
        <v>6183</v>
      </c>
      <c r="H2944" t="str">
        <f>"00561122"</f>
        <v>00561122</v>
      </c>
      <c r="I2944">
        <v>25.44</v>
      </c>
      <c r="J2944">
        <v>0</v>
      </c>
      <c r="N2944">
        <v>0</v>
      </c>
      <c r="O2944">
        <v>4</v>
      </c>
      <c r="P2944">
        <v>0</v>
      </c>
      <c r="Q2944">
        <v>29.44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9</v>
      </c>
      <c r="AB2944">
        <v>0</v>
      </c>
      <c r="AD2944">
        <v>38.44</v>
      </c>
    </row>
    <row r="2945" spans="1:30" x14ac:dyDescent="0.3">
      <c r="A2945" s="4">
        <v>2967</v>
      </c>
      <c r="B2945" s="5">
        <v>2938</v>
      </c>
      <c r="C2945">
        <v>3394</v>
      </c>
      <c r="D2945" t="s">
        <v>5114</v>
      </c>
      <c r="E2945" t="s">
        <v>286</v>
      </c>
      <c r="F2945" t="s">
        <v>587</v>
      </c>
      <c r="G2945" t="s">
        <v>6184</v>
      </c>
      <c r="H2945" t="str">
        <f>"00530575"</f>
        <v>00530575</v>
      </c>
      <c r="I2945">
        <v>20.440000000000001</v>
      </c>
      <c r="J2945">
        <v>10</v>
      </c>
      <c r="M2945">
        <v>4</v>
      </c>
      <c r="N2945">
        <v>4</v>
      </c>
      <c r="O2945">
        <v>4</v>
      </c>
      <c r="P2945">
        <v>0</v>
      </c>
      <c r="Q2945">
        <v>38.44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D2945">
        <v>38.44</v>
      </c>
    </row>
    <row r="2946" spans="1:30" x14ac:dyDescent="0.3">
      <c r="A2946" s="4">
        <v>2968</v>
      </c>
      <c r="B2946" s="5">
        <v>2939</v>
      </c>
      <c r="C2946">
        <v>3216</v>
      </c>
      <c r="D2946" t="s">
        <v>6185</v>
      </c>
      <c r="E2946" t="s">
        <v>149</v>
      </c>
      <c r="F2946" t="s">
        <v>81</v>
      </c>
      <c r="G2946" t="s">
        <v>6186</v>
      </c>
      <c r="H2946" t="str">
        <f>"00862181"</f>
        <v>00862181</v>
      </c>
      <c r="I2946">
        <v>38.4</v>
      </c>
      <c r="J2946">
        <v>0</v>
      </c>
      <c r="N2946">
        <v>0</v>
      </c>
      <c r="O2946">
        <v>0</v>
      </c>
      <c r="P2946">
        <v>0</v>
      </c>
      <c r="Q2946">
        <v>38.4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D2946">
        <v>38.4</v>
      </c>
    </row>
    <row r="2947" spans="1:30" x14ac:dyDescent="0.3">
      <c r="A2947" s="4">
        <v>2969</v>
      </c>
      <c r="B2947" s="5">
        <v>2940</v>
      </c>
      <c r="C2947">
        <v>831</v>
      </c>
      <c r="D2947" t="s">
        <v>4903</v>
      </c>
      <c r="E2947" t="s">
        <v>110</v>
      </c>
      <c r="F2947" t="s">
        <v>62</v>
      </c>
      <c r="G2947" t="s">
        <v>6187</v>
      </c>
      <c r="H2947" t="str">
        <f>"00559169"</f>
        <v>00559169</v>
      </c>
      <c r="I2947">
        <v>38.4</v>
      </c>
      <c r="J2947">
        <v>0</v>
      </c>
      <c r="N2947">
        <v>0</v>
      </c>
      <c r="O2947">
        <v>0</v>
      </c>
      <c r="P2947">
        <v>0</v>
      </c>
      <c r="Q2947">
        <v>38.4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D2947">
        <v>38.4</v>
      </c>
    </row>
    <row r="2948" spans="1:30" x14ac:dyDescent="0.3">
      <c r="A2948" s="4">
        <v>2970</v>
      </c>
      <c r="B2948" s="5">
        <v>2941</v>
      </c>
      <c r="C2948">
        <v>973</v>
      </c>
      <c r="D2948" t="s">
        <v>6188</v>
      </c>
      <c r="E2948" t="s">
        <v>54</v>
      </c>
      <c r="F2948" t="s">
        <v>68</v>
      </c>
      <c r="G2948" t="s">
        <v>6189</v>
      </c>
      <c r="H2948" t="str">
        <f>"00859090"</f>
        <v>00859090</v>
      </c>
      <c r="I2948">
        <v>38.4</v>
      </c>
      <c r="J2948">
        <v>0</v>
      </c>
      <c r="N2948">
        <v>0</v>
      </c>
      <c r="O2948">
        <v>0</v>
      </c>
      <c r="P2948">
        <v>0</v>
      </c>
      <c r="Q2948">
        <v>38.4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D2948">
        <v>38.4</v>
      </c>
    </row>
    <row r="2949" spans="1:30" x14ac:dyDescent="0.3">
      <c r="A2949" s="4">
        <v>2971</v>
      </c>
      <c r="B2949" s="5">
        <v>2942</v>
      </c>
      <c r="C2949">
        <v>2676</v>
      </c>
      <c r="D2949" t="s">
        <v>6190</v>
      </c>
      <c r="E2949" t="s">
        <v>6191</v>
      </c>
      <c r="F2949" t="s">
        <v>6192</v>
      </c>
      <c r="G2949" t="s">
        <v>6193</v>
      </c>
      <c r="H2949" t="str">
        <f>"00855502"</f>
        <v>00855502</v>
      </c>
      <c r="I2949">
        <v>32.4</v>
      </c>
      <c r="J2949">
        <v>0</v>
      </c>
      <c r="L2949">
        <v>6</v>
      </c>
      <c r="N2949">
        <v>6</v>
      </c>
      <c r="O2949">
        <v>0</v>
      </c>
      <c r="P2949">
        <v>0</v>
      </c>
      <c r="Q2949">
        <v>38.4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D2949">
        <v>38.4</v>
      </c>
    </row>
    <row r="2950" spans="1:30" x14ac:dyDescent="0.3">
      <c r="A2950" s="4">
        <v>2972</v>
      </c>
      <c r="B2950" s="5">
        <v>2943</v>
      </c>
      <c r="C2950">
        <v>4066</v>
      </c>
      <c r="D2950" t="s">
        <v>389</v>
      </c>
      <c r="E2950" t="s">
        <v>161</v>
      </c>
      <c r="F2950" t="s">
        <v>381</v>
      </c>
      <c r="G2950" t="s">
        <v>6194</v>
      </c>
      <c r="H2950" t="str">
        <f>"00513626"</f>
        <v>00513626</v>
      </c>
      <c r="I2950">
        <v>28.4</v>
      </c>
      <c r="J2950">
        <v>10</v>
      </c>
      <c r="N2950">
        <v>0</v>
      </c>
      <c r="O2950">
        <v>0</v>
      </c>
      <c r="P2950">
        <v>0</v>
      </c>
      <c r="Q2950">
        <v>38.4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D2950">
        <v>38.4</v>
      </c>
    </row>
    <row r="2951" spans="1:30" x14ac:dyDescent="0.3">
      <c r="A2951" s="4">
        <v>2973</v>
      </c>
      <c r="B2951" s="5">
        <v>2944</v>
      </c>
      <c r="C2951">
        <v>1594</v>
      </c>
      <c r="D2951" t="s">
        <v>6195</v>
      </c>
      <c r="E2951" t="s">
        <v>41</v>
      </c>
      <c r="F2951" t="s">
        <v>34</v>
      </c>
      <c r="G2951" t="s">
        <v>6196</v>
      </c>
      <c r="H2951" t="str">
        <f>"00510371"</f>
        <v>00510371</v>
      </c>
      <c r="I2951">
        <v>14.4</v>
      </c>
      <c r="J2951">
        <v>0</v>
      </c>
      <c r="N2951">
        <v>0</v>
      </c>
      <c r="O2951">
        <v>4</v>
      </c>
      <c r="P2951">
        <v>0</v>
      </c>
      <c r="Q2951">
        <v>18.399999999999999</v>
      </c>
      <c r="R2951">
        <v>20</v>
      </c>
      <c r="S2951">
        <v>20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20</v>
      </c>
      <c r="AA2951">
        <v>0</v>
      </c>
      <c r="AB2951">
        <v>0</v>
      </c>
      <c r="AD2951">
        <v>38.4</v>
      </c>
    </row>
    <row r="2952" spans="1:30" x14ac:dyDescent="0.3">
      <c r="A2952" s="4">
        <v>2974</v>
      </c>
      <c r="B2952" s="5">
        <v>2945</v>
      </c>
      <c r="C2952">
        <v>4163</v>
      </c>
      <c r="D2952" t="s">
        <v>4328</v>
      </c>
      <c r="E2952" t="s">
        <v>837</v>
      </c>
      <c r="F2952" t="s">
        <v>117</v>
      </c>
      <c r="G2952" t="s">
        <v>6197</v>
      </c>
      <c r="H2952" t="str">
        <f>"00865281"</f>
        <v>00865281</v>
      </c>
      <c r="I2952">
        <v>27.28</v>
      </c>
      <c r="J2952">
        <v>0</v>
      </c>
      <c r="M2952">
        <v>4</v>
      </c>
      <c r="N2952">
        <v>4</v>
      </c>
      <c r="O2952">
        <v>4</v>
      </c>
      <c r="P2952">
        <v>0</v>
      </c>
      <c r="Q2952">
        <v>35.28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3</v>
      </c>
      <c r="AB2952">
        <v>0</v>
      </c>
      <c r="AD2952">
        <v>38.28</v>
      </c>
    </row>
    <row r="2953" spans="1:30" x14ac:dyDescent="0.3">
      <c r="A2953" s="4">
        <v>2975</v>
      </c>
      <c r="B2953" s="5">
        <v>2946</v>
      </c>
      <c r="C2953">
        <v>3032</v>
      </c>
      <c r="D2953" t="s">
        <v>3956</v>
      </c>
      <c r="E2953" t="s">
        <v>6198</v>
      </c>
      <c r="F2953" t="s">
        <v>20</v>
      </c>
      <c r="G2953" t="s">
        <v>6199</v>
      </c>
      <c r="H2953" t="str">
        <f>"201511015213"</f>
        <v>201511015213</v>
      </c>
      <c r="I2953">
        <v>25.2</v>
      </c>
      <c r="J2953">
        <v>0</v>
      </c>
      <c r="N2953">
        <v>0</v>
      </c>
      <c r="O2953">
        <v>4</v>
      </c>
      <c r="P2953">
        <v>0</v>
      </c>
      <c r="Q2953">
        <v>29.2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9</v>
      </c>
      <c r="AB2953">
        <v>0</v>
      </c>
      <c r="AD2953">
        <v>38.200000000000003</v>
      </c>
    </row>
    <row r="2954" spans="1:30" x14ac:dyDescent="0.3">
      <c r="A2954" s="4">
        <v>2976</v>
      </c>
      <c r="B2954" s="5">
        <v>2947</v>
      </c>
      <c r="C2954">
        <v>412</v>
      </c>
      <c r="D2954" t="s">
        <v>4968</v>
      </c>
      <c r="E2954" t="s">
        <v>789</v>
      </c>
      <c r="F2954" t="s">
        <v>38</v>
      </c>
      <c r="G2954" t="s">
        <v>6200</v>
      </c>
      <c r="H2954" t="str">
        <f>"201510002663"</f>
        <v>201510002663</v>
      </c>
      <c r="I2954">
        <v>18.2</v>
      </c>
      <c r="J2954">
        <v>10</v>
      </c>
      <c r="N2954">
        <v>0</v>
      </c>
      <c r="O2954">
        <v>4</v>
      </c>
      <c r="P2954">
        <v>0</v>
      </c>
      <c r="Q2954">
        <v>32.200000000000003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6</v>
      </c>
      <c r="AB2954">
        <v>0</v>
      </c>
      <c r="AD2954">
        <v>38.200000000000003</v>
      </c>
    </row>
    <row r="2955" spans="1:30" x14ac:dyDescent="0.3">
      <c r="A2955" s="4">
        <v>2977</v>
      </c>
      <c r="B2955" s="5">
        <v>2948</v>
      </c>
      <c r="C2955">
        <v>4503</v>
      </c>
      <c r="D2955" t="s">
        <v>5130</v>
      </c>
      <c r="E2955" t="s">
        <v>132</v>
      </c>
      <c r="F2955" t="s">
        <v>2582</v>
      </c>
      <c r="G2955" t="s">
        <v>6201</v>
      </c>
      <c r="H2955" t="str">
        <f>"00161796"</f>
        <v>00161796</v>
      </c>
      <c r="I2955">
        <v>7.2</v>
      </c>
      <c r="J2955">
        <v>0</v>
      </c>
      <c r="N2955">
        <v>0</v>
      </c>
      <c r="O2955">
        <v>4</v>
      </c>
      <c r="P2955">
        <v>0</v>
      </c>
      <c r="Q2955">
        <v>11.2</v>
      </c>
      <c r="R2955">
        <v>24</v>
      </c>
      <c r="S2955">
        <v>24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24</v>
      </c>
      <c r="AA2955">
        <v>3</v>
      </c>
      <c r="AB2955">
        <v>0</v>
      </c>
      <c r="AD2955">
        <v>38.200000000000003</v>
      </c>
    </row>
    <row r="2956" spans="1:30" x14ac:dyDescent="0.3">
      <c r="A2956" s="4">
        <v>2978</v>
      </c>
      <c r="B2956" s="5">
        <v>2949</v>
      </c>
      <c r="C2956">
        <v>4075</v>
      </c>
      <c r="D2956" t="s">
        <v>267</v>
      </c>
      <c r="E2956" t="s">
        <v>4695</v>
      </c>
      <c r="F2956" t="s">
        <v>1748</v>
      </c>
      <c r="G2956" t="s">
        <v>6202</v>
      </c>
      <c r="H2956" t="str">
        <f>"00538499"</f>
        <v>00538499</v>
      </c>
      <c r="I2956">
        <v>19.12</v>
      </c>
      <c r="J2956">
        <v>0</v>
      </c>
      <c r="N2956">
        <v>0</v>
      </c>
      <c r="O2956">
        <v>4</v>
      </c>
      <c r="P2956">
        <v>2</v>
      </c>
      <c r="Q2956">
        <v>25.12</v>
      </c>
      <c r="R2956">
        <v>7</v>
      </c>
      <c r="S2956">
        <v>7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7</v>
      </c>
      <c r="AA2956">
        <v>6</v>
      </c>
      <c r="AB2956">
        <v>0</v>
      </c>
      <c r="AD2956">
        <v>38.119999999999997</v>
      </c>
    </row>
    <row r="2957" spans="1:30" x14ac:dyDescent="0.3">
      <c r="A2957" s="4">
        <v>2979</v>
      </c>
      <c r="B2957" s="5">
        <v>2950</v>
      </c>
      <c r="C2957">
        <v>3155</v>
      </c>
      <c r="D2957" t="s">
        <v>181</v>
      </c>
      <c r="E2957" t="s">
        <v>161</v>
      </c>
      <c r="F2957" t="s">
        <v>17</v>
      </c>
      <c r="G2957" t="s">
        <v>6203</v>
      </c>
      <c r="H2957" t="str">
        <f>"00441943"</f>
        <v>00441943</v>
      </c>
      <c r="I2957">
        <v>17.079999999999998</v>
      </c>
      <c r="J2957">
        <v>0</v>
      </c>
      <c r="N2957">
        <v>0</v>
      </c>
      <c r="O2957">
        <v>0</v>
      </c>
      <c r="P2957">
        <v>2</v>
      </c>
      <c r="Q2957">
        <v>19.079999999999998</v>
      </c>
      <c r="R2957">
        <v>19</v>
      </c>
      <c r="S2957">
        <v>19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19</v>
      </c>
      <c r="AA2957">
        <v>0</v>
      </c>
      <c r="AB2957">
        <v>0</v>
      </c>
      <c r="AD2957">
        <v>38.08</v>
      </c>
    </row>
    <row r="2958" spans="1:30" x14ac:dyDescent="0.3">
      <c r="A2958" s="4">
        <v>2980</v>
      </c>
      <c r="B2958" s="5">
        <v>2951</v>
      </c>
      <c r="C2958">
        <v>3570</v>
      </c>
      <c r="D2958" t="s">
        <v>6204</v>
      </c>
      <c r="E2958" t="s">
        <v>173</v>
      </c>
      <c r="F2958" t="s">
        <v>1265</v>
      </c>
      <c r="G2958" t="s">
        <v>6205</v>
      </c>
      <c r="H2958" t="str">
        <f>"00858451"</f>
        <v>00858451</v>
      </c>
      <c r="I2958">
        <v>32</v>
      </c>
      <c r="J2958">
        <v>0</v>
      </c>
      <c r="N2958">
        <v>0</v>
      </c>
      <c r="O2958">
        <v>0</v>
      </c>
      <c r="P2958">
        <v>0</v>
      </c>
      <c r="Q2958">
        <v>32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6</v>
      </c>
      <c r="AB2958">
        <v>0</v>
      </c>
      <c r="AD2958">
        <v>38</v>
      </c>
    </row>
    <row r="2959" spans="1:30" x14ac:dyDescent="0.3">
      <c r="A2959" s="4">
        <v>2981</v>
      </c>
      <c r="B2959" s="5">
        <v>2952</v>
      </c>
      <c r="C2959">
        <v>4179</v>
      </c>
      <c r="D2959" t="s">
        <v>1630</v>
      </c>
      <c r="E2959" t="s">
        <v>149</v>
      </c>
      <c r="F2959" t="s">
        <v>1526</v>
      </c>
      <c r="G2959" t="s">
        <v>6206</v>
      </c>
      <c r="H2959" t="str">
        <f>"00681112"</f>
        <v>00681112</v>
      </c>
      <c r="I2959">
        <v>32</v>
      </c>
      <c r="J2959">
        <v>0</v>
      </c>
      <c r="N2959">
        <v>0</v>
      </c>
      <c r="O2959">
        <v>0</v>
      </c>
      <c r="P2959">
        <v>0</v>
      </c>
      <c r="Q2959">
        <v>32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6</v>
      </c>
      <c r="AB2959">
        <v>0</v>
      </c>
      <c r="AD2959">
        <v>38</v>
      </c>
    </row>
    <row r="2960" spans="1:30" x14ac:dyDescent="0.3">
      <c r="A2960" s="4">
        <v>2982</v>
      </c>
      <c r="B2960" s="5">
        <v>2953</v>
      </c>
      <c r="C2960">
        <v>4388</v>
      </c>
      <c r="D2960" t="s">
        <v>6207</v>
      </c>
      <c r="E2960" t="s">
        <v>283</v>
      </c>
      <c r="F2960" t="s">
        <v>6208</v>
      </c>
      <c r="G2960" t="s">
        <v>6209</v>
      </c>
      <c r="H2960" t="str">
        <f>"00861723"</f>
        <v>00861723</v>
      </c>
      <c r="I2960">
        <v>32</v>
      </c>
      <c r="J2960">
        <v>0</v>
      </c>
      <c r="N2960">
        <v>0</v>
      </c>
      <c r="O2960">
        <v>0</v>
      </c>
      <c r="P2960">
        <v>0</v>
      </c>
      <c r="Q2960">
        <v>32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6</v>
      </c>
      <c r="AB2960">
        <v>0</v>
      </c>
      <c r="AD2960">
        <v>38</v>
      </c>
    </row>
    <row r="2961" spans="1:30" x14ac:dyDescent="0.3">
      <c r="A2961" s="4">
        <v>2983</v>
      </c>
      <c r="B2961" s="5">
        <v>2954</v>
      </c>
      <c r="C2961">
        <v>614</v>
      </c>
      <c r="D2961" t="s">
        <v>181</v>
      </c>
      <c r="E2961" t="s">
        <v>147</v>
      </c>
      <c r="F2961" t="s">
        <v>158</v>
      </c>
      <c r="G2961" t="s">
        <v>6210</v>
      </c>
      <c r="H2961" t="str">
        <f>"00441722"</f>
        <v>00441722</v>
      </c>
      <c r="I2961">
        <v>32</v>
      </c>
      <c r="J2961">
        <v>0</v>
      </c>
      <c r="N2961">
        <v>0</v>
      </c>
      <c r="O2961">
        <v>0</v>
      </c>
      <c r="P2961">
        <v>0</v>
      </c>
      <c r="Q2961">
        <v>32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6</v>
      </c>
      <c r="AB2961">
        <v>0</v>
      </c>
      <c r="AD2961">
        <v>38</v>
      </c>
    </row>
    <row r="2962" spans="1:30" x14ac:dyDescent="0.3">
      <c r="A2962" s="4">
        <v>2984</v>
      </c>
      <c r="B2962" s="5">
        <v>2955</v>
      </c>
      <c r="C2962">
        <v>3928</v>
      </c>
      <c r="D2962" t="s">
        <v>6211</v>
      </c>
      <c r="E2962" t="s">
        <v>2435</v>
      </c>
      <c r="F2962" t="s">
        <v>190</v>
      </c>
      <c r="G2962" t="s">
        <v>6212</v>
      </c>
      <c r="H2962" t="str">
        <f>"00519569"</f>
        <v>00519569</v>
      </c>
      <c r="I2962">
        <v>16</v>
      </c>
      <c r="J2962">
        <v>0</v>
      </c>
      <c r="N2962">
        <v>0</v>
      </c>
      <c r="O2962">
        <v>0</v>
      </c>
      <c r="P2962">
        <v>0</v>
      </c>
      <c r="Q2962">
        <v>16</v>
      </c>
      <c r="R2962">
        <v>16</v>
      </c>
      <c r="S2962">
        <v>16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16</v>
      </c>
      <c r="AA2962">
        <v>6</v>
      </c>
      <c r="AB2962">
        <v>0</v>
      </c>
      <c r="AD2962">
        <v>38</v>
      </c>
    </row>
    <row r="2963" spans="1:30" x14ac:dyDescent="0.3">
      <c r="A2963" s="4">
        <v>2985</v>
      </c>
      <c r="B2963" s="5">
        <v>2956</v>
      </c>
      <c r="C2963">
        <v>113</v>
      </c>
      <c r="D2963" t="s">
        <v>6213</v>
      </c>
      <c r="E2963" t="s">
        <v>301</v>
      </c>
      <c r="F2963" t="s">
        <v>17</v>
      </c>
      <c r="G2963" t="s">
        <v>6214</v>
      </c>
      <c r="H2963" t="str">
        <f>"00693550"</f>
        <v>00693550</v>
      </c>
      <c r="I2963">
        <v>38</v>
      </c>
      <c r="J2963">
        <v>0</v>
      </c>
      <c r="N2963">
        <v>0</v>
      </c>
      <c r="O2963">
        <v>0</v>
      </c>
      <c r="P2963">
        <v>0</v>
      </c>
      <c r="Q2963">
        <v>38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D2963">
        <v>38</v>
      </c>
    </row>
    <row r="2964" spans="1:30" x14ac:dyDescent="0.3">
      <c r="A2964" s="4">
        <v>2986</v>
      </c>
      <c r="B2964" s="5">
        <v>2957</v>
      </c>
      <c r="C2964">
        <v>4907</v>
      </c>
      <c r="D2964" t="s">
        <v>6215</v>
      </c>
      <c r="E2964" t="s">
        <v>170</v>
      </c>
      <c r="F2964" t="s">
        <v>6216</v>
      </c>
      <c r="G2964" t="s">
        <v>6217</v>
      </c>
      <c r="H2964" t="str">
        <f>"00865547"</f>
        <v>00865547</v>
      </c>
      <c r="I2964">
        <v>38</v>
      </c>
      <c r="J2964">
        <v>0</v>
      </c>
      <c r="N2964">
        <v>0</v>
      </c>
      <c r="O2964">
        <v>0</v>
      </c>
      <c r="P2964">
        <v>0</v>
      </c>
      <c r="Q2964">
        <v>38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D2964">
        <v>38</v>
      </c>
    </row>
    <row r="2965" spans="1:30" x14ac:dyDescent="0.3">
      <c r="A2965" s="4">
        <v>2987</v>
      </c>
      <c r="B2965" s="5">
        <v>2958</v>
      </c>
      <c r="C2965">
        <v>2049</v>
      </c>
      <c r="D2965" t="s">
        <v>6218</v>
      </c>
      <c r="E2965" t="s">
        <v>132</v>
      </c>
      <c r="F2965" t="s">
        <v>117</v>
      </c>
      <c r="G2965" t="s">
        <v>6219</v>
      </c>
      <c r="H2965" t="str">
        <f>"00863932"</f>
        <v>00863932</v>
      </c>
      <c r="I2965">
        <v>36</v>
      </c>
      <c r="J2965">
        <v>0</v>
      </c>
      <c r="N2965">
        <v>0</v>
      </c>
      <c r="O2965">
        <v>0</v>
      </c>
      <c r="P2965">
        <v>2</v>
      </c>
      <c r="Q2965">
        <v>38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D2965">
        <v>38</v>
      </c>
    </row>
    <row r="2966" spans="1:30" x14ac:dyDescent="0.3">
      <c r="A2966" s="4">
        <v>2988</v>
      </c>
      <c r="B2966" s="5">
        <v>2959</v>
      </c>
      <c r="C2966">
        <v>3948</v>
      </c>
      <c r="D2966" t="s">
        <v>6220</v>
      </c>
      <c r="E2966" t="s">
        <v>19</v>
      </c>
      <c r="F2966" t="s">
        <v>243</v>
      </c>
      <c r="G2966" t="s">
        <v>6221</v>
      </c>
      <c r="H2966" t="str">
        <f>"00534156"</f>
        <v>00534156</v>
      </c>
      <c r="I2966">
        <v>36</v>
      </c>
      <c r="J2966">
        <v>0</v>
      </c>
      <c r="N2966">
        <v>0</v>
      </c>
      <c r="O2966">
        <v>0</v>
      </c>
      <c r="P2966">
        <v>2</v>
      </c>
      <c r="Q2966">
        <v>38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D2966">
        <v>38</v>
      </c>
    </row>
    <row r="2967" spans="1:30" x14ac:dyDescent="0.3">
      <c r="A2967" s="4">
        <v>2989</v>
      </c>
      <c r="B2967" s="5">
        <v>2960</v>
      </c>
      <c r="C2967">
        <v>3091</v>
      </c>
      <c r="D2967" t="s">
        <v>6222</v>
      </c>
      <c r="E2967" t="s">
        <v>100</v>
      </c>
      <c r="F2967" t="s">
        <v>17</v>
      </c>
      <c r="G2967" t="s">
        <v>6223</v>
      </c>
      <c r="H2967" t="str">
        <f>"00863734"</f>
        <v>00863734</v>
      </c>
      <c r="I2967">
        <v>36</v>
      </c>
      <c r="J2967">
        <v>0</v>
      </c>
      <c r="N2967">
        <v>0</v>
      </c>
      <c r="O2967">
        <v>0</v>
      </c>
      <c r="P2967">
        <v>2</v>
      </c>
      <c r="Q2967">
        <v>38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D2967">
        <v>38</v>
      </c>
    </row>
    <row r="2968" spans="1:30" x14ac:dyDescent="0.3">
      <c r="A2968" s="4">
        <v>2990</v>
      </c>
      <c r="B2968" s="5">
        <v>2961</v>
      </c>
      <c r="C2968">
        <v>3657</v>
      </c>
      <c r="D2968" t="s">
        <v>6224</v>
      </c>
      <c r="E2968" t="s">
        <v>6225</v>
      </c>
      <c r="F2968" t="s">
        <v>136</v>
      </c>
      <c r="G2968" t="s">
        <v>6226</v>
      </c>
      <c r="H2968" t="str">
        <f>"00085500"</f>
        <v>00085500</v>
      </c>
      <c r="I2968">
        <v>24</v>
      </c>
      <c r="J2968">
        <v>10</v>
      </c>
      <c r="N2968">
        <v>0</v>
      </c>
      <c r="O2968">
        <v>4</v>
      </c>
      <c r="P2968">
        <v>0</v>
      </c>
      <c r="Q2968">
        <v>38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D2968">
        <v>38</v>
      </c>
    </row>
    <row r="2969" spans="1:30" x14ac:dyDescent="0.3">
      <c r="A2969" s="4">
        <v>2991</v>
      </c>
      <c r="B2969" s="5">
        <v>2962</v>
      </c>
      <c r="C2969">
        <v>4681</v>
      </c>
      <c r="D2969" t="s">
        <v>6227</v>
      </c>
      <c r="E2969" t="s">
        <v>54</v>
      </c>
      <c r="F2969" t="s">
        <v>81</v>
      </c>
      <c r="G2969" t="s">
        <v>6228</v>
      </c>
      <c r="H2969" t="str">
        <f>"201402008140"</f>
        <v>201402008140</v>
      </c>
      <c r="I2969">
        <v>24</v>
      </c>
      <c r="J2969">
        <v>10</v>
      </c>
      <c r="N2969">
        <v>0</v>
      </c>
      <c r="O2969">
        <v>4</v>
      </c>
      <c r="P2969">
        <v>0</v>
      </c>
      <c r="Q2969">
        <v>38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D2969">
        <v>38</v>
      </c>
    </row>
    <row r="2970" spans="1:30" x14ac:dyDescent="0.3">
      <c r="A2970" s="4">
        <v>2992</v>
      </c>
      <c r="B2970" s="5">
        <v>2963</v>
      </c>
      <c r="C2970">
        <v>470</v>
      </c>
      <c r="D2970" t="s">
        <v>3266</v>
      </c>
      <c r="E2970" t="s">
        <v>132</v>
      </c>
      <c r="F2970" t="s">
        <v>243</v>
      </c>
      <c r="G2970" t="s">
        <v>6229</v>
      </c>
      <c r="H2970" t="str">
        <f>"00644847"</f>
        <v>00644847</v>
      </c>
      <c r="I2970">
        <v>20</v>
      </c>
      <c r="J2970">
        <v>10</v>
      </c>
      <c r="M2970">
        <v>4</v>
      </c>
      <c r="N2970">
        <v>4</v>
      </c>
      <c r="O2970">
        <v>4</v>
      </c>
      <c r="P2970">
        <v>0</v>
      </c>
      <c r="Q2970">
        <v>38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D2970">
        <v>38</v>
      </c>
    </row>
    <row r="2971" spans="1:30" x14ac:dyDescent="0.3">
      <c r="A2971" s="4">
        <v>2993</v>
      </c>
      <c r="B2971" s="5">
        <v>2964</v>
      </c>
      <c r="C2971">
        <v>2095</v>
      </c>
      <c r="D2971" t="s">
        <v>5697</v>
      </c>
      <c r="E2971" t="s">
        <v>65</v>
      </c>
      <c r="F2971" t="s">
        <v>649</v>
      </c>
      <c r="G2971" t="s">
        <v>6230</v>
      </c>
      <c r="H2971" t="str">
        <f>"00359077"</f>
        <v>00359077</v>
      </c>
      <c r="I2971">
        <v>22.84</v>
      </c>
      <c r="J2971">
        <v>0</v>
      </c>
      <c r="K2971">
        <v>8</v>
      </c>
      <c r="N2971">
        <v>8</v>
      </c>
      <c r="O2971">
        <v>4</v>
      </c>
      <c r="P2971">
        <v>0</v>
      </c>
      <c r="Q2971">
        <v>34.840000000000003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3</v>
      </c>
      <c r="AB2971">
        <v>0</v>
      </c>
      <c r="AD2971">
        <v>37.840000000000003</v>
      </c>
    </row>
    <row r="2972" spans="1:30" x14ac:dyDescent="0.3">
      <c r="A2972" s="4">
        <v>2994</v>
      </c>
      <c r="B2972" s="5">
        <v>2965</v>
      </c>
      <c r="C2972">
        <v>3951</v>
      </c>
      <c r="D2972" t="s">
        <v>1630</v>
      </c>
      <c r="E2972" t="s">
        <v>97</v>
      </c>
      <c r="F2972" t="s">
        <v>68</v>
      </c>
      <c r="G2972" t="s">
        <v>6231</v>
      </c>
      <c r="H2972" t="str">
        <f>"00664060"</f>
        <v>00664060</v>
      </c>
      <c r="I2972">
        <v>28.8</v>
      </c>
      <c r="J2972">
        <v>0</v>
      </c>
      <c r="N2972">
        <v>0</v>
      </c>
      <c r="O2972">
        <v>0</v>
      </c>
      <c r="P2972">
        <v>0</v>
      </c>
      <c r="Q2972">
        <v>28.8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9</v>
      </c>
      <c r="AB2972">
        <v>0</v>
      </c>
      <c r="AD2972">
        <v>37.799999999999997</v>
      </c>
    </row>
    <row r="2973" spans="1:30" x14ac:dyDescent="0.3">
      <c r="A2973" s="4">
        <v>2995</v>
      </c>
      <c r="B2973" s="5">
        <v>2966</v>
      </c>
      <c r="C2973">
        <v>3940</v>
      </c>
      <c r="D2973" t="s">
        <v>6232</v>
      </c>
      <c r="E2973" t="s">
        <v>54</v>
      </c>
      <c r="F2973" t="s">
        <v>167</v>
      </c>
      <c r="G2973" t="s">
        <v>6233</v>
      </c>
      <c r="H2973" t="str">
        <f>"00864015"</f>
        <v>00864015</v>
      </c>
      <c r="I2973">
        <v>28.8</v>
      </c>
      <c r="J2973">
        <v>0</v>
      </c>
      <c r="N2973">
        <v>0</v>
      </c>
      <c r="O2973">
        <v>0</v>
      </c>
      <c r="P2973">
        <v>0</v>
      </c>
      <c r="Q2973">
        <v>28.8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9</v>
      </c>
      <c r="AB2973">
        <v>0</v>
      </c>
      <c r="AD2973">
        <v>37.799999999999997</v>
      </c>
    </row>
    <row r="2974" spans="1:30" x14ac:dyDescent="0.3">
      <c r="A2974" s="4">
        <v>2996</v>
      </c>
      <c r="B2974" s="5">
        <v>2967</v>
      </c>
      <c r="C2974">
        <v>207</v>
      </c>
      <c r="D2974" t="s">
        <v>705</v>
      </c>
      <c r="E2974" t="s">
        <v>789</v>
      </c>
      <c r="F2974" t="s">
        <v>158</v>
      </c>
      <c r="G2974" t="s">
        <v>6234</v>
      </c>
      <c r="H2974" t="str">
        <f>"00857802"</f>
        <v>00857802</v>
      </c>
      <c r="I2974">
        <v>28.8</v>
      </c>
      <c r="J2974">
        <v>0</v>
      </c>
      <c r="N2974">
        <v>0</v>
      </c>
      <c r="O2974">
        <v>4</v>
      </c>
      <c r="P2974">
        <v>2</v>
      </c>
      <c r="Q2974">
        <v>34.799999999999997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3</v>
      </c>
      <c r="AB2974">
        <v>0</v>
      </c>
      <c r="AD2974">
        <v>37.799999999999997</v>
      </c>
    </row>
    <row r="2975" spans="1:30" x14ac:dyDescent="0.3">
      <c r="A2975" s="4">
        <v>2997</v>
      </c>
      <c r="B2975" s="5">
        <v>2968</v>
      </c>
      <c r="C2975">
        <v>3169</v>
      </c>
      <c r="D2975" t="s">
        <v>6235</v>
      </c>
      <c r="E2975" t="s">
        <v>54</v>
      </c>
      <c r="F2975" t="s">
        <v>259</v>
      </c>
      <c r="G2975" t="s">
        <v>6236</v>
      </c>
      <c r="H2975" t="str">
        <f>"00759500"</f>
        <v>00759500</v>
      </c>
      <c r="I2975">
        <v>28.8</v>
      </c>
      <c r="J2975">
        <v>0</v>
      </c>
      <c r="N2975">
        <v>0</v>
      </c>
      <c r="O2975">
        <v>4</v>
      </c>
      <c r="P2975">
        <v>2</v>
      </c>
      <c r="Q2975">
        <v>34.799999999999997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3</v>
      </c>
      <c r="AB2975">
        <v>0</v>
      </c>
      <c r="AD2975">
        <v>37.799999999999997</v>
      </c>
    </row>
    <row r="2976" spans="1:30" x14ac:dyDescent="0.3">
      <c r="A2976" s="4">
        <v>2998</v>
      </c>
      <c r="B2976" s="5">
        <v>2969</v>
      </c>
      <c r="C2976">
        <v>1657</v>
      </c>
      <c r="D2976" t="s">
        <v>6237</v>
      </c>
      <c r="E2976" t="s">
        <v>170</v>
      </c>
      <c r="F2976" t="s">
        <v>38</v>
      </c>
      <c r="G2976" t="s">
        <v>6238</v>
      </c>
      <c r="H2976" t="str">
        <f>"201410007844"</f>
        <v>201410007844</v>
      </c>
      <c r="I2976">
        <v>28.8</v>
      </c>
      <c r="J2976">
        <v>0</v>
      </c>
      <c r="N2976">
        <v>0</v>
      </c>
      <c r="O2976">
        <v>4</v>
      </c>
      <c r="P2976">
        <v>2</v>
      </c>
      <c r="Q2976">
        <v>34.799999999999997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3</v>
      </c>
      <c r="AB2976">
        <v>0</v>
      </c>
      <c r="AD2976">
        <v>37.799999999999997</v>
      </c>
    </row>
    <row r="2977" spans="1:30" x14ac:dyDescent="0.3">
      <c r="A2977" s="4">
        <v>2999</v>
      </c>
      <c r="B2977" s="5">
        <v>2970</v>
      </c>
      <c r="C2977">
        <v>4707</v>
      </c>
      <c r="D2977" t="s">
        <v>6239</v>
      </c>
      <c r="E2977" t="s">
        <v>6240</v>
      </c>
      <c r="F2977" t="s">
        <v>6241</v>
      </c>
      <c r="G2977" t="s">
        <v>6242</v>
      </c>
      <c r="H2977" t="str">
        <f>"00021807"</f>
        <v>00021807</v>
      </c>
      <c r="I2977">
        <v>37.799999999999997</v>
      </c>
      <c r="J2977">
        <v>0</v>
      </c>
      <c r="N2977">
        <v>0</v>
      </c>
      <c r="O2977">
        <v>0</v>
      </c>
      <c r="P2977">
        <v>0</v>
      </c>
      <c r="Q2977">
        <v>37.799999999999997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D2977">
        <v>37.799999999999997</v>
      </c>
    </row>
    <row r="2978" spans="1:30" x14ac:dyDescent="0.3">
      <c r="A2978" s="4">
        <v>3000</v>
      </c>
      <c r="B2978" s="5">
        <v>2971</v>
      </c>
      <c r="C2978">
        <v>1518</v>
      </c>
      <c r="D2978" t="s">
        <v>6243</v>
      </c>
      <c r="E2978" t="s">
        <v>4695</v>
      </c>
      <c r="F2978" t="s">
        <v>310</v>
      </c>
      <c r="G2978" t="s">
        <v>6244</v>
      </c>
      <c r="H2978" t="str">
        <f>"201511016420"</f>
        <v>201511016420</v>
      </c>
      <c r="I2978">
        <v>29.76</v>
      </c>
      <c r="J2978">
        <v>0</v>
      </c>
      <c r="M2978">
        <v>4</v>
      </c>
      <c r="N2978">
        <v>4</v>
      </c>
      <c r="O2978">
        <v>4</v>
      </c>
      <c r="P2978">
        <v>0</v>
      </c>
      <c r="Q2978">
        <v>37.76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D2978">
        <v>37.76</v>
      </c>
    </row>
    <row r="2979" spans="1:30" x14ac:dyDescent="0.3">
      <c r="A2979" s="4">
        <v>3001</v>
      </c>
      <c r="B2979" s="5">
        <v>2972</v>
      </c>
      <c r="C2979">
        <v>3995</v>
      </c>
      <c r="D2979" t="s">
        <v>1152</v>
      </c>
      <c r="E2979" t="s">
        <v>816</v>
      </c>
      <c r="F2979" t="s">
        <v>1450</v>
      </c>
      <c r="G2979" t="s">
        <v>6245</v>
      </c>
      <c r="H2979" t="str">
        <f>"00132093"</f>
        <v>00132093</v>
      </c>
      <c r="I2979">
        <v>19.72</v>
      </c>
      <c r="J2979">
        <v>0</v>
      </c>
      <c r="K2979">
        <v>8</v>
      </c>
      <c r="N2979">
        <v>8</v>
      </c>
      <c r="O2979">
        <v>4</v>
      </c>
      <c r="P2979">
        <v>0</v>
      </c>
      <c r="Q2979">
        <v>31.72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6</v>
      </c>
      <c r="AB2979">
        <v>0</v>
      </c>
      <c r="AD2979">
        <v>37.72</v>
      </c>
    </row>
    <row r="2980" spans="1:30" x14ac:dyDescent="0.3">
      <c r="A2980" s="4">
        <v>3002</v>
      </c>
      <c r="B2980" s="5">
        <v>2973</v>
      </c>
      <c r="C2980">
        <v>1499</v>
      </c>
      <c r="D2980" t="s">
        <v>6099</v>
      </c>
      <c r="E2980" t="s">
        <v>2157</v>
      </c>
      <c r="F2980" t="s">
        <v>81</v>
      </c>
      <c r="G2980" t="s">
        <v>6246</v>
      </c>
      <c r="H2980" t="str">
        <f>"00517261"</f>
        <v>00517261</v>
      </c>
      <c r="I2980">
        <v>14.68</v>
      </c>
      <c r="J2980">
        <v>0</v>
      </c>
      <c r="N2980">
        <v>0</v>
      </c>
      <c r="O2980">
        <v>0</v>
      </c>
      <c r="P2980">
        <v>0</v>
      </c>
      <c r="Q2980">
        <v>14.68</v>
      </c>
      <c r="R2980">
        <v>14</v>
      </c>
      <c r="S2980">
        <v>14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14</v>
      </c>
      <c r="AA2980">
        <v>9</v>
      </c>
      <c r="AB2980">
        <v>0</v>
      </c>
      <c r="AD2980">
        <v>37.68</v>
      </c>
    </row>
    <row r="2981" spans="1:30" x14ac:dyDescent="0.3">
      <c r="A2981" s="4">
        <v>3003</v>
      </c>
      <c r="B2981" s="5">
        <v>2974</v>
      </c>
      <c r="C2981">
        <v>4589</v>
      </c>
      <c r="D2981" t="s">
        <v>3534</v>
      </c>
      <c r="E2981" t="s">
        <v>208</v>
      </c>
      <c r="F2981" t="s">
        <v>38</v>
      </c>
      <c r="G2981" t="s">
        <v>6247</v>
      </c>
      <c r="H2981" t="str">
        <f>"00484447"</f>
        <v>00484447</v>
      </c>
      <c r="I2981">
        <v>30.68</v>
      </c>
      <c r="J2981">
        <v>0</v>
      </c>
      <c r="M2981">
        <v>4</v>
      </c>
      <c r="N2981">
        <v>4</v>
      </c>
      <c r="O2981">
        <v>0</v>
      </c>
      <c r="P2981">
        <v>0</v>
      </c>
      <c r="Q2981">
        <v>34.68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3</v>
      </c>
      <c r="AB2981">
        <v>0</v>
      </c>
      <c r="AD2981">
        <v>37.68</v>
      </c>
    </row>
    <row r="2982" spans="1:30" x14ac:dyDescent="0.3">
      <c r="A2982" s="4">
        <v>3004</v>
      </c>
      <c r="B2982" s="5">
        <v>2975</v>
      </c>
      <c r="C2982">
        <v>2082</v>
      </c>
      <c r="D2982" t="s">
        <v>6248</v>
      </c>
      <c r="E2982" t="s">
        <v>1371</v>
      </c>
      <c r="F2982" t="s">
        <v>38</v>
      </c>
      <c r="G2982" t="s">
        <v>6249</v>
      </c>
      <c r="H2982" t="str">
        <f>"00562322"</f>
        <v>00562322</v>
      </c>
      <c r="I2982">
        <v>27.68</v>
      </c>
      <c r="J2982">
        <v>0</v>
      </c>
      <c r="M2982">
        <v>4</v>
      </c>
      <c r="N2982">
        <v>4</v>
      </c>
      <c r="O2982">
        <v>4</v>
      </c>
      <c r="P2982">
        <v>2</v>
      </c>
      <c r="Q2982">
        <v>37.68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D2982">
        <v>37.68</v>
      </c>
    </row>
    <row r="2983" spans="1:30" x14ac:dyDescent="0.3">
      <c r="A2983" s="4">
        <v>3005</v>
      </c>
      <c r="B2983" s="5">
        <v>2976</v>
      </c>
      <c r="C2983">
        <v>3806</v>
      </c>
      <c r="D2983" t="s">
        <v>6250</v>
      </c>
      <c r="E2983" t="s">
        <v>100</v>
      </c>
      <c r="F2983" t="s">
        <v>68</v>
      </c>
      <c r="G2983" t="s">
        <v>6251</v>
      </c>
      <c r="H2983" t="str">
        <f>"00148455"</f>
        <v>00148455</v>
      </c>
      <c r="I2983">
        <v>21.6</v>
      </c>
      <c r="J2983">
        <v>0</v>
      </c>
      <c r="M2983">
        <v>4</v>
      </c>
      <c r="N2983">
        <v>4</v>
      </c>
      <c r="O2983">
        <v>4</v>
      </c>
      <c r="P2983">
        <v>2</v>
      </c>
      <c r="Q2983">
        <v>31.6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6</v>
      </c>
      <c r="AB2983">
        <v>0</v>
      </c>
      <c r="AD2983">
        <v>37.6</v>
      </c>
    </row>
    <row r="2984" spans="1:30" x14ac:dyDescent="0.3">
      <c r="A2984" s="4">
        <v>3006</v>
      </c>
      <c r="B2984" s="5">
        <v>2977</v>
      </c>
      <c r="C2984">
        <v>1841</v>
      </c>
      <c r="D2984" t="s">
        <v>6252</v>
      </c>
      <c r="E2984" t="s">
        <v>6253</v>
      </c>
      <c r="F2984" t="s">
        <v>652</v>
      </c>
      <c r="G2984" t="s">
        <v>6254</v>
      </c>
      <c r="H2984" t="str">
        <f>"00477150"</f>
        <v>00477150</v>
      </c>
      <c r="I2984">
        <v>21.6</v>
      </c>
      <c r="J2984">
        <v>0</v>
      </c>
      <c r="N2984">
        <v>0</v>
      </c>
      <c r="O2984">
        <v>4</v>
      </c>
      <c r="P2984">
        <v>0</v>
      </c>
      <c r="Q2984">
        <v>25.6</v>
      </c>
      <c r="R2984">
        <v>6</v>
      </c>
      <c r="S2984">
        <v>6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6</v>
      </c>
      <c r="AA2984">
        <v>6</v>
      </c>
      <c r="AB2984">
        <v>0</v>
      </c>
      <c r="AD2984">
        <v>37.6</v>
      </c>
    </row>
    <row r="2985" spans="1:30" x14ac:dyDescent="0.3">
      <c r="A2985" s="4">
        <v>3007</v>
      </c>
      <c r="B2985" s="5">
        <v>2978</v>
      </c>
      <c r="C2985">
        <v>3583</v>
      </c>
      <c r="D2985" t="s">
        <v>267</v>
      </c>
      <c r="E2985" t="s">
        <v>170</v>
      </c>
      <c r="F2985" t="s">
        <v>81</v>
      </c>
      <c r="G2985" t="s">
        <v>6255</v>
      </c>
      <c r="H2985" t="str">
        <f>"201510001273"</f>
        <v>201510001273</v>
      </c>
      <c r="I2985">
        <v>37.6</v>
      </c>
      <c r="J2985">
        <v>0</v>
      </c>
      <c r="N2985">
        <v>0</v>
      </c>
      <c r="O2985">
        <v>0</v>
      </c>
      <c r="P2985">
        <v>0</v>
      </c>
      <c r="Q2985">
        <v>37.6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D2985">
        <v>37.6</v>
      </c>
    </row>
    <row r="2986" spans="1:30" x14ac:dyDescent="0.3">
      <c r="A2986" s="4">
        <v>3008</v>
      </c>
      <c r="B2986" s="5">
        <v>2979</v>
      </c>
      <c r="C2986">
        <v>701</v>
      </c>
      <c r="D2986" t="s">
        <v>6256</v>
      </c>
      <c r="E2986" t="s">
        <v>1576</v>
      </c>
      <c r="F2986" t="s">
        <v>17</v>
      </c>
      <c r="G2986" t="s">
        <v>6257</v>
      </c>
      <c r="H2986" t="str">
        <f>"00720267"</f>
        <v>00720267</v>
      </c>
      <c r="I2986">
        <v>33.6</v>
      </c>
      <c r="J2986">
        <v>0</v>
      </c>
      <c r="M2986">
        <v>4</v>
      </c>
      <c r="N2986">
        <v>4</v>
      </c>
      <c r="O2986">
        <v>0</v>
      </c>
      <c r="P2986">
        <v>0</v>
      </c>
      <c r="Q2986">
        <v>37.6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D2986">
        <v>37.6</v>
      </c>
    </row>
    <row r="2987" spans="1:30" x14ac:dyDescent="0.3">
      <c r="A2987" s="4">
        <v>3009</v>
      </c>
      <c r="B2987" s="5">
        <v>2980</v>
      </c>
      <c r="C2987">
        <v>476</v>
      </c>
      <c r="D2987" t="s">
        <v>6258</v>
      </c>
      <c r="E2987" t="s">
        <v>166</v>
      </c>
      <c r="F2987" t="s">
        <v>17</v>
      </c>
      <c r="G2987" t="s">
        <v>6259</v>
      </c>
      <c r="H2987" t="str">
        <f>"00857703"</f>
        <v>00857703</v>
      </c>
      <c r="I2987">
        <v>31.6</v>
      </c>
      <c r="J2987">
        <v>0</v>
      </c>
      <c r="N2987">
        <v>0</v>
      </c>
      <c r="O2987">
        <v>4</v>
      </c>
      <c r="P2987">
        <v>2</v>
      </c>
      <c r="Q2987">
        <v>37.6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D2987">
        <v>37.6</v>
      </c>
    </row>
    <row r="2988" spans="1:30" x14ac:dyDescent="0.3">
      <c r="A2988" s="4">
        <v>3010</v>
      </c>
      <c r="B2988" s="5">
        <v>2981</v>
      </c>
      <c r="C2988">
        <v>1037</v>
      </c>
      <c r="D2988" t="s">
        <v>6260</v>
      </c>
      <c r="E2988" t="s">
        <v>335</v>
      </c>
      <c r="F2988" t="s">
        <v>6261</v>
      </c>
      <c r="G2988" t="s">
        <v>6262</v>
      </c>
      <c r="H2988" t="str">
        <f>"201401001771"</f>
        <v>201401001771</v>
      </c>
      <c r="I2988">
        <v>21.6</v>
      </c>
      <c r="J2988">
        <v>10</v>
      </c>
      <c r="N2988">
        <v>0</v>
      </c>
      <c r="O2988">
        <v>4</v>
      </c>
      <c r="P2988">
        <v>2</v>
      </c>
      <c r="Q2988">
        <v>37.6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D2988">
        <v>37.6</v>
      </c>
    </row>
    <row r="2989" spans="1:30" x14ac:dyDescent="0.3">
      <c r="A2989" s="4">
        <v>3011</v>
      </c>
      <c r="B2989" s="5">
        <v>2982</v>
      </c>
      <c r="C2989">
        <v>2285</v>
      </c>
      <c r="D2989" t="s">
        <v>1419</v>
      </c>
      <c r="E2989" t="s">
        <v>170</v>
      </c>
      <c r="F2989" t="s">
        <v>136</v>
      </c>
      <c r="G2989" t="s">
        <v>6263</v>
      </c>
      <c r="H2989" t="str">
        <f>"00398165"</f>
        <v>00398165</v>
      </c>
      <c r="I2989">
        <v>21.6</v>
      </c>
      <c r="J2989">
        <v>10</v>
      </c>
      <c r="N2989">
        <v>0</v>
      </c>
      <c r="O2989">
        <v>4</v>
      </c>
      <c r="P2989">
        <v>2</v>
      </c>
      <c r="Q2989">
        <v>37.6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D2989">
        <v>37.6</v>
      </c>
    </row>
    <row r="2990" spans="1:30" x14ac:dyDescent="0.3">
      <c r="A2990" s="4">
        <v>3012</v>
      </c>
      <c r="B2990" s="5">
        <v>2983</v>
      </c>
      <c r="C2990">
        <v>1704</v>
      </c>
      <c r="D2990" t="s">
        <v>6264</v>
      </c>
      <c r="E2990" t="s">
        <v>6265</v>
      </c>
      <c r="F2990" t="s">
        <v>1121</v>
      </c>
      <c r="G2990" t="s">
        <v>6266</v>
      </c>
      <c r="H2990" t="str">
        <f>"00135388"</f>
        <v>00135388</v>
      </c>
      <c r="I2990">
        <v>21.6</v>
      </c>
      <c r="J2990">
        <v>0</v>
      </c>
      <c r="K2990">
        <v>8</v>
      </c>
      <c r="M2990">
        <v>4</v>
      </c>
      <c r="N2990">
        <v>12</v>
      </c>
      <c r="O2990">
        <v>4</v>
      </c>
      <c r="P2990">
        <v>0</v>
      </c>
      <c r="Q2990">
        <v>37.6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D2990">
        <v>37.6</v>
      </c>
    </row>
    <row r="2991" spans="1:30" x14ac:dyDescent="0.3">
      <c r="A2991" s="4">
        <v>3013</v>
      </c>
      <c r="B2991" s="5">
        <v>2984</v>
      </c>
      <c r="C2991">
        <v>2055</v>
      </c>
      <c r="D2991" t="s">
        <v>2554</v>
      </c>
      <c r="E2991" t="s">
        <v>3221</v>
      </c>
      <c r="F2991" t="s">
        <v>158</v>
      </c>
      <c r="G2991" t="s">
        <v>6267</v>
      </c>
      <c r="H2991" t="str">
        <f>"00556370"</f>
        <v>00556370</v>
      </c>
      <c r="I2991">
        <v>21.6</v>
      </c>
      <c r="J2991">
        <v>10</v>
      </c>
      <c r="N2991">
        <v>0</v>
      </c>
      <c r="O2991">
        <v>4</v>
      </c>
      <c r="P2991">
        <v>2</v>
      </c>
      <c r="Q2991">
        <v>37.6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D2991">
        <v>37.6</v>
      </c>
    </row>
    <row r="2992" spans="1:30" x14ac:dyDescent="0.3">
      <c r="A2992" s="4">
        <v>3014</v>
      </c>
      <c r="B2992" s="5">
        <v>2985</v>
      </c>
      <c r="C2992">
        <v>4498</v>
      </c>
      <c r="D2992" t="s">
        <v>6268</v>
      </c>
      <c r="E2992" t="s">
        <v>33</v>
      </c>
      <c r="F2992" t="s">
        <v>34</v>
      </c>
      <c r="G2992" t="s">
        <v>6269</v>
      </c>
      <c r="H2992" t="str">
        <f>"00198517"</f>
        <v>00198517</v>
      </c>
      <c r="I2992">
        <v>21.6</v>
      </c>
      <c r="J2992">
        <v>10</v>
      </c>
      <c r="N2992">
        <v>0</v>
      </c>
      <c r="O2992">
        <v>4</v>
      </c>
      <c r="P2992">
        <v>2</v>
      </c>
      <c r="Q2992">
        <v>37.6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D2992">
        <v>37.6</v>
      </c>
    </row>
    <row r="2993" spans="1:30" x14ac:dyDescent="0.3">
      <c r="A2993" s="4">
        <v>3015</v>
      </c>
      <c r="B2993" s="5">
        <v>2986</v>
      </c>
      <c r="C2993">
        <v>365</v>
      </c>
      <c r="D2993" t="s">
        <v>6270</v>
      </c>
      <c r="E2993" t="s">
        <v>550</v>
      </c>
      <c r="F2993" t="s">
        <v>81</v>
      </c>
      <c r="G2993" t="s">
        <v>6271</v>
      </c>
      <c r="H2993" t="str">
        <f>"00531127"</f>
        <v>00531127</v>
      </c>
      <c r="I2993">
        <v>21.6</v>
      </c>
      <c r="J2993">
        <v>0</v>
      </c>
      <c r="M2993">
        <v>4</v>
      </c>
      <c r="N2993">
        <v>4</v>
      </c>
      <c r="O2993">
        <v>4</v>
      </c>
      <c r="P2993">
        <v>2</v>
      </c>
      <c r="Q2993">
        <v>31.6</v>
      </c>
      <c r="R2993">
        <v>6</v>
      </c>
      <c r="S2993">
        <v>6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6</v>
      </c>
      <c r="AA2993">
        <v>0</v>
      </c>
      <c r="AB2993">
        <v>0</v>
      </c>
      <c r="AD2993">
        <v>37.6</v>
      </c>
    </row>
    <row r="2994" spans="1:30" x14ac:dyDescent="0.3">
      <c r="A2994" s="4">
        <v>3016</v>
      </c>
      <c r="B2994" s="5">
        <v>2987</v>
      </c>
      <c r="C2994">
        <v>4970</v>
      </c>
      <c r="D2994" t="s">
        <v>181</v>
      </c>
      <c r="E2994" t="s">
        <v>29</v>
      </c>
      <c r="F2994" t="s">
        <v>81</v>
      </c>
      <c r="G2994" t="s">
        <v>6272</v>
      </c>
      <c r="H2994" t="str">
        <f>"00269150"</f>
        <v>00269150</v>
      </c>
      <c r="I2994">
        <v>37.520000000000003</v>
      </c>
      <c r="J2994">
        <v>0</v>
      </c>
      <c r="N2994">
        <v>0</v>
      </c>
      <c r="O2994">
        <v>0</v>
      </c>
      <c r="P2994">
        <v>0</v>
      </c>
      <c r="Q2994">
        <v>37.520000000000003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D2994">
        <v>37.520000000000003</v>
      </c>
    </row>
    <row r="2995" spans="1:30" x14ac:dyDescent="0.3">
      <c r="A2995" s="4">
        <v>3017</v>
      </c>
      <c r="B2995" s="5">
        <v>2988</v>
      </c>
      <c r="C2995">
        <v>896</v>
      </c>
      <c r="D2995" t="s">
        <v>3645</v>
      </c>
      <c r="E2995" t="s">
        <v>182</v>
      </c>
      <c r="F2995" t="s">
        <v>652</v>
      </c>
      <c r="G2995" t="s">
        <v>6273</v>
      </c>
      <c r="H2995" t="str">
        <f>"00531317"</f>
        <v>00531317</v>
      </c>
      <c r="I2995">
        <v>27.48</v>
      </c>
      <c r="J2995">
        <v>10</v>
      </c>
      <c r="N2995">
        <v>0</v>
      </c>
      <c r="O2995">
        <v>0</v>
      </c>
      <c r="P2995">
        <v>0</v>
      </c>
      <c r="Q2995">
        <v>37.479999999999997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D2995">
        <v>37.479999999999997</v>
      </c>
    </row>
    <row r="2996" spans="1:30" x14ac:dyDescent="0.3">
      <c r="A2996" s="4">
        <v>3018</v>
      </c>
      <c r="B2996" s="5">
        <v>2989</v>
      </c>
      <c r="C2996">
        <v>3717</v>
      </c>
      <c r="D2996" t="s">
        <v>860</v>
      </c>
      <c r="E2996" t="s">
        <v>170</v>
      </c>
      <c r="F2996" t="s">
        <v>328</v>
      </c>
      <c r="G2996" t="s">
        <v>6274</v>
      </c>
      <c r="H2996" t="str">
        <f>"00531077"</f>
        <v>00531077</v>
      </c>
      <c r="I2996">
        <v>20.399999999999999</v>
      </c>
      <c r="J2996">
        <v>0</v>
      </c>
      <c r="N2996">
        <v>0</v>
      </c>
      <c r="O2996">
        <v>4</v>
      </c>
      <c r="P2996">
        <v>0</v>
      </c>
      <c r="Q2996">
        <v>24.4</v>
      </c>
      <c r="R2996">
        <v>7</v>
      </c>
      <c r="S2996">
        <v>7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7</v>
      </c>
      <c r="AA2996">
        <v>6</v>
      </c>
      <c r="AB2996">
        <v>0</v>
      </c>
      <c r="AD2996">
        <v>37.4</v>
      </c>
    </row>
    <row r="2997" spans="1:30" x14ac:dyDescent="0.3">
      <c r="A2997" s="4">
        <v>3019</v>
      </c>
      <c r="B2997" s="5">
        <v>2990</v>
      </c>
      <c r="C2997">
        <v>3068</v>
      </c>
      <c r="D2997" t="s">
        <v>6275</v>
      </c>
      <c r="E2997" t="s">
        <v>6276</v>
      </c>
      <c r="F2997" t="s">
        <v>20</v>
      </c>
      <c r="G2997" t="s">
        <v>6277</v>
      </c>
      <c r="H2997" t="str">
        <f>"00190062"</f>
        <v>00190062</v>
      </c>
      <c r="I2997">
        <v>30.4</v>
      </c>
      <c r="J2997">
        <v>0</v>
      </c>
      <c r="N2997">
        <v>0</v>
      </c>
      <c r="O2997">
        <v>4</v>
      </c>
      <c r="P2997">
        <v>0</v>
      </c>
      <c r="Q2997">
        <v>34.4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3</v>
      </c>
      <c r="AB2997">
        <v>0</v>
      </c>
      <c r="AD2997">
        <v>37.4</v>
      </c>
    </row>
    <row r="2998" spans="1:30" x14ac:dyDescent="0.3">
      <c r="A2998" s="4">
        <v>3020</v>
      </c>
      <c r="B2998" s="5">
        <v>2991</v>
      </c>
      <c r="C2998">
        <v>1561</v>
      </c>
      <c r="D2998" t="s">
        <v>6278</v>
      </c>
      <c r="E2998" t="s">
        <v>22</v>
      </c>
      <c r="F2998" t="s">
        <v>117</v>
      </c>
      <c r="G2998" t="s">
        <v>6279</v>
      </c>
      <c r="H2998" t="str">
        <f>"201511041716"</f>
        <v>201511041716</v>
      </c>
      <c r="I2998">
        <v>14.4</v>
      </c>
      <c r="J2998">
        <v>10</v>
      </c>
      <c r="N2998">
        <v>0</v>
      </c>
      <c r="O2998">
        <v>4</v>
      </c>
      <c r="P2998">
        <v>2</v>
      </c>
      <c r="Q2998">
        <v>30.4</v>
      </c>
      <c r="R2998">
        <v>7</v>
      </c>
      <c r="S2998">
        <v>7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7</v>
      </c>
      <c r="AA2998">
        <v>0</v>
      </c>
      <c r="AB2998">
        <v>0</v>
      </c>
      <c r="AD2998">
        <v>37.4</v>
      </c>
    </row>
    <row r="2999" spans="1:30" x14ac:dyDescent="0.3">
      <c r="A2999" s="4">
        <v>3021</v>
      </c>
      <c r="B2999" s="5">
        <v>2992</v>
      </c>
      <c r="C2999">
        <v>1995</v>
      </c>
      <c r="D2999" t="s">
        <v>6280</v>
      </c>
      <c r="E2999" t="s">
        <v>132</v>
      </c>
      <c r="F2999" t="s">
        <v>17</v>
      </c>
      <c r="G2999" t="s">
        <v>6281</v>
      </c>
      <c r="H2999" t="str">
        <f>"00532519"</f>
        <v>00532519</v>
      </c>
      <c r="I2999">
        <v>12.28</v>
      </c>
      <c r="J2999">
        <v>0</v>
      </c>
      <c r="N2999">
        <v>0</v>
      </c>
      <c r="O2999">
        <v>4</v>
      </c>
      <c r="P2999">
        <v>2</v>
      </c>
      <c r="Q2999">
        <v>18.28</v>
      </c>
      <c r="R2999">
        <v>13</v>
      </c>
      <c r="S2999">
        <v>13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13</v>
      </c>
      <c r="AA2999">
        <v>6</v>
      </c>
      <c r="AB2999">
        <v>0</v>
      </c>
      <c r="AD2999">
        <v>37.28</v>
      </c>
    </row>
    <row r="3000" spans="1:30" x14ac:dyDescent="0.3">
      <c r="A3000" s="4">
        <v>3022</v>
      </c>
      <c r="B3000" s="5">
        <v>2993</v>
      </c>
      <c r="C3000">
        <v>4688</v>
      </c>
      <c r="D3000" t="s">
        <v>6282</v>
      </c>
      <c r="E3000" t="s">
        <v>54</v>
      </c>
      <c r="F3000" t="s">
        <v>17</v>
      </c>
      <c r="G3000" t="s">
        <v>6283</v>
      </c>
      <c r="H3000" t="str">
        <f>"00860666"</f>
        <v>00860666</v>
      </c>
      <c r="I3000">
        <v>37.200000000000003</v>
      </c>
      <c r="J3000">
        <v>0</v>
      </c>
      <c r="N3000">
        <v>0</v>
      </c>
      <c r="O3000">
        <v>0</v>
      </c>
      <c r="P3000">
        <v>0</v>
      </c>
      <c r="Q3000">
        <v>37.200000000000003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D3000">
        <v>37.200000000000003</v>
      </c>
    </row>
    <row r="3001" spans="1:30" x14ac:dyDescent="0.3">
      <c r="A3001" s="4">
        <v>3023</v>
      </c>
      <c r="B3001" s="5">
        <v>2994</v>
      </c>
      <c r="C3001">
        <v>1914</v>
      </c>
      <c r="D3001" t="s">
        <v>1230</v>
      </c>
      <c r="E3001" t="s">
        <v>88</v>
      </c>
      <c r="F3001" t="s">
        <v>20</v>
      </c>
      <c r="G3001" t="s">
        <v>6284</v>
      </c>
      <c r="H3001" t="str">
        <f>"00393531"</f>
        <v>00393531</v>
      </c>
      <c r="I3001">
        <v>37.200000000000003</v>
      </c>
      <c r="J3001">
        <v>0</v>
      </c>
      <c r="N3001">
        <v>0</v>
      </c>
      <c r="O3001">
        <v>0</v>
      </c>
      <c r="P3001">
        <v>0</v>
      </c>
      <c r="Q3001">
        <v>37.200000000000003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D3001">
        <v>37.200000000000003</v>
      </c>
    </row>
    <row r="3002" spans="1:30" x14ac:dyDescent="0.3">
      <c r="A3002" s="4">
        <v>3024</v>
      </c>
      <c r="B3002" s="5">
        <v>2995</v>
      </c>
      <c r="C3002">
        <v>4819</v>
      </c>
      <c r="D3002" t="s">
        <v>3467</v>
      </c>
      <c r="E3002" t="s">
        <v>1576</v>
      </c>
      <c r="F3002" t="s">
        <v>892</v>
      </c>
      <c r="G3002" t="s">
        <v>6285</v>
      </c>
      <c r="H3002" t="str">
        <f>"00297886"</f>
        <v>00297886</v>
      </c>
      <c r="I3002">
        <v>37.200000000000003</v>
      </c>
      <c r="J3002">
        <v>0</v>
      </c>
      <c r="N3002">
        <v>0</v>
      </c>
      <c r="O3002">
        <v>0</v>
      </c>
      <c r="P3002">
        <v>0</v>
      </c>
      <c r="Q3002">
        <v>37.200000000000003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D3002">
        <v>37.200000000000003</v>
      </c>
    </row>
    <row r="3003" spans="1:30" x14ac:dyDescent="0.3">
      <c r="A3003" s="4">
        <v>3025</v>
      </c>
      <c r="B3003" s="5">
        <v>2996</v>
      </c>
      <c r="C3003">
        <v>4226</v>
      </c>
      <c r="D3003" t="s">
        <v>6286</v>
      </c>
      <c r="E3003" t="s">
        <v>41</v>
      </c>
      <c r="F3003" t="s">
        <v>52</v>
      </c>
      <c r="G3003" t="s">
        <v>6287</v>
      </c>
      <c r="H3003" t="str">
        <f>"00859408"</f>
        <v>00859408</v>
      </c>
      <c r="I3003">
        <v>37.200000000000003</v>
      </c>
      <c r="J3003">
        <v>0</v>
      </c>
      <c r="N3003">
        <v>0</v>
      </c>
      <c r="O3003">
        <v>0</v>
      </c>
      <c r="P3003">
        <v>0</v>
      </c>
      <c r="Q3003">
        <v>37.200000000000003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D3003">
        <v>37.200000000000003</v>
      </c>
    </row>
    <row r="3004" spans="1:30" x14ac:dyDescent="0.3">
      <c r="A3004" s="4">
        <v>3026</v>
      </c>
      <c r="B3004" s="5">
        <v>2997</v>
      </c>
      <c r="C3004">
        <v>1708</v>
      </c>
      <c r="D3004" t="s">
        <v>6288</v>
      </c>
      <c r="E3004" t="s">
        <v>161</v>
      </c>
      <c r="F3004" t="s">
        <v>3130</v>
      </c>
      <c r="G3004" t="s">
        <v>6289</v>
      </c>
      <c r="H3004" t="str">
        <f>"00723113"</f>
        <v>00723113</v>
      </c>
      <c r="I3004">
        <v>31.2</v>
      </c>
      <c r="J3004">
        <v>0</v>
      </c>
      <c r="N3004">
        <v>0</v>
      </c>
      <c r="O3004">
        <v>4</v>
      </c>
      <c r="P3004">
        <v>2</v>
      </c>
      <c r="Q3004">
        <v>37.200000000000003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D3004">
        <v>37.200000000000003</v>
      </c>
    </row>
    <row r="3005" spans="1:30" x14ac:dyDescent="0.3">
      <c r="A3005" s="4">
        <v>3027</v>
      </c>
      <c r="B3005" s="5">
        <v>2998</v>
      </c>
      <c r="C3005">
        <v>155</v>
      </c>
      <c r="D3005" t="s">
        <v>6290</v>
      </c>
      <c r="E3005" t="s">
        <v>22</v>
      </c>
      <c r="F3005" t="s">
        <v>375</v>
      </c>
      <c r="G3005" t="s">
        <v>6291</v>
      </c>
      <c r="H3005" t="str">
        <f>"00473591"</f>
        <v>00473591</v>
      </c>
      <c r="I3005">
        <v>27.2</v>
      </c>
      <c r="J3005">
        <v>0</v>
      </c>
      <c r="M3005">
        <v>4</v>
      </c>
      <c r="N3005">
        <v>4</v>
      </c>
      <c r="O3005">
        <v>4</v>
      </c>
      <c r="P3005">
        <v>2</v>
      </c>
      <c r="Q3005">
        <v>37.200000000000003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D3005">
        <v>37.200000000000003</v>
      </c>
    </row>
    <row r="3006" spans="1:30" x14ac:dyDescent="0.3">
      <c r="A3006" s="4">
        <v>3028</v>
      </c>
      <c r="B3006" s="5">
        <v>2999</v>
      </c>
      <c r="C3006">
        <v>4287</v>
      </c>
      <c r="D3006" t="s">
        <v>6292</v>
      </c>
      <c r="E3006" t="s">
        <v>6293</v>
      </c>
      <c r="F3006" t="s">
        <v>117</v>
      </c>
      <c r="G3006" t="s">
        <v>6294</v>
      </c>
      <c r="H3006" t="str">
        <f>"201511026874"</f>
        <v>201511026874</v>
      </c>
      <c r="I3006">
        <v>8</v>
      </c>
      <c r="J3006">
        <v>10</v>
      </c>
      <c r="M3006">
        <v>4</v>
      </c>
      <c r="N3006">
        <v>4</v>
      </c>
      <c r="O3006">
        <v>4</v>
      </c>
      <c r="P3006">
        <v>0</v>
      </c>
      <c r="Q3006">
        <v>26</v>
      </c>
      <c r="R3006">
        <v>5</v>
      </c>
      <c r="S3006">
        <v>5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5</v>
      </c>
      <c r="AA3006">
        <v>6</v>
      </c>
      <c r="AB3006">
        <v>0</v>
      </c>
      <c r="AD3006">
        <v>37</v>
      </c>
    </row>
    <row r="3007" spans="1:30" x14ac:dyDescent="0.3">
      <c r="A3007" s="4">
        <v>3029</v>
      </c>
      <c r="B3007" s="5">
        <v>3000</v>
      </c>
      <c r="C3007">
        <v>2622</v>
      </c>
      <c r="D3007" t="s">
        <v>2460</v>
      </c>
      <c r="E3007" t="s">
        <v>161</v>
      </c>
      <c r="F3007" t="s">
        <v>68</v>
      </c>
      <c r="G3007" t="s">
        <v>6295</v>
      </c>
      <c r="H3007" t="str">
        <f>"00806268"</f>
        <v>00806268</v>
      </c>
      <c r="I3007">
        <v>26.84</v>
      </c>
      <c r="J3007">
        <v>0</v>
      </c>
      <c r="N3007">
        <v>0</v>
      </c>
      <c r="O3007">
        <v>4</v>
      </c>
      <c r="P3007">
        <v>0</v>
      </c>
      <c r="Q3007">
        <v>30.84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6</v>
      </c>
      <c r="AB3007">
        <v>0</v>
      </c>
      <c r="AD3007">
        <v>36.840000000000003</v>
      </c>
    </row>
    <row r="3008" spans="1:30" x14ac:dyDescent="0.3">
      <c r="A3008" s="4">
        <v>3030</v>
      </c>
      <c r="B3008" s="5">
        <v>3001</v>
      </c>
      <c r="C3008">
        <v>4746</v>
      </c>
      <c r="D3008" t="s">
        <v>6296</v>
      </c>
      <c r="E3008" t="s">
        <v>6297</v>
      </c>
      <c r="F3008" t="s">
        <v>68</v>
      </c>
      <c r="G3008" t="s">
        <v>6298</v>
      </c>
      <c r="H3008" t="str">
        <f>"00473416"</f>
        <v>00473416</v>
      </c>
      <c r="I3008">
        <v>28.8</v>
      </c>
      <c r="J3008">
        <v>0</v>
      </c>
      <c r="N3008">
        <v>0</v>
      </c>
      <c r="O3008">
        <v>0</v>
      </c>
      <c r="P3008">
        <v>2</v>
      </c>
      <c r="Q3008">
        <v>30.8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6</v>
      </c>
      <c r="AB3008">
        <v>0</v>
      </c>
      <c r="AD3008">
        <v>36.799999999999997</v>
      </c>
    </row>
    <row r="3009" spans="1:30" x14ac:dyDescent="0.3">
      <c r="A3009" s="4">
        <v>3031</v>
      </c>
      <c r="B3009" s="5">
        <v>3002</v>
      </c>
      <c r="C3009">
        <v>2969</v>
      </c>
      <c r="D3009" t="s">
        <v>6299</v>
      </c>
      <c r="E3009" t="s">
        <v>41</v>
      </c>
      <c r="F3009" t="s">
        <v>892</v>
      </c>
      <c r="G3009" t="s">
        <v>6300</v>
      </c>
      <c r="H3009" t="str">
        <f>"00864437"</f>
        <v>00864437</v>
      </c>
      <c r="I3009">
        <v>28.8</v>
      </c>
      <c r="J3009">
        <v>0</v>
      </c>
      <c r="N3009">
        <v>0</v>
      </c>
      <c r="O3009">
        <v>0</v>
      </c>
      <c r="P3009">
        <v>2</v>
      </c>
      <c r="Q3009">
        <v>30.8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6</v>
      </c>
      <c r="AB3009">
        <v>0</v>
      </c>
      <c r="AD3009">
        <v>36.799999999999997</v>
      </c>
    </row>
    <row r="3010" spans="1:30" x14ac:dyDescent="0.3">
      <c r="A3010" s="4">
        <v>3032</v>
      </c>
      <c r="B3010" s="5">
        <v>3003</v>
      </c>
      <c r="C3010">
        <v>3269</v>
      </c>
      <c r="D3010" t="s">
        <v>3649</v>
      </c>
      <c r="E3010" t="s">
        <v>166</v>
      </c>
      <c r="F3010" t="s">
        <v>17</v>
      </c>
      <c r="G3010" t="s">
        <v>6301</v>
      </c>
      <c r="H3010" t="str">
        <f>"00861087"</f>
        <v>00861087</v>
      </c>
      <c r="I3010">
        <v>36.799999999999997</v>
      </c>
      <c r="J3010">
        <v>0</v>
      </c>
      <c r="N3010">
        <v>0</v>
      </c>
      <c r="O3010">
        <v>0</v>
      </c>
      <c r="P3010">
        <v>0</v>
      </c>
      <c r="Q3010">
        <v>36.799999999999997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D3010">
        <v>36.799999999999997</v>
      </c>
    </row>
    <row r="3011" spans="1:30" x14ac:dyDescent="0.3">
      <c r="A3011" s="4">
        <v>3033</v>
      </c>
      <c r="B3011" s="5">
        <v>3004</v>
      </c>
      <c r="C3011">
        <v>4213</v>
      </c>
      <c r="D3011" t="s">
        <v>6302</v>
      </c>
      <c r="E3011" t="s">
        <v>143</v>
      </c>
      <c r="F3011" t="s">
        <v>20</v>
      </c>
      <c r="G3011" t="s">
        <v>6303</v>
      </c>
      <c r="H3011" t="str">
        <f>"00188593"</f>
        <v>00188593</v>
      </c>
      <c r="I3011">
        <v>28.8</v>
      </c>
      <c r="J3011">
        <v>0</v>
      </c>
      <c r="M3011">
        <v>4</v>
      </c>
      <c r="N3011">
        <v>4</v>
      </c>
      <c r="O3011">
        <v>4</v>
      </c>
      <c r="P3011">
        <v>0</v>
      </c>
      <c r="Q3011">
        <v>36.799999999999997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D3011">
        <v>36.799999999999997</v>
      </c>
    </row>
    <row r="3012" spans="1:30" x14ac:dyDescent="0.3">
      <c r="A3012" s="4">
        <v>3034</v>
      </c>
      <c r="B3012" s="5">
        <v>3005</v>
      </c>
      <c r="C3012">
        <v>4736</v>
      </c>
      <c r="D3012" t="s">
        <v>6304</v>
      </c>
      <c r="E3012" t="s">
        <v>132</v>
      </c>
      <c r="F3012" t="s">
        <v>17</v>
      </c>
      <c r="G3012" t="s">
        <v>6305</v>
      </c>
      <c r="H3012" t="str">
        <f>"00866387"</f>
        <v>00866387</v>
      </c>
      <c r="I3012">
        <v>28.8</v>
      </c>
      <c r="J3012">
        <v>0</v>
      </c>
      <c r="M3012">
        <v>4</v>
      </c>
      <c r="N3012">
        <v>4</v>
      </c>
      <c r="O3012">
        <v>4</v>
      </c>
      <c r="P3012">
        <v>0</v>
      </c>
      <c r="Q3012">
        <v>36.799999999999997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D3012">
        <v>36.799999999999997</v>
      </c>
    </row>
    <row r="3013" spans="1:30" x14ac:dyDescent="0.3">
      <c r="A3013" s="4">
        <v>3035</v>
      </c>
      <c r="B3013" s="5">
        <v>3006</v>
      </c>
      <c r="C3013">
        <v>2312</v>
      </c>
      <c r="D3013" t="s">
        <v>3356</v>
      </c>
      <c r="E3013" t="s">
        <v>161</v>
      </c>
      <c r="F3013" t="s">
        <v>3516</v>
      </c>
      <c r="G3013" t="s">
        <v>6306</v>
      </c>
      <c r="H3013" t="str">
        <f>"00113775"</f>
        <v>00113775</v>
      </c>
      <c r="I3013">
        <v>28.8</v>
      </c>
      <c r="J3013">
        <v>0</v>
      </c>
      <c r="M3013">
        <v>4</v>
      </c>
      <c r="N3013">
        <v>4</v>
      </c>
      <c r="O3013">
        <v>4</v>
      </c>
      <c r="P3013">
        <v>0</v>
      </c>
      <c r="Q3013">
        <v>36.799999999999997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D3013">
        <v>36.799999999999997</v>
      </c>
    </row>
    <row r="3014" spans="1:30" x14ac:dyDescent="0.3">
      <c r="A3014" s="4">
        <v>3036</v>
      </c>
      <c r="B3014" s="5">
        <v>3007</v>
      </c>
      <c r="C3014">
        <v>4334</v>
      </c>
      <c r="D3014" t="s">
        <v>5008</v>
      </c>
      <c r="E3014" t="s">
        <v>789</v>
      </c>
      <c r="F3014" t="s">
        <v>34</v>
      </c>
      <c r="G3014" t="s">
        <v>6307</v>
      </c>
      <c r="H3014" t="str">
        <f>"00795917"</f>
        <v>00795917</v>
      </c>
      <c r="I3014">
        <v>28.8</v>
      </c>
      <c r="J3014">
        <v>0</v>
      </c>
      <c r="M3014">
        <v>4</v>
      </c>
      <c r="N3014">
        <v>4</v>
      </c>
      <c r="O3014">
        <v>4</v>
      </c>
      <c r="P3014">
        <v>0</v>
      </c>
      <c r="Q3014">
        <v>36.799999999999997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D3014">
        <v>36.799999999999997</v>
      </c>
    </row>
    <row r="3015" spans="1:30" x14ac:dyDescent="0.3">
      <c r="A3015" s="4">
        <v>3037</v>
      </c>
      <c r="B3015" s="5">
        <v>3008</v>
      </c>
      <c r="C3015">
        <v>4235</v>
      </c>
      <c r="D3015" t="s">
        <v>6308</v>
      </c>
      <c r="E3015" t="s">
        <v>188</v>
      </c>
      <c r="F3015" t="s">
        <v>17</v>
      </c>
      <c r="G3015" t="s">
        <v>6309</v>
      </c>
      <c r="H3015" t="str">
        <f>"00864679"</f>
        <v>00864679</v>
      </c>
      <c r="I3015">
        <v>28.8</v>
      </c>
      <c r="J3015">
        <v>0</v>
      </c>
      <c r="M3015">
        <v>4</v>
      </c>
      <c r="N3015">
        <v>4</v>
      </c>
      <c r="O3015">
        <v>4</v>
      </c>
      <c r="P3015">
        <v>0</v>
      </c>
      <c r="Q3015">
        <v>36.799999999999997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D3015">
        <v>36.799999999999997</v>
      </c>
    </row>
    <row r="3016" spans="1:30" x14ac:dyDescent="0.3">
      <c r="A3016" s="4">
        <v>3038</v>
      </c>
      <c r="B3016" s="5">
        <v>3009</v>
      </c>
      <c r="C3016">
        <v>3278</v>
      </c>
      <c r="D3016" t="s">
        <v>6310</v>
      </c>
      <c r="E3016" t="s">
        <v>471</v>
      </c>
      <c r="F3016" t="s">
        <v>17</v>
      </c>
      <c r="G3016" t="s">
        <v>6311</v>
      </c>
      <c r="H3016" t="str">
        <f>"00858973"</f>
        <v>00858973</v>
      </c>
      <c r="I3016">
        <v>28.8</v>
      </c>
      <c r="J3016">
        <v>0</v>
      </c>
      <c r="K3016">
        <v>8</v>
      </c>
      <c r="N3016">
        <v>8</v>
      </c>
      <c r="O3016">
        <v>0</v>
      </c>
      <c r="P3016">
        <v>0</v>
      </c>
      <c r="Q3016">
        <v>36.799999999999997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D3016">
        <v>36.799999999999997</v>
      </c>
    </row>
    <row r="3017" spans="1:30" x14ac:dyDescent="0.3">
      <c r="A3017" s="4">
        <v>3039</v>
      </c>
      <c r="B3017" s="5">
        <v>3010</v>
      </c>
      <c r="C3017">
        <v>1042</v>
      </c>
      <c r="D3017" t="s">
        <v>6312</v>
      </c>
      <c r="E3017" t="s">
        <v>41</v>
      </c>
      <c r="F3017" t="s">
        <v>1265</v>
      </c>
      <c r="G3017" t="s">
        <v>6313</v>
      </c>
      <c r="H3017" t="str">
        <f>"00527498"</f>
        <v>00527498</v>
      </c>
      <c r="I3017">
        <v>28.8</v>
      </c>
      <c r="J3017">
        <v>0</v>
      </c>
      <c r="M3017">
        <v>4</v>
      </c>
      <c r="N3017">
        <v>4</v>
      </c>
      <c r="O3017">
        <v>4</v>
      </c>
      <c r="P3017">
        <v>0</v>
      </c>
      <c r="Q3017">
        <v>36.799999999999997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D3017">
        <v>36.799999999999997</v>
      </c>
    </row>
    <row r="3018" spans="1:30" x14ac:dyDescent="0.3">
      <c r="A3018" s="4">
        <v>3040</v>
      </c>
      <c r="B3018" s="5">
        <v>3011</v>
      </c>
      <c r="C3018">
        <v>4879</v>
      </c>
      <c r="D3018" t="s">
        <v>6314</v>
      </c>
      <c r="E3018" t="s">
        <v>6315</v>
      </c>
      <c r="F3018" t="s">
        <v>6316</v>
      </c>
      <c r="G3018" t="s">
        <v>6317</v>
      </c>
      <c r="H3018" t="str">
        <f>"00190979"</f>
        <v>00190979</v>
      </c>
      <c r="I3018">
        <v>28.8</v>
      </c>
      <c r="J3018">
        <v>0</v>
      </c>
      <c r="M3018">
        <v>4</v>
      </c>
      <c r="N3018">
        <v>4</v>
      </c>
      <c r="O3018">
        <v>4</v>
      </c>
      <c r="P3018">
        <v>0</v>
      </c>
      <c r="Q3018">
        <v>36.799999999999997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D3018">
        <v>36.799999999999997</v>
      </c>
    </row>
    <row r="3019" spans="1:30" x14ac:dyDescent="0.3">
      <c r="A3019" s="4">
        <v>3041</v>
      </c>
      <c r="B3019" s="5">
        <v>3012</v>
      </c>
      <c r="C3019">
        <v>4964</v>
      </c>
      <c r="D3019" t="s">
        <v>6318</v>
      </c>
      <c r="E3019" t="s">
        <v>935</v>
      </c>
      <c r="F3019" t="s">
        <v>230</v>
      </c>
      <c r="G3019" t="s">
        <v>6319</v>
      </c>
      <c r="H3019" t="str">
        <f>"00860026"</f>
        <v>00860026</v>
      </c>
      <c r="I3019">
        <v>28.8</v>
      </c>
      <c r="J3019">
        <v>0</v>
      </c>
      <c r="M3019">
        <v>4</v>
      </c>
      <c r="N3019">
        <v>4</v>
      </c>
      <c r="O3019">
        <v>4</v>
      </c>
      <c r="P3019">
        <v>0</v>
      </c>
      <c r="Q3019">
        <v>36.799999999999997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D3019">
        <v>36.799999999999997</v>
      </c>
    </row>
    <row r="3020" spans="1:30" x14ac:dyDescent="0.3">
      <c r="A3020" s="4">
        <v>3042</v>
      </c>
      <c r="B3020" s="5">
        <v>3013</v>
      </c>
      <c r="C3020">
        <v>3317</v>
      </c>
      <c r="D3020" t="s">
        <v>6320</v>
      </c>
      <c r="E3020" t="s">
        <v>1189</v>
      </c>
      <c r="F3020" t="s">
        <v>6321</v>
      </c>
      <c r="G3020" t="s">
        <v>6322</v>
      </c>
      <c r="H3020" t="str">
        <f>"00810390"</f>
        <v>00810390</v>
      </c>
      <c r="I3020">
        <v>28.8</v>
      </c>
      <c r="J3020">
        <v>0</v>
      </c>
      <c r="M3020">
        <v>4</v>
      </c>
      <c r="N3020">
        <v>4</v>
      </c>
      <c r="O3020">
        <v>4</v>
      </c>
      <c r="P3020">
        <v>0</v>
      </c>
      <c r="Q3020">
        <v>36.799999999999997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D3020">
        <v>36.799999999999997</v>
      </c>
    </row>
    <row r="3021" spans="1:30" x14ac:dyDescent="0.3">
      <c r="A3021" s="4">
        <v>3043</v>
      </c>
      <c r="B3021" s="5">
        <v>3014</v>
      </c>
      <c r="C3021">
        <v>3450</v>
      </c>
      <c r="D3021" t="s">
        <v>496</v>
      </c>
      <c r="E3021" t="s">
        <v>1277</v>
      </c>
      <c r="F3021" t="s">
        <v>81</v>
      </c>
      <c r="G3021" t="s">
        <v>6323</v>
      </c>
      <c r="H3021" t="str">
        <f>"00862102"</f>
        <v>00862102</v>
      </c>
      <c r="I3021">
        <v>30.76</v>
      </c>
      <c r="J3021">
        <v>0</v>
      </c>
      <c r="N3021">
        <v>0</v>
      </c>
      <c r="O3021">
        <v>0</v>
      </c>
      <c r="P3021">
        <v>0</v>
      </c>
      <c r="Q3021">
        <v>30.76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6</v>
      </c>
      <c r="AB3021">
        <v>0</v>
      </c>
      <c r="AD3021">
        <v>36.76</v>
      </c>
    </row>
    <row r="3022" spans="1:30" x14ac:dyDescent="0.3">
      <c r="A3022" s="4">
        <v>3044</v>
      </c>
      <c r="B3022" s="5">
        <v>3015</v>
      </c>
      <c r="C3022">
        <v>4504</v>
      </c>
      <c r="D3022" t="s">
        <v>6324</v>
      </c>
      <c r="E3022" t="s">
        <v>51</v>
      </c>
      <c r="F3022" t="s">
        <v>230</v>
      </c>
      <c r="G3022" t="s">
        <v>6325</v>
      </c>
      <c r="H3022" t="str">
        <f>"00858654"</f>
        <v>00858654</v>
      </c>
      <c r="I3022">
        <v>27.64</v>
      </c>
      <c r="J3022">
        <v>0</v>
      </c>
      <c r="N3022">
        <v>0</v>
      </c>
      <c r="O3022">
        <v>0</v>
      </c>
      <c r="P3022">
        <v>0</v>
      </c>
      <c r="Q3022">
        <v>27.64</v>
      </c>
      <c r="R3022">
        <v>9</v>
      </c>
      <c r="S3022">
        <v>9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9</v>
      </c>
      <c r="AA3022">
        <v>0</v>
      </c>
      <c r="AB3022">
        <v>0</v>
      </c>
      <c r="AD3022">
        <v>36.64</v>
      </c>
    </row>
    <row r="3023" spans="1:30" x14ac:dyDescent="0.3">
      <c r="A3023" s="4">
        <v>3045</v>
      </c>
      <c r="B3023" s="5">
        <v>3016</v>
      </c>
      <c r="C3023">
        <v>2321</v>
      </c>
      <c r="D3023" t="s">
        <v>74</v>
      </c>
      <c r="E3023" t="s">
        <v>110</v>
      </c>
      <c r="F3023" t="s">
        <v>243</v>
      </c>
      <c r="G3023" t="s">
        <v>6326</v>
      </c>
      <c r="H3023" t="str">
        <f>"00860539"</f>
        <v>00860539</v>
      </c>
      <c r="I3023">
        <v>21.6</v>
      </c>
      <c r="J3023">
        <v>0</v>
      </c>
      <c r="L3023">
        <v>6</v>
      </c>
      <c r="N3023">
        <v>6</v>
      </c>
      <c r="O3023">
        <v>0</v>
      </c>
      <c r="P3023">
        <v>0</v>
      </c>
      <c r="Q3023">
        <v>27.6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9</v>
      </c>
      <c r="AB3023">
        <v>0</v>
      </c>
      <c r="AD3023">
        <v>36.6</v>
      </c>
    </row>
    <row r="3024" spans="1:30" x14ac:dyDescent="0.3">
      <c r="A3024" s="4">
        <v>3046</v>
      </c>
      <c r="B3024" s="5">
        <v>3017</v>
      </c>
      <c r="C3024">
        <v>1425</v>
      </c>
      <c r="D3024" t="s">
        <v>6327</v>
      </c>
      <c r="E3024" t="s">
        <v>283</v>
      </c>
      <c r="F3024" t="s">
        <v>38</v>
      </c>
      <c r="G3024" t="s">
        <v>6328</v>
      </c>
      <c r="H3024" t="str">
        <f>"00190244"</f>
        <v>00190244</v>
      </c>
      <c r="I3024">
        <v>21.6</v>
      </c>
      <c r="J3024">
        <v>0</v>
      </c>
      <c r="M3024">
        <v>4</v>
      </c>
      <c r="N3024">
        <v>4</v>
      </c>
      <c r="O3024">
        <v>4</v>
      </c>
      <c r="P3024">
        <v>2</v>
      </c>
      <c r="Q3024">
        <v>31.6</v>
      </c>
      <c r="R3024">
        <v>5</v>
      </c>
      <c r="S3024">
        <v>5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5</v>
      </c>
      <c r="AA3024">
        <v>0</v>
      </c>
      <c r="AB3024">
        <v>0</v>
      </c>
      <c r="AD3024">
        <v>36.6</v>
      </c>
    </row>
    <row r="3025" spans="1:30" x14ac:dyDescent="0.3">
      <c r="A3025" s="4">
        <v>3047</v>
      </c>
      <c r="B3025" s="5">
        <v>3018</v>
      </c>
      <c r="C3025">
        <v>2454</v>
      </c>
      <c r="D3025" t="s">
        <v>1661</v>
      </c>
      <c r="E3025" t="s">
        <v>6329</v>
      </c>
      <c r="F3025" t="s">
        <v>328</v>
      </c>
      <c r="G3025" t="s">
        <v>6330</v>
      </c>
      <c r="H3025" t="str">
        <f>"00533846"</f>
        <v>00533846</v>
      </c>
      <c r="I3025">
        <v>21.6</v>
      </c>
      <c r="J3025">
        <v>0</v>
      </c>
      <c r="M3025">
        <v>4</v>
      </c>
      <c r="N3025">
        <v>4</v>
      </c>
      <c r="O3025">
        <v>4</v>
      </c>
      <c r="P3025">
        <v>0</v>
      </c>
      <c r="Q3025">
        <v>29.6</v>
      </c>
      <c r="R3025">
        <v>7</v>
      </c>
      <c r="S3025">
        <v>7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7</v>
      </c>
      <c r="AA3025">
        <v>0</v>
      </c>
      <c r="AB3025">
        <v>0</v>
      </c>
      <c r="AD3025">
        <v>36.6</v>
      </c>
    </row>
    <row r="3026" spans="1:30" x14ac:dyDescent="0.3">
      <c r="A3026" s="4">
        <v>3048</v>
      </c>
      <c r="B3026" s="5">
        <v>3019</v>
      </c>
      <c r="C3026">
        <v>2541</v>
      </c>
      <c r="D3026" t="s">
        <v>2760</v>
      </c>
      <c r="E3026" t="s">
        <v>550</v>
      </c>
      <c r="F3026" t="s">
        <v>17</v>
      </c>
      <c r="G3026" t="s">
        <v>6331</v>
      </c>
      <c r="H3026" t="str">
        <f>"00477395"</f>
        <v>00477395</v>
      </c>
      <c r="I3026">
        <v>21.6</v>
      </c>
      <c r="J3026">
        <v>0</v>
      </c>
      <c r="N3026">
        <v>0</v>
      </c>
      <c r="O3026">
        <v>4</v>
      </c>
      <c r="P3026">
        <v>2</v>
      </c>
      <c r="Q3026">
        <v>27.6</v>
      </c>
      <c r="R3026">
        <v>9</v>
      </c>
      <c r="S3026">
        <v>9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9</v>
      </c>
      <c r="AA3026">
        <v>0</v>
      </c>
      <c r="AB3026">
        <v>0</v>
      </c>
      <c r="AD3026">
        <v>36.6</v>
      </c>
    </row>
    <row r="3027" spans="1:30" x14ac:dyDescent="0.3">
      <c r="A3027" s="4">
        <v>3049</v>
      </c>
      <c r="B3027" s="5">
        <v>3020</v>
      </c>
      <c r="C3027">
        <v>807</v>
      </c>
      <c r="D3027" t="s">
        <v>6332</v>
      </c>
      <c r="E3027" t="s">
        <v>88</v>
      </c>
      <c r="F3027" t="s">
        <v>20</v>
      </c>
      <c r="G3027" t="s">
        <v>6333</v>
      </c>
      <c r="H3027" t="str">
        <f>"00557318"</f>
        <v>00557318</v>
      </c>
      <c r="I3027">
        <v>16.559999999999999</v>
      </c>
      <c r="J3027">
        <v>10</v>
      </c>
      <c r="N3027">
        <v>0</v>
      </c>
      <c r="O3027">
        <v>4</v>
      </c>
      <c r="P3027">
        <v>0</v>
      </c>
      <c r="Q3027">
        <v>30.56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6</v>
      </c>
      <c r="AB3027">
        <v>0</v>
      </c>
      <c r="AD3027">
        <v>36.56</v>
      </c>
    </row>
    <row r="3028" spans="1:30" x14ac:dyDescent="0.3">
      <c r="A3028" s="4">
        <v>3050</v>
      </c>
      <c r="B3028" s="5">
        <v>3021</v>
      </c>
      <c r="C3028">
        <v>2059</v>
      </c>
      <c r="D3028" t="s">
        <v>1287</v>
      </c>
      <c r="E3028" t="s">
        <v>100</v>
      </c>
      <c r="F3028" t="s">
        <v>1812</v>
      </c>
      <c r="G3028" t="s">
        <v>6334</v>
      </c>
      <c r="H3028" t="str">
        <f>"00710723"</f>
        <v>00710723</v>
      </c>
      <c r="I3028">
        <v>23.48</v>
      </c>
      <c r="J3028">
        <v>0</v>
      </c>
      <c r="N3028">
        <v>0</v>
      </c>
      <c r="O3028">
        <v>4</v>
      </c>
      <c r="P3028">
        <v>0</v>
      </c>
      <c r="Q3028">
        <v>27.48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9</v>
      </c>
      <c r="AB3028">
        <v>0</v>
      </c>
      <c r="AD3028">
        <v>36.479999999999997</v>
      </c>
    </row>
    <row r="3029" spans="1:30" x14ac:dyDescent="0.3">
      <c r="A3029" s="4">
        <v>3051</v>
      </c>
      <c r="B3029" s="5">
        <v>3022</v>
      </c>
      <c r="C3029">
        <v>4560</v>
      </c>
      <c r="D3029" t="s">
        <v>932</v>
      </c>
      <c r="E3029" t="s">
        <v>789</v>
      </c>
      <c r="F3029" t="s">
        <v>649</v>
      </c>
      <c r="G3029" t="s">
        <v>6335</v>
      </c>
      <c r="H3029" t="str">
        <f>"00866636"</f>
        <v>00866636</v>
      </c>
      <c r="I3029">
        <v>32.44</v>
      </c>
      <c r="J3029">
        <v>0</v>
      </c>
      <c r="N3029">
        <v>0</v>
      </c>
      <c r="O3029">
        <v>4</v>
      </c>
      <c r="P3029">
        <v>0</v>
      </c>
      <c r="Q3029">
        <v>36.44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D3029">
        <v>36.44</v>
      </c>
    </row>
    <row r="3030" spans="1:30" x14ac:dyDescent="0.3">
      <c r="A3030" s="4">
        <v>3052</v>
      </c>
      <c r="B3030" s="5">
        <v>3023</v>
      </c>
      <c r="C3030">
        <v>3362</v>
      </c>
      <c r="D3030" t="s">
        <v>6336</v>
      </c>
      <c r="E3030" t="s">
        <v>100</v>
      </c>
      <c r="F3030" t="s">
        <v>20</v>
      </c>
      <c r="G3030" t="s">
        <v>6337</v>
      </c>
      <c r="H3030" t="str">
        <f>"00860018"</f>
        <v>00860018</v>
      </c>
      <c r="I3030">
        <v>27.4</v>
      </c>
      <c r="J3030">
        <v>0</v>
      </c>
      <c r="N3030">
        <v>0</v>
      </c>
      <c r="O3030">
        <v>0</v>
      </c>
      <c r="P3030">
        <v>0</v>
      </c>
      <c r="Q3030">
        <v>27.4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9</v>
      </c>
      <c r="AB3030">
        <v>0</v>
      </c>
      <c r="AD3030">
        <v>36.4</v>
      </c>
    </row>
    <row r="3031" spans="1:30" x14ac:dyDescent="0.3">
      <c r="A3031" s="4">
        <v>3053</v>
      </c>
      <c r="B3031" s="5">
        <v>3024</v>
      </c>
      <c r="C3031">
        <v>418</v>
      </c>
      <c r="D3031" t="s">
        <v>1250</v>
      </c>
      <c r="E3031" t="s">
        <v>1659</v>
      </c>
      <c r="F3031" t="s">
        <v>136</v>
      </c>
      <c r="G3031" t="s">
        <v>6338</v>
      </c>
      <c r="H3031" t="str">
        <f>"200802004444"</f>
        <v>200802004444</v>
      </c>
      <c r="I3031">
        <v>14.4</v>
      </c>
      <c r="J3031">
        <v>10</v>
      </c>
      <c r="K3031">
        <v>8</v>
      </c>
      <c r="N3031">
        <v>8</v>
      </c>
      <c r="O3031">
        <v>4</v>
      </c>
      <c r="P3031">
        <v>0</v>
      </c>
      <c r="Q3031">
        <v>36.4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D3031">
        <v>36.4</v>
      </c>
    </row>
    <row r="3032" spans="1:30" x14ac:dyDescent="0.3">
      <c r="A3032" s="4">
        <v>3054</v>
      </c>
      <c r="B3032" s="5">
        <v>3025</v>
      </c>
      <c r="C3032">
        <v>1011</v>
      </c>
      <c r="D3032" t="s">
        <v>3181</v>
      </c>
      <c r="E3032" t="s">
        <v>286</v>
      </c>
      <c r="F3032" t="s">
        <v>68</v>
      </c>
      <c r="G3032" t="s">
        <v>6339</v>
      </c>
      <c r="H3032" t="str">
        <f>"00530140"</f>
        <v>00530140</v>
      </c>
      <c r="I3032">
        <v>20.399999999999999</v>
      </c>
      <c r="J3032">
        <v>0</v>
      </c>
      <c r="N3032">
        <v>0</v>
      </c>
      <c r="O3032">
        <v>0</v>
      </c>
      <c r="P3032">
        <v>0</v>
      </c>
      <c r="Q3032">
        <v>20.399999999999999</v>
      </c>
      <c r="R3032">
        <v>16</v>
      </c>
      <c r="S3032">
        <v>16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16</v>
      </c>
      <c r="AA3032">
        <v>0</v>
      </c>
      <c r="AB3032">
        <v>0</v>
      </c>
      <c r="AD3032">
        <v>36.4</v>
      </c>
    </row>
    <row r="3033" spans="1:30" x14ac:dyDescent="0.3">
      <c r="A3033" s="4">
        <v>3055</v>
      </c>
      <c r="B3033" s="5">
        <v>3026</v>
      </c>
      <c r="C3033">
        <v>1861</v>
      </c>
      <c r="D3033" t="s">
        <v>6340</v>
      </c>
      <c r="E3033" t="s">
        <v>132</v>
      </c>
      <c r="F3033" t="s">
        <v>158</v>
      </c>
      <c r="G3033" t="s">
        <v>6341</v>
      </c>
      <c r="H3033" t="str">
        <f>"201511032183"</f>
        <v>201511032183</v>
      </c>
      <c r="I3033">
        <v>32.36</v>
      </c>
      <c r="J3033">
        <v>0</v>
      </c>
      <c r="N3033">
        <v>0</v>
      </c>
      <c r="O3033">
        <v>4</v>
      </c>
      <c r="P3033">
        <v>0</v>
      </c>
      <c r="Q3033">
        <v>36.36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D3033">
        <v>36.36</v>
      </c>
    </row>
    <row r="3034" spans="1:30" x14ac:dyDescent="0.3">
      <c r="A3034" s="4">
        <v>3056</v>
      </c>
      <c r="B3034" s="5">
        <v>3027</v>
      </c>
      <c r="C3034">
        <v>957</v>
      </c>
      <c r="D3034" t="s">
        <v>2865</v>
      </c>
      <c r="E3034" t="s">
        <v>178</v>
      </c>
      <c r="F3034" t="s">
        <v>626</v>
      </c>
      <c r="G3034" t="s">
        <v>6342</v>
      </c>
      <c r="H3034" t="str">
        <f>"00857971"</f>
        <v>00857971</v>
      </c>
      <c r="I3034">
        <v>32.32</v>
      </c>
      <c r="J3034">
        <v>0</v>
      </c>
      <c r="N3034">
        <v>0</v>
      </c>
      <c r="O3034">
        <v>4</v>
      </c>
      <c r="P3034">
        <v>0</v>
      </c>
      <c r="Q3034">
        <v>36.32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D3034">
        <v>36.32</v>
      </c>
    </row>
    <row r="3035" spans="1:30" x14ac:dyDescent="0.3">
      <c r="A3035" s="4">
        <v>3057</v>
      </c>
      <c r="B3035" s="5">
        <v>3028</v>
      </c>
      <c r="C3035">
        <v>1924</v>
      </c>
      <c r="D3035" t="s">
        <v>6343</v>
      </c>
      <c r="E3035" t="s">
        <v>22</v>
      </c>
      <c r="F3035" t="s">
        <v>230</v>
      </c>
      <c r="G3035" t="s">
        <v>6344</v>
      </c>
      <c r="H3035" t="str">
        <f>"00162589"</f>
        <v>00162589</v>
      </c>
      <c r="I3035">
        <v>22.28</v>
      </c>
      <c r="J3035">
        <v>0</v>
      </c>
      <c r="K3035">
        <v>8</v>
      </c>
      <c r="N3035">
        <v>8</v>
      </c>
      <c r="O3035">
        <v>4</v>
      </c>
      <c r="P3035">
        <v>2</v>
      </c>
      <c r="Q3035">
        <v>36.28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D3035">
        <v>36.28</v>
      </c>
    </row>
    <row r="3036" spans="1:30" x14ac:dyDescent="0.3">
      <c r="A3036" s="4">
        <v>3058</v>
      </c>
      <c r="B3036" s="5">
        <v>3029</v>
      </c>
      <c r="C3036">
        <v>629</v>
      </c>
      <c r="D3036" t="s">
        <v>6345</v>
      </c>
      <c r="E3036" t="s">
        <v>6346</v>
      </c>
      <c r="F3036" t="s">
        <v>6347</v>
      </c>
      <c r="G3036" t="s">
        <v>6348</v>
      </c>
      <c r="H3036" t="str">
        <f>"00562981"</f>
        <v>00562981</v>
      </c>
      <c r="I3036">
        <v>30.16</v>
      </c>
      <c r="J3036">
        <v>0</v>
      </c>
      <c r="N3036">
        <v>0</v>
      </c>
      <c r="O3036">
        <v>4</v>
      </c>
      <c r="P3036">
        <v>2</v>
      </c>
      <c r="Q3036">
        <v>36.159999999999997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D3036">
        <v>36.159999999999997</v>
      </c>
    </row>
    <row r="3037" spans="1:30" x14ac:dyDescent="0.3">
      <c r="A3037" s="4">
        <v>3059</v>
      </c>
      <c r="B3037" s="5">
        <v>3030</v>
      </c>
      <c r="C3037">
        <v>2843</v>
      </c>
      <c r="D3037" t="s">
        <v>6349</v>
      </c>
      <c r="E3037" t="s">
        <v>88</v>
      </c>
      <c r="F3037" t="s">
        <v>587</v>
      </c>
      <c r="G3037" t="s">
        <v>6350</v>
      </c>
      <c r="H3037" t="str">
        <f>"00525567"</f>
        <v>00525567</v>
      </c>
      <c r="I3037">
        <v>0</v>
      </c>
      <c r="J3037">
        <v>0</v>
      </c>
      <c r="N3037">
        <v>0</v>
      </c>
      <c r="O3037">
        <v>4</v>
      </c>
      <c r="P3037">
        <v>2</v>
      </c>
      <c r="Q3037">
        <v>6</v>
      </c>
      <c r="R3037">
        <v>21</v>
      </c>
      <c r="S3037">
        <v>21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21</v>
      </c>
      <c r="AA3037">
        <v>9</v>
      </c>
      <c r="AB3037">
        <v>0</v>
      </c>
      <c r="AD3037">
        <v>36</v>
      </c>
    </row>
    <row r="3038" spans="1:30" x14ac:dyDescent="0.3">
      <c r="A3038" s="4">
        <v>3060</v>
      </c>
      <c r="B3038" s="5">
        <v>3031</v>
      </c>
      <c r="C3038">
        <v>4918</v>
      </c>
      <c r="D3038" t="s">
        <v>6351</v>
      </c>
      <c r="E3038" t="s">
        <v>1371</v>
      </c>
      <c r="F3038" t="s">
        <v>167</v>
      </c>
      <c r="G3038" t="s">
        <v>6352</v>
      </c>
      <c r="H3038" t="str">
        <f>"00865588"</f>
        <v>00865588</v>
      </c>
      <c r="I3038">
        <v>30</v>
      </c>
      <c r="J3038">
        <v>0</v>
      </c>
      <c r="N3038">
        <v>0</v>
      </c>
      <c r="O3038">
        <v>0</v>
      </c>
      <c r="P3038">
        <v>0</v>
      </c>
      <c r="Q3038">
        <v>30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6</v>
      </c>
      <c r="AB3038">
        <v>0</v>
      </c>
      <c r="AD3038">
        <v>36</v>
      </c>
    </row>
    <row r="3039" spans="1:30" x14ac:dyDescent="0.3">
      <c r="A3039" s="4">
        <v>3061</v>
      </c>
      <c r="B3039" s="5">
        <v>3032</v>
      </c>
      <c r="C3039">
        <v>2189</v>
      </c>
      <c r="D3039" t="s">
        <v>6353</v>
      </c>
      <c r="E3039" t="s">
        <v>54</v>
      </c>
      <c r="F3039" t="s">
        <v>20</v>
      </c>
      <c r="G3039" t="s">
        <v>6354</v>
      </c>
      <c r="H3039" t="str">
        <f>"00152256"</f>
        <v>00152256</v>
      </c>
      <c r="I3039">
        <v>0</v>
      </c>
      <c r="J3039">
        <v>10</v>
      </c>
      <c r="N3039">
        <v>0</v>
      </c>
      <c r="O3039">
        <v>4</v>
      </c>
      <c r="P3039">
        <v>2</v>
      </c>
      <c r="Q3039">
        <v>16</v>
      </c>
      <c r="R3039">
        <v>14</v>
      </c>
      <c r="S3039">
        <v>14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14</v>
      </c>
      <c r="AA3039">
        <v>6</v>
      </c>
      <c r="AB3039">
        <v>0</v>
      </c>
      <c r="AD3039">
        <v>36</v>
      </c>
    </row>
    <row r="3040" spans="1:30" x14ac:dyDescent="0.3">
      <c r="A3040" s="4">
        <v>3062</v>
      </c>
      <c r="B3040" s="5">
        <v>3033</v>
      </c>
      <c r="C3040">
        <v>2085</v>
      </c>
      <c r="D3040" t="s">
        <v>6355</v>
      </c>
      <c r="E3040" t="s">
        <v>454</v>
      </c>
      <c r="F3040" t="s">
        <v>375</v>
      </c>
      <c r="G3040">
        <v>733352</v>
      </c>
      <c r="H3040" t="str">
        <f>"00853947"</f>
        <v>00853947</v>
      </c>
      <c r="I3040">
        <v>36</v>
      </c>
      <c r="J3040">
        <v>0</v>
      </c>
      <c r="N3040">
        <v>0</v>
      </c>
      <c r="O3040">
        <v>0</v>
      </c>
      <c r="P3040">
        <v>0</v>
      </c>
      <c r="Q3040">
        <v>36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D3040">
        <v>36</v>
      </c>
    </row>
    <row r="3041" spans="1:30" x14ac:dyDescent="0.3">
      <c r="A3041" s="4">
        <v>3063</v>
      </c>
      <c r="B3041" s="5">
        <v>3034</v>
      </c>
      <c r="C3041">
        <v>911</v>
      </c>
      <c r="D3041" t="s">
        <v>929</v>
      </c>
      <c r="E3041" t="s">
        <v>1242</v>
      </c>
      <c r="F3041" t="s">
        <v>136</v>
      </c>
      <c r="G3041" t="s">
        <v>6356</v>
      </c>
      <c r="H3041" t="str">
        <f>"00753136"</f>
        <v>00753136</v>
      </c>
      <c r="I3041">
        <v>36</v>
      </c>
      <c r="J3041">
        <v>0</v>
      </c>
      <c r="N3041">
        <v>0</v>
      </c>
      <c r="O3041">
        <v>0</v>
      </c>
      <c r="P3041">
        <v>0</v>
      </c>
      <c r="Q3041">
        <v>36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D3041">
        <v>36</v>
      </c>
    </row>
    <row r="3042" spans="1:30" x14ac:dyDescent="0.3">
      <c r="A3042" s="4">
        <v>3064</v>
      </c>
      <c r="B3042" s="5">
        <v>3035</v>
      </c>
      <c r="C3042">
        <v>4187</v>
      </c>
      <c r="D3042" t="s">
        <v>6357</v>
      </c>
      <c r="E3042" t="s">
        <v>1280</v>
      </c>
      <c r="F3042" t="s">
        <v>17</v>
      </c>
      <c r="G3042" t="s">
        <v>6358</v>
      </c>
      <c r="H3042" t="str">
        <f>"00861888"</f>
        <v>00861888</v>
      </c>
      <c r="I3042">
        <v>36</v>
      </c>
      <c r="J3042">
        <v>0</v>
      </c>
      <c r="N3042">
        <v>0</v>
      </c>
      <c r="O3042">
        <v>0</v>
      </c>
      <c r="P3042">
        <v>0</v>
      </c>
      <c r="Q3042">
        <v>36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D3042">
        <v>36</v>
      </c>
    </row>
    <row r="3043" spans="1:30" x14ac:dyDescent="0.3">
      <c r="A3043" s="4">
        <v>3065</v>
      </c>
      <c r="B3043" s="5">
        <v>3036</v>
      </c>
      <c r="C3043">
        <v>1116</v>
      </c>
      <c r="D3043" t="s">
        <v>6359</v>
      </c>
      <c r="E3043" t="s">
        <v>41</v>
      </c>
      <c r="F3043" t="s">
        <v>68</v>
      </c>
      <c r="G3043" t="s">
        <v>6360</v>
      </c>
      <c r="H3043" t="str">
        <f>"00857118"</f>
        <v>00857118</v>
      </c>
      <c r="I3043">
        <v>36</v>
      </c>
      <c r="J3043">
        <v>0</v>
      </c>
      <c r="N3043">
        <v>0</v>
      </c>
      <c r="O3043">
        <v>0</v>
      </c>
      <c r="P3043">
        <v>0</v>
      </c>
      <c r="Q3043">
        <v>36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D3043">
        <v>36</v>
      </c>
    </row>
    <row r="3044" spans="1:30" x14ac:dyDescent="0.3">
      <c r="A3044" s="4">
        <v>3066</v>
      </c>
      <c r="B3044" s="5">
        <v>3037</v>
      </c>
      <c r="C3044">
        <v>1205</v>
      </c>
      <c r="D3044" t="s">
        <v>2772</v>
      </c>
      <c r="E3044" t="s">
        <v>219</v>
      </c>
      <c r="F3044" t="s">
        <v>1511</v>
      </c>
      <c r="G3044" t="s">
        <v>6361</v>
      </c>
      <c r="H3044" t="str">
        <f>"00857844"</f>
        <v>00857844</v>
      </c>
      <c r="I3044">
        <v>36</v>
      </c>
      <c r="J3044">
        <v>0</v>
      </c>
      <c r="N3044">
        <v>0</v>
      </c>
      <c r="O3044">
        <v>0</v>
      </c>
      <c r="P3044">
        <v>0</v>
      </c>
      <c r="Q3044">
        <v>36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D3044">
        <v>36</v>
      </c>
    </row>
    <row r="3045" spans="1:30" x14ac:dyDescent="0.3">
      <c r="A3045" s="4">
        <v>3067</v>
      </c>
      <c r="B3045" s="5">
        <v>3038</v>
      </c>
      <c r="C3045">
        <v>4470</v>
      </c>
      <c r="D3045" t="s">
        <v>3856</v>
      </c>
      <c r="E3045" t="s">
        <v>1280</v>
      </c>
      <c r="F3045" t="s">
        <v>136</v>
      </c>
      <c r="G3045" t="s">
        <v>6362</v>
      </c>
      <c r="H3045" t="str">
        <f>"00863894"</f>
        <v>00863894</v>
      </c>
      <c r="I3045">
        <v>36</v>
      </c>
      <c r="J3045">
        <v>0</v>
      </c>
      <c r="N3045">
        <v>0</v>
      </c>
      <c r="O3045">
        <v>0</v>
      </c>
      <c r="P3045">
        <v>0</v>
      </c>
      <c r="Q3045">
        <v>36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D3045">
        <v>36</v>
      </c>
    </row>
    <row r="3046" spans="1:30" x14ac:dyDescent="0.3">
      <c r="A3046" s="4">
        <v>3068</v>
      </c>
      <c r="B3046" s="5">
        <v>3039</v>
      </c>
      <c r="C3046">
        <v>4330</v>
      </c>
      <c r="D3046" t="s">
        <v>6363</v>
      </c>
      <c r="E3046" t="s">
        <v>166</v>
      </c>
      <c r="F3046" t="s">
        <v>62</v>
      </c>
      <c r="G3046" t="s">
        <v>6364</v>
      </c>
      <c r="H3046" t="str">
        <f>"00861336"</f>
        <v>00861336</v>
      </c>
      <c r="I3046">
        <v>36</v>
      </c>
      <c r="J3046">
        <v>0</v>
      </c>
      <c r="N3046">
        <v>0</v>
      </c>
      <c r="O3046">
        <v>0</v>
      </c>
      <c r="P3046">
        <v>0</v>
      </c>
      <c r="Q3046">
        <v>36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D3046">
        <v>36</v>
      </c>
    </row>
    <row r="3047" spans="1:30" x14ac:dyDescent="0.3">
      <c r="A3047" s="4">
        <v>3069</v>
      </c>
      <c r="B3047" s="5">
        <v>3040</v>
      </c>
      <c r="C3047">
        <v>2417</v>
      </c>
      <c r="D3047" t="s">
        <v>6365</v>
      </c>
      <c r="E3047" t="s">
        <v>110</v>
      </c>
      <c r="F3047" t="s">
        <v>136</v>
      </c>
      <c r="G3047" t="s">
        <v>6366</v>
      </c>
      <c r="H3047" t="str">
        <f>"00864761"</f>
        <v>00864761</v>
      </c>
      <c r="I3047">
        <v>36</v>
      </c>
      <c r="J3047">
        <v>0</v>
      </c>
      <c r="N3047">
        <v>0</v>
      </c>
      <c r="O3047">
        <v>0</v>
      </c>
      <c r="P3047">
        <v>0</v>
      </c>
      <c r="Q3047">
        <v>36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D3047">
        <v>36</v>
      </c>
    </row>
    <row r="3048" spans="1:30" x14ac:dyDescent="0.3">
      <c r="A3048" s="4">
        <v>3070</v>
      </c>
      <c r="B3048" s="5">
        <v>3041</v>
      </c>
      <c r="C3048">
        <v>1283</v>
      </c>
      <c r="D3048" t="s">
        <v>496</v>
      </c>
      <c r="E3048" t="s">
        <v>413</v>
      </c>
      <c r="F3048" t="s">
        <v>81</v>
      </c>
      <c r="G3048" t="s">
        <v>6367</v>
      </c>
      <c r="H3048" t="str">
        <f>"00510492"</f>
        <v>00510492</v>
      </c>
      <c r="I3048">
        <v>36</v>
      </c>
      <c r="J3048">
        <v>0</v>
      </c>
      <c r="N3048">
        <v>0</v>
      </c>
      <c r="O3048">
        <v>0</v>
      </c>
      <c r="P3048">
        <v>0</v>
      </c>
      <c r="Q3048">
        <v>36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D3048">
        <v>36</v>
      </c>
    </row>
    <row r="3049" spans="1:30" x14ac:dyDescent="0.3">
      <c r="A3049" s="4">
        <v>3071</v>
      </c>
      <c r="B3049" s="5">
        <v>3042</v>
      </c>
      <c r="C3049">
        <v>3760</v>
      </c>
      <c r="D3049" t="s">
        <v>2492</v>
      </c>
      <c r="E3049" t="s">
        <v>100</v>
      </c>
      <c r="F3049" t="s">
        <v>393</v>
      </c>
      <c r="G3049" t="s">
        <v>6368</v>
      </c>
      <c r="H3049" t="str">
        <f>"00697596"</f>
        <v>00697596</v>
      </c>
      <c r="I3049">
        <v>36</v>
      </c>
      <c r="J3049">
        <v>0</v>
      </c>
      <c r="N3049">
        <v>0</v>
      </c>
      <c r="O3049">
        <v>0</v>
      </c>
      <c r="P3049">
        <v>0</v>
      </c>
      <c r="Q3049">
        <v>36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D3049">
        <v>36</v>
      </c>
    </row>
    <row r="3050" spans="1:30" x14ac:dyDescent="0.3">
      <c r="A3050" s="4">
        <v>3072</v>
      </c>
      <c r="B3050" s="5">
        <v>3043</v>
      </c>
      <c r="C3050">
        <v>583</v>
      </c>
      <c r="D3050" t="s">
        <v>1447</v>
      </c>
      <c r="E3050" t="s">
        <v>37</v>
      </c>
      <c r="F3050" t="s">
        <v>117</v>
      </c>
      <c r="G3050" t="s">
        <v>6369</v>
      </c>
      <c r="H3050" t="str">
        <f>"00856442"</f>
        <v>00856442</v>
      </c>
      <c r="I3050">
        <v>36</v>
      </c>
      <c r="J3050">
        <v>0</v>
      </c>
      <c r="N3050">
        <v>0</v>
      </c>
      <c r="O3050">
        <v>0</v>
      </c>
      <c r="P3050">
        <v>0</v>
      </c>
      <c r="Q3050">
        <v>36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D3050">
        <v>36</v>
      </c>
    </row>
    <row r="3051" spans="1:30" x14ac:dyDescent="0.3">
      <c r="A3051" s="4">
        <v>3073</v>
      </c>
      <c r="B3051" s="5">
        <v>3044</v>
      </c>
      <c r="C3051">
        <v>4360</v>
      </c>
      <c r="D3051" t="s">
        <v>4108</v>
      </c>
      <c r="E3051" t="s">
        <v>6370</v>
      </c>
      <c r="F3051" t="s">
        <v>230</v>
      </c>
      <c r="G3051" t="s">
        <v>6371</v>
      </c>
      <c r="H3051" t="str">
        <f>"00865227"</f>
        <v>00865227</v>
      </c>
      <c r="I3051">
        <v>36</v>
      </c>
      <c r="J3051">
        <v>0</v>
      </c>
      <c r="N3051">
        <v>0</v>
      </c>
      <c r="O3051">
        <v>0</v>
      </c>
      <c r="P3051">
        <v>0</v>
      </c>
      <c r="Q3051">
        <v>36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D3051">
        <v>36</v>
      </c>
    </row>
    <row r="3052" spans="1:30" x14ac:dyDescent="0.3">
      <c r="A3052" s="4">
        <v>3074</v>
      </c>
      <c r="B3052" s="5">
        <v>3045</v>
      </c>
      <c r="C3052">
        <v>3804</v>
      </c>
      <c r="D3052" t="s">
        <v>6243</v>
      </c>
      <c r="E3052" t="s">
        <v>33</v>
      </c>
      <c r="F3052" t="s">
        <v>20</v>
      </c>
      <c r="G3052" t="s">
        <v>6372</v>
      </c>
      <c r="H3052" t="str">
        <f>"00532284"</f>
        <v>00532284</v>
      </c>
      <c r="I3052">
        <v>20</v>
      </c>
      <c r="J3052">
        <v>10</v>
      </c>
      <c r="N3052">
        <v>0</v>
      </c>
      <c r="O3052">
        <v>0</v>
      </c>
      <c r="P3052">
        <v>0</v>
      </c>
      <c r="Q3052">
        <v>30</v>
      </c>
      <c r="R3052">
        <v>6</v>
      </c>
      <c r="S3052">
        <v>6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6</v>
      </c>
      <c r="AA3052">
        <v>0</v>
      </c>
      <c r="AB3052">
        <v>0</v>
      </c>
      <c r="AD3052">
        <v>36</v>
      </c>
    </row>
    <row r="3053" spans="1:30" x14ac:dyDescent="0.3">
      <c r="A3053" s="4">
        <v>3075</v>
      </c>
      <c r="B3053" s="5">
        <v>3046</v>
      </c>
      <c r="C3053">
        <v>1440</v>
      </c>
      <c r="D3053" t="s">
        <v>3223</v>
      </c>
      <c r="E3053" t="s">
        <v>178</v>
      </c>
      <c r="F3053" t="s">
        <v>167</v>
      </c>
      <c r="G3053" t="s">
        <v>6373</v>
      </c>
      <c r="H3053" t="str">
        <f>"00475603"</f>
        <v>00475603</v>
      </c>
      <c r="I3053">
        <v>0</v>
      </c>
      <c r="J3053">
        <v>10</v>
      </c>
      <c r="M3053">
        <v>4</v>
      </c>
      <c r="N3053">
        <v>4</v>
      </c>
      <c r="O3053">
        <v>4</v>
      </c>
      <c r="P3053">
        <v>2</v>
      </c>
      <c r="Q3053">
        <v>20</v>
      </c>
      <c r="R3053">
        <v>16</v>
      </c>
      <c r="S3053">
        <v>16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16</v>
      </c>
      <c r="AA3053">
        <v>0</v>
      </c>
      <c r="AB3053">
        <v>0</v>
      </c>
      <c r="AD3053">
        <v>36</v>
      </c>
    </row>
    <row r="3054" spans="1:30" x14ac:dyDescent="0.3">
      <c r="A3054" s="4">
        <v>3076</v>
      </c>
      <c r="B3054" s="5">
        <v>3047</v>
      </c>
      <c r="C3054">
        <v>4774</v>
      </c>
      <c r="D3054" t="s">
        <v>229</v>
      </c>
      <c r="E3054" t="s">
        <v>2838</v>
      </c>
      <c r="F3054" t="s">
        <v>124</v>
      </c>
      <c r="G3054" t="s">
        <v>6374</v>
      </c>
      <c r="H3054" t="str">
        <f>"00866783"</f>
        <v>00866783</v>
      </c>
      <c r="I3054">
        <v>26.92</v>
      </c>
      <c r="J3054">
        <v>0</v>
      </c>
      <c r="N3054">
        <v>0</v>
      </c>
      <c r="O3054">
        <v>0</v>
      </c>
      <c r="P3054">
        <v>0</v>
      </c>
      <c r="Q3054">
        <v>26.92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9</v>
      </c>
      <c r="AB3054">
        <v>0</v>
      </c>
      <c r="AD3054">
        <v>35.92</v>
      </c>
    </row>
    <row r="3055" spans="1:30" x14ac:dyDescent="0.3">
      <c r="A3055" s="4">
        <v>3077</v>
      </c>
      <c r="B3055" s="5">
        <v>3048</v>
      </c>
      <c r="C3055">
        <v>2492</v>
      </c>
      <c r="D3055" t="s">
        <v>6375</v>
      </c>
      <c r="E3055" t="s">
        <v>161</v>
      </c>
      <c r="F3055" t="s">
        <v>230</v>
      </c>
      <c r="G3055" t="s">
        <v>6376</v>
      </c>
      <c r="H3055" t="str">
        <f>"00079604"</f>
        <v>00079604</v>
      </c>
      <c r="I3055">
        <v>26.92</v>
      </c>
      <c r="J3055">
        <v>0</v>
      </c>
      <c r="N3055">
        <v>0</v>
      </c>
      <c r="O3055">
        <v>0</v>
      </c>
      <c r="P3055">
        <v>0</v>
      </c>
      <c r="Q3055">
        <v>26.92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9</v>
      </c>
      <c r="AB3055">
        <v>0</v>
      </c>
      <c r="AD3055">
        <v>35.92</v>
      </c>
    </row>
    <row r="3056" spans="1:30" x14ac:dyDescent="0.3">
      <c r="A3056" s="4">
        <v>3078</v>
      </c>
      <c r="B3056" s="5">
        <v>3049</v>
      </c>
      <c r="C3056">
        <v>1920</v>
      </c>
      <c r="D3056" t="s">
        <v>6377</v>
      </c>
      <c r="E3056" t="s">
        <v>29</v>
      </c>
      <c r="F3056" t="s">
        <v>81</v>
      </c>
      <c r="G3056" t="s">
        <v>6378</v>
      </c>
      <c r="H3056" t="str">
        <f>"00539155"</f>
        <v>00539155</v>
      </c>
      <c r="I3056">
        <v>28.92</v>
      </c>
      <c r="J3056">
        <v>0</v>
      </c>
      <c r="N3056">
        <v>0</v>
      </c>
      <c r="O3056">
        <v>4</v>
      </c>
      <c r="P3056">
        <v>0</v>
      </c>
      <c r="Q3056">
        <v>32.92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3</v>
      </c>
      <c r="AB3056">
        <v>0</v>
      </c>
      <c r="AD3056">
        <v>35.92</v>
      </c>
    </row>
    <row r="3057" spans="1:30" x14ac:dyDescent="0.3">
      <c r="A3057" s="4">
        <v>3079</v>
      </c>
      <c r="B3057" s="5">
        <v>3050</v>
      </c>
      <c r="C3057">
        <v>488</v>
      </c>
      <c r="D3057" t="s">
        <v>6379</v>
      </c>
      <c r="E3057" t="s">
        <v>22</v>
      </c>
      <c r="F3057" t="s">
        <v>158</v>
      </c>
      <c r="G3057" t="s">
        <v>6380</v>
      </c>
      <c r="H3057" t="str">
        <f>"00525167"</f>
        <v>00525167</v>
      </c>
      <c r="I3057">
        <v>22.92</v>
      </c>
      <c r="J3057">
        <v>0</v>
      </c>
      <c r="N3057">
        <v>0</v>
      </c>
      <c r="O3057">
        <v>0</v>
      </c>
      <c r="P3057">
        <v>0</v>
      </c>
      <c r="Q3057">
        <v>22.92</v>
      </c>
      <c r="R3057">
        <v>13</v>
      </c>
      <c r="S3057">
        <v>13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13</v>
      </c>
      <c r="AA3057">
        <v>0</v>
      </c>
      <c r="AB3057">
        <v>0</v>
      </c>
      <c r="AD3057">
        <v>35.92</v>
      </c>
    </row>
    <row r="3058" spans="1:30" x14ac:dyDescent="0.3">
      <c r="A3058" s="4">
        <v>3080</v>
      </c>
      <c r="B3058" s="5">
        <v>3051</v>
      </c>
      <c r="C3058">
        <v>2565</v>
      </c>
      <c r="D3058" t="s">
        <v>6381</v>
      </c>
      <c r="E3058" t="s">
        <v>88</v>
      </c>
      <c r="F3058" t="s">
        <v>81</v>
      </c>
      <c r="G3058" t="s">
        <v>6382</v>
      </c>
      <c r="H3058" t="str">
        <f>"00708785"</f>
        <v>00708785</v>
      </c>
      <c r="I3058">
        <v>32.799999999999997</v>
      </c>
      <c r="J3058">
        <v>0</v>
      </c>
      <c r="N3058">
        <v>0</v>
      </c>
      <c r="O3058">
        <v>0</v>
      </c>
      <c r="P3058">
        <v>0</v>
      </c>
      <c r="Q3058">
        <v>32.799999999999997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3</v>
      </c>
      <c r="AB3058">
        <v>0</v>
      </c>
      <c r="AD3058">
        <v>35.799999999999997</v>
      </c>
    </row>
    <row r="3059" spans="1:30" x14ac:dyDescent="0.3">
      <c r="A3059" s="4">
        <v>3081</v>
      </c>
      <c r="B3059" s="5">
        <v>3052</v>
      </c>
      <c r="C3059">
        <v>3158</v>
      </c>
      <c r="D3059" t="s">
        <v>6383</v>
      </c>
      <c r="E3059" t="s">
        <v>6384</v>
      </c>
      <c r="F3059" t="s">
        <v>6385</v>
      </c>
      <c r="G3059" t="s">
        <v>6386</v>
      </c>
      <c r="H3059" t="str">
        <f>"00862836"</f>
        <v>00862836</v>
      </c>
      <c r="I3059">
        <v>28.8</v>
      </c>
      <c r="J3059">
        <v>0</v>
      </c>
      <c r="N3059">
        <v>0</v>
      </c>
      <c r="O3059">
        <v>4</v>
      </c>
      <c r="P3059">
        <v>0</v>
      </c>
      <c r="Q3059">
        <v>32.799999999999997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3</v>
      </c>
      <c r="AB3059">
        <v>0</v>
      </c>
      <c r="AD3059">
        <v>35.799999999999997</v>
      </c>
    </row>
    <row r="3060" spans="1:30" x14ac:dyDescent="0.3">
      <c r="A3060" s="4">
        <v>3082</v>
      </c>
      <c r="B3060" s="5">
        <v>3053</v>
      </c>
      <c r="C3060">
        <v>3130</v>
      </c>
      <c r="D3060" t="s">
        <v>6387</v>
      </c>
      <c r="E3060" t="s">
        <v>100</v>
      </c>
      <c r="F3060" t="s">
        <v>626</v>
      </c>
      <c r="G3060" t="s">
        <v>6388</v>
      </c>
      <c r="H3060" t="str">
        <f>"00861758"</f>
        <v>00861758</v>
      </c>
      <c r="I3060">
        <v>28.8</v>
      </c>
      <c r="J3060">
        <v>0</v>
      </c>
      <c r="N3060">
        <v>0</v>
      </c>
      <c r="O3060">
        <v>4</v>
      </c>
      <c r="P3060">
        <v>0</v>
      </c>
      <c r="Q3060">
        <v>32.799999999999997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3</v>
      </c>
      <c r="AB3060">
        <v>0</v>
      </c>
      <c r="AD3060">
        <v>35.799999999999997</v>
      </c>
    </row>
    <row r="3061" spans="1:30" x14ac:dyDescent="0.3">
      <c r="A3061" s="4">
        <v>3083</v>
      </c>
      <c r="B3061" s="5">
        <v>3054</v>
      </c>
      <c r="C3061">
        <v>18</v>
      </c>
      <c r="D3061" t="s">
        <v>410</v>
      </c>
      <c r="E3061" t="s">
        <v>182</v>
      </c>
      <c r="F3061" t="s">
        <v>17</v>
      </c>
      <c r="G3061" t="s">
        <v>6389</v>
      </c>
      <c r="H3061" t="str">
        <f>"00221876"</f>
        <v>00221876</v>
      </c>
      <c r="I3061">
        <v>28.8</v>
      </c>
      <c r="J3061">
        <v>0</v>
      </c>
      <c r="N3061">
        <v>0</v>
      </c>
      <c r="O3061">
        <v>4</v>
      </c>
      <c r="P3061">
        <v>0</v>
      </c>
      <c r="Q3061">
        <v>32.799999999999997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3</v>
      </c>
      <c r="AB3061">
        <v>0</v>
      </c>
      <c r="AD3061">
        <v>35.799999999999997</v>
      </c>
    </row>
    <row r="3062" spans="1:30" x14ac:dyDescent="0.3">
      <c r="A3062" s="4">
        <v>3084</v>
      </c>
      <c r="B3062" s="5">
        <v>3055</v>
      </c>
      <c r="C3062">
        <v>1709</v>
      </c>
      <c r="D3062" t="s">
        <v>5770</v>
      </c>
      <c r="E3062" t="s">
        <v>100</v>
      </c>
      <c r="F3062" t="s">
        <v>30</v>
      </c>
      <c r="G3062" t="s">
        <v>6390</v>
      </c>
      <c r="H3062" t="str">
        <f>"00860730"</f>
        <v>00860730</v>
      </c>
      <c r="I3062">
        <v>28.8</v>
      </c>
      <c r="J3062">
        <v>0</v>
      </c>
      <c r="N3062">
        <v>0</v>
      </c>
      <c r="O3062">
        <v>4</v>
      </c>
      <c r="P3062">
        <v>0</v>
      </c>
      <c r="Q3062">
        <v>32.799999999999997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3</v>
      </c>
      <c r="AB3062">
        <v>0</v>
      </c>
      <c r="AD3062">
        <v>35.799999999999997</v>
      </c>
    </row>
    <row r="3063" spans="1:30" x14ac:dyDescent="0.3">
      <c r="A3063" s="4">
        <v>3085</v>
      </c>
      <c r="B3063" s="5">
        <v>3056</v>
      </c>
      <c r="C3063">
        <v>250</v>
      </c>
      <c r="D3063" t="s">
        <v>6391</v>
      </c>
      <c r="E3063" t="s">
        <v>5331</v>
      </c>
      <c r="F3063" t="s">
        <v>190</v>
      </c>
      <c r="G3063" t="s">
        <v>6392</v>
      </c>
      <c r="H3063" t="str">
        <f>"00502198"</f>
        <v>00502198</v>
      </c>
      <c r="I3063">
        <v>28.8</v>
      </c>
      <c r="J3063">
        <v>0</v>
      </c>
      <c r="N3063">
        <v>0</v>
      </c>
      <c r="O3063">
        <v>0</v>
      </c>
      <c r="P3063">
        <v>0</v>
      </c>
      <c r="Q3063">
        <v>28.8</v>
      </c>
      <c r="R3063">
        <v>7</v>
      </c>
      <c r="S3063">
        <v>7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7</v>
      </c>
      <c r="AA3063">
        <v>0</v>
      </c>
      <c r="AB3063">
        <v>0</v>
      </c>
      <c r="AD3063">
        <v>35.799999999999997</v>
      </c>
    </row>
    <row r="3064" spans="1:30" x14ac:dyDescent="0.3">
      <c r="A3064" s="4">
        <v>3086</v>
      </c>
      <c r="B3064" s="5">
        <v>3057</v>
      </c>
      <c r="C3064">
        <v>3460</v>
      </c>
      <c r="D3064" t="s">
        <v>1088</v>
      </c>
      <c r="E3064" t="s">
        <v>188</v>
      </c>
      <c r="F3064" t="s">
        <v>124</v>
      </c>
      <c r="G3064" t="s">
        <v>6393</v>
      </c>
      <c r="H3064" t="str">
        <f>"00355966"</f>
        <v>00355966</v>
      </c>
      <c r="I3064">
        <v>29.76</v>
      </c>
      <c r="J3064">
        <v>0</v>
      </c>
      <c r="N3064">
        <v>0</v>
      </c>
      <c r="O3064">
        <v>0</v>
      </c>
      <c r="P3064">
        <v>0</v>
      </c>
      <c r="Q3064">
        <v>29.76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6</v>
      </c>
      <c r="AB3064">
        <v>0</v>
      </c>
      <c r="AD3064">
        <v>35.76</v>
      </c>
    </row>
    <row r="3065" spans="1:30" x14ac:dyDescent="0.3">
      <c r="A3065" s="4">
        <v>3087</v>
      </c>
      <c r="B3065" s="5">
        <v>3058</v>
      </c>
      <c r="C3065">
        <v>4260</v>
      </c>
      <c r="D3065" t="s">
        <v>6394</v>
      </c>
      <c r="E3065" t="s">
        <v>255</v>
      </c>
      <c r="F3065" t="s">
        <v>81</v>
      </c>
      <c r="G3065" t="s">
        <v>6395</v>
      </c>
      <c r="H3065" t="str">
        <f>"201406008825"</f>
        <v>201406008825</v>
      </c>
      <c r="I3065">
        <v>15.72</v>
      </c>
      <c r="J3065">
        <v>10</v>
      </c>
      <c r="N3065">
        <v>0</v>
      </c>
      <c r="O3065">
        <v>4</v>
      </c>
      <c r="P3065">
        <v>0</v>
      </c>
      <c r="Q3065">
        <v>29.72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6</v>
      </c>
      <c r="AB3065">
        <v>0</v>
      </c>
      <c r="AD3065">
        <v>35.72</v>
      </c>
    </row>
    <row r="3066" spans="1:30" x14ac:dyDescent="0.3">
      <c r="A3066" s="4">
        <v>3088</v>
      </c>
      <c r="B3066" s="5">
        <v>3059</v>
      </c>
      <c r="C3066">
        <v>861</v>
      </c>
      <c r="D3066" t="s">
        <v>6396</v>
      </c>
      <c r="E3066" t="s">
        <v>54</v>
      </c>
      <c r="F3066" t="s">
        <v>17</v>
      </c>
      <c r="G3066" t="s">
        <v>6397</v>
      </c>
      <c r="H3066" t="str">
        <f>"201512003087"</f>
        <v>201512003087</v>
      </c>
      <c r="I3066">
        <v>31.72</v>
      </c>
      <c r="J3066">
        <v>0</v>
      </c>
      <c r="N3066">
        <v>0</v>
      </c>
      <c r="O3066">
        <v>4</v>
      </c>
      <c r="P3066">
        <v>0</v>
      </c>
      <c r="Q3066">
        <v>35.72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D3066">
        <v>35.72</v>
      </c>
    </row>
    <row r="3067" spans="1:30" x14ac:dyDescent="0.3">
      <c r="A3067" s="4">
        <v>3089</v>
      </c>
      <c r="B3067" s="5">
        <v>3060</v>
      </c>
      <c r="C3067">
        <v>2230</v>
      </c>
      <c r="D3067" t="s">
        <v>6398</v>
      </c>
      <c r="E3067" t="s">
        <v>54</v>
      </c>
      <c r="F3067" t="s">
        <v>81</v>
      </c>
      <c r="G3067" t="s">
        <v>6399</v>
      </c>
      <c r="H3067" t="str">
        <f>"00697173"</f>
        <v>00697173</v>
      </c>
      <c r="I3067">
        <v>19.68</v>
      </c>
      <c r="J3067">
        <v>10</v>
      </c>
      <c r="N3067">
        <v>0</v>
      </c>
      <c r="O3067">
        <v>0</v>
      </c>
      <c r="P3067">
        <v>0</v>
      </c>
      <c r="Q3067">
        <v>29.68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6</v>
      </c>
      <c r="AB3067">
        <v>0</v>
      </c>
      <c r="AD3067">
        <v>35.68</v>
      </c>
    </row>
    <row r="3068" spans="1:30" x14ac:dyDescent="0.3">
      <c r="A3068" s="4">
        <v>3090</v>
      </c>
      <c r="B3068" s="5">
        <v>3061</v>
      </c>
      <c r="C3068">
        <v>2664</v>
      </c>
      <c r="D3068" t="s">
        <v>6400</v>
      </c>
      <c r="E3068" t="s">
        <v>29</v>
      </c>
      <c r="F3068" t="s">
        <v>136</v>
      </c>
      <c r="G3068" t="s">
        <v>6401</v>
      </c>
      <c r="H3068" t="str">
        <f>"00862681"</f>
        <v>00862681</v>
      </c>
      <c r="I3068">
        <v>25.6</v>
      </c>
      <c r="J3068">
        <v>0</v>
      </c>
      <c r="N3068">
        <v>0</v>
      </c>
      <c r="O3068">
        <v>4</v>
      </c>
      <c r="P3068">
        <v>0</v>
      </c>
      <c r="Q3068">
        <v>29.6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6</v>
      </c>
      <c r="AB3068">
        <v>0</v>
      </c>
      <c r="AD3068">
        <v>35.6</v>
      </c>
    </row>
    <row r="3069" spans="1:30" x14ac:dyDescent="0.3">
      <c r="A3069" s="4">
        <v>3091</v>
      </c>
      <c r="B3069" s="5">
        <v>3062</v>
      </c>
      <c r="C3069">
        <v>1908</v>
      </c>
      <c r="D3069" t="s">
        <v>6402</v>
      </c>
      <c r="E3069" t="s">
        <v>161</v>
      </c>
      <c r="F3069" t="s">
        <v>17</v>
      </c>
      <c r="G3069" t="s">
        <v>6403</v>
      </c>
      <c r="H3069" t="str">
        <f>"00860509"</f>
        <v>00860509</v>
      </c>
      <c r="I3069">
        <v>21.6</v>
      </c>
      <c r="J3069">
        <v>0</v>
      </c>
      <c r="M3069">
        <v>4</v>
      </c>
      <c r="N3069">
        <v>4</v>
      </c>
      <c r="O3069">
        <v>4</v>
      </c>
      <c r="P3069">
        <v>0</v>
      </c>
      <c r="Q3069">
        <v>29.6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6</v>
      </c>
      <c r="AB3069">
        <v>0</v>
      </c>
      <c r="AD3069">
        <v>35.6</v>
      </c>
    </row>
    <row r="3070" spans="1:30" x14ac:dyDescent="0.3">
      <c r="A3070" s="4">
        <v>3092</v>
      </c>
      <c r="B3070" s="5">
        <v>3063</v>
      </c>
      <c r="C3070">
        <v>4257</v>
      </c>
      <c r="D3070" t="s">
        <v>4679</v>
      </c>
      <c r="E3070" t="s">
        <v>54</v>
      </c>
      <c r="F3070" t="s">
        <v>343</v>
      </c>
      <c r="G3070" t="s">
        <v>6404</v>
      </c>
      <c r="H3070" t="str">
        <f>"00603394"</f>
        <v>00603394</v>
      </c>
      <c r="I3070">
        <v>21.6</v>
      </c>
      <c r="J3070">
        <v>0</v>
      </c>
      <c r="M3070">
        <v>4</v>
      </c>
      <c r="N3070">
        <v>4</v>
      </c>
      <c r="O3070">
        <v>4</v>
      </c>
      <c r="P3070">
        <v>0</v>
      </c>
      <c r="Q3070">
        <v>29.6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6</v>
      </c>
      <c r="AB3070">
        <v>0</v>
      </c>
      <c r="AD3070">
        <v>35.6</v>
      </c>
    </row>
    <row r="3071" spans="1:30" x14ac:dyDescent="0.3">
      <c r="A3071" s="4">
        <v>3093</v>
      </c>
      <c r="B3071" s="5">
        <v>3064</v>
      </c>
      <c r="C3071">
        <v>3003</v>
      </c>
      <c r="D3071" t="s">
        <v>6405</v>
      </c>
      <c r="E3071" t="s">
        <v>1874</v>
      </c>
      <c r="F3071" t="s">
        <v>892</v>
      </c>
      <c r="G3071" t="s">
        <v>6406</v>
      </c>
      <c r="H3071" t="str">
        <f>"00810860"</f>
        <v>00810860</v>
      </c>
      <c r="I3071">
        <v>21.6</v>
      </c>
      <c r="J3071">
        <v>0</v>
      </c>
      <c r="M3071">
        <v>4</v>
      </c>
      <c r="N3071">
        <v>4</v>
      </c>
      <c r="O3071">
        <v>4</v>
      </c>
      <c r="P3071">
        <v>0</v>
      </c>
      <c r="Q3071">
        <v>29.6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6</v>
      </c>
      <c r="AB3071">
        <v>0</v>
      </c>
      <c r="AD3071">
        <v>35.6</v>
      </c>
    </row>
    <row r="3072" spans="1:30" x14ac:dyDescent="0.3">
      <c r="A3072" s="4">
        <v>3094</v>
      </c>
      <c r="B3072" s="5">
        <v>3065</v>
      </c>
      <c r="C3072">
        <v>2859</v>
      </c>
      <c r="D3072" t="s">
        <v>6407</v>
      </c>
      <c r="E3072" t="s">
        <v>29</v>
      </c>
      <c r="F3072" t="s">
        <v>55</v>
      </c>
      <c r="G3072" t="s">
        <v>6408</v>
      </c>
      <c r="H3072" t="str">
        <f>"00500078"</f>
        <v>00500078</v>
      </c>
      <c r="I3072">
        <v>21.6</v>
      </c>
      <c r="J3072">
        <v>0</v>
      </c>
      <c r="N3072">
        <v>0</v>
      </c>
      <c r="O3072">
        <v>4</v>
      </c>
      <c r="P3072">
        <v>0</v>
      </c>
      <c r="Q3072">
        <v>25.6</v>
      </c>
      <c r="R3072">
        <v>7</v>
      </c>
      <c r="S3072">
        <v>7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7</v>
      </c>
      <c r="AA3072">
        <v>3</v>
      </c>
      <c r="AB3072">
        <v>0</v>
      </c>
      <c r="AD3072">
        <v>35.6</v>
      </c>
    </row>
    <row r="3073" spans="1:30" x14ac:dyDescent="0.3">
      <c r="A3073" s="4">
        <v>3095</v>
      </c>
      <c r="B3073" s="5">
        <v>3066</v>
      </c>
      <c r="C3073">
        <v>4834</v>
      </c>
      <c r="D3073" t="s">
        <v>6409</v>
      </c>
      <c r="E3073" t="s">
        <v>132</v>
      </c>
      <c r="F3073" t="s">
        <v>30</v>
      </c>
      <c r="G3073" t="s">
        <v>6410</v>
      </c>
      <c r="H3073" t="str">
        <f>"00795303"</f>
        <v>00795303</v>
      </c>
      <c r="I3073">
        <v>35.6</v>
      </c>
      <c r="J3073">
        <v>0</v>
      </c>
      <c r="N3073">
        <v>0</v>
      </c>
      <c r="O3073">
        <v>0</v>
      </c>
      <c r="P3073">
        <v>0</v>
      </c>
      <c r="Q3073">
        <v>35.6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D3073">
        <v>35.6</v>
      </c>
    </row>
    <row r="3074" spans="1:30" x14ac:dyDescent="0.3">
      <c r="A3074" s="4">
        <v>3096</v>
      </c>
      <c r="B3074" s="5">
        <v>3067</v>
      </c>
      <c r="C3074">
        <v>3414</v>
      </c>
      <c r="D3074" t="s">
        <v>6411</v>
      </c>
      <c r="E3074" t="s">
        <v>1371</v>
      </c>
      <c r="F3074" t="s">
        <v>158</v>
      </c>
      <c r="G3074" t="s">
        <v>6412</v>
      </c>
      <c r="H3074" t="str">
        <f>"00864596"</f>
        <v>00864596</v>
      </c>
      <c r="I3074">
        <v>31.6</v>
      </c>
      <c r="J3074">
        <v>0</v>
      </c>
      <c r="M3074">
        <v>4</v>
      </c>
      <c r="N3074">
        <v>4</v>
      </c>
      <c r="O3074">
        <v>0</v>
      </c>
      <c r="P3074">
        <v>0</v>
      </c>
      <c r="Q3074">
        <v>35.6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D3074">
        <v>35.6</v>
      </c>
    </row>
    <row r="3075" spans="1:30" x14ac:dyDescent="0.3">
      <c r="A3075" s="4">
        <v>3097</v>
      </c>
      <c r="B3075" s="5">
        <v>3068</v>
      </c>
      <c r="C3075">
        <v>27</v>
      </c>
      <c r="D3075" t="s">
        <v>6413</v>
      </c>
      <c r="E3075" t="s">
        <v>208</v>
      </c>
      <c r="F3075" t="s">
        <v>6414</v>
      </c>
      <c r="G3075" t="s">
        <v>6415</v>
      </c>
      <c r="H3075" t="str">
        <f>"00329378"</f>
        <v>00329378</v>
      </c>
      <c r="I3075">
        <v>21.6</v>
      </c>
      <c r="J3075">
        <v>0</v>
      </c>
      <c r="K3075">
        <v>8</v>
      </c>
      <c r="N3075">
        <v>8</v>
      </c>
      <c r="O3075">
        <v>4</v>
      </c>
      <c r="P3075">
        <v>2</v>
      </c>
      <c r="Q3075">
        <v>35.6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D3075">
        <v>35.6</v>
      </c>
    </row>
    <row r="3076" spans="1:30" x14ac:dyDescent="0.3">
      <c r="A3076" s="4">
        <v>3098</v>
      </c>
      <c r="B3076" s="5">
        <v>3069</v>
      </c>
      <c r="C3076">
        <v>1584</v>
      </c>
      <c r="D3076" t="s">
        <v>6416</v>
      </c>
      <c r="E3076" t="s">
        <v>935</v>
      </c>
      <c r="F3076" t="s">
        <v>30</v>
      </c>
      <c r="G3076" t="s">
        <v>6417</v>
      </c>
      <c r="H3076" t="str">
        <f>"00428565"</f>
        <v>00428565</v>
      </c>
      <c r="I3076">
        <v>21.6</v>
      </c>
      <c r="J3076">
        <v>0</v>
      </c>
      <c r="K3076">
        <v>8</v>
      </c>
      <c r="N3076">
        <v>8</v>
      </c>
      <c r="O3076">
        <v>4</v>
      </c>
      <c r="P3076">
        <v>2</v>
      </c>
      <c r="Q3076">
        <v>35.6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D3076">
        <v>35.6</v>
      </c>
    </row>
    <row r="3077" spans="1:30" x14ac:dyDescent="0.3">
      <c r="A3077" s="4">
        <v>3099</v>
      </c>
      <c r="B3077" s="5">
        <v>3070</v>
      </c>
      <c r="C3077">
        <v>2172</v>
      </c>
      <c r="D3077" t="s">
        <v>6418</v>
      </c>
      <c r="E3077" t="s">
        <v>1892</v>
      </c>
      <c r="F3077" t="s">
        <v>6419</v>
      </c>
      <c r="G3077" t="s">
        <v>6420</v>
      </c>
      <c r="H3077" t="str">
        <f>"00452459"</f>
        <v>00452459</v>
      </c>
      <c r="I3077">
        <v>21.6</v>
      </c>
      <c r="J3077">
        <v>0</v>
      </c>
      <c r="K3077">
        <v>8</v>
      </c>
      <c r="N3077">
        <v>8</v>
      </c>
      <c r="O3077">
        <v>4</v>
      </c>
      <c r="P3077">
        <v>2</v>
      </c>
      <c r="Q3077">
        <v>35.6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D3077">
        <v>35.6</v>
      </c>
    </row>
    <row r="3078" spans="1:30" x14ac:dyDescent="0.3">
      <c r="A3078" s="4">
        <v>3100</v>
      </c>
      <c r="B3078" s="5">
        <v>3071</v>
      </c>
      <c r="C3078">
        <v>812</v>
      </c>
      <c r="D3078" t="s">
        <v>6421</v>
      </c>
      <c r="E3078" t="s">
        <v>81</v>
      </c>
      <c r="F3078" t="s">
        <v>17</v>
      </c>
      <c r="G3078" t="s">
        <v>6422</v>
      </c>
      <c r="H3078" t="str">
        <f>"00853930"</f>
        <v>00853930</v>
      </c>
      <c r="I3078">
        <v>21.6</v>
      </c>
      <c r="J3078">
        <v>0</v>
      </c>
      <c r="K3078">
        <v>8</v>
      </c>
      <c r="N3078">
        <v>8</v>
      </c>
      <c r="O3078">
        <v>4</v>
      </c>
      <c r="P3078">
        <v>2</v>
      </c>
      <c r="Q3078">
        <v>35.6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D3078">
        <v>35.6</v>
      </c>
    </row>
    <row r="3079" spans="1:30" x14ac:dyDescent="0.3">
      <c r="A3079" s="4">
        <v>3101</v>
      </c>
      <c r="B3079" s="5">
        <v>3072</v>
      </c>
      <c r="C3079">
        <v>2267</v>
      </c>
      <c r="D3079" t="s">
        <v>6423</v>
      </c>
      <c r="E3079" t="s">
        <v>26</v>
      </c>
      <c r="F3079" t="s">
        <v>17</v>
      </c>
      <c r="G3079" t="s">
        <v>6424</v>
      </c>
      <c r="H3079" t="str">
        <f>"00862713"</f>
        <v>00862713</v>
      </c>
      <c r="I3079">
        <v>21.6</v>
      </c>
      <c r="J3079">
        <v>10</v>
      </c>
      <c r="N3079">
        <v>0</v>
      </c>
      <c r="O3079">
        <v>4</v>
      </c>
      <c r="P3079">
        <v>0</v>
      </c>
      <c r="Q3079">
        <v>35.6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D3079">
        <v>35.6</v>
      </c>
    </row>
    <row r="3080" spans="1:30" x14ac:dyDescent="0.3">
      <c r="A3080" s="4">
        <v>3102</v>
      </c>
      <c r="B3080" s="5">
        <v>3073</v>
      </c>
      <c r="C3080">
        <v>4107</v>
      </c>
      <c r="D3080" t="s">
        <v>6425</v>
      </c>
      <c r="E3080" t="s">
        <v>33</v>
      </c>
      <c r="F3080" t="s">
        <v>190</v>
      </c>
      <c r="G3080" t="s">
        <v>6426</v>
      </c>
      <c r="H3080" t="str">
        <f>"00153211"</f>
        <v>00153211</v>
      </c>
      <c r="I3080">
        <v>21.6</v>
      </c>
      <c r="J3080">
        <v>0</v>
      </c>
      <c r="K3080">
        <v>8</v>
      </c>
      <c r="N3080">
        <v>8</v>
      </c>
      <c r="O3080">
        <v>4</v>
      </c>
      <c r="P3080">
        <v>2</v>
      </c>
      <c r="Q3080">
        <v>35.6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D3080">
        <v>35.6</v>
      </c>
    </row>
    <row r="3081" spans="1:30" x14ac:dyDescent="0.3">
      <c r="A3081" s="4">
        <v>3103</v>
      </c>
      <c r="B3081" s="5">
        <v>3074</v>
      </c>
      <c r="C3081">
        <v>4607</v>
      </c>
      <c r="D3081" t="s">
        <v>3889</v>
      </c>
      <c r="E3081" t="s">
        <v>1874</v>
      </c>
      <c r="F3081" t="s">
        <v>68</v>
      </c>
      <c r="G3081" t="s">
        <v>6427</v>
      </c>
      <c r="H3081" t="str">
        <f>"201602000432"</f>
        <v>201602000432</v>
      </c>
      <c r="I3081">
        <v>21.6</v>
      </c>
      <c r="J3081">
        <v>0</v>
      </c>
      <c r="K3081">
        <v>8</v>
      </c>
      <c r="N3081">
        <v>8</v>
      </c>
      <c r="O3081">
        <v>4</v>
      </c>
      <c r="P3081">
        <v>2</v>
      </c>
      <c r="Q3081">
        <v>35.6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D3081">
        <v>35.6</v>
      </c>
    </row>
    <row r="3082" spans="1:30" x14ac:dyDescent="0.3">
      <c r="A3082" s="4">
        <v>3104</v>
      </c>
      <c r="B3082" s="5">
        <v>3075</v>
      </c>
      <c r="C3082">
        <v>4296</v>
      </c>
      <c r="D3082" t="s">
        <v>6428</v>
      </c>
      <c r="E3082" t="s">
        <v>4855</v>
      </c>
      <c r="F3082" t="s">
        <v>17</v>
      </c>
      <c r="G3082" t="s">
        <v>6429</v>
      </c>
      <c r="H3082" t="str">
        <f>"00530776"</f>
        <v>00530776</v>
      </c>
      <c r="I3082">
        <v>21.6</v>
      </c>
      <c r="J3082">
        <v>0</v>
      </c>
      <c r="N3082">
        <v>0</v>
      </c>
      <c r="O3082">
        <v>4</v>
      </c>
      <c r="P3082">
        <v>2</v>
      </c>
      <c r="Q3082">
        <v>27.6</v>
      </c>
      <c r="R3082">
        <v>8</v>
      </c>
      <c r="S3082">
        <v>8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8</v>
      </c>
      <c r="AA3082">
        <v>0</v>
      </c>
      <c r="AB3082">
        <v>0</v>
      </c>
      <c r="AD3082">
        <v>35.6</v>
      </c>
    </row>
    <row r="3083" spans="1:30" x14ac:dyDescent="0.3">
      <c r="A3083" s="4">
        <v>3105</v>
      </c>
      <c r="B3083" s="5">
        <v>3076</v>
      </c>
      <c r="C3083">
        <v>2482</v>
      </c>
      <c r="D3083" t="s">
        <v>6430</v>
      </c>
      <c r="E3083" t="s">
        <v>560</v>
      </c>
      <c r="F3083" t="s">
        <v>62</v>
      </c>
      <c r="G3083" t="s">
        <v>6431</v>
      </c>
      <c r="H3083" t="str">
        <f>"00650037"</f>
        <v>00650037</v>
      </c>
      <c r="I3083">
        <v>31.44</v>
      </c>
      <c r="J3083">
        <v>0</v>
      </c>
      <c r="N3083">
        <v>0</v>
      </c>
      <c r="O3083">
        <v>4</v>
      </c>
      <c r="P3083">
        <v>0</v>
      </c>
      <c r="Q3083">
        <v>35.44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D3083">
        <v>35.44</v>
      </c>
    </row>
    <row r="3084" spans="1:30" x14ac:dyDescent="0.3">
      <c r="A3084" s="4">
        <v>3106</v>
      </c>
      <c r="B3084" s="5">
        <v>3077</v>
      </c>
      <c r="C3084">
        <v>3133</v>
      </c>
      <c r="D3084" t="s">
        <v>6432</v>
      </c>
      <c r="E3084" t="s">
        <v>26</v>
      </c>
      <c r="F3084" t="s">
        <v>17</v>
      </c>
      <c r="G3084" t="s">
        <v>6433</v>
      </c>
      <c r="H3084" t="str">
        <f>"00531249"</f>
        <v>00531249</v>
      </c>
      <c r="I3084">
        <v>22.4</v>
      </c>
      <c r="J3084">
        <v>0</v>
      </c>
      <c r="N3084">
        <v>0</v>
      </c>
      <c r="O3084">
        <v>4</v>
      </c>
      <c r="P3084">
        <v>0</v>
      </c>
      <c r="Q3084">
        <v>26.4</v>
      </c>
      <c r="R3084">
        <v>6</v>
      </c>
      <c r="S3084">
        <v>6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6</v>
      </c>
      <c r="AA3084">
        <v>3</v>
      </c>
      <c r="AB3084">
        <v>0</v>
      </c>
      <c r="AD3084">
        <v>35.4</v>
      </c>
    </row>
    <row r="3085" spans="1:30" x14ac:dyDescent="0.3">
      <c r="A3085" s="4">
        <v>3107</v>
      </c>
      <c r="B3085" s="5">
        <v>3078</v>
      </c>
      <c r="C3085">
        <v>3338</v>
      </c>
      <c r="D3085" t="s">
        <v>6018</v>
      </c>
      <c r="E3085" t="s">
        <v>147</v>
      </c>
      <c r="F3085" t="s">
        <v>136</v>
      </c>
      <c r="G3085" t="s">
        <v>6434</v>
      </c>
      <c r="H3085" t="str">
        <f>"00157026"</f>
        <v>00157026</v>
      </c>
      <c r="I3085">
        <v>14.4</v>
      </c>
      <c r="J3085">
        <v>0</v>
      </c>
      <c r="N3085">
        <v>0</v>
      </c>
      <c r="O3085">
        <v>4</v>
      </c>
      <c r="P3085">
        <v>0</v>
      </c>
      <c r="Q3085">
        <v>18.399999999999999</v>
      </c>
      <c r="R3085">
        <v>14</v>
      </c>
      <c r="S3085">
        <v>14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14</v>
      </c>
      <c r="AA3085">
        <v>3</v>
      </c>
      <c r="AB3085">
        <v>0</v>
      </c>
      <c r="AD3085">
        <v>35.4</v>
      </c>
    </row>
    <row r="3086" spans="1:30" x14ac:dyDescent="0.3">
      <c r="A3086" s="4">
        <v>3108</v>
      </c>
      <c r="B3086" s="5">
        <v>3079</v>
      </c>
      <c r="C3086">
        <v>1711</v>
      </c>
      <c r="D3086" t="s">
        <v>6435</v>
      </c>
      <c r="E3086" t="s">
        <v>2372</v>
      </c>
      <c r="F3086" t="s">
        <v>136</v>
      </c>
      <c r="G3086" t="s">
        <v>6436</v>
      </c>
      <c r="H3086" t="str">
        <f>"200908000351"</f>
        <v>200908000351</v>
      </c>
      <c r="I3086">
        <v>14.4</v>
      </c>
      <c r="J3086">
        <v>0</v>
      </c>
      <c r="M3086">
        <v>8</v>
      </c>
      <c r="N3086">
        <v>8</v>
      </c>
      <c r="O3086">
        <v>4</v>
      </c>
      <c r="P3086">
        <v>0</v>
      </c>
      <c r="Q3086">
        <v>26.4</v>
      </c>
      <c r="R3086">
        <v>9</v>
      </c>
      <c r="S3086">
        <v>9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9</v>
      </c>
      <c r="AA3086">
        <v>0</v>
      </c>
      <c r="AB3086">
        <v>0</v>
      </c>
      <c r="AD3086">
        <v>35.4</v>
      </c>
    </row>
    <row r="3087" spans="1:30" x14ac:dyDescent="0.3">
      <c r="A3087" s="4">
        <v>3109</v>
      </c>
      <c r="B3087" s="5">
        <v>3080</v>
      </c>
      <c r="C3087">
        <v>142</v>
      </c>
      <c r="D3087" t="s">
        <v>1530</v>
      </c>
      <c r="E3087" t="s">
        <v>3203</v>
      </c>
      <c r="F3087" t="s">
        <v>587</v>
      </c>
      <c r="G3087" t="s">
        <v>6437</v>
      </c>
      <c r="H3087" t="str">
        <f>"00532922"</f>
        <v>00532922</v>
      </c>
      <c r="I3087">
        <v>14.4</v>
      </c>
      <c r="J3087">
        <v>0</v>
      </c>
      <c r="L3087">
        <v>6</v>
      </c>
      <c r="N3087">
        <v>6</v>
      </c>
      <c r="O3087">
        <v>4</v>
      </c>
      <c r="P3087">
        <v>0</v>
      </c>
      <c r="Q3087">
        <v>24.4</v>
      </c>
      <c r="R3087">
        <v>11</v>
      </c>
      <c r="S3087">
        <v>11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11</v>
      </c>
      <c r="AA3087">
        <v>0</v>
      </c>
      <c r="AB3087">
        <v>0</v>
      </c>
      <c r="AD3087">
        <v>35.4</v>
      </c>
    </row>
    <row r="3088" spans="1:30" x14ac:dyDescent="0.3">
      <c r="A3088" s="4">
        <v>3110</v>
      </c>
      <c r="B3088" s="5">
        <v>3081</v>
      </c>
      <c r="C3088">
        <v>1258</v>
      </c>
      <c r="D3088" t="s">
        <v>6438</v>
      </c>
      <c r="E3088" t="s">
        <v>555</v>
      </c>
      <c r="F3088" t="s">
        <v>30</v>
      </c>
      <c r="G3088" t="s">
        <v>6439</v>
      </c>
      <c r="H3088" t="str">
        <f>"00858691"</f>
        <v>00858691</v>
      </c>
      <c r="I3088">
        <v>35.200000000000003</v>
      </c>
      <c r="J3088">
        <v>0</v>
      </c>
      <c r="N3088">
        <v>0</v>
      </c>
      <c r="O3088">
        <v>0</v>
      </c>
      <c r="P3088">
        <v>0</v>
      </c>
      <c r="Q3088">
        <v>35.200000000000003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D3088">
        <v>35.200000000000003</v>
      </c>
    </row>
    <row r="3089" spans="1:30" x14ac:dyDescent="0.3">
      <c r="A3089" s="4">
        <v>3111</v>
      </c>
      <c r="B3089" s="5">
        <v>3082</v>
      </c>
      <c r="C3089">
        <v>2443</v>
      </c>
      <c r="D3089" t="s">
        <v>93</v>
      </c>
      <c r="E3089" t="s">
        <v>104</v>
      </c>
      <c r="F3089" t="s">
        <v>38</v>
      </c>
      <c r="G3089" t="s">
        <v>6440</v>
      </c>
      <c r="H3089" t="str">
        <f>"00652693"</f>
        <v>00652693</v>
      </c>
      <c r="I3089">
        <v>35.200000000000003</v>
      </c>
      <c r="J3089">
        <v>0</v>
      </c>
      <c r="N3089">
        <v>0</v>
      </c>
      <c r="O3089">
        <v>0</v>
      </c>
      <c r="P3089">
        <v>0</v>
      </c>
      <c r="Q3089">
        <v>35.200000000000003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D3089">
        <v>35.200000000000003</v>
      </c>
    </row>
    <row r="3090" spans="1:30" x14ac:dyDescent="0.3">
      <c r="A3090" s="4">
        <v>3112</v>
      </c>
      <c r="B3090" s="5">
        <v>3083</v>
      </c>
      <c r="C3090">
        <v>4602</v>
      </c>
      <c r="D3090" t="s">
        <v>6441</v>
      </c>
      <c r="E3090" t="s">
        <v>54</v>
      </c>
      <c r="F3090" t="s">
        <v>328</v>
      </c>
      <c r="G3090" t="s">
        <v>6442</v>
      </c>
      <c r="H3090" t="str">
        <f>"00865827"</f>
        <v>00865827</v>
      </c>
      <c r="I3090">
        <v>35.200000000000003</v>
      </c>
      <c r="J3090">
        <v>0</v>
      </c>
      <c r="N3090">
        <v>0</v>
      </c>
      <c r="O3090">
        <v>0</v>
      </c>
      <c r="P3090">
        <v>0</v>
      </c>
      <c r="Q3090">
        <v>35.200000000000003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D3090">
        <v>35.200000000000003</v>
      </c>
    </row>
    <row r="3091" spans="1:30" x14ac:dyDescent="0.3">
      <c r="A3091" s="4">
        <v>3113</v>
      </c>
      <c r="B3091" s="5">
        <v>3084</v>
      </c>
      <c r="C3091">
        <v>2416</v>
      </c>
      <c r="D3091" t="s">
        <v>6443</v>
      </c>
      <c r="E3091" t="s">
        <v>29</v>
      </c>
      <c r="F3091" t="s">
        <v>20</v>
      </c>
      <c r="G3091" t="s">
        <v>6444</v>
      </c>
      <c r="H3091" t="str">
        <f>"201208000136"</f>
        <v>201208000136</v>
      </c>
      <c r="I3091">
        <v>25.08</v>
      </c>
      <c r="J3091">
        <v>0</v>
      </c>
      <c r="N3091">
        <v>0</v>
      </c>
      <c r="O3091">
        <v>4</v>
      </c>
      <c r="P3091">
        <v>0</v>
      </c>
      <c r="Q3091">
        <v>29.08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6</v>
      </c>
      <c r="AB3091">
        <v>0</v>
      </c>
      <c r="AD3091">
        <v>35.08</v>
      </c>
    </row>
    <row r="3092" spans="1:30" x14ac:dyDescent="0.3">
      <c r="A3092" s="4">
        <v>3114</v>
      </c>
      <c r="B3092" s="5">
        <v>3085</v>
      </c>
      <c r="C3092">
        <v>2758</v>
      </c>
      <c r="D3092" t="s">
        <v>6445</v>
      </c>
      <c r="E3092" t="s">
        <v>1659</v>
      </c>
      <c r="F3092" t="s">
        <v>81</v>
      </c>
      <c r="G3092" t="s">
        <v>6446</v>
      </c>
      <c r="H3092" t="str">
        <f>"201406004313"</f>
        <v>201406004313</v>
      </c>
      <c r="I3092">
        <v>0</v>
      </c>
      <c r="J3092">
        <v>0</v>
      </c>
      <c r="N3092">
        <v>0</v>
      </c>
      <c r="O3092">
        <v>4</v>
      </c>
      <c r="P3092">
        <v>2</v>
      </c>
      <c r="Q3092">
        <v>6</v>
      </c>
      <c r="R3092">
        <v>23</v>
      </c>
      <c r="S3092">
        <v>23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23</v>
      </c>
      <c r="AA3092">
        <v>6</v>
      </c>
      <c r="AB3092">
        <v>0</v>
      </c>
      <c r="AD3092">
        <v>35</v>
      </c>
    </row>
    <row r="3093" spans="1:30" x14ac:dyDescent="0.3">
      <c r="A3093" s="4">
        <v>3115</v>
      </c>
      <c r="B3093" s="5">
        <v>3086</v>
      </c>
      <c r="C3093">
        <v>39</v>
      </c>
      <c r="D3093" t="s">
        <v>6447</v>
      </c>
      <c r="E3093" t="s">
        <v>3948</v>
      </c>
      <c r="F3093" t="s">
        <v>17</v>
      </c>
      <c r="G3093" t="s">
        <v>6448</v>
      </c>
      <c r="H3093" t="str">
        <f>"00856316"</f>
        <v>00856316</v>
      </c>
      <c r="I3093">
        <v>28</v>
      </c>
      <c r="J3093">
        <v>0</v>
      </c>
      <c r="N3093">
        <v>0</v>
      </c>
      <c r="O3093">
        <v>4</v>
      </c>
      <c r="P3093">
        <v>0</v>
      </c>
      <c r="Q3093">
        <v>32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3</v>
      </c>
      <c r="AB3093">
        <v>0</v>
      </c>
      <c r="AD3093">
        <v>35</v>
      </c>
    </row>
    <row r="3094" spans="1:30" x14ac:dyDescent="0.3">
      <c r="A3094" s="4">
        <v>3116</v>
      </c>
      <c r="B3094" s="5">
        <v>3087</v>
      </c>
      <c r="C3094">
        <v>1775</v>
      </c>
      <c r="D3094" t="s">
        <v>6449</v>
      </c>
      <c r="E3094" t="s">
        <v>342</v>
      </c>
      <c r="F3094" t="s">
        <v>81</v>
      </c>
      <c r="G3094" t="s">
        <v>6450</v>
      </c>
      <c r="H3094" t="str">
        <f>"00864878"</f>
        <v>00864878</v>
      </c>
      <c r="I3094">
        <v>28</v>
      </c>
      <c r="J3094">
        <v>0</v>
      </c>
      <c r="M3094">
        <v>4</v>
      </c>
      <c r="N3094">
        <v>4</v>
      </c>
      <c r="O3094">
        <v>0</v>
      </c>
      <c r="P3094">
        <v>0</v>
      </c>
      <c r="Q3094">
        <v>32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3</v>
      </c>
      <c r="AB3094">
        <v>0</v>
      </c>
      <c r="AD3094">
        <v>35</v>
      </c>
    </row>
    <row r="3095" spans="1:30" x14ac:dyDescent="0.3">
      <c r="A3095" s="4">
        <v>3117</v>
      </c>
      <c r="B3095" s="5">
        <v>3088</v>
      </c>
      <c r="C3095">
        <v>3431</v>
      </c>
      <c r="D3095" t="s">
        <v>6451</v>
      </c>
      <c r="E3095" t="s">
        <v>188</v>
      </c>
      <c r="F3095" t="s">
        <v>38</v>
      </c>
      <c r="G3095" t="s">
        <v>6452</v>
      </c>
      <c r="H3095" t="str">
        <f>"00069237"</f>
        <v>00069237</v>
      </c>
      <c r="I3095">
        <v>17</v>
      </c>
      <c r="J3095">
        <v>10</v>
      </c>
      <c r="M3095">
        <v>4</v>
      </c>
      <c r="N3095">
        <v>4</v>
      </c>
      <c r="O3095">
        <v>4</v>
      </c>
      <c r="P3095">
        <v>0</v>
      </c>
      <c r="Q3095">
        <v>35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D3095">
        <v>35</v>
      </c>
    </row>
    <row r="3096" spans="1:30" x14ac:dyDescent="0.3">
      <c r="A3096" s="4">
        <v>3118</v>
      </c>
      <c r="B3096" s="5">
        <v>3089</v>
      </c>
      <c r="C3096">
        <v>4857</v>
      </c>
      <c r="D3096" t="s">
        <v>127</v>
      </c>
      <c r="E3096" t="s">
        <v>697</v>
      </c>
      <c r="F3096" t="s">
        <v>55</v>
      </c>
      <c r="G3096" t="s">
        <v>6453</v>
      </c>
      <c r="H3096" t="str">
        <f>"00608985"</f>
        <v>00608985</v>
      </c>
      <c r="I3096">
        <v>26.92</v>
      </c>
      <c r="J3096">
        <v>0</v>
      </c>
      <c r="N3096">
        <v>0</v>
      </c>
      <c r="O3096">
        <v>0</v>
      </c>
      <c r="P3096">
        <v>2</v>
      </c>
      <c r="Q3096">
        <v>28.92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6</v>
      </c>
      <c r="AB3096">
        <v>0</v>
      </c>
      <c r="AD3096">
        <v>34.92</v>
      </c>
    </row>
    <row r="3097" spans="1:30" x14ac:dyDescent="0.3">
      <c r="A3097" s="4">
        <v>3119</v>
      </c>
      <c r="B3097" s="5">
        <v>3090</v>
      </c>
      <c r="C3097">
        <v>3630</v>
      </c>
      <c r="D3097" t="s">
        <v>3309</v>
      </c>
      <c r="E3097" t="s">
        <v>29</v>
      </c>
      <c r="F3097" t="s">
        <v>6454</v>
      </c>
      <c r="G3097" t="s">
        <v>6455</v>
      </c>
      <c r="H3097" t="str">
        <f>"00530698"</f>
        <v>00530698</v>
      </c>
      <c r="I3097">
        <v>22.92</v>
      </c>
      <c r="J3097">
        <v>0</v>
      </c>
      <c r="N3097">
        <v>0</v>
      </c>
      <c r="O3097">
        <v>4</v>
      </c>
      <c r="P3097">
        <v>2</v>
      </c>
      <c r="Q3097">
        <v>28.92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6</v>
      </c>
      <c r="AB3097">
        <v>0</v>
      </c>
      <c r="AD3097">
        <v>34.92</v>
      </c>
    </row>
    <row r="3098" spans="1:30" x14ac:dyDescent="0.3">
      <c r="A3098" s="4">
        <v>3120</v>
      </c>
      <c r="B3098" s="5">
        <v>3091</v>
      </c>
      <c r="C3098">
        <v>2104</v>
      </c>
      <c r="D3098" t="s">
        <v>4458</v>
      </c>
      <c r="E3098" t="s">
        <v>29</v>
      </c>
      <c r="F3098" t="s">
        <v>34</v>
      </c>
      <c r="G3098" t="s">
        <v>6456</v>
      </c>
      <c r="H3098" t="str">
        <f>"00862712"</f>
        <v>00862712</v>
      </c>
      <c r="I3098">
        <v>22.92</v>
      </c>
      <c r="J3098">
        <v>0</v>
      </c>
      <c r="N3098">
        <v>0</v>
      </c>
      <c r="O3098">
        <v>4</v>
      </c>
      <c r="P3098">
        <v>2</v>
      </c>
      <c r="Q3098">
        <v>28.92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6</v>
      </c>
      <c r="AB3098">
        <v>0</v>
      </c>
      <c r="AD3098">
        <v>34.92</v>
      </c>
    </row>
    <row r="3099" spans="1:30" x14ac:dyDescent="0.3">
      <c r="A3099" s="4">
        <v>3121</v>
      </c>
      <c r="B3099" s="5">
        <v>3092</v>
      </c>
      <c r="C3099">
        <v>3418</v>
      </c>
      <c r="D3099" t="s">
        <v>496</v>
      </c>
      <c r="E3099" t="s">
        <v>182</v>
      </c>
      <c r="F3099" t="s">
        <v>20</v>
      </c>
      <c r="G3099" t="s">
        <v>6457</v>
      </c>
      <c r="H3099" t="str">
        <f>"00651093"</f>
        <v>00651093</v>
      </c>
      <c r="I3099">
        <v>30.92</v>
      </c>
      <c r="J3099">
        <v>0</v>
      </c>
      <c r="N3099">
        <v>0</v>
      </c>
      <c r="O3099">
        <v>4</v>
      </c>
      <c r="P3099">
        <v>0</v>
      </c>
      <c r="Q3099">
        <v>34.92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D3099">
        <v>34.92</v>
      </c>
    </row>
    <row r="3100" spans="1:30" x14ac:dyDescent="0.3">
      <c r="A3100" s="4">
        <v>3122</v>
      </c>
      <c r="B3100" s="5">
        <v>3093</v>
      </c>
      <c r="C3100">
        <v>4483</v>
      </c>
      <c r="D3100" t="s">
        <v>6458</v>
      </c>
      <c r="E3100" t="s">
        <v>54</v>
      </c>
      <c r="F3100" t="s">
        <v>652</v>
      </c>
      <c r="G3100" t="s">
        <v>6459</v>
      </c>
      <c r="H3100" t="str">
        <f>"00442011"</f>
        <v>00442011</v>
      </c>
      <c r="I3100">
        <v>14.4</v>
      </c>
      <c r="J3100">
        <v>0</v>
      </c>
      <c r="M3100">
        <v>4</v>
      </c>
      <c r="N3100">
        <v>4</v>
      </c>
      <c r="O3100">
        <v>4</v>
      </c>
      <c r="P3100">
        <v>0</v>
      </c>
      <c r="Q3100">
        <v>22.4</v>
      </c>
      <c r="R3100">
        <v>5</v>
      </c>
      <c r="S3100">
        <v>5</v>
      </c>
      <c r="T3100">
        <v>0</v>
      </c>
      <c r="U3100">
        <v>0</v>
      </c>
      <c r="V3100">
        <v>3</v>
      </c>
      <c r="W3100">
        <v>4.5</v>
      </c>
      <c r="X3100">
        <v>0</v>
      </c>
      <c r="Y3100">
        <v>0</v>
      </c>
      <c r="Z3100">
        <v>9.5</v>
      </c>
      <c r="AA3100">
        <v>3</v>
      </c>
      <c r="AB3100">
        <v>0</v>
      </c>
      <c r="AD3100">
        <v>34.9</v>
      </c>
    </row>
    <row r="3101" spans="1:30" x14ac:dyDescent="0.3">
      <c r="A3101" s="4">
        <v>3123</v>
      </c>
      <c r="B3101" s="5">
        <v>3094</v>
      </c>
      <c r="C3101">
        <v>830</v>
      </c>
      <c r="D3101" t="s">
        <v>6460</v>
      </c>
      <c r="E3101" t="s">
        <v>33</v>
      </c>
      <c r="F3101" t="s">
        <v>38</v>
      </c>
      <c r="G3101" t="s">
        <v>6461</v>
      </c>
      <c r="H3101" t="str">
        <f>"00684771"</f>
        <v>00684771</v>
      </c>
      <c r="I3101">
        <v>21.88</v>
      </c>
      <c r="J3101">
        <v>0</v>
      </c>
      <c r="N3101">
        <v>0</v>
      </c>
      <c r="O3101">
        <v>4</v>
      </c>
      <c r="P3101">
        <v>0</v>
      </c>
      <c r="Q3101">
        <v>25.88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9</v>
      </c>
      <c r="AB3101">
        <v>0</v>
      </c>
      <c r="AD3101">
        <v>34.880000000000003</v>
      </c>
    </row>
    <row r="3102" spans="1:30" x14ac:dyDescent="0.3">
      <c r="A3102" s="4">
        <v>3124</v>
      </c>
      <c r="B3102" s="5">
        <v>3095</v>
      </c>
      <c r="C3102">
        <v>4419</v>
      </c>
      <c r="D3102" t="s">
        <v>6462</v>
      </c>
      <c r="E3102" t="s">
        <v>71</v>
      </c>
      <c r="F3102" t="s">
        <v>1854</v>
      </c>
      <c r="G3102" t="s">
        <v>6463</v>
      </c>
      <c r="H3102" t="str">
        <f>"00859636"</f>
        <v>00859636</v>
      </c>
      <c r="I3102">
        <v>28.88</v>
      </c>
      <c r="J3102">
        <v>0</v>
      </c>
      <c r="N3102">
        <v>0</v>
      </c>
      <c r="O3102">
        <v>0</v>
      </c>
      <c r="P3102">
        <v>0</v>
      </c>
      <c r="Q3102">
        <v>28.88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6</v>
      </c>
      <c r="AB3102">
        <v>0</v>
      </c>
      <c r="AD3102">
        <v>34.880000000000003</v>
      </c>
    </row>
    <row r="3103" spans="1:30" x14ac:dyDescent="0.3">
      <c r="A3103" s="4">
        <v>3125</v>
      </c>
      <c r="B3103" s="5">
        <v>3096</v>
      </c>
      <c r="C3103">
        <v>2973</v>
      </c>
      <c r="D3103" t="s">
        <v>1831</v>
      </c>
      <c r="E3103" t="s">
        <v>744</v>
      </c>
      <c r="F3103" t="s">
        <v>81</v>
      </c>
      <c r="G3103" t="s">
        <v>6464</v>
      </c>
      <c r="H3103" t="str">
        <f>"00862824"</f>
        <v>00862824</v>
      </c>
      <c r="I3103">
        <v>28.8</v>
      </c>
      <c r="J3103">
        <v>0</v>
      </c>
      <c r="N3103">
        <v>0</v>
      </c>
      <c r="O3103">
        <v>0</v>
      </c>
      <c r="P3103">
        <v>0</v>
      </c>
      <c r="Q3103">
        <v>28.8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6</v>
      </c>
      <c r="AB3103">
        <v>0</v>
      </c>
      <c r="AD3103">
        <v>34.799999999999997</v>
      </c>
    </row>
    <row r="3104" spans="1:30" x14ac:dyDescent="0.3">
      <c r="A3104" s="4">
        <v>3126</v>
      </c>
      <c r="B3104" s="5">
        <v>3097</v>
      </c>
      <c r="C3104">
        <v>4622</v>
      </c>
      <c r="D3104" t="s">
        <v>1904</v>
      </c>
      <c r="E3104" t="s">
        <v>166</v>
      </c>
      <c r="F3104" t="s">
        <v>30</v>
      </c>
      <c r="G3104" t="s">
        <v>6465</v>
      </c>
      <c r="H3104" t="str">
        <f>"00534259"</f>
        <v>00534259</v>
      </c>
      <c r="I3104">
        <v>34.799999999999997</v>
      </c>
      <c r="J3104">
        <v>0</v>
      </c>
      <c r="N3104">
        <v>0</v>
      </c>
      <c r="O3104">
        <v>0</v>
      </c>
      <c r="P3104">
        <v>0</v>
      </c>
      <c r="Q3104">
        <v>34.799999999999997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D3104">
        <v>34.799999999999997</v>
      </c>
    </row>
    <row r="3105" spans="1:30" x14ac:dyDescent="0.3">
      <c r="A3105" s="4">
        <v>3127</v>
      </c>
      <c r="B3105" s="5">
        <v>3098</v>
      </c>
      <c r="C3105">
        <v>3027</v>
      </c>
      <c r="D3105" t="s">
        <v>6466</v>
      </c>
      <c r="E3105" t="s">
        <v>166</v>
      </c>
      <c r="F3105" t="s">
        <v>38</v>
      </c>
      <c r="G3105" t="s">
        <v>6467</v>
      </c>
      <c r="H3105" t="str">
        <f>"00865257"</f>
        <v>00865257</v>
      </c>
      <c r="I3105">
        <v>28.8</v>
      </c>
      <c r="J3105">
        <v>0</v>
      </c>
      <c r="M3105">
        <v>4</v>
      </c>
      <c r="N3105">
        <v>4</v>
      </c>
      <c r="O3105">
        <v>0</v>
      </c>
      <c r="P3105">
        <v>2</v>
      </c>
      <c r="Q3105">
        <v>34.799999999999997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D3105">
        <v>34.799999999999997</v>
      </c>
    </row>
    <row r="3106" spans="1:30" x14ac:dyDescent="0.3">
      <c r="A3106" s="4">
        <v>3128</v>
      </c>
      <c r="B3106" s="5">
        <v>3099</v>
      </c>
      <c r="C3106">
        <v>3743</v>
      </c>
      <c r="D3106" t="s">
        <v>6468</v>
      </c>
      <c r="E3106" t="s">
        <v>265</v>
      </c>
      <c r="F3106" t="s">
        <v>3968</v>
      </c>
      <c r="G3106" t="s">
        <v>6469</v>
      </c>
      <c r="H3106" t="str">
        <f>"00863604"</f>
        <v>00863604</v>
      </c>
      <c r="I3106">
        <v>28.8</v>
      </c>
      <c r="J3106">
        <v>0</v>
      </c>
      <c r="M3106">
        <v>4</v>
      </c>
      <c r="N3106">
        <v>4</v>
      </c>
      <c r="O3106">
        <v>0</v>
      </c>
      <c r="P3106">
        <v>2</v>
      </c>
      <c r="Q3106">
        <v>34.799999999999997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D3106">
        <v>34.799999999999997</v>
      </c>
    </row>
    <row r="3107" spans="1:30" x14ac:dyDescent="0.3">
      <c r="A3107" s="4">
        <v>3129</v>
      </c>
      <c r="B3107" s="5">
        <v>3100</v>
      </c>
      <c r="C3107">
        <v>404</v>
      </c>
      <c r="D3107" t="s">
        <v>6470</v>
      </c>
      <c r="E3107" t="s">
        <v>190</v>
      </c>
      <c r="F3107" t="s">
        <v>124</v>
      </c>
      <c r="G3107" t="s">
        <v>6471</v>
      </c>
      <c r="H3107" t="str">
        <f>"00501501"</f>
        <v>00501501</v>
      </c>
      <c r="I3107">
        <v>28.8</v>
      </c>
      <c r="J3107">
        <v>0</v>
      </c>
      <c r="N3107">
        <v>0</v>
      </c>
      <c r="O3107">
        <v>4</v>
      </c>
      <c r="P3107">
        <v>2</v>
      </c>
      <c r="Q3107">
        <v>34.799999999999997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D3107">
        <v>34.799999999999997</v>
      </c>
    </row>
    <row r="3108" spans="1:30" x14ac:dyDescent="0.3">
      <c r="A3108" s="4">
        <v>3130</v>
      </c>
      <c r="B3108" s="5">
        <v>3101</v>
      </c>
      <c r="C3108">
        <v>3352</v>
      </c>
      <c r="D3108" t="s">
        <v>1822</v>
      </c>
      <c r="E3108" t="s">
        <v>744</v>
      </c>
      <c r="F3108" t="s">
        <v>442</v>
      </c>
      <c r="G3108" t="s">
        <v>6472</v>
      </c>
      <c r="H3108" t="str">
        <f>"00863282"</f>
        <v>00863282</v>
      </c>
      <c r="I3108">
        <v>28.8</v>
      </c>
      <c r="J3108">
        <v>0</v>
      </c>
      <c r="M3108">
        <v>4</v>
      </c>
      <c r="N3108">
        <v>4</v>
      </c>
      <c r="O3108">
        <v>0</v>
      </c>
      <c r="P3108">
        <v>2</v>
      </c>
      <c r="Q3108">
        <v>34.799999999999997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D3108">
        <v>34.799999999999997</v>
      </c>
    </row>
    <row r="3109" spans="1:30" x14ac:dyDescent="0.3">
      <c r="A3109" s="4">
        <v>3131</v>
      </c>
      <c r="B3109" s="5">
        <v>3102</v>
      </c>
      <c r="C3109">
        <v>2644</v>
      </c>
      <c r="D3109" t="s">
        <v>6473</v>
      </c>
      <c r="E3109" t="s">
        <v>6474</v>
      </c>
      <c r="F3109" t="s">
        <v>38</v>
      </c>
      <c r="G3109" t="s">
        <v>6475</v>
      </c>
      <c r="H3109" t="str">
        <f>"00783092"</f>
        <v>00783092</v>
      </c>
      <c r="I3109">
        <v>28.8</v>
      </c>
      <c r="J3109">
        <v>0</v>
      </c>
      <c r="L3109">
        <v>6</v>
      </c>
      <c r="N3109">
        <v>6</v>
      </c>
      <c r="O3109">
        <v>0</v>
      </c>
      <c r="P3109">
        <v>0</v>
      </c>
      <c r="Q3109">
        <v>34.799999999999997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D3109">
        <v>34.799999999999997</v>
      </c>
    </row>
    <row r="3110" spans="1:30" x14ac:dyDescent="0.3">
      <c r="A3110" s="4">
        <v>3132</v>
      </c>
      <c r="B3110" s="5">
        <v>3103</v>
      </c>
      <c r="C3110">
        <v>3991</v>
      </c>
      <c r="D3110" t="s">
        <v>1436</v>
      </c>
      <c r="E3110" t="s">
        <v>964</v>
      </c>
      <c r="F3110" t="s">
        <v>38</v>
      </c>
      <c r="G3110" t="s">
        <v>6476</v>
      </c>
      <c r="H3110" t="str">
        <f>"00861875"</f>
        <v>00861875</v>
      </c>
      <c r="I3110">
        <v>28.8</v>
      </c>
      <c r="J3110">
        <v>0</v>
      </c>
      <c r="L3110">
        <v>6</v>
      </c>
      <c r="N3110">
        <v>6</v>
      </c>
      <c r="O3110">
        <v>0</v>
      </c>
      <c r="P3110">
        <v>0</v>
      </c>
      <c r="Q3110">
        <v>34.799999999999997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D3110">
        <v>34.799999999999997</v>
      </c>
    </row>
    <row r="3111" spans="1:30" x14ac:dyDescent="0.3">
      <c r="A3111" s="4">
        <v>3133</v>
      </c>
      <c r="B3111" s="5">
        <v>3104</v>
      </c>
      <c r="C3111">
        <v>4436</v>
      </c>
      <c r="D3111" t="s">
        <v>6477</v>
      </c>
      <c r="E3111" t="s">
        <v>6478</v>
      </c>
      <c r="F3111" t="s">
        <v>136</v>
      </c>
      <c r="G3111" t="s">
        <v>6479</v>
      </c>
      <c r="H3111" t="str">
        <f>"00830565"</f>
        <v>00830565</v>
      </c>
      <c r="I3111">
        <v>28.8</v>
      </c>
      <c r="J3111">
        <v>0</v>
      </c>
      <c r="M3111">
        <v>4</v>
      </c>
      <c r="N3111">
        <v>4</v>
      </c>
      <c r="O3111">
        <v>0</v>
      </c>
      <c r="P3111">
        <v>2</v>
      </c>
      <c r="Q3111">
        <v>34.799999999999997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D3111">
        <v>34.799999999999997</v>
      </c>
    </row>
    <row r="3112" spans="1:30" x14ac:dyDescent="0.3">
      <c r="A3112" s="4">
        <v>3134</v>
      </c>
      <c r="B3112" s="5">
        <v>3105</v>
      </c>
      <c r="C3112">
        <v>4230</v>
      </c>
      <c r="D3112" t="s">
        <v>6480</v>
      </c>
      <c r="E3112" t="s">
        <v>88</v>
      </c>
      <c r="F3112" t="s">
        <v>81</v>
      </c>
      <c r="G3112" t="s">
        <v>6481</v>
      </c>
      <c r="H3112" t="str">
        <f>"00863632"</f>
        <v>00863632</v>
      </c>
      <c r="I3112">
        <v>28.8</v>
      </c>
      <c r="J3112">
        <v>0</v>
      </c>
      <c r="M3112">
        <v>4</v>
      </c>
      <c r="N3112">
        <v>4</v>
      </c>
      <c r="O3112">
        <v>0</v>
      </c>
      <c r="P3112">
        <v>2</v>
      </c>
      <c r="Q3112">
        <v>34.799999999999997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D3112">
        <v>34.799999999999997</v>
      </c>
    </row>
    <row r="3113" spans="1:30" x14ac:dyDescent="0.3">
      <c r="A3113" s="4">
        <v>3135</v>
      </c>
      <c r="B3113" s="5">
        <v>3106</v>
      </c>
      <c r="C3113">
        <v>1977</v>
      </c>
      <c r="D3113" t="s">
        <v>6482</v>
      </c>
      <c r="E3113" t="s">
        <v>29</v>
      </c>
      <c r="F3113" t="s">
        <v>6483</v>
      </c>
      <c r="G3113" t="s">
        <v>6484</v>
      </c>
      <c r="H3113" t="str">
        <f>"00857136"</f>
        <v>00857136</v>
      </c>
      <c r="I3113">
        <v>28.8</v>
      </c>
      <c r="J3113">
        <v>0</v>
      </c>
      <c r="N3113">
        <v>0</v>
      </c>
      <c r="O3113">
        <v>4</v>
      </c>
      <c r="P3113">
        <v>2</v>
      </c>
      <c r="Q3113">
        <v>34.799999999999997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D3113">
        <v>34.799999999999997</v>
      </c>
    </row>
    <row r="3114" spans="1:30" x14ac:dyDescent="0.3">
      <c r="A3114" s="4">
        <v>3136</v>
      </c>
      <c r="B3114" s="5">
        <v>3107</v>
      </c>
      <c r="C3114">
        <v>2657</v>
      </c>
      <c r="D3114" t="s">
        <v>6485</v>
      </c>
      <c r="E3114" t="s">
        <v>789</v>
      </c>
      <c r="F3114" t="s">
        <v>17</v>
      </c>
      <c r="G3114" t="s">
        <v>6486</v>
      </c>
      <c r="H3114" t="str">
        <f>"00860723"</f>
        <v>00860723</v>
      </c>
      <c r="I3114">
        <v>28.8</v>
      </c>
      <c r="J3114">
        <v>0</v>
      </c>
      <c r="N3114">
        <v>0</v>
      </c>
      <c r="O3114">
        <v>4</v>
      </c>
      <c r="P3114">
        <v>2</v>
      </c>
      <c r="Q3114">
        <v>34.799999999999997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D3114">
        <v>34.799999999999997</v>
      </c>
    </row>
    <row r="3115" spans="1:30" x14ac:dyDescent="0.3">
      <c r="A3115" s="4">
        <v>3137</v>
      </c>
      <c r="B3115" s="5">
        <v>3108</v>
      </c>
      <c r="C3115">
        <v>1043</v>
      </c>
      <c r="D3115" t="s">
        <v>6487</v>
      </c>
      <c r="E3115" t="s">
        <v>166</v>
      </c>
      <c r="F3115" t="s">
        <v>782</v>
      </c>
      <c r="G3115" t="s">
        <v>6488</v>
      </c>
      <c r="H3115" t="str">
        <f>"00854974"</f>
        <v>00854974</v>
      </c>
      <c r="I3115">
        <v>26.8</v>
      </c>
      <c r="J3115">
        <v>0</v>
      </c>
      <c r="M3115">
        <v>4</v>
      </c>
      <c r="N3115">
        <v>4</v>
      </c>
      <c r="O3115">
        <v>4</v>
      </c>
      <c r="P3115">
        <v>0</v>
      </c>
      <c r="Q3115">
        <v>34.799999999999997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D3115">
        <v>34.799999999999997</v>
      </c>
    </row>
    <row r="3116" spans="1:30" x14ac:dyDescent="0.3">
      <c r="A3116" s="4">
        <v>3138</v>
      </c>
      <c r="B3116" s="5">
        <v>3109</v>
      </c>
      <c r="C3116">
        <v>2131</v>
      </c>
      <c r="D3116" t="s">
        <v>6489</v>
      </c>
      <c r="E3116" t="s">
        <v>858</v>
      </c>
      <c r="F3116" t="s">
        <v>68</v>
      </c>
      <c r="G3116" t="s">
        <v>6490</v>
      </c>
      <c r="H3116" t="str">
        <f>"00864060"</f>
        <v>00864060</v>
      </c>
      <c r="I3116">
        <v>21.72</v>
      </c>
      <c r="J3116">
        <v>0</v>
      </c>
      <c r="N3116">
        <v>0</v>
      </c>
      <c r="O3116">
        <v>4</v>
      </c>
      <c r="P3116">
        <v>0</v>
      </c>
      <c r="Q3116">
        <v>25.72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9</v>
      </c>
      <c r="AB3116">
        <v>0</v>
      </c>
      <c r="AD3116">
        <v>34.72</v>
      </c>
    </row>
    <row r="3117" spans="1:30" x14ac:dyDescent="0.3">
      <c r="A3117" s="4">
        <v>3139</v>
      </c>
      <c r="B3117" s="5">
        <v>3110</v>
      </c>
      <c r="C3117">
        <v>4393</v>
      </c>
      <c r="D3117" t="s">
        <v>1438</v>
      </c>
      <c r="E3117" t="s">
        <v>894</v>
      </c>
      <c r="F3117" t="s">
        <v>521</v>
      </c>
      <c r="G3117" t="s">
        <v>6491</v>
      </c>
      <c r="H3117" t="str">
        <f>"00859192"</f>
        <v>00859192</v>
      </c>
      <c r="I3117">
        <v>28.72</v>
      </c>
      <c r="J3117">
        <v>0</v>
      </c>
      <c r="N3117">
        <v>0</v>
      </c>
      <c r="O3117">
        <v>0</v>
      </c>
      <c r="P3117">
        <v>0</v>
      </c>
      <c r="Q3117">
        <v>28.72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6</v>
      </c>
      <c r="AB3117">
        <v>0</v>
      </c>
      <c r="AD3117">
        <v>34.72</v>
      </c>
    </row>
    <row r="3118" spans="1:30" x14ac:dyDescent="0.3">
      <c r="A3118" s="4">
        <v>3140</v>
      </c>
      <c r="B3118" s="5">
        <v>3111</v>
      </c>
      <c r="C3118">
        <v>4570</v>
      </c>
      <c r="D3118" t="s">
        <v>6492</v>
      </c>
      <c r="E3118" t="s">
        <v>273</v>
      </c>
      <c r="F3118" t="s">
        <v>136</v>
      </c>
      <c r="G3118" t="s">
        <v>6493</v>
      </c>
      <c r="H3118" t="str">
        <f>"00843849"</f>
        <v>00843849</v>
      </c>
      <c r="I3118">
        <v>28.72</v>
      </c>
      <c r="J3118">
        <v>0</v>
      </c>
      <c r="N3118">
        <v>0</v>
      </c>
      <c r="O3118">
        <v>0</v>
      </c>
      <c r="P3118">
        <v>0</v>
      </c>
      <c r="Q3118">
        <v>28.72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6</v>
      </c>
      <c r="AB3118">
        <v>0</v>
      </c>
      <c r="AD3118">
        <v>34.72</v>
      </c>
    </row>
    <row r="3119" spans="1:30" x14ac:dyDescent="0.3">
      <c r="A3119" s="4">
        <v>3141</v>
      </c>
      <c r="B3119" s="5">
        <v>3112</v>
      </c>
      <c r="C3119">
        <v>744</v>
      </c>
      <c r="D3119" t="s">
        <v>6494</v>
      </c>
      <c r="E3119" t="s">
        <v>100</v>
      </c>
      <c r="F3119" t="s">
        <v>91</v>
      </c>
      <c r="G3119" t="s">
        <v>6495</v>
      </c>
      <c r="H3119" t="str">
        <f>"00771701"</f>
        <v>00771701</v>
      </c>
      <c r="I3119">
        <v>24.72</v>
      </c>
      <c r="J3119">
        <v>0</v>
      </c>
      <c r="N3119">
        <v>0</v>
      </c>
      <c r="O3119">
        <v>4</v>
      </c>
      <c r="P3119">
        <v>0</v>
      </c>
      <c r="Q3119">
        <v>28.72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6</v>
      </c>
      <c r="AB3119">
        <v>0</v>
      </c>
      <c r="AD3119">
        <v>34.72</v>
      </c>
    </row>
    <row r="3120" spans="1:30" x14ac:dyDescent="0.3">
      <c r="A3120" s="4">
        <v>3142</v>
      </c>
      <c r="B3120" s="5">
        <v>3113</v>
      </c>
      <c r="C3120">
        <v>25</v>
      </c>
      <c r="D3120" t="s">
        <v>3430</v>
      </c>
      <c r="E3120" t="s">
        <v>471</v>
      </c>
      <c r="F3120" t="s">
        <v>17</v>
      </c>
      <c r="G3120" t="s">
        <v>6496</v>
      </c>
      <c r="H3120" t="str">
        <f>"00506201"</f>
        <v>00506201</v>
      </c>
      <c r="I3120">
        <v>27.72</v>
      </c>
      <c r="J3120">
        <v>0</v>
      </c>
      <c r="M3120">
        <v>4</v>
      </c>
      <c r="N3120">
        <v>4</v>
      </c>
      <c r="O3120">
        <v>0</v>
      </c>
      <c r="P3120">
        <v>0</v>
      </c>
      <c r="Q3120">
        <v>31.72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3</v>
      </c>
      <c r="AB3120">
        <v>0</v>
      </c>
      <c r="AD3120">
        <v>34.72</v>
      </c>
    </row>
    <row r="3121" spans="1:30" x14ac:dyDescent="0.3">
      <c r="A3121" s="4">
        <v>3143</v>
      </c>
      <c r="B3121" s="5">
        <v>3114</v>
      </c>
      <c r="C3121">
        <v>2297</v>
      </c>
      <c r="D3121" t="s">
        <v>6497</v>
      </c>
      <c r="E3121" t="s">
        <v>2372</v>
      </c>
      <c r="F3121" t="s">
        <v>81</v>
      </c>
      <c r="G3121" t="s">
        <v>6498</v>
      </c>
      <c r="H3121" t="str">
        <f>"00863186"</f>
        <v>00863186</v>
      </c>
      <c r="I3121">
        <v>32.72</v>
      </c>
      <c r="J3121">
        <v>0</v>
      </c>
      <c r="N3121">
        <v>0</v>
      </c>
      <c r="O3121">
        <v>0</v>
      </c>
      <c r="P3121">
        <v>2</v>
      </c>
      <c r="Q3121">
        <v>34.72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D3121">
        <v>34.72</v>
      </c>
    </row>
    <row r="3122" spans="1:30" x14ac:dyDescent="0.3">
      <c r="A3122" s="4">
        <v>3144</v>
      </c>
      <c r="B3122" s="5">
        <v>3115</v>
      </c>
      <c r="C3122">
        <v>1236</v>
      </c>
      <c r="D3122" t="s">
        <v>6499</v>
      </c>
      <c r="E3122" t="s">
        <v>26</v>
      </c>
      <c r="F3122" t="s">
        <v>17</v>
      </c>
      <c r="G3122" t="s">
        <v>6500</v>
      </c>
      <c r="H3122" t="str">
        <f>"00712082"</f>
        <v>00712082</v>
      </c>
      <c r="I3122">
        <v>21.6</v>
      </c>
      <c r="J3122">
        <v>0</v>
      </c>
      <c r="N3122">
        <v>0</v>
      </c>
      <c r="O3122">
        <v>4</v>
      </c>
      <c r="P3122">
        <v>0</v>
      </c>
      <c r="Q3122">
        <v>25.6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9</v>
      </c>
      <c r="AB3122">
        <v>0</v>
      </c>
      <c r="AD3122">
        <v>34.6</v>
      </c>
    </row>
    <row r="3123" spans="1:30" x14ac:dyDescent="0.3">
      <c r="A3123" s="4">
        <v>3145</v>
      </c>
      <c r="B3123" s="5">
        <v>3116</v>
      </c>
      <c r="C3123">
        <v>2276</v>
      </c>
      <c r="D3123" t="s">
        <v>1768</v>
      </c>
      <c r="E3123" t="s">
        <v>740</v>
      </c>
      <c r="F3123" t="s">
        <v>136</v>
      </c>
      <c r="G3123" t="s">
        <v>6501</v>
      </c>
      <c r="H3123" t="str">
        <f>"00856888"</f>
        <v>00856888</v>
      </c>
      <c r="I3123">
        <v>21.6</v>
      </c>
      <c r="J3123">
        <v>0</v>
      </c>
      <c r="N3123">
        <v>0</v>
      </c>
      <c r="O3123">
        <v>4</v>
      </c>
      <c r="P3123">
        <v>0</v>
      </c>
      <c r="Q3123">
        <v>25.6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9</v>
      </c>
      <c r="AB3123">
        <v>0</v>
      </c>
      <c r="AD3123">
        <v>34.6</v>
      </c>
    </row>
    <row r="3124" spans="1:30" x14ac:dyDescent="0.3">
      <c r="A3124" s="4">
        <v>3146</v>
      </c>
      <c r="B3124" s="5">
        <v>3117</v>
      </c>
      <c r="C3124">
        <v>2432</v>
      </c>
      <c r="D3124" t="s">
        <v>6502</v>
      </c>
      <c r="E3124" t="s">
        <v>1508</v>
      </c>
      <c r="F3124" t="s">
        <v>158</v>
      </c>
      <c r="G3124" t="s">
        <v>6503</v>
      </c>
      <c r="H3124" t="str">
        <f>"00856746"</f>
        <v>00856746</v>
      </c>
      <c r="I3124">
        <v>17.600000000000001</v>
      </c>
      <c r="J3124">
        <v>0</v>
      </c>
      <c r="M3124">
        <v>4</v>
      </c>
      <c r="N3124">
        <v>4</v>
      </c>
      <c r="O3124">
        <v>4</v>
      </c>
      <c r="P3124">
        <v>0</v>
      </c>
      <c r="Q3124">
        <v>25.6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9</v>
      </c>
      <c r="AB3124">
        <v>0</v>
      </c>
      <c r="AD3124">
        <v>34.6</v>
      </c>
    </row>
    <row r="3125" spans="1:30" x14ac:dyDescent="0.3">
      <c r="A3125" s="4">
        <v>3147</v>
      </c>
      <c r="B3125" s="5">
        <v>3118</v>
      </c>
      <c r="C3125">
        <v>4510</v>
      </c>
      <c r="D3125" t="s">
        <v>6504</v>
      </c>
      <c r="E3125" t="s">
        <v>110</v>
      </c>
      <c r="F3125" t="s">
        <v>117</v>
      </c>
      <c r="G3125" t="s">
        <v>6505</v>
      </c>
      <c r="H3125" t="str">
        <f>"00570702"</f>
        <v>00570702</v>
      </c>
      <c r="I3125">
        <v>21.6</v>
      </c>
      <c r="J3125">
        <v>10</v>
      </c>
      <c r="N3125">
        <v>0</v>
      </c>
      <c r="O3125">
        <v>0</v>
      </c>
      <c r="P3125">
        <v>0</v>
      </c>
      <c r="Q3125">
        <v>31.6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3</v>
      </c>
      <c r="AB3125">
        <v>0</v>
      </c>
      <c r="AD3125">
        <v>34.6</v>
      </c>
    </row>
    <row r="3126" spans="1:30" x14ac:dyDescent="0.3">
      <c r="A3126" s="4">
        <v>3148</v>
      </c>
      <c r="B3126" s="5">
        <v>3119</v>
      </c>
      <c r="C3126">
        <v>3084</v>
      </c>
      <c r="D3126" t="s">
        <v>6506</v>
      </c>
      <c r="E3126" t="s">
        <v>6507</v>
      </c>
      <c r="F3126" t="s">
        <v>81</v>
      </c>
      <c r="G3126" t="s">
        <v>6508</v>
      </c>
      <c r="H3126" t="str">
        <f>"00725718"</f>
        <v>00725718</v>
      </c>
      <c r="I3126">
        <v>21.6</v>
      </c>
      <c r="J3126">
        <v>0</v>
      </c>
      <c r="M3126">
        <v>4</v>
      </c>
      <c r="N3126">
        <v>4</v>
      </c>
      <c r="O3126">
        <v>4</v>
      </c>
      <c r="P3126">
        <v>2</v>
      </c>
      <c r="Q3126">
        <v>31.6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3</v>
      </c>
      <c r="AB3126">
        <v>0</v>
      </c>
      <c r="AD3126">
        <v>34.6</v>
      </c>
    </row>
    <row r="3127" spans="1:30" x14ac:dyDescent="0.3">
      <c r="A3127" s="4">
        <v>3149</v>
      </c>
      <c r="B3127" s="5">
        <v>3120</v>
      </c>
      <c r="C3127">
        <v>1898</v>
      </c>
      <c r="D3127" t="s">
        <v>6509</v>
      </c>
      <c r="E3127" t="s">
        <v>208</v>
      </c>
      <c r="F3127" t="s">
        <v>52</v>
      </c>
      <c r="G3127" t="s">
        <v>6510</v>
      </c>
      <c r="H3127" t="str">
        <f>"00001867"</f>
        <v>00001867</v>
      </c>
      <c r="I3127">
        <v>21.6</v>
      </c>
      <c r="J3127">
        <v>0</v>
      </c>
      <c r="M3127">
        <v>4</v>
      </c>
      <c r="N3127">
        <v>4</v>
      </c>
      <c r="O3127">
        <v>4</v>
      </c>
      <c r="P3127">
        <v>2</v>
      </c>
      <c r="Q3127">
        <v>31.6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3</v>
      </c>
      <c r="AB3127">
        <v>0</v>
      </c>
      <c r="AD3127">
        <v>34.6</v>
      </c>
    </row>
    <row r="3128" spans="1:30" x14ac:dyDescent="0.3">
      <c r="A3128" s="4">
        <v>3150</v>
      </c>
      <c r="B3128" s="5">
        <v>3121</v>
      </c>
      <c r="C3128">
        <v>1786</v>
      </c>
      <c r="D3128" t="s">
        <v>6511</v>
      </c>
      <c r="E3128" t="s">
        <v>100</v>
      </c>
      <c r="F3128" t="s">
        <v>20</v>
      </c>
      <c r="G3128" t="s">
        <v>6512</v>
      </c>
      <c r="H3128" t="str">
        <f>"00864995"</f>
        <v>00864995</v>
      </c>
      <c r="I3128">
        <v>34.56</v>
      </c>
      <c r="J3128">
        <v>0</v>
      </c>
      <c r="N3128">
        <v>0</v>
      </c>
      <c r="O3128">
        <v>0</v>
      </c>
      <c r="P3128">
        <v>0</v>
      </c>
      <c r="Q3128">
        <v>34.56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D3128">
        <v>34.56</v>
      </c>
    </row>
    <row r="3129" spans="1:30" x14ac:dyDescent="0.3">
      <c r="A3129" s="4">
        <v>3151</v>
      </c>
      <c r="B3129" s="5">
        <v>3122</v>
      </c>
      <c r="C3129">
        <v>4297</v>
      </c>
      <c r="D3129" t="s">
        <v>6513</v>
      </c>
      <c r="E3129" t="s">
        <v>29</v>
      </c>
      <c r="F3129" t="s">
        <v>91</v>
      </c>
      <c r="G3129" t="s">
        <v>6514</v>
      </c>
      <c r="H3129" t="str">
        <f>"00156577"</f>
        <v>00156577</v>
      </c>
      <c r="I3129">
        <v>14.4</v>
      </c>
      <c r="J3129">
        <v>10</v>
      </c>
      <c r="M3129">
        <v>4</v>
      </c>
      <c r="N3129">
        <v>4</v>
      </c>
      <c r="O3129">
        <v>0</v>
      </c>
      <c r="P3129">
        <v>0</v>
      </c>
      <c r="Q3129">
        <v>28.4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6</v>
      </c>
      <c r="AB3129">
        <v>0</v>
      </c>
      <c r="AD3129">
        <v>34.4</v>
      </c>
    </row>
    <row r="3130" spans="1:30" x14ac:dyDescent="0.3">
      <c r="A3130" s="4">
        <v>3152</v>
      </c>
      <c r="B3130" s="5">
        <v>3123</v>
      </c>
      <c r="C3130">
        <v>527</v>
      </c>
      <c r="D3130" t="s">
        <v>5103</v>
      </c>
      <c r="E3130" t="s">
        <v>1168</v>
      </c>
      <c r="F3130" t="s">
        <v>81</v>
      </c>
      <c r="G3130" t="s">
        <v>6515</v>
      </c>
      <c r="H3130" t="str">
        <f>"00791245"</f>
        <v>00791245</v>
      </c>
      <c r="I3130">
        <v>14.4</v>
      </c>
      <c r="J3130">
        <v>0</v>
      </c>
      <c r="K3130">
        <v>8</v>
      </c>
      <c r="N3130">
        <v>8</v>
      </c>
      <c r="O3130">
        <v>4</v>
      </c>
      <c r="P3130">
        <v>2</v>
      </c>
      <c r="Q3130">
        <v>28.4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6</v>
      </c>
      <c r="AB3130">
        <v>0</v>
      </c>
      <c r="AD3130">
        <v>34.4</v>
      </c>
    </row>
    <row r="3131" spans="1:30" x14ac:dyDescent="0.3">
      <c r="A3131" s="4">
        <v>3153</v>
      </c>
      <c r="B3131" s="5">
        <v>3124</v>
      </c>
      <c r="C3131">
        <v>1785</v>
      </c>
      <c r="D3131" t="s">
        <v>6516</v>
      </c>
      <c r="E3131" t="s">
        <v>6517</v>
      </c>
      <c r="F3131" t="s">
        <v>230</v>
      </c>
      <c r="G3131" t="s">
        <v>6518</v>
      </c>
      <c r="H3131" t="str">
        <f>"00503670"</f>
        <v>00503670</v>
      </c>
      <c r="I3131">
        <v>14.4</v>
      </c>
      <c r="J3131">
        <v>0</v>
      </c>
      <c r="K3131">
        <v>8</v>
      </c>
      <c r="N3131">
        <v>8</v>
      </c>
      <c r="O3131">
        <v>4</v>
      </c>
      <c r="P3131">
        <v>0</v>
      </c>
      <c r="Q3131">
        <v>26.4</v>
      </c>
      <c r="R3131">
        <v>5</v>
      </c>
      <c r="S3131">
        <v>5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5</v>
      </c>
      <c r="AA3131">
        <v>3</v>
      </c>
      <c r="AB3131">
        <v>0</v>
      </c>
      <c r="AD3131">
        <v>34.4</v>
      </c>
    </row>
    <row r="3132" spans="1:30" x14ac:dyDescent="0.3">
      <c r="A3132" s="4">
        <v>3154</v>
      </c>
      <c r="B3132" s="5">
        <v>3125</v>
      </c>
      <c r="C3132">
        <v>4764</v>
      </c>
      <c r="D3132" t="s">
        <v>6519</v>
      </c>
      <c r="E3132" t="s">
        <v>166</v>
      </c>
      <c r="F3132" t="s">
        <v>68</v>
      </c>
      <c r="G3132" t="s">
        <v>6520</v>
      </c>
      <c r="H3132" t="str">
        <f>"00042110"</f>
        <v>00042110</v>
      </c>
      <c r="I3132">
        <v>34.4</v>
      </c>
      <c r="J3132">
        <v>0</v>
      </c>
      <c r="N3132">
        <v>0</v>
      </c>
      <c r="O3132">
        <v>0</v>
      </c>
      <c r="P3132">
        <v>0</v>
      </c>
      <c r="Q3132">
        <v>34.4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D3132">
        <v>34.4</v>
      </c>
    </row>
    <row r="3133" spans="1:30" x14ac:dyDescent="0.3">
      <c r="A3133" s="4">
        <v>3155</v>
      </c>
      <c r="B3133" s="5">
        <v>3126</v>
      </c>
      <c r="C3133">
        <v>3049</v>
      </c>
      <c r="D3133" t="s">
        <v>6521</v>
      </c>
      <c r="E3133" t="s">
        <v>560</v>
      </c>
      <c r="F3133" t="s">
        <v>68</v>
      </c>
      <c r="G3133" t="s">
        <v>6522</v>
      </c>
      <c r="H3133" t="str">
        <f>"00553888"</f>
        <v>00553888</v>
      </c>
      <c r="I3133">
        <v>32.4</v>
      </c>
      <c r="J3133">
        <v>0</v>
      </c>
      <c r="N3133">
        <v>0</v>
      </c>
      <c r="O3133">
        <v>0</v>
      </c>
      <c r="P3133">
        <v>2</v>
      </c>
      <c r="Q3133">
        <v>34.4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D3133">
        <v>34.4</v>
      </c>
    </row>
    <row r="3134" spans="1:30" x14ac:dyDescent="0.3">
      <c r="A3134" s="4">
        <v>3156</v>
      </c>
      <c r="B3134" s="5">
        <v>3127</v>
      </c>
      <c r="C3134">
        <v>1734</v>
      </c>
      <c r="D3134" t="s">
        <v>6523</v>
      </c>
      <c r="E3134" t="s">
        <v>26</v>
      </c>
      <c r="F3134" t="s">
        <v>3094</v>
      </c>
      <c r="G3134" t="s">
        <v>6524</v>
      </c>
      <c r="H3134" t="str">
        <f>"00553977"</f>
        <v>00553977</v>
      </c>
      <c r="I3134">
        <v>30.4</v>
      </c>
      <c r="J3134">
        <v>0</v>
      </c>
      <c r="N3134">
        <v>0</v>
      </c>
      <c r="O3134">
        <v>4</v>
      </c>
      <c r="P3134">
        <v>0</v>
      </c>
      <c r="Q3134">
        <v>34.4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D3134">
        <v>34.4</v>
      </c>
    </row>
    <row r="3135" spans="1:30" x14ac:dyDescent="0.3">
      <c r="A3135" s="4">
        <v>3157</v>
      </c>
      <c r="B3135" s="5">
        <v>3128</v>
      </c>
      <c r="C3135">
        <v>171</v>
      </c>
      <c r="D3135" t="s">
        <v>4212</v>
      </c>
      <c r="E3135" t="s">
        <v>29</v>
      </c>
      <c r="F3135" t="s">
        <v>38</v>
      </c>
      <c r="G3135" t="s">
        <v>6525</v>
      </c>
      <c r="H3135" t="str">
        <f>"00839362"</f>
        <v>00839362</v>
      </c>
      <c r="I3135">
        <v>26.4</v>
      </c>
      <c r="J3135">
        <v>0</v>
      </c>
      <c r="M3135">
        <v>4</v>
      </c>
      <c r="N3135">
        <v>4</v>
      </c>
      <c r="O3135">
        <v>4</v>
      </c>
      <c r="P3135">
        <v>0</v>
      </c>
      <c r="Q3135">
        <v>34.4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D3135">
        <v>34.4</v>
      </c>
    </row>
    <row r="3136" spans="1:30" x14ac:dyDescent="0.3">
      <c r="A3136" s="4">
        <v>3158</v>
      </c>
      <c r="B3136" s="5">
        <v>3129</v>
      </c>
      <c r="C3136">
        <v>1806</v>
      </c>
      <c r="D3136" t="s">
        <v>6526</v>
      </c>
      <c r="E3136" t="s">
        <v>5101</v>
      </c>
      <c r="F3136" t="s">
        <v>81</v>
      </c>
      <c r="G3136" t="s">
        <v>6527</v>
      </c>
      <c r="H3136" t="str">
        <f>"00644605"</f>
        <v>00644605</v>
      </c>
      <c r="I3136">
        <v>22.4</v>
      </c>
      <c r="J3136">
        <v>0</v>
      </c>
      <c r="K3136">
        <v>8</v>
      </c>
      <c r="N3136">
        <v>8</v>
      </c>
      <c r="O3136">
        <v>4</v>
      </c>
      <c r="P3136">
        <v>0</v>
      </c>
      <c r="Q3136">
        <v>34.4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D3136">
        <v>34.4</v>
      </c>
    </row>
    <row r="3137" spans="1:30" x14ac:dyDescent="0.3">
      <c r="A3137" s="4">
        <v>3159</v>
      </c>
      <c r="B3137" s="5">
        <v>3130</v>
      </c>
      <c r="C3137">
        <v>4077</v>
      </c>
      <c r="D3137" t="s">
        <v>6528</v>
      </c>
      <c r="E3137" t="s">
        <v>213</v>
      </c>
      <c r="F3137" t="s">
        <v>17</v>
      </c>
      <c r="G3137" t="s">
        <v>6529</v>
      </c>
      <c r="H3137" t="str">
        <f>"00531868"</f>
        <v>00531868</v>
      </c>
      <c r="I3137">
        <v>20.399999999999999</v>
      </c>
      <c r="J3137">
        <v>10</v>
      </c>
      <c r="N3137">
        <v>0</v>
      </c>
      <c r="O3137">
        <v>4</v>
      </c>
      <c r="P3137">
        <v>0</v>
      </c>
      <c r="Q3137">
        <v>34.4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D3137">
        <v>34.4</v>
      </c>
    </row>
    <row r="3138" spans="1:30" x14ac:dyDescent="0.3">
      <c r="A3138" s="4">
        <v>3160</v>
      </c>
      <c r="B3138" s="5">
        <v>3131</v>
      </c>
      <c r="C3138">
        <v>2634</v>
      </c>
      <c r="D3138" t="s">
        <v>6530</v>
      </c>
      <c r="E3138" t="s">
        <v>188</v>
      </c>
      <c r="F3138" t="s">
        <v>30</v>
      </c>
      <c r="G3138" t="s">
        <v>6531</v>
      </c>
      <c r="H3138" t="str">
        <f>"00528084"</f>
        <v>00528084</v>
      </c>
      <c r="I3138">
        <v>14.4</v>
      </c>
      <c r="J3138">
        <v>0</v>
      </c>
      <c r="M3138">
        <v>4</v>
      </c>
      <c r="N3138">
        <v>4</v>
      </c>
      <c r="O3138">
        <v>4</v>
      </c>
      <c r="P3138">
        <v>2</v>
      </c>
      <c r="Q3138">
        <v>24.4</v>
      </c>
      <c r="R3138">
        <v>10</v>
      </c>
      <c r="S3138">
        <v>10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10</v>
      </c>
      <c r="AA3138">
        <v>0</v>
      </c>
      <c r="AB3138">
        <v>0</v>
      </c>
      <c r="AD3138">
        <v>34.4</v>
      </c>
    </row>
    <row r="3139" spans="1:30" x14ac:dyDescent="0.3">
      <c r="A3139" s="4">
        <v>3161</v>
      </c>
      <c r="B3139" s="5">
        <v>3132</v>
      </c>
      <c r="C3139">
        <v>3023</v>
      </c>
      <c r="D3139" t="s">
        <v>950</v>
      </c>
      <c r="E3139" t="s">
        <v>454</v>
      </c>
      <c r="F3139" t="s">
        <v>972</v>
      </c>
      <c r="G3139" t="s">
        <v>6532</v>
      </c>
      <c r="H3139" t="str">
        <f>"00393512"</f>
        <v>00393512</v>
      </c>
      <c r="I3139">
        <v>28.36</v>
      </c>
      <c r="J3139">
        <v>0</v>
      </c>
      <c r="N3139">
        <v>0</v>
      </c>
      <c r="O3139">
        <v>0</v>
      </c>
      <c r="P3139">
        <v>0</v>
      </c>
      <c r="Q3139">
        <v>28.36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6</v>
      </c>
      <c r="AB3139">
        <v>0</v>
      </c>
      <c r="AD3139">
        <v>34.36</v>
      </c>
    </row>
    <row r="3140" spans="1:30" x14ac:dyDescent="0.3">
      <c r="A3140" s="4">
        <v>3162</v>
      </c>
      <c r="B3140" s="5">
        <v>3133</v>
      </c>
      <c r="C3140">
        <v>2775</v>
      </c>
      <c r="D3140" t="s">
        <v>6533</v>
      </c>
      <c r="E3140" t="s">
        <v>29</v>
      </c>
      <c r="F3140" t="s">
        <v>972</v>
      </c>
      <c r="G3140" t="s">
        <v>6534</v>
      </c>
      <c r="H3140" t="str">
        <f>"00251343"</f>
        <v>00251343</v>
      </c>
      <c r="I3140">
        <v>24.36</v>
      </c>
      <c r="J3140">
        <v>0</v>
      </c>
      <c r="N3140">
        <v>0</v>
      </c>
      <c r="O3140">
        <v>4</v>
      </c>
      <c r="P3140">
        <v>0</v>
      </c>
      <c r="Q3140">
        <v>28.36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6</v>
      </c>
      <c r="AB3140">
        <v>0</v>
      </c>
      <c r="AD3140">
        <v>34.36</v>
      </c>
    </row>
    <row r="3141" spans="1:30" x14ac:dyDescent="0.3">
      <c r="A3141" s="4">
        <v>3163</v>
      </c>
      <c r="B3141" s="5">
        <v>3134</v>
      </c>
      <c r="C3141">
        <v>4873</v>
      </c>
      <c r="D3141" t="s">
        <v>3033</v>
      </c>
      <c r="E3141" t="s">
        <v>147</v>
      </c>
      <c r="F3141" t="s">
        <v>17</v>
      </c>
      <c r="G3141" t="s">
        <v>6535</v>
      </c>
      <c r="H3141" t="str">
        <f>"00866823"</f>
        <v>00866823</v>
      </c>
      <c r="I3141">
        <v>28.28</v>
      </c>
      <c r="J3141">
        <v>0</v>
      </c>
      <c r="N3141">
        <v>0</v>
      </c>
      <c r="O3141">
        <v>0</v>
      </c>
      <c r="P3141">
        <v>0</v>
      </c>
      <c r="Q3141">
        <v>28.28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6</v>
      </c>
      <c r="AB3141">
        <v>0</v>
      </c>
      <c r="AD3141">
        <v>34.28</v>
      </c>
    </row>
    <row r="3142" spans="1:30" x14ac:dyDescent="0.3">
      <c r="A3142" s="4">
        <v>3164</v>
      </c>
      <c r="B3142" s="5">
        <v>3135</v>
      </c>
      <c r="C3142">
        <v>3582</v>
      </c>
      <c r="D3142" t="s">
        <v>1950</v>
      </c>
      <c r="E3142" t="s">
        <v>22</v>
      </c>
      <c r="F3142" t="s">
        <v>38</v>
      </c>
      <c r="G3142" t="s">
        <v>6536</v>
      </c>
      <c r="H3142" t="str">
        <f>"00533138"</f>
        <v>00533138</v>
      </c>
      <c r="I3142">
        <v>16.28</v>
      </c>
      <c r="J3142">
        <v>0</v>
      </c>
      <c r="N3142">
        <v>0</v>
      </c>
      <c r="O3142">
        <v>0</v>
      </c>
      <c r="P3142">
        <v>0</v>
      </c>
      <c r="Q3142">
        <v>16.28</v>
      </c>
      <c r="R3142">
        <v>12</v>
      </c>
      <c r="S3142">
        <v>12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12</v>
      </c>
      <c r="AA3142">
        <v>6</v>
      </c>
      <c r="AB3142">
        <v>0</v>
      </c>
      <c r="AD3142">
        <v>34.28</v>
      </c>
    </row>
    <row r="3143" spans="1:30" x14ac:dyDescent="0.3">
      <c r="A3143" s="4">
        <v>3165</v>
      </c>
      <c r="B3143" s="5">
        <v>3136</v>
      </c>
      <c r="C3143">
        <v>3224</v>
      </c>
      <c r="D3143" t="s">
        <v>6537</v>
      </c>
      <c r="E3143" t="s">
        <v>41</v>
      </c>
      <c r="F3143" t="s">
        <v>20</v>
      </c>
      <c r="G3143" t="s">
        <v>6538</v>
      </c>
      <c r="H3143" t="str">
        <f>"00252987"</f>
        <v>00252987</v>
      </c>
      <c r="I3143">
        <v>34.200000000000003</v>
      </c>
      <c r="J3143">
        <v>0</v>
      </c>
      <c r="N3143">
        <v>0</v>
      </c>
      <c r="O3143">
        <v>0</v>
      </c>
      <c r="P3143">
        <v>0</v>
      </c>
      <c r="Q3143">
        <v>34.200000000000003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D3143">
        <v>34.200000000000003</v>
      </c>
    </row>
    <row r="3144" spans="1:30" x14ac:dyDescent="0.3">
      <c r="A3144" s="4">
        <v>3166</v>
      </c>
      <c r="B3144" s="5">
        <v>3137</v>
      </c>
      <c r="C3144">
        <v>4973</v>
      </c>
      <c r="D3144" t="s">
        <v>421</v>
      </c>
      <c r="E3144" t="s">
        <v>178</v>
      </c>
      <c r="F3144" t="s">
        <v>81</v>
      </c>
      <c r="G3144" t="s">
        <v>6539</v>
      </c>
      <c r="H3144" t="str">
        <f>"00442048"</f>
        <v>00442048</v>
      </c>
      <c r="I3144">
        <v>28</v>
      </c>
      <c r="J3144">
        <v>0</v>
      </c>
      <c r="N3144">
        <v>0</v>
      </c>
      <c r="O3144">
        <v>0</v>
      </c>
      <c r="P3144">
        <v>0</v>
      </c>
      <c r="Q3144">
        <v>28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6</v>
      </c>
      <c r="AB3144">
        <v>0</v>
      </c>
      <c r="AD3144">
        <v>34</v>
      </c>
    </row>
    <row r="3145" spans="1:30" x14ac:dyDescent="0.3">
      <c r="A3145" s="4">
        <v>3167</v>
      </c>
      <c r="B3145" s="5">
        <v>3138</v>
      </c>
      <c r="C3145">
        <v>3315</v>
      </c>
      <c r="D3145" t="s">
        <v>6540</v>
      </c>
      <c r="E3145" t="s">
        <v>6541</v>
      </c>
      <c r="F3145" t="s">
        <v>193</v>
      </c>
      <c r="G3145" t="s">
        <v>6542</v>
      </c>
      <c r="H3145" t="str">
        <f>"00254142"</f>
        <v>00254142</v>
      </c>
      <c r="I3145">
        <v>24</v>
      </c>
      <c r="J3145">
        <v>0</v>
      </c>
      <c r="N3145">
        <v>0</v>
      </c>
      <c r="O3145">
        <v>4</v>
      </c>
      <c r="P3145">
        <v>0</v>
      </c>
      <c r="Q3145">
        <v>28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6</v>
      </c>
      <c r="AB3145">
        <v>0</v>
      </c>
      <c r="AD3145">
        <v>34</v>
      </c>
    </row>
    <row r="3146" spans="1:30" x14ac:dyDescent="0.3">
      <c r="A3146" s="4">
        <v>3168</v>
      </c>
      <c r="B3146" s="5">
        <v>3139</v>
      </c>
      <c r="C3146">
        <v>2424</v>
      </c>
      <c r="D3146" t="s">
        <v>6543</v>
      </c>
      <c r="E3146" t="s">
        <v>1576</v>
      </c>
      <c r="F3146" t="s">
        <v>30</v>
      </c>
      <c r="G3146" t="s">
        <v>6544</v>
      </c>
      <c r="H3146" t="str">
        <f>"00383902"</f>
        <v>00383902</v>
      </c>
      <c r="I3146">
        <v>34</v>
      </c>
      <c r="J3146">
        <v>0</v>
      </c>
      <c r="N3146">
        <v>0</v>
      </c>
      <c r="O3146">
        <v>0</v>
      </c>
      <c r="P3146">
        <v>0</v>
      </c>
      <c r="Q3146">
        <v>34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D3146">
        <v>34</v>
      </c>
    </row>
    <row r="3147" spans="1:30" x14ac:dyDescent="0.3">
      <c r="A3147" s="4">
        <v>3169</v>
      </c>
      <c r="B3147" s="5">
        <v>3140</v>
      </c>
      <c r="C3147">
        <v>865</v>
      </c>
      <c r="D3147" t="s">
        <v>6545</v>
      </c>
      <c r="E3147" t="s">
        <v>33</v>
      </c>
      <c r="F3147" t="s">
        <v>62</v>
      </c>
      <c r="G3147" t="s">
        <v>6546</v>
      </c>
      <c r="H3147" t="str">
        <f>"00854469"</f>
        <v>00854469</v>
      </c>
      <c r="I3147">
        <v>34</v>
      </c>
      <c r="J3147">
        <v>0</v>
      </c>
      <c r="N3147">
        <v>0</v>
      </c>
      <c r="O3147">
        <v>0</v>
      </c>
      <c r="P3147">
        <v>0</v>
      </c>
      <c r="Q3147">
        <v>34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D3147">
        <v>34</v>
      </c>
    </row>
    <row r="3148" spans="1:30" x14ac:dyDescent="0.3">
      <c r="A3148" s="4">
        <v>3170</v>
      </c>
      <c r="B3148" s="5">
        <v>3141</v>
      </c>
      <c r="C3148">
        <v>3469</v>
      </c>
      <c r="D3148" t="s">
        <v>6547</v>
      </c>
      <c r="E3148" t="s">
        <v>6548</v>
      </c>
      <c r="F3148" t="s">
        <v>124</v>
      </c>
      <c r="G3148" t="s">
        <v>6549</v>
      </c>
      <c r="H3148" t="str">
        <f>"00507310"</f>
        <v>00507310</v>
      </c>
      <c r="I3148">
        <v>0</v>
      </c>
      <c r="J3148">
        <v>0</v>
      </c>
      <c r="M3148">
        <v>4</v>
      </c>
      <c r="N3148">
        <v>4</v>
      </c>
      <c r="O3148">
        <v>4</v>
      </c>
      <c r="P3148">
        <v>2</v>
      </c>
      <c r="Q3148">
        <v>10</v>
      </c>
      <c r="R3148">
        <v>24</v>
      </c>
      <c r="S3148">
        <v>24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24</v>
      </c>
      <c r="AA3148">
        <v>0</v>
      </c>
      <c r="AB3148">
        <v>0</v>
      </c>
      <c r="AD3148">
        <v>34</v>
      </c>
    </row>
    <row r="3149" spans="1:30" x14ac:dyDescent="0.3">
      <c r="A3149" s="4">
        <v>3171</v>
      </c>
      <c r="B3149" s="5">
        <v>3142</v>
      </c>
      <c r="C3149">
        <v>2231</v>
      </c>
      <c r="D3149" t="s">
        <v>6550</v>
      </c>
      <c r="E3149" t="s">
        <v>2601</v>
      </c>
      <c r="F3149" t="s">
        <v>6551</v>
      </c>
      <c r="G3149" t="s">
        <v>6552</v>
      </c>
      <c r="H3149" t="str">
        <f>"00689339"</f>
        <v>00689339</v>
      </c>
      <c r="I3149">
        <v>25.84</v>
      </c>
      <c r="J3149">
        <v>0</v>
      </c>
      <c r="M3149">
        <v>4</v>
      </c>
      <c r="N3149">
        <v>4</v>
      </c>
      <c r="O3149">
        <v>4</v>
      </c>
      <c r="P3149">
        <v>0</v>
      </c>
      <c r="Q3149">
        <v>33.840000000000003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D3149">
        <v>33.840000000000003</v>
      </c>
    </row>
    <row r="3150" spans="1:30" x14ac:dyDescent="0.3">
      <c r="A3150" s="4">
        <v>3172</v>
      </c>
      <c r="B3150" s="5">
        <v>3143</v>
      </c>
      <c r="C3150">
        <v>4427</v>
      </c>
      <c r="D3150" t="s">
        <v>5006</v>
      </c>
      <c r="E3150" t="s">
        <v>255</v>
      </c>
      <c r="F3150" t="s">
        <v>227</v>
      </c>
      <c r="G3150" t="s">
        <v>6553</v>
      </c>
      <c r="H3150" t="str">
        <f>"00530657"</f>
        <v>00530657</v>
      </c>
      <c r="I3150">
        <v>32.799999999999997</v>
      </c>
      <c r="J3150">
        <v>0</v>
      </c>
      <c r="N3150">
        <v>0</v>
      </c>
      <c r="O3150">
        <v>0</v>
      </c>
      <c r="P3150">
        <v>0</v>
      </c>
      <c r="Q3150">
        <v>32.799999999999997</v>
      </c>
      <c r="R3150">
        <v>1</v>
      </c>
      <c r="S3150">
        <v>1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1</v>
      </c>
      <c r="AA3150">
        <v>0</v>
      </c>
      <c r="AB3150">
        <v>0</v>
      </c>
      <c r="AD3150">
        <v>33.799999999999997</v>
      </c>
    </row>
    <row r="3151" spans="1:30" x14ac:dyDescent="0.3">
      <c r="A3151" s="4">
        <v>3173</v>
      </c>
      <c r="B3151" s="5">
        <v>3144</v>
      </c>
      <c r="C3151">
        <v>727</v>
      </c>
      <c r="D3151" t="s">
        <v>6554</v>
      </c>
      <c r="E3151" t="s">
        <v>41</v>
      </c>
      <c r="F3151" t="s">
        <v>3705</v>
      </c>
      <c r="G3151" t="s">
        <v>6555</v>
      </c>
      <c r="H3151" t="str">
        <f>"00523167"</f>
        <v>00523167</v>
      </c>
      <c r="I3151">
        <v>28.8</v>
      </c>
      <c r="J3151">
        <v>0</v>
      </c>
      <c r="M3151">
        <v>4</v>
      </c>
      <c r="N3151">
        <v>4</v>
      </c>
      <c r="O3151">
        <v>0</v>
      </c>
      <c r="P3151">
        <v>0</v>
      </c>
      <c r="Q3151">
        <v>32.799999999999997</v>
      </c>
      <c r="R3151">
        <v>1</v>
      </c>
      <c r="S3151">
        <v>1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1</v>
      </c>
      <c r="AA3151">
        <v>0</v>
      </c>
      <c r="AB3151">
        <v>0</v>
      </c>
      <c r="AD3151">
        <v>33.799999999999997</v>
      </c>
    </row>
    <row r="3152" spans="1:30" x14ac:dyDescent="0.3">
      <c r="A3152" s="4">
        <v>3174</v>
      </c>
      <c r="B3152" s="5">
        <v>3145</v>
      </c>
      <c r="C3152">
        <v>4366</v>
      </c>
      <c r="D3152" t="s">
        <v>6556</v>
      </c>
      <c r="E3152" t="s">
        <v>255</v>
      </c>
      <c r="F3152" t="s">
        <v>167</v>
      </c>
      <c r="G3152" t="s">
        <v>6557</v>
      </c>
      <c r="H3152" t="str">
        <f>"201511012456"</f>
        <v>201511012456</v>
      </c>
      <c r="I3152">
        <v>16.8</v>
      </c>
      <c r="J3152">
        <v>10</v>
      </c>
      <c r="N3152">
        <v>0</v>
      </c>
      <c r="O3152">
        <v>4</v>
      </c>
      <c r="P3152">
        <v>0</v>
      </c>
      <c r="Q3152">
        <v>30.8</v>
      </c>
      <c r="R3152">
        <v>3</v>
      </c>
      <c r="S3152">
        <v>3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3</v>
      </c>
      <c r="AA3152">
        <v>0</v>
      </c>
      <c r="AB3152">
        <v>0</v>
      </c>
      <c r="AD3152">
        <v>33.799999999999997</v>
      </c>
    </row>
    <row r="3153" spans="1:30" x14ac:dyDescent="0.3">
      <c r="A3153" s="4">
        <v>3175</v>
      </c>
      <c r="B3153" s="5">
        <v>3146</v>
      </c>
      <c r="C3153">
        <v>1498</v>
      </c>
      <c r="D3153" t="s">
        <v>6558</v>
      </c>
      <c r="E3153" t="s">
        <v>213</v>
      </c>
      <c r="F3153" t="s">
        <v>6559</v>
      </c>
      <c r="G3153" t="s">
        <v>6560</v>
      </c>
      <c r="H3153" t="str">
        <f>"00141541"</f>
        <v>00141541</v>
      </c>
      <c r="I3153">
        <v>22.8</v>
      </c>
      <c r="J3153">
        <v>0</v>
      </c>
      <c r="N3153">
        <v>0</v>
      </c>
      <c r="O3153">
        <v>0</v>
      </c>
      <c r="P3153">
        <v>0</v>
      </c>
      <c r="Q3153">
        <v>22.8</v>
      </c>
      <c r="R3153">
        <v>11</v>
      </c>
      <c r="S3153">
        <v>11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11</v>
      </c>
      <c r="AA3153">
        <v>0</v>
      </c>
      <c r="AB3153">
        <v>0</v>
      </c>
      <c r="AD3153">
        <v>33.799999999999997</v>
      </c>
    </row>
    <row r="3154" spans="1:30" x14ac:dyDescent="0.3">
      <c r="A3154" s="4">
        <v>3176</v>
      </c>
      <c r="B3154" s="5">
        <v>3147</v>
      </c>
      <c r="C3154">
        <v>1598</v>
      </c>
      <c r="D3154" t="s">
        <v>6561</v>
      </c>
      <c r="E3154" t="s">
        <v>2795</v>
      </c>
      <c r="F3154" t="s">
        <v>30</v>
      </c>
      <c r="G3154" t="s">
        <v>6562</v>
      </c>
      <c r="H3154" t="str">
        <f>"00532870"</f>
        <v>00532870</v>
      </c>
      <c r="I3154">
        <v>13.72</v>
      </c>
      <c r="J3154">
        <v>0</v>
      </c>
      <c r="N3154">
        <v>0</v>
      </c>
      <c r="O3154">
        <v>4</v>
      </c>
      <c r="P3154">
        <v>2</v>
      </c>
      <c r="Q3154">
        <v>19.72</v>
      </c>
      <c r="R3154">
        <v>11</v>
      </c>
      <c r="S3154">
        <v>11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11</v>
      </c>
      <c r="AA3154">
        <v>3</v>
      </c>
      <c r="AB3154">
        <v>0</v>
      </c>
      <c r="AD3154">
        <v>33.72</v>
      </c>
    </row>
    <row r="3155" spans="1:30" x14ac:dyDescent="0.3">
      <c r="A3155" s="4">
        <v>3177</v>
      </c>
      <c r="B3155" s="5">
        <v>3148</v>
      </c>
      <c r="C3155">
        <v>374</v>
      </c>
      <c r="D3155" t="s">
        <v>6563</v>
      </c>
      <c r="E3155" t="s">
        <v>208</v>
      </c>
      <c r="F3155" t="s">
        <v>3439</v>
      </c>
      <c r="G3155" t="s">
        <v>6564</v>
      </c>
      <c r="H3155" t="str">
        <f>"00215438"</f>
        <v>00215438</v>
      </c>
      <c r="I3155">
        <v>27.64</v>
      </c>
      <c r="J3155">
        <v>0</v>
      </c>
      <c r="N3155">
        <v>0</v>
      </c>
      <c r="O3155">
        <v>0</v>
      </c>
      <c r="P3155">
        <v>0</v>
      </c>
      <c r="Q3155">
        <v>27.64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6</v>
      </c>
      <c r="AB3155">
        <v>0</v>
      </c>
      <c r="AD3155">
        <v>33.64</v>
      </c>
    </row>
    <row r="3156" spans="1:30" x14ac:dyDescent="0.3">
      <c r="A3156" s="4">
        <v>3178</v>
      </c>
      <c r="B3156" s="5">
        <v>3149</v>
      </c>
      <c r="C3156">
        <v>609</v>
      </c>
      <c r="D3156" t="s">
        <v>5549</v>
      </c>
      <c r="E3156" t="s">
        <v>188</v>
      </c>
      <c r="F3156" t="s">
        <v>55</v>
      </c>
      <c r="G3156" t="s">
        <v>6565</v>
      </c>
      <c r="H3156" t="str">
        <f>"00186968"</f>
        <v>00186968</v>
      </c>
      <c r="I3156">
        <v>21.6</v>
      </c>
      <c r="J3156">
        <v>0</v>
      </c>
      <c r="N3156">
        <v>0</v>
      </c>
      <c r="O3156">
        <v>4</v>
      </c>
      <c r="P3156">
        <v>2</v>
      </c>
      <c r="Q3156">
        <v>27.6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6</v>
      </c>
      <c r="AB3156">
        <v>0</v>
      </c>
      <c r="AD3156">
        <v>33.6</v>
      </c>
    </row>
    <row r="3157" spans="1:30" x14ac:dyDescent="0.3">
      <c r="A3157" s="4">
        <v>3179</v>
      </c>
      <c r="B3157" s="5">
        <v>3150</v>
      </c>
      <c r="C3157">
        <v>531</v>
      </c>
      <c r="D3157" t="s">
        <v>916</v>
      </c>
      <c r="E3157" t="s">
        <v>97</v>
      </c>
      <c r="F3157" t="s">
        <v>5060</v>
      </c>
      <c r="G3157" t="s">
        <v>6566</v>
      </c>
      <c r="H3157" t="str">
        <f>"00713820"</f>
        <v>00713820</v>
      </c>
      <c r="I3157">
        <v>33.6</v>
      </c>
      <c r="J3157">
        <v>0</v>
      </c>
      <c r="N3157">
        <v>0</v>
      </c>
      <c r="O3157">
        <v>0</v>
      </c>
      <c r="P3157">
        <v>0</v>
      </c>
      <c r="Q3157">
        <v>33.6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D3157">
        <v>33.6</v>
      </c>
    </row>
    <row r="3158" spans="1:30" x14ac:dyDescent="0.3">
      <c r="A3158" s="4">
        <v>3180</v>
      </c>
      <c r="B3158" s="5">
        <v>3151</v>
      </c>
      <c r="C3158">
        <v>2136</v>
      </c>
      <c r="D3158" t="s">
        <v>6567</v>
      </c>
      <c r="E3158" t="s">
        <v>173</v>
      </c>
      <c r="F3158" t="s">
        <v>1225</v>
      </c>
      <c r="G3158" t="s">
        <v>6568</v>
      </c>
      <c r="H3158" t="str">
        <f>"00647264"</f>
        <v>00647264</v>
      </c>
      <c r="I3158">
        <v>33.6</v>
      </c>
      <c r="J3158">
        <v>0</v>
      </c>
      <c r="N3158">
        <v>0</v>
      </c>
      <c r="O3158">
        <v>0</v>
      </c>
      <c r="P3158">
        <v>0</v>
      </c>
      <c r="Q3158">
        <v>33.6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D3158">
        <v>33.6</v>
      </c>
    </row>
    <row r="3159" spans="1:30" x14ac:dyDescent="0.3">
      <c r="A3159" s="4">
        <v>3181</v>
      </c>
      <c r="B3159" s="5">
        <v>3152</v>
      </c>
      <c r="C3159">
        <v>3121</v>
      </c>
      <c r="D3159" t="s">
        <v>6432</v>
      </c>
      <c r="E3159" t="s">
        <v>6569</v>
      </c>
      <c r="F3159" t="s">
        <v>6570</v>
      </c>
      <c r="G3159" t="s">
        <v>6571</v>
      </c>
      <c r="H3159" t="str">
        <f>"00861825"</f>
        <v>00861825</v>
      </c>
      <c r="I3159">
        <v>33.6</v>
      </c>
      <c r="J3159">
        <v>0</v>
      </c>
      <c r="N3159">
        <v>0</v>
      </c>
      <c r="O3159">
        <v>0</v>
      </c>
      <c r="P3159">
        <v>0</v>
      </c>
      <c r="Q3159">
        <v>33.6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D3159">
        <v>33.6</v>
      </c>
    </row>
    <row r="3160" spans="1:30" x14ac:dyDescent="0.3">
      <c r="A3160" s="4">
        <v>3182</v>
      </c>
      <c r="B3160" s="5">
        <v>3153</v>
      </c>
      <c r="C3160">
        <v>3421</v>
      </c>
      <c r="D3160" t="s">
        <v>6572</v>
      </c>
      <c r="E3160" t="s">
        <v>29</v>
      </c>
      <c r="F3160" t="s">
        <v>136</v>
      </c>
      <c r="G3160" t="s">
        <v>6573</v>
      </c>
      <c r="H3160" t="str">
        <f>"00865075"</f>
        <v>00865075</v>
      </c>
      <c r="I3160">
        <v>33.6</v>
      </c>
      <c r="J3160">
        <v>0</v>
      </c>
      <c r="N3160">
        <v>0</v>
      </c>
      <c r="O3160">
        <v>0</v>
      </c>
      <c r="P3160">
        <v>0</v>
      </c>
      <c r="Q3160">
        <v>33.6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D3160">
        <v>33.6</v>
      </c>
    </row>
    <row r="3161" spans="1:30" x14ac:dyDescent="0.3">
      <c r="A3161" s="4">
        <v>3183</v>
      </c>
      <c r="B3161" s="5">
        <v>3154</v>
      </c>
      <c r="C3161">
        <v>590</v>
      </c>
      <c r="D3161" t="s">
        <v>93</v>
      </c>
      <c r="E3161" t="s">
        <v>213</v>
      </c>
      <c r="F3161" t="s">
        <v>38</v>
      </c>
      <c r="G3161" t="s">
        <v>6574</v>
      </c>
      <c r="H3161" t="str">
        <f>"00651609"</f>
        <v>00651609</v>
      </c>
      <c r="I3161">
        <v>33.6</v>
      </c>
      <c r="J3161">
        <v>0</v>
      </c>
      <c r="N3161">
        <v>0</v>
      </c>
      <c r="O3161">
        <v>0</v>
      </c>
      <c r="P3161">
        <v>0</v>
      </c>
      <c r="Q3161">
        <v>33.6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D3161">
        <v>33.6</v>
      </c>
    </row>
    <row r="3162" spans="1:30" x14ac:dyDescent="0.3">
      <c r="A3162" s="4">
        <v>3184</v>
      </c>
      <c r="B3162" s="5">
        <v>3155</v>
      </c>
      <c r="C3162">
        <v>3856</v>
      </c>
      <c r="D3162" t="s">
        <v>5008</v>
      </c>
      <c r="E3162" t="s">
        <v>479</v>
      </c>
      <c r="F3162" t="s">
        <v>6575</v>
      </c>
      <c r="G3162" t="s">
        <v>6576</v>
      </c>
      <c r="H3162" t="str">
        <f>"00854489"</f>
        <v>00854489</v>
      </c>
      <c r="I3162">
        <v>29.6</v>
      </c>
      <c r="J3162">
        <v>0</v>
      </c>
      <c r="M3162">
        <v>4</v>
      </c>
      <c r="N3162">
        <v>4</v>
      </c>
      <c r="O3162">
        <v>0</v>
      </c>
      <c r="P3162">
        <v>0</v>
      </c>
      <c r="Q3162">
        <v>33.6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D3162">
        <v>33.6</v>
      </c>
    </row>
    <row r="3163" spans="1:30" x14ac:dyDescent="0.3">
      <c r="A3163" s="4">
        <v>3185</v>
      </c>
      <c r="B3163" s="5">
        <v>3156</v>
      </c>
      <c r="C3163">
        <v>2933</v>
      </c>
      <c r="D3163" t="s">
        <v>6577</v>
      </c>
      <c r="E3163" t="s">
        <v>6578</v>
      </c>
      <c r="F3163" t="s">
        <v>158</v>
      </c>
      <c r="G3163" t="s">
        <v>6579</v>
      </c>
      <c r="H3163" t="str">
        <f>"00553335"</f>
        <v>00553335</v>
      </c>
      <c r="I3163">
        <v>23.6</v>
      </c>
      <c r="J3163">
        <v>0</v>
      </c>
      <c r="M3163">
        <v>4</v>
      </c>
      <c r="N3163">
        <v>4</v>
      </c>
      <c r="O3163">
        <v>4</v>
      </c>
      <c r="P3163">
        <v>2</v>
      </c>
      <c r="Q3163">
        <v>33.6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D3163">
        <v>33.6</v>
      </c>
    </row>
    <row r="3164" spans="1:30" x14ac:dyDescent="0.3">
      <c r="A3164" s="4">
        <v>3186</v>
      </c>
      <c r="B3164" s="5">
        <v>3157</v>
      </c>
      <c r="C3164">
        <v>3321</v>
      </c>
      <c r="D3164" t="s">
        <v>6580</v>
      </c>
      <c r="E3164" t="s">
        <v>97</v>
      </c>
      <c r="F3164" t="s">
        <v>124</v>
      </c>
      <c r="G3164" t="s">
        <v>6581</v>
      </c>
      <c r="H3164" t="str">
        <f>"00507767"</f>
        <v>00507767</v>
      </c>
      <c r="I3164">
        <v>21.6</v>
      </c>
      <c r="J3164">
        <v>0</v>
      </c>
      <c r="K3164">
        <v>8</v>
      </c>
      <c r="N3164">
        <v>8</v>
      </c>
      <c r="O3164">
        <v>4</v>
      </c>
      <c r="P3164">
        <v>0</v>
      </c>
      <c r="Q3164">
        <v>33.6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D3164">
        <v>33.6</v>
      </c>
    </row>
    <row r="3165" spans="1:30" x14ac:dyDescent="0.3">
      <c r="A3165" s="4">
        <v>3187</v>
      </c>
      <c r="B3165" s="5">
        <v>3158</v>
      </c>
      <c r="C3165">
        <v>852</v>
      </c>
      <c r="D3165" t="s">
        <v>2961</v>
      </c>
      <c r="E3165" t="s">
        <v>6507</v>
      </c>
      <c r="F3165" t="s">
        <v>81</v>
      </c>
      <c r="G3165" t="s">
        <v>6582</v>
      </c>
      <c r="H3165" t="str">
        <f>"00859036"</f>
        <v>00859036</v>
      </c>
      <c r="I3165">
        <v>21.6</v>
      </c>
      <c r="J3165">
        <v>0</v>
      </c>
      <c r="K3165">
        <v>8</v>
      </c>
      <c r="N3165">
        <v>8</v>
      </c>
      <c r="O3165">
        <v>4</v>
      </c>
      <c r="P3165">
        <v>0</v>
      </c>
      <c r="Q3165">
        <v>33.6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D3165">
        <v>33.6</v>
      </c>
    </row>
    <row r="3166" spans="1:30" x14ac:dyDescent="0.3">
      <c r="A3166" s="4">
        <v>3188</v>
      </c>
      <c r="B3166" s="5">
        <v>3159</v>
      </c>
      <c r="C3166">
        <v>893</v>
      </c>
      <c r="D3166" t="s">
        <v>6583</v>
      </c>
      <c r="E3166" t="s">
        <v>516</v>
      </c>
      <c r="F3166" t="s">
        <v>124</v>
      </c>
      <c r="G3166" t="s">
        <v>6584</v>
      </c>
      <c r="H3166" t="str">
        <f>"00527927"</f>
        <v>00527927</v>
      </c>
      <c r="I3166">
        <v>30.52</v>
      </c>
      <c r="J3166">
        <v>0</v>
      </c>
      <c r="N3166">
        <v>0</v>
      </c>
      <c r="O3166">
        <v>0</v>
      </c>
      <c r="P3166">
        <v>0</v>
      </c>
      <c r="Q3166">
        <v>30.52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3</v>
      </c>
      <c r="AB3166">
        <v>0</v>
      </c>
      <c r="AD3166">
        <v>33.520000000000003</v>
      </c>
    </row>
    <row r="3167" spans="1:30" x14ac:dyDescent="0.3">
      <c r="A3167" s="4">
        <v>3189</v>
      </c>
      <c r="B3167" s="5">
        <v>3160</v>
      </c>
      <c r="C3167">
        <v>176</v>
      </c>
      <c r="D3167" t="s">
        <v>6585</v>
      </c>
      <c r="E3167" t="s">
        <v>178</v>
      </c>
      <c r="F3167" t="s">
        <v>20</v>
      </c>
      <c r="G3167" t="s">
        <v>6586</v>
      </c>
      <c r="H3167" t="str">
        <f>"00858178"</f>
        <v>00858178</v>
      </c>
      <c r="I3167">
        <v>27.48</v>
      </c>
      <c r="J3167">
        <v>0</v>
      </c>
      <c r="N3167">
        <v>0</v>
      </c>
      <c r="O3167">
        <v>0</v>
      </c>
      <c r="P3167">
        <v>0</v>
      </c>
      <c r="Q3167">
        <v>27.48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6</v>
      </c>
      <c r="AB3167">
        <v>0</v>
      </c>
      <c r="AD3167">
        <v>33.479999999999997</v>
      </c>
    </row>
    <row r="3168" spans="1:30" x14ac:dyDescent="0.3">
      <c r="A3168" s="4">
        <v>3190</v>
      </c>
      <c r="B3168" s="5">
        <v>3161</v>
      </c>
      <c r="C3168">
        <v>64</v>
      </c>
      <c r="D3168" t="s">
        <v>6587</v>
      </c>
      <c r="E3168" t="s">
        <v>837</v>
      </c>
      <c r="F3168" t="s">
        <v>17</v>
      </c>
      <c r="G3168" t="s">
        <v>6588</v>
      </c>
      <c r="H3168" t="str">
        <f>"00836320"</f>
        <v>00836320</v>
      </c>
      <c r="I3168">
        <v>27.4</v>
      </c>
      <c r="J3168">
        <v>0</v>
      </c>
      <c r="N3168">
        <v>0</v>
      </c>
      <c r="O3168">
        <v>0</v>
      </c>
      <c r="P3168">
        <v>0</v>
      </c>
      <c r="Q3168">
        <v>27.4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6</v>
      </c>
      <c r="AB3168">
        <v>0</v>
      </c>
      <c r="AD3168">
        <v>33.4</v>
      </c>
    </row>
    <row r="3169" spans="1:30" x14ac:dyDescent="0.3">
      <c r="A3169" s="4">
        <v>3191</v>
      </c>
      <c r="B3169" s="5">
        <v>3162</v>
      </c>
      <c r="C3169">
        <v>1036</v>
      </c>
      <c r="D3169" t="s">
        <v>6589</v>
      </c>
      <c r="E3169" t="s">
        <v>88</v>
      </c>
      <c r="F3169" t="s">
        <v>20</v>
      </c>
      <c r="G3169" t="s">
        <v>6590</v>
      </c>
      <c r="H3169" t="str">
        <f>"00489268"</f>
        <v>00489268</v>
      </c>
      <c r="I3169">
        <v>14.4</v>
      </c>
      <c r="J3169">
        <v>0</v>
      </c>
      <c r="N3169">
        <v>0</v>
      </c>
      <c r="O3169">
        <v>4</v>
      </c>
      <c r="P3169">
        <v>0</v>
      </c>
      <c r="Q3169">
        <v>18.399999999999999</v>
      </c>
      <c r="R3169">
        <v>12</v>
      </c>
      <c r="S3169">
        <v>12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12</v>
      </c>
      <c r="AA3169">
        <v>3</v>
      </c>
      <c r="AB3169">
        <v>0</v>
      </c>
      <c r="AD3169">
        <v>33.4</v>
      </c>
    </row>
    <row r="3170" spans="1:30" x14ac:dyDescent="0.3">
      <c r="A3170" s="4">
        <v>3192</v>
      </c>
      <c r="B3170" s="5">
        <v>3163</v>
      </c>
      <c r="C3170">
        <v>1252</v>
      </c>
      <c r="D3170" t="s">
        <v>6591</v>
      </c>
      <c r="E3170" t="s">
        <v>166</v>
      </c>
      <c r="F3170" t="s">
        <v>81</v>
      </c>
      <c r="G3170" t="s">
        <v>6592</v>
      </c>
      <c r="H3170" t="str">
        <f>"00530296"</f>
        <v>00530296</v>
      </c>
      <c r="I3170">
        <v>14.4</v>
      </c>
      <c r="J3170">
        <v>0</v>
      </c>
      <c r="K3170">
        <v>8</v>
      </c>
      <c r="N3170">
        <v>8</v>
      </c>
      <c r="O3170">
        <v>4</v>
      </c>
      <c r="P3170">
        <v>2</v>
      </c>
      <c r="Q3170">
        <v>28.4</v>
      </c>
      <c r="R3170">
        <v>5</v>
      </c>
      <c r="S3170">
        <v>5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5</v>
      </c>
      <c r="AA3170">
        <v>0</v>
      </c>
      <c r="AB3170">
        <v>0</v>
      </c>
      <c r="AD3170">
        <v>33.4</v>
      </c>
    </row>
    <row r="3171" spans="1:30" x14ac:dyDescent="0.3">
      <c r="A3171" s="4">
        <v>3193</v>
      </c>
      <c r="B3171" s="5">
        <v>3164</v>
      </c>
      <c r="C3171">
        <v>2984</v>
      </c>
      <c r="D3171" t="s">
        <v>6593</v>
      </c>
      <c r="E3171" t="s">
        <v>22</v>
      </c>
      <c r="F3171" t="s">
        <v>687</v>
      </c>
      <c r="G3171" t="s">
        <v>6594</v>
      </c>
      <c r="H3171" t="str">
        <f>"00218276"</f>
        <v>00218276</v>
      </c>
      <c r="I3171">
        <v>14.4</v>
      </c>
      <c r="J3171">
        <v>0</v>
      </c>
      <c r="M3171">
        <v>4</v>
      </c>
      <c r="N3171">
        <v>4</v>
      </c>
      <c r="O3171">
        <v>4</v>
      </c>
      <c r="P3171">
        <v>0</v>
      </c>
      <c r="Q3171">
        <v>22.4</v>
      </c>
      <c r="R3171">
        <v>11</v>
      </c>
      <c r="S3171">
        <v>11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11</v>
      </c>
      <c r="AA3171">
        <v>0</v>
      </c>
      <c r="AB3171">
        <v>0</v>
      </c>
      <c r="AD3171">
        <v>33.4</v>
      </c>
    </row>
    <row r="3172" spans="1:30" x14ac:dyDescent="0.3">
      <c r="A3172" s="4">
        <v>3194</v>
      </c>
      <c r="B3172" s="5">
        <v>3165</v>
      </c>
      <c r="C3172">
        <v>40</v>
      </c>
      <c r="D3172" t="s">
        <v>6595</v>
      </c>
      <c r="E3172" t="s">
        <v>335</v>
      </c>
      <c r="F3172" t="s">
        <v>91</v>
      </c>
      <c r="G3172" t="s">
        <v>6596</v>
      </c>
      <c r="H3172" t="str">
        <f>"00336436"</f>
        <v>00336436</v>
      </c>
      <c r="I3172">
        <v>14.4</v>
      </c>
      <c r="J3172">
        <v>0</v>
      </c>
      <c r="N3172">
        <v>0</v>
      </c>
      <c r="O3172">
        <v>4</v>
      </c>
      <c r="P3172">
        <v>2</v>
      </c>
      <c r="Q3172">
        <v>20.399999999999999</v>
      </c>
      <c r="R3172">
        <v>13</v>
      </c>
      <c r="S3172">
        <v>13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13</v>
      </c>
      <c r="AA3172">
        <v>0</v>
      </c>
      <c r="AB3172">
        <v>0</v>
      </c>
      <c r="AD3172">
        <v>33.4</v>
      </c>
    </row>
    <row r="3173" spans="1:30" x14ac:dyDescent="0.3">
      <c r="A3173" s="4">
        <v>3195</v>
      </c>
      <c r="B3173" s="5">
        <v>3166</v>
      </c>
      <c r="C3173">
        <v>2514</v>
      </c>
      <c r="D3173" t="s">
        <v>4439</v>
      </c>
      <c r="E3173" t="s">
        <v>208</v>
      </c>
      <c r="F3173" t="s">
        <v>457</v>
      </c>
      <c r="G3173" t="s">
        <v>6597</v>
      </c>
      <c r="H3173" t="str">
        <f>"00441775"</f>
        <v>00441775</v>
      </c>
      <c r="I3173">
        <v>14.4</v>
      </c>
      <c r="J3173">
        <v>0</v>
      </c>
      <c r="N3173">
        <v>0</v>
      </c>
      <c r="O3173">
        <v>4</v>
      </c>
      <c r="P3173">
        <v>2</v>
      </c>
      <c r="Q3173">
        <v>20.399999999999999</v>
      </c>
      <c r="R3173">
        <v>13</v>
      </c>
      <c r="S3173">
        <v>13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13</v>
      </c>
      <c r="AA3173">
        <v>0</v>
      </c>
      <c r="AB3173">
        <v>0</v>
      </c>
      <c r="AD3173">
        <v>33.4</v>
      </c>
    </row>
    <row r="3174" spans="1:30" x14ac:dyDescent="0.3">
      <c r="A3174" s="4">
        <v>3196</v>
      </c>
      <c r="B3174" s="5">
        <v>3167</v>
      </c>
      <c r="C3174">
        <v>4939</v>
      </c>
      <c r="D3174" t="s">
        <v>6598</v>
      </c>
      <c r="E3174" t="s">
        <v>738</v>
      </c>
      <c r="F3174" t="s">
        <v>17</v>
      </c>
      <c r="G3174" t="s">
        <v>6599</v>
      </c>
      <c r="H3174" t="str">
        <f>"00849067"</f>
        <v>00849067</v>
      </c>
      <c r="I3174">
        <v>4.3600000000000003</v>
      </c>
      <c r="J3174">
        <v>0</v>
      </c>
      <c r="N3174">
        <v>0</v>
      </c>
      <c r="O3174">
        <v>0</v>
      </c>
      <c r="P3174">
        <v>0</v>
      </c>
      <c r="Q3174">
        <v>4.3600000000000003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9</v>
      </c>
      <c r="AB3174">
        <v>20</v>
      </c>
      <c r="AD3174">
        <v>33.36</v>
      </c>
    </row>
    <row r="3175" spans="1:30" x14ac:dyDescent="0.3">
      <c r="A3175" s="4">
        <v>3197</v>
      </c>
      <c r="B3175" s="5">
        <v>3168</v>
      </c>
      <c r="C3175">
        <v>4302</v>
      </c>
      <c r="D3175" t="s">
        <v>6600</v>
      </c>
      <c r="E3175" t="s">
        <v>342</v>
      </c>
      <c r="F3175" t="s">
        <v>30</v>
      </c>
      <c r="G3175" t="s">
        <v>6601</v>
      </c>
      <c r="H3175" t="str">
        <f>"00864532"</f>
        <v>00864532</v>
      </c>
      <c r="I3175">
        <v>23.28</v>
      </c>
      <c r="J3175">
        <v>0</v>
      </c>
      <c r="N3175">
        <v>0</v>
      </c>
      <c r="O3175">
        <v>4</v>
      </c>
      <c r="P3175">
        <v>0</v>
      </c>
      <c r="Q3175">
        <v>27.28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6</v>
      </c>
      <c r="AB3175">
        <v>0</v>
      </c>
      <c r="AD3175">
        <v>33.28</v>
      </c>
    </row>
    <row r="3176" spans="1:30" x14ac:dyDescent="0.3">
      <c r="A3176" s="4">
        <v>3198</v>
      </c>
      <c r="B3176" s="5">
        <v>3169</v>
      </c>
      <c r="C3176">
        <v>1217</v>
      </c>
      <c r="D3176" t="s">
        <v>1099</v>
      </c>
      <c r="E3176" t="s">
        <v>550</v>
      </c>
      <c r="F3176" t="s">
        <v>17</v>
      </c>
      <c r="G3176" t="s">
        <v>6602</v>
      </c>
      <c r="H3176" t="str">
        <f>"00510230"</f>
        <v>00510230</v>
      </c>
      <c r="I3176">
        <v>27.2</v>
      </c>
      <c r="J3176">
        <v>0</v>
      </c>
      <c r="N3176">
        <v>0</v>
      </c>
      <c r="O3176">
        <v>0</v>
      </c>
      <c r="P3176">
        <v>0</v>
      </c>
      <c r="Q3176">
        <v>27.2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6</v>
      </c>
      <c r="AB3176">
        <v>0</v>
      </c>
      <c r="AD3176">
        <v>33.200000000000003</v>
      </c>
    </row>
    <row r="3177" spans="1:30" x14ac:dyDescent="0.3">
      <c r="A3177" s="4">
        <v>3199</v>
      </c>
      <c r="B3177" s="5">
        <v>3170</v>
      </c>
      <c r="C3177">
        <v>4151</v>
      </c>
      <c r="D3177" t="s">
        <v>348</v>
      </c>
      <c r="E3177" t="s">
        <v>335</v>
      </c>
      <c r="F3177" t="s">
        <v>230</v>
      </c>
      <c r="G3177" t="s">
        <v>6603</v>
      </c>
      <c r="H3177" t="str">
        <f>"00507678"</f>
        <v>00507678</v>
      </c>
      <c r="I3177">
        <v>15.2</v>
      </c>
      <c r="J3177">
        <v>0</v>
      </c>
      <c r="N3177">
        <v>0</v>
      </c>
      <c r="O3177">
        <v>4</v>
      </c>
      <c r="P3177">
        <v>0</v>
      </c>
      <c r="Q3177">
        <v>19.2</v>
      </c>
      <c r="R3177">
        <v>8</v>
      </c>
      <c r="S3177">
        <v>8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8</v>
      </c>
      <c r="AA3177">
        <v>6</v>
      </c>
      <c r="AB3177">
        <v>0</v>
      </c>
      <c r="AD3177">
        <v>33.200000000000003</v>
      </c>
    </row>
    <row r="3178" spans="1:30" x14ac:dyDescent="0.3">
      <c r="A3178" s="4">
        <v>3200</v>
      </c>
      <c r="B3178" s="5">
        <v>3171</v>
      </c>
      <c r="C3178">
        <v>1501</v>
      </c>
      <c r="D3178" t="s">
        <v>6604</v>
      </c>
      <c r="E3178" t="s">
        <v>6605</v>
      </c>
      <c r="F3178" t="s">
        <v>2830</v>
      </c>
      <c r="G3178" t="s">
        <v>6606</v>
      </c>
      <c r="H3178" t="str">
        <f>"00858745"</f>
        <v>00858745</v>
      </c>
      <c r="I3178">
        <v>33.200000000000003</v>
      </c>
      <c r="J3178">
        <v>0</v>
      </c>
      <c r="N3178">
        <v>0</v>
      </c>
      <c r="O3178">
        <v>0</v>
      </c>
      <c r="P3178">
        <v>0</v>
      </c>
      <c r="Q3178">
        <v>33.200000000000003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D3178">
        <v>33.200000000000003</v>
      </c>
    </row>
    <row r="3179" spans="1:30" x14ac:dyDescent="0.3">
      <c r="A3179" s="4">
        <v>3201</v>
      </c>
      <c r="B3179" s="5">
        <v>3172</v>
      </c>
      <c r="C3179">
        <v>1652</v>
      </c>
      <c r="D3179" t="s">
        <v>6607</v>
      </c>
      <c r="E3179" t="s">
        <v>100</v>
      </c>
      <c r="F3179" t="s">
        <v>259</v>
      </c>
      <c r="G3179" t="s">
        <v>6608</v>
      </c>
      <c r="H3179" t="str">
        <f>"00858570"</f>
        <v>00858570</v>
      </c>
      <c r="I3179">
        <v>33.200000000000003</v>
      </c>
      <c r="J3179">
        <v>0</v>
      </c>
      <c r="N3179">
        <v>0</v>
      </c>
      <c r="O3179">
        <v>0</v>
      </c>
      <c r="P3179">
        <v>0</v>
      </c>
      <c r="Q3179">
        <v>33.200000000000003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D3179">
        <v>33.200000000000003</v>
      </c>
    </row>
    <row r="3180" spans="1:30" x14ac:dyDescent="0.3">
      <c r="A3180" s="4">
        <v>3202</v>
      </c>
      <c r="B3180" s="5">
        <v>3173</v>
      </c>
      <c r="C3180">
        <v>263</v>
      </c>
      <c r="D3180" t="s">
        <v>6609</v>
      </c>
      <c r="E3180" t="s">
        <v>6610</v>
      </c>
      <c r="F3180" t="s">
        <v>3130</v>
      </c>
      <c r="G3180" t="s">
        <v>6611</v>
      </c>
      <c r="H3180" t="str">
        <f>"00026584"</f>
        <v>00026584</v>
      </c>
      <c r="I3180">
        <v>33.200000000000003</v>
      </c>
      <c r="J3180">
        <v>0</v>
      </c>
      <c r="N3180">
        <v>0</v>
      </c>
      <c r="O3180">
        <v>0</v>
      </c>
      <c r="P3180">
        <v>0</v>
      </c>
      <c r="Q3180">
        <v>33.200000000000003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D3180">
        <v>33.200000000000003</v>
      </c>
    </row>
    <row r="3181" spans="1:30" x14ac:dyDescent="0.3">
      <c r="A3181" s="4">
        <v>3203</v>
      </c>
      <c r="B3181" s="5">
        <v>3174</v>
      </c>
      <c r="C3181">
        <v>1885</v>
      </c>
      <c r="D3181" t="s">
        <v>6612</v>
      </c>
      <c r="E3181" t="s">
        <v>54</v>
      </c>
      <c r="F3181" t="s">
        <v>343</v>
      </c>
      <c r="G3181" t="s">
        <v>6613</v>
      </c>
      <c r="H3181" t="str">
        <f>"00559705"</f>
        <v>00559705</v>
      </c>
      <c r="I3181">
        <v>33.200000000000003</v>
      </c>
      <c r="J3181">
        <v>0</v>
      </c>
      <c r="N3181">
        <v>0</v>
      </c>
      <c r="O3181">
        <v>0</v>
      </c>
      <c r="P3181">
        <v>0</v>
      </c>
      <c r="Q3181">
        <v>33.200000000000003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D3181">
        <v>33.200000000000003</v>
      </c>
    </row>
    <row r="3182" spans="1:30" x14ac:dyDescent="0.3">
      <c r="A3182" s="4">
        <v>3204</v>
      </c>
      <c r="B3182" s="5">
        <v>3175</v>
      </c>
      <c r="C3182">
        <v>3511</v>
      </c>
      <c r="D3182" t="s">
        <v>3853</v>
      </c>
      <c r="E3182" t="s">
        <v>471</v>
      </c>
      <c r="F3182" t="s">
        <v>81</v>
      </c>
      <c r="G3182" t="s">
        <v>6614</v>
      </c>
      <c r="H3182" t="str">
        <f>"00822829"</f>
        <v>00822829</v>
      </c>
      <c r="I3182">
        <v>27.2</v>
      </c>
      <c r="J3182">
        <v>0</v>
      </c>
      <c r="N3182">
        <v>0</v>
      </c>
      <c r="O3182">
        <v>4</v>
      </c>
      <c r="P3182">
        <v>2</v>
      </c>
      <c r="Q3182">
        <v>33.200000000000003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D3182">
        <v>33.200000000000003</v>
      </c>
    </row>
    <row r="3183" spans="1:30" x14ac:dyDescent="0.3">
      <c r="A3183" s="4">
        <v>3205</v>
      </c>
      <c r="B3183" s="5">
        <v>3176</v>
      </c>
      <c r="C3183">
        <v>3303</v>
      </c>
      <c r="D3183" t="s">
        <v>6615</v>
      </c>
      <c r="E3183" t="s">
        <v>471</v>
      </c>
      <c r="F3183" t="s">
        <v>20</v>
      </c>
      <c r="G3183" t="s">
        <v>6616</v>
      </c>
      <c r="H3183" t="str">
        <f>"00531730"</f>
        <v>00531730</v>
      </c>
      <c r="I3183">
        <v>25.2</v>
      </c>
      <c r="J3183">
        <v>0</v>
      </c>
      <c r="M3183">
        <v>4</v>
      </c>
      <c r="N3183">
        <v>4</v>
      </c>
      <c r="O3183">
        <v>4</v>
      </c>
      <c r="P3183">
        <v>0</v>
      </c>
      <c r="Q3183">
        <v>33.200000000000003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D3183">
        <v>33.200000000000003</v>
      </c>
    </row>
    <row r="3184" spans="1:30" x14ac:dyDescent="0.3">
      <c r="A3184" s="4">
        <v>3206</v>
      </c>
      <c r="B3184" s="5">
        <v>3177</v>
      </c>
      <c r="C3184">
        <v>4390</v>
      </c>
      <c r="D3184" t="s">
        <v>6617</v>
      </c>
      <c r="E3184" t="s">
        <v>6618</v>
      </c>
      <c r="F3184" t="s">
        <v>30</v>
      </c>
      <c r="G3184" t="s">
        <v>6619</v>
      </c>
      <c r="H3184" t="str">
        <f>"00861665"</f>
        <v>00861665</v>
      </c>
      <c r="I3184">
        <v>25.2</v>
      </c>
      <c r="J3184">
        <v>0</v>
      </c>
      <c r="K3184">
        <v>8</v>
      </c>
      <c r="N3184">
        <v>8</v>
      </c>
      <c r="O3184">
        <v>0</v>
      </c>
      <c r="P3184">
        <v>0</v>
      </c>
      <c r="Q3184">
        <v>33.200000000000003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D3184">
        <v>33.200000000000003</v>
      </c>
    </row>
    <row r="3185" spans="1:30" x14ac:dyDescent="0.3">
      <c r="A3185" s="4">
        <v>3207</v>
      </c>
      <c r="B3185" s="5">
        <v>3178</v>
      </c>
      <c r="C3185">
        <v>955</v>
      </c>
      <c r="D3185" t="s">
        <v>6620</v>
      </c>
      <c r="E3185" t="s">
        <v>54</v>
      </c>
      <c r="F3185" t="s">
        <v>68</v>
      </c>
      <c r="G3185" t="s">
        <v>6621</v>
      </c>
      <c r="H3185" t="str">
        <f>"00530444"</f>
        <v>00530444</v>
      </c>
      <c r="I3185">
        <v>7.2</v>
      </c>
      <c r="J3185">
        <v>0</v>
      </c>
      <c r="M3185">
        <v>4</v>
      </c>
      <c r="N3185">
        <v>4</v>
      </c>
      <c r="O3185">
        <v>4</v>
      </c>
      <c r="P3185">
        <v>2</v>
      </c>
      <c r="Q3185">
        <v>17.2</v>
      </c>
      <c r="R3185">
        <v>16</v>
      </c>
      <c r="S3185">
        <v>16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16</v>
      </c>
      <c r="AA3185">
        <v>0</v>
      </c>
      <c r="AB3185">
        <v>0</v>
      </c>
      <c r="AD3185">
        <v>33.200000000000003</v>
      </c>
    </row>
    <row r="3186" spans="1:30" x14ac:dyDescent="0.3">
      <c r="A3186" s="4">
        <v>3208</v>
      </c>
      <c r="B3186" s="5">
        <v>3179</v>
      </c>
      <c r="C3186">
        <v>1606</v>
      </c>
      <c r="D3186" t="s">
        <v>6622</v>
      </c>
      <c r="E3186" t="s">
        <v>26</v>
      </c>
      <c r="F3186" t="s">
        <v>30</v>
      </c>
      <c r="G3186" t="s">
        <v>6623</v>
      </c>
      <c r="H3186" t="str">
        <f>"00063623"</f>
        <v>00063623</v>
      </c>
      <c r="I3186">
        <v>7.2</v>
      </c>
      <c r="J3186">
        <v>0</v>
      </c>
      <c r="M3186">
        <v>4</v>
      </c>
      <c r="N3186">
        <v>4</v>
      </c>
      <c r="O3186">
        <v>4</v>
      </c>
      <c r="P3186">
        <v>2</v>
      </c>
      <c r="Q3186">
        <v>17.2</v>
      </c>
      <c r="R3186">
        <v>6</v>
      </c>
      <c r="S3186">
        <v>6</v>
      </c>
      <c r="T3186">
        <v>0</v>
      </c>
      <c r="U3186">
        <v>0</v>
      </c>
      <c r="V3186">
        <v>7</v>
      </c>
      <c r="W3186">
        <v>10</v>
      </c>
      <c r="X3186">
        <v>0</v>
      </c>
      <c r="Y3186">
        <v>0</v>
      </c>
      <c r="Z3186">
        <v>16</v>
      </c>
      <c r="AA3186">
        <v>0</v>
      </c>
      <c r="AB3186">
        <v>0</v>
      </c>
      <c r="AD3186">
        <v>33.200000000000003</v>
      </c>
    </row>
    <row r="3187" spans="1:30" x14ac:dyDescent="0.3">
      <c r="A3187" s="4">
        <v>3209</v>
      </c>
      <c r="B3187" s="5">
        <v>3180</v>
      </c>
      <c r="C3187">
        <v>3672</v>
      </c>
      <c r="D3187" t="s">
        <v>775</v>
      </c>
      <c r="E3187" t="s">
        <v>161</v>
      </c>
      <c r="F3187" t="s">
        <v>17</v>
      </c>
      <c r="G3187" t="s">
        <v>6624</v>
      </c>
      <c r="H3187" t="str">
        <f>"00530370"</f>
        <v>00530370</v>
      </c>
      <c r="I3187">
        <v>29.16</v>
      </c>
      <c r="J3187">
        <v>0</v>
      </c>
      <c r="N3187">
        <v>0</v>
      </c>
      <c r="O3187">
        <v>4</v>
      </c>
      <c r="P3187">
        <v>0</v>
      </c>
      <c r="Q3187">
        <v>33.159999999999997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D3187">
        <v>33.159999999999997</v>
      </c>
    </row>
    <row r="3188" spans="1:30" x14ac:dyDescent="0.3">
      <c r="A3188" s="4">
        <v>3210</v>
      </c>
      <c r="B3188" s="5">
        <v>3181</v>
      </c>
      <c r="C3188">
        <v>944</v>
      </c>
      <c r="D3188" t="s">
        <v>5915</v>
      </c>
      <c r="E3188" t="s">
        <v>283</v>
      </c>
      <c r="F3188" t="s">
        <v>17</v>
      </c>
      <c r="G3188" t="s">
        <v>6625</v>
      </c>
      <c r="H3188" t="str">
        <f>"00528705"</f>
        <v>00528705</v>
      </c>
      <c r="I3188">
        <v>13.08</v>
      </c>
      <c r="J3188">
        <v>0</v>
      </c>
      <c r="N3188">
        <v>0</v>
      </c>
      <c r="O3188">
        <v>4</v>
      </c>
      <c r="P3188">
        <v>2</v>
      </c>
      <c r="Q3188">
        <v>19.079999999999998</v>
      </c>
      <c r="R3188">
        <v>11</v>
      </c>
      <c r="S3188">
        <v>11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11</v>
      </c>
      <c r="AA3188">
        <v>3</v>
      </c>
      <c r="AB3188">
        <v>0</v>
      </c>
      <c r="AD3188">
        <v>33.08</v>
      </c>
    </row>
    <row r="3189" spans="1:30" x14ac:dyDescent="0.3">
      <c r="A3189" s="4">
        <v>3211</v>
      </c>
      <c r="B3189" s="5">
        <v>3182</v>
      </c>
      <c r="C3189">
        <v>954</v>
      </c>
      <c r="D3189" t="s">
        <v>2132</v>
      </c>
      <c r="E3189" t="s">
        <v>41</v>
      </c>
      <c r="F3189" t="s">
        <v>17</v>
      </c>
      <c r="G3189" t="s">
        <v>6626</v>
      </c>
      <c r="H3189" t="str">
        <f>"00555253"</f>
        <v>00555253</v>
      </c>
      <c r="I3189">
        <v>20</v>
      </c>
      <c r="J3189">
        <v>10</v>
      </c>
      <c r="N3189">
        <v>0</v>
      </c>
      <c r="O3189">
        <v>0</v>
      </c>
      <c r="P3189">
        <v>0</v>
      </c>
      <c r="Q3189">
        <v>30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3</v>
      </c>
      <c r="AB3189">
        <v>0</v>
      </c>
      <c r="AD3189">
        <v>33</v>
      </c>
    </row>
    <row r="3190" spans="1:30" x14ac:dyDescent="0.3">
      <c r="A3190" s="4">
        <v>3212</v>
      </c>
      <c r="B3190" s="5">
        <v>3183</v>
      </c>
      <c r="C3190">
        <v>4666</v>
      </c>
      <c r="D3190" t="s">
        <v>1184</v>
      </c>
      <c r="E3190" t="s">
        <v>692</v>
      </c>
      <c r="F3190" t="s">
        <v>81</v>
      </c>
      <c r="G3190" t="s">
        <v>6627</v>
      </c>
      <c r="H3190" t="str">
        <f>"00479930"</f>
        <v>00479930</v>
      </c>
      <c r="I3190">
        <v>0</v>
      </c>
      <c r="J3190">
        <v>0</v>
      </c>
      <c r="M3190">
        <v>4</v>
      </c>
      <c r="N3190">
        <v>4</v>
      </c>
      <c r="O3190">
        <v>4</v>
      </c>
      <c r="P3190">
        <v>0</v>
      </c>
      <c r="Q3190">
        <v>8</v>
      </c>
      <c r="R3190">
        <v>25</v>
      </c>
      <c r="S3190">
        <v>25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25</v>
      </c>
      <c r="AA3190">
        <v>0</v>
      </c>
      <c r="AB3190">
        <v>0</v>
      </c>
      <c r="AC3190" t="s">
        <v>130</v>
      </c>
      <c r="AD3190">
        <v>33</v>
      </c>
    </row>
    <row r="3191" spans="1:30" x14ac:dyDescent="0.3">
      <c r="A3191" s="4">
        <v>3213</v>
      </c>
      <c r="B3191" s="5">
        <v>3184</v>
      </c>
      <c r="C3191">
        <v>223</v>
      </c>
      <c r="D3191" t="s">
        <v>6628</v>
      </c>
      <c r="E3191" t="s">
        <v>967</v>
      </c>
      <c r="F3191" t="s">
        <v>20</v>
      </c>
      <c r="G3191" t="s">
        <v>6629</v>
      </c>
      <c r="H3191" t="str">
        <f>"00825524"</f>
        <v>00825524</v>
      </c>
      <c r="I3191">
        <v>26.92</v>
      </c>
      <c r="J3191">
        <v>0</v>
      </c>
      <c r="N3191">
        <v>0</v>
      </c>
      <c r="O3191">
        <v>0</v>
      </c>
      <c r="P3191">
        <v>0</v>
      </c>
      <c r="Q3191">
        <v>26.92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6</v>
      </c>
      <c r="AB3191">
        <v>0</v>
      </c>
      <c r="AD3191">
        <v>32.92</v>
      </c>
    </row>
    <row r="3192" spans="1:30" x14ac:dyDescent="0.3">
      <c r="A3192" s="4">
        <v>3214</v>
      </c>
      <c r="B3192" s="5">
        <v>3185</v>
      </c>
      <c r="C3192">
        <v>4370</v>
      </c>
      <c r="D3192" t="s">
        <v>6630</v>
      </c>
      <c r="E3192" t="s">
        <v>182</v>
      </c>
      <c r="F3192" t="s">
        <v>81</v>
      </c>
      <c r="G3192" t="s">
        <v>6631</v>
      </c>
      <c r="H3192" t="str">
        <f>"00264865"</f>
        <v>00264865</v>
      </c>
      <c r="I3192">
        <v>25.88</v>
      </c>
      <c r="J3192">
        <v>0</v>
      </c>
      <c r="N3192">
        <v>0</v>
      </c>
      <c r="O3192">
        <v>4</v>
      </c>
      <c r="P3192">
        <v>0</v>
      </c>
      <c r="Q3192">
        <v>29.88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3</v>
      </c>
      <c r="AB3192">
        <v>0</v>
      </c>
      <c r="AD3192">
        <v>32.880000000000003</v>
      </c>
    </row>
    <row r="3193" spans="1:30" x14ac:dyDescent="0.3">
      <c r="A3193" s="4">
        <v>3215</v>
      </c>
      <c r="B3193" s="5">
        <v>3186</v>
      </c>
      <c r="C3193">
        <v>1900</v>
      </c>
      <c r="D3193" t="s">
        <v>496</v>
      </c>
      <c r="E3193" t="s">
        <v>97</v>
      </c>
      <c r="F3193" t="s">
        <v>117</v>
      </c>
      <c r="G3193" t="s">
        <v>6632</v>
      </c>
      <c r="H3193" t="str">
        <f>"00424601"</f>
        <v>00424601</v>
      </c>
      <c r="I3193">
        <v>12.84</v>
      </c>
      <c r="J3193">
        <v>10</v>
      </c>
      <c r="N3193">
        <v>0</v>
      </c>
      <c r="O3193">
        <v>4</v>
      </c>
      <c r="P3193">
        <v>0</v>
      </c>
      <c r="Q3193">
        <v>26.84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6</v>
      </c>
      <c r="AB3193">
        <v>0</v>
      </c>
      <c r="AD3193">
        <v>32.840000000000003</v>
      </c>
    </row>
    <row r="3194" spans="1:30" x14ac:dyDescent="0.3">
      <c r="A3194" s="4">
        <v>3216</v>
      </c>
      <c r="B3194" s="5">
        <v>3187</v>
      </c>
      <c r="C3194">
        <v>1496</v>
      </c>
      <c r="D3194" t="s">
        <v>6633</v>
      </c>
      <c r="E3194" t="s">
        <v>289</v>
      </c>
      <c r="F3194" t="s">
        <v>124</v>
      </c>
      <c r="G3194" t="s">
        <v>6634</v>
      </c>
      <c r="H3194" t="str">
        <f>"00859386"</f>
        <v>00859386</v>
      </c>
      <c r="I3194">
        <v>0</v>
      </c>
      <c r="J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6</v>
      </c>
      <c r="AB3194">
        <v>26.8</v>
      </c>
      <c r="AD3194">
        <v>32.799999999999997</v>
      </c>
    </row>
    <row r="3195" spans="1:30" x14ac:dyDescent="0.3">
      <c r="A3195" s="4">
        <v>3217</v>
      </c>
      <c r="B3195" s="5">
        <v>3188</v>
      </c>
      <c r="C3195">
        <v>2945</v>
      </c>
      <c r="D3195" t="s">
        <v>6635</v>
      </c>
      <c r="E3195" t="s">
        <v>132</v>
      </c>
      <c r="F3195" t="s">
        <v>68</v>
      </c>
      <c r="G3195" t="s">
        <v>6636</v>
      </c>
      <c r="H3195" t="str">
        <f>"00586004"</f>
        <v>00586004</v>
      </c>
      <c r="I3195">
        <v>32.799999999999997</v>
      </c>
      <c r="J3195">
        <v>0</v>
      </c>
      <c r="N3195">
        <v>0</v>
      </c>
      <c r="O3195">
        <v>0</v>
      </c>
      <c r="P3195">
        <v>0</v>
      </c>
      <c r="Q3195">
        <v>32.799999999999997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D3195">
        <v>32.799999999999997</v>
      </c>
    </row>
    <row r="3196" spans="1:30" x14ac:dyDescent="0.3">
      <c r="A3196" s="4">
        <v>3218</v>
      </c>
      <c r="B3196" s="5">
        <v>3189</v>
      </c>
      <c r="C3196">
        <v>3741</v>
      </c>
      <c r="D3196" t="s">
        <v>6637</v>
      </c>
      <c r="E3196" t="s">
        <v>188</v>
      </c>
      <c r="F3196" t="s">
        <v>158</v>
      </c>
      <c r="G3196" t="s">
        <v>6638</v>
      </c>
      <c r="H3196" t="str">
        <f>"00859676"</f>
        <v>00859676</v>
      </c>
      <c r="I3196">
        <v>32.799999999999997</v>
      </c>
      <c r="J3196">
        <v>0</v>
      </c>
      <c r="N3196">
        <v>0</v>
      </c>
      <c r="O3196">
        <v>0</v>
      </c>
      <c r="P3196">
        <v>0</v>
      </c>
      <c r="Q3196">
        <v>32.799999999999997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D3196">
        <v>32.799999999999997</v>
      </c>
    </row>
    <row r="3197" spans="1:30" x14ac:dyDescent="0.3">
      <c r="A3197" s="4">
        <v>3219</v>
      </c>
      <c r="B3197" s="5">
        <v>3190</v>
      </c>
      <c r="C3197">
        <v>3095</v>
      </c>
      <c r="D3197" t="s">
        <v>6639</v>
      </c>
      <c r="E3197" t="s">
        <v>6640</v>
      </c>
      <c r="F3197" t="s">
        <v>30</v>
      </c>
      <c r="G3197" t="s">
        <v>6641</v>
      </c>
      <c r="H3197" t="str">
        <f>"00864622"</f>
        <v>00864622</v>
      </c>
      <c r="I3197">
        <v>32.799999999999997</v>
      </c>
      <c r="J3197">
        <v>0</v>
      </c>
      <c r="N3197">
        <v>0</v>
      </c>
      <c r="O3197">
        <v>0</v>
      </c>
      <c r="P3197">
        <v>0</v>
      </c>
      <c r="Q3197">
        <v>32.799999999999997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D3197">
        <v>32.799999999999997</v>
      </c>
    </row>
    <row r="3198" spans="1:30" x14ac:dyDescent="0.3">
      <c r="A3198" s="4">
        <v>3220</v>
      </c>
      <c r="B3198" s="5">
        <v>3191</v>
      </c>
      <c r="C3198">
        <v>2591</v>
      </c>
      <c r="D3198" t="s">
        <v>6642</v>
      </c>
      <c r="E3198" t="s">
        <v>170</v>
      </c>
      <c r="F3198" t="s">
        <v>81</v>
      </c>
      <c r="G3198" t="s">
        <v>6643</v>
      </c>
      <c r="H3198" t="str">
        <f>"00809466"</f>
        <v>00809466</v>
      </c>
      <c r="I3198">
        <v>28.8</v>
      </c>
      <c r="J3198">
        <v>0</v>
      </c>
      <c r="M3198">
        <v>4</v>
      </c>
      <c r="N3198">
        <v>4</v>
      </c>
      <c r="O3198">
        <v>0</v>
      </c>
      <c r="P3198">
        <v>0</v>
      </c>
      <c r="Q3198">
        <v>32.799999999999997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D3198">
        <v>32.799999999999997</v>
      </c>
    </row>
    <row r="3199" spans="1:30" x14ac:dyDescent="0.3">
      <c r="A3199" s="4">
        <v>3221</v>
      </c>
      <c r="B3199" s="5">
        <v>3192</v>
      </c>
      <c r="C3199">
        <v>4781</v>
      </c>
      <c r="D3199" t="s">
        <v>6644</v>
      </c>
      <c r="E3199" t="s">
        <v>157</v>
      </c>
      <c r="F3199" t="s">
        <v>20</v>
      </c>
      <c r="G3199" t="s">
        <v>6645</v>
      </c>
      <c r="H3199" t="str">
        <f>"00860683"</f>
        <v>00860683</v>
      </c>
      <c r="I3199">
        <v>28.8</v>
      </c>
      <c r="J3199">
        <v>0</v>
      </c>
      <c r="M3199">
        <v>4</v>
      </c>
      <c r="N3199">
        <v>4</v>
      </c>
      <c r="O3199">
        <v>0</v>
      </c>
      <c r="P3199">
        <v>0</v>
      </c>
      <c r="Q3199">
        <v>32.799999999999997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D3199">
        <v>32.799999999999997</v>
      </c>
    </row>
    <row r="3200" spans="1:30" x14ac:dyDescent="0.3">
      <c r="A3200" s="4">
        <v>3222</v>
      </c>
      <c r="B3200" s="5">
        <v>3193</v>
      </c>
      <c r="C3200">
        <v>97</v>
      </c>
      <c r="D3200" t="s">
        <v>6646</v>
      </c>
      <c r="E3200" t="s">
        <v>110</v>
      </c>
      <c r="F3200" t="s">
        <v>626</v>
      </c>
      <c r="G3200" t="s">
        <v>6647</v>
      </c>
      <c r="H3200" t="str">
        <f>"201511015627"</f>
        <v>201511015627</v>
      </c>
      <c r="I3200">
        <v>28.8</v>
      </c>
      <c r="J3200">
        <v>0</v>
      </c>
      <c r="N3200">
        <v>0</v>
      </c>
      <c r="O3200">
        <v>4</v>
      </c>
      <c r="P3200">
        <v>0</v>
      </c>
      <c r="Q3200">
        <v>32.799999999999997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D3200">
        <v>32.799999999999997</v>
      </c>
    </row>
    <row r="3201" spans="1:30" x14ac:dyDescent="0.3">
      <c r="A3201" s="4">
        <v>3223</v>
      </c>
      <c r="B3201" s="5">
        <v>3194</v>
      </c>
      <c r="C3201">
        <v>2558</v>
      </c>
      <c r="D3201" t="s">
        <v>845</v>
      </c>
      <c r="E3201" t="s">
        <v>132</v>
      </c>
      <c r="F3201" t="s">
        <v>81</v>
      </c>
      <c r="G3201" t="s">
        <v>6648</v>
      </c>
      <c r="H3201" t="str">
        <f>"00856691"</f>
        <v>00856691</v>
      </c>
      <c r="I3201">
        <v>28.8</v>
      </c>
      <c r="J3201">
        <v>0</v>
      </c>
      <c r="M3201">
        <v>4</v>
      </c>
      <c r="N3201">
        <v>4</v>
      </c>
      <c r="O3201">
        <v>0</v>
      </c>
      <c r="P3201">
        <v>0</v>
      </c>
      <c r="Q3201">
        <v>32.799999999999997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D3201">
        <v>32.799999999999997</v>
      </c>
    </row>
    <row r="3202" spans="1:30" x14ac:dyDescent="0.3">
      <c r="A3202" s="4">
        <v>3224</v>
      </c>
      <c r="B3202" s="5">
        <v>3195</v>
      </c>
      <c r="C3202">
        <v>4934</v>
      </c>
      <c r="D3202" t="s">
        <v>6649</v>
      </c>
      <c r="E3202" t="s">
        <v>740</v>
      </c>
      <c r="F3202" t="s">
        <v>62</v>
      </c>
      <c r="G3202" t="s">
        <v>6650</v>
      </c>
      <c r="H3202" t="str">
        <f>"00151175"</f>
        <v>00151175</v>
      </c>
      <c r="I3202">
        <v>28.8</v>
      </c>
      <c r="J3202">
        <v>0</v>
      </c>
      <c r="N3202">
        <v>0</v>
      </c>
      <c r="O3202">
        <v>4</v>
      </c>
      <c r="P3202">
        <v>0</v>
      </c>
      <c r="Q3202">
        <v>32.799999999999997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D3202">
        <v>32.799999999999997</v>
      </c>
    </row>
    <row r="3203" spans="1:30" x14ac:dyDescent="0.3">
      <c r="A3203" s="4">
        <v>3225</v>
      </c>
      <c r="B3203" s="5">
        <v>3196</v>
      </c>
      <c r="C3203">
        <v>2123</v>
      </c>
      <c r="D3203" t="s">
        <v>6651</v>
      </c>
      <c r="E3203" t="s">
        <v>110</v>
      </c>
      <c r="F3203" t="s">
        <v>158</v>
      </c>
      <c r="G3203" t="s">
        <v>6652</v>
      </c>
      <c r="H3203" t="str">
        <f>"00786678"</f>
        <v>00786678</v>
      </c>
      <c r="I3203">
        <v>28.8</v>
      </c>
      <c r="J3203">
        <v>0</v>
      </c>
      <c r="N3203">
        <v>0</v>
      </c>
      <c r="O3203">
        <v>4</v>
      </c>
      <c r="P3203">
        <v>0</v>
      </c>
      <c r="Q3203">
        <v>32.799999999999997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D3203">
        <v>32.799999999999997</v>
      </c>
    </row>
    <row r="3204" spans="1:30" x14ac:dyDescent="0.3">
      <c r="A3204" s="4">
        <v>3226</v>
      </c>
      <c r="B3204" s="5">
        <v>3197</v>
      </c>
      <c r="C3204">
        <v>287</v>
      </c>
      <c r="D3204" t="s">
        <v>6653</v>
      </c>
      <c r="E3204" t="s">
        <v>29</v>
      </c>
      <c r="F3204" t="s">
        <v>20</v>
      </c>
      <c r="G3204" t="s">
        <v>6654</v>
      </c>
      <c r="H3204" t="str">
        <f>"00467138"</f>
        <v>00467138</v>
      </c>
      <c r="I3204">
        <v>28.8</v>
      </c>
      <c r="J3204">
        <v>0</v>
      </c>
      <c r="M3204">
        <v>4</v>
      </c>
      <c r="N3204">
        <v>4</v>
      </c>
      <c r="O3204">
        <v>0</v>
      </c>
      <c r="P3204">
        <v>0</v>
      </c>
      <c r="Q3204">
        <v>32.799999999999997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D3204">
        <v>32.799999999999997</v>
      </c>
    </row>
    <row r="3205" spans="1:30" x14ac:dyDescent="0.3">
      <c r="A3205" s="4">
        <v>3227</v>
      </c>
      <c r="B3205" s="5">
        <v>3198</v>
      </c>
      <c r="C3205">
        <v>2381</v>
      </c>
      <c r="D3205" t="s">
        <v>6655</v>
      </c>
      <c r="E3205" t="s">
        <v>173</v>
      </c>
      <c r="F3205" t="s">
        <v>81</v>
      </c>
      <c r="G3205" t="s">
        <v>6656</v>
      </c>
      <c r="H3205" t="str">
        <f>"00810618"</f>
        <v>00810618</v>
      </c>
      <c r="I3205">
        <v>28.8</v>
      </c>
      <c r="J3205">
        <v>0</v>
      </c>
      <c r="M3205">
        <v>4</v>
      </c>
      <c r="N3205">
        <v>4</v>
      </c>
      <c r="O3205">
        <v>0</v>
      </c>
      <c r="P3205">
        <v>0</v>
      </c>
      <c r="Q3205">
        <v>32.799999999999997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D3205">
        <v>32.799999999999997</v>
      </c>
    </row>
    <row r="3206" spans="1:30" x14ac:dyDescent="0.3">
      <c r="A3206" s="4">
        <v>3228</v>
      </c>
      <c r="B3206" s="5">
        <v>3199</v>
      </c>
      <c r="C3206">
        <v>4289</v>
      </c>
      <c r="D3206" t="s">
        <v>6657</v>
      </c>
      <c r="E3206" t="s">
        <v>88</v>
      </c>
      <c r="F3206" t="s">
        <v>38</v>
      </c>
      <c r="G3206" t="s">
        <v>6658</v>
      </c>
      <c r="H3206" t="str">
        <f>"201511028659"</f>
        <v>201511028659</v>
      </c>
      <c r="I3206">
        <v>26.68</v>
      </c>
      <c r="J3206">
        <v>0</v>
      </c>
      <c r="N3206">
        <v>0</v>
      </c>
      <c r="O3206">
        <v>0</v>
      </c>
      <c r="P3206">
        <v>0</v>
      </c>
      <c r="Q3206">
        <v>26.68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6</v>
      </c>
      <c r="AB3206">
        <v>0</v>
      </c>
      <c r="AD3206">
        <v>32.68</v>
      </c>
    </row>
    <row r="3207" spans="1:30" x14ac:dyDescent="0.3">
      <c r="A3207" s="4">
        <v>3229</v>
      </c>
      <c r="B3207" s="5">
        <v>3200</v>
      </c>
      <c r="C3207">
        <v>4637</v>
      </c>
      <c r="D3207" t="s">
        <v>6659</v>
      </c>
      <c r="E3207" t="s">
        <v>6660</v>
      </c>
      <c r="F3207" t="s">
        <v>652</v>
      </c>
      <c r="G3207" t="s">
        <v>6661</v>
      </c>
      <c r="H3207" t="str">
        <f>"00858830"</f>
        <v>00858830</v>
      </c>
      <c r="I3207">
        <v>21.6</v>
      </c>
      <c r="J3207">
        <v>0</v>
      </c>
      <c r="M3207">
        <v>4</v>
      </c>
      <c r="N3207">
        <v>4</v>
      </c>
      <c r="O3207">
        <v>4</v>
      </c>
      <c r="P3207">
        <v>0</v>
      </c>
      <c r="Q3207">
        <v>29.6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3</v>
      </c>
      <c r="AB3207">
        <v>0</v>
      </c>
      <c r="AD3207">
        <v>32.6</v>
      </c>
    </row>
    <row r="3208" spans="1:30" x14ac:dyDescent="0.3">
      <c r="A3208" s="4">
        <v>3230</v>
      </c>
      <c r="B3208" s="5">
        <v>3201</v>
      </c>
      <c r="C3208">
        <v>3829</v>
      </c>
      <c r="D3208" t="s">
        <v>1528</v>
      </c>
      <c r="E3208" t="s">
        <v>258</v>
      </c>
      <c r="F3208" t="s">
        <v>58</v>
      </c>
      <c r="G3208" t="s">
        <v>6662</v>
      </c>
      <c r="H3208" t="str">
        <f>"00860500"</f>
        <v>00860500</v>
      </c>
      <c r="I3208">
        <v>21.6</v>
      </c>
      <c r="J3208">
        <v>0</v>
      </c>
      <c r="M3208">
        <v>4</v>
      </c>
      <c r="N3208">
        <v>4</v>
      </c>
      <c r="O3208">
        <v>4</v>
      </c>
      <c r="P3208">
        <v>0</v>
      </c>
      <c r="Q3208">
        <v>29.6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3</v>
      </c>
      <c r="AB3208">
        <v>0</v>
      </c>
      <c r="AD3208">
        <v>32.6</v>
      </c>
    </row>
    <row r="3209" spans="1:30" x14ac:dyDescent="0.3">
      <c r="A3209" s="4">
        <v>3231</v>
      </c>
      <c r="B3209" s="5">
        <v>3202</v>
      </c>
      <c r="C3209">
        <v>4965</v>
      </c>
      <c r="D3209" t="s">
        <v>6663</v>
      </c>
      <c r="E3209" t="s">
        <v>149</v>
      </c>
      <c r="F3209" t="s">
        <v>442</v>
      </c>
      <c r="G3209" t="s">
        <v>6664</v>
      </c>
      <c r="H3209" t="str">
        <f>"00532159"</f>
        <v>00532159</v>
      </c>
      <c r="I3209">
        <v>21.6</v>
      </c>
      <c r="J3209">
        <v>0</v>
      </c>
      <c r="M3209">
        <v>4</v>
      </c>
      <c r="N3209">
        <v>4</v>
      </c>
      <c r="O3209">
        <v>0</v>
      </c>
      <c r="P3209">
        <v>2</v>
      </c>
      <c r="Q3209">
        <v>27.6</v>
      </c>
      <c r="R3209">
        <v>5</v>
      </c>
      <c r="S3209">
        <v>5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5</v>
      </c>
      <c r="AA3209">
        <v>0</v>
      </c>
      <c r="AB3209">
        <v>0</v>
      </c>
      <c r="AD3209">
        <v>32.6</v>
      </c>
    </row>
    <row r="3210" spans="1:30" x14ac:dyDescent="0.3">
      <c r="A3210" s="4">
        <v>3232</v>
      </c>
      <c r="B3210" s="5">
        <v>3203</v>
      </c>
      <c r="C3210">
        <v>1533</v>
      </c>
      <c r="D3210" t="s">
        <v>549</v>
      </c>
      <c r="E3210" t="s">
        <v>6665</v>
      </c>
      <c r="F3210" t="s">
        <v>158</v>
      </c>
      <c r="G3210" t="s">
        <v>6666</v>
      </c>
      <c r="H3210" t="str">
        <f>"00441625"</f>
        <v>00441625</v>
      </c>
      <c r="I3210">
        <v>26.56</v>
      </c>
      <c r="J3210">
        <v>0</v>
      </c>
      <c r="N3210">
        <v>0</v>
      </c>
      <c r="O3210">
        <v>0</v>
      </c>
      <c r="P3210">
        <v>0</v>
      </c>
      <c r="Q3210">
        <v>26.56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6</v>
      </c>
      <c r="AB3210">
        <v>0</v>
      </c>
      <c r="AD3210">
        <v>32.56</v>
      </c>
    </row>
    <row r="3211" spans="1:30" x14ac:dyDescent="0.3">
      <c r="A3211" s="4">
        <v>3233</v>
      </c>
      <c r="B3211" s="5">
        <v>3204</v>
      </c>
      <c r="C3211">
        <v>1848</v>
      </c>
      <c r="D3211" t="s">
        <v>4927</v>
      </c>
      <c r="E3211" t="s">
        <v>29</v>
      </c>
      <c r="F3211" t="s">
        <v>328</v>
      </c>
      <c r="G3211" t="s">
        <v>6667</v>
      </c>
      <c r="H3211" t="str">
        <f>"00865006"</f>
        <v>00865006</v>
      </c>
      <c r="I3211">
        <v>20.52</v>
      </c>
      <c r="J3211">
        <v>0</v>
      </c>
      <c r="N3211">
        <v>0</v>
      </c>
      <c r="O3211">
        <v>4</v>
      </c>
      <c r="P3211">
        <v>2</v>
      </c>
      <c r="Q3211">
        <v>26.52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6</v>
      </c>
      <c r="AB3211">
        <v>0</v>
      </c>
      <c r="AD3211">
        <v>32.520000000000003</v>
      </c>
    </row>
    <row r="3212" spans="1:30" x14ac:dyDescent="0.3">
      <c r="A3212" s="4">
        <v>3234</v>
      </c>
      <c r="B3212" s="5">
        <v>3205</v>
      </c>
      <c r="C3212">
        <v>1232</v>
      </c>
      <c r="D3212" t="s">
        <v>784</v>
      </c>
      <c r="E3212" t="s">
        <v>182</v>
      </c>
      <c r="F3212" t="s">
        <v>62</v>
      </c>
      <c r="G3212" t="s">
        <v>6668</v>
      </c>
      <c r="H3212" t="str">
        <f>"00086579"</f>
        <v>00086579</v>
      </c>
      <c r="I3212">
        <v>29.44</v>
      </c>
      <c r="J3212">
        <v>0</v>
      </c>
      <c r="N3212">
        <v>0</v>
      </c>
      <c r="O3212">
        <v>0</v>
      </c>
      <c r="P3212">
        <v>0</v>
      </c>
      <c r="Q3212">
        <v>29.44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3</v>
      </c>
      <c r="AB3212">
        <v>0</v>
      </c>
      <c r="AD3212">
        <v>32.44</v>
      </c>
    </row>
    <row r="3213" spans="1:30" x14ac:dyDescent="0.3">
      <c r="A3213" s="4">
        <v>3235</v>
      </c>
      <c r="B3213" s="5">
        <v>3206</v>
      </c>
      <c r="C3213">
        <v>4383</v>
      </c>
      <c r="D3213" t="s">
        <v>6669</v>
      </c>
      <c r="E3213" t="s">
        <v>6670</v>
      </c>
      <c r="F3213" t="s">
        <v>6671</v>
      </c>
      <c r="G3213" t="s">
        <v>6672</v>
      </c>
      <c r="H3213" t="str">
        <f>"00665676"</f>
        <v>00665676</v>
      </c>
      <c r="I3213">
        <v>26.4</v>
      </c>
      <c r="J3213">
        <v>0</v>
      </c>
      <c r="N3213">
        <v>0</v>
      </c>
      <c r="O3213">
        <v>0</v>
      </c>
      <c r="P3213">
        <v>0</v>
      </c>
      <c r="Q3213">
        <v>26.4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6</v>
      </c>
      <c r="AB3213">
        <v>0</v>
      </c>
      <c r="AD3213">
        <v>32.4</v>
      </c>
    </row>
    <row r="3214" spans="1:30" x14ac:dyDescent="0.3">
      <c r="A3214" s="4">
        <v>3236</v>
      </c>
      <c r="B3214" s="5">
        <v>3207</v>
      </c>
      <c r="C3214">
        <v>1519</v>
      </c>
      <c r="D3214" t="s">
        <v>1874</v>
      </c>
      <c r="E3214" t="s">
        <v>54</v>
      </c>
      <c r="F3214" t="s">
        <v>17</v>
      </c>
      <c r="G3214" t="s">
        <v>6673</v>
      </c>
      <c r="H3214" t="str">
        <f>"00762792"</f>
        <v>00762792</v>
      </c>
      <c r="I3214">
        <v>14.4</v>
      </c>
      <c r="J3214">
        <v>0</v>
      </c>
      <c r="K3214">
        <v>8</v>
      </c>
      <c r="N3214">
        <v>8</v>
      </c>
      <c r="O3214">
        <v>4</v>
      </c>
      <c r="P3214">
        <v>0</v>
      </c>
      <c r="Q3214">
        <v>26.4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6</v>
      </c>
      <c r="AB3214">
        <v>0</v>
      </c>
      <c r="AD3214">
        <v>32.4</v>
      </c>
    </row>
    <row r="3215" spans="1:30" x14ac:dyDescent="0.3">
      <c r="A3215" s="4">
        <v>3237</v>
      </c>
      <c r="B3215" s="5">
        <v>3208</v>
      </c>
      <c r="C3215">
        <v>879</v>
      </c>
      <c r="D3215" t="s">
        <v>3948</v>
      </c>
      <c r="E3215" t="s">
        <v>268</v>
      </c>
      <c r="F3215" t="s">
        <v>81</v>
      </c>
      <c r="G3215" t="s">
        <v>6674</v>
      </c>
      <c r="H3215" t="str">
        <f>"00538877"</f>
        <v>00538877</v>
      </c>
      <c r="I3215">
        <v>14.4</v>
      </c>
      <c r="J3215">
        <v>0</v>
      </c>
      <c r="K3215">
        <v>8</v>
      </c>
      <c r="N3215">
        <v>8</v>
      </c>
      <c r="O3215">
        <v>4</v>
      </c>
      <c r="P3215">
        <v>0</v>
      </c>
      <c r="Q3215">
        <v>26.4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6</v>
      </c>
      <c r="AB3215">
        <v>0</v>
      </c>
      <c r="AD3215">
        <v>32.4</v>
      </c>
    </row>
    <row r="3216" spans="1:30" x14ac:dyDescent="0.3">
      <c r="A3216" s="4">
        <v>3238</v>
      </c>
      <c r="B3216" s="5">
        <v>3209</v>
      </c>
      <c r="C3216">
        <v>4922</v>
      </c>
      <c r="D3216" t="s">
        <v>1287</v>
      </c>
      <c r="E3216" t="s">
        <v>29</v>
      </c>
      <c r="F3216" t="s">
        <v>136</v>
      </c>
      <c r="G3216" t="s">
        <v>6675</v>
      </c>
      <c r="H3216" t="str">
        <f>"00865988"</f>
        <v>00865988</v>
      </c>
      <c r="I3216">
        <v>14.4</v>
      </c>
      <c r="J3216">
        <v>0</v>
      </c>
      <c r="K3216">
        <v>8</v>
      </c>
      <c r="N3216">
        <v>8</v>
      </c>
      <c r="O3216">
        <v>4</v>
      </c>
      <c r="P3216">
        <v>0</v>
      </c>
      <c r="Q3216">
        <v>26.4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6</v>
      </c>
      <c r="AB3216">
        <v>0</v>
      </c>
      <c r="AD3216">
        <v>32.4</v>
      </c>
    </row>
    <row r="3217" spans="1:30" x14ac:dyDescent="0.3">
      <c r="A3217" s="4">
        <v>3239</v>
      </c>
      <c r="B3217" s="5">
        <v>3210</v>
      </c>
      <c r="C3217">
        <v>186</v>
      </c>
      <c r="D3217" t="s">
        <v>6676</v>
      </c>
      <c r="E3217" t="s">
        <v>37</v>
      </c>
      <c r="F3217" t="s">
        <v>17</v>
      </c>
      <c r="G3217" t="s">
        <v>6677</v>
      </c>
      <c r="H3217" t="str">
        <f>"00521331"</f>
        <v>00521331</v>
      </c>
      <c r="I3217">
        <v>28.4</v>
      </c>
      <c r="J3217">
        <v>0</v>
      </c>
      <c r="N3217">
        <v>0</v>
      </c>
      <c r="O3217">
        <v>0</v>
      </c>
      <c r="P3217">
        <v>0</v>
      </c>
      <c r="Q3217">
        <v>28.4</v>
      </c>
      <c r="R3217">
        <v>1</v>
      </c>
      <c r="S3217">
        <v>1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1</v>
      </c>
      <c r="AA3217">
        <v>3</v>
      </c>
      <c r="AB3217">
        <v>0</v>
      </c>
      <c r="AD3217">
        <v>32.4</v>
      </c>
    </row>
    <row r="3218" spans="1:30" x14ac:dyDescent="0.3">
      <c r="A3218" s="4">
        <v>3240</v>
      </c>
      <c r="B3218" s="5">
        <v>3211</v>
      </c>
      <c r="C3218">
        <v>3374</v>
      </c>
      <c r="D3218" t="s">
        <v>6678</v>
      </c>
      <c r="E3218" t="s">
        <v>37</v>
      </c>
      <c r="F3218" t="s">
        <v>158</v>
      </c>
      <c r="G3218" t="s">
        <v>6679</v>
      </c>
      <c r="H3218" t="str">
        <f>"200909000302"</f>
        <v>200909000302</v>
      </c>
      <c r="I3218">
        <v>14.4</v>
      </c>
      <c r="J3218">
        <v>0</v>
      </c>
      <c r="K3218">
        <v>8</v>
      </c>
      <c r="N3218">
        <v>8</v>
      </c>
      <c r="O3218">
        <v>0</v>
      </c>
      <c r="P3218">
        <v>0</v>
      </c>
      <c r="Q3218">
        <v>22.4</v>
      </c>
      <c r="R3218">
        <v>7</v>
      </c>
      <c r="S3218">
        <v>7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7</v>
      </c>
      <c r="AA3218">
        <v>3</v>
      </c>
      <c r="AB3218">
        <v>0</v>
      </c>
      <c r="AD3218">
        <v>32.4</v>
      </c>
    </row>
    <row r="3219" spans="1:30" x14ac:dyDescent="0.3">
      <c r="A3219" s="4">
        <v>3241</v>
      </c>
      <c r="B3219" s="5">
        <v>3212</v>
      </c>
      <c r="C3219">
        <v>1512</v>
      </c>
      <c r="D3219" t="s">
        <v>301</v>
      </c>
      <c r="E3219" t="s">
        <v>161</v>
      </c>
      <c r="F3219" t="s">
        <v>17</v>
      </c>
      <c r="G3219" t="s">
        <v>6680</v>
      </c>
      <c r="H3219" t="str">
        <f>"00730944"</f>
        <v>00730944</v>
      </c>
      <c r="I3219">
        <v>28.4</v>
      </c>
      <c r="J3219">
        <v>0</v>
      </c>
      <c r="N3219">
        <v>0</v>
      </c>
      <c r="O3219">
        <v>4</v>
      </c>
      <c r="P3219">
        <v>0</v>
      </c>
      <c r="Q3219">
        <v>32.4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D3219">
        <v>32.4</v>
      </c>
    </row>
    <row r="3220" spans="1:30" x14ac:dyDescent="0.3">
      <c r="A3220" s="4">
        <v>3242</v>
      </c>
      <c r="B3220" s="5">
        <v>3213</v>
      </c>
      <c r="C3220">
        <v>1552</v>
      </c>
      <c r="D3220" t="s">
        <v>6681</v>
      </c>
      <c r="E3220" t="s">
        <v>29</v>
      </c>
      <c r="F3220" t="s">
        <v>325</v>
      </c>
      <c r="G3220" t="s">
        <v>6682</v>
      </c>
      <c r="H3220" t="str">
        <f>"201511036461"</f>
        <v>201511036461</v>
      </c>
      <c r="I3220">
        <v>22.4</v>
      </c>
      <c r="J3220">
        <v>10</v>
      </c>
      <c r="N3220">
        <v>0</v>
      </c>
      <c r="O3220">
        <v>0</v>
      </c>
      <c r="P3220">
        <v>0</v>
      </c>
      <c r="Q3220">
        <v>32.4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D3220">
        <v>32.4</v>
      </c>
    </row>
    <row r="3221" spans="1:30" x14ac:dyDescent="0.3">
      <c r="A3221" s="4">
        <v>3243</v>
      </c>
      <c r="B3221" s="5">
        <v>3214</v>
      </c>
      <c r="C3221">
        <v>1790</v>
      </c>
      <c r="D3221" t="s">
        <v>6683</v>
      </c>
      <c r="E3221" t="s">
        <v>208</v>
      </c>
      <c r="F3221" t="s">
        <v>124</v>
      </c>
      <c r="G3221" t="s">
        <v>6684</v>
      </c>
      <c r="H3221" t="str">
        <f>"00858189"</f>
        <v>00858189</v>
      </c>
      <c r="I3221">
        <v>14.4</v>
      </c>
      <c r="J3221">
        <v>10</v>
      </c>
      <c r="M3221">
        <v>4</v>
      </c>
      <c r="N3221">
        <v>4</v>
      </c>
      <c r="O3221">
        <v>4</v>
      </c>
      <c r="P3221">
        <v>0</v>
      </c>
      <c r="Q3221">
        <v>32.4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D3221">
        <v>32.4</v>
      </c>
    </row>
    <row r="3222" spans="1:30" x14ac:dyDescent="0.3">
      <c r="A3222" s="4">
        <v>3244</v>
      </c>
      <c r="B3222" s="5">
        <v>3215</v>
      </c>
      <c r="C3222">
        <v>749</v>
      </c>
      <c r="D3222" t="s">
        <v>6685</v>
      </c>
      <c r="E3222" t="s">
        <v>5850</v>
      </c>
      <c r="F3222" t="s">
        <v>81</v>
      </c>
      <c r="G3222" t="s">
        <v>6686</v>
      </c>
      <c r="H3222" t="str">
        <f>"201402010679"</f>
        <v>201402010679</v>
      </c>
      <c r="I3222">
        <v>14.4</v>
      </c>
      <c r="J3222">
        <v>10</v>
      </c>
      <c r="M3222">
        <v>4</v>
      </c>
      <c r="N3222">
        <v>4</v>
      </c>
      <c r="O3222">
        <v>4</v>
      </c>
      <c r="P3222">
        <v>0</v>
      </c>
      <c r="Q3222">
        <v>32.4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D3222">
        <v>32.4</v>
      </c>
    </row>
    <row r="3223" spans="1:30" x14ac:dyDescent="0.3">
      <c r="A3223" s="4">
        <v>3245</v>
      </c>
      <c r="B3223" s="5">
        <v>3216</v>
      </c>
      <c r="C3223">
        <v>4262</v>
      </c>
      <c r="D3223" t="s">
        <v>6687</v>
      </c>
      <c r="E3223" t="s">
        <v>166</v>
      </c>
      <c r="F3223" t="s">
        <v>1806</v>
      </c>
      <c r="G3223" t="s">
        <v>6688</v>
      </c>
      <c r="H3223" t="str">
        <f>"00533900"</f>
        <v>00533900</v>
      </c>
      <c r="I3223">
        <v>20.399999999999999</v>
      </c>
      <c r="J3223">
        <v>0</v>
      </c>
      <c r="N3223">
        <v>0</v>
      </c>
      <c r="O3223">
        <v>0</v>
      </c>
      <c r="P3223">
        <v>0</v>
      </c>
      <c r="Q3223">
        <v>20.399999999999999</v>
      </c>
      <c r="R3223">
        <v>12</v>
      </c>
      <c r="S3223">
        <v>12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12</v>
      </c>
      <c r="AA3223">
        <v>0</v>
      </c>
      <c r="AB3223">
        <v>0</v>
      </c>
      <c r="AD3223">
        <v>32.4</v>
      </c>
    </row>
    <row r="3224" spans="1:30" x14ac:dyDescent="0.3">
      <c r="A3224" s="4">
        <v>3246</v>
      </c>
      <c r="B3224" s="5">
        <v>3217</v>
      </c>
      <c r="C3224">
        <v>220</v>
      </c>
      <c r="D3224" t="s">
        <v>496</v>
      </c>
      <c r="E3224" t="s">
        <v>41</v>
      </c>
      <c r="F3224" t="s">
        <v>20</v>
      </c>
      <c r="G3224" t="s">
        <v>6689</v>
      </c>
      <c r="H3224" t="str">
        <f>"00349336"</f>
        <v>00349336</v>
      </c>
      <c r="I3224">
        <v>20.32</v>
      </c>
      <c r="J3224">
        <v>0</v>
      </c>
      <c r="K3224">
        <v>8</v>
      </c>
      <c r="N3224">
        <v>8</v>
      </c>
      <c r="O3224">
        <v>4</v>
      </c>
      <c r="P3224">
        <v>0</v>
      </c>
      <c r="Q3224">
        <v>32.32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D3224">
        <v>32.32</v>
      </c>
    </row>
    <row r="3225" spans="1:30" x14ac:dyDescent="0.3">
      <c r="A3225" s="4">
        <v>3247</v>
      </c>
      <c r="B3225" s="5">
        <v>3218</v>
      </c>
      <c r="C3225">
        <v>2268</v>
      </c>
      <c r="D3225" t="s">
        <v>6690</v>
      </c>
      <c r="E3225" t="s">
        <v>789</v>
      </c>
      <c r="F3225" t="s">
        <v>117</v>
      </c>
      <c r="G3225" t="s">
        <v>6691</v>
      </c>
      <c r="H3225" t="str">
        <f>"00023404"</f>
        <v>00023404</v>
      </c>
      <c r="I3225">
        <v>20.28</v>
      </c>
      <c r="J3225">
        <v>0</v>
      </c>
      <c r="K3225">
        <v>8</v>
      </c>
      <c r="N3225">
        <v>8</v>
      </c>
      <c r="O3225">
        <v>4</v>
      </c>
      <c r="P3225">
        <v>0</v>
      </c>
      <c r="Q3225">
        <v>32.28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D3225">
        <v>32.28</v>
      </c>
    </row>
    <row r="3226" spans="1:30" x14ac:dyDescent="0.3">
      <c r="A3226" s="4">
        <v>3248</v>
      </c>
      <c r="B3226" s="5">
        <v>3219</v>
      </c>
      <c r="C3226">
        <v>1393</v>
      </c>
      <c r="D3226" t="s">
        <v>6692</v>
      </c>
      <c r="E3226" t="s">
        <v>29</v>
      </c>
      <c r="F3226" t="s">
        <v>20</v>
      </c>
      <c r="G3226" t="s">
        <v>6693</v>
      </c>
      <c r="H3226" t="str">
        <f>"00345426"</f>
        <v>00345426</v>
      </c>
      <c r="I3226">
        <v>18.2</v>
      </c>
      <c r="J3226">
        <v>0</v>
      </c>
      <c r="M3226">
        <v>4</v>
      </c>
      <c r="N3226">
        <v>4</v>
      </c>
      <c r="O3226">
        <v>4</v>
      </c>
      <c r="P3226">
        <v>0</v>
      </c>
      <c r="Q3226">
        <v>26.2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6</v>
      </c>
      <c r="AB3226">
        <v>0</v>
      </c>
      <c r="AD3226">
        <v>32.200000000000003</v>
      </c>
    </row>
    <row r="3227" spans="1:30" x14ac:dyDescent="0.3">
      <c r="A3227" s="4">
        <v>3249</v>
      </c>
      <c r="B3227" s="5">
        <v>3220</v>
      </c>
      <c r="C3227">
        <v>4590</v>
      </c>
      <c r="D3227" t="s">
        <v>6694</v>
      </c>
      <c r="E3227" t="s">
        <v>6695</v>
      </c>
      <c r="F3227" t="s">
        <v>6696</v>
      </c>
      <c r="G3227" t="s">
        <v>6697</v>
      </c>
      <c r="H3227" t="str">
        <f>"00323372"</f>
        <v>00323372</v>
      </c>
      <c r="I3227">
        <v>26.16</v>
      </c>
      <c r="J3227">
        <v>0</v>
      </c>
      <c r="N3227">
        <v>0</v>
      </c>
      <c r="O3227">
        <v>0</v>
      </c>
      <c r="P3227">
        <v>0</v>
      </c>
      <c r="Q3227">
        <v>26.16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6</v>
      </c>
      <c r="AB3227">
        <v>0</v>
      </c>
      <c r="AD3227">
        <v>32.159999999999997</v>
      </c>
    </row>
    <row r="3228" spans="1:30" x14ac:dyDescent="0.3">
      <c r="A3228" s="4">
        <v>3250</v>
      </c>
      <c r="B3228" s="5">
        <v>3221</v>
      </c>
      <c r="C3228">
        <v>2876</v>
      </c>
      <c r="D3228" t="s">
        <v>6698</v>
      </c>
      <c r="E3228" t="s">
        <v>29</v>
      </c>
      <c r="F3228" t="s">
        <v>975</v>
      </c>
      <c r="G3228" t="s">
        <v>6699</v>
      </c>
      <c r="H3228" t="str">
        <f>"00281802"</f>
        <v>00281802</v>
      </c>
      <c r="I3228">
        <v>22.16</v>
      </c>
      <c r="J3228">
        <v>0</v>
      </c>
      <c r="N3228">
        <v>0</v>
      </c>
      <c r="O3228">
        <v>4</v>
      </c>
      <c r="P3228">
        <v>0</v>
      </c>
      <c r="Q3228">
        <v>26.16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6</v>
      </c>
      <c r="AB3228">
        <v>0</v>
      </c>
      <c r="AD3228">
        <v>32.159999999999997</v>
      </c>
    </row>
    <row r="3229" spans="1:30" x14ac:dyDescent="0.3">
      <c r="A3229" s="4">
        <v>3251</v>
      </c>
      <c r="B3229" s="5">
        <v>3222</v>
      </c>
      <c r="C3229">
        <v>573</v>
      </c>
      <c r="D3229" t="s">
        <v>6700</v>
      </c>
      <c r="E3229" t="s">
        <v>54</v>
      </c>
      <c r="F3229" t="s">
        <v>442</v>
      </c>
      <c r="G3229" t="s">
        <v>6701</v>
      </c>
      <c r="H3229" t="str">
        <f>"00857258"</f>
        <v>00857258</v>
      </c>
      <c r="I3229">
        <v>16</v>
      </c>
      <c r="J3229">
        <v>0</v>
      </c>
      <c r="M3229">
        <v>4</v>
      </c>
      <c r="N3229">
        <v>4</v>
      </c>
      <c r="O3229">
        <v>4</v>
      </c>
      <c r="P3229">
        <v>2</v>
      </c>
      <c r="Q3229">
        <v>26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6</v>
      </c>
      <c r="AB3229">
        <v>0</v>
      </c>
      <c r="AD3229">
        <v>32</v>
      </c>
    </row>
    <row r="3230" spans="1:30" x14ac:dyDescent="0.3">
      <c r="A3230" s="4">
        <v>3252</v>
      </c>
      <c r="B3230" s="5">
        <v>3223</v>
      </c>
      <c r="C3230">
        <v>1194</v>
      </c>
      <c r="D3230" t="s">
        <v>5919</v>
      </c>
      <c r="E3230" t="s">
        <v>1140</v>
      </c>
      <c r="F3230" t="s">
        <v>38</v>
      </c>
      <c r="G3230" t="s">
        <v>6702</v>
      </c>
      <c r="H3230" t="str">
        <f>"00829966"</f>
        <v>00829966</v>
      </c>
      <c r="I3230">
        <v>32</v>
      </c>
      <c r="J3230">
        <v>0</v>
      </c>
      <c r="N3230">
        <v>0</v>
      </c>
      <c r="O3230">
        <v>0</v>
      </c>
      <c r="P3230">
        <v>0</v>
      </c>
      <c r="Q3230">
        <v>32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D3230">
        <v>32</v>
      </c>
    </row>
    <row r="3231" spans="1:30" x14ac:dyDescent="0.3">
      <c r="A3231" s="4">
        <v>3253</v>
      </c>
      <c r="B3231" s="5">
        <v>3224</v>
      </c>
      <c r="C3231">
        <v>4396</v>
      </c>
      <c r="D3231" t="s">
        <v>3200</v>
      </c>
      <c r="E3231" t="s">
        <v>41</v>
      </c>
      <c r="F3231" t="s">
        <v>6703</v>
      </c>
      <c r="G3231" t="s">
        <v>6704</v>
      </c>
      <c r="H3231" t="str">
        <f>"00862726"</f>
        <v>00862726</v>
      </c>
      <c r="I3231">
        <v>28</v>
      </c>
      <c r="J3231">
        <v>0</v>
      </c>
      <c r="M3231">
        <v>4</v>
      </c>
      <c r="N3231">
        <v>4</v>
      </c>
      <c r="O3231">
        <v>0</v>
      </c>
      <c r="P3231">
        <v>0</v>
      </c>
      <c r="Q3231">
        <v>32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D3231">
        <v>32</v>
      </c>
    </row>
    <row r="3232" spans="1:30" x14ac:dyDescent="0.3">
      <c r="A3232" s="4">
        <v>3254</v>
      </c>
      <c r="B3232" s="5">
        <v>3225</v>
      </c>
      <c r="C3232">
        <v>1490</v>
      </c>
      <c r="D3232" t="s">
        <v>6705</v>
      </c>
      <c r="E3232" t="s">
        <v>283</v>
      </c>
      <c r="F3232" t="s">
        <v>4941</v>
      </c>
      <c r="G3232" t="s">
        <v>6706</v>
      </c>
      <c r="H3232" t="str">
        <f>"00262601"</f>
        <v>00262601</v>
      </c>
      <c r="I3232">
        <v>28</v>
      </c>
      <c r="J3232">
        <v>0</v>
      </c>
      <c r="N3232">
        <v>0</v>
      </c>
      <c r="O3232">
        <v>4</v>
      </c>
      <c r="P3232">
        <v>0</v>
      </c>
      <c r="Q3232">
        <v>32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D3232">
        <v>32</v>
      </c>
    </row>
    <row r="3233" spans="1:30" x14ac:dyDescent="0.3">
      <c r="A3233" s="4">
        <v>3255</v>
      </c>
      <c r="B3233" s="5">
        <v>3226</v>
      </c>
      <c r="C3233">
        <v>1993</v>
      </c>
      <c r="D3233" t="s">
        <v>6707</v>
      </c>
      <c r="E3233" t="s">
        <v>6708</v>
      </c>
      <c r="F3233" t="s">
        <v>259</v>
      </c>
      <c r="G3233" t="s">
        <v>6709</v>
      </c>
      <c r="H3233" t="str">
        <f>"00470676"</f>
        <v>00470676</v>
      </c>
      <c r="I3233">
        <v>0</v>
      </c>
      <c r="J3233">
        <v>0</v>
      </c>
      <c r="K3233">
        <v>8</v>
      </c>
      <c r="N3233">
        <v>8</v>
      </c>
      <c r="O3233">
        <v>4</v>
      </c>
      <c r="P3233">
        <v>2</v>
      </c>
      <c r="Q3233">
        <v>14</v>
      </c>
      <c r="R3233">
        <v>18</v>
      </c>
      <c r="S3233">
        <v>18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18</v>
      </c>
      <c r="AA3233">
        <v>0</v>
      </c>
      <c r="AB3233">
        <v>0</v>
      </c>
      <c r="AD3233">
        <v>32</v>
      </c>
    </row>
    <row r="3234" spans="1:30" x14ac:dyDescent="0.3">
      <c r="A3234" s="4">
        <v>3256</v>
      </c>
      <c r="B3234" s="5">
        <v>3227</v>
      </c>
      <c r="C3234">
        <v>2400</v>
      </c>
      <c r="D3234" t="s">
        <v>6710</v>
      </c>
      <c r="E3234" t="s">
        <v>166</v>
      </c>
      <c r="F3234" t="s">
        <v>136</v>
      </c>
      <c r="G3234" t="s">
        <v>6711</v>
      </c>
      <c r="H3234" t="str">
        <f>"00864668"</f>
        <v>00864668</v>
      </c>
      <c r="I3234">
        <v>22.92</v>
      </c>
      <c r="J3234">
        <v>0</v>
      </c>
      <c r="N3234">
        <v>0</v>
      </c>
      <c r="O3234">
        <v>0</v>
      </c>
      <c r="P3234">
        <v>0</v>
      </c>
      <c r="Q3234">
        <v>22.92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9</v>
      </c>
      <c r="AB3234">
        <v>0</v>
      </c>
      <c r="AD3234">
        <v>31.92</v>
      </c>
    </row>
    <row r="3235" spans="1:30" x14ac:dyDescent="0.3">
      <c r="A3235" s="4">
        <v>3257</v>
      </c>
      <c r="B3235" s="5">
        <v>3228</v>
      </c>
      <c r="C3235">
        <v>767</v>
      </c>
      <c r="D3235" t="s">
        <v>6712</v>
      </c>
      <c r="E3235" t="s">
        <v>54</v>
      </c>
      <c r="F3235" t="s">
        <v>6713</v>
      </c>
      <c r="G3235" t="s">
        <v>6714</v>
      </c>
      <c r="H3235" t="str">
        <f>"00856933"</f>
        <v>00856933</v>
      </c>
      <c r="I3235">
        <v>28.84</v>
      </c>
      <c r="J3235">
        <v>0</v>
      </c>
      <c r="N3235">
        <v>0</v>
      </c>
      <c r="O3235">
        <v>0</v>
      </c>
      <c r="P3235">
        <v>0</v>
      </c>
      <c r="Q3235">
        <v>28.84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3</v>
      </c>
      <c r="AB3235">
        <v>0</v>
      </c>
      <c r="AD3235">
        <v>31.84</v>
      </c>
    </row>
    <row r="3236" spans="1:30" x14ac:dyDescent="0.3">
      <c r="A3236" s="4">
        <v>3258</v>
      </c>
      <c r="B3236" s="5">
        <v>3229</v>
      </c>
      <c r="C3236">
        <v>3637</v>
      </c>
      <c r="D3236" t="s">
        <v>3905</v>
      </c>
      <c r="E3236" t="s">
        <v>29</v>
      </c>
      <c r="F3236" t="s">
        <v>6715</v>
      </c>
      <c r="G3236" t="s">
        <v>6716</v>
      </c>
      <c r="H3236" t="str">
        <f>"00859793"</f>
        <v>00859793</v>
      </c>
      <c r="I3236">
        <v>28.8</v>
      </c>
      <c r="J3236">
        <v>0</v>
      </c>
      <c r="N3236">
        <v>0</v>
      </c>
      <c r="O3236">
        <v>0</v>
      </c>
      <c r="P3236">
        <v>0</v>
      </c>
      <c r="Q3236">
        <v>28.8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3</v>
      </c>
      <c r="AB3236">
        <v>0</v>
      </c>
      <c r="AD3236">
        <v>31.8</v>
      </c>
    </row>
    <row r="3237" spans="1:30" x14ac:dyDescent="0.3">
      <c r="A3237" s="4">
        <v>3259</v>
      </c>
      <c r="B3237" s="5">
        <v>3230</v>
      </c>
      <c r="C3237">
        <v>4635</v>
      </c>
      <c r="D3237" t="s">
        <v>6717</v>
      </c>
      <c r="E3237" t="s">
        <v>563</v>
      </c>
      <c r="F3237" t="s">
        <v>343</v>
      </c>
      <c r="G3237" t="s">
        <v>6718</v>
      </c>
      <c r="H3237" t="str">
        <f>"00549541"</f>
        <v>00549541</v>
      </c>
      <c r="I3237">
        <v>28.8</v>
      </c>
      <c r="J3237">
        <v>0</v>
      </c>
      <c r="N3237">
        <v>0</v>
      </c>
      <c r="O3237">
        <v>0</v>
      </c>
      <c r="P3237">
        <v>0</v>
      </c>
      <c r="Q3237">
        <v>28.8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3</v>
      </c>
      <c r="AB3237">
        <v>0</v>
      </c>
      <c r="AD3237">
        <v>31.8</v>
      </c>
    </row>
    <row r="3238" spans="1:30" x14ac:dyDescent="0.3">
      <c r="A3238" s="4">
        <v>3260</v>
      </c>
      <c r="B3238" s="5">
        <v>3231</v>
      </c>
      <c r="C3238">
        <v>1933</v>
      </c>
      <c r="D3238" t="s">
        <v>6719</v>
      </c>
      <c r="E3238" t="s">
        <v>1181</v>
      </c>
      <c r="F3238" t="s">
        <v>38</v>
      </c>
      <c r="G3238" t="s">
        <v>6720</v>
      </c>
      <c r="H3238" t="str">
        <f>"00863134"</f>
        <v>00863134</v>
      </c>
      <c r="I3238">
        <v>28.8</v>
      </c>
      <c r="J3238">
        <v>0</v>
      </c>
      <c r="N3238">
        <v>0</v>
      </c>
      <c r="O3238">
        <v>0</v>
      </c>
      <c r="P3238">
        <v>0</v>
      </c>
      <c r="Q3238">
        <v>28.8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3</v>
      </c>
      <c r="AB3238">
        <v>0</v>
      </c>
      <c r="AD3238">
        <v>31.8</v>
      </c>
    </row>
    <row r="3239" spans="1:30" x14ac:dyDescent="0.3">
      <c r="A3239" s="4">
        <v>3261</v>
      </c>
      <c r="B3239" s="5">
        <v>3232</v>
      </c>
      <c r="C3239">
        <v>4889</v>
      </c>
      <c r="D3239" t="s">
        <v>4607</v>
      </c>
      <c r="E3239" t="s">
        <v>935</v>
      </c>
      <c r="F3239" t="s">
        <v>17</v>
      </c>
      <c r="G3239" t="s">
        <v>6721</v>
      </c>
      <c r="H3239" t="str">
        <f>"00866606"</f>
        <v>00866606</v>
      </c>
      <c r="I3239">
        <v>28.8</v>
      </c>
      <c r="J3239">
        <v>0</v>
      </c>
      <c r="N3239">
        <v>0</v>
      </c>
      <c r="O3239">
        <v>0</v>
      </c>
      <c r="P3239">
        <v>0</v>
      </c>
      <c r="Q3239">
        <v>28.8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3</v>
      </c>
      <c r="AB3239">
        <v>0</v>
      </c>
      <c r="AD3239">
        <v>31.8</v>
      </c>
    </row>
    <row r="3240" spans="1:30" x14ac:dyDescent="0.3">
      <c r="A3240" s="4">
        <v>3262</v>
      </c>
      <c r="B3240" s="5">
        <v>3233</v>
      </c>
      <c r="C3240">
        <v>560</v>
      </c>
      <c r="D3240" t="s">
        <v>6722</v>
      </c>
      <c r="E3240" t="s">
        <v>219</v>
      </c>
      <c r="F3240" t="s">
        <v>20</v>
      </c>
      <c r="G3240" t="s">
        <v>6723</v>
      </c>
      <c r="H3240" t="str">
        <f>"00855864"</f>
        <v>00855864</v>
      </c>
      <c r="I3240">
        <v>28.8</v>
      </c>
      <c r="J3240">
        <v>0</v>
      </c>
      <c r="N3240">
        <v>0</v>
      </c>
      <c r="O3240">
        <v>0</v>
      </c>
      <c r="P3240">
        <v>0</v>
      </c>
      <c r="Q3240">
        <v>28.8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3</v>
      </c>
      <c r="AB3240">
        <v>0</v>
      </c>
      <c r="AD3240">
        <v>31.8</v>
      </c>
    </row>
    <row r="3241" spans="1:30" x14ac:dyDescent="0.3">
      <c r="A3241" s="4">
        <v>3263</v>
      </c>
      <c r="B3241" s="5">
        <v>3234</v>
      </c>
      <c r="C3241">
        <v>348</v>
      </c>
      <c r="D3241" t="s">
        <v>6724</v>
      </c>
      <c r="E3241" t="s">
        <v>6725</v>
      </c>
      <c r="F3241" t="s">
        <v>62</v>
      </c>
      <c r="G3241" t="s">
        <v>6726</v>
      </c>
      <c r="H3241" t="str">
        <f>"00441565"</f>
        <v>00441565</v>
      </c>
      <c r="I3241">
        <v>28.8</v>
      </c>
      <c r="J3241">
        <v>0</v>
      </c>
      <c r="N3241">
        <v>0</v>
      </c>
      <c r="O3241">
        <v>0</v>
      </c>
      <c r="P3241">
        <v>0</v>
      </c>
      <c r="Q3241">
        <v>28.8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3</v>
      </c>
      <c r="AB3241">
        <v>0</v>
      </c>
      <c r="AD3241">
        <v>31.8</v>
      </c>
    </row>
    <row r="3242" spans="1:30" x14ac:dyDescent="0.3">
      <c r="A3242" s="4">
        <v>3264</v>
      </c>
      <c r="B3242" s="5">
        <v>3235</v>
      </c>
      <c r="C3242">
        <v>968</v>
      </c>
      <c r="D3242" t="s">
        <v>6492</v>
      </c>
      <c r="E3242" t="s">
        <v>208</v>
      </c>
      <c r="F3242" t="s">
        <v>17</v>
      </c>
      <c r="G3242" t="s">
        <v>6727</v>
      </c>
      <c r="H3242" t="str">
        <f>"00363604"</f>
        <v>00363604</v>
      </c>
      <c r="I3242">
        <v>28.8</v>
      </c>
      <c r="J3242">
        <v>0</v>
      </c>
      <c r="N3242">
        <v>0</v>
      </c>
      <c r="O3242">
        <v>0</v>
      </c>
      <c r="P3242">
        <v>0</v>
      </c>
      <c r="Q3242">
        <v>28.8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3</v>
      </c>
      <c r="AB3242">
        <v>0</v>
      </c>
      <c r="AD3242">
        <v>31.8</v>
      </c>
    </row>
    <row r="3243" spans="1:30" x14ac:dyDescent="0.3">
      <c r="A3243" s="4">
        <v>3265</v>
      </c>
      <c r="B3243" s="5">
        <v>3236</v>
      </c>
      <c r="C3243">
        <v>358</v>
      </c>
      <c r="D3243" t="s">
        <v>6728</v>
      </c>
      <c r="E3243" t="s">
        <v>29</v>
      </c>
      <c r="F3243" t="s">
        <v>166</v>
      </c>
      <c r="G3243" t="s">
        <v>6729</v>
      </c>
      <c r="H3243" t="str">
        <f>"00390244"</f>
        <v>00390244</v>
      </c>
      <c r="I3243">
        <v>20.72</v>
      </c>
      <c r="J3243">
        <v>0</v>
      </c>
      <c r="M3243">
        <v>4</v>
      </c>
      <c r="N3243">
        <v>4</v>
      </c>
      <c r="O3243">
        <v>4</v>
      </c>
      <c r="P3243">
        <v>0</v>
      </c>
      <c r="Q3243">
        <v>28.72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3</v>
      </c>
      <c r="AB3243">
        <v>0</v>
      </c>
      <c r="AD3243">
        <v>31.72</v>
      </c>
    </row>
    <row r="3244" spans="1:30" x14ac:dyDescent="0.3">
      <c r="A3244" s="4">
        <v>3266</v>
      </c>
      <c r="B3244" s="5">
        <v>3237</v>
      </c>
      <c r="C3244">
        <v>2927</v>
      </c>
      <c r="D3244" t="s">
        <v>3200</v>
      </c>
      <c r="E3244" t="s">
        <v>161</v>
      </c>
      <c r="F3244" t="s">
        <v>81</v>
      </c>
      <c r="G3244" t="s">
        <v>6730</v>
      </c>
      <c r="H3244" t="str">
        <f>"00553347"</f>
        <v>00553347</v>
      </c>
      <c r="I3244">
        <v>21.6</v>
      </c>
      <c r="J3244">
        <v>0</v>
      </c>
      <c r="N3244">
        <v>0</v>
      </c>
      <c r="O3244">
        <v>4</v>
      </c>
      <c r="P3244">
        <v>0</v>
      </c>
      <c r="Q3244">
        <v>25.6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6</v>
      </c>
      <c r="AB3244">
        <v>0</v>
      </c>
      <c r="AD3244">
        <v>31.6</v>
      </c>
    </row>
    <row r="3245" spans="1:30" x14ac:dyDescent="0.3">
      <c r="A3245" s="4">
        <v>3267</v>
      </c>
      <c r="B3245" s="5">
        <v>3238</v>
      </c>
      <c r="C3245">
        <v>3517</v>
      </c>
      <c r="D3245" t="s">
        <v>6731</v>
      </c>
      <c r="E3245" t="s">
        <v>594</v>
      </c>
      <c r="F3245" t="s">
        <v>136</v>
      </c>
      <c r="G3245" t="s">
        <v>6732</v>
      </c>
      <c r="H3245" t="str">
        <f>"00685742"</f>
        <v>00685742</v>
      </c>
      <c r="I3245">
        <v>21.6</v>
      </c>
      <c r="J3245">
        <v>0</v>
      </c>
      <c r="N3245">
        <v>0</v>
      </c>
      <c r="O3245">
        <v>4</v>
      </c>
      <c r="P3245">
        <v>0</v>
      </c>
      <c r="Q3245">
        <v>25.6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6</v>
      </c>
      <c r="AB3245">
        <v>0</v>
      </c>
      <c r="AD3245">
        <v>31.6</v>
      </c>
    </row>
    <row r="3246" spans="1:30" x14ac:dyDescent="0.3">
      <c r="A3246" s="4">
        <v>3268</v>
      </c>
      <c r="B3246" s="5">
        <v>3239</v>
      </c>
      <c r="C3246">
        <v>1798</v>
      </c>
      <c r="D3246" t="s">
        <v>2073</v>
      </c>
      <c r="E3246" t="s">
        <v>149</v>
      </c>
      <c r="F3246" t="s">
        <v>328</v>
      </c>
      <c r="G3246" t="s">
        <v>6733</v>
      </c>
      <c r="H3246" t="str">
        <f>"00863507"</f>
        <v>00863507</v>
      </c>
      <c r="I3246">
        <v>21.6</v>
      </c>
      <c r="J3246">
        <v>0</v>
      </c>
      <c r="M3246">
        <v>4</v>
      </c>
      <c r="N3246">
        <v>4</v>
      </c>
      <c r="O3246">
        <v>0</v>
      </c>
      <c r="P3246">
        <v>0</v>
      </c>
      <c r="Q3246">
        <v>25.6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6</v>
      </c>
      <c r="AB3246">
        <v>0</v>
      </c>
      <c r="AD3246">
        <v>31.6</v>
      </c>
    </row>
    <row r="3247" spans="1:30" x14ac:dyDescent="0.3">
      <c r="A3247" s="4">
        <v>3269</v>
      </c>
      <c r="B3247" s="5">
        <v>3240</v>
      </c>
      <c r="C3247">
        <v>3247</v>
      </c>
      <c r="D3247" t="s">
        <v>6734</v>
      </c>
      <c r="E3247" t="s">
        <v>400</v>
      </c>
      <c r="F3247" t="s">
        <v>5741</v>
      </c>
      <c r="G3247" t="s">
        <v>6735</v>
      </c>
      <c r="H3247" t="str">
        <f>"00861677"</f>
        <v>00861677</v>
      </c>
      <c r="I3247">
        <v>21.6</v>
      </c>
      <c r="J3247">
        <v>0</v>
      </c>
      <c r="N3247">
        <v>0</v>
      </c>
      <c r="O3247">
        <v>4</v>
      </c>
      <c r="P3247">
        <v>0</v>
      </c>
      <c r="Q3247">
        <v>25.6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6</v>
      </c>
      <c r="AB3247">
        <v>0</v>
      </c>
      <c r="AD3247">
        <v>31.6</v>
      </c>
    </row>
    <row r="3248" spans="1:30" x14ac:dyDescent="0.3">
      <c r="A3248" s="4">
        <v>3270</v>
      </c>
      <c r="B3248" s="5">
        <v>3241</v>
      </c>
      <c r="C3248">
        <v>4742</v>
      </c>
      <c r="D3248" t="s">
        <v>907</v>
      </c>
      <c r="E3248" t="s">
        <v>6736</v>
      </c>
      <c r="F3248" t="s">
        <v>5807</v>
      </c>
      <c r="G3248" t="s">
        <v>6737</v>
      </c>
      <c r="H3248" t="str">
        <f>"00423477"</f>
        <v>00423477</v>
      </c>
      <c r="I3248">
        <v>21.6</v>
      </c>
      <c r="J3248">
        <v>0</v>
      </c>
      <c r="N3248">
        <v>0</v>
      </c>
      <c r="O3248">
        <v>4</v>
      </c>
      <c r="P3248">
        <v>0</v>
      </c>
      <c r="Q3248">
        <v>25.6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6</v>
      </c>
      <c r="AB3248">
        <v>0</v>
      </c>
      <c r="AD3248">
        <v>31.6</v>
      </c>
    </row>
    <row r="3249" spans="1:30" x14ac:dyDescent="0.3">
      <c r="A3249" s="4">
        <v>3271</v>
      </c>
      <c r="B3249" s="5">
        <v>3242</v>
      </c>
      <c r="C3249">
        <v>4852</v>
      </c>
      <c r="D3249" t="s">
        <v>6738</v>
      </c>
      <c r="E3249" t="s">
        <v>143</v>
      </c>
      <c r="F3249" t="s">
        <v>4113</v>
      </c>
      <c r="G3249" t="s">
        <v>6739</v>
      </c>
      <c r="H3249" t="str">
        <f>"00350446"</f>
        <v>00350446</v>
      </c>
      <c r="I3249">
        <v>21.6</v>
      </c>
      <c r="J3249">
        <v>0</v>
      </c>
      <c r="N3249">
        <v>0</v>
      </c>
      <c r="O3249">
        <v>4</v>
      </c>
      <c r="P3249">
        <v>0</v>
      </c>
      <c r="Q3249">
        <v>25.6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6</v>
      </c>
      <c r="AB3249">
        <v>0</v>
      </c>
      <c r="AD3249">
        <v>31.6</v>
      </c>
    </row>
    <row r="3250" spans="1:30" x14ac:dyDescent="0.3">
      <c r="A3250" s="4">
        <v>3272</v>
      </c>
      <c r="B3250" s="5">
        <v>3243</v>
      </c>
      <c r="C3250">
        <v>3926</v>
      </c>
      <c r="D3250" t="s">
        <v>6740</v>
      </c>
      <c r="E3250" t="s">
        <v>29</v>
      </c>
      <c r="F3250" t="s">
        <v>5434</v>
      </c>
      <c r="G3250" t="s">
        <v>6741</v>
      </c>
      <c r="H3250" t="str">
        <f>"00862749"</f>
        <v>00862749</v>
      </c>
      <c r="I3250">
        <v>27.6</v>
      </c>
      <c r="J3250">
        <v>0</v>
      </c>
      <c r="M3250">
        <v>4</v>
      </c>
      <c r="N3250">
        <v>4</v>
      </c>
      <c r="O3250">
        <v>0</v>
      </c>
      <c r="P3250">
        <v>0</v>
      </c>
      <c r="Q3250">
        <v>31.6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D3250">
        <v>31.6</v>
      </c>
    </row>
    <row r="3251" spans="1:30" x14ac:dyDescent="0.3">
      <c r="A3251" s="4">
        <v>3273</v>
      </c>
      <c r="B3251" s="5">
        <v>3244</v>
      </c>
      <c r="C3251">
        <v>1847</v>
      </c>
      <c r="D3251" t="s">
        <v>6742</v>
      </c>
      <c r="E3251" t="s">
        <v>219</v>
      </c>
      <c r="F3251" t="s">
        <v>5375</v>
      </c>
      <c r="G3251" t="s">
        <v>6743</v>
      </c>
      <c r="H3251" t="str">
        <f>"00863184"</f>
        <v>00863184</v>
      </c>
      <c r="I3251">
        <v>21.6</v>
      </c>
      <c r="J3251">
        <v>0</v>
      </c>
      <c r="M3251">
        <v>4</v>
      </c>
      <c r="N3251">
        <v>4</v>
      </c>
      <c r="O3251">
        <v>4</v>
      </c>
      <c r="P3251">
        <v>2</v>
      </c>
      <c r="Q3251">
        <v>31.6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D3251">
        <v>31.6</v>
      </c>
    </row>
    <row r="3252" spans="1:30" x14ac:dyDescent="0.3">
      <c r="A3252" s="4">
        <v>3274</v>
      </c>
      <c r="B3252" s="5">
        <v>3245</v>
      </c>
      <c r="C3252">
        <v>4185</v>
      </c>
      <c r="D3252" t="s">
        <v>6744</v>
      </c>
      <c r="E3252" t="s">
        <v>54</v>
      </c>
      <c r="F3252" t="s">
        <v>38</v>
      </c>
      <c r="G3252" t="s">
        <v>6745</v>
      </c>
      <c r="H3252" t="str">
        <f>"00860843"</f>
        <v>00860843</v>
      </c>
      <c r="I3252">
        <v>21.6</v>
      </c>
      <c r="J3252">
        <v>0</v>
      </c>
      <c r="M3252">
        <v>4</v>
      </c>
      <c r="N3252">
        <v>4</v>
      </c>
      <c r="O3252">
        <v>4</v>
      </c>
      <c r="P3252">
        <v>2</v>
      </c>
      <c r="Q3252">
        <v>31.6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D3252">
        <v>31.6</v>
      </c>
    </row>
    <row r="3253" spans="1:30" x14ac:dyDescent="0.3">
      <c r="A3253" s="4">
        <v>3275</v>
      </c>
      <c r="B3253" s="5">
        <v>3246</v>
      </c>
      <c r="C3253">
        <v>4929</v>
      </c>
      <c r="D3253" t="s">
        <v>5342</v>
      </c>
      <c r="E3253" t="s">
        <v>88</v>
      </c>
      <c r="F3253" t="s">
        <v>117</v>
      </c>
      <c r="G3253" t="s">
        <v>6746</v>
      </c>
      <c r="H3253" t="str">
        <f>"00532089"</f>
        <v>00532089</v>
      </c>
      <c r="I3253">
        <v>21.6</v>
      </c>
      <c r="J3253">
        <v>0</v>
      </c>
      <c r="M3253">
        <v>4</v>
      </c>
      <c r="N3253">
        <v>4</v>
      </c>
      <c r="O3253">
        <v>4</v>
      </c>
      <c r="P3253">
        <v>2</v>
      </c>
      <c r="Q3253">
        <v>31.6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D3253">
        <v>31.6</v>
      </c>
    </row>
    <row r="3254" spans="1:30" x14ac:dyDescent="0.3">
      <c r="A3254" s="4">
        <v>3276</v>
      </c>
      <c r="B3254" s="5">
        <v>3247</v>
      </c>
      <c r="C3254">
        <v>4325</v>
      </c>
      <c r="D3254" t="s">
        <v>6747</v>
      </c>
      <c r="E3254" t="s">
        <v>550</v>
      </c>
      <c r="F3254" t="s">
        <v>136</v>
      </c>
      <c r="G3254" t="s">
        <v>6748</v>
      </c>
      <c r="H3254" t="str">
        <f>"00857504"</f>
        <v>00857504</v>
      </c>
      <c r="I3254">
        <v>21.6</v>
      </c>
      <c r="J3254">
        <v>0</v>
      </c>
      <c r="M3254">
        <v>4</v>
      </c>
      <c r="N3254">
        <v>4</v>
      </c>
      <c r="O3254">
        <v>4</v>
      </c>
      <c r="P3254">
        <v>2</v>
      </c>
      <c r="Q3254">
        <v>31.6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D3254">
        <v>31.6</v>
      </c>
    </row>
    <row r="3255" spans="1:30" x14ac:dyDescent="0.3">
      <c r="A3255" s="4">
        <v>3277</v>
      </c>
      <c r="B3255" s="5">
        <v>3248</v>
      </c>
      <c r="C3255">
        <v>1608</v>
      </c>
      <c r="D3255" t="s">
        <v>3764</v>
      </c>
      <c r="E3255" t="s">
        <v>789</v>
      </c>
      <c r="F3255" t="s">
        <v>3236</v>
      </c>
      <c r="G3255" t="s">
        <v>6749</v>
      </c>
      <c r="H3255" t="str">
        <f>"00530318"</f>
        <v>00530318</v>
      </c>
      <c r="I3255">
        <v>21.6</v>
      </c>
      <c r="J3255">
        <v>0</v>
      </c>
      <c r="M3255">
        <v>4</v>
      </c>
      <c r="N3255">
        <v>4</v>
      </c>
      <c r="O3255">
        <v>4</v>
      </c>
      <c r="P3255">
        <v>2</v>
      </c>
      <c r="Q3255">
        <v>31.6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D3255">
        <v>31.6</v>
      </c>
    </row>
    <row r="3256" spans="1:30" x14ac:dyDescent="0.3">
      <c r="A3256" s="4">
        <v>3278</v>
      </c>
      <c r="B3256" s="5">
        <v>3249</v>
      </c>
      <c r="C3256">
        <v>423</v>
      </c>
      <c r="D3256" t="s">
        <v>6750</v>
      </c>
      <c r="E3256" t="s">
        <v>29</v>
      </c>
      <c r="F3256" t="s">
        <v>6751</v>
      </c>
      <c r="G3256" t="s">
        <v>6752</v>
      </c>
      <c r="H3256" t="str">
        <f>"00605310"</f>
        <v>00605310</v>
      </c>
      <c r="I3256">
        <v>21.6</v>
      </c>
      <c r="J3256">
        <v>0</v>
      </c>
      <c r="M3256">
        <v>4</v>
      </c>
      <c r="N3256">
        <v>4</v>
      </c>
      <c r="O3256">
        <v>4</v>
      </c>
      <c r="P3256">
        <v>2</v>
      </c>
      <c r="Q3256">
        <v>31.6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D3256">
        <v>31.6</v>
      </c>
    </row>
    <row r="3257" spans="1:30" x14ac:dyDescent="0.3">
      <c r="A3257" s="4">
        <v>3279</v>
      </c>
      <c r="B3257" s="5">
        <v>3250</v>
      </c>
      <c r="C3257">
        <v>2070</v>
      </c>
      <c r="D3257" t="s">
        <v>717</v>
      </c>
      <c r="E3257" t="s">
        <v>54</v>
      </c>
      <c r="F3257" t="s">
        <v>117</v>
      </c>
      <c r="G3257" t="s">
        <v>6753</v>
      </c>
      <c r="H3257" t="str">
        <f>"00532752"</f>
        <v>00532752</v>
      </c>
      <c r="I3257">
        <v>21.6</v>
      </c>
      <c r="J3257">
        <v>0</v>
      </c>
      <c r="M3257">
        <v>4</v>
      </c>
      <c r="N3257">
        <v>4</v>
      </c>
      <c r="O3257">
        <v>4</v>
      </c>
      <c r="P3257">
        <v>2</v>
      </c>
      <c r="Q3257">
        <v>31.6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D3257">
        <v>31.6</v>
      </c>
    </row>
    <row r="3258" spans="1:30" x14ac:dyDescent="0.3">
      <c r="A3258" s="4">
        <v>3280</v>
      </c>
      <c r="B3258" s="5">
        <v>3251</v>
      </c>
      <c r="C3258">
        <v>856</v>
      </c>
      <c r="D3258" t="s">
        <v>2416</v>
      </c>
      <c r="E3258" t="s">
        <v>289</v>
      </c>
      <c r="F3258" t="s">
        <v>878</v>
      </c>
      <c r="G3258" t="s">
        <v>6754</v>
      </c>
      <c r="H3258" t="str">
        <f>"201510003403"</f>
        <v>201510003403</v>
      </c>
      <c r="I3258">
        <v>21.6</v>
      </c>
      <c r="J3258">
        <v>0</v>
      </c>
      <c r="M3258">
        <v>8</v>
      </c>
      <c r="N3258">
        <v>8</v>
      </c>
      <c r="O3258">
        <v>0</v>
      </c>
      <c r="P3258">
        <v>2</v>
      </c>
      <c r="Q3258">
        <v>31.6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D3258">
        <v>31.6</v>
      </c>
    </row>
    <row r="3259" spans="1:30" x14ac:dyDescent="0.3">
      <c r="A3259" s="4">
        <v>3281</v>
      </c>
      <c r="B3259" s="5">
        <v>3252</v>
      </c>
      <c r="C3259">
        <v>4397</v>
      </c>
      <c r="D3259" t="s">
        <v>6755</v>
      </c>
      <c r="E3259" t="s">
        <v>283</v>
      </c>
      <c r="F3259" t="s">
        <v>38</v>
      </c>
      <c r="G3259" t="s">
        <v>6756</v>
      </c>
      <c r="H3259" t="str">
        <f>"00700824"</f>
        <v>00700824</v>
      </c>
      <c r="I3259">
        <v>21.6</v>
      </c>
      <c r="J3259">
        <v>0</v>
      </c>
      <c r="L3259">
        <v>6</v>
      </c>
      <c r="N3259">
        <v>6</v>
      </c>
      <c r="O3259">
        <v>4</v>
      </c>
      <c r="P3259">
        <v>0</v>
      </c>
      <c r="Q3259">
        <v>31.6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D3259">
        <v>31.6</v>
      </c>
    </row>
    <row r="3260" spans="1:30" x14ac:dyDescent="0.3">
      <c r="A3260" s="4">
        <v>3282</v>
      </c>
      <c r="B3260" s="5">
        <v>3253</v>
      </c>
      <c r="C3260">
        <v>3619</v>
      </c>
      <c r="D3260" t="s">
        <v>6757</v>
      </c>
      <c r="E3260" t="s">
        <v>471</v>
      </c>
      <c r="F3260" t="s">
        <v>1399</v>
      </c>
      <c r="G3260" t="s">
        <v>6758</v>
      </c>
      <c r="H3260" t="str">
        <f>"00514229"</f>
        <v>00514229</v>
      </c>
      <c r="I3260">
        <v>21.6</v>
      </c>
      <c r="J3260">
        <v>0</v>
      </c>
      <c r="M3260">
        <v>4</v>
      </c>
      <c r="N3260">
        <v>4</v>
      </c>
      <c r="O3260">
        <v>4</v>
      </c>
      <c r="P3260">
        <v>2</v>
      </c>
      <c r="Q3260">
        <v>31.6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D3260">
        <v>31.6</v>
      </c>
    </row>
    <row r="3261" spans="1:30" x14ac:dyDescent="0.3">
      <c r="A3261" s="4">
        <v>3283</v>
      </c>
      <c r="B3261" s="5">
        <v>3254</v>
      </c>
      <c r="C3261">
        <v>1152</v>
      </c>
      <c r="D3261" t="s">
        <v>6759</v>
      </c>
      <c r="E3261" t="s">
        <v>789</v>
      </c>
      <c r="F3261" t="s">
        <v>81</v>
      </c>
      <c r="G3261" t="s">
        <v>6760</v>
      </c>
      <c r="H3261" t="str">
        <f>"00858623"</f>
        <v>00858623</v>
      </c>
      <c r="I3261">
        <v>19.600000000000001</v>
      </c>
      <c r="J3261">
        <v>0</v>
      </c>
      <c r="K3261">
        <v>8</v>
      </c>
      <c r="N3261">
        <v>8</v>
      </c>
      <c r="O3261">
        <v>4</v>
      </c>
      <c r="P3261">
        <v>0</v>
      </c>
      <c r="Q3261">
        <v>31.6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D3261">
        <v>31.6</v>
      </c>
    </row>
    <row r="3262" spans="1:30" x14ac:dyDescent="0.3">
      <c r="A3262" s="4">
        <v>3284</v>
      </c>
      <c r="B3262" s="5">
        <v>3255</v>
      </c>
      <c r="C3262">
        <v>481</v>
      </c>
      <c r="D3262" t="s">
        <v>6761</v>
      </c>
      <c r="E3262" t="s">
        <v>6762</v>
      </c>
      <c r="F3262" t="s">
        <v>55</v>
      </c>
      <c r="G3262" t="s">
        <v>6763</v>
      </c>
      <c r="H3262" t="str">
        <f>"00405165"</f>
        <v>00405165</v>
      </c>
      <c r="I3262">
        <v>22.56</v>
      </c>
      <c r="J3262">
        <v>0</v>
      </c>
      <c r="N3262">
        <v>0</v>
      </c>
      <c r="O3262">
        <v>0</v>
      </c>
      <c r="P3262">
        <v>0</v>
      </c>
      <c r="Q3262">
        <v>22.56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9</v>
      </c>
      <c r="AB3262">
        <v>0</v>
      </c>
      <c r="AD3262">
        <v>31.56</v>
      </c>
    </row>
    <row r="3263" spans="1:30" x14ac:dyDescent="0.3">
      <c r="A3263" s="4">
        <v>3285</v>
      </c>
      <c r="B3263" s="5">
        <v>3256</v>
      </c>
      <c r="C3263">
        <v>934</v>
      </c>
      <c r="D3263" t="s">
        <v>5919</v>
      </c>
      <c r="E3263" t="s">
        <v>1785</v>
      </c>
      <c r="F3263" t="s">
        <v>230</v>
      </c>
      <c r="G3263" t="s">
        <v>6764</v>
      </c>
      <c r="H3263" t="str">
        <f>"00557694"</f>
        <v>00557694</v>
      </c>
      <c r="I3263">
        <v>25.44</v>
      </c>
      <c r="J3263">
        <v>0</v>
      </c>
      <c r="N3263">
        <v>0</v>
      </c>
      <c r="O3263">
        <v>0</v>
      </c>
      <c r="P3263">
        <v>0</v>
      </c>
      <c r="Q3263">
        <v>25.44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6</v>
      </c>
      <c r="AB3263">
        <v>0</v>
      </c>
      <c r="AD3263">
        <v>31.44</v>
      </c>
    </row>
    <row r="3264" spans="1:30" x14ac:dyDescent="0.3">
      <c r="A3264" s="4">
        <v>3286</v>
      </c>
      <c r="B3264" s="5">
        <v>3257</v>
      </c>
      <c r="C3264">
        <v>770</v>
      </c>
      <c r="D3264" t="s">
        <v>6765</v>
      </c>
      <c r="E3264" t="s">
        <v>41</v>
      </c>
      <c r="F3264" t="s">
        <v>38</v>
      </c>
      <c r="G3264" t="s">
        <v>6766</v>
      </c>
      <c r="H3264" t="str">
        <f>"00519535"</f>
        <v>00519535</v>
      </c>
      <c r="I3264">
        <v>15.44</v>
      </c>
      <c r="J3264">
        <v>10</v>
      </c>
      <c r="N3264">
        <v>0</v>
      </c>
      <c r="O3264">
        <v>0</v>
      </c>
      <c r="P3264">
        <v>2</v>
      </c>
      <c r="Q3264">
        <v>27.44</v>
      </c>
      <c r="R3264">
        <v>4</v>
      </c>
      <c r="S3264">
        <v>4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4</v>
      </c>
      <c r="AA3264">
        <v>0</v>
      </c>
      <c r="AB3264">
        <v>0</v>
      </c>
      <c r="AD3264">
        <v>31.44</v>
      </c>
    </row>
    <row r="3265" spans="1:30" x14ac:dyDescent="0.3">
      <c r="A3265" s="4">
        <v>3287</v>
      </c>
      <c r="B3265" s="5">
        <v>3258</v>
      </c>
      <c r="C3265">
        <v>3103</v>
      </c>
      <c r="D3265" t="s">
        <v>6767</v>
      </c>
      <c r="E3265" t="s">
        <v>54</v>
      </c>
      <c r="F3265" t="s">
        <v>158</v>
      </c>
      <c r="G3265" t="s">
        <v>6768</v>
      </c>
      <c r="H3265" t="str">
        <f>"00863951"</f>
        <v>00863951</v>
      </c>
      <c r="I3265">
        <v>14.4</v>
      </c>
      <c r="J3265">
        <v>0</v>
      </c>
      <c r="M3265">
        <v>4</v>
      </c>
      <c r="N3265">
        <v>4</v>
      </c>
      <c r="O3265">
        <v>4</v>
      </c>
      <c r="P3265">
        <v>0</v>
      </c>
      <c r="Q3265">
        <v>22.4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9</v>
      </c>
      <c r="AB3265">
        <v>0</v>
      </c>
      <c r="AD3265">
        <v>31.4</v>
      </c>
    </row>
    <row r="3266" spans="1:30" x14ac:dyDescent="0.3">
      <c r="A3266" s="4">
        <v>3288</v>
      </c>
      <c r="B3266" s="5">
        <v>3259</v>
      </c>
      <c r="C3266">
        <v>4701</v>
      </c>
      <c r="D3266" t="s">
        <v>1630</v>
      </c>
      <c r="E3266" t="s">
        <v>54</v>
      </c>
      <c r="F3266" t="s">
        <v>81</v>
      </c>
      <c r="G3266" t="s">
        <v>6769</v>
      </c>
      <c r="H3266" t="str">
        <f>"00705926"</f>
        <v>00705926</v>
      </c>
      <c r="I3266">
        <v>24.4</v>
      </c>
      <c r="J3266">
        <v>0</v>
      </c>
      <c r="N3266">
        <v>0</v>
      </c>
      <c r="O3266">
        <v>4</v>
      </c>
      <c r="P3266">
        <v>0</v>
      </c>
      <c r="Q3266">
        <v>28.4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3</v>
      </c>
      <c r="AB3266">
        <v>0</v>
      </c>
      <c r="AD3266">
        <v>31.4</v>
      </c>
    </row>
    <row r="3267" spans="1:30" x14ac:dyDescent="0.3">
      <c r="A3267" s="4">
        <v>3289</v>
      </c>
      <c r="B3267" s="5">
        <v>3260</v>
      </c>
      <c r="C3267">
        <v>1831</v>
      </c>
      <c r="D3267" t="s">
        <v>6770</v>
      </c>
      <c r="E3267" t="s">
        <v>188</v>
      </c>
      <c r="F3267" t="s">
        <v>117</v>
      </c>
      <c r="G3267" t="s">
        <v>6771</v>
      </c>
      <c r="H3267" t="str">
        <f>"00532960"</f>
        <v>00532960</v>
      </c>
      <c r="I3267">
        <v>14.4</v>
      </c>
      <c r="J3267">
        <v>0</v>
      </c>
      <c r="N3267">
        <v>0</v>
      </c>
      <c r="O3267">
        <v>4</v>
      </c>
      <c r="P3267">
        <v>2</v>
      </c>
      <c r="Q3267">
        <v>20.399999999999999</v>
      </c>
      <c r="R3267">
        <v>11</v>
      </c>
      <c r="S3267">
        <v>11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11</v>
      </c>
      <c r="AA3267">
        <v>0</v>
      </c>
      <c r="AB3267">
        <v>0</v>
      </c>
      <c r="AD3267">
        <v>31.4</v>
      </c>
    </row>
    <row r="3268" spans="1:30" x14ac:dyDescent="0.3">
      <c r="A3268" s="4">
        <v>3290</v>
      </c>
      <c r="B3268" s="5">
        <v>3261</v>
      </c>
      <c r="C3268">
        <v>2727</v>
      </c>
      <c r="D3268" t="s">
        <v>569</v>
      </c>
      <c r="E3268" t="s">
        <v>1189</v>
      </c>
      <c r="F3268" t="s">
        <v>230</v>
      </c>
      <c r="G3268" t="s">
        <v>6772</v>
      </c>
      <c r="H3268" t="str">
        <f>"201410012515"</f>
        <v>201410012515</v>
      </c>
      <c r="I3268">
        <v>12.36</v>
      </c>
      <c r="J3268">
        <v>10</v>
      </c>
      <c r="N3268">
        <v>0</v>
      </c>
      <c r="O3268">
        <v>0</v>
      </c>
      <c r="P3268">
        <v>0</v>
      </c>
      <c r="Q3268">
        <v>22.36</v>
      </c>
      <c r="R3268">
        <v>6</v>
      </c>
      <c r="S3268">
        <v>6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6</v>
      </c>
      <c r="AA3268">
        <v>3</v>
      </c>
      <c r="AB3268">
        <v>0</v>
      </c>
      <c r="AD3268">
        <v>31.36</v>
      </c>
    </row>
    <row r="3269" spans="1:30" x14ac:dyDescent="0.3">
      <c r="A3269" s="4">
        <v>3291</v>
      </c>
      <c r="B3269" s="5">
        <v>3262</v>
      </c>
      <c r="C3269">
        <v>4442</v>
      </c>
      <c r="D3269" t="s">
        <v>6773</v>
      </c>
      <c r="E3269" t="s">
        <v>208</v>
      </c>
      <c r="F3269" t="s">
        <v>124</v>
      </c>
      <c r="G3269" t="s">
        <v>6774</v>
      </c>
      <c r="H3269" t="str">
        <f>"201511028506"</f>
        <v>201511028506</v>
      </c>
      <c r="I3269">
        <v>19.2</v>
      </c>
      <c r="J3269">
        <v>0</v>
      </c>
      <c r="N3269">
        <v>0</v>
      </c>
      <c r="O3269">
        <v>4</v>
      </c>
      <c r="P3269">
        <v>2</v>
      </c>
      <c r="Q3269">
        <v>25.2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6</v>
      </c>
      <c r="AB3269">
        <v>0</v>
      </c>
      <c r="AD3269">
        <v>31.2</v>
      </c>
    </row>
    <row r="3270" spans="1:30" x14ac:dyDescent="0.3">
      <c r="A3270" s="4">
        <v>3292</v>
      </c>
      <c r="B3270" s="5">
        <v>3263</v>
      </c>
      <c r="C3270">
        <v>4900</v>
      </c>
      <c r="D3270" t="s">
        <v>567</v>
      </c>
      <c r="E3270" t="s">
        <v>29</v>
      </c>
      <c r="F3270" t="s">
        <v>38</v>
      </c>
      <c r="G3270" t="s">
        <v>6775</v>
      </c>
      <c r="H3270" t="str">
        <f>"00150593"</f>
        <v>00150593</v>
      </c>
      <c r="I3270">
        <v>7.2</v>
      </c>
      <c r="J3270">
        <v>10</v>
      </c>
      <c r="M3270">
        <v>4</v>
      </c>
      <c r="N3270">
        <v>4</v>
      </c>
      <c r="O3270">
        <v>4</v>
      </c>
      <c r="P3270">
        <v>0</v>
      </c>
      <c r="Q3270">
        <v>25.2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6</v>
      </c>
      <c r="AB3270">
        <v>0</v>
      </c>
      <c r="AD3270">
        <v>31.2</v>
      </c>
    </row>
    <row r="3271" spans="1:30" x14ac:dyDescent="0.3">
      <c r="A3271" s="4">
        <v>3293</v>
      </c>
      <c r="B3271" s="5">
        <v>3264</v>
      </c>
      <c r="C3271">
        <v>3636</v>
      </c>
      <c r="D3271" t="s">
        <v>6776</v>
      </c>
      <c r="E3271" t="s">
        <v>406</v>
      </c>
      <c r="F3271" t="s">
        <v>442</v>
      </c>
      <c r="G3271" t="s">
        <v>6777</v>
      </c>
      <c r="H3271" t="str">
        <f>"00439398"</f>
        <v>00439398</v>
      </c>
      <c r="I3271">
        <v>7.2</v>
      </c>
      <c r="J3271">
        <v>0</v>
      </c>
      <c r="M3271">
        <v>4</v>
      </c>
      <c r="N3271">
        <v>4</v>
      </c>
      <c r="O3271">
        <v>4</v>
      </c>
      <c r="P3271">
        <v>2</v>
      </c>
      <c r="Q3271">
        <v>17.2</v>
      </c>
      <c r="R3271">
        <v>8</v>
      </c>
      <c r="S3271">
        <v>8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8</v>
      </c>
      <c r="AA3271">
        <v>6</v>
      </c>
      <c r="AB3271">
        <v>0</v>
      </c>
      <c r="AD3271">
        <v>31.2</v>
      </c>
    </row>
    <row r="3272" spans="1:30" x14ac:dyDescent="0.3">
      <c r="A3272" s="4">
        <v>3294</v>
      </c>
      <c r="B3272" s="5">
        <v>3265</v>
      </c>
      <c r="C3272">
        <v>1988</v>
      </c>
      <c r="D3272" t="s">
        <v>6778</v>
      </c>
      <c r="E3272" t="s">
        <v>6779</v>
      </c>
      <c r="F3272" t="s">
        <v>167</v>
      </c>
      <c r="G3272" t="s">
        <v>6780</v>
      </c>
      <c r="H3272" t="str">
        <f>"00857571"</f>
        <v>00857571</v>
      </c>
      <c r="I3272">
        <v>31.2</v>
      </c>
      <c r="J3272">
        <v>0</v>
      </c>
      <c r="N3272">
        <v>0</v>
      </c>
      <c r="O3272">
        <v>0</v>
      </c>
      <c r="P3272">
        <v>0</v>
      </c>
      <c r="Q3272">
        <v>31.2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D3272">
        <v>31.2</v>
      </c>
    </row>
    <row r="3273" spans="1:30" x14ac:dyDescent="0.3">
      <c r="A3273" s="4">
        <v>3295</v>
      </c>
      <c r="B3273" s="5">
        <v>3266</v>
      </c>
      <c r="C3273">
        <v>3440</v>
      </c>
      <c r="D3273" t="s">
        <v>6567</v>
      </c>
      <c r="E3273" t="s">
        <v>6781</v>
      </c>
      <c r="F3273" t="s">
        <v>1225</v>
      </c>
      <c r="G3273" t="s">
        <v>6782</v>
      </c>
      <c r="H3273" t="str">
        <f>"00677209"</f>
        <v>00677209</v>
      </c>
      <c r="I3273">
        <v>31.2</v>
      </c>
      <c r="J3273">
        <v>0</v>
      </c>
      <c r="N3273">
        <v>0</v>
      </c>
      <c r="O3273">
        <v>0</v>
      </c>
      <c r="P3273">
        <v>0</v>
      </c>
      <c r="Q3273">
        <v>31.2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D3273">
        <v>31.2</v>
      </c>
    </row>
    <row r="3274" spans="1:30" x14ac:dyDescent="0.3">
      <c r="A3274" s="4">
        <v>3296</v>
      </c>
      <c r="B3274" s="5">
        <v>3267</v>
      </c>
      <c r="C3274">
        <v>1985</v>
      </c>
      <c r="D3274" t="s">
        <v>1304</v>
      </c>
      <c r="E3274" t="s">
        <v>29</v>
      </c>
      <c r="F3274" t="s">
        <v>62</v>
      </c>
      <c r="G3274" t="s">
        <v>6783</v>
      </c>
      <c r="H3274" t="str">
        <f>"00853901"</f>
        <v>00853901</v>
      </c>
      <c r="I3274">
        <v>27.2</v>
      </c>
      <c r="J3274">
        <v>0</v>
      </c>
      <c r="N3274">
        <v>0</v>
      </c>
      <c r="O3274">
        <v>4</v>
      </c>
      <c r="P3274">
        <v>0</v>
      </c>
      <c r="Q3274">
        <v>31.2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D3274">
        <v>31.2</v>
      </c>
    </row>
    <row r="3275" spans="1:30" x14ac:dyDescent="0.3">
      <c r="A3275" s="4">
        <v>3297</v>
      </c>
      <c r="B3275" s="5">
        <v>3268</v>
      </c>
      <c r="C3275">
        <v>4342</v>
      </c>
      <c r="D3275" t="s">
        <v>6784</v>
      </c>
      <c r="E3275" t="s">
        <v>173</v>
      </c>
      <c r="F3275" t="s">
        <v>14</v>
      </c>
      <c r="G3275" t="s">
        <v>6785</v>
      </c>
      <c r="H3275" t="str">
        <f>"00522895"</f>
        <v>00522895</v>
      </c>
      <c r="I3275">
        <v>7.2</v>
      </c>
      <c r="J3275">
        <v>0</v>
      </c>
      <c r="N3275">
        <v>0</v>
      </c>
      <c r="O3275">
        <v>4</v>
      </c>
      <c r="P3275">
        <v>2</v>
      </c>
      <c r="Q3275">
        <v>13.2</v>
      </c>
      <c r="R3275">
        <v>18</v>
      </c>
      <c r="S3275">
        <v>18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18</v>
      </c>
      <c r="AA3275">
        <v>0</v>
      </c>
      <c r="AB3275">
        <v>0</v>
      </c>
      <c r="AD3275">
        <v>31.2</v>
      </c>
    </row>
    <row r="3276" spans="1:30" x14ac:dyDescent="0.3">
      <c r="A3276" s="4">
        <v>3298</v>
      </c>
      <c r="B3276" s="5">
        <v>3269</v>
      </c>
      <c r="C3276">
        <v>133</v>
      </c>
      <c r="D3276" t="s">
        <v>6286</v>
      </c>
      <c r="E3276" t="s">
        <v>182</v>
      </c>
      <c r="F3276" t="s">
        <v>238</v>
      </c>
      <c r="G3276" t="s">
        <v>6786</v>
      </c>
      <c r="H3276" t="str">
        <f>"00554129"</f>
        <v>00554129</v>
      </c>
      <c r="I3276">
        <v>22.12</v>
      </c>
      <c r="J3276">
        <v>0</v>
      </c>
      <c r="N3276">
        <v>0</v>
      </c>
      <c r="O3276">
        <v>0</v>
      </c>
      <c r="P3276">
        <v>0</v>
      </c>
      <c r="Q3276">
        <v>22.12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9</v>
      </c>
      <c r="AB3276">
        <v>0</v>
      </c>
      <c r="AD3276">
        <v>31.12</v>
      </c>
    </row>
    <row r="3277" spans="1:30" x14ac:dyDescent="0.3">
      <c r="A3277" s="4">
        <v>3299</v>
      </c>
      <c r="B3277" s="5">
        <v>3270</v>
      </c>
      <c r="C3277">
        <v>1835</v>
      </c>
      <c r="D3277" t="s">
        <v>6676</v>
      </c>
      <c r="E3277" t="s">
        <v>26</v>
      </c>
      <c r="F3277" t="s">
        <v>17</v>
      </c>
      <c r="G3277" t="s">
        <v>6787</v>
      </c>
      <c r="H3277" t="str">
        <f>"00556226"</f>
        <v>00556226</v>
      </c>
      <c r="I3277">
        <v>22.12</v>
      </c>
      <c r="J3277">
        <v>0</v>
      </c>
      <c r="M3277">
        <v>4</v>
      </c>
      <c r="N3277">
        <v>4</v>
      </c>
      <c r="O3277">
        <v>0</v>
      </c>
      <c r="P3277">
        <v>2</v>
      </c>
      <c r="Q3277">
        <v>28.12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3</v>
      </c>
      <c r="AB3277">
        <v>0</v>
      </c>
      <c r="AD3277">
        <v>31.12</v>
      </c>
    </row>
    <row r="3278" spans="1:30" x14ac:dyDescent="0.3">
      <c r="A3278" s="4">
        <v>3300</v>
      </c>
      <c r="B3278" s="5">
        <v>3271</v>
      </c>
      <c r="C3278">
        <v>2265</v>
      </c>
      <c r="D3278" t="s">
        <v>6788</v>
      </c>
      <c r="E3278" t="s">
        <v>789</v>
      </c>
      <c r="F3278" t="s">
        <v>38</v>
      </c>
      <c r="G3278" t="s">
        <v>6789</v>
      </c>
      <c r="H3278" t="str">
        <f>"00360207"</f>
        <v>00360207</v>
      </c>
      <c r="I3278">
        <v>25.08</v>
      </c>
      <c r="J3278">
        <v>0</v>
      </c>
      <c r="N3278">
        <v>0</v>
      </c>
      <c r="O3278">
        <v>0</v>
      </c>
      <c r="P3278">
        <v>0</v>
      </c>
      <c r="Q3278">
        <v>25.08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6</v>
      </c>
      <c r="AB3278">
        <v>0</v>
      </c>
      <c r="AD3278">
        <v>31.08</v>
      </c>
    </row>
    <row r="3279" spans="1:30" x14ac:dyDescent="0.3">
      <c r="A3279" s="4">
        <v>3301</v>
      </c>
      <c r="B3279" s="5">
        <v>3272</v>
      </c>
      <c r="C3279">
        <v>1058</v>
      </c>
      <c r="D3279" t="s">
        <v>1230</v>
      </c>
      <c r="E3279" t="s">
        <v>6790</v>
      </c>
      <c r="F3279" t="s">
        <v>17</v>
      </c>
      <c r="G3279" t="s">
        <v>6791</v>
      </c>
      <c r="H3279" t="str">
        <f>"00530771"</f>
        <v>00530771</v>
      </c>
      <c r="I3279">
        <v>21.08</v>
      </c>
      <c r="J3279">
        <v>0</v>
      </c>
      <c r="N3279">
        <v>0</v>
      </c>
      <c r="O3279">
        <v>4</v>
      </c>
      <c r="P3279">
        <v>0</v>
      </c>
      <c r="Q3279">
        <v>25.08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6</v>
      </c>
      <c r="AB3279">
        <v>0</v>
      </c>
      <c r="AD3279">
        <v>31.08</v>
      </c>
    </row>
    <row r="3280" spans="1:30" x14ac:dyDescent="0.3">
      <c r="A3280" s="4">
        <v>3302</v>
      </c>
      <c r="B3280" s="5">
        <v>3273</v>
      </c>
      <c r="C3280">
        <v>4671</v>
      </c>
      <c r="D3280" t="s">
        <v>6792</v>
      </c>
      <c r="E3280" t="s">
        <v>166</v>
      </c>
      <c r="F3280" t="s">
        <v>38</v>
      </c>
      <c r="G3280" t="s">
        <v>6793</v>
      </c>
      <c r="H3280" t="str">
        <f>"00651143"</f>
        <v>00651143</v>
      </c>
      <c r="I3280">
        <v>25.08</v>
      </c>
      <c r="J3280">
        <v>0</v>
      </c>
      <c r="N3280">
        <v>0</v>
      </c>
      <c r="O3280">
        <v>4</v>
      </c>
      <c r="P3280">
        <v>2</v>
      </c>
      <c r="Q3280">
        <v>31.08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D3280">
        <v>31.08</v>
      </c>
    </row>
    <row r="3281" spans="1:30" x14ac:dyDescent="0.3">
      <c r="A3281" s="4">
        <v>3303</v>
      </c>
      <c r="B3281" s="5">
        <v>3274</v>
      </c>
      <c r="C3281">
        <v>718</v>
      </c>
      <c r="D3281" t="s">
        <v>6794</v>
      </c>
      <c r="E3281" t="s">
        <v>406</v>
      </c>
      <c r="F3281" t="s">
        <v>227</v>
      </c>
      <c r="G3281" t="s">
        <v>6795</v>
      </c>
      <c r="H3281" t="str">
        <f>"00511323"</f>
        <v>00511323</v>
      </c>
      <c r="I3281">
        <v>0</v>
      </c>
      <c r="J3281">
        <v>0</v>
      </c>
      <c r="K3281">
        <v>8</v>
      </c>
      <c r="N3281">
        <v>8</v>
      </c>
      <c r="O3281">
        <v>4</v>
      </c>
      <c r="P3281">
        <v>2</v>
      </c>
      <c r="Q3281">
        <v>14</v>
      </c>
      <c r="R3281">
        <v>11</v>
      </c>
      <c r="S3281">
        <v>11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11</v>
      </c>
      <c r="AA3281">
        <v>6</v>
      </c>
      <c r="AB3281">
        <v>0</v>
      </c>
      <c r="AD3281">
        <v>31</v>
      </c>
    </row>
    <row r="3282" spans="1:30" x14ac:dyDescent="0.3">
      <c r="A3282" s="4">
        <v>3304</v>
      </c>
      <c r="B3282" s="5">
        <v>3275</v>
      </c>
      <c r="C3282">
        <v>3520</v>
      </c>
      <c r="D3282" t="s">
        <v>6796</v>
      </c>
      <c r="E3282" t="s">
        <v>29</v>
      </c>
      <c r="F3282" t="s">
        <v>167</v>
      </c>
      <c r="G3282" t="s">
        <v>6797</v>
      </c>
      <c r="H3282" t="str">
        <f>"00861459"</f>
        <v>00861459</v>
      </c>
      <c r="I3282">
        <v>24</v>
      </c>
      <c r="J3282">
        <v>0</v>
      </c>
      <c r="N3282">
        <v>0</v>
      </c>
      <c r="O3282">
        <v>4</v>
      </c>
      <c r="P3282">
        <v>0</v>
      </c>
      <c r="Q3282">
        <v>28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3</v>
      </c>
      <c r="AB3282">
        <v>0</v>
      </c>
      <c r="AD3282">
        <v>31</v>
      </c>
    </row>
    <row r="3283" spans="1:30" x14ac:dyDescent="0.3">
      <c r="A3283" s="4">
        <v>3305</v>
      </c>
      <c r="B3283" s="5">
        <v>3276</v>
      </c>
      <c r="C3283">
        <v>2422</v>
      </c>
      <c r="D3283" t="s">
        <v>2416</v>
      </c>
      <c r="E3283" t="s">
        <v>957</v>
      </c>
      <c r="F3283" t="s">
        <v>38</v>
      </c>
      <c r="G3283" t="s">
        <v>6798</v>
      </c>
      <c r="H3283" t="str">
        <f>"00502964"</f>
        <v>00502964</v>
      </c>
      <c r="I3283">
        <v>16</v>
      </c>
      <c r="J3283">
        <v>0</v>
      </c>
      <c r="M3283">
        <v>4</v>
      </c>
      <c r="N3283">
        <v>4</v>
      </c>
      <c r="O3283">
        <v>4</v>
      </c>
      <c r="P3283">
        <v>2</v>
      </c>
      <c r="Q3283">
        <v>26</v>
      </c>
      <c r="R3283">
        <v>5</v>
      </c>
      <c r="S3283">
        <v>5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5</v>
      </c>
      <c r="AA3283">
        <v>0</v>
      </c>
      <c r="AB3283">
        <v>0</v>
      </c>
      <c r="AD3283">
        <v>31</v>
      </c>
    </row>
    <row r="3284" spans="1:30" x14ac:dyDescent="0.3">
      <c r="A3284" s="4">
        <v>3306</v>
      </c>
      <c r="B3284" s="5">
        <v>3277</v>
      </c>
      <c r="C3284">
        <v>2696</v>
      </c>
      <c r="D3284" t="s">
        <v>2772</v>
      </c>
      <c r="E3284" t="s">
        <v>54</v>
      </c>
      <c r="F3284" t="s">
        <v>38</v>
      </c>
      <c r="G3284" t="s">
        <v>6799</v>
      </c>
      <c r="H3284" t="str">
        <f>"00865533"</f>
        <v>00865533</v>
      </c>
      <c r="I3284">
        <v>16</v>
      </c>
      <c r="J3284">
        <v>0</v>
      </c>
      <c r="N3284">
        <v>0</v>
      </c>
      <c r="O3284">
        <v>4</v>
      </c>
      <c r="P3284">
        <v>2</v>
      </c>
      <c r="Q3284">
        <v>22</v>
      </c>
      <c r="R3284">
        <v>9</v>
      </c>
      <c r="S3284">
        <v>9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9</v>
      </c>
      <c r="AA3284">
        <v>0</v>
      </c>
      <c r="AB3284">
        <v>0</v>
      </c>
      <c r="AD3284">
        <v>31</v>
      </c>
    </row>
    <row r="3285" spans="1:30" x14ac:dyDescent="0.3">
      <c r="A3285" s="4">
        <v>3307</v>
      </c>
      <c r="B3285" s="5">
        <v>3278</v>
      </c>
      <c r="C3285">
        <v>347</v>
      </c>
      <c r="D3285" t="s">
        <v>6800</v>
      </c>
      <c r="E3285" t="s">
        <v>6801</v>
      </c>
      <c r="F3285" t="s">
        <v>83</v>
      </c>
      <c r="G3285" t="s">
        <v>6802</v>
      </c>
      <c r="H3285" t="str">
        <f>"201502001323"</f>
        <v>201502001323</v>
      </c>
      <c r="I3285">
        <v>21</v>
      </c>
      <c r="J3285">
        <v>0</v>
      </c>
      <c r="N3285">
        <v>0</v>
      </c>
      <c r="O3285">
        <v>0</v>
      </c>
      <c r="P3285">
        <v>0</v>
      </c>
      <c r="Q3285">
        <v>21</v>
      </c>
      <c r="R3285">
        <v>10</v>
      </c>
      <c r="S3285">
        <v>10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10</v>
      </c>
      <c r="AA3285">
        <v>0</v>
      </c>
      <c r="AB3285">
        <v>0</v>
      </c>
      <c r="AD3285">
        <v>31</v>
      </c>
    </row>
    <row r="3286" spans="1:30" x14ac:dyDescent="0.3">
      <c r="A3286" s="4">
        <v>3308</v>
      </c>
      <c r="B3286" s="5">
        <v>3279</v>
      </c>
      <c r="C3286">
        <v>1866</v>
      </c>
      <c r="D3286" t="s">
        <v>3849</v>
      </c>
      <c r="E3286" t="s">
        <v>100</v>
      </c>
      <c r="F3286" t="s">
        <v>117</v>
      </c>
      <c r="G3286" t="s">
        <v>6803</v>
      </c>
      <c r="H3286" t="str">
        <f>"00085896"</f>
        <v>00085896</v>
      </c>
      <c r="I3286">
        <v>26.92</v>
      </c>
      <c r="J3286">
        <v>0</v>
      </c>
      <c r="N3286">
        <v>0</v>
      </c>
      <c r="O3286">
        <v>4</v>
      </c>
      <c r="P3286">
        <v>0</v>
      </c>
      <c r="Q3286">
        <v>30.92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D3286">
        <v>30.92</v>
      </c>
    </row>
    <row r="3287" spans="1:30" x14ac:dyDescent="0.3">
      <c r="A3287" s="4">
        <v>3309</v>
      </c>
      <c r="B3287" s="5">
        <v>3280</v>
      </c>
      <c r="C3287">
        <v>2557</v>
      </c>
      <c r="D3287" t="s">
        <v>3891</v>
      </c>
      <c r="E3287" t="s">
        <v>166</v>
      </c>
      <c r="F3287" t="s">
        <v>375</v>
      </c>
      <c r="G3287" t="s">
        <v>6804</v>
      </c>
      <c r="H3287" t="str">
        <f>"00557727"</f>
        <v>00557727</v>
      </c>
      <c r="I3287">
        <v>20.8</v>
      </c>
      <c r="J3287">
        <v>0</v>
      </c>
      <c r="M3287">
        <v>4</v>
      </c>
      <c r="N3287">
        <v>4</v>
      </c>
      <c r="O3287">
        <v>0</v>
      </c>
      <c r="P3287">
        <v>0</v>
      </c>
      <c r="Q3287">
        <v>24.8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6</v>
      </c>
      <c r="AB3287">
        <v>0</v>
      </c>
      <c r="AD3287">
        <v>30.8</v>
      </c>
    </row>
    <row r="3288" spans="1:30" x14ac:dyDescent="0.3">
      <c r="A3288" s="4">
        <v>3310</v>
      </c>
      <c r="B3288" s="5">
        <v>3281</v>
      </c>
      <c r="C3288">
        <v>338</v>
      </c>
      <c r="D3288" t="s">
        <v>6805</v>
      </c>
      <c r="E3288" t="s">
        <v>6806</v>
      </c>
      <c r="F3288" t="s">
        <v>20</v>
      </c>
      <c r="G3288" t="s">
        <v>6807</v>
      </c>
      <c r="H3288" t="str">
        <f>"00858045"</f>
        <v>00858045</v>
      </c>
      <c r="I3288">
        <v>30.8</v>
      </c>
      <c r="J3288">
        <v>0</v>
      </c>
      <c r="N3288">
        <v>0</v>
      </c>
      <c r="O3288">
        <v>0</v>
      </c>
      <c r="P3288">
        <v>0</v>
      </c>
      <c r="Q3288">
        <v>30.8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D3288">
        <v>30.8</v>
      </c>
    </row>
    <row r="3289" spans="1:30" x14ac:dyDescent="0.3">
      <c r="A3289" s="4">
        <v>3311</v>
      </c>
      <c r="B3289" s="5">
        <v>3282</v>
      </c>
      <c r="C3289">
        <v>4516</v>
      </c>
      <c r="D3289" t="s">
        <v>6808</v>
      </c>
      <c r="E3289" t="s">
        <v>283</v>
      </c>
      <c r="F3289" t="s">
        <v>124</v>
      </c>
      <c r="H3289" t="str">
        <f>"00769098"</f>
        <v>00769098</v>
      </c>
      <c r="I3289">
        <v>30.8</v>
      </c>
      <c r="J3289">
        <v>0</v>
      </c>
      <c r="N3289">
        <v>0</v>
      </c>
      <c r="O3289">
        <v>0</v>
      </c>
      <c r="P3289">
        <v>0</v>
      </c>
      <c r="Q3289">
        <v>30.8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D3289">
        <v>30.8</v>
      </c>
    </row>
    <row r="3290" spans="1:30" x14ac:dyDescent="0.3">
      <c r="A3290" s="4">
        <v>3312</v>
      </c>
      <c r="B3290" s="5">
        <v>3283</v>
      </c>
      <c r="C3290">
        <v>41</v>
      </c>
      <c r="D3290" t="s">
        <v>181</v>
      </c>
      <c r="E3290" t="s">
        <v>132</v>
      </c>
      <c r="F3290" t="s">
        <v>20</v>
      </c>
      <c r="G3290" t="s">
        <v>6809</v>
      </c>
      <c r="H3290" t="str">
        <f>"00246830"</f>
        <v>00246830</v>
      </c>
      <c r="I3290">
        <v>26.8</v>
      </c>
      <c r="J3290">
        <v>0</v>
      </c>
      <c r="M3290">
        <v>4</v>
      </c>
      <c r="N3290">
        <v>4</v>
      </c>
      <c r="O3290">
        <v>0</v>
      </c>
      <c r="P3290">
        <v>0</v>
      </c>
      <c r="Q3290">
        <v>30.8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D3290">
        <v>30.8</v>
      </c>
    </row>
    <row r="3291" spans="1:30" x14ac:dyDescent="0.3">
      <c r="A3291" s="4">
        <v>3313</v>
      </c>
      <c r="B3291" s="5">
        <v>3284</v>
      </c>
      <c r="C3291">
        <v>3861</v>
      </c>
      <c r="D3291" t="s">
        <v>6810</v>
      </c>
      <c r="E3291" t="s">
        <v>3948</v>
      </c>
      <c r="F3291" t="s">
        <v>17</v>
      </c>
      <c r="G3291" t="s">
        <v>6811</v>
      </c>
      <c r="H3291" t="str">
        <f>"00534324"</f>
        <v>00534324</v>
      </c>
      <c r="I3291">
        <v>24.8</v>
      </c>
      <c r="J3291">
        <v>0</v>
      </c>
      <c r="N3291">
        <v>0</v>
      </c>
      <c r="O3291">
        <v>4</v>
      </c>
      <c r="P3291">
        <v>2</v>
      </c>
      <c r="Q3291">
        <v>30.8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D3291">
        <v>30.8</v>
      </c>
    </row>
    <row r="3292" spans="1:30" x14ac:dyDescent="0.3">
      <c r="A3292" s="4">
        <v>3314</v>
      </c>
      <c r="B3292" s="5">
        <v>3285</v>
      </c>
      <c r="C3292">
        <v>4793</v>
      </c>
      <c r="D3292" t="s">
        <v>549</v>
      </c>
      <c r="E3292" t="s">
        <v>147</v>
      </c>
      <c r="F3292" t="s">
        <v>539</v>
      </c>
      <c r="G3292" t="s">
        <v>6812</v>
      </c>
      <c r="H3292" t="str">
        <f>"00865664"</f>
        <v>00865664</v>
      </c>
      <c r="I3292">
        <v>20.8</v>
      </c>
      <c r="J3292">
        <v>10</v>
      </c>
      <c r="N3292">
        <v>0</v>
      </c>
      <c r="O3292">
        <v>0</v>
      </c>
      <c r="P3292">
        <v>0</v>
      </c>
      <c r="Q3292">
        <v>30.8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D3292">
        <v>30.8</v>
      </c>
    </row>
    <row r="3293" spans="1:30" x14ac:dyDescent="0.3">
      <c r="A3293" s="4">
        <v>3315</v>
      </c>
      <c r="B3293" s="5">
        <v>3286</v>
      </c>
      <c r="C3293">
        <v>2915</v>
      </c>
      <c r="D3293" t="s">
        <v>6813</v>
      </c>
      <c r="E3293" t="s">
        <v>100</v>
      </c>
      <c r="F3293" t="s">
        <v>230</v>
      </c>
      <c r="G3293" t="s">
        <v>6814</v>
      </c>
      <c r="H3293" t="str">
        <f>"00861699"</f>
        <v>00861699</v>
      </c>
      <c r="I3293">
        <v>18.68</v>
      </c>
      <c r="J3293">
        <v>0</v>
      </c>
      <c r="K3293">
        <v>8</v>
      </c>
      <c r="N3293">
        <v>8</v>
      </c>
      <c r="O3293">
        <v>4</v>
      </c>
      <c r="P3293">
        <v>0</v>
      </c>
      <c r="Q3293">
        <v>30.68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D3293">
        <v>30.68</v>
      </c>
    </row>
    <row r="3294" spans="1:30" x14ac:dyDescent="0.3">
      <c r="A3294" s="4">
        <v>3316</v>
      </c>
      <c r="B3294" s="5">
        <v>3287</v>
      </c>
      <c r="C3294">
        <v>2377</v>
      </c>
      <c r="D3294" t="s">
        <v>6815</v>
      </c>
      <c r="E3294" t="s">
        <v>1474</v>
      </c>
      <c r="F3294" t="s">
        <v>167</v>
      </c>
      <c r="G3294" t="s">
        <v>6816</v>
      </c>
      <c r="H3294" t="str">
        <f>"00856217"</f>
        <v>00856217</v>
      </c>
      <c r="I3294">
        <v>21.6</v>
      </c>
      <c r="J3294">
        <v>0</v>
      </c>
      <c r="N3294">
        <v>0</v>
      </c>
      <c r="O3294">
        <v>0</v>
      </c>
      <c r="P3294">
        <v>0</v>
      </c>
      <c r="Q3294">
        <v>21.6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9</v>
      </c>
      <c r="AB3294">
        <v>0</v>
      </c>
      <c r="AD3294">
        <v>30.6</v>
      </c>
    </row>
    <row r="3295" spans="1:30" x14ac:dyDescent="0.3">
      <c r="A3295" s="4">
        <v>3317</v>
      </c>
      <c r="B3295" s="5">
        <v>3288</v>
      </c>
      <c r="C3295">
        <v>1471</v>
      </c>
      <c r="D3295" t="s">
        <v>6817</v>
      </c>
      <c r="E3295" t="s">
        <v>6818</v>
      </c>
      <c r="F3295" t="s">
        <v>20</v>
      </c>
      <c r="G3295" t="s">
        <v>6819</v>
      </c>
      <c r="H3295" t="str">
        <f>"00364498"</f>
        <v>00364498</v>
      </c>
      <c r="I3295">
        <v>27.6</v>
      </c>
      <c r="J3295">
        <v>0</v>
      </c>
      <c r="N3295">
        <v>0</v>
      </c>
      <c r="O3295">
        <v>0</v>
      </c>
      <c r="P3295">
        <v>0</v>
      </c>
      <c r="Q3295">
        <v>27.6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3</v>
      </c>
      <c r="AB3295">
        <v>0</v>
      </c>
      <c r="AD3295">
        <v>30.6</v>
      </c>
    </row>
    <row r="3296" spans="1:30" x14ac:dyDescent="0.3">
      <c r="A3296" s="4">
        <v>3318</v>
      </c>
      <c r="B3296" s="5">
        <v>3289</v>
      </c>
      <c r="C3296">
        <v>2684</v>
      </c>
      <c r="D3296" t="s">
        <v>2354</v>
      </c>
      <c r="E3296" t="s">
        <v>208</v>
      </c>
      <c r="F3296" t="s">
        <v>243</v>
      </c>
      <c r="G3296" t="s">
        <v>6820</v>
      </c>
      <c r="H3296" t="str">
        <f>"00531758"</f>
        <v>00531758</v>
      </c>
      <c r="I3296">
        <v>21.6</v>
      </c>
      <c r="J3296">
        <v>0</v>
      </c>
      <c r="M3296">
        <v>4</v>
      </c>
      <c r="N3296">
        <v>4</v>
      </c>
      <c r="O3296">
        <v>0</v>
      </c>
      <c r="P3296">
        <v>0</v>
      </c>
      <c r="Q3296">
        <v>25.6</v>
      </c>
      <c r="R3296">
        <v>5</v>
      </c>
      <c r="S3296">
        <v>5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5</v>
      </c>
      <c r="AA3296">
        <v>0</v>
      </c>
      <c r="AB3296">
        <v>0</v>
      </c>
      <c r="AD3296">
        <v>30.6</v>
      </c>
    </row>
    <row r="3297" spans="1:30" x14ac:dyDescent="0.3">
      <c r="A3297" s="4">
        <v>3319</v>
      </c>
      <c r="B3297" s="5">
        <v>3290</v>
      </c>
      <c r="C3297">
        <v>3382</v>
      </c>
      <c r="D3297" t="s">
        <v>6821</v>
      </c>
      <c r="E3297" t="s">
        <v>5239</v>
      </c>
      <c r="F3297" t="s">
        <v>6822</v>
      </c>
      <c r="G3297" t="s">
        <v>6823</v>
      </c>
      <c r="H3297" t="str">
        <f>"00247616"</f>
        <v>00247616</v>
      </c>
      <c r="I3297">
        <v>23.56</v>
      </c>
      <c r="J3297">
        <v>0</v>
      </c>
      <c r="N3297">
        <v>0</v>
      </c>
      <c r="O3297">
        <v>4</v>
      </c>
      <c r="P3297">
        <v>0</v>
      </c>
      <c r="Q3297">
        <v>27.56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3</v>
      </c>
      <c r="AB3297">
        <v>0</v>
      </c>
      <c r="AD3297">
        <v>30.56</v>
      </c>
    </row>
    <row r="3298" spans="1:30" x14ac:dyDescent="0.3">
      <c r="A3298" s="4">
        <v>3320</v>
      </c>
      <c r="B3298" s="5">
        <v>3291</v>
      </c>
      <c r="C3298">
        <v>2823</v>
      </c>
      <c r="D3298" t="s">
        <v>6824</v>
      </c>
      <c r="E3298" t="s">
        <v>301</v>
      </c>
      <c r="F3298" t="s">
        <v>81</v>
      </c>
      <c r="G3298" t="s">
        <v>6825</v>
      </c>
      <c r="H3298" t="str">
        <f>"00583615"</f>
        <v>00583615</v>
      </c>
      <c r="I3298">
        <v>24.56</v>
      </c>
      <c r="J3298">
        <v>0</v>
      </c>
      <c r="N3298">
        <v>0</v>
      </c>
      <c r="O3298">
        <v>4</v>
      </c>
      <c r="P3298">
        <v>2</v>
      </c>
      <c r="Q3298">
        <v>30.56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D3298">
        <v>30.56</v>
      </c>
    </row>
    <row r="3299" spans="1:30" x14ac:dyDescent="0.3">
      <c r="A3299" s="4">
        <v>3321</v>
      </c>
      <c r="B3299" s="5">
        <v>3292</v>
      </c>
      <c r="C3299">
        <v>2252</v>
      </c>
      <c r="D3299" t="s">
        <v>6312</v>
      </c>
      <c r="E3299" t="s">
        <v>29</v>
      </c>
      <c r="F3299" t="s">
        <v>38</v>
      </c>
      <c r="G3299" t="s">
        <v>6826</v>
      </c>
      <c r="H3299" t="str">
        <f>"00860669"</f>
        <v>00860669</v>
      </c>
      <c r="I3299">
        <v>12.52</v>
      </c>
      <c r="J3299">
        <v>0</v>
      </c>
      <c r="K3299">
        <v>8</v>
      </c>
      <c r="N3299">
        <v>8</v>
      </c>
      <c r="O3299">
        <v>4</v>
      </c>
      <c r="P3299">
        <v>0</v>
      </c>
      <c r="Q3299">
        <v>24.52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6</v>
      </c>
      <c r="AB3299">
        <v>0</v>
      </c>
      <c r="AD3299">
        <v>30.52</v>
      </c>
    </row>
    <row r="3300" spans="1:30" x14ac:dyDescent="0.3">
      <c r="A3300" s="4">
        <v>3322</v>
      </c>
      <c r="B3300" s="5">
        <v>3293</v>
      </c>
      <c r="C3300">
        <v>1358</v>
      </c>
      <c r="D3300" t="s">
        <v>6827</v>
      </c>
      <c r="E3300" t="s">
        <v>41</v>
      </c>
      <c r="F3300" t="s">
        <v>6828</v>
      </c>
      <c r="G3300" t="s">
        <v>6829</v>
      </c>
      <c r="H3300" t="str">
        <f>"00858718"</f>
        <v>00858718</v>
      </c>
      <c r="I3300">
        <v>30.52</v>
      </c>
      <c r="J3300">
        <v>0</v>
      </c>
      <c r="N3300">
        <v>0</v>
      </c>
      <c r="O3300">
        <v>0</v>
      </c>
      <c r="P3300">
        <v>0</v>
      </c>
      <c r="Q3300">
        <v>30.52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D3300">
        <v>30.52</v>
      </c>
    </row>
    <row r="3301" spans="1:30" x14ac:dyDescent="0.3">
      <c r="A3301" s="4">
        <v>3323</v>
      </c>
      <c r="B3301" s="5">
        <v>3294</v>
      </c>
      <c r="C3301">
        <v>1991</v>
      </c>
      <c r="D3301" t="s">
        <v>6830</v>
      </c>
      <c r="E3301" t="s">
        <v>147</v>
      </c>
      <c r="F3301" t="s">
        <v>339</v>
      </c>
      <c r="G3301" t="s">
        <v>6831</v>
      </c>
      <c r="H3301" t="str">
        <f>"00654313"</f>
        <v>00654313</v>
      </c>
      <c r="I3301">
        <v>20.399999999999999</v>
      </c>
      <c r="J3301">
        <v>0</v>
      </c>
      <c r="N3301">
        <v>0</v>
      </c>
      <c r="O3301">
        <v>4</v>
      </c>
      <c r="P3301">
        <v>0</v>
      </c>
      <c r="Q3301">
        <v>24.4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6</v>
      </c>
      <c r="AB3301">
        <v>0</v>
      </c>
      <c r="AD3301">
        <v>30.4</v>
      </c>
    </row>
    <row r="3302" spans="1:30" x14ac:dyDescent="0.3">
      <c r="A3302" s="4">
        <v>3324</v>
      </c>
      <c r="B3302" s="5">
        <v>3295</v>
      </c>
      <c r="C3302">
        <v>3042</v>
      </c>
      <c r="D3302" t="s">
        <v>6832</v>
      </c>
      <c r="E3302" t="s">
        <v>54</v>
      </c>
      <c r="F3302" t="s">
        <v>68</v>
      </c>
      <c r="G3302" t="s">
        <v>6833</v>
      </c>
      <c r="H3302" t="str">
        <f>"00863480"</f>
        <v>00863480</v>
      </c>
      <c r="I3302">
        <v>14.4</v>
      </c>
      <c r="J3302">
        <v>10</v>
      </c>
      <c r="N3302">
        <v>0</v>
      </c>
      <c r="O3302">
        <v>0</v>
      </c>
      <c r="P3302">
        <v>0</v>
      </c>
      <c r="Q3302">
        <v>24.4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6</v>
      </c>
      <c r="AB3302">
        <v>0</v>
      </c>
      <c r="AD3302">
        <v>30.4</v>
      </c>
    </row>
    <row r="3303" spans="1:30" x14ac:dyDescent="0.3">
      <c r="A3303" s="4">
        <v>3325</v>
      </c>
      <c r="B3303" s="5">
        <v>3296</v>
      </c>
      <c r="C3303">
        <v>1730</v>
      </c>
      <c r="D3303" t="s">
        <v>1914</v>
      </c>
      <c r="E3303" t="s">
        <v>54</v>
      </c>
      <c r="F3303" t="s">
        <v>124</v>
      </c>
      <c r="G3303" t="s">
        <v>6834</v>
      </c>
      <c r="H3303" t="str">
        <f>"00130435"</f>
        <v>00130435</v>
      </c>
      <c r="I3303">
        <v>14.4</v>
      </c>
      <c r="J3303">
        <v>0</v>
      </c>
      <c r="M3303">
        <v>4</v>
      </c>
      <c r="N3303">
        <v>4</v>
      </c>
      <c r="O3303">
        <v>4</v>
      </c>
      <c r="P3303">
        <v>2</v>
      </c>
      <c r="Q3303">
        <v>24.4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6</v>
      </c>
      <c r="AB3303">
        <v>0</v>
      </c>
      <c r="AD3303">
        <v>30.4</v>
      </c>
    </row>
    <row r="3304" spans="1:30" x14ac:dyDescent="0.3">
      <c r="A3304" s="4">
        <v>3326</v>
      </c>
      <c r="B3304" s="5">
        <v>3297</v>
      </c>
      <c r="C3304">
        <v>350</v>
      </c>
      <c r="D3304" t="s">
        <v>6835</v>
      </c>
      <c r="E3304" t="s">
        <v>1140</v>
      </c>
      <c r="F3304" t="s">
        <v>81</v>
      </c>
      <c r="G3304" t="s">
        <v>6836</v>
      </c>
      <c r="H3304" t="str">
        <f>"00618935"</f>
        <v>00618935</v>
      </c>
      <c r="I3304">
        <v>14.4</v>
      </c>
      <c r="J3304">
        <v>0</v>
      </c>
      <c r="M3304">
        <v>4</v>
      </c>
      <c r="N3304">
        <v>4</v>
      </c>
      <c r="O3304">
        <v>4</v>
      </c>
      <c r="P3304">
        <v>2</v>
      </c>
      <c r="Q3304">
        <v>24.4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6</v>
      </c>
      <c r="AB3304">
        <v>0</v>
      </c>
      <c r="AD3304">
        <v>30.4</v>
      </c>
    </row>
    <row r="3305" spans="1:30" x14ac:dyDescent="0.3">
      <c r="A3305" s="4">
        <v>3327</v>
      </c>
      <c r="B3305" s="5">
        <v>3298</v>
      </c>
      <c r="C3305">
        <v>3595</v>
      </c>
      <c r="D3305" t="s">
        <v>6837</v>
      </c>
      <c r="E3305" t="s">
        <v>188</v>
      </c>
      <c r="F3305" t="s">
        <v>17</v>
      </c>
      <c r="G3305" t="s">
        <v>6838</v>
      </c>
      <c r="H3305" t="str">
        <f>"00237859"</f>
        <v>00237859</v>
      </c>
      <c r="I3305">
        <v>14.4</v>
      </c>
      <c r="J3305">
        <v>10</v>
      </c>
      <c r="N3305">
        <v>0</v>
      </c>
      <c r="O3305">
        <v>0</v>
      </c>
      <c r="P3305">
        <v>0</v>
      </c>
      <c r="Q3305">
        <v>24.4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6</v>
      </c>
      <c r="AB3305">
        <v>0</v>
      </c>
      <c r="AD3305">
        <v>30.4</v>
      </c>
    </row>
    <row r="3306" spans="1:30" x14ac:dyDescent="0.3">
      <c r="A3306" s="4">
        <v>3328</v>
      </c>
      <c r="B3306" s="5">
        <v>3299</v>
      </c>
      <c r="C3306">
        <v>3304</v>
      </c>
      <c r="D3306" t="s">
        <v>6839</v>
      </c>
      <c r="E3306" t="s">
        <v>268</v>
      </c>
      <c r="F3306" t="s">
        <v>6840</v>
      </c>
      <c r="H3306" t="str">
        <f>"00863965"</f>
        <v>00863965</v>
      </c>
      <c r="I3306">
        <v>14.4</v>
      </c>
      <c r="J3306">
        <v>0</v>
      </c>
      <c r="K3306">
        <v>8</v>
      </c>
      <c r="N3306">
        <v>8</v>
      </c>
      <c r="O3306">
        <v>0</v>
      </c>
      <c r="P3306">
        <v>2</v>
      </c>
      <c r="Q3306">
        <v>24.4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6</v>
      </c>
      <c r="AB3306">
        <v>0</v>
      </c>
      <c r="AD3306">
        <v>30.4</v>
      </c>
    </row>
    <row r="3307" spans="1:30" x14ac:dyDescent="0.3">
      <c r="A3307" s="4">
        <v>3329</v>
      </c>
      <c r="B3307" s="5">
        <v>3300</v>
      </c>
      <c r="C3307">
        <v>496</v>
      </c>
      <c r="D3307" t="s">
        <v>2881</v>
      </c>
      <c r="E3307" t="s">
        <v>22</v>
      </c>
      <c r="F3307" t="s">
        <v>79</v>
      </c>
      <c r="G3307" t="s">
        <v>6841</v>
      </c>
      <c r="H3307" t="str">
        <f>"00532003"</f>
        <v>00532003</v>
      </c>
      <c r="I3307">
        <v>14.4</v>
      </c>
      <c r="J3307">
        <v>0</v>
      </c>
      <c r="L3307">
        <v>6</v>
      </c>
      <c r="M3307">
        <v>4</v>
      </c>
      <c r="N3307">
        <v>10</v>
      </c>
      <c r="O3307">
        <v>0</v>
      </c>
      <c r="P3307">
        <v>0</v>
      </c>
      <c r="Q3307">
        <v>24.4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6</v>
      </c>
      <c r="AB3307">
        <v>0</v>
      </c>
      <c r="AD3307">
        <v>30.4</v>
      </c>
    </row>
    <row r="3308" spans="1:30" x14ac:dyDescent="0.3">
      <c r="A3308" s="4">
        <v>3330</v>
      </c>
      <c r="B3308" s="5">
        <v>3301</v>
      </c>
      <c r="C3308">
        <v>552</v>
      </c>
      <c r="D3308" t="s">
        <v>6842</v>
      </c>
      <c r="E3308" t="s">
        <v>29</v>
      </c>
      <c r="F3308" t="s">
        <v>1274</v>
      </c>
      <c r="G3308" t="s">
        <v>6843</v>
      </c>
      <c r="H3308" t="str">
        <f>"00556517"</f>
        <v>00556517</v>
      </c>
      <c r="I3308">
        <v>22.4</v>
      </c>
      <c r="J3308">
        <v>0</v>
      </c>
      <c r="N3308">
        <v>0</v>
      </c>
      <c r="O3308">
        <v>0</v>
      </c>
      <c r="P3308">
        <v>0</v>
      </c>
      <c r="Q3308">
        <v>22.4</v>
      </c>
      <c r="R3308">
        <v>5</v>
      </c>
      <c r="S3308">
        <v>5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5</v>
      </c>
      <c r="AA3308">
        <v>3</v>
      </c>
      <c r="AB3308">
        <v>0</v>
      </c>
      <c r="AD3308">
        <v>30.4</v>
      </c>
    </row>
    <row r="3309" spans="1:30" x14ac:dyDescent="0.3">
      <c r="A3309" s="4">
        <v>3331</v>
      </c>
      <c r="B3309" s="5">
        <v>3302</v>
      </c>
      <c r="C3309">
        <v>2332</v>
      </c>
      <c r="D3309" t="s">
        <v>6844</v>
      </c>
      <c r="E3309" t="s">
        <v>6845</v>
      </c>
      <c r="F3309" t="s">
        <v>193</v>
      </c>
      <c r="G3309" t="s">
        <v>6846</v>
      </c>
      <c r="H3309" t="str">
        <f>"00533081"</f>
        <v>00533081</v>
      </c>
      <c r="I3309">
        <v>14.4</v>
      </c>
      <c r="J3309">
        <v>0</v>
      </c>
      <c r="N3309">
        <v>0</v>
      </c>
      <c r="O3309">
        <v>4</v>
      </c>
      <c r="P3309">
        <v>2</v>
      </c>
      <c r="Q3309">
        <v>20.399999999999999</v>
      </c>
      <c r="R3309">
        <v>7</v>
      </c>
      <c r="S3309">
        <v>7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7</v>
      </c>
      <c r="AA3309">
        <v>3</v>
      </c>
      <c r="AB3309">
        <v>0</v>
      </c>
      <c r="AD3309">
        <v>30.4</v>
      </c>
    </row>
    <row r="3310" spans="1:30" x14ac:dyDescent="0.3">
      <c r="A3310" s="4">
        <v>3332</v>
      </c>
      <c r="B3310" s="5">
        <v>3303</v>
      </c>
      <c r="C3310">
        <v>4650</v>
      </c>
      <c r="D3310" t="s">
        <v>481</v>
      </c>
      <c r="E3310" t="s">
        <v>6847</v>
      </c>
      <c r="F3310" t="s">
        <v>81</v>
      </c>
      <c r="G3310" t="s">
        <v>6848</v>
      </c>
      <c r="H3310" t="str">
        <f>"00866821"</f>
        <v>00866821</v>
      </c>
      <c r="I3310">
        <v>30.4</v>
      </c>
      <c r="J3310">
        <v>0</v>
      </c>
      <c r="N3310">
        <v>0</v>
      </c>
      <c r="O3310">
        <v>0</v>
      </c>
      <c r="P3310">
        <v>0</v>
      </c>
      <c r="Q3310">
        <v>30.4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D3310">
        <v>30.4</v>
      </c>
    </row>
    <row r="3311" spans="1:30" x14ac:dyDescent="0.3">
      <c r="A3311" s="4">
        <v>3333</v>
      </c>
      <c r="B3311" s="5">
        <v>3304</v>
      </c>
      <c r="C3311">
        <v>4561</v>
      </c>
      <c r="D3311" t="s">
        <v>6849</v>
      </c>
      <c r="E3311" t="s">
        <v>6850</v>
      </c>
      <c r="F3311" t="s">
        <v>6851</v>
      </c>
      <c r="G3311">
        <v>640962691</v>
      </c>
      <c r="H3311" t="str">
        <f>"00866119"</f>
        <v>00866119</v>
      </c>
      <c r="I3311">
        <v>28.4</v>
      </c>
      <c r="J3311">
        <v>0</v>
      </c>
      <c r="N3311">
        <v>0</v>
      </c>
      <c r="O3311">
        <v>0</v>
      </c>
      <c r="P3311">
        <v>2</v>
      </c>
      <c r="Q3311">
        <v>30.4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D3311">
        <v>30.4</v>
      </c>
    </row>
    <row r="3312" spans="1:30" x14ac:dyDescent="0.3">
      <c r="A3312" s="4">
        <v>3334</v>
      </c>
      <c r="B3312" s="5">
        <v>3305</v>
      </c>
      <c r="C3312">
        <v>3599</v>
      </c>
      <c r="D3312" t="s">
        <v>6852</v>
      </c>
      <c r="E3312" t="s">
        <v>406</v>
      </c>
      <c r="F3312" t="s">
        <v>55</v>
      </c>
      <c r="G3312" t="s">
        <v>6853</v>
      </c>
      <c r="H3312" t="str">
        <f>"00809396"</f>
        <v>00809396</v>
      </c>
      <c r="I3312">
        <v>20.399999999999999</v>
      </c>
      <c r="J3312">
        <v>10</v>
      </c>
      <c r="N3312">
        <v>0</v>
      </c>
      <c r="O3312">
        <v>0</v>
      </c>
      <c r="P3312">
        <v>0</v>
      </c>
      <c r="Q3312">
        <v>30.4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D3312">
        <v>30.4</v>
      </c>
    </row>
    <row r="3313" spans="1:30" x14ac:dyDescent="0.3">
      <c r="A3313" s="4">
        <v>3335</v>
      </c>
      <c r="B3313" s="5">
        <v>3306</v>
      </c>
      <c r="C3313">
        <v>3391</v>
      </c>
      <c r="D3313" t="s">
        <v>6854</v>
      </c>
      <c r="E3313" t="s">
        <v>54</v>
      </c>
      <c r="F3313" t="s">
        <v>101</v>
      </c>
      <c r="G3313" t="s">
        <v>6855</v>
      </c>
      <c r="H3313" t="str">
        <f>"00510289"</f>
        <v>00510289</v>
      </c>
      <c r="I3313">
        <v>14.4</v>
      </c>
      <c r="J3313">
        <v>0</v>
      </c>
      <c r="K3313">
        <v>8</v>
      </c>
      <c r="M3313">
        <v>4</v>
      </c>
      <c r="N3313">
        <v>12</v>
      </c>
      <c r="O3313">
        <v>4</v>
      </c>
      <c r="P3313">
        <v>0</v>
      </c>
      <c r="Q3313">
        <v>30.4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D3313">
        <v>30.4</v>
      </c>
    </row>
    <row r="3314" spans="1:30" x14ac:dyDescent="0.3">
      <c r="A3314" s="4">
        <v>3336</v>
      </c>
      <c r="B3314" s="5">
        <v>3307</v>
      </c>
      <c r="C3314">
        <v>2897</v>
      </c>
      <c r="D3314" t="s">
        <v>74</v>
      </c>
      <c r="E3314" t="s">
        <v>342</v>
      </c>
      <c r="F3314" t="s">
        <v>17</v>
      </c>
      <c r="G3314" t="s">
        <v>6856</v>
      </c>
      <c r="H3314" t="str">
        <f>"00694699"</f>
        <v>00694699</v>
      </c>
      <c r="I3314">
        <v>16.36</v>
      </c>
      <c r="J3314">
        <v>10</v>
      </c>
      <c r="N3314">
        <v>0</v>
      </c>
      <c r="O3314">
        <v>4</v>
      </c>
      <c r="P3314">
        <v>0</v>
      </c>
      <c r="Q3314">
        <v>30.36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D3314">
        <v>30.36</v>
      </c>
    </row>
    <row r="3315" spans="1:30" x14ac:dyDescent="0.3">
      <c r="A3315" s="4">
        <v>3337</v>
      </c>
      <c r="B3315" s="5">
        <v>3308</v>
      </c>
      <c r="C3315">
        <v>3285</v>
      </c>
      <c r="D3315" t="s">
        <v>6857</v>
      </c>
      <c r="E3315" t="s">
        <v>6858</v>
      </c>
      <c r="F3315" t="s">
        <v>68</v>
      </c>
      <c r="G3315" t="s">
        <v>6859</v>
      </c>
      <c r="H3315" t="str">
        <f>"00665373"</f>
        <v>00665373</v>
      </c>
      <c r="I3315">
        <v>27.28</v>
      </c>
      <c r="J3315">
        <v>0</v>
      </c>
      <c r="N3315">
        <v>0</v>
      </c>
      <c r="O3315">
        <v>0</v>
      </c>
      <c r="P3315">
        <v>0</v>
      </c>
      <c r="Q3315">
        <v>27.28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3</v>
      </c>
      <c r="AB3315">
        <v>0</v>
      </c>
      <c r="AD3315">
        <v>30.28</v>
      </c>
    </row>
    <row r="3316" spans="1:30" x14ac:dyDescent="0.3">
      <c r="A3316" s="4">
        <v>3338</v>
      </c>
      <c r="B3316" s="5">
        <v>3309</v>
      </c>
      <c r="C3316">
        <v>4584</v>
      </c>
      <c r="D3316" t="s">
        <v>6492</v>
      </c>
      <c r="E3316" t="s">
        <v>161</v>
      </c>
      <c r="F3316" t="s">
        <v>17</v>
      </c>
      <c r="G3316" t="s">
        <v>6860</v>
      </c>
      <c r="H3316" t="str">
        <f>"00750751"</f>
        <v>00750751</v>
      </c>
      <c r="I3316">
        <v>26.2</v>
      </c>
      <c r="J3316">
        <v>0</v>
      </c>
      <c r="N3316">
        <v>0</v>
      </c>
      <c r="O3316">
        <v>4</v>
      </c>
      <c r="P3316">
        <v>0</v>
      </c>
      <c r="Q3316">
        <v>30.2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D3316">
        <v>30.2</v>
      </c>
    </row>
    <row r="3317" spans="1:30" x14ac:dyDescent="0.3">
      <c r="A3317" s="4">
        <v>3339</v>
      </c>
      <c r="B3317" s="5">
        <v>3310</v>
      </c>
      <c r="C3317">
        <v>2588</v>
      </c>
      <c r="D3317" t="s">
        <v>562</v>
      </c>
      <c r="E3317" t="s">
        <v>170</v>
      </c>
      <c r="F3317" t="s">
        <v>68</v>
      </c>
      <c r="G3317" t="s">
        <v>6861</v>
      </c>
      <c r="H3317" t="str">
        <f>"00484368"</f>
        <v>00484368</v>
      </c>
      <c r="I3317">
        <v>7.2</v>
      </c>
      <c r="J3317">
        <v>0</v>
      </c>
      <c r="K3317">
        <v>8</v>
      </c>
      <c r="N3317">
        <v>8</v>
      </c>
      <c r="O3317">
        <v>4</v>
      </c>
      <c r="P3317">
        <v>0</v>
      </c>
      <c r="Q3317">
        <v>19.2</v>
      </c>
      <c r="R3317">
        <v>11</v>
      </c>
      <c r="S3317">
        <v>11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11</v>
      </c>
      <c r="AA3317">
        <v>0</v>
      </c>
      <c r="AB3317">
        <v>0</v>
      </c>
      <c r="AD3317">
        <v>30.2</v>
      </c>
    </row>
    <row r="3318" spans="1:30" x14ac:dyDescent="0.3">
      <c r="A3318" s="4">
        <v>3340</v>
      </c>
      <c r="B3318" s="5">
        <v>3311</v>
      </c>
      <c r="C3318">
        <v>327</v>
      </c>
      <c r="D3318" t="s">
        <v>4607</v>
      </c>
      <c r="E3318" t="s">
        <v>110</v>
      </c>
      <c r="F3318" t="s">
        <v>81</v>
      </c>
      <c r="G3318" t="s">
        <v>6862</v>
      </c>
      <c r="H3318" t="str">
        <f>"00513740"</f>
        <v>00513740</v>
      </c>
      <c r="I3318">
        <v>18.16</v>
      </c>
      <c r="J3318">
        <v>0</v>
      </c>
      <c r="N3318">
        <v>0</v>
      </c>
      <c r="O3318">
        <v>4</v>
      </c>
      <c r="P3318">
        <v>2</v>
      </c>
      <c r="Q3318">
        <v>24.16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6</v>
      </c>
      <c r="AB3318">
        <v>0</v>
      </c>
      <c r="AD3318">
        <v>30.16</v>
      </c>
    </row>
    <row r="3319" spans="1:30" x14ac:dyDescent="0.3">
      <c r="A3319" s="4">
        <v>3341</v>
      </c>
      <c r="B3319" s="5">
        <v>3312</v>
      </c>
      <c r="C3319">
        <v>1750</v>
      </c>
      <c r="D3319" t="s">
        <v>6863</v>
      </c>
      <c r="E3319" t="s">
        <v>26</v>
      </c>
      <c r="F3319" t="s">
        <v>136</v>
      </c>
      <c r="G3319" t="s">
        <v>6864</v>
      </c>
      <c r="H3319" t="str">
        <f>"00529892"</f>
        <v>00529892</v>
      </c>
      <c r="I3319">
        <v>13.16</v>
      </c>
      <c r="J3319">
        <v>0</v>
      </c>
      <c r="N3319">
        <v>0</v>
      </c>
      <c r="O3319">
        <v>0</v>
      </c>
      <c r="P3319">
        <v>0</v>
      </c>
      <c r="Q3319">
        <v>13.16</v>
      </c>
      <c r="R3319">
        <v>7</v>
      </c>
      <c r="S3319">
        <v>7</v>
      </c>
      <c r="T3319">
        <v>0</v>
      </c>
      <c r="U3319">
        <v>0</v>
      </c>
      <c r="V3319">
        <v>7</v>
      </c>
      <c r="W3319">
        <v>10</v>
      </c>
      <c r="X3319">
        <v>0</v>
      </c>
      <c r="Y3319">
        <v>0</v>
      </c>
      <c r="Z3319">
        <v>17</v>
      </c>
      <c r="AA3319">
        <v>0</v>
      </c>
      <c r="AB3319">
        <v>0</v>
      </c>
      <c r="AD3319">
        <v>30.16</v>
      </c>
    </row>
    <row r="3320" spans="1:30" x14ac:dyDescent="0.3">
      <c r="A3320" s="4">
        <v>3342</v>
      </c>
      <c r="B3320" s="5">
        <v>3313</v>
      </c>
      <c r="C3320">
        <v>3915</v>
      </c>
      <c r="D3320" t="s">
        <v>6865</v>
      </c>
      <c r="E3320" t="s">
        <v>29</v>
      </c>
      <c r="F3320" t="s">
        <v>238</v>
      </c>
      <c r="G3320" t="s">
        <v>6866</v>
      </c>
      <c r="H3320" t="str">
        <f>"00863779"</f>
        <v>00863779</v>
      </c>
      <c r="I3320">
        <v>27.08</v>
      </c>
      <c r="J3320">
        <v>0</v>
      </c>
      <c r="N3320">
        <v>0</v>
      </c>
      <c r="O3320">
        <v>0</v>
      </c>
      <c r="P3320">
        <v>0</v>
      </c>
      <c r="Q3320">
        <v>27.08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3</v>
      </c>
      <c r="AB3320">
        <v>0</v>
      </c>
      <c r="AD3320">
        <v>30.08</v>
      </c>
    </row>
    <row r="3321" spans="1:30" x14ac:dyDescent="0.3">
      <c r="A3321" s="4">
        <v>3343</v>
      </c>
      <c r="B3321" s="5">
        <v>3314</v>
      </c>
      <c r="C3321">
        <v>331</v>
      </c>
      <c r="D3321" t="s">
        <v>3223</v>
      </c>
      <c r="E3321" t="s">
        <v>188</v>
      </c>
      <c r="F3321" t="s">
        <v>101</v>
      </c>
      <c r="G3321" t="s">
        <v>6867</v>
      </c>
      <c r="H3321" t="str">
        <f>"00556282"</f>
        <v>00556282</v>
      </c>
      <c r="I3321">
        <v>25.08</v>
      </c>
      <c r="J3321">
        <v>0</v>
      </c>
      <c r="N3321">
        <v>0</v>
      </c>
      <c r="O3321">
        <v>0</v>
      </c>
      <c r="P3321">
        <v>2</v>
      </c>
      <c r="Q3321">
        <v>27.08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3</v>
      </c>
      <c r="AB3321">
        <v>0</v>
      </c>
      <c r="AD3321">
        <v>30.08</v>
      </c>
    </row>
    <row r="3322" spans="1:30" x14ac:dyDescent="0.3">
      <c r="A3322" s="4">
        <v>3344</v>
      </c>
      <c r="B3322" s="5">
        <v>3315</v>
      </c>
      <c r="C3322">
        <v>4247</v>
      </c>
      <c r="D3322" t="s">
        <v>6868</v>
      </c>
      <c r="E3322" t="s">
        <v>29</v>
      </c>
      <c r="F3322" t="s">
        <v>17</v>
      </c>
      <c r="G3322" t="s">
        <v>6869</v>
      </c>
      <c r="H3322" t="str">
        <f>"201511033946"</f>
        <v>201511033946</v>
      </c>
      <c r="I3322">
        <v>26</v>
      </c>
      <c r="J3322">
        <v>0</v>
      </c>
      <c r="N3322">
        <v>0</v>
      </c>
      <c r="O3322">
        <v>4</v>
      </c>
      <c r="P3322">
        <v>0</v>
      </c>
      <c r="Q3322">
        <v>30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D3322">
        <v>30</v>
      </c>
    </row>
    <row r="3323" spans="1:30" x14ac:dyDescent="0.3">
      <c r="A3323" s="4">
        <v>3345</v>
      </c>
      <c r="B3323" s="5">
        <v>3316</v>
      </c>
      <c r="C3323">
        <v>4976</v>
      </c>
      <c r="D3323" t="s">
        <v>6870</v>
      </c>
      <c r="E3323" t="s">
        <v>88</v>
      </c>
      <c r="F3323" t="s">
        <v>17</v>
      </c>
      <c r="G3323" t="s">
        <v>6871</v>
      </c>
      <c r="H3323" t="str">
        <f>"00531102"</f>
        <v>00531102</v>
      </c>
      <c r="I3323">
        <v>0</v>
      </c>
      <c r="J3323">
        <v>10</v>
      </c>
      <c r="N3323">
        <v>0</v>
      </c>
      <c r="O3323">
        <v>4</v>
      </c>
      <c r="P3323">
        <v>2</v>
      </c>
      <c r="Q3323">
        <v>16</v>
      </c>
      <c r="R3323">
        <v>14</v>
      </c>
      <c r="S3323">
        <v>14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14</v>
      </c>
      <c r="AA3323">
        <v>0</v>
      </c>
      <c r="AB3323">
        <v>0</v>
      </c>
      <c r="AD3323">
        <v>30</v>
      </c>
    </row>
    <row r="3324" spans="1:30" x14ac:dyDescent="0.3">
      <c r="A3324" s="4">
        <v>3346</v>
      </c>
      <c r="B3324" s="5">
        <v>3317</v>
      </c>
      <c r="C3324">
        <v>3410</v>
      </c>
      <c r="D3324" t="s">
        <v>6872</v>
      </c>
      <c r="E3324" t="s">
        <v>29</v>
      </c>
      <c r="F3324" t="s">
        <v>230</v>
      </c>
      <c r="G3324" t="s">
        <v>6873</v>
      </c>
      <c r="H3324" t="str">
        <f>"00531491"</f>
        <v>00531491</v>
      </c>
      <c r="I3324">
        <v>0</v>
      </c>
      <c r="J3324">
        <v>0</v>
      </c>
      <c r="M3324">
        <v>4</v>
      </c>
      <c r="N3324">
        <v>4</v>
      </c>
      <c r="O3324">
        <v>0</v>
      </c>
      <c r="P3324">
        <v>2</v>
      </c>
      <c r="Q3324">
        <v>6</v>
      </c>
      <c r="R3324">
        <v>24</v>
      </c>
      <c r="S3324">
        <v>24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24</v>
      </c>
      <c r="AA3324">
        <v>0</v>
      </c>
      <c r="AB3324">
        <v>0</v>
      </c>
      <c r="AD3324">
        <v>30</v>
      </c>
    </row>
    <row r="3325" spans="1:30" x14ac:dyDescent="0.3">
      <c r="A3325" s="4">
        <v>3347</v>
      </c>
      <c r="B3325" s="5">
        <v>3318</v>
      </c>
      <c r="C3325">
        <v>388</v>
      </c>
      <c r="D3325" t="s">
        <v>6874</v>
      </c>
      <c r="E3325" t="s">
        <v>51</v>
      </c>
      <c r="F3325" t="s">
        <v>17</v>
      </c>
      <c r="G3325" t="s">
        <v>6875</v>
      </c>
      <c r="H3325" t="str">
        <f>"00520770"</f>
        <v>00520770</v>
      </c>
      <c r="I3325">
        <v>22.92</v>
      </c>
      <c r="J3325">
        <v>0</v>
      </c>
      <c r="N3325">
        <v>0</v>
      </c>
      <c r="O3325">
        <v>0</v>
      </c>
      <c r="P3325">
        <v>0</v>
      </c>
      <c r="Q3325">
        <v>22.92</v>
      </c>
      <c r="R3325">
        <v>1</v>
      </c>
      <c r="S3325">
        <v>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1</v>
      </c>
      <c r="AA3325">
        <v>6</v>
      </c>
      <c r="AB3325">
        <v>0</v>
      </c>
      <c r="AD3325">
        <v>29.92</v>
      </c>
    </row>
    <row r="3326" spans="1:30" x14ac:dyDescent="0.3">
      <c r="A3326" s="4">
        <v>3348</v>
      </c>
      <c r="B3326" s="5">
        <v>3319</v>
      </c>
      <c r="C3326">
        <v>4624</v>
      </c>
      <c r="D3326" t="s">
        <v>6876</v>
      </c>
      <c r="E3326" t="s">
        <v>132</v>
      </c>
      <c r="F3326" t="s">
        <v>81</v>
      </c>
      <c r="G3326" t="s">
        <v>6877</v>
      </c>
      <c r="H3326" t="str">
        <f>"00688858"</f>
        <v>00688858</v>
      </c>
      <c r="I3326">
        <v>26.92</v>
      </c>
      <c r="J3326">
        <v>0</v>
      </c>
      <c r="N3326">
        <v>0</v>
      </c>
      <c r="O3326">
        <v>0</v>
      </c>
      <c r="P3326">
        <v>0</v>
      </c>
      <c r="Q3326">
        <v>26.92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3</v>
      </c>
      <c r="AB3326">
        <v>0</v>
      </c>
      <c r="AD3326">
        <v>29.92</v>
      </c>
    </row>
    <row r="3327" spans="1:30" x14ac:dyDescent="0.3">
      <c r="A3327" s="4">
        <v>3349</v>
      </c>
      <c r="B3327" s="5">
        <v>3320</v>
      </c>
      <c r="C3327">
        <v>3992</v>
      </c>
      <c r="D3327" t="s">
        <v>6051</v>
      </c>
      <c r="E3327" t="s">
        <v>115</v>
      </c>
      <c r="F3327" t="s">
        <v>5300</v>
      </c>
      <c r="G3327" t="s">
        <v>6878</v>
      </c>
      <c r="H3327" t="str">
        <f>"00777377"</f>
        <v>00777377</v>
      </c>
      <c r="I3327">
        <v>24.92</v>
      </c>
      <c r="J3327">
        <v>0</v>
      </c>
      <c r="N3327">
        <v>0</v>
      </c>
      <c r="O3327">
        <v>0</v>
      </c>
      <c r="P3327">
        <v>2</v>
      </c>
      <c r="Q3327">
        <v>26.92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3</v>
      </c>
      <c r="AB3327">
        <v>0</v>
      </c>
      <c r="AD3327">
        <v>29.92</v>
      </c>
    </row>
    <row r="3328" spans="1:30" x14ac:dyDescent="0.3">
      <c r="A3328" s="4">
        <v>3350</v>
      </c>
      <c r="B3328" s="5">
        <v>3321</v>
      </c>
      <c r="C3328">
        <v>3263</v>
      </c>
      <c r="D3328" t="s">
        <v>6879</v>
      </c>
      <c r="E3328" t="s">
        <v>789</v>
      </c>
      <c r="F3328" t="s">
        <v>5971</v>
      </c>
      <c r="G3328" t="s">
        <v>6880</v>
      </c>
      <c r="H3328" t="str">
        <f>"00530679"</f>
        <v>00530679</v>
      </c>
      <c r="I3328">
        <v>23.72</v>
      </c>
      <c r="J3328">
        <v>0</v>
      </c>
      <c r="N3328">
        <v>0</v>
      </c>
      <c r="O3328">
        <v>0</v>
      </c>
      <c r="P3328">
        <v>0</v>
      </c>
      <c r="Q3328">
        <v>23.72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6</v>
      </c>
      <c r="AB3328">
        <v>0</v>
      </c>
      <c r="AD3328">
        <v>29.72</v>
      </c>
    </row>
    <row r="3329" spans="1:30" x14ac:dyDescent="0.3">
      <c r="A3329" s="4">
        <v>3351</v>
      </c>
      <c r="B3329" s="5">
        <v>3322</v>
      </c>
      <c r="C3329">
        <v>2372</v>
      </c>
      <c r="D3329" t="s">
        <v>5160</v>
      </c>
      <c r="E3329" t="s">
        <v>6881</v>
      </c>
      <c r="F3329" t="s">
        <v>81</v>
      </c>
      <c r="G3329" t="s">
        <v>6882</v>
      </c>
      <c r="H3329" t="str">
        <f>"00327899"</f>
        <v>00327899</v>
      </c>
      <c r="I3329">
        <v>21.6</v>
      </c>
      <c r="J3329">
        <v>0</v>
      </c>
      <c r="N3329">
        <v>0</v>
      </c>
      <c r="O3329">
        <v>0</v>
      </c>
      <c r="P3329">
        <v>2</v>
      </c>
      <c r="Q3329">
        <v>23.6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6</v>
      </c>
      <c r="AB3329">
        <v>0</v>
      </c>
      <c r="AD3329">
        <v>29.6</v>
      </c>
    </row>
    <row r="3330" spans="1:30" x14ac:dyDescent="0.3">
      <c r="A3330" s="4">
        <v>3352</v>
      </c>
      <c r="B3330" s="5">
        <v>3323</v>
      </c>
      <c r="C3330">
        <v>2238</v>
      </c>
      <c r="D3330" t="s">
        <v>4319</v>
      </c>
      <c r="E3330" t="s">
        <v>3184</v>
      </c>
      <c r="F3330" t="s">
        <v>652</v>
      </c>
      <c r="G3330" t="s">
        <v>6883</v>
      </c>
      <c r="H3330" t="str">
        <f>"00862270"</f>
        <v>00862270</v>
      </c>
      <c r="I3330">
        <v>29.6</v>
      </c>
      <c r="J3330">
        <v>0</v>
      </c>
      <c r="N3330">
        <v>0</v>
      </c>
      <c r="O3330">
        <v>0</v>
      </c>
      <c r="P3330">
        <v>0</v>
      </c>
      <c r="Q3330">
        <v>29.6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D3330">
        <v>29.6</v>
      </c>
    </row>
    <row r="3331" spans="1:30" x14ac:dyDescent="0.3">
      <c r="A3331" s="4">
        <v>3353</v>
      </c>
      <c r="B3331" s="5">
        <v>3324</v>
      </c>
      <c r="C3331">
        <v>405</v>
      </c>
      <c r="D3331" t="s">
        <v>6884</v>
      </c>
      <c r="E3331" t="s">
        <v>816</v>
      </c>
      <c r="F3331" t="s">
        <v>1238</v>
      </c>
      <c r="G3331" t="s">
        <v>6885</v>
      </c>
      <c r="H3331" t="str">
        <f>"00555057"</f>
        <v>00555057</v>
      </c>
      <c r="I3331">
        <v>29.6</v>
      </c>
      <c r="J3331">
        <v>0</v>
      </c>
      <c r="N3331">
        <v>0</v>
      </c>
      <c r="O3331">
        <v>0</v>
      </c>
      <c r="P3331">
        <v>0</v>
      </c>
      <c r="Q3331">
        <v>29.6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D3331">
        <v>29.6</v>
      </c>
    </row>
    <row r="3332" spans="1:30" x14ac:dyDescent="0.3">
      <c r="A3332" s="4">
        <v>3354</v>
      </c>
      <c r="B3332" s="5">
        <v>3325</v>
      </c>
      <c r="C3332">
        <v>4314</v>
      </c>
      <c r="D3332" t="s">
        <v>1244</v>
      </c>
      <c r="E3332" t="s">
        <v>4956</v>
      </c>
      <c r="F3332" t="s">
        <v>17</v>
      </c>
      <c r="G3332" t="s">
        <v>6886</v>
      </c>
      <c r="H3332" t="str">
        <f>"00557551"</f>
        <v>00557551</v>
      </c>
      <c r="I3332">
        <v>25.6</v>
      </c>
      <c r="J3332">
        <v>0</v>
      </c>
      <c r="M3332">
        <v>4</v>
      </c>
      <c r="N3332">
        <v>4</v>
      </c>
      <c r="O3332">
        <v>0</v>
      </c>
      <c r="P3332">
        <v>0</v>
      </c>
      <c r="Q3332">
        <v>29.6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D3332">
        <v>29.6</v>
      </c>
    </row>
    <row r="3333" spans="1:30" x14ac:dyDescent="0.3">
      <c r="A3333" s="4">
        <v>3355</v>
      </c>
      <c r="B3333" s="5">
        <v>3326</v>
      </c>
      <c r="C3333">
        <v>882</v>
      </c>
      <c r="D3333" t="s">
        <v>2416</v>
      </c>
      <c r="E3333" t="s">
        <v>182</v>
      </c>
      <c r="F3333" t="s">
        <v>20</v>
      </c>
      <c r="G3333" t="s">
        <v>6887</v>
      </c>
      <c r="H3333" t="str">
        <f>"00459162"</f>
        <v>00459162</v>
      </c>
      <c r="I3333">
        <v>21.6</v>
      </c>
      <c r="J3333">
        <v>0</v>
      </c>
      <c r="M3333">
        <v>4</v>
      </c>
      <c r="N3333">
        <v>4</v>
      </c>
      <c r="O3333">
        <v>4</v>
      </c>
      <c r="P3333">
        <v>0</v>
      </c>
      <c r="Q3333">
        <v>29.6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D3333">
        <v>29.6</v>
      </c>
    </row>
    <row r="3334" spans="1:30" x14ac:dyDescent="0.3">
      <c r="A3334" s="4">
        <v>3356</v>
      </c>
      <c r="B3334" s="5">
        <v>3327</v>
      </c>
      <c r="C3334">
        <v>2254</v>
      </c>
      <c r="D3334" t="s">
        <v>6888</v>
      </c>
      <c r="E3334" t="s">
        <v>29</v>
      </c>
      <c r="F3334" t="s">
        <v>136</v>
      </c>
      <c r="G3334" t="s">
        <v>6889</v>
      </c>
      <c r="H3334" t="str">
        <f>"00773588"</f>
        <v>00773588</v>
      </c>
      <c r="I3334">
        <v>21.6</v>
      </c>
      <c r="J3334">
        <v>0</v>
      </c>
      <c r="M3334">
        <v>4</v>
      </c>
      <c r="N3334">
        <v>4</v>
      </c>
      <c r="O3334">
        <v>4</v>
      </c>
      <c r="P3334">
        <v>0</v>
      </c>
      <c r="Q3334">
        <v>29.6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D3334">
        <v>29.6</v>
      </c>
    </row>
    <row r="3335" spans="1:30" x14ac:dyDescent="0.3">
      <c r="A3335" s="4">
        <v>3357</v>
      </c>
      <c r="B3335" s="5">
        <v>3328</v>
      </c>
      <c r="C3335">
        <v>4841</v>
      </c>
      <c r="D3335" t="s">
        <v>6890</v>
      </c>
      <c r="E3335" t="s">
        <v>342</v>
      </c>
      <c r="F3335" t="s">
        <v>136</v>
      </c>
      <c r="G3335" t="s">
        <v>6891</v>
      </c>
      <c r="H3335" t="str">
        <f>"00865894"</f>
        <v>00865894</v>
      </c>
      <c r="I3335">
        <v>21.6</v>
      </c>
      <c r="J3335">
        <v>0</v>
      </c>
      <c r="K3335">
        <v>8</v>
      </c>
      <c r="N3335">
        <v>8</v>
      </c>
      <c r="O3335">
        <v>0</v>
      </c>
      <c r="P3335">
        <v>0</v>
      </c>
      <c r="Q3335">
        <v>29.6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D3335">
        <v>29.6</v>
      </c>
    </row>
    <row r="3336" spans="1:30" x14ac:dyDescent="0.3">
      <c r="A3336" s="4">
        <v>3358</v>
      </c>
      <c r="B3336" s="5">
        <v>3329</v>
      </c>
      <c r="C3336">
        <v>2785</v>
      </c>
      <c r="D3336" t="s">
        <v>6892</v>
      </c>
      <c r="E3336" t="s">
        <v>132</v>
      </c>
      <c r="F3336" t="s">
        <v>158</v>
      </c>
      <c r="G3336" t="s">
        <v>6893</v>
      </c>
      <c r="H3336" t="str">
        <f>"00862509"</f>
        <v>00862509</v>
      </c>
      <c r="I3336">
        <v>21.6</v>
      </c>
      <c r="J3336">
        <v>0</v>
      </c>
      <c r="M3336">
        <v>4</v>
      </c>
      <c r="N3336">
        <v>4</v>
      </c>
      <c r="O3336">
        <v>4</v>
      </c>
      <c r="P3336">
        <v>0</v>
      </c>
      <c r="Q3336">
        <v>29.6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D3336">
        <v>29.6</v>
      </c>
    </row>
    <row r="3337" spans="1:30" x14ac:dyDescent="0.3">
      <c r="A3337" s="4">
        <v>3359</v>
      </c>
      <c r="B3337" s="5">
        <v>3330</v>
      </c>
      <c r="C3337">
        <v>3857</v>
      </c>
      <c r="D3337" t="s">
        <v>4860</v>
      </c>
      <c r="E3337" t="s">
        <v>37</v>
      </c>
      <c r="F3337" t="s">
        <v>55</v>
      </c>
      <c r="G3337" t="s">
        <v>6894</v>
      </c>
      <c r="H3337" t="str">
        <f>"00831571"</f>
        <v>00831571</v>
      </c>
      <c r="I3337">
        <v>21.6</v>
      </c>
      <c r="J3337">
        <v>0</v>
      </c>
      <c r="M3337">
        <v>4</v>
      </c>
      <c r="N3337">
        <v>4</v>
      </c>
      <c r="O3337">
        <v>4</v>
      </c>
      <c r="P3337">
        <v>0</v>
      </c>
      <c r="Q3337">
        <v>29.6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D3337">
        <v>29.6</v>
      </c>
    </row>
    <row r="3338" spans="1:30" x14ac:dyDescent="0.3">
      <c r="A3338" s="4">
        <v>3360</v>
      </c>
      <c r="B3338" s="5">
        <v>3331</v>
      </c>
      <c r="C3338">
        <v>2780</v>
      </c>
      <c r="D3338" t="s">
        <v>6895</v>
      </c>
      <c r="E3338" t="s">
        <v>41</v>
      </c>
      <c r="F3338" t="s">
        <v>190</v>
      </c>
      <c r="G3338" t="s">
        <v>6896</v>
      </c>
      <c r="H3338" t="str">
        <f>"00667551"</f>
        <v>00667551</v>
      </c>
      <c r="I3338">
        <v>21.6</v>
      </c>
      <c r="J3338">
        <v>0</v>
      </c>
      <c r="M3338">
        <v>4</v>
      </c>
      <c r="N3338">
        <v>4</v>
      </c>
      <c r="O3338">
        <v>4</v>
      </c>
      <c r="P3338">
        <v>0</v>
      </c>
      <c r="Q3338">
        <v>29.6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D3338">
        <v>29.6</v>
      </c>
    </row>
    <row r="3339" spans="1:30" x14ac:dyDescent="0.3">
      <c r="A3339" s="4">
        <v>3361</v>
      </c>
      <c r="B3339" s="5">
        <v>3332</v>
      </c>
      <c r="C3339">
        <v>3649</v>
      </c>
      <c r="D3339" t="s">
        <v>6897</v>
      </c>
      <c r="E3339" t="s">
        <v>41</v>
      </c>
      <c r="F3339" t="s">
        <v>17</v>
      </c>
      <c r="G3339" t="s">
        <v>6898</v>
      </c>
      <c r="H3339" t="str">
        <f>"00531735"</f>
        <v>00531735</v>
      </c>
      <c r="I3339">
        <v>21.6</v>
      </c>
      <c r="J3339">
        <v>0</v>
      </c>
      <c r="M3339">
        <v>4</v>
      </c>
      <c r="N3339">
        <v>4</v>
      </c>
      <c r="O3339">
        <v>4</v>
      </c>
      <c r="P3339">
        <v>0</v>
      </c>
      <c r="Q3339">
        <v>29.6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D3339">
        <v>29.6</v>
      </c>
    </row>
    <row r="3340" spans="1:30" x14ac:dyDescent="0.3">
      <c r="A3340" s="4">
        <v>3362</v>
      </c>
      <c r="B3340" s="5">
        <v>3333</v>
      </c>
      <c r="C3340">
        <v>598</v>
      </c>
      <c r="D3340" t="s">
        <v>6899</v>
      </c>
      <c r="E3340" t="s">
        <v>6900</v>
      </c>
      <c r="F3340" t="s">
        <v>81</v>
      </c>
      <c r="G3340" t="s">
        <v>6901</v>
      </c>
      <c r="H3340" t="str">
        <f>"00482034"</f>
        <v>00482034</v>
      </c>
      <c r="I3340">
        <v>21.6</v>
      </c>
      <c r="J3340">
        <v>0</v>
      </c>
      <c r="M3340">
        <v>4</v>
      </c>
      <c r="N3340">
        <v>4</v>
      </c>
      <c r="O3340">
        <v>4</v>
      </c>
      <c r="P3340">
        <v>0</v>
      </c>
      <c r="Q3340">
        <v>29.6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D3340">
        <v>29.6</v>
      </c>
    </row>
    <row r="3341" spans="1:30" x14ac:dyDescent="0.3">
      <c r="A3341" s="4">
        <v>3363</v>
      </c>
      <c r="B3341" s="5">
        <v>3334</v>
      </c>
      <c r="C3341">
        <v>3676</v>
      </c>
      <c r="D3341" t="s">
        <v>421</v>
      </c>
      <c r="E3341" t="s">
        <v>26</v>
      </c>
      <c r="F3341" t="s">
        <v>20</v>
      </c>
      <c r="G3341" t="s">
        <v>6902</v>
      </c>
      <c r="H3341" t="str">
        <f>"00857237"</f>
        <v>00857237</v>
      </c>
      <c r="I3341">
        <v>21.6</v>
      </c>
      <c r="J3341">
        <v>0</v>
      </c>
      <c r="M3341">
        <v>4</v>
      </c>
      <c r="N3341">
        <v>4</v>
      </c>
      <c r="O3341">
        <v>4</v>
      </c>
      <c r="P3341">
        <v>0</v>
      </c>
      <c r="Q3341">
        <v>29.6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D3341">
        <v>29.6</v>
      </c>
    </row>
    <row r="3342" spans="1:30" x14ac:dyDescent="0.3">
      <c r="A3342" s="4">
        <v>3364</v>
      </c>
      <c r="B3342" s="5">
        <v>3335</v>
      </c>
      <c r="C3342">
        <v>3720</v>
      </c>
      <c r="D3342" t="s">
        <v>6903</v>
      </c>
      <c r="E3342" t="s">
        <v>100</v>
      </c>
      <c r="F3342" t="s">
        <v>52</v>
      </c>
      <c r="G3342" t="s">
        <v>6904</v>
      </c>
      <c r="H3342" t="str">
        <f>"00859796"</f>
        <v>00859796</v>
      </c>
      <c r="I3342">
        <v>21.6</v>
      </c>
      <c r="J3342">
        <v>0</v>
      </c>
      <c r="M3342">
        <v>4</v>
      </c>
      <c r="N3342">
        <v>4</v>
      </c>
      <c r="O3342">
        <v>4</v>
      </c>
      <c r="P3342">
        <v>0</v>
      </c>
      <c r="Q3342">
        <v>29.6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D3342">
        <v>29.6</v>
      </c>
    </row>
    <row r="3343" spans="1:30" x14ac:dyDescent="0.3">
      <c r="A3343" s="4">
        <v>3365</v>
      </c>
      <c r="B3343" s="5">
        <v>3336</v>
      </c>
      <c r="C3343">
        <v>3141</v>
      </c>
      <c r="D3343" t="s">
        <v>3754</v>
      </c>
      <c r="E3343" t="s">
        <v>97</v>
      </c>
      <c r="F3343" t="s">
        <v>124</v>
      </c>
      <c r="G3343" t="s">
        <v>6905</v>
      </c>
      <c r="H3343" t="str">
        <f>"00856510"</f>
        <v>00856510</v>
      </c>
      <c r="I3343">
        <v>21.6</v>
      </c>
      <c r="J3343">
        <v>0</v>
      </c>
      <c r="M3343">
        <v>4</v>
      </c>
      <c r="N3343">
        <v>4</v>
      </c>
      <c r="O3343">
        <v>4</v>
      </c>
      <c r="P3343">
        <v>0</v>
      </c>
      <c r="Q3343">
        <v>29.6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D3343">
        <v>29.6</v>
      </c>
    </row>
    <row r="3344" spans="1:30" x14ac:dyDescent="0.3">
      <c r="A3344" s="4">
        <v>3366</v>
      </c>
      <c r="B3344" s="5">
        <v>3337</v>
      </c>
      <c r="C3344">
        <v>1282</v>
      </c>
      <c r="D3344" t="s">
        <v>6906</v>
      </c>
      <c r="E3344" t="s">
        <v>29</v>
      </c>
      <c r="F3344" t="s">
        <v>2561</v>
      </c>
      <c r="G3344" t="s">
        <v>6907</v>
      </c>
      <c r="H3344" t="str">
        <f>"00441931"</f>
        <v>00441931</v>
      </c>
      <c r="I3344">
        <v>21.6</v>
      </c>
      <c r="J3344">
        <v>0</v>
      </c>
      <c r="M3344">
        <v>4</v>
      </c>
      <c r="N3344">
        <v>4</v>
      </c>
      <c r="O3344">
        <v>4</v>
      </c>
      <c r="P3344">
        <v>0</v>
      </c>
      <c r="Q3344">
        <v>29.6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D3344">
        <v>29.6</v>
      </c>
    </row>
    <row r="3345" spans="1:30" x14ac:dyDescent="0.3">
      <c r="A3345" s="4">
        <v>3367</v>
      </c>
      <c r="B3345" s="5">
        <v>3338</v>
      </c>
      <c r="C3345">
        <v>3973</v>
      </c>
      <c r="D3345" t="s">
        <v>4536</v>
      </c>
      <c r="E3345" t="s">
        <v>41</v>
      </c>
      <c r="F3345" t="s">
        <v>38</v>
      </c>
      <c r="G3345" t="s">
        <v>6908</v>
      </c>
      <c r="H3345" t="str">
        <f>"00270966"</f>
        <v>00270966</v>
      </c>
      <c r="I3345">
        <v>21.6</v>
      </c>
      <c r="J3345">
        <v>0</v>
      </c>
      <c r="N3345">
        <v>0</v>
      </c>
      <c r="O3345">
        <v>0</v>
      </c>
      <c r="P3345">
        <v>0</v>
      </c>
      <c r="Q3345">
        <v>21.6</v>
      </c>
      <c r="R3345">
        <v>8</v>
      </c>
      <c r="S3345">
        <v>8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8</v>
      </c>
      <c r="AA3345">
        <v>0</v>
      </c>
      <c r="AB3345">
        <v>0</v>
      </c>
      <c r="AD3345">
        <v>29.6</v>
      </c>
    </row>
    <row r="3346" spans="1:30" x14ac:dyDescent="0.3">
      <c r="A3346" s="4">
        <v>3368</v>
      </c>
      <c r="B3346" s="5">
        <v>3339</v>
      </c>
      <c r="C3346">
        <v>2160</v>
      </c>
      <c r="D3346" t="s">
        <v>6909</v>
      </c>
      <c r="E3346" t="s">
        <v>88</v>
      </c>
      <c r="F3346" t="s">
        <v>1450</v>
      </c>
      <c r="G3346" t="s">
        <v>6910</v>
      </c>
      <c r="H3346" t="str">
        <f>"00703313"</f>
        <v>00703313</v>
      </c>
      <c r="I3346">
        <v>25.44</v>
      </c>
      <c r="J3346">
        <v>0</v>
      </c>
      <c r="N3346">
        <v>0</v>
      </c>
      <c r="O3346">
        <v>4</v>
      </c>
      <c r="P3346">
        <v>0</v>
      </c>
      <c r="Q3346">
        <v>29.44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D3346">
        <v>29.44</v>
      </c>
    </row>
    <row r="3347" spans="1:30" x14ac:dyDescent="0.3">
      <c r="A3347" s="4">
        <v>3369</v>
      </c>
      <c r="B3347" s="5">
        <v>3340</v>
      </c>
      <c r="C3347">
        <v>1454</v>
      </c>
      <c r="D3347" t="s">
        <v>6911</v>
      </c>
      <c r="E3347" t="s">
        <v>22</v>
      </c>
      <c r="F3347" t="s">
        <v>117</v>
      </c>
      <c r="G3347" t="s">
        <v>6912</v>
      </c>
      <c r="H3347" t="str">
        <f>"200802001266"</f>
        <v>200802001266</v>
      </c>
      <c r="I3347">
        <v>21.44</v>
      </c>
      <c r="J3347">
        <v>0</v>
      </c>
      <c r="M3347">
        <v>4</v>
      </c>
      <c r="N3347">
        <v>4</v>
      </c>
      <c r="O3347">
        <v>4</v>
      </c>
      <c r="P3347">
        <v>0</v>
      </c>
      <c r="Q3347">
        <v>29.44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D3347">
        <v>29.44</v>
      </c>
    </row>
    <row r="3348" spans="1:30" x14ac:dyDescent="0.3">
      <c r="A3348" s="4">
        <v>3370</v>
      </c>
      <c r="B3348" s="5">
        <v>3341</v>
      </c>
      <c r="C3348">
        <v>2605</v>
      </c>
      <c r="D3348" t="s">
        <v>2731</v>
      </c>
      <c r="E3348" t="s">
        <v>65</v>
      </c>
      <c r="F3348" t="s">
        <v>136</v>
      </c>
      <c r="G3348" t="s">
        <v>6913</v>
      </c>
      <c r="H3348" t="str">
        <f>"00863156"</f>
        <v>00863156</v>
      </c>
      <c r="I3348">
        <v>23.4</v>
      </c>
      <c r="J3348">
        <v>0</v>
      </c>
      <c r="N3348">
        <v>0</v>
      </c>
      <c r="O3348">
        <v>0</v>
      </c>
      <c r="P3348">
        <v>0</v>
      </c>
      <c r="Q3348">
        <v>23.4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6</v>
      </c>
      <c r="AB3348">
        <v>0</v>
      </c>
      <c r="AD3348">
        <v>29.4</v>
      </c>
    </row>
    <row r="3349" spans="1:30" x14ac:dyDescent="0.3">
      <c r="A3349" s="4">
        <v>3371</v>
      </c>
      <c r="B3349" s="5">
        <v>3342</v>
      </c>
      <c r="C3349">
        <v>1148</v>
      </c>
      <c r="D3349" t="s">
        <v>6914</v>
      </c>
      <c r="E3349" t="s">
        <v>161</v>
      </c>
      <c r="F3349" t="s">
        <v>20</v>
      </c>
      <c r="G3349" t="s">
        <v>6915</v>
      </c>
      <c r="H3349" t="str">
        <f>"00856263"</f>
        <v>00856263</v>
      </c>
      <c r="I3349">
        <v>14.4</v>
      </c>
      <c r="J3349">
        <v>0</v>
      </c>
      <c r="K3349">
        <v>8</v>
      </c>
      <c r="N3349">
        <v>8</v>
      </c>
      <c r="O3349">
        <v>4</v>
      </c>
      <c r="P3349">
        <v>0</v>
      </c>
      <c r="Q3349">
        <v>26.4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3</v>
      </c>
      <c r="AB3349">
        <v>0</v>
      </c>
      <c r="AD3349">
        <v>29.4</v>
      </c>
    </row>
    <row r="3350" spans="1:30" x14ac:dyDescent="0.3">
      <c r="A3350" s="4">
        <v>3372</v>
      </c>
      <c r="B3350" s="5">
        <v>3343</v>
      </c>
      <c r="C3350">
        <v>188</v>
      </c>
      <c r="D3350" t="s">
        <v>6916</v>
      </c>
      <c r="E3350" t="s">
        <v>110</v>
      </c>
      <c r="F3350" t="s">
        <v>34</v>
      </c>
      <c r="G3350" t="s">
        <v>6917</v>
      </c>
      <c r="H3350" t="str">
        <f>"00440608"</f>
        <v>00440608</v>
      </c>
      <c r="I3350">
        <v>14.4</v>
      </c>
      <c r="J3350">
        <v>0</v>
      </c>
      <c r="K3350">
        <v>8</v>
      </c>
      <c r="N3350">
        <v>8</v>
      </c>
      <c r="O3350">
        <v>4</v>
      </c>
      <c r="P3350">
        <v>0</v>
      </c>
      <c r="Q3350">
        <v>26.4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3</v>
      </c>
      <c r="AB3350">
        <v>0</v>
      </c>
      <c r="AD3350">
        <v>29.4</v>
      </c>
    </row>
    <row r="3351" spans="1:30" x14ac:dyDescent="0.3">
      <c r="A3351" s="4">
        <v>3373</v>
      </c>
      <c r="B3351" s="5">
        <v>3344</v>
      </c>
      <c r="C3351">
        <v>872</v>
      </c>
      <c r="D3351" t="s">
        <v>6918</v>
      </c>
      <c r="E3351" t="s">
        <v>1597</v>
      </c>
      <c r="F3351" t="s">
        <v>227</v>
      </c>
      <c r="G3351" t="s">
        <v>6919</v>
      </c>
      <c r="H3351" t="str">
        <f>"00533667"</f>
        <v>00533667</v>
      </c>
      <c r="I3351">
        <v>14.4</v>
      </c>
      <c r="J3351">
        <v>0</v>
      </c>
      <c r="N3351">
        <v>0</v>
      </c>
      <c r="O3351">
        <v>4</v>
      </c>
      <c r="P3351">
        <v>0</v>
      </c>
      <c r="Q3351">
        <v>18.399999999999999</v>
      </c>
      <c r="R3351">
        <v>11</v>
      </c>
      <c r="S3351">
        <v>11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11</v>
      </c>
      <c r="AA3351">
        <v>0</v>
      </c>
      <c r="AB3351">
        <v>0</v>
      </c>
      <c r="AD3351">
        <v>29.4</v>
      </c>
    </row>
    <row r="3352" spans="1:30" x14ac:dyDescent="0.3">
      <c r="A3352" s="4">
        <v>3374</v>
      </c>
      <c r="B3352" s="5">
        <v>3345</v>
      </c>
      <c r="C3352">
        <v>4656</v>
      </c>
      <c r="D3352" t="s">
        <v>6920</v>
      </c>
      <c r="E3352" t="s">
        <v>406</v>
      </c>
      <c r="F3352" t="s">
        <v>20</v>
      </c>
      <c r="G3352" t="s">
        <v>6921</v>
      </c>
      <c r="H3352" t="str">
        <f>"00865456"</f>
        <v>00865456</v>
      </c>
      <c r="I3352">
        <v>20.36</v>
      </c>
      <c r="J3352">
        <v>0</v>
      </c>
      <c r="N3352">
        <v>0</v>
      </c>
      <c r="O3352">
        <v>4</v>
      </c>
      <c r="P3352">
        <v>2</v>
      </c>
      <c r="Q3352">
        <v>26.36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3</v>
      </c>
      <c r="AB3352">
        <v>0</v>
      </c>
      <c r="AD3352">
        <v>29.36</v>
      </c>
    </row>
    <row r="3353" spans="1:30" x14ac:dyDescent="0.3">
      <c r="A3353" s="4">
        <v>3375</v>
      </c>
      <c r="B3353" s="5">
        <v>3346</v>
      </c>
      <c r="C3353">
        <v>1242</v>
      </c>
      <c r="D3353" t="s">
        <v>6922</v>
      </c>
      <c r="E3353" t="s">
        <v>33</v>
      </c>
      <c r="F3353" t="s">
        <v>30</v>
      </c>
      <c r="G3353" t="s">
        <v>6923</v>
      </c>
      <c r="H3353" t="str">
        <f>"00493031"</f>
        <v>00493031</v>
      </c>
      <c r="I3353">
        <v>22.28</v>
      </c>
      <c r="J3353">
        <v>0</v>
      </c>
      <c r="N3353">
        <v>0</v>
      </c>
      <c r="O3353">
        <v>0</v>
      </c>
      <c r="P3353">
        <v>0</v>
      </c>
      <c r="Q3353">
        <v>22.28</v>
      </c>
      <c r="R3353">
        <v>4</v>
      </c>
      <c r="S3353">
        <v>4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4</v>
      </c>
      <c r="AA3353">
        <v>3</v>
      </c>
      <c r="AB3353">
        <v>0</v>
      </c>
      <c r="AD3353">
        <v>29.28</v>
      </c>
    </row>
    <row r="3354" spans="1:30" x14ac:dyDescent="0.3">
      <c r="A3354" s="4">
        <v>3376</v>
      </c>
      <c r="B3354" s="5">
        <v>3347</v>
      </c>
      <c r="C3354">
        <v>4936</v>
      </c>
      <c r="D3354" t="s">
        <v>6924</v>
      </c>
      <c r="E3354" t="s">
        <v>6925</v>
      </c>
      <c r="F3354" t="s">
        <v>6926</v>
      </c>
      <c r="G3354" t="s">
        <v>6927</v>
      </c>
      <c r="H3354" t="str">
        <f>"00529191"</f>
        <v>00529191</v>
      </c>
      <c r="I3354">
        <v>23.28</v>
      </c>
      <c r="J3354">
        <v>0</v>
      </c>
      <c r="N3354">
        <v>0</v>
      </c>
      <c r="O3354">
        <v>4</v>
      </c>
      <c r="P3354">
        <v>2</v>
      </c>
      <c r="Q3354">
        <v>29.28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D3354">
        <v>29.28</v>
      </c>
    </row>
    <row r="3355" spans="1:30" x14ac:dyDescent="0.3">
      <c r="A3355" s="4">
        <v>3377</v>
      </c>
      <c r="B3355" s="5">
        <v>3348</v>
      </c>
      <c r="C3355">
        <v>3357</v>
      </c>
      <c r="D3355" t="s">
        <v>6928</v>
      </c>
      <c r="E3355" t="s">
        <v>413</v>
      </c>
      <c r="F3355" t="s">
        <v>17</v>
      </c>
      <c r="G3355" t="s">
        <v>6929</v>
      </c>
      <c r="H3355" t="str">
        <f>"00446805"</f>
        <v>00446805</v>
      </c>
      <c r="I3355">
        <v>23.2</v>
      </c>
      <c r="J3355">
        <v>0</v>
      </c>
      <c r="N3355">
        <v>0</v>
      </c>
      <c r="O3355">
        <v>0</v>
      </c>
      <c r="P3355">
        <v>0</v>
      </c>
      <c r="Q3355">
        <v>23.2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6</v>
      </c>
      <c r="AB3355">
        <v>0</v>
      </c>
      <c r="AD3355">
        <v>29.2</v>
      </c>
    </row>
    <row r="3356" spans="1:30" x14ac:dyDescent="0.3">
      <c r="A3356" s="4">
        <v>3378</v>
      </c>
      <c r="B3356" s="5">
        <v>3349</v>
      </c>
      <c r="C3356">
        <v>303</v>
      </c>
      <c r="D3356" t="s">
        <v>6930</v>
      </c>
      <c r="E3356" t="s">
        <v>147</v>
      </c>
      <c r="F3356" t="s">
        <v>1806</v>
      </c>
      <c r="G3356" t="s">
        <v>6931</v>
      </c>
      <c r="H3356" t="str">
        <f>"00624384"</f>
        <v>00624384</v>
      </c>
      <c r="I3356">
        <v>22.2</v>
      </c>
      <c r="J3356">
        <v>0</v>
      </c>
      <c r="N3356">
        <v>0</v>
      </c>
      <c r="O3356">
        <v>4</v>
      </c>
      <c r="P3356">
        <v>0</v>
      </c>
      <c r="Q3356">
        <v>26.2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3</v>
      </c>
      <c r="AB3356">
        <v>0</v>
      </c>
      <c r="AD3356">
        <v>29.2</v>
      </c>
    </row>
    <row r="3357" spans="1:30" x14ac:dyDescent="0.3">
      <c r="A3357" s="4">
        <v>3379</v>
      </c>
      <c r="B3357" s="5">
        <v>3350</v>
      </c>
      <c r="C3357">
        <v>664</v>
      </c>
      <c r="D3357" t="s">
        <v>6932</v>
      </c>
      <c r="E3357" t="s">
        <v>54</v>
      </c>
      <c r="F3357" t="s">
        <v>227</v>
      </c>
      <c r="G3357" t="s">
        <v>6933</v>
      </c>
      <c r="H3357" t="str">
        <f>"201402007966"</f>
        <v>201402007966</v>
      </c>
      <c r="I3357">
        <v>7.2</v>
      </c>
      <c r="J3357">
        <v>0</v>
      </c>
      <c r="K3357">
        <v>8</v>
      </c>
      <c r="N3357">
        <v>8</v>
      </c>
      <c r="O3357">
        <v>4</v>
      </c>
      <c r="P3357">
        <v>2</v>
      </c>
      <c r="Q3357">
        <v>21.2</v>
      </c>
      <c r="R3357">
        <v>5</v>
      </c>
      <c r="S3357">
        <v>5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5</v>
      </c>
      <c r="AA3357">
        <v>3</v>
      </c>
      <c r="AB3357">
        <v>0</v>
      </c>
      <c r="AD3357">
        <v>29.2</v>
      </c>
    </row>
    <row r="3358" spans="1:30" x14ac:dyDescent="0.3">
      <c r="A3358" s="4">
        <v>3380</v>
      </c>
      <c r="B3358" s="5">
        <v>3351</v>
      </c>
      <c r="C3358">
        <v>435</v>
      </c>
      <c r="D3358" t="s">
        <v>496</v>
      </c>
      <c r="E3358" t="s">
        <v>273</v>
      </c>
      <c r="F3358" t="s">
        <v>14</v>
      </c>
      <c r="G3358" t="s">
        <v>6934</v>
      </c>
      <c r="H3358" t="str">
        <f>"201511024057"</f>
        <v>201511024057</v>
      </c>
      <c r="I3358">
        <v>21.2</v>
      </c>
      <c r="J3358">
        <v>0</v>
      </c>
      <c r="M3358">
        <v>4</v>
      </c>
      <c r="N3358">
        <v>4</v>
      </c>
      <c r="O3358">
        <v>4</v>
      </c>
      <c r="P3358">
        <v>0</v>
      </c>
      <c r="Q3358">
        <v>29.2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D3358">
        <v>29.2</v>
      </c>
    </row>
    <row r="3359" spans="1:30" x14ac:dyDescent="0.3">
      <c r="A3359" s="4">
        <v>3381</v>
      </c>
      <c r="B3359" s="5">
        <v>3352</v>
      </c>
      <c r="C3359">
        <v>3917</v>
      </c>
      <c r="D3359" t="s">
        <v>6935</v>
      </c>
      <c r="E3359" t="s">
        <v>100</v>
      </c>
      <c r="F3359" t="s">
        <v>52</v>
      </c>
      <c r="G3359" t="s">
        <v>6936</v>
      </c>
      <c r="H3359" t="str">
        <f>"00466544"</f>
        <v>00466544</v>
      </c>
      <c r="I3359">
        <v>7.2</v>
      </c>
      <c r="J3359">
        <v>0</v>
      </c>
      <c r="L3359">
        <v>6</v>
      </c>
      <c r="N3359">
        <v>6</v>
      </c>
      <c r="O3359">
        <v>4</v>
      </c>
      <c r="P3359">
        <v>2</v>
      </c>
      <c r="Q3359">
        <v>19.2</v>
      </c>
      <c r="R3359">
        <v>10</v>
      </c>
      <c r="S3359">
        <v>10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10</v>
      </c>
      <c r="AA3359">
        <v>0</v>
      </c>
      <c r="AB3359">
        <v>0</v>
      </c>
      <c r="AD3359">
        <v>29.2</v>
      </c>
    </row>
    <row r="3360" spans="1:30" x14ac:dyDescent="0.3">
      <c r="A3360" s="4">
        <v>3382</v>
      </c>
      <c r="B3360" s="5">
        <v>3353</v>
      </c>
      <c r="C3360">
        <v>2624</v>
      </c>
      <c r="D3360" t="s">
        <v>6937</v>
      </c>
      <c r="E3360" t="s">
        <v>1043</v>
      </c>
      <c r="F3360" t="s">
        <v>1854</v>
      </c>
      <c r="G3360" t="s">
        <v>6938</v>
      </c>
      <c r="H3360" t="str">
        <f>"00863746"</f>
        <v>00863746</v>
      </c>
      <c r="I3360">
        <v>23.16</v>
      </c>
      <c r="J3360">
        <v>0</v>
      </c>
      <c r="N3360">
        <v>0</v>
      </c>
      <c r="O3360">
        <v>0</v>
      </c>
      <c r="P3360">
        <v>0</v>
      </c>
      <c r="Q3360">
        <v>23.16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6</v>
      </c>
      <c r="AB3360">
        <v>0</v>
      </c>
      <c r="AD3360">
        <v>29.16</v>
      </c>
    </row>
    <row r="3361" spans="1:30" x14ac:dyDescent="0.3">
      <c r="A3361" s="4">
        <v>3383</v>
      </c>
      <c r="B3361" s="5">
        <v>3354</v>
      </c>
      <c r="C3361">
        <v>2253</v>
      </c>
      <c r="D3361" t="s">
        <v>2073</v>
      </c>
      <c r="E3361" t="s">
        <v>88</v>
      </c>
      <c r="F3361" t="s">
        <v>328</v>
      </c>
      <c r="G3361" t="s">
        <v>6939</v>
      </c>
      <c r="H3361" t="str">
        <f>"00652735"</f>
        <v>00652735</v>
      </c>
      <c r="I3361">
        <v>25.16</v>
      </c>
      <c r="J3361">
        <v>0</v>
      </c>
      <c r="N3361">
        <v>0</v>
      </c>
      <c r="O3361">
        <v>4</v>
      </c>
      <c r="P3361">
        <v>0</v>
      </c>
      <c r="Q3361">
        <v>29.16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D3361">
        <v>29.16</v>
      </c>
    </row>
    <row r="3362" spans="1:30" x14ac:dyDescent="0.3">
      <c r="A3362" s="4">
        <v>3384</v>
      </c>
      <c r="B3362" s="5">
        <v>3355</v>
      </c>
      <c r="C3362">
        <v>2354</v>
      </c>
      <c r="D3362" t="s">
        <v>2786</v>
      </c>
      <c r="E3362" t="s">
        <v>26</v>
      </c>
      <c r="F3362" t="s">
        <v>238</v>
      </c>
      <c r="G3362" t="s">
        <v>6940</v>
      </c>
      <c r="H3362" t="str">
        <f>"00004773"</f>
        <v>00004773</v>
      </c>
      <c r="I3362">
        <v>25.08</v>
      </c>
      <c r="J3362">
        <v>0</v>
      </c>
      <c r="N3362">
        <v>0</v>
      </c>
      <c r="O3362">
        <v>4</v>
      </c>
      <c r="P3362">
        <v>0</v>
      </c>
      <c r="Q3362">
        <v>29.08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D3362">
        <v>29.08</v>
      </c>
    </row>
    <row r="3363" spans="1:30" x14ac:dyDescent="0.3">
      <c r="A3363" s="4">
        <v>3385</v>
      </c>
      <c r="B3363" s="5">
        <v>3356</v>
      </c>
      <c r="C3363">
        <v>1191</v>
      </c>
      <c r="D3363" t="s">
        <v>6941</v>
      </c>
      <c r="E3363" t="s">
        <v>161</v>
      </c>
      <c r="F3363" t="s">
        <v>328</v>
      </c>
      <c r="G3363" t="s">
        <v>6942</v>
      </c>
      <c r="H3363" t="str">
        <f>"00441747"</f>
        <v>00441747</v>
      </c>
      <c r="I3363">
        <v>0</v>
      </c>
      <c r="J3363">
        <v>0</v>
      </c>
      <c r="K3363">
        <v>8</v>
      </c>
      <c r="N3363">
        <v>8</v>
      </c>
      <c r="O3363">
        <v>0</v>
      </c>
      <c r="P3363">
        <v>0</v>
      </c>
      <c r="Q3363">
        <v>8</v>
      </c>
      <c r="R3363">
        <v>12</v>
      </c>
      <c r="S3363">
        <v>12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12</v>
      </c>
      <c r="AA3363">
        <v>9</v>
      </c>
      <c r="AB3363">
        <v>0</v>
      </c>
      <c r="AD3363">
        <v>29</v>
      </c>
    </row>
    <row r="3364" spans="1:30" x14ac:dyDescent="0.3">
      <c r="A3364" s="4">
        <v>3386</v>
      </c>
      <c r="B3364" s="5">
        <v>3357</v>
      </c>
      <c r="C3364">
        <v>2733</v>
      </c>
      <c r="D3364" t="s">
        <v>6943</v>
      </c>
      <c r="E3364" t="s">
        <v>161</v>
      </c>
      <c r="F3364" t="s">
        <v>17</v>
      </c>
      <c r="G3364" t="s">
        <v>6944</v>
      </c>
      <c r="H3364" t="str">
        <f>"201512001930"</f>
        <v>201512001930</v>
      </c>
      <c r="I3364">
        <v>0</v>
      </c>
      <c r="J3364">
        <v>0</v>
      </c>
      <c r="K3364">
        <v>8</v>
      </c>
      <c r="N3364">
        <v>8</v>
      </c>
      <c r="O3364">
        <v>4</v>
      </c>
      <c r="P3364">
        <v>2</v>
      </c>
      <c r="Q3364">
        <v>14</v>
      </c>
      <c r="R3364">
        <v>9</v>
      </c>
      <c r="S3364">
        <v>9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9</v>
      </c>
      <c r="AA3364">
        <v>6</v>
      </c>
      <c r="AB3364">
        <v>0</v>
      </c>
      <c r="AD3364">
        <v>29</v>
      </c>
    </row>
    <row r="3365" spans="1:30" x14ac:dyDescent="0.3">
      <c r="A3365" s="4">
        <v>3387</v>
      </c>
      <c r="B3365" s="5">
        <v>3358</v>
      </c>
      <c r="C3365">
        <v>1757</v>
      </c>
      <c r="D3365" t="s">
        <v>6945</v>
      </c>
      <c r="E3365" t="s">
        <v>6946</v>
      </c>
      <c r="F3365" t="s">
        <v>328</v>
      </c>
      <c r="G3365" t="s">
        <v>6947</v>
      </c>
      <c r="H3365" t="str">
        <f>"00527953"</f>
        <v>00527953</v>
      </c>
      <c r="I3365">
        <v>0</v>
      </c>
      <c r="J3365">
        <v>0</v>
      </c>
      <c r="K3365">
        <v>8</v>
      </c>
      <c r="N3365">
        <v>8</v>
      </c>
      <c r="O3365">
        <v>4</v>
      </c>
      <c r="P3365">
        <v>0</v>
      </c>
      <c r="Q3365">
        <v>12</v>
      </c>
      <c r="R3365">
        <v>11</v>
      </c>
      <c r="S3365">
        <v>11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11</v>
      </c>
      <c r="AA3365">
        <v>6</v>
      </c>
      <c r="AB3365">
        <v>0</v>
      </c>
      <c r="AD3365">
        <v>29</v>
      </c>
    </row>
    <row r="3366" spans="1:30" x14ac:dyDescent="0.3">
      <c r="A3366" s="4">
        <v>3388</v>
      </c>
      <c r="B3366" s="5">
        <v>3359</v>
      </c>
      <c r="C3366">
        <v>4795</v>
      </c>
      <c r="D3366" t="s">
        <v>877</v>
      </c>
      <c r="E3366" t="s">
        <v>100</v>
      </c>
      <c r="F3366" t="s">
        <v>136</v>
      </c>
      <c r="G3366" t="s">
        <v>6948</v>
      </c>
      <c r="H3366" t="str">
        <f>"00534400"</f>
        <v>00534400</v>
      </c>
      <c r="I3366">
        <v>26</v>
      </c>
      <c r="J3366">
        <v>0</v>
      </c>
      <c r="N3366">
        <v>0</v>
      </c>
      <c r="O3366">
        <v>0</v>
      </c>
      <c r="P3366">
        <v>0</v>
      </c>
      <c r="Q3366">
        <v>26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3</v>
      </c>
      <c r="AB3366">
        <v>0</v>
      </c>
      <c r="AD3366">
        <v>29</v>
      </c>
    </row>
    <row r="3367" spans="1:30" x14ac:dyDescent="0.3">
      <c r="A3367" s="4">
        <v>3389</v>
      </c>
      <c r="B3367" s="5">
        <v>3360</v>
      </c>
      <c r="C3367">
        <v>1774</v>
      </c>
      <c r="D3367" t="s">
        <v>6949</v>
      </c>
      <c r="E3367" t="s">
        <v>33</v>
      </c>
      <c r="F3367" t="s">
        <v>158</v>
      </c>
      <c r="G3367" t="s">
        <v>6950</v>
      </c>
      <c r="H3367" t="str">
        <f>"00688834"</f>
        <v>00688834</v>
      </c>
      <c r="I3367">
        <v>18.920000000000002</v>
      </c>
      <c r="J3367">
        <v>0</v>
      </c>
      <c r="N3367">
        <v>0</v>
      </c>
      <c r="O3367">
        <v>4</v>
      </c>
      <c r="P3367">
        <v>0</v>
      </c>
      <c r="Q3367">
        <v>22.92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6</v>
      </c>
      <c r="AB3367">
        <v>0</v>
      </c>
      <c r="AD3367">
        <v>28.92</v>
      </c>
    </row>
    <row r="3368" spans="1:30" x14ac:dyDescent="0.3">
      <c r="A3368" s="4">
        <v>3390</v>
      </c>
      <c r="B3368" s="5">
        <v>3361</v>
      </c>
      <c r="C3368">
        <v>2519</v>
      </c>
      <c r="D3368" t="s">
        <v>6951</v>
      </c>
      <c r="E3368" t="s">
        <v>37</v>
      </c>
      <c r="F3368" t="s">
        <v>124</v>
      </c>
      <c r="G3368" t="s">
        <v>6952</v>
      </c>
      <c r="H3368" t="str">
        <f>"00863285"</f>
        <v>00863285</v>
      </c>
      <c r="I3368">
        <v>18.920000000000002</v>
      </c>
      <c r="J3368">
        <v>0</v>
      </c>
      <c r="N3368">
        <v>0</v>
      </c>
      <c r="O3368">
        <v>4</v>
      </c>
      <c r="P3368">
        <v>0</v>
      </c>
      <c r="Q3368">
        <v>22.92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6</v>
      </c>
      <c r="AB3368">
        <v>0</v>
      </c>
      <c r="AD3368">
        <v>28.92</v>
      </c>
    </row>
    <row r="3369" spans="1:30" x14ac:dyDescent="0.3">
      <c r="A3369" s="4">
        <v>3391</v>
      </c>
      <c r="B3369" s="5">
        <v>3362</v>
      </c>
      <c r="C3369">
        <v>84</v>
      </c>
      <c r="D3369" t="s">
        <v>6953</v>
      </c>
      <c r="E3369" t="s">
        <v>54</v>
      </c>
      <c r="F3369" t="s">
        <v>81</v>
      </c>
      <c r="G3369" t="s">
        <v>6954</v>
      </c>
      <c r="H3369" t="str">
        <f>"201511026295"</f>
        <v>201511026295</v>
      </c>
      <c r="I3369">
        <v>14.92</v>
      </c>
      <c r="J3369">
        <v>10</v>
      </c>
      <c r="N3369">
        <v>0</v>
      </c>
      <c r="O3369">
        <v>4</v>
      </c>
      <c r="P3369">
        <v>0</v>
      </c>
      <c r="Q3369">
        <v>28.92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D3369">
        <v>28.92</v>
      </c>
    </row>
    <row r="3370" spans="1:30" x14ac:dyDescent="0.3">
      <c r="A3370" s="4">
        <v>3392</v>
      </c>
      <c r="B3370" s="5">
        <v>3363</v>
      </c>
      <c r="C3370">
        <v>4071</v>
      </c>
      <c r="D3370" t="s">
        <v>6955</v>
      </c>
      <c r="E3370" t="s">
        <v>6956</v>
      </c>
      <c r="F3370" t="s">
        <v>20</v>
      </c>
      <c r="G3370" t="s">
        <v>6957</v>
      </c>
      <c r="H3370" t="str">
        <f>"00862506"</f>
        <v>00862506</v>
      </c>
      <c r="I3370">
        <v>18.84</v>
      </c>
      <c r="J3370">
        <v>0</v>
      </c>
      <c r="N3370">
        <v>0</v>
      </c>
      <c r="O3370">
        <v>4</v>
      </c>
      <c r="P3370">
        <v>0</v>
      </c>
      <c r="Q3370">
        <v>22.84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6</v>
      </c>
      <c r="AB3370">
        <v>0</v>
      </c>
      <c r="AD3370">
        <v>28.84</v>
      </c>
    </row>
    <row r="3371" spans="1:30" x14ac:dyDescent="0.3">
      <c r="A3371" s="4">
        <v>3393</v>
      </c>
      <c r="B3371" s="5">
        <v>3364</v>
      </c>
      <c r="C3371">
        <v>4460</v>
      </c>
      <c r="D3371" t="s">
        <v>541</v>
      </c>
      <c r="E3371" t="s">
        <v>41</v>
      </c>
      <c r="F3371" t="s">
        <v>38</v>
      </c>
      <c r="G3371" t="s">
        <v>6958</v>
      </c>
      <c r="H3371" t="str">
        <f>"00442267"</f>
        <v>00442267</v>
      </c>
      <c r="I3371">
        <v>18.84</v>
      </c>
      <c r="J3371">
        <v>10</v>
      </c>
      <c r="N3371">
        <v>0</v>
      </c>
      <c r="O3371">
        <v>0</v>
      </c>
      <c r="P3371">
        <v>0</v>
      </c>
      <c r="Q3371">
        <v>28.84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D3371">
        <v>28.84</v>
      </c>
    </row>
    <row r="3372" spans="1:30" x14ac:dyDescent="0.3">
      <c r="A3372" s="4">
        <v>3394</v>
      </c>
      <c r="B3372" s="5">
        <v>3365</v>
      </c>
      <c r="C3372">
        <v>3651</v>
      </c>
      <c r="D3372" t="s">
        <v>6959</v>
      </c>
      <c r="E3372" t="s">
        <v>88</v>
      </c>
      <c r="F3372" t="s">
        <v>34</v>
      </c>
      <c r="G3372" t="s">
        <v>6960</v>
      </c>
      <c r="H3372" t="str">
        <f>"00864152"</f>
        <v>00864152</v>
      </c>
      <c r="I3372">
        <v>22.8</v>
      </c>
      <c r="J3372">
        <v>0</v>
      </c>
      <c r="N3372">
        <v>0</v>
      </c>
      <c r="O3372">
        <v>0</v>
      </c>
      <c r="P3372">
        <v>0</v>
      </c>
      <c r="Q3372">
        <v>22.8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6</v>
      </c>
      <c r="AB3372">
        <v>0</v>
      </c>
      <c r="AD3372">
        <v>28.8</v>
      </c>
    </row>
    <row r="3373" spans="1:30" x14ac:dyDescent="0.3">
      <c r="A3373" s="4">
        <v>3395</v>
      </c>
      <c r="B3373" s="5">
        <v>3366</v>
      </c>
      <c r="C3373">
        <v>1821</v>
      </c>
      <c r="D3373" t="s">
        <v>577</v>
      </c>
      <c r="E3373" t="s">
        <v>4956</v>
      </c>
      <c r="F3373" t="s">
        <v>124</v>
      </c>
      <c r="G3373" t="s">
        <v>6961</v>
      </c>
      <c r="H3373" t="str">
        <f>"00861076"</f>
        <v>00861076</v>
      </c>
      <c r="I3373">
        <v>28.8</v>
      </c>
      <c r="J3373">
        <v>0</v>
      </c>
      <c r="N3373">
        <v>0</v>
      </c>
      <c r="O3373">
        <v>0</v>
      </c>
      <c r="P3373">
        <v>0</v>
      </c>
      <c r="Q3373">
        <v>28.8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D3373">
        <v>28.8</v>
      </c>
    </row>
    <row r="3374" spans="1:30" x14ac:dyDescent="0.3">
      <c r="A3374" s="4">
        <v>3396</v>
      </c>
      <c r="B3374" s="5">
        <v>3367</v>
      </c>
      <c r="C3374">
        <v>4893</v>
      </c>
      <c r="D3374" t="s">
        <v>6962</v>
      </c>
      <c r="E3374" t="s">
        <v>178</v>
      </c>
      <c r="F3374" t="s">
        <v>20</v>
      </c>
      <c r="G3374" t="s">
        <v>6963</v>
      </c>
      <c r="H3374" t="str">
        <f>"00863491"</f>
        <v>00863491</v>
      </c>
      <c r="I3374">
        <v>28.8</v>
      </c>
      <c r="J3374">
        <v>0</v>
      </c>
      <c r="N3374">
        <v>0</v>
      </c>
      <c r="O3374">
        <v>0</v>
      </c>
      <c r="P3374">
        <v>0</v>
      </c>
      <c r="Q3374">
        <v>28.8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D3374">
        <v>28.8</v>
      </c>
    </row>
    <row r="3375" spans="1:30" x14ac:dyDescent="0.3">
      <c r="A3375" s="4">
        <v>3397</v>
      </c>
      <c r="B3375" s="5">
        <v>3368</v>
      </c>
      <c r="C3375">
        <v>518</v>
      </c>
      <c r="D3375" t="s">
        <v>5954</v>
      </c>
      <c r="E3375" t="s">
        <v>149</v>
      </c>
      <c r="F3375" t="s">
        <v>17</v>
      </c>
      <c r="G3375" t="s">
        <v>6964</v>
      </c>
      <c r="H3375" t="str">
        <f>"00529543"</f>
        <v>00529543</v>
      </c>
      <c r="I3375">
        <v>28.8</v>
      </c>
      <c r="J3375">
        <v>0</v>
      </c>
      <c r="N3375">
        <v>0</v>
      </c>
      <c r="O3375">
        <v>0</v>
      </c>
      <c r="P3375">
        <v>0</v>
      </c>
      <c r="Q3375">
        <v>28.8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D3375">
        <v>28.8</v>
      </c>
    </row>
    <row r="3376" spans="1:30" x14ac:dyDescent="0.3">
      <c r="A3376" s="4">
        <v>3398</v>
      </c>
      <c r="B3376" s="5">
        <v>3369</v>
      </c>
      <c r="C3376">
        <v>1450</v>
      </c>
      <c r="D3376" t="s">
        <v>6965</v>
      </c>
      <c r="E3376" t="s">
        <v>26</v>
      </c>
      <c r="F3376" t="s">
        <v>158</v>
      </c>
      <c r="G3376" t="s">
        <v>6966</v>
      </c>
      <c r="H3376" t="str">
        <f>"00561378"</f>
        <v>00561378</v>
      </c>
      <c r="I3376">
        <v>28.8</v>
      </c>
      <c r="J3376">
        <v>0</v>
      </c>
      <c r="N3376">
        <v>0</v>
      </c>
      <c r="O3376">
        <v>0</v>
      </c>
      <c r="P3376">
        <v>0</v>
      </c>
      <c r="Q3376">
        <v>28.8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D3376">
        <v>28.8</v>
      </c>
    </row>
    <row r="3377" spans="1:30" x14ac:dyDescent="0.3">
      <c r="A3377" s="4">
        <v>3399</v>
      </c>
      <c r="B3377" s="5">
        <v>3370</v>
      </c>
      <c r="C3377">
        <v>612</v>
      </c>
      <c r="D3377" t="s">
        <v>6967</v>
      </c>
      <c r="E3377" t="s">
        <v>439</v>
      </c>
      <c r="F3377" t="s">
        <v>38</v>
      </c>
      <c r="G3377" t="s">
        <v>6968</v>
      </c>
      <c r="H3377" t="str">
        <f>"00518974"</f>
        <v>00518974</v>
      </c>
      <c r="I3377">
        <v>28.8</v>
      </c>
      <c r="J3377">
        <v>0</v>
      </c>
      <c r="N3377">
        <v>0</v>
      </c>
      <c r="O3377">
        <v>0</v>
      </c>
      <c r="P3377">
        <v>0</v>
      </c>
      <c r="Q3377">
        <v>28.8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D3377">
        <v>28.8</v>
      </c>
    </row>
    <row r="3378" spans="1:30" x14ac:dyDescent="0.3">
      <c r="A3378" s="4">
        <v>3400</v>
      </c>
      <c r="B3378" s="5">
        <v>3371</v>
      </c>
      <c r="C3378">
        <v>4826</v>
      </c>
      <c r="D3378" t="s">
        <v>6969</v>
      </c>
      <c r="E3378" t="s">
        <v>208</v>
      </c>
      <c r="F3378" t="s">
        <v>259</v>
      </c>
      <c r="G3378" t="s">
        <v>6970</v>
      </c>
      <c r="H3378" t="str">
        <f>"00865343"</f>
        <v>00865343</v>
      </c>
      <c r="I3378">
        <v>28.8</v>
      </c>
      <c r="J3378">
        <v>0</v>
      </c>
      <c r="N3378">
        <v>0</v>
      </c>
      <c r="O3378">
        <v>0</v>
      </c>
      <c r="P3378">
        <v>0</v>
      </c>
      <c r="Q3378">
        <v>28.8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D3378">
        <v>28.8</v>
      </c>
    </row>
    <row r="3379" spans="1:30" x14ac:dyDescent="0.3">
      <c r="A3379" s="4">
        <v>3401</v>
      </c>
      <c r="B3379" s="5">
        <v>3372</v>
      </c>
      <c r="C3379">
        <v>4740</v>
      </c>
      <c r="D3379" t="s">
        <v>6971</v>
      </c>
      <c r="E3379" t="s">
        <v>37</v>
      </c>
      <c r="F3379" t="s">
        <v>91</v>
      </c>
      <c r="G3379" t="s">
        <v>6972</v>
      </c>
      <c r="H3379" t="str">
        <f>"00855424"</f>
        <v>00855424</v>
      </c>
      <c r="I3379">
        <v>28.8</v>
      </c>
      <c r="J3379">
        <v>0</v>
      </c>
      <c r="N3379">
        <v>0</v>
      </c>
      <c r="O3379">
        <v>0</v>
      </c>
      <c r="P3379">
        <v>0</v>
      </c>
      <c r="Q3379">
        <v>28.8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D3379">
        <v>28.8</v>
      </c>
    </row>
    <row r="3380" spans="1:30" x14ac:dyDescent="0.3">
      <c r="A3380" s="4">
        <v>3402</v>
      </c>
      <c r="B3380" s="5">
        <v>3373</v>
      </c>
      <c r="C3380">
        <v>2845</v>
      </c>
      <c r="D3380" t="s">
        <v>6973</v>
      </c>
      <c r="E3380" t="s">
        <v>744</v>
      </c>
      <c r="F3380" t="s">
        <v>117</v>
      </c>
      <c r="G3380" t="s">
        <v>6974</v>
      </c>
      <c r="H3380" t="str">
        <f>"00827783"</f>
        <v>00827783</v>
      </c>
      <c r="I3380">
        <v>28.8</v>
      </c>
      <c r="J3380">
        <v>0</v>
      </c>
      <c r="N3380">
        <v>0</v>
      </c>
      <c r="O3380">
        <v>0</v>
      </c>
      <c r="P3380">
        <v>0</v>
      </c>
      <c r="Q3380">
        <v>28.8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D3380">
        <v>28.8</v>
      </c>
    </row>
    <row r="3381" spans="1:30" x14ac:dyDescent="0.3">
      <c r="A3381" s="4">
        <v>3403</v>
      </c>
      <c r="B3381" s="5">
        <v>3374</v>
      </c>
      <c r="C3381">
        <v>3968</v>
      </c>
      <c r="D3381" t="s">
        <v>682</v>
      </c>
      <c r="E3381" t="s">
        <v>88</v>
      </c>
      <c r="F3381" t="s">
        <v>124</v>
      </c>
      <c r="G3381" t="s">
        <v>6975</v>
      </c>
      <c r="H3381" t="str">
        <f>"00533753"</f>
        <v>00533753</v>
      </c>
      <c r="I3381">
        <v>28.8</v>
      </c>
      <c r="J3381">
        <v>0</v>
      </c>
      <c r="N3381">
        <v>0</v>
      </c>
      <c r="O3381">
        <v>0</v>
      </c>
      <c r="P3381">
        <v>0</v>
      </c>
      <c r="Q3381">
        <v>28.8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D3381">
        <v>28.8</v>
      </c>
    </row>
    <row r="3382" spans="1:30" x14ac:dyDescent="0.3">
      <c r="A3382" s="4">
        <v>3404</v>
      </c>
      <c r="B3382" s="5">
        <v>3375</v>
      </c>
      <c r="C3382">
        <v>3767</v>
      </c>
      <c r="D3382" t="s">
        <v>6976</v>
      </c>
      <c r="E3382" t="s">
        <v>1508</v>
      </c>
      <c r="F3382" t="s">
        <v>20</v>
      </c>
      <c r="G3382" t="s">
        <v>6977</v>
      </c>
      <c r="H3382" t="str">
        <f>"00531221"</f>
        <v>00531221</v>
      </c>
      <c r="I3382">
        <v>28.8</v>
      </c>
      <c r="J3382">
        <v>0</v>
      </c>
      <c r="N3382">
        <v>0</v>
      </c>
      <c r="O3382">
        <v>0</v>
      </c>
      <c r="P3382">
        <v>0</v>
      </c>
      <c r="Q3382">
        <v>28.8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D3382">
        <v>28.8</v>
      </c>
    </row>
    <row r="3383" spans="1:30" x14ac:dyDescent="0.3">
      <c r="A3383" s="4">
        <v>3405</v>
      </c>
      <c r="B3383" s="5">
        <v>3376</v>
      </c>
      <c r="C3383">
        <v>2929</v>
      </c>
      <c r="D3383" t="s">
        <v>6978</v>
      </c>
      <c r="E3383" t="s">
        <v>789</v>
      </c>
      <c r="F3383" t="s">
        <v>124</v>
      </c>
      <c r="G3383" t="s">
        <v>6979</v>
      </c>
      <c r="H3383" t="str">
        <f>"00860198"</f>
        <v>00860198</v>
      </c>
      <c r="I3383">
        <v>28.8</v>
      </c>
      <c r="J3383">
        <v>0</v>
      </c>
      <c r="N3383">
        <v>0</v>
      </c>
      <c r="O3383">
        <v>0</v>
      </c>
      <c r="P3383">
        <v>0</v>
      </c>
      <c r="Q3383">
        <v>28.8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D3383">
        <v>28.8</v>
      </c>
    </row>
    <row r="3384" spans="1:30" x14ac:dyDescent="0.3">
      <c r="A3384" s="4">
        <v>3406</v>
      </c>
      <c r="B3384" s="5">
        <v>3377</v>
      </c>
      <c r="C3384">
        <v>4166</v>
      </c>
      <c r="D3384" t="s">
        <v>6980</v>
      </c>
      <c r="E3384" t="s">
        <v>100</v>
      </c>
      <c r="F3384" t="s">
        <v>62</v>
      </c>
      <c r="G3384" t="s">
        <v>6981</v>
      </c>
      <c r="H3384" t="str">
        <f>"00864685"</f>
        <v>00864685</v>
      </c>
      <c r="I3384">
        <v>28.8</v>
      </c>
      <c r="J3384">
        <v>0</v>
      </c>
      <c r="N3384">
        <v>0</v>
      </c>
      <c r="O3384">
        <v>0</v>
      </c>
      <c r="P3384">
        <v>0</v>
      </c>
      <c r="Q3384">
        <v>28.8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D3384">
        <v>28.8</v>
      </c>
    </row>
    <row r="3385" spans="1:30" x14ac:dyDescent="0.3">
      <c r="A3385" s="4">
        <v>3407</v>
      </c>
      <c r="B3385" s="5">
        <v>3378</v>
      </c>
      <c r="C3385">
        <v>1064</v>
      </c>
      <c r="D3385" t="s">
        <v>5892</v>
      </c>
      <c r="E3385" t="s">
        <v>208</v>
      </c>
      <c r="F3385" t="s">
        <v>81</v>
      </c>
      <c r="G3385" t="s">
        <v>6982</v>
      </c>
      <c r="H3385" t="str">
        <f>"00859583"</f>
        <v>00859583</v>
      </c>
      <c r="I3385">
        <v>28.8</v>
      </c>
      <c r="J3385">
        <v>0</v>
      </c>
      <c r="N3385">
        <v>0</v>
      </c>
      <c r="O3385">
        <v>0</v>
      </c>
      <c r="P3385">
        <v>0</v>
      </c>
      <c r="Q3385">
        <v>28.8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D3385">
        <v>28.8</v>
      </c>
    </row>
    <row r="3386" spans="1:30" x14ac:dyDescent="0.3">
      <c r="A3386" s="4">
        <v>3408</v>
      </c>
      <c r="B3386" s="5">
        <v>3379</v>
      </c>
      <c r="C3386">
        <v>4825</v>
      </c>
      <c r="D3386" t="s">
        <v>285</v>
      </c>
      <c r="E3386" t="s">
        <v>6983</v>
      </c>
      <c r="F3386" t="s">
        <v>243</v>
      </c>
      <c r="G3386" t="s">
        <v>6984</v>
      </c>
      <c r="H3386" t="str">
        <f>"00863270"</f>
        <v>00863270</v>
      </c>
      <c r="I3386">
        <v>28.8</v>
      </c>
      <c r="J3386">
        <v>0</v>
      </c>
      <c r="N3386">
        <v>0</v>
      </c>
      <c r="O3386">
        <v>0</v>
      </c>
      <c r="P3386">
        <v>0</v>
      </c>
      <c r="Q3386">
        <v>28.8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D3386">
        <v>28.8</v>
      </c>
    </row>
    <row r="3387" spans="1:30" x14ac:dyDescent="0.3">
      <c r="A3387" s="4">
        <v>3409</v>
      </c>
      <c r="B3387" s="5">
        <v>3380</v>
      </c>
      <c r="C3387">
        <v>2089</v>
      </c>
      <c r="D3387" t="s">
        <v>6985</v>
      </c>
      <c r="E3387" t="s">
        <v>563</v>
      </c>
      <c r="F3387" t="s">
        <v>17</v>
      </c>
      <c r="G3387" t="s">
        <v>6986</v>
      </c>
      <c r="H3387" t="str">
        <f>"00864465"</f>
        <v>00864465</v>
      </c>
      <c r="I3387">
        <v>28.8</v>
      </c>
      <c r="J3387">
        <v>0</v>
      </c>
      <c r="N3387">
        <v>0</v>
      </c>
      <c r="O3387">
        <v>0</v>
      </c>
      <c r="P3387">
        <v>0</v>
      </c>
      <c r="Q3387">
        <v>28.8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D3387">
        <v>28.8</v>
      </c>
    </row>
    <row r="3388" spans="1:30" x14ac:dyDescent="0.3">
      <c r="A3388" s="4">
        <v>3410</v>
      </c>
      <c r="B3388" s="5">
        <v>3381</v>
      </c>
      <c r="C3388">
        <v>2316</v>
      </c>
      <c r="D3388" t="s">
        <v>6987</v>
      </c>
      <c r="E3388" t="s">
        <v>37</v>
      </c>
      <c r="F3388" t="s">
        <v>68</v>
      </c>
      <c r="G3388" t="s">
        <v>6988</v>
      </c>
      <c r="H3388" t="str">
        <f>"00862759"</f>
        <v>00862759</v>
      </c>
      <c r="I3388">
        <v>16.8</v>
      </c>
      <c r="J3388">
        <v>0</v>
      </c>
      <c r="K3388">
        <v>8</v>
      </c>
      <c r="N3388">
        <v>8</v>
      </c>
      <c r="O3388">
        <v>4</v>
      </c>
      <c r="P3388">
        <v>0</v>
      </c>
      <c r="Q3388">
        <v>28.8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D3388">
        <v>28.8</v>
      </c>
    </row>
    <row r="3389" spans="1:30" x14ac:dyDescent="0.3">
      <c r="A3389" s="4">
        <v>3411</v>
      </c>
      <c r="B3389" s="5">
        <v>3382</v>
      </c>
      <c r="C3389">
        <v>2741</v>
      </c>
      <c r="D3389" t="s">
        <v>6989</v>
      </c>
      <c r="E3389" t="s">
        <v>88</v>
      </c>
      <c r="F3389" t="s">
        <v>136</v>
      </c>
      <c r="G3389" t="s">
        <v>6990</v>
      </c>
      <c r="H3389" t="str">
        <f>"00860651"</f>
        <v>00860651</v>
      </c>
      <c r="I3389">
        <v>18.760000000000002</v>
      </c>
      <c r="J3389">
        <v>0</v>
      </c>
      <c r="N3389">
        <v>0</v>
      </c>
      <c r="O3389">
        <v>4</v>
      </c>
      <c r="P3389">
        <v>0</v>
      </c>
      <c r="Q3389">
        <v>22.76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6</v>
      </c>
      <c r="AB3389">
        <v>0</v>
      </c>
      <c r="AD3389">
        <v>28.76</v>
      </c>
    </row>
    <row r="3390" spans="1:30" x14ac:dyDescent="0.3">
      <c r="A3390" s="4">
        <v>3412</v>
      </c>
      <c r="B3390" s="5">
        <v>3383</v>
      </c>
      <c r="C3390">
        <v>299</v>
      </c>
      <c r="D3390" t="s">
        <v>6991</v>
      </c>
      <c r="E3390" t="s">
        <v>88</v>
      </c>
      <c r="F3390" t="s">
        <v>298</v>
      </c>
      <c r="G3390" t="s">
        <v>6992</v>
      </c>
      <c r="H3390" t="str">
        <f>"00857804"</f>
        <v>00857804</v>
      </c>
      <c r="I3390">
        <v>19.72</v>
      </c>
      <c r="J3390">
        <v>0</v>
      </c>
      <c r="N3390">
        <v>0</v>
      </c>
      <c r="O3390">
        <v>0</v>
      </c>
      <c r="P3390">
        <v>0</v>
      </c>
      <c r="Q3390">
        <v>19.72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9</v>
      </c>
      <c r="AB3390">
        <v>0</v>
      </c>
      <c r="AD3390">
        <v>28.72</v>
      </c>
    </row>
    <row r="3391" spans="1:30" x14ac:dyDescent="0.3">
      <c r="A3391" s="4">
        <v>3413</v>
      </c>
      <c r="B3391" s="5">
        <v>3384</v>
      </c>
      <c r="C3391">
        <v>639</v>
      </c>
      <c r="D3391" t="s">
        <v>1876</v>
      </c>
      <c r="E3391" t="s">
        <v>29</v>
      </c>
      <c r="F3391" t="s">
        <v>81</v>
      </c>
      <c r="G3391" t="s">
        <v>6993</v>
      </c>
      <c r="H3391" t="str">
        <f>"00857224"</f>
        <v>00857224</v>
      </c>
      <c r="I3391">
        <v>25.6</v>
      </c>
      <c r="J3391">
        <v>0</v>
      </c>
      <c r="N3391">
        <v>0</v>
      </c>
      <c r="O3391">
        <v>0</v>
      </c>
      <c r="P3391">
        <v>0</v>
      </c>
      <c r="Q3391">
        <v>25.6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3</v>
      </c>
      <c r="AB3391">
        <v>0</v>
      </c>
      <c r="AD3391">
        <v>28.6</v>
      </c>
    </row>
    <row r="3392" spans="1:30" x14ac:dyDescent="0.3">
      <c r="A3392" s="4">
        <v>3414</v>
      </c>
      <c r="B3392" s="5">
        <v>3385</v>
      </c>
      <c r="C3392">
        <v>280</v>
      </c>
      <c r="D3392" t="s">
        <v>1693</v>
      </c>
      <c r="E3392" t="s">
        <v>54</v>
      </c>
      <c r="F3392" t="s">
        <v>385</v>
      </c>
      <c r="G3392" t="s">
        <v>6994</v>
      </c>
      <c r="H3392" t="str">
        <f>"00856582"</f>
        <v>00856582</v>
      </c>
      <c r="I3392">
        <v>21.6</v>
      </c>
      <c r="J3392">
        <v>0</v>
      </c>
      <c r="N3392">
        <v>0</v>
      </c>
      <c r="O3392">
        <v>4</v>
      </c>
      <c r="P3392">
        <v>0</v>
      </c>
      <c r="Q3392">
        <v>25.6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3</v>
      </c>
      <c r="AB3392">
        <v>0</v>
      </c>
      <c r="AD3392">
        <v>28.6</v>
      </c>
    </row>
    <row r="3393" spans="1:30" x14ac:dyDescent="0.3">
      <c r="A3393" s="4">
        <v>3415</v>
      </c>
      <c r="B3393" s="5">
        <v>3386</v>
      </c>
      <c r="C3393">
        <v>4867</v>
      </c>
      <c r="D3393" t="s">
        <v>6995</v>
      </c>
      <c r="E3393" t="s">
        <v>6996</v>
      </c>
      <c r="F3393" t="s">
        <v>385</v>
      </c>
      <c r="G3393" t="s">
        <v>6997</v>
      </c>
      <c r="H3393" t="str">
        <f>"00560482"</f>
        <v>00560482</v>
      </c>
      <c r="I3393">
        <v>21.6</v>
      </c>
      <c r="J3393">
        <v>0</v>
      </c>
      <c r="N3393">
        <v>0</v>
      </c>
      <c r="O3393">
        <v>4</v>
      </c>
      <c r="P3393">
        <v>0</v>
      </c>
      <c r="Q3393">
        <v>25.6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3</v>
      </c>
      <c r="AB3393">
        <v>0</v>
      </c>
      <c r="AD3393">
        <v>28.6</v>
      </c>
    </row>
    <row r="3394" spans="1:30" x14ac:dyDescent="0.3">
      <c r="A3394" s="4">
        <v>3416</v>
      </c>
      <c r="B3394" s="5">
        <v>3387</v>
      </c>
      <c r="C3394">
        <v>3397</v>
      </c>
      <c r="D3394" t="s">
        <v>1286</v>
      </c>
      <c r="E3394" t="s">
        <v>22</v>
      </c>
      <c r="F3394" t="s">
        <v>136</v>
      </c>
      <c r="G3394" t="s">
        <v>6998</v>
      </c>
      <c r="H3394" t="str">
        <f>"00865109"</f>
        <v>00865109</v>
      </c>
      <c r="I3394">
        <v>21.6</v>
      </c>
      <c r="J3394">
        <v>0</v>
      </c>
      <c r="M3394">
        <v>4</v>
      </c>
      <c r="N3394">
        <v>4</v>
      </c>
      <c r="O3394">
        <v>0</v>
      </c>
      <c r="P3394">
        <v>0</v>
      </c>
      <c r="Q3394">
        <v>25.6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3</v>
      </c>
      <c r="AB3394">
        <v>0</v>
      </c>
      <c r="AD3394">
        <v>28.6</v>
      </c>
    </row>
    <row r="3395" spans="1:30" x14ac:dyDescent="0.3">
      <c r="A3395" s="4">
        <v>3417</v>
      </c>
      <c r="B3395" s="5">
        <v>3388</v>
      </c>
      <c r="C3395">
        <v>1805</v>
      </c>
      <c r="D3395" t="s">
        <v>6999</v>
      </c>
      <c r="E3395" t="s">
        <v>2843</v>
      </c>
      <c r="F3395" t="s">
        <v>343</v>
      </c>
      <c r="G3395" t="s">
        <v>7000</v>
      </c>
      <c r="H3395" t="str">
        <f>"00859901"</f>
        <v>00859901</v>
      </c>
      <c r="I3395">
        <v>21.6</v>
      </c>
      <c r="J3395">
        <v>0</v>
      </c>
      <c r="N3395">
        <v>0</v>
      </c>
      <c r="O3395">
        <v>4</v>
      </c>
      <c r="P3395">
        <v>0</v>
      </c>
      <c r="Q3395">
        <v>25.6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3</v>
      </c>
      <c r="AB3395">
        <v>0</v>
      </c>
      <c r="AD3395">
        <v>28.6</v>
      </c>
    </row>
    <row r="3396" spans="1:30" x14ac:dyDescent="0.3">
      <c r="A3396" s="4">
        <v>3418</v>
      </c>
      <c r="B3396" s="5">
        <v>3389</v>
      </c>
      <c r="C3396">
        <v>174</v>
      </c>
      <c r="D3396" t="s">
        <v>7001</v>
      </c>
      <c r="E3396" t="s">
        <v>29</v>
      </c>
      <c r="F3396" t="s">
        <v>20</v>
      </c>
      <c r="G3396" t="s">
        <v>7002</v>
      </c>
      <c r="H3396" t="str">
        <f>"00857794"</f>
        <v>00857794</v>
      </c>
      <c r="I3396">
        <v>21.6</v>
      </c>
      <c r="J3396">
        <v>0</v>
      </c>
      <c r="N3396">
        <v>0</v>
      </c>
      <c r="O3396">
        <v>4</v>
      </c>
      <c r="P3396">
        <v>0</v>
      </c>
      <c r="Q3396">
        <v>25.6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3</v>
      </c>
      <c r="AB3396">
        <v>0</v>
      </c>
      <c r="AD3396">
        <v>28.6</v>
      </c>
    </row>
    <row r="3397" spans="1:30" x14ac:dyDescent="0.3">
      <c r="A3397" s="4">
        <v>3419</v>
      </c>
      <c r="B3397" s="5">
        <v>3390</v>
      </c>
      <c r="C3397">
        <v>448</v>
      </c>
      <c r="D3397" t="s">
        <v>2105</v>
      </c>
      <c r="E3397" t="s">
        <v>338</v>
      </c>
      <c r="F3397" t="s">
        <v>38</v>
      </c>
      <c r="G3397" t="s">
        <v>7003</v>
      </c>
      <c r="H3397" t="str">
        <f>"00223887"</f>
        <v>00223887</v>
      </c>
      <c r="I3397">
        <v>28.6</v>
      </c>
      <c r="J3397">
        <v>0</v>
      </c>
      <c r="N3397">
        <v>0</v>
      </c>
      <c r="O3397">
        <v>0</v>
      </c>
      <c r="P3397">
        <v>0</v>
      </c>
      <c r="Q3397">
        <v>28.6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D3397">
        <v>28.6</v>
      </c>
    </row>
    <row r="3398" spans="1:30" x14ac:dyDescent="0.3">
      <c r="A3398" s="4">
        <v>3420</v>
      </c>
      <c r="B3398" s="5">
        <v>3391</v>
      </c>
      <c r="C3398">
        <v>1121</v>
      </c>
      <c r="D3398" t="s">
        <v>7004</v>
      </c>
      <c r="E3398" t="s">
        <v>54</v>
      </c>
      <c r="F3398" t="s">
        <v>2333</v>
      </c>
      <c r="G3398" t="s">
        <v>7005</v>
      </c>
      <c r="H3398" t="str">
        <f>"00144009"</f>
        <v>00144009</v>
      </c>
      <c r="I3398">
        <v>20.6</v>
      </c>
      <c r="J3398">
        <v>0</v>
      </c>
      <c r="M3398">
        <v>4</v>
      </c>
      <c r="N3398">
        <v>4</v>
      </c>
      <c r="O3398">
        <v>4</v>
      </c>
      <c r="P3398">
        <v>0</v>
      </c>
      <c r="Q3398">
        <v>28.6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D3398">
        <v>28.6</v>
      </c>
    </row>
    <row r="3399" spans="1:30" x14ac:dyDescent="0.3">
      <c r="A3399" s="4">
        <v>3421</v>
      </c>
      <c r="B3399" s="5">
        <v>3392</v>
      </c>
      <c r="C3399">
        <v>199</v>
      </c>
      <c r="D3399" t="s">
        <v>1791</v>
      </c>
      <c r="E3399" t="s">
        <v>29</v>
      </c>
      <c r="F3399" t="s">
        <v>20</v>
      </c>
      <c r="G3399" t="s">
        <v>7006</v>
      </c>
      <c r="H3399" t="str">
        <f>"00267264"</f>
        <v>00267264</v>
      </c>
      <c r="I3399">
        <v>22.56</v>
      </c>
      <c r="J3399">
        <v>0</v>
      </c>
      <c r="N3399">
        <v>0</v>
      </c>
      <c r="O3399">
        <v>0</v>
      </c>
      <c r="P3399">
        <v>0</v>
      </c>
      <c r="Q3399">
        <v>22.56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6</v>
      </c>
      <c r="AB3399">
        <v>0</v>
      </c>
      <c r="AD3399">
        <v>28.56</v>
      </c>
    </row>
    <row r="3400" spans="1:30" x14ac:dyDescent="0.3">
      <c r="A3400" s="4">
        <v>3422</v>
      </c>
      <c r="B3400" s="5">
        <v>3393</v>
      </c>
      <c r="C3400">
        <v>4175</v>
      </c>
      <c r="D3400" t="s">
        <v>7007</v>
      </c>
      <c r="E3400" t="s">
        <v>54</v>
      </c>
      <c r="F3400" t="s">
        <v>652</v>
      </c>
      <c r="G3400" t="s">
        <v>7008</v>
      </c>
      <c r="H3400" t="str">
        <f>"00600089"</f>
        <v>00600089</v>
      </c>
      <c r="I3400">
        <v>18.559999999999999</v>
      </c>
      <c r="J3400">
        <v>0</v>
      </c>
      <c r="N3400">
        <v>0</v>
      </c>
      <c r="O3400">
        <v>4</v>
      </c>
      <c r="P3400">
        <v>0</v>
      </c>
      <c r="Q3400">
        <v>22.56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6</v>
      </c>
      <c r="AB3400">
        <v>0</v>
      </c>
      <c r="AD3400">
        <v>28.56</v>
      </c>
    </row>
    <row r="3401" spans="1:30" x14ac:dyDescent="0.3">
      <c r="A3401" s="4">
        <v>3423</v>
      </c>
      <c r="B3401" s="5">
        <v>3394</v>
      </c>
      <c r="C3401">
        <v>4868</v>
      </c>
      <c r="D3401" t="s">
        <v>7009</v>
      </c>
      <c r="E3401" t="s">
        <v>471</v>
      </c>
      <c r="F3401" t="s">
        <v>385</v>
      </c>
      <c r="G3401" t="s">
        <v>7010</v>
      </c>
      <c r="H3401" t="str">
        <f>"00854631"</f>
        <v>00854631</v>
      </c>
      <c r="I3401">
        <v>24.52</v>
      </c>
      <c r="J3401">
        <v>0</v>
      </c>
      <c r="N3401">
        <v>0</v>
      </c>
      <c r="O3401">
        <v>4</v>
      </c>
      <c r="P3401">
        <v>0</v>
      </c>
      <c r="Q3401">
        <v>28.52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D3401">
        <v>28.52</v>
      </c>
    </row>
    <row r="3402" spans="1:30" x14ac:dyDescent="0.3">
      <c r="A3402" s="4">
        <v>3424</v>
      </c>
      <c r="B3402" s="5">
        <v>3395</v>
      </c>
      <c r="C3402">
        <v>4861</v>
      </c>
      <c r="D3402" t="s">
        <v>7011</v>
      </c>
      <c r="E3402" t="s">
        <v>7012</v>
      </c>
      <c r="F3402" t="s">
        <v>81</v>
      </c>
      <c r="G3402" t="s">
        <v>7013</v>
      </c>
      <c r="H3402" t="str">
        <f>"00865033"</f>
        <v>00865033</v>
      </c>
      <c r="I3402">
        <v>14.4</v>
      </c>
      <c r="J3402">
        <v>0</v>
      </c>
      <c r="K3402">
        <v>8</v>
      </c>
      <c r="N3402">
        <v>8</v>
      </c>
      <c r="O3402">
        <v>0</v>
      </c>
      <c r="P3402">
        <v>0</v>
      </c>
      <c r="Q3402">
        <v>22.4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6</v>
      </c>
      <c r="AB3402">
        <v>0</v>
      </c>
      <c r="AD3402">
        <v>28.4</v>
      </c>
    </row>
    <row r="3403" spans="1:30" x14ac:dyDescent="0.3">
      <c r="A3403" s="4">
        <v>3425</v>
      </c>
      <c r="B3403" s="5">
        <v>3396</v>
      </c>
      <c r="C3403">
        <v>4032</v>
      </c>
      <c r="D3403" t="s">
        <v>7014</v>
      </c>
      <c r="E3403" t="s">
        <v>188</v>
      </c>
      <c r="F3403" t="s">
        <v>17</v>
      </c>
      <c r="G3403" t="s">
        <v>7015</v>
      </c>
      <c r="H3403" t="str">
        <f>"00823481"</f>
        <v>00823481</v>
      </c>
      <c r="I3403">
        <v>14.4</v>
      </c>
      <c r="J3403">
        <v>0</v>
      </c>
      <c r="M3403">
        <v>4</v>
      </c>
      <c r="N3403">
        <v>4</v>
      </c>
      <c r="O3403">
        <v>4</v>
      </c>
      <c r="P3403">
        <v>0</v>
      </c>
      <c r="Q3403">
        <v>22.4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6</v>
      </c>
      <c r="AB3403">
        <v>0</v>
      </c>
      <c r="AD3403">
        <v>28.4</v>
      </c>
    </row>
    <row r="3404" spans="1:30" x14ac:dyDescent="0.3">
      <c r="A3404" s="4">
        <v>3426</v>
      </c>
      <c r="B3404" s="5">
        <v>3397</v>
      </c>
      <c r="C3404">
        <v>1845</v>
      </c>
      <c r="D3404" t="s">
        <v>7016</v>
      </c>
      <c r="E3404" t="s">
        <v>29</v>
      </c>
      <c r="F3404" t="s">
        <v>230</v>
      </c>
      <c r="G3404" t="s">
        <v>7017</v>
      </c>
      <c r="H3404" t="str">
        <f>"00713237"</f>
        <v>00713237</v>
      </c>
      <c r="I3404">
        <v>14.4</v>
      </c>
      <c r="J3404">
        <v>0</v>
      </c>
      <c r="M3404">
        <v>4</v>
      </c>
      <c r="N3404">
        <v>4</v>
      </c>
      <c r="O3404">
        <v>4</v>
      </c>
      <c r="P3404">
        <v>0</v>
      </c>
      <c r="Q3404">
        <v>22.4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6</v>
      </c>
      <c r="AB3404">
        <v>0</v>
      </c>
      <c r="AD3404">
        <v>28.4</v>
      </c>
    </row>
    <row r="3405" spans="1:30" x14ac:dyDescent="0.3">
      <c r="A3405" s="4">
        <v>3427</v>
      </c>
      <c r="B3405" s="5">
        <v>3398</v>
      </c>
      <c r="C3405">
        <v>4755</v>
      </c>
      <c r="D3405" t="s">
        <v>7018</v>
      </c>
      <c r="E3405" t="s">
        <v>166</v>
      </c>
      <c r="F3405" t="s">
        <v>136</v>
      </c>
      <c r="G3405" t="s">
        <v>7019</v>
      </c>
      <c r="H3405" t="str">
        <f>"00865465"</f>
        <v>00865465</v>
      </c>
      <c r="I3405">
        <v>14.4</v>
      </c>
      <c r="J3405">
        <v>0</v>
      </c>
      <c r="M3405">
        <v>4</v>
      </c>
      <c r="N3405">
        <v>4</v>
      </c>
      <c r="O3405">
        <v>4</v>
      </c>
      <c r="P3405">
        <v>0</v>
      </c>
      <c r="Q3405">
        <v>22.4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6</v>
      </c>
      <c r="AB3405">
        <v>0</v>
      </c>
      <c r="AD3405">
        <v>28.4</v>
      </c>
    </row>
    <row r="3406" spans="1:30" x14ac:dyDescent="0.3">
      <c r="A3406" s="4">
        <v>3428</v>
      </c>
      <c r="B3406" s="5">
        <v>3399</v>
      </c>
      <c r="C3406">
        <v>3939</v>
      </c>
      <c r="D3406" t="s">
        <v>7020</v>
      </c>
      <c r="E3406" t="s">
        <v>283</v>
      </c>
      <c r="F3406" t="s">
        <v>136</v>
      </c>
      <c r="G3406" t="s">
        <v>7021</v>
      </c>
      <c r="H3406" t="str">
        <f>"00108038"</f>
        <v>00108038</v>
      </c>
      <c r="I3406">
        <v>14.4</v>
      </c>
      <c r="J3406">
        <v>0</v>
      </c>
      <c r="M3406">
        <v>4</v>
      </c>
      <c r="N3406">
        <v>4</v>
      </c>
      <c r="O3406">
        <v>4</v>
      </c>
      <c r="P3406">
        <v>0</v>
      </c>
      <c r="Q3406">
        <v>22.4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6</v>
      </c>
      <c r="AB3406">
        <v>0</v>
      </c>
      <c r="AD3406">
        <v>28.4</v>
      </c>
    </row>
    <row r="3407" spans="1:30" x14ac:dyDescent="0.3">
      <c r="A3407" s="4">
        <v>3429</v>
      </c>
      <c r="B3407" s="5">
        <v>3400</v>
      </c>
      <c r="C3407">
        <v>2869</v>
      </c>
      <c r="D3407" t="s">
        <v>2335</v>
      </c>
      <c r="E3407" t="s">
        <v>7022</v>
      </c>
      <c r="F3407" t="s">
        <v>243</v>
      </c>
      <c r="G3407" t="s">
        <v>7023</v>
      </c>
      <c r="H3407" t="str">
        <f>"00182395"</f>
        <v>00182395</v>
      </c>
      <c r="I3407">
        <v>14.4</v>
      </c>
      <c r="J3407">
        <v>0</v>
      </c>
      <c r="N3407">
        <v>0</v>
      </c>
      <c r="O3407">
        <v>4</v>
      </c>
      <c r="P3407">
        <v>0</v>
      </c>
      <c r="Q3407">
        <v>18.399999999999999</v>
      </c>
      <c r="R3407">
        <v>7</v>
      </c>
      <c r="S3407">
        <v>7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7</v>
      </c>
      <c r="AA3407">
        <v>3</v>
      </c>
      <c r="AB3407">
        <v>0</v>
      </c>
      <c r="AD3407">
        <v>28.4</v>
      </c>
    </row>
    <row r="3408" spans="1:30" x14ac:dyDescent="0.3">
      <c r="A3408" s="4">
        <v>3430</v>
      </c>
      <c r="B3408" s="5">
        <v>3401</v>
      </c>
      <c r="C3408">
        <v>329</v>
      </c>
      <c r="D3408" t="s">
        <v>7024</v>
      </c>
      <c r="E3408" t="s">
        <v>2381</v>
      </c>
      <c r="F3408" t="s">
        <v>7025</v>
      </c>
      <c r="G3408" t="s">
        <v>7026</v>
      </c>
      <c r="H3408" t="str">
        <f>"00189694"</f>
        <v>00189694</v>
      </c>
      <c r="I3408">
        <v>24.4</v>
      </c>
      <c r="J3408">
        <v>0</v>
      </c>
      <c r="N3408">
        <v>0</v>
      </c>
      <c r="O3408">
        <v>4</v>
      </c>
      <c r="P3408">
        <v>0</v>
      </c>
      <c r="Q3408">
        <v>28.4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D3408">
        <v>28.4</v>
      </c>
    </row>
    <row r="3409" spans="1:30" x14ac:dyDescent="0.3">
      <c r="A3409" s="4">
        <v>3431</v>
      </c>
      <c r="B3409" s="5">
        <v>3402</v>
      </c>
      <c r="C3409">
        <v>2169</v>
      </c>
      <c r="D3409" t="s">
        <v>7027</v>
      </c>
      <c r="E3409" t="s">
        <v>33</v>
      </c>
      <c r="F3409" t="s">
        <v>117</v>
      </c>
      <c r="G3409" t="s">
        <v>7028</v>
      </c>
      <c r="H3409" t="str">
        <f>"00497530"</f>
        <v>00497530</v>
      </c>
      <c r="I3409">
        <v>24.4</v>
      </c>
      <c r="J3409">
        <v>0</v>
      </c>
      <c r="N3409">
        <v>0</v>
      </c>
      <c r="O3409">
        <v>4</v>
      </c>
      <c r="P3409">
        <v>0</v>
      </c>
      <c r="Q3409">
        <v>28.4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D3409">
        <v>28.4</v>
      </c>
    </row>
    <row r="3410" spans="1:30" x14ac:dyDescent="0.3">
      <c r="A3410" s="4">
        <v>3432</v>
      </c>
      <c r="B3410" s="5">
        <v>3403</v>
      </c>
      <c r="C3410">
        <v>732</v>
      </c>
      <c r="D3410" t="s">
        <v>7029</v>
      </c>
      <c r="E3410" t="s">
        <v>5255</v>
      </c>
      <c r="F3410" t="s">
        <v>38</v>
      </c>
      <c r="G3410" t="s">
        <v>7030</v>
      </c>
      <c r="H3410" t="str">
        <f>"00251659"</f>
        <v>00251659</v>
      </c>
      <c r="I3410">
        <v>14.4</v>
      </c>
      <c r="J3410">
        <v>10</v>
      </c>
      <c r="N3410">
        <v>0</v>
      </c>
      <c r="O3410">
        <v>4</v>
      </c>
      <c r="P3410">
        <v>0</v>
      </c>
      <c r="Q3410">
        <v>28.4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D3410">
        <v>28.4</v>
      </c>
    </row>
    <row r="3411" spans="1:30" x14ac:dyDescent="0.3">
      <c r="A3411" s="4">
        <v>3433</v>
      </c>
      <c r="B3411" s="5">
        <v>3404</v>
      </c>
      <c r="C3411">
        <v>2073</v>
      </c>
      <c r="D3411" t="s">
        <v>7031</v>
      </c>
      <c r="E3411" t="s">
        <v>178</v>
      </c>
      <c r="F3411" t="s">
        <v>136</v>
      </c>
      <c r="G3411" t="s">
        <v>7032</v>
      </c>
      <c r="H3411" t="str">
        <f>"00583126"</f>
        <v>00583126</v>
      </c>
      <c r="I3411">
        <v>14.4</v>
      </c>
      <c r="J3411">
        <v>0</v>
      </c>
      <c r="K3411">
        <v>8</v>
      </c>
      <c r="N3411">
        <v>8</v>
      </c>
      <c r="O3411">
        <v>4</v>
      </c>
      <c r="P3411">
        <v>2</v>
      </c>
      <c r="Q3411">
        <v>28.4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D3411">
        <v>28.4</v>
      </c>
    </row>
    <row r="3412" spans="1:30" x14ac:dyDescent="0.3">
      <c r="A3412" s="4">
        <v>3434</v>
      </c>
      <c r="B3412" s="5">
        <v>3405</v>
      </c>
      <c r="C3412">
        <v>4554</v>
      </c>
      <c r="D3412" t="s">
        <v>221</v>
      </c>
      <c r="E3412" t="s">
        <v>29</v>
      </c>
      <c r="F3412" t="s">
        <v>38</v>
      </c>
      <c r="G3412" t="s">
        <v>7033</v>
      </c>
      <c r="H3412" t="str">
        <f>"00533596"</f>
        <v>00533596</v>
      </c>
      <c r="I3412">
        <v>14.4</v>
      </c>
      <c r="J3412">
        <v>10</v>
      </c>
      <c r="N3412">
        <v>0</v>
      </c>
      <c r="O3412">
        <v>4</v>
      </c>
      <c r="P3412">
        <v>0</v>
      </c>
      <c r="Q3412">
        <v>28.4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D3412">
        <v>28.4</v>
      </c>
    </row>
    <row r="3413" spans="1:30" x14ac:dyDescent="0.3">
      <c r="A3413" s="4">
        <v>3435</v>
      </c>
      <c r="B3413" s="5">
        <v>3406</v>
      </c>
      <c r="C3413">
        <v>2793</v>
      </c>
      <c r="D3413" t="s">
        <v>7034</v>
      </c>
      <c r="E3413" t="s">
        <v>7035</v>
      </c>
      <c r="F3413" t="s">
        <v>52</v>
      </c>
      <c r="G3413" t="s">
        <v>7036</v>
      </c>
      <c r="H3413" t="str">
        <f>"00207109"</f>
        <v>00207109</v>
      </c>
      <c r="I3413">
        <v>14.4</v>
      </c>
      <c r="J3413">
        <v>10</v>
      </c>
      <c r="N3413">
        <v>0</v>
      </c>
      <c r="O3413">
        <v>4</v>
      </c>
      <c r="P3413">
        <v>0</v>
      </c>
      <c r="Q3413">
        <v>28.4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D3413">
        <v>28.4</v>
      </c>
    </row>
    <row r="3414" spans="1:30" x14ac:dyDescent="0.3">
      <c r="A3414" s="4">
        <v>3436</v>
      </c>
      <c r="B3414" s="5">
        <v>3407</v>
      </c>
      <c r="C3414">
        <v>3527</v>
      </c>
      <c r="D3414" t="s">
        <v>7037</v>
      </c>
      <c r="E3414" t="s">
        <v>38</v>
      </c>
      <c r="F3414" t="s">
        <v>17</v>
      </c>
      <c r="G3414" t="s">
        <v>7038</v>
      </c>
      <c r="H3414" t="str">
        <f>"00151992"</f>
        <v>00151992</v>
      </c>
      <c r="I3414">
        <v>14.4</v>
      </c>
      <c r="J3414">
        <v>0</v>
      </c>
      <c r="N3414">
        <v>0</v>
      </c>
      <c r="O3414">
        <v>0</v>
      </c>
      <c r="P3414">
        <v>0</v>
      </c>
      <c r="Q3414">
        <v>14.4</v>
      </c>
      <c r="R3414">
        <v>14</v>
      </c>
      <c r="S3414">
        <v>14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14</v>
      </c>
      <c r="AA3414">
        <v>0</v>
      </c>
      <c r="AB3414">
        <v>0</v>
      </c>
      <c r="AD3414">
        <v>28.4</v>
      </c>
    </row>
    <row r="3415" spans="1:30" x14ac:dyDescent="0.3">
      <c r="A3415" s="4">
        <v>3437</v>
      </c>
      <c r="B3415" s="5">
        <v>3408</v>
      </c>
      <c r="C3415">
        <v>55</v>
      </c>
      <c r="D3415" t="s">
        <v>255</v>
      </c>
      <c r="E3415" t="s">
        <v>182</v>
      </c>
      <c r="F3415" t="s">
        <v>17</v>
      </c>
      <c r="G3415" t="s">
        <v>7039</v>
      </c>
      <c r="H3415" t="str">
        <f>"00853351"</f>
        <v>00853351</v>
      </c>
      <c r="I3415">
        <v>28.36</v>
      </c>
      <c r="J3415">
        <v>0</v>
      </c>
      <c r="N3415">
        <v>0</v>
      </c>
      <c r="O3415">
        <v>0</v>
      </c>
      <c r="P3415">
        <v>0</v>
      </c>
      <c r="Q3415">
        <v>28.36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D3415">
        <v>28.36</v>
      </c>
    </row>
    <row r="3416" spans="1:30" x14ac:dyDescent="0.3">
      <c r="A3416" s="4">
        <v>3438</v>
      </c>
      <c r="B3416" s="5">
        <v>3409</v>
      </c>
      <c r="C3416">
        <v>1899</v>
      </c>
      <c r="D3416" t="s">
        <v>2416</v>
      </c>
      <c r="E3416" t="s">
        <v>48</v>
      </c>
      <c r="F3416" t="s">
        <v>343</v>
      </c>
      <c r="G3416" t="s">
        <v>7040</v>
      </c>
      <c r="H3416" t="str">
        <f>"00797464"</f>
        <v>00797464</v>
      </c>
      <c r="I3416">
        <v>24.36</v>
      </c>
      <c r="J3416">
        <v>0</v>
      </c>
      <c r="N3416">
        <v>0</v>
      </c>
      <c r="O3416">
        <v>4</v>
      </c>
      <c r="P3416">
        <v>0</v>
      </c>
      <c r="Q3416">
        <v>28.36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D3416">
        <v>28.36</v>
      </c>
    </row>
    <row r="3417" spans="1:30" x14ac:dyDescent="0.3">
      <c r="A3417" s="4">
        <v>3439</v>
      </c>
      <c r="B3417" s="5">
        <v>3410</v>
      </c>
      <c r="C3417">
        <v>4149</v>
      </c>
      <c r="D3417" t="s">
        <v>7041</v>
      </c>
      <c r="E3417" t="s">
        <v>789</v>
      </c>
      <c r="F3417" t="s">
        <v>17</v>
      </c>
      <c r="G3417" t="s">
        <v>7042</v>
      </c>
      <c r="H3417" t="str">
        <f>"00864759"</f>
        <v>00864759</v>
      </c>
      <c r="I3417">
        <v>25.32</v>
      </c>
      <c r="J3417">
        <v>0</v>
      </c>
      <c r="N3417">
        <v>0</v>
      </c>
      <c r="O3417">
        <v>0</v>
      </c>
      <c r="P3417">
        <v>0</v>
      </c>
      <c r="Q3417">
        <v>25.32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3</v>
      </c>
      <c r="AB3417">
        <v>0</v>
      </c>
      <c r="AD3417">
        <v>28.32</v>
      </c>
    </row>
    <row r="3418" spans="1:30" x14ac:dyDescent="0.3">
      <c r="A3418" s="4">
        <v>3440</v>
      </c>
      <c r="B3418" s="5">
        <v>3411</v>
      </c>
      <c r="C3418">
        <v>1153</v>
      </c>
      <c r="D3418" t="s">
        <v>7043</v>
      </c>
      <c r="E3418" t="s">
        <v>516</v>
      </c>
      <c r="F3418" t="s">
        <v>1526</v>
      </c>
      <c r="G3418" t="s">
        <v>7044</v>
      </c>
      <c r="H3418" t="str">
        <f>"201510002290"</f>
        <v>201510002290</v>
      </c>
      <c r="I3418">
        <v>21.32</v>
      </c>
      <c r="J3418">
        <v>0</v>
      </c>
      <c r="N3418">
        <v>0</v>
      </c>
      <c r="O3418">
        <v>4</v>
      </c>
      <c r="P3418">
        <v>0</v>
      </c>
      <c r="Q3418">
        <v>25.32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3</v>
      </c>
      <c r="AB3418">
        <v>0</v>
      </c>
      <c r="AD3418">
        <v>28.32</v>
      </c>
    </row>
    <row r="3419" spans="1:30" x14ac:dyDescent="0.3">
      <c r="A3419" s="4">
        <v>3441</v>
      </c>
      <c r="B3419" s="5">
        <v>3412</v>
      </c>
      <c r="C3419">
        <v>587</v>
      </c>
      <c r="D3419" t="s">
        <v>3350</v>
      </c>
      <c r="E3419" t="s">
        <v>26</v>
      </c>
      <c r="F3419" t="s">
        <v>782</v>
      </c>
      <c r="G3419" t="s">
        <v>7045</v>
      </c>
      <c r="H3419" t="str">
        <f>"00711740"</f>
        <v>00711740</v>
      </c>
      <c r="I3419">
        <v>16.28</v>
      </c>
      <c r="J3419">
        <v>0</v>
      </c>
      <c r="N3419">
        <v>0</v>
      </c>
      <c r="O3419">
        <v>0</v>
      </c>
      <c r="P3419">
        <v>0</v>
      </c>
      <c r="Q3419">
        <v>16.28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12</v>
      </c>
      <c r="AB3419">
        <v>0</v>
      </c>
      <c r="AD3419">
        <v>28.28</v>
      </c>
    </row>
    <row r="3420" spans="1:30" x14ac:dyDescent="0.3">
      <c r="A3420" s="4">
        <v>3442</v>
      </c>
      <c r="B3420" s="5">
        <v>3413</v>
      </c>
      <c r="C3420">
        <v>4950</v>
      </c>
      <c r="D3420" t="s">
        <v>7046</v>
      </c>
      <c r="E3420" t="s">
        <v>139</v>
      </c>
      <c r="F3420" t="s">
        <v>17</v>
      </c>
      <c r="G3420" t="s">
        <v>7047</v>
      </c>
      <c r="H3420" t="str">
        <f>"00865752"</f>
        <v>00865752</v>
      </c>
      <c r="I3420">
        <v>22.28</v>
      </c>
      <c r="J3420">
        <v>0</v>
      </c>
      <c r="N3420">
        <v>0</v>
      </c>
      <c r="O3420">
        <v>0</v>
      </c>
      <c r="P3420">
        <v>0</v>
      </c>
      <c r="Q3420">
        <v>22.28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6</v>
      </c>
      <c r="AB3420">
        <v>0</v>
      </c>
      <c r="AD3420">
        <v>28.28</v>
      </c>
    </row>
    <row r="3421" spans="1:30" x14ac:dyDescent="0.3">
      <c r="A3421" s="4">
        <v>3443</v>
      </c>
      <c r="B3421" s="5">
        <v>3414</v>
      </c>
      <c r="C3421">
        <v>4086</v>
      </c>
      <c r="D3421" t="s">
        <v>7048</v>
      </c>
      <c r="E3421" t="s">
        <v>26</v>
      </c>
      <c r="F3421" t="s">
        <v>81</v>
      </c>
      <c r="G3421" t="s">
        <v>7049</v>
      </c>
      <c r="H3421" t="str">
        <f>"00863131"</f>
        <v>00863131</v>
      </c>
      <c r="I3421">
        <v>18.28</v>
      </c>
      <c r="J3421">
        <v>0</v>
      </c>
      <c r="N3421">
        <v>0</v>
      </c>
      <c r="O3421">
        <v>4</v>
      </c>
      <c r="P3421">
        <v>0</v>
      </c>
      <c r="Q3421">
        <v>22.28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6</v>
      </c>
      <c r="AB3421">
        <v>0</v>
      </c>
      <c r="AD3421">
        <v>28.28</v>
      </c>
    </row>
    <row r="3422" spans="1:30" x14ac:dyDescent="0.3">
      <c r="A3422" s="4">
        <v>3444</v>
      </c>
      <c r="B3422" s="5">
        <v>3415</v>
      </c>
      <c r="C3422">
        <v>2486</v>
      </c>
      <c r="D3422" t="s">
        <v>7050</v>
      </c>
      <c r="E3422" t="s">
        <v>255</v>
      </c>
      <c r="F3422" t="s">
        <v>1983</v>
      </c>
      <c r="G3422" t="s">
        <v>7051</v>
      </c>
      <c r="H3422" t="str">
        <f>"00644267"</f>
        <v>00644267</v>
      </c>
      <c r="I3422">
        <v>28.28</v>
      </c>
      <c r="J3422">
        <v>0</v>
      </c>
      <c r="N3422">
        <v>0</v>
      </c>
      <c r="O3422">
        <v>0</v>
      </c>
      <c r="P3422">
        <v>0</v>
      </c>
      <c r="Q3422">
        <v>28.28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D3422">
        <v>28.28</v>
      </c>
    </row>
    <row r="3423" spans="1:30" x14ac:dyDescent="0.3">
      <c r="A3423" s="4">
        <v>3445</v>
      </c>
      <c r="B3423" s="5">
        <v>3416</v>
      </c>
      <c r="C3423">
        <v>787</v>
      </c>
      <c r="D3423" t="s">
        <v>7052</v>
      </c>
      <c r="E3423" t="s">
        <v>132</v>
      </c>
      <c r="F3423" t="s">
        <v>17</v>
      </c>
      <c r="G3423" t="s">
        <v>7053</v>
      </c>
      <c r="H3423" t="str">
        <f>"201412005403"</f>
        <v>201412005403</v>
      </c>
      <c r="I3423">
        <v>20.28</v>
      </c>
      <c r="J3423">
        <v>0</v>
      </c>
      <c r="M3423">
        <v>4</v>
      </c>
      <c r="N3423">
        <v>4</v>
      </c>
      <c r="O3423">
        <v>4</v>
      </c>
      <c r="P3423">
        <v>0</v>
      </c>
      <c r="Q3423">
        <v>28.28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D3423">
        <v>28.28</v>
      </c>
    </row>
    <row r="3424" spans="1:30" x14ac:dyDescent="0.3">
      <c r="A3424" s="4">
        <v>3446</v>
      </c>
      <c r="B3424" s="5">
        <v>3417</v>
      </c>
      <c r="C3424">
        <v>3036</v>
      </c>
      <c r="D3424" t="s">
        <v>7054</v>
      </c>
      <c r="E3424" t="s">
        <v>166</v>
      </c>
      <c r="F3424" t="s">
        <v>20</v>
      </c>
      <c r="G3424" t="s">
        <v>7055</v>
      </c>
      <c r="H3424" t="str">
        <f>"00348290"</f>
        <v>00348290</v>
      </c>
      <c r="I3424">
        <v>11.2</v>
      </c>
      <c r="J3424">
        <v>0</v>
      </c>
      <c r="N3424">
        <v>0</v>
      </c>
      <c r="O3424">
        <v>4</v>
      </c>
      <c r="P3424">
        <v>2</v>
      </c>
      <c r="Q3424">
        <v>17.2</v>
      </c>
      <c r="R3424">
        <v>5</v>
      </c>
      <c r="S3424">
        <v>5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5</v>
      </c>
      <c r="AA3424">
        <v>6</v>
      </c>
      <c r="AB3424">
        <v>0</v>
      </c>
      <c r="AD3424">
        <v>28.2</v>
      </c>
    </row>
    <row r="3425" spans="1:30" x14ac:dyDescent="0.3">
      <c r="A3425" s="4">
        <v>3447</v>
      </c>
      <c r="B3425" s="5">
        <v>3418</v>
      </c>
      <c r="C3425">
        <v>2697</v>
      </c>
      <c r="D3425" t="s">
        <v>7056</v>
      </c>
      <c r="E3425" t="s">
        <v>563</v>
      </c>
      <c r="F3425" t="s">
        <v>1265</v>
      </c>
      <c r="G3425" t="s">
        <v>7057</v>
      </c>
      <c r="H3425" t="str">
        <f>"00528637"</f>
        <v>00528637</v>
      </c>
      <c r="I3425">
        <v>7.2</v>
      </c>
      <c r="J3425">
        <v>10</v>
      </c>
      <c r="M3425">
        <v>4</v>
      </c>
      <c r="N3425">
        <v>4</v>
      </c>
      <c r="O3425">
        <v>4</v>
      </c>
      <c r="P3425">
        <v>0</v>
      </c>
      <c r="Q3425">
        <v>25.2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3</v>
      </c>
      <c r="AB3425">
        <v>0</v>
      </c>
      <c r="AD3425">
        <v>28.2</v>
      </c>
    </row>
    <row r="3426" spans="1:30" x14ac:dyDescent="0.3">
      <c r="A3426" s="4">
        <v>3448</v>
      </c>
      <c r="B3426" s="5">
        <v>3419</v>
      </c>
      <c r="C3426">
        <v>613</v>
      </c>
      <c r="D3426" t="s">
        <v>7058</v>
      </c>
      <c r="E3426" t="s">
        <v>2305</v>
      </c>
      <c r="F3426" t="s">
        <v>3130</v>
      </c>
      <c r="G3426" t="s">
        <v>7059</v>
      </c>
      <c r="H3426" t="str">
        <f>"00856129"</f>
        <v>00856129</v>
      </c>
      <c r="I3426">
        <v>7.2</v>
      </c>
      <c r="J3426">
        <v>10</v>
      </c>
      <c r="M3426">
        <v>4</v>
      </c>
      <c r="N3426">
        <v>4</v>
      </c>
      <c r="O3426">
        <v>4</v>
      </c>
      <c r="P3426">
        <v>0</v>
      </c>
      <c r="Q3426">
        <v>25.2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3</v>
      </c>
      <c r="AB3426">
        <v>0</v>
      </c>
      <c r="AD3426">
        <v>28.2</v>
      </c>
    </row>
    <row r="3427" spans="1:30" x14ac:dyDescent="0.3">
      <c r="A3427" s="4">
        <v>3449</v>
      </c>
      <c r="B3427" s="5">
        <v>3420</v>
      </c>
      <c r="C3427">
        <v>2578</v>
      </c>
      <c r="D3427" t="s">
        <v>7060</v>
      </c>
      <c r="E3427" t="s">
        <v>2150</v>
      </c>
      <c r="F3427" t="s">
        <v>158</v>
      </c>
      <c r="G3427" t="s">
        <v>7061</v>
      </c>
      <c r="H3427" t="str">
        <f>"00708404"</f>
        <v>00708404</v>
      </c>
      <c r="I3427">
        <v>18.2</v>
      </c>
      <c r="J3427">
        <v>10</v>
      </c>
      <c r="N3427">
        <v>0</v>
      </c>
      <c r="O3427">
        <v>0</v>
      </c>
      <c r="P3427">
        <v>0</v>
      </c>
      <c r="Q3427">
        <v>28.2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D3427">
        <v>28.2</v>
      </c>
    </row>
    <row r="3428" spans="1:30" x14ac:dyDescent="0.3">
      <c r="A3428" s="4">
        <v>3450</v>
      </c>
      <c r="B3428" s="5">
        <v>3421</v>
      </c>
      <c r="C3428">
        <v>1666</v>
      </c>
      <c r="D3428" t="s">
        <v>7062</v>
      </c>
      <c r="E3428" t="s">
        <v>273</v>
      </c>
      <c r="F3428" t="s">
        <v>238</v>
      </c>
      <c r="G3428" t="s">
        <v>7063</v>
      </c>
      <c r="H3428" t="str">
        <f>"00138333"</f>
        <v>00138333</v>
      </c>
      <c r="I3428">
        <v>7.2</v>
      </c>
      <c r="J3428">
        <v>10</v>
      </c>
      <c r="N3428">
        <v>0</v>
      </c>
      <c r="O3428">
        <v>4</v>
      </c>
      <c r="P3428">
        <v>2</v>
      </c>
      <c r="Q3428">
        <v>23.2</v>
      </c>
      <c r="R3428">
        <v>5</v>
      </c>
      <c r="S3428">
        <v>5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5</v>
      </c>
      <c r="AA3428">
        <v>0</v>
      </c>
      <c r="AB3428">
        <v>0</v>
      </c>
      <c r="AD3428">
        <v>28.2</v>
      </c>
    </row>
    <row r="3429" spans="1:30" x14ac:dyDescent="0.3">
      <c r="A3429" s="4">
        <v>3451</v>
      </c>
      <c r="B3429" s="5">
        <v>3422</v>
      </c>
      <c r="C3429">
        <v>2369</v>
      </c>
      <c r="D3429" t="s">
        <v>7064</v>
      </c>
      <c r="E3429" t="s">
        <v>188</v>
      </c>
      <c r="F3429" t="s">
        <v>1450</v>
      </c>
      <c r="G3429" t="s">
        <v>7065</v>
      </c>
      <c r="H3429" t="str">
        <f>"00659476"</f>
        <v>00659476</v>
      </c>
      <c r="I3429">
        <v>18.12</v>
      </c>
      <c r="J3429">
        <v>0</v>
      </c>
      <c r="N3429">
        <v>0</v>
      </c>
      <c r="O3429">
        <v>4</v>
      </c>
      <c r="P3429">
        <v>0</v>
      </c>
      <c r="Q3429">
        <v>22.12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6</v>
      </c>
      <c r="AB3429">
        <v>0</v>
      </c>
      <c r="AD3429">
        <v>28.12</v>
      </c>
    </row>
    <row r="3430" spans="1:30" x14ac:dyDescent="0.3">
      <c r="A3430" s="4">
        <v>3452</v>
      </c>
      <c r="B3430" s="5">
        <v>3423</v>
      </c>
      <c r="C3430">
        <v>1431</v>
      </c>
      <c r="D3430" t="s">
        <v>7066</v>
      </c>
      <c r="E3430" t="s">
        <v>33</v>
      </c>
      <c r="F3430" t="s">
        <v>136</v>
      </c>
      <c r="G3430" t="s">
        <v>7067</v>
      </c>
      <c r="H3430" t="str">
        <f>"00469919"</f>
        <v>00469919</v>
      </c>
      <c r="I3430">
        <v>14.12</v>
      </c>
      <c r="J3430">
        <v>0</v>
      </c>
      <c r="M3430">
        <v>4</v>
      </c>
      <c r="N3430">
        <v>4</v>
      </c>
      <c r="O3430">
        <v>4</v>
      </c>
      <c r="P3430">
        <v>0</v>
      </c>
      <c r="Q3430">
        <v>22.12</v>
      </c>
      <c r="R3430">
        <v>6</v>
      </c>
      <c r="S3430">
        <v>6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6</v>
      </c>
      <c r="AA3430">
        <v>0</v>
      </c>
      <c r="AB3430">
        <v>0</v>
      </c>
      <c r="AD3430">
        <v>28.12</v>
      </c>
    </row>
    <row r="3431" spans="1:30" x14ac:dyDescent="0.3">
      <c r="A3431" s="4">
        <v>3453</v>
      </c>
      <c r="B3431" s="5">
        <v>3424</v>
      </c>
      <c r="C3431">
        <v>2940</v>
      </c>
      <c r="D3431" t="s">
        <v>7068</v>
      </c>
      <c r="E3431" t="s">
        <v>65</v>
      </c>
      <c r="F3431" t="s">
        <v>7069</v>
      </c>
      <c r="G3431" t="s">
        <v>7070</v>
      </c>
      <c r="H3431" t="str">
        <f>"00254020"</f>
        <v>00254020</v>
      </c>
      <c r="I3431">
        <v>21.08</v>
      </c>
      <c r="J3431">
        <v>0</v>
      </c>
      <c r="M3431">
        <v>4</v>
      </c>
      <c r="N3431">
        <v>4</v>
      </c>
      <c r="O3431">
        <v>0</v>
      </c>
      <c r="P3431">
        <v>0</v>
      </c>
      <c r="Q3431">
        <v>25.08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3</v>
      </c>
      <c r="AB3431">
        <v>0</v>
      </c>
      <c r="AD3431">
        <v>28.08</v>
      </c>
    </row>
    <row r="3432" spans="1:30" x14ac:dyDescent="0.3">
      <c r="A3432" s="4">
        <v>3454</v>
      </c>
      <c r="B3432" s="5">
        <v>3425</v>
      </c>
      <c r="C3432">
        <v>3171</v>
      </c>
      <c r="D3432" t="s">
        <v>7071</v>
      </c>
      <c r="E3432" t="s">
        <v>104</v>
      </c>
      <c r="F3432" t="s">
        <v>328</v>
      </c>
      <c r="G3432" t="s">
        <v>7072</v>
      </c>
      <c r="H3432" t="str">
        <f>"00530449"</f>
        <v>00530449</v>
      </c>
      <c r="I3432">
        <v>18</v>
      </c>
      <c r="J3432">
        <v>0</v>
      </c>
      <c r="N3432">
        <v>0</v>
      </c>
      <c r="O3432">
        <v>4</v>
      </c>
      <c r="P3432">
        <v>0</v>
      </c>
      <c r="Q3432">
        <v>22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6</v>
      </c>
      <c r="AB3432">
        <v>0</v>
      </c>
      <c r="AD3432">
        <v>28</v>
      </c>
    </row>
    <row r="3433" spans="1:30" x14ac:dyDescent="0.3">
      <c r="A3433" s="4">
        <v>3455</v>
      </c>
      <c r="B3433" s="5">
        <v>3426</v>
      </c>
      <c r="C3433">
        <v>1927</v>
      </c>
      <c r="D3433" t="s">
        <v>7073</v>
      </c>
      <c r="E3433" t="s">
        <v>7074</v>
      </c>
      <c r="F3433" t="s">
        <v>1526</v>
      </c>
      <c r="G3433" t="s">
        <v>7075</v>
      </c>
      <c r="H3433" t="str">
        <f>"00773430"</f>
        <v>00773430</v>
      </c>
      <c r="I3433">
        <v>28</v>
      </c>
      <c r="J3433">
        <v>0</v>
      </c>
      <c r="N3433">
        <v>0</v>
      </c>
      <c r="O3433">
        <v>0</v>
      </c>
      <c r="P3433">
        <v>0</v>
      </c>
      <c r="Q3433">
        <v>28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D3433">
        <v>28</v>
      </c>
    </row>
    <row r="3434" spans="1:30" x14ac:dyDescent="0.3">
      <c r="A3434" s="4">
        <v>3456</v>
      </c>
      <c r="B3434" s="5">
        <v>3427</v>
      </c>
      <c r="C3434">
        <v>3170</v>
      </c>
      <c r="D3434" t="s">
        <v>7076</v>
      </c>
      <c r="E3434" t="s">
        <v>1117</v>
      </c>
      <c r="F3434" t="s">
        <v>7077</v>
      </c>
      <c r="G3434" t="s">
        <v>7078</v>
      </c>
      <c r="H3434" t="str">
        <f>"00531427"</f>
        <v>00531427</v>
      </c>
      <c r="I3434">
        <v>0</v>
      </c>
      <c r="J3434">
        <v>10</v>
      </c>
      <c r="N3434">
        <v>0</v>
      </c>
      <c r="O3434">
        <v>0</v>
      </c>
      <c r="P3434">
        <v>0</v>
      </c>
      <c r="Q3434">
        <v>10</v>
      </c>
      <c r="R3434">
        <v>18</v>
      </c>
      <c r="S3434">
        <v>18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18</v>
      </c>
      <c r="AA3434">
        <v>0</v>
      </c>
      <c r="AB3434">
        <v>0</v>
      </c>
      <c r="AD3434">
        <v>28</v>
      </c>
    </row>
    <row r="3435" spans="1:30" x14ac:dyDescent="0.3">
      <c r="A3435" s="4">
        <v>3457</v>
      </c>
      <c r="B3435" s="5">
        <v>3428</v>
      </c>
      <c r="C3435">
        <v>161</v>
      </c>
      <c r="D3435" t="s">
        <v>7079</v>
      </c>
      <c r="E3435" t="s">
        <v>471</v>
      </c>
      <c r="F3435" t="s">
        <v>38</v>
      </c>
      <c r="G3435" t="s">
        <v>7080</v>
      </c>
      <c r="H3435" t="str">
        <f>"00524488"</f>
        <v>00524488</v>
      </c>
      <c r="I3435">
        <v>0</v>
      </c>
      <c r="J3435">
        <v>0</v>
      </c>
      <c r="N3435">
        <v>0</v>
      </c>
      <c r="O3435">
        <v>4</v>
      </c>
      <c r="P3435">
        <v>2</v>
      </c>
      <c r="Q3435">
        <v>6</v>
      </c>
      <c r="R3435">
        <v>0</v>
      </c>
      <c r="S3435">
        <v>0</v>
      </c>
      <c r="T3435">
        <v>11</v>
      </c>
      <c r="U3435">
        <v>22</v>
      </c>
      <c r="V3435">
        <v>0</v>
      </c>
      <c r="W3435">
        <v>0</v>
      </c>
      <c r="X3435">
        <v>0</v>
      </c>
      <c r="Y3435">
        <v>0</v>
      </c>
      <c r="Z3435">
        <v>22</v>
      </c>
      <c r="AA3435">
        <v>0</v>
      </c>
      <c r="AB3435">
        <v>0</v>
      </c>
      <c r="AD3435">
        <v>28</v>
      </c>
    </row>
    <row r="3436" spans="1:30" x14ac:dyDescent="0.3">
      <c r="A3436" s="4">
        <v>3458</v>
      </c>
      <c r="B3436" s="5">
        <v>3429</v>
      </c>
      <c r="C3436">
        <v>1495</v>
      </c>
      <c r="D3436" t="s">
        <v>7081</v>
      </c>
      <c r="E3436" t="s">
        <v>7082</v>
      </c>
      <c r="F3436" t="s">
        <v>230</v>
      </c>
      <c r="G3436" t="s">
        <v>7083</v>
      </c>
      <c r="H3436" t="str">
        <f>"00718224"</f>
        <v>00718224</v>
      </c>
      <c r="I3436">
        <v>18.8</v>
      </c>
      <c r="J3436">
        <v>0</v>
      </c>
      <c r="N3436">
        <v>0</v>
      </c>
      <c r="O3436">
        <v>0</v>
      </c>
      <c r="P3436">
        <v>0</v>
      </c>
      <c r="Q3436">
        <v>18.8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9</v>
      </c>
      <c r="AB3436">
        <v>0</v>
      </c>
      <c r="AD3436">
        <v>27.8</v>
      </c>
    </row>
    <row r="3437" spans="1:30" x14ac:dyDescent="0.3">
      <c r="A3437" s="4">
        <v>3459</v>
      </c>
      <c r="B3437" s="5">
        <v>3430</v>
      </c>
      <c r="C3437">
        <v>1710</v>
      </c>
      <c r="D3437" t="s">
        <v>7084</v>
      </c>
      <c r="E3437" t="s">
        <v>88</v>
      </c>
      <c r="F3437" t="s">
        <v>38</v>
      </c>
      <c r="G3437" t="s">
        <v>7085</v>
      </c>
      <c r="H3437" t="str">
        <f>"00774151"</f>
        <v>00774151</v>
      </c>
      <c r="I3437">
        <v>20.8</v>
      </c>
      <c r="J3437">
        <v>0</v>
      </c>
      <c r="N3437">
        <v>0</v>
      </c>
      <c r="O3437">
        <v>4</v>
      </c>
      <c r="P3437">
        <v>0</v>
      </c>
      <c r="Q3437">
        <v>24.8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3</v>
      </c>
      <c r="AB3437">
        <v>0</v>
      </c>
      <c r="AD3437">
        <v>27.8</v>
      </c>
    </row>
    <row r="3438" spans="1:30" x14ac:dyDescent="0.3">
      <c r="A3438" s="4">
        <v>3460</v>
      </c>
      <c r="B3438" s="5">
        <v>3431</v>
      </c>
      <c r="C3438">
        <v>124</v>
      </c>
      <c r="D3438" t="s">
        <v>4814</v>
      </c>
      <c r="E3438" t="s">
        <v>550</v>
      </c>
      <c r="F3438" t="s">
        <v>62</v>
      </c>
      <c r="G3438" t="s">
        <v>7086</v>
      </c>
      <c r="H3438" t="str">
        <f>"00650470"</f>
        <v>00650470</v>
      </c>
      <c r="I3438">
        <v>14.76</v>
      </c>
      <c r="J3438">
        <v>0</v>
      </c>
      <c r="N3438">
        <v>0</v>
      </c>
      <c r="O3438">
        <v>4</v>
      </c>
      <c r="P3438">
        <v>0</v>
      </c>
      <c r="Q3438">
        <v>18.760000000000002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9</v>
      </c>
      <c r="AB3438">
        <v>0</v>
      </c>
      <c r="AD3438">
        <v>27.76</v>
      </c>
    </row>
    <row r="3439" spans="1:30" x14ac:dyDescent="0.3">
      <c r="A3439" s="4">
        <v>3461</v>
      </c>
      <c r="B3439" s="5">
        <v>3432</v>
      </c>
      <c r="C3439">
        <v>635</v>
      </c>
      <c r="D3439" t="s">
        <v>4893</v>
      </c>
      <c r="E3439" t="s">
        <v>29</v>
      </c>
      <c r="F3439" t="s">
        <v>38</v>
      </c>
      <c r="G3439" t="s">
        <v>7087</v>
      </c>
      <c r="H3439" t="str">
        <f>"00848633"</f>
        <v>00848633</v>
      </c>
      <c r="I3439">
        <v>19.72</v>
      </c>
      <c r="J3439">
        <v>0</v>
      </c>
      <c r="N3439">
        <v>0</v>
      </c>
      <c r="O3439">
        <v>0</v>
      </c>
      <c r="P3439">
        <v>2</v>
      </c>
      <c r="Q3439">
        <v>21.72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6</v>
      </c>
      <c r="AB3439">
        <v>0</v>
      </c>
      <c r="AD3439">
        <v>27.72</v>
      </c>
    </row>
    <row r="3440" spans="1:30" x14ac:dyDescent="0.3">
      <c r="A3440" s="4">
        <v>3462</v>
      </c>
      <c r="B3440" s="5">
        <v>3433</v>
      </c>
      <c r="C3440">
        <v>4632</v>
      </c>
      <c r="D3440" t="s">
        <v>7088</v>
      </c>
      <c r="E3440" t="s">
        <v>1743</v>
      </c>
      <c r="F3440" t="s">
        <v>7089</v>
      </c>
      <c r="G3440" t="s">
        <v>7090</v>
      </c>
      <c r="H3440" t="str">
        <f>"00557209"</f>
        <v>00557209</v>
      </c>
      <c r="I3440">
        <v>20.72</v>
      </c>
      <c r="J3440">
        <v>0</v>
      </c>
      <c r="N3440">
        <v>0</v>
      </c>
      <c r="O3440">
        <v>4</v>
      </c>
      <c r="P3440">
        <v>0</v>
      </c>
      <c r="Q3440">
        <v>24.72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3</v>
      </c>
      <c r="AB3440">
        <v>0</v>
      </c>
      <c r="AD3440">
        <v>27.72</v>
      </c>
    </row>
    <row r="3441" spans="1:30" x14ac:dyDescent="0.3">
      <c r="A3441" s="4">
        <v>3463</v>
      </c>
      <c r="B3441" s="5">
        <v>3434</v>
      </c>
      <c r="C3441">
        <v>3826</v>
      </c>
      <c r="D3441" t="s">
        <v>7091</v>
      </c>
      <c r="E3441" t="s">
        <v>2372</v>
      </c>
      <c r="F3441" t="s">
        <v>136</v>
      </c>
      <c r="G3441" t="s">
        <v>7092</v>
      </c>
      <c r="H3441" t="str">
        <f>"00795374"</f>
        <v>00795374</v>
      </c>
      <c r="I3441">
        <v>27.64</v>
      </c>
      <c r="J3441">
        <v>0</v>
      </c>
      <c r="N3441">
        <v>0</v>
      </c>
      <c r="O3441">
        <v>0</v>
      </c>
      <c r="P3441">
        <v>0</v>
      </c>
      <c r="Q3441">
        <v>27.64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D3441">
        <v>27.64</v>
      </c>
    </row>
    <row r="3442" spans="1:30" x14ac:dyDescent="0.3">
      <c r="A3442" s="4">
        <v>3464</v>
      </c>
      <c r="B3442" s="5">
        <v>3435</v>
      </c>
      <c r="C3442">
        <v>261</v>
      </c>
      <c r="D3442" t="s">
        <v>7093</v>
      </c>
      <c r="E3442" t="s">
        <v>342</v>
      </c>
      <c r="F3442" t="s">
        <v>190</v>
      </c>
      <c r="G3442" t="s">
        <v>7094</v>
      </c>
      <c r="H3442" t="str">
        <f>"00556019"</f>
        <v>00556019</v>
      </c>
      <c r="I3442">
        <v>21.6</v>
      </c>
      <c r="J3442">
        <v>0</v>
      </c>
      <c r="N3442">
        <v>0</v>
      </c>
      <c r="O3442">
        <v>0</v>
      </c>
      <c r="P3442">
        <v>0</v>
      </c>
      <c r="Q3442">
        <v>21.6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6</v>
      </c>
      <c r="AB3442">
        <v>0</v>
      </c>
      <c r="AD3442">
        <v>27.6</v>
      </c>
    </row>
    <row r="3443" spans="1:30" x14ac:dyDescent="0.3">
      <c r="A3443" s="4">
        <v>3465</v>
      </c>
      <c r="B3443" s="5">
        <v>3436</v>
      </c>
      <c r="C3443">
        <v>1629</v>
      </c>
      <c r="D3443" t="s">
        <v>7095</v>
      </c>
      <c r="E3443" t="s">
        <v>41</v>
      </c>
      <c r="F3443" t="s">
        <v>20</v>
      </c>
      <c r="G3443" t="s">
        <v>7096</v>
      </c>
      <c r="H3443" t="str">
        <f>"00858921"</f>
        <v>00858921</v>
      </c>
      <c r="I3443">
        <v>21.6</v>
      </c>
      <c r="J3443">
        <v>0</v>
      </c>
      <c r="N3443">
        <v>0</v>
      </c>
      <c r="O3443">
        <v>0</v>
      </c>
      <c r="P3443">
        <v>0</v>
      </c>
      <c r="Q3443">
        <v>21.6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6</v>
      </c>
      <c r="AB3443">
        <v>0</v>
      </c>
      <c r="AD3443">
        <v>27.6</v>
      </c>
    </row>
    <row r="3444" spans="1:30" x14ac:dyDescent="0.3">
      <c r="A3444" s="4">
        <v>3466</v>
      </c>
      <c r="B3444" s="5">
        <v>3437</v>
      </c>
      <c r="C3444">
        <v>3273</v>
      </c>
      <c r="D3444" t="s">
        <v>2666</v>
      </c>
      <c r="E3444" t="s">
        <v>147</v>
      </c>
      <c r="F3444" t="s">
        <v>20</v>
      </c>
      <c r="G3444" t="s">
        <v>7097</v>
      </c>
      <c r="H3444" t="str">
        <f>"00855341"</f>
        <v>00855341</v>
      </c>
      <c r="I3444">
        <v>21.6</v>
      </c>
      <c r="J3444">
        <v>0</v>
      </c>
      <c r="N3444">
        <v>0</v>
      </c>
      <c r="O3444">
        <v>0</v>
      </c>
      <c r="P3444">
        <v>0</v>
      </c>
      <c r="Q3444">
        <v>21.6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6</v>
      </c>
      <c r="AB3444">
        <v>0</v>
      </c>
      <c r="AD3444">
        <v>27.6</v>
      </c>
    </row>
    <row r="3445" spans="1:30" x14ac:dyDescent="0.3">
      <c r="A3445" s="4">
        <v>3467</v>
      </c>
      <c r="B3445" s="5">
        <v>3438</v>
      </c>
      <c r="C3445">
        <v>2646</v>
      </c>
      <c r="D3445" t="s">
        <v>7098</v>
      </c>
      <c r="E3445" t="s">
        <v>178</v>
      </c>
      <c r="F3445" t="s">
        <v>81</v>
      </c>
      <c r="G3445" t="s">
        <v>7099</v>
      </c>
      <c r="H3445" t="str">
        <f>"00558204"</f>
        <v>00558204</v>
      </c>
      <c r="I3445">
        <v>21.6</v>
      </c>
      <c r="J3445">
        <v>0</v>
      </c>
      <c r="N3445">
        <v>0</v>
      </c>
      <c r="O3445">
        <v>0</v>
      </c>
      <c r="P3445">
        <v>0</v>
      </c>
      <c r="Q3445">
        <v>21.6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6</v>
      </c>
      <c r="AB3445">
        <v>0</v>
      </c>
      <c r="AD3445">
        <v>27.6</v>
      </c>
    </row>
    <row r="3446" spans="1:30" x14ac:dyDescent="0.3">
      <c r="A3446" s="4">
        <v>3468</v>
      </c>
      <c r="B3446" s="5">
        <v>3439</v>
      </c>
      <c r="C3446">
        <v>2832</v>
      </c>
      <c r="D3446" t="s">
        <v>1847</v>
      </c>
      <c r="E3446" t="s">
        <v>7100</v>
      </c>
      <c r="F3446" t="s">
        <v>117</v>
      </c>
      <c r="G3446" t="s">
        <v>7101</v>
      </c>
      <c r="H3446" t="str">
        <f>"00862719"</f>
        <v>00862719</v>
      </c>
      <c r="I3446">
        <v>21.6</v>
      </c>
      <c r="J3446">
        <v>0</v>
      </c>
      <c r="N3446">
        <v>0</v>
      </c>
      <c r="O3446">
        <v>0</v>
      </c>
      <c r="P3446">
        <v>0</v>
      </c>
      <c r="Q3446">
        <v>21.6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6</v>
      </c>
      <c r="AB3446">
        <v>0</v>
      </c>
      <c r="AD3446">
        <v>27.6</v>
      </c>
    </row>
    <row r="3447" spans="1:30" x14ac:dyDescent="0.3">
      <c r="A3447" s="4">
        <v>3469</v>
      </c>
      <c r="B3447" s="5">
        <v>3440</v>
      </c>
      <c r="C3447">
        <v>2014</v>
      </c>
      <c r="D3447" t="s">
        <v>7102</v>
      </c>
      <c r="E3447" t="s">
        <v>471</v>
      </c>
      <c r="F3447" t="s">
        <v>17</v>
      </c>
      <c r="G3447" t="s">
        <v>7103</v>
      </c>
      <c r="H3447" t="str">
        <f>"00533132"</f>
        <v>00533132</v>
      </c>
      <c r="I3447">
        <v>17.600000000000001</v>
      </c>
      <c r="J3447">
        <v>0</v>
      </c>
      <c r="N3447">
        <v>0</v>
      </c>
      <c r="O3447">
        <v>4</v>
      </c>
      <c r="P3447">
        <v>0</v>
      </c>
      <c r="Q3447">
        <v>21.6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6</v>
      </c>
      <c r="AB3447">
        <v>0</v>
      </c>
      <c r="AD3447">
        <v>27.6</v>
      </c>
    </row>
    <row r="3448" spans="1:30" x14ac:dyDescent="0.3">
      <c r="A3448" s="4">
        <v>3470</v>
      </c>
      <c r="B3448" s="5">
        <v>3441</v>
      </c>
      <c r="C3448">
        <v>3446</v>
      </c>
      <c r="D3448" t="s">
        <v>7104</v>
      </c>
      <c r="E3448" t="s">
        <v>166</v>
      </c>
      <c r="F3448" t="s">
        <v>539</v>
      </c>
      <c r="G3448" t="s">
        <v>7105</v>
      </c>
      <c r="H3448" t="str">
        <f>"00530735"</f>
        <v>00530735</v>
      </c>
      <c r="I3448">
        <v>21.6</v>
      </c>
      <c r="J3448">
        <v>0</v>
      </c>
      <c r="N3448">
        <v>0</v>
      </c>
      <c r="O3448">
        <v>0</v>
      </c>
      <c r="P3448">
        <v>0</v>
      </c>
      <c r="Q3448">
        <v>21.6</v>
      </c>
      <c r="R3448">
        <v>3</v>
      </c>
      <c r="S3448">
        <v>3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3</v>
      </c>
      <c r="AA3448">
        <v>3</v>
      </c>
      <c r="AB3448">
        <v>0</v>
      </c>
      <c r="AD3448">
        <v>27.6</v>
      </c>
    </row>
    <row r="3449" spans="1:30" x14ac:dyDescent="0.3">
      <c r="A3449" s="4">
        <v>3471</v>
      </c>
      <c r="B3449" s="5">
        <v>3442</v>
      </c>
      <c r="C3449">
        <v>1617</v>
      </c>
      <c r="D3449" t="s">
        <v>7106</v>
      </c>
      <c r="E3449" t="s">
        <v>178</v>
      </c>
      <c r="F3449" t="s">
        <v>782</v>
      </c>
      <c r="G3449" t="s">
        <v>7107</v>
      </c>
      <c r="H3449" t="str">
        <f>"00856772"</f>
        <v>00856772</v>
      </c>
      <c r="I3449">
        <v>27.6</v>
      </c>
      <c r="J3449">
        <v>0</v>
      </c>
      <c r="N3449">
        <v>0</v>
      </c>
      <c r="O3449">
        <v>0</v>
      </c>
      <c r="P3449">
        <v>0</v>
      </c>
      <c r="Q3449">
        <v>27.6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D3449">
        <v>27.6</v>
      </c>
    </row>
    <row r="3450" spans="1:30" x14ac:dyDescent="0.3">
      <c r="A3450" s="4">
        <v>3472</v>
      </c>
      <c r="B3450" s="5">
        <v>3443</v>
      </c>
      <c r="C3450">
        <v>3328</v>
      </c>
      <c r="D3450" t="s">
        <v>7108</v>
      </c>
      <c r="E3450" t="s">
        <v>161</v>
      </c>
      <c r="F3450" t="s">
        <v>38</v>
      </c>
      <c r="G3450" t="s">
        <v>7109</v>
      </c>
      <c r="H3450" t="str">
        <f>"00529294"</f>
        <v>00529294</v>
      </c>
      <c r="I3450">
        <v>27.6</v>
      </c>
      <c r="J3450">
        <v>0</v>
      </c>
      <c r="N3450">
        <v>0</v>
      </c>
      <c r="O3450">
        <v>0</v>
      </c>
      <c r="P3450">
        <v>0</v>
      </c>
      <c r="Q3450">
        <v>27.6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D3450">
        <v>27.6</v>
      </c>
    </row>
    <row r="3451" spans="1:30" x14ac:dyDescent="0.3">
      <c r="A3451" s="4">
        <v>3473</v>
      </c>
      <c r="B3451" s="5">
        <v>3444</v>
      </c>
      <c r="C3451">
        <v>4822</v>
      </c>
      <c r="D3451" t="s">
        <v>4355</v>
      </c>
      <c r="E3451" t="s">
        <v>2011</v>
      </c>
      <c r="F3451" t="s">
        <v>52</v>
      </c>
      <c r="G3451" t="s">
        <v>7110</v>
      </c>
      <c r="H3451" t="str">
        <f>"00866938"</f>
        <v>00866938</v>
      </c>
      <c r="I3451">
        <v>25.6</v>
      </c>
      <c r="J3451">
        <v>0</v>
      </c>
      <c r="N3451">
        <v>0</v>
      </c>
      <c r="O3451">
        <v>0</v>
      </c>
      <c r="P3451">
        <v>2</v>
      </c>
      <c r="Q3451">
        <v>27.6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D3451">
        <v>27.6</v>
      </c>
    </row>
    <row r="3452" spans="1:30" x14ac:dyDescent="0.3">
      <c r="A3452" s="4">
        <v>3474</v>
      </c>
      <c r="B3452" s="5">
        <v>3445</v>
      </c>
      <c r="C3452">
        <v>3688</v>
      </c>
      <c r="D3452" t="s">
        <v>181</v>
      </c>
      <c r="E3452" t="s">
        <v>126</v>
      </c>
      <c r="F3452" t="s">
        <v>136</v>
      </c>
      <c r="G3452" t="s">
        <v>7111</v>
      </c>
      <c r="H3452" t="str">
        <f>"00861632"</f>
        <v>00861632</v>
      </c>
      <c r="I3452">
        <v>23.6</v>
      </c>
      <c r="J3452">
        <v>0</v>
      </c>
      <c r="N3452">
        <v>0</v>
      </c>
      <c r="O3452">
        <v>4</v>
      </c>
      <c r="P3452">
        <v>0</v>
      </c>
      <c r="Q3452">
        <v>27.6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D3452">
        <v>27.6</v>
      </c>
    </row>
    <row r="3453" spans="1:30" x14ac:dyDescent="0.3">
      <c r="A3453" s="4">
        <v>3475</v>
      </c>
      <c r="B3453" s="5">
        <v>3446</v>
      </c>
      <c r="C3453">
        <v>1536</v>
      </c>
      <c r="D3453" t="s">
        <v>5915</v>
      </c>
      <c r="E3453" t="s">
        <v>957</v>
      </c>
      <c r="F3453" t="s">
        <v>34</v>
      </c>
      <c r="G3453" t="s">
        <v>7112</v>
      </c>
      <c r="H3453" t="str">
        <f>"00853457"</f>
        <v>00853457</v>
      </c>
      <c r="I3453">
        <v>21.6</v>
      </c>
      <c r="J3453">
        <v>0</v>
      </c>
      <c r="M3453">
        <v>4</v>
      </c>
      <c r="N3453">
        <v>4</v>
      </c>
      <c r="O3453">
        <v>0</v>
      </c>
      <c r="P3453">
        <v>2</v>
      </c>
      <c r="Q3453">
        <v>27.6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D3453">
        <v>27.6</v>
      </c>
    </row>
    <row r="3454" spans="1:30" x14ac:dyDescent="0.3">
      <c r="A3454" s="4">
        <v>3476</v>
      </c>
      <c r="B3454" s="5">
        <v>3447</v>
      </c>
      <c r="C3454">
        <v>4531</v>
      </c>
      <c r="D3454" t="s">
        <v>7113</v>
      </c>
      <c r="E3454" t="s">
        <v>1508</v>
      </c>
      <c r="F3454" t="s">
        <v>7114</v>
      </c>
      <c r="G3454" t="s">
        <v>7115</v>
      </c>
      <c r="H3454" t="str">
        <f>"00491366"</f>
        <v>00491366</v>
      </c>
      <c r="I3454">
        <v>21.6</v>
      </c>
      <c r="J3454">
        <v>0</v>
      </c>
      <c r="M3454">
        <v>4</v>
      </c>
      <c r="N3454">
        <v>4</v>
      </c>
      <c r="O3454">
        <v>0</v>
      </c>
      <c r="P3454">
        <v>2</v>
      </c>
      <c r="Q3454">
        <v>27.6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D3454">
        <v>27.6</v>
      </c>
    </row>
    <row r="3455" spans="1:30" x14ac:dyDescent="0.3">
      <c r="A3455" s="4">
        <v>3477</v>
      </c>
      <c r="B3455" s="5">
        <v>3448</v>
      </c>
      <c r="C3455">
        <v>3119</v>
      </c>
      <c r="D3455" t="s">
        <v>4853</v>
      </c>
      <c r="E3455" t="s">
        <v>54</v>
      </c>
      <c r="F3455" t="s">
        <v>2746</v>
      </c>
      <c r="G3455" t="s">
        <v>7116</v>
      </c>
      <c r="H3455" t="str">
        <f>"00229602"</f>
        <v>00229602</v>
      </c>
      <c r="I3455">
        <v>21.6</v>
      </c>
      <c r="J3455">
        <v>0</v>
      </c>
      <c r="M3455">
        <v>4</v>
      </c>
      <c r="N3455">
        <v>4</v>
      </c>
      <c r="O3455">
        <v>0</v>
      </c>
      <c r="P3455">
        <v>2</v>
      </c>
      <c r="Q3455">
        <v>27.6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D3455">
        <v>27.6</v>
      </c>
    </row>
    <row r="3456" spans="1:30" x14ac:dyDescent="0.3">
      <c r="A3456" s="4">
        <v>3478</v>
      </c>
      <c r="B3456" s="5">
        <v>3449</v>
      </c>
      <c r="C3456">
        <v>1410</v>
      </c>
      <c r="D3456" t="s">
        <v>198</v>
      </c>
      <c r="E3456" t="s">
        <v>2758</v>
      </c>
      <c r="F3456" t="s">
        <v>167</v>
      </c>
      <c r="G3456" t="s">
        <v>7117</v>
      </c>
      <c r="H3456" t="str">
        <f>"00858048"</f>
        <v>00858048</v>
      </c>
      <c r="I3456">
        <v>21.6</v>
      </c>
      <c r="J3456">
        <v>0</v>
      </c>
      <c r="N3456">
        <v>0</v>
      </c>
      <c r="O3456">
        <v>4</v>
      </c>
      <c r="P3456">
        <v>2</v>
      </c>
      <c r="Q3456">
        <v>27.6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D3456">
        <v>27.6</v>
      </c>
    </row>
    <row r="3457" spans="1:30" x14ac:dyDescent="0.3">
      <c r="A3457" s="4">
        <v>3479</v>
      </c>
      <c r="B3457" s="5">
        <v>3450</v>
      </c>
      <c r="C3457">
        <v>179</v>
      </c>
      <c r="D3457" t="s">
        <v>7118</v>
      </c>
      <c r="E3457" t="s">
        <v>692</v>
      </c>
      <c r="F3457" t="s">
        <v>136</v>
      </c>
      <c r="G3457" t="s">
        <v>7119</v>
      </c>
      <c r="H3457" t="str">
        <f>"00857469"</f>
        <v>00857469</v>
      </c>
      <c r="I3457">
        <v>21.6</v>
      </c>
      <c r="J3457">
        <v>0</v>
      </c>
      <c r="N3457">
        <v>0</v>
      </c>
      <c r="O3457">
        <v>4</v>
      </c>
      <c r="P3457">
        <v>2</v>
      </c>
      <c r="Q3457">
        <v>27.6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D3457">
        <v>27.6</v>
      </c>
    </row>
    <row r="3458" spans="1:30" x14ac:dyDescent="0.3">
      <c r="A3458" s="4">
        <v>3480</v>
      </c>
      <c r="B3458" s="5">
        <v>3451</v>
      </c>
      <c r="C3458">
        <v>1881</v>
      </c>
      <c r="D3458" t="s">
        <v>577</v>
      </c>
      <c r="E3458" t="s">
        <v>188</v>
      </c>
      <c r="F3458" t="s">
        <v>124</v>
      </c>
      <c r="G3458" t="s">
        <v>7120</v>
      </c>
      <c r="H3458" t="str">
        <f>"00279966"</f>
        <v>00279966</v>
      </c>
      <c r="I3458">
        <v>21.6</v>
      </c>
      <c r="J3458">
        <v>0</v>
      </c>
      <c r="M3458">
        <v>4</v>
      </c>
      <c r="N3458">
        <v>4</v>
      </c>
      <c r="O3458">
        <v>0</v>
      </c>
      <c r="P3458">
        <v>2</v>
      </c>
      <c r="Q3458">
        <v>27.6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D3458">
        <v>27.6</v>
      </c>
    </row>
    <row r="3459" spans="1:30" x14ac:dyDescent="0.3">
      <c r="A3459" s="4">
        <v>3481</v>
      </c>
      <c r="B3459" s="5">
        <v>3452</v>
      </c>
      <c r="C3459">
        <v>1777</v>
      </c>
      <c r="D3459" t="s">
        <v>7121</v>
      </c>
      <c r="E3459" t="s">
        <v>789</v>
      </c>
      <c r="F3459" t="s">
        <v>38</v>
      </c>
      <c r="G3459" t="s">
        <v>7122</v>
      </c>
      <c r="H3459" t="str">
        <f>"00840967"</f>
        <v>00840967</v>
      </c>
      <c r="I3459">
        <v>21.6</v>
      </c>
      <c r="J3459">
        <v>0</v>
      </c>
      <c r="N3459">
        <v>0</v>
      </c>
      <c r="O3459">
        <v>4</v>
      </c>
      <c r="P3459">
        <v>2</v>
      </c>
      <c r="Q3459">
        <v>27.6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D3459">
        <v>27.6</v>
      </c>
    </row>
    <row r="3460" spans="1:30" x14ac:dyDescent="0.3">
      <c r="A3460" s="4">
        <v>3482</v>
      </c>
      <c r="B3460" s="5">
        <v>3453</v>
      </c>
      <c r="C3460">
        <v>2414</v>
      </c>
      <c r="D3460" t="s">
        <v>7123</v>
      </c>
      <c r="E3460" t="s">
        <v>88</v>
      </c>
      <c r="F3460" t="s">
        <v>20</v>
      </c>
      <c r="G3460" t="s">
        <v>7124</v>
      </c>
      <c r="H3460" t="str">
        <f>"00573733"</f>
        <v>00573733</v>
      </c>
      <c r="I3460">
        <v>21.6</v>
      </c>
      <c r="J3460">
        <v>0</v>
      </c>
      <c r="N3460">
        <v>0</v>
      </c>
      <c r="O3460">
        <v>4</v>
      </c>
      <c r="P3460">
        <v>2</v>
      </c>
      <c r="Q3460">
        <v>27.6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D3460">
        <v>27.6</v>
      </c>
    </row>
    <row r="3461" spans="1:30" x14ac:dyDescent="0.3">
      <c r="A3461" s="4">
        <v>3483</v>
      </c>
      <c r="B3461" s="5">
        <v>3454</v>
      </c>
      <c r="C3461">
        <v>406</v>
      </c>
      <c r="D3461" t="s">
        <v>7125</v>
      </c>
      <c r="E3461" t="s">
        <v>54</v>
      </c>
      <c r="F3461" t="s">
        <v>136</v>
      </c>
      <c r="G3461" t="s">
        <v>7126</v>
      </c>
      <c r="H3461" t="str">
        <f>"00857655"</f>
        <v>00857655</v>
      </c>
      <c r="I3461">
        <v>17.600000000000001</v>
      </c>
      <c r="J3461">
        <v>10</v>
      </c>
      <c r="N3461">
        <v>0</v>
      </c>
      <c r="O3461">
        <v>0</v>
      </c>
      <c r="P3461">
        <v>0</v>
      </c>
      <c r="Q3461">
        <v>27.6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D3461">
        <v>27.6</v>
      </c>
    </row>
    <row r="3462" spans="1:30" x14ac:dyDescent="0.3">
      <c r="A3462" s="4">
        <v>3484</v>
      </c>
      <c r="B3462" s="5">
        <v>3455</v>
      </c>
      <c r="C3462">
        <v>4787</v>
      </c>
      <c r="D3462" t="s">
        <v>7127</v>
      </c>
      <c r="E3462" t="s">
        <v>88</v>
      </c>
      <c r="F3462" t="s">
        <v>167</v>
      </c>
      <c r="G3462" t="s">
        <v>7128</v>
      </c>
      <c r="H3462" t="str">
        <f>"201511020072"</f>
        <v>201511020072</v>
      </c>
      <c r="I3462">
        <v>17.52</v>
      </c>
      <c r="J3462">
        <v>0</v>
      </c>
      <c r="N3462">
        <v>0</v>
      </c>
      <c r="O3462">
        <v>4</v>
      </c>
      <c r="P3462">
        <v>0</v>
      </c>
      <c r="Q3462">
        <v>21.52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6</v>
      </c>
      <c r="AB3462">
        <v>0</v>
      </c>
      <c r="AD3462">
        <v>27.52</v>
      </c>
    </row>
    <row r="3463" spans="1:30" x14ac:dyDescent="0.3">
      <c r="A3463" s="4">
        <v>3485</v>
      </c>
      <c r="B3463" s="5">
        <v>3456</v>
      </c>
      <c r="C3463">
        <v>2484</v>
      </c>
      <c r="D3463" t="s">
        <v>4607</v>
      </c>
      <c r="E3463" t="s">
        <v>6618</v>
      </c>
      <c r="F3463" t="s">
        <v>158</v>
      </c>
      <c r="G3463" t="s">
        <v>7129</v>
      </c>
      <c r="H3463" t="str">
        <f>"00863368"</f>
        <v>00863368</v>
      </c>
      <c r="I3463">
        <v>20.399999999999999</v>
      </c>
      <c r="J3463">
        <v>0</v>
      </c>
      <c r="N3463">
        <v>0</v>
      </c>
      <c r="O3463">
        <v>4</v>
      </c>
      <c r="P3463">
        <v>0</v>
      </c>
      <c r="Q3463">
        <v>24.4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3</v>
      </c>
      <c r="AB3463">
        <v>0</v>
      </c>
      <c r="AD3463">
        <v>27.4</v>
      </c>
    </row>
    <row r="3464" spans="1:30" x14ac:dyDescent="0.3">
      <c r="A3464" s="4">
        <v>3486</v>
      </c>
      <c r="B3464" s="5">
        <v>3457</v>
      </c>
      <c r="C3464">
        <v>3196</v>
      </c>
      <c r="D3464" t="s">
        <v>1530</v>
      </c>
      <c r="E3464" t="s">
        <v>188</v>
      </c>
      <c r="F3464" t="s">
        <v>892</v>
      </c>
      <c r="G3464" t="s">
        <v>7130</v>
      </c>
      <c r="H3464" t="str">
        <f>"00865092"</f>
        <v>00865092</v>
      </c>
      <c r="I3464">
        <v>16.399999999999999</v>
      </c>
      <c r="J3464">
        <v>0</v>
      </c>
      <c r="M3464">
        <v>4</v>
      </c>
      <c r="N3464">
        <v>4</v>
      </c>
      <c r="O3464">
        <v>4</v>
      </c>
      <c r="P3464">
        <v>0</v>
      </c>
      <c r="Q3464">
        <v>24.4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3</v>
      </c>
      <c r="AB3464">
        <v>0</v>
      </c>
      <c r="AD3464">
        <v>27.4</v>
      </c>
    </row>
    <row r="3465" spans="1:30" x14ac:dyDescent="0.3">
      <c r="A3465" s="4">
        <v>3487</v>
      </c>
      <c r="B3465" s="5">
        <v>3458</v>
      </c>
      <c r="C3465">
        <v>681</v>
      </c>
      <c r="D3465" t="s">
        <v>7131</v>
      </c>
      <c r="E3465" t="s">
        <v>268</v>
      </c>
      <c r="F3465" t="s">
        <v>62</v>
      </c>
      <c r="G3465" t="s">
        <v>7132</v>
      </c>
      <c r="H3465" t="str">
        <f>"00731177"</f>
        <v>00731177</v>
      </c>
      <c r="I3465">
        <v>14.4</v>
      </c>
      <c r="J3465">
        <v>0</v>
      </c>
      <c r="M3465">
        <v>4</v>
      </c>
      <c r="N3465">
        <v>4</v>
      </c>
      <c r="O3465">
        <v>4</v>
      </c>
      <c r="P3465">
        <v>2</v>
      </c>
      <c r="Q3465">
        <v>24.4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3</v>
      </c>
      <c r="AB3465">
        <v>0</v>
      </c>
      <c r="AD3465">
        <v>27.4</v>
      </c>
    </row>
    <row r="3466" spans="1:30" x14ac:dyDescent="0.3">
      <c r="A3466" s="4">
        <v>3488</v>
      </c>
      <c r="B3466" s="5">
        <v>3459</v>
      </c>
      <c r="C3466">
        <v>1767</v>
      </c>
      <c r="D3466" t="s">
        <v>2916</v>
      </c>
      <c r="E3466" t="s">
        <v>41</v>
      </c>
      <c r="F3466" t="s">
        <v>158</v>
      </c>
      <c r="G3466" t="s">
        <v>7133</v>
      </c>
      <c r="H3466" t="str">
        <f>"00532662"</f>
        <v>00532662</v>
      </c>
      <c r="I3466">
        <v>14.4</v>
      </c>
      <c r="J3466">
        <v>0</v>
      </c>
      <c r="M3466">
        <v>4</v>
      </c>
      <c r="N3466">
        <v>4</v>
      </c>
      <c r="O3466">
        <v>4</v>
      </c>
      <c r="P3466">
        <v>0</v>
      </c>
      <c r="Q3466">
        <v>22.4</v>
      </c>
      <c r="R3466">
        <v>5</v>
      </c>
      <c r="S3466">
        <v>5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5</v>
      </c>
      <c r="AA3466">
        <v>0</v>
      </c>
      <c r="AB3466">
        <v>0</v>
      </c>
      <c r="AD3466">
        <v>27.4</v>
      </c>
    </row>
    <row r="3467" spans="1:30" x14ac:dyDescent="0.3">
      <c r="A3467" s="4">
        <v>3489</v>
      </c>
      <c r="B3467" s="5">
        <v>3460</v>
      </c>
      <c r="C3467">
        <v>3593</v>
      </c>
      <c r="D3467" t="s">
        <v>4067</v>
      </c>
      <c r="E3467" t="s">
        <v>173</v>
      </c>
      <c r="F3467" t="s">
        <v>136</v>
      </c>
      <c r="G3467" t="s">
        <v>7134</v>
      </c>
      <c r="H3467" t="str">
        <f>"00515880"</f>
        <v>00515880</v>
      </c>
      <c r="I3467">
        <v>14.4</v>
      </c>
      <c r="J3467">
        <v>0</v>
      </c>
      <c r="N3467">
        <v>0</v>
      </c>
      <c r="O3467">
        <v>4</v>
      </c>
      <c r="P3467">
        <v>2</v>
      </c>
      <c r="Q3467">
        <v>20.399999999999999</v>
      </c>
      <c r="R3467">
        <v>7</v>
      </c>
      <c r="S3467">
        <v>7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7</v>
      </c>
      <c r="AA3467">
        <v>0</v>
      </c>
      <c r="AB3467">
        <v>0</v>
      </c>
      <c r="AD3467">
        <v>27.4</v>
      </c>
    </row>
    <row r="3468" spans="1:30" x14ac:dyDescent="0.3">
      <c r="A3468" s="4">
        <v>3490</v>
      </c>
      <c r="B3468" s="5">
        <v>3461</v>
      </c>
      <c r="C3468">
        <v>4410</v>
      </c>
      <c r="D3468" t="s">
        <v>7135</v>
      </c>
      <c r="E3468" t="s">
        <v>7136</v>
      </c>
      <c r="F3468" t="s">
        <v>117</v>
      </c>
      <c r="G3468" t="s">
        <v>7137</v>
      </c>
      <c r="H3468" t="str">
        <f>"00531453"</f>
        <v>00531453</v>
      </c>
      <c r="I3468">
        <v>14.4</v>
      </c>
      <c r="J3468">
        <v>0</v>
      </c>
      <c r="N3468">
        <v>0</v>
      </c>
      <c r="O3468">
        <v>0</v>
      </c>
      <c r="P3468">
        <v>2</v>
      </c>
      <c r="Q3468">
        <v>16.399999999999999</v>
      </c>
      <c r="R3468">
        <v>11</v>
      </c>
      <c r="S3468">
        <v>11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11</v>
      </c>
      <c r="AA3468">
        <v>0</v>
      </c>
      <c r="AB3468">
        <v>0</v>
      </c>
      <c r="AD3468">
        <v>27.4</v>
      </c>
    </row>
    <row r="3469" spans="1:30" x14ac:dyDescent="0.3">
      <c r="A3469" s="4">
        <v>3491</v>
      </c>
      <c r="B3469" s="5">
        <v>3462</v>
      </c>
      <c r="C3469">
        <v>1123</v>
      </c>
      <c r="D3469" t="s">
        <v>7138</v>
      </c>
      <c r="E3469" t="s">
        <v>283</v>
      </c>
      <c r="F3469" t="s">
        <v>38</v>
      </c>
      <c r="G3469" t="s">
        <v>7139</v>
      </c>
      <c r="H3469" t="str">
        <f>"00544045"</f>
        <v>00544045</v>
      </c>
      <c r="I3469">
        <v>21.32</v>
      </c>
      <c r="J3469">
        <v>0</v>
      </c>
      <c r="N3469">
        <v>0</v>
      </c>
      <c r="O3469">
        <v>0</v>
      </c>
      <c r="P3469">
        <v>0</v>
      </c>
      <c r="Q3469">
        <v>21.32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6</v>
      </c>
      <c r="AB3469">
        <v>0</v>
      </c>
      <c r="AD3469">
        <v>27.32</v>
      </c>
    </row>
    <row r="3470" spans="1:30" x14ac:dyDescent="0.3">
      <c r="A3470" s="4">
        <v>3492</v>
      </c>
      <c r="B3470" s="5">
        <v>3463</v>
      </c>
      <c r="C3470">
        <v>3938</v>
      </c>
      <c r="D3470" t="s">
        <v>7140</v>
      </c>
      <c r="E3470" t="s">
        <v>1043</v>
      </c>
      <c r="F3470" t="s">
        <v>375</v>
      </c>
      <c r="G3470" t="s">
        <v>7141</v>
      </c>
      <c r="H3470" t="str">
        <f>"00260798"</f>
        <v>00260798</v>
      </c>
      <c r="I3470">
        <v>24.32</v>
      </c>
      <c r="J3470">
        <v>0</v>
      </c>
      <c r="N3470">
        <v>0</v>
      </c>
      <c r="O3470">
        <v>0</v>
      </c>
      <c r="P3470">
        <v>0</v>
      </c>
      <c r="Q3470">
        <v>24.32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3</v>
      </c>
      <c r="AB3470">
        <v>0</v>
      </c>
      <c r="AD3470">
        <v>27.32</v>
      </c>
    </row>
    <row r="3471" spans="1:30" x14ac:dyDescent="0.3">
      <c r="A3471" s="4">
        <v>3493</v>
      </c>
      <c r="B3471" s="5">
        <v>3464</v>
      </c>
      <c r="C3471">
        <v>403</v>
      </c>
      <c r="D3471" t="s">
        <v>7142</v>
      </c>
      <c r="E3471" t="s">
        <v>1997</v>
      </c>
      <c r="F3471" t="s">
        <v>38</v>
      </c>
      <c r="G3471" t="s">
        <v>7143</v>
      </c>
      <c r="H3471" t="str">
        <f>"00480961"</f>
        <v>00480961</v>
      </c>
      <c r="I3471">
        <v>7.2</v>
      </c>
      <c r="J3471">
        <v>10</v>
      </c>
      <c r="N3471">
        <v>0</v>
      </c>
      <c r="O3471">
        <v>4</v>
      </c>
      <c r="P3471">
        <v>0</v>
      </c>
      <c r="Q3471">
        <v>21.2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6</v>
      </c>
      <c r="AB3471">
        <v>0</v>
      </c>
      <c r="AD3471">
        <v>27.2</v>
      </c>
    </row>
    <row r="3472" spans="1:30" x14ac:dyDescent="0.3">
      <c r="A3472" s="4">
        <v>3494</v>
      </c>
      <c r="B3472" s="5">
        <v>3465</v>
      </c>
      <c r="C3472">
        <v>2540</v>
      </c>
      <c r="D3472" t="s">
        <v>7144</v>
      </c>
      <c r="E3472" t="s">
        <v>132</v>
      </c>
      <c r="F3472" t="s">
        <v>136</v>
      </c>
      <c r="G3472" t="s">
        <v>7145</v>
      </c>
      <c r="H3472" t="str">
        <f>"00856683"</f>
        <v>00856683</v>
      </c>
      <c r="I3472">
        <v>27.2</v>
      </c>
      <c r="J3472">
        <v>0</v>
      </c>
      <c r="N3472">
        <v>0</v>
      </c>
      <c r="O3472">
        <v>0</v>
      </c>
      <c r="P3472">
        <v>0</v>
      </c>
      <c r="Q3472">
        <v>27.2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D3472">
        <v>27.2</v>
      </c>
    </row>
    <row r="3473" spans="1:30" x14ac:dyDescent="0.3">
      <c r="A3473" s="4">
        <v>3495</v>
      </c>
      <c r="B3473" s="5">
        <v>3466</v>
      </c>
      <c r="C3473">
        <v>3094</v>
      </c>
      <c r="D3473" t="s">
        <v>6492</v>
      </c>
      <c r="E3473" t="s">
        <v>7146</v>
      </c>
      <c r="F3473" t="s">
        <v>17</v>
      </c>
      <c r="G3473" t="s">
        <v>7147</v>
      </c>
      <c r="H3473" t="str">
        <f>"00276640"</f>
        <v>00276640</v>
      </c>
      <c r="I3473">
        <v>27.2</v>
      </c>
      <c r="J3473">
        <v>0</v>
      </c>
      <c r="N3473">
        <v>0</v>
      </c>
      <c r="O3473">
        <v>0</v>
      </c>
      <c r="P3473">
        <v>0</v>
      </c>
      <c r="Q3473">
        <v>27.2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D3473">
        <v>27.2</v>
      </c>
    </row>
    <row r="3474" spans="1:30" x14ac:dyDescent="0.3">
      <c r="A3474" s="4">
        <v>3496</v>
      </c>
      <c r="B3474" s="5">
        <v>3467</v>
      </c>
      <c r="C3474">
        <v>1159</v>
      </c>
      <c r="D3474" t="s">
        <v>2816</v>
      </c>
      <c r="E3474" t="s">
        <v>238</v>
      </c>
      <c r="F3474" t="s">
        <v>2017</v>
      </c>
      <c r="G3474" t="s">
        <v>7148</v>
      </c>
      <c r="H3474" t="str">
        <f>"00857556"</f>
        <v>00857556</v>
      </c>
      <c r="I3474">
        <v>25.2</v>
      </c>
      <c r="J3474">
        <v>0</v>
      </c>
      <c r="N3474">
        <v>0</v>
      </c>
      <c r="O3474">
        <v>0</v>
      </c>
      <c r="P3474">
        <v>2</v>
      </c>
      <c r="Q3474">
        <v>27.2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D3474">
        <v>27.2</v>
      </c>
    </row>
    <row r="3475" spans="1:30" x14ac:dyDescent="0.3">
      <c r="A3475" s="4">
        <v>3497</v>
      </c>
      <c r="B3475" s="5">
        <v>3468</v>
      </c>
      <c r="C3475">
        <v>106</v>
      </c>
      <c r="D3475" t="s">
        <v>7149</v>
      </c>
      <c r="E3475" t="s">
        <v>7150</v>
      </c>
      <c r="F3475" t="s">
        <v>7151</v>
      </c>
      <c r="G3475" t="s">
        <v>7152</v>
      </c>
      <c r="H3475" t="str">
        <f>"00856641"</f>
        <v>00856641</v>
      </c>
      <c r="I3475">
        <v>21.2</v>
      </c>
      <c r="J3475">
        <v>0</v>
      </c>
      <c r="M3475">
        <v>4</v>
      </c>
      <c r="N3475">
        <v>4</v>
      </c>
      <c r="O3475">
        <v>0</v>
      </c>
      <c r="P3475">
        <v>2</v>
      </c>
      <c r="Q3475">
        <v>27.2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D3475">
        <v>27.2</v>
      </c>
    </row>
    <row r="3476" spans="1:30" x14ac:dyDescent="0.3">
      <c r="A3476" s="4">
        <v>3498</v>
      </c>
      <c r="B3476" s="5">
        <v>3469</v>
      </c>
      <c r="C3476">
        <v>2027</v>
      </c>
      <c r="D3476" t="s">
        <v>7153</v>
      </c>
      <c r="E3476" t="s">
        <v>550</v>
      </c>
      <c r="F3476" t="s">
        <v>442</v>
      </c>
      <c r="G3476" t="s">
        <v>7154</v>
      </c>
      <c r="H3476" t="str">
        <f>"00529175"</f>
        <v>00529175</v>
      </c>
      <c r="I3476">
        <v>7.2</v>
      </c>
      <c r="J3476">
        <v>0</v>
      </c>
      <c r="K3476">
        <v>8</v>
      </c>
      <c r="N3476">
        <v>8</v>
      </c>
      <c r="O3476">
        <v>4</v>
      </c>
      <c r="P3476">
        <v>2</v>
      </c>
      <c r="Q3476">
        <v>21.2</v>
      </c>
      <c r="R3476">
        <v>6</v>
      </c>
      <c r="S3476">
        <v>6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6</v>
      </c>
      <c r="AA3476">
        <v>0</v>
      </c>
      <c r="AB3476">
        <v>0</v>
      </c>
      <c r="AD3476">
        <v>27.2</v>
      </c>
    </row>
    <row r="3477" spans="1:30" x14ac:dyDescent="0.3">
      <c r="A3477" s="4">
        <v>3499</v>
      </c>
      <c r="B3477" s="5">
        <v>3470</v>
      </c>
      <c r="C3477">
        <v>2892</v>
      </c>
      <c r="D3477" t="s">
        <v>7155</v>
      </c>
      <c r="E3477" t="s">
        <v>110</v>
      </c>
      <c r="F3477" t="s">
        <v>3121</v>
      </c>
      <c r="G3477" t="s">
        <v>7156</v>
      </c>
      <c r="H3477" t="str">
        <f>"00531414"</f>
        <v>00531414</v>
      </c>
      <c r="I3477">
        <v>7.2</v>
      </c>
      <c r="J3477">
        <v>10</v>
      </c>
      <c r="N3477">
        <v>0</v>
      </c>
      <c r="O3477">
        <v>4</v>
      </c>
      <c r="P3477">
        <v>0</v>
      </c>
      <c r="Q3477">
        <v>21.2</v>
      </c>
      <c r="R3477">
        <v>6</v>
      </c>
      <c r="S3477">
        <v>6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6</v>
      </c>
      <c r="AA3477">
        <v>0</v>
      </c>
      <c r="AB3477">
        <v>0</v>
      </c>
      <c r="AD3477">
        <v>27.2</v>
      </c>
    </row>
    <row r="3478" spans="1:30" x14ac:dyDescent="0.3">
      <c r="A3478" s="4">
        <v>3500</v>
      </c>
      <c r="B3478" s="5">
        <v>3471</v>
      </c>
      <c r="C3478">
        <v>4097</v>
      </c>
      <c r="D3478" t="s">
        <v>7157</v>
      </c>
      <c r="E3478" t="s">
        <v>26</v>
      </c>
      <c r="F3478" t="s">
        <v>20</v>
      </c>
      <c r="G3478" t="s">
        <v>7158</v>
      </c>
      <c r="H3478" t="str">
        <f>"00515196"</f>
        <v>00515196</v>
      </c>
      <c r="I3478">
        <v>7.2</v>
      </c>
      <c r="J3478">
        <v>0</v>
      </c>
      <c r="M3478">
        <v>4</v>
      </c>
      <c r="N3478">
        <v>4</v>
      </c>
      <c r="O3478">
        <v>0</v>
      </c>
      <c r="P3478">
        <v>0</v>
      </c>
      <c r="Q3478">
        <v>11.2</v>
      </c>
      <c r="R3478">
        <v>6</v>
      </c>
      <c r="S3478">
        <v>6</v>
      </c>
      <c r="T3478">
        <v>5</v>
      </c>
      <c r="U3478">
        <v>10</v>
      </c>
      <c r="V3478">
        <v>0</v>
      </c>
      <c r="W3478">
        <v>0</v>
      </c>
      <c r="X3478">
        <v>0</v>
      </c>
      <c r="Y3478">
        <v>0</v>
      </c>
      <c r="Z3478">
        <v>16</v>
      </c>
      <c r="AA3478">
        <v>0</v>
      </c>
      <c r="AB3478">
        <v>0</v>
      </c>
      <c r="AD3478">
        <v>27.2</v>
      </c>
    </row>
    <row r="3479" spans="1:30" x14ac:dyDescent="0.3">
      <c r="A3479" s="4">
        <v>3501</v>
      </c>
      <c r="B3479" s="5">
        <v>3472</v>
      </c>
      <c r="C3479">
        <v>3492</v>
      </c>
      <c r="D3479" t="s">
        <v>7159</v>
      </c>
      <c r="E3479" t="s">
        <v>29</v>
      </c>
      <c r="F3479" t="s">
        <v>81</v>
      </c>
      <c r="G3479" t="s">
        <v>7160</v>
      </c>
      <c r="H3479" t="str">
        <f>"00864154"</f>
        <v>00864154</v>
      </c>
      <c r="I3479">
        <v>23.16</v>
      </c>
      <c r="J3479">
        <v>0</v>
      </c>
      <c r="N3479">
        <v>0</v>
      </c>
      <c r="O3479">
        <v>4</v>
      </c>
      <c r="P3479">
        <v>0</v>
      </c>
      <c r="Q3479">
        <v>27.16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D3479">
        <v>27.16</v>
      </c>
    </row>
    <row r="3480" spans="1:30" x14ac:dyDescent="0.3">
      <c r="A3480" s="4">
        <v>3502</v>
      </c>
      <c r="B3480" s="5">
        <v>3473</v>
      </c>
      <c r="C3480">
        <v>4864</v>
      </c>
      <c r="D3480" t="s">
        <v>7161</v>
      </c>
      <c r="E3480" t="s">
        <v>182</v>
      </c>
      <c r="F3480" t="s">
        <v>136</v>
      </c>
      <c r="G3480" t="s">
        <v>7162</v>
      </c>
      <c r="H3480" t="str">
        <f>"00863396"</f>
        <v>00863396</v>
      </c>
      <c r="I3480">
        <v>21.08</v>
      </c>
      <c r="J3480">
        <v>0</v>
      </c>
      <c r="N3480">
        <v>0</v>
      </c>
      <c r="O3480">
        <v>0</v>
      </c>
      <c r="P3480">
        <v>0</v>
      </c>
      <c r="Q3480">
        <v>21.08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6</v>
      </c>
      <c r="AB3480">
        <v>0</v>
      </c>
      <c r="AD3480">
        <v>27.08</v>
      </c>
    </row>
    <row r="3481" spans="1:30" x14ac:dyDescent="0.3">
      <c r="A3481" s="4">
        <v>3503</v>
      </c>
      <c r="B3481" s="5">
        <v>3474</v>
      </c>
      <c r="C3481">
        <v>3359</v>
      </c>
      <c r="D3481" t="s">
        <v>7163</v>
      </c>
      <c r="E3481" t="s">
        <v>213</v>
      </c>
      <c r="F3481" t="s">
        <v>58</v>
      </c>
      <c r="G3481" t="s">
        <v>7164</v>
      </c>
      <c r="H3481" t="str">
        <f>"00864296"</f>
        <v>00864296</v>
      </c>
      <c r="I3481">
        <v>20</v>
      </c>
      <c r="J3481">
        <v>0</v>
      </c>
      <c r="N3481">
        <v>0</v>
      </c>
      <c r="O3481">
        <v>4</v>
      </c>
      <c r="P3481">
        <v>0</v>
      </c>
      <c r="Q3481">
        <v>24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3</v>
      </c>
      <c r="AB3481">
        <v>0</v>
      </c>
      <c r="AD3481">
        <v>27</v>
      </c>
    </row>
    <row r="3482" spans="1:30" x14ac:dyDescent="0.3">
      <c r="A3482" s="4">
        <v>3504</v>
      </c>
      <c r="B3482" s="5">
        <v>3475</v>
      </c>
      <c r="C3482">
        <v>931</v>
      </c>
      <c r="D3482" t="s">
        <v>7165</v>
      </c>
      <c r="E3482" t="s">
        <v>132</v>
      </c>
      <c r="F3482" t="s">
        <v>20</v>
      </c>
      <c r="G3482" t="s">
        <v>7166</v>
      </c>
      <c r="H3482" t="str">
        <f>"00018072"</f>
        <v>00018072</v>
      </c>
      <c r="I3482">
        <v>0</v>
      </c>
      <c r="J3482">
        <v>10</v>
      </c>
      <c r="K3482">
        <v>8</v>
      </c>
      <c r="N3482">
        <v>8</v>
      </c>
      <c r="O3482">
        <v>4</v>
      </c>
      <c r="P3482">
        <v>2</v>
      </c>
      <c r="Q3482">
        <v>24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3</v>
      </c>
      <c r="AB3482">
        <v>0</v>
      </c>
      <c r="AD3482">
        <v>27</v>
      </c>
    </row>
    <row r="3483" spans="1:30" x14ac:dyDescent="0.3">
      <c r="A3483" s="4">
        <v>3505</v>
      </c>
      <c r="B3483" s="5">
        <v>3476</v>
      </c>
      <c r="C3483">
        <v>70</v>
      </c>
      <c r="D3483" t="s">
        <v>7167</v>
      </c>
      <c r="E3483" t="s">
        <v>789</v>
      </c>
      <c r="F3483" t="s">
        <v>68</v>
      </c>
      <c r="G3483" t="s">
        <v>7168</v>
      </c>
      <c r="H3483" t="str">
        <f>"00497687"</f>
        <v>00497687</v>
      </c>
      <c r="I3483">
        <v>0</v>
      </c>
      <c r="J3483">
        <v>10</v>
      </c>
      <c r="N3483">
        <v>0</v>
      </c>
      <c r="O3483">
        <v>4</v>
      </c>
      <c r="P3483">
        <v>2</v>
      </c>
      <c r="Q3483">
        <v>16</v>
      </c>
      <c r="R3483">
        <v>11</v>
      </c>
      <c r="S3483">
        <v>11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11</v>
      </c>
      <c r="AA3483">
        <v>0</v>
      </c>
      <c r="AB3483">
        <v>0</v>
      </c>
      <c r="AD3483">
        <v>27</v>
      </c>
    </row>
    <row r="3484" spans="1:30" x14ac:dyDescent="0.3">
      <c r="A3484" s="4">
        <v>3506</v>
      </c>
      <c r="B3484" s="5">
        <v>3477</v>
      </c>
      <c r="C3484">
        <v>4484</v>
      </c>
      <c r="D3484" t="s">
        <v>7169</v>
      </c>
      <c r="E3484" t="s">
        <v>7170</v>
      </c>
      <c r="F3484" t="s">
        <v>158</v>
      </c>
      <c r="G3484" t="s">
        <v>7171</v>
      </c>
      <c r="H3484" t="str">
        <f>"00654552"</f>
        <v>00654552</v>
      </c>
      <c r="I3484">
        <v>18.920000000000002</v>
      </c>
      <c r="J3484">
        <v>0</v>
      </c>
      <c r="N3484">
        <v>0</v>
      </c>
      <c r="O3484">
        <v>4</v>
      </c>
      <c r="P3484">
        <v>0</v>
      </c>
      <c r="Q3484">
        <v>22.92</v>
      </c>
      <c r="R3484">
        <v>4</v>
      </c>
      <c r="S3484">
        <v>4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4</v>
      </c>
      <c r="AA3484">
        <v>0</v>
      </c>
      <c r="AB3484">
        <v>0</v>
      </c>
      <c r="AD3484">
        <v>26.92</v>
      </c>
    </row>
    <row r="3485" spans="1:30" x14ac:dyDescent="0.3">
      <c r="A3485" s="4">
        <v>3507</v>
      </c>
      <c r="B3485" s="5">
        <v>3478</v>
      </c>
      <c r="C3485">
        <v>3389</v>
      </c>
      <c r="D3485" t="s">
        <v>7172</v>
      </c>
      <c r="E3485" t="s">
        <v>208</v>
      </c>
      <c r="F3485" t="s">
        <v>3516</v>
      </c>
      <c r="G3485" t="s">
        <v>7173</v>
      </c>
      <c r="H3485" t="str">
        <f>"00525424"</f>
        <v>00525424</v>
      </c>
      <c r="I3485">
        <v>16.84</v>
      </c>
      <c r="J3485">
        <v>10</v>
      </c>
      <c r="N3485">
        <v>0</v>
      </c>
      <c r="O3485">
        <v>0</v>
      </c>
      <c r="P3485">
        <v>0</v>
      </c>
      <c r="Q3485">
        <v>26.84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D3485">
        <v>26.84</v>
      </c>
    </row>
    <row r="3486" spans="1:30" x14ac:dyDescent="0.3">
      <c r="A3486" s="4">
        <v>3508</v>
      </c>
      <c r="B3486" s="5">
        <v>3479</v>
      </c>
      <c r="C3486">
        <v>140</v>
      </c>
      <c r="D3486" t="s">
        <v>7174</v>
      </c>
      <c r="E3486" t="s">
        <v>26</v>
      </c>
      <c r="F3486" t="s">
        <v>346</v>
      </c>
      <c r="G3486" t="s">
        <v>7175</v>
      </c>
      <c r="H3486" t="str">
        <f>"201511028381"</f>
        <v>201511028381</v>
      </c>
      <c r="I3486">
        <v>20.8</v>
      </c>
      <c r="J3486">
        <v>0</v>
      </c>
      <c r="N3486">
        <v>0</v>
      </c>
      <c r="O3486">
        <v>0</v>
      </c>
      <c r="P3486">
        <v>0</v>
      </c>
      <c r="Q3486">
        <v>20.8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6</v>
      </c>
      <c r="AB3486">
        <v>0</v>
      </c>
      <c r="AD3486">
        <v>26.8</v>
      </c>
    </row>
    <row r="3487" spans="1:30" x14ac:dyDescent="0.3">
      <c r="A3487" s="4">
        <v>3509</v>
      </c>
      <c r="B3487" s="5">
        <v>3480</v>
      </c>
      <c r="C3487">
        <v>2011</v>
      </c>
      <c r="D3487" t="s">
        <v>7176</v>
      </c>
      <c r="E3487" t="s">
        <v>7177</v>
      </c>
      <c r="F3487" t="s">
        <v>158</v>
      </c>
      <c r="G3487" t="s">
        <v>7178</v>
      </c>
      <c r="H3487" t="str">
        <f>"00536010"</f>
        <v>00536010</v>
      </c>
      <c r="I3487">
        <v>10.8</v>
      </c>
      <c r="J3487">
        <v>10</v>
      </c>
      <c r="N3487">
        <v>0</v>
      </c>
      <c r="O3487">
        <v>0</v>
      </c>
      <c r="P3487">
        <v>0</v>
      </c>
      <c r="Q3487">
        <v>20.8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6</v>
      </c>
      <c r="AB3487">
        <v>0</v>
      </c>
      <c r="AD3487">
        <v>26.8</v>
      </c>
    </row>
    <row r="3488" spans="1:30" x14ac:dyDescent="0.3">
      <c r="A3488" s="4">
        <v>3510</v>
      </c>
      <c r="B3488" s="5">
        <v>3481</v>
      </c>
      <c r="C3488">
        <v>4678</v>
      </c>
      <c r="D3488" t="s">
        <v>549</v>
      </c>
      <c r="E3488" t="s">
        <v>29</v>
      </c>
      <c r="F3488" t="s">
        <v>158</v>
      </c>
      <c r="G3488" t="s">
        <v>7179</v>
      </c>
      <c r="H3488" t="str">
        <f>"201511030012"</f>
        <v>201511030012</v>
      </c>
      <c r="I3488">
        <v>26.8</v>
      </c>
      <c r="J3488">
        <v>0</v>
      </c>
      <c r="N3488">
        <v>0</v>
      </c>
      <c r="O3488">
        <v>0</v>
      </c>
      <c r="P3488">
        <v>0</v>
      </c>
      <c r="Q3488">
        <v>26.8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D3488">
        <v>26.8</v>
      </c>
    </row>
    <row r="3489" spans="1:30" x14ac:dyDescent="0.3">
      <c r="A3489" s="4">
        <v>3511</v>
      </c>
      <c r="B3489" s="5">
        <v>3482</v>
      </c>
      <c r="C3489">
        <v>4417</v>
      </c>
      <c r="D3489" t="s">
        <v>1299</v>
      </c>
      <c r="E3489" t="s">
        <v>3948</v>
      </c>
      <c r="F3489" t="s">
        <v>230</v>
      </c>
      <c r="G3489" t="s">
        <v>7180</v>
      </c>
      <c r="H3489" t="str">
        <f>"00858790"</f>
        <v>00858790</v>
      </c>
      <c r="I3489">
        <v>22.8</v>
      </c>
      <c r="J3489">
        <v>0</v>
      </c>
      <c r="N3489">
        <v>0</v>
      </c>
      <c r="O3489">
        <v>4</v>
      </c>
      <c r="P3489">
        <v>0</v>
      </c>
      <c r="Q3489">
        <v>26.8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D3489">
        <v>26.8</v>
      </c>
    </row>
    <row r="3490" spans="1:30" x14ac:dyDescent="0.3">
      <c r="A3490" s="4">
        <v>3512</v>
      </c>
      <c r="B3490" s="5">
        <v>3483</v>
      </c>
      <c r="C3490">
        <v>4526</v>
      </c>
      <c r="D3490" t="s">
        <v>7181</v>
      </c>
      <c r="E3490" t="s">
        <v>7182</v>
      </c>
      <c r="F3490" t="s">
        <v>7183</v>
      </c>
      <c r="G3490" t="s">
        <v>7184</v>
      </c>
      <c r="H3490" t="str">
        <f>"00865907"</f>
        <v>00865907</v>
      </c>
      <c r="I3490">
        <v>20.72</v>
      </c>
      <c r="J3490">
        <v>0</v>
      </c>
      <c r="N3490">
        <v>0</v>
      </c>
      <c r="O3490">
        <v>0</v>
      </c>
      <c r="P3490">
        <v>0</v>
      </c>
      <c r="Q3490">
        <v>20.72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6</v>
      </c>
      <c r="AB3490">
        <v>0</v>
      </c>
      <c r="AD3490">
        <v>26.72</v>
      </c>
    </row>
    <row r="3491" spans="1:30" x14ac:dyDescent="0.3">
      <c r="A3491" s="4">
        <v>3513</v>
      </c>
      <c r="B3491" s="5">
        <v>3484</v>
      </c>
      <c r="C3491">
        <v>308</v>
      </c>
      <c r="D3491" t="s">
        <v>7185</v>
      </c>
      <c r="E3491" t="s">
        <v>594</v>
      </c>
      <c r="F3491" t="s">
        <v>30</v>
      </c>
      <c r="G3491" t="s">
        <v>7186</v>
      </c>
      <c r="H3491" t="str">
        <f>"00019039"</f>
        <v>00019039</v>
      </c>
      <c r="I3491">
        <v>21.6</v>
      </c>
      <c r="J3491">
        <v>0</v>
      </c>
      <c r="N3491">
        <v>0</v>
      </c>
      <c r="O3491">
        <v>0</v>
      </c>
      <c r="P3491">
        <v>0</v>
      </c>
      <c r="Q3491">
        <v>21.6</v>
      </c>
      <c r="R3491">
        <v>5</v>
      </c>
      <c r="S3491">
        <v>5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5</v>
      </c>
      <c r="AA3491">
        <v>0</v>
      </c>
      <c r="AB3491">
        <v>0</v>
      </c>
      <c r="AD3491">
        <v>26.6</v>
      </c>
    </row>
    <row r="3492" spans="1:30" x14ac:dyDescent="0.3">
      <c r="A3492" s="4">
        <v>3514</v>
      </c>
      <c r="B3492" s="5">
        <v>3485</v>
      </c>
      <c r="C3492">
        <v>4518</v>
      </c>
      <c r="D3492" t="s">
        <v>7187</v>
      </c>
      <c r="E3492" t="s">
        <v>3964</v>
      </c>
      <c r="F3492" t="s">
        <v>136</v>
      </c>
      <c r="G3492" t="s">
        <v>7188</v>
      </c>
      <c r="H3492" t="str">
        <f>"00697445"</f>
        <v>00697445</v>
      </c>
      <c r="I3492">
        <v>21.6</v>
      </c>
      <c r="J3492">
        <v>0</v>
      </c>
      <c r="N3492">
        <v>0</v>
      </c>
      <c r="O3492">
        <v>0</v>
      </c>
      <c r="P3492">
        <v>0</v>
      </c>
      <c r="Q3492">
        <v>21.6</v>
      </c>
      <c r="R3492">
        <v>5</v>
      </c>
      <c r="S3492">
        <v>5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5</v>
      </c>
      <c r="AA3492">
        <v>0</v>
      </c>
      <c r="AB3492">
        <v>0</v>
      </c>
      <c r="AD3492">
        <v>26.6</v>
      </c>
    </row>
    <row r="3493" spans="1:30" x14ac:dyDescent="0.3">
      <c r="A3493" s="4">
        <v>3515</v>
      </c>
      <c r="B3493" s="5">
        <v>3486</v>
      </c>
      <c r="C3493">
        <v>2162</v>
      </c>
      <c r="D3493" t="s">
        <v>7189</v>
      </c>
      <c r="E3493" t="s">
        <v>789</v>
      </c>
      <c r="F3493" t="s">
        <v>20</v>
      </c>
      <c r="G3493" t="s">
        <v>7190</v>
      </c>
      <c r="H3493" t="str">
        <f>"00531329"</f>
        <v>00531329</v>
      </c>
      <c r="I3493">
        <v>26.56</v>
      </c>
      <c r="J3493">
        <v>0</v>
      </c>
      <c r="N3493">
        <v>0</v>
      </c>
      <c r="O3493">
        <v>0</v>
      </c>
      <c r="P3493">
        <v>0</v>
      </c>
      <c r="Q3493">
        <v>26.56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D3493">
        <v>26.56</v>
      </c>
    </row>
    <row r="3494" spans="1:30" x14ac:dyDescent="0.3">
      <c r="A3494" s="4">
        <v>3516</v>
      </c>
      <c r="B3494" s="5">
        <v>3487</v>
      </c>
      <c r="C3494">
        <v>1673</v>
      </c>
      <c r="D3494" t="s">
        <v>1227</v>
      </c>
      <c r="E3494" t="s">
        <v>7191</v>
      </c>
      <c r="F3494" t="s">
        <v>81</v>
      </c>
      <c r="G3494" t="s">
        <v>7192</v>
      </c>
      <c r="H3494" t="str">
        <f>"201604004072"</f>
        <v>201604004072</v>
      </c>
      <c r="I3494">
        <v>19.48</v>
      </c>
      <c r="J3494">
        <v>0</v>
      </c>
      <c r="N3494">
        <v>0</v>
      </c>
      <c r="O3494">
        <v>4</v>
      </c>
      <c r="P3494">
        <v>0</v>
      </c>
      <c r="Q3494">
        <v>23.48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3</v>
      </c>
      <c r="AB3494">
        <v>0</v>
      </c>
      <c r="AD3494">
        <v>26.48</v>
      </c>
    </row>
    <row r="3495" spans="1:30" x14ac:dyDescent="0.3">
      <c r="A3495" s="4">
        <v>3517</v>
      </c>
      <c r="B3495" s="5">
        <v>3488</v>
      </c>
      <c r="C3495">
        <v>2678</v>
      </c>
      <c r="D3495" t="s">
        <v>4857</v>
      </c>
      <c r="E3495" t="s">
        <v>7193</v>
      </c>
      <c r="F3495" t="s">
        <v>17</v>
      </c>
      <c r="G3495" t="s">
        <v>7194</v>
      </c>
      <c r="H3495" t="str">
        <f>"00554044"</f>
        <v>00554044</v>
      </c>
      <c r="I3495">
        <v>23.44</v>
      </c>
      <c r="J3495">
        <v>0</v>
      </c>
      <c r="N3495">
        <v>0</v>
      </c>
      <c r="O3495">
        <v>0</v>
      </c>
      <c r="P3495">
        <v>0</v>
      </c>
      <c r="Q3495">
        <v>23.44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3</v>
      </c>
      <c r="AB3495">
        <v>0</v>
      </c>
      <c r="AD3495">
        <v>26.44</v>
      </c>
    </row>
    <row r="3496" spans="1:30" x14ac:dyDescent="0.3">
      <c r="A3496" s="4">
        <v>3518</v>
      </c>
      <c r="B3496" s="5">
        <v>3489</v>
      </c>
      <c r="C3496">
        <v>4053</v>
      </c>
      <c r="D3496" t="s">
        <v>4749</v>
      </c>
      <c r="E3496" t="s">
        <v>143</v>
      </c>
      <c r="F3496" t="s">
        <v>117</v>
      </c>
      <c r="G3496">
        <v>815061</v>
      </c>
      <c r="H3496" t="str">
        <f>"00857487"</f>
        <v>00857487</v>
      </c>
      <c r="I3496">
        <v>14.4</v>
      </c>
      <c r="J3496">
        <v>0</v>
      </c>
      <c r="M3496">
        <v>4</v>
      </c>
      <c r="N3496">
        <v>4</v>
      </c>
      <c r="O3496">
        <v>0</v>
      </c>
      <c r="P3496">
        <v>2</v>
      </c>
      <c r="Q3496">
        <v>20.399999999999999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6</v>
      </c>
      <c r="AB3496">
        <v>0</v>
      </c>
      <c r="AD3496">
        <v>26.4</v>
      </c>
    </row>
    <row r="3497" spans="1:30" x14ac:dyDescent="0.3">
      <c r="A3497" s="4">
        <v>3519</v>
      </c>
      <c r="B3497" s="5">
        <v>3490</v>
      </c>
      <c r="C3497">
        <v>1894</v>
      </c>
      <c r="D3497" t="s">
        <v>7195</v>
      </c>
      <c r="E3497" t="s">
        <v>139</v>
      </c>
      <c r="F3497" t="s">
        <v>124</v>
      </c>
      <c r="G3497" t="s">
        <v>7196</v>
      </c>
      <c r="H3497" t="str">
        <f>"00864689"</f>
        <v>00864689</v>
      </c>
      <c r="I3497">
        <v>14.4</v>
      </c>
      <c r="J3497">
        <v>0</v>
      </c>
      <c r="N3497">
        <v>0</v>
      </c>
      <c r="O3497">
        <v>4</v>
      </c>
      <c r="P3497">
        <v>2</v>
      </c>
      <c r="Q3497">
        <v>20.399999999999999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6</v>
      </c>
      <c r="AB3497">
        <v>0</v>
      </c>
      <c r="AD3497">
        <v>26.4</v>
      </c>
    </row>
    <row r="3498" spans="1:30" x14ac:dyDescent="0.3">
      <c r="A3498" s="4">
        <v>3520</v>
      </c>
      <c r="B3498" s="5">
        <v>3491</v>
      </c>
      <c r="C3498">
        <v>4331</v>
      </c>
      <c r="D3498" t="s">
        <v>7197</v>
      </c>
      <c r="E3498" t="s">
        <v>33</v>
      </c>
      <c r="F3498" t="s">
        <v>136</v>
      </c>
      <c r="G3498" t="s">
        <v>7198</v>
      </c>
      <c r="H3498" t="str">
        <f>"00428660"</f>
        <v>00428660</v>
      </c>
      <c r="I3498">
        <v>14.4</v>
      </c>
      <c r="J3498">
        <v>0</v>
      </c>
      <c r="L3498">
        <v>6</v>
      </c>
      <c r="N3498">
        <v>6</v>
      </c>
      <c r="O3498">
        <v>0</v>
      </c>
      <c r="P3498">
        <v>0</v>
      </c>
      <c r="Q3498">
        <v>20.399999999999999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6</v>
      </c>
      <c r="AB3498">
        <v>0</v>
      </c>
      <c r="AD3498">
        <v>26.4</v>
      </c>
    </row>
    <row r="3499" spans="1:30" x14ac:dyDescent="0.3">
      <c r="A3499" s="4">
        <v>3521</v>
      </c>
      <c r="B3499" s="5">
        <v>3492</v>
      </c>
      <c r="C3499">
        <v>4564</v>
      </c>
      <c r="D3499" t="s">
        <v>7199</v>
      </c>
      <c r="E3499" t="s">
        <v>178</v>
      </c>
      <c r="F3499" t="s">
        <v>117</v>
      </c>
      <c r="G3499" t="s">
        <v>7200</v>
      </c>
      <c r="H3499" t="str">
        <f>"00652254"</f>
        <v>00652254</v>
      </c>
      <c r="I3499">
        <v>14.4</v>
      </c>
      <c r="J3499">
        <v>0</v>
      </c>
      <c r="M3499">
        <v>4</v>
      </c>
      <c r="N3499">
        <v>4</v>
      </c>
      <c r="O3499">
        <v>0</v>
      </c>
      <c r="P3499">
        <v>2</v>
      </c>
      <c r="Q3499">
        <v>20.399999999999999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6</v>
      </c>
      <c r="AB3499">
        <v>0</v>
      </c>
      <c r="AD3499">
        <v>26.4</v>
      </c>
    </row>
    <row r="3500" spans="1:30" x14ac:dyDescent="0.3">
      <c r="A3500" s="4">
        <v>3522</v>
      </c>
      <c r="B3500" s="5">
        <v>3493</v>
      </c>
      <c r="C3500">
        <v>1683</v>
      </c>
      <c r="D3500" t="s">
        <v>7201</v>
      </c>
      <c r="E3500" t="s">
        <v>7202</v>
      </c>
      <c r="F3500" t="s">
        <v>927</v>
      </c>
      <c r="G3500" t="s">
        <v>7203</v>
      </c>
      <c r="H3500" t="str">
        <f>"00532347"</f>
        <v>00532347</v>
      </c>
      <c r="I3500">
        <v>14.4</v>
      </c>
      <c r="J3500">
        <v>0</v>
      </c>
      <c r="N3500">
        <v>0</v>
      </c>
      <c r="O3500">
        <v>4</v>
      </c>
      <c r="P3500">
        <v>2</v>
      </c>
      <c r="Q3500">
        <v>20.399999999999999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6</v>
      </c>
      <c r="AB3500">
        <v>0</v>
      </c>
      <c r="AD3500">
        <v>26.4</v>
      </c>
    </row>
    <row r="3501" spans="1:30" x14ac:dyDescent="0.3">
      <c r="A3501" s="4">
        <v>3523</v>
      </c>
      <c r="B3501" s="5">
        <v>3494</v>
      </c>
      <c r="C3501">
        <v>2559</v>
      </c>
      <c r="D3501" t="s">
        <v>3910</v>
      </c>
      <c r="E3501" t="s">
        <v>219</v>
      </c>
      <c r="F3501" t="s">
        <v>7204</v>
      </c>
      <c r="G3501" t="s">
        <v>7205</v>
      </c>
      <c r="H3501" t="str">
        <f>"00858300"</f>
        <v>00858300</v>
      </c>
      <c r="I3501">
        <v>24.4</v>
      </c>
      <c r="J3501">
        <v>0</v>
      </c>
      <c r="N3501">
        <v>0</v>
      </c>
      <c r="O3501">
        <v>0</v>
      </c>
      <c r="P3501">
        <v>2</v>
      </c>
      <c r="Q3501">
        <v>26.4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D3501">
        <v>26.4</v>
      </c>
    </row>
    <row r="3502" spans="1:30" x14ac:dyDescent="0.3">
      <c r="A3502" s="4">
        <v>3524</v>
      </c>
      <c r="B3502" s="5">
        <v>3495</v>
      </c>
      <c r="C3502">
        <v>620</v>
      </c>
      <c r="D3502" t="s">
        <v>7206</v>
      </c>
      <c r="E3502" t="s">
        <v>825</v>
      </c>
      <c r="F3502" t="s">
        <v>1161</v>
      </c>
      <c r="G3502" t="s">
        <v>7207</v>
      </c>
      <c r="H3502" t="str">
        <f>"00674165"</f>
        <v>00674165</v>
      </c>
      <c r="I3502">
        <v>14.4</v>
      </c>
      <c r="J3502">
        <v>0</v>
      </c>
      <c r="K3502">
        <v>8</v>
      </c>
      <c r="N3502">
        <v>8</v>
      </c>
      <c r="O3502">
        <v>4</v>
      </c>
      <c r="P3502">
        <v>0</v>
      </c>
      <c r="Q3502">
        <v>26.4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D3502">
        <v>26.4</v>
      </c>
    </row>
    <row r="3503" spans="1:30" x14ac:dyDescent="0.3">
      <c r="A3503" s="4">
        <v>3525</v>
      </c>
      <c r="B3503" s="5">
        <v>3496</v>
      </c>
      <c r="C3503">
        <v>3369</v>
      </c>
      <c r="D3503" t="s">
        <v>1163</v>
      </c>
      <c r="E3503" t="s">
        <v>188</v>
      </c>
      <c r="F3503" t="s">
        <v>68</v>
      </c>
      <c r="G3503" t="s">
        <v>7208</v>
      </c>
      <c r="H3503" t="str">
        <f>"00533570"</f>
        <v>00533570</v>
      </c>
      <c r="I3503">
        <v>14.4</v>
      </c>
      <c r="J3503">
        <v>0</v>
      </c>
      <c r="K3503">
        <v>8</v>
      </c>
      <c r="N3503">
        <v>8</v>
      </c>
      <c r="O3503">
        <v>4</v>
      </c>
      <c r="P3503">
        <v>0</v>
      </c>
      <c r="Q3503">
        <v>26.4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D3503">
        <v>26.4</v>
      </c>
    </row>
    <row r="3504" spans="1:30" x14ac:dyDescent="0.3">
      <c r="A3504" s="4">
        <v>3526</v>
      </c>
      <c r="B3504" s="5">
        <v>3497</v>
      </c>
      <c r="C3504">
        <v>4913</v>
      </c>
      <c r="D3504" t="s">
        <v>7209</v>
      </c>
      <c r="E3504" t="s">
        <v>29</v>
      </c>
      <c r="F3504" t="s">
        <v>230</v>
      </c>
      <c r="G3504" t="s">
        <v>7210</v>
      </c>
      <c r="H3504" t="str">
        <f>"00512479"</f>
        <v>00512479</v>
      </c>
      <c r="I3504">
        <v>14.4</v>
      </c>
      <c r="J3504">
        <v>0</v>
      </c>
      <c r="N3504">
        <v>0</v>
      </c>
      <c r="O3504">
        <v>4</v>
      </c>
      <c r="P3504">
        <v>2</v>
      </c>
      <c r="Q3504">
        <v>20.399999999999999</v>
      </c>
      <c r="R3504">
        <v>6</v>
      </c>
      <c r="S3504">
        <v>6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6</v>
      </c>
      <c r="AA3504">
        <v>0</v>
      </c>
      <c r="AB3504">
        <v>0</v>
      </c>
      <c r="AD3504">
        <v>26.4</v>
      </c>
    </row>
    <row r="3505" spans="1:30" x14ac:dyDescent="0.3">
      <c r="A3505" s="4">
        <v>3527</v>
      </c>
      <c r="B3505" s="5">
        <v>3498</v>
      </c>
      <c r="C3505">
        <v>3045</v>
      </c>
      <c r="D3505" t="s">
        <v>5640</v>
      </c>
      <c r="E3505" t="s">
        <v>126</v>
      </c>
      <c r="F3505" t="s">
        <v>1526</v>
      </c>
      <c r="G3505" t="s">
        <v>7211</v>
      </c>
      <c r="H3505" t="str">
        <f>"00861499"</f>
        <v>00861499</v>
      </c>
      <c r="I3505">
        <v>12.28</v>
      </c>
      <c r="J3505">
        <v>10</v>
      </c>
      <c r="N3505">
        <v>0</v>
      </c>
      <c r="O3505">
        <v>4</v>
      </c>
      <c r="P3505">
        <v>0</v>
      </c>
      <c r="Q3505">
        <v>26.28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D3505">
        <v>26.28</v>
      </c>
    </row>
    <row r="3506" spans="1:30" x14ac:dyDescent="0.3">
      <c r="A3506" s="4">
        <v>3528</v>
      </c>
      <c r="B3506" s="5">
        <v>3499</v>
      </c>
      <c r="C3506">
        <v>2012</v>
      </c>
      <c r="D3506" t="s">
        <v>7212</v>
      </c>
      <c r="E3506" t="s">
        <v>208</v>
      </c>
      <c r="F3506" t="s">
        <v>38</v>
      </c>
      <c r="G3506" t="s">
        <v>7213</v>
      </c>
      <c r="H3506" t="str">
        <f>"00441514"</f>
        <v>00441514</v>
      </c>
      <c r="I3506">
        <v>7.2</v>
      </c>
      <c r="J3506">
        <v>0</v>
      </c>
      <c r="M3506">
        <v>4</v>
      </c>
      <c r="N3506">
        <v>4</v>
      </c>
      <c r="O3506">
        <v>0</v>
      </c>
      <c r="P3506">
        <v>2</v>
      </c>
      <c r="Q3506">
        <v>13.2</v>
      </c>
      <c r="R3506">
        <v>10</v>
      </c>
      <c r="S3506">
        <v>10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10</v>
      </c>
      <c r="AA3506">
        <v>3</v>
      </c>
      <c r="AB3506">
        <v>0</v>
      </c>
      <c r="AD3506">
        <v>26.2</v>
      </c>
    </row>
    <row r="3507" spans="1:30" x14ac:dyDescent="0.3">
      <c r="A3507" s="4">
        <v>3529</v>
      </c>
      <c r="B3507" s="5">
        <v>3500</v>
      </c>
      <c r="C3507">
        <v>428</v>
      </c>
      <c r="D3507" t="s">
        <v>7214</v>
      </c>
      <c r="E3507" t="s">
        <v>41</v>
      </c>
      <c r="F3507" t="s">
        <v>17</v>
      </c>
      <c r="G3507" t="s">
        <v>7215</v>
      </c>
      <c r="H3507" t="str">
        <f>"00690394"</f>
        <v>00690394</v>
      </c>
      <c r="I3507">
        <v>18.2</v>
      </c>
      <c r="J3507">
        <v>0</v>
      </c>
      <c r="M3507">
        <v>4</v>
      </c>
      <c r="N3507">
        <v>4</v>
      </c>
      <c r="O3507">
        <v>4</v>
      </c>
      <c r="P3507">
        <v>0</v>
      </c>
      <c r="Q3507">
        <v>26.2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D3507">
        <v>26.2</v>
      </c>
    </row>
    <row r="3508" spans="1:30" x14ac:dyDescent="0.3">
      <c r="A3508" s="4">
        <v>3530</v>
      </c>
      <c r="B3508" s="5">
        <v>3501</v>
      </c>
      <c r="C3508">
        <v>1202</v>
      </c>
      <c r="D3508" t="s">
        <v>7216</v>
      </c>
      <c r="E3508" t="s">
        <v>7217</v>
      </c>
      <c r="F3508" t="s">
        <v>7218</v>
      </c>
      <c r="G3508" t="s">
        <v>7219</v>
      </c>
      <c r="H3508" t="str">
        <f>"00151942"</f>
        <v>00151942</v>
      </c>
      <c r="I3508">
        <v>7.2</v>
      </c>
      <c r="J3508">
        <v>0</v>
      </c>
      <c r="N3508">
        <v>0</v>
      </c>
      <c r="O3508">
        <v>4</v>
      </c>
      <c r="P3508">
        <v>2</v>
      </c>
      <c r="Q3508">
        <v>13.2</v>
      </c>
      <c r="R3508">
        <v>13</v>
      </c>
      <c r="S3508">
        <v>13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13</v>
      </c>
      <c r="AA3508">
        <v>0</v>
      </c>
      <c r="AB3508">
        <v>0</v>
      </c>
      <c r="AD3508">
        <v>26.2</v>
      </c>
    </row>
    <row r="3509" spans="1:30" x14ac:dyDescent="0.3">
      <c r="A3509" s="4">
        <v>3531</v>
      </c>
      <c r="B3509" s="5">
        <v>3502</v>
      </c>
      <c r="C3509">
        <v>1571</v>
      </c>
      <c r="D3509" t="s">
        <v>7220</v>
      </c>
      <c r="E3509" t="s">
        <v>1639</v>
      </c>
      <c r="F3509" t="s">
        <v>259</v>
      </c>
      <c r="G3509" t="s">
        <v>7221</v>
      </c>
      <c r="H3509" t="str">
        <f>"00498358"</f>
        <v>00498358</v>
      </c>
      <c r="I3509">
        <v>7.2</v>
      </c>
      <c r="J3509">
        <v>0</v>
      </c>
      <c r="N3509">
        <v>0</v>
      </c>
      <c r="O3509">
        <v>4</v>
      </c>
      <c r="P3509">
        <v>2</v>
      </c>
      <c r="Q3509">
        <v>13.2</v>
      </c>
      <c r="R3509">
        <v>13</v>
      </c>
      <c r="S3509">
        <v>13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13</v>
      </c>
      <c r="AA3509">
        <v>0</v>
      </c>
      <c r="AB3509">
        <v>0</v>
      </c>
      <c r="AD3509">
        <v>26.2</v>
      </c>
    </row>
    <row r="3510" spans="1:30" x14ac:dyDescent="0.3">
      <c r="A3510" s="4">
        <v>3532</v>
      </c>
      <c r="B3510" s="5">
        <v>3503</v>
      </c>
      <c r="C3510">
        <v>4321</v>
      </c>
      <c r="D3510" t="s">
        <v>7222</v>
      </c>
      <c r="E3510" t="s">
        <v>7223</v>
      </c>
      <c r="F3510" t="s">
        <v>310</v>
      </c>
      <c r="G3510" t="s">
        <v>7224</v>
      </c>
      <c r="H3510" t="str">
        <f>"00864974"</f>
        <v>00864974</v>
      </c>
      <c r="I3510">
        <v>17.079999999999998</v>
      </c>
      <c r="J3510">
        <v>0</v>
      </c>
      <c r="N3510">
        <v>0</v>
      </c>
      <c r="O3510">
        <v>0</v>
      </c>
      <c r="P3510">
        <v>0</v>
      </c>
      <c r="Q3510">
        <v>17.079999999999998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9</v>
      </c>
      <c r="AB3510">
        <v>0</v>
      </c>
      <c r="AD3510">
        <v>26.08</v>
      </c>
    </row>
    <row r="3511" spans="1:30" x14ac:dyDescent="0.3">
      <c r="A3511" s="4">
        <v>3533</v>
      </c>
      <c r="B3511" s="5">
        <v>3504</v>
      </c>
      <c r="C3511">
        <v>690</v>
      </c>
      <c r="D3511" t="s">
        <v>7225</v>
      </c>
      <c r="E3511" t="s">
        <v>51</v>
      </c>
      <c r="F3511" t="s">
        <v>1806</v>
      </c>
      <c r="G3511" t="s">
        <v>7226</v>
      </c>
      <c r="H3511" t="str">
        <f>"201410009242"</f>
        <v>201410009242</v>
      </c>
      <c r="I3511">
        <v>20</v>
      </c>
      <c r="J3511">
        <v>0</v>
      </c>
      <c r="N3511">
        <v>0</v>
      </c>
      <c r="O3511">
        <v>0</v>
      </c>
      <c r="P3511">
        <v>0</v>
      </c>
      <c r="Q3511">
        <v>20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6</v>
      </c>
      <c r="AB3511">
        <v>0</v>
      </c>
      <c r="AD3511">
        <v>26</v>
      </c>
    </row>
    <row r="3512" spans="1:30" x14ac:dyDescent="0.3">
      <c r="A3512" s="4">
        <v>3534</v>
      </c>
      <c r="B3512" s="5">
        <v>3505</v>
      </c>
      <c r="C3512">
        <v>335</v>
      </c>
      <c r="D3512" t="s">
        <v>7227</v>
      </c>
      <c r="E3512" t="s">
        <v>54</v>
      </c>
      <c r="F3512" t="s">
        <v>38</v>
      </c>
      <c r="G3512" t="s">
        <v>7228</v>
      </c>
      <c r="H3512" t="str">
        <f>"00847909"</f>
        <v>00847909</v>
      </c>
      <c r="I3512">
        <v>22</v>
      </c>
      <c r="J3512">
        <v>0</v>
      </c>
      <c r="N3512">
        <v>0</v>
      </c>
      <c r="O3512">
        <v>4</v>
      </c>
      <c r="P3512">
        <v>0</v>
      </c>
      <c r="Q3512">
        <v>26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D3512">
        <v>26</v>
      </c>
    </row>
    <row r="3513" spans="1:30" x14ac:dyDescent="0.3">
      <c r="A3513" s="4">
        <v>3535</v>
      </c>
      <c r="B3513" s="5">
        <v>3506</v>
      </c>
      <c r="C3513">
        <v>3163</v>
      </c>
      <c r="D3513" t="s">
        <v>7229</v>
      </c>
      <c r="E3513" t="s">
        <v>7230</v>
      </c>
      <c r="F3513" t="s">
        <v>2261</v>
      </c>
      <c r="G3513" t="s">
        <v>7231</v>
      </c>
      <c r="H3513" t="str">
        <f>"00702959"</f>
        <v>00702959</v>
      </c>
      <c r="I3513">
        <v>12</v>
      </c>
      <c r="J3513">
        <v>10</v>
      </c>
      <c r="N3513">
        <v>0</v>
      </c>
      <c r="O3513">
        <v>4</v>
      </c>
      <c r="P3513">
        <v>0</v>
      </c>
      <c r="Q3513">
        <v>26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D3513">
        <v>26</v>
      </c>
    </row>
    <row r="3514" spans="1:30" x14ac:dyDescent="0.3">
      <c r="A3514" s="4">
        <v>3536</v>
      </c>
      <c r="B3514" s="5">
        <v>3507</v>
      </c>
      <c r="C3514">
        <v>1852</v>
      </c>
      <c r="D3514" t="s">
        <v>7232</v>
      </c>
      <c r="E3514" t="s">
        <v>7233</v>
      </c>
      <c r="F3514" t="s">
        <v>6108</v>
      </c>
      <c r="G3514" t="s">
        <v>7234</v>
      </c>
      <c r="H3514" t="str">
        <f>"00531800"</f>
        <v>00531800</v>
      </c>
      <c r="I3514">
        <v>0</v>
      </c>
      <c r="J3514">
        <v>10</v>
      </c>
      <c r="N3514">
        <v>0</v>
      </c>
      <c r="O3514">
        <v>4</v>
      </c>
      <c r="P3514">
        <v>2</v>
      </c>
      <c r="Q3514">
        <v>16</v>
      </c>
      <c r="R3514">
        <v>10</v>
      </c>
      <c r="S3514">
        <v>10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10</v>
      </c>
      <c r="AA3514">
        <v>0</v>
      </c>
      <c r="AB3514">
        <v>0</v>
      </c>
      <c r="AD3514">
        <v>26</v>
      </c>
    </row>
    <row r="3515" spans="1:30" x14ac:dyDescent="0.3">
      <c r="A3515" s="4">
        <v>3537</v>
      </c>
      <c r="B3515" s="5">
        <v>3508</v>
      </c>
      <c r="C3515">
        <v>1838</v>
      </c>
      <c r="D3515" t="s">
        <v>7235</v>
      </c>
      <c r="E3515" t="s">
        <v>342</v>
      </c>
      <c r="F3515" t="s">
        <v>652</v>
      </c>
      <c r="G3515" t="s">
        <v>7236</v>
      </c>
      <c r="H3515" t="str">
        <f>"00642232"</f>
        <v>00642232</v>
      </c>
      <c r="I3515">
        <v>21.8</v>
      </c>
      <c r="J3515">
        <v>0</v>
      </c>
      <c r="N3515">
        <v>0</v>
      </c>
      <c r="O3515">
        <v>4</v>
      </c>
      <c r="P3515">
        <v>0</v>
      </c>
      <c r="Q3515">
        <v>25.8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D3515">
        <v>25.8</v>
      </c>
    </row>
    <row r="3516" spans="1:30" x14ac:dyDescent="0.3">
      <c r="A3516" s="4">
        <v>3538</v>
      </c>
      <c r="B3516" s="5">
        <v>3509</v>
      </c>
      <c r="C3516">
        <v>2295</v>
      </c>
      <c r="D3516" t="s">
        <v>7237</v>
      </c>
      <c r="E3516" t="s">
        <v>1508</v>
      </c>
      <c r="F3516" t="s">
        <v>1526</v>
      </c>
      <c r="G3516" t="s">
        <v>7238</v>
      </c>
      <c r="H3516" t="str">
        <f>"201511016575"</f>
        <v>201511016575</v>
      </c>
      <c r="I3516">
        <v>21.8</v>
      </c>
      <c r="J3516">
        <v>0</v>
      </c>
      <c r="N3516">
        <v>0</v>
      </c>
      <c r="O3516">
        <v>4</v>
      </c>
      <c r="P3516">
        <v>0</v>
      </c>
      <c r="Q3516">
        <v>25.8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D3516">
        <v>25.8</v>
      </c>
    </row>
    <row r="3517" spans="1:30" x14ac:dyDescent="0.3">
      <c r="A3517" s="4">
        <v>3539</v>
      </c>
      <c r="B3517" s="5">
        <v>3510</v>
      </c>
      <c r="C3517">
        <v>3899</v>
      </c>
      <c r="D3517" t="s">
        <v>7239</v>
      </c>
      <c r="E3517" t="s">
        <v>858</v>
      </c>
      <c r="F3517" t="s">
        <v>91</v>
      </c>
      <c r="G3517" t="s">
        <v>7240</v>
      </c>
      <c r="H3517" t="str">
        <f>"00650461"</f>
        <v>00650461</v>
      </c>
      <c r="I3517">
        <v>18.760000000000002</v>
      </c>
      <c r="J3517">
        <v>0</v>
      </c>
      <c r="N3517">
        <v>0</v>
      </c>
      <c r="O3517">
        <v>4</v>
      </c>
      <c r="P3517">
        <v>0</v>
      </c>
      <c r="Q3517">
        <v>22.76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3</v>
      </c>
      <c r="AB3517">
        <v>0</v>
      </c>
      <c r="AD3517">
        <v>25.76</v>
      </c>
    </row>
    <row r="3518" spans="1:30" x14ac:dyDescent="0.3">
      <c r="A3518" s="4">
        <v>3540</v>
      </c>
      <c r="B3518" s="5">
        <v>3511</v>
      </c>
      <c r="C3518">
        <v>2301</v>
      </c>
      <c r="D3518" t="s">
        <v>7241</v>
      </c>
      <c r="E3518" t="s">
        <v>33</v>
      </c>
      <c r="F3518" t="s">
        <v>17</v>
      </c>
      <c r="G3518" t="s">
        <v>7242</v>
      </c>
      <c r="H3518" t="str">
        <f>"00854295"</f>
        <v>00854295</v>
      </c>
      <c r="I3518">
        <v>21.6</v>
      </c>
      <c r="J3518">
        <v>0</v>
      </c>
      <c r="M3518">
        <v>4</v>
      </c>
      <c r="N3518">
        <v>4</v>
      </c>
      <c r="O3518">
        <v>0</v>
      </c>
      <c r="P3518">
        <v>0</v>
      </c>
      <c r="Q3518">
        <v>25.6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D3518">
        <v>25.6</v>
      </c>
    </row>
    <row r="3519" spans="1:30" x14ac:dyDescent="0.3">
      <c r="A3519" s="4">
        <v>3541</v>
      </c>
      <c r="B3519" s="5">
        <v>3512</v>
      </c>
      <c r="C3519">
        <v>1568</v>
      </c>
      <c r="D3519" t="s">
        <v>7243</v>
      </c>
      <c r="E3519" t="s">
        <v>104</v>
      </c>
      <c r="F3519" t="s">
        <v>68</v>
      </c>
      <c r="G3519" t="s">
        <v>7244</v>
      </c>
      <c r="H3519" t="str">
        <f>"00858981"</f>
        <v>00858981</v>
      </c>
      <c r="I3519">
        <v>21.6</v>
      </c>
      <c r="J3519">
        <v>0</v>
      </c>
      <c r="N3519">
        <v>0</v>
      </c>
      <c r="O3519">
        <v>4</v>
      </c>
      <c r="P3519">
        <v>0</v>
      </c>
      <c r="Q3519">
        <v>25.6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D3519">
        <v>25.6</v>
      </c>
    </row>
    <row r="3520" spans="1:30" x14ac:dyDescent="0.3">
      <c r="A3520" s="4">
        <v>3542</v>
      </c>
      <c r="B3520" s="5">
        <v>3513</v>
      </c>
      <c r="C3520">
        <v>4524</v>
      </c>
      <c r="D3520" t="s">
        <v>2609</v>
      </c>
      <c r="E3520" t="s">
        <v>858</v>
      </c>
      <c r="F3520" t="s">
        <v>117</v>
      </c>
      <c r="G3520" t="s">
        <v>7245</v>
      </c>
      <c r="H3520" t="str">
        <f>"00217589"</f>
        <v>00217589</v>
      </c>
      <c r="I3520">
        <v>21.6</v>
      </c>
      <c r="J3520">
        <v>0</v>
      </c>
      <c r="M3520">
        <v>4</v>
      </c>
      <c r="N3520">
        <v>4</v>
      </c>
      <c r="O3520">
        <v>0</v>
      </c>
      <c r="P3520">
        <v>0</v>
      </c>
      <c r="Q3520">
        <v>25.6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D3520">
        <v>25.6</v>
      </c>
    </row>
    <row r="3521" spans="1:30" x14ac:dyDescent="0.3">
      <c r="A3521" s="4">
        <v>3543</v>
      </c>
      <c r="B3521" s="5">
        <v>3514</v>
      </c>
      <c r="C3521">
        <v>2661</v>
      </c>
      <c r="D3521" t="s">
        <v>7246</v>
      </c>
      <c r="E3521" t="s">
        <v>208</v>
      </c>
      <c r="F3521" t="s">
        <v>167</v>
      </c>
      <c r="G3521" t="s">
        <v>7247</v>
      </c>
      <c r="H3521" t="str">
        <f>"00864404"</f>
        <v>00864404</v>
      </c>
      <c r="I3521">
        <v>21.6</v>
      </c>
      <c r="J3521">
        <v>0</v>
      </c>
      <c r="N3521">
        <v>0</v>
      </c>
      <c r="O3521">
        <v>4</v>
      </c>
      <c r="P3521">
        <v>0</v>
      </c>
      <c r="Q3521">
        <v>25.6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D3521">
        <v>25.6</v>
      </c>
    </row>
    <row r="3522" spans="1:30" x14ac:dyDescent="0.3">
      <c r="A3522" s="4">
        <v>3544</v>
      </c>
      <c r="B3522" s="5">
        <v>3515</v>
      </c>
      <c r="C3522">
        <v>717</v>
      </c>
      <c r="D3522" t="s">
        <v>7248</v>
      </c>
      <c r="E3522" t="s">
        <v>1728</v>
      </c>
      <c r="F3522" t="s">
        <v>158</v>
      </c>
      <c r="G3522" t="s">
        <v>7249</v>
      </c>
      <c r="H3522" t="str">
        <f>"00739788"</f>
        <v>00739788</v>
      </c>
      <c r="I3522">
        <v>21.6</v>
      </c>
      <c r="J3522">
        <v>0</v>
      </c>
      <c r="M3522">
        <v>4</v>
      </c>
      <c r="N3522">
        <v>4</v>
      </c>
      <c r="O3522">
        <v>0</v>
      </c>
      <c r="P3522">
        <v>0</v>
      </c>
      <c r="Q3522">
        <v>25.6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D3522">
        <v>25.6</v>
      </c>
    </row>
    <row r="3523" spans="1:30" x14ac:dyDescent="0.3">
      <c r="A3523" s="4">
        <v>3545</v>
      </c>
      <c r="B3523" s="5">
        <v>3516</v>
      </c>
      <c r="C3523">
        <v>3212</v>
      </c>
      <c r="D3523" t="s">
        <v>7250</v>
      </c>
      <c r="E3523" t="s">
        <v>41</v>
      </c>
      <c r="F3523" t="s">
        <v>38</v>
      </c>
      <c r="G3523" t="s">
        <v>7251</v>
      </c>
      <c r="H3523" t="str">
        <f>"00379336"</f>
        <v>00379336</v>
      </c>
      <c r="I3523">
        <v>21.6</v>
      </c>
      <c r="J3523">
        <v>0</v>
      </c>
      <c r="N3523">
        <v>0</v>
      </c>
      <c r="O3523">
        <v>4</v>
      </c>
      <c r="P3523">
        <v>0</v>
      </c>
      <c r="Q3523">
        <v>25.6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D3523">
        <v>25.6</v>
      </c>
    </row>
    <row r="3524" spans="1:30" x14ac:dyDescent="0.3">
      <c r="A3524" s="4">
        <v>3546</v>
      </c>
      <c r="B3524" s="5">
        <v>3517</v>
      </c>
      <c r="C3524">
        <v>3594</v>
      </c>
      <c r="D3524" t="s">
        <v>1693</v>
      </c>
      <c r="E3524" t="s">
        <v>283</v>
      </c>
      <c r="F3524" t="s">
        <v>375</v>
      </c>
      <c r="G3524" t="s">
        <v>7252</v>
      </c>
      <c r="H3524" t="str">
        <f>"00542018"</f>
        <v>00542018</v>
      </c>
      <c r="I3524">
        <v>21.6</v>
      </c>
      <c r="J3524">
        <v>0</v>
      </c>
      <c r="M3524">
        <v>4</v>
      </c>
      <c r="N3524">
        <v>4</v>
      </c>
      <c r="O3524">
        <v>0</v>
      </c>
      <c r="P3524">
        <v>0</v>
      </c>
      <c r="Q3524">
        <v>25.6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D3524">
        <v>25.6</v>
      </c>
    </row>
    <row r="3525" spans="1:30" x14ac:dyDescent="0.3">
      <c r="A3525" s="4">
        <v>3547</v>
      </c>
      <c r="B3525" s="5">
        <v>3518</v>
      </c>
      <c r="C3525">
        <v>1870</v>
      </c>
      <c r="D3525" t="s">
        <v>7253</v>
      </c>
      <c r="E3525" t="s">
        <v>1426</v>
      </c>
      <c r="F3525" t="s">
        <v>17</v>
      </c>
      <c r="G3525" t="s">
        <v>7254</v>
      </c>
      <c r="H3525" t="str">
        <f>"00859732"</f>
        <v>00859732</v>
      </c>
      <c r="I3525">
        <v>21.6</v>
      </c>
      <c r="J3525">
        <v>0</v>
      </c>
      <c r="M3525">
        <v>4</v>
      </c>
      <c r="N3525">
        <v>4</v>
      </c>
      <c r="O3525">
        <v>0</v>
      </c>
      <c r="P3525">
        <v>0</v>
      </c>
      <c r="Q3525">
        <v>25.6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D3525">
        <v>25.6</v>
      </c>
    </row>
    <row r="3526" spans="1:30" x14ac:dyDescent="0.3">
      <c r="A3526" s="4">
        <v>3548</v>
      </c>
      <c r="B3526" s="5">
        <v>3519</v>
      </c>
      <c r="C3526">
        <v>716</v>
      </c>
      <c r="D3526" t="s">
        <v>451</v>
      </c>
      <c r="E3526" t="s">
        <v>37</v>
      </c>
      <c r="F3526" t="s">
        <v>117</v>
      </c>
      <c r="G3526" t="s">
        <v>7255</v>
      </c>
      <c r="H3526" t="str">
        <f>"201011000047"</f>
        <v>201011000047</v>
      </c>
      <c r="I3526">
        <v>21.6</v>
      </c>
      <c r="J3526">
        <v>0</v>
      </c>
      <c r="N3526">
        <v>0</v>
      </c>
      <c r="O3526">
        <v>4</v>
      </c>
      <c r="P3526">
        <v>0</v>
      </c>
      <c r="Q3526">
        <v>25.6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D3526">
        <v>25.6</v>
      </c>
    </row>
    <row r="3527" spans="1:30" x14ac:dyDescent="0.3">
      <c r="A3527" s="4">
        <v>3549</v>
      </c>
      <c r="B3527" s="5">
        <v>3520</v>
      </c>
      <c r="C3527">
        <v>4616</v>
      </c>
      <c r="D3527" t="s">
        <v>2170</v>
      </c>
      <c r="E3527" t="s">
        <v>178</v>
      </c>
      <c r="F3527" t="s">
        <v>55</v>
      </c>
      <c r="G3527" t="s">
        <v>7256</v>
      </c>
      <c r="H3527" t="str">
        <f>"00527847"</f>
        <v>00527847</v>
      </c>
      <c r="I3527">
        <v>21.6</v>
      </c>
      <c r="J3527">
        <v>0</v>
      </c>
      <c r="N3527">
        <v>0</v>
      </c>
      <c r="O3527">
        <v>4</v>
      </c>
      <c r="P3527">
        <v>0</v>
      </c>
      <c r="Q3527">
        <v>25.6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D3527">
        <v>25.6</v>
      </c>
    </row>
    <row r="3528" spans="1:30" x14ac:dyDescent="0.3">
      <c r="A3528" s="4">
        <v>3550</v>
      </c>
      <c r="B3528" s="5">
        <v>3521</v>
      </c>
      <c r="C3528">
        <v>1858</v>
      </c>
      <c r="D3528" t="s">
        <v>7257</v>
      </c>
      <c r="E3528" t="s">
        <v>29</v>
      </c>
      <c r="F3528" t="s">
        <v>81</v>
      </c>
      <c r="G3528" t="s">
        <v>7258</v>
      </c>
      <c r="H3528" t="str">
        <f>"00862930"</f>
        <v>00862930</v>
      </c>
      <c r="I3528">
        <v>21.6</v>
      </c>
      <c r="J3528">
        <v>0</v>
      </c>
      <c r="M3528">
        <v>4</v>
      </c>
      <c r="N3528">
        <v>4</v>
      </c>
      <c r="O3528">
        <v>0</v>
      </c>
      <c r="P3528">
        <v>0</v>
      </c>
      <c r="Q3528">
        <v>25.6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D3528">
        <v>25.6</v>
      </c>
    </row>
    <row r="3529" spans="1:30" x14ac:dyDescent="0.3">
      <c r="A3529" s="4">
        <v>3551</v>
      </c>
      <c r="B3529" s="5">
        <v>3522</v>
      </c>
      <c r="C3529">
        <v>3071</v>
      </c>
      <c r="D3529" t="s">
        <v>3230</v>
      </c>
      <c r="E3529" t="s">
        <v>132</v>
      </c>
      <c r="F3529" t="s">
        <v>927</v>
      </c>
      <c r="G3529" t="s">
        <v>7259</v>
      </c>
      <c r="H3529" t="str">
        <f>"00864812"</f>
        <v>00864812</v>
      </c>
      <c r="I3529">
        <v>21.6</v>
      </c>
      <c r="J3529">
        <v>0</v>
      </c>
      <c r="N3529">
        <v>0</v>
      </c>
      <c r="O3529">
        <v>4</v>
      </c>
      <c r="P3529">
        <v>0</v>
      </c>
      <c r="Q3529">
        <v>25.6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D3529">
        <v>25.6</v>
      </c>
    </row>
    <row r="3530" spans="1:30" x14ac:dyDescent="0.3">
      <c r="A3530" s="4">
        <v>3552</v>
      </c>
      <c r="B3530" s="5">
        <v>3523</v>
      </c>
      <c r="C3530">
        <v>151</v>
      </c>
      <c r="D3530" t="s">
        <v>7260</v>
      </c>
      <c r="E3530" t="s">
        <v>413</v>
      </c>
      <c r="F3530" t="s">
        <v>38</v>
      </c>
      <c r="G3530" t="s">
        <v>7261</v>
      </c>
      <c r="H3530" t="str">
        <f>"00858814"</f>
        <v>00858814</v>
      </c>
      <c r="I3530">
        <v>21.6</v>
      </c>
      <c r="J3530">
        <v>0</v>
      </c>
      <c r="N3530">
        <v>0</v>
      </c>
      <c r="O3530">
        <v>4</v>
      </c>
      <c r="P3530">
        <v>0</v>
      </c>
      <c r="Q3530">
        <v>25.6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D3530">
        <v>25.6</v>
      </c>
    </row>
    <row r="3531" spans="1:30" x14ac:dyDescent="0.3">
      <c r="A3531" s="4">
        <v>3553</v>
      </c>
      <c r="B3531" s="5">
        <v>3524</v>
      </c>
      <c r="C3531">
        <v>4014</v>
      </c>
      <c r="D3531" t="s">
        <v>2073</v>
      </c>
      <c r="E3531" t="s">
        <v>255</v>
      </c>
      <c r="F3531" t="s">
        <v>230</v>
      </c>
      <c r="G3531" t="s">
        <v>7262</v>
      </c>
      <c r="H3531" t="str">
        <f>"00778700"</f>
        <v>00778700</v>
      </c>
      <c r="I3531">
        <v>21.6</v>
      </c>
      <c r="J3531">
        <v>0</v>
      </c>
      <c r="N3531">
        <v>0</v>
      </c>
      <c r="O3531">
        <v>4</v>
      </c>
      <c r="P3531">
        <v>0</v>
      </c>
      <c r="Q3531">
        <v>25.6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D3531">
        <v>25.6</v>
      </c>
    </row>
    <row r="3532" spans="1:30" x14ac:dyDescent="0.3">
      <c r="A3532" s="4">
        <v>3554</v>
      </c>
      <c r="B3532" s="5">
        <v>3525</v>
      </c>
      <c r="C3532">
        <v>1686</v>
      </c>
      <c r="D3532" t="s">
        <v>7263</v>
      </c>
      <c r="E3532" t="s">
        <v>139</v>
      </c>
      <c r="F3532" t="s">
        <v>30</v>
      </c>
      <c r="G3532" t="s">
        <v>7264</v>
      </c>
      <c r="H3532" t="str">
        <f>"00346726"</f>
        <v>00346726</v>
      </c>
      <c r="I3532">
        <v>25.52</v>
      </c>
      <c r="J3532">
        <v>0</v>
      </c>
      <c r="N3532">
        <v>0</v>
      </c>
      <c r="O3532">
        <v>0</v>
      </c>
      <c r="P3532">
        <v>0</v>
      </c>
      <c r="Q3532">
        <v>25.52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D3532">
        <v>25.52</v>
      </c>
    </row>
    <row r="3533" spans="1:30" x14ac:dyDescent="0.3">
      <c r="A3533" s="4">
        <v>3555</v>
      </c>
      <c r="B3533" s="5">
        <v>3526</v>
      </c>
      <c r="C3533">
        <v>4345</v>
      </c>
      <c r="D3533" t="s">
        <v>7118</v>
      </c>
      <c r="E3533" t="s">
        <v>29</v>
      </c>
      <c r="F3533" t="s">
        <v>17</v>
      </c>
      <c r="G3533" t="s">
        <v>7265</v>
      </c>
      <c r="H3533" t="str">
        <f>"00562042"</f>
        <v>00562042</v>
      </c>
      <c r="I3533">
        <v>14.4</v>
      </c>
      <c r="J3533">
        <v>0</v>
      </c>
      <c r="M3533">
        <v>4</v>
      </c>
      <c r="N3533">
        <v>4</v>
      </c>
      <c r="O3533">
        <v>4</v>
      </c>
      <c r="P3533">
        <v>0</v>
      </c>
      <c r="Q3533">
        <v>22.4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3</v>
      </c>
      <c r="AB3533">
        <v>0</v>
      </c>
      <c r="AD3533">
        <v>25.4</v>
      </c>
    </row>
    <row r="3534" spans="1:30" x14ac:dyDescent="0.3">
      <c r="A3534" s="4">
        <v>3556</v>
      </c>
      <c r="B3534" s="5">
        <v>3527</v>
      </c>
      <c r="C3534">
        <v>1343</v>
      </c>
      <c r="D3534" t="s">
        <v>7266</v>
      </c>
      <c r="E3534" t="s">
        <v>550</v>
      </c>
      <c r="F3534" t="s">
        <v>62</v>
      </c>
      <c r="G3534" t="s">
        <v>7267</v>
      </c>
      <c r="H3534" t="str">
        <f>"00442390"</f>
        <v>00442390</v>
      </c>
      <c r="I3534">
        <v>14.4</v>
      </c>
      <c r="J3534">
        <v>0</v>
      </c>
      <c r="M3534">
        <v>4</v>
      </c>
      <c r="N3534">
        <v>4</v>
      </c>
      <c r="O3534">
        <v>0</v>
      </c>
      <c r="P3534">
        <v>2</v>
      </c>
      <c r="Q3534">
        <v>20.399999999999999</v>
      </c>
      <c r="R3534">
        <v>5</v>
      </c>
      <c r="S3534">
        <v>5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5</v>
      </c>
      <c r="AA3534">
        <v>0</v>
      </c>
      <c r="AB3534">
        <v>0</v>
      </c>
      <c r="AD3534">
        <v>25.4</v>
      </c>
    </row>
    <row r="3535" spans="1:30" x14ac:dyDescent="0.3">
      <c r="A3535" s="4">
        <v>3557</v>
      </c>
      <c r="B3535" s="5">
        <v>3528</v>
      </c>
      <c r="C3535">
        <v>2750</v>
      </c>
      <c r="D3535" t="s">
        <v>294</v>
      </c>
      <c r="E3535" t="s">
        <v>97</v>
      </c>
      <c r="F3535" t="s">
        <v>5614</v>
      </c>
      <c r="G3535" t="s">
        <v>7268</v>
      </c>
      <c r="H3535" t="str">
        <f>"00201638"</f>
        <v>00201638</v>
      </c>
      <c r="I3535">
        <v>7.2</v>
      </c>
      <c r="J3535">
        <v>0</v>
      </c>
      <c r="M3535">
        <v>8</v>
      </c>
      <c r="N3535">
        <v>8</v>
      </c>
      <c r="O3535">
        <v>4</v>
      </c>
      <c r="P3535">
        <v>0</v>
      </c>
      <c r="Q3535">
        <v>19.2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6</v>
      </c>
      <c r="AB3535">
        <v>0</v>
      </c>
      <c r="AD3535">
        <v>25.2</v>
      </c>
    </row>
    <row r="3536" spans="1:30" x14ac:dyDescent="0.3">
      <c r="A3536" s="4">
        <v>3558</v>
      </c>
      <c r="B3536" s="5">
        <v>3529</v>
      </c>
      <c r="C3536">
        <v>226</v>
      </c>
      <c r="D3536" t="s">
        <v>3388</v>
      </c>
      <c r="E3536" t="s">
        <v>166</v>
      </c>
      <c r="F3536" t="s">
        <v>38</v>
      </c>
      <c r="G3536" t="s">
        <v>7269</v>
      </c>
      <c r="H3536" t="str">
        <f>"00858900"</f>
        <v>00858900</v>
      </c>
      <c r="I3536">
        <v>25.2</v>
      </c>
      <c r="J3536">
        <v>0</v>
      </c>
      <c r="N3536">
        <v>0</v>
      </c>
      <c r="O3536">
        <v>0</v>
      </c>
      <c r="P3536">
        <v>0</v>
      </c>
      <c r="Q3536">
        <v>25.2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D3536">
        <v>25.2</v>
      </c>
    </row>
    <row r="3537" spans="1:30" x14ac:dyDescent="0.3">
      <c r="A3537" s="4">
        <v>3559</v>
      </c>
      <c r="B3537" s="5">
        <v>3530</v>
      </c>
      <c r="C3537">
        <v>2199</v>
      </c>
      <c r="D3537" t="s">
        <v>7270</v>
      </c>
      <c r="E3537" t="s">
        <v>166</v>
      </c>
      <c r="F3537" t="s">
        <v>81</v>
      </c>
      <c r="G3537" t="s">
        <v>7271</v>
      </c>
      <c r="H3537" t="str">
        <f>"00864020"</f>
        <v>00864020</v>
      </c>
      <c r="I3537">
        <v>25.2</v>
      </c>
      <c r="J3537">
        <v>0</v>
      </c>
      <c r="N3537">
        <v>0</v>
      </c>
      <c r="O3537">
        <v>0</v>
      </c>
      <c r="P3537">
        <v>0</v>
      </c>
      <c r="Q3537">
        <v>25.2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D3537">
        <v>25.2</v>
      </c>
    </row>
    <row r="3538" spans="1:30" x14ac:dyDescent="0.3">
      <c r="A3538" s="4">
        <v>3560</v>
      </c>
      <c r="B3538" s="5">
        <v>3531</v>
      </c>
      <c r="C3538">
        <v>146</v>
      </c>
      <c r="D3538" t="s">
        <v>7272</v>
      </c>
      <c r="E3538" t="s">
        <v>139</v>
      </c>
      <c r="F3538" t="s">
        <v>68</v>
      </c>
      <c r="G3538" t="s">
        <v>7273</v>
      </c>
      <c r="H3538" t="str">
        <f>"00532444"</f>
        <v>00532444</v>
      </c>
      <c r="I3538">
        <v>19.2</v>
      </c>
      <c r="J3538">
        <v>0</v>
      </c>
      <c r="N3538">
        <v>0</v>
      </c>
      <c r="O3538">
        <v>0</v>
      </c>
      <c r="P3538">
        <v>0</v>
      </c>
      <c r="Q3538">
        <v>19.2</v>
      </c>
      <c r="R3538">
        <v>6</v>
      </c>
      <c r="S3538">
        <v>6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6</v>
      </c>
      <c r="AA3538">
        <v>0</v>
      </c>
      <c r="AB3538">
        <v>0</v>
      </c>
      <c r="AD3538">
        <v>25.2</v>
      </c>
    </row>
    <row r="3539" spans="1:30" x14ac:dyDescent="0.3">
      <c r="A3539" s="4">
        <v>3561</v>
      </c>
      <c r="B3539" s="5">
        <v>3532</v>
      </c>
      <c r="C3539">
        <v>272</v>
      </c>
      <c r="D3539" t="s">
        <v>7274</v>
      </c>
      <c r="E3539" t="s">
        <v>22</v>
      </c>
      <c r="F3539" t="s">
        <v>38</v>
      </c>
      <c r="G3539" t="s">
        <v>7275</v>
      </c>
      <c r="H3539" t="str">
        <f>"00857976"</f>
        <v>00857976</v>
      </c>
      <c r="I3539">
        <v>7.2</v>
      </c>
      <c r="J3539">
        <v>0</v>
      </c>
      <c r="N3539">
        <v>0</v>
      </c>
      <c r="O3539">
        <v>0</v>
      </c>
      <c r="P3539">
        <v>0</v>
      </c>
      <c r="Q3539">
        <v>7.2</v>
      </c>
      <c r="R3539">
        <v>18</v>
      </c>
      <c r="S3539">
        <v>18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18</v>
      </c>
      <c r="AA3539">
        <v>0</v>
      </c>
      <c r="AB3539">
        <v>0</v>
      </c>
      <c r="AD3539">
        <v>25.2</v>
      </c>
    </row>
    <row r="3540" spans="1:30" x14ac:dyDescent="0.3">
      <c r="A3540" s="4">
        <v>3562</v>
      </c>
      <c r="B3540" s="5">
        <v>3533</v>
      </c>
      <c r="C3540">
        <v>3277</v>
      </c>
      <c r="D3540" t="s">
        <v>7276</v>
      </c>
      <c r="E3540" t="s">
        <v>29</v>
      </c>
      <c r="F3540" t="s">
        <v>343</v>
      </c>
      <c r="G3540" t="s">
        <v>7277</v>
      </c>
      <c r="H3540" t="str">
        <f>"00864549"</f>
        <v>00864549</v>
      </c>
      <c r="I3540">
        <v>22.16</v>
      </c>
      <c r="J3540">
        <v>0</v>
      </c>
      <c r="N3540">
        <v>0</v>
      </c>
      <c r="O3540">
        <v>0</v>
      </c>
      <c r="P3540">
        <v>0</v>
      </c>
      <c r="Q3540">
        <v>22.16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3</v>
      </c>
      <c r="AB3540">
        <v>0</v>
      </c>
      <c r="AD3540">
        <v>25.16</v>
      </c>
    </row>
    <row r="3541" spans="1:30" x14ac:dyDescent="0.3">
      <c r="A3541" s="4">
        <v>3563</v>
      </c>
      <c r="B3541" s="5">
        <v>3534</v>
      </c>
      <c r="C3541">
        <v>314</v>
      </c>
      <c r="D3541" t="s">
        <v>7278</v>
      </c>
      <c r="E3541" t="s">
        <v>3948</v>
      </c>
      <c r="F3541" t="s">
        <v>243</v>
      </c>
      <c r="G3541" t="s">
        <v>7279</v>
      </c>
      <c r="H3541" t="str">
        <f>"00857825"</f>
        <v>00857825</v>
      </c>
      <c r="I3541">
        <v>21.08</v>
      </c>
      <c r="J3541">
        <v>0</v>
      </c>
      <c r="N3541">
        <v>0</v>
      </c>
      <c r="O3541">
        <v>4</v>
      </c>
      <c r="P3541">
        <v>0</v>
      </c>
      <c r="Q3541">
        <v>25.08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D3541">
        <v>25.08</v>
      </c>
    </row>
    <row r="3542" spans="1:30" x14ac:dyDescent="0.3">
      <c r="A3542" s="4">
        <v>3564</v>
      </c>
      <c r="B3542" s="5">
        <v>3535</v>
      </c>
      <c r="C3542">
        <v>2896</v>
      </c>
      <c r="D3542" t="s">
        <v>7280</v>
      </c>
      <c r="E3542" t="s">
        <v>161</v>
      </c>
      <c r="F3542" t="s">
        <v>442</v>
      </c>
      <c r="G3542" t="s">
        <v>7281</v>
      </c>
      <c r="H3542" t="str">
        <f>"00510976"</f>
        <v>00510976</v>
      </c>
      <c r="I3542">
        <v>0</v>
      </c>
      <c r="J3542">
        <v>0</v>
      </c>
      <c r="M3542">
        <v>4</v>
      </c>
      <c r="N3542">
        <v>4</v>
      </c>
      <c r="O3542">
        <v>4</v>
      </c>
      <c r="P3542">
        <v>0</v>
      </c>
      <c r="Q3542">
        <v>8</v>
      </c>
      <c r="R3542">
        <v>11</v>
      </c>
      <c r="S3542">
        <v>11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11</v>
      </c>
      <c r="AA3542">
        <v>6</v>
      </c>
      <c r="AB3542">
        <v>0</v>
      </c>
      <c r="AD3542">
        <v>25</v>
      </c>
    </row>
    <row r="3543" spans="1:30" x14ac:dyDescent="0.3">
      <c r="A3543" s="4">
        <v>3565</v>
      </c>
      <c r="B3543" s="5">
        <v>3536</v>
      </c>
      <c r="C3543">
        <v>4192</v>
      </c>
      <c r="D3543" t="s">
        <v>7027</v>
      </c>
      <c r="E3543" t="s">
        <v>178</v>
      </c>
      <c r="F3543" t="s">
        <v>17</v>
      </c>
      <c r="G3543" t="s">
        <v>7282</v>
      </c>
      <c r="H3543" t="str">
        <f>"00523668"</f>
        <v>00523668</v>
      </c>
      <c r="I3543">
        <v>0</v>
      </c>
      <c r="J3543">
        <v>0</v>
      </c>
      <c r="M3543">
        <v>4</v>
      </c>
      <c r="N3543">
        <v>4</v>
      </c>
      <c r="O3543">
        <v>4</v>
      </c>
      <c r="P3543">
        <v>0</v>
      </c>
      <c r="Q3543">
        <v>8</v>
      </c>
      <c r="R3543">
        <v>11</v>
      </c>
      <c r="S3543">
        <v>11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11</v>
      </c>
      <c r="AA3543">
        <v>6</v>
      </c>
      <c r="AB3543">
        <v>0</v>
      </c>
      <c r="AD3543">
        <v>25</v>
      </c>
    </row>
    <row r="3544" spans="1:30" x14ac:dyDescent="0.3">
      <c r="A3544" s="4">
        <v>3566</v>
      </c>
      <c r="B3544" s="5">
        <v>3537</v>
      </c>
      <c r="C3544">
        <v>596</v>
      </c>
      <c r="D3544" t="s">
        <v>7283</v>
      </c>
      <c r="E3544" t="s">
        <v>161</v>
      </c>
      <c r="F3544" t="s">
        <v>892</v>
      </c>
      <c r="G3544" t="s">
        <v>7284</v>
      </c>
      <c r="H3544" t="str">
        <f>"00531859"</f>
        <v>00531859</v>
      </c>
      <c r="I3544">
        <v>0</v>
      </c>
      <c r="J3544">
        <v>0</v>
      </c>
      <c r="K3544">
        <v>8</v>
      </c>
      <c r="N3544">
        <v>8</v>
      </c>
      <c r="O3544">
        <v>4</v>
      </c>
      <c r="P3544">
        <v>2</v>
      </c>
      <c r="Q3544">
        <v>14</v>
      </c>
      <c r="R3544">
        <v>11</v>
      </c>
      <c r="S3544">
        <v>11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11</v>
      </c>
      <c r="AA3544">
        <v>0</v>
      </c>
      <c r="AB3544">
        <v>0</v>
      </c>
      <c r="AD3544">
        <v>25</v>
      </c>
    </row>
    <row r="3545" spans="1:30" x14ac:dyDescent="0.3">
      <c r="A3545" s="4">
        <v>3567</v>
      </c>
      <c r="B3545" s="5">
        <v>3538</v>
      </c>
      <c r="C3545">
        <v>232</v>
      </c>
      <c r="D3545" t="s">
        <v>7285</v>
      </c>
      <c r="E3545" t="s">
        <v>738</v>
      </c>
      <c r="F3545" t="s">
        <v>30</v>
      </c>
      <c r="G3545" t="s">
        <v>7286</v>
      </c>
      <c r="H3545" t="str">
        <f>"00531031"</f>
        <v>00531031</v>
      </c>
      <c r="I3545">
        <v>24.88</v>
      </c>
      <c r="J3545">
        <v>0</v>
      </c>
      <c r="N3545">
        <v>0</v>
      </c>
      <c r="O3545">
        <v>0</v>
      </c>
      <c r="P3545">
        <v>0</v>
      </c>
      <c r="Q3545">
        <v>24.88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D3545">
        <v>24.88</v>
      </c>
    </row>
    <row r="3546" spans="1:30" x14ac:dyDescent="0.3">
      <c r="A3546" s="4">
        <v>3568</v>
      </c>
      <c r="B3546" s="5">
        <v>3539</v>
      </c>
      <c r="C3546">
        <v>4233</v>
      </c>
      <c r="D3546" t="s">
        <v>5824</v>
      </c>
      <c r="E3546" t="s">
        <v>149</v>
      </c>
      <c r="F3546" t="s">
        <v>62</v>
      </c>
      <c r="G3546" t="s">
        <v>7287</v>
      </c>
      <c r="H3546" t="str">
        <f>"00523182"</f>
        <v>00523182</v>
      </c>
      <c r="I3546">
        <v>24.8</v>
      </c>
      <c r="J3546">
        <v>0</v>
      </c>
      <c r="N3546">
        <v>0</v>
      </c>
      <c r="O3546">
        <v>0</v>
      </c>
      <c r="P3546">
        <v>0</v>
      </c>
      <c r="Q3546">
        <v>24.8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D3546">
        <v>24.8</v>
      </c>
    </row>
    <row r="3547" spans="1:30" x14ac:dyDescent="0.3">
      <c r="A3547" s="4">
        <v>3569</v>
      </c>
      <c r="B3547" s="5">
        <v>3540</v>
      </c>
      <c r="C3547">
        <v>2868</v>
      </c>
      <c r="D3547" t="s">
        <v>2554</v>
      </c>
      <c r="E3547" t="s">
        <v>5080</v>
      </c>
      <c r="F3547" t="s">
        <v>68</v>
      </c>
      <c r="G3547" t="s">
        <v>7288</v>
      </c>
      <c r="H3547" t="str">
        <f>"00764822"</f>
        <v>00764822</v>
      </c>
      <c r="I3547">
        <v>22.8</v>
      </c>
      <c r="J3547">
        <v>0</v>
      </c>
      <c r="N3547">
        <v>0</v>
      </c>
      <c r="O3547">
        <v>0</v>
      </c>
      <c r="P3547">
        <v>2</v>
      </c>
      <c r="Q3547">
        <v>24.8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D3547">
        <v>24.8</v>
      </c>
    </row>
    <row r="3548" spans="1:30" x14ac:dyDescent="0.3">
      <c r="A3548" s="4">
        <v>3570</v>
      </c>
      <c r="B3548" s="5">
        <v>3541</v>
      </c>
      <c r="C3548">
        <v>4197</v>
      </c>
      <c r="D3548" t="s">
        <v>7289</v>
      </c>
      <c r="E3548" t="s">
        <v>471</v>
      </c>
      <c r="F3548" t="s">
        <v>167</v>
      </c>
      <c r="G3548" t="s">
        <v>7290</v>
      </c>
      <c r="H3548" t="str">
        <f>"00864557"</f>
        <v>00864557</v>
      </c>
      <c r="I3548">
        <v>20.8</v>
      </c>
      <c r="J3548">
        <v>0</v>
      </c>
      <c r="N3548">
        <v>0</v>
      </c>
      <c r="O3548">
        <v>4</v>
      </c>
      <c r="P3548">
        <v>0</v>
      </c>
      <c r="Q3548">
        <v>24.8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D3548">
        <v>24.8</v>
      </c>
    </row>
    <row r="3549" spans="1:30" x14ac:dyDescent="0.3">
      <c r="A3549" s="4">
        <v>3571</v>
      </c>
      <c r="B3549" s="5">
        <v>3542</v>
      </c>
      <c r="C3549">
        <v>2468</v>
      </c>
      <c r="D3549" t="s">
        <v>7291</v>
      </c>
      <c r="E3549" t="s">
        <v>471</v>
      </c>
      <c r="F3549" t="s">
        <v>38</v>
      </c>
      <c r="G3549" t="s">
        <v>7292</v>
      </c>
      <c r="H3549" t="str">
        <f>"00858602"</f>
        <v>00858602</v>
      </c>
      <c r="I3549">
        <v>24.72</v>
      </c>
      <c r="J3549">
        <v>0</v>
      </c>
      <c r="N3549">
        <v>0</v>
      </c>
      <c r="O3549">
        <v>0</v>
      </c>
      <c r="P3549">
        <v>0</v>
      </c>
      <c r="Q3549">
        <v>24.72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D3549">
        <v>24.72</v>
      </c>
    </row>
    <row r="3550" spans="1:30" x14ac:dyDescent="0.3">
      <c r="A3550" s="4">
        <v>3572</v>
      </c>
      <c r="B3550" s="5">
        <v>3543</v>
      </c>
      <c r="C3550">
        <v>4286</v>
      </c>
      <c r="D3550" t="s">
        <v>7293</v>
      </c>
      <c r="E3550" t="s">
        <v>88</v>
      </c>
      <c r="F3550" t="s">
        <v>38</v>
      </c>
      <c r="G3550" t="s">
        <v>7294</v>
      </c>
      <c r="H3550" t="str">
        <f>"00532676"</f>
        <v>00532676</v>
      </c>
      <c r="I3550">
        <v>7.2</v>
      </c>
      <c r="J3550">
        <v>0</v>
      </c>
      <c r="N3550">
        <v>0</v>
      </c>
      <c r="O3550">
        <v>4</v>
      </c>
      <c r="P3550">
        <v>2</v>
      </c>
      <c r="Q3550">
        <v>13.2</v>
      </c>
      <c r="R3550">
        <v>4</v>
      </c>
      <c r="S3550">
        <v>4</v>
      </c>
      <c r="T3550">
        <v>0</v>
      </c>
      <c r="U3550">
        <v>0</v>
      </c>
      <c r="V3550">
        <v>5</v>
      </c>
      <c r="W3550">
        <v>7.5</v>
      </c>
      <c r="X3550">
        <v>0</v>
      </c>
      <c r="Y3550">
        <v>0</v>
      </c>
      <c r="Z3550">
        <v>11.5</v>
      </c>
      <c r="AA3550">
        <v>0</v>
      </c>
      <c r="AB3550">
        <v>0</v>
      </c>
      <c r="AD3550">
        <v>24.7</v>
      </c>
    </row>
    <row r="3551" spans="1:30" x14ac:dyDescent="0.3">
      <c r="A3551" s="4">
        <v>3573</v>
      </c>
      <c r="B3551" s="5">
        <v>3544</v>
      </c>
      <c r="C3551">
        <v>4612</v>
      </c>
      <c r="D3551" t="s">
        <v>7295</v>
      </c>
      <c r="E3551" t="s">
        <v>789</v>
      </c>
      <c r="F3551" t="s">
        <v>7296</v>
      </c>
      <c r="G3551" t="s">
        <v>7297</v>
      </c>
      <c r="H3551" t="str">
        <f>"00544411"</f>
        <v>00544411</v>
      </c>
      <c r="I3551">
        <v>7.64</v>
      </c>
      <c r="J3551">
        <v>0</v>
      </c>
      <c r="K3551">
        <v>8</v>
      </c>
      <c r="N3551">
        <v>8</v>
      </c>
      <c r="O3551">
        <v>4</v>
      </c>
      <c r="P3551">
        <v>2</v>
      </c>
      <c r="Q3551">
        <v>21.64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3</v>
      </c>
      <c r="AB3551">
        <v>0</v>
      </c>
      <c r="AD3551">
        <v>24.64</v>
      </c>
    </row>
    <row r="3552" spans="1:30" x14ac:dyDescent="0.3">
      <c r="A3552" s="4">
        <v>3574</v>
      </c>
      <c r="B3552" s="5">
        <v>3545</v>
      </c>
      <c r="C3552">
        <v>4130</v>
      </c>
      <c r="D3552" t="s">
        <v>3662</v>
      </c>
      <c r="E3552" t="s">
        <v>100</v>
      </c>
      <c r="F3552" t="s">
        <v>52</v>
      </c>
      <c r="G3552" t="s">
        <v>7298</v>
      </c>
      <c r="H3552" t="str">
        <f>"00531233"</f>
        <v>00531233</v>
      </c>
      <c r="I3552">
        <v>21.6</v>
      </c>
      <c r="J3552">
        <v>0</v>
      </c>
      <c r="N3552">
        <v>0</v>
      </c>
      <c r="O3552">
        <v>0</v>
      </c>
      <c r="P3552">
        <v>0</v>
      </c>
      <c r="Q3552">
        <v>21.6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3</v>
      </c>
      <c r="AB3552">
        <v>0</v>
      </c>
      <c r="AD3552">
        <v>24.6</v>
      </c>
    </row>
    <row r="3553" spans="1:30" x14ac:dyDescent="0.3">
      <c r="A3553" s="4">
        <v>3575</v>
      </c>
      <c r="B3553" s="5">
        <v>3546</v>
      </c>
      <c r="C3553">
        <v>3909</v>
      </c>
      <c r="D3553" t="s">
        <v>7299</v>
      </c>
      <c r="E3553" t="s">
        <v>29</v>
      </c>
      <c r="F3553" t="s">
        <v>58</v>
      </c>
      <c r="G3553" t="s">
        <v>7300</v>
      </c>
      <c r="H3553" t="str">
        <f>"00805856"</f>
        <v>00805856</v>
      </c>
      <c r="I3553">
        <v>21.6</v>
      </c>
      <c r="J3553">
        <v>0</v>
      </c>
      <c r="N3553">
        <v>0</v>
      </c>
      <c r="O3553">
        <v>0</v>
      </c>
      <c r="P3553">
        <v>0</v>
      </c>
      <c r="Q3553">
        <v>21.6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3</v>
      </c>
      <c r="AB3553">
        <v>0</v>
      </c>
      <c r="AD3553">
        <v>24.6</v>
      </c>
    </row>
    <row r="3554" spans="1:30" x14ac:dyDescent="0.3">
      <c r="A3554" s="4">
        <v>3576</v>
      </c>
      <c r="B3554" s="5">
        <v>3547</v>
      </c>
      <c r="C3554">
        <v>3825</v>
      </c>
      <c r="D3554" t="s">
        <v>7301</v>
      </c>
      <c r="E3554" t="s">
        <v>3313</v>
      </c>
      <c r="F3554" t="s">
        <v>7302</v>
      </c>
      <c r="G3554" t="s">
        <v>7303</v>
      </c>
      <c r="H3554" t="str">
        <f>"00861169"</f>
        <v>00861169</v>
      </c>
      <c r="I3554">
        <v>14.4</v>
      </c>
      <c r="J3554">
        <v>0</v>
      </c>
      <c r="M3554">
        <v>4</v>
      </c>
      <c r="N3554">
        <v>4</v>
      </c>
      <c r="O3554">
        <v>0</v>
      </c>
      <c r="P3554">
        <v>0</v>
      </c>
      <c r="Q3554">
        <v>18.399999999999999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6</v>
      </c>
      <c r="AB3554">
        <v>0</v>
      </c>
      <c r="AD3554">
        <v>24.4</v>
      </c>
    </row>
    <row r="3555" spans="1:30" x14ac:dyDescent="0.3">
      <c r="A3555" s="4">
        <v>3577</v>
      </c>
      <c r="B3555" s="5">
        <v>3548</v>
      </c>
      <c r="C3555">
        <v>1375</v>
      </c>
      <c r="D3555" t="s">
        <v>6587</v>
      </c>
      <c r="E3555" t="s">
        <v>54</v>
      </c>
      <c r="F3555" t="s">
        <v>17</v>
      </c>
      <c r="G3555" t="s">
        <v>7304</v>
      </c>
      <c r="H3555" t="str">
        <f>"00858686"</f>
        <v>00858686</v>
      </c>
      <c r="I3555">
        <v>14.4</v>
      </c>
      <c r="J3555">
        <v>0</v>
      </c>
      <c r="N3555">
        <v>0</v>
      </c>
      <c r="O3555">
        <v>4</v>
      </c>
      <c r="P3555">
        <v>0</v>
      </c>
      <c r="Q3555">
        <v>18.399999999999999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6</v>
      </c>
      <c r="AB3555">
        <v>0</v>
      </c>
      <c r="AD3555">
        <v>24.4</v>
      </c>
    </row>
    <row r="3556" spans="1:30" x14ac:dyDescent="0.3">
      <c r="A3556" s="4">
        <v>3578</v>
      </c>
      <c r="B3556" s="5">
        <v>3549</v>
      </c>
      <c r="C3556">
        <v>642</v>
      </c>
      <c r="D3556" t="s">
        <v>7305</v>
      </c>
      <c r="E3556" t="s">
        <v>594</v>
      </c>
      <c r="F3556" t="s">
        <v>30</v>
      </c>
      <c r="G3556" t="s">
        <v>7306</v>
      </c>
      <c r="H3556" t="str">
        <f>"00856568"</f>
        <v>00856568</v>
      </c>
      <c r="I3556">
        <v>14.4</v>
      </c>
      <c r="J3556">
        <v>0</v>
      </c>
      <c r="N3556">
        <v>0</v>
      </c>
      <c r="O3556">
        <v>4</v>
      </c>
      <c r="P3556">
        <v>0</v>
      </c>
      <c r="Q3556">
        <v>18.399999999999999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6</v>
      </c>
      <c r="AB3556">
        <v>0</v>
      </c>
      <c r="AD3556">
        <v>24.4</v>
      </c>
    </row>
    <row r="3557" spans="1:30" x14ac:dyDescent="0.3">
      <c r="A3557" s="4">
        <v>3579</v>
      </c>
      <c r="B3557" s="5">
        <v>3550</v>
      </c>
      <c r="C3557">
        <v>1379</v>
      </c>
      <c r="D3557" t="s">
        <v>7307</v>
      </c>
      <c r="E3557" t="s">
        <v>355</v>
      </c>
      <c r="F3557" t="s">
        <v>81</v>
      </c>
      <c r="G3557" t="s">
        <v>7308</v>
      </c>
      <c r="H3557" t="str">
        <f>"00855019"</f>
        <v>00855019</v>
      </c>
      <c r="I3557">
        <v>14.4</v>
      </c>
      <c r="J3557">
        <v>0</v>
      </c>
      <c r="N3557">
        <v>0</v>
      </c>
      <c r="O3557">
        <v>4</v>
      </c>
      <c r="P3557">
        <v>0</v>
      </c>
      <c r="Q3557">
        <v>18.399999999999999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6</v>
      </c>
      <c r="AB3557">
        <v>0</v>
      </c>
      <c r="AD3557">
        <v>24.4</v>
      </c>
    </row>
    <row r="3558" spans="1:30" x14ac:dyDescent="0.3">
      <c r="A3558" s="4">
        <v>3580</v>
      </c>
      <c r="B3558" s="5">
        <v>3551</v>
      </c>
      <c r="C3558">
        <v>3840</v>
      </c>
      <c r="D3558" t="s">
        <v>5103</v>
      </c>
      <c r="E3558" t="s">
        <v>7309</v>
      </c>
      <c r="F3558" t="s">
        <v>3439</v>
      </c>
      <c r="G3558" t="s">
        <v>7310</v>
      </c>
      <c r="H3558" t="str">
        <f>"00389096"</f>
        <v>00389096</v>
      </c>
      <c r="I3558">
        <v>24.4</v>
      </c>
      <c r="J3558">
        <v>0</v>
      </c>
      <c r="N3558">
        <v>0</v>
      </c>
      <c r="O3558">
        <v>0</v>
      </c>
      <c r="P3558">
        <v>0</v>
      </c>
      <c r="Q3558">
        <v>24.4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D3558">
        <v>24.4</v>
      </c>
    </row>
    <row r="3559" spans="1:30" x14ac:dyDescent="0.3">
      <c r="A3559" s="4">
        <v>3581</v>
      </c>
      <c r="B3559" s="5">
        <v>3552</v>
      </c>
      <c r="C3559">
        <v>1937</v>
      </c>
      <c r="D3559" t="s">
        <v>7311</v>
      </c>
      <c r="E3559" t="s">
        <v>126</v>
      </c>
      <c r="F3559" t="s">
        <v>136</v>
      </c>
      <c r="G3559" t="s">
        <v>7312</v>
      </c>
      <c r="H3559" t="str">
        <f>"00511637"</f>
        <v>00511637</v>
      </c>
      <c r="I3559">
        <v>24.4</v>
      </c>
      <c r="J3559">
        <v>0</v>
      </c>
      <c r="N3559">
        <v>0</v>
      </c>
      <c r="O3559">
        <v>0</v>
      </c>
      <c r="P3559">
        <v>0</v>
      </c>
      <c r="Q3559">
        <v>24.4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D3559">
        <v>24.4</v>
      </c>
    </row>
    <row r="3560" spans="1:30" x14ac:dyDescent="0.3">
      <c r="A3560" s="4">
        <v>3582</v>
      </c>
      <c r="B3560" s="5">
        <v>3553</v>
      </c>
      <c r="C3560">
        <v>2753</v>
      </c>
      <c r="D3560" t="s">
        <v>7313</v>
      </c>
      <c r="E3560" t="s">
        <v>7314</v>
      </c>
      <c r="F3560" t="s">
        <v>38</v>
      </c>
      <c r="G3560" t="s">
        <v>7315</v>
      </c>
      <c r="H3560" t="str">
        <f>"00865255"</f>
        <v>00865255</v>
      </c>
      <c r="I3560">
        <v>20.399999999999999</v>
      </c>
      <c r="J3560">
        <v>0</v>
      </c>
      <c r="N3560">
        <v>0</v>
      </c>
      <c r="O3560">
        <v>4</v>
      </c>
      <c r="P3560">
        <v>0</v>
      </c>
      <c r="Q3560">
        <v>24.4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D3560">
        <v>24.4</v>
      </c>
    </row>
    <row r="3561" spans="1:30" x14ac:dyDescent="0.3">
      <c r="A3561" s="4">
        <v>3583</v>
      </c>
      <c r="B3561" s="5">
        <v>3554</v>
      </c>
      <c r="C3561">
        <v>4710</v>
      </c>
      <c r="D3561" t="s">
        <v>7316</v>
      </c>
      <c r="E3561" t="s">
        <v>110</v>
      </c>
      <c r="F3561" t="s">
        <v>30</v>
      </c>
      <c r="G3561" t="s">
        <v>7317</v>
      </c>
      <c r="H3561" t="str">
        <f>"00306740"</f>
        <v>00306740</v>
      </c>
      <c r="I3561">
        <v>14.4</v>
      </c>
      <c r="J3561">
        <v>0</v>
      </c>
      <c r="M3561">
        <v>4</v>
      </c>
      <c r="N3561">
        <v>4</v>
      </c>
      <c r="O3561">
        <v>4</v>
      </c>
      <c r="P3561">
        <v>2</v>
      </c>
      <c r="Q3561">
        <v>24.4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D3561">
        <v>24.4</v>
      </c>
    </row>
    <row r="3562" spans="1:30" x14ac:dyDescent="0.3">
      <c r="A3562" s="4">
        <v>3584</v>
      </c>
      <c r="B3562" s="5">
        <v>3555</v>
      </c>
      <c r="C3562">
        <v>4749</v>
      </c>
      <c r="D3562" t="s">
        <v>7318</v>
      </c>
      <c r="E3562" t="s">
        <v>648</v>
      </c>
      <c r="F3562" t="s">
        <v>17</v>
      </c>
      <c r="G3562" t="s">
        <v>7319</v>
      </c>
      <c r="H3562" t="str">
        <f>"00865910"</f>
        <v>00865910</v>
      </c>
      <c r="I3562">
        <v>14.4</v>
      </c>
      <c r="J3562">
        <v>10</v>
      </c>
      <c r="N3562">
        <v>0</v>
      </c>
      <c r="O3562">
        <v>0</v>
      </c>
      <c r="P3562">
        <v>0</v>
      </c>
      <c r="Q3562">
        <v>24.4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D3562">
        <v>24.4</v>
      </c>
    </row>
    <row r="3563" spans="1:30" x14ac:dyDescent="0.3">
      <c r="A3563" s="4">
        <v>3585</v>
      </c>
      <c r="B3563" s="5">
        <v>3556</v>
      </c>
      <c r="C3563">
        <v>1839</v>
      </c>
      <c r="D3563" t="s">
        <v>7320</v>
      </c>
      <c r="E3563" t="s">
        <v>100</v>
      </c>
      <c r="F3563" t="s">
        <v>20</v>
      </c>
      <c r="G3563" t="s">
        <v>7321</v>
      </c>
      <c r="H3563" t="str">
        <f>"00860568"</f>
        <v>00860568</v>
      </c>
      <c r="I3563">
        <v>14.4</v>
      </c>
      <c r="J3563">
        <v>0</v>
      </c>
      <c r="M3563">
        <v>4</v>
      </c>
      <c r="N3563">
        <v>4</v>
      </c>
      <c r="O3563">
        <v>4</v>
      </c>
      <c r="P3563">
        <v>2</v>
      </c>
      <c r="Q3563">
        <v>24.4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D3563">
        <v>24.4</v>
      </c>
    </row>
    <row r="3564" spans="1:30" x14ac:dyDescent="0.3">
      <c r="A3564" s="4">
        <v>3586</v>
      </c>
      <c r="B3564" s="5">
        <v>3557</v>
      </c>
      <c r="C3564">
        <v>4312</v>
      </c>
      <c r="D3564" t="s">
        <v>791</v>
      </c>
      <c r="E3564" t="s">
        <v>29</v>
      </c>
      <c r="F3564" t="s">
        <v>626</v>
      </c>
      <c r="G3564" t="s">
        <v>7322</v>
      </c>
      <c r="H3564" t="str">
        <f>"00317810"</f>
        <v>00317810</v>
      </c>
      <c r="I3564">
        <v>14.4</v>
      </c>
      <c r="J3564">
        <v>0</v>
      </c>
      <c r="M3564">
        <v>4</v>
      </c>
      <c r="N3564">
        <v>4</v>
      </c>
      <c r="O3564">
        <v>4</v>
      </c>
      <c r="P3564">
        <v>2</v>
      </c>
      <c r="Q3564">
        <v>24.4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D3564">
        <v>24.4</v>
      </c>
    </row>
    <row r="3565" spans="1:30" x14ac:dyDescent="0.3">
      <c r="A3565" s="4">
        <v>3587</v>
      </c>
      <c r="B3565" s="5">
        <v>3558</v>
      </c>
      <c r="C3565">
        <v>2959</v>
      </c>
      <c r="D3565" t="s">
        <v>7323</v>
      </c>
      <c r="E3565" t="s">
        <v>1331</v>
      </c>
      <c r="F3565" t="s">
        <v>81</v>
      </c>
      <c r="G3565" t="s">
        <v>7324</v>
      </c>
      <c r="H3565" t="str">
        <f>"00863304"</f>
        <v>00863304</v>
      </c>
      <c r="I3565">
        <v>14.4</v>
      </c>
      <c r="J3565">
        <v>0</v>
      </c>
      <c r="M3565">
        <v>4</v>
      </c>
      <c r="N3565">
        <v>4</v>
      </c>
      <c r="O3565">
        <v>4</v>
      </c>
      <c r="P3565">
        <v>2</v>
      </c>
      <c r="Q3565">
        <v>24.4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D3565">
        <v>24.4</v>
      </c>
    </row>
    <row r="3566" spans="1:30" x14ac:dyDescent="0.3">
      <c r="A3566" s="4">
        <v>3588</v>
      </c>
      <c r="B3566" s="5">
        <v>3559</v>
      </c>
      <c r="C3566">
        <v>3371</v>
      </c>
      <c r="D3566" t="s">
        <v>7325</v>
      </c>
      <c r="E3566" t="s">
        <v>188</v>
      </c>
      <c r="F3566" t="s">
        <v>62</v>
      </c>
      <c r="G3566" t="s">
        <v>7326</v>
      </c>
      <c r="H3566" t="str">
        <f>"00861433"</f>
        <v>00861433</v>
      </c>
      <c r="I3566">
        <v>14.4</v>
      </c>
      <c r="J3566">
        <v>0</v>
      </c>
      <c r="M3566">
        <v>4</v>
      </c>
      <c r="N3566">
        <v>4</v>
      </c>
      <c r="O3566">
        <v>4</v>
      </c>
      <c r="P3566">
        <v>2</v>
      </c>
      <c r="Q3566">
        <v>24.4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 t="s">
        <v>130</v>
      </c>
      <c r="AD3566">
        <v>24.4</v>
      </c>
    </row>
    <row r="3567" spans="1:30" x14ac:dyDescent="0.3">
      <c r="A3567" s="4">
        <v>3589</v>
      </c>
      <c r="B3567" s="5">
        <v>3560</v>
      </c>
      <c r="C3567">
        <v>4600</v>
      </c>
      <c r="D3567" t="s">
        <v>7327</v>
      </c>
      <c r="E3567" t="s">
        <v>54</v>
      </c>
      <c r="F3567" t="s">
        <v>17</v>
      </c>
      <c r="G3567" t="s">
        <v>7328</v>
      </c>
      <c r="H3567" t="str">
        <f>"00866651"</f>
        <v>00866651</v>
      </c>
      <c r="I3567">
        <v>14.4</v>
      </c>
      <c r="J3567">
        <v>0</v>
      </c>
      <c r="M3567">
        <v>4</v>
      </c>
      <c r="N3567">
        <v>4</v>
      </c>
      <c r="O3567">
        <v>4</v>
      </c>
      <c r="P3567">
        <v>2</v>
      </c>
      <c r="Q3567">
        <v>24.4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D3567">
        <v>24.4</v>
      </c>
    </row>
    <row r="3568" spans="1:30" x14ac:dyDescent="0.3">
      <c r="A3568" s="4">
        <v>3590</v>
      </c>
      <c r="B3568" s="5">
        <v>3561</v>
      </c>
      <c r="C3568">
        <v>172</v>
      </c>
      <c r="D3568" t="s">
        <v>7329</v>
      </c>
      <c r="E3568" t="s">
        <v>41</v>
      </c>
      <c r="F3568" t="s">
        <v>190</v>
      </c>
      <c r="G3568" t="s">
        <v>7330</v>
      </c>
      <c r="H3568" t="str">
        <f>"00507254"</f>
        <v>00507254</v>
      </c>
      <c r="I3568">
        <v>14.4</v>
      </c>
      <c r="J3568">
        <v>0</v>
      </c>
      <c r="M3568">
        <v>4</v>
      </c>
      <c r="N3568">
        <v>4</v>
      </c>
      <c r="O3568">
        <v>4</v>
      </c>
      <c r="P3568">
        <v>2</v>
      </c>
      <c r="Q3568">
        <v>24.4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D3568">
        <v>24.4</v>
      </c>
    </row>
    <row r="3569" spans="1:30" x14ac:dyDescent="0.3">
      <c r="A3569" s="4">
        <v>3591</v>
      </c>
      <c r="B3569" s="5">
        <v>3562</v>
      </c>
      <c r="C3569">
        <v>4407</v>
      </c>
      <c r="D3569" t="s">
        <v>7331</v>
      </c>
      <c r="E3569" t="s">
        <v>115</v>
      </c>
      <c r="F3569" t="s">
        <v>30</v>
      </c>
      <c r="G3569" t="s">
        <v>7332</v>
      </c>
      <c r="H3569" t="str">
        <f>"00854245"</f>
        <v>00854245</v>
      </c>
      <c r="I3569">
        <v>14.4</v>
      </c>
      <c r="J3569">
        <v>0</v>
      </c>
      <c r="M3569">
        <v>4</v>
      </c>
      <c r="N3569">
        <v>4</v>
      </c>
      <c r="O3569">
        <v>4</v>
      </c>
      <c r="P3569">
        <v>2</v>
      </c>
      <c r="Q3569">
        <v>24.4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D3569">
        <v>24.4</v>
      </c>
    </row>
    <row r="3570" spans="1:30" x14ac:dyDescent="0.3">
      <c r="A3570" s="4">
        <v>3592</v>
      </c>
      <c r="B3570" s="5">
        <v>3563</v>
      </c>
      <c r="C3570">
        <v>510</v>
      </c>
      <c r="D3570" t="s">
        <v>7333</v>
      </c>
      <c r="E3570" t="s">
        <v>29</v>
      </c>
      <c r="F3570" t="s">
        <v>385</v>
      </c>
      <c r="G3570" t="s">
        <v>7334</v>
      </c>
      <c r="H3570" t="str">
        <f>"00031712"</f>
        <v>00031712</v>
      </c>
      <c r="I3570">
        <v>10.4</v>
      </c>
      <c r="J3570">
        <v>10</v>
      </c>
      <c r="N3570">
        <v>0</v>
      </c>
      <c r="O3570">
        <v>4</v>
      </c>
      <c r="P3570">
        <v>0</v>
      </c>
      <c r="Q3570">
        <v>24.4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D3570">
        <v>24.4</v>
      </c>
    </row>
    <row r="3571" spans="1:30" x14ac:dyDescent="0.3">
      <c r="A3571" s="4">
        <v>3593</v>
      </c>
      <c r="B3571" s="5">
        <v>3564</v>
      </c>
      <c r="C3571">
        <v>2343</v>
      </c>
      <c r="D3571" t="s">
        <v>7335</v>
      </c>
      <c r="E3571" t="s">
        <v>188</v>
      </c>
      <c r="F3571" t="s">
        <v>227</v>
      </c>
      <c r="G3571" t="s">
        <v>7336</v>
      </c>
      <c r="H3571" t="str">
        <f>"00294723"</f>
        <v>00294723</v>
      </c>
      <c r="I3571">
        <v>14.4</v>
      </c>
      <c r="J3571">
        <v>0</v>
      </c>
      <c r="M3571">
        <v>4</v>
      </c>
      <c r="N3571">
        <v>4</v>
      </c>
      <c r="O3571">
        <v>4</v>
      </c>
      <c r="P3571">
        <v>0</v>
      </c>
      <c r="Q3571">
        <v>22.4</v>
      </c>
      <c r="R3571">
        <v>2</v>
      </c>
      <c r="S3571">
        <v>2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2</v>
      </c>
      <c r="AA3571">
        <v>0</v>
      </c>
      <c r="AB3571">
        <v>0</v>
      </c>
      <c r="AD3571">
        <v>24.4</v>
      </c>
    </row>
    <row r="3572" spans="1:30" x14ac:dyDescent="0.3">
      <c r="A3572" s="4">
        <v>3594</v>
      </c>
      <c r="B3572" s="5">
        <v>3565</v>
      </c>
      <c r="C3572">
        <v>4275</v>
      </c>
      <c r="D3572" t="s">
        <v>7337</v>
      </c>
      <c r="E3572" t="s">
        <v>283</v>
      </c>
      <c r="F3572" t="s">
        <v>68</v>
      </c>
      <c r="G3572" t="s">
        <v>7338</v>
      </c>
      <c r="H3572" t="str">
        <f>"00864793"</f>
        <v>00864793</v>
      </c>
      <c r="I3572">
        <v>24.36</v>
      </c>
      <c r="J3572">
        <v>0</v>
      </c>
      <c r="N3572">
        <v>0</v>
      </c>
      <c r="O3572">
        <v>0</v>
      </c>
      <c r="P3572">
        <v>0</v>
      </c>
      <c r="Q3572">
        <v>24.36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D3572">
        <v>24.36</v>
      </c>
    </row>
    <row r="3573" spans="1:30" x14ac:dyDescent="0.3">
      <c r="A3573" s="4">
        <v>3595</v>
      </c>
      <c r="B3573" s="5">
        <v>3566</v>
      </c>
      <c r="C3573">
        <v>3812</v>
      </c>
      <c r="D3573" t="s">
        <v>7339</v>
      </c>
      <c r="E3573" t="s">
        <v>100</v>
      </c>
      <c r="F3573" t="s">
        <v>38</v>
      </c>
      <c r="G3573" t="s">
        <v>7340</v>
      </c>
      <c r="H3573" t="str">
        <f>"00032378"</f>
        <v>00032378</v>
      </c>
      <c r="I3573">
        <v>20.28</v>
      </c>
      <c r="J3573">
        <v>0</v>
      </c>
      <c r="N3573">
        <v>0</v>
      </c>
      <c r="O3573">
        <v>4</v>
      </c>
      <c r="P3573">
        <v>0</v>
      </c>
      <c r="Q3573">
        <v>24.28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D3573">
        <v>24.28</v>
      </c>
    </row>
    <row r="3574" spans="1:30" x14ac:dyDescent="0.3">
      <c r="A3574" s="4">
        <v>3596</v>
      </c>
      <c r="B3574" s="5">
        <v>3567</v>
      </c>
      <c r="C3574">
        <v>4888</v>
      </c>
      <c r="D3574" t="s">
        <v>7341</v>
      </c>
      <c r="E3574" t="s">
        <v>697</v>
      </c>
      <c r="F3574" t="s">
        <v>17</v>
      </c>
      <c r="G3574" t="s">
        <v>7342</v>
      </c>
      <c r="H3574" t="str">
        <f>"00532283"</f>
        <v>00532283</v>
      </c>
      <c r="I3574">
        <v>7.2</v>
      </c>
      <c r="J3574">
        <v>0</v>
      </c>
      <c r="N3574">
        <v>0</v>
      </c>
      <c r="O3574">
        <v>4</v>
      </c>
      <c r="P3574">
        <v>2</v>
      </c>
      <c r="Q3574">
        <v>13.2</v>
      </c>
      <c r="R3574">
        <v>11</v>
      </c>
      <c r="S3574">
        <v>11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11</v>
      </c>
      <c r="AA3574">
        <v>0</v>
      </c>
      <c r="AB3574">
        <v>0</v>
      </c>
      <c r="AD3574">
        <v>24.2</v>
      </c>
    </row>
    <row r="3575" spans="1:30" x14ac:dyDescent="0.3">
      <c r="A3575" s="4">
        <v>3597</v>
      </c>
      <c r="B3575" s="5">
        <v>3568</v>
      </c>
      <c r="C3575">
        <v>3897</v>
      </c>
      <c r="D3575" t="s">
        <v>902</v>
      </c>
      <c r="E3575" t="s">
        <v>182</v>
      </c>
      <c r="F3575" t="s">
        <v>442</v>
      </c>
      <c r="G3575" t="s">
        <v>7343</v>
      </c>
      <c r="H3575" t="str">
        <f>"00317263"</f>
        <v>00317263</v>
      </c>
      <c r="I3575">
        <v>7.2</v>
      </c>
      <c r="J3575">
        <v>0</v>
      </c>
      <c r="N3575">
        <v>0</v>
      </c>
      <c r="O3575">
        <v>4</v>
      </c>
      <c r="P3575">
        <v>2</v>
      </c>
      <c r="Q3575">
        <v>13.2</v>
      </c>
      <c r="R3575">
        <v>11</v>
      </c>
      <c r="S3575">
        <v>11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11</v>
      </c>
      <c r="AA3575">
        <v>0</v>
      </c>
      <c r="AB3575">
        <v>0</v>
      </c>
      <c r="AD3575">
        <v>24.2</v>
      </c>
    </row>
    <row r="3576" spans="1:30" x14ac:dyDescent="0.3">
      <c r="A3576" s="4">
        <v>3598</v>
      </c>
      <c r="B3576" s="5">
        <v>3569</v>
      </c>
      <c r="C3576">
        <v>3372</v>
      </c>
      <c r="D3576" t="s">
        <v>7344</v>
      </c>
      <c r="E3576" t="s">
        <v>7345</v>
      </c>
      <c r="F3576" t="s">
        <v>68</v>
      </c>
      <c r="G3576" t="s">
        <v>7346</v>
      </c>
      <c r="H3576" t="str">
        <f>"00226396"</f>
        <v>00226396</v>
      </c>
      <c r="I3576">
        <v>14.12</v>
      </c>
      <c r="J3576">
        <v>0</v>
      </c>
      <c r="N3576">
        <v>0</v>
      </c>
      <c r="O3576">
        <v>4</v>
      </c>
      <c r="P3576">
        <v>0</v>
      </c>
      <c r="Q3576">
        <v>18.12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6</v>
      </c>
      <c r="AB3576">
        <v>0</v>
      </c>
      <c r="AD3576">
        <v>24.12</v>
      </c>
    </row>
    <row r="3577" spans="1:30" x14ac:dyDescent="0.3">
      <c r="A3577" s="4">
        <v>3599</v>
      </c>
      <c r="B3577" s="5">
        <v>3570</v>
      </c>
      <c r="C3577">
        <v>4835</v>
      </c>
      <c r="D3577" t="s">
        <v>3923</v>
      </c>
      <c r="E3577" t="s">
        <v>208</v>
      </c>
      <c r="F3577" t="s">
        <v>243</v>
      </c>
      <c r="G3577" t="s">
        <v>7347</v>
      </c>
      <c r="H3577" t="str">
        <f>"00866702"</f>
        <v>00866702</v>
      </c>
      <c r="I3577">
        <v>21.08</v>
      </c>
      <c r="J3577">
        <v>0</v>
      </c>
      <c r="N3577">
        <v>0</v>
      </c>
      <c r="O3577">
        <v>0</v>
      </c>
      <c r="P3577">
        <v>0</v>
      </c>
      <c r="Q3577">
        <v>21.08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3</v>
      </c>
      <c r="AB3577">
        <v>0</v>
      </c>
      <c r="AD3577">
        <v>24.08</v>
      </c>
    </row>
    <row r="3578" spans="1:30" x14ac:dyDescent="0.3">
      <c r="A3578" s="4">
        <v>3600</v>
      </c>
      <c r="B3578" s="5">
        <v>3571</v>
      </c>
      <c r="C3578">
        <v>2320</v>
      </c>
      <c r="D3578" t="s">
        <v>7348</v>
      </c>
      <c r="E3578" t="s">
        <v>516</v>
      </c>
      <c r="F3578" t="s">
        <v>81</v>
      </c>
      <c r="G3578" t="s">
        <v>7349</v>
      </c>
      <c r="H3578" t="str">
        <f>"00417441"</f>
        <v>00417441</v>
      </c>
      <c r="I3578">
        <v>12</v>
      </c>
      <c r="J3578">
        <v>0</v>
      </c>
      <c r="N3578">
        <v>0</v>
      </c>
      <c r="O3578">
        <v>0</v>
      </c>
      <c r="P3578">
        <v>0</v>
      </c>
      <c r="Q3578">
        <v>12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12</v>
      </c>
      <c r="AB3578">
        <v>0</v>
      </c>
      <c r="AD3578">
        <v>24</v>
      </c>
    </row>
    <row r="3579" spans="1:30" x14ac:dyDescent="0.3">
      <c r="A3579" s="4">
        <v>3601</v>
      </c>
      <c r="B3579" s="5">
        <v>3572</v>
      </c>
      <c r="C3579">
        <v>1566</v>
      </c>
      <c r="D3579" t="s">
        <v>2016</v>
      </c>
      <c r="E3579" t="s">
        <v>149</v>
      </c>
      <c r="F3579" t="s">
        <v>124</v>
      </c>
      <c r="G3579" t="s">
        <v>7350</v>
      </c>
      <c r="H3579" t="str">
        <f>"201412004026"</f>
        <v>201412004026</v>
      </c>
      <c r="I3579">
        <v>0</v>
      </c>
      <c r="J3579">
        <v>0</v>
      </c>
      <c r="M3579">
        <v>4</v>
      </c>
      <c r="N3579">
        <v>4</v>
      </c>
      <c r="O3579">
        <v>4</v>
      </c>
      <c r="P3579">
        <v>2</v>
      </c>
      <c r="Q3579">
        <v>10</v>
      </c>
      <c r="R3579">
        <v>8</v>
      </c>
      <c r="S3579">
        <v>8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8</v>
      </c>
      <c r="AA3579">
        <v>6</v>
      </c>
      <c r="AB3579">
        <v>0</v>
      </c>
      <c r="AC3579" t="s">
        <v>130</v>
      </c>
      <c r="AD3579">
        <v>24</v>
      </c>
    </row>
    <row r="3580" spans="1:30" x14ac:dyDescent="0.3">
      <c r="A3580" s="4">
        <v>3602</v>
      </c>
      <c r="B3580" s="5">
        <v>3573</v>
      </c>
      <c r="C3580">
        <v>4258</v>
      </c>
      <c r="D3580" t="s">
        <v>545</v>
      </c>
      <c r="E3580" t="s">
        <v>1152</v>
      </c>
      <c r="F3580" t="s">
        <v>310</v>
      </c>
      <c r="G3580" t="s">
        <v>7351</v>
      </c>
      <c r="H3580" t="str">
        <f>"00140485"</f>
        <v>00140485</v>
      </c>
      <c r="I3580">
        <v>24</v>
      </c>
      <c r="J3580">
        <v>0</v>
      </c>
      <c r="N3580">
        <v>0</v>
      </c>
      <c r="O3580">
        <v>0</v>
      </c>
      <c r="P3580">
        <v>0</v>
      </c>
      <c r="Q3580">
        <v>24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D3580">
        <v>24</v>
      </c>
    </row>
    <row r="3581" spans="1:30" x14ac:dyDescent="0.3">
      <c r="A3581" s="4">
        <v>3603</v>
      </c>
      <c r="B3581" s="5">
        <v>3574</v>
      </c>
      <c r="C3581">
        <v>2044</v>
      </c>
      <c r="D3581" t="s">
        <v>7352</v>
      </c>
      <c r="E3581" t="s">
        <v>22</v>
      </c>
      <c r="F3581" t="s">
        <v>62</v>
      </c>
      <c r="G3581" t="s">
        <v>7353</v>
      </c>
      <c r="H3581" t="str">
        <f>"00855454"</f>
        <v>00855454</v>
      </c>
      <c r="I3581">
        <v>24</v>
      </c>
      <c r="J3581">
        <v>0</v>
      </c>
      <c r="N3581">
        <v>0</v>
      </c>
      <c r="O3581">
        <v>0</v>
      </c>
      <c r="P3581">
        <v>0</v>
      </c>
      <c r="Q3581">
        <v>24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D3581">
        <v>24</v>
      </c>
    </row>
    <row r="3582" spans="1:30" x14ac:dyDescent="0.3">
      <c r="A3582" s="4">
        <v>3604</v>
      </c>
      <c r="B3582" s="5">
        <v>3575</v>
      </c>
      <c r="C3582">
        <v>4355</v>
      </c>
      <c r="D3582" t="s">
        <v>7354</v>
      </c>
      <c r="E3582" t="s">
        <v>26</v>
      </c>
      <c r="F3582" t="s">
        <v>81</v>
      </c>
      <c r="G3582" t="s">
        <v>7355</v>
      </c>
      <c r="H3582" t="str">
        <f>"00865172"</f>
        <v>00865172</v>
      </c>
      <c r="I3582">
        <v>20</v>
      </c>
      <c r="J3582">
        <v>0</v>
      </c>
      <c r="N3582">
        <v>0</v>
      </c>
      <c r="O3582">
        <v>4</v>
      </c>
      <c r="P3582">
        <v>0</v>
      </c>
      <c r="Q3582">
        <v>24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D3582">
        <v>24</v>
      </c>
    </row>
    <row r="3583" spans="1:30" x14ac:dyDescent="0.3">
      <c r="A3583" s="4">
        <v>3605</v>
      </c>
      <c r="B3583" s="5">
        <v>3576</v>
      </c>
      <c r="C3583">
        <v>4928</v>
      </c>
      <c r="D3583" t="s">
        <v>7356</v>
      </c>
      <c r="E3583" t="s">
        <v>935</v>
      </c>
      <c r="F3583" t="s">
        <v>81</v>
      </c>
      <c r="G3583" t="s">
        <v>7357</v>
      </c>
      <c r="H3583" t="str">
        <f>"00445380"</f>
        <v>00445380</v>
      </c>
      <c r="I3583">
        <v>12</v>
      </c>
      <c r="J3583">
        <v>0</v>
      </c>
      <c r="K3583">
        <v>8</v>
      </c>
      <c r="N3583">
        <v>8</v>
      </c>
      <c r="O3583">
        <v>4</v>
      </c>
      <c r="P3583">
        <v>0</v>
      </c>
      <c r="Q3583">
        <v>24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D3583">
        <v>24</v>
      </c>
    </row>
    <row r="3584" spans="1:30" x14ac:dyDescent="0.3">
      <c r="A3584" s="4">
        <v>3606</v>
      </c>
      <c r="B3584" s="5">
        <v>3577</v>
      </c>
      <c r="C3584">
        <v>2174</v>
      </c>
      <c r="D3584" t="s">
        <v>5326</v>
      </c>
      <c r="E3584" t="s">
        <v>147</v>
      </c>
      <c r="F3584" t="s">
        <v>972</v>
      </c>
      <c r="G3584" t="s">
        <v>7358</v>
      </c>
      <c r="H3584" t="str">
        <f>"201412006493"</f>
        <v>201412006493</v>
      </c>
      <c r="I3584">
        <v>0</v>
      </c>
      <c r="J3584">
        <v>10</v>
      </c>
      <c r="N3584">
        <v>0</v>
      </c>
      <c r="O3584">
        <v>4</v>
      </c>
      <c r="P3584">
        <v>0</v>
      </c>
      <c r="Q3584">
        <v>14</v>
      </c>
      <c r="R3584">
        <v>0</v>
      </c>
      <c r="S3584">
        <v>0</v>
      </c>
      <c r="T3584">
        <v>5</v>
      </c>
      <c r="U3584">
        <v>10</v>
      </c>
      <c r="V3584">
        <v>0</v>
      </c>
      <c r="W3584">
        <v>0</v>
      </c>
      <c r="X3584">
        <v>0</v>
      </c>
      <c r="Y3584">
        <v>0</v>
      </c>
      <c r="Z3584">
        <v>10</v>
      </c>
      <c r="AA3584">
        <v>0</v>
      </c>
      <c r="AB3584">
        <v>0</v>
      </c>
      <c r="AD3584">
        <v>24</v>
      </c>
    </row>
    <row r="3585" spans="1:30" x14ac:dyDescent="0.3">
      <c r="A3585" s="4">
        <v>3607</v>
      </c>
      <c r="B3585" s="5">
        <v>3578</v>
      </c>
      <c r="C3585">
        <v>4937</v>
      </c>
      <c r="D3585" t="s">
        <v>7359</v>
      </c>
      <c r="E3585" t="s">
        <v>7360</v>
      </c>
      <c r="F3585" t="s">
        <v>38</v>
      </c>
      <c r="G3585" t="s">
        <v>7361</v>
      </c>
      <c r="H3585" t="str">
        <f>"00650997"</f>
        <v>00650997</v>
      </c>
      <c r="I3585">
        <v>20.8</v>
      </c>
      <c r="J3585">
        <v>0</v>
      </c>
      <c r="N3585">
        <v>0</v>
      </c>
      <c r="O3585">
        <v>0</v>
      </c>
      <c r="P3585">
        <v>0</v>
      </c>
      <c r="Q3585">
        <v>20.8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3</v>
      </c>
      <c r="AB3585">
        <v>0</v>
      </c>
      <c r="AD3585">
        <v>23.8</v>
      </c>
    </row>
    <row r="3586" spans="1:30" x14ac:dyDescent="0.3">
      <c r="A3586" s="4">
        <v>3608</v>
      </c>
      <c r="B3586" s="5">
        <v>3579</v>
      </c>
      <c r="C3586">
        <v>842</v>
      </c>
      <c r="D3586" t="s">
        <v>7362</v>
      </c>
      <c r="E3586" t="s">
        <v>33</v>
      </c>
      <c r="F3586" t="s">
        <v>124</v>
      </c>
      <c r="G3586" t="s">
        <v>7363</v>
      </c>
      <c r="H3586" t="str">
        <f>"00514547"</f>
        <v>00514547</v>
      </c>
      <c r="I3586">
        <v>12.8</v>
      </c>
      <c r="J3586">
        <v>0</v>
      </c>
      <c r="N3586">
        <v>0</v>
      </c>
      <c r="O3586">
        <v>0</v>
      </c>
      <c r="P3586">
        <v>0</v>
      </c>
      <c r="Q3586">
        <v>12.8</v>
      </c>
      <c r="R3586">
        <v>11</v>
      </c>
      <c r="S3586">
        <v>11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11</v>
      </c>
      <c r="AA3586">
        <v>0</v>
      </c>
      <c r="AB3586">
        <v>0</v>
      </c>
      <c r="AD3586">
        <v>23.8</v>
      </c>
    </row>
    <row r="3587" spans="1:30" x14ac:dyDescent="0.3">
      <c r="A3587" s="4">
        <v>3609</v>
      </c>
      <c r="B3587" s="5">
        <v>3580</v>
      </c>
      <c r="C3587">
        <v>1956</v>
      </c>
      <c r="D3587" t="s">
        <v>7364</v>
      </c>
      <c r="E3587" t="s">
        <v>33</v>
      </c>
      <c r="F3587" t="s">
        <v>190</v>
      </c>
      <c r="G3587" t="s">
        <v>7365</v>
      </c>
      <c r="H3587" t="str">
        <f>"00022977"</f>
        <v>00022977</v>
      </c>
      <c r="I3587">
        <v>23.72</v>
      </c>
      <c r="J3587">
        <v>0</v>
      </c>
      <c r="N3587">
        <v>0</v>
      </c>
      <c r="O3587">
        <v>0</v>
      </c>
      <c r="P3587">
        <v>0</v>
      </c>
      <c r="Q3587">
        <v>23.72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D3587">
        <v>23.72</v>
      </c>
    </row>
    <row r="3588" spans="1:30" x14ac:dyDescent="0.3">
      <c r="A3588" s="4">
        <v>3610</v>
      </c>
      <c r="B3588" s="5">
        <v>3581</v>
      </c>
      <c r="C3588">
        <v>4891</v>
      </c>
      <c r="D3588" t="s">
        <v>6676</v>
      </c>
      <c r="E3588" t="s">
        <v>166</v>
      </c>
      <c r="F3588" t="s">
        <v>158</v>
      </c>
      <c r="G3588" t="s">
        <v>7366</v>
      </c>
      <c r="H3588" t="str">
        <f>"00702128"</f>
        <v>00702128</v>
      </c>
      <c r="I3588">
        <v>19.72</v>
      </c>
      <c r="J3588">
        <v>0</v>
      </c>
      <c r="N3588">
        <v>0</v>
      </c>
      <c r="O3588">
        <v>4</v>
      </c>
      <c r="P3588">
        <v>0</v>
      </c>
      <c r="Q3588">
        <v>23.72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D3588">
        <v>23.72</v>
      </c>
    </row>
    <row r="3589" spans="1:30" x14ac:dyDescent="0.3">
      <c r="A3589" s="4">
        <v>3611</v>
      </c>
      <c r="B3589" s="5">
        <v>3582</v>
      </c>
      <c r="C3589">
        <v>3383</v>
      </c>
      <c r="D3589" t="s">
        <v>3454</v>
      </c>
      <c r="E3589" t="s">
        <v>258</v>
      </c>
      <c r="F3589" t="s">
        <v>20</v>
      </c>
      <c r="G3589" t="s">
        <v>7367</v>
      </c>
      <c r="H3589" t="str">
        <f>"00672697"</f>
        <v>00672697</v>
      </c>
      <c r="I3589">
        <v>19.68</v>
      </c>
      <c r="J3589">
        <v>0</v>
      </c>
      <c r="N3589">
        <v>0</v>
      </c>
      <c r="O3589">
        <v>4</v>
      </c>
      <c r="P3589">
        <v>0</v>
      </c>
      <c r="Q3589">
        <v>23.68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D3589">
        <v>23.68</v>
      </c>
    </row>
    <row r="3590" spans="1:30" x14ac:dyDescent="0.3">
      <c r="A3590" s="4">
        <v>3612</v>
      </c>
      <c r="B3590" s="5">
        <v>3583</v>
      </c>
      <c r="C3590">
        <v>1889</v>
      </c>
      <c r="D3590" t="s">
        <v>3340</v>
      </c>
      <c r="E3590" t="s">
        <v>1371</v>
      </c>
      <c r="F3590" t="s">
        <v>310</v>
      </c>
      <c r="G3590" t="s">
        <v>7368</v>
      </c>
      <c r="H3590" t="str">
        <f>"00864941"</f>
        <v>00864941</v>
      </c>
      <c r="I3590">
        <v>23.64</v>
      </c>
      <c r="J3590">
        <v>0</v>
      </c>
      <c r="N3590">
        <v>0</v>
      </c>
      <c r="O3590">
        <v>0</v>
      </c>
      <c r="P3590">
        <v>0</v>
      </c>
      <c r="Q3590">
        <v>23.64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D3590">
        <v>23.64</v>
      </c>
    </row>
    <row r="3591" spans="1:30" x14ac:dyDescent="0.3">
      <c r="A3591" s="4">
        <v>3613</v>
      </c>
      <c r="B3591" s="5">
        <v>3584</v>
      </c>
      <c r="C3591">
        <v>1611</v>
      </c>
      <c r="D3591" t="s">
        <v>7369</v>
      </c>
      <c r="E3591" t="s">
        <v>88</v>
      </c>
      <c r="F3591" t="s">
        <v>385</v>
      </c>
      <c r="G3591" t="s">
        <v>7370</v>
      </c>
      <c r="H3591" t="str">
        <f>"00532424"</f>
        <v>00532424</v>
      </c>
      <c r="I3591">
        <v>23.6</v>
      </c>
      <c r="J3591">
        <v>0</v>
      </c>
      <c r="N3591">
        <v>0</v>
      </c>
      <c r="O3591">
        <v>0</v>
      </c>
      <c r="P3591">
        <v>0</v>
      </c>
      <c r="Q3591">
        <v>23.6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D3591">
        <v>23.6</v>
      </c>
    </row>
    <row r="3592" spans="1:30" x14ac:dyDescent="0.3">
      <c r="A3592" s="4">
        <v>3614</v>
      </c>
      <c r="B3592" s="5">
        <v>3585</v>
      </c>
      <c r="C3592">
        <v>2639</v>
      </c>
      <c r="D3592" t="s">
        <v>7371</v>
      </c>
      <c r="E3592" t="s">
        <v>33</v>
      </c>
      <c r="F3592" t="s">
        <v>68</v>
      </c>
      <c r="G3592" t="s">
        <v>7372</v>
      </c>
      <c r="H3592" t="str">
        <f>"00863117"</f>
        <v>00863117</v>
      </c>
      <c r="I3592">
        <v>21.6</v>
      </c>
      <c r="J3592">
        <v>0</v>
      </c>
      <c r="N3592">
        <v>0</v>
      </c>
      <c r="O3592">
        <v>0</v>
      </c>
      <c r="P3592">
        <v>2</v>
      </c>
      <c r="Q3592">
        <v>23.6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D3592">
        <v>23.6</v>
      </c>
    </row>
    <row r="3593" spans="1:30" x14ac:dyDescent="0.3">
      <c r="A3593" s="4">
        <v>3615</v>
      </c>
      <c r="B3593" s="5">
        <v>3586</v>
      </c>
      <c r="C3593">
        <v>4060</v>
      </c>
      <c r="D3593" t="s">
        <v>7373</v>
      </c>
      <c r="E3593" t="s">
        <v>33</v>
      </c>
      <c r="F3593" t="s">
        <v>230</v>
      </c>
      <c r="G3593" t="s">
        <v>7374</v>
      </c>
      <c r="H3593" t="str">
        <f>"00863373"</f>
        <v>00863373</v>
      </c>
      <c r="I3593">
        <v>21.6</v>
      </c>
      <c r="J3593">
        <v>0</v>
      </c>
      <c r="N3593">
        <v>0</v>
      </c>
      <c r="O3593">
        <v>0</v>
      </c>
      <c r="P3593">
        <v>2</v>
      </c>
      <c r="Q3593">
        <v>23.6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D3593">
        <v>23.6</v>
      </c>
    </row>
    <row r="3594" spans="1:30" x14ac:dyDescent="0.3">
      <c r="A3594" s="4">
        <v>3616</v>
      </c>
      <c r="B3594" s="5">
        <v>3587</v>
      </c>
      <c r="C3594">
        <v>2593</v>
      </c>
      <c r="D3594" t="s">
        <v>7375</v>
      </c>
      <c r="E3594" t="s">
        <v>29</v>
      </c>
      <c r="F3594" t="s">
        <v>81</v>
      </c>
      <c r="G3594" t="s">
        <v>7376</v>
      </c>
      <c r="H3594" t="str">
        <f>"00526643"</f>
        <v>00526643</v>
      </c>
      <c r="I3594">
        <v>21.6</v>
      </c>
      <c r="J3594">
        <v>0</v>
      </c>
      <c r="N3594">
        <v>0</v>
      </c>
      <c r="O3594">
        <v>0</v>
      </c>
      <c r="P3594">
        <v>2</v>
      </c>
      <c r="Q3594">
        <v>23.6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D3594">
        <v>23.6</v>
      </c>
    </row>
    <row r="3595" spans="1:30" x14ac:dyDescent="0.3">
      <c r="A3595" s="4">
        <v>3617</v>
      </c>
      <c r="B3595" s="5">
        <v>3588</v>
      </c>
      <c r="C3595">
        <v>1455</v>
      </c>
      <c r="D3595" t="s">
        <v>7377</v>
      </c>
      <c r="E3595" t="s">
        <v>136</v>
      </c>
      <c r="F3595" t="s">
        <v>385</v>
      </c>
      <c r="G3595" t="s">
        <v>7378</v>
      </c>
      <c r="H3595" t="str">
        <f>"00342226"</f>
        <v>00342226</v>
      </c>
      <c r="I3595">
        <v>19.600000000000001</v>
      </c>
      <c r="J3595">
        <v>0</v>
      </c>
      <c r="N3595">
        <v>0</v>
      </c>
      <c r="O3595">
        <v>4</v>
      </c>
      <c r="P3595">
        <v>0</v>
      </c>
      <c r="Q3595">
        <v>23.6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D3595">
        <v>23.6</v>
      </c>
    </row>
    <row r="3596" spans="1:30" x14ac:dyDescent="0.3">
      <c r="A3596" s="4">
        <v>3618</v>
      </c>
      <c r="B3596" s="5">
        <v>3589</v>
      </c>
      <c r="C3596">
        <v>1209</v>
      </c>
      <c r="D3596" t="s">
        <v>7379</v>
      </c>
      <c r="E3596" t="s">
        <v>265</v>
      </c>
      <c r="F3596" t="s">
        <v>20</v>
      </c>
      <c r="G3596" t="s">
        <v>7380</v>
      </c>
      <c r="H3596" t="str">
        <f>"00857188"</f>
        <v>00857188</v>
      </c>
      <c r="I3596">
        <v>17.440000000000001</v>
      </c>
      <c r="J3596">
        <v>0</v>
      </c>
      <c r="N3596">
        <v>0</v>
      </c>
      <c r="O3596">
        <v>0</v>
      </c>
      <c r="P3596">
        <v>0</v>
      </c>
      <c r="Q3596">
        <v>17.440000000000001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6</v>
      </c>
      <c r="AB3596">
        <v>0</v>
      </c>
      <c r="AD3596">
        <v>23.44</v>
      </c>
    </row>
    <row r="3597" spans="1:30" x14ac:dyDescent="0.3">
      <c r="A3597" s="4">
        <v>3619</v>
      </c>
      <c r="B3597" s="5">
        <v>3590</v>
      </c>
      <c r="C3597">
        <v>2647</v>
      </c>
      <c r="D3597" t="s">
        <v>641</v>
      </c>
      <c r="E3597" t="s">
        <v>29</v>
      </c>
      <c r="F3597" t="s">
        <v>1854</v>
      </c>
      <c r="G3597" t="s">
        <v>7381</v>
      </c>
      <c r="H3597" t="str">
        <f>"00778986"</f>
        <v>00778986</v>
      </c>
      <c r="I3597">
        <v>14.4</v>
      </c>
      <c r="J3597">
        <v>0</v>
      </c>
      <c r="N3597">
        <v>0</v>
      </c>
      <c r="O3597">
        <v>0</v>
      </c>
      <c r="P3597">
        <v>0</v>
      </c>
      <c r="Q3597">
        <v>14.4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9</v>
      </c>
      <c r="AB3597">
        <v>0</v>
      </c>
      <c r="AD3597">
        <v>23.4</v>
      </c>
    </row>
    <row r="3598" spans="1:30" x14ac:dyDescent="0.3">
      <c r="A3598" s="4">
        <v>3620</v>
      </c>
      <c r="B3598" s="5">
        <v>3591</v>
      </c>
      <c r="C3598">
        <v>4046</v>
      </c>
      <c r="D3598" t="s">
        <v>7382</v>
      </c>
      <c r="E3598" t="s">
        <v>1458</v>
      </c>
      <c r="F3598" t="s">
        <v>570</v>
      </c>
      <c r="G3598" t="s">
        <v>7383</v>
      </c>
      <c r="H3598" t="str">
        <f>"00518235"</f>
        <v>00518235</v>
      </c>
      <c r="I3598">
        <v>14.4</v>
      </c>
      <c r="J3598">
        <v>0</v>
      </c>
      <c r="N3598">
        <v>0</v>
      </c>
      <c r="O3598">
        <v>0</v>
      </c>
      <c r="P3598">
        <v>0</v>
      </c>
      <c r="Q3598">
        <v>14.4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9</v>
      </c>
      <c r="AB3598">
        <v>0</v>
      </c>
      <c r="AD3598">
        <v>23.4</v>
      </c>
    </row>
    <row r="3599" spans="1:30" x14ac:dyDescent="0.3">
      <c r="A3599" s="4">
        <v>3621</v>
      </c>
      <c r="B3599" s="5">
        <v>3592</v>
      </c>
      <c r="C3599">
        <v>2756</v>
      </c>
      <c r="D3599" t="s">
        <v>7384</v>
      </c>
      <c r="E3599" t="s">
        <v>1300</v>
      </c>
      <c r="F3599" t="s">
        <v>190</v>
      </c>
      <c r="G3599" t="s">
        <v>7385</v>
      </c>
      <c r="H3599" t="str">
        <f>"00560392"</f>
        <v>00560392</v>
      </c>
      <c r="I3599">
        <v>14.4</v>
      </c>
      <c r="J3599">
        <v>0</v>
      </c>
      <c r="N3599">
        <v>0</v>
      </c>
      <c r="O3599">
        <v>0</v>
      </c>
      <c r="P3599">
        <v>0</v>
      </c>
      <c r="Q3599">
        <v>14.4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9</v>
      </c>
      <c r="AB3599">
        <v>0</v>
      </c>
      <c r="AD3599">
        <v>23.4</v>
      </c>
    </row>
    <row r="3600" spans="1:30" x14ac:dyDescent="0.3">
      <c r="A3600" s="4">
        <v>3622</v>
      </c>
      <c r="B3600" s="5">
        <v>3593</v>
      </c>
      <c r="C3600">
        <v>4824</v>
      </c>
      <c r="D3600" t="s">
        <v>7386</v>
      </c>
      <c r="E3600" t="s">
        <v>2841</v>
      </c>
      <c r="F3600" t="s">
        <v>17</v>
      </c>
      <c r="G3600" t="s">
        <v>7387</v>
      </c>
      <c r="H3600" t="str">
        <f>"00866422"</f>
        <v>00866422</v>
      </c>
      <c r="I3600">
        <v>14.4</v>
      </c>
      <c r="J3600">
        <v>0</v>
      </c>
      <c r="N3600">
        <v>0</v>
      </c>
      <c r="O3600">
        <v>4</v>
      </c>
      <c r="P3600">
        <v>2</v>
      </c>
      <c r="Q3600">
        <v>20.399999999999999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3</v>
      </c>
      <c r="AB3600">
        <v>0</v>
      </c>
      <c r="AD3600">
        <v>23.4</v>
      </c>
    </row>
    <row r="3601" spans="1:30" x14ac:dyDescent="0.3">
      <c r="A3601" s="4">
        <v>3623</v>
      </c>
      <c r="B3601" s="5">
        <v>3594</v>
      </c>
      <c r="C3601">
        <v>14</v>
      </c>
      <c r="D3601" t="s">
        <v>181</v>
      </c>
      <c r="E3601" t="s">
        <v>178</v>
      </c>
      <c r="F3601" t="s">
        <v>136</v>
      </c>
      <c r="G3601" t="s">
        <v>7388</v>
      </c>
      <c r="H3601" t="str">
        <f>"00840490"</f>
        <v>00840490</v>
      </c>
      <c r="I3601">
        <v>14.4</v>
      </c>
      <c r="J3601">
        <v>0</v>
      </c>
      <c r="N3601">
        <v>0</v>
      </c>
      <c r="O3601">
        <v>4</v>
      </c>
      <c r="P3601">
        <v>2</v>
      </c>
      <c r="Q3601">
        <v>20.399999999999999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3</v>
      </c>
      <c r="AB3601">
        <v>0</v>
      </c>
      <c r="AD3601">
        <v>23.4</v>
      </c>
    </row>
    <row r="3602" spans="1:30" x14ac:dyDescent="0.3">
      <c r="A3602" s="4">
        <v>3624</v>
      </c>
      <c r="B3602" s="5">
        <v>3595</v>
      </c>
      <c r="C3602">
        <v>4491</v>
      </c>
      <c r="D3602" t="s">
        <v>7389</v>
      </c>
      <c r="E3602" t="s">
        <v>286</v>
      </c>
      <c r="F3602" t="s">
        <v>136</v>
      </c>
      <c r="G3602" t="s">
        <v>7390</v>
      </c>
      <c r="H3602" t="str">
        <f>"00863735"</f>
        <v>00863735</v>
      </c>
      <c r="I3602">
        <v>17.32</v>
      </c>
      <c r="J3602">
        <v>0</v>
      </c>
      <c r="N3602">
        <v>0</v>
      </c>
      <c r="O3602">
        <v>0</v>
      </c>
      <c r="P3602">
        <v>0</v>
      </c>
      <c r="Q3602">
        <v>17.32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6</v>
      </c>
      <c r="AB3602">
        <v>0</v>
      </c>
      <c r="AD3602">
        <v>23.32</v>
      </c>
    </row>
    <row r="3603" spans="1:30" x14ac:dyDescent="0.3">
      <c r="A3603" s="4">
        <v>3625</v>
      </c>
      <c r="B3603" s="5">
        <v>3596</v>
      </c>
      <c r="C3603">
        <v>3066</v>
      </c>
      <c r="D3603" t="s">
        <v>7391</v>
      </c>
      <c r="E3603" t="s">
        <v>115</v>
      </c>
      <c r="F3603" t="s">
        <v>385</v>
      </c>
      <c r="G3603" t="s">
        <v>7392</v>
      </c>
      <c r="H3603" t="str">
        <f>"00637118"</f>
        <v>00637118</v>
      </c>
      <c r="I3603">
        <v>7.2</v>
      </c>
      <c r="J3603">
        <v>0</v>
      </c>
      <c r="M3603">
        <v>4</v>
      </c>
      <c r="N3603">
        <v>4</v>
      </c>
      <c r="O3603">
        <v>4</v>
      </c>
      <c r="P3603">
        <v>2</v>
      </c>
      <c r="Q3603">
        <v>17.2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6</v>
      </c>
      <c r="AB3603">
        <v>0</v>
      </c>
      <c r="AD3603">
        <v>23.2</v>
      </c>
    </row>
    <row r="3604" spans="1:30" x14ac:dyDescent="0.3">
      <c r="A3604" s="4">
        <v>3626</v>
      </c>
      <c r="B3604" s="5">
        <v>3597</v>
      </c>
      <c r="C3604">
        <v>1903</v>
      </c>
      <c r="D3604" t="s">
        <v>2666</v>
      </c>
      <c r="E3604" t="s">
        <v>648</v>
      </c>
      <c r="F3604" t="s">
        <v>81</v>
      </c>
      <c r="G3604" t="s">
        <v>7393</v>
      </c>
      <c r="H3604" t="str">
        <f>"201406006592"</f>
        <v>201406006592</v>
      </c>
      <c r="I3604">
        <v>7.2</v>
      </c>
      <c r="J3604">
        <v>0</v>
      </c>
      <c r="M3604">
        <v>4</v>
      </c>
      <c r="N3604">
        <v>4</v>
      </c>
      <c r="O3604">
        <v>4</v>
      </c>
      <c r="P3604">
        <v>2</v>
      </c>
      <c r="Q3604">
        <v>17.2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6</v>
      </c>
      <c r="AB3604">
        <v>0</v>
      </c>
      <c r="AD3604">
        <v>23.2</v>
      </c>
    </row>
    <row r="3605" spans="1:30" x14ac:dyDescent="0.3">
      <c r="A3605" s="4">
        <v>3627</v>
      </c>
      <c r="B3605" s="5">
        <v>3598</v>
      </c>
      <c r="C3605">
        <v>4379</v>
      </c>
      <c r="D3605" t="s">
        <v>7394</v>
      </c>
      <c r="E3605" t="s">
        <v>1953</v>
      </c>
      <c r="F3605" t="s">
        <v>214</v>
      </c>
      <c r="G3605" t="s">
        <v>7395</v>
      </c>
      <c r="H3605" t="str">
        <f>"00863169"</f>
        <v>00863169</v>
      </c>
      <c r="I3605">
        <v>7.2</v>
      </c>
      <c r="J3605">
        <v>0</v>
      </c>
      <c r="M3605">
        <v>4</v>
      </c>
      <c r="N3605">
        <v>4</v>
      </c>
      <c r="O3605">
        <v>4</v>
      </c>
      <c r="P3605">
        <v>2</v>
      </c>
      <c r="Q3605">
        <v>17.2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6</v>
      </c>
      <c r="AB3605">
        <v>0</v>
      </c>
      <c r="AD3605">
        <v>23.2</v>
      </c>
    </row>
    <row r="3606" spans="1:30" x14ac:dyDescent="0.3">
      <c r="A3606" s="4">
        <v>3628</v>
      </c>
      <c r="B3606" s="5">
        <v>3599</v>
      </c>
      <c r="C3606">
        <v>2699</v>
      </c>
      <c r="D3606" t="s">
        <v>5933</v>
      </c>
      <c r="E3606" t="s">
        <v>1280</v>
      </c>
      <c r="F3606" t="s">
        <v>158</v>
      </c>
      <c r="G3606" t="s">
        <v>7396</v>
      </c>
      <c r="H3606" t="str">
        <f>"00588592"</f>
        <v>00588592</v>
      </c>
      <c r="I3606">
        <v>19.2</v>
      </c>
      <c r="J3606">
        <v>0</v>
      </c>
      <c r="N3606">
        <v>0</v>
      </c>
      <c r="O3606">
        <v>4</v>
      </c>
      <c r="P3606">
        <v>0</v>
      </c>
      <c r="Q3606">
        <v>23.2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D3606">
        <v>23.2</v>
      </c>
    </row>
    <row r="3607" spans="1:30" x14ac:dyDescent="0.3">
      <c r="A3607" s="4">
        <v>3629</v>
      </c>
      <c r="B3607" s="5">
        <v>3600</v>
      </c>
      <c r="C3607">
        <v>1137</v>
      </c>
      <c r="D3607" t="s">
        <v>7397</v>
      </c>
      <c r="E3607" t="s">
        <v>4236</v>
      </c>
      <c r="F3607" t="s">
        <v>17</v>
      </c>
      <c r="G3607" t="s">
        <v>7398</v>
      </c>
      <c r="H3607" t="str">
        <f>"00858447"</f>
        <v>00858447</v>
      </c>
      <c r="I3607">
        <v>7.2</v>
      </c>
      <c r="J3607">
        <v>10</v>
      </c>
      <c r="N3607">
        <v>0</v>
      </c>
      <c r="O3607">
        <v>4</v>
      </c>
      <c r="P3607">
        <v>2</v>
      </c>
      <c r="Q3607">
        <v>23.2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D3607">
        <v>23.2</v>
      </c>
    </row>
    <row r="3608" spans="1:30" x14ac:dyDescent="0.3">
      <c r="A3608" s="4">
        <v>3630</v>
      </c>
      <c r="B3608" s="5">
        <v>3601</v>
      </c>
      <c r="C3608">
        <v>2433</v>
      </c>
      <c r="D3608" t="s">
        <v>7399</v>
      </c>
      <c r="E3608" t="s">
        <v>26</v>
      </c>
      <c r="F3608" t="s">
        <v>38</v>
      </c>
      <c r="G3608" t="s">
        <v>7400</v>
      </c>
      <c r="H3608" t="str">
        <f>"00530353"</f>
        <v>00530353</v>
      </c>
      <c r="I3608">
        <v>7.2</v>
      </c>
      <c r="J3608">
        <v>0</v>
      </c>
      <c r="N3608">
        <v>0</v>
      </c>
      <c r="O3608">
        <v>0</v>
      </c>
      <c r="P3608">
        <v>0</v>
      </c>
      <c r="Q3608">
        <v>7.2</v>
      </c>
      <c r="R3608">
        <v>0</v>
      </c>
      <c r="S3608">
        <v>0</v>
      </c>
      <c r="T3608">
        <v>5</v>
      </c>
      <c r="U3608">
        <v>10</v>
      </c>
      <c r="V3608">
        <v>4</v>
      </c>
      <c r="W3608">
        <v>6</v>
      </c>
      <c r="X3608">
        <v>0</v>
      </c>
      <c r="Y3608">
        <v>0</v>
      </c>
      <c r="Z3608">
        <v>16</v>
      </c>
      <c r="AA3608">
        <v>0</v>
      </c>
      <c r="AB3608">
        <v>0</v>
      </c>
      <c r="AD3608">
        <v>23.2</v>
      </c>
    </row>
    <row r="3609" spans="1:30" x14ac:dyDescent="0.3">
      <c r="A3609" s="4">
        <v>3631</v>
      </c>
      <c r="B3609" s="5">
        <v>3602</v>
      </c>
      <c r="C3609">
        <v>1211</v>
      </c>
      <c r="D3609" t="s">
        <v>775</v>
      </c>
      <c r="E3609" t="s">
        <v>19</v>
      </c>
      <c r="F3609" t="s">
        <v>136</v>
      </c>
      <c r="G3609" t="s">
        <v>7401</v>
      </c>
      <c r="H3609" t="str">
        <f>"00556167"</f>
        <v>00556167</v>
      </c>
      <c r="I3609">
        <v>23.12</v>
      </c>
      <c r="J3609">
        <v>0</v>
      </c>
      <c r="N3609">
        <v>0</v>
      </c>
      <c r="O3609">
        <v>0</v>
      </c>
      <c r="P3609">
        <v>0</v>
      </c>
      <c r="Q3609">
        <v>23.12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D3609">
        <v>23.12</v>
      </c>
    </row>
    <row r="3610" spans="1:30" x14ac:dyDescent="0.3">
      <c r="A3610" s="4">
        <v>3632</v>
      </c>
      <c r="B3610" s="5">
        <v>3603</v>
      </c>
      <c r="C3610">
        <v>42</v>
      </c>
      <c r="D3610" t="s">
        <v>7402</v>
      </c>
      <c r="E3610" t="s">
        <v>29</v>
      </c>
      <c r="F3610" t="s">
        <v>7403</v>
      </c>
      <c r="G3610" t="s">
        <v>7404</v>
      </c>
      <c r="H3610" t="str">
        <f>"00480436"</f>
        <v>00480436</v>
      </c>
      <c r="I3610">
        <v>0</v>
      </c>
      <c r="J3610">
        <v>0</v>
      </c>
      <c r="K3610">
        <v>8</v>
      </c>
      <c r="N3610">
        <v>8</v>
      </c>
      <c r="O3610">
        <v>4</v>
      </c>
      <c r="P3610">
        <v>2</v>
      </c>
      <c r="Q3610">
        <v>14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9</v>
      </c>
      <c r="AB3610">
        <v>0</v>
      </c>
      <c r="AD3610">
        <v>23</v>
      </c>
    </row>
    <row r="3611" spans="1:30" x14ac:dyDescent="0.3">
      <c r="A3611" s="4">
        <v>3633</v>
      </c>
      <c r="B3611" s="5">
        <v>3604</v>
      </c>
      <c r="C3611">
        <v>788</v>
      </c>
      <c r="D3611" t="s">
        <v>4097</v>
      </c>
      <c r="E3611" t="s">
        <v>54</v>
      </c>
      <c r="F3611" t="s">
        <v>68</v>
      </c>
      <c r="G3611" t="s">
        <v>7405</v>
      </c>
      <c r="H3611" t="str">
        <f>"00495314"</f>
        <v>00495314</v>
      </c>
      <c r="I3611">
        <v>0</v>
      </c>
      <c r="J3611">
        <v>0</v>
      </c>
      <c r="M3611">
        <v>4</v>
      </c>
      <c r="N3611">
        <v>4</v>
      </c>
      <c r="O3611">
        <v>0</v>
      </c>
      <c r="P3611">
        <v>2</v>
      </c>
      <c r="Q3611">
        <v>6</v>
      </c>
      <c r="R3611">
        <v>11</v>
      </c>
      <c r="S3611">
        <v>11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11</v>
      </c>
      <c r="AA3611">
        <v>6</v>
      </c>
      <c r="AB3611">
        <v>0</v>
      </c>
      <c r="AD3611">
        <v>23</v>
      </c>
    </row>
    <row r="3612" spans="1:30" x14ac:dyDescent="0.3">
      <c r="A3612" s="4">
        <v>3634</v>
      </c>
      <c r="B3612" s="5">
        <v>3605</v>
      </c>
      <c r="C3612">
        <v>3879</v>
      </c>
      <c r="D3612" t="s">
        <v>7406</v>
      </c>
      <c r="E3612" t="s">
        <v>143</v>
      </c>
      <c r="F3612" t="s">
        <v>158</v>
      </c>
      <c r="G3612" t="s">
        <v>7407</v>
      </c>
      <c r="H3612" t="str">
        <f>"00513683"</f>
        <v>00513683</v>
      </c>
      <c r="I3612">
        <v>18</v>
      </c>
      <c r="J3612">
        <v>0</v>
      </c>
      <c r="N3612">
        <v>0</v>
      </c>
      <c r="O3612">
        <v>0</v>
      </c>
      <c r="P3612">
        <v>2</v>
      </c>
      <c r="Q3612">
        <v>20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3</v>
      </c>
      <c r="AB3612">
        <v>0</v>
      </c>
      <c r="AD3612">
        <v>23</v>
      </c>
    </row>
    <row r="3613" spans="1:30" x14ac:dyDescent="0.3">
      <c r="A3613" s="4">
        <v>3635</v>
      </c>
      <c r="B3613" s="5">
        <v>3606</v>
      </c>
      <c r="C3613">
        <v>2309</v>
      </c>
      <c r="D3613" t="s">
        <v>7408</v>
      </c>
      <c r="E3613" t="s">
        <v>789</v>
      </c>
      <c r="F3613" t="s">
        <v>20</v>
      </c>
      <c r="G3613" t="s">
        <v>7409</v>
      </c>
      <c r="H3613" t="str">
        <f>"00529807"</f>
        <v>00529807</v>
      </c>
      <c r="I3613">
        <v>0</v>
      </c>
      <c r="J3613">
        <v>10</v>
      </c>
      <c r="M3613">
        <v>4</v>
      </c>
      <c r="N3613">
        <v>4</v>
      </c>
      <c r="O3613">
        <v>4</v>
      </c>
      <c r="P3613">
        <v>0</v>
      </c>
      <c r="Q3613">
        <v>18</v>
      </c>
      <c r="R3613">
        <v>2</v>
      </c>
      <c r="S3613">
        <v>2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2</v>
      </c>
      <c r="AA3613">
        <v>3</v>
      </c>
      <c r="AB3613">
        <v>0</v>
      </c>
      <c r="AD3613">
        <v>23</v>
      </c>
    </row>
    <row r="3614" spans="1:30" x14ac:dyDescent="0.3">
      <c r="A3614" s="4">
        <v>3636</v>
      </c>
      <c r="B3614" s="5">
        <v>3607</v>
      </c>
      <c r="C3614">
        <v>2331</v>
      </c>
      <c r="D3614" t="s">
        <v>3889</v>
      </c>
      <c r="E3614" t="s">
        <v>4769</v>
      </c>
      <c r="F3614" t="s">
        <v>68</v>
      </c>
      <c r="G3614" t="s">
        <v>7410</v>
      </c>
      <c r="H3614" t="str">
        <f>"00531903"</f>
        <v>00531903</v>
      </c>
      <c r="I3614">
        <v>9</v>
      </c>
      <c r="J3614">
        <v>0</v>
      </c>
      <c r="N3614">
        <v>0</v>
      </c>
      <c r="O3614">
        <v>4</v>
      </c>
      <c r="P3614">
        <v>2</v>
      </c>
      <c r="Q3614">
        <v>15</v>
      </c>
      <c r="R3614">
        <v>5</v>
      </c>
      <c r="S3614">
        <v>5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5</v>
      </c>
      <c r="AA3614">
        <v>3</v>
      </c>
      <c r="AB3614">
        <v>0</v>
      </c>
      <c r="AD3614">
        <v>23</v>
      </c>
    </row>
    <row r="3615" spans="1:30" x14ac:dyDescent="0.3">
      <c r="A3615" s="4">
        <v>3637</v>
      </c>
      <c r="B3615" s="5">
        <v>3608</v>
      </c>
      <c r="C3615">
        <v>2986</v>
      </c>
      <c r="D3615" t="s">
        <v>7411</v>
      </c>
      <c r="E3615" t="s">
        <v>4855</v>
      </c>
      <c r="F3615" t="s">
        <v>385</v>
      </c>
      <c r="G3615" t="s">
        <v>7412</v>
      </c>
      <c r="H3615" t="str">
        <f>"00472220"</f>
        <v>00472220</v>
      </c>
      <c r="I3615">
        <v>0</v>
      </c>
      <c r="J3615">
        <v>0</v>
      </c>
      <c r="M3615">
        <v>4</v>
      </c>
      <c r="N3615">
        <v>4</v>
      </c>
      <c r="O3615">
        <v>4</v>
      </c>
      <c r="P3615">
        <v>0</v>
      </c>
      <c r="Q3615">
        <v>8</v>
      </c>
      <c r="R3615">
        <v>12</v>
      </c>
      <c r="S3615">
        <v>12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12</v>
      </c>
      <c r="AA3615">
        <v>3</v>
      </c>
      <c r="AB3615">
        <v>0</v>
      </c>
      <c r="AD3615">
        <v>23</v>
      </c>
    </row>
    <row r="3616" spans="1:30" x14ac:dyDescent="0.3">
      <c r="A3616" s="4">
        <v>3638</v>
      </c>
      <c r="B3616" s="5">
        <v>3609</v>
      </c>
      <c r="C3616">
        <v>4832</v>
      </c>
      <c r="D3616" t="s">
        <v>5613</v>
      </c>
      <c r="E3616" t="s">
        <v>7413</v>
      </c>
      <c r="F3616" t="s">
        <v>136</v>
      </c>
      <c r="G3616" t="s">
        <v>7414</v>
      </c>
      <c r="H3616" t="str">
        <f>"00560662"</f>
        <v>00560662</v>
      </c>
      <c r="I3616">
        <v>22.8</v>
      </c>
      <c r="J3616">
        <v>0</v>
      </c>
      <c r="N3616">
        <v>0</v>
      </c>
      <c r="O3616">
        <v>0</v>
      </c>
      <c r="P3616">
        <v>0</v>
      </c>
      <c r="Q3616">
        <v>22.8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D3616">
        <v>22.8</v>
      </c>
    </row>
    <row r="3617" spans="1:30" x14ac:dyDescent="0.3">
      <c r="A3617" s="4">
        <v>3639</v>
      </c>
      <c r="B3617" s="5">
        <v>3610</v>
      </c>
      <c r="C3617">
        <v>4877</v>
      </c>
      <c r="D3617" t="s">
        <v>857</v>
      </c>
      <c r="E3617" t="s">
        <v>29</v>
      </c>
      <c r="F3617" t="s">
        <v>81</v>
      </c>
      <c r="G3617" t="s">
        <v>7415</v>
      </c>
      <c r="H3617" t="str">
        <f>"00865671"</f>
        <v>00865671</v>
      </c>
      <c r="I3617">
        <v>14.8</v>
      </c>
      <c r="J3617">
        <v>0</v>
      </c>
      <c r="M3617">
        <v>4</v>
      </c>
      <c r="N3617">
        <v>4</v>
      </c>
      <c r="O3617">
        <v>4</v>
      </c>
      <c r="P3617">
        <v>0</v>
      </c>
      <c r="Q3617">
        <v>22.8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D3617">
        <v>22.8</v>
      </c>
    </row>
    <row r="3618" spans="1:30" x14ac:dyDescent="0.3">
      <c r="A3618" s="4">
        <v>3640</v>
      </c>
      <c r="B3618" s="5">
        <v>3611</v>
      </c>
      <c r="C3618">
        <v>4653</v>
      </c>
      <c r="D3618" t="s">
        <v>7416</v>
      </c>
      <c r="E3618" t="s">
        <v>110</v>
      </c>
      <c r="F3618" t="s">
        <v>243</v>
      </c>
      <c r="G3618" t="s">
        <v>7417</v>
      </c>
      <c r="H3618" t="str">
        <f>"00766853"</f>
        <v>00766853</v>
      </c>
      <c r="I3618">
        <v>18.48</v>
      </c>
      <c r="J3618">
        <v>0</v>
      </c>
      <c r="N3618">
        <v>0</v>
      </c>
      <c r="O3618">
        <v>4</v>
      </c>
      <c r="P3618">
        <v>0</v>
      </c>
      <c r="Q3618">
        <v>22.48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D3618">
        <v>22.48</v>
      </c>
    </row>
    <row r="3619" spans="1:30" x14ac:dyDescent="0.3">
      <c r="A3619" s="4">
        <v>3641</v>
      </c>
      <c r="B3619" s="5">
        <v>3612</v>
      </c>
      <c r="C3619">
        <v>2509</v>
      </c>
      <c r="D3619" t="s">
        <v>1604</v>
      </c>
      <c r="E3619" t="s">
        <v>29</v>
      </c>
      <c r="F3619" t="s">
        <v>136</v>
      </c>
      <c r="G3619" t="s">
        <v>7418</v>
      </c>
      <c r="H3619" t="str">
        <f>"00865677"</f>
        <v>00865677</v>
      </c>
      <c r="I3619">
        <v>12.4</v>
      </c>
      <c r="J3619">
        <v>0</v>
      </c>
      <c r="N3619">
        <v>0</v>
      </c>
      <c r="O3619">
        <v>4</v>
      </c>
      <c r="P3619">
        <v>0</v>
      </c>
      <c r="Q3619">
        <v>16.399999999999999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6</v>
      </c>
      <c r="AB3619">
        <v>0</v>
      </c>
      <c r="AD3619">
        <v>22.4</v>
      </c>
    </row>
    <row r="3620" spans="1:30" x14ac:dyDescent="0.3">
      <c r="A3620" s="4">
        <v>3642</v>
      </c>
      <c r="B3620" s="5">
        <v>3613</v>
      </c>
      <c r="C3620">
        <v>4299</v>
      </c>
      <c r="D3620" t="s">
        <v>7419</v>
      </c>
      <c r="E3620" t="s">
        <v>789</v>
      </c>
      <c r="F3620" t="s">
        <v>343</v>
      </c>
      <c r="G3620" t="s">
        <v>7420</v>
      </c>
      <c r="H3620" t="str">
        <f>"00863249"</f>
        <v>00863249</v>
      </c>
      <c r="I3620">
        <v>22.4</v>
      </c>
      <c r="J3620">
        <v>0</v>
      </c>
      <c r="N3620">
        <v>0</v>
      </c>
      <c r="O3620">
        <v>0</v>
      </c>
      <c r="P3620">
        <v>0</v>
      </c>
      <c r="Q3620">
        <v>22.4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D3620">
        <v>22.4</v>
      </c>
    </row>
    <row r="3621" spans="1:30" x14ac:dyDescent="0.3">
      <c r="A3621" s="4">
        <v>3643</v>
      </c>
      <c r="B3621" s="5">
        <v>3614</v>
      </c>
      <c r="C3621">
        <v>478</v>
      </c>
      <c r="D3621" t="s">
        <v>7421</v>
      </c>
      <c r="E3621" t="s">
        <v>1815</v>
      </c>
      <c r="F3621" t="s">
        <v>892</v>
      </c>
      <c r="G3621" t="s">
        <v>7422</v>
      </c>
      <c r="H3621" t="str">
        <f>"00854905"</f>
        <v>00854905</v>
      </c>
      <c r="I3621">
        <v>22.4</v>
      </c>
      <c r="J3621">
        <v>0</v>
      </c>
      <c r="N3621">
        <v>0</v>
      </c>
      <c r="O3621">
        <v>0</v>
      </c>
      <c r="P3621">
        <v>0</v>
      </c>
      <c r="Q3621">
        <v>22.4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D3621">
        <v>22.4</v>
      </c>
    </row>
    <row r="3622" spans="1:30" x14ac:dyDescent="0.3">
      <c r="A3622" s="4">
        <v>3644</v>
      </c>
      <c r="B3622" s="5">
        <v>3615</v>
      </c>
      <c r="C3622">
        <v>410</v>
      </c>
      <c r="D3622" t="s">
        <v>7423</v>
      </c>
      <c r="E3622" t="s">
        <v>173</v>
      </c>
      <c r="F3622" t="s">
        <v>5060</v>
      </c>
      <c r="G3622" t="s">
        <v>7424</v>
      </c>
      <c r="H3622" t="str">
        <f>"00496909"</f>
        <v>00496909</v>
      </c>
      <c r="I3622">
        <v>18.399999999999999</v>
      </c>
      <c r="J3622">
        <v>0</v>
      </c>
      <c r="N3622">
        <v>0</v>
      </c>
      <c r="O3622">
        <v>4</v>
      </c>
      <c r="P3622">
        <v>0</v>
      </c>
      <c r="Q3622">
        <v>22.4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D3622">
        <v>22.4</v>
      </c>
    </row>
    <row r="3623" spans="1:30" x14ac:dyDescent="0.3">
      <c r="A3623" s="4">
        <v>3645</v>
      </c>
      <c r="B3623" s="5">
        <v>3616</v>
      </c>
      <c r="C3623">
        <v>1922</v>
      </c>
      <c r="D3623" t="s">
        <v>7425</v>
      </c>
      <c r="E3623" t="s">
        <v>1474</v>
      </c>
      <c r="F3623" t="s">
        <v>20</v>
      </c>
      <c r="G3623" t="s">
        <v>7426</v>
      </c>
      <c r="H3623" t="str">
        <f>"00817786"</f>
        <v>00817786</v>
      </c>
      <c r="I3623">
        <v>14.4</v>
      </c>
      <c r="J3623">
        <v>0</v>
      </c>
      <c r="M3623">
        <v>4</v>
      </c>
      <c r="N3623">
        <v>4</v>
      </c>
      <c r="O3623">
        <v>4</v>
      </c>
      <c r="P3623">
        <v>0</v>
      </c>
      <c r="Q3623">
        <v>22.4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D3623">
        <v>22.4</v>
      </c>
    </row>
    <row r="3624" spans="1:30" x14ac:dyDescent="0.3">
      <c r="A3624" s="4">
        <v>3646</v>
      </c>
      <c r="B3624" s="5">
        <v>3617</v>
      </c>
      <c r="C3624">
        <v>2946</v>
      </c>
      <c r="D3624" t="s">
        <v>7427</v>
      </c>
      <c r="E3624" t="s">
        <v>22</v>
      </c>
      <c r="F3624" t="s">
        <v>30</v>
      </c>
      <c r="G3624" t="s">
        <v>7428</v>
      </c>
      <c r="H3624" t="str">
        <f>"201406011241"</f>
        <v>201406011241</v>
      </c>
      <c r="I3624">
        <v>14.4</v>
      </c>
      <c r="J3624">
        <v>0</v>
      </c>
      <c r="M3624">
        <v>4</v>
      </c>
      <c r="N3624">
        <v>4</v>
      </c>
      <c r="O3624">
        <v>4</v>
      </c>
      <c r="P3624">
        <v>0</v>
      </c>
      <c r="Q3624">
        <v>22.4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D3624">
        <v>22.4</v>
      </c>
    </row>
    <row r="3625" spans="1:30" x14ac:dyDescent="0.3">
      <c r="A3625" s="4">
        <v>3647</v>
      </c>
      <c r="B3625" s="5">
        <v>3618</v>
      </c>
      <c r="C3625">
        <v>562</v>
      </c>
      <c r="D3625" t="s">
        <v>7429</v>
      </c>
      <c r="E3625" t="s">
        <v>161</v>
      </c>
      <c r="F3625" t="s">
        <v>328</v>
      </c>
      <c r="G3625" t="s">
        <v>7430</v>
      </c>
      <c r="H3625" t="str">
        <f>"00207497"</f>
        <v>00207497</v>
      </c>
      <c r="I3625">
        <v>14.4</v>
      </c>
      <c r="J3625">
        <v>0</v>
      </c>
      <c r="M3625">
        <v>4</v>
      </c>
      <c r="N3625">
        <v>4</v>
      </c>
      <c r="O3625">
        <v>4</v>
      </c>
      <c r="P3625">
        <v>0</v>
      </c>
      <c r="Q3625">
        <v>22.4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D3625">
        <v>22.4</v>
      </c>
    </row>
    <row r="3626" spans="1:30" x14ac:dyDescent="0.3">
      <c r="A3626" s="4">
        <v>3648</v>
      </c>
      <c r="B3626" s="5">
        <v>3619</v>
      </c>
      <c r="C3626">
        <v>2121</v>
      </c>
      <c r="D3626" t="s">
        <v>7431</v>
      </c>
      <c r="E3626" t="s">
        <v>147</v>
      </c>
      <c r="F3626" t="s">
        <v>30</v>
      </c>
      <c r="G3626" t="s">
        <v>7432</v>
      </c>
      <c r="H3626" t="str">
        <f>"00863027"</f>
        <v>00863027</v>
      </c>
      <c r="I3626">
        <v>14.4</v>
      </c>
      <c r="J3626">
        <v>0</v>
      </c>
      <c r="K3626">
        <v>8</v>
      </c>
      <c r="N3626">
        <v>8</v>
      </c>
      <c r="O3626">
        <v>0</v>
      </c>
      <c r="P3626">
        <v>0</v>
      </c>
      <c r="Q3626">
        <v>22.4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D3626">
        <v>22.4</v>
      </c>
    </row>
    <row r="3627" spans="1:30" x14ac:dyDescent="0.3">
      <c r="A3627" s="4">
        <v>3649</v>
      </c>
      <c r="B3627" s="5">
        <v>3620</v>
      </c>
      <c r="C3627">
        <v>4961</v>
      </c>
      <c r="D3627" t="s">
        <v>7433</v>
      </c>
      <c r="E3627" t="s">
        <v>178</v>
      </c>
      <c r="F3627" t="s">
        <v>136</v>
      </c>
      <c r="G3627" t="s">
        <v>7434</v>
      </c>
      <c r="H3627" t="str">
        <f>"00531433"</f>
        <v>00531433</v>
      </c>
      <c r="I3627">
        <v>14.4</v>
      </c>
      <c r="J3627">
        <v>0</v>
      </c>
      <c r="M3627">
        <v>4</v>
      </c>
      <c r="N3627">
        <v>4</v>
      </c>
      <c r="O3627">
        <v>4</v>
      </c>
      <c r="P3627">
        <v>0</v>
      </c>
      <c r="Q3627">
        <v>22.4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D3627">
        <v>22.4</v>
      </c>
    </row>
    <row r="3628" spans="1:30" x14ac:dyDescent="0.3">
      <c r="A3628" s="4">
        <v>3650</v>
      </c>
      <c r="B3628" s="5">
        <v>3621</v>
      </c>
      <c r="C3628">
        <v>2431</v>
      </c>
      <c r="D3628" t="s">
        <v>7435</v>
      </c>
      <c r="E3628" t="s">
        <v>7436</v>
      </c>
      <c r="F3628" t="s">
        <v>972</v>
      </c>
      <c r="G3628" t="s">
        <v>7437</v>
      </c>
      <c r="H3628" t="str">
        <f>"00597046"</f>
        <v>00597046</v>
      </c>
      <c r="I3628">
        <v>14.4</v>
      </c>
      <c r="J3628">
        <v>0</v>
      </c>
      <c r="M3628">
        <v>4</v>
      </c>
      <c r="N3628">
        <v>4</v>
      </c>
      <c r="O3628">
        <v>4</v>
      </c>
      <c r="P3628">
        <v>0</v>
      </c>
      <c r="Q3628">
        <v>22.4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D3628">
        <v>22.4</v>
      </c>
    </row>
    <row r="3629" spans="1:30" x14ac:dyDescent="0.3">
      <c r="A3629" s="4">
        <v>3651</v>
      </c>
      <c r="B3629" s="5">
        <v>3622</v>
      </c>
      <c r="C3629">
        <v>4348</v>
      </c>
      <c r="D3629" t="s">
        <v>7438</v>
      </c>
      <c r="E3629" t="s">
        <v>17</v>
      </c>
      <c r="F3629" t="s">
        <v>68</v>
      </c>
      <c r="G3629" t="s">
        <v>7439</v>
      </c>
      <c r="H3629" t="str">
        <f>"00503151"</f>
        <v>00503151</v>
      </c>
      <c r="I3629">
        <v>14.4</v>
      </c>
      <c r="J3629">
        <v>0</v>
      </c>
      <c r="K3629">
        <v>8</v>
      </c>
      <c r="N3629">
        <v>8</v>
      </c>
      <c r="O3629">
        <v>0</v>
      </c>
      <c r="P3629">
        <v>0</v>
      </c>
      <c r="Q3629">
        <v>22.4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D3629">
        <v>22.4</v>
      </c>
    </row>
    <row r="3630" spans="1:30" x14ac:dyDescent="0.3">
      <c r="A3630" s="4">
        <v>3652</v>
      </c>
      <c r="B3630" s="5">
        <v>3623</v>
      </c>
      <c r="C3630">
        <v>1390</v>
      </c>
      <c r="D3630" t="s">
        <v>7440</v>
      </c>
      <c r="E3630" t="s">
        <v>178</v>
      </c>
      <c r="F3630" t="s">
        <v>30</v>
      </c>
      <c r="G3630" t="s">
        <v>7441</v>
      </c>
      <c r="H3630" t="str">
        <f>"00522964"</f>
        <v>00522964</v>
      </c>
      <c r="I3630">
        <v>14.4</v>
      </c>
      <c r="J3630">
        <v>0</v>
      </c>
      <c r="M3630">
        <v>4</v>
      </c>
      <c r="N3630">
        <v>4</v>
      </c>
      <c r="O3630">
        <v>4</v>
      </c>
      <c r="P3630">
        <v>0</v>
      </c>
      <c r="Q3630">
        <v>22.4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D3630">
        <v>22.4</v>
      </c>
    </row>
    <row r="3631" spans="1:30" x14ac:dyDescent="0.3">
      <c r="A3631" s="4">
        <v>3653</v>
      </c>
      <c r="B3631" s="5">
        <v>3624</v>
      </c>
      <c r="C3631">
        <v>3725</v>
      </c>
      <c r="D3631" t="s">
        <v>7442</v>
      </c>
      <c r="E3631" t="s">
        <v>692</v>
      </c>
      <c r="F3631" t="s">
        <v>310</v>
      </c>
      <c r="G3631" t="s">
        <v>7443</v>
      </c>
      <c r="H3631" t="str">
        <f>"00863950"</f>
        <v>00863950</v>
      </c>
      <c r="I3631">
        <v>14.4</v>
      </c>
      <c r="J3631">
        <v>0</v>
      </c>
      <c r="M3631">
        <v>4</v>
      </c>
      <c r="N3631">
        <v>4</v>
      </c>
      <c r="O3631">
        <v>4</v>
      </c>
      <c r="P3631">
        <v>0</v>
      </c>
      <c r="Q3631">
        <v>22.4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D3631">
        <v>22.4</v>
      </c>
    </row>
    <row r="3632" spans="1:30" x14ac:dyDescent="0.3">
      <c r="A3632" s="4">
        <v>3654</v>
      </c>
      <c r="B3632" s="5">
        <v>3625</v>
      </c>
      <c r="C3632">
        <v>4583</v>
      </c>
      <c r="D3632" t="s">
        <v>7444</v>
      </c>
      <c r="E3632" t="s">
        <v>54</v>
      </c>
      <c r="F3632" t="s">
        <v>30</v>
      </c>
      <c r="G3632" t="s">
        <v>7445</v>
      </c>
      <c r="H3632" t="str">
        <f>"00864472"</f>
        <v>00864472</v>
      </c>
      <c r="I3632">
        <v>16.28</v>
      </c>
      <c r="J3632">
        <v>0</v>
      </c>
      <c r="N3632">
        <v>0</v>
      </c>
      <c r="O3632">
        <v>0</v>
      </c>
      <c r="P3632">
        <v>0</v>
      </c>
      <c r="Q3632">
        <v>16.28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6</v>
      </c>
      <c r="AB3632">
        <v>0</v>
      </c>
      <c r="AD3632">
        <v>22.28</v>
      </c>
    </row>
    <row r="3633" spans="1:30" x14ac:dyDescent="0.3">
      <c r="A3633" s="4">
        <v>3655</v>
      </c>
      <c r="B3633" s="5">
        <v>3626</v>
      </c>
      <c r="C3633">
        <v>4722</v>
      </c>
      <c r="D3633" t="s">
        <v>7446</v>
      </c>
      <c r="E3633" t="s">
        <v>268</v>
      </c>
      <c r="F3633" t="s">
        <v>782</v>
      </c>
      <c r="G3633" t="s">
        <v>7447</v>
      </c>
      <c r="H3633" t="str">
        <f>"201402008755"</f>
        <v>201402008755</v>
      </c>
      <c r="I3633">
        <v>22.28</v>
      </c>
      <c r="J3633">
        <v>0</v>
      </c>
      <c r="N3633">
        <v>0</v>
      </c>
      <c r="O3633">
        <v>0</v>
      </c>
      <c r="P3633">
        <v>0</v>
      </c>
      <c r="Q3633">
        <v>22.28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D3633">
        <v>22.28</v>
      </c>
    </row>
    <row r="3634" spans="1:30" x14ac:dyDescent="0.3">
      <c r="A3634" s="4">
        <v>3656</v>
      </c>
      <c r="B3634" s="5">
        <v>3627</v>
      </c>
      <c r="C3634">
        <v>2737</v>
      </c>
      <c r="D3634" t="s">
        <v>7448</v>
      </c>
      <c r="E3634" t="s">
        <v>29</v>
      </c>
      <c r="F3634" t="s">
        <v>328</v>
      </c>
      <c r="G3634" t="s">
        <v>7449</v>
      </c>
      <c r="H3634" t="str">
        <f>"00473469"</f>
        <v>00473469</v>
      </c>
      <c r="I3634">
        <v>7.2</v>
      </c>
      <c r="J3634">
        <v>0</v>
      </c>
      <c r="N3634">
        <v>0</v>
      </c>
      <c r="O3634">
        <v>0</v>
      </c>
      <c r="P3634">
        <v>2</v>
      </c>
      <c r="Q3634">
        <v>9.1999999999999993</v>
      </c>
      <c r="R3634">
        <v>7</v>
      </c>
      <c r="S3634">
        <v>7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7</v>
      </c>
      <c r="AA3634">
        <v>6</v>
      </c>
      <c r="AB3634">
        <v>0</v>
      </c>
      <c r="AD3634">
        <v>22.2</v>
      </c>
    </row>
    <row r="3635" spans="1:30" x14ac:dyDescent="0.3">
      <c r="A3635" s="4">
        <v>3657</v>
      </c>
      <c r="B3635" s="5">
        <v>3628</v>
      </c>
      <c r="C3635">
        <v>4437</v>
      </c>
      <c r="D3635" t="s">
        <v>7450</v>
      </c>
      <c r="E3635" t="s">
        <v>29</v>
      </c>
      <c r="F3635" t="s">
        <v>68</v>
      </c>
      <c r="G3635" t="s">
        <v>7451</v>
      </c>
      <c r="H3635" t="str">
        <f>"00752426"</f>
        <v>00752426</v>
      </c>
      <c r="I3635">
        <v>15.2</v>
      </c>
      <c r="J3635">
        <v>0</v>
      </c>
      <c r="N3635">
        <v>0</v>
      </c>
      <c r="O3635">
        <v>4</v>
      </c>
      <c r="P3635">
        <v>0</v>
      </c>
      <c r="Q3635">
        <v>19.2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3</v>
      </c>
      <c r="AB3635">
        <v>0</v>
      </c>
      <c r="AD3635">
        <v>22.2</v>
      </c>
    </row>
    <row r="3636" spans="1:30" x14ac:dyDescent="0.3">
      <c r="A3636" s="4">
        <v>3658</v>
      </c>
      <c r="B3636" s="5">
        <v>3629</v>
      </c>
      <c r="C3636">
        <v>3893</v>
      </c>
      <c r="D3636" t="s">
        <v>7452</v>
      </c>
      <c r="E3636" t="s">
        <v>825</v>
      </c>
      <c r="F3636" t="s">
        <v>343</v>
      </c>
      <c r="G3636" t="s">
        <v>7453</v>
      </c>
      <c r="H3636" t="str">
        <f>"00135209"</f>
        <v>00135209</v>
      </c>
      <c r="I3636">
        <v>7.2</v>
      </c>
      <c r="J3636">
        <v>0</v>
      </c>
      <c r="M3636">
        <v>4</v>
      </c>
      <c r="N3636">
        <v>4</v>
      </c>
      <c r="O3636">
        <v>4</v>
      </c>
      <c r="P3636">
        <v>2</v>
      </c>
      <c r="Q3636">
        <v>17.2</v>
      </c>
      <c r="R3636">
        <v>5</v>
      </c>
      <c r="S3636">
        <v>5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5</v>
      </c>
      <c r="AA3636">
        <v>0</v>
      </c>
      <c r="AB3636">
        <v>0</v>
      </c>
      <c r="AD3636">
        <v>22.2</v>
      </c>
    </row>
    <row r="3637" spans="1:30" x14ac:dyDescent="0.3">
      <c r="A3637" s="4">
        <v>3659</v>
      </c>
      <c r="B3637" s="5">
        <v>3630</v>
      </c>
      <c r="C3637">
        <v>2544</v>
      </c>
      <c r="D3637" t="s">
        <v>7454</v>
      </c>
      <c r="E3637" t="s">
        <v>29</v>
      </c>
      <c r="F3637" t="s">
        <v>310</v>
      </c>
      <c r="G3637" t="s">
        <v>7455</v>
      </c>
      <c r="H3637" t="str">
        <f>"00329363"</f>
        <v>00329363</v>
      </c>
      <c r="I3637">
        <v>7.2</v>
      </c>
      <c r="J3637">
        <v>0</v>
      </c>
      <c r="M3637">
        <v>4</v>
      </c>
      <c r="N3637">
        <v>4</v>
      </c>
      <c r="O3637">
        <v>4</v>
      </c>
      <c r="P3637">
        <v>0</v>
      </c>
      <c r="Q3637">
        <v>15.2</v>
      </c>
      <c r="R3637">
        <v>7</v>
      </c>
      <c r="S3637">
        <v>7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7</v>
      </c>
      <c r="AA3637">
        <v>0</v>
      </c>
      <c r="AB3637">
        <v>0</v>
      </c>
      <c r="AD3637">
        <v>22.2</v>
      </c>
    </row>
    <row r="3638" spans="1:30" x14ac:dyDescent="0.3">
      <c r="A3638" s="4">
        <v>3660</v>
      </c>
      <c r="B3638" s="5">
        <v>3631</v>
      </c>
      <c r="C3638">
        <v>36</v>
      </c>
      <c r="D3638" t="s">
        <v>1960</v>
      </c>
      <c r="E3638" t="s">
        <v>7456</v>
      </c>
      <c r="F3638" t="s">
        <v>81</v>
      </c>
      <c r="G3638" t="s">
        <v>7457</v>
      </c>
      <c r="H3638" t="str">
        <f>"00526205"</f>
        <v>00526205</v>
      </c>
      <c r="I3638">
        <v>7.2</v>
      </c>
      <c r="J3638">
        <v>0</v>
      </c>
      <c r="M3638">
        <v>4</v>
      </c>
      <c r="N3638">
        <v>4</v>
      </c>
      <c r="O3638">
        <v>0</v>
      </c>
      <c r="P3638">
        <v>0</v>
      </c>
      <c r="Q3638">
        <v>11.2</v>
      </c>
      <c r="R3638">
        <v>11</v>
      </c>
      <c r="S3638">
        <v>11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11</v>
      </c>
      <c r="AA3638">
        <v>0</v>
      </c>
      <c r="AB3638">
        <v>0</v>
      </c>
      <c r="AD3638">
        <v>22.2</v>
      </c>
    </row>
    <row r="3639" spans="1:30" x14ac:dyDescent="0.3">
      <c r="A3639" s="4">
        <v>3661</v>
      </c>
      <c r="B3639" s="5">
        <v>3632</v>
      </c>
      <c r="C3639">
        <v>1731</v>
      </c>
      <c r="D3639" t="s">
        <v>7458</v>
      </c>
      <c r="E3639" t="s">
        <v>2573</v>
      </c>
      <c r="F3639" t="s">
        <v>38</v>
      </c>
      <c r="G3639" t="s">
        <v>7459</v>
      </c>
      <c r="H3639" t="str">
        <f>"00515177"</f>
        <v>00515177</v>
      </c>
      <c r="I3639">
        <v>0</v>
      </c>
      <c r="J3639">
        <v>10</v>
      </c>
      <c r="N3639">
        <v>0</v>
      </c>
      <c r="O3639">
        <v>4</v>
      </c>
      <c r="P3639">
        <v>2</v>
      </c>
      <c r="Q3639">
        <v>16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6</v>
      </c>
      <c r="AB3639">
        <v>0</v>
      </c>
      <c r="AD3639">
        <v>22</v>
      </c>
    </row>
    <row r="3640" spans="1:30" x14ac:dyDescent="0.3">
      <c r="A3640" s="4">
        <v>3662</v>
      </c>
      <c r="B3640" s="5">
        <v>3633</v>
      </c>
      <c r="C3640">
        <v>3215</v>
      </c>
      <c r="D3640" t="s">
        <v>7460</v>
      </c>
      <c r="E3640" t="s">
        <v>7461</v>
      </c>
      <c r="F3640" t="s">
        <v>81</v>
      </c>
      <c r="G3640" t="s">
        <v>7462</v>
      </c>
      <c r="H3640" t="str">
        <f>"00531230"</f>
        <v>00531230</v>
      </c>
      <c r="I3640">
        <v>14</v>
      </c>
      <c r="J3640">
        <v>0</v>
      </c>
      <c r="M3640">
        <v>4</v>
      </c>
      <c r="N3640">
        <v>4</v>
      </c>
      <c r="O3640">
        <v>4</v>
      </c>
      <c r="P3640">
        <v>0</v>
      </c>
      <c r="Q3640">
        <v>22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D3640">
        <v>22</v>
      </c>
    </row>
    <row r="3641" spans="1:30" x14ac:dyDescent="0.3">
      <c r="A3641" s="4">
        <v>3663</v>
      </c>
      <c r="B3641" s="5">
        <v>3634</v>
      </c>
      <c r="C3641">
        <v>2288</v>
      </c>
      <c r="D3641" t="s">
        <v>7463</v>
      </c>
      <c r="E3641" t="s">
        <v>816</v>
      </c>
      <c r="F3641" t="s">
        <v>1023</v>
      </c>
      <c r="G3641" t="s">
        <v>7464</v>
      </c>
      <c r="H3641" t="str">
        <f>"00539856"</f>
        <v>00539856</v>
      </c>
      <c r="I3641">
        <v>12</v>
      </c>
      <c r="J3641">
        <v>10</v>
      </c>
      <c r="N3641">
        <v>0</v>
      </c>
      <c r="O3641">
        <v>0</v>
      </c>
      <c r="P3641">
        <v>0</v>
      </c>
      <c r="Q3641">
        <v>22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D3641">
        <v>22</v>
      </c>
    </row>
    <row r="3642" spans="1:30" x14ac:dyDescent="0.3">
      <c r="A3642" s="4">
        <v>3664</v>
      </c>
      <c r="B3642" s="5">
        <v>3635</v>
      </c>
      <c r="C3642">
        <v>1110</v>
      </c>
      <c r="D3642" t="s">
        <v>7465</v>
      </c>
      <c r="E3642" t="s">
        <v>7466</v>
      </c>
      <c r="F3642" t="s">
        <v>442</v>
      </c>
      <c r="G3642" t="s">
        <v>7467</v>
      </c>
      <c r="H3642" t="str">
        <f>"201402003609"</f>
        <v>201402003609</v>
      </c>
      <c r="I3642">
        <v>0</v>
      </c>
      <c r="J3642">
        <v>0</v>
      </c>
      <c r="K3642">
        <v>8</v>
      </c>
      <c r="N3642">
        <v>8</v>
      </c>
      <c r="O3642">
        <v>4</v>
      </c>
      <c r="P3642">
        <v>2</v>
      </c>
      <c r="Q3642">
        <v>14</v>
      </c>
      <c r="R3642">
        <v>8</v>
      </c>
      <c r="S3642">
        <v>8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8</v>
      </c>
      <c r="AA3642">
        <v>0</v>
      </c>
      <c r="AB3642">
        <v>0</v>
      </c>
      <c r="AD3642">
        <v>22</v>
      </c>
    </row>
    <row r="3643" spans="1:30" x14ac:dyDescent="0.3">
      <c r="A3643" s="4">
        <v>3665</v>
      </c>
      <c r="B3643" s="5">
        <v>3636</v>
      </c>
      <c r="C3643">
        <v>158</v>
      </c>
      <c r="D3643" t="s">
        <v>212</v>
      </c>
      <c r="E3643" t="s">
        <v>213</v>
      </c>
      <c r="F3643" t="s">
        <v>81</v>
      </c>
      <c r="G3643" t="s">
        <v>7468</v>
      </c>
      <c r="H3643" t="str">
        <f>"00856237"</f>
        <v>00856237</v>
      </c>
      <c r="I3643">
        <v>18.68</v>
      </c>
      <c r="J3643">
        <v>0</v>
      </c>
      <c r="N3643">
        <v>0</v>
      </c>
      <c r="O3643">
        <v>0</v>
      </c>
      <c r="P3643">
        <v>0</v>
      </c>
      <c r="Q3643">
        <v>18.68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3</v>
      </c>
      <c r="AB3643">
        <v>0</v>
      </c>
      <c r="AD3643">
        <v>21.68</v>
      </c>
    </row>
    <row r="3644" spans="1:30" x14ac:dyDescent="0.3">
      <c r="A3644" s="4">
        <v>3666</v>
      </c>
      <c r="B3644" s="5">
        <v>3637</v>
      </c>
      <c r="C3644">
        <v>4603</v>
      </c>
      <c r="D3644" t="s">
        <v>7469</v>
      </c>
      <c r="E3644" t="s">
        <v>139</v>
      </c>
      <c r="F3644" t="s">
        <v>68</v>
      </c>
      <c r="G3644" t="s">
        <v>7470</v>
      </c>
      <c r="H3644" t="str">
        <f>"00703931"</f>
        <v>00703931</v>
      </c>
      <c r="I3644">
        <v>11.64</v>
      </c>
      <c r="J3644">
        <v>0</v>
      </c>
      <c r="N3644">
        <v>0</v>
      </c>
      <c r="O3644">
        <v>4</v>
      </c>
      <c r="P3644">
        <v>0</v>
      </c>
      <c r="Q3644">
        <v>15.64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6</v>
      </c>
      <c r="AB3644">
        <v>0</v>
      </c>
      <c r="AD3644">
        <v>21.64</v>
      </c>
    </row>
    <row r="3645" spans="1:30" x14ac:dyDescent="0.3">
      <c r="A3645" s="4">
        <v>3667</v>
      </c>
      <c r="B3645" s="5">
        <v>3638</v>
      </c>
      <c r="C3645">
        <v>2240</v>
      </c>
      <c r="D3645" t="s">
        <v>7471</v>
      </c>
      <c r="E3645" t="s">
        <v>54</v>
      </c>
      <c r="F3645" t="s">
        <v>68</v>
      </c>
      <c r="G3645" t="s">
        <v>7472</v>
      </c>
      <c r="H3645" t="str">
        <f>"00864667"</f>
        <v>00864667</v>
      </c>
      <c r="I3645">
        <v>21.6</v>
      </c>
      <c r="J3645">
        <v>0</v>
      </c>
      <c r="N3645">
        <v>0</v>
      </c>
      <c r="O3645">
        <v>0</v>
      </c>
      <c r="P3645">
        <v>0</v>
      </c>
      <c r="Q3645">
        <v>21.6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D3645">
        <v>21.6</v>
      </c>
    </row>
    <row r="3646" spans="1:30" x14ac:dyDescent="0.3">
      <c r="A3646" s="4">
        <v>3668</v>
      </c>
      <c r="B3646" s="5">
        <v>3639</v>
      </c>
      <c r="C3646">
        <v>2487</v>
      </c>
      <c r="D3646" t="s">
        <v>7473</v>
      </c>
      <c r="E3646" t="s">
        <v>110</v>
      </c>
      <c r="F3646" t="s">
        <v>81</v>
      </c>
      <c r="G3646" t="s">
        <v>7474</v>
      </c>
      <c r="H3646" t="str">
        <f>"00263024"</f>
        <v>00263024</v>
      </c>
      <c r="I3646">
        <v>21.6</v>
      </c>
      <c r="J3646">
        <v>0</v>
      </c>
      <c r="N3646">
        <v>0</v>
      </c>
      <c r="O3646">
        <v>0</v>
      </c>
      <c r="P3646">
        <v>0</v>
      </c>
      <c r="Q3646">
        <v>21.6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D3646">
        <v>21.6</v>
      </c>
    </row>
    <row r="3647" spans="1:30" x14ac:dyDescent="0.3">
      <c r="A3647" s="4">
        <v>3669</v>
      </c>
      <c r="B3647" s="5">
        <v>3640</v>
      </c>
      <c r="C3647">
        <v>1799</v>
      </c>
      <c r="D3647" t="s">
        <v>7475</v>
      </c>
      <c r="E3647" t="s">
        <v>166</v>
      </c>
      <c r="F3647" t="s">
        <v>81</v>
      </c>
      <c r="G3647" t="s">
        <v>7476</v>
      </c>
      <c r="H3647" t="str">
        <f>"00857353"</f>
        <v>00857353</v>
      </c>
      <c r="I3647">
        <v>21.6</v>
      </c>
      <c r="J3647">
        <v>0</v>
      </c>
      <c r="N3647">
        <v>0</v>
      </c>
      <c r="O3647">
        <v>0</v>
      </c>
      <c r="P3647">
        <v>0</v>
      </c>
      <c r="Q3647">
        <v>21.6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D3647">
        <v>21.6</v>
      </c>
    </row>
    <row r="3648" spans="1:30" x14ac:dyDescent="0.3">
      <c r="A3648" s="4">
        <v>3670</v>
      </c>
      <c r="B3648" s="5">
        <v>3641</v>
      </c>
      <c r="C3648">
        <v>3960</v>
      </c>
      <c r="D3648" t="s">
        <v>3350</v>
      </c>
      <c r="E3648" t="s">
        <v>29</v>
      </c>
      <c r="F3648" t="s">
        <v>136</v>
      </c>
      <c r="G3648" t="s">
        <v>7477</v>
      </c>
      <c r="H3648" t="str">
        <f>"00529634"</f>
        <v>00529634</v>
      </c>
      <c r="I3648">
        <v>21.6</v>
      </c>
      <c r="J3648">
        <v>0</v>
      </c>
      <c r="N3648">
        <v>0</v>
      </c>
      <c r="O3648">
        <v>0</v>
      </c>
      <c r="P3648">
        <v>0</v>
      </c>
      <c r="Q3648">
        <v>21.6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D3648">
        <v>21.6</v>
      </c>
    </row>
    <row r="3649" spans="1:30" x14ac:dyDescent="0.3">
      <c r="A3649" s="4">
        <v>3671</v>
      </c>
      <c r="B3649" s="5">
        <v>3642</v>
      </c>
      <c r="C3649">
        <v>4069</v>
      </c>
      <c r="D3649" t="s">
        <v>7478</v>
      </c>
      <c r="E3649" t="s">
        <v>100</v>
      </c>
      <c r="F3649" t="s">
        <v>243</v>
      </c>
      <c r="G3649" t="s">
        <v>7479</v>
      </c>
      <c r="H3649" t="str">
        <f>"00524342"</f>
        <v>00524342</v>
      </c>
      <c r="I3649">
        <v>21.6</v>
      </c>
      <c r="J3649">
        <v>0</v>
      </c>
      <c r="N3649">
        <v>0</v>
      </c>
      <c r="O3649">
        <v>0</v>
      </c>
      <c r="P3649">
        <v>0</v>
      </c>
      <c r="Q3649">
        <v>21.6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D3649">
        <v>21.6</v>
      </c>
    </row>
    <row r="3650" spans="1:30" x14ac:dyDescent="0.3">
      <c r="A3650" s="4">
        <v>3672</v>
      </c>
      <c r="B3650" s="5">
        <v>3643</v>
      </c>
      <c r="C3650">
        <v>3775</v>
      </c>
      <c r="D3650" t="s">
        <v>7480</v>
      </c>
      <c r="E3650" t="s">
        <v>110</v>
      </c>
      <c r="F3650" t="s">
        <v>5300</v>
      </c>
      <c r="G3650" t="s">
        <v>7481</v>
      </c>
      <c r="H3650" t="str">
        <f>"00865089"</f>
        <v>00865089</v>
      </c>
      <c r="I3650">
        <v>21.6</v>
      </c>
      <c r="J3650">
        <v>0</v>
      </c>
      <c r="N3650">
        <v>0</v>
      </c>
      <c r="O3650">
        <v>0</v>
      </c>
      <c r="P3650">
        <v>0</v>
      </c>
      <c r="Q3650">
        <v>21.6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D3650">
        <v>21.6</v>
      </c>
    </row>
    <row r="3651" spans="1:30" x14ac:dyDescent="0.3">
      <c r="A3651" s="4">
        <v>3673</v>
      </c>
      <c r="B3651" s="5">
        <v>3644</v>
      </c>
      <c r="C3651">
        <v>4375</v>
      </c>
      <c r="D3651" t="s">
        <v>7482</v>
      </c>
      <c r="E3651" t="s">
        <v>88</v>
      </c>
      <c r="F3651" t="s">
        <v>136</v>
      </c>
      <c r="G3651" t="s">
        <v>7483</v>
      </c>
      <c r="H3651" t="str">
        <f>"00555526"</f>
        <v>00555526</v>
      </c>
      <c r="I3651">
        <v>21.6</v>
      </c>
      <c r="J3651">
        <v>0</v>
      </c>
      <c r="N3651">
        <v>0</v>
      </c>
      <c r="O3651">
        <v>0</v>
      </c>
      <c r="P3651">
        <v>0</v>
      </c>
      <c r="Q3651">
        <v>21.6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D3651">
        <v>21.6</v>
      </c>
    </row>
    <row r="3652" spans="1:30" x14ac:dyDescent="0.3">
      <c r="A3652" s="4">
        <v>3674</v>
      </c>
      <c r="B3652" s="5">
        <v>3645</v>
      </c>
      <c r="C3652">
        <v>4657</v>
      </c>
      <c r="D3652" t="s">
        <v>7484</v>
      </c>
      <c r="E3652" t="s">
        <v>7485</v>
      </c>
      <c r="F3652" t="s">
        <v>7486</v>
      </c>
      <c r="G3652" t="s">
        <v>7487</v>
      </c>
      <c r="H3652" t="str">
        <f>"00866610"</f>
        <v>00866610</v>
      </c>
      <c r="I3652">
        <v>21.6</v>
      </c>
      <c r="J3652">
        <v>0</v>
      </c>
      <c r="N3652">
        <v>0</v>
      </c>
      <c r="O3652">
        <v>0</v>
      </c>
      <c r="P3652">
        <v>0</v>
      </c>
      <c r="Q3652">
        <v>21.6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D3652">
        <v>21.6</v>
      </c>
    </row>
    <row r="3653" spans="1:30" x14ac:dyDescent="0.3">
      <c r="A3653" s="4">
        <v>3675</v>
      </c>
      <c r="B3653" s="5">
        <v>3646</v>
      </c>
      <c r="C3653">
        <v>391</v>
      </c>
      <c r="D3653" t="s">
        <v>7488</v>
      </c>
      <c r="E3653" t="s">
        <v>6144</v>
      </c>
      <c r="F3653" t="s">
        <v>17</v>
      </c>
      <c r="G3653" t="s">
        <v>7489</v>
      </c>
      <c r="H3653" t="str">
        <f>"00856793"</f>
        <v>00856793</v>
      </c>
      <c r="I3653">
        <v>21.6</v>
      </c>
      <c r="J3653">
        <v>0</v>
      </c>
      <c r="N3653">
        <v>0</v>
      </c>
      <c r="O3653">
        <v>0</v>
      </c>
      <c r="P3653">
        <v>0</v>
      </c>
      <c r="Q3653">
        <v>21.6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D3653">
        <v>21.6</v>
      </c>
    </row>
    <row r="3654" spans="1:30" x14ac:dyDescent="0.3">
      <c r="A3654" s="4">
        <v>3676</v>
      </c>
      <c r="B3654" s="5">
        <v>3647</v>
      </c>
      <c r="C3654">
        <v>902</v>
      </c>
      <c r="D3654" t="s">
        <v>7490</v>
      </c>
      <c r="E3654" t="s">
        <v>54</v>
      </c>
      <c r="F3654" t="s">
        <v>801</v>
      </c>
      <c r="G3654" t="s">
        <v>7491</v>
      </c>
      <c r="H3654" t="str">
        <f>"201604002929"</f>
        <v>201604002929</v>
      </c>
      <c r="I3654">
        <v>15.6</v>
      </c>
      <c r="J3654">
        <v>0</v>
      </c>
      <c r="N3654">
        <v>0</v>
      </c>
      <c r="O3654">
        <v>4</v>
      </c>
      <c r="P3654">
        <v>2</v>
      </c>
      <c r="Q3654">
        <v>21.6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D3654">
        <v>21.6</v>
      </c>
    </row>
    <row r="3655" spans="1:30" x14ac:dyDescent="0.3">
      <c r="A3655" s="4">
        <v>3677</v>
      </c>
      <c r="B3655" s="5">
        <v>3648</v>
      </c>
      <c r="C3655">
        <v>2666</v>
      </c>
      <c r="D3655" t="s">
        <v>1985</v>
      </c>
      <c r="E3655" t="s">
        <v>54</v>
      </c>
      <c r="F3655" t="s">
        <v>1450</v>
      </c>
      <c r="G3655" t="s">
        <v>7492</v>
      </c>
      <c r="H3655" t="str">
        <f>"00752434"</f>
        <v>00752434</v>
      </c>
      <c r="I3655">
        <v>14.4</v>
      </c>
      <c r="J3655">
        <v>0</v>
      </c>
      <c r="N3655">
        <v>0</v>
      </c>
      <c r="O3655">
        <v>4</v>
      </c>
      <c r="P3655">
        <v>0</v>
      </c>
      <c r="Q3655">
        <v>18.399999999999999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3</v>
      </c>
      <c r="AB3655">
        <v>0</v>
      </c>
      <c r="AD3655">
        <v>21.4</v>
      </c>
    </row>
    <row r="3656" spans="1:30" x14ac:dyDescent="0.3">
      <c r="A3656" s="4">
        <v>3678</v>
      </c>
      <c r="B3656" s="5">
        <v>3649</v>
      </c>
      <c r="C3656">
        <v>4018</v>
      </c>
      <c r="D3656" t="s">
        <v>7493</v>
      </c>
      <c r="E3656" t="s">
        <v>166</v>
      </c>
      <c r="F3656" t="s">
        <v>34</v>
      </c>
      <c r="G3656" t="s">
        <v>7494</v>
      </c>
      <c r="H3656" t="str">
        <f>"00447936"</f>
        <v>00447936</v>
      </c>
      <c r="I3656">
        <v>14.4</v>
      </c>
      <c r="J3656">
        <v>0</v>
      </c>
      <c r="N3656">
        <v>0</v>
      </c>
      <c r="O3656">
        <v>4</v>
      </c>
      <c r="P3656">
        <v>0</v>
      </c>
      <c r="Q3656">
        <v>18.399999999999999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3</v>
      </c>
      <c r="AB3656">
        <v>0</v>
      </c>
      <c r="AD3656">
        <v>21.4</v>
      </c>
    </row>
    <row r="3657" spans="1:30" x14ac:dyDescent="0.3">
      <c r="A3657" s="4">
        <v>3679</v>
      </c>
      <c r="B3657" s="5">
        <v>3650</v>
      </c>
      <c r="C3657">
        <v>4</v>
      </c>
      <c r="D3657" t="s">
        <v>7495</v>
      </c>
      <c r="E3657" t="s">
        <v>29</v>
      </c>
      <c r="F3657" t="s">
        <v>91</v>
      </c>
      <c r="G3657" t="s">
        <v>7496</v>
      </c>
      <c r="H3657" t="str">
        <f>"00278427"</f>
        <v>00278427</v>
      </c>
      <c r="I3657">
        <v>14.4</v>
      </c>
      <c r="J3657">
        <v>0</v>
      </c>
      <c r="N3657">
        <v>0</v>
      </c>
      <c r="O3657">
        <v>4</v>
      </c>
      <c r="P3657">
        <v>0</v>
      </c>
      <c r="Q3657">
        <v>18.399999999999999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3</v>
      </c>
      <c r="AB3657">
        <v>0</v>
      </c>
      <c r="AD3657">
        <v>21.4</v>
      </c>
    </row>
    <row r="3658" spans="1:30" x14ac:dyDescent="0.3">
      <c r="A3658" s="4">
        <v>3680</v>
      </c>
      <c r="B3658" s="5">
        <v>3651</v>
      </c>
      <c r="C3658">
        <v>3465</v>
      </c>
      <c r="D3658" t="s">
        <v>7497</v>
      </c>
      <c r="E3658" t="s">
        <v>29</v>
      </c>
      <c r="F3658" t="s">
        <v>457</v>
      </c>
      <c r="G3658" t="s">
        <v>7498</v>
      </c>
      <c r="H3658" t="str">
        <f>"00531720"</f>
        <v>00531720</v>
      </c>
      <c r="I3658">
        <v>14.4</v>
      </c>
      <c r="J3658">
        <v>0</v>
      </c>
      <c r="M3658">
        <v>4</v>
      </c>
      <c r="N3658">
        <v>4</v>
      </c>
      <c r="O3658">
        <v>0</v>
      </c>
      <c r="P3658">
        <v>0</v>
      </c>
      <c r="Q3658">
        <v>18.399999999999999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3</v>
      </c>
      <c r="AB3658">
        <v>0</v>
      </c>
      <c r="AD3658">
        <v>21.4</v>
      </c>
    </row>
    <row r="3659" spans="1:30" x14ac:dyDescent="0.3">
      <c r="A3659" s="4">
        <v>3681</v>
      </c>
      <c r="B3659" s="5">
        <v>3652</v>
      </c>
      <c r="C3659">
        <v>2324</v>
      </c>
      <c r="D3659" t="s">
        <v>752</v>
      </c>
      <c r="E3659" t="s">
        <v>7499</v>
      </c>
      <c r="F3659" t="s">
        <v>68</v>
      </c>
      <c r="G3659" t="s">
        <v>7500</v>
      </c>
      <c r="H3659" t="str">
        <f>"00289017"</f>
        <v>00289017</v>
      </c>
      <c r="I3659">
        <v>14.4</v>
      </c>
      <c r="J3659">
        <v>0</v>
      </c>
      <c r="N3659">
        <v>0</v>
      </c>
      <c r="O3659">
        <v>4</v>
      </c>
      <c r="P3659">
        <v>0</v>
      </c>
      <c r="Q3659">
        <v>18.399999999999999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3</v>
      </c>
      <c r="AB3659">
        <v>0</v>
      </c>
      <c r="AD3659">
        <v>21.4</v>
      </c>
    </row>
    <row r="3660" spans="1:30" x14ac:dyDescent="0.3">
      <c r="A3660" s="4">
        <v>3682</v>
      </c>
      <c r="B3660" s="5">
        <v>3653</v>
      </c>
      <c r="C3660">
        <v>1797</v>
      </c>
      <c r="D3660" t="s">
        <v>7501</v>
      </c>
      <c r="E3660" t="s">
        <v>6041</v>
      </c>
      <c r="F3660" t="s">
        <v>117</v>
      </c>
      <c r="G3660" t="s">
        <v>7502</v>
      </c>
      <c r="H3660" t="str">
        <f>"00761771"</f>
        <v>00761771</v>
      </c>
      <c r="I3660">
        <v>14.4</v>
      </c>
      <c r="J3660">
        <v>0</v>
      </c>
      <c r="M3660">
        <v>4</v>
      </c>
      <c r="N3660">
        <v>4</v>
      </c>
      <c r="O3660">
        <v>0</v>
      </c>
      <c r="P3660">
        <v>0</v>
      </c>
      <c r="Q3660">
        <v>18.399999999999999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3</v>
      </c>
      <c r="AB3660">
        <v>0</v>
      </c>
      <c r="AD3660">
        <v>21.4</v>
      </c>
    </row>
    <row r="3661" spans="1:30" x14ac:dyDescent="0.3">
      <c r="A3661" s="4">
        <v>3683</v>
      </c>
      <c r="B3661" s="5">
        <v>3654</v>
      </c>
      <c r="C3661">
        <v>125</v>
      </c>
      <c r="D3661" t="s">
        <v>7503</v>
      </c>
      <c r="E3661" t="s">
        <v>2792</v>
      </c>
      <c r="F3661" t="s">
        <v>7504</v>
      </c>
      <c r="G3661" t="s">
        <v>7505</v>
      </c>
      <c r="H3661" t="str">
        <f>"00252167"</f>
        <v>00252167</v>
      </c>
      <c r="I3661">
        <v>12.4</v>
      </c>
      <c r="J3661">
        <v>0</v>
      </c>
      <c r="N3661">
        <v>0</v>
      </c>
      <c r="O3661">
        <v>4</v>
      </c>
      <c r="P3661">
        <v>2</v>
      </c>
      <c r="Q3661">
        <v>18.399999999999999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3</v>
      </c>
      <c r="AB3661">
        <v>0</v>
      </c>
      <c r="AD3661">
        <v>21.4</v>
      </c>
    </row>
    <row r="3662" spans="1:30" x14ac:dyDescent="0.3">
      <c r="A3662" s="4">
        <v>3684</v>
      </c>
      <c r="B3662" s="5">
        <v>3655</v>
      </c>
      <c r="C3662">
        <v>2352</v>
      </c>
      <c r="D3662" t="s">
        <v>7506</v>
      </c>
      <c r="E3662" t="s">
        <v>2707</v>
      </c>
      <c r="F3662" t="s">
        <v>158</v>
      </c>
      <c r="G3662" t="s">
        <v>7507</v>
      </c>
      <c r="H3662" t="str">
        <f>"00673572"</f>
        <v>00673572</v>
      </c>
      <c r="I3662">
        <v>12.28</v>
      </c>
      <c r="J3662">
        <v>0</v>
      </c>
      <c r="N3662">
        <v>0</v>
      </c>
      <c r="O3662">
        <v>0</v>
      </c>
      <c r="P3662">
        <v>0</v>
      </c>
      <c r="Q3662">
        <v>12.28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9</v>
      </c>
      <c r="AB3662">
        <v>0</v>
      </c>
      <c r="AD3662">
        <v>21.28</v>
      </c>
    </row>
    <row r="3663" spans="1:30" x14ac:dyDescent="0.3">
      <c r="A3663" s="4">
        <v>3685</v>
      </c>
      <c r="B3663" s="5">
        <v>3656</v>
      </c>
      <c r="C3663">
        <v>4218</v>
      </c>
      <c r="D3663" t="s">
        <v>4355</v>
      </c>
      <c r="E3663" t="s">
        <v>22</v>
      </c>
      <c r="F3663" t="s">
        <v>158</v>
      </c>
      <c r="G3663" t="s">
        <v>7508</v>
      </c>
      <c r="H3663" t="str">
        <f>"00530548"</f>
        <v>00530548</v>
      </c>
      <c r="I3663">
        <v>21.24</v>
      </c>
      <c r="J3663">
        <v>0</v>
      </c>
      <c r="N3663">
        <v>0</v>
      </c>
      <c r="O3663">
        <v>0</v>
      </c>
      <c r="P3663">
        <v>0</v>
      </c>
      <c r="Q3663">
        <v>21.24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D3663">
        <v>21.24</v>
      </c>
    </row>
    <row r="3664" spans="1:30" x14ac:dyDescent="0.3">
      <c r="A3664" s="4">
        <v>3686</v>
      </c>
      <c r="B3664" s="5">
        <v>3657</v>
      </c>
      <c r="C3664">
        <v>3565</v>
      </c>
      <c r="D3664" t="s">
        <v>7509</v>
      </c>
      <c r="E3664" t="s">
        <v>744</v>
      </c>
      <c r="F3664" t="s">
        <v>7510</v>
      </c>
      <c r="G3664" t="s">
        <v>7511</v>
      </c>
      <c r="H3664" t="str">
        <f>"00864497"</f>
        <v>00864497</v>
      </c>
      <c r="I3664">
        <v>7.2</v>
      </c>
      <c r="J3664">
        <v>0</v>
      </c>
      <c r="M3664">
        <v>4</v>
      </c>
      <c r="N3664">
        <v>4</v>
      </c>
      <c r="O3664">
        <v>4</v>
      </c>
      <c r="P3664">
        <v>0</v>
      </c>
      <c r="Q3664">
        <v>15.2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6</v>
      </c>
      <c r="AB3664">
        <v>0</v>
      </c>
      <c r="AD3664">
        <v>21.2</v>
      </c>
    </row>
    <row r="3665" spans="1:30" x14ac:dyDescent="0.3">
      <c r="A3665" s="4">
        <v>3687</v>
      </c>
      <c r="B3665" s="5">
        <v>3658</v>
      </c>
      <c r="C3665">
        <v>3588</v>
      </c>
      <c r="D3665" t="s">
        <v>7512</v>
      </c>
      <c r="E3665" t="s">
        <v>816</v>
      </c>
      <c r="F3665" t="s">
        <v>91</v>
      </c>
      <c r="G3665" t="s">
        <v>7513</v>
      </c>
      <c r="H3665" t="str">
        <f>"00854858"</f>
        <v>00854858</v>
      </c>
      <c r="I3665">
        <v>7.2</v>
      </c>
      <c r="J3665">
        <v>0</v>
      </c>
      <c r="M3665">
        <v>4</v>
      </c>
      <c r="N3665">
        <v>4</v>
      </c>
      <c r="O3665">
        <v>4</v>
      </c>
      <c r="P3665">
        <v>0</v>
      </c>
      <c r="Q3665">
        <v>15.2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6</v>
      </c>
      <c r="AB3665">
        <v>0</v>
      </c>
      <c r="AD3665">
        <v>21.2</v>
      </c>
    </row>
    <row r="3666" spans="1:30" x14ac:dyDescent="0.3">
      <c r="A3666" s="4">
        <v>3688</v>
      </c>
      <c r="B3666" s="5">
        <v>3659</v>
      </c>
      <c r="C3666">
        <v>4821</v>
      </c>
      <c r="D3666" t="s">
        <v>5915</v>
      </c>
      <c r="E3666" t="s">
        <v>789</v>
      </c>
      <c r="F3666" t="s">
        <v>30</v>
      </c>
      <c r="G3666" t="s">
        <v>7514</v>
      </c>
      <c r="H3666" t="str">
        <f>"00866677"</f>
        <v>00866677</v>
      </c>
      <c r="I3666">
        <v>7.2</v>
      </c>
      <c r="J3666">
        <v>0</v>
      </c>
      <c r="M3666">
        <v>4</v>
      </c>
      <c r="N3666">
        <v>4</v>
      </c>
      <c r="O3666">
        <v>4</v>
      </c>
      <c r="P3666">
        <v>0</v>
      </c>
      <c r="Q3666">
        <v>15.2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6</v>
      </c>
      <c r="AB3666">
        <v>0</v>
      </c>
      <c r="AD3666">
        <v>21.2</v>
      </c>
    </row>
    <row r="3667" spans="1:30" x14ac:dyDescent="0.3">
      <c r="A3667" s="4">
        <v>3689</v>
      </c>
      <c r="B3667" s="5">
        <v>3660</v>
      </c>
      <c r="C3667">
        <v>1851</v>
      </c>
      <c r="D3667" t="s">
        <v>1296</v>
      </c>
      <c r="E3667" t="s">
        <v>5311</v>
      </c>
      <c r="F3667" t="s">
        <v>3130</v>
      </c>
      <c r="G3667" t="s">
        <v>7515</v>
      </c>
      <c r="H3667" t="str">
        <f>"201403000241"</f>
        <v>201403000241</v>
      </c>
      <c r="I3667">
        <v>18.2</v>
      </c>
      <c r="J3667">
        <v>0</v>
      </c>
      <c r="N3667">
        <v>0</v>
      </c>
      <c r="O3667">
        <v>0</v>
      </c>
      <c r="P3667">
        <v>0</v>
      </c>
      <c r="Q3667">
        <v>18.2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3</v>
      </c>
      <c r="AB3667">
        <v>0</v>
      </c>
      <c r="AD3667">
        <v>21.2</v>
      </c>
    </row>
    <row r="3668" spans="1:30" x14ac:dyDescent="0.3">
      <c r="A3668" s="4">
        <v>3690</v>
      </c>
      <c r="B3668" s="5">
        <v>3661</v>
      </c>
      <c r="C3668">
        <v>2572</v>
      </c>
      <c r="D3668" t="s">
        <v>7516</v>
      </c>
      <c r="E3668" t="s">
        <v>1413</v>
      </c>
      <c r="F3668" t="s">
        <v>2855</v>
      </c>
      <c r="G3668" t="s">
        <v>7517</v>
      </c>
      <c r="H3668" t="str">
        <f>"00544451"</f>
        <v>00544451</v>
      </c>
      <c r="I3668">
        <v>21.2</v>
      </c>
      <c r="J3668">
        <v>0</v>
      </c>
      <c r="N3668">
        <v>0</v>
      </c>
      <c r="O3668">
        <v>0</v>
      </c>
      <c r="P3668">
        <v>0</v>
      </c>
      <c r="Q3668">
        <v>21.2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D3668">
        <v>21.2</v>
      </c>
    </row>
    <row r="3669" spans="1:30" x14ac:dyDescent="0.3">
      <c r="A3669" s="4">
        <v>3691</v>
      </c>
      <c r="B3669" s="5">
        <v>3662</v>
      </c>
      <c r="C3669">
        <v>3638</v>
      </c>
      <c r="D3669" t="s">
        <v>190</v>
      </c>
      <c r="E3669" t="s">
        <v>37</v>
      </c>
      <c r="F3669" t="s">
        <v>243</v>
      </c>
      <c r="G3669" t="s">
        <v>7518</v>
      </c>
      <c r="H3669" t="str">
        <f>"00862321"</f>
        <v>00862321</v>
      </c>
      <c r="I3669">
        <v>21.2</v>
      </c>
      <c r="J3669">
        <v>0</v>
      </c>
      <c r="N3669">
        <v>0</v>
      </c>
      <c r="O3669">
        <v>0</v>
      </c>
      <c r="P3669">
        <v>0</v>
      </c>
      <c r="Q3669">
        <v>21.2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D3669">
        <v>21.2</v>
      </c>
    </row>
    <row r="3670" spans="1:30" x14ac:dyDescent="0.3">
      <c r="A3670" s="4">
        <v>3692</v>
      </c>
      <c r="B3670" s="5">
        <v>3663</v>
      </c>
      <c r="C3670">
        <v>3025</v>
      </c>
      <c r="D3670" t="s">
        <v>7519</v>
      </c>
      <c r="E3670" t="s">
        <v>26</v>
      </c>
      <c r="F3670" t="s">
        <v>972</v>
      </c>
      <c r="G3670" t="s">
        <v>7520</v>
      </c>
      <c r="H3670" t="str">
        <f>"00210595"</f>
        <v>00210595</v>
      </c>
      <c r="I3670">
        <v>15.2</v>
      </c>
      <c r="J3670">
        <v>0</v>
      </c>
      <c r="M3670">
        <v>4</v>
      </c>
      <c r="N3670">
        <v>4</v>
      </c>
      <c r="O3670">
        <v>0</v>
      </c>
      <c r="P3670">
        <v>2</v>
      </c>
      <c r="Q3670">
        <v>21.2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D3670">
        <v>21.2</v>
      </c>
    </row>
    <row r="3671" spans="1:30" x14ac:dyDescent="0.3">
      <c r="A3671" s="4">
        <v>3693</v>
      </c>
      <c r="B3671" s="5">
        <v>3664</v>
      </c>
      <c r="C3671">
        <v>3608</v>
      </c>
      <c r="D3671" t="s">
        <v>7521</v>
      </c>
      <c r="E3671" t="s">
        <v>1152</v>
      </c>
      <c r="F3671" t="s">
        <v>81</v>
      </c>
      <c r="G3671" t="s">
        <v>7522</v>
      </c>
      <c r="H3671" t="str">
        <f>"00864049"</f>
        <v>00864049</v>
      </c>
      <c r="I3671">
        <v>7.2</v>
      </c>
      <c r="J3671">
        <v>0</v>
      </c>
      <c r="K3671">
        <v>8</v>
      </c>
      <c r="N3671">
        <v>8</v>
      </c>
      <c r="O3671">
        <v>4</v>
      </c>
      <c r="P3671">
        <v>2</v>
      </c>
      <c r="Q3671">
        <v>21.2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D3671">
        <v>21.2</v>
      </c>
    </row>
    <row r="3672" spans="1:30" x14ac:dyDescent="0.3">
      <c r="A3672" s="4">
        <v>3694</v>
      </c>
      <c r="B3672" s="5">
        <v>3665</v>
      </c>
      <c r="C3672">
        <v>3207</v>
      </c>
      <c r="D3672" t="s">
        <v>7523</v>
      </c>
      <c r="E3672" t="s">
        <v>789</v>
      </c>
      <c r="F3672" t="s">
        <v>91</v>
      </c>
      <c r="G3672" t="s">
        <v>7524</v>
      </c>
      <c r="H3672" t="str">
        <f>"00162191"</f>
        <v>00162191</v>
      </c>
      <c r="I3672">
        <v>7.2</v>
      </c>
      <c r="J3672">
        <v>0</v>
      </c>
      <c r="M3672">
        <v>8</v>
      </c>
      <c r="N3672">
        <v>8</v>
      </c>
      <c r="O3672">
        <v>4</v>
      </c>
      <c r="P3672">
        <v>2</v>
      </c>
      <c r="Q3672">
        <v>21.2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D3672">
        <v>21.2</v>
      </c>
    </row>
    <row r="3673" spans="1:30" x14ac:dyDescent="0.3">
      <c r="A3673" s="4">
        <v>3695</v>
      </c>
      <c r="B3673" s="5">
        <v>3666</v>
      </c>
      <c r="C3673">
        <v>4329</v>
      </c>
      <c r="D3673" t="s">
        <v>5515</v>
      </c>
      <c r="E3673" t="s">
        <v>29</v>
      </c>
      <c r="F3673" t="s">
        <v>17</v>
      </c>
      <c r="G3673" t="s">
        <v>7525</v>
      </c>
      <c r="H3673" t="str">
        <f>"00792492"</f>
        <v>00792492</v>
      </c>
      <c r="I3673">
        <v>7.2</v>
      </c>
      <c r="J3673">
        <v>0</v>
      </c>
      <c r="K3673">
        <v>8</v>
      </c>
      <c r="N3673">
        <v>8</v>
      </c>
      <c r="O3673">
        <v>4</v>
      </c>
      <c r="P3673">
        <v>2</v>
      </c>
      <c r="Q3673">
        <v>21.2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D3673">
        <v>21.2</v>
      </c>
    </row>
    <row r="3674" spans="1:30" x14ac:dyDescent="0.3">
      <c r="A3674" s="4">
        <v>3696</v>
      </c>
      <c r="B3674" s="5">
        <v>3667</v>
      </c>
      <c r="C3674">
        <v>2526</v>
      </c>
      <c r="D3674" t="s">
        <v>348</v>
      </c>
      <c r="E3674" t="s">
        <v>41</v>
      </c>
      <c r="F3674" t="s">
        <v>3236</v>
      </c>
      <c r="G3674" t="s">
        <v>7526</v>
      </c>
      <c r="H3674" t="str">
        <f>"00150109"</f>
        <v>00150109</v>
      </c>
      <c r="I3674">
        <v>7.2</v>
      </c>
      <c r="J3674">
        <v>0</v>
      </c>
      <c r="M3674">
        <v>4</v>
      </c>
      <c r="N3674">
        <v>4</v>
      </c>
      <c r="O3674">
        <v>4</v>
      </c>
      <c r="P3674">
        <v>0</v>
      </c>
      <c r="Q3674">
        <v>15.2</v>
      </c>
      <c r="R3674">
        <v>6</v>
      </c>
      <c r="S3674">
        <v>6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6</v>
      </c>
      <c r="AA3674">
        <v>0</v>
      </c>
      <c r="AB3674">
        <v>0</v>
      </c>
      <c r="AD3674">
        <v>21.2</v>
      </c>
    </row>
    <row r="3675" spans="1:30" x14ac:dyDescent="0.3">
      <c r="A3675" s="4">
        <v>3697</v>
      </c>
      <c r="B3675" s="5">
        <v>3668</v>
      </c>
      <c r="C3675">
        <v>2200</v>
      </c>
      <c r="D3675" t="s">
        <v>7527</v>
      </c>
      <c r="E3675" t="s">
        <v>7528</v>
      </c>
      <c r="F3675" t="s">
        <v>124</v>
      </c>
      <c r="G3675">
        <v>9240</v>
      </c>
      <c r="H3675" t="str">
        <f>"00021235"</f>
        <v>00021235</v>
      </c>
      <c r="I3675">
        <v>7.2</v>
      </c>
      <c r="J3675">
        <v>0</v>
      </c>
      <c r="M3675">
        <v>4</v>
      </c>
      <c r="N3675">
        <v>4</v>
      </c>
      <c r="O3675">
        <v>4</v>
      </c>
      <c r="P3675">
        <v>0</v>
      </c>
      <c r="Q3675">
        <v>15.2</v>
      </c>
      <c r="R3675">
        <v>6</v>
      </c>
      <c r="S3675">
        <v>6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6</v>
      </c>
      <c r="AA3675">
        <v>0</v>
      </c>
      <c r="AB3675">
        <v>0</v>
      </c>
      <c r="AD3675">
        <v>21.2</v>
      </c>
    </row>
    <row r="3676" spans="1:30" x14ac:dyDescent="0.3">
      <c r="A3676" s="4">
        <v>3698</v>
      </c>
      <c r="B3676" s="5">
        <v>3669</v>
      </c>
      <c r="C3676">
        <v>213</v>
      </c>
      <c r="D3676" t="s">
        <v>7529</v>
      </c>
      <c r="E3676" t="s">
        <v>100</v>
      </c>
      <c r="F3676" t="s">
        <v>68</v>
      </c>
      <c r="G3676" t="s">
        <v>7530</v>
      </c>
      <c r="H3676" t="str">
        <f>"00515131"</f>
        <v>00515131</v>
      </c>
      <c r="I3676">
        <v>7.2</v>
      </c>
      <c r="J3676">
        <v>0</v>
      </c>
      <c r="N3676">
        <v>0</v>
      </c>
      <c r="O3676">
        <v>4</v>
      </c>
      <c r="P3676">
        <v>0</v>
      </c>
      <c r="Q3676">
        <v>11.2</v>
      </c>
      <c r="R3676">
        <v>10</v>
      </c>
      <c r="S3676">
        <v>10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10</v>
      </c>
      <c r="AA3676">
        <v>0</v>
      </c>
      <c r="AB3676">
        <v>0</v>
      </c>
      <c r="AD3676">
        <v>21.2</v>
      </c>
    </row>
    <row r="3677" spans="1:30" x14ac:dyDescent="0.3">
      <c r="A3677" s="4">
        <v>3699</v>
      </c>
      <c r="B3677" s="5">
        <v>3670</v>
      </c>
      <c r="C3677">
        <v>3167</v>
      </c>
      <c r="D3677" t="s">
        <v>2405</v>
      </c>
      <c r="E3677" t="s">
        <v>964</v>
      </c>
      <c r="F3677" t="s">
        <v>38</v>
      </c>
      <c r="G3677" t="s">
        <v>7531</v>
      </c>
      <c r="H3677" t="str">
        <f>"00862729"</f>
        <v>00862729</v>
      </c>
      <c r="I3677">
        <v>18.16</v>
      </c>
      <c r="J3677">
        <v>0</v>
      </c>
      <c r="N3677">
        <v>0</v>
      </c>
      <c r="O3677">
        <v>0</v>
      </c>
      <c r="P3677">
        <v>0</v>
      </c>
      <c r="Q3677">
        <v>18.16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3</v>
      </c>
      <c r="AB3677">
        <v>0</v>
      </c>
      <c r="AD3677">
        <v>21.16</v>
      </c>
    </row>
    <row r="3678" spans="1:30" x14ac:dyDescent="0.3">
      <c r="A3678" s="4">
        <v>3700</v>
      </c>
      <c r="B3678" s="5">
        <v>3671</v>
      </c>
      <c r="C3678">
        <v>2971</v>
      </c>
      <c r="D3678" t="s">
        <v>7532</v>
      </c>
      <c r="E3678" t="s">
        <v>166</v>
      </c>
      <c r="F3678" t="s">
        <v>117</v>
      </c>
      <c r="G3678" t="s">
        <v>7533</v>
      </c>
      <c r="H3678" t="str">
        <f>"00861605"</f>
        <v>00861605</v>
      </c>
      <c r="I3678">
        <v>21.16</v>
      </c>
      <c r="J3678">
        <v>0</v>
      </c>
      <c r="N3678">
        <v>0</v>
      </c>
      <c r="O3678">
        <v>0</v>
      </c>
      <c r="P3678">
        <v>0</v>
      </c>
      <c r="Q3678">
        <v>21.16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D3678">
        <v>21.16</v>
      </c>
    </row>
    <row r="3679" spans="1:30" x14ac:dyDescent="0.3">
      <c r="A3679" s="4">
        <v>3701</v>
      </c>
      <c r="B3679" s="5">
        <v>3672</v>
      </c>
      <c r="C3679">
        <v>1304</v>
      </c>
      <c r="D3679" t="s">
        <v>7534</v>
      </c>
      <c r="E3679" t="s">
        <v>54</v>
      </c>
      <c r="F3679" t="s">
        <v>167</v>
      </c>
      <c r="G3679" t="s">
        <v>7535</v>
      </c>
      <c r="H3679" t="str">
        <f>"00749375"</f>
        <v>00749375</v>
      </c>
      <c r="I3679">
        <v>18.12</v>
      </c>
      <c r="J3679">
        <v>0</v>
      </c>
      <c r="N3679">
        <v>0</v>
      </c>
      <c r="O3679">
        <v>0</v>
      </c>
      <c r="P3679">
        <v>0</v>
      </c>
      <c r="Q3679">
        <v>18.12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3</v>
      </c>
      <c r="AB3679">
        <v>0</v>
      </c>
      <c r="AD3679">
        <v>21.12</v>
      </c>
    </row>
    <row r="3680" spans="1:30" x14ac:dyDescent="0.3">
      <c r="A3680" s="4">
        <v>3702</v>
      </c>
      <c r="B3680" s="5">
        <v>3673</v>
      </c>
      <c r="C3680">
        <v>2102</v>
      </c>
      <c r="D3680" t="s">
        <v>7536</v>
      </c>
      <c r="E3680" t="s">
        <v>54</v>
      </c>
      <c r="F3680" t="s">
        <v>1023</v>
      </c>
      <c r="G3680" t="s">
        <v>7537</v>
      </c>
      <c r="H3680" t="str">
        <f>"00814851"</f>
        <v>00814851</v>
      </c>
      <c r="I3680">
        <v>0</v>
      </c>
      <c r="J3680">
        <v>0</v>
      </c>
      <c r="K3680">
        <v>8</v>
      </c>
      <c r="N3680">
        <v>8</v>
      </c>
      <c r="O3680">
        <v>4</v>
      </c>
      <c r="P3680">
        <v>0</v>
      </c>
      <c r="Q3680">
        <v>12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9</v>
      </c>
      <c r="AB3680">
        <v>0</v>
      </c>
      <c r="AD3680">
        <v>21</v>
      </c>
    </row>
    <row r="3681" spans="1:30" x14ac:dyDescent="0.3">
      <c r="A3681" s="4">
        <v>3703</v>
      </c>
      <c r="B3681" s="5">
        <v>3674</v>
      </c>
      <c r="C3681">
        <v>4654</v>
      </c>
      <c r="D3681" t="s">
        <v>198</v>
      </c>
      <c r="E3681" t="s">
        <v>789</v>
      </c>
      <c r="F3681" t="s">
        <v>81</v>
      </c>
      <c r="G3681" t="s">
        <v>7538</v>
      </c>
      <c r="H3681" t="str">
        <f>"00518961"</f>
        <v>00518961</v>
      </c>
      <c r="I3681">
        <v>0</v>
      </c>
      <c r="J3681">
        <v>0</v>
      </c>
      <c r="K3681">
        <v>8</v>
      </c>
      <c r="N3681">
        <v>8</v>
      </c>
      <c r="O3681">
        <v>4</v>
      </c>
      <c r="P3681">
        <v>0</v>
      </c>
      <c r="Q3681">
        <v>12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9</v>
      </c>
      <c r="AB3681">
        <v>0</v>
      </c>
      <c r="AD3681">
        <v>21</v>
      </c>
    </row>
    <row r="3682" spans="1:30" x14ac:dyDescent="0.3">
      <c r="A3682" s="4">
        <v>3704</v>
      </c>
      <c r="B3682" s="5">
        <v>3675</v>
      </c>
      <c r="C3682">
        <v>2098</v>
      </c>
      <c r="D3682" t="s">
        <v>1604</v>
      </c>
      <c r="E3682" t="s">
        <v>29</v>
      </c>
      <c r="F3682" t="s">
        <v>20</v>
      </c>
      <c r="G3682" t="s">
        <v>7539</v>
      </c>
      <c r="H3682" t="str">
        <f>"00533025"</f>
        <v>00533025</v>
      </c>
      <c r="I3682">
        <v>0</v>
      </c>
      <c r="J3682">
        <v>0</v>
      </c>
      <c r="N3682">
        <v>0</v>
      </c>
      <c r="O3682">
        <v>0</v>
      </c>
      <c r="P3682">
        <v>2</v>
      </c>
      <c r="Q3682">
        <v>2</v>
      </c>
      <c r="R3682">
        <v>13</v>
      </c>
      <c r="S3682">
        <v>13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13</v>
      </c>
      <c r="AA3682">
        <v>6</v>
      </c>
      <c r="AB3682">
        <v>0</v>
      </c>
      <c r="AD3682">
        <v>21</v>
      </c>
    </row>
    <row r="3683" spans="1:30" x14ac:dyDescent="0.3">
      <c r="A3683" s="4">
        <v>3705</v>
      </c>
      <c r="B3683" s="5">
        <v>3676</v>
      </c>
      <c r="C3683">
        <v>3458</v>
      </c>
      <c r="D3683" t="s">
        <v>3091</v>
      </c>
      <c r="E3683" t="s">
        <v>110</v>
      </c>
      <c r="F3683" t="s">
        <v>136</v>
      </c>
      <c r="G3683" t="s">
        <v>7540</v>
      </c>
      <c r="H3683" t="str">
        <f>"201412001574"</f>
        <v>201412001574</v>
      </c>
      <c r="I3683">
        <v>0</v>
      </c>
      <c r="J3683">
        <v>0</v>
      </c>
      <c r="M3683">
        <v>4</v>
      </c>
      <c r="N3683">
        <v>4</v>
      </c>
      <c r="O3683">
        <v>4</v>
      </c>
      <c r="P3683">
        <v>2</v>
      </c>
      <c r="Q3683">
        <v>10</v>
      </c>
      <c r="R3683">
        <v>11</v>
      </c>
      <c r="S3683">
        <v>11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11</v>
      </c>
      <c r="AA3683">
        <v>0</v>
      </c>
      <c r="AB3683">
        <v>0</v>
      </c>
      <c r="AD3683">
        <v>21</v>
      </c>
    </row>
    <row r="3684" spans="1:30" x14ac:dyDescent="0.3">
      <c r="A3684" s="4">
        <v>3706</v>
      </c>
      <c r="B3684" s="5">
        <v>3677</v>
      </c>
      <c r="C3684">
        <v>2862</v>
      </c>
      <c r="D3684" t="s">
        <v>7541</v>
      </c>
      <c r="E3684" t="s">
        <v>54</v>
      </c>
      <c r="F3684" t="s">
        <v>243</v>
      </c>
      <c r="G3684" t="s">
        <v>7542</v>
      </c>
      <c r="H3684" t="str">
        <f>"00496674"</f>
        <v>00496674</v>
      </c>
      <c r="I3684">
        <v>0</v>
      </c>
      <c r="J3684">
        <v>0</v>
      </c>
      <c r="N3684">
        <v>0</v>
      </c>
      <c r="O3684">
        <v>4</v>
      </c>
      <c r="P3684">
        <v>0</v>
      </c>
      <c r="Q3684">
        <v>4</v>
      </c>
      <c r="R3684">
        <v>17</v>
      </c>
      <c r="S3684">
        <v>17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17</v>
      </c>
      <c r="AA3684">
        <v>0</v>
      </c>
      <c r="AB3684">
        <v>0</v>
      </c>
      <c r="AD3684">
        <v>21</v>
      </c>
    </row>
    <row r="3685" spans="1:30" x14ac:dyDescent="0.3">
      <c r="A3685" s="4">
        <v>3707</v>
      </c>
      <c r="B3685" s="5">
        <v>3678</v>
      </c>
      <c r="C3685">
        <v>116</v>
      </c>
      <c r="D3685" t="s">
        <v>7543</v>
      </c>
      <c r="E3685" t="s">
        <v>7544</v>
      </c>
      <c r="F3685" t="s">
        <v>7545</v>
      </c>
      <c r="G3685" t="s">
        <v>7546</v>
      </c>
      <c r="H3685" t="str">
        <f>"00489690"</f>
        <v>00489690</v>
      </c>
      <c r="I3685">
        <v>6.8</v>
      </c>
      <c r="J3685">
        <v>0</v>
      </c>
      <c r="N3685">
        <v>0</v>
      </c>
      <c r="O3685">
        <v>0</v>
      </c>
      <c r="P3685">
        <v>0</v>
      </c>
      <c r="Q3685">
        <v>6.8</v>
      </c>
      <c r="R3685">
        <v>11</v>
      </c>
      <c r="S3685">
        <v>11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11</v>
      </c>
      <c r="AA3685">
        <v>3</v>
      </c>
      <c r="AB3685">
        <v>0</v>
      </c>
      <c r="AD3685">
        <v>20.8</v>
      </c>
    </row>
    <row r="3686" spans="1:30" x14ac:dyDescent="0.3">
      <c r="A3686" s="4">
        <v>3708</v>
      </c>
      <c r="B3686" s="5">
        <v>3679</v>
      </c>
      <c r="C3686">
        <v>4899</v>
      </c>
      <c r="D3686" t="s">
        <v>7547</v>
      </c>
      <c r="E3686" t="s">
        <v>2481</v>
      </c>
      <c r="F3686" t="s">
        <v>81</v>
      </c>
      <c r="G3686" t="s">
        <v>7548</v>
      </c>
      <c r="H3686" t="str">
        <f>"00865756"</f>
        <v>00865756</v>
      </c>
      <c r="I3686">
        <v>20.8</v>
      </c>
      <c r="J3686">
        <v>0</v>
      </c>
      <c r="N3686">
        <v>0</v>
      </c>
      <c r="O3686">
        <v>0</v>
      </c>
      <c r="P3686">
        <v>0</v>
      </c>
      <c r="Q3686">
        <v>20.8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D3686">
        <v>20.8</v>
      </c>
    </row>
    <row r="3687" spans="1:30" x14ac:dyDescent="0.3">
      <c r="A3687" s="4">
        <v>3709</v>
      </c>
      <c r="B3687" s="5">
        <v>3680</v>
      </c>
      <c r="C3687">
        <v>4088</v>
      </c>
      <c r="D3687" t="s">
        <v>7549</v>
      </c>
      <c r="E3687" t="s">
        <v>7550</v>
      </c>
      <c r="F3687" t="s">
        <v>136</v>
      </c>
      <c r="G3687" t="s">
        <v>7551</v>
      </c>
      <c r="H3687" t="str">
        <f>"00865021"</f>
        <v>00865021</v>
      </c>
      <c r="I3687">
        <v>20.8</v>
      </c>
      <c r="J3687">
        <v>0</v>
      </c>
      <c r="N3687">
        <v>0</v>
      </c>
      <c r="O3687">
        <v>0</v>
      </c>
      <c r="P3687">
        <v>0</v>
      </c>
      <c r="Q3687">
        <v>20.8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D3687">
        <v>20.8</v>
      </c>
    </row>
    <row r="3688" spans="1:30" x14ac:dyDescent="0.3">
      <c r="A3688" s="4">
        <v>3710</v>
      </c>
      <c r="B3688" s="5">
        <v>3681</v>
      </c>
      <c r="C3688">
        <v>4706</v>
      </c>
      <c r="D3688" t="s">
        <v>7552</v>
      </c>
      <c r="E3688" t="s">
        <v>283</v>
      </c>
      <c r="F3688" t="s">
        <v>62</v>
      </c>
      <c r="G3688" t="s">
        <v>7553</v>
      </c>
      <c r="H3688" t="str">
        <f>"00658277"</f>
        <v>00658277</v>
      </c>
      <c r="I3688">
        <v>20.72</v>
      </c>
      <c r="J3688">
        <v>0</v>
      </c>
      <c r="N3688">
        <v>0</v>
      </c>
      <c r="O3688">
        <v>0</v>
      </c>
      <c r="P3688">
        <v>0</v>
      </c>
      <c r="Q3688">
        <v>20.72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D3688">
        <v>20.72</v>
      </c>
    </row>
    <row r="3689" spans="1:30" x14ac:dyDescent="0.3">
      <c r="A3689" s="4">
        <v>3711</v>
      </c>
      <c r="B3689" s="5">
        <v>3682</v>
      </c>
      <c r="C3689">
        <v>3754</v>
      </c>
      <c r="D3689" t="s">
        <v>7554</v>
      </c>
      <c r="E3689" t="s">
        <v>132</v>
      </c>
      <c r="F3689" t="s">
        <v>17</v>
      </c>
      <c r="G3689" t="s">
        <v>7555</v>
      </c>
      <c r="H3689" t="str">
        <f>"00531316"</f>
        <v>00531316</v>
      </c>
      <c r="I3689">
        <v>14.48</v>
      </c>
      <c r="J3689">
        <v>0</v>
      </c>
      <c r="N3689">
        <v>0</v>
      </c>
      <c r="O3689">
        <v>0</v>
      </c>
      <c r="P3689">
        <v>0</v>
      </c>
      <c r="Q3689">
        <v>14.48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6</v>
      </c>
      <c r="AB3689">
        <v>0</v>
      </c>
      <c r="AD3689">
        <v>20.48</v>
      </c>
    </row>
    <row r="3690" spans="1:30" x14ac:dyDescent="0.3">
      <c r="A3690" s="4">
        <v>3712</v>
      </c>
      <c r="B3690" s="5">
        <v>3683</v>
      </c>
      <c r="C3690">
        <v>4209</v>
      </c>
      <c r="D3690" t="s">
        <v>7556</v>
      </c>
      <c r="E3690" t="s">
        <v>178</v>
      </c>
      <c r="F3690" t="s">
        <v>190</v>
      </c>
      <c r="G3690" t="s">
        <v>7557</v>
      </c>
      <c r="H3690" t="str">
        <f>"00862482"</f>
        <v>00862482</v>
      </c>
      <c r="I3690">
        <v>14.4</v>
      </c>
      <c r="J3690">
        <v>0</v>
      </c>
      <c r="N3690">
        <v>0</v>
      </c>
      <c r="O3690">
        <v>0</v>
      </c>
      <c r="P3690">
        <v>0</v>
      </c>
      <c r="Q3690">
        <v>14.4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6</v>
      </c>
      <c r="AB3690">
        <v>0</v>
      </c>
      <c r="AD3690">
        <v>20.399999999999999</v>
      </c>
    </row>
    <row r="3691" spans="1:30" x14ac:dyDescent="0.3">
      <c r="A3691" s="4">
        <v>3713</v>
      </c>
      <c r="B3691" s="5">
        <v>3684</v>
      </c>
      <c r="C3691">
        <v>2570</v>
      </c>
      <c r="D3691" t="s">
        <v>7558</v>
      </c>
      <c r="E3691" t="s">
        <v>439</v>
      </c>
      <c r="F3691" t="s">
        <v>62</v>
      </c>
      <c r="G3691" t="s">
        <v>7559</v>
      </c>
      <c r="H3691" t="str">
        <f>"00686126"</f>
        <v>00686126</v>
      </c>
      <c r="I3691">
        <v>14.4</v>
      </c>
      <c r="J3691">
        <v>0</v>
      </c>
      <c r="N3691">
        <v>0</v>
      </c>
      <c r="O3691">
        <v>0</v>
      </c>
      <c r="P3691">
        <v>0</v>
      </c>
      <c r="Q3691">
        <v>14.4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6</v>
      </c>
      <c r="AB3691">
        <v>0</v>
      </c>
      <c r="AD3691">
        <v>20.399999999999999</v>
      </c>
    </row>
    <row r="3692" spans="1:30" x14ac:dyDescent="0.3">
      <c r="A3692" s="4">
        <v>3714</v>
      </c>
      <c r="B3692" s="5">
        <v>3685</v>
      </c>
      <c r="C3692">
        <v>3267</v>
      </c>
      <c r="D3692" t="s">
        <v>7560</v>
      </c>
      <c r="E3692" t="s">
        <v>7561</v>
      </c>
      <c r="F3692" t="s">
        <v>7562</v>
      </c>
      <c r="G3692" t="s">
        <v>7563</v>
      </c>
      <c r="H3692" t="str">
        <f>"00560695"</f>
        <v>00560695</v>
      </c>
      <c r="I3692">
        <v>14.4</v>
      </c>
      <c r="J3692">
        <v>0</v>
      </c>
      <c r="N3692">
        <v>0</v>
      </c>
      <c r="O3692">
        <v>0</v>
      </c>
      <c r="P3692">
        <v>0</v>
      </c>
      <c r="Q3692">
        <v>14.4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6</v>
      </c>
      <c r="AB3692">
        <v>0</v>
      </c>
      <c r="AD3692">
        <v>20.399999999999999</v>
      </c>
    </row>
    <row r="3693" spans="1:30" x14ac:dyDescent="0.3">
      <c r="A3693" s="4">
        <v>3715</v>
      </c>
      <c r="B3693" s="5">
        <v>3686</v>
      </c>
      <c r="C3693">
        <v>2064</v>
      </c>
      <c r="D3693" t="s">
        <v>1958</v>
      </c>
      <c r="E3693" t="s">
        <v>3964</v>
      </c>
      <c r="F3693" t="s">
        <v>227</v>
      </c>
      <c r="G3693" t="s">
        <v>7564</v>
      </c>
      <c r="H3693" t="str">
        <f>"00860442"</f>
        <v>00860442</v>
      </c>
      <c r="I3693">
        <v>14.4</v>
      </c>
      <c r="J3693">
        <v>0</v>
      </c>
      <c r="N3693">
        <v>0</v>
      </c>
      <c r="O3693">
        <v>0</v>
      </c>
      <c r="P3693">
        <v>0</v>
      </c>
      <c r="Q3693">
        <v>14.4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6</v>
      </c>
      <c r="AB3693">
        <v>0</v>
      </c>
      <c r="AD3693">
        <v>20.399999999999999</v>
      </c>
    </row>
    <row r="3694" spans="1:30" x14ac:dyDescent="0.3">
      <c r="A3694" s="4">
        <v>3716</v>
      </c>
      <c r="B3694" s="5">
        <v>3687</v>
      </c>
      <c r="C3694">
        <v>4201</v>
      </c>
      <c r="D3694" t="s">
        <v>7565</v>
      </c>
      <c r="E3694" t="s">
        <v>7566</v>
      </c>
      <c r="F3694" t="s">
        <v>7567</v>
      </c>
      <c r="G3694" t="s">
        <v>7568</v>
      </c>
      <c r="H3694" t="str">
        <f>"00864231"</f>
        <v>00864231</v>
      </c>
      <c r="I3694">
        <v>14.4</v>
      </c>
      <c r="J3694">
        <v>0</v>
      </c>
      <c r="N3694">
        <v>0</v>
      </c>
      <c r="O3694">
        <v>0</v>
      </c>
      <c r="P3694">
        <v>0</v>
      </c>
      <c r="Q3694">
        <v>14.4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6</v>
      </c>
      <c r="AB3694">
        <v>0</v>
      </c>
      <c r="AD3694">
        <v>20.399999999999999</v>
      </c>
    </row>
    <row r="3695" spans="1:30" x14ac:dyDescent="0.3">
      <c r="A3695" s="4">
        <v>3717</v>
      </c>
      <c r="B3695" s="5">
        <v>3688</v>
      </c>
      <c r="C3695">
        <v>3427</v>
      </c>
      <c r="D3695" t="s">
        <v>7569</v>
      </c>
      <c r="E3695" t="s">
        <v>166</v>
      </c>
      <c r="F3695" t="s">
        <v>972</v>
      </c>
      <c r="G3695" t="s">
        <v>7570</v>
      </c>
      <c r="H3695" t="str">
        <f>"00263230"</f>
        <v>00263230</v>
      </c>
      <c r="I3695">
        <v>14.4</v>
      </c>
      <c r="J3695">
        <v>0</v>
      </c>
      <c r="N3695">
        <v>0</v>
      </c>
      <c r="O3695">
        <v>0</v>
      </c>
      <c r="P3695">
        <v>0</v>
      </c>
      <c r="Q3695">
        <v>14.4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6</v>
      </c>
      <c r="AB3695">
        <v>0</v>
      </c>
      <c r="AD3695">
        <v>20.399999999999999</v>
      </c>
    </row>
    <row r="3696" spans="1:30" x14ac:dyDescent="0.3">
      <c r="A3696" s="4">
        <v>3718</v>
      </c>
      <c r="B3696" s="5">
        <v>3689</v>
      </c>
      <c r="C3696">
        <v>671</v>
      </c>
      <c r="D3696" t="s">
        <v>1404</v>
      </c>
      <c r="E3696" t="s">
        <v>41</v>
      </c>
      <c r="F3696" t="s">
        <v>55</v>
      </c>
      <c r="G3696" t="s">
        <v>7571</v>
      </c>
      <c r="H3696" t="str">
        <f>"00527325"</f>
        <v>00527325</v>
      </c>
      <c r="I3696">
        <v>16.399999999999999</v>
      </c>
      <c r="J3696">
        <v>0</v>
      </c>
      <c r="N3696">
        <v>0</v>
      </c>
      <c r="O3696">
        <v>4</v>
      </c>
      <c r="P3696">
        <v>0</v>
      </c>
      <c r="Q3696">
        <v>20.399999999999999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D3696">
        <v>20.399999999999999</v>
      </c>
    </row>
    <row r="3697" spans="1:30" x14ac:dyDescent="0.3">
      <c r="A3697" s="4">
        <v>3719</v>
      </c>
      <c r="B3697" s="5">
        <v>3690</v>
      </c>
      <c r="C3697">
        <v>930</v>
      </c>
      <c r="D3697" t="s">
        <v>7572</v>
      </c>
      <c r="E3697" t="s">
        <v>88</v>
      </c>
      <c r="F3697" t="s">
        <v>17</v>
      </c>
      <c r="G3697" t="s">
        <v>7573</v>
      </c>
      <c r="H3697" t="str">
        <f>"201406013085"</f>
        <v>201406013085</v>
      </c>
      <c r="I3697">
        <v>14.4</v>
      </c>
      <c r="J3697">
        <v>0</v>
      </c>
      <c r="N3697">
        <v>0</v>
      </c>
      <c r="O3697">
        <v>4</v>
      </c>
      <c r="P3697">
        <v>2</v>
      </c>
      <c r="Q3697">
        <v>20.399999999999999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D3697">
        <v>20.399999999999999</v>
      </c>
    </row>
    <row r="3698" spans="1:30" x14ac:dyDescent="0.3">
      <c r="A3698" s="4">
        <v>3720</v>
      </c>
      <c r="B3698" s="5">
        <v>3691</v>
      </c>
      <c r="C3698">
        <v>3635</v>
      </c>
      <c r="D3698" t="s">
        <v>7574</v>
      </c>
      <c r="E3698" t="s">
        <v>54</v>
      </c>
      <c r="F3698" t="s">
        <v>17</v>
      </c>
      <c r="G3698" t="s">
        <v>7575</v>
      </c>
      <c r="H3698" t="str">
        <f>"00860954"</f>
        <v>00860954</v>
      </c>
      <c r="I3698">
        <v>14.4</v>
      </c>
      <c r="J3698">
        <v>0</v>
      </c>
      <c r="M3698">
        <v>4</v>
      </c>
      <c r="N3698">
        <v>4</v>
      </c>
      <c r="O3698">
        <v>0</v>
      </c>
      <c r="P3698">
        <v>2</v>
      </c>
      <c r="Q3698">
        <v>20.399999999999999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D3698">
        <v>20.399999999999999</v>
      </c>
    </row>
    <row r="3699" spans="1:30" x14ac:dyDescent="0.3">
      <c r="A3699" s="4">
        <v>3721</v>
      </c>
      <c r="B3699" s="5">
        <v>3692</v>
      </c>
      <c r="C3699">
        <v>4523</v>
      </c>
      <c r="D3699" t="s">
        <v>380</v>
      </c>
      <c r="E3699" t="s">
        <v>613</v>
      </c>
      <c r="F3699" t="s">
        <v>7576</v>
      </c>
      <c r="G3699" t="s">
        <v>7577</v>
      </c>
      <c r="H3699" t="str">
        <f>"00866629"</f>
        <v>00866629</v>
      </c>
      <c r="I3699">
        <v>14.4</v>
      </c>
      <c r="J3699">
        <v>0</v>
      </c>
      <c r="M3699">
        <v>4</v>
      </c>
      <c r="N3699">
        <v>4</v>
      </c>
      <c r="O3699">
        <v>0</v>
      </c>
      <c r="P3699">
        <v>2</v>
      </c>
      <c r="Q3699">
        <v>20.399999999999999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D3699">
        <v>20.399999999999999</v>
      </c>
    </row>
    <row r="3700" spans="1:30" x14ac:dyDescent="0.3">
      <c r="A3700" s="4">
        <v>3722</v>
      </c>
      <c r="B3700" s="5">
        <v>3693</v>
      </c>
      <c r="C3700">
        <v>2251</v>
      </c>
      <c r="D3700" t="s">
        <v>3704</v>
      </c>
      <c r="E3700" t="s">
        <v>132</v>
      </c>
      <c r="F3700" t="s">
        <v>2582</v>
      </c>
      <c r="G3700" t="s">
        <v>7578</v>
      </c>
      <c r="H3700" t="str">
        <f>"00865168"</f>
        <v>00865168</v>
      </c>
      <c r="I3700">
        <v>14.4</v>
      </c>
      <c r="J3700">
        <v>0</v>
      </c>
      <c r="N3700">
        <v>0</v>
      </c>
      <c r="O3700">
        <v>4</v>
      </c>
      <c r="P3700">
        <v>2</v>
      </c>
      <c r="Q3700">
        <v>20.399999999999999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D3700">
        <v>20.399999999999999</v>
      </c>
    </row>
    <row r="3701" spans="1:30" x14ac:dyDescent="0.3">
      <c r="A3701" s="4">
        <v>3723</v>
      </c>
      <c r="B3701" s="5">
        <v>3694</v>
      </c>
      <c r="C3701">
        <v>4513</v>
      </c>
      <c r="D3701" t="s">
        <v>7579</v>
      </c>
      <c r="E3701" t="s">
        <v>7580</v>
      </c>
      <c r="F3701" t="s">
        <v>243</v>
      </c>
      <c r="G3701" t="s">
        <v>7581</v>
      </c>
      <c r="H3701" t="str">
        <f>"00866414"</f>
        <v>00866414</v>
      </c>
      <c r="I3701">
        <v>14.4</v>
      </c>
      <c r="J3701">
        <v>0</v>
      </c>
      <c r="M3701">
        <v>4</v>
      </c>
      <c r="N3701">
        <v>4</v>
      </c>
      <c r="O3701">
        <v>0</v>
      </c>
      <c r="P3701">
        <v>2</v>
      </c>
      <c r="Q3701">
        <v>20.399999999999999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D3701">
        <v>20.399999999999999</v>
      </c>
    </row>
    <row r="3702" spans="1:30" x14ac:dyDescent="0.3">
      <c r="A3702" s="4">
        <v>3724</v>
      </c>
      <c r="B3702" s="5">
        <v>3695</v>
      </c>
      <c r="C3702">
        <v>235</v>
      </c>
      <c r="D3702" t="s">
        <v>914</v>
      </c>
      <c r="E3702" t="s">
        <v>3313</v>
      </c>
      <c r="F3702" t="s">
        <v>117</v>
      </c>
      <c r="G3702" t="s">
        <v>7582</v>
      </c>
      <c r="H3702" t="str">
        <f>"201511032941"</f>
        <v>201511032941</v>
      </c>
      <c r="I3702">
        <v>14.4</v>
      </c>
      <c r="J3702">
        <v>0</v>
      </c>
      <c r="N3702">
        <v>0</v>
      </c>
      <c r="O3702">
        <v>4</v>
      </c>
      <c r="P3702">
        <v>2</v>
      </c>
      <c r="Q3702">
        <v>20.399999999999999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D3702">
        <v>20.399999999999999</v>
      </c>
    </row>
    <row r="3703" spans="1:30" x14ac:dyDescent="0.3">
      <c r="A3703" s="4">
        <v>3725</v>
      </c>
      <c r="B3703" s="5">
        <v>3696</v>
      </c>
      <c r="C3703">
        <v>1794</v>
      </c>
      <c r="D3703" t="s">
        <v>1133</v>
      </c>
      <c r="E3703" t="s">
        <v>29</v>
      </c>
      <c r="F3703" t="s">
        <v>158</v>
      </c>
      <c r="G3703" t="s">
        <v>7583</v>
      </c>
      <c r="H3703" t="str">
        <f>"00864880"</f>
        <v>00864880</v>
      </c>
      <c r="I3703">
        <v>14.4</v>
      </c>
      <c r="J3703">
        <v>0</v>
      </c>
      <c r="N3703">
        <v>0</v>
      </c>
      <c r="O3703">
        <v>4</v>
      </c>
      <c r="P3703">
        <v>2</v>
      </c>
      <c r="Q3703">
        <v>20.399999999999999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D3703">
        <v>20.399999999999999</v>
      </c>
    </row>
    <row r="3704" spans="1:30" x14ac:dyDescent="0.3">
      <c r="A3704" s="4">
        <v>3726</v>
      </c>
      <c r="B3704" s="5">
        <v>3697</v>
      </c>
      <c r="C3704">
        <v>1644</v>
      </c>
      <c r="D3704" t="s">
        <v>7584</v>
      </c>
      <c r="E3704" t="s">
        <v>100</v>
      </c>
      <c r="F3704" t="s">
        <v>190</v>
      </c>
      <c r="G3704" t="s">
        <v>7585</v>
      </c>
      <c r="H3704" t="str">
        <f>"00533216"</f>
        <v>00533216</v>
      </c>
      <c r="I3704">
        <v>14.4</v>
      </c>
      <c r="J3704">
        <v>0</v>
      </c>
      <c r="N3704">
        <v>0</v>
      </c>
      <c r="O3704">
        <v>4</v>
      </c>
      <c r="P3704">
        <v>2</v>
      </c>
      <c r="Q3704">
        <v>20.399999999999999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 t="s">
        <v>130</v>
      </c>
      <c r="AD3704">
        <v>20.399999999999999</v>
      </c>
    </row>
    <row r="3705" spans="1:30" x14ac:dyDescent="0.3">
      <c r="A3705" s="4">
        <v>3727</v>
      </c>
      <c r="B3705" s="5">
        <v>3698</v>
      </c>
      <c r="C3705">
        <v>3567</v>
      </c>
      <c r="D3705" t="s">
        <v>26</v>
      </c>
      <c r="E3705" t="s">
        <v>7586</v>
      </c>
      <c r="F3705" t="s">
        <v>17</v>
      </c>
      <c r="G3705" t="s">
        <v>7587</v>
      </c>
      <c r="H3705" t="str">
        <f>"00497949"</f>
        <v>00497949</v>
      </c>
      <c r="I3705">
        <v>7.2</v>
      </c>
      <c r="J3705">
        <v>0</v>
      </c>
      <c r="N3705">
        <v>0</v>
      </c>
      <c r="O3705">
        <v>4</v>
      </c>
      <c r="P3705">
        <v>0</v>
      </c>
      <c r="Q3705">
        <v>11.2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9</v>
      </c>
      <c r="AB3705">
        <v>0</v>
      </c>
      <c r="AD3705">
        <v>20.2</v>
      </c>
    </row>
    <row r="3706" spans="1:30" x14ac:dyDescent="0.3">
      <c r="A3706" s="4">
        <v>3728</v>
      </c>
      <c r="B3706" s="5">
        <v>3699</v>
      </c>
      <c r="C3706">
        <v>1946</v>
      </c>
      <c r="D3706" t="s">
        <v>7588</v>
      </c>
      <c r="E3706" t="s">
        <v>22</v>
      </c>
      <c r="F3706" t="s">
        <v>442</v>
      </c>
      <c r="G3706" t="s">
        <v>7589</v>
      </c>
      <c r="H3706" t="str">
        <f>"00863814"</f>
        <v>00863814</v>
      </c>
      <c r="I3706">
        <v>7.2</v>
      </c>
      <c r="J3706">
        <v>10</v>
      </c>
      <c r="N3706">
        <v>0</v>
      </c>
      <c r="O3706">
        <v>0</v>
      </c>
      <c r="P3706">
        <v>0</v>
      </c>
      <c r="Q3706">
        <v>17.2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3</v>
      </c>
      <c r="AB3706">
        <v>0</v>
      </c>
      <c r="AD3706">
        <v>20.2</v>
      </c>
    </row>
    <row r="3707" spans="1:30" x14ac:dyDescent="0.3">
      <c r="A3707" s="4">
        <v>3729</v>
      </c>
      <c r="B3707" s="5">
        <v>3700</v>
      </c>
      <c r="C3707">
        <v>1780</v>
      </c>
      <c r="D3707" t="s">
        <v>1133</v>
      </c>
      <c r="E3707" t="s">
        <v>88</v>
      </c>
      <c r="F3707" t="s">
        <v>158</v>
      </c>
      <c r="G3707" t="s">
        <v>7590</v>
      </c>
      <c r="H3707" t="str">
        <f>"00210307"</f>
        <v>00210307</v>
      </c>
      <c r="I3707">
        <v>7.2</v>
      </c>
      <c r="J3707">
        <v>0</v>
      </c>
      <c r="M3707">
        <v>4</v>
      </c>
      <c r="N3707">
        <v>4</v>
      </c>
      <c r="O3707">
        <v>4</v>
      </c>
      <c r="P3707">
        <v>2</v>
      </c>
      <c r="Q3707">
        <v>17.2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3</v>
      </c>
      <c r="AB3707">
        <v>0</v>
      </c>
      <c r="AD3707">
        <v>20.2</v>
      </c>
    </row>
    <row r="3708" spans="1:30" x14ac:dyDescent="0.3">
      <c r="A3708" s="4">
        <v>3730</v>
      </c>
      <c r="B3708" s="5">
        <v>3701</v>
      </c>
      <c r="C3708">
        <v>1749</v>
      </c>
      <c r="D3708" t="s">
        <v>7591</v>
      </c>
      <c r="E3708" t="s">
        <v>1652</v>
      </c>
      <c r="F3708" t="s">
        <v>190</v>
      </c>
      <c r="G3708" t="s">
        <v>7592</v>
      </c>
      <c r="H3708" t="str">
        <f>"00859632"</f>
        <v>00859632</v>
      </c>
      <c r="I3708">
        <v>7.2</v>
      </c>
      <c r="J3708">
        <v>0</v>
      </c>
      <c r="M3708">
        <v>4</v>
      </c>
      <c r="N3708">
        <v>4</v>
      </c>
      <c r="O3708">
        <v>4</v>
      </c>
      <c r="P3708">
        <v>2</v>
      </c>
      <c r="Q3708">
        <v>17.2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3</v>
      </c>
      <c r="AB3708">
        <v>0</v>
      </c>
      <c r="AD3708">
        <v>20.2</v>
      </c>
    </row>
    <row r="3709" spans="1:30" x14ac:dyDescent="0.3">
      <c r="A3709" s="4">
        <v>3731</v>
      </c>
      <c r="B3709" s="5">
        <v>3702</v>
      </c>
      <c r="C3709">
        <v>2512</v>
      </c>
      <c r="D3709" t="s">
        <v>7593</v>
      </c>
      <c r="E3709" t="s">
        <v>7594</v>
      </c>
      <c r="F3709" t="s">
        <v>81</v>
      </c>
      <c r="G3709" t="s">
        <v>7595</v>
      </c>
      <c r="H3709" t="str">
        <f>"00531411"</f>
        <v>00531411</v>
      </c>
      <c r="I3709">
        <v>7.2</v>
      </c>
      <c r="J3709">
        <v>0</v>
      </c>
      <c r="N3709">
        <v>0</v>
      </c>
      <c r="O3709">
        <v>0</v>
      </c>
      <c r="P3709">
        <v>2</v>
      </c>
      <c r="Q3709">
        <v>9.1999999999999993</v>
      </c>
      <c r="R3709">
        <v>8</v>
      </c>
      <c r="S3709">
        <v>8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8</v>
      </c>
      <c r="AA3709">
        <v>3</v>
      </c>
      <c r="AB3709">
        <v>0</v>
      </c>
      <c r="AD3709">
        <v>20.2</v>
      </c>
    </row>
    <row r="3710" spans="1:30" x14ac:dyDescent="0.3">
      <c r="A3710" s="4">
        <v>3732</v>
      </c>
      <c r="B3710" s="5">
        <v>3703</v>
      </c>
      <c r="C3710">
        <v>3838</v>
      </c>
      <c r="D3710" t="s">
        <v>7596</v>
      </c>
      <c r="E3710" t="s">
        <v>7597</v>
      </c>
      <c r="F3710" t="s">
        <v>17</v>
      </c>
      <c r="G3710" t="s">
        <v>7598</v>
      </c>
      <c r="H3710" t="str">
        <f>"00533587"</f>
        <v>00533587</v>
      </c>
      <c r="I3710">
        <v>7.2</v>
      </c>
      <c r="J3710">
        <v>0</v>
      </c>
      <c r="N3710">
        <v>0</v>
      </c>
      <c r="O3710">
        <v>4</v>
      </c>
      <c r="P3710">
        <v>2</v>
      </c>
      <c r="Q3710">
        <v>13.2</v>
      </c>
      <c r="R3710">
        <v>7</v>
      </c>
      <c r="S3710">
        <v>7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7</v>
      </c>
      <c r="AA3710">
        <v>0</v>
      </c>
      <c r="AB3710">
        <v>0</v>
      </c>
      <c r="AD3710">
        <v>20.2</v>
      </c>
    </row>
    <row r="3711" spans="1:30" x14ac:dyDescent="0.3">
      <c r="A3711" s="4">
        <v>3733</v>
      </c>
      <c r="B3711" s="5">
        <v>3704</v>
      </c>
      <c r="C3711">
        <v>3006</v>
      </c>
      <c r="D3711" t="s">
        <v>2132</v>
      </c>
      <c r="E3711" t="s">
        <v>208</v>
      </c>
      <c r="F3711" t="s">
        <v>238</v>
      </c>
      <c r="G3711" t="s">
        <v>7599</v>
      </c>
      <c r="H3711" t="str">
        <f>"00149040"</f>
        <v>00149040</v>
      </c>
      <c r="I3711">
        <v>7.2</v>
      </c>
      <c r="J3711">
        <v>0</v>
      </c>
      <c r="N3711">
        <v>0</v>
      </c>
      <c r="O3711">
        <v>0</v>
      </c>
      <c r="P3711">
        <v>2</v>
      </c>
      <c r="Q3711">
        <v>9.1999999999999993</v>
      </c>
      <c r="R3711">
        <v>11</v>
      </c>
      <c r="S3711">
        <v>11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11</v>
      </c>
      <c r="AA3711">
        <v>0</v>
      </c>
      <c r="AB3711">
        <v>0</v>
      </c>
      <c r="AD3711">
        <v>20.2</v>
      </c>
    </row>
    <row r="3712" spans="1:30" x14ac:dyDescent="0.3">
      <c r="A3712" s="4">
        <v>3734</v>
      </c>
      <c r="B3712" s="5">
        <v>3705</v>
      </c>
      <c r="C3712">
        <v>4642</v>
      </c>
      <c r="D3712" t="s">
        <v>549</v>
      </c>
      <c r="E3712" t="s">
        <v>273</v>
      </c>
      <c r="F3712" t="s">
        <v>158</v>
      </c>
      <c r="G3712" t="s">
        <v>7600</v>
      </c>
      <c r="H3712" t="str">
        <f>"00524123"</f>
        <v>00524123</v>
      </c>
      <c r="I3712">
        <v>14.12</v>
      </c>
      <c r="J3712">
        <v>0</v>
      </c>
      <c r="N3712">
        <v>0</v>
      </c>
      <c r="O3712">
        <v>4</v>
      </c>
      <c r="P3712">
        <v>2</v>
      </c>
      <c r="Q3712">
        <v>20.12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D3712">
        <v>20.12</v>
      </c>
    </row>
    <row r="3713" spans="1:30" x14ac:dyDescent="0.3">
      <c r="A3713" s="4">
        <v>3735</v>
      </c>
      <c r="B3713" s="5">
        <v>3706</v>
      </c>
      <c r="C3713">
        <v>848</v>
      </c>
      <c r="D3713" t="s">
        <v>7601</v>
      </c>
      <c r="E3713" t="s">
        <v>7602</v>
      </c>
      <c r="F3713" t="s">
        <v>124</v>
      </c>
      <c r="G3713" t="s">
        <v>7603</v>
      </c>
      <c r="H3713" t="str">
        <f>"00857097"</f>
        <v>00857097</v>
      </c>
      <c r="I3713">
        <v>14</v>
      </c>
      <c r="J3713">
        <v>0</v>
      </c>
      <c r="N3713">
        <v>0</v>
      </c>
      <c r="O3713">
        <v>0</v>
      </c>
      <c r="P3713">
        <v>0</v>
      </c>
      <c r="Q3713">
        <v>14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6</v>
      </c>
      <c r="AB3713">
        <v>0</v>
      </c>
      <c r="AD3713">
        <v>20</v>
      </c>
    </row>
    <row r="3714" spans="1:30" x14ac:dyDescent="0.3">
      <c r="A3714" s="4">
        <v>3736</v>
      </c>
      <c r="B3714" s="5">
        <v>3707</v>
      </c>
      <c r="C3714">
        <v>3415</v>
      </c>
      <c r="D3714" t="s">
        <v>7604</v>
      </c>
      <c r="E3714" t="s">
        <v>166</v>
      </c>
      <c r="F3714" t="s">
        <v>158</v>
      </c>
      <c r="G3714" t="s">
        <v>7605</v>
      </c>
      <c r="H3714" t="str">
        <f>"00555396"</f>
        <v>00555396</v>
      </c>
      <c r="I3714">
        <v>0</v>
      </c>
      <c r="J3714">
        <v>10</v>
      </c>
      <c r="M3714">
        <v>4</v>
      </c>
      <c r="N3714">
        <v>4</v>
      </c>
      <c r="O3714">
        <v>0</v>
      </c>
      <c r="P3714">
        <v>0</v>
      </c>
      <c r="Q3714">
        <v>14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6</v>
      </c>
      <c r="AB3714">
        <v>0</v>
      </c>
      <c r="AD3714">
        <v>20</v>
      </c>
    </row>
    <row r="3715" spans="1:30" x14ac:dyDescent="0.3">
      <c r="A3715" s="4">
        <v>3737</v>
      </c>
      <c r="B3715" s="5">
        <v>3708</v>
      </c>
      <c r="C3715">
        <v>1781</v>
      </c>
      <c r="D3715" t="s">
        <v>1078</v>
      </c>
      <c r="E3715" t="s">
        <v>22</v>
      </c>
      <c r="F3715" t="s">
        <v>227</v>
      </c>
      <c r="G3715" t="s">
        <v>7606</v>
      </c>
      <c r="H3715" t="str">
        <f>"00533957"</f>
        <v>00533957</v>
      </c>
      <c r="I3715">
        <v>0</v>
      </c>
      <c r="J3715">
        <v>10</v>
      </c>
      <c r="N3715">
        <v>0</v>
      </c>
      <c r="O3715">
        <v>4</v>
      </c>
      <c r="P3715">
        <v>0</v>
      </c>
      <c r="Q3715">
        <v>14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6</v>
      </c>
      <c r="AB3715">
        <v>0</v>
      </c>
      <c r="AD3715">
        <v>20</v>
      </c>
    </row>
    <row r="3716" spans="1:30" x14ac:dyDescent="0.3">
      <c r="A3716" s="4">
        <v>3738</v>
      </c>
      <c r="B3716" s="5">
        <v>3709</v>
      </c>
      <c r="C3716">
        <v>3843</v>
      </c>
      <c r="D3716" t="s">
        <v>7607</v>
      </c>
      <c r="E3716" t="s">
        <v>7608</v>
      </c>
      <c r="F3716" t="s">
        <v>38</v>
      </c>
      <c r="G3716" t="s">
        <v>7609</v>
      </c>
      <c r="H3716" t="str">
        <f>"00518691"</f>
        <v>00518691</v>
      </c>
      <c r="I3716">
        <v>0</v>
      </c>
      <c r="J3716">
        <v>0</v>
      </c>
      <c r="K3716">
        <v>8</v>
      </c>
      <c r="N3716">
        <v>8</v>
      </c>
      <c r="O3716">
        <v>4</v>
      </c>
      <c r="P3716">
        <v>2</v>
      </c>
      <c r="Q3716">
        <v>14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6</v>
      </c>
      <c r="AB3716">
        <v>0</v>
      </c>
      <c r="AD3716">
        <v>20</v>
      </c>
    </row>
    <row r="3717" spans="1:30" x14ac:dyDescent="0.3">
      <c r="A3717" s="4">
        <v>3739</v>
      </c>
      <c r="B3717" s="5">
        <v>3710</v>
      </c>
      <c r="C3717">
        <v>3060</v>
      </c>
      <c r="D3717" t="s">
        <v>7610</v>
      </c>
      <c r="E3717" t="s">
        <v>738</v>
      </c>
      <c r="F3717" t="s">
        <v>488</v>
      </c>
      <c r="G3717" t="s">
        <v>7611</v>
      </c>
      <c r="H3717" t="str">
        <f>"00864742"</f>
        <v>00864742</v>
      </c>
      <c r="I3717">
        <v>20</v>
      </c>
      <c r="J3717">
        <v>0</v>
      </c>
      <c r="N3717">
        <v>0</v>
      </c>
      <c r="O3717">
        <v>0</v>
      </c>
      <c r="P3717">
        <v>0</v>
      </c>
      <c r="Q3717">
        <v>20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D3717">
        <v>20</v>
      </c>
    </row>
    <row r="3718" spans="1:30" x14ac:dyDescent="0.3">
      <c r="A3718" s="4">
        <v>3740</v>
      </c>
      <c r="B3718" s="5">
        <v>3711</v>
      </c>
      <c r="C3718">
        <v>4626</v>
      </c>
      <c r="D3718" t="s">
        <v>7612</v>
      </c>
      <c r="E3718" t="s">
        <v>147</v>
      </c>
      <c r="F3718" t="s">
        <v>750</v>
      </c>
      <c r="G3718" t="s">
        <v>7613</v>
      </c>
      <c r="H3718" t="str">
        <f>"00369334"</f>
        <v>00369334</v>
      </c>
      <c r="I3718">
        <v>16</v>
      </c>
      <c r="J3718">
        <v>0</v>
      </c>
      <c r="N3718">
        <v>0</v>
      </c>
      <c r="O3718">
        <v>4</v>
      </c>
      <c r="P3718">
        <v>0</v>
      </c>
      <c r="Q3718">
        <v>20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D3718">
        <v>20</v>
      </c>
    </row>
    <row r="3719" spans="1:30" x14ac:dyDescent="0.3">
      <c r="A3719" s="4">
        <v>3741</v>
      </c>
      <c r="B3719" s="5">
        <v>3712</v>
      </c>
      <c r="C3719">
        <v>4415</v>
      </c>
      <c r="D3719" t="s">
        <v>7614</v>
      </c>
      <c r="E3719" t="s">
        <v>4236</v>
      </c>
      <c r="F3719" t="s">
        <v>158</v>
      </c>
      <c r="G3719" t="s">
        <v>7615</v>
      </c>
      <c r="H3719" t="str">
        <f>"201511023985"</f>
        <v>201511023985</v>
      </c>
      <c r="I3719">
        <v>16</v>
      </c>
      <c r="J3719">
        <v>0</v>
      </c>
      <c r="N3719">
        <v>0</v>
      </c>
      <c r="O3719">
        <v>4</v>
      </c>
      <c r="P3719">
        <v>0</v>
      </c>
      <c r="Q3719">
        <v>20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D3719">
        <v>20</v>
      </c>
    </row>
    <row r="3720" spans="1:30" x14ac:dyDescent="0.3">
      <c r="A3720" s="4">
        <v>3742</v>
      </c>
      <c r="B3720" s="5">
        <v>3713</v>
      </c>
      <c r="C3720">
        <v>3301</v>
      </c>
      <c r="D3720" t="s">
        <v>7616</v>
      </c>
      <c r="E3720" t="s">
        <v>178</v>
      </c>
      <c r="F3720" t="s">
        <v>17</v>
      </c>
      <c r="G3720" t="s">
        <v>7617</v>
      </c>
      <c r="H3720" t="str">
        <f>"00346601"</f>
        <v>00346601</v>
      </c>
      <c r="I3720">
        <v>0</v>
      </c>
      <c r="J3720">
        <v>0</v>
      </c>
      <c r="M3720">
        <v>4</v>
      </c>
      <c r="N3720">
        <v>4</v>
      </c>
      <c r="O3720">
        <v>0</v>
      </c>
      <c r="P3720">
        <v>0</v>
      </c>
      <c r="Q3720">
        <v>4</v>
      </c>
      <c r="R3720">
        <v>16</v>
      </c>
      <c r="S3720">
        <v>16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16</v>
      </c>
      <c r="AA3720">
        <v>0</v>
      </c>
      <c r="AB3720">
        <v>0</v>
      </c>
      <c r="AD3720">
        <v>20</v>
      </c>
    </row>
    <row r="3721" spans="1:30" x14ac:dyDescent="0.3">
      <c r="A3721" s="4">
        <v>3743</v>
      </c>
      <c r="B3721" s="5">
        <v>3714</v>
      </c>
      <c r="C3721">
        <v>3069</v>
      </c>
      <c r="D3721" t="s">
        <v>7618</v>
      </c>
      <c r="E3721" t="s">
        <v>54</v>
      </c>
      <c r="F3721" t="s">
        <v>17</v>
      </c>
      <c r="G3721" t="s">
        <v>7619</v>
      </c>
      <c r="H3721" t="str">
        <f>"00861634"</f>
        <v>00861634</v>
      </c>
      <c r="I3721">
        <v>13.84</v>
      </c>
      <c r="J3721">
        <v>0</v>
      </c>
      <c r="N3721">
        <v>0</v>
      </c>
      <c r="O3721">
        <v>0</v>
      </c>
      <c r="P3721">
        <v>0</v>
      </c>
      <c r="Q3721">
        <v>13.84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6</v>
      </c>
      <c r="AB3721">
        <v>0</v>
      </c>
      <c r="AD3721">
        <v>19.84</v>
      </c>
    </row>
    <row r="3722" spans="1:30" x14ac:dyDescent="0.3">
      <c r="A3722" s="4">
        <v>3744</v>
      </c>
      <c r="B3722" s="5">
        <v>3715</v>
      </c>
      <c r="C3722">
        <v>3930</v>
      </c>
      <c r="D3722" t="s">
        <v>7620</v>
      </c>
      <c r="E3722" t="s">
        <v>26</v>
      </c>
      <c r="F3722" t="s">
        <v>68</v>
      </c>
      <c r="G3722" t="s">
        <v>7621</v>
      </c>
      <c r="H3722" t="str">
        <f>"00858811"</f>
        <v>00858811</v>
      </c>
      <c r="I3722">
        <v>16.8</v>
      </c>
      <c r="J3722">
        <v>0</v>
      </c>
      <c r="N3722">
        <v>0</v>
      </c>
      <c r="O3722">
        <v>0</v>
      </c>
      <c r="P3722">
        <v>0</v>
      </c>
      <c r="Q3722">
        <v>16.8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3</v>
      </c>
      <c r="AB3722">
        <v>0</v>
      </c>
      <c r="AD3722">
        <v>19.8</v>
      </c>
    </row>
    <row r="3723" spans="1:30" x14ac:dyDescent="0.3">
      <c r="A3723" s="4">
        <v>3745</v>
      </c>
      <c r="B3723" s="5">
        <v>3716</v>
      </c>
      <c r="C3723">
        <v>4800</v>
      </c>
      <c r="D3723" t="s">
        <v>5674</v>
      </c>
      <c r="E3723" t="s">
        <v>29</v>
      </c>
      <c r="F3723" t="s">
        <v>38</v>
      </c>
      <c r="G3723" t="s">
        <v>7622</v>
      </c>
      <c r="H3723" t="str">
        <f>"00866225"</f>
        <v>00866225</v>
      </c>
      <c r="I3723">
        <v>16.72</v>
      </c>
      <c r="J3723">
        <v>0</v>
      </c>
      <c r="N3723">
        <v>0</v>
      </c>
      <c r="O3723">
        <v>0</v>
      </c>
      <c r="P3723">
        <v>0</v>
      </c>
      <c r="Q3723">
        <v>16.72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3</v>
      </c>
      <c r="AB3723">
        <v>0</v>
      </c>
      <c r="AD3723">
        <v>19.72</v>
      </c>
    </row>
    <row r="3724" spans="1:30" x14ac:dyDescent="0.3">
      <c r="A3724" s="4">
        <v>3746</v>
      </c>
      <c r="B3724" s="5">
        <v>3717</v>
      </c>
      <c r="C3724">
        <v>4853</v>
      </c>
      <c r="D3724" t="s">
        <v>7623</v>
      </c>
      <c r="E3724" t="s">
        <v>349</v>
      </c>
      <c r="F3724" t="s">
        <v>3516</v>
      </c>
      <c r="G3724" t="s">
        <v>7624</v>
      </c>
      <c r="H3724" t="str">
        <f>"00209218"</f>
        <v>00209218</v>
      </c>
      <c r="I3724">
        <v>19.72</v>
      </c>
      <c r="J3724">
        <v>0</v>
      </c>
      <c r="N3724">
        <v>0</v>
      </c>
      <c r="O3724">
        <v>0</v>
      </c>
      <c r="P3724">
        <v>0</v>
      </c>
      <c r="Q3724">
        <v>19.72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D3724">
        <v>19.72</v>
      </c>
    </row>
    <row r="3725" spans="1:30" x14ac:dyDescent="0.3">
      <c r="A3725" s="4">
        <v>3747</v>
      </c>
      <c r="B3725" s="5">
        <v>3718</v>
      </c>
      <c r="C3725">
        <v>1310</v>
      </c>
      <c r="D3725" t="s">
        <v>7625</v>
      </c>
      <c r="E3725" t="s">
        <v>858</v>
      </c>
      <c r="F3725" t="s">
        <v>38</v>
      </c>
      <c r="G3725" t="s">
        <v>7626</v>
      </c>
      <c r="H3725" t="str">
        <f>"201604005375"</f>
        <v>201604005375</v>
      </c>
      <c r="I3725">
        <v>7.6</v>
      </c>
      <c r="J3725">
        <v>0</v>
      </c>
      <c r="N3725">
        <v>0</v>
      </c>
      <c r="O3725">
        <v>4</v>
      </c>
      <c r="P3725">
        <v>2</v>
      </c>
      <c r="Q3725">
        <v>13.6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6</v>
      </c>
      <c r="AB3725">
        <v>0</v>
      </c>
      <c r="AD3725">
        <v>19.600000000000001</v>
      </c>
    </row>
    <row r="3726" spans="1:30" x14ac:dyDescent="0.3">
      <c r="A3726" s="4">
        <v>3748</v>
      </c>
      <c r="B3726" s="5">
        <v>3719</v>
      </c>
      <c r="C3726">
        <v>561</v>
      </c>
      <c r="D3726" t="s">
        <v>207</v>
      </c>
      <c r="E3726" t="s">
        <v>7627</v>
      </c>
      <c r="F3726" t="s">
        <v>442</v>
      </c>
      <c r="G3726" t="s">
        <v>7628</v>
      </c>
      <c r="H3726" t="str">
        <f>"00560229"</f>
        <v>00560229</v>
      </c>
      <c r="I3726">
        <v>15.6</v>
      </c>
      <c r="J3726">
        <v>0</v>
      </c>
      <c r="N3726">
        <v>0</v>
      </c>
      <c r="O3726">
        <v>4</v>
      </c>
      <c r="P3726">
        <v>0</v>
      </c>
      <c r="Q3726">
        <v>19.600000000000001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D3726">
        <v>19.600000000000001</v>
      </c>
    </row>
    <row r="3727" spans="1:30" x14ac:dyDescent="0.3">
      <c r="A3727" s="4">
        <v>3749</v>
      </c>
      <c r="B3727" s="5">
        <v>3720</v>
      </c>
      <c r="C3727">
        <v>3601</v>
      </c>
      <c r="D3727" t="s">
        <v>4415</v>
      </c>
      <c r="E3727" t="s">
        <v>22</v>
      </c>
      <c r="F3727" t="s">
        <v>17</v>
      </c>
      <c r="G3727" t="s">
        <v>7629</v>
      </c>
      <c r="H3727" t="str">
        <f>"00044832"</f>
        <v>00044832</v>
      </c>
      <c r="I3727">
        <v>13.52</v>
      </c>
      <c r="J3727">
        <v>0</v>
      </c>
      <c r="N3727">
        <v>0</v>
      </c>
      <c r="O3727">
        <v>0</v>
      </c>
      <c r="P3727">
        <v>0</v>
      </c>
      <c r="Q3727">
        <v>13.52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6</v>
      </c>
      <c r="AB3727">
        <v>0</v>
      </c>
      <c r="AD3727">
        <v>19.52</v>
      </c>
    </row>
    <row r="3728" spans="1:30" x14ac:dyDescent="0.3">
      <c r="A3728" s="4">
        <v>3750</v>
      </c>
      <c r="B3728" s="5">
        <v>3721</v>
      </c>
      <c r="C3728">
        <v>2474</v>
      </c>
      <c r="D3728" t="s">
        <v>7630</v>
      </c>
      <c r="E3728" t="s">
        <v>740</v>
      </c>
      <c r="F3728" t="s">
        <v>442</v>
      </c>
      <c r="G3728" t="s">
        <v>7631</v>
      </c>
      <c r="H3728" t="str">
        <f>"00863913"</f>
        <v>00863913</v>
      </c>
      <c r="I3728">
        <v>13.44</v>
      </c>
      <c r="J3728">
        <v>0</v>
      </c>
      <c r="N3728">
        <v>0</v>
      </c>
      <c r="O3728">
        <v>0</v>
      </c>
      <c r="P3728">
        <v>0</v>
      </c>
      <c r="Q3728">
        <v>13.44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6</v>
      </c>
      <c r="AB3728">
        <v>0</v>
      </c>
      <c r="AD3728">
        <v>19.440000000000001</v>
      </c>
    </row>
    <row r="3729" spans="1:30" x14ac:dyDescent="0.3">
      <c r="A3729" s="4">
        <v>3751</v>
      </c>
      <c r="B3729" s="5">
        <v>3722</v>
      </c>
      <c r="C3729">
        <v>4875</v>
      </c>
      <c r="D3729" t="s">
        <v>3766</v>
      </c>
      <c r="E3729" t="s">
        <v>29</v>
      </c>
      <c r="F3729" t="s">
        <v>539</v>
      </c>
      <c r="G3729" t="s">
        <v>7632</v>
      </c>
      <c r="H3729" t="str">
        <f>"00866862"</f>
        <v>00866862</v>
      </c>
      <c r="I3729">
        <v>7.2</v>
      </c>
      <c r="J3729">
        <v>0</v>
      </c>
      <c r="N3729">
        <v>0</v>
      </c>
      <c r="O3729">
        <v>4</v>
      </c>
      <c r="P3729">
        <v>2</v>
      </c>
      <c r="Q3729">
        <v>13.2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6</v>
      </c>
      <c r="AB3729">
        <v>0</v>
      </c>
      <c r="AD3729">
        <v>19.2</v>
      </c>
    </row>
    <row r="3730" spans="1:30" x14ac:dyDescent="0.3">
      <c r="A3730" s="4">
        <v>3752</v>
      </c>
      <c r="B3730" s="5">
        <v>3723</v>
      </c>
      <c r="C3730">
        <v>4545</v>
      </c>
      <c r="D3730" t="s">
        <v>784</v>
      </c>
      <c r="E3730" t="s">
        <v>858</v>
      </c>
      <c r="F3730" t="s">
        <v>38</v>
      </c>
      <c r="G3730" t="s">
        <v>7633</v>
      </c>
      <c r="H3730" t="str">
        <f>"00659271"</f>
        <v>00659271</v>
      </c>
      <c r="I3730">
        <v>15.2</v>
      </c>
      <c r="J3730">
        <v>0</v>
      </c>
      <c r="N3730">
        <v>0</v>
      </c>
      <c r="O3730">
        <v>4</v>
      </c>
      <c r="P3730">
        <v>0</v>
      </c>
      <c r="Q3730">
        <v>19.2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D3730">
        <v>19.2</v>
      </c>
    </row>
    <row r="3731" spans="1:30" x14ac:dyDescent="0.3">
      <c r="A3731" s="4">
        <v>3753</v>
      </c>
      <c r="B3731" s="5">
        <v>3724</v>
      </c>
      <c r="C3731">
        <v>2692</v>
      </c>
      <c r="D3731" t="s">
        <v>4536</v>
      </c>
      <c r="E3731" t="s">
        <v>97</v>
      </c>
      <c r="F3731" t="s">
        <v>117</v>
      </c>
      <c r="G3731" t="s">
        <v>7634</v>
      </c>
      <c r="H3731" t="str">
        <f>"00244393"</f>
        <v>00244393</v>
      </c>
      <c r="I3731">
        <v>15.2</v>
      </c>
      <c r="J3731">
        <v>0</v>
      </c>
      <c r="N3731">
        <v>0</v>
      </c>
      <c r="O3731">
        <v>4</v>
      </c>
      <c r="P3731">
        <v>0</v>
      </c>
      <c r="Q3731">
        <v>19.2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D3731">
        <v>19.2</v>
      </c>
    </row>
    <row r="3732" spans="1:30" x14ac:dyDescent="0.3">
      <c r="A3732" s="4">
        <v>3754</v>
      </c>
      <c r="B3732" s="5">
        <v>3725</v>
      </c>
      <c r="C3732">
        <v>3453</v>
      </c>
      <c r="D3732" t="s">
        <v>7635</v>
      </c>
      <c r="E3732" t="s">
        <v>88</v>
      </c>
      <c r="F3732" t="s">
        <v>23</v>
      </c>
      <c r="G3732" t="s">
        <v>7636</v>
      </c>
      <c r="H3732" t="str">
        <f>"00861883"</f>
        <v>00861883</v>
      </c>
      <c r="I3732">
        <v>7.2</v>
      </c>
      <c r="J3732">
        <v>0</v>
      </c>
      <c r="L3732">
        <v>6</v>
      </c>
      <c r="N3732">
        <v>6</v>
      </c>
      <c r="O3732">
        <v>4</v>
      </c>
      <c r="P3732">
        <v>2</v>
      </c>
      <c r="Q3732">
        <v>19.2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D3732">
        <v>19.2</v>
      </c>
    </row>
    <row r="3733" spans="1:30" x14ac:dyDescent="0.3">
      <c r="A3733" s="4">
        <v>3755</v>
      </c>
      <c r="B3733" s="5">
        <v>3726</v>
      </c>
      <c r="C3733">
        <v>3020</v>
      </c>
      <c r="D3733" t="s">
        <v>7637</v>
      </c>
      <c r="E3733" t="s">
        <v>439</v>
      </c>
      <c r="F3733" t="s">
        <v>38</v>
      </c>
      <c r="G3733" t="s">
        <v>7638</v>
      </c>
      <c r="H3733" t="str">
        <f>"00863307"</f>
        <v>00863307</v>
      </c>
      <c r="I3733">
        <v>7.2</v>
      </c>
      <c r="J3733">
        <v>0</v>
      </c>
      <c r="K3733">
        <v>8</v>
      </c>
      <c r="N3733">
        <v>8</v>
      </c>
      <c r="O3733">
        <v>4</v>
      </c>
      <c r="P3733">
        <v>0</v>
      </c>
      <c r="Q3733">
        <v>19.2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D3733">
        <v>19.2</v>
      </c>
    </row>
    <row r="3734" spans="1:30" x14ac:dyDescent="0.3">
      <c r="A3734" s="4">
        <v>3756</v>
      </c>
      <c r="B3734" s="5">
        <v>3727</v>
      </c>
      <c r="C3734">
        <v>4207</v>
      </c>
      <c r="D3734" t="s">
        <v>7639</v>
      </c>
      <c r="E3734" t="s">
        <v>41</v>
      </c>
      <c r="F3734" t="s">
        <v>38</v>
      </c>
      <c r="G3734" t="s">
        <v>7640</v>
      </c>
      <c r="H3734" t="str">
        <f>"00864999"</f>
        <v>00864999</v>
      </c>
      <c r="I3734">
        <v>7.2</v>
      </c>
      <c r="J3734">
        <v>0</v>
      </c>
      <c r="L3734">
        <v>6</v>
      </c>
      <c r="N3734">
        <v>6</v>
      </c>
      <c r="O3734">
        <v>4</v>
      </c>
      <c r="P3734">
        <v>2</v>
      </c>
      <c r="Q3734">
        <v>19.2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D3734">
        <v>19.2</v>
      </c>
    </row>
    <row r="3735" spans="1:30" x14ac:dyDescent="0.3">
      <c r="A3735" s="4">
        <v>3757</v>
      </c>
      <c r="B3735" s="5">
        <v>3728</v>
      </c>
      <c r="C3735">
        <v>4609</v>
      </c>
      <c r="D3735" t="s">
        <v>3724</v>
      </c>
      <c r="E3735" t="s">
        <v>110</v>
      </c>
      <c r="F3735" t="s">
        <v>17</v>
      </c>
      <c r="G3735" t="s">
        <v>7641</v>
      </c>
      <c r="H3735" t="str">
        <f>"00442391"</f>
        <v>00442391</v>
      </c>
      <c r="I3735">
        <v>7.2</v>
      </c>
      <c r="J3735">
        <v>0</v>
      </c>
      <c r="N3735">
        <v>0</v>
      </c>
      <c r="O3735">
        <v>0</v>
      </c>
      <c r="P3735">
        <v>2</v>
      </c>
      <c r="Q3735">
        <v>9.1999999999999993</v>
      </c>
      <c r="R3735">
        <v>10</v>
      </c>
      <c r="S3735">
        <v>10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10</v>
      </c>
      <c r="AA3735">
        <v>0</v>
      </c>
      <c r="AB3735">
        <v>0</v>
      </c>
      <c r="AD3735">
        <v>19.2</v>
      </c>
    </row>
    <row r="3736" spans="1:30" x14ac:dyDescent="0.3">
      <c r="A3736" s="4">
        <v>3758</v>
      </c>
      <c r="B3736" s="5">
        <v>3729</v>
      </c>
      <c r="C3736">
        <v>4938</v>
      </c>
      <c r="D3736" t="s">
        <v>7642</v>
      </c>
      <c r="E3736" t="s">
        <v>29</v>
      </c>
      <c r="F3736" t="s">
        <v>243</v>
      </c>
      <c r="G3736" t="s">
        <v>7643</v>
      </c>
      <c r="H3736" t="str">
        <f>"00555968"</f>
        <v>00555968</v>
      </c>
      <c r="I3736">
        <v>11.16</v>
      </c>
      <c r="J3736">
        <v>0</v>
      </c>
      <c r="N3736">
        <v>0</v>
      </c>
      <c r="O3736">
        <v>0</v>
      </c>
      <c r="P3736">
        <v>2</v>
      </c>
      <c r="Q3736">
        <v>13.16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6</v>
      </c>
      <c r="AB3736">
        <v>0</v>
      </c>
      <c r="AD3736">
        <v>19.16</v>
      </c>
    </row>
    <row r="3737" spans="1:30" x14ac:dyDescent="0.3">
      <c r="A3737" s="4">
        <v>3759</v>
      </c>
      <c r="B3737" s="5">
        <v>3730</v>
      </c>
      <c r="C3737">
        <v>3413</v>
      </c>
      <c r="D3737" t="s">
        <v>7644</v>
      </c>
      <c r="E3737" t="s">
        <v>2538</v>
      </c>
      <c r="F3737" t="s">
        <v>17</v>
      </c>
      <c r="G3737" t="s">
        <v>7645</v>
      </c>
      <c r="H3737" t="str">
        <f>"00637317"</f>
        <v>00637317</v>
      </c>
      <c r="I3737">
        <v>0</v>
      </c>
      <c r="J3737">
        <v>0</v>
      </c>
      <c r="M3737">
        <v>4</v>
      </c>
      <c r="N3737">
        <v>4</v>
      </c>
      <c r="O3737">
        <v>4</v>
      </c>
      <c r="P3737">
        <v>2</v>
      </c>
      <c r="Q3737">
        <v>10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9</v>
      </c>
      <c r="AB3737">
        <v>0</v>
      </c>
      <c r="AD3737">
        <v>19</v>
      </c>
    </row>
    <row r="3738" spans="1:30" x14ac:dyDescent="0.3">
      <c r="A3738" s="4">
        <v>3760</v>
      </c>
      <c r="B3738" s="5">
        <v>3731</v>
      </c>
      <c r="C3738">
        <v>2096</v>
      </c>
      <c r="D3738" t="s">
        <v>7646</v>
      </c>
      <c r="E3738" t="s">
        <v>7647</v>
      </c>
      <c r="F3738" t="s">
        <v>38</v>
      </c>
      <c r="G3738" t="s">
        <v>7648</v>
      </c>
      <c r="H3738" t="str">
        <f>"00864410"</f>
        <v>00864410</v>
      </c>
      <c r="I3738">
        <v>12</v>
      </c>
      <c r="J3738">
        <v>0</v>
      </c>
      <c r="N3738">
        <v>0</v>
      </c>
      <c r="O3738">
        <v>4</v>
      </c>
      <c r="P3738">
        <v>0</v>
      </c>
      <c r="Q3738">
        <v>16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3</v>
      </c>
      <c r="AB3738">
        <v>0</v>
      </c>
      <c r="AD3738">
        <v>19</v>
      </c>
    </row>
    <row r="3739" spans="1:30" x14ac:dyDescent="0.3">
      <c r="A3739" s="4">
        <v>3761</v>
      </c>
      <c r="B3739" s="5">
        <v>3732</v>
      </c>
      <c r="C3739">
        <v>3334</v>
      </c>
      <c r="D3739" t="s">
        <v>60</v>
      </c>
      <c r="E3739" t="s">
        <v>139</v>
      </c>
      <c r="F3739" t="s">
        <v>55</v>
      </c>
      <c r="G3739" t="s">
        <v>7649</v>
      </c>
      <c r="H3739" t="str">
        <f>"00536262"</f>
        <v>00536262</v>
      </c>
      <c r="I3739">
        <v>12</v>
      </c>
      <c r="J3739">
        <v>0</v>
      </c>
      <c r="N3739">
        <v>0</v>
      </c>
      <c r="O3739">
        <v>4</v>
      </c>
      <c r="P3739">
        <v>0</v>
      </c>
      <c r="Q3739">
        <v>16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3</v>
      </c>
      <c r="AB3739">
        <v>0</v>
      </c>
      <c r="AD3739">
        <v>19</v>
      </c>
    </row>
    <row r="3740" spans="1:30" x14ac:dyDescent="0.3">
      <c r="A3740" s="4">
        <v>3762</v>
      </c>
      <c r="B3740" s="5">
        <v>3733</v>
      </c>
      <c r="C3740">
        <v>2083</v>
      </c>
      <c r="D3740" t="s">
        <v>7650</v>
      </c>
      <c r="E3740" t="s">
        <v>29</v>
      </c>
      <c r="F3740" t="s">
        <v>68</v>
      </c>
      <c r="G3740" t="s">
        <v>7651</v>
      </c>
      <c r="H3740" t="str">
        <f>"00782085"</f>
        <v>00782085</v>
      </c>
      <c r="I3740">
        <v>0</v>
      </c>
      <c r="J3740">
        <v>10</v>
      </c>
      <c r="N3740">
        <v>0</v>
      </c>
      <c r="O3740">
        <v>4</v>
      </c>
      <c r="P3740">
        <v>2</v>
      </c>
      <c r="Q3740">
        <v>16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3</v>
      </c>
      <c r="AB3740">
        <v>0</v>
      </c>
      <c r="AD3740">
        <v>19</v>
      </c>
    </row>
    <row r="3741" spans="1:30" x14ac:dyDescent="0.3">
      <c r="A3741" s="4">
        <v>3763</v>
      </c>
      <c r="B3741" s="5">
        <v>3734</v>
      </c>
      <c r="C3741">
        <v>2762</v>
      </c>
      <c r="D3741" t="s">
        <v>6286</v>
      </c>
      <c r="E3741" t="s">
        <v>132</v>
      </c>
      <c r="F3741" t="s">
        <v>34</v>
      </c>
      <c r="G3741" t="s">
        <v>7652</v>
      </c>
      <c r="H3741" t="str">
        <f>"00533517"</f>
        <v>00533517</v>
      </c>
      <c r="I3741">
        <v>0</v>
      </c>
      <c r="J3741">
        <v>0</v>
      </c>
      <c r="M3741">
        <v>4</v>
      </c>
      <c r="N3741">
        <v>4</v>
      </c>
      <c r="O3741">
        <v>4</v>
      </c>
      <c r="P3741">
        <v>2</v>
      </c>
      <c r="Q3741">
        <v>10</v>
      </c>
      <c r="R3741">
        <v>6</v>
      </c>
      <c r="S3741">
        <v>6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6</v>
      </c>
      <c r="AA3741">
        <v>3</v>
      </c>
      <c r="AB3741">
        <v>0</v>
      </c>
      <c r="AD3741">
        <v>19</v>
      </c>
    </row>
    <row r="3742" spans="1:30" x14ac:dyDescent="0.3">
      <c r="A3742" s="4">
        <v>3764</v>
      </c>
      <c r="B3742" s="5">
        <v>3735</v>
      </c>
      <c r="C3742">
        <v>4223</v>
      </c>
      <c r="D3742" t="s">
        <v>7653</v>
      </c>
      <c r="E3742" t="s">
        <v>29</v>
      </c>
      <c r="F3742" t="s">
        <v>17</v>
      </c>
      <c r="G3742" t="s">
        <v>7654</v>
      </c>
      <c r="H3742" t="str">
        <f>"00562742"</f>
        <v>00562742</v>
      </c>
      <c r="I3742">
        <v>12.92</v>
      </c>
      <c r="J3742">
        <v>0</v>
      </c>
      <c r="N3742">
        <v>0</v>
      </c>
      <c r="O3742">
        <v>0</v>
      </c>
      <c r="P3742">
        <v>0</v>
      </c>
      <c r="Q3742">
        <v>12.92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6</v>
      </c>
      <c r="AB3742">
        <v>0</v>
      </c>
      <c r="AD3742">
        <v>18.920000000000002</v>
      </c>
    </row>
    <row r="3743" spans="1:30" x14ac:dyDescent="0.3">
      <c r="A3743" s="4">
        <v>3765</v>
      </c>
      <c r="B3743" s="5">
        <v>3736</v>
      </c>
      <c r="C3743">
        <v>4549</v>
      </c>
      <c r="D3743" t="s">
        <v>3724</v>
      </c>
      <c r="E3743" t="s">
        <v>213</v>
      </c>
      <c r="F3743" t="s">
        <v>343</v>
      </c>
      <c r="G3743" t="s">
        <v>7655</v>
      </c>
      <c r="H3743" t="str">
        <f>"00863993"</f>
        <v>00863993</v>
      </c>
      <c r="I3743">
        <v>18.920000000000002</v>
      </c>
      <c r="J3743">
        <v>0</v>
      </c>
      <c r="N3743">
        <v>0</v>
      </c>
      <c r="O3743">
        <v>0</v>
      </c>
      <c r="P3743">
        <v>0</v>
      </c>
      <c r="Q3743">
        <v>18.920000000000002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D3743">
        <v>18.920000000000002</v>
      </c>
    </row>
    <row r="3744" spans="1:30" x14ac:dyDescent="0.3">
      <c r="A3744" s="4">
        <v>3766</v>
      </c>
      <c r="B3744" s="5">
        <v>3737</v>
      </c>
      <c r="C3744">
        <v>4885</v>
      </c>
      <c r="D3744" t="s">
        <v>7656</v>
      </c>
      <c r="E3744" t="s">
        <v>166</v>
      </c>
      <c r="F3744" t="s">
        <v>79</v>
      </c>
      <c r="G3744" t="s">
        <v>7657</v>
      </c>
      <c r="H3744" t="str">
        <f>"00299856"</f>
        <v>00299856</v>
      </c>
      <c r="I3744">
        <v>18.68</v>
      </c>
      <c r="J3744">
        <v>0</v>
      </c>
      <c r="N3744">
        <v>0</v>
      </c>
      <c r="O3744">
        <v>0</v>
      </c>
      <c r="P3744">
        <v>0</v>
      </c>
      <c r="Q3744">
        <v>18.68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D3744">
        <v>18.68</v>
      </c>
    </row>
    <row r="3745" spans="1:30" x14ac:dyDescent="0.3">
      <c r="A3745" s="4">
        <v>3767</v>
      </c>
      <c r="B3745" s="5">
        <v>3738</v>
      </c>
      <c r="C3745">
        <v>3785</v>
      </c>
      <c r="D3745" t="s">
        <v>7658</v>
      </c>
      <c r="E3745" t="s">
        <v>1426</v>
      </c>
      <c r="F3745" t="s">
        <v>457</v>
      </c>
      <c r="G3745" t="s">
        <v>7659</v>
      </c>
      <c r="H3745" t="str">
        <f>"00531538"</f>
        <v>00531538</v>
      </c>
      <c r="I3745">
        <v>12.6</v>
      </c>
      <c r="J3745">
        <v>0</v>
      </c>
      <c r="N3745">
        <v>0</v>
      </c>
      <c r="O3745">
        <v>4</v>
      </c>
      <c r="P3745">
        <v>2</v>
      </c>
      <c r="Q3745">
        <v>18.600000000000001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D3745">
        <v>18.600000000000001</v>
      </c>
    </row>
    <row r="3746" spans="1:30" x14ac:dyDescent="0.3">
      <c r="A3746" s="4">
        <v>3768</v>
      </c>
      <c r="B3746" s="5">
        <v>3739</v>
      </c>
      <c r="C3746">
        <v>2388</v>
      </c>
      <c r="D3746" t="s">
        <v>7660</v>
      </c>
      <c r="E3746" t="s">
        <v>33</v>
      </c>
      <c r="F3746" t="s">
        <v>34</v>
      </c>
      <c r="G3746" t="s">
        <v>7661</v>
      </c>
      <c r="H3746" t="str">
        <f>"00405610"</f>
        <v>00405610</v>
      </c>
      <c r="I3746">
        <v>9.44</v>
      </c>
      <c r="J3746">
        <v>0</v>
      </c>
      <c r="N3746">
        <v>0</v>
      </c>
      <c r="O3746">
        <v>0</v>
      </c>
      <c r="P3746">
        <v>0</v>
      </c>
      <c r="Q3746">
        <v>9.44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9</v>
      </c>
      <c r="AB3746">
        <v>0</v>
      </c>
      <c r="AD3746">
        <v>18.440000000000001</v>
      </c>
    </row>
    <row r="3747" spans="1:30" x14ac:dyDescent="0.3">
      <c r="A3747" s="4">
        <v>3769</v>
      </c>
      <c r="B3747" s="5">
        <v>3740</v>
      </c>
      <c r="C3747">
        <v>2995</v>
      </c>
      <c r="D3747" t="s">
        <v>7639</v>
      </c>
      <c r="E3747" t="s">
        <v>825</v>
      </c>
      <c r="F3747" t="s">
        <v>17</v>
      </c>
      <c r="G3747" t="s">
        <v>7662</v>
      </c>
      <c r="H3747" t="str">
        <f>"00361868"</f>
        <v>00361868</v>
      </c>
      <c r="I3747">
        <v>12.4</v>
      </c>
      <c r="J3747">
        <v>0</v>
      </c>
      <c r="N3747">
        <v>0</v>
      </c>
      <c r="O3747">
        <v>0</v>
      </c>
      <c r="P3747">
        <v>0</v>
      </c>
      <c r="Q3747">
        <v>12.4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6</v>
      </c>
      <c r="AB3747">
        <v>0</v>
      </c>
      <c r="AD3747">
        <v>18.399999999999999</v>
      </c>
    </row>
    <row r="3748" spans="1:30" x14ac:dyDescent="0.3">
      <c r="A3748" s="4">
        <v>3770</v>
      </c>
      <c r="B3748" s="5">
        <v>3741</v>
      </c>
      <c r="C3748">
        <v>2389</v>
      </c>
      <c r="D3748" t="s">
        <v>784</v>
      </c>
      <c r="E3748" t="s">
        <v>173</v>
      </c>
      <c r="F3748" t="s">
        <v>81</v>
      </c>
      <c r="G3748" t="s">
        <v>7663</v>
      </c>
      <c r="H3748" t="str">
        <f>"00780685"</f>
        <v>00780685</v>
      </c>
      <c r="I3748">
        <v>18.399999999999999</v>
      </c>
      <c r="J3748">
        <v>0</v>
      </c>
      <c r="N3748">
        <v>0</v>
      </c>
      <c r="O3748">
        <v>0</v>
      </c>
      <c r="P3748">
        <v>0</v>
      </c>
      <c r="Q3748">
        <v>18.399999999999999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D3748">
        <v>18.399999999999999</v>
      </c>
    </row>
    <row r="3749" spans="1:30" x14ac:dyDescent="0.3">
      <c r="A3749" s="4">
        <v>3771</v>
      </c>
      <c r="B3749" s="5">
        <v>3742</v>
      </c>
      <c r="C3749">
        <v>1511</v>
      </c>
      <c r="D3749" t="s">
        <v>7664</v>
      </c>
      <c r="E3749" t="s">
        <v>41</v>
      </c>
      <c r="F3749" t="s">
        <v>124</v>
      </c>
      <c r="G3749" t="s">
        <v>7665</v>
      </c>
      <c r="H3749" t="str">
        <f>"00532087"</f>
        <v>00532087</v>
      </c>
      <c r="I3749">
        <v>18.399999999999999</v>
      </c>
      <c r="J3749">
        <v>0</v>
      </c>
      <c r="N3749">
        <v>0</v>
      </c>
      <c r="O3749">
        <v>0</v>
      </c>
      <c r="P3749">
        <v>0</v>
      </c>
      <c r="Q3749">
        <v>18.399999999999999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D3749">
        <v>18.399999999999999</v>
      </c>
    </row>
    <row r="3750" spans="1:30" x14ac:dyDescent="0.3">
      <c r="A3750" s="4">
        <v>3772</v>
      </c>
      <c r="B3750" s="5">
        <v>3743</v>
      </c>
      <c r="C3750">
        <v>4430</v>
      </c>
      <c r="D3750" t="s">
        <v>7666</v>
      </c>
      <c r="E3750" t="s">
        <v>7667</v>
      </c>
      <c r="F3750" t="s">
        <v>117</v>
      </c>
      <c r="G3750" t="s">
        <v>7668</v>
      </c>
      <c r="H3750" t="str">
        <f>"00863267"</f>
        <v>00863267</v>
      </c>
      <c r="I3750">
        <v>14.4</v>
      </c>
      <c r="J3750">
        <v>0</v>
      </c>
      <c r="N3750">
        <v>0</v>
      </c>
      <c r="O3750">
        <v>4</v>
      </c>
      <c r="P3750">
        <v>0</v>
      </c>
      <c r="Q3750">
        <v>18.399999999999999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D3750">
        <v>18.399999999999999</v>
      </c>
    </row>
    <row r="3751" spans="1:30" x14ac:dyDescent="0.3">
      <c r="A3751" s="4">
        <v>3773</v>
      </c>
      <c r="B3751" s="5">
        <v>3744</v>
      </c>
      <c r="C3751">
        <v>2007</v>
      </c>
      <c r="D3751" t="s">
        <v>529</v>
      </c>
      <c r="E3751" t="s">
        <v>29</v>
      </c>
      <c r="F3751" t="s">
        <v>158</v>
      </c>
      <c r="G3751" t="s">
        <v>7669</v>
      </c>
      <c r="H3751" t="str">
        <f>"00638864"</f>
        <v>00638864</v>
      </c>
      <c r="I3751">
        <v>14.4</v>
      </c>
      <c r="J3751">
        <v>0</v>
      </c>
      <c r="N3751">
        <v>0</v>
      </c>
      <c r="O3751">
        <v>4</v>
      </c>
      <c r="P3751">
        <v>0</v>
      </c>
      <c r="Q3751">
        <v>18.399999999999999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D3751">
        <v>18.399999999999999</v>
      </c>
    </row>
    <row r="3752" spans="1:30" x14ac:dyDescent="0.3">
      <c r="A3752" s="4">
        <v>3774</v>
      </c>
      <c r="B3752" s="5">
        <v>3745</v>
      </c>
      <c r="C3752">
        <v>475</v>
      </c>
      <c r="D3752" t="s">
        <v>7670</v>
      </c>
      <c r="E3752" t="s">
        <v>738</v>
      </c>
      <c r="F3752" t="s">
        <v>587</v>
      </c>
      <c r="G3752" t="s">
        <v>7671</v>
      </c>
      <c r="H3752" t="str">
        <f>"00531377"</f>
        <v>00531377</v>
      </c>
      <c r="I3752">
        <v>14.4</v>
      </c>
      <c r="J3752">
        <v>0</v>
      </c>
      <c r="N3752">
        <v>0</v>
      </c>
      <c r="O3752">
        <v>4</v>
      </c>
      <c r="P3752">
        <v>0</v>
      </c>
      <c r="Q3752">
        <v>18.399999999999999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D3752">
        <v>18.399999999999999</v>
      </c>
    </row>
    <row r="3753" spans="1:30" x14ac:dyDescent="0.3">
      <c r="A3753" s="4">
        <v>3775</v>
      </c>
      <c r="B3753" s="5">
        <v>3746</v>
      </c>
      <c r="C3753">
        <v>1416</v>
      </c>
      <c r="D3753" t="s">
        <v>267</v>
      </c>
      <c r="E3753" t="s">
        <v>29</v>
      </c>
      <c r="F3753" t="s">
        <v>30</v>
      </c>
      <c r="G3753" t="s">
        <v>7672</v>
      </c>
      <c r="H3753" t="str">
        <f>"00809716"</f>
        <v>00809716</v>
      </c>
      <c r="I3753">
        <v>14.4</v>
      </c>
      <c r="J3753">
        <v>0</v>
      </c>
      <c r="N3753">
        <v>0</v>
      </c>
      <c r="O3753">
        <v>4</v>
      </c>
      <c r="P3753">
        <v>0</v>
      </c>
      <c r="Q3753">
        <v>18.399999999999999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D3753">
        <v>18.399999999999999</v>
      </c>
    </row>
    <row r="3754" spans="1:30" x14ac:dyDescent="0.3">
      <c r="A3754" s="4">
        <v>3776</v>
      </c>
      <c r="B3754" s="5">
        <v>3747</v>
      </c>
      <c r="C3754">
        <v>862</v>
      </c>
      <c r="D3754" t="s">
        <v>7673</v>
      </c>
      <c r="E3754" t="s">
        <v>697</v>
      </c>
      <c r="F3754" t="s">
        <v>375</v>
      </c>
      <c r="G3754" t="s">
        <v>7674</v>
      </c>
      <c r="H3754" t="str">
        <f>"00528778"</f>
        <v>00528778</v>
      </c>
      <c r="I3754">
        <v>14.4</v>
      </c>
      <c r="J3754">
        <v>0</v>
      </c>
      <c r="N3754">
        <v>0</v>
      </c>
      <c r="O3754">
        <v>4</v>
      </c>
      <c r="P3754">
        <v>0</v>
      </c>
      <c r="Q3754">
        <v>18.399999999999999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D3754">
        <v>18.399999999999999</v>
      </c>
    </row>
    <row r="3755" spans="1:30" x14ac:dyDescent="0.3">
      <c r="A3755" s="4">
        <v>3777</v>
      </c>
      <c r="B3755" s="5">
        <v>3748</v>
      </c>
      <c r="C3755">
        <v>4674</v>
      </c>
      <c r="D3755" t="s">
        <v>7675</v>
      </c>
      <c r="E3755" t="s">
        <v>7676</v>
      </c>
      <c r="F3755" t="s">
        <v>124</v>
      </c>
      <c r="G3755" t="s">
        <v>7677</v>
      </c>
      <c r="H3755" t="str">
        <f>"00866589"</f>
        <v>00866589</v>
      </c>
      <c r="I3755">
        <v>14.4</v>
      </c>
      <c r="J3755">
        <v>0</v>
      </c>
      <c r="N3755">
        <v>0</v>
      </c>
      <c r="O3755">
        <v>4</v>
      </c>
      <c r="P3755">
        <v>0</v>
      </c>
      <c r="Q3755">
        <v>18.399999999999999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D3755">
        <v>18.399999999999999</v>
      </c>
    </row>
    <row r="3756" spans="1:30" x14ac:dyDescent="0.3">
      <c r="A3756" s="4">
        <v>3778</v>
      </c>
      <c r="B3756" s="5">
        <v>3749</v>
      </c>
      <c r="C3756">
        <v>4550</v>
      </c>
      <c r="D3756" t="s">
        <v>7678</v>
      </c>
      <c r="E3756" t="s">
        <v>3243</v>
      </c>
      <c r="F3756" t="s">
        <v>158</v>
      </c>
      <c r="G3756" t="s">
        <v>7679</v>
      </c>
      <c r="H3756" t="str">
        <f>"00532633"</f>
        <v>00532633</v>
      </c>
      <c r="I3756">
        <v>14.4</v>
      </c>
      <c r="J3756">
        <v>0</v>
      </c>
      <c r="N3756">
        <v>0</v>
      </c>
      <c r="O3756">
        <v>4</v>
      </c>
      <c r="P3756">
        <v>0</v>
      </c>
      <c r="Q3756">
        <v>18.399999999999999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D3756">
        <v>18.399999999999999</v>
      </c>
    </row>
    <row r="3757" spans="1:30" x14ac:dyDescent="0.3">
      <c r="A3757" s="4">
        <v>3779</v>
      </c>
      <c r="B3757" s="5">
        <v>3750</v>
      </c>
      <c r="C3757">
        <v>4036</v>
      </c>
      <c r="D3757" t="s">
        <v>2260</v>
      </c>
      <c r="E3757" t="s">
        <v>1280</v>
      </c>
      <c r="F3757" t="s">
        <v>30</v>
      </c>
      <c r="G3757" t="s">
        <v>7680</v>
      </c>
      <c r="H3757" t="str">
        <f>"00854494"</f>
        <v>00854494</v>
      </c>
      <c r="I3757">
        <v>14.4</v>
      </c>
      <c r="J3757">
        <v>0</v>
      </c>
      <c r="M3757">
        <v>4</v>
      </c>
      <c r="N3757">
        <v>4</v>
      </c>
      <c r="O3757">
        <v>0</v>
      </c>
      <c r="P3757">
        <v>0</v>
      </c>
      <c r="Q3757">
        <v>18.399999999999999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D3757">
        <v>18.399999999999999</v>
      </c>
    </row>
    <row r="3758" spans="1:30" x14ac:dyDescent="0.3">
      <c r="A3758" s="4">
        <v>3780</v>
      </c>
      <c r="B3758" s="5">
        <v>3751</v>
      </c>
      <c r="C3758">
        <v>2166</v>
      </c>
      <c r="D3758" t="s">
        <v>2008</v>
      </c>
      <c r="E3758" t="s">
        <v>258</v>
      </c>
      <c r="F3758" t="s">
        <v>38</v>
      </c>
      <c r="G3758" t="s">
        <v>7681</v>
      </c>
      <c r="H3758" t="str">
        <f>"201410003941"</f>
        <v>201410003941</v>
      </c>
      <c r="I3758">
        <v>14.4</v>
      </c>
      <c r="J3758">
        <v>0</v>
      </c>
      <c r="N3758">
        <v>0</v>
      </c>
      <c r="O3758">
        <v>4</v>
      </c>
      <c r="P3758">
        <v>0</v>
      </c>
      <c r="Q3758">
        <v>18.399999999999999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D3758">
        <v>18.399999999999999</v>
      </c>
    </row>
    <row r="3759" spans="1:30" x14ac:dyDescent="0.3">
      <c r="A3759" s="4">
        <v>3781</v>
      </c>
      <c r="B3759" s="5">
        <v>3752</v>
      </c>
      <c r="C3759">
        <v>4463</v>
      </c>
      <c r="D3759" t="s">
        <v>7682</v>
      </c>
      <c r="E3759" t="s">
        <v>100</v>
      </c>
      <c r="F3759" t="s">
        <v>17</v>
      </c>
      <c r="G3759" t="s">
        <v>7683</v>
      </c>
      <c r="H3759" t="str">
        <f>"00860535"</f>
        <v>00860535</v>
      </c>
      <c r="I3759">
        <v>14.4</v>
      </c>
      <c r="J3759">
        <v>0</v>
      </c>
      <c r="N3759">
        <v>0</v>
      </c>
      <c r="O3759">
        <v>4</v>
      </c>
      <c r="P3759">
        <v>0</v>
      </c>
      <c r="Q3759">
        <v>18.399999999999999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D3759">
        <v>18.399999999999999</v>
      </c>
    </row>
    <row r="3760" spans="1:30" x14ac:dyDescent="0.3">
      <c r="A3760" s="4">
        <v>3782</v>
      </c>
      <c r="B3760" s="5">
        <v>3753</v>
      </c>
      <c r="C3760">
        <v>3736</v>
      </c>
      <c r="D3760" t="s">
        <v>3889</v>
      </c>
      <c r="E3760" t="s">
        <v>26</v>
      </c>
      <c r="F3760" t="s">
        <v>30</v>
      </c>
      <c r="G3760" t="s">
        <v>7684</v>
      </c>
      <c r="H3760" t="str">
        <f>"00558987"</f>
        <v>00558987</v>
      </c>
      <c r="I3760">
        <v>14.4</v>
      </c>
      <c r="J3760">
        <v>0</v>
      </c>
      <c r="N3760">
        <v>0</v>
      </c>
      <c r="O3760">
        <v>4</v>
      </c>
      <c r="P3760">
        <v>0</v>
      </c>
      <c r="Q3760">
        <v>18.399999999999999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D3760">
        <v>18.399999999999999</v>
      </c>
    </row>
    <row r="3761" spans="1:30" x14ac:dyDescent="0.3">
      <c r="A3761" s="4">
        <v>3783</v>
      </c>
      <c r="B3761" s="5">
        <v>3754</v>
      </c>
      <c r="C3761">
        <v>2808</v>
      </c>
      <c r="D3761" t="s">
        <v>7685</v>
      </c>
      <c r="E3761" t="s">
        <v>65</v>
      </c>
      <c r="F3761" t="s">
        <v>136</v>
      </c>
      <c r="G3761" t="s">
        <v>7686</v>
      </c>
      <c r="H3761" t="str">
        <f>"00273060"</f>
        <v>00273060</v>
      </c>
      <c r="I3761">
        <v>14.4</v>
      </c>
      <c r="J3761">
        <v>0</v>
      </c>
      <c r="N3761">
        <v>0</v>
      </c>
      <c r="O3761">
        <v>4</v>
      </c>
      <c r="P3761">
        <v>0</v>
      </c>
      <c r="Q3761">
        <v>18.399999999999999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D3761">
        <v>18.399999999999999</v>
      </c>
    </row>
    <row r="3762" spans="1:30" x14ac:dyDescent="0.3">
      <c r="A3762" s="4">
        <v>3784</v>
      </c>
      <c r="B3762" s="5">
        <v>3755</v>
      </c>
      <c r="C3762">
        <v>4668</v>
      </c>
      <c r="D3762" t="s">
        <v>3454</v>
      </c>
      <c r="E3762" t="s">
        <v>147</v>
      </c>
      <c r="F3762" t="s">
        <v>55</v>
      </c>
      <c r="G3762" t="s">
        <v>7687</v>
      </c>
      <c r="H3762" t="str">
        <f>"00150961"</f>
        <v>00150961</v>
      </c>
      <c r="I3762">
        <v>14.4</v>
      </c>
      <c r="J3762">
        <v>0</v>
      </c>
      <c r="N3762">
        <v>0</v>
      </c>
      <c r="O3762">
        <v>4</v>
      </c>
      <c r="P3762">
        <v>0</v>
      </c>
      <c r="Q3762">
        <v>18.399999999999999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D3762">
        <v>18.399999999999999</v>
      </c>
    </row>
    <row r="3763" spans="1:30" x14ac:dyDescent="0.3">
      <c r="A3763" s="4">
        <v>3785</v>
      </c>
      <c r="B3763" s="5">
        <v>3756</v>
      </c>
      <c r="C3763">
        <v>4625</v>
      </c>
      <c r="D3763" t="s">
        <v>7688</v>
      </c>
      <c r="E3763" t="s">
        <v>7689</v>
      </c>
      <c r="F3763" t="s">
        <v>539</v>
      </c>
      <c r="G3763" t="s">
        <v>7690</v>
      </c>
      <c r="H3763" t="str">
        <f>"201406017295"</f>
        <v>201406017295</v>
      </c>
      <c r="I3763">
        <v>14.4</v>
      </c>
      <c r="J3763">
        <v>0</v>
      </c>
      <c r="N3763">
        <v>0</v>
      </c>
      <c r="O3763">
        <v>4</v>
      </c>
      <c r="P3763">
        <v>0</v>
      </c>
      <c r="Q3763">
        <v>18.399999999999999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D3763">
        <v>18.399999999999999</v>
      </c>
    </row>
    <row r="3764" spans="1:30" x14ac:dyDescent="0.3">
      <c r="A3764" s="4">
        <v>3786</v>
      </c>
      <c r="B3764" s="5">
        <v>3757</v>
      </c>
      <c r="C3764">
        <v>825</v>
      </c>
      <c r="D3764" t="s">
        <v>2320</v>
      </c>
      <c r="E3764" t="s">
        <v>54</v>
      </c>
      <c r="F3764" t="s">
        <v>587</v>
      </c>
      <c r="G3764" t="s">
        <v>7691</v>
      </c>
      <c r="H3764" t="str">
        <f>"00368290"</f>
        <v>00368290</v>
      </c>
      <c r="I3764">
        <v>14.4</v>
      </c>
      <c r="J3764">
        <v>0</v>
      </c>
      <c r="N3764">
        <v>0</v>
      </c>
      <c r="O3764">
        <v>4</v>
      </c>
      <c r="P3764">
        <v>0</v>
      </c>
      <c r="Q3764">
        <v>18.399999999999999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D3764">
        <v>18.399999999999999</v>
      </c>
    </row>
    <row r="3765" spans="1:30" x14ac:dyDescent="0.3">
      <c r="A3765" s="4">
        <v>3787</v>
      </c>
      <c r="B3765" s="5">
        <v>3758</v>
      </c>
      <c r="C3765">
        <v>2057</v>
      </c>
      <c r="D3765" t="s">
        <v>7692</v>
      </c>
      <c r="E3765" t="s">
        <v>100</v>
      </c>
      <c r="F3765" t="s">
        <v>136</v>
      </c>
      <c r="G3765" t="s">
        <v>7693</v>
      </c>
      <c r="H3765" t="str">
        <f>"00864524"</f>
        <v>00864524</v>
      </c>
      <c r="I3765">
        <v>14.4</v>
      </c>
      <c r="J3765">
        <v>0</v>
      </c>
      <c r="N3765">
        <v>0</v>
      </c>
      <c r="O3765">
        <v>4</v>
      </c>
      <c r="P3765">
        <v>0</v>
      </c>
      <c r="Q3765">
        <v>18.399999999999999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D3765">
        <v>18.399999999999999</v>
      </c>
    </row>
    <row r="3766" spans="1:30" x14ac:dyDescent="0.3">
      <c r="A3766" s="4">
        <v>3788</v>
      </c>
      <c r="B3766" s="5">
        <v>3759</v>
      </c>
      <c r="C3766">
        <v>2641</v>
      </c>
      <c r="D3766" t="s">
        <v>7694</v>
      </c>
      <c r="E3766" t="s">
        <v>7695</v>
      </c>
      <c r="F3766" t="s">
        <v>136</v>
      </c>
      <c r="G3766" t="s">
        <v>7696</v>
      </c>
      <c r="H3766" t="str">
        <f>"00861882"</f>
        <v>00861882</v>
      </c>
      <c r="I3766">
        <v>14.4</v>
      </c>
      <c r="J3766">
        <v>0</v>
      </c>
      <c r="N3766">
        <v>0</v>
      </c>
      <c r="O3766">
        <v>4</v>
      </c>
      <c r="P3766">
        <v>0</v>
      </c>
      <c r="Q3766">
        <v>18.399999999999999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D3766">
        <v>18.399999999999999</v>
      </c>
    </row>
    <row r="3767" spans="1:30" x14ac:dyDescent="0.3">
      <c r="A3767" s="4">
        <v>3789</v>
      </c>
      <c r="B3767" s="5">
        <v>3760</v>
      </c>
      <c r="C3767">
        <v>1467</v>
      </c>
      <c r="D3767" t="s">
        <v>7697</v>
      </c>
      <c r="E3767" t="s">
        <v>355</v>
      </c>
      <c r="F3767" t="s">
        <v>117</v>
      </c>
      <c r="G3767" t="s">
        <v>7698</v>
      </c>
      <c r="H3767" t="str">
        <f>"00152321"</f>
        <v>00152321</v>
      </c>
      <c r="I3767">
        <v>14.4</v>
      </c>
      <c r="J3767">
        <v>0</v>
      </c>
      <c r="N3767">
        <v>0</v>
      </c>
      <c r="O3767">
        <v>4</v>
      </c>
      <c r="P3767">
        <v>0</v>
      </c>
      <c r="Q3767">
        <v>18.399999999999999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D3767">
        <v>18.399999999999999</v>
      </c>
    </row>
    <row r="3768" spans="1:30" x14ac:dyDescent="0.3">
      <c r="A3768" s="4">
        <v>3790</v>
      </c>
      <c r="B3768" s="5">
        <v>3761</v>
      </c>
      <c r="C3768">
        <v>4881</v>
      </c>
      <c r="D3768" t="s">
        <v>2695</v>
      </c>
      <c r="E3768" t="s">
        <v>516</v>
      </c>
      <c r="F3768" t="s">
        <v>117</v>
      </c>
      <c r="G3768" t="s">
        <v>7699</v>
      </c>
      <c r="H3768" t="str">
        <f>"00089288"</f>
        <v>00089288</v>
      </c>
      <c r="I3768">
        <v>14.4</v>
      </c>
      <c r="J3768">
        <v>0</v>
      </c>
      <c r="N3768">
        <v>0</v>
      </c>
      <c r="O3768">
        <v>4</v>
      </c>
      <c r="P3768">
        <v>0</v>
      </c>
      <c r="Q3768">
        <v>18.399999999999999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D3768">
        <v>18.399999999999999</v>
      </c>
    </row>
    <row r="3769" spans="1:30" x14ac:dyDescent="0.3">
      <c r="A3769" s="4">
        <v>3791</v>
      </c>
      <c r="B3769" s="5">
        <v>3762</v>
      </c>
      <c r="C3769">
        <v>2426</v>
      </c>
      <c r="D3769" t="s">
        <v>322</v>
      </c>
      <c r="E3769" t="s">
        <v>110</v>
      </c>
      <c r="F3769" t="s">
        <v>68</v>
      </c>
      <c r="G3769" t="s">
        <v>7700</v>
      </c>
      <c r="H3769" t="str">
        <f>"00530625"</f>
        <v>00530625</v>
      </c>
      <c r="I3769">
        <v>18.28</v>
      </c>
      <c r="J3769">
        <v>0</v>
      </c>
      <c r="N3769">
        <v>0</v>
      </c>
      <c r="O3769">
        <v>0</v>
      </c>
      <c r="P3769">
        <v>0</v>
      </c>
      <c r="Q3769">
        <v>18.28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D3769">
        <v>18.28</v>
      </c>
    </row>
    <row r="3770" spans="1:30" x14ac:dyDescent="0.3">
      <c r="A3770" s="4">
        <v>3792</v>
      </c>
      <c r="B3770" s="5">
        <v>3763</v>
      </c>
      <c r="C3770">
        <v>4193</v>
      </c>
      <c r="D3770" t="s">
        <v>4097</v>
      </c>
      <c r="E3770" t="s">
        <v>494</v>
      </c>
      <c r="F3770" t="s">
        <v>136</v>
      </c>
      <c r="G3770" t="s">
        <v>7701</v>
      </c>
      <c r="H3770" t="str">
        <f>"00515791"</f>
        <v>00515791</v>
      </c>
      <c r="I3770">
        <v>7.2</v>
      </c>
      <c r="J3770">
        <v>0</v>
      </c>
      <c r="N3770">
        <v>0</v>
      </c>
      <c r="O3770">
        <v>4</v>
      </c>
      <c r="P3770">
        <v>2</v>
      </c>
      <c r="Q3770">
        <v>13.2</v>
      </c>
      <c r="R3770">
        <v>5</v>
      </c>
      <c r="S3770">
        <v>5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5</v>
      </c>
      <c r="AA3770">
        <v>0</v>
      </c>
      <c r="AB3770">
        <v>0</v>
      </c>
      <c r="AD3770">
        <v>18.2</v>
      </c>
    </row>
    <row r="3771" spans="1:30" x14ac:dyDescent="0.3">
      <c r="A3771" s="4">
        <v>3793</v>
      </c>
      <c r="B3771" s="5">
        <v>3764</v>
      </c>
      <c r="C3771">
        <v>1164</v>
      </c>
      <c r="D3771" t="s">
        <v>7702</v>
      </c>
      <c r="E3771" t="s">
        <v>7703</v>
      </c>
      <c r="F3771" t="s">
        <v>3130</v>
      </c>
      <c r="G3771" t="s">
        <v>7704</v>
      </c>
      <c r="H3771" t="str">
        <f>"00520568"</f>
        <v>00520568</v>
      </c>
      <c r="I3771">
        <v>7.2</v>
      </c>
      <c r="J3771">
        <v>0</v>
      </c>
      <c r="N3771">
        <v>0</v>
      </c>
      <c r="O3771">
        <v>0</v>
      </c>
      <c r="P3771">
        <v>0</v>
      </c>
      <c r="Q3771">
        <v>7.2</v>
      </c>
      <c r="R3771">
        <v>11</v>
      </c>
      <c r="S3771">
        <v>11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11</v>
      </c>
      <c r="AA3771">
        <v>0</v>
      </c>
      <c r="AB3771">
        <v>0</v>
      </c>
      <c r="AD3771">
        <v>18.2</v>
      </c>
    </row>
    <row r="3772" spans="1:30" x14ac:dyDescent="0.3">
      <c r="A3772" s="4">
        <v>3794</v>
      </c>
      <c r="B3772" s="5">
        <v>3765</v>
      </c>
      <c r="C3772">
        <v>2192</v>
      </c>
      <c r="D3772" t="s">
        <v>7705</v>
      </c>
      <c r="E3772" t="s">
        <v>1659</v>
      </c>
      <c r="F3772" t="s">
        <v>62</v>
      </c>
      <c r="G3772" t="s">
        <v>7706</v>
      </c>
      <c r="H3772" t="str">
        <f>"00459343"</f>
        <v>00459343</v>
      </c>
      <c r="I3772">
        <v>0</v>
      </c>
      <c r="J3772">
        <v>0</v>
      </c>
      <c r="M3772">
        <v>4</v>
      </c>
      <c r="N3772">
        <v>4</v>
      </c>
      <c r="O3772">
        <v>4</v>
      </c>
      <c r="P3772">
        <v>0</v>
      </c>
      <c r="Q3772">
        <v>8</v>
      </c>
      <c r="R3772">
        <v>7</v>
      </c>
      <c r="S3772">
        <v>7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7</v>
      </c>
      <c r="AA3772">
        <v>3</v>
      </c>
      <c r="AB3772">
        <v>0</v>
      </c>
      <c r="AD3772">
        <v>18</v>
      </c>
    </row>
    <row r="3773" spans="1:30" x14ac:dyDescent="0.3">
      <c r="A3773" s="4">
        <v>3795</v>
      </c>
      <c r="B3773" s="5">
        <v>3766</v>
      </c>
      <c r="C3773">
        <v>1244</v>
      </c>
      <c r="D3773" t="s">
        <v>421</v>
      </c>
      <c r="E3773" t="s">
        <v>29</v>
      </c>
      <c r="F3773" t="s">
        <v>193</v>
      </c>
      <c r="G3773" t="s">
        <v>7707</v>
      </c>
      <c r="H3773" t="str">
        <f>"00099253"</f>
        <v>00099253</v>
      </c>
      <c r="I3773">
        <v>16</v>
      </c>
      <c r="J3773">
        <v>0</v>
      </c>
      <c r="N3773">
        <v>0</v>
      </c>
      <c r="O3773">
        <v>0</v>
      </c>
      <c r="P3773">
        <v>2</v>
      </c>
      <c r="Q3773">
        <v>18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D3773">
        <v>18</v>
      </c>
    </row>
    <row r="3774" spans="1:30" x14ac:dyDescent="0.3">
      <c r="A3774" s="4">
        <v>3796</v>
      </c>
      <c r="B3774" s="5">
        <v>3767</v>
      </c>
      <c r="C3774">
        <v>356</v>
      </c>
      <c r="D3774" t="s">
        <v>7708</v>
      </c>
      <c r="E3774" t="s">
        <v>62</v>
      </c>
      <c r="F3774" t="s">
        <v>909</v>
      </c>
      <c r="G3774" t="s">
        <v>7709</v>
      </c>
      <c r="H3774" t="str">
        <f>"00541902"</f>
        <v>00541902</v>
      </c>
      <c r="I3774">
        <v>0</v>
      </c>
      <c r="J3774">
        <v>10</v>
      </c>
      <c r="M3774">
        <v>4</v>
      </c>
      <c r="N3774">
        <v>4</v>
      </c>
      <c r="O3774">
        <v>4</v>
      </c>
      <c r="P3774">
        <v>0</v>
      </c>
      <c r="Q3774">
        <v>18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D3774">
        <v>18</v>
      </c>
    </row>
    <row r="3775" spans="1:30" x14ac:dyDescent="0.3">
      <c r="A3775" s="4">
        <v>3797</v>
      </c>
      <c r="B3775" s="5">
        <v>3768</v>
      </c>
      <c r="C3775">
        <v>3867</v>
      </c>
      <c r="D3775" t="s">
        <v>7710</v>
      </c>
      <c r="E3775" t="s">
        <v>7711</v>
      </c>
      <c r="F3775" t="s">
        <v>7712</v>
      </c>
      <c r="G3775" t="s">
        <v>7713</v>
      </c>
      <c r="H3775" t="str">
        <f>"00162672"</f>
        <v>00162672</v>
      </c>
      <c r="I3775">
        <v>0</v>
      </c>
      <c r="J3775">
        <v>0</v>
      </c>
      <c r="K3775">
        <v>8</v>
      </c>
      <c r="N3775">
        <v>8</v>
      </c>
      <c r="O3775">
        <v>4</v>
      </c>
      <c r="P3775">
        <v>0</v>
      </c>
      <c r="Q3775">
        <v>12</v>
      </c>
      <c r="R3775">
        <v>6</v>
      </c>
      <c r="S3775">
        <v>6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6</v>
      </c>
      <c r="AA3775">
        <v>0</v>
      </c>
      <c r="AB3775">
        <v>0</v>
      </c>
      <c r="AD3775">
        <v>18</v>
      </c>
    </row>
    <row r="3776" spans="1:30" x14ac:dyDescent="0.3">
      <c r="A3776" s="4">
        <v>3798</v>
      </c>
      <c r="B3776" s="5">
        <v>3769</v>
      </c>
      <c r="C3776">
        <v>3504</v>
      </c>
      <c r="D3776" t="s">
        <v>7714</v>
      </c>
      <c r="E3776" t="s">
        <v>208</v>
      </c>
      <c r="F3776" t="s">
        <v>17</v>
      </c>
      <c r="G3776" t="s">
        <v>7715</v>
      </c>
      <c r="H3776" t="str">
        <f>"00862040"</f>
        <v>00862040</v>
      </c>
      <c r="I3776">
        <v>14.92</v>
      </c>
      <c r="J3776">
        <v>0</v>
      </c>
      <c r="N3776">
        <v>0</v>
      </c>
      <c r="O3776">
        <v>0</v>
      </c>
      <c r="P3776">
        <v>0</v>
      </c>
      <c r="Q3776">
        <v>14.92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3</v>
      </c>
      <c r="AB3776">
        <v>0</v>
      </c>
      <c r="AD3776">
        <v>17.920000000000002</v>
      </c>
    </row>
    <row r="3777" spans="1:30" x14ac:dyDescent="0.3">
      <c r="A3777" s="4">
        <v>3799</v>
      </c>
      <c r="B3777" s="5">
        <v>3770</v>
      </c>
      <c r="C3777">
        <v>2779</v>
      </c>
      <c r="D3777" t="s">
        <v>7716</v>
      </c>
      <c r="E3777" t="s">
        <v>265</v>
      </c>
      <c r="F3777" t="s">
        <v>17</v>
      </c>
      <c r="G3777" t="s">
        <v>7717</v>
      </c>
      <c r="H3777" t="str">
        <f>"00045149"</f>
        <v>00045149</v>
      </c>
      <c r="I3777">
        <v>14.8</v>
      </c>
      <c r="J3777">
        <v>0</v>
      </c>
      <c r="N3777">
        <v>0</v>
      </c>
      <c r="O3777">
        <v>0</v>
      </c>
      <c r="P3777">
        <v>0</v>
      </c>
      <c r="Q3777">
        <v>14.8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3</v>
      </c>
      <c r="AB3777">
        <v>0</v>
      </c>
      <c r="AD3777">
        <v>17.8</v>
      </c>
    </row>
    <row r="3778" spans="1:30" x14ac:dyDescent="0.3">
      <c r="A3778" s="4">
        <v>3800</v>
      </c>
      <c r="B3778" s="5">
        <v>3771</v>
      </c>
      <c r="C3778">
        <v>4683</v>
      </c>
      <c r="D3778" t="s">
        <v>7718</v>
      </c>
      <c r="E3778" t="s">
        <v>343</v>
      </c>
      <c r="F3778" t="s">
        <v>136</v>
      </c>
      <c r="G3778" t="s">
        <v>7719</v>
      </c>
      <c r="H3778" t="str">
        <f>"00352236"</f>
        <v>00352236</v>
      </c>
      <c r="I3778">
        <v>17.72</v>
      </c>
      <c r="J3778">
        <v>0</v>
      </c>
      <c r="N3778">
        <v>0</v>
      </c>
      <c r="O3778">
        <v>0</v>
      </c>
      <c r="P3778">
        <v>0</v>
      </c>
      <c r="Q3778">
        <v>17.72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D3778">
        <v>17.72</v>
      </c>
    </row>
    <row r="3779" spans="1:30" x14ac:dyDescent="0.3">
      <c r="A3779" s="4">
        <v>3801</v>
      </c>
      <c r="B3779" s="5">
        <v>3772</v>
      </c>
      <c r="C3779">
        <v>3249</v>
      </c>
      <c r="D3779" t="s">
        <v>7720</v>
      </c>
      <c r="E3779" t="s">
        <v>789</v>
      </c>
      <c r="F3779" t="s">
        <v>91</v>
      </c>
      <c r="G3779" t="s">
        <v>7721</v>
      </c>
      <c r="H3779" t="str">
        <f>"00862135"</f>
        <v>00862135</v>
      </c>
      <c r="I3779">
        <v>17.600000000000001</v>
      </c>
      <c r="J3779">
        <v>0</v>
      </c>
      <c r="N3779">
        <v>0</v>
      </c>
      <c r="O3779">
        <v>0</v>
      </c>
      <c r="P3779">
        <v>0</v>
      </c>
      <c r="Q3779">
        <v>17.600000000000001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D3779">
        <v>17.600000000000001</v>
      </c>
    </row>
    <row r="3780" spans="1:30" x14ac:dyDescent="0.3">
      <c r="A3780" s="4">
        <v>3802</v>
      </c>
      <c r="B3780" s="5">
        <v>3773</v>
      </c>
      <c r="C3780">
        <v>4551</v>
      </c>
      <c r="D3780" t="s">
        <v>7722</v>
      </c>
      <c r="E3780" t="s">
        <v>7723</v>
      </c>
      <c r="F3780" t="s">
        <v>167</v>
      </c>
      <c r="G3780" t="s">
        <v>7724</v>
      </c>
      <c r="H3780" t="str">
        <f>"00080296"</f>
        <v>00080296</v>
      </c>
      <c r="I3780">
        <v>13.6</v>
      </c>
      <c r="J3780">
        <v>0</v>
      </c>
      <c r="N3780">
        <v>0</v>
      </c>
      <c r="O3780">
        <v>4</v>
      </c>
      <c r="P3780">
        <v>0</v>
      </c>
      <c r="Q3780">
        <v>17.600000000000001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D3780">
        <v>17.600000000000001</v>
      </c>
    </row>
    <row r="3781" spans="1:30" x14ac:dyDescent="0.3">
      <c r="A3781" s="4">
        <v>3803</v>
      </c>
      <c r="B3781" s="5">
        <v>3774</v>
      </c>
      <c r="C3781">
        <v>2880</v>
      </c>
      <c r="D3781" t="s">
        <v>6302</v>
      </c>
      <c r="E3781" t="s">
        <v>88</v>
      </c>
      <c r="F3781" t="s">
        <v>158</v>
      </c>
      <c r="G3781" t="s">
        <v>7725</v>
      </c>
      <c r="H3781" t="str">
        <f>"00654300"</f>
        <v>00654300</v>
      </c>
      <c r="I3781">
        <v>14.4</v>
      </c>
      <c r="J3781">
        <v>0</v>
      </c>
      <c r="N3781">
        <v>0</v>
      </c>
      <c r="O3781">
        <v>0</v>
      </c>
      <c r="P3781">
        <v>0</v>
      </c>
      <c r="Q3781">
        <v>14.4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3</v>
      </c>
      <c r="AB3781">
        <v>0</v>
      </c>
      <c r="AD3781">
        <v>17.399999999999999</v>
      </c>
    </row>
    <row r="3782" spans="1:30" x14ac:dyDescent="0.3">
      <c r="A3782" s="4">
        <v>3804</v>
      </c>
      <c r="B3782" s="5">
        <v>3775</v>
      </c>
      <c r="C3782">
        <v>4443</v>
      </c>
      <c r="D3782" t="s">
        <v>6738</v>
      </c>
      <c r="E3782" t="s">
        <v>188</v>
      </c>
      <c r="F3782" t="s">
        <v>81</v>
      </c>
      <c r="G3782" t="s">
        <v>7726</v>
      </c>
      <c r="H3782" t="str">
        <f>"00530811"</f>
        <v>00530811</v>
      </c>
      <c r="I3782">
        <v>14.4</v>
      </c>
      <c r="J3782">
        <v>0</v>
      </c>
      <c r="N3782">
        <v>0</v>
      </c>
      <c r="O3782">
        <v>0</v>
      </c>
      <c r="P3782">
        <v>0</v>
      </c>
      <c r="Q3782">
        <v>14.4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3</v>
      </c>
      <c r="AB3782">
        <v>0</v>
      </c>
      <c r="AD3782">
        <v>17.399999999999999</v>
      </c>
    </row>
    <row r="3783" spans="1:30" x14ac:dyDescent="0.3">
      <c r="A3783" s="4">
        <v>3805</v>
      </c>
      <c r="B3783" s="5">
        <v>3776</v>
      </c>
      <c r="C3783">
        <v>2031</v>
      </c>
      <c r="D3783" t="s">
        <v>4781</v>
      </c>
      <c r="E3783" t="s">
        <v>7727</v>
      </c>
      <c r="F3783" t="s">
        <v>30</v>
      </c>
      <c r="G3783" t="s">
        <v>7728</v>
      </c>
      <c r="H3783" t="str">
        <f>"00441594"</f>
        <v>00441594</v>
      </c>
      <c r="I3783">
        <v>14.4</v>
      </c>
      <c r="J3783">
        <v>0</v>
      </c>
      <c r="N3783">
        <v>0</v>
      </c>
      <c r="O3783">
        <v>0</v>
      </c>
      <c r="P3783">
        <v>0</v>
      </c>
      <c r="Q3783">
        <v>14.4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3</v>
      </c>
      <c r="AB3783">
        <v>0</v>
      </c>
      <c r="AD3783">
        <v>17.399999999999999</v>
      </c>
    </row>
    <row r="3784" spans="1:30" x14ac:dyDescent="0.3">
      <c r="A3784" s="4">
        <v>3806</v>
      </c>
      <c r="B3784" s="5">
        <v>3777</v>
      </c>
      <c r="C3784">
        <v>4963</v>
      </c>
      <c r="D3784" t="s">
        <v>7729</v>
      </c>
      <c r="E3784" t="s">
        <v>41</v>
      </c>
      <c r="F3784" t="s">
        <v>38</v>
      </c>
      <c r="G3784" t="s">
        <v>7730</v>
      </c>
      <c r="H3784" t="str">
        <f>"201511019752"</f>
        <v>201511019752</v>
      </c>
      <c r="I3784">
        <v>14.4</v>
      </c>
      <c r="J3784">
        <v>0</v>
      </c>
      <c r="N3784">
        <v>0</v>
      </c>
      <c r="O3784">
        <v>0</v>
      </c>
      <c r="P3784">
        <v>0</v>
      </c>
      <c r="Q3784">
        <v>14.4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3</v>
      </c>
      <c r="AB3784">
        <v>0</v>
      </c>
      <c r="AD3784">
        <v>17.399999999999999</v>
      </c>
    </row>
    <row r="3785" spans="1:30" x14ac:dyDescent="0.3">
      <c r="A3785" s="4">
        <v>3807</v>
      </c>
      <c r="B3785" s="5">
        <v>3778</v>
      </c>
      <c r="C3785">
        <v>659</v>
      </c>
      <c r="D3785" t="s">
        <v>7731</v>
      </c>
      <c r="E3785" t="s">
        <v>7732</v>
      </c>
      <c r="F3785" t="s">
        <v>81</v>
      </c>
      <c r="G3785" t="s">
        <v>7733</v>
      </c>
      <c r="H3785" t="str">
        <f>"00162432"</f>
        <v>00162432</v>
      </c>
      <c r="I3785">
        <v>17.32</v>
      </c>
      <c r="J3785">
        <v>0</v>
      </c>
      <c r="N3785">
        <v>0</v>
      </c>
      <c r="O3785">
        <v>0</v>
      </c>
      <c r="P3785">
        <v>0</v>
      </c>
      <c r="Q3785">
        <v>17.32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D3785">
        <v>17.32</v>
      </c>
    </row>
    <row r="3786" spans="1:30" x14ac:dyDescent="0.3">
      <c r="A3786" s="4">
        <v>3808</v>
      </c>
      <c r="B3786" s="5">
        <v>3779</v>
      </c>
      <c r="C3786">
        <v>2826</v>
      </c>
      <c r="D3786" t="s">
        <v>7734</v>
      </c>
      <c r="E3786" t="s">
        <v>286</v>
      </c>
      <c r="F3786" t="s">
        <v>136</v>
      </c>
      <c r="G3786" t="s">
        <v>7735</v>
      </c>
      <c r="H3786" t="str">
        <f>"00864207"</f>
        <v>00864207</v>
      </c>
      <c r="I3786">
        <v>14.28</v>
      </c>
      <c r="J3786">
        <v>0</v>
      </c>
      <c r="N3786">
        <v>0</v>
      </c>
      <c r="O3786">
        <v>0</v>
      </c>
      <c r="P3786">
        <v>0</v>
      </c>
      <c r="Q3786">
        <v>14.28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3</v>
      </c>
      <c r="AB3786">
        <v>0</v>
      </c>
      <c r="AD3786">
        <v>17.28</v>
      </c>
    </row>
    <row r="3787" spans="1:30" x14ac:dyDescent="0.3">
      <c r="A3787" s="4">
        <v>3809</v>
      </c>
      <c r="B3787" s="5">
        <v>3780</v>
      </c>
      <c r="C3787">
        <v>4866</v>
      </c>
      <c r="D3787" t="s">
        <v>7736</v>
      </c>
      <c r="E3787" t="s">
        <v>7737</v>
      </c>
      <c r="F3787" t="s">
        <v>4680</v>
      </c>
      <c r="G3787" t="s">
        <v>7738</v>
      </c>
      <c r="H3787" t="str">
        <f>"00526226"</f>
        <v>00526226</v>
      </c>
      <c r="I3787">
        <v>11.28</v>
      </c>
      <c r="J3787">
        <v>0</v>
      </c>
      <c r="N3787">
        <v>0</v>
      </c>
      <c r="O3787">
        <v>4</v>
      </c>
      <c r="P3787">
        <v>2</v>
      </c>
      <c r="Q3787">
        <v>17.28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D3787">
        <v>17.28</v>
      </c>
    </row>
    <row r="3788" spans="1:30" x14ac:dyDescent="0.3">
      <c r="A3788" s="4">
        <v>3810</v>
      </c>
      <c r="B3788" s="5">
        <v>3781</v>
      </c>
      <c r="C3788">
        <v>3910</v>
      </c>
      <c r="D3788" t="s">
        <v>7274</v>
      </c>
      <c r="E3788" t="s">
        <v>2643</v>
      </c>
      <c r="F3788" t="s">
        <v>136</v>
      </c>
      <c r="G3788" t="s">
        <v>7739</v>
      </c>
      <c r="H3788" t="str">
        <f>"00529968"</f>
        <v>00529968</v>
      </c>
      <c r="I3788">
        <v>17.239999999999998</v>
      </c>
      <c r="J3788">
        <v>0</v>
      </c>
      <c r="N3788">
        <v>0</v>
      </c>
      <c r="O3788">
        <v>0</v>
      </c>
      <c r="P3788">
        <v>0</v>
      </c>
      <c r="Q3788">
        <v>17.239999999999998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D3788">
        <v>17.239999999999998</v>
      </c>
    </row>
    <row r="3789" spans="1:30" x14ac:dyDescent="0.3">
      <c r="A3789" s="4">
        <v>3811</v>
      </c>
      <c r="B3789" s="5">
        <v>3782</v>
      </c>
      <c r="C3789">
        <v>3934</v>
      </c>
      <c r="D3789" t="s">
        <v>1184</v>
      </c>
      <c r="E3789" t="s">
        <v>825</v>
      </c>
      <c r="F3789" t="s">
        <v>20</v>
      </c>
      <c r="G3789" t="s">
        <v>7740</v>
      </c>
      <c r="H3789" t="str">
        <f>"00650860"</f>
        <v>00650860</v>
      </c>
      <c r="I3789">
        <v>13.24</v>
      </c>
      <c r="J3789">
        <v>0</v>
      </c>
      <c r="N3789">
        <v>0</v>
      </c>
      <c r="O3789">
        <v>4</v>
      </c>
      <c r="P3789">
        <v>0</v>
      </c>
      <c r="Q3789">
        <v>17.239999999999998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D3789">
        <v>17.239999999999998</v>
      </c>
    </row>
    <row r="3790" spans="1:30" x14ac:dyDescent="0.3">
      <c r="A3790" s="4">
        <v>3812</v>
      </c>
      <c r="B3790" s="5">
        <v>3783</v>
      </c>
      <c r="C3790">
        <v>1658</v>
      </c>
      <c r="D3790" t="s">
        <v>7741</v>
      </c>
      <c r="E3790" t="s">
        <v>22</v>
      </c>
      <c r="F3790" t="s">
        <v>17</v>
      </c>
      <c r="G3790" t="s">
        <v>7742</v>
      </c>
      <c r="H3790" t="str">
        <f>"201511036326"</f>
        <v>201511036326</v>
      </c>
      <c r="I3790">
        <v>7.2</v>
      </c>
      <c r="J3790">
        <v>0</v>
      </c>
      <c r="N3790">
        <v>0</v>
      </c>
      <c r="O3790">
        <v>4</v>
      </c>
      <c r="P3790">
        <v>0</v>
      </c>
      <c r="Q3790">
        <v>11.2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6</v>
      </c>
      <c r="AB3790">
        <v>0</v>
      </c>
      <c r="AD3790">
        <v>17.2</v>
      </c>
    </row>
    <row r="3791" spans="1:30" x14ac:dyDescent="0.3">
      <c r="A3791" s="4">
        <v>3813</v>
      </c>
      <c r="B3791" s="5">
        <v>3784</v>
      </c>
      <c r="C3791">
        <v>2351</v>
      </c>
      <c r="D3791" t="s">
        <v>1814</v>
      </c>
      <c r="E3791" t="s">
        <v>7743</v>
      </c>
      <c r="F3791" t="s">
        <v>136</v>
      </c>
      <c r="G3791" t="s">
        <v>7744</v>
      </c>
      <c r="H3791" t="str">
        <f>"00856083"</f>
        <v>00856083</v>
      </c>
      <c r="I3791">
        <v>7.2</v>
      </c>
      <c r="J3791">
        <v>0</v>
      </c>
      <c r="N3791">
        <v>0</v>
      </c>
      <c r="O3791">
        <v>4</v>
      </c>
      <c r="P3791">
        <v>0</v>
      </c>
      <c r="Q3791">
        <v>11.2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6</v>
      </c>
      <c r="AB3791">
        <v>0</v>
      </c>
      <c r="AD3791">
        <v>17.2</v>
      </c>
    </row>
    <row r="3792" spans="1:30" x14ac:dyDescent="0.3">
      <c r="A3792" s="4">
        <v>3814</v>
      </c>
      <c r="B3792" s="5">
        <v>3785</v>
      </c>
      <c r="C3792">
        <v>4084</v>
      </c>
      <c r="D3792" t="s">
        <v>5651</v>
      </c>
      <c r="E3792" t="s">
        <v>560</v>
      </c>
      <c r="F3792" t="s">
        <v>55</v>
      </c>
      <c r="G3792" t="s">
        <v>7745</v>
      </c>
      <c r="H3792" t="str">
        <f>"00692676"</f>
        <v>00692676</v>
      </c>
      <c r="I3792">
        <v>7.2</v>
      </c>
      <c r="J3792">
        <v>0</v>
      </c>
      <c r="N3792">
        <v>0</v>
      </c>
      <c r="O3792">
        <v>4</v>
      </c>
      <c r="P3792">
        <v>0</v>
      </c>
      <c r="Q3792">
        <v>11.2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6</v>
      </c>
      <c r="AB3792">
        <v>0</v>
      </c>
      <c r="AD3792">
        <v>17.2</v>
      </c>
    </row>
    <row r="3793" spans="1:30" x14ac:dyDescent="0.3">
      <c r="A3793" s="4">
        <v>3815</v>
      </c>
      <c r="B3793" s="5">
        <v>3786</v>
      </c>
      <c r="C3793">
        <v>3535</v>
      </c>
      <c r="D3793" t="s">
        <v>7746</v>
      </c>
      <c r="E3793" t="s">
        <v>166</v>
      </c>
      <c r="F3793" t="s">
        <v>587</v>
      </c>
      <c r="G3793" t="s">
        <v>7747</v>
      </c>
      <c r="H3793" t="str">
        <f>"00699205"</f>
        <v>00699205</v>
      </c>
      <c r="I3793">
        <v>7.2</v>
      </c>
      <c r="J3793">
        <v>0</v>
      </c>
      <c r="N3793">
        <v>0</v>
      </c>
      <c r="O3793">
        <v>4</v>
      </c>
      <c r="P3793">
        <v>0</v>
      </c>
      <c r="Q3793">
        <v>11.2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6</v>
      </c>
      <c r="AB3793">
        <v>0</v>
      </c>
      <c r="AD3793">
        <v>17.2</v>
      </c>
    </row>
    <row r="3794" spans="1:30" x14ac:dyDescent="0.3">
      <c r="A3794" s="4">
        <v>3816</v>
      </c>
      <c r="B3794" s="5">
        <v>3787</v>
      </c>
      <c r="C3794">
        <v>2947</v>
      </c>
      <c r="D3794" t="s">
        <v>7748</v>
      </c>
      <c r="E3794" t="s">
        <v>1659</v>
      </c>
      <c r="F3794" t="s">
        <v>124</v>
      </c>
      <c r="G3794" t="s">
        <v>7749</v>
      </c>
      <c r="H3794" t="str">
        <f>"00506232"</f>
        <v>00506232</v>
      </c>
      <c r="I3794">
        <v>15.2</v>
      </c>
      <c r="J3794">
        <v>0</v>
      </c>
      <c r="N3794">
        <v>0</v>
      </c>
      <c r="O3794">
        <v>0</v>
      </c>
      <c r="P3794">
        <v>2</v>
      </c>
      <c r="Q3794">
        <v>17.2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D3794">
        <v>17.2</v>
      </c>
    </row>
    <row r="3795" spans="1:30" x14ac:dyDescent="0.3">
      <c r="A3795" s="4">
        <v>3817</v>
      </c>
      <c r="B3795" s="5">
        <v>3788</v>
      </c>
      <c r="C3795">
        <v>3860</v>
      </c>
      <c r="D3795" t="s">
        <v>7750</v>
      </c>
      <c r="E3795" t="s">
        <v>54</v>
      </c>
      <c r="F3795" t="s">
        <v>68</v>
      </c>
      <c r="G3795" t="s">
        <v>7751</v>
      </c>
      <c r="H3795" t="str">
        <f>"00652824"</f>
        <v>00652824</v>
      </c>
      <c r="I3795">
        <v>7.2</v>
      </c>
      <c r="J3795">
        <v>10</v>
      </c>
      <c r="N3795">
        <v>0</v>
      </c>
      <c r="O3795">
        <v>0</v>
      </c>
      <c r="P3795">
        <v>0</v>
      </c>
      <c r="Q3795">
        <v>17.2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D3795">
        <v>17.2</v>
      </c>
    </row>
    <row r="3796" spans="1:30" x14ac:dyDescent="0.3">
      <c r="A3796" s="4">
        <v>3818</v>
      </c>
      <c r="B3796" s="5">
        <v>3789</v>
      </c>
      <c r="C3796">
        <v>4317</v>
      </c>
      <c r="D3796" t="s">
        <v>74</v>
      </c>
      <c r="E3796" t="s">
        <v>37</v>
      </c>
      <c r="F3796" t="s">
        <v>570</v>
      </c>
      <c r="G3796" t="s">
        <v>7752</v>
      </c>
      <c r="H3796" t="str">
        <f>"00158133"</f>
        <v>00158133</v>
      </c>
      <c r="I3796">
        <v>7.2</v>
      </c>
      <c r="J3796">
        <v>0</v>
      </c>
      <c r="M3796">
        <v>4</v>
      </c>
      <c r="N3796">
        <v>4</v>
      </c>
      <c r="O3796">
        <v>4</v>
      </c>
      <c r="P3796">
        <v>2</v>
      </c>
      <c r="Q3796">
        <v>17.2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D3796">
        <v>17.2</v>
      </c>
    </row>
    <row r="3797" spans="1:30" x14ac:dyDescent="0.3">
      <c r="A3797" s="4">
        <v>3819</v>
      </c>
      <c r="B3797" s="5">
        <v>3790</v>
      </c>
      <c r="C3797">
        <v>2153</v>
      </c>
      <c r="D3797" t="s">
        <v>7753</v>
      </c>
      <c r="E3797" t="s">
        <v>54</v>
      </c>
      <c r="F3797" t="s">
        <v>136</v>
      </c>
      <c r="G3797" t="s">
        <v>7754</v>
      </c>
      <c r="H3797" t="str">
        <f>"00558891"</f>
        <v>00558891</v>
      </c>
      <c r="I3797">
        <v>7.2</v>
      </c>
      <c r="J3797">
        <v>0</v>
      </c>
      <c r="M3797">
        <v>4</v>
      </c>
      <c r="N3797">
        <v>4</v>
      </c>
      <c r="O3797">
        <v>4</v>
      </c>
      <c r="P3797">
        <v>2</v>
      </c>
      <c r="Q3797">
        <v>17.2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D3797">
        <v>17.2</v>
      </c>
    </row>
    <row r="3798" spans="1:30" x14ac:dyDescent="0.3">
      <c r="A3798" s="4">
        <v>3820</v>
      </c>
      <c r="B3798" s="5">
        <v>3791</v>
      </c>
      <c r="C3798">
        <v>4957</v>
      </c>
      <c r="D3798" t="s">
        <v>1538</v>
      </c>
      <c r="E3798" t="s">
        <v>22</v>
      </c>
      <c r="F3798" t="s">
        <v>259</v>
      </c>
      <c r="G3798" t="s">
        <v>7755</v>
      </c>
      <c r="H3798" t="str">
        <f>"201502000426"</f>
        <v>201502000426</v>
      </c>
      <c r="I3798">
        <v>7.2</v>
      </c>
      <c r="J3798">
        <v>0</v>
      </c>
      <c r="M3798">
        <v>4</v>
      </c>
      <c r="N3798">
        <v>4</v>
      </c>
      <c r="O3798">
        <v>4</v>
      </c>
      <c r="P3798">
        <v>2</v>
      </c>
      <c r="Q3798">
        <v>17.2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D3798">
        <v>17.2</v>
      </c>
    </row>
    <row r="3799" spans="1:30" x14ac:dyDescent="0.3">
      <c r="A3799" s="4">
        <v>3821</v>
      </c>
      <c r="B3799" s="5">
        <v>3792</v>
      </c>
      <c r="C3799">
        <v>1250</v>
      </c>
      <c r="D3799" t="s">
        <v>7756</v>
      </c>
      <c r="E3799" t="s">
        <v>178</v>
      </c>
      <c r="F3799" t="s">
        <v>2595</v>
      </c>
      <c r="G3799" t="s">
        <v>7757</v>
      </c>
      <c r="H3799" t="str">
        <f>"00856427"</f>
        <v>00856427</v>
      </c>
      <c r="I3799">
        <v>7.2</v>
      </c>
      <c r="J3799">
        <v>10</v>
      </c>
      <c r="N3799">
        <v>0</v>
      </c>
      <c r="O3799">
        <v>0</v>
      </c>
      <c r="P3799">
        <v>0</v>
      </c>
      <c r="Q3799">
        <v>17.2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D3799">
        <v>17.2</v>
      </c>
    </row>
    <row r="3800" spans="1:30" x14ac:dyDescent="0.3">
      <c r="A3800" s="4">
        <v>3822</v>
      </c>
      <c r="B3800" s="5">
        <v>3793</v>
      </c>
      <c r="C3800">
        <v>3146</v>
      </c>
      <c r="D3800" t="s">
        <v>7758</v>
      </c>
      <c r="E3800" t="s">
        <v>97</v>
      </c>
      <c r="F3800" t="s">
        <v>17</v>
      </c>
      <c r="G3800" t="s">
        <v>7759</v>
      </c>
      <c r="H3800" t="str">
        <f>"00863227"</f>
        <v>00863227</v>
      </c>
      <c r="I3800">
        <v>7.2</v>
      </c>
      <c r="J3800">
        <v>10</v>
      </c>
      <c r="N3800">
        <v>0</v>
      </c>
      <c r="O3800">
        <v>0</v>
      </c>
      <c r="P3800">
        <v>0</v>
      </c>
      <c r="Q3800">
        <v>17.2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D3800">
        <v>17.2</v>
      </c>
    </row>
    <row r="3801" spans="1:30" x14ac:dyDescent="0.3">
      <c r="A3801" s="4">
        <v>3823</v>
      </c>
      <c r="B3801" s="5">
        <v>3794</v>
      </c>
      <c r="C3801">
        <v>3105</v>
      </c>
      <c r="D3801" t="s">
        <v>3430</v>
      </c>
      <c r="E3801" t="s">
        <v>88</v>
      </c>
      <c r="F3801" t="s">
        <v>68</v>
      </c>
      <c r="G3801" t="s">
        <v>7760</v>
      </c>
      <c r="H3801" t="str">
        <f>"00200201"</f>
        <v>00200201</v>
      </c>
      <c r="I3801">
        <v>7.2</v>
      </c>
      <c r="J3801">
        <v>0</v>
      </c>
      <c r="M3801">
        <v>4</v>
      </c>
      <c r="N3801">
        <v>4</v>
      </c>
      <c r="O3801">
        <v>4</v>
      </c>
      <c r="P3801">
        <v>2</v>
      </c>
      <c r="Q3801">
        <v>17.2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D3801">
        <v>17.2</v>
      </c>
    </row>
    <row r="3802" spans="1:30" x14ac:dyDescent="0.3">
      <c r="A3802" s="4">
        <v>3824</v>
      </c>
      <c r="B3802" s="5">
        <v>3795</v>
      </c>
      <c r="C3802">
        <v>2693</v>
      </c>
      <c r="D3802" t="s">
        <v>6258</v>
      </c>
      <c r="E3802" t="s">
        <v>37</v>
      </c>
      <c r="F3802" t="s">
        <v>38</v>
      </c>
      <c r="G3802" t="s">
        <v>7761</v>
      </c>
      <c r="H3802" t="str">
        <f>"00862486"</f>
        <v>00862486</v>
      </c>
      <c r="I3802">
        <v>7.2</v>
      </c>
      <c r="J3802">
        <v>10</v>
      </c>
      <c r="N3802">
        <v>0</v>
      </c>
      <c r="O3802">
        <v>0</v>
      </c>
      <c r="P3802">
        <v>0</v>
      </c>
      <c r="Q3802">
        <v>17.2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D3802">
        <v>17.2</v>
      </c>
    </row>
    <row r="3803" spans="1:30" x14ac:dyDescent="0.3">
      <c r="A3803" s="4">
        <v>3825</v>
      </c>
      <c r="B3803" s="5">
        <v>3796</v>
      </c>
      <c r="C3803">
        <v>1865</v>
      </c>
      <c r="D3803" t="s">
        <v>7762</v>
      </c>
      <c r="E3803" t="s">
        <v>38</v>
      </c>
      <c r="F3803" t="s">
        <v>81</v>
      </c>
      <c r="G3803" t="s">
        <v>7763</v>
      </c>
      <c r="H3803" t="str">
        <f>"00864179"</f>
        <v>00864179</v>
      </c>
      <c r="I3803">
        <v>7.2</v>
      </c>
      <c r="J3803">
        <v>0</v>
      </c>
      <c r="L3803">
        <v>6</v>
      </c>
      <c r="N3803">
        <v>6</v>
      </c>
      <c r="O3803">
        <v>4</v>
      </c>
      <c r="P3803">
        <v>0</v>
      </c>
      <c r="Q3803">
        <v>17.2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D3803">
        <v>17.2</v>
      </c>
    </row>
    <row r="3804" spans="1:30" x14ac:dyDescent="0.3">
      <c r="A3804" s="4">
        <v>3826</v>
      </c>
      <c r="B3804" s="5">
        <v>3797</v>
      </c>
      <c r="C3804">
        <v>724</v>
      </c>
      <c r="D3804" t="s">
        <v>7764</v>
      </c>
      <c r="E3804" t="s">
        <v>147</v>
      </c>
      <c r="F3804" t="s">
        <v>1023</v>
      </c>
      <c r="G3804" t="s">
        <v>7765</v>
      </c>
      <c r="H3804" t="str">
        <f>"00778939"</f>
        <v>00778939</v>
      </c>
      <c r="I3804">
        <v>13.08</v>
      </c>
      <c r="J3804">
        <v>0</v>
      </c>
      <c r="N3804">
        <v>0</v>
      </c>
      <c r="O3804">
        <v>4</v>
      </c>
      <c r="P3804">
        <v>0</v>
      </c>
      <c r="Q3804">
        <v>17.079999999999998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D3804">
        <v>17.079999999999998</v>
      </c>
    </row>
    <row r="3805" spans="1:30" x14ac:dyDescent="0.3">
      <c r="A3805" s="4">
        <v>3827</v>
      </c>
      <c r="B3805" s="5">
        <v>3798</v>
      </c>
      <c r="C3805">
        <v>2112</v>
      </c>
      <c r="D3805" t="s">
        <v>7766</v>
      </c>
      <c r="E3805" t="s">
        <v>2157</v>
      </c>
      <c r="F3805" t="s">
        <v>136</v>
      </c>
      <c r="G3805" t="s">
        <v>7767</v>
      </c>
      <c r="H3805" t="str">
        <f>"00717823"</f>
        <v>00717823</v>
      </c>
      <c r="I3805">
        <v>14</v>
      </c>
      <c r="J3805">
        <v>0</v>
      </c>
      <c r="N3805">
        <v>0</v>
      </c>
      <c r="O3805">
        <v>0</v>
      </c>
      <c r="P3805">
        <v>0</v>
      </c>
      <c r="Q3805">
        <v>14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3</v>
      </c>
      <c r="AB3805">
        <v>0</v>
      </c>
      <c r="AD3805">
        <v>17</v>
      </c>
    </row>
    <row r="3806" spans="1:30" x14ac:dyDescent="0.3">
      <c r="A3806" s="4">
        <v>3828</v>
      </c>
      <c r="B3806" s="5">
        <v>3799</v>
      </c>
      <c r="C3806">
        <v>535</v>
      </c>
      <c r="D3806" t="s">
        <v>7768</v>
      </c>
      <c r="E3806" t="s">
        <v>29</v>
      </c>
      <c r="F3806" t="s">
        <v>7769</v>
      </c>
      <c r="G3806" t="s">
        <v>7770</v>
      </c>
      <c r="H3806" t="str">
        <f>"00187543"</f>
        <v>00187543</v>
      </c>
      <c r="I3806">
        <v>0</v>
      </c>
      <c r="J3806">
        <v>10</v>
      </c>
      <c r="N3806">
        <v>0</v>
      </c>
      <c r="O3806">
        <v>4</v>
      </c>
      <c r="P3806">
        <v>0</v>
      </c>
      <c r="Q3806">
        <v>14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3</v>
      </c>
      <c r="AB3806">
        <v>0</v>
      </c>
      <c r="AD3806">
        <v>17</v>
      </c>
    </row>
    <row r="3807" spans="1:30" x14ac:dyDescent="0.3">
      <c r="A3807" s="4">
        <v>3829</v>
      </c>
      <c r="B3807" s="5">
        <v>3800</v>
      </c>
      <c r="C3807">
        <v>1055</v>
      </c>
      <c r="D3807" t="s">
        <v>7771</v>
      </c>
      <c r="E3807" t="s">
        <v>33</v>
      </c>
      <c r="F3807" t="s">
        <v>38</v>
      </c>
      <c r="G3807" t="s">
        <v>7772</v>
      </c>
      <c r="H3807" t="str">
        <f>"00557156"</f>
        <v>00557156</v>
      </c>
      <c r="I3807">
        <v>0</v>
      </c>
      <c r="J3807">
        <v>10</v>
      </c>
      <c r="N3807">
        <v>0</v>
      </c>
      <c r="O3807">
        <v>4</v>
      </c>
      <c r="P3807">
        <v>0</v>
      </c>
      <c r="Q3807">
        <v>14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3</v>
      </c>
      <c r="AB3807">
        <v>0</v>
      </c>
      <c r="AD3807">
        <v>17</v>
      </c>
    </row>
    <row r="3808" spans="1:30" x14ac:dyDescent="0.3">
      <c r="A3808" s="4">
        <v>3830</v>
      </c>
      <c r="B3808" s="5">
        <v>3801</v>
      </c>
      <c r="C3808">
        <v>3697</v>
      </c>
      <c r="D3808" t="s">
        <v>577</v>
      </c>
      <c r="E3808" t="s">
        <v>789</v>
      </c>
      <c r="F3808" t="s">
        <v>343</v>
      </c>
      <c r="G3808" t="s">
        <v>7773</v>
      </c>
      <c r="H3808" t="str">
        <f>"00022613"</f>
        <v>00022613</v>
      </c>
      <c r="I3808">
        <v>0</v>
      </c>
      <c r="J3808">
        <v>0</v>
      </c>
      <c r="N3808">
        <v>0</v>
      </c>
      <c r="O3808">
        <v>4</v>
      </c>
      <c r="P3808">
        <v>2</v>
      </c>
      <c r="Q3808">
        <v>6</v>
      </c>
      <c r="R3808">
        <v>11</v>
      </c>
      <c r="S3808">
        <v>11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11</v>
      </c>
      <c r="AA3808">
        <v>0</v>
      </c>
      <c r="AB3808">
        <v>0</v>
      </c>
      <c r="AD3808">
        <v>17</v>
      </c>
    </row>
    <row r="3809" spans="1:30" x14ac:dyDescent="0.3">
      <c r="A3809" s="4">
        <v>3831</v>
      </c>
      <c r="B3809" s="5">
        <v>3802</v>
      </c>
      <c r="C3809">
        <v>2770</v>
      </c>
      <c r="D3809" t="s">
        <v>7774</v>
      </c>
      <c r="E3809" t="s">
        <v>161</v>
      </c>
      <c r="F3809" t="s">
        <v>38</v>
      </c>
      <c r="G3809" t="s">
        <v>7775</v>
      </c>
      <c r="H3809" t="str">
        <f>"00528352"</f>
        <v>00528352</v>
      </c>
      <c r="I3809">
        <v>0</v>
      </c>
      <c r="J3809">
        <v>0</v>
      </c>
      <c r="N3809">
        <v>0</v>
      </c>
      <c r="O3809">
        <v>4</v>
      </c>
      <c r="P3809">
        <v>0</v>
      </c>
      <c r="Q3809">
        <v>4</v>
      </c>
      <c r="R3809">
        <v>13</v>
      </c>
      <c r="S3809">
        <v>13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13</v>
      </c>
      <c r="AA3809">
        <v>0</v>
      </c>
      <c r="AB3809">
        <v>0</v>
      </c>
      <c r="AD3809">
        <v>17</v>
      </c>
    </row>
    <row r="3810" spans="1:30" x14ac:dyDescent="0.3">
      <c r="A3810" s="4">
        <v>3832</v>
      </c>
      <c r="B3810" s="5">
        <v>3803</v>
      </c>
      <c r="C3810">
        <v>3770</v>
      </c>
      <c r="D3810" t="s">
        <v>7776</v>
      </c>
      <c r="E3810" t="s">
        <v>19</v>
      </c>
      <c r="F3810" t="s">
        <v>238</v>
      </c>
      <c r="G3810" t="s">
        <v>7777</v>
      </c>
      <c r="H3810" t="str">
        <f>"00862768"</f>
        <v>00862768</v>
      </c>
      <c r="I3810">
        <v>10.92</v>
      </c>
      <c r="J3810">
        <v>0</v>
      </c>
      <c r="N3810">
        <v>0</v>
      </c>
      <c r="O3810">
        <v>0</v>
      </c>
      <c r="P3810">
        <v>0</v>
      </c>
      <c r="Q3810">
        <v>10.92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6</v>
      </c>
      <c r="AB3810">
        <v>0</v>
      </c>
      <c r="AD3810">
        <v>16.920000000000002</v>
      </c>
    </row>
    <row r="3811" spans="1:30" x14ac:dyDescent="0.3">
      <c r="A3811" s="4">
        <v>3833</v>
      </c>
      <c r="B3811" s="5">
        <v>3804</v>
      </c>
      <c r="C3811">
        <v>4225</v>
      </c>
      <c r="D3811" t="s">
        <v>7778</v>
      </c>
      <c r="E3811" t="s">
        <v>29</v>
      </c>
      <c r="F3811" t="s">
        <v>68</v>
      </c>
      <c r="G3811" t="s">
        <v>7779</v>
      </c>
      <c r="H3811" t="str">
        <f>"00438550"</f>
        <v>00438550</v>
      </c>
      <c r="I3811">
        <v>16.8</v>
      </c>
      <c r="J3811">
        <v>0</v>
      </c>
      <c r="N3811">
        <v>0</v>
      </c>
      <c r="O3811">
        <v>0</v>
      </c>
      <c r="P3811">
        <v>0</v>
      </c>
      <c r="Q3811">
        <v>16.8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D3811">
        <v>16.8</v>
      </c>
    </row>
    <row r="3812" spans="1:30" x14ac:dyDescent="0.3">
      <c r="A3812" s="4">
        <v>3834</v>
      </c>
      <c r="B3812" s="5">
        <v>3805</v>
      </c>
      <c r="C3812">
        <v>3692</v>
      </c>
      <c r="D3812" t="s">
        <v>7780</v>
      </c>
      <c r="E3812" t="s">
        <v>3873</v>
      </c>
      <c r="F3812" t="s">
        <v>7781</v>
      </c>
      <c r="G3812" t="s">
        <v>7782</v>
      </c>
      <c r="H3812" t="str">
        <f>"00530937"</f>
        <v>00530937</v>
      </c>
      <c r="I3812">
        <v>13.6</v>
      </c>
      <c r="J3812">
        <v>0</v>
      </c>
      <c r="N3812">
        <v>0</v>
      </c>
      <c r="O3812">
        <v>0</v>
      </c>
      <c r="P3812">
        <v>0</v>
      </c>
      <c r="Q3812">
        <v>13.6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3</v>
      </c>
      <c r="AB3812">
        <v>0</v>
      </c>
      <c r="AD3812">
        <v>16.600000000000001</v>
      </c>
    </row>
    <row r="3813" spans="1:30" x14ac:dyDescent="0.3">
      <c r="A3813" s="4">
        <v>3835</v>
      </c>
      <c r="B3813" s="5">
        <v>3806</v>
      </c>
      <c r="C3813">
        <v>1030</v>
      </c>
      <c r="D3813" t="s">
        <v>6061</v>
      </c>
      <c r="E3813" t="s">
        <v>4638</v>
      </c>
      <c r="F3813" t="s">
        <v>117</v>
      </c>
      <c r="G3813" t="s">
        <v>7783</v>
      </c>
      <c r="H3813" t="str">
        <f>"00842138"</f>
        <v>00842138</v>
      </c>
      <c r="I3813">
        <v>12.56</v>
      </c>
      <c r="J3813">
        <v>0</v>
      </c>
      <c r="N3813">
        <v>0</v>
      </c>
      <c r="O3813">
        <v>4</v>
      </c>
      <c r="P3813">
        <v>0</v>
      </c>
      <c r="Q3813">
        <v>16.559999999999999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D3813">
        <v>16.559999999999999</v>
      </c>
    </row>
    <row r="3814" spans="1:30" x14ac:dyDescent="0.3">
      <c r="A3814" s="4">
        <v>3836</v>
      </c>
      <c r="B3814" s="5">
        <v>3807</v>
      </c>
      <c r="C3814">
        <v>3264</v>
      </c>
      <c r="D3814" t="s">
        <v>1791</v>
      </c>
      <c r="E3814" t="s">
        <v>789</v>
      </c>
      <c r="F3814" t="s">
        <v>750</v>
      </c>
      <c r="G3814" t="s">
        <v>7784</v>
      </c>
      <c r="H3814" t="str">
        <f>"00858362"</f>
        <v>00858362</v>
      </c>
      <c r="I3814">
        <v>16.399999999999999</v>
      </c>
      <c r="J3814">
        <v>0</v>
      </c>
      <c r="N3814">
        <v>0</v>
      </c>
      <c r="O3814">
        <v>0</v>
      </c>
      <c r="P3814">
        <v>0</v>
      </c>
      <c r="Q3814">
        <v>16.399999999999999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D3814">
        <v>16.399999999999999</v>
      </c>
    </row>
    <row r="3815" spans="1:30" x14ac:dyDescent="0.3">
      <c r="A3815" s="4">
        <v>3837</v>
      </c>
      <c r="B3815" s="5">
        <v>3808</v>
      </c>
      <c r="C3815">
        <v>4733</v>
      </c>
      <c r="D3815" t="s">
        <v>3487</v>
      </c>
      <c r="E3815" t="s">
        <v>54</v>
      </c>
      <c r="F3815" t="s">
        <v>81</v>
      </c>
      <c r="G3815" t="s">
        <v>7785</v>
      </c>
      <c r="H3815" t="str">
        <f>"00866379"</f>
        <v>00866379</v>
      </c>
      <c r="I3815">
        <v>14.4</v>
      </c>
      <c r="J3815">
        <v>0</v>
      </c>
      <c r="N3815">
        <v>0</v>
      </c>
      <c r="O3815">
        <v>0</v>
      </c>
      <c r="P3815">
        <v>2</v>
      </c>
      <c r="Q3815">
        <v>16.399999999999999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D3815">
        <v>16.399999999999999</v>
      </c>
    </row>
    <row r="3816" spans="1:30" x14ac:dyDescent="0.3">
      <c r="A3816" s="4">
        <v>3838</v>
      </c>
      <c r="B3816" s="5">
        <v>3809</v>
      </c>
      <c r="C3816">
        <v>3931</v>
      </c>
      <c r="D3816" t="s">
        <v>4321</v>
      </c>
      <c r="E3816" t="s">
        <v>88</v>
      </c>
      <c r="F3816" t="s">
        <v>158</v>
      </c>
      <c r="G3816" t="s">
        <v>7786</v>
      </c>
      <c r="H3816" t="str">
        <f>"00562487"</f>
        <v>00562487</v>
      </c>
      <c r="I3816">
        <v>14.4</v>
      </c>
      <c r="J3816">
        <v>0</v>
      </c>
      <c r="N3816">
        <v>0</v>
      </c>
      <c r="O3816">
        <v>0</v>
      </c>
      <c r="P3816">
        <v>2</v>
      </c>
      <c r="Q3816">
        <v>16.399999999999999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D3816">
        <v>16.399999999999999</v>
      </c>
    </row>
    <row r="3817" spans="1:30" x14ac:dyDescent="0.3">
      <c r="A3817" s="4">
        <v>3839</v>
      </c>
      <c r="B3817" s="5">
        <v>3810</v>
      </c>
      <c r="C3817">
        <v>3058</v>
      </c>
      <c r="D3817" t="s">
        <v>1624</v>
      </c>
      <c r="E3817" t="s">
        <v>29</v>
      </c>
      <c r="F3817" t="s">
        <v>17</v>
      </c>
      <c r="G3817" t="s">
        <v>7787</v>
      </c>
      <c r="H3817" t="str">
        <f>"00863479"</f>
        <v>00863479</v>
      </c>
      <c r="I3817">
        <v>10.28</v>
      </c>
      <c r="J3817">
        <v>0</v>
      </c>
      <c r="N3817">
        <v>0</v>
      </c>
      <c r="O3817">
        <v>0</v>
      </c>
      <c r="P3817">
        <v>0</v>
      </c>
      <c r="Q3817">
        <v>10.28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6</v>
      </c>
      <c r="AB3817">
        <v>0</v>
      </c>
      <c r="AD3817">
        <v>16.28</v>
      </c>
    </row>
    <row r="3818" spans="1:30" x14ac:dyDescent="0.3">
      <c r="A3818" s="4">
        <v>3840</v>
      </c>
      <c r="B3818" s="5">
        <v>3811</v>
      </c>
      <c r="C3818">
        <v>2242</v>
      </c>
      <c r="D3818" t="s">
        <v>6615</v>
      </c>
      <c r="E3818" t="s">
        <v>7788</v>
      </c>
      <c r="F3818" t="s">
        <v>20</v>
      </c>
      <c r="G3818" t="s">
        <v>7789</v>
      </c>
      <c r="H3818" t="str">
        <f>"00041075"</f>
        <v>00041075</v>
      </c>
      <c r="I3818">
        <v>6.2</v>
      </c>
      <c r="J3818">
        <v>0</v>
      </c>
      <c r="N3818">
        <v>0</v>
      </c>
      <c r="O3818">
        <v>4</v>
      </c>
      <c r="P3818">
        <v>0</v>
      </c>
      <c r="Q3818">
        <v>10.199999999999999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6</v>
      </c>
      <c r="AB3818">
        <v>0</v>
      </c>
      <c r="AD3818">
        <v>16.2</v>
      </c>
    </row>
    <row r="3819" spans="1:30" x14ac:dyDescent="0.3">
      <c r="A3819" s="4">
        <v>3841</v>
      </c>
      <c r="B3819" s="5">
        <v>3812</v>
      </c>
      <c r="C3819">
        <v>3297</v>
      </c>
      <c r="D3819" t="s">
        <v>3454</v>
      </c>
      <c r="E3819" t="s">
        <v>161</v>
      </c>
      <c r="F3819" t="s">
        <v>2680</v>
      </c>
      <c r="G3819">
        <v>203077</v>
      </c>
      <c r="H3819" t="str">
        <f>"00856992"</f>
        <v>00856992</v>
      </c>
      <c r="I3819">
        <v>13.2</v>
      </c>
      <c r="J3819">
        <v>0</v>
      </c>
      <c r="N3819">
        <v>0</v>
      </c>
      <c r="O3819">
        <v>0</v>
      </c>
      <c r="P3819">
        <v>0</v>
      </c>
      <c r="Q3819">
        <v>13.2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3</v>
      </c>
      <c r="AB3819">
        <v>0</v>
      </c>
      <c r="AD3819">
        <v>16.2</v>
      </c>
    </row>
    <row r="3820" spans="1:30" x14ac:dyDescent="0.3">
      <c r="A3820" s="4">
        <v>3842</v>
      </c>
      <c r="B3820" s="5">
        <v>3813</v>
      </c>
      <c r="C3820">
        <v>795</v>
      </c>
      <c r="D3820" t="s">
        <v>6430</v>
      </c>
      <c r="E3820" t="s">
        <v>355</v>
      </c>
      <c r="F3820" t="s">
        <v>38</v>
      </c>
      <c r="G3820" t="s">
        <v>7790</v>
      </c>
      <c r="H3820" t="str">
        <f>"201407000317"</f>
        <v>201407000317</v>
      </c>
      <c r="I3820">
        <v>7.2</v>
      </c>
      <c r="J3820">
        <v>0</v>
      </c>
      <c r="M3820">
        <v>4</v>
      </c>
      <c r="N3820">
        <v>4</v>
      </c>
      <c r="O3820">
        <v>0</v>
      </c>
      <c r="P3820">
        <v>2</v>
      </c>
      <c r="Q3820">
        <v>13.2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3</v>
      </c>
      <c r="AB3820">
        <v>0</v>
      </c>
      <c r="AD3820">
        <v>16.2</v>
      </c>
    </row>
    <row r="3821" spans="1:30" x14ac:dyDescent="0.3">
      <c r="A3821" s="4">
        <v>3843</v>
      </c>
      <c r="B3821" s="5">
        <v>3814</v>
      </c>
      <c r="C3821">
        <v>1587</v>
      </c>
      <c r="D3821" t="s">
        <v>7791</v>
      </c>
      <c r="E3821" t="s">
        <v>7792</v>
      </c>
      <c r="F3821" t="s">
        <v>457</v>
      </c>
      <c r="G3821" t="s">
        <v>7793</v>
      </c>
      <c r="H3821" t="str">
        <f>"200802006673"</f>
        <v>200802006673</v>
      </c>
      <c r="I3821">
        <v>7.2</v>
      </c>
      <c r="J3821">
        <v>0</v>
      </c>
      <c r="M3821">
        <v>4</v>
      </c>
      <c r="N3821">
        <v>4</v>
      </c>
      <c r="O3821">
        <v>0</v>
      </c>
      <c r="P3821">
        <v>2</v>
      </c>
      <c r="Q3821">
        <v>13.2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3</v>
      </c>
      <c r="AB3821">
        <v>0</v>
      </c>
      <c r="AD3821">
        <v>16.2</v>
      </c>
    </row>
    <row r="3822" spans="1:30" x14ac:dyDescent="0.3">
      <c r="A3822" s="4">
        <v>3844</v>
      </c>
      <c r="B3822" s="5">
        <v>3815</v>
      </c>
      <c r="C3822">
        <v>3841</v>
      </c>
      <c r="D3822" t="s">
        <v>1097</v>
      </c>
      <c r="E3822" t="s">
        <v>286</v>
      </c>
      <c r="F3822" t="s">
        <v>136</v>
      </c>
      <c r="G3822" t="s">
        <v>7794</v>
      </c>
      <c r="H3822" t="str">
        <f>"00157299"</f>
        <v>00157299</v>
      </c>
      <c r="I3822">
        <v>7.2</v>
      </c>
      <c r="J3822">
        <v>0</v>
      </c>
      <c r="N3822">
        <v>0</v>
      </c>
      <c r="O3822">
        <v>0</v>
      </c>
      <c r="P3822">
        <v>0</v>
      </c>
      <c r="Q3822">
        <v>7.2</v>
      </c>
      <c r="R3822">
        <v>6</v>
      </c>
      <c r="S3822">
        <v>6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6</v>
      </c>
      <c r="AA3822">
        <v>3</v>
      </c>
      <c r="AB3822">
        <v>0</v>
      </c>
      <c r="AD3822">
        <v>16.2</v>
      </c>
    </row>
    <row r="3823" spans="1:30" x14ac:dyDescent="0.3">
      <c r="A3823" s="4">
        <v>3845</v>
      </c>
      <c r="B3823" s="5">
        <v>3816</v>
      </c>
      <c r="C3823">
        <v>4851</v>
      </c>
      <c r="D3823" t="s">
        <v>7795</v>
      </c>
      <c r="E3823" t="s">
        <v>126</v>
      </c>
      <c r="F3823" t="s">
        <v>81</v>
      </c>
      <c r="G3823" t="s">
        <v>7796</v>
      </c>
      <c r="H3823" t="str">
        <f>"00866050"</f>
        <v>00866050</v>
      </c>
      <c r="I3823">
        <v>10.16</v>
      </c>
      <c r="J3823">
        <v>0</v>
      </c>
      <c r="N3823">
        <v>0</v>
      </c>
      <c r="O3823">
        <v>0</v>
      </c>
      <c r="P3823">
        <v>0</v>
      </c>
      <c r="Q3823">
        <v>10.16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6</v>
      </c>
      <c r="AB3823">
        <v>0</v>
      </c>
      <c r="AD3823">
        <v>16.16</v>
      </c>
    </row>
    <row r="3824" spans="1:30" x14ac:dyDescent="0.3">
      <c r="A3824" s="4">
        <v>3846</v>
      </c>
      <c r="B3824" s="5">
        <v>3817</v>
      </c>
      <c r="C3824">
        <v>4267</v>
      </c>
      <c r="D3824" t="s">
        <v>7797</v>
      </c>
      <c r="E3824" t="s">
        <v>97</v>
      </c>
      <c r="F3824" t="s">
        <v>259</v>
      </c>
      <c r="G3824" t="s">
        <v>7798</v>
      </c>
      <c r="H3824" t="str">
        <f>"00652751"</f>
        <v>00652751</v>
      </c>
      <c r="I3824">
        <v>16.04</v>
      </c>
      <c r="J3824">
        <v>0</v>
      </c>
      <c r="N3824">
        <v>0</v>
      </c>
      <c r="O3824">
        <v>0</v>
      </c>
      <c r="P3824">
        <v>0</v>
      </c>
      <c r="Q3824">
        <v>16.04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D3824">
        <v>16.04</v>
      </c>
    </row>
    <row r="3825" spans="1:30" x14ac:dyDescent="0.3">
      <c r="A3825" s="4">
        <v>3847</v>
      </c>
      <c r="B3825" s="5">
        <v>3818</v>
      </c>
      <c r="C3825">
        <v>961</v>
      </c>
      <c r="D3825" t="s">
        <v>7799</v>
      </c>
      <c r="E3825" t="s">
        <v>349</v>
      </c>
      <c r="F3825" t="s">
        <v>3439</v>
      </c>
      <c r="G3825" t="s">
        <v>7800</v>
      </c>
      <c r="H3825" t="str">
        <f>"00856834"</f>
        <v>00856834</v>
      </c>
      <c r="I3825">
        <v>0</v>
      </c>
      <c r="J3825">
        <v>0</v>
      </c>
      <c r="M3825">
        <v>4</v>
      </c>
      <c r="N3825">
        <v>4</v>
      </c>
      <c r="O3825">
        <v>4</v>
      </c>
      <c r="P3825">
        <v>2</v>
      </c>
      <c r="Q3825">
        <v>10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6</v>
      </c>
      <c r="AB3825">
        <v>0</v>
      </c>
      <c r="AD3825">
        <v>16</v>
      </c>
    </row>
    <row r="3826" spans="1:30" x14ac:dyDescent="0.3">
      <c r="A3826" s="4">
        <v>3848</v>
      </c>
      <c r="B3826" s="5">
        <v>3819</v>
      </c>
      <c r="C3826">
        <v>2310</v>
      </c>
      <c r="D3826" t="s">
        <v>5059</v>
      </c>
      <c r="E3826" t="s">
        <v>29</v>
      </c>
      <c r="F3826" t="s">
        <v>328</v>
      </c>
      <c r="G3826" t="s">
        <v>7801</v>
      </c>
      <c r="H3826" t="str">
        <f>"00755794"</f>
        <v>00755794</v>
      </c>
      <c r="I3826">
        <v>0</v>
      </c>
      <c r="J3826">
        <v>0</v>
      </c>
      <c r="L3826">
        <v>6</v>
      </c>
      <c r="N3826">
        <v>6</v>
      </c>
      <c r="O3826">
        <v>4</v>
      </c>
      <c r="P3826">
        <v>0</v>
      </c>
      <c r="Q3826">
        <v>10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6</v>
      </c>
      <c r="AB3826">
        <v>0</v>
      </c>
      <c r="AD3826">
        <v>16</v>
      </c>
    </row>
    <row r="3827" spans="1:30" x14ac:dyDescent="0.3">
      <c r="A3827" s="4">
        <v>3849</v>
      </c>
      <c r="B3827" s="5">
        <v>3820</v>
      </c>
      <c r="C3827">
        <v>2167</v>
      </c>
      <c r="D3827" t="s">
        <v>7802</v>
      </c>
      <c r="E3827" t="s">
        <v>208</v>
      </c>
      <c r="F3827" t="s">
        <v>570</v>
      </c>
      <c r="G3827" t="s">
        <v>7803</v>
      </c>
      <c r="H3827" t="str">
        <f>"00769604"</f>
        <v>00769604</v>
      </c>
      <c r="I3827">
        <v>0</v>
      </c>
      <c r="J3827">
        <v>0</v>
      </c>
      <c r="M3827">
        <v>4</v>
      </c>
      <c r="N3827">
        <v>4</v>
      </c>
      <c r="O3827">
        <v>4</v>
      </c>
      <c r="P3827">
        <v>2</v>
      </c>
      <c r="Q3827">
        <v>10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6</v>
      </c>
      <c r="AB3827">
        <v>0</v>
      </c>
      <c r="AD3827">
        <v>16</v>
      </c>
    </row>
    <row r="3828" spans="1:30" x14ac:dyDescent="0.3">
      <c r="A3828" s="4">
        <v>3850</v>
      </c>
      <c r="B3828" s="5">
        <v>3821</v>
      </c>
      <c r="C3828">
        <v>2292</v>
      </c>
      <c r="D3828" t="s">
        <v>165</v>
      </c>
      <c r="E3828" t="s">
        <v>97</v>
      </c>
      <c r="F3828" t="s">
        <v>190</v>
      </c>
      <c r="G3828" t="s">
        <v>7804</v>
      </c>
      <c r="H3828" t="str">
        <f>"00230441"</f>
        <v>00230441</v>
      </c>
      <c r="I3828">
        <v>0</v>
      </c>
      <c r="J3828">
        <v>0</v>
      </c>
      <c r="M3828">
        <v>4</v>
      </c>
      <c r="N3828">
        <v>4</v>
      </c>
      <c r="O3828">
        <v>4</v>
      </c>
      <c r="P3828">
        <v>0</v>
      </c>
      <c r="Q3828">
        <v>8</v>
      </c>
      <c r="R3828">
        <v>2</v>
      </c>
      <c r="S3828">
        <v>2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2</v>
      </c>
      <c r="AA3828">
        <v>6</v>
      </c>
      <c r="AB3828">
        <v>0</v>
      </c>
      <c r="AD3828">
        <v>16</v>
      </c>
    </row>
    <row r="3829" spans="1:30" x14ac:dyDescent="0.3">
      <c r="A3829" s="4">
        <v>3851</v>
      </c>
      <c r="B3829" s="5">
        <v>3822</v>
      </c>
      <c r="C3829">
        <v>4270</v>
      </c>
      <c r="D3829" t="s">
        <v>4814</v>
      </c>
      <c r="E3829" t="s">
        <v>7805</v>
      </c>
      <c r="F3829" t="s">
        <v>243</v>
      </c>
      <c r="G3829" t="s">
        <v>7806</v>
      </c>
      <c r="H3829" t="str">
        <f>"00523878"</f>
        <v>00523878</v>
      </c>
      <c r="I3829">
        <v>0</v>
      </c>
      <c r="J3829">
        <v>0</v>
      </c>
      <c r="N3829">
        <v>0</v>
      </c>
      <c r="O3829">
        <v>4</v>
      </c>
      <c r="P3829">
        <v>2</v>
      </c>
      <c r="Q3829">
        <v>6</v>
      </c>
      <c r="R3829">
        <v>7</v>
      </c>
      <c r="S3829">
        <v>7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7</v>
      </c>
      <c r="AA3829">
        <v>3</v>
      </c>
      <c r="AB3829">
        <v>0</v>
      </c>
      <c r="AD3829">
        <v>16</v>
      </c>
    </row>
    <row r="3830" spans="1:30" x14ac:dyDescent="0.3">
      <c r="A3830" s="4">
        <v>3852</v>
      </c>
      <c r="B3830" s="5">
        <v>3823</v>
      </c>
      <c r="C3830">
        <v>3300</v>
      </c>
      <c r="D3830" t="s">
        <v>4803</v>
      </c>
      <c r="E3830" t="s">
        <v>22</v>
      </c>
      <c r="F3830" t="s">
        <v>136</v>
      </c>
      <c r="G3830" t="s">
        <v>7807</v>
      </c>
      <c r="H3830" t="str">
        <f>"00633396"</f>
        <v>00633396</v>
      </c>
      <c r="I3830">
        <v>16</v>
      </c>
      <c r="J3830">
        <v>0</v>
      </c>
      <c r="N3830">
        <v>0</v>
      </c>
      <c r="O3830">
        <v>0</v>
      </c>
      <c r="P3830">
        <v>0</v>
      </c>
      <c r="Q3830">
        <v>16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D3830">
        <v>16</v>
      </c>
    </row>
    <row r="3831" spans="1:30" x14ac:dyDescent="0.3">
      <c r="A3831" s="4">
        <v>3853</v>
      </c>
      <c r="B3831" s="5">
        <v>3824</v>
      </c>
      <c r="C3831">
        <v>4424</v>
      </c>
      <c r="D3831" t="s">
        <v>7808</v>
      </c>
      <c r="E3831" t="s">
        <v>41</v>
      </c>
      <c r="F3831" t="s">
        <v>227</v>
      </c>
      <c r="G3831" t="s">
        <v>7809</v>
      </c>
      <c r="H3831" t="str">
        <f>"00671859"</f>
        <v>00671859</v>
      </c>
      <c r="I3831">
        <v>16</v>
      </c>
      <c r="J3831">
        <v>0</v>
      </c>
      <c r="N3831">
        <v>0</v>
      </c>
      <c r="O3831">
        <v>0</v>
      </c>
      <c r="P3831">
        <v>0</v>
      </c>
      <c r="Q3831">
        <v>16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D3831">
        <v>16</v>
      </c>
    </row>
    <row r="3832" spans="1:30" x14ac:dyDescent="0.3">
      <c r="A3832" s="4">
        <v>3854</v>
      </c>
      <c r="B3832" s="5">
        <v>3825</v>
      </c>
      <c r="C3832">
        <v>1520</v>
      </c>
      <c r="D3832" t="s">
        <v>1613</v>
      </c>
      <c r="E3832" t="s">
        <v>143</v>
      </c>
      <c r="F3832" t="s">
        <v>81</v>
      </c>
      <c r="G3832" t="s">
        <v>7810</v>
      </c>
      <c r="H3832" t="str">
        <f>"00803524"</f>
        <v>00803524</v>
      </c>
      <c r="I3832">
        <v>16</v>
      </c>
      <c r="J3832">
        <v>0</v>
      </c>
      <c r="N3832">
        <v>0</v>
      </c>
      <c r="O3832">
        <v>0</v>
      </c>
      <c r="P3832">
        <v>0</v>
      </c>
      <c r="Q3832">
        <v>16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D3832">
        <v>16</v>
      </c>
    </row>
    <row r="3833" spans="1:30" x14ac:dyDescent="0.3">
      <c r="A3833" s="4">
        <v>3855</v>
      </c>
      <c r="B3833" s="5">
        <v>3826</v>
      </c>
      <c r="C3833">
        <v>4780</v>
      </c>
      <c r="D3833" t="s">
        <v>7811</v>
      </c>
      <c r="E3833" t="s">
        <v>136</v>
      </c>
      <c r="F3833" t="s">
        <v>30</v>
      </c>
      <c r="G3833" t="s">
        <v>7812</v>
      </c>
      <c r="H3833" t="str">
        <f>"00506945"</f>
        <v>00506945</v>
      </c>
      <c r="I3833">
        <v>0</v>
      </c>
      <c r="J3833">
        <v>10</v>
      </c>
      <c r="M3833">
        <v>4</v>
      </c>
      <c r="N3833">
        <v>4</v>
      </c>
      <c r="O3833">
        <v>0</v>
      </c>
      <c r="P3833">
        <v>2</v>
      </c>
      <c r="Q3833">
        <v>16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D3833">
        <v>16</v>
      </c>
    </row>
    <row r="3834" spans="1:30" x14ac:dyDescent="0.3">
      <c r="A3834" s="4">
        <v>3856</v>
      </c>
      <c r="B3834" s="5">
        <v>3827</v>
      </c>
      <c r="C3834">
        <v>3411</v>
      </c>
      <c r="D3834" t="s">
        <v>7813</v>
      </c>
      <c r="E3834" t="s">
        <v>208</v>
      </c>
      <c r="F3834" t="s">
        <v>68</v>
      </c>
      <c r="G3834" t="s">
        <v>7814</v>
      </c>
      <c r="H3834" t="str">
        <f>"201108000074"</f>
        <v>201108000074</v>
      </c>
      <c r="I3834">
        <v>0</v>
      </c>
      <c r="J3834">
        <v>0</v>
      </c>
      <c r="N3834">
        <v>0</v>
      </c>
      <c r="O3834">
        <v>0</v>
      </c>
      <c r="P3834">
        <v>2</v>
      </c>
      <c r="Q3834">
        <v>2</v>
      </c>
      <c r="R3834">
        <v>14</v>
      </c>
      <c r="S3834">
        <v>14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14</v>
      </c>
      <c r="AA3834">
        <v>0</v>
      </c>
      <c r="AB3834">
        <v>0</v>
      </c>
      <c r="AD3834">
        <v>16</v>
      </c>
    </row>
    <row r="3835" spans="1:30" x14ac:dyDescent="0.3">
      <c r="A3835" s="4">
        <v>3857</v>
      </c>
      <c r="B3835" s="5">
        <v>3828</v>
      </c>
      <c r="C3835">
        <v>3409</v>
      </c>
      <c r="D3835" t="s">
        <v>6537</v>
      </c>
      <c r="E3835" t="s">
        <v>29</v>
      </c>
      <c r="F3835" t="s">
        <v>20</v>
      </c>
      <c r="G3835" t="s">
        <v>7815</v>
      </c>
      <c r="H3835" t="str">
        <f>"00343388"</f>
        <v>00343388</v>
      </c>
      <c r="I3835">
        <v>15.64</v>
      </c>
      <c r="J3835">
        <v>0</v>
      </c>
      <c r="N3835">
        <v>0</v>
      </c>
      <c r="O3835">
        <v>0</v>
      </c>
      <c r="P3835">
        <v>0</v>
      </c>
      <c r="Q3835">
        <v>15.64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D3835">
        <v>15.64</v>
      </c>
    </row>
    <row r="3836" spans="1:30" x14ac:dyDescent="0.3">
      <c r="A3836" s="4">
        <v>3858</v>
      </c>
      <c r="B3836" s="5">
        <v>3829</v>
      </c>
      <c r="C3836">
        <v>2527</v>
      </c>
      <c r="D3836" t="s">
        <v>7816</v>
      </c>
      <c r="E3836" t="s">
        <v>37</v>
      </c>
      <c r="F3836" t="s">
        <v>17</v>
      </c>
      <c r="G3836" t="s">
        <v>7817</v>
      </c>
      <c r="H3836" t="str">
        <f>"00864462"</f>
        <v>00864462</v>
      </c>
      <c r="I3836">
        <v>9.6</v>
      </c>
      <c r="J3836">
        <v>0</v>
      </c>
      <c r="N3836">
        <v>0</v>
      </c>
      <c r="O3836">
        <v>0</v>
      </c>
      <c r="P3836">
        <v>0</v>
      </c>
      <c r="Q3836">
        <v>9.6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6</v>
      </c>
      <c r="AB3836">
        <v>0</v>
      </c>
      <c r="AD3836">
        <v>15.6</v>
      </c>
    </row>
    <row r="3837" spans="1:30" x14ac:dyDescent="0.3">
      <c r="A3837" s="4">
        <v>3859</v>
      </c>
      <c r="B3837" s="5">
        <v>3830</v>
      </c>
      <c r="C3837">
        <v>2672</v>
      </c>
      <c r="D3837" t="s">
        <v>7818</v>
      </c>
      <c r="E3837" t="s">
        <v>54</v>
      </c>
      <c r="F3837" t="s">
        <v>124</v>
      </c>
      <c r="G3837" t="s">
        <v>7819</v>
      </c>
      <c r="H3837" t="str">
        <f>"00864946"</f>
        <v>00864946</v>
      </c>
      <c r="I3837">
        <v>11.44</v>
      </c>
      <c r="J3837">
        <v>0</v>
      </c>
      <c r="N3837">
        <v>0</v>
      </c>
      <c r="O3837">
        <v>4</v>
      </c>
      <c r="P3837">
        <v>0</v>
      </c>
      <c r="Q3837">
        <v>15.44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D3837">
        <v>15.44</v>
      </c>
    </row>
    <row r="3838" spans="1:30" x14ac:dyDescent="0.3">
      <c r="A3838" s="4">
        <v>3860</v>
      </c>
      <c r="B3838" s="5">
        <v>3831</v>
      </c>
      <c r="C3838">
        <v>4698</v>
      </c>
      <c r="D3838" t="s">
        <v>7820</v>
      </c>
      <c r="E3838" t="s">
        <v>139</v>
      </c>
      <c r="F3838" t="s">
        <v>7821</v>
      </c>
      <c r="G3838" t="s">
        <v>7822</v>
      </c>
      <c r="H3838" t="str">
        <f>"00286579"</f>
        <v>00286579</v>
      </c>
      <c r="I3838">
        <v>11.28</v>
      </c>
      <c r="J3838">
        <v>0</v>
      </c>
      <c r="N3838">
        <v>0</v>
      </c>
      <c r="O3838">
        <v>4</v>
      </c>
      <c r="P3838">
        <v>0</v>
      </c>
      <c r="Q3838">
        <v>15.28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D3838">
        <v>15.28</v>
      </c>
    </row>
    <row r="3839" spans="1:30" x14ac:dyDescent="0.3">
      <c r="A3839" s="4">
        <v>3861</v>
      </c>
      <c r="B3839" s="5">
        <v>3832</v>
      </c>
      <c r="C3839">
        <v>2837</v>
      </c>
      <c r="D3839" t="s">
        <v>971</v>
      </c>
      <c r="E3839" t="s">
        <v>3803</v>
      </c>
      <c r="F3839" t="s">
        <v>38</v>
      </c>
      <c r="G3839" t="s">
        <v>7823</v>
      </c>
      <c r="H3839" t="str">
        <f>"00495843"</f>
        <v>00495843</v>
      </c>
      <c r="I3839">
        <v>15.2</v>
      </c>
      <c r="J3839">
        <v>0</v>
      </c>
      <c r="N3839">
        <v>0</v>
      </c>
      <c r="O3839">
        <v>0</v>
      </c>
      <c r="P3839">
        <v>0</v>
      </c>
      <c r="Q3839">
        <v>15.2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D3839">
        <v>15.2</v>
      </c>
    </row>
    <row r="3840" spans="1:30" x14ac:dyDescent="0.3">
      <c r="A3840" s="4">
        <v>3862</v>
      </c>
      <c r="B3840" s="5">
        <v>3833</v>
      </c>
      <c r="C3840">
        <v>311</v>
      </c>
      <c r="D3840" t="s">
        <v>3642</v>
      </c>
      <c r="E3840" t="s">
        <v>54</v>
      </c>
      <c r="F3840" t="s">
        <v>17</v>
      </c>
      <c r="G3840" t="s">
        <v>7824</v>
      </c>
      <c r="H3840" t="str">
        <f>"00857689"</f>
        <v>00857689</v>
      </c>
      <c r="I3840">
        <v>15.2</v>
      </c>
      <c r="J3840">
        <v>0</v>
      </c>
      <c r="N3840">
        <v>0</v>
      </c>
      <c r="O3840">
        <v>0</v>
      </c>
      <c r="P3840">
        <v>0</v>
      </c>
      <c r="Q3840">
        <v>15.2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D3840">
        <v>15.2</v>
      </c>
    </row>
    <row r="3841" spans="1:30" x14ac:dyDescent="0.3">
      <c r="A3841" s="4">
        <v>3863</v>
      </c>
      <c r="B3841" s="5">
        <v>3834</v>
      </c>
      <c r="C3841">
        <v>705</v>
      </c>
      <c r="D3841" t="s">
        <v>7825</v>
      </c>
      <c r="E3841" t="s">
        <v>219</v>
      </c>
      <c r="F3841" t="s">
        <v>243</v>
      </c>
      <c r="G3841" t="s">
        <v>7826</v>
      </c>
      <c r="H3841" t="str">
        <f>"00856262"</f>
        <v>00856262</v>
      </c>
      <c r="I3841">
        <v>15.2</v>
      </c>
      <c r="J3841">
        <v>0</v>
      </c>
      <c r="N3841">
        <v>0</v>
      </c>
      <c r="O3841">
        <v>0</v>
      </c>
      <c r="P3841">
        <v>0</v>
      </c>
      <c r="Q3841">
        <v>15.2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D3841">
        <v>15.2</v>
      </c>
    </row>
    <row r="3842" spans="1:30" x14ac:dyDescent="0.3">
      <c r="A3842" s="4">
        <v>3864</v>
      </c>
      <c r="B3842" s="5">
        <v>3835</v>
      </c>
      <c r="C3842">
        <v>4579</v>
      </c>
      <c r="D3842" t="s">
        <v>7827</v>
      </c>
      <c r="E3842" t="s">
        <v>166</v>
      </c>
      <c r="F3842" t="s">
        <v>38</v>
      </c>
      <c r="G3842" t="s">
        <v>7828</v>
      </c>
      <c r="H3842" t="str">
        <f>"00071249"</f>
        <v>00071249</v>
      </c>
      <c r="I3842">
        <v>11.2</v>
      </c>
      <c r="J3842">
        <v>0</v>
      </c>
      <c r="M3842">
        <v>4</v>
      </c>
      <c r="N3842">
        <v>4</v>
      </c>
      <c r="O3842">
        <v>0</v>
      </c>
      <c r="P3842">
        <v>0</v>
      </c>
      <c r="Q3842">
        <v>15.2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D3842">
        <v>15.2</v>
      </c>
    </row>
    <row r="3843" spans="1:30" x14ac:dyDescent="0.3">
      <c r="A3843" s="4">
        <v>3865</v>
      </c>
      <c r="B3843" s="5">
        <v>3836</v>
      </c>
      <c r="C3843">
        <v>3758</v>
      </c>
      <c r="D3843" t="s">
        <v>6125</v>
      </c>
      <c r="E3843" t="s">
        <v>342</v>
      </c>
      <c r="F3843" t="s">
        <v>587</v>
      </c>
      <c r="G3843" t="s">
        <v>7829</v>
      </c>
      <c r="H3843" t="str">
        <f>"201511026110"</f>
        <v>201511026110</v>
      </c>
      <c r="I3843">
        <v>7.2</v>
      </c>
      <c r="J3843">
        <v>0</v>
      </c>
      <c r="M3843">
        <v>4</v>
      </c>
      <c r="N3843">
        <v>4</v>
      </c>
      <c r="O3843">
        <v>4</v>
      </c>
      <c r="P3843">
        <v>0</v>
      </c>
      <c r="Q3843">
        <v>15.2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D3843">
        <v>15.2</v>
      </c>
    </row>
    <row r="3844" spans="1:30" x14ac:dyDescent="0.3">
      <c r="A3844" s="4">
        <v>3866</v>
      </c>
      <c r="B3844" s="5">
        <v>3837</v>
      </c>
      <c r="C3844">
        <v>65</v>
      </c>
      <c r="D3844" t="s">
        <v>7830</v>
      </c>
      <c r="E3844" t="s">
        <v>136</v>
      </c>
      <c r="F3844" t="s">
        <v>81</v>
      </c>
      <c r="G3844" t="s">
        <v>7831</v>
      </c>
      <c r="H3844" t="str">
        <f>"00083441"</f>
        <v>00083441</v>
      </c>
      <c r="I3844">
        <v>7.2</v>
      </c>
      <c r="J3844">
        <v>0</v>
      </c>
      <c r="M3844">
        <v>4</v>
      </c>
      <c r="N3844">
        <v>4</v>
      </c>
      <c r="O3844">
        <v>4</v>
      </c>
      <c r="P3844">
        <v>0</v>
      </c>
      <c r="Q3844">
        <v>15.2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D3844">
        <v>15.2</v>
      </c>
    </row>
    <row r="3845" spans="1:30" x14ac:dyDescent="0.3">
      <c r="A3845" s="4">
        <v>3867</v>
      </c>
      <c r="B3845" s="5">
        <v>3838</v>
      </c>
      <c r="C3845">
        <v>2311</v>
      </c>
      <c r="D3845" t="s">
        <v>7832</v>
      </c>
      <c r="E3845" t="s">
        <v>132</v>
      </c>
      <c r="F3845" t="s">
        <v>34</v>
      </c>
      <c r="G3845" t="s">
        <v>7833</v>
      </c>
      <c r="H3845" t="str">
        <f>"00530011"</f>
        <v>00530011</v>
      </c>
      <c r="I3845">
        <v>7.2</v>
      </c>
      <c r="J3845">
        <v>0</v>
      </c>
      <c r="M3845">
        <v>4</v>
      </c>
      <c r="N3845">
        <v>4</v>
      </c>
      <c r="O3845">
        <v>4</v>
      </c>
      <c r="P3845">
        <v>0</v>
      </c>
      <c r="Q3845">
        <v>15.2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D3845">
        <v>15.2</v>
      </c>
    </row>
    <row r="3846" spans="1:30" x14ac:dyDescent="0.3">
      <c r="A3846" s="4">
        <v>3868</v>
      </c>
      <c r="B3846" s="5">
        <v>3839</v>
      </c>
      <c r="C3846">
        <v>4447</v>
      </c>
      <c r="D3846" t="s">
        <v>7834</v>
      </c>
      <c r="E3846" t="s">
        <v>1280</v>
      </c>
      <c r="F3846" t="s">
        <v>20</v>
      </c>
      <c r="G3846" t="s">
        <v>7835</v>
      </c>
      <c r="H3846" t="str">
        <f>"00514218"</f>
        <v>00514218</v>
      </c>
      <c r="I3846">
        <v>7.2</v>
      </c>
      <c r="J3846">
        <v>0</v>
      </c>
      <c r="M3846">
        <v>4</v>
      </c>
      <c r="N3846">
        <v>4</v>
      </c>
      <c r="O3846">
        <v>4</v>
      </c>
      <c r="P3846">
        <v>0</v>
      </c>
      <c r="Q3846">
        <v>15.2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D3846">
        <v>15.2</v>
      </c>
    </row>
    <row r="3847" spans="1:30" x14ac:dyDescent="0.3">
      <c r="A3847" s="4">
        <v>3869</v>
      </c>
      <c r="B3847" s="5">
        <v>3840</v>
      </c>
      <c r="C3847">
        <v>2109</v>
      </c>
      <c r="D3847" t="s">
        <v>5985</v>
      </c>
      <c r="E3847" t="s">
        <v>41</v>
      </c>
      <c r="F3847" t="s">
        <v>782</v>
      </c>
      <c r="G3847" t="s">
        <v>7836</v>
      </c>
      <c r="H3847" t="str">
        <f>"00628164"</f>
        <v>00628164</v>
      </c>
      <c r="I3847">
        <v>7.2</v>
      </c>
      <c r="J3847">
        <v>0</v>
      </c>
      <c r="M3847">
        <v>4</v>
      </c>
      <c r="N3847">
        <v>4</v>
      </c>
      <c r="O3847">
        <v>4</v>
      </c>
      <c r="P3847">
        <v>0</v>
      </c>
      <c r="Q3847">
        <v>15.2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D3847">
        <v>15.2</v>
      </c>
    </row>
    <row r="3848" spans="1:30" x14ac:dyDescent="0.3">
      <c r="A3848" s="4">
        <v>3870</v>
      </c>
      <c r="B3848" s="5">
        <v>3841</v>
      </c>
      <c r="C3848">
        <v>2257</v>
      </c>
      <c r="D3848" t="s">
        <v>3872</v>
      </c>
      <c r="E3848" t="s">
        <v>19</v>
      </c>
      <c r="F3848" t="s">
        <v>136</v>
      </c>
      <c r="G3848" t="s">
        <v>7837</v>
      </c>
      <c r="H3848" t="str">
        <f>"00338350"</f>
        <v>00338350</v>
      </c>
      <c r="I3848">
        <v>7.2</v>
      </c>
      <c r="J3848">
        <v>0</v>
      </c>
      <c r="M3848">
        <v>4</v>
      </c>
      <c r="N3848">
        <v>4</v>
      </c>
      <c r="O3848">
        <v>4</v>
      </c>
      <c r="P3848">
        <v>0</v>
      </c>
      <c r="Q3848">
        <v>15.2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D3848">
        <v>15.2</v>
      </c>
    </row>
    <row r="3849" spans="1:30" x14ac:dyDescent="0.3">
      <c r="A3849" s="4">
        <v>3871</v>
      </c>
      <c r="B3849" s="5">
        <v>3842</v>
      </c>
      <c r="C3849">
        <v>4726</v>
      </c>
      <c r="D3849" t="s">
        <v>7838</v>
      </c>
      <c r="E3849" t="s">
        <v>41</v>
      </c>
      <c r="F3849" t="s">
        <v>20</v>
      </c>
      <c r="G3849" t="s">
        <v>7839</v>
      </c>
      <c r="H3849" t="str">
        <f>"00381350"</f>
        <v>00381350</v>
      </c>
      <c r="I3849">
        <v>12</v>
      </c>
      <c r="J3849">
        <v>0</v>
      </c>
      <c r="N3849">
        <v>0</v>
      </c>
      <c r="O3849">
        <v>0</v>
      </c>
      <c r="P3849">
        <v>0</v>
      </c>
      <c r="Q3849">
        <v>12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3</v>
      </c>
      <c r="AB3849">
        <v>0</v>
      </c>
      <c r="AD3849">
        <v>15</v>
      </c>
    </row>
    <row r="3850" spans="1:30" x14ac:dyDescent="0.3">
      <c r="A3850" s="4">
        <v>3872</v>
      </c>
      <c r="B3850" s="5">
        <v>3843</v>
      </c>
      <c r="C3850">
        <v>1736</v>
      </c>
      <c r="D3850" t="s">
        <v>7840</v>
      </c>
      <c r="E3850" t="s">
        <v>2372</v>
      </c>
      <c r="F3850" t="s">
        <v>117</v>
      </c>
      <c r="G3850" t="s">
        <v>7841</v>
      </c>
      <c r="H3850" t="str">
        <f>"00520150"</f>
        <v>00520150</v>
      </c>
      <c r="I3850">
        <v>12</v>
      </c>
      <c r="J3850">
        <v>0</v>
      </c>
      <c r="N3850">
        <v>0</v>
      </c>
      <c r="O3850">
        <v>0</v>
      </c>
      <c r="P3850">
        <v>0</v>
      </c>
      <c r="Q3850">
        <v>12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3</v>
      </c>
      <c r="AB3850">
        <v>0</v>
      </c>
      <c r="AD3850">
        <v>15</v>
      </c>
    </row>
    <row r="3851" spans="1:30" x14ac:dyDescent="0.3">
      <c r="A3851" s="4">
        <v>3873</v>
      </c>
      <c r="B3851" s="5">
        <v>3844</v>
      </c>
      <c r="C3851">
        <v>789</v>
      </c>
      <c r="D3851" t="s">
        <v>7842</v>
      </c>
      <c r="E3851" t="s">
        <v>7843</v>
      </c>
      <c r="F3851" t="s">
        <v>7844</v>
      </c>
      <c r="G3851" t="s">
        <v>7845</v>
      </c>
      <c r="H3851" t="str">
        <f>"00790113"</f>
        <v>00790113</v>
      </c>
      <c r="I3851">
        <v>0</v>
      </c>
      <c r="J3851">
        <v>0</v>
      </c>
      <c r="M3851">
        <v>8</v>
      </c>
      <c r="N3851">
        <v>8</v>
      </c>
      <c r="O3851">
        <v>4</v>
      </c>
      <c r="P3851">
        <v>0</v>
      </c>
      <c r="Q3851">
        <v>12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3</v>
      </c>
      <c r="AB3851">
        <v>0</v>
      </c>
      <c r="AD3851">
        <v>15</v>
      </c>
    </row>
    <row r="3852" spans="1:30" x14ac:dyDescent="0.3">
      <c r="A3852" s="4">
        <v>3874</v>
      </c>
      <c r="B3852" s="5">
        <v>3845</v>
      </c>
      <c r="C3852">
        <v>13</v>
      </c>
      <c r="D3852" t="s">
        <v>7846</v>
      </c>
      <c r="E3852" t="s">
        <v>173</v>
      </c>
      <c r="F3852" t="s">
        <v>190</v>
      </c>
      <c r="G3852" t="s">
        <v>7847</v>
      </c>
      <c r="H3852" t="str">
        <f>"00679695"</f>
        <v>00679695</v>
      </c>
      <c r="I3852">
        <v>0</v>
      </c>
      <c r="J3852">
        <v>0</v>
      </c>
      <c r="K3852">
        <v>8</v>
      </c>
      <c r="N3852">
        <v>8</v>
      </c>
      <c r="O3852">
        <v>4</v>
      </c>
      <c r="P3852">
        <v>0</v>
      </c>
      <c r="Q3852">
        <v>12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3</v>
      </c>
      <c r="AB3852">
        <v>0</v>
      </c>
      <c r="AD3852">
        <v>15</v>
      </c>
    </row>
    <row r="3853" spans="1:30" x14ac:dyDescent="0.3">
      <c r="A3853" s="4">
        <v>3875</v>
      </c>
      <c r="B3853" s="5">
        <v>3846</v>
      </c>
      <c r="C3853">
        <v>2649</v>
      </c>
      <c r="D3853" t="s">
        <v>7848</v>
      </c>
      <c r="E3853" t="s">
        <v>26</v>
      </c>
      <c r="F3853" t="s">
        <v>20</v>
      </c>
      <c r="G3853" t="s">
        <v>7849</v>
      </c>
      <c r="H3853" t="str">
        <f>"00532978"</f>
        <v>00532978</v>
      </c>
      <c r="I3853">
        <v>0</v>
      </c>
      <c r="J3853">
        <v>0</v>
      </c>
      <c r="N3853">
        <v>0</v>
      </c>
      <c r="O3853">
        <v>4</v>
      </c>
      <c r="P3853">
        <v>0</v>
      </c>
      <c r="Q3853">
        <v>4</v>
      </c>
      <c r="R3853">
        <v>11</v>
      </c>
      <c r="S3853">
        <v>11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11</v>
      </c>
      <c r="AA3853">
        <v>0</v>
      </c>
      <c r="AB3853">
        <v>0</v>
      </c>
      <c r="AD3853">
        <v>15</v>
      </c>
    </row>
    <row r="3854" spans="1:30" x14ac:dyDescent="0.3">
      <c r="A3854" s="4">
        <v>3876</v>
      </c>
      <c r="B3854" s="5">
        <v>3847</v>
      </c>
      <c r="C3854">
        <v>4464</v>
      </c>
      <c r="D3854" t="s">
        <v>7280</v>
      </c>
      <c r="E3854" t="s">
        <v>516</v>
      </c>
      <c r="F3854" t="s">
        <v>81</v>
      </c>
      <c r="G3854" t="s">
        <v>7850</v>
      </c>
      <c r="H3854" t="str">
        <f>"00863024"</f>
        <v>00863024</v>
      </c>
      <c r="I3854">
        <v>8.9600000000000009</v>
      </c>
      <c r="J3854">
        <v>0</v>
      </c>
      <c r="N3854">
        <v>0</v>
      </c>
      <c r="O3854">
        <v>0</v>
      </c>
      <c r="P3854">
        <v>0</v>
      </c>
      <c r="Q3854">
        <v>8.9600000000000009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6</v>
      </c>
      <c r="AB3854">
        <v>0</v>
      </c>
      <c r="AD3854">
        <v>14.96</v>
      </c>
    </row>
    <row r="3855" spans="1:30" x14ac:dyDescent="0.3">
      <c r="A3855" s="4">
        <v>3877</v>
      </c>
      <c r="B3855" s="5">
        <v>3848</v>
      </c>
      <c r="C3855">
        <v>2403</v>
      </c>
      <c r="D3855" t="s">
        <v>1071</v>
      </c>
      <c r="E3855" t="s">
        <v>51</v>
      </c>
      <c r="F3855" t="s">
        <v>343</v>
      </c>
      <c r="G3855" t="s">
        <v>7851</v>
      </c>
      <c r="H3855" t="str">
        <f>"00705220"</f>
        <v>00705220</v>
      </c>
      <c r="I3855">
        <v>14.92</v>
      </c>
      <c r="J3855">
        <v>0</v>
      </c>
      <c r="N3855">
        <v>0</v>
      </c>
      <c r="O3855">
        <v>0</v>
      </c>
      <c r="P3855">
        <v>0</v>
      </c>
      <c r="Q3855">
        <v>14.92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D3855">
        <v>14.92</v>
      </c>
    </row>
    <row r="3856" spans="1:30" x14ac:dyDescent="0.3">
      <c r="A3856" s="4">
        <v>3878</v>
      </c>
      <c r="B3856" s="5">
        <v>3849</v>
      </c>
      <c r="C3856">
        <v>2158</v>
      </c>
      <c r="D3856" t="s">
        <v>799</v>
      </c>
      <c r="E3856" t="s">
        <v>26</v>
      </c>
      <c r="F3856" t="s">
        <v>782</v>
      </c>
      <c r="G3856" t="s">
        <v>7852</v>
      </c>
      <c r="H3856" t="str">
        <f>"00480332"</f>
        <v>00480332</v>
      </c>
      <c r="I3856">
        <v>14.8</v>
      </c>
      <c r="J3856">
        <v>0</v>
      </c>
      <c r="N3856">
        <v>0</v>
      </c>
      <c r="O3856">
        <v>0</v>
      </c>
      <c r="P3856">
        <v>0</v>
      </c>
      <c r="Q3856">
        <v>14.8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D3856">
        <v>14.8</v>
      </c>
    </row>
    <row r="3857" spans="1:30" x14ac:dyDescent="0.3">
      <c r="A3857" s="4">
        <v>3879</v>
      </c>
      <c r="B3857" s="5">
        <v>3850</v>
      </c>
      <c r="C3857">
        <v>2406</v>
      </c>
      <c r="D3857" t="s">
        <v>7853</v>
      </c>
      <c r="E3857" t="s">
        <v>789</v>
      </c>
      <c r="F3857" t="s">
        <v>17</v>
      </c>
      <c r="G3857" t="s">
        <v>7854</v>
      </c>
      <c r="H3857" t="str">
        <f>"00864836"</f>
        <v>00864836</v>
      </c>
      <c r="I3857">
        <v>14.68</v>
      </c>
      <c r="J3857">
        <v>0</v>
      </c>
      <c r="N3857">
        <v>0</v>
      </c>
      <c r="O3857">
        <v>0</v>
      </c>
      <c r="P3857">
        <v>0</v>
      </c>
      <c r="Q3857">
        <v>14.68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D3857">
        <v>14.68</v>
      </c>
    </row>
    <row r="3858" spans="1:30" x14ac:dyDescent="0.3">
      <c r="A3858" s="4">
        <v>3880</v>
      </c>
      <c r="B3858" s="5">
        <v>3851</v>
      </c>
      <c r="C3858">
        <v>2278</v>
      </c>
      <c r="D3858" t="s">
        <v>6215</v>
      </c>
      <c r="E3858" t="s">
        <v>7855</v>
      </c>
      <c r="F3858" t="s">
        <v>68</v>
      </c>
      <c r="G3858" t="s">
        <v>7856</v>
      </c>
      <c r="H3858" t="str">
        <f>"00863937"</f>
        <v>00863937</v>
      </c>
      <c r="I3858">
        <v>14.4</v>
      </c>
      <c r="J3858">
        <v>0</v>
      </c>
      <c r="N3858">
        <v>0</v>
      </c>
      <c r="O3858">
        <v>0</v>
      </c>
      <c r="P3858">
        <v>0</v>
      </c>
      <c r="Q3858">
        <v>14.4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D3858">
        <v>14.4</v>
      </c>
    </row>
    <row r="3859" spans="1:30" x14ac:dyDescent="0.3">
      <c r="A3859" s="4">
        <v>3881</v>
      </c>
      <c r="B3859" s="5">
        <v>3852</v>
      </c>
      <c r="C3859">
        <v>1565</v>
      </c>
      <c r="D3859" t="s">
        <v>843</v>
      </c>
      <c r="E3859" t="s">
        <v>7857</v>
      </c>
      <c r="F3859" t="s">
        <v>2998</v>
      </c>
      <c r="G3859" t="s">
        <v>7858</v>
      </c>
      <c r="H3859" t="str">
        <f>"00546624"</f>
        <v>00546624</v>
      </c>
      <c r="I3859">
        <v>14.4</v>
      </c>
      <c r="J3859">
        <v>0</v>
      </c>
      <c r="N3859">
        <v>0</v>
      </c>
      <c r="O3859">
        <v>0</v>
      </c>
      <c r="P3859">
        <v>0</v>
      </c>
      <c r="Q3859">
        <v>14.4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D3859">
        <v>14.4</v>
      </c>
    </row>
    <row r="3860" spans="1:30" x14ac:dyDescent="0.3">
      <c r="A3860" s="4">
        <v>3882</v>
      </c>
      <c r="B3860" s="5">
        <v>3853</v>
      </c>
      <c r="C3860">
        <v>2327</v>
      </c>
      <c r="D3860" t="s">
        <v>3799</v>
      </c>
      <c r="E3860" t="s">
        <v>26</v>
      </c>
      <c r="F3860" t="s">
        <v>20</v>
      </c>
      <c r="G3860" t="s">
        <v>7859</v>
      </c>
      <c r="H3860" t="str">
        <f>"00858539"</f>
        <v>00858539</v>
      </c>
      <c r="I3860">
        <v>14.4</v>
      </c>
      <c r="J3860">
        <v>0</v>
      </c>
      <c r="N3860">
        <v>0</v>
      </c>
      <c r="O3860">
        <v>0</v>
      </c>
      <c r="P3860">
        <v>0</v>
      </c>
      <c r="Q3860">
        <v>14.4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D3860">
        <v>14.4</v>
      </c>
    </row>
    <row r="3861" spans="1:30" x14ac:dyDescent="0.3">
      <c r="A3861" s="4">
        <v>3883</v>
      </c>
      <c r="B3861" s="5">
        <v>3854</v>
      </c>
      <c r="C3861">
        <v>3430</v>
      </c>
      <c r="D3861" t="s">
        <v>7860</v>
      </c>
      <c r="E3861" t="s">
        <v>454</v>
      </c>
      <c r="F3861" t="s">
        <v>136</v>
      </c>
      <c r="G3861" t="s">
        <v>7861</v>
      </c>
      <c r="H3861" t="str">
        <f>"00862902"</f>
        <v>00862902</v>
      </c>
      <c r="I3861">
        <v>14.4</v>
      </c>
      <c r="J3861">
        <v>0</v>
      </c>
      <c r="N3861">
        <v>0</v>
      </c>
      <c r="O3861">
        <v>0</v>
      </c>
      <c r="P3861">
        <v>0</v>
      </c>
      <c r="Q3861">
        <v>14.4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D3861">
        <v>14.4</v>
      </c>
    </row>
    <row r="3862" spans="1:30" x14ac:dyDescent="0.3">
      <c r="A3862" s="4">
        <v>3884</v>
      </c>
      <c r="B3862" s="5">
        <v>3855</v>
      </c>
      <c r="C3862">
        <v>1945</v>
      </c>
      <c r="D3862" t="s">
        <v>7862</v>
      </c>
      <c r="E3862" t="s">
        <v>54</v>
      </c>
      <c r="F3862" t="s">
        <v>62</v>
      </c>
      <c r="G3862" t="s">
        <v>7863</v>
      </c>
      <c r="H3862" t="str">
        <f>"00822492"</f>
        <v>00822492</v>
      </c>
      <c r="I3862">
        <v>14.4</v>
      </c>
      <c r="J3862">
        <v>0</v>
      </c>
      <c r="N3862">
        <v>0</v>
      </c>
      <c r="O3862">
        <v>0</v>
      </c>
      <c r="P3862">
        <v>0</v>
      </c>
      <c r="Q3862">
        <v>14.4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D3862">
        <v>14.4</v>
      </c>
    </row>
    <row r="3863" spans="1:30" x14ac:dyDescent="0.3">
      <c r="A3863" s="4">
        <v>3885</v>
      </c>
      <c r="B3863" s="5">
        <v>3856</v>
      </c>
      <c r="C3863">
        <v>3284</v>
      </c>
      <c r="D3863" t="s">
        <v>4536</v>
      </c>
      <c r="E3863" t="s">
        <v>7864</v>
      </c>
      <c r="F3863" t="s">
        <v>38</v>
      </c>
      <c r="G3863" t="s">
        <v>7865</v>
      </c>
      <c r="H3863" t="str">
        <f>"00860673"</f>
        <v>00860673</v>
      </c>
      <c r="I3863">
        <v>14.4</v>
      </c>
      <c r="J3863">
        <v>0</v>
      </c>
      <c r="N3863">
        <v>0</v>
      </c>
      <c r="O3863">
        <v>0</v>
      </c>
      <c r="P3863">
        <v>0</v>
      </c>
      <c r="Q3863">
        <v>14.4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D3863">
        <v>14.4</v>
      </c>
    </row>
    <row r="3864" spans="1:30" x14ac:dyDescent="0.3">
      <c r="A3864" s="4">
        <v>3886</v>
      </c>
      <c r="B3864" s="5">
        <v>3857</v>
      </c>
      <c r="C3864">
        <v>1770</v>
      </c>
      <c r="D3864" t="s">
        <v>7866</v>
      </c>
      <c r="E3864" t="s">
        <v>41</v>
      </c>
      <c r="F3864" t="s">
        <v>68</v>
      </c>
      <c r="G3864" t="s">
        <v>7867</v>
      </c>
      <c r="H3864" t="str">
        <f>"00864058"</f>
        <v>00864058</v>
      </c>
      <c r="I3864">
        <v>14.4</v>
      </c>
      <c r="J3864">
        <v>0</v>
      </c>
      <c r="N3864">
        <v>0</v>
      </c>
      <c r="O3864">
        <v>0</v>
      </c>
      <c r="P3864">
        <v>0</v>
      </c>
      <c r="Q3864">
        <v>14.4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D3864">
        <v>14.4</v>
      </c>
    </row>
    <row r="3865" spans="1:30" x14ac:dyDescent="0.3">
      <c r="A3865" s="4">
        <v>3887</v>
      </c>
      <c r="B3865" s="5">
        <v>3858</v>
      </c>
      <c r="C3865">
        <v>2567</v>
      </c>
      <c r="D3865" t="s">
        <v>7868</v>
      </c>
      <c r="E3865" t="s">
        <v>7869</v>
      </c>
      <c r="F3865" t="s">
        <v>7870</v>
      </c>
      <c r="G3865" t="s">
        <v>7871</v>
      </c>
      <c r="H3865" t="str">
        <f>"00860853"</f>
        <v>00860853</v>
      </c>
      <c r="I3865">
        <v>14.4</v>
      </c>
      <c r="J3865">
        <v>0</v>
      </c>
      <c r="N3865">
        <v>0</v>
      </c>
      <c r="O3865">
        <v>0</v>
      </c>
      <c r="P3865">
        <v>0</v>
      </c>
      <c r="Q3865">
        <v>14.4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D3865">
        <v>14.4</v>
      </c>
    </row>
    <row r="3866" spans="1:30" x14ac:dyDescent="0.3">
      <c r="A3866" s="4">
        <v>3888</v>
      </c>
      <c r="B3866" s="5">
        <v>3859</v>
      </c>
      <c r="C3866">
        <v>3258</v>
      </c>
      <c r="D3866" t="s">
        <v>7872</v>
      </c>
      <c r="E3866" t="s">
        <v>7873</v>
      </c>
      <c r="F3866" t="s">
        <v>972</v>
      </c>
      <c r="G3866" t="s">
        <v>7874</v>
      </c>
      <c r="H3866" t="str">
        <f>"00533776"</f>
        <v>00533776</v>
      </c>
      <c r="I3866">
        <v>14.4</v>
      </c>
      <c r="J3866">
        <v>0</v>
      </c>
      <c r="N3866">
        <v>0</v>
      </c>
      <c r="O3866">
        <v>0</v>
      </c>
      <c r="P3866">
        <v>0</v>
      </c>
      <c r="Q3866">
        <v>14.4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D3866">
        <v>14.4</v>
      </c>
    </row>
    <row r="3867" spans="1:30" x14ac:dyDescent="0.3">
      <c r="A3867" s="4">
        <v>3889</v>
      </c>
      <c r="B3867" s="5">
        <v>3860</v>
      </c>
      <c r="C3867">
        <v>3262</v>
      </c>
      <c r="D3867" t="s">
        <v>7875</v>
      </c>
      <c r="E3867" t="s">
        <v>1809</v>
      </c>
      <c r="F3867" t="s">
        <v>38</v>
      </c>
      <c r="G3867" t="s">
        <v>7876</v>
      </c>
      <c r="H3867" t="str">
        <f>"201510000248"</f>
        <v>201510000248</v>
      </c>
      <c r="I3867">
        <v>14.4</v>
      </c>
      <c r="J3867">
        <v>0</v>
      </c>
      <c r="N3867">
        <v>0</v>
      </c>
      <c r="O3867">
        <v>0</v>
      </c>
      <c r="P3867">
        <v>0</v>
      </c>
      <c r="Q3867">
        <v>14.4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D3867">
        <v>14.4</v>
      </c>
    </row>
    <row r="3868" spans="1:30" x14ac:dyDescent="0.3">
      <c r="A3868" s="4">
        <v>3890</v>
      </c>
      <c r="B3868" s="5">
        <v>3861</v>
      </c>
      <c r="C3868">
        <v>4049</v>
      </c>
      <c r="D3868" t="s">
        <v>7877</v>
      </c>
      <c r="E3868" t="s">
        <v>33</v>
      </c>
      <c r="F3868" t="s">
        <v>38</v>
      </c>
      <c r="G3868" t="s">
        <v>7878</v>
      </c>
      <c r="H3868" t="str">
        <f>"00864447"</f>
        <v>00864447</v>
      </c>
      <c r="I3868">
        <v>14.4</v>
      </c>
      <c r="J3868">
        <v>0</v>
      </c>
      <c r="N3868">
        <v>0</v>
      </c>
      <c r="O3868">
        <v>0</v>
      </c>
      <c r="P3868">
        <v>0</v>
      </c>
      <c r="Q3868">
        <v>14.4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D3868">
        <v>14.4</v>
      </c>
    </row>
    <row r="3869" spans="1:30" x14ac:dyDescent="0.3">
      <c r="A3869" s="4">
        <v>3891</v>
      </c>
      <c r="B3869" s="5">
        <v>3862</v>
      </c>
      <c r="C3869">
        <v>4747</v>
      </c>
      <c r="D3869" t="s">
        <v>7879</v>
      </c>
      <c r="E3869" t="s">
        <v>178</v>
      </c>
      <c r="F3869" t="s">
        <v>328</v>
      </c>
      <c r="G3869" t="s">
        <v>7880</v>
      </c>
      <c r="H3869" t="str">
        <f>"00866528"</f>
        <v>00866528</v>
      </c>
      <c r="I3869">
        <v>14.4</v>
      </c>
      <c r="J3869">
        <v>0</v>
      </c>
      <c r="N3869">
        <v>0</v>
      </c>
      <c r="O3869">
        <v>0</v>
      </c>
      <c r="P3869">
        <v>0</v>
      </c>
      <c r="Q3869">
        <v>14.4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D3869">
        <v>14.4</v>
      </c>
    </row>
    <row r="3870" spans="1:30" x14ac:dyDescent="0.3">
      <c r="A3870" s="4">
        <v>3892</v>
      </c>
      <c r="B3870" s="5">
        <v>3863</v>
      </c>
      <c r="C3870">
        <v>4811</v>
      </c>
      <c r="D3870" t="s">
        <v>7881</v>
      </c>
      <c r="E3870" t="s">
        <v>29</v>
      </c>
      <c r="F3870" t="s">
        <v>136</v>
      </c>
      <c r="G3870" t="s">
        <v>7882</v>
      </c>
      <c r="H3870" t="str">
        <f>"00866412"</f>
        <v>00866412</v>
      </c>
      <c r="I3870">
        <v>14.4</v>
      </c>
      <c r="J3870">
        <v>0</v>
      </c>
      <c r="N3870">
        <v>0</v>
      </c>
      <c r="O3870">
        <v>0</v>
      </c>
      <c r="P3870">
        <v>0</v>
      </c>
      <c r="Q3870">
        <v>14.4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D3870">
        <v>14.4</v>
      </c>
    </row>
    <row r="3871" spans="1:30" x14ac:dyDescent="0.3">
      <c r="A3871" s="4">
        <v>3893</v>
      </c>
      <c r="B3871" s="5">
        <v>3864</v>
      </c>
      <c r="C3871">
        <v>1462</v>
      </c>
      <c r="D3871" t="s">
        <v>7883</v>
      </c>
      <c r="E3871" t="s">
        <v>29</v>
      </c>
      <c r="F3871" t="s">
        <v>832</v>
      </c>
      <c r="G3871" t="s">
        <v>7884</v>
      </c>
      <c r="H3871" t="str">
        <f>"00858009"</f>
        <v>00858009</v>
      </c>
      <c r="I3871">
        <v>14.4</v>
      </c>
      <c r="J3871">
        <v>0</v>
      </c>
      <c r="N3871">
        <v>0</v>
      </c>
      <c r="O3871">
        <v>0</v>
      </c>
      <c r="P3871">
        <v>0</v>
      </c>
      <c r="Q3871">
        <v>14.4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D3871">
        <v>14.4</v>
      </c>
    </row>
    <row r="3872" spans="1:30" x14ac:dyDescent="0.3">
      <c r="A3872" s="4">
        <v>3894</v>
      </c>
      <c r="B3872" s="5">
        <v>3865</v>
      </c>
      <c r="C3872">
        <v>1888</v>
      </c>
      <c r="D3872" t="s">
        <v>3989</v>
      </c>
      <c r="E3872" t="s">
        <v>29</v>
      </c>
      <c r="F3872" t="s">
        <v>167</v>
      </c>
      <c r="G3872" t="s">
        <v>7885</v>
      </c>
      <c r="H3872" t="str">
        <f>"00864723"</f>
        <v>00864723</v>
      </c>
      <c r="I3872">
        <v>14.4</v>
      </c>
      <c r="J3872">
        <v>0</v>
      </c>
      <c r="N3872">
        <v>0</v>
      </c>
      <c r="O3872">
        <v>0</v>
      </c>
      <c r="P3872">
        <v>0</v>
      </c>
      <c r="Q3872">
        <v>14.4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D3872">
        <v>14.4</v>
      </c>
    </row>
    <row r="3873" spans="1:30" x14ac:dyDescent="0.3">
      <c r="A3873" s="4">
        <v>3895</v>
      </c>
      <c r="B3873" s="5">
        <v>3866</v>
      </c>
      <c r="C3873">
        <v>4148</v>
      </c>
      <c r="D3873" t="s">
        <v>4857</v>
      </c>
      <c r="E3873" t="s">
        <v>97</v>
      </c>
      <c r="F3873" t="s">
        <v>136</v>
      </c>
      <c r="G3873" t="s">
        <v>7886</v>
      </c>
      <c r="H3873" t="str">
        <f>"00863154"</f>
        <v>00863154</v>
      </c>
      <c r="I3873">
        <v>14.4</v>
      </c>
      <c r="J3873">
        <v>0</v>
      </c>
      <c r="N3873">
        <v>0</v>
      </c>
      <c r="O3873">
        <v>0</v>
      </c>
      <c r="P3873">
        <v>0</v>
      </c>
      <c r="Q3873">
        <v>14.4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D3873">
        <v>14.4</v>
      </c>
    </row>
    <row r="3874" spans="1:30" x14ac:dyDescent="0.3">
      <c r="A3874" s="4">
        <v>3896</v>
      </c>
      <c r="B3874" s="5">
        <v>3867</v>
      </c>
      <c r="C3874">
        <v>2091</v>
      </c>
      <c r="D3874" t="s">
        <v>7887</v>
      </c>
      <c r="E3874" t="s">
        <v>33</v>
      </c>
      <c r="F3874" t="s">
        <v>375</v>
      </c>
      <c r="G3874" t="s">
        <v>7888</v>
      </c>
      <c r="H3874" t="str">
        <f>"00527586"</f>
        <v>00527586</v>
      </c>
      <c r="I3874">
        <v>11.28</v>
      </c>
      <c r="J3874">
        <v>0</v>
      </c>
      <c r="N3874">
        <v>0</v>
      </c>
      <c r="O3874">
        <v>0</v>
      </c>
      <c r="P3874">
        <v>0</v>
      </c>
      <c r="Q3874">
        <v>11.28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3</v>
      </c>
      <c r="AB3874">
        <v>0</v>
      </c>
      <c r="AD3874">
        <v>14.28</v>
      </c>
    </row>
    <row r="3875" spans="1:30" x14ac:dyDescent="0.3">
      <c r="A3875" s="4">
        <v>3897</v>
      </c>
      <c r="B3875" s="5">
        <v>3868</v>
      </c>
      <c r="C3875">
        <v>3489</v>
      </c>
      <c r="D3875" t="s">
        <v>7889</v>
      </c>
      <c r="E3875" t="s">
        <v>7890</v>
      </c>
      <c r="F3875" t="s">
        <v>892</v>
      </c>
      <c r="G3875" t="s">
        <v>7891</v>
      </c>
      <c r="H3875" t="str">
        <f>"00554975"</f>
        <v>00554975</v>
      </c>
      <c r="I3875">
        <v>7.2</v>
      </c>
      <c r="J3875">
        <v>0</v>
      </c>
      <c r="N3875">
        <v>0</v>
      </c>
      <c r="O3875">
        <v>4</v>
      </c>
      <c r="P3875">
        <v>0</v>
      </c>
      <c r="Q3875">
        <v>11.2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3</v>
      </c>
      <c r="AB3875">
        <v>0</v>
      </c>
      <c r="AD3875">
        <v>14.2</v>
      </c>
    </row>
    <row r="3876" spans="1:30" x14ac:dyDescent="0.3">
      <c r="A3876" s="4">
        <v>3898</v>
      </c>
      <c r="B3876" s="5">
        <v>3869</v>
      </c>
      <c r="C3876">
        <v>4132</v>
      </c>
      <c r="D3876" t="s">
        <v>7892</v>
      </c>
      <c r="E3876" t="s">
        <v>7893</v>
      </c>
      <c r="F3876" t="s">
        <v>17</v>
      </c>
      <c r="G3876" t="s">
        <v>7894</v>
      </c>
      <c r="H3876" t="str">
        <f>"00023522"</f>
        <v>00023522</v>
      </c>
      <c r="I3876">
        <v>7.2</v>
      </c>
      <c r="J3876">
        <v>0</v>
      </c>
      <c r="N3876">
        <v>0</v>
      </c>
      <c r="O3876">
        <v>4</v>
      </c>
      <c r="P3876">
        <v>0</v>
      </c>
      <c r="Q3876">
        <v>11.2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3</v>
      </c>
      <c r="AB3876">
        <v>0</v>
      </c>
      <c r="AD3876">
        <v>14.2</v>
      </c>
    </row>
    <row r="3877" spans="1:30" x14ac:dyDescent="0.3">
      <c r="A3877" s="4">
        <v>3899</v>
      </c>
      <c r="B3877" s="5">
        <v>3870</v>
      </c>
      <c r="C3877">
        <v>3814</v>
      </c>
      <c r="D3877" t="s">
        <v>1555</v>
      </c>
      <c r="E3877" t="s">
        <v>2088</v>
      </c>
      <c r="F3877" t="s">
        <v>158</v>
      </c>
      <c r="G3877" t="s">
        <v>7895</v>
      </c>
      <c r="H3877" t="str">
        <f>"00861154"</f>
        <v>00861154</v>
      </c>
      <c r="I3877">
        <v>7.2</v>
      </c>
      <c r="J3877">
        <v>0</v>
      </c>
      <c r="N3877">
        <v>0</v>
      </c>
      <c r="O3877">
        <v>4</v>
      </c>
      <c r="P3877">
        <v>0</v>
      </c>
      <c r="Q3877">
        <v>11.2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3</v>
      </c>
      <c r="AB3877">
        <v>0</v>
      </c>
      <c r="AD3877">
        <v>14.2</v>
      </c>
    </row>
    <row r="3878" spans="1:30" x14ac:dyDescent="0.3">
      <c r="A3878" s="4">
        <v>3900</v>
      </c>
      <c r="B3878" s="5">
        <v>3871</v>
      </c>
      <c r="C3878">
        <v>3076</v>
      </c>
      <c r="D3878" t="s">
        <v>7896</v>
      </c>
      <c r="E3878" t="s">
        <v>29</v>
      </c>
      <c r="F3878" t="s">
        <v>17</v>
      </c>
      <c r="G3878" t="s">
        <v>7897</v>
      </c>
      <c r="H3878" t="str">
        <f>"00863539"</f>
        <v>00863539</v>
      </c>
      <c r="I3878">
        <v>7.2</v>
      </c>
      <c r="J3878">
        <v>0</v>
      </c>
      <c r="N3878">
        <v>0</v>
      </c>
      <c r="O3878">
        <v>4</v>
      </c>
      <c r="P3878">
        <v>0</v>
      </c>
      <c r="Q3878">
        <v>11.2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3</v>
      </c>
      <c r="AB3878">
        <v>0</v>
      </c>
      <c r="AD3878">
        <v>14.2</v>
      </c>
    </row>
    <row r="3879" spans="1:30" x14ac:dyDescent="0.3">
      <c r="A3879" s="4">
        <v>3901</v>
      </c>
      <c r="B3879" s="5">
        <v>3872</v>
      </c>
      <c r="C3879">
        <v>4529</v>
      </c>
      <c r="D3879" t="s">
        <v>7898</v>
      </c>
      <c r="E3879" t="s">
        <v>54</v>
      </c>
      <c r="F3879" t="s">
        <v>7899</v>
      </c>
      <c r="G3879" t="s">
        <v>7900</v>
      </c>
      <c r="H3879" t="str">
        <f>"00203431"</f>
        <v>00203431</v>
      </c>
      <c r="I3879">
        <v>7.2</v>
      </c>
      <c r="J3879">
        <v>0</v>
      </c>
      <c r="N3879">
        <v>0</v>
      </c>
      <c r="O3879">
        <v>4</v>
      </c>
      <c r="P3879">
        <v>0</v>
      </c>
      <c r="Q3879">
        <v>11.2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3</v>
      </c>
      <c r="AB3879">
        <v>0</v>
      </c>
      <c r="AD3879">
        <v>14.2</v>
      </c>
    </row>
    <row r="3880" spans="1:30" x14ac:dyDescent="0.3">
      <c r="A3880" s="4">
        <v>3902</v>
      </c>
      <c r="B3880" s="5">
        <v>3873</v>
      </c>
      <c r="C3880">
        <v>4872</v>
      </c>
      <c r="D3880" t="s">
        <v>5820</v>
      </c>
      <c r="E3880" t="s">
        <v>22</v>
      </c>
      <c r="F3880" t="s">
        <v>626</v>
      </c>
      <c r="G3880" t="s">
        <v>7901</v>
      </c>
      <c r="H3880" t="str">
        <f>"00702734"</f>
        <v>00702734</v>
      </c>
      <c r="I3880">
        <v>7.2</v>
      </c>
      <c r="J3880">
        <v>0</v>
      </c>
      <c r="N3880">
        <v>0</v>
      </c>
      <c r="O3880">
        <v>4</v>
      </c>
      <c r="P3880">
        <v>0</v>
      </c>
      <c r="Q3880">
        <v>11.2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3</v>
      </c>
      <c r="AB3880">
        <v>0</v>
      </c>
      <c r="AD3880">
        <v>14.2</v>
      </c>
    </row>
    <row r="3881" spans="1:30" x14ac:dyDescent="0.3">
      <c r="A3881" s="4">
        <v>3903</v>
      </c>
      <c r="B3881" s="5">
        <v>3874</v>
      </c>
      <c r="C3881">
        <v>3538</v>
      </c>
      <c r="D3881" t="s">
        <v>7902</v>
      </c>
      <c r="E3881" t="s">
        <v>33</v>
      </c>
      <c r="F3881" t="s">
        <v>38</v>
      </c>
      <c r="G3881" t="s">
        <v>7903</v>
      </c>
      <c r="H3881" t="str">
        <f>"00863122"</f>
        <v>00863122</v>
      </c>
      <c r="I3881">
        <v>7.2</v>
      </c>
      <c r="J3881">
        <v>0</v>
      </c>
      <c r="N3881">
        <v>0</v>
      </c>
      <c r="O3881">
        <v>4</v>
      </c>
      <c r="P3881">
        <v>0</v>
      </c>
      <c r="Q3881">
        <v>11.2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3</v>
      </c>
      <c r="AB3881">
        <v>0</v>
      </c>
      <c r="AD3881">
        <v>14.2</v>
      </c>
    </row>
    <row r="3882" spans="1:30" x14ac:dyDescent="0.3">
      <c r="A3882" s="4">
        <v>3904</v>
      </c>
      <c r="B3882" s="5">
        <v>3875</v>
      </c>
      <c r="C3882">
        <v>4210</v>
      </c>
      <c r="D3882" t="s">
        <v>7904</v>
      </c>
      <c r="E3882" t="s">
        <v>41</v>
      </c>
      <c r="F3882" t="s">
        <v>20</v>
      </c>
      <c r="G3882" t="s">
        <v>7905</v>
      </c>
      <c r="H3882" t="str">
        <f>"00865058"</f>
        <v>00865058</v>
      </c>
      <c r="I3882">
        <v>7.2</v>
      </c>
      <c r="J3882">
        <v>0</v>
      </c>
      <c r="M3882">
        <v>4</v>
      </c>
      <c r="N3882">
        <v>4</v>
      </c>
      <c r="O3882">
        <v>0</v>
      </c>
      <c r="P3882">
        <v>0</v>
      </c>
      <c r="Q3882">
        <v>11.2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3</v>
      </c>
      <c r="AB3882">
        <v>0</v>
      </c>
      <c r="AD3882">
        <v>14.2</v>
      </c>
    </row>
    <row r="3883" spans="1:30" x14ac:dyDescent="0.3">
      <c r="A3883" s="4">
        <v>3905</v>
      </c>
      <c r="B3883" s="5">
        <v>3876</v>
      </c>
      <c r="C3883">
        <v>4659</v>
      </c>
      <c r="D3883" t="s">
        <v>577</v>
      </c>
      <c r="E3883" t="s">
        <v>54</v>
      </c>
      <c r="F3883" t="s">
        <v>38</v>
      </c>
      <c r="G3883" t="s">
        <v>7906</v>
      </c>
      <c r="H3883" t="str">
        <f>"00866084"</f>
        <v>00866084</v>
      </c>
      <c r="I3883">
        <v>8.16</v>
      </c>
      <c r="J3883">
        <v>0</v>
      </c>
      <c r="N3883">
        <v>0</v>
      </c>
      <c r="O3883">
        <v>4</v>
      </c>
      <c r="P3883">
        <v>2</v>
      </c>
      <c r="Q3883">
        <v>14.16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D3883">
        <v>14.16</v>
      </c>
    </row>
    <row r="3884" spans="1:30" x14ac:dyDescent="0.3">
      <c r="A3884" s="4">
        <v>3906</v>
      </c>
      <c r="B3884" s="5">
        <v>3877</v>
      </c>
      <c r="C3884">
        <v>1161</v>
      </c>
      <c r="D3884" t="s">
        <v>7907</v>
      </c>
      <c r="E3884" t="s">
        <v>825</v>
      </c>
      <c r="F3884" t="s">
        <v>34</v>
      </c>
      <c r="G3884" t="s">
        <v>7908</v>
      </c>
      <c r="H3884" t="str">
        <f>"201511041648"</f>
        <v>201511041648</v>
      </c>
      <c r="I3884">
        <v>10.119999999999999</v>
      </c>
      <c r="J3884">
        <v>0</v>
      </c>
      <c r="N3884">
        <v>0</v>
      </c>
      <c r="O3884">
        <v>4</v>
      </c>
      <c r="P3884">
        <v>0</v>
      </c>
      <c r="Q3884">
        <v>14.12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D3884">
        <v>14.12</v>
      </c>
    </row>
    <row r="3885" spans="1:30" x14ac:dyDescent="0.3">
      <c r="A3885" s="4">
        <v>3907</v>
      </c>
      <c r="B3885" s="5">
        <v>3878</v>
      </c>
      <c r="C3885">
        <v>4716</v>
      </c>
      <c r="D3885" t="s">
        <v>267</v>
      </c>
      <c r="E3885" t="s">
        <v>54</v>
      </c>
      <c r="F3885" t="s">
        <v>136</v>
      </c>
      <c r="G3885" t="s">
        <v>7909</v>
      </c>
      <c r="H3885" t="str">
        <f>"00866229"</f>
        <v>00866229</v>
      </c>
      <c r="I3885">
        <v>0</v>
      </c>
      <c r="J3885">
        <v>0</v>
      </c>
      <c r="M3885">
        <v>4</v>
      </c>
      <c r="N3885">
        <v>4</v>
      </c>
      <c r="O3885">
        <v>4</v>
      </c>
      <c r="P3885">
        <v>0</v>
      </c>
      <c r="Q3885">
        <v>8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6</v>
      </c>
      <c r="AB3885">
        <v>0</v>
      </c>
      <c r="AD3885">
        <v>14</v>
      </c>
    </row>
    <row r="3886" spans="1:30" x14ac:dyDescent="0.3">
      <c r="A3886" s="4">
        <v>3908</v>
      </c>
      <c r="B3886" s="5">
        <v>3879</v>
      </c>
      <c r="C3886">
        <v>633</v>
      </c>
      <c r="D3886" t="s">
        <v>7910</v>
      </c>
      <c r="E3886" t="s">
        <v>26</v>
      </c>
      <c r="F3886" t="s">
        <v>17</v>
      </c>
      <c r="G3886" t="s">
        <v>7911</v>
      </c>
      <c r="H3886" t="str">
        <f>"00856382"</f>
        <v>00856382</v>
      </c>
      <c r="I3886">
        <v>0</v>
      </c>
      <c r="J3886">
        <v>0</v>
      </c>
      <c r="M3886">
        <v>4</v>
      </c>
      <c r="N3886">
        <v>4</v>
      </c>
      <c r="O3886">
        <v>4</v>
      </c>
      <c r="P3886">
        <v>0</v>
      </c>
      <c r="Q3886">
        <v>8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6</v>
      </c>
      <c r="AB3886">
        <v>0</v>
      </c>
      <c r="AD3886">
        <v>14</v>
      </c>
    </row>
    <row r="3887" spans="1:30" x14ac:dyDescent="0.3">
      <c r="A3887" s="4">
        <v>3909</v>
      </c>
      <c r="B3887" s="5">
        <v>3880</v>
      </c>
      <c r="C3887">
        <v>4946</v>
      </c>
      <c r="D3887" t="s">
        <v>7912</v>
      </c>
      <c r="E3887" t="s">
        <v>29</v>
      </c>
      <c r="F3887" t="s">
        <v>52</v>
      </c>
      <c r="G3887" t="s">
        <v>7913</v>
      </c>
      <c r="H3887" t="str">
        <f>"00479590"</f>
        <v>00479590</v>
      </c>
      <c r="I3887">
        <v>0</v>
      </c>
      <c r="J3887">
        <v>0</v>
      </c>
      <c r="N3887">
        <v>0</v>
      </c>
      <c r="O3887">
        <v>4</v>
      </c>
      <c r="P3887">
        <v>0</v>
      </c>
      <c r="Q3887">
        <v>4</v>
      </c>
      <c r="R3887">
        <v>7</v>
      </c>
      <c r="S3887">
        <v>7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7</v>
      </c>
      <c r="AA3887">
        <v>3</v>
      </c>
      <c r="AB3887">
        <v>0</v>
      </c>
      <c r="AD3887">
        <v>14</v>
      </c>
    </row>
    <row r="3888" spans="1:30" x14ac:dyDescent="0.3">
      <c r="A3888" s="4">
        <v>3910</v>
      </c>
      <c r="B3888" s="5">
        <v>3881</v>
      </c>
      <c r="C3888">
        <v>1326</v>
      </c>
      <c r="D3888" t="s">
        <v>7914</v>
      </c>
      <c r="E3888" t="s">
        <v>147</v>
      </c>
      <c r="F3888" t="s">
        <v>79</v>
      </c>
      <c r="G3888" t="s">
        <v>7915</v>
      </c>
      <c r="H3888" t="str">
        <f>"201410006038"</f>
        <v>201410006038</v>
      </c>
      <c r="I3888">
        <v>0</v>
      </c>
      <c r="J3888">
        <v>0</v>
      </c>
      <c r="N3888">
        <v>0</v>
      </c>
      <c r="O3888">
        <v>4</v>
      </c>
      <c r="P3888">
        <v>0</v>
      </c>
      <c r="Q3888">
        <v>4</v>
      </c>
      <c r="R3888">
        <v>7</v>
      </c>
      <c r="S3888">
        <v>7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7</v>
      </c>
      <c r="AA3888">
        <v>3</v>
      </c>
      <c r="AB3888">
        <v>0</v>
      </c>
      <c r="AD3888">
        <v>14</v>
      </c>
    </row>
    <row r="3889" spans="1:30" x14ac:dyDescent="0.3">
      <c r="A3889" s="4">
        <v>3911</v>
      </c>
      <c r="B3889" s="5">
        <v>3882</v>
      </c>
      <c r="C3889">
        <v>4566</v>
      </c>
      <c r="D3889" t="s">
        <v>2490</v>
      </c>
      <c r="E3889" t="s">
        <v>22</v>
      </c>
      <c r="F3889" t="s">
        <v>17</v>
      </c>
      <c r="G3889" t="s">
        <v>7916</v>
      </c>
      <c r="H3889" t="str">
        <f>"00865445"</f>
        <v>00865445</v>
      </c>
      <c r="I3889">
        <v>14</v>
      </c>
      <c r="J3889">
        <v>0</v>
      </c>
      <c r="N3889">
        <v>0</v>
      </c>
      <c r="O3889">
        <v>0</v>
      </c>
      <c r="P3889">
        <v>0</v>
      </c>
      <c r="Q3889">
        <v>14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D3889">
        <v>14</v>
      </c>
    </row>
    <row r="3890" spans="1:30" x14ac:dyDescent="0.3">
      <c r="A3890" s="4">
        <v>3912</v>
      </c>
      <c r="B3890" s="5">
        <v>3883</v>
      </c>
      <c r="C3890">
        <v>3396</v>
      </c>
      <c r="D3890" t="s">
        <v>6061</v>
      </c>
      <c r="E3890" t="s">
        <v>7917</v>
      </c>
      <c r="F3890" t="s">
        <v>38</v>
      </c>
      <c r="G3890" t="s">
        <v>7918</v>
      </c>
      <c r="H3890" t="str">
        <f>"00160096"</f>
        <v>00160096</v>
      </c>
      <c r="I3890">
        <v>0</v>
      </c>
      <c r="J3890">
        <v>0</v>
      </c>
      <c r="K3890">
        <v>8</v>
      </c>
      <c r="N3890">
        <v>8</v>
      </c>
      <c r="O3890">
        <v>4</v>
      </c>
      <c r="P3890">
        <v>2</v>
      </c>
      <c r="Q3890">
        <v>14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D3890">
        <v>14</v>
      </c>
    </row>
    <row r="3891" spans="1:30" x14ac:dyDescent="0.3">
      <c r="A3891" s="4">
        <v>3913</v>
      </c>
      <c r="B3891" s="5">
        <v>3884</v>
      </c>
      <c r="C3891">
        <v>1395</v>
      </c>
      <c r="D3891" t="s">
        <v>1693</v>
      </c>
      <c r="E3891" t="s">
        <v>97</v>
      </c>
      <c r="F3891" t="s">
        <v>68</v>
      </c>
      <c r="G3891" t="s">
        <v>7919</v>
      </c>
      <c r="H3891" t="str">
        <f>"00381596"</f>
        <v>00381596</v>
      </c>
      <c r="I3891">
        <v>0</v>
      </c>
      <c r="J3891">
        <v>0</v>
      </c>
      <c r="K3891">
        <v>8</v>
      </c>
      <c r="N3891">
        <v>8</v>
      </c>
      <c r="O3891">
        <v>4</v>
      </c>
      <c r="P3891">
        <v>2</v>
      </c>
      <c r="Q3891">
        <v>14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D3891">
        <v>14</v>
      </c>
    </row>
    <row r="3892" spans="1:30" x14ac:dyDescent="0.3">
      <c r="A3892" s="4">
        <v>3914</v>
      </c>
      <c r="B3892" s="5">
        <v>3885</v>
      </c>
      <c r="C3892">
        <v>4378</v>
      </c>
      <c r="D3892" t="s">
        <v>7920</v>
      </c>
      <c r="E3892" t="s">
        <v>71</v>
      </c>
      <c r="F3892" t="s">
        <v>17</v>
      </c>
      <c r="G3892" t="s">
        <v>7921</v>
      </c>
      <c r="H3892" t="str">
        <f>"00484181"</f>
        <v>00484181</v>
      </c>
      <c r="I3892">
        <v>0</v>
      </c>
      <c r="J3892">
        <v>0</v>
      </c>
      <c r="K3892">
        <v>8</v>
      </c>
      <c r="N3892">
        <v>8</v>
      </c>
      <c r="O3892">
        <v>4</v>
      </c>
      <c r="P3892">
        <v>2</v>
      </c>
      <c r="Q3892">
        <v>14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D3892">
        <v>14</v>
      </c>
    </row>
    <row r="3893" spans="1:30" x14ac:dyDescent="0.3">
      <c r="A3893" s="4">
        <v>3915</v>
      </c>
      <c r="B3893" s="5">
        <v>3886</v>
      </c>
      <c r="C3893">
        <v>1378</v>
      </c>
      <c r="D3893" t="s">
        <v>7922</v>
      </c>
      <c r="E3893" t="s">
        <v>166</v>
      </c>
      <c r="F3893" t="s">
        <v>17</v>
      </c>
      <c r="G3893" t="s">
        <v>7923</v>
      </c>
      <c r="H3893" t="str">
        <f>"00509559"</f>
        <v>00509559</v>
      </c>
      <c r="I3893">
        <v>0</v>
      </c>
      <c r="J3893">
        <v>0</v>
      </c>
      <c r="K3893">
        <v>8</v>
      </c>
      <c r="N3893">
        <v>8</v>
      </c>
      <c r="O3893">
        <v>4</v>
      </c>
      <c r="P3893">
        <v>2</v>
      </c>
      <c r="Q3893">
        <v>14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D3893">
        <v>14</v>
      </c>
    </row>
    <row r="3894" spans="1:30" x14ac:dyDescent="0.3">
      <c r="A3894" s="4">
        <v>3916</v>
      </c>
      <c r="B3894" s="5">
        <v>3887</v>
      </c>
      <c r="C3894">
        <v>48</v>
      </c>
      <c r="D3894" t="s">
        <v>7924</v>
      </c>
      <c r="E3894" t="s">
        <v>166</v>
      </c>
      <c r="F3894" t="s">
        <v>259</v>
      </c>
      <c r="G3894" t="s">
        <v>7925</v>
      </c>
      <c r="H3894" t="str">
        <f>"201511038421"</f>
        <v>201511038421</v>
      </c>
      <c r="I3894">
        <v>0</v>
      </c>
      <c r="J3894">
        <v>0</v>
      </c>
      <c r="K3894">
        <v>8</v>
      </c>
      <c r="L3894">
        <v>6</v>
      </c>
      <c r="N3894">
        <v>14</v>
      </c>
      <c r="O3894">
        <v>0</v>
      </c>
      <c r="P3894">
        <v>0</v>
      </c>
      <c r="Q3894">
        <v>14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D3894">
        <v>14</v>
      </c>
    </row>
    <row r="3895" spans="1:30" x14ac:dyDescent="0.3">
      <c r="A3895" s="4">
        <v>3917</v>
      </c>
      <c r="B3895" s="5">
        <v>3888</v>
      </c>
      <c r="C3895">
        <v>426</v>
      </c>
      <c r="D3895" t="s">
        <v>7926</v>
      </c>
      <c r="E3895" t="s">
        <v>268</v>
      </c>
      <c r="F3895" t="s">
        <v>17</v>
      </c>
      <c r="G3895" t="s">
        <v>7927</v>
      </c>
      <c r="H3895" t="str">
        <f>"00530703"</f>
        <v>00530703</v>
      </c>
      <c r="I3895">
        <v>0</v>
      </c>
      <c r="J3895">
        <v>0</v>
      </c>
      <c r="M3895">
        <v>4</v>
      </c>
      <c r="N3895">
        <v>4</v>
      </c>
      <c r="O3895">
        <v>4</v>
      </c>
      <c r="P3895">
        <v>0</v>
      </c>
      <c r="Q3895">
        <v>8</v>
      </c>
      <c r="R3895">
        <v>6</v>
      </c>
      <c r="S3895">
        <v>6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6</v>
      </c>
      <c r="AA3895">
        <v>0</v>
      </c>
      <c r="AB3895">
        <v>0</v>
      </c>
      <c r="AD3895">
        <v>14</v>
      </c>
    </row>
    <row r="3896" spans="1:30" x14ac:dyDescent="0.3">
      <c r="A3896" s="4">
        <v>3918</v>
      </c>
      <c r="B3896" s="5">
        <v>3889</v>
      </c>
      <c r="C3896">
        <v>627</v>
      </c>
      <c r="D3896" t="s">
        <v>7928</v>
      </c>
      <c r="E3896" t="s">
        <v>7929</v>
      </c>
      <c r="F3896" t="s">
        <v>68</v>
      </c>
      <c r="G3896" t="s">
        <v>7930</v>
      </c>
      <c r="H3896" t="str">
        <f>"00527431"</f>
        <v>00527431</v>
      </c>
      <c r="I3896">
        <v>0</v>
      </c>
      <c r="J3896">
        <v>0</v>
      </c>
      <c r="M3896">
        <v>4</v>
      </c>
      <c r="N3896">
        <v>4</v>
      </c>
      <c r="O3896">
        <v>4</v>
      </c>
      <c r="P3896">
        <v>0</v>
      </c>
      <c r="Q3896">
        <v>8</v>
      </c>
      <c r="R3896">
        <v>6</v>
      </c>
      <c r="S3896">
        <v>6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6</v>
      </c>
      <c r="AA3896">
        <v>0</v>
      </c>
      <c r="AB3896">
        <v>0</v>
      </c>
      <c r="AD3896">
        <v>14</v>
      </c>
    </row>
    <row r="3897" spans="1:30" x14ac:dyDescent="0.3">
      <c r="A3897" s="4">
        <v>3919</v>
      </c>
      <c r="B3897" s="5">
        <v>3890</v>
      </c>
      <c r="C3897">
        <v>256</v>
      </c>
      <c r="D3897" t="s">
        <v>3110</v>
      </c>
      <c r="E3897" t="s">
        <v>166</v>
      </c>
      <c r="F3897" t="s">
        <v>626</v>
      </c>
      <c r="G3897" t="s">
        <v>7931</v>
      </c>
      <c r="H3897" t="str">
        <f>"00315239"</f>
        <v>00315239</v>
      </c>
      <c r="I3897">
        <v>0</v>
      </c>
      <c r="J3897">
        <v>0</v>
      </c>
      <c r="M3897">
        <v>4</v>
      </c>
      <c r="N3897">
        <v>4</v>
      </c>
      <c r="O3897">
        <v>4</v>
      </c>
      <c r="P3897">
        <v>0</v>
      </c>
      <c r="Q3897">
        <v>8</v>
      </c>
      <c r="R3897">
        <v>6</v>
      </c>
      <c r="S3897">
        <v>6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6</v>
      </c>
      <c r="AA3897">
        <v>0</v>
      </c>
      <c r="AB3897">
        <v>0</v>
      </c>
      <c r="AD3897">
        <v>14</v>
      </c>
    </row>
    <row r="3898" spans="1:30" x14ac:dyDescent="0.3">
      <c r="A3898" s="4">
        <v>3920</v>
      </c>
      <c r="B3898" s="5">
        <v>3891</v>
      </c>
      <c r="C3898">
        <v>4762</v>
      </c>
      <c r="D3898" t="s">
        <v>7932</v>
      </c>
      <c r="E3898" t="s">
        <v>132</v>
      </c>
      <c r="F3898" t="s">
        <v>17</v>
      </c>
      <c r="G3898" t="s">
        <v>7933</v>
      </c>
      <c r="H3898" t="str">
        <f>"00866835"</f>
        <v>00866835</v>
      </c>
      <c r="I3898">
        <v>7.2</v>
      </c>
      <c r="J3898">
        <v>0</v>
      </c>
      <c r="N3898">
        <v>0</v>
      </c>
      <c r="O3898">
        <v>0</v>
      </c>
      <c r="P3898">
        <v>0</v>
      </c>
      <c r="Q3898">
        <v>7.2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6</v>
      </c>
      <c r="AB3898">
        <v>0</v>
      </c>
      <c r="AD3898">
        <v>13.2</v>
      </c>
    </row>
    <row r="3899" spans="1:30" x14ac:dyDescent="0.3">
      <c r="A3899" s="4">
        <v>3921</v>
      </c>
      <c r="B3899" s="5">
        <v>3892</v>
      </c>
      <c r="C3899">
        <v>2798</v>
      </c>
      <c r="D3899" t="s">
        <v>7934</v>
      </c>
      <c r="E3899" t="s">
        <v>29</v>
      </c>
      <c r="F3899" t="s">
        <v>117</v>
      </c>
      <c r="G3899" t="s">
        <v>7935</v>
      </c>
      <c r="H3899" t="str">
        <f>"00862206"</f>
        <v>00862206</v>
      </c>
      <c r="I3899">
        <v>7.2</v>
      </c>
      <c r="J3899">
        <v>0</v>
      </c>
      <c r="N3899">
        <v>0</v>
      </c>
      <c r="O3899">
        <v>0</v>
      </c>
      <c r="P3899">
        <v>0</v>
      </c>
      <c r="Q3899">
        <v>7.2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6</v>
      </c>
      <c r="AB3899">
        <v>0</v>
      </c>
      <c r="AD3899">
        <v>13.2</v>
      </c>
    </row>
    <row r="3900" spans="1:30" x14ac:dyDescent="0.3">
      <c r="A3900" s="4">
        <v>3922</v>
      </c>
      <c r="B3900" s="5">
        <v>3893</v>
      </c>
      <c r="C3900">
        <v>3944</v>
      </c>
      <c r="D3900" t="s">
        <v>7936</v>
      </c>
      <c r="E3900" t="s">
        <v>26</v>
      </c>
      <c r="F3900" t="s">
        <v>442</v>
      </c>
      <c r="G3900" t="s">
        <v>7937</v>
      </c>
      <c r="H3900" t="str">
        <f>"00523992"</f>
        <v>00523992</v>
      </c>
      <c r="I3900">
        <v>7.2</v>
      </c>
      <c r="J3900">
        <v>0</v>
      </c>
      <c r="N3900">
        <v>0</v>
      </c>
      <c r="O3900">
        <v>0</v>
      </c>
      <c r="P3900">
        <v>0</v>
      </c>
      <c r="Q3900">
        <v>7.2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6</v>
      </c>
      <c r="AB3900">
        <v>0</v>
      </c>
      <c r="AD3900">
        <v>13.2</v>
      </c>
    </row>
    <row r="3901" spans="1:30" x14ac:dyDescent="0.3">
      <c r="A3901" s="4">
        <v>3923</v>
      </c>
      <c r="B3901" s="5">
        <v>3894</v>
      </c>
      <c r="C3901">
        <v>845</v>
      </c>
      <c r="D3901" t="s">
        <v>7938</v>
      </c>
      <c r="E3901" t="s">
        <v>29</v>
      </c>
      <c r="F3901" t="s">
        <v>81</v>
      </c>
      <c r="G3901" t="s">
        <v>7939</v>
      </c>
      <c r="H3901" t="str">
        <f>"00854510"</f>
        <v>00854510</v>
      </c>
      <c r="I3901">
        <v>7.2</v>
      </c>
      <c r="J3901">
        <v>0</v>
      </c>
      <c r="N3901">
        <v>0</v>
      </c>
      <c r="O3901">
        <v>0</v>
      </c>
      <c r="P3901">
        <v>0</v>
      </c>
      <c r="Q3901">
        <v>7.2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6</v>
      </c>
      <c r="AB3901">
        <v>0</v>
      </c>
      <c r="AD3901">
        <v>13.2</v>
      </c>
    </row>
    <row r="3902" spans="1:30" x14ac:dyDescent="0.3">
      <c r="A3902" s="4">
        <v>3924</v>
      </c>
      <c r="B3902" s="5">
        <v>3895</v>
      </c>
      <c r="C3902">
        <v>4763</v>
      </c>
      <c r="D3902" t="s">
        <v>6423</v>
      </c>
      <c r="E3902" t="s">
        <v>4801</v>
      </c>
      <c r="F3902" t="s">
        <v>81</v>
      </c>
      <c r="G3902" t="s">
        <v>7940</v>
      </c>
      <c r="H3902" t="str">
        <f>"00865718"</f>
        <v>00865718</v>
      </c>
      <c r="I3902">
        <v>7.2</v>
      </c>
      <c r="J3902">
        <v>0</v>
      </c>
      <c r="N3902">
        <v>0</v>
      </c>
      <c r="O3902">
        <v>0</v>
      </c>
      <c r="P3902">
        <v>0</v>
      </c>
      <c r="Q3902">
        <v>7.2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6</v>
      </c>
      <c r="AB3902">
        <v>0</v>
      </c>
      <c r="AD3902">
        <v>13.2</v>
      </c>
    </row>
    <row r="3903" spans="1:30" x14ac:dyDescent="0.3">
      <c r="A3903" s="4">
        <v>3925</v>
      </c>
      <c r="B3903" s="5">
        <v>3896</v>
      </c>
      <c r="C3903">
        <v>4350</v>
      </c>
      <c r="D3903" t="s">
        <v>5770</v>
      </c>
      <c r="E3903" t="s">
        <v>7941</v>
      </c>
      <c r="F3903" t="s">
        <v>38</v>
      </c>
      <c r="G3903" t="s">
        <v>7942</v>
      </c>
      <c r="H3903" t="str">
        <f>"00712974"</f>
        <v>00712974</v>
      </c>
      <c r="I3903">
        <v>7.2</v>
      </c>
      <c r="J3903">
        <v>0</v>
      </c>
      <c r="N3903">
        <v>0</v>
      </c>
      <c r="O3903">
        <v>0</v>
      </c>
      <c r="P3903">
        <v>0</v>
      </c>
      <c r="Q3903">
        <v>7.2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6</v>
      </c>
      <c r="AB3903">
        <v>0</v>
      </c>
      <c r="AD3903">
        <v>13.2</v>
      </c>
    </row>
    <row r="3904" spans="1:30" x14ac:dyDescent="0.3">
      <c r="A3904" s="4">
        <v>3926</v>
      </c>
      <c r="B3904" s="5">
        <v>3897</v>
      </c>
      <c r="C3904">
        <v>2194</v>
      </c>
      <c r="D3904" t="s">
        <v>7943</v>
      </c>
      <c r="E3904" t="s">
        <v>789</v>
      </c>
      <c r="F3904" t="s">
        <v>17</v>
      </c>
      <c r="G3904" t="s">
        <v>7944</v>
      </c>
      <c r="H3904" t="str">
        <f>"00459965"</f>
        <v>00459965</v>
      </c>
      <c r="I3904">
        <v>7.2</v>
      </c>
      <c r="J3904">
        <v>0</v>
      </c>
      <c r="M3904">
        <v>4</v>
      </c>
      <c r="N3904">
        <v>4</v>
      </c>
      <c r="O3904">
        <v>0</v>
      </c>
      <c r="P3904">
        <v>2</v>
      </c>
      <c r="Q3904">
        <v>13.2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D3904">
        <v>13.2</v>
      </c>
    </row>
    <row r="3905" spans="1:30" x14ac:dyDescent="0.3">
      <c r="A3905" s="4">
        <v>3927</v>
      </c>
      <c r="B3905" s="5">
        <v>3898</v>
      </c>
      <c r="C3905">
        <v>3876</v>
      </c>
      <c r="D3905" t="s">
        <v>4536</v>
      </c>
      <c r="E3905" t="s">
        <v>249</v>
      </c>
      <c r="F3905" t="s">
        <v>81</v>
      </c>
      <c r="G3905" t="s">
        <v>7945</v>
      </c>
      <c r="H3905" t="str">
        <f>"00749021"</f>
        <v>00749021</v>
      </c>
      <c r="I3905">
        <v>7.2</v>
      </c>
      <c r="J3905">
        <v>0</v>
      </c>
      <c r="N3905">
        <v>0</v>
      </c>
      <c r="O3905">
        <v>4</v>
      </c>
      <c r="P3905">
        <v>2</v>
      </c>
      <c r="Q3905">
        <v>13.2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D3905">
        <v>13.2</v>
      </c>
    </row>
    <row r="3906" spans="1:30" x14ac:dyDescent="0.3">
      <c r="A3906" s="4">
        <v>3928</v>
      </c>
      <c r="B3906" s="5">
        <v>3899</v>
      </c>
      <c r="C3906">
        <v>4731</v>
      </c>
      <c r="D3906" t="s">
        <v>7946</v>
      </c>
      <c r="E3906" t="s">
        <v>7947</v>
      </c>
      <c r="F3906" t="s">
        <v>343</v>
      </c>
      <c r="G3906" t="s">
        <v>7948</v>
      </c>
      <c r="H3906" t="str">
        <f>"00592638"</f>
        <v>00592638</v>
      </c>
      <c r="I3906">
        <v>7.2</v>
      </c>
      <c r="J3906">
        <v>0</v>
      </c>
      <c r="N3906">
        <v>0</v>
      </c>
      <c r="O3906">
        <v>4</v>
      </c>
      <c r="P3906">
        <v>2</v>
      </c>
      <c r="Q3906">
        <v>13.2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D3906">
        <v>13.2</v>
      </c>
    </row>
    <row r="3907" spans="1:30" x14ac:dyDescent="0.3">
      <c r="A3907" s="4">
        <v>3929</v>
      </c>
      <c r="B3907" s="5">
        <v>3900</v>
      </c>
      <c r="C3907">
        <v>3117</v>
      </c>
      <c r="D3907" t="s">
        <v>7949</v>
      </c>
      <c r="E3907" t="s">
        <v>29</v>
      </c>
      <c r="F3907" t="s">
        <v>310</v>
      </c>
      <c r="G3907" t="s">
        <v>7950</v>
      </c>
      <c r="H3907" t="str">
        <f>"200802003655"</f>
        <v>200802003655</v>
      </c>
      <c r="I3907">
        <v>7.2</v>
      </c>
      <c r="J3907">
        <v>0</v>
      </c>
      <c r="N3907">
        <v>0</v>
      </c>
      <c r="O3907">
        <v>4</v>
      </c>
      <c r="P3907">
        <v>2</v>
      </c>
      <c r="Q3907">
        <v>13.2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D3907">
        <v>13.2</v>
      </c>
    </row>
    <row r="3908" spans="1:30" x14ac:dyDescent="0.3">
      <c r="A3908" s="4">
        <v>3930</v>
      </c>
      <c r="B3908" s="5">
        <v>3901</v>
      </c>
      <c r="C3908">
        <v>3081</v>
      </c>
      <c r="D3908" t="s">
        <v>7951</v>
      </c>
      <c r="E3908" t="s">
        <v>7952</v>
      </c>
      <c r="F3908" t="s">
        <v>193</v>
      </c>
      <c r="G3908" t="s">
        <v>7953</v>
      </c>
      <c r="H3908" t="str">
        <f>"00864827"</f>
        <v>00864827</v>
      </c>
      <c r="I3908">
        <v>7.2</v>
      </c>
      <c r="J3908">
        <v>0</v>
      </c>
      <c r="N3908">
        <v>0</v>
      </c>
      <c r="O3908">
        <v>4</v>
      </c>
      <c r="P3908">
        <v>2</v>
      </c>
      <c r="Q3908">
        <v>13.2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D3908">
        <v>13.2</v>
      </c>
    </row>
    <row r="3909" spans="1:30" x14ac:dyDescent="0.3">
      <c r="A3909" s="4">
        <v>3931</v>
      </c>
      <c r="B3909" s="5">
        <v>3902</v>
      </c>
      <c r="C3909">
        <v>2543</v>
      </c>
      <c r="D3909" t="s">
        <v>181</v>
      </c>
      <c r="E3909" t="s">
        <v>7954</v>
      </c>
      <c r="F3909" t="s">
        <v>79</v>
      </c>
      <c r="G3909" t="s">
        <v>7955</v>
      </c>
      <c r="H3909" t="str">
        <f>"00860946"</f>
        <v>00860946</v>
      </c>
      <c r="I3909">
        <v>7.2</v>
      </c>
      <c r="J3909">
        <v>0</v>
      </c>
      <c r="N3909">
        <v>0</v>
      </c>
      <c r="O3909">
        <v>4</v>
      </c>
      <c r="P3909">
        <v>2</v>
      </c>
      <c r="Q3909">
        <v>13.2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D3909">
        <v>13.2</v>
      </c>
    </row>
    <row r="3910" spans="1:30" x14ac:dyDescent="0.3">
      <c r="A3910" s="4">
        <v>3932</v>
      </c>
      <c r="B3910" s="5">
        <v>3903</v>
      </c>
      <c r="C3910">
        <v>2531</v>
      </c>
      <c r="D3910" t="s">
        <v>7956</v>
      </c>
      <c r="E3910" t="s">
        <v>7957</v>
      </c>
      <c r="F3910" t="s">
        <v>136</v>
      </c>
      <c r="G3910" t="s">
        <v>7958</v>
      </c>
      <c r="H3910" t="str">
        <f>"00854932"</f>
        <v>00854932</v>
      </c>
      <c r="I3910">
        <v>7.2</v>
      </c>
      <c r="J3910">
        <v>0</v>
      </c>
      <c r="N3910">
        <v>0</v>
      </c>
      <c r="O3910">
        <v>4</v>
      </c>
      <c r="P3910">
        <v>2</v>
      </c>
      <c r="Q3910">
        <v>13.2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D3910">
        <v>13.2</v>
      </c>
    </row>
    <row r="3911" spans="1:30" x14ac:dyDescent="0.3">
      <c r="A3911" s="4">
        <v>3933</v>
      </c>
      <c r="B3911" s="5">
        <v>3904</v>
      </c>
      <c r="C3911">
        <v>2451</v>
      </c>
      <c r="D3911" t="s">
        <v>7959</v>
      </c>
      <c r="E3911" t="s">
        <v>7960</v>
      </c>
      <c r="F3911" t="s">
        <v>7961</v>
      </c>
      <c r="G3911" t="s">
        <v>7962</v>
      </c>
      <c r="H3911" t="str">
        <f>"00857575"</f>
        <v>00857575</v>
      </c>
      <c r="I3911">
        <v>7.2</v>
      </c>
      <c r="J3911">
        <v>0</v>
      </c>
      <c r="N3911">
        <v>0</v>
      </c>
      <c r="O3911">
        <v>4</v>
      </c>
      <c r="P3911">
        <v>2</v>
      </c>
      <c r="Q3911">
        <v>13.2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D3911">
        <v>13.2</v>
      </c>
    </row>
    <row r="3912" spans="1:30" x14ac:dyDescent="0.3">
      <c r="A3912" s="4">
        <v>3934</v>
      </c>
      <c r="B3912" s="5">
        <v>3905</v>
      </c>
      <c r="C3912">
        <v>3351</v>
      </c>
      <c r="D3912" t="s">
        <v>7963</v>
      </c>
      <c r="E3912" t="s">
        <v>37</v>
      </c>
      <c r="F3912" t="s">
        <v>17</v>
      </c>
      <c r="G3912" t="s">
        <v>7964</v>
      </c>
      <c r="H3912" t="str">
        <f>"00859553"</f>
        <v>00859553</v>
      </c>
      <c r="I3912">
        <v>7.2</v>
      </c>
      <c r="J3912">
        <v>0</v>
      </c>
      <c r="M3912">
        <v>4</v>
      </c>
      <c r="N3912">
        <v>4</v>
      </c>
      <c r="O3912">
        <v>0</v>
      </c>
      <c r="P3912">
        <v>2</v>
      </c>
      <c r="Q3912">
        <v>13.2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D3912">
        <v>13.2</v>
      </c>
    </row>
    <row r="3913" spans="1:30" x14ac:dyDescent="0.3">
      <c r="A3913" s="4">
        <v>3935</v>
      </c>
      <c r="B3913" s="5">
        <v>3906</v>
      </c>
      <c r="C3913">
        <v>4960</v>
      </c>
      <c r="D3913" t="s">
        <v>7965</v>
      </c>
      <c r="E3913" t="s">
        <v>825</v>
      </c>
      <c r="F3913" t="s">
        <v>38</v>
      </c>
      <c r="G3913" t="s">
        <v>7966</v>
      </c>
      <c r="H3913" t="str">
        <f>"00866787"</f>
        <v>00866787</v>
      </c>
      <c r="I3913">
        <v>7.2</v>
      </c>
      <c r="J3913">
        <v>0</v>
      </c>
      <c r="N3913">
        <v>0</v>
      </c>
      <c r="O3913">
        <v>4</v>
      </c>
      <c r="P3913">
        <v>2</v>
      </c>
      <c r="Q3913">
        <v>13.2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D3913">
        <v>13.2</v>
      </c>
    </row>
    <row r="3914" spans="1:30" x14ac:dyDescent="0.3">
      <c r="A3914" s="4">
        <v>3936</v>
      </c>
      <c r="B3914" s="5">
        <v>3907</v>
      </c>
      <c r="C3914">
        <v>1720</v>
      </c>
      <c r="D3914" t="s">
        <v>7967</v>
      </c>
      <c r="E3914" t="s">
        <v>161</v>
      </c>
      <c r="F3914" t="s">
        <v>91</v>
      </c>
      <c r="G3914" t="s">
        <v>7968</v>
      </c>
      <c r="H3914" t="str">
        <f>"00530506"</f>
        <v>00530506</v>
      </c>
      <c r="I3914">
        <v>7.2</v>
      </c>
      <c r="J3914">
        <v>0</v>
      </c>
      <c r="N3914">
        <v>0</v>
      </c>
      <c r="O3914">
        <v>4</v>
      </c>
      <c r="P3914">
        <v>2</v>
      </c>
      <c r="Q3914">
        <v>13.2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D3914">
        <v>13.2</v>
      </c>
    </row>
    <row r="3915" spans="1:30" x14ac:dyDescent="0.3">
      <c r="A3915" s="4">
        <v>3937</v>
      </c>
      <c r="B3915" s="5">
        <v>3908</v>
      </c>
      <c r="C3915">
        <v>2138</v>
      </c>
      <c r="D3915" t="s">
        <v>2241</v>
      </c>
      <c r="E3915" t="s">
        <v>29</v>
      </c>
      <c r="F3915" t="s">
        <v>17</v>
      </c>
      <c r="G3915" t="s">
        <v>7969</v>
      </c>
      <c r="H3915" t="str">
        <f>"00524346"</f>
        <v>00524346</v>
      </c>
      <c r="I3915">
        <v>0</v>
      </c>
      <c r="J3915">
        <v>0</v>
      </c>
      <c r="M3915">
        <v>4</v>
      </c>
      <c r="N3915">
        <v>4</v>
      </c>
      <c r="O3915">
        <v>4</v>
      </c>
      <c r="P3915">
        <v>2</v>
      </c>
      <c r="Q3915">
        <v>10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3</v>
      </c>
      <c r="AB3915">
        <v>0</v>
      </c>
      <c r="AD3915">
        <v>13</v>
      </c>
    </row>
    <row r="3916" spans="1:30" x14ac:dyDescent="0.3">
      <c r="A3916" s="4">
        <v>3938</v>
      </c>
      <c r="B3916" s="5">
        <v>3909</v>
      </c>
      <c r="C3916">
        <v>538</v>
      </c>
      <c r="D3916" t="s">
        <v>3406</v>
      </c>
      <c r="E3916" t="s">
        <v>4362</v>
      </c>
      <c r="F3916" t="s">
        <v>238</v>
      </c>
      <c r="G3916" t="s">
        <v>7970</v>
      </c>
      <c r="H3916" t="str">
        <f>"201511012813"</f>
        <v>201511012813</v>
      </c>
      <c r="I3916">
        <v>0</v>
      </c>
      <c r="J3916">
        <v>0</v>
      </c>
      <c r="M3916">
        <v>4</v>
      </c>
      <c r="N3916">
        <v>4</v>
      </c>
      <c r="O3916">
        <v>4</v>
      </c>
      <c r="P3916">
        <v>2</v>
      </c>
      <c r="Q3916">
        <v>10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3</v>
      </c>
      <c r="AB3916">
        <v>0</v>
      </c>
      <c r="AD3916">
        <v>13</v>
      </c>
    </row>
    <row r="3917" spans="1:30" x14ac:dyDescent="0.3">
      <c r="A3917" s="4">
        <v>3939</v>
      </c>
      <c r="B3917" s="5">
        <v>3910</v>
      </c>
      <c r="C3917">
        <v>2608</v>
      </c>
      <c r="D3917" t="s">
        <v>7971</v>
      </c>
      <c r="E3917" t="s">
        <v>5237</v>
      </c>
      <c r="F3917" t="s">
        <v>20</v>
      </c>
      <c r="G3917" t="s">
        <v>32039</v>
      </c>
      <c r="H3917" t="str">
        <f>"00862505"</f>
        <v>00862505</v>
      </c>
      <c r="I3917">
        <v>12.8</v>
      </c>
      <c r="J3917">
        <v>0</v>
      </c>
      <c r="N3917">
        <v>0</v>
      </c>
      <c r="O3917">
        <v>0</v>
      </c>
      <c r="P3917">
        <v>0</v>
      </c>
      <c r="Q3917">
        <v>12.8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D3917">
        <v>12.8</v>
      </c>
    </row>
    <row r="3918" spans="1:30" x14ac:dyDescent="0.3">
      <c r="A3918" s="4">
        <v>3940</v>
      </c>
      <c r="B3918" s="5">
        <v>3911</v>
      </c>
      <c r="C3918">
        <v>4723</v>
      </c>
      <c r="D3918" t="s">
        <v>2820</v>
      </c>
      <c r="E3918" t="s">
        <v>29</v>
      </c>
      <c r="F3918" t="s">
        <v>17</v>
      </c>
      <c r="G3918" t="s">
        <v>7972</v>
      </c>
      <c r="H3918" t="str">
        <f>"00865675"</f>
        <v>00865675</v>
      </c>
      <c r="I3918">
        <v>12.72</v>
      </c>
      <c r="J3918">
        <v>0</v>
      </c>
      <c r="N3918">
        <v>0</v>
      </c>
      <c r="O3918">
        <v>0</v>
      </c>
      <c r="P3918">
        <v>0</v>
      </c>
      <c r="Q3918">
        <v>12.72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D3918">
        <v>12.72</v>
      </c>
    </row>
    <row r="3919" spans="1:30" x14ac:dyDescent="0.3">
      <c r="A3919" s="4">
        <v>3941</v>
      </c>
      <c r="B3919" s="5">
        <v>3912</v>
      </c>
      <c r="C3919">
        <v>2842</v>
      </c>
      <c r="D3919" t="s">
        <v>7973</v>
      </c>
      <c r="E3919" t="s">
        <v>54</v>
      </c>
      <c r="F3919" t="s">
        <v>136</v>
      </c>
      <c r="G3919" t="s">
        <v>7974</v>
      </c>
      <c r="H3919" t="str">
        <f>"00863586"</f>
        <v>00863586</v>
      </c>
      <c r="I3919">
        <v>12.4</v>
      </c>
      <c r="J3919">
        <v>0</v>
      </c>
      <c r="N3919">
        <v>0</v>
      </c>
      <c r="O3919">
        <v>0</v>
      </c>
      <c r="P3919">
        <v>0</v>
      </c>
      <c r="Q3919">
        <v>12.4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D3919">
        <v>12.4</v>
      </c>
    </row>
    <row r="3920" spans="1:30" x14ac:dyDescent="0.3">
      <c r="A3920" s="4">
        <v>3942</v>
      </c>
      <c r="B3920" s="5">
        <v>3913</v>
      </c>
      <c r="C3920">
        <v>3419</v>
      </c>
      <c r="D3920" t="s">
        <v>5761</v>
      </c>
      <c r="E3920" t="s">
        <v>208</v>
      </c>
      <c r="F3920" t="s">
        <v>892</v>
      </c>
      <c r="G3920" t="s">
        <v>7975</v>
      </c>
      <c r="H3920" t="str">
        <f>"00328862"</f>
        <v>00328862</v>
      </c>
      <c r="I3920">
        <v>8.2799999999999994</v>
      </c>
      <c r="J3920">
        <v>0</v>
      </c>
      <c r="N3920">
        <v>0</v>
      </c>
      <c r="O3920">
        <v>4</v>
      </c>
      <c r="P3920">
        <v>0</v>
      </c>
      <c r="Q3920">
        <v>12.28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D3920">
        <v>12.28</v>
      </c>
    </row>
    <row r="3921" spans="1:30" x14ac:dyDescent="0.3">
      <c r="A3921" s="4">
        <v>3943</v>
      </c>
      <c r="B3921" s="5">
        <v>3914</v>
      </c>
      <c r="C3921">
        <v>2483</v>
      </c>
      <c r="D3921" t="s">
        <v>1287</v>
      </c>
      <c r="E3921" t="s">
        <v>7976</v>
      </c>
      <c r="F3921" t="s">
        <v>81</v>
      </c>
      <c r="G3921" t="s">
        <v>7977</v>
      </c>
      <c r="H3921" t="str">
        <f>"00862413"</f>
        <v>00862413</v>
      </c>
      <c r="I3921">
        <v>0</v>
      </c>
      <c r="J3921">
        <v>0</v>
      </c>
      <c r="N3921">
        <v>0</v>
      </c>
      <c r="O3921">
        <v>4</v>
      </c>
      <c r="P3921">
        <v>2</v>
      </c>
      <c r="Q3921">
        <v>6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6</v>
      </c>
      <c r="AB3921">
        <v>0</v>
      </c>
      <c r="AD3921">
        <v>12</v>
      </c>
    </row>
    <row r="3922" spans="1:30" x14ac:dyDescent="0.3">
      <c r="A3922" s="4">
        <v>3944</v>
      </c>
      <c r="B3922" s="5">
        <v>3915</v>
      </c>
      <c r="C3922">
        <v>2094</v>
      </c>
      <c r="D3922" t="s">
        <v>7978</v>
      </c>
      <c r="E3922" t="s">
        <v>4239</v>
      </c>
      <c r="F3922" t="s">
        <v>55</v>
      </c>
      <c r="G3922" t="s">
        <v>7979</v>
      </c>
      <c r="H3922" t="str">
        <f>"00861992"</f>
        <v>00861992</v>
      </c>
      <c r="I3922">
        <v>0</v>
      </c>
      <c r="J3922">
        <v>0</v>
      </c>
      <c r="N3922">
        <v>0</v>
      </c>
      <c r="O3922">
        <v>4</v>
      </c>
      <c r="P3922">
        <v>2</v>
      </c>
      <c r="Q3922">
        <v>6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6</v>
      </c>
      <c r="AB3922">
        <v>0</v>
      </c>
      <c r="AD3922">
        <v>12</v>
      </c>
    </row>
    <row r="3923" spans="1:30" x14ac:dyDescent="0.3">
      <c r="A3923" s="4">
        <v>3945</v>
      </c>
      <c r="B3923" s="5">
        <v>3916</v>
      </c>
      <c r="C3923">
        <v>1910</v>
      </c>
      <c r="D3923" t="s">
        <v>7980</v>
      </c>
      <c r="E3923" t="s">
        <v>29</v>
      </c>
      <c r="F3923" t="s">
        <v>243</v>
      </c>
      <c r="G3923" t="s">
        <v>7981</v>
      </c>
      <c r="H3923" t="str">
        <f>"00859731"</f>
        <v>00859731</v>
      </c>
      <c r="I3923">
        <v>12</v>
      </c>
      <c r="J3923">
        <v>0</v>
      </c>
      <c r="N3923">
        <v>0</v>
      </c>
      <c r="O3923">
        <v>0</v>
      </c>
      <c r="P3923">
        <v>0</v>
      </c>
      <c r="Q3923">
        <v>12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D3923">
        <v>12</v>
      </c>
    </row>
    <row r="3924" spans="1:30" x14ac:dyDescent="0.3">
      <c r="A3924" s="4">
        <v>3946</v>
      </c>
      <c r="B3924" s="5">
        <v>3917</v>
      </c>
      <c r="C3924">
        <v>1131</v>
      </c>
      <c r="D3924" t="s">
        <v>7982</v>
      </c>
      <c r="E3924" t="s">
        <v>29</v>
      </c>
      <c r="F3924" t="s">
        <v>81</v>
      </c>
      <c r="G3924" t="s">
        <v>7983</v>
      </c>
      <c r="H3924" t="str">
        <f>"00531378"</f>
        <v>00531378</v>
      </c>
      <c r="I3924">
        <v>0</v>
      </c>
      <c r="J3924">
        <v>0</v>
      </c>
      <c r="K3924">
        <v>8</v>
      </c>
      <c r="N3924">
        <v>8</v>
      </c>
      <c r="O3924">
        <v>4</v>
      </c>
      <c r="P3924">
        <v>0</v>
      </c>
      <c r="Q3924">
        <v>12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D3924">
        <v>12</v>
      </c>
    </row>
    <row r="3925" spans="1:30" x14ac:dyDescent="0.3">
      <c r="A3925" s="4">
        <v>3947</v>
      </c>
      <c r="B3925" s="5">
        <v>3918</v>
      </c>
      <c r="C3925">
        <v>1590</v>
      </c>
      <c r="D3925" t="s">
        <v>1361</v>
      </c>
      <c r="E3925" t="s">
        <v>29</v>
      </c>
      <c r="F3925" t="s">
        <v>385</v>
      </c>
      <c r="G3925" t="s">
        <v>7984</v>
      </c>
      <c r="H3925" t="str">
        <f>"00765034"</f>
        <v>00765034</v>
      </c>
      <c r="I3925">
        <v>0</v>
      </c>
      <c r="J3925">
        <v>0</v>
      </c>
      <c r="L3925">
        <v>6</v>
      </c>
      <c r="N3925">
        <v>6</v>
      </c>
      <c r="O3925">
        <v>4</v>
      </c>
      <c r="P3925">
        <v>2</v>
      </c>
      <c r="Q3925">
        <v>12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D3925">
        <v>12</v>
      </c>
    </row>
    <row r="3926" spans="1:30" x14ac:dyDescent="0.3">
      <c r="A3926" s="4">
        <v>3948</v>
      </c>
      <c r="B3926" s="5">
        <v>3919</v>
      </c>
      <c r="C3926">
        <v>839</v>
      </c>
      <c r="D3926" t="s">
        <v>7985</v>
      </c>
      <c r="E3926" t="s">
        <v>88</v>
      </c>
      <c r="F3926" t="s">
        <v>34</v>
      </c>
      <c r="G3926" t="s">
        <v>7986</v>
      </c>
      <c r="H3926" t="str">
        <f>"00680256"</f>
        <v>00680256</v>
      </c>
      <c r="I3926">
        <v>0</v>
      </c>
      <c r="J3926">
        <v>0</v>
      </c>
      <c r="K3926">
        <v>8</v>
      </c>
      <c r="N3926">
        <v>8</v>
      </c>
      <c r="O3926">
        <v>4</v>
      </c>
      <c r="P3926">
        <v>0</v>
      </c>
      <c r="Q3926">
        <v>12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D3926">
        <v>12</v>
      </c>
    </row>
    <row r="3927" spans="1:30" x14ac:dyDescent="0.3">
      <c r="A3927" s="4">
        <v>3949</v>
      </c>
      <c r="B3927" s="5">
        <v>3920</v>
      </c>
      <c r="C3927">
        <v>3546</v>
      </c>
      <c r="D3927" t="s">
        <v>434</v>
      </c>
      <c r="E3927" t="s">
        <v>1277</v>
      </c>
      <c r="F3927" t="s">
        <v>375</v>
      </c>
      <c r="G3927" t="s">
        <v>7987</v>
      </c>
      <c r="H3927" t="str">
        <f>"00527963"</f>
        <v>00527963</v>
      </c>
      <c r="I3927">
        <v>0</v>
      </c>
      <c r="J3927">
        <v>0</v>
      </c>
      <c r="K3927">
        <v>8</v>
      </c>
      <c r="N3927">
        <v>8</v>
      </c>
      <c r="O3927">
        <v>4</v>
      </c>
      <c r="P3927">
        <v>0</v>
      </c>
      <c r="Q3927">
        <v>12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D3927">
        <v>12</v>
      </c>
    </row>
    <row r="3928" spans="1:30" x14ac:dyDescent="0.3">
      <c r="A3928" s="4">
        <v>3950</v>
      </c>
      <c r="B3928" s="5">
        <v>3921</v>
      </c>
      <c r="C3928">
        <v>4686</v>
      </c>
      <c r="D3928" t="s">
        <v>7988</v>
      </c>
      <c r="E3928" t="s">
        <v>37</v>
      </c>
      <c r="F3928" t="s">
        <v>310</v>
      </c>
      <c r="G3928" t="s">
        <v>7989</v>
      </c>
      <c r="H3928" t="str">
        <f>"00521787"</f>
        <v>00521787</v>
      </c>
      <c r="I3928">
        <v>0</v>
      </c>
      <c r="J3928">
        <v>0</v>
      </c>
      <c r="K3928">
        <v>8</v>
      </c>
      <c r="N3928">
        <v>8</v>
      </c>
      <c r="O3928">
        <v>4</v>
      </c>
      <c r="P3928">
        <v>0</v>
      </c>
      <c r="Q3928">
        <v>12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D3928">
        <v>12</v>
      </c>
    </row>
    <row r="3929" spans="1:30" x14ac:dyDescent="0.3">
      <c r="A3929" s="4">
        <v>3951</v>
      </c>
      <c r="B3929" s="5">
        <v>3922</v>
      </c>
      <c r="C3929">
        <v>827</v>
      </c>
      <c r="D3929" t="s">
        <v>7990</v>
      </c>
      <c r="E3929" t="s">
        <v>258</v>
      </c>
      <c r="F3929" t="s">
        <v>81</v>
      </c>
      <c r="G3929" t="s">
        <v>7991</v>
      </c>
      <c r="H3929" t="str">
        <f>"00774989"</f>
        <v>00774989</v>
      </c>
      <c r="I3929">
        <v>0</v>
      </c>
      <c r="J3929">
        <v>0</v>
      </c>
      <c r="K3929">
        <v>8</v>
      </c>
      <c r="N3929">
        <v>8</v>
      </c>
      <c r="O3929">
        <v>4</v>
      </c>
      <c r="P3929">
        <v>0</v>
      </c>
      <c r="Q3929">
        <v>12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D3929">
        <v>12</v>
      </c>
    </row>
    <row r="3930" spans="1:30" x14ac:dyDescent="0.3">
      <c r="A3930" s="4">
        <v>3952</v>
      </c>
      <c r="B3930" s="5">
        <v>3923</v>
      </c>
      <c r="C3930">
        <v>1253</v>
      </c>
      <c r="D3930" t="s">
        <v>7992</v>
      </c>
      <c r="E3930" t="s">
        <v>54</v>
      </c>
      <c r="F3930" t="s">
        <v>652</v>
      </c>
      <c r="G3930" t="s">
        <v>7993</v>
      </c>
      <c r="H3930" t="str">
        <f>"00507345"</f>
        <v>00507345</v>
      </c>
      <c r="I3930">
        <v>0</v>
      </c>
      <c r="J3930">
        <v>0</v>
      </c>
      <c r="N3930">
        <v>0</v>
      </c>
      <c r="O3930">
        <v>4</v>
      </c>
      <c r="P3930">
        <v>0</v>
      </c>
      <c r="Q3930">
        <v>4</v>
      </c>
      <c r="R3930">
        <v>0</v>
      </c>
      <c r="S3930">
        <v>0</v>
      </c>
      <c r="T3930">
        <v>4</v>
      </c>
      <c r="U3930">
        <v>8</v>
      </c>
      <c r="V3930">
        <v>0</v>
      </c>
      <c r="W3930">
        <v>0</v>
      </c>
      <c r="X3930">
        <v>0</v>
      </c>
      <c r="Y3930">
        <v>0</v>
      </c>
      <c r="Z3930">
        <v>8</v>
      </c>
      <c r="AA3930">
        <v>0</v>
      </c>
      <c r="AB3930">
        <v>0</v>
      </c>
      <c r="AD3930">
        <v>12</v>
      </c>
    </row>
    <row r="3931" spans="1:30" x14ac:dyDescent="0.3">
      <c r="A3931" s="4">
        <v>3953</v>
      </c>
      <c r="B3931" s="5">
        <v>3924</v>
      </c>
      <c r="C3931">
        <v>2730</v>
      </c>
      <c r="D3931" t="s">
        <v>7994</v>
      </c>
      <c r="E3931" t="s">
        <v>188</v>
      </c>
      <c r="F3931" t="s">
        <v>136</v>
      </c>
      <c r="G3931" t="s">
        <v>7995</v>
      </c>
      <c r="H3931" t="str">
        <f>"00859584"</f>
        <v>00859584</v>
      </c>
      <c r="I3931">
        <v>11.6</v>
      </c>
      <c r="J3931">
        <v>0</v>
      </c>
      <c r="N3931">
        <v>0</v>
      </c>
      <c r="O3931">
        <v>0</v>
      </c>
      <c r="P3931">
        <v>0</v>
      </c>
      <c r="Q3931">
        <v>11.6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D3931">
        <v>11.6</v>
      </c>
    </row>
    <row r="3932" spans="1:30" x14ac:dyDescent="0.3">
      <c r="A3932" s="4">
        <v>3954</v>
      </c>
      <c r="B3932" s="5">
        <v>3925</v>
      </c>
      <c r="C3932">
        <v>1944</v>
      </c>
      <c r="D3932" t="s">
        <v>7996</v>
      </c>
      <c r="E3932" t="s">
        <v>7997</v>
      </c>
      <c r="F3932" t="s">
        <v>167</v>
      </c>
      <c r="G3932" t="s">
        <v>7998</v>
      </c>
      <c r="H3932" t="str">
        <f>"00687776"</f>
        <v>00687776</v>
      </c>
      <c r="I3932">
        <v>11.6</v>
      </c>
      <c r="J3932">
        <v>0</v>
      </c>
      <c r="N3932">
        <v>0</v>
      </c>
      <c r="O3932">
        <v>0</v>
      </c>
      <c r="P3932">
        <v>0</v>
      </c>
      <c r="Q3932">
        <v>11.6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D3932">
        <v>11.6</v>
      </c>
    </row>
    <row r="3933" spans="1:30" x14ac:dyDescent="0.3">
      <c r="A3933" s="4">
        <v>3955</v>
      </c>
      <c r="B3933" s="5">
        <v>3926</v>
      </c>
      <c r="C3933">
        <v>3367</v>
      </c>
      <c r="D3933" t="s">
        <v>7999</v>
      </c>
      <c r="E3933" t="s">
        <v>8000</v>
      </c>
      <c r="F3933" t="s">
        <v>20</v>
      </c>
      <c r="G3933" t="s">
        <v>8001</v>
      </c>
      <c r="H3933" t="str">
        <f>"00081845"</f>
        <v>00081845</v>
      </c>
      <c r="I3933">
        <v>11.2</v>
      </c>
      <c r="J3933">
        <v>0</v>
      </c>
      <c r="N3933">
        <v>0</v>
      </c>
      <c r="O3933">
        <v>0</v>
      </c>
      <c r="P3933">
        <v>0</v>
      </c>
      <c r="Q3933">
        <v>11.2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D3933">
        <v>11.2</v>
      </c>
    </row>
    <row r="3934" spans="1:30" x14ac:dyDescent="0.3">
      <c r="A3934" s="4">
        <v>3956</v>
      </c>
      <c r="B3934" s="5">
        <v>3927</v>
      </c>
      <c r="C3934">
        <v>2212</v>
      </c>
      <c r="D3934" t="s">
        <v>8002</v>
      </c>
      <c r="E3934" t="s">
        <v>54</v>
      </c>
      <c r="F3934" t="s">
        <v>34</v>
      </c>
      <c r="G3934" t="s">
        <v>8003</v>
      </c>
      <c r="H3934" t="str">
        <f>"00864676"</f>
        <v>00864676</v>
      </c>
      <c r="I3934">
        <v>11.2</v>
      </c>
      <c r="J3934">
        <v>0</v>
      </c>
      <c r="N3934">
        <v>0</v>
      </c>
      <c r="O3934">
        <v>0</v>
      </c>
      <c r="P3934">
        <v>0</v>
      </c>
      <c r="Q3934">
        <v>11.2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D3934">
        <v>11.2</v>
      </c>
    </row>
    <row r="3935" spans="1:30" x14ac:dyDescent="0.3">
      <c r="A3935" s="4">
        <v>3957</v>
      </c>
      <c r="B3935" s="5">
        <v>3928</v>
      </c>
      <c r="C3935">
        <v>4224</v>
      </c>
      <c r="D3935" t="s">
        <v>8004</v>
      </c>
      <c r="E3935" t="s">
        <v>97</v>
      </c>
      <c r="F3935" t="s">
        <v>117</v>
      </c>
      <c r="G3935" t="s">
        <v>8005</v>
      </c>
      <c r="H3935" t="str">
        <f>"00753354"</f>
        <v>00753354</v>
      </c>
      <c r="I3935">
        <v>7.2</v>
      </c>
      <c r="J3935">
        <v>0</v>
      </c>
      <c r="N3935">
        <v>0</v>
      </c>
      <c r="O3935">
        <v>4</v>
      </c>
      <c r="P3935">
        <v>0</v>
      </c>
      <c r="Q3935">
        <v>11.2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D3935">
        <v>11.2</v>
      </c>
    </row>
    <row r="3936" spans="1:30" x14ac:dyDescent="0.3">
      <c r="A3936" s="4">
        <v>3958</v>
      </c>
      <c r="B3936" s="5">
        <v>3929</v>
      </c>
      <c r="C3936">
        <v>2851</v>
      </c>
      <c r="D3936" t="s">
        <v>8006</v>
      </c>
      <c r="E3936" t="s">
        <v>789</v>
      </c>
      <c r="F3936" t="s">
        <v>17</v>
      </c>
      <c r="G3936" t="s">
        <v>8007</v>
      </c>
      <c r="H3936" t="str">
        <f>"00370736"</f>
        <v>00370736</v>
      </c>
      <c r="I3936">
        <v>7.2</v>
      </c>
      <c r="J3936">
        <v>0</v>
      </c>
      <c r="N3936">
        <v>0</v>
      </c>
      <c r="O3936">
        <v>4</v>
      </c>
      <c r="P3936">
        <v>0</v>
      </c>
      <c r="Q3936">
        <v>11.2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D3936">
        <v>11.2</v>
      </c>
    </row>
    <row r="3937" spans="1:30" x14ac:dyDescent="0.3">
      <c r="A3937" s="4">
        <v>3959</v>
      </c>
      <c r="B3937" s="5">
        <v>3930</v>
      </c>
      <c r="C3937">
        <v>2058</v>
      </c>
      <c r="D3937" t="s">
        <v>8008</v>
      </c>
      <c r="E3937" t="s">
        <v>54</v>
      </c>
      <c r="F3937" t="s">
        <v>3094</v>
      </c>
      <c r="G3937" t="s">
        <v>8009</v>
      </c>
      <c r="H3937" t="str">
        <f>"00512368"</f>
        <v>00512368</v>
      </c>
      <c r="I3937">
        <v>7.2</v>
      </c>
      <c r="J3937">
        <v>0</v>
      </c>
      <c r="N3937">
        <v>0</v>
      </c>
      <c r="O3937">
        <v>4</v>
      </c>
      <c r="P3937">
        <v>0</v>
      </c>
      <c r="Q3937">
        <v>11.2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D3937">
        <v>11.2</v>
      </c>
    </row>
    <row r="3938" spans="1:30" x14ac:dyDescent="0.3">
      <c r="A3938" s="4">
        <v>3960</v>
      </c>
      <c r="B3938" s="5">
        <v>3931</v>
      </c>
      <c r="C3938">
        <v>3894</v>
      </c>
      <c r="D3938" t="s">
        <v>8010</v>
      </c>
      <c r="E3938" t="s">
        <v>139</v>
      </c>
      <c r="F3938" t="s">
        <v>3380</v>
      </c>
      <c r="G3938" t="s">
        <v>8011</v>
      </c>
      <c r="H3938" t="str">
        <f>"00854431"</f>
        <v>00854431</v>
      </c>
      <c r="I3938">
        <v>7.2</v>
      </c>
      <c r="J3938">
        <v>0</v>
      </c>
      <c r="N3938">
        <v>0</v>
      </c>
      <c r="O3938">
        <v>4</v>
      </c>
      <c r="P3938">
        <v>0</v>
      </c>
      <c r="Q3938">
        <v>11.2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D3938">
        <v>11.2</v>
      </c>
    </row>
    <row r="3939" spans="1:30" x14ac:dyDescent="0.3">
      <c r="A3939" s="4">
        <v>3961</v>
      </c>
      <c r="B3939" s="5">
        <v>3932</v>
      </c>
      <c r="C3939">
        <v>50</v>
      </c>
      <c r="D3939" t="s">
        <v>8012</v>
      </c>
      <c r="E3939" t="s">
        <v>29</v>
      </c>
      <c r="F3939" t="s">
        <v>17</v>
      </c>
      <c r="G3939" t="s">
        <v>8013</v>
      </c>
      <c r="H3939" t="str">
        <f>"201511004417"</f>
        <v>201511004417</v>
      </c>
      <c r="I3939">
        <v>7.2</v>
      </c>
      <c r="J3939">
        <v>0</v>
      </c>
      <c r="N3939">
        <v>0</v>
      </c>
      <c r="O3939">
        <v>4</v>
      </c>
      <c r="P3939">
        <v>0</v>
      </c>
      <c r="Q3939">
        <v>11.2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D3939">
        <v>11.2</v>
      </c>
    </row>
    <row r="3940" spans="1:30" x14ac:dyDescent="0.3">
      <c r="A3940" s="4">
        <v>3962</v>
      </c>
      <c r="B3940" s="5">
        <v>3933</v>
      </c>
      <c r="C3940">
        <v>3802</v>
      </c>
      <c r="D3940" t="s">
        <v>549</v>
      </c>
      <c r="E3940" t="s">
        <v>255</v>
      </c>
      <c r="F3940" t="s">
        <v>1526</v>
      </c>
      <c r="G3940" t="s">
        <v>8014</v>
      </c>
      <c r="H3940" t="str">
        <f>"00432898"</f>
        <v>00432898</v>
      </c>
      <c r="I3940">
        <v>7.2</v>
      </c>
      <c r="J3940">
        <v>0</v>
      </c>
      <c r="N3940">
        <v>0</v>
      </c>
      <c r="O3940">
        <v>4</v>
      </c>
      <c r="P3940">
        <v>0</v>
      </c>
      <c r="Q3940">
        <v>11.2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D3940">
        <v>11.2</v>
      </c>
    </row>
    <row r="3941" spans="1:30" x14ac:dyDescent="0.3">
      <c r="A3941" s="4">
        <v>3963</v>
      </c>
      <c r="B3941" s="5">
        <v>3934</v>
      </c>
      <c r="C3941">
        <v>682</v>
      </c>
      <c r="D3941" t="s">
        <v>8015</v>
      </c>
      <c r="E3941" t="s">
        <v>8016</v>
      </c>
      <c r="F3941" t="s">
        <v>38</v>
      </c>
      <c r="G3941" t="s">
        <v>8017</v>
      </c>
      <c r="H3941" t="str">
        <f>"00521319"</f>
        <v>00521319</v>
      </c>
      <c r="I3941">
        <v>7.2</v>
      </c>
      <c r="J3941">
        <v>0</v>
      </c>
      <c r="N3941">
        <v>0</v>
      </c>
      <c r="O3941">
        <v>4</v>
      </c>
      <c r="P3941">
        <v>0</v>
      </c>
      <c r="Q3941">
        <v>11.2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D3941">
        <v>11.2</v>
      </c>
    </row>
    <row r="3942" spans="1:30" x14ac:dyDescent="0.3">
      <c r="A3942" s="4">
        <v>3964</v>
      </c>
      <c r="B3942" s="5">
        <v>3935</v>
      </c>
      <c r="C3942">
        <v>3881</v>
      </c>
      <c r="D3942" t="s">
        <v>8018</v>
      </c>
      <c r="E3942" t="s">
        <v>8019</v>
      </c>
      <c r="F3942" t="s">
        <v>58</v>
      </c>
      <c r="G3942" t="s">
        <v>8020</v>
      </c>
      <c r="H3942" t="str">
        <f>"00397718"</f>
        <v>00397718</v>
      </c>
      <c r="I3942">
        <v>7.2</v>
      </c>
      <c r="J3942">
        <v>0</v>
      </c>
      <c r="N3942">
        <v>0</v>
      </c>
      <c r="O3942">
        <v>4</v>
      </c>
      <c r="P3942">
        <v>0</v>
      </c>
      <c r="Q3942">
        <v>11.2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D3942">
        <v>11.2</v>
      </c>
    </row>
    <row r="3943" spans="1:30" x14ac:dyDescent="0.3">
      <c r="A3943" s="4">
        <v>3965</v>
      </c>
      <c r="B3943" s="5">
        <v>3936</v>
      </c>
      <c r="C3943">
        <v>2930</v>
      </c>
      <c r="D3943" t="s">
        <v>8021</v>
      </c>
      <c r="E3943" t="s">
        <v>100</v>
      </c>
      <c r="F3943" t="s">
        <v>1023</v>
      </c>
      <c r="G3943" t="s">
        <v>8022</v>
      </c>
      <c r="H3943" t="str">
        <f>"00860225"</f>
        <v>00860225</v>
      </c>
      <c r="I3943">
        <v>7.2</v>
      </c>
      <c r="J3943">
        <v>0</v>
      </c>
      <c r="N3943">
        <v>0</v>
      </c>
      <c r="O3943">
        <v>4</v>
      </c>
      <c r="P3943">
        <v>0</v>
      </c>
      <c r="Q3943">
        <v>11.2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D3943">
        <v>11.2</v>
      </c>
    </row>
    <row r="3944" spans="1:30" x14ac:dyDescent="0.3">
      <c r="A3944" s="4">
        <v>3966</v>
      </c>
      <c r="B3944" s="5">
        <v>3937</v>
      </c>
      <c r="C3944">
        <v>4101</v>
      </c>
      <c r="D3944" t="s">
        <v>8023</v>
      </c>
      <c r="E3944" t="s">
        <v>88</v>
      </c>
      <c r="F3944" t="s">
        <v>81</v>
      </c>
      <c r="G3944" t="s">
        <v>8024</v>
      </c>
      <c r="H3944" t="str">
        <f>"00864750"</f>
        <v>00864750</v>
      </c>
      <c r="I3944">
        <v>7.2</v>
      </c>
      <c r="J3944">
        <v>0</v>
      </c>
      <c r="N3944">
        <v>0</v>
      </c>
      <c r="O3944">
        <v>4</v>
      </c>
      <c r="P3944">
        <v>0</v>
      </c>
      <c r="Q3944">
        <v>11.2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D3944">
        <v>11.2</v>
      </c>
    </row>
    <row r="3945" spans="1:30" x14ac:dyDescent="0.3">
      <c r="A3945" s="4">
        <v>3967</v>
      </c>
      <c r="B3945" s="5">
        <v>3938</v>
      </c>
      <c r="C3945">
        <v>2013</v>
      </c>
      <c r="D3945" t="s">
        <v>8025</v>
      </c>
      <c r="E3945" t="s">
        <v>54</v>
      </c>
      <c r="F3945" t="s">
        <v>20</v>
      </c>
      <c r="G3945" t="s">
        <v>8026</v>
      </c>
      <c r="H3945" t="str">
        <f>"00531737"</f>
        <v>00531737</v>
      </c>
      <c r="I3945">
        <v>7.2</v>
      </c>
      <c r="J3945">
        <v>0</v>
      </c>
      <c r="M3945">
        <v>4</v>
      </c>
      <c r="N3945">
        <v>4</v>
      </c>
      <c r="O3945">
        <v>0</v>
      </c>
      <c r="P3945">
        <v>0</v>
      </c>
      <c r="Q3945">
        <v>11.2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D3945">
        <v>11.2</v>
      </c>
    </row>
    <row r="3946" spans="1:30" x14ac:dyDescent="0.3">
      <c r="A3946" s="4">
        <v>3968</v>
      </c>
      <c r="B3946" s="5">
        <v>3939</v>
      </c>
      <c r="C3946">
        <v>1299</v>
      </c>
      <c r="D3946" t="s">
        <v>8027</v>
      </c>
      <c r="E3946" t="s">
        <v>22</v>
      </c>
      <c r="F3946" t="s">
        <v>124</v>
      </c>
      <c r="G3946" t="s">
        <v>8028</v>
      </c>
      <c r="H3946" t="str">
        <f>"00049551"</f>
        <v>00049551</v>
      </c>
      <c r="I3946">
        <v>7.2</v>
      </c>
      <c r="J3946">
        <v>0</v>
      </c>
      <c r="N3946">
        <v>0</v>
      </c>
      <c r="O3946">
        <v>4</v>
      </c>
      <c r="P3946">
        <v>0</v>
      </c>
      <c r="Q3946">
        <v>11.2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D3946">
        <v>11.2</v>
      </c>
    </row>
    <row r="3947" spans="1:30" x14ac:dyDescent="0.3">
      <c r="A3947" s="4">
        <v>3969</v>
      </c>
      <c r="B3947" s="5">
        <v>3940</v>
      </c>
      <c r="C3947">
        <v>1857</v>
      </c>
      <c r="D3947" t="s">
        <v>647</v>
      </c>
      <c r="E3947" t="s">
        <v>54</v>
      </c>
      <c r="F3947" t="s">
        <v>649</v>
      </c>
      <c r="G3947" t="s">
        <v>8029</v>
      </c>
      <c r="H3947" t="str">
        <f>"00860396"</f>
        <v>00860396</v>
      </c>
      <c r="I3947">
        <v>7.2</v>
      </c>
      <c r="J3947">
        <v>0</v>
      </c>
      <c r="N3947">
        <v>0</v>
      </c>
      <c r="O3947">
        <v>4</v>
      </c>
      <c r="P3947">
        <v>0</v>
      </c>
      <c r="Q3947">
        <v>11.2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D3947">
        <v>11.2</v>
      </c>
    </row>
    <row r="3948" spans="1:30" x14ac:dyDescent="0.3">
      <c r="A3948" s="4">
        <v>3970</v>
      </c>
      <c r="B3948" s="5">
        <v>3941</v>
      </c>
      <c r="C3948">
        <v>2564</v>
      </c>
      <c r="D3948" t="s">
        <v>8030</v>
      </c>
      <c r="E3948" t="s">
        <v>143</v>
      </c>
      <c r="F3948" t="s">
        <v>20</v>
      </c>
      <c r="G3948" t="s">
        <v>8031</v>
      </c>
      <c r="H3948" t="str">
        <f>"00113092"</f>
        <v>00113092</v>
      </c>
      <c r="I3948">
        <v>7.2</v>
      </c>
      <c r="J3948">
        <v>0</v>
      </c>
      <c r="N3948">
        <v>0</v>
      </c>
      <c r="O3948">
        <v>4</v>
      </c>
      <c r="P3948">
        <v>0</v>
      </c>
      <c r="Q3948">
        <v>11.2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D3948">
        <v>11.2</v>
      </c>
    </row>
    <row r="3949" spans="1:30" x14ac:dyDescent="0.3">
      <c r="A3949" s="4">
        <v>3971</v>
      </c>
      <c r="B3949" s="5">
        <v>3942</v>
      </c>
      <c r="C3949">
        <v>4708</v>
      </c>
      <c r="D3949" t="s">
        <v>8032</v>
      </c>
      <c r="E3949" t="s">
        <v>88</v>
      </c>
      <c r="F3949" t="s">
        <v>227</v>
      </c>
      <c r="G3949" t="s">
        <v>8033</v>
      </c>
      <c r="H3949" t="str">
        <f>"00861350"</f>
        <v>00861350</v>
      </c>
      <c r="I3949">
        <v>7.2</v>
      </c>
      <c r="J3949">
        <v>0</v>
      </c>
      <c r="N3949">
        <v>0</v>
      </c>
      <c r="O3949">
        <v>4</v>
      </c>
      <c r="P3949">
        <v>0</v>
      </c>
      <c r="Q3949">
        <v>11.2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D3949">
        <v>11.2</v>
      </c>
    </row>
    <row r="3950" spans="1:30" x14ac:dyDescent="0.3">
      <c r="A3950" s="4">
        <v>3972</v>
      </c>
      <c r="B3950" s="5">
        <v>3943</v>
      </c>
      <c r="C3950">
        <v>1939</v>
      </c>
      <c r="D3950" t="s">
        <v>3102</v>
      </c>
      <c r="E3950" t="s">
        <v>1189</v>
      </c>
      <c r="F3950" t="s">
        <v>30</v>
      </c>
      <c r="G3950" t="s">
        <v>8034</v>
      </c>
      <c r="H3950" t="str">
        <f>"00865317"</f>
        <v>00865317</v>
      </c>
      <c r="I3950">
        <v>7.2</v>
      </c>
      <c r="J3950">
        <v>0</v>
      </c>
      <c r="M3950">
        <v>4</v>
      </c>
      <c r="N3950">
        <v>4</v>
      </c>
      <c r="O3950">
        <v>0</v>
      </c>
      <c r="P3950">
        <v>0</v>
      </c>
      <c r="Q3950">
        <v>11.2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D3950">
        <v>11.2</v>
      </c>
    </row>
    <row r="3951" spans="1:30" x14ac:dyDescent="0.3">
      <c r="A3951" s="4">
        <v>3973</v>
      </c>
      <c r="B3951" s="5">
        <v>3944</v>
      </c>
      <c r="C3951">
        <v>4932</v>
      </c>
      <c r="D3951" t="s">
        <v>498</v>
      </c>
      <c r="E3951" t="s">
        <v>132</v>
      </c>
      <c r="F3951" t="s">
        <v>81</v>
      </c>
      <c r="G3951" t="s">
        <v>8035</v>
      </c>
      <c r="H3951" t="str">
        <f>"00866575"</f>
        <v>00866575</v>
      </c>
      <c r="I3951">
        <v>7.2</v>
      </c>
      <c r="J3951">
        <v>0</v>
      </c>
      <c r="M3951">
        <v>4</v>
      </c>
      <c r="N3951">
        <v>4</v>
      </c>
      <c r="O3951">
        <v>0</v>
      </c>
      <c r="P3951">
        <v>0</v>
      </c>
      <c r="Q3951">
        <v>11.2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D3951">
        <v>11.2</v>
      </c>
    </row>
    <row r="3952" spans="1:30" x14ac:dyDescent="0.3">
      <c r="A3952" s="4">
        <v>3974</v>
      </c>
      <c r="B3952" s="5">
        <v>3945</v>
      </c>
      <c r="C3952">
        <v>2833</v>
      </c>
      <c r="D3952" t="s">
        <v>8036</v>
      </c>
      <c r="E3952" t="s">
        <v>8037</v>
      </c>
      <c r="F3952" t="s">
        <v>117</v>
      </c>
      <c r="G3952" t="s">
        <v>8038</v>
      </c>
      <c r="H3952" t="str">
        <f>"00865467"</f>
        <v>00865467</v>
      </c>
      <c r="I3952">
        <v>7.2</v>
      </c>
      <c r="J3952">
        <v>0</v>
      </c>
      <c r="N3952">
        <v>0</v>
      </c>
      <c r="O3952">
        <v>4</v>
      </c>
      <c r="P3952">
        <v>0</v>
      </c>
      <c r="Q3952">
        <v>11.2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D3952">
        <v>11.2</v>
      </c>
    </row>
    <row r="3953" spans="1:30" x14ac:dyDescent="0.3">
      <c r="A3953" s="4">
        <v>3975</v>
      </c>
      <c r="B3953" s="5">
        <v>3946</v>
      </c>
      <c r="C3953">
        <v>1722</v>
      </c>
      <c r="D3953" t="s">
        <v>5770</v>
      </c>
      <c r="E3953" t="s">
        <v>789</v>
      </c>
      <c r="F3953" t="s">
        <v>34</v>
      </c>
      <c r="G3953" t="s">
        <v>8039</v>
      </c>
      <c r="H3953" t="str">
        <f>"00471715"</f>
        <v>00471715</v>
      </c>
      <c r="I3953">
        <v>0</v>
      </c>
      <c r="J3953">
        <v>0</v>
      </c>
      <c r="N3953">
        <v>0</v>
      </c>
      <c r="O3953">
        <v>0</v>
      </c>
      <c r="P3953">
        <v>0</v>
      </c>
      <c r="Q3953">
        <v>0</v>
      </c>
      <c r="R3953">
        <v>5</v>
      </c>
      <c r="S3953">
        <v>5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5</v>
      </c>
      <c r="AA3953">
        <v>6</v>
      </c>
      <c r="AB3953">
        <v>0</v>
      </c>
      <c r="AD3953">
        <v>11</v>
      </c>
    </row>
    <row r="3954" spans="1:30" x14ac:dyDescent="0.3">
      <c r="A3954" s="4">
        <v>3976</v>
      </c>
      <c r="B3954" s="5">
        <v>3947</v>
      </c>
      <c r="C3954">
        <v>982</v>
      </c>
      <c r="D3954" t="s">
        <v>405</v>
      </c>
      <c r="E3954" t="s">
        <v>54</v>
      </c>
      <c r="F3954" t="s">
        <v>68</v>
      </c>
      <c r="G3954" t="s">
        <v>8040</v>
      </c>
      <c r="H3954" t="str">
        <f>"00531423"</f>
        <v>00531423</v>
      </c>
      <c r="I3954">
        <v>0</v>
      </c>
      <c r="J3954">
        <v>0</v>
      </c>
      <c r="M3954">
        <v>4</v>
      </c>
      <c r="N3954">
        <v>4</v>
      </c>
      <c r="O3954">
        <v>4</v>
      </c>
      <c r="P3954">
        <v>0</v>
      </c>
      <c r="Q3954">
        <v>8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3</v>
      </c>
      <c r="AB3954">
        <v>0</v>
      </c>
      <c r="AD3954">
        <v>11</v>
      </c>
    </row>
    <row r="3955" spans="1:30" x14ac:dyDescent="0.3">
      <c r="A3955" s="4">
        <v>3977</v>
      </c>
      <c r="B3955" s="5">
        <v>3948</v>
      </c>
      <c r="C3955">
        <v>809</v>
      </c>
      <c r="D3955" t="s">
        <v>8041</v>
      </c>
      <c r="E3955" t="s">
        <v>166</v>
      </c>
      <c r="F3955" t="s">
        <v>38</v>
      </c>
      <c r="G3955" t="s">
        <v>8042</v>
      </c>
      <c r="H3955" t="str">
        <f>"201511010651"</f>
        <v>201511010651</v>
      </c>
      <c r="I3955">
        <v>0</v>
      </c>
      <c r="J3955">
        <v>0</v>
      </c>
      <c r="M3955">
        <v>4</v>
      </c>
      <c r="N3955">
        <v>4</v>
      </c>
      <c r="O3955">
        <v>4</v>
      </c>
      <c r="P3955">
        <v>0</v>
      </c>
      <c r="Q3955">
        <v>8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3</v>
      </c>
      <c r="AB3955">
        <v>0</v>
      </c>
      <c r="AD3955">
        <v>11</v>
      </c>
    </row>
    <row r="3956" spans="1:30" x14ac:dyDescent="0.3">
      <c r="A3956" s="4">
        <v>3978</v>
      </c>
      <c r="B3956" s="5">
        <v>3949</v>
      </c>
      <c r="C3956">
        <v>1370</v>
      </c>
      <c r="D3956" t="s">
        <v>4057</v>
      </c>
      <c r="E3956" t="s">
        <v>957</v>
      </c>
      <c r="F3956" t="s">
        <v>190</v>
      </c>
      <c r="G3956" t="s">
        <v>8043</v>
      </c>
      <c r="H3956" t="str">
        <f>"00429070"</f>
        <v>00429070</v>
      </c>
      <c r="I3956">
        <v>0</v>
      </c>
      <c r="J3956">
        <v>0</v>
      </c>
      <c r="M3956">
        <v>4</v>
      </c>
      <c r="N3956">
        <v>4</v>
      </c>
      <c r="O3956">
        <v>4</v>
      </c>
      <c r="P3956">
        <v>0</v>
      </c>
      <c r="Q3956">
        <v>8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3</v>
      </c>
      <c r="AB3956">
        <v>0</v>
      </c>
      <c r="AD3956">
        <v>11</v>
      </c>
    </row>
    <row r="3957" spans="1:30" x14ac:dyDescent="0.3">
      <c r="A3957" s="4">
        <v>3979</v>
      </c>
      <c r="B3957" s="5">
        <v>3950</v>
      </c>
      <c r="C3957">
        <v>4017</v>
      </c>
      <c r="D3957" t="s">
        <v>8044</v>
      </c>
      <c r="E3957" t="s">
        <v>1178</v>
      </c>
      <c r="F3957" t="s">
        <v>381</v>
      </c>
      <c r="G3957" t="s">
        <v>8045</v>
      </c>
      <c r="H3957" t="str">
        <f>"00859751"</f>
        <v>00859751</v>
      </c>
      <c r="I3957">
        <v>0</v>
      </c>
      <c r="J3957">
        <v>0</v>
      </c>
      <c r="K3957">
        <v>8</v>
      </c>
      <c r="N3957">
        <v>8</v>
      </c>
      <c r="O3957">
        <v>0</v>
      </c>
      <c r="P3957">
        <v>0</v>
      </c>
      <c r="Q3957">
        <v>8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3</v>
      </c>
      <c r="AB3957">
        <v>0</v>
      </c>
      <c r="AD3957">
        <v>11</v>
      </c>
    </row>
    <row r="3958" spans="1:30" x14ac:dyDescent="0.3">
      <c r="A3958" s="4">
        <v>3980</v>
      </c>
      <c r="B3958" s="5">
        <v>3951</v>
      </c>
      <c r="C3958">
        <v>1532</v>
      </c>
      <c r="D3958" t="s">
        <v>8046</v>
      </c>
      <c r="E3958" t="s">
        <v>1327</v>
      </c>
      <c r="F3958" t="s">
        <v>3399</v>
      </c>
      <c r="G3958" t="s">
        <v>8047</v>
      </c>
      <c r="H3958" t="str">
        <f>"00284746"</f>
        <v>00284746</v>
      </c>
      <c r="I3958">
        <v>0</v>
      </c>
      <c r="J3958">
        <v>0</v>
      </c>
      <c r="M3958">
        <v>4</v>
      </c>
      <c r="N3958">
        <v>4</v>
      </c>
      <c r="O3958">
        <v>4</v>
      </c>
      <c r="P3958">
        <v>0</v>
      </c>
      <c r="Q3958">
        <v>8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3</v>
      </c>
      <c r="AB3958">
        <v>0</v>
      </c>
      <c r="AD3958">
        <v>11</v>
      </c>
    </row>
    <row r="3959" spans="1:30" x14ac:dyDescent="0.3">
      <c r="A3959" s="4">
        <v>3981</v>
      </c>
      <c r="B3959" s="5">
        <v>3952</v>
      </c>
      <c r="C3959">
        <v>2280</v>
      </c>
      <c r="D3959" t="s">
        <v>8048</v>
      </c>
      <c r="E3959" t="s">
        <v>110</v>
      </c>
      <c r="F3959" t="s">
        <v>17</v>
      </c>
      <c r="G3959" t="s">
        <v>8049</v>
      </c>
      <c r="H3959" t="str">
        <f>"00862633"</f>
        <v>00862633</v>
      </c>
      <c r="I3959">
        <v>0</v>
      </c>
      <c r="J3959">
        <v>0</v>
      </c>
      <c r="M3959">
        <v>4</v>
      </c>
      <c r="N3959">
        <v>4</v>
      </c>
      <c r="O3959">
        <v>4</v>
      </c>
      <c r="P3959">
        <v>0</v>
      </c>
      <c r="Q3959">
        <v>8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3</v>
      </c>
      <c r="AB3959">
        <v>0</v>
      </c>
      <c r="AD3959">
        <v>11</v>
      </c>
    </row>
    <row r="3960" spans="1:30" x14ac:dyDescent="0.3">
      <c r="A3960" s="4">
        <v>3982</v>
      </c>
      <c r="B3960" s="5">
        <v>3953</v>
      </c>
      <c r="C3960">
        <v>2395</v>
      </c>
      <c r="D3960" t="s">
        <v>8050</v>
      </c>
      <c r="E3960" t="s">
        <v>54</v>
      </c>
      <c r="F3960" t="s">
        <v>310</v>
      </c>
      <c r="G3960" t="s">
        <v>8051</v>
      </c>
      <c r="H3960" t="str">
        <f>"00856713"</f>
        <v>00856713</v>
      </c>
      <c r="I3960">
        <v>10.56</v>
      </c>
      <c r="J3960">
        <v>0</v>
      </c>
      <c r="N3960">
        <v>0</v>
      </c>
      <c r="O3960">
        <v>0</v>
      </c>
      <c r="P3960">
        <v>0</v>
      </c>
      <c r="Q3960">
        <v>10.56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D3960">
        <v>10.56</v>
      </c>
    </row>
    <row r="3961" spans="1:30" x14ac:dyDescent="0.3">
      <c r="A3961" s="4">
        <v>3983</v>
      </c>
      <c r="B3961" s="5">
        <v>3954</v>
      </c>
      <c r="C3961">
        <v>4848</v>
      </c>
      <c r="D3961" t="s">
        <v>6567</v>
      </c>
      <c r="E3961" t="s">
        <v>37</v>
      </c>
      <c r="F3961" t="s">
        <v>1225</v>
      </c>
      <c r="G3961" t="s">
        <v>8052</v>
      </c>
      <c r="H3961" t="str">
        <f>"00259712"</f>
        <v>00259712</v>
      </c>
      <c r="I3961">
        <v>4.3600000000000003</v>
      </c>
      <c r="J3961">
        <v>0</v>
      </c>
      <c r="N3961">
        <v>0</v>
      </c>
      <c r="O3961">
        <v>0</v>
      </c>
      <c r="P3961">
        <v>0</v>
      </c>
      <c r="Q3961">
        <v>4.3600000000000003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6</v>
      </c>
      <c r="AB3961">
        <v>0</v>
      </c>
      <c r="AD3961">
        <v>10.36</v>
      </c>
    </row>
    <row r="3962" spans="1:30" x14ac:dyDescent="0.3">
      <c r="A3962" s="4">
        <v>3984</v>
      </c>
      <c r="B3962" s="5">
        <v>3955</v>
      </c>
      <c r="C3962">
        <v>1186</v>
      </c>
      <c r="D3962" t="s">
        <v>8053</v>
      </c>
      <c r="E3962" t="s">
        <v>2841</v>
      </c>
      <c r="F3962" t="s">
        <v>68</v>
      </c>
      <c r="G3962" t="s">
        <v>8054</v>
      </c>
      <c r="H3962" t="str">
        <f>"00683844"</f>
        <v>00683844</v>
      </c>
      <c r="I3962">
        <v>7.2</v>
      </c>
      <c r="J3962">
        <v>0</v>
      </c>
      <c r="N3962">
        <v>0</v>
      </c>
      <c r="O3962">
        <v>0</v>
      </c>
      <c r="P3962">
        <v>0</v>
      </c>
      <c r="Q3962">
        <v>7.2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3</v>
      </c>
      <c r="AB3962">
        <v>0</v>
      </c>
      <c r="AD3962">
        <v>10.199999999999999</v>
      </c>
    </row>
    <row r="3963" spans="1:30" x14ac:dyDescent="0.3">
      <c r="A3963" s="4">
        <v>3985</v>
      </c>
      <c r="B3963" s="5">
        <v>3956</v>
      </c>
      <c r="C3963">
        <v>3041</v>
      </c>
      <c r="D3963" t="s">
        <v>8055</v>
      </c>
      <c r="E3963" t="s">
        <v>8056</v>
      </c>
      <c r="F3963" t="s">
        <v>136</v>
      </c>
      <c r="G3963" t="s">
        <v>8057</v>
      </c>
      <c r="H3963" t="str">
        <f>"00862790"</f>
        <v>00862790</v>
      </c>
      <c r="I3963">
        <v>7.2</v>
      </c>
      <c r="J3963">
        <v>0</v>
      </c>
      <c r="N3963">
        <v>0</v>
      </c>
      <c r="O3963">
        <v>0</v>
      </c>
      <c r="P3963">
        <v>0</v>
      </c>
      <c r="Q3963">
        <v>7.2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3</v>
      </c>
      <c r="AB3963">
        <v>0</v>
      </c>
      <c r="AD3963">
        <v>10.199999999999999</v>
      </c>
    </row>
    <row r="3964" spans="1:30" x14ac:dyDescent="0.3">
      <c r="A3964" s="4">
        <v>3986</v>
      </c>
      <c r="B3964" s="5">
        <v>3957</v>
      </c>
      <c r="C3964">
        <v>20</v>
      </c>
      <c r="D3964" t="s">
        <v>36</v>
      </c>
      <c r="E3964" t="s">
        <v>100</v>
      </c>
      <c r="F3964" t="s">
        <v>158</v>
      </c>
      <c r="G3964" t="s">
        <v>8058</v>
      </c>
      <c r="H3964" t="str">
        <f>"00155468"</f>
        <v>00155468</v>
      </c>
      <c r="I3964">
        <v>7.2</v>
      </c>
      <c r="J3964">
        <v>0</v>
      </c>
      <c r="N3964">
        <v>0</v>
      </c>
      <c r="O3964">
        <v>0</v>
      </c>
      <c r="P3964">
        <v>0</v>
      </c>
      <c r="Q3964">
        <v>7.2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3</v>
      </c>
      <c r="AB3964">
        <v>0</v>
      </c>
      <c r="AD3964">
        <v>10.199999999999999</v>
      </c>
    </row>
    <row r="3965" spans="1:30" x14ac:dyDescent="0.3">
      <c r="A3965" s="4">
        <v>3987</v>
      </c>
      <c r="B3965" s="5">
        <v>3958</v>
      </c>
      <c r="C3965">
        <v>3309</v>
      </c>
      <c r="D3965" t="s">
        <v>1342</v>
      </c>
      <c r="E3965" t="s">
        <v>8059</v>
      </c>
      <c r="F3965" t="s">
        <v>38</v>
      </c>
      <c r="G3965" t="s">
        <v>8060</v>
      </c>
      <c r="H3965" t="str">
        <f>"00380357"</f>
        <v>00380357</v>
      </c>
      <c r="I3965">
        <v>7.2</v>
      </c>
      <c r="J3965">
        <v>0</v>
      </c>
      <c r="N3965">
        <v>0</v>
      </c>
      <c r="O3965">
        <v>0</v>
      </c>
      <c r="P3965">
        <v>0</v>
      </c>
      <c r="Q3965">
        <v>7.2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3</v>
      </c>
      <c r="AB3965">
        <v>0</v>
      </c>
      <c r="AD3965">
        <v>10.199999999999999</v>
      </c>
    </row>
    <row r="3966" spans="1:30" x14ac:dyDescent="0.3">
      <c r="A3966" s="4">
        <v>3988</v>
      </c>
      <c r="B3966" s="5">
        <v>3959</v>
      </c>
      <c r="C3966">
        <v>4450</v>
      </c>
      <c r="D3966" t="s">
        <v>8061</v>
      </c>
      <c r="E3966" t="s">
        <v>173</v>
      </c>
      <c r="F3966" t="s">
        <v>136</v>
      </c>
      <c r="G3966" t="s">
        <v>8062</v>
      </c>
      <c r="H3966" t="str">
        <f>"00860656"</f>
        <v>00860656</v>
      </c>
      <c r="I3966">
        <v>7.2</v>
      </c>
      <c r="J3966">
        <v>0</v>
      </c>
      <c r="N3966">
        <v>0</v>
      </c>
      <c r="O3966">
        <v>0</v>
      </c>
      <c r="P3966">
        <v>0</v>
      </c>
      <c r="Q3966">
        <v>7.2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3</v>
      </c>
      <c r="AB3966">
        <v>0</v>
      </c>
      <c r="AD3966">
        <v>10.199999999999999</v>
      </c>
    </row>
    <row r="3967" spans="1:30" x14ac:dyDescent="0.3">
      <c r="A3967" s="4">
        <v>3989</v>
      </c>
      <c r="B3967" s="5">
        <v>3960</v>
      </c>
      <c r="C3967">
        <v>368</v>
      </c>
      <c r="D3967" t="s">
        <v>8063</v>
      </c>
      <c r="E3967" t="s">
        <v>29</v>
      </c>
      <c r="F3967" t="s">
        <v>8064</v>
      </c>
      <c r="G3967" t="s">
        <v>8065</v>
      </c>
      <c r="H3967" t="str">
        <f>"00855433"</f>
        <v>00855433</v>
      </c>
      <c r="I3967">
        <v>7.2</v>
      </c>
      <c r="J3967">
        <v>0</v>
      </c>
      <c r="N3967">
        <v>0</v>
      </c>
      <c r="O3967">
        <v>0</v>
      </c>
      <c r="P3967">
        <v>0</v>
      </c>
      <c r="Q3967">
        <v>7.2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3</v>
      </c>
      <c r="AB3967">
        <v>0</v>
      </c>
      <c r="AD3967">
        <v>10.199999999999999</v>
      </c>
    </row>
    <row r="3968" spans="1:30" x14ac:dyDescent="0.3">
      <c r="A3968" s="4">
        <v>3990</v>
      </c>
      <c r="B3968" s="5">
        <v>3961</v>
      </c>
      <c r="C3968">
        <v>2030</v>
      </c>
      <c r="D3968" t="s">
        <v>8066</v>
      </c>
      <c r="E3968" t="s">
        <v>400</v>
      </c>
      <c r="F3968" t="s">
        <v>68</v>
      </c>
      <c r="G3968" t="s">
        <v>8067</v>
      </c>
      <c r="H3968" t="str">
        <f>"00175983"</f>
        <v>00175983</v>
      </c>
      <c r="I3968">
        <v>7.2</v>
      </c>
      <c r="J3968">
        <v>0</v>
      </c>
      <c r="N3968">
        <v>0</v>
      </c>
      <c r="O3968">
        <v>0</v>
      </c>
      <c r="P3968">
        <v>0</v>
      </c>
      <c r="Q3968">
        <v>7.2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3</v>
      </c>
      <c r="AB3968">
        <v>0</v>
      </c>
      <c r="AD3968">
        <v>10.199999999999999</v>
      </c>
    </row>
    <row r="3969" spans="1:30" x14ac:dyDescent="0.3">
      <c r="A3969" s="4">
        <v>3991</v>
      </c>
      <c r="B3969" s="5">
        <v>3962</v>
      </c>
      <c r="C3969">
        <v>674</v>
      </c>
      <c r="D3969" t="s">
        <v>8068</v>
      </c>
      <c r="E3969" t="s">
        <v>143</v>
      </c>
      <c r="F3969" t="s">
        <v>38</v>
      </c>
      <c r="G3969" t="s">
        <v>8069</v>
      </c>
      <c r="H3969" t="str">
        <f>"00411621"</f>
        <v>00411621</v>
      </c>
      <c r="I3969">
        <v>0</v>
      </c>
      <c r="J3969">
        <v>0</v>
      </c>
      <c r="N3969">
        <v>0</v>
      </c>
      <c r="O3969">
        <v>4</v>
      </c>
      <c r="P3969">
        <v>0</v>
      </c>
      <c r="Q3969">
        <v>4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6</v>
      </c>
      <c r="AB3969">
        <v>0</v>
      </c>
      <c r="AD3969">
        <v>10</v>
      </c>
    </row>
    <row r="3970" spans="1:30" x14ac:dyDescent="0.3">
      <c r="A3970" s="4">
        <v>3992</v>
      </c>
      <c r="B3970" s="5">
        <v>3963</v>
      </c>
      <c r="C3970">
        <v>2607</v>
      </c>
      <c r="D3970" t="s">
        <v>8070</v>
      </c>
      <c r="E3970" t="s">
        <v>182</v>
      </c>
      <c r="F3970" t="s">
        <v>8071</v>
      </c>
      <c r="G3970" t="s">
        <v>8072</v>
      </c>
      <c r="H3970" t="str">
        <f>"00756993"</f>
        <v>00756993</v>
      </c>
      <c r="I3970">
        <v>0</v>
      </c>
      <c r="J3970">
        <v>0</v>
      </c>
      <c r="N3970">
        <v>0</v>
      </c>
      <c r="O3970">
        <v>4</v>
      </c>
      <c r="P3970">
        <v>0</v>
      </c>
      <c r="Q3970">
        <v>4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6</v>
      </c>
      <c r="AB3970">
        <v>0</v>
      </c>
      <c r="AD3970">
        <v>10</v>
      </c>
    </row>
    <row r="3971" spans="1:30" x14ac:dyDescent="0.3">
      <c r="A3971" s="4">
        <v>3993</v>
      </c>
      <c r="B3971" s="5">
        <v>3964</v>
      </c>
      <c r="C3971">
        <v>3534</v>
      </c>
      <c r="D3971" t="s">
        <v>181</v>
      </c>
      <c r="E3971" t="s">
        <v>208</v>
      </c>
      <c r="F3971" t="s">
        <v>2408</v>
      </c>
      <c r="G3971" t="s">
        <v>8073</v>
      </c>
      <c r="H3971" t="str">
        <f>"00853355"</f>
        <v>00853355</v>
      </c>
      <c r="I3971">
        <v>0</v>
      </c>
      <c r="J3971">
        <v>0</v>
      </c>
      <c r="N3971">
        <v>0</v>
      </c>
      <c r="O3971">
        <v>4</v>
      </c>
      <c r="P3971">
        <v>0</v>
      </c>
      <c r="Q3971">
        <v>4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6</v>
      </c>
      <c r="AB3971">
        <v>0</v>
      </c>
      <c r="AD3971">
        <v>10</v>
      </c>
    </row>
    <row r="3972" spans="1:30" x14ac:dyDescent="0.3">
      <c r="A3972" s="4">
        <v>3994</v>
      </c>
      <c r="B3972" s="5">
        <v>3965</v>
      </c>
      <c r="C3972">
        <v>1330</v>
      </c>
      <c r="D3972" t="s">
        <v>7872</v>
      </c>
      <c r="E3972" t="s">
        <v>219</v>
      </c>
      <c r="F3972" t="s">
        <v>2721</v>
      </c>
      <c r="G3972" t="s">
        <v>8074</v>
      </c>
      <c r="H3972" t="str">
        <f>"00489217"</f>
        <v>00489217</v>
      </c>
      <c r="I3972">
        <v>0</v>
      </c>
      <c r="J3972">
        <v>0</v>
      </c>
      <c r="N3972">
        <v>0</v>
      </c>
      <c r="O3972">
        <v>4</v>
      </c>
      <c r="P3972">
        <v>0</v>
      </c>
      <c r="Q3972">
        <v>4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6</v>
      </c>
      <c r="AB3972">
        <v>0</v>
      </c>
      <c r="AD3972">
        <v>10</v>
      </c>
    </row>
    <row r="3973" spans="1:30" x14ac:dyDescent="0.3">
      <c r="A3973" s="4">
        <v>3995</v>
      </c>
      <c r="B3973" s="5">
        <v>3966</v>
      </c>
      <c r="C3973">
        <v>2671</v>
      </c>
      <c r="D3973" t="s">
        <v>8075</v>
      </c>
      <c r="E3973" t="s">
        <v>816</v>
      </c>
      <c r="F3973" t="s">
        <v>91</v>
      </c>
      <c r="G3973" t="s">
        <v>8076</v>
      </c>
      <c r="H3973" t="str">
        <f>"201511037393"</f>
        <v>201511037393</v>
      </c>
      <c r="I3973">
        <v>0</v>
      </c>
      <c r="J3973">
        <v>0</v>
      </c>
      <c r="N3973">
        <v>0</v>
      </c>
      <c r="O3973">
        <v>4</v>
      </c>
      <c r="P3973">
        <v>0</v>
      </c>
      <c r="Q3973">
        <v>4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6</v>
      </c>
      <c r="AB3973">
        <v>0</v>
      </c>
      <c r="AD3973">
        <v>10</v>
      </c>
    </row>
    <row r="3974" spans="1:30" x14ac:dyDescent="0.3">
      <c r="A3974" s="4">
        <v>3996</v>
      </c>
      <c r="B3974" s="5">
        <v>3967</v>
      </c>
      <c r="C3974">
        <v>2296</v>
      </c>
      <c r="D3974" t="s">
        <v>8077</v>
      </c>
      <c r="E3974" t="s">
        <v>471</v>
      </c>
      <c r="F3974" t="s">
        <v>972</v>
      </c>
      <c r="G3974" t="s">
        <v>8078</v>
      </c>
      <c r="H3974" t="str">
        <f>"00531845"</f>
        <v>00531845</v>
      </c>
      <c r="I3974">
        <v>0</v>
      </c>
      <c r="J3974">
        <v>0</v>
      </c>
      <c r="N3974">
        <v>0</v>
      </c>
      <c r="O3974">
        <v>4</v>
      </c>
      <c r="P3974">
        <v>0</v>
      </c>
      <c r="Q3974">
        <v>4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6</v>
      </c>
      <c r="AB3974">
        <v>0</v>
      </c>
      <c r="AD3974">
        <v>10</v>
      </c>
    </row>
    <row r="3975" spans="1:30" x14ac:dyDescent="0.3">
      <c r="A3975" s="4">
        <v>3997</v>
      </c>
      <c r="B3975" s="5">
        <v>3968</v>
      </c>
      <c r="C3975">
        <v>2003</v>
      </c>
      <c r="D3975" t="s">
        <v>8079</v>
      </c>
      <c r="E3975" t="s">
        <v>1508</v>
      </c>
      <c r="F3975" t="s">
        <v>17</v>
      </c>
      <c r="G3975" t="s">
        <v>8080</v>
      </c>
      <c r="H3975" t="str">
        <f>"00860212"</f>
        <v>00860212</v>
      </c>
      <c r="I3975">
        <v>0</v>
      </c>
      <c r="J3975">
        <v>0</v>
      </c>
      <c r="M3975">
        <v>4</v>
      </c>
      <c r="N3975">
        <v>4</v>
      </c>
      <c r="O3975">
        <v>0</v>
      </c>
      <c r="P3975">
        <v>0</v>
      </c>
      <c r="Q3975">
        <v>4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6</v>
      </c>
      <c r="AB3975">
        <v>0</v>
      </c>
      <c r="AD3975">
        <v>10</v>
      </c>
    </row>
    <row r="3976" spans="1:30" x14ac:dyDescent="0.3">
      <c r="A3976" s="4">
        <v>3998</v>
      </c>
      <c r="B3976" s="5">
        <v>3969</v>
      </c>
      <c r="C3976">
        <v>3292</v>
      </c>
      <c r="D3976" t="s">
        <v>999</v>
      </c>
      <c r="E3976" t="s">
        <v>22</v>
      </c>
      <c r="F3976" t="s">
        <v>328</v>
      </c>
      <c r="G3976" t="s">
        <v>8081</v>
      </c>
      <c r="H3976" t="str">
        <f>"00860888"</f>
        <v>00860888</v>
      </c>
      <c r="I3976">
        <v>0</v>
      </c>
      <c r="J3976">
        <v>0</v>
      </c>
      <c r="M3976">
        <v>4</v>
      </c>
      <c r="N3976">
        <v>4</v>
      </c>
      <c r="O3976">
        <v>0</v>
      </c>
      <c r="P3976">
        <v>0</v>
      </c>
      <c r="Q3976">
        <v>4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6</v>
      </c>
      <c r="AB3976">
        <v>0</v>
      </c>
      <c r="AD3976">
        <v>10</v>
      </c>
    </row>
    <row r="3977" spans="1:30" x14ac:dyDescent="0.3">
      <c r="A3977" s="4">
        <v>3999</v>
      </c>
      <c r="B3977" s="5">
        <v>3970</v>
      </c>
      <c r="C3977">
        <v>591</v>
      </c>
      <c r="D3977" t="s">
        <v>1296</v>
      </c>
      <c r="E3977" t="s">
        <v>744</v>
      </c>
      <c r="F3977" t="s">
        <v>539</v>
      </c>
      <c r="G3977" t="s">
        <v>8082</v>
      </c>
      <c r="H3977" t="str">
        <f>"00677192"</f>
        <v>00677192</v>
      </c>
      <c r="I3977">
        <v>0</v>
      </c>
      <c r="J3977">
        <v>0</v>
      </c>
      <c r="M3977">
        <v>4</v>
      </c>
      <c r="N3977">
        <v>4</v>
      </c>
      <c r="O3977">
        <v>0</v>
      </c>
      <c r="P3977">
        <v>0</v>
      </c>
      <c r="Q3977">
        <v>4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6</v>
      </c>
      <c r="AB3977">
        <v>0</v>
      </c>
      <c r="AD3977">
        <v>10</v>
      </c>
    </row>
    <row r="3978" spans="1:30" x14ac:dyDescent="0.3">
      <c r="A3978" s="4">
        <v>4000</v>
      </c>
      <c r="B3978" s="5">
        <v>3971</v>
      </c>
      <c r="C3978">
        <v>4911</v>
      </c>
      <c r="D3978" t="s">
        <v>8083</v>
      </c>
      <c r="E3978" t="s">
        <v>13</v>
      </c>
      <c r="F3978" t="s">
        <v>91</v>
      </c>
      <c r="G3978" t="s">
        <v>8084</v>
      </c>
      <c r="H3978" t="str">
        <f>"00695377"</f>
        <v>00695377</v>
      </c>
      <c r="I3978">
        <v>10</v>
      </c>
      <c r="J3978">
        <v>0</v>
      </c>
      <c r="N3978">
        <v>0</v>
      </c>
      <c r="O3978">
        <v>0</v>
      </c>
      <c r="P3978">
        <v>0</v>
      </c>
      <c r="Q3978">
        <v>10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D3978">
        <v>10</v>
      </c>
    </row>
    <row r="3979" spans="1:30" x14ac:dyDescent="0.3">
      <c r="A3979" s="4">
        <v>4001</v>
      </c>
      <c r="B3979" s="5">
        <v>3972</v>
      </c>
      <c r="C3979">
        <v>2878</v>
      </c>
      <c r="D3979" t="s">
        <v>7323</v>
      </c>
      <c r="E3979" t="s">
        <v>54</v>
      </c>
      <c r="F3979" t="s">
        <v>190</v>
      </c>
      <c r="G3979" t="s">
        <v>8085</v>
      </c>
      <c r="H3979" t="str">
        <f>"00773377"</f>
        <v>00773377</v>
      </c>
      <c r="I3979">
        <v>0</v>
      </c>
      <c r="J3979">
        <v>10</v>
      </c>
      <c r="N3979">
        <v>0</v>
      </c>
      <c r="O3979">
        <v>0</v>
      </c>
      <c r="P3979">
        <v>0</v>
      </c>
      <c r="Q3979">
        <v>10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D3979">
        <v>10</v>
      </c>
    </row>
    <row r="3980" spans="1:30" x14ac:dyDescent="0.3">
      <c r="A3980" s="4">
        <v>4002</v>
      </c>
      <c r="B3980" s="5">
        <v>3973</v>
      </c>
      <c r="C3980">
        <v>1322</v>
      </c>
      <c r="D3980" t="s">
        <v>8086</v>
      </c>
      <c r="E3980" t="s">
        <v>8087</v>
      </c>
      <c r="F3980" t="s">
        <v>1566</v>
      </c>
      <c r="G3980" t="s">
        <v>8088</v>
      </c>
      <c r="H3980" t="str">
        <f>"00292641"</f>
        <v>00292641</v>
      </c>
      <c r="I3980">
        <v>0</v>
      </c>
      <c r="J3980">
        <v>0</v>
      </c>
      <c r="L3980">
        <v>6</v>
      </c>
      <c r="N3980">
        <v>6</v>
      </c>
      <c r="O3980">
        <v>4</v>
      </c>
      <c r="P3980">
        <v>0</v>
      </c>
      <c r="Q3980">
        <v>10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D3980">
        <v>10</v>
      </c>
    </row>
    <row r="3981" spans="1:30" x14ac:dyDescent="0.3">
      <c r="A3981" s="4">
        <v>4003</v>
      </c>
      <c r="B3981" s="5">
        <v>3974</v>
      </c>
      <c r="C3981">
        <v>936</v>
      </c>
      <c r="D3981" t="s">
        <v>8089</v>
      </c>
      <c r="E3981" t="s">
        <v>54</v>
      </c>
      <c r="F3981" t="s">
        <v>1806</v>
      </c>
      <c r="G3981" t="s">
        <v>8090</v>
      </c>
      <c r="H3981" t="str">
        <f>"00768540"</f>
        <v>00768540</v>
      </c>
      <c r="I3981">
        <v>0</v>
      </c>
      <c r="J3981">
        <v>0</v>
      </c>
      <c r="M3981">
        <v>4</v>
      </c>
      <c r="N3981">
        <v>4</v>
      </c>
      <c r="O3981">
        <v>4</v>
      </c>
      <c r="P3981">
        <v>2</v>
      </c>
      <c r="Q3981">
        <v>10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D3981">
        <v>10</v>
      </c>
    </row>
    <row r="3982" spans="1:30" x14ac:dyDescent="0.3">
      <c r="A3982" s="4">
        <v>4004</v>
      </c>
      <c r="B3982" s="5">
        <v>3975</v>
      </c>
      <c r="C3982">
        <v>806</v>
      </c>
      <c r="D3982" t="s">
        <v>2645</v>
      </c>
      <c r="E3982" t="s">
        <v>29</v>
      </c>
      <c r="F3982" t="s">
        <v>158</v>
      </c>
      <c r="G3982" t="s">
        <v>8091</v>
      </c>
      <c r="H3982" t="str">
        <f>"00856643"</f>
        <v>00856643</v>
      </c>
      <c r="I3982">
        <v>0</v>
      </c>
      <c r="J3982">
        <v>0</v>
      </c>
      <c r="M3982">
        <v>4</v>
      </c>
      <c r="N3982">
        <v>4</v>
      </c>
      <c r="O3982">
        <v>4</v>
      </c>
      <c r="P3982">
        <v>2</v>
      </c>
      <c r="Q3982">
        <v>10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D3982">
        <v>10</v>
      </c>
    </row>
    <row r="3983" spans="1:30" x14ac:dyDescent="0.3">
      <c r="A3983" s="4">
        <v>4005</v>
      </c>
      <c r="B3983" s="5">
        <v>3976</v>
      </c>
      <c r="C3983">
        <v>1259</v>
      </c>
      <c r="D3983" t="s">
        <v>8092</v>
      </c>
      <c r="E3983" t="s">
        <v>8093</v>
      </c>
      <c r="F3983" t="s">
        <v>17</v>
      </c>
      <c r="G3983" t="s">
        <v>8094</v>
      </c>
      <c r="H3983" t="str">
        <f>"00212482"</f>
        <v>00212482</v>
      </c>
      <c r="I3983">
        <v>0</v>
      </c>
      <c r="J3983">
        <v>0</v>
      </c>
      <c r="M3983">
        <v>4</v>
      </c>
      <c r="N3983">
        <v>4</v>
      </c>
      <c r="O3983">
        <v>4</v>
      </c>
      <c r="P3983">
        <v>2</v>
      </c>
      <c r="Q3983">
        <v>10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D3983">
        <v>10</v>
      </c>
    </row>
    <row r="3984" spans="1:30" x14ac:dyDescent="0.3">
      <c r="A3984" s="4">
        <v>4006</v>
      </c>
      <c r="B3984" s="5">
        <v>3977</v>
      </c>
      <c r="C3984">
        <v>248</v>
      </c>
      <c r="D3984" t="s">
        <v>8095</v>
      </c>
      <c r="E3984" t="s">
        <v>100</v>
      </c>
      <c r="F3984" t="s">
        <v>20</v>
      </c>
      <c r="G3984" t="s">
        <v>8096</v>
      </c>
      <c r="H3984" t="str">
        <f>"201511040474"</f>
        <v>201511040474</v>
      </c>
      <c r="I3984">
        <v>0</v>
      </c>
      <c r="J3984">
        <v>0</v>
      </c>
      <c r="M3984">
        <v>4</v>
      </c>
      <c r="N3984">
        <v>4</v>
      </c>
      <c r="O3984">
        <v>4</v>
      </c>
      <c r="P3984">
        <v>2</v>
      </c>
      <c r="Q3984">
        <v>10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D3984">
        <v>10</v>
      </c>
    </row>
    <row r="3985" spans="1:30" x14ac:dyDescent="0.3">
      <c r="A3985" s="4">
        <v>4007</v>
      </c>
      <c r="B3985" s="5">
        <v>3978</v>
      </c>
      <c r="C3985">
        <v>4595</v>
      </c>
      <c r="D3985" t="s">
        <v>3923</v>
      </c>
      <c r="E3985" t="s">
        <v>41</v>
      </c>
      <c r="F3985" t="s">
        <v>158</v>
      </c>
      <c r="G3985" t="s">
        <v>8097</v>
      </c>
      <c r="H3985" t="str">
        <f>"00864069"</f>
        <v>00864069</v>
      </c>
      <c r="I3985">
        <v>0</v>
      </c>
      <c r="J3985">
        <v>0</v>
      </c>
      <c r="M3985">
        <v>4</v>
      </c>
      <c r="N3985">
        <v>4</v>
      </c>
      <c r="O3985">
        <v>4</v>
      </c>
      <c r="P3985">
        <v>2</v>
      </c>
      <c r="Q3985">
        <v>10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D3985">
        <v>10</v>
      </c>
    </row>
    <row r="3986" spans="1:30" x14ac:dyDescent="0.3">
      <c r="A3986" s="4">
        <v>4008</v>
      </c>
      <c r="B3986" s="5">
        <v>3979</v>
      </c>
      <c r="C3986">
        <v>244</v>
      </c>
      <c r="D3986" t="s">
        <v>8098</v>
      </c>
      <c r="E3986" t="s">
        <v>744</v>
      </c>
      <c r="F3986" t="s">
        <v>171</v>
      </c>
      <c r="G3986" t="s">
        <v>8099</v>
      </c>
      <c r="H3986" t="str">
        <f>"00854981"</f>
        <v>00854981</v>
      </c>
      <c r="I3986">
        <v>0</v>
      </c>
      <c r="J3986">
        <v>0</v>
      </c>
      <c r="M3986">
        <v>4</v>
      </c>
      <c r="N3986">
        <v>4</v>
      </c>
      <c r="O3986">
        <v>4</v>
      </c>
      <c r="P3986">
        <v>2</v>
      </c>
      <c r="Q3986">
        <v>10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D3986">
        <v>10</v>
      </c>
    </row>
    <row r="3987" spans="1:30" x14ac:dyDescent="0.3">
      <c r="A3987" s="4">
        <v>4009</v>
      </c>
      <c r="B3987" s="5">
        <v>3980</v>
      </c>
      <c r="C3987">
        <v>2477</v>
      </c>
      <c r="D3987" t="s">
        <v>8100</v>
      </c>
      <c r="E3987" t="s">
        <v>161</v>
      </c>
      <c r="F3987" t="s">
        <v>30</v>
      </c>
      <c r="G3987" t="s">
        <v>8101</v>
      </c>
      <c r="H3987" t="str">
        <f>"00529814"</f>
        <v>00529814</v>
      </c>
      <c r="I3987">
        <v>0</v>
      </c>
      <c r="J3987">
        <v>0</v>
      </c>
      <c r="M3987">
        <v>4</v>
      </c>
      <c r="N3987">
        <v>4</v>
      </c>
      <c r="O3987">
        <v>4</v>
      </c>
      <c r="P3987">
        <v>2</v>
      </c>
      <c r="Q3987">
        <v>10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D3987">
        <v>10</v>
      </c>
    </row>
    <row r="3988" spans="1:30" x14ac:dyDescent="0.3">
      <c r="A3988" s="4">
        <v>4010</v>
      </c>
      <c r="B3988" s="5">
        <v>3981</v>
      </c>
      <c r="C3988">
        <v>3432</v>
      </c>
      <c r="D3988" t="s">
        <v>8102</v>
      </c>
      <c r="E3988" t="s">
        <v>8103</v>
      </c>
      <c r="F3988" t="s">
        <v>8104</v>
      </c>
      <c r="G3988" t="s">
        <v>8105</v>
      </c>
      <c r="H3988" t="str">
        <f>"00861342"</f>
        <v>00861342</v>
      </c>
      <c r="I3988">
        <v>0</v>
      </c>
      <c r="J3988">
        <v>0</v>
      </c>
      <c r="M3988">
        <v>4</v>
      </c>
      <c r="N3988">
        <v>4</v>
      </c>
      <c r="O3988">
        <v>4</v>
      </c>
      <c r="P3988">
        <v>2</v>
      </c>
      <c r="Q3988">
        <v>10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D3988">
        <v>10</v>
      </c>
    </row>
    <row r="3989" spans="1:30" x14ac:dyDescent="0.3">
      <c r="A3989" s="4">
        <v>4011</v>
      </c>
      <c r="B3989" s="5">
        <v>3982</v>
      </c>
      <c r="C3989">
        <v>2463</v>
      </c>
      <c r="D3989" t="s">
        <v>8106</v>
      </c>
      <c r="E3989" t="s">
        <v>41</v>
      </c>
      <c r="F3989" t="s">
        <v>158</v>
      </c>
      <c r="G3989" t="s">
        <v>8107</v>
      </c>
      <c r="H3989" t="str">
        <f>"00865190"</f>
        <v>00865190</v>
      </c>
      <c r="I3989">
        <v>9.6</v>
      </c>
      <c r="J3989">
        <v>0</v>
      </c>
      <c r="N3989">
        <v>0</v>
      </c>
      <c r="O3989">
        <v>0</v>
      </c>
      <c r="P3989">
        <v>0</v>
      </c>
      <c r="Q3989">
        <v>9.6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D3989">
        <v>9.6</v>
      </c>
    </row>
    <row r="3990" spans="1:30" x14ac:dyDescent="0.3">
      <c r="A3990" s="4">
        <v>4012</v>
      </c>
      <c r="B3990" s="5">
        <v>3983</v>
      </c>
      <c r="C3990">
        <v>1605</v>
      </c>
      <c r="D3990" t="s">
        <v>8108</v>
      </c>
      <c r="E3990" t="s">
        <v>97</v>
      </c>
      <c r="F3990" t="s">
        <v>230</v>
      </c>
      <c r="G3990" t="s">
        <v>8109</v>
      </c>
      <c r="H3990" t="str">
        <f>"00197425"</f>
        <v>00197425</v>
      </c>
      <c r="I3990">
        <v>6.56</v>
      </c>
      <c r="J3990">
        <v>0</v>
      </c>
      <c r="N3990">
        <v>0</v>
      </c>
      <c r="O3990">
        <v>0</v>
      </c>
      <c r="P3990">
        <v>0</v>
      </c>
      <c r="Q3990">
        <v>6.56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3</v>
      </c>
      <c r="AB3990">
        <v>0</v>
      </c>
      <c r="AD3990">
        <v>9.56</v>
      </c>
    </row>
    <row r="3991" spans="1:30" x14ac:dyDescent="0.3">
      <c r="A3991" s="4">
        <v>4013</v>
      </c>
      <c r="B3991" s="5">
        <v>3984</v>
      </c>
      <c r="C3991">
        <v>4926</v>
      </c>
      <c r="D3991" t="s">
        <v>8110</v>
      </c>
      <c r="E3991" t="s">
        <v>88</v>
      </c>
      <c r="F3991" t="s">
        <v>30</v>
      </c>
      <c r="G3991" t="s">
        <v>8111</v>
      </c>
      <c r="H3991" t="str">
        <f>"00437727"</f>
        <v>00437727</v>
      </c>
      <c r="I3991">
        <v>7.2</v>
      </c>
      <c r="J3991">
        <v>0</v>
      </c>
      <c r="N3991">
        <v>0</v>
      </c>
      <c r="O3991">
        <v>0</v>
      </c>
      <c r="P3991">
        <v>2</v>
      </c>
      <c r="Q3991">
        <v>9.1999999999999993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D3991">
        <v>9.1999999999999993</v>
      </c>
    </row>
    <row r="3992" spans="1:30" x14ac:dyDescent="0.3">
      <c r="A3992" s="4">
        <v>4014</v>
      </c>
      <c r="B3992" s="5">
        <v>3985</v>
      </c>
      <c r="C3992">
        <v>4705</v>
      </c>
      <c r="D3992" t="s">
        <v>8112</v>
      </c>
      <c r="E3992" t="s">
        <v>8113</v>
      </c>
      <c r="F3992" t="s">
        <v>17</v>
      </c>
      <c r="G3992" t="s">
        <v>8114</v>
      </c>
      <c r="H3992" t="str">
        <f>"00865828"</f>
        <v>00865828</v>
      </c>
      <c r="I3992">
        <v>7.2</v>
      </c>
      <c r="J3992">
        <v>0</v>
      </c>
      <c r="N3992">
        <v>0</v>
      </c>
      <c r="O3992">
        <v>0</v>
      </c>
      <c r="P3992">
        <v>2</v>
      </c>
      <c r="Q3992">
        <v>9.1999999999999993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D3992">
        <v>9.1999999999999993</v>
      </c>
    </row>
    <row r="3993" spans="1:30" x14ac:dyDescent="0.3">
      <c r="A3993" s="4">
        <v>4015</v>
      </c>
      <c r="B3993" s="5">
        <v>3986</v>
      </c>
      <c r="C3993">
        <v>2908</v>
      </c>
      <c r="D3993" t="s">
        <v>1286</v>
      </c>
      <c r="E3993" t="s">
        <v>54</v>
      </c>
      <c r="F3993" t="s">
        <v>3359</v>
      </c>
      <c r="G3993" t="s">
        <v>8115</v>
      </c>
      <c r="H3993" t="str">
        <f>"00496190"</f>
        <v>00496190</v>
      </c>
      <c r="I3993">
        <v>7.2</v>
      </c>
      <c r="J3993">
        <v>0</v>
      </c>
      <c r="N3993">
        <v>0</v>
      </c>
      <c r="O3993">
        <v>0</v>
      </c>
      <c r="P3993">
        <v>2</v>
      </c>
      <c r="Q3993">
        <v>9.1999999999999993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D3993">
        <v>9.1999999999999993</v>
      </c>
    </row>
    <row r="3994" spans="1:30" x14ac:dyDescent="0.3">
      <c r="A3994" s="4">
        <v>4016</v>
      </c>
      <c r="B3994" s="5">
        <v>3987</v>
      </c>
      <c r="C3994">
        <v>4403</v>
      </c>
      <c r="D3994" t="s">
        <v>8116</v>
      </c>
      <c r="E3994" t="s">
        <v>29</v>
      </c>
      <c r="F3994" t="s">
        <v>79</v>
      </c>
      <c r="G3994" t="s">
        <v>8117</v>
      </c>
      <c r="H3994" t="str">
        <f>"00861166"</f>
        <v>00861166</v>
      </c>
      <c r="I3994">
        <v>9.08</v>
      </c>
      <c r="J3994">
        <v>0</v>
      </c>
      <c r="N3994">
        <v>0</v>
      </c>
      <c r="O3994">
        <v>0</v>
      </c>
      <c r="P3994">
        <v>0</v>
      </c>
      <c r="Q3994">
        <v>9.08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D3994">
        <v>9.08</v>
      </c>
    </row>
    <row r="3995" spans="1:30" x14ac:dyDescent="0.3">
      <c r="A3995" s="4">
        <v>4017</v>
      </c>
      <c r="B3995" s="5">
        <v>3988</v>
      </c>
      <c r="C3995">
        <v>877</v>
      </c>
      <c r="D3995" t="s">
        <v>6980</v>
      </c>
      <c r="E3995" t="s">
        <v>166</v>
      </c>
      <c r="F3995" t="s">
        <v>230</v>
      </c>
      <c r="G3995" t="s">
        <v>8118</v>
      </c>
      <c r="H3995" t="str">
        <f>"00440076"</f>
        <v>00440076</v>
      </c>
      <c r="I3995">
        <v>0</v>
      </c>
      <c r="J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9</v>
      </c>
      <c r="AB3995">
        <v>0</v>
      </c>
      <c r="AD3995">
        <v>9</v>
      </c>
    </row>
    <row r="3996" spans="1:30" x14ac:dyDescent="0.3">
      <c r="A3996" s="4">
        <v>4018</v>
      </c>
      <c r="B3996" s="5">
        <v>3989</v>
      </c>
      <c r="C3996">
        <v>1549</v>
      </c>
      <c r="D3996" t="s">
        <v>294</v>
      </c>
      <c r="E3996" t="s">
        <v>825</v>
      </c>
      <c r="F3996" t="s">
        <v>136</v>
      </c>
      <c r="G3996" t="s">
        <v>8119</v>
      </c>
      <c r="H3996" t="str">
        <f>"00033107"</f>
        <v>00033107</v>
      </c>
      <c r="I3996">
        <v>0</v>
      </c>
      <c r="J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9</v>
      </c>
      <c r="AB3996">
        <v>0</v>
      </c>
      <c r="AD3996">
        <v>9</v>
      </c>
    </row>
    <row r="3997" spans="1:30" x14ac:dyDescent="0.3">
      <c r="A3997" s="4">
        <v>4019</v>
      </c>
      <c r="B3997" s="5">
        <v>3990</v>
      </c>
      <c r="C3997">
        <v>4231</v>
      </c>
      <c r="D3997" t="s">
        <v>4893</v>
      </c>
      <c r="E3997" t="s">
        <v>161</v>
      </c>
      <c r="F3997" t="s">
        <v>539</v>
      </c>
      <c r="G3997" t="s">
        <v>8120</v>
      </c>
      <c r="H3997" t="str">
        <f>"00863650"</f>
        <v>00863650</v>
      </c>
      <c r="I3997">
        <v>0</v>
      </c>
      <c r="J3997">
        <v>0</v>
      </c>
      <c r="N3997">
        <v>0</v>
      </c>
      <c r="O3997">
        <v>4</v>
      </c>
      <c r="P3997">
        <v>2</v>
      </c>
      <c r="Q3997">
        <v>6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3</v>
      </c>
      <c r="AB3997">
        <v>0</v>
      </c>
      <c r="AD3997">
        <v>9</v>
      </c>
    </row>
    <row r="3998" spans="1:30" x14ac:dyDescent="0.3">
      <c r="A3998" s="4">
        <v>4020</v>
      </c>
      <c r="B3998" s="5">
        <v>3991</v>
      </c>
      <c r="C3998">
        <v>4673</v>
      </c>
      <c r="D3998" t="s">
        <v>2597</v>
      </c>
      <c r="E3998" t="s">
        <v>4717</v>
      </c>
      <c r="F3998" t="s">
        <v>8121</v>
      </c>
      <c r="G3998" t="s">
        <v>8122</v>
      </c>
      <c r="H3998" t="str">
        <f>"00864169"</f>
        <v>00864169</v>
      </c>
      <c r="I3998">
        <v>0</v>
      </c>
      <c r="J3998">
        <v>0</v>
      </c>
      <c r="M3998">
        <v>4</v>
      </c>
      <c r="N3998">
        <v>4</v>
      </c>
      <c r="O3998">
        <v>0</v>
      </c>
      <c r="P3998">
        <v>2</v>
      </c>
      <c r="Q3998">
        <v>6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3</v>
      </c>
      <c r="AB3998">
        <v>0</v>
      </c>
      <c r="AD3998">
        <v>9</v>
      </c>
    </row>
    <row r="3999" spans="1:30" x14ac:dyDescent="0.3">
      <c r="A3999" s="4">
        <v>4021</v>
      </c>
      <c r="B3999" s="5">
        <v>3992</v>
      </c>
      <c r="C3999">
        <v>1528</v>
      </c>
      <c r="D3999" t="s">
        <v>8123</v>
      </c>
      <c r="E3999" t="s">
        <v>110</v>
      </c>
      <c r="F3999" t="s">
        <v>136</v>
      </c>
      <c r="G3999" t="s">
        <v>8124</v>
      </c>
      <c r="H3999" t="str">
        <f>"00789758"</f>
        <v>00789758</v>
      </c>
      <c r="I3999">
        <v>0</v>
      </c>
      <c r="J3999">
        <v>0</v>
      </c>
      <c r="N3999">
        <v>0</v>
      </c>
      <c r="O3999">
        <v>4</v>
      </c>
      <c r="P3999">
        <v>2</v>
      </c>
      <c r="Q3999">
        <v>6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3</v>
      </c>
      <c r="AB3999">
        <v>0</v>
      </c>
      <c r="AD3999">
        <v>9</v>
      </c>
    </row>
    <row r="4000" spans="1:30" x14ac:dyDescent="0.3">
      <c r="A4000" s="4">
        <v>4022</v>
      </c>
      <c r="B4000" s="5">
        <v>3993</v>
      </c>
      <c r="C4000">
        <v>1005</v>
      </c>
      <c r="D4000" t="s">
        <v>1686</v>
      </c>
      <c r="E4000" t="s">
        <v>132</v>
      </c>
      <c r="F4000" t="s">
        <v>17</v>
      </c>
      <c r="G4000" t="s">
        <v>8125</v>
      </c>
      <c r="H4000" t="str">
        <f>"00708562"</f>
        <v>00708562</v>
      </c>
      <c r="I4000">
        <v>0</v>
      </c>
      <c r="J4000">
        <v>0</v>
      </c>
      <c r="N4000">
        <v>0</v>
      </c>
      <c r="O4000">
        <v>4</v>
      </c>
      <c r="P4000">
        <v>2</v>
      </c>
      <c r="Q4000">
        <v>6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3</v>
      </c>
      <c r="AB4000">
        <v>0</v>
      </c>
      <c r="AD4000">
        <v>9</v>
      </c>
    </row>
    <row r="4001" spans="1:30" x14ac:dyDescent="0.3">
      <c r="A4001" s="4">
        <v>4023</v>
      </c>
      <c r="B4001" s="5">
        <v>3994</v>
      </c>
      <c r="C4001">
        <v>3341</v>
      </c>
      <c r="D4001" t="s">
        <v>8126</v>
      </c>
      <c r="E4001" t="s">
        <v>29</v>
      </c>
      <c r="F4001" t="s">
        <v>6414</v>
      </c>
      <c r="G4001" t="s">
        <v>8127</v>
      </c>
      <c r="H4001" t="str">
        <f>"00532295"</f>
        <v>00532295</v>
      </c>
      <c r="I4001">
        <v>0</v>
      </c>
      <c r="J4001">
        <v>0</v>
      </c>
      <c r="N4001">
        <v>0</v>
      </c>
      <c r="O4001">
        <v>0</v>
      </c>
      <c r="P4001">
        <v>0</v>
      </c>
      <c r="Q4001">
        <v>0</v>
      </c>
      <c r="R4001">
        <v>6</v>
      </c>
      <c r="S4001">
        <v>6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6</v>
      </c>
      <c r="AA4001">
        <v>3</v>
      </c>
      <c r="AB4001">
        <v>0</v>
      </c>
      <c r="AD4001">
        <v>9</v>
      </c>
    </row>
    <row r="4002" spans="1:30" x14ac:dyDescent="0.3">
      <c r="A4002" s="4">
        <v>4024</v>
      </c>
      <c r="B4002" s="5">
        <v>3995</v>
      </c>
      <c r="C4002">
        <v>3186</v>
      </c>
      <c r="D4002" t="s">
        <v>8128</v>
      </c>
      <c r="E4002" t="s">
        <v>307</v>
      </c>
      <c r="F4002" t="s">
        <v>20</v>
      </c>
      <c r="G4002" t="s">
        <v>8129</v>
      </c>
      <c r="H4002" t="str">
        <f>"00530455"</f>
        <v>00530455</v>
      </c>
      <c r="I4002">
        <v>0</v>
      </c>
      <c r="J4002">
        <v>0</v>
      </c>
      <c r="N4002">
        <v>0</v>
      </c>
      <c r="O4002">
        <v>4</v>
      </c>
      <c r="P4002">
        <v>0</v>
      </c>
      <c r="Q4002">
        <v>4</v>
      </c>
      <c r="R4002">
        <v>5</v>
      </c>
      <c r="S4002">
        <v>5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5</v>
      </c>
      <c r="AA4002">
        <v>0</v>
      </c>
      <c r="AB4002">
        <v>0</v>
      </c>
      <c r="AD4002">
        <v>9</v>
      </c>
    </row>
    <row r="4003" spans="1:30" x14ac:dyDescent="0.3">
      <c r="A4003" s="4">
        <v>4025</v>
      </c>
      <c r="B4003" s="5">
        <v>3996</v>
      </c>
      <c r="C4003">
        <v>2157</v>
      </c>
      <c r="D4003" t="s">
        <v>8130</v>
      </c>
      <c r="E4003" t="s">
        <v>26</v>
      </c>
      <c r="F4003" t="s">
        <v>17</v>
      </c>
      <c r="G4003" t="s">
        <v>8131</v>
      </c>
      <c r="H4003" t="str">
        <f>"00861728"</f>
        <v>00861728</v>
      </c>
      <c r="I4003">
        <v>8.8000000000000007</v>
      </c>
      <c r="J4003">
        <v>0</v>
      </c>
      <c r="N4003">
        <v>0</v>
      </c>
      <c r="O4003">
        <v>0</v>
      </c>
      <c r="P4003">
        <v>0</v>
      </c>
      <c r="Q4003">
        <v>8.8000000000000007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D4003">
        <v>8.8000000000000007</v>
      </c>
    </row>
    <row r="4004" spans="1:30" x14ac:dyDescent="0.3">
      <c r="A4004" s="4">
        <v>4026</v>
      </c>
      <c r="B4004" s="5">
        <v>3997</v>
      </c>
      <c r="C4004">
        <v>943</v>
      </c>
      <c r="D4004" t="s">
        <v>8132</v>
      </c>
      <c r="E4004" t="s">
        <v>33</v>
      </c>
      <c r="F4004" t="s">
        <v>2830</v>
      </c>
      <c r="G4004" t="s">
        <v>8133</v>
      </c>
      <c r="H4004" t="str">
        <f>"201401000105"</f>
        <v>201401000105</v>
      </c>
      <c r="I4004">
        <v>8.36</v>
      </c>
      <c r="J4004">
        <v>0</v>
      </c>
      <c r="N4004">
        <v>0</v>
      </c>
      <c r="O4004">
        <v>0</v>
      </c>
      <c r="P4004">
        <v>0</v>
      </c>
      <c r="Q4004">
        <v>8.36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D4004">
        <v>8.36</v>
      </c>
    </row>
    <row r="4005" spans="1:30" x14ac:dyDescent="0.3">
      <c r="A4005" s="4">
        <v>4027</v>
      </c>
      <c r="B4005" s="5">
        <v>3998</v>
      </c>
      <c r="C4005">
        <v>4953</v>
      </c>
      <c r="D4005" t="s">
        <v>8134</v>
      </c>
      <c r="E4005" t="s">
        <v>2743</v>
      </c>
      <c r="F4005" t="s">
        <v>17</v>
      </c>
      <c r="G4005" t="s">
        <v>8135</v>
      </c>
      <c r="H4005" t="str">
        <f>"00012963"</f>
        <v>00012963</v>
      </c>
      <c r="I4005">
        <v>0</v>
      </c>
      <c r="J4005">
        <v>0</v>
      </c>
      <c r="N4005">
        <v>0</v>
      </c>
      <c r="O4005">
        <v>0</v>
      </c>
      <c r="P4005">
        <v>2</v>
      </c>
      <c r="Q4005">
        <v>2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6</v>
      </c>
      <c r="AB4005">
        <v>0</v>
      </c>
      <c r="AD4005">
        <v>8</v>
      </c>
    </row>
    <row r="4006" spans="1:30" x14ac:dyDescent="0.3">
      <c r="A4006" s="4">
        <v>4028</v>
      </c>
      <c r="B4006" s="5">
        <v>3999</v>
      </c>
      <c r="C4006">
        <v>4958</v>
      </c>
      <c r="D4006" t="s">
        <v>8136</v>
      </c>
      <c r="E4006" t="s">
        <v>29</v>
      </c>
      <c r="F4006" t="s">
        <v>38</v>
      </c>
      <c r="G4006" t="s">
        <v>8137</v>
      </c>
      <c r="H4006" t="str">
        <f>"00528649"</f>
        <v>00528649</v>
      </c>
      <c r="I4006">
        <v>0</v>
      </c>
      <c r="J4006">
        <v>0</v>
      </c>
      <c r="M4006">
        <v>4</v>
      </c>
      <c r="N4006">
        <v>4</v>
      </c>
      <c r="O4006">
        <v>4</v>
      </c>
      <c r="P4006">
        <v>0</v>
      </c>
      <c r="Q4006">
        <v>8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D4006">
        <v>8</v>
      </c>
    </row>
    <row r="4007" spans="1:30" x14ac:dyDescent="0.3">
      <c r="A4007" s="4">
        <v>4029</v>
      </c>
      <c r="B4007" s="5">
        <v>4000</v>
      </c>
      <c r="C4007">
        <v>3703</v>
      </c>
      <c r="D4007" t="s">
        <v>8138</v>
      </c>
      <c r="E4007" t="s">
        <v>6996</v>
      </c>
      <c r="F4007" t="s">
        <v>20</v>
      </c>
      <c r="G4007" t="s">
        <v>8139</v>
      </c>
      <c r="H4007" t="str">
        <f>"00860107"</f>
        <v>00860107</v>
      </c>
      <c r="I4007">
        <v>0</v>
      </c>
      <c r="J4007">
        <v>0</v>
      </c>
      <c r="M4007">
        <v>4</v>
      </c>
      <c r="N4007">
        <v>4</v>
      </c>
      <c r="O4007">
        <v>4</v>
      </c>
      <c r="P4007">
        <v>0</v>
      </c>
      <c r="Q4007">
        <v>8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D4007">
        <v>8</v>
      </c>
    </row>
    <row r="4008" spans="1:30" x14ac:dyDescent="0.3">
      <c r="A4008" s="4">
        <v>4030</v>
      </c>
      <c r="B4008" s="5">
        <v>4001</v>
      </c>
      <c r="C4008">
        <v>3873</v>
      </c>
      <c r="D4008" t="s">
        <v>8140</v>
      </c>
      <c r="E4008" t="s">
        <v>161</v>
      </c>
      <c r="F4008" t="s">
        <v>81</v>
      </c>
      <c r="G4008" t="s">
        <v>8141</v>
      </c>
      <c r="H4008" t="str">
        <f>"00854652"</f>
        <v>00854652</v>
      </c>
      <c r="I4008">
        <v>0</v>
      </c>
      <c r="J4008">
        <v>0</v>
      </c>
      <c r="M4008">
        <v>4</v>
      </c>
      <c r="N4008">
        <v>4</v>
      </c>
      <c r="O4008">
        <v>4</v>
      </c>
      <c r="P4008">
        <v>0</v>
      </c>
      <c r="Q4008">
        <v>8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D4008">
        <v>8</v>
      </c>
    </row>
    <row r="4009" spans="1:30" x14ac:dyDescent="0.3">
      <c r="A4009" s="4">
        <v>4031</v>
      </c>
      <c r="B4009" s="5">
        <v>4002</v>
      </c>
      <c r="C4009">
        <v>2507</v>
      </c>
      <c r="D4009" t="s">
        <v>8142</v>
      </c>
      <c r="E4009" t="s">
        <v>29</v>
      </c>
      <c r="F4009" t="s">
        <v>243</v>
      </c>
      <c r="G4009" t="s">
        <v>8143</v>
      </c>
      <c r="H4009" t="str">
        <f>"00605056"</f>
        <v>00605056</v>
      </c>
      <c r="I4009">
        <v>0</v>
      </c>
      <c r="J4009">
        <v>0</v>
      </c>
      <c r="M4009">
        <v>4</v>
      </c>
      <c r="N4009">
        <v>4</v>
      </c>
      <c r="O4009">
        <v>4</v>
      </c>
      <c r="P4009">
        <v>0</v>
      </c>
      <c r="Q4009">
        <v>8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D4009">
        <v>8</v>
      </c>
    </row>
    <row r="4010" spans="1:30" x14ac:dyDescent="0.3">
      <c r="A4010" s="4">
        <v>4032</v>
      </c>
      <c r="B4010" s="5">
        <v>4003</v>
      </c>
      <c r="C4010">
        <v>1752</v>
      </c>
      <c r="D4010" t="s">
        <v>2600</v>
      </c>
      <c r="E4010" t="s">
        <v>8144</v>
      </c>
      <c r="F4010" t="s">
        <v>38</v>
      </c>
      <c r="G4010" t="s">
        <v>8145</v>
      </c>
      <c r="H4010" t="str">
        <f>"00863981"</f>
        <v>00863981</v>
      </c>
      <c r="I4010">
        <v>0</v>
      </c>
      <c r="J4010">
        <v>0</v>
      </c>
      <c r="M4010">
        <v>4</v>
      </c>
      <c r="N4010">
        <v>4</v>
      </c>
      <c r="O4010">
        <v>4</v>
      </c>
      <c r="P4010">
        <v>0</v>
      </c>
      <c r="Q4010">
        <v>8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D4010">
        <v>8</v>
      </c>
    </row>
    <row r="4011" spans="1:30" x14ac:dyDescent="0.3">
      <c r="A4011" s="4">
        <v>4033</v>
      </c>
      <c r="B4011" s="5">
        <v>4004</v>
      </c>
      <c r="C4011">
        <v>10</v>
      </c>
      <c r="D4011" t="s">
        <v>8146</v>
      </c>
      <c r="E4011" t="s">
        <v>182</v>
      </c>
      <c r="F4011" t="s">
        <v>8147</v>
      </c>
      <c r="G4011" t="s">
        <v>8148</v>
      </c>
      <c r="H4011" t="str">
        <f>"00479043"</f>
        <v>00479043</v>
      </c>
      <c r="I4011">
        <v>0</v>
      </c>
      <c r="J4011">
        <v>0</v>
      </c>
      <c r="M4011">
        <v>4</v>
      </c>
      <c r="N4011">
        <v>4</v>
      </c>
      <c r="O4011">
        <v>4</v>
      </c>
      <c r="P4011">
        <v>0</v>
      </c>
      <c r="Q4011">
        <v>8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D4011">
        <v>8</v>
      </c>
    </row>
    <row r="4012" spans="1:30" x14ac:dyDescent="0.3">
      <c r="A4012" s="4">
        <v>4034</v>
      </c>
      <c r="B4012" s="5">
        <v>4005</v>
      </c>
      <c r="C4012">
        <v>296</v>
      </c>
      <c r="D4012" t="s">
        <v>8149</v>
      </c>
      <c r="E4012" t="s">
        <v>8150</v>
      </c>
      <c r="F4012" t="s">
        <v>68</v>
      </c>
      <c r="G4012" t="s">
        <v>8151</v>
      </c>
      <c r="H4012" t="str">
        <f>"00076035"</f>
        <v>00076035</v>
      </c>
      <c r="I4012">
        <v>0</v>
      </c>
      <c r="J4012">
        <v>0</v>
      </c>
      <c r="M4012">
        <v>4</v>
      </c>
      <c r="N4012">
        <v>4</v>
      </c>
      <c r="O4012">
        <v>4</v>
      </c>
      <c r="P4012">
        <v>0</v>
      </c>
      <c r="Q4012">
        <v>8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D4012">
        <v>8</v>
      </c>
    </row>
    <row r="4013" spans="1:30" x14ac:dyDescent="0.3">
      <c r="A4013" s="4">
        <v>4035</v>
      </c>
      <c r="B4013" s="5">
        <v>4006</v>
      </c>
      <c r="C4013">
        <v>4739</v>
      </c>
      <c r="D4013" t="s">
        <v>8152</v>
      </c>
      <c r="E4013" t="s">
        <v>161</v>
      </c>
      <c r="F4013" t="s">
        <v>68</v>
      </c>
      <c r="G4013" t="s">
        <v>8153</v>
      </c>
      <c r="H4013" t="str">
        <f>"00866080"</f>
        <v>00866080</v>
      </c>
      <c r="I4013">
        <v>0</v>
      </c>
      <c r="J4013">
        <v>0</v>
      </c>
      <c r="M4013">
        <v>4</v>
      </c>
      <c r="N4013">
        <v>4</v>
      </c>
      <c r="O4013">
        <v>4</v>
      </c>
      <c r="P4013">
        <v>0</v>
      </c>
      <c r="Q4013">
        <v>8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D4013">
        <v>8</v>
      </c>
    </row>
    <row r="4014" spans="1:30" x14ac:dyDescent="0.3">
      <c r="A4014" s="4">
        <v>4036</v>
      </c>
      <c r="B4014" s="5">
        <v>4007</v>
      </c>
      <c r="C4014">
        <v>3112</v>
      </c>
      <c r="D4014" t="s">
        <v>8154</v>
      </c>
      <c r="E4014" t="s">
        <v>88</v>
      </c>
      <c r="F4014" t="s">
        <v>17</v>
      </c>
      <c r="G4014" t="s">
        <v>8155</v>
      </c>
      <c r="H4014" t="str">
        <f>"00428726"</f>
        <v>00428726</v>
      </c>
      <c r="I4014">
        <v>0</v>
      </c>
      <c r="J4014">
        <v>0</v>
      </c>
      <c r="M4014">
        <v>4</v>
      </c>
      <c r="N4014">
        <v>4</v>
      </c>
      <c r="O4014">
        <v>4</v>
      </c>
      <c r="P4014">
        <v>0</v>
      </c>
      <c r="Q4014">
        <v>8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D4014">
        <v>8</v>
      </c>
    </row>
    <row r="4015" spans="1:30" x14ac:dyDescent="0.3">
      <c r="A4015" s="4">
        <v>4037</v>
      </c>
      <c r="B4015" s="5">
        <v>4008</v>
      </c>
      <c r="C4015">
        <v>1909</v>
      </c>
      <c r="D4015" t="s">
        <v>1599</v>
      </c>
      <c r="E4015" t="s">
        <v>97</v>
      </c>
      <c r="F4015" t="s">
        <v>20</v>
      </c>
      <c r="G4015" t="s">
        <v>8156</v>
      </c>
      <c r="H4015" t="str">
        <f>"00778103"</f>
        <v>00778103</v>
      </c>
      <c r="I4015">
        <v>0</v>
      </c>
      <c r="J4015">
        <v>0</v>
      </c>
      <c r="M4015">
        <v>4</v>
      </c>
      <c r="N4015">
        <v>4</v>
      </c>
      <c r="O4015">
        <v>4</v>
      </c>
      <c r="P4015">
        <v>0</v>
      </c>
      <c r="Q4015">
        <v>8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D4015">
        <v>8</v>
      </c>
    </row>
    <row r="4016" spans="1:30" x14ac:dyDescent="0.3">
      <c r="A4016" s="4">
        <v>4038</v>
      </c>
      <c r="B4016" s="5">
        <v>4009</v>
      </c>
      <c r="C4016">
        <v>2399</v>
      </c>
      <c r="D4016" t="s">
        <v>2124</v>
      </c>
      <c r="E4016" t="s">
        <v>161</v>
      </c>
      <c r="F4016" t="s">
        <v>2126</v>
      </c>
      <c r="G4016" t="s">
        <v>8157</v>
      </c>
      <c r="H4016" t="str">
        <f>"00329868"</f>
        <v>00329868</v>
      </c>
      <c r="I4016">
        <v>0</v>
      </c>
      <c r="J4016">
        <v>0</v>
      </c>
      <c r="N4016">
        <v>0</v>
      </c>
      <c r="O4016">
        <v>4</v>
      </c>
      <c r="P4016">
        <v>2</v>
      </c>
      <c r="Q4016">
        <v>6</v>
      </c>
      <c r="R4016">
        <v>2</v>
      </c>
      <c r="S4016">
        <v>2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2</v>
      </c>
      <c r="AA4016">
        <v>0</v>
      </c>
      <c r="AB4016">
        <v>0</v>
      </c>
      <c r="AD4016">
        <v>8</v>
      </c>
    </row>
    <row r="4017" spans="1:30" x14ac:dyDescent="0.3">
      <c r="A4017" s="4">
        <v>4039</v>
      </c>
      <c r="B4017" s="5">
        <v>4010</v>
      </c>
      <c r="C4017">
        <v>4533</v>
      </c>
      <c r="D4017" t="s">
        <v>8158</v>
      </c>
      <c r="E4017" t="s">
        <v>29</v>
      </c>
      <c r="F4017" t="s">
        <v>91</v>
      </c>
      <c r="G4017" t="s">
        <v>8159</v>
      </c>
      <c r="H4017" t="str">
        <f>"00865522"</f>
        <v>00865522</v>
      </c>
      <c r="I4017">
        <v>0</v>
      </c>
      <c r="J4017">
        <v>0</v>
      </c>
      <c r="N4017">
        <v>0</v>
      </c>
      <c r="O4017">
        <v>4</v>
      </c>
      <c r="P4017">
        <v>0</v>
      </c>
      <c r="Q4017">
        <v>4</v>
      </c>
      <c r="R4017">
        <v>4</v>
      </c>
      <c r="S4017">
        <v>4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4</v>
      </c>
      <c r="AA4017">
        <v>0</v>
      </c>
      <c r="AB4017">
        <v>0</v>
      </c>
      <c r="AD4017">
        <v>8</v>
      </c>
    </row>
    <row r="4018" spans="1:30" x14ac:dyDescent="0.3">
      <c r="A4018" s="4">
        <v>4040</v>
      </c>
      <c r="B4018" s="5">
        <v>4011</v>
      </c>
      <c r="C4018">
        <v>1585</v>
      </c>
      <c r="D4018" t="s">
        <v>8160</v>
      </c>
      <c r="E4018" t="s">
        <v>3192</v>
      </c>
      <c r="F4018" t="s">
        <v>8161</v>
      </c>
      <c r="G4018" t="s">
        <v>8162</v>
      </c>
      <c r="H4018" t="str">
        <f>"00529859"</f>
        <v>00529859</v>
      </c>
      <c r="I4018">
        <v>0</v>
      </c>
      <c r="J4018">
        <v>0</v>
      </c>
      <c r="N4018">
        <v>0</v>
      </c>
      <c r="O4018">
        <v>0</v>
      </c>
      <c r="P4018">
        <v>2</v>
      </c>
      <c r="Q4018">
        <v>2</v>
      </c>
      <c r="R4018">
        <v>6</v>
      </c>
      <c r="S4018">
        <v>6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6</v>
      </c>
      <c r="AA4018">
        <v>0</v>
      </c>
      <c r="AB4018">
        <v>0</v>
      </c>
      <c r="AD4018">
        <v>8</v>
      </c>
    </row>
    <row r="4019" spans="1:30" x14ac:dyDescent="0.3">
      <c r="A4019" s="4">
        <v>4041</v>
      </c>
      <c r="B4019" s="5">
        <v>4012</v>
      </c>
      <c r="C4019">
        <v>1677</v>
      </c>
      <c r="D4019" t="s">
        <v>8163</v>
      </c>
      <c r="E4019" t="s">
        <v>100</v>
      </c>
      <c r="F4019" t="s">
        <v>17</v>
      </c>
      <c r="G4019" t="s">
        <v>8164</v>
      </c>
      <c r="H4019" t="str">
        <f>"00293092"</f>
        <v>00293092</v>
      </c>
      <c r="I4019">
        <v>7.28</v>
      </c>
      <c r="J4019">
        <v>0</v>
      </c>
      <c r="N4019">
        <v>0</v>
      </c>
      <c r="O4019">
        <v>0</v>
      </c>
      <c r="P4019">
        <v>0</v>
      </c>
      <c r="Q4019">
        <v>7.28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D4019">
        <v>7.28</v>
      </c>
    </row>
    <row r="4020" spans="1:30" x14ac:dyDescent="0.3">
      <c r="A4020" s="4">
        <v>4042</v>
      </c>
      <c r="B4020" s="5">
        <v>4013</v>
      </c>
      <c r="C4020">
        <v>2060</v>
      </c>
      <c r="D4020" t="s">
        <v>8165</v>
      </c>
      <c r="E4020" t="s">
        <v>29</v>
      </c>
      <c r="F4020" t="s">
        <v>375</v>
      </c>
      <c r="G4020" t="s">
        <v>8166</v>
      </c>
      <c r="H4020" t="str">
        <f>"00442311"</f>
        <v>00442311</v>
      </c>
      <c r="I4020">
        <v>7.2</v>
      </c>
      <c r="J4020">
        <v>0</v>
      </c>
      <c r="N4020">
        <v>0</v>
      </c>
      <c r="O4020">
        <v>0</v>
      </c>
      <c r="P4020">
        <v>0</v>
      </c>
      <c r="Q4020">
        <v>7.2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D4020">
        <v>7.2</v>
      </c>
    </row>
    <row r="4021" spans="1:30" x14ac:dyDescent="0.3">
      <c r="A4021" s="4">
        <v>4043</v>
      </c>
      <c r="B4021" s="5">
        <v>4014</v>
      </c>
      <c r="C4021">
        <v>432</v>
      </c>
      <c r="D4021" t="s">
        <v>8167</v>
      </c>
      <c r="E4021" t="s">
        <v>166</v>
      </c>
      <c r="F4021" t="s">
        <v>124</v>
      </c>
      <c r="G4021" t="s">
        <v>8168</v>
      </c>
      <c r="H4021" t="str">
        <f>"00854659"</f>
        <v>00854659</v>
      </c>
      <c r="I4021">
        <v>7.2</v>
      </c>
      <c r="J4021">
        <v>0</v>
      </c>
      <c r="N4021">
        <v>0</v>
      </c>
      <c r="O4021">
        <v>0</v>
      </c>
      <c r="P4021">
        <v>0</v>
      </c>
      <c r="Q4021">
        <v>7.2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D4021">
        <v>7.2</v>
      </c>
    </row>
    <row r="4022" spans="1:30" x14ac:dyDescent="0.3">
      <c r="A4022" s="4">
        <v>4044</v>
      </c>
      <c r="B4022" s="5">
        <v>4015</v>
      </c>
      <c r="C4022">
        <v>209</v>
      </c>
      <c r="D4022" t="s">
        <v>8169</v>
      </c>
      <c r="E4022" t="s">
        <v>6225</v>
      </c>
      <c r="F4022" t="s">
        <v>81</v>
      </c>
      <c r="G4022" t="s">
        <v>8170</v>
      </c>
      <c r="H4022" t="str">
        <f>"00527177"</f>
        <v>00527177</v>
      </c>
      <c r="I4022">
        <v>7.2</v>
      </c>
      <c r="J4022">
        <v>0</v>
      </c>
      <c r="N4022">
        <v>0</v>
      </c>
      <c r="O4022">
        <v>0</v>
      </c>
      <c r="P4022">
        <v>0</v>
      </c>
      <c r="Q4022">
        <v>7.2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D4022">
        <v>7.2</v>
      </c>
    </row>
    <row r="4023" spans="1:30" x14ac:dyDescent="0.3">
      <c r="A4023" s="4">
        <v>4045</v>
      </c>
      <c r="B4023" s="5">
        <v>4016</v>
      </c>
      <c r="C4023">
        <v>2642</v>
      </c>
      <c r="D4023" t="s">
        <v>8171</v>
      </c>
      <c r="E4023" t="s">
        <v>33</v>
      </c>
      <c r="F4023" t="s">
        <v>892</v>
      </c>
      <c r="G4023" t="s">
        <v>8172</v>
      </c>
      <c r="H4023" t="str">
        <f>"00863647"</f>
        <v>00863647</v>
      </c>
      <c r="I4023">
        <v>7.2</v>
      </c>
      <c r="J4023">
        <v>0</v>
      </c>
      <c r="N4023">
        <v>0</v>
      </c>
      <c r="O4023">
        <v>0</v>
      </c>
      <c r="P4023">
        <v>0</v>
      </c>
      <c r="Q4023">
        <v>7.2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D4023">
        <v>7.2</v>
      </c>
    </row>
    <row r="4024" spans="1:30" x14ac:dyDescent="0.3">
      <c r="A4024" s="4">
        <v>4046</v>
      </c>
      <c r="B4024" s="5">
        <v>4017</v>
      </c>
      <c r="C4024">
        <v>498</v>
      </c>
      <c r="D4024" t="s">
        <v>4189</v>
      </c>
      <c r="E4024" t="s">
        <v>213</v>
      </c>
      <c r="F4024" t="s">
        <v>3130</v>
      </c>
      <c r="G4024" t="s">
        <v>8173</v>
      </c>
      <c r="H4024" t="str">
        <f>"00854937"</f>
        <v>00854937</v>
      </c>
      <c r="I4024">
        <v>7.2</v>
      </c>
      <c r="J4024">
        <v>0</v>
      </c>
      <c r="N4024">
        <v>0</v>
      </c>
      <c r="O4024">
        <v>0</v>
      </c>
      <c r="P4024">
        <v>0</v>
      </c>
      <c r="Q4024">
        <v>7.2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D4024">
        <v>7.2</v>
      </c>
    </row>
    <row r="4025" spans="1:30" x14ac:dyDescent="0.3">
      <c r="A4025" s="4">
        <v>4047</v>
      </c>
      <c r="B4025" s="5">
        <v>4018</v>
      </c>
      <c r="C4025">
        <v>3052</v>
      </c>
      <c r="D4025" t="s">
        <v>8174</v>
      </c>
      <c r="E4025" t="s">
        <v>143</v>
      </c>
      <c r="F4025" t="s">
        <v>17</v>
      </c>
      <c r="G4025" t="s">
        <v>8175</v>
      </c>
      <c r="H4025" t="str">
        <f>"00529835"</f>
        <v>00529835</v>
      </c>
      <c r="I4025">
        <v>7.2</v>
      </c>
      <c r="J4025">
        <v>0</v>
      </c>
      <c r="N4025">
        <v>0</v>
      </c>
      <c r="O4025">
        <v>0</v>
      </c>
      <c r="P4025">
        <v>0</v>
      </c>
      <c r="Q4025">
        <v>7.2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D4025">
        <v>7.2</v>
      </c>
    </row>
    <row r="4026" spans="1:30" x14ac:dyDescent="0.3">
      <c r="A4026" s="4">
        <v>4048</v>
      </c>
      <c r="B4026" s="5">
        <v>4019</v>
      </c>
      <c r="C4026">
        <v>3602</v>
      </c>
      <c r="D4026" t="s">
        <v>8176</v>
      </c>
      <c r="E4026" t="s">
        <v>52</v>
      </c>
      <c r="F4026" t="s">
        <v>117</v>
      </c>
      <c r="G4026" t="s">
        <v>8177</v>
      </c>
      <c r="H4026" t="str">
        <f>"00518704"</f>
        <v>00518704</v>
      </c>
      <c r="I4026">
        <v>7.2</v>
      </c>
      <c r="J4026">
        <v>0</v>
      </c>
      <c r="N4026">
        <v>0</v>
      </c>
      <c r="O4026">
        <v>0</v>
      </c>
      <c r="P4026">
        <v>0</v>
      </c>
      <c r="Q4026">
        <v>7.2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D4026">
        <v>7.2</v>
      </c>
    </row>
    <row r="4027" spans="1:30" x14ac:dyDescent="0.3">
      <c r="A4027" s="4">
        <v>4049</v>
      </c>
      <c r="B4027" s="5">
        <v>4020</v>
      </c>
      <c r="C4027">
        <v>3148</v>
      </c>
      <c r="D4027" t="s">
        <v>5350</v>
      </c>
      <c r="E4027" t="s">
        <v>33</v>
      </c>
      <c r="F4027" t="s">
        <v>30</v>
      </c>
      <c r="G4027" t="s">
        <v>8178</v>
      </c>
      <c r="H4027" t="str">
        <f>"00528117"</f>
        <v>00528117</v>
      </c>
      <c r="I4027">
        <v>7.2</v>
      </c>
      <c r="J4027">
        <v>0</v>
      </c>
      <c r="N4027">
        <v>0</v>
      </c>
      <c r="O4027">
        <v>0</v>
      </c>
      <c r="P4027">
        <v>0</v>
      </c>
      <c r="Q4027">
        <v>7.2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D4027">
        <v>7.2</v>
      </c>
    </row>
    <row r="4028" spans="1:30" x14ac:dyDescent="0.3">
      <c r="A4028" s="4">
        <v>4050</v>
      </c>
      <c r="B4028" s="5">
        <v>4021</v>
      </c>
      <c r="C4028">
        <v>4374</v>
      </c>
      <c r="D4028" t="s">
        <v>8179</v>
      </c>
      <c r="E4028" t="s">
        <v>182</v>
      </c>
      <c r="F4028" t="s">
        <v>17</v>
      </c>
      <c r="G4028" t="s">
        <v>8180</v>
      </c>
      <c r="H4028" t="str">
        <f>"201511007754"</f>
        <v>201511007754</v>
      </c>
      <c r="I4028">
        <v>7.2</v>
      </c>
      <c r="J4028">
        <v>0</v>
      </c>
      <c r="N4028">
        <v>0</v>
      </c>
      <c r="O4028">
        <v>0</v>
      </c>
      <c r="P4028">
        <v>0</v>
      </c>
      <c r="Q4028">
        <v>7.2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D4028">
        <v>7.2</v>
      </c>
    </row>
    <row r="4029" spans="1:30" x14ac:dyDescent="0.3">
      <c r="A4029" s="4">
        <v>4051</v>
      </c>
      <c r="B4029" s="5">
        <v>4022</v>
      </c>
      <c r="C4029">
        <v>193</v>
      </c>
      <c r="D4029" t="s">
        <v>8181</v>
      </c>
      <c r="E4029" t="s">
        <v>8182</v>
      </c>
      <c r="F4029" t="s">
        <v>17</v>
      </c>
      <c r="G4029" t="s">
        <v>8183</v>
      </c>
      <c r="H4029" t="str">
        <f>"00857910"</f>
        <v>00857910</v>
      </c>
      <c r="I4029">
        <v>7.2</v>
      </c>
      <c r="J4029">
        <v>0</v>
      </c>
      <c r="N4029">
        <v>0</v>
      </c>
      <c r="O4029">
        <v>0</v>
      </c>
      <c r="P4029">
        <v>0</v>
      </c>
      <c r="Q4029">
        <v>7.2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D4029">
        <v>7.2</v>
      </c>
    </row>
    <row r="4030" spans="1:30" x14ac:dyDescent="0.3">
      <c r="A4030" s="4">
        <v>4052</v>
      </c>
      <c r="B4030" s="5">
        <v>4023</v>
      </c>
      <c r="C4030">
        <v>2583</v>
      </c>
      <c r="D4030" t="s">
        <v>8184</v>
      </c>
      <c r="E4030" t="s">
        <v>8185</v>
      </c>
      <c r="F4030" t="s">
        <v>8186</v>
      </c>
      <c r="G4030" t="s">
        <v>8187</v>
      </c>
      <c r="H4030" t="str">
        <f>"00313311"</f>
        <v>00313311</v>
      </c>
      <c r="I4030">
        <v>7.2</v>
      </c>
      <c r="J4030">
        <v>0</v>
      </c>
      <c r="N4030">
        <v>0</v>
      </c>
      <c r="O4030">
        <v>0</v>
      </c>
      <c r="P4030">
        <v>0</v>
      </c>
      <c r="Q4030">
        <v>7.2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D4030">
        <v>7.2</v>
      </c>
    </row>
    <row r="4031" spans="1:30" x14ac:dyDescent="0.3">
      <c r="A4031" s="4">
        <v>4053</v>
      </c>
      <c r="B4031" s="5">
        <v>4024</v>
      </c>
      <c r="C4031">
        <v>2822</v>
      </c>
      <c r="D4031" t="s">
        <v>2043</v>
      </c>
      <c r="E4031" t="s">
        <v>3320</v>
      </c>
      <c r="F4031" t="s">
        <v>81</v>
      </c>
      <c r="G4031" t="s">
        <v>8188</v>
      </c>
      <c r="H4031" t="str">
        <f>"00437768"</f>
        <v>00437768</v>
      </c>
      <c r="I4031">
        <v>7.2</v>
      </c>
      <c r="J4031">
        <v>0</v>
      </c>
      <c r="N4031">
        <v>0</v>
      </c>
      <c r="O4031">
        <v>0</v>
      </c>
      <c r="P4031">
        <v>0</v>
      </c>
      <c r="Q4031">
        <v>7.2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D4031">
        <v>7.2</v>
      </c>
    </row>
    <row r="4032" spans="1:30" x14ac:dyDescent="0.3">
      <c r="A4032" s="4">
        <v>4054</v>
      </c>
      <c r="B4032" s="5">
        <v>4025</v>
      </c>
      <c r="C4032">
        <v>3718</v>
      </c>
      <c r="D4032" t="s">
        <v>8189</v>
      </c>
      <c r="E4032" t="s">
        <v>8190</v>
      </c>
      <c r="F4032" t="s">
        <v>1023</v>
      </c>
      <c r="G4032" t="s">
        <v>8191</v>
      </c>
      <c r="H4032" t="str">
        <f>"00865422"</f>
        <v>00865422</v>
      </c>
      <c r="I4032">
        <v>7.2</v>
      </c>
      <c r="J4032">
        <v>0</v>
      </c>
      <c r="N4032">
        <v>0</v>
      </c>
      <c r="O4032">
        <v>0</v>
      </c>
      <c r="P4032">
        <v>0</v>
      </c>
      <c r="Q4032">
        <v>7.2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D4032">
        <v>7.2</v>
      </c>
    </row>
    <row r="4033" spans="1:30" x14ac:dyDescent="0.3">
      <c r="A4033" s="4">
        <v>4055</v>
      </c>
      <c r="B4033" s="5">
        <v>4026</v>
      </c>
      <c r="C4033">
        <v>4845</v>
      </c>
      <c r="D4033" t="s">
        <v>3155</v>
      </c>
      <c r="E4033" t="s">
        <v>29</v>
      </c>
      <c r="F4033" t="s">
        <v>343</v>
      </c>
      <c r="G4033" t="s">
        <v>8192</v>
      </c>
      <c r="H4033" t="str">
        <f>"00509045"</f>
        <v>00509045</v>
      </c>
      <c r="I4033">
        <v>0</v>
      </c>
      <c r="J4033">
        <v>0</v>
      </c>
      <c r="N4033">
        <v>0</v>
      </c>
      <c r="O4033">
        <v>4</v>
      </c>
      <c r="P4033">
        <v>0</v>
      </c>
      <c r="Q4033">
        <v>4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3</v>
      </c>
      <c r="AB4033">
        <v>0</v>
      </c>
      <c r="AD4033">
        <v>7</v>
      </c>
    </row>
    <row r="4034" spans="1:30" x14ac:dyDescent="0.3">
      <c r="A4034" s="4">
        <v>4056</v>
      </c>
      <c r="B4034" s="5">
        <v>4027</v>
      </c>
      <c r="C4034">
        <v>443</v>
      </c>
      <c r="D4034" t="s">
        <v>1528</v>
      </c>
      <c r="E4034" t="s">
        <v>789</v>
      </c>
      <c r="F4034" t="s">
        <v>346</v>
      </c>
      <c r="G4034" t="s">
        <v>8193</v>
      </c>
      <c r="H4034" t="str">
        <f>"00717985"</f>
        <v>00717985</v>
      </c>
      <c r="I4034">
        <v>0</v>
      </c>
      <c r="J4034">
        <v>0</v>
      </c>
      <c r="N4034">
        <v>0</v>
      </c>
      <c r="O4034">
        <v>4</v>
      </c>
      <c r="P4034">
        <v>0</v>
      </c>
      <c r="Q4034">
        <v>4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3</v>
      </c>
      <c r="AB4034">
        <v>0</v>
      </c>
      <c r="AD4034">
        <v>7</v>
      </c>
    </row>
    <row r="4035" spans="1:30" x14ac:dyDescent="0.3">
      <c r="A4035" s="4">
        <v>4057</v>
      </c>
      <c r="B4035" s="5">
        <v>4028</v>
      </c>
      <c r="C4035">
        <v>2284</v>
      </c>
      <c r="D4035" t="s">
        <v>229</v>
      </c>
      <c r="E4035" t="s">
        <v>738</v>
      </c>
      <c r="F4035" t="s">
        <v>17</v>
      </c>
      <c r="G4035" t="s">
        <v>8194</v>
      </c>
      <c r="H4035" t="str">
        <f>"00804580"</f>
        <v>00804580</v>
      </c>
      <c r="I4035">
        <v>0</v>
      </c>
      <c r="J4035">
        <v>0</v>
      </c>
      <c r="M4035">
        <v>4</v>
      </c>
      <c r="N4035">
        <v>4</v>
      </c>
      <c r="O4035">
        <v>0</v>
      </c>
      <c r="P4035">
        <v>0</v>
      </c>
      <c r="Q4035">
        <v>4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3</v>
      </c>
      <c r="AB4035">
        <v>0</v>
      </c>
      <c r="AD4035">
        <v>7</v>
      </c>
    </row>
    <row r="4036" spans="1:30" x14ac:dyDescent="0.3">
      <c r="A4036" s="4">
        <v>4058</v>
      </c>
      <c r="B4036" s="5">
        <v>4029</v>
      </c>
      <c r="C4036">
        <v>4203</v>
      </c>
      <c r="D4036" t="s">
        <v>6999</v>
      </c>
      <c r="E4036" t="s">
        <v>33</v>
      </c>
      <c r="F4036" t="s">
        <v>243</v>
      </c>
      <c r="G4036" t="s">
        <v>8195</v>
      </c>
      <c r="H4036" t="str">
        <f>"00791035"</f>
        <v>00791035</v>
      </c>
      <c r="I4036">
        <v>0</v>
      </c>
      <c r="J4036">
        <v>0</v>
      </c>
      <c r="N4036">
        <v>0</v>
      </c>
      <c r="O4036">
        <v>4</v>
      </c>
      <c r="P4036">
        <v>0</v>
      </c>
      <c r="Q4036">
        <v>4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3</v>
      </c>
      <c r="AB4036">
        <v>0</v>
      </c>
      <c r="AD4036">
        <v>7</v>
      </c>
    </row>
    <row r="4037" spans="1:30" x14ac:dyDescent="0.3">
      <c r="A4037" s="4">
        <v>4059</v>
      </c>
      <c r="B4037" s="5">
        <v>4030</v>
      </c>
      <c r="C4037">
        <v>1017</v>
      </c>
      <c r="D4037" t="s">
        <v>6061</v>
      </c>
      <c r="E4037" t="s">
        <v>100</v>
      </c>
      <c r="F4037" t="s">
        <v>124</v>
      </c>
      <c r="G4037" t="s">
        <v>8196</v>
      </c>
      <c r="H4037" t="str">
        <f>"00441782"</f>
        <v>00441782</v>
      </c>
      <c r="I4037">
        <v>0</v>
      </c>
      <c r="J4037">
        <v>0</v>
      </c>
      <c r="N4037">
        <v>0</v>
      </c>
      <c r="O4037">
        <v>0</v>
      </c>
      <c r="P4037">
        <v>0</v>
      </c>
      <c r="Q4037">
        <v>0</v>
      </c>
      <c r="R4037">
        <v>7</v>
      </c>
      <c r="S4037">
        <v>7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7</v>
      </c>
      <c r="AA4037">
        <v>0</v>
      </c>
      <c r="AB4037">
        <v>0</v>
      </c>
      <c r="AD4037">
        <v>7</v>
      </c>
    </row>
    <row r="4038" spans="1:30" x14ac:dyDescent="0.3">
      <c r="A4038" s="4">
        <v>4060</v>
      </c>
      <c r="B4038" s="5">
        <v>4031</v>
      </c>
      <c r="C4038">
        <v>2614</v>
      </c>
      <c r="D4038" t="s">
        <v>8197</v>
      </c>
      <c r="E4038" t="s">
        <v>2234</v>
      </c>
      <c r="F4038" t="s">
        <v>20</v>
      </c>
      <c r="G4038" t="s">
        <v>8198</v>
      </c>
      <c r="H4038" t="str">
        <f>"00861584"</f>
        <v>00861584</v>
      </c>
      <c r="I4038">
        <v>6.8</v>
      </c>
      <c r="J4038">
        <v>0</v>
      </c>
      <c r="N4038">
        <v>0</v>
      </c>
      <c r="O4038">
        <v>0</v>
      </c>
      <c r="P4038">
        <v>0</v>
      </c>
      <c r="Q4038">
        <v>6.8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D4038">
        <v>6.8</v>
      </c>
    </row>
    <row r="4039" spans="1:30" x14ac:dyDescent="0.3">
      <c r="A4039" s="4">
        <v>4061</v>
      </c>
      <c r="B4039" s="5">
        <v>4032</v>
      </c>
      <c r="C4039">
        <v>2419</v>
      </c>
      <c r="D4039" t="s">
        <v>8199</v>
      </c>
      <c r="E4039" t="s">
        <v>697</v>
      </c>
      <c r="F4039" t="s">
        <v>17</v>
      </c>
      <c r="G4039" t="s">
        <v>8200</v>
      </c>
      <c r="H4039" t="str">
        <f>"00257970"</f>
        <v>00257970</v>
      </c>
      <c r="I4039">
        <v>6.4</v>
      </c>
      <c r="J4039">
        <v>0</v>
      </c>
      <c r="N4039">
        <v>0</v>
      </c>
      <c r="O4039">
        <v>0</v>
      </c>
      <c r="P4039">
        <v>0</v>
      </c>
      <c r="Q4039">
        <v>6.4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D4039">
        <v>6.4</v>
      </c>
    </row>
    <row r="4040" spans="1:30" x14ac:dyDescent="0.3">
      <c r="A4040" s="4">
        <v>4062</v>
      </c>
      <c r="B4040" s="5">
        <v>4033</v>
      </c>
      <c r="C4040">
        <v>2040</v>
      </c>
      <c r="D4040" t="s">
        <v>8201</v>
      </c>
      <c r="E4040" t="s">
        <v>1075</v>
      </c>
      <c r="F4040" t="s">
        <v>20</v>
      </c>
      <c r="G4040" t="s">
        <v>8202</v>
      </c>
      <c r="H4040" t="str">
        <f>"00864087"</f>
        <v>00864087</v>
      </c>
      <c r="I4040">
        <v>0</v>
      </c>
      <c r="J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6</v>
      </c>
      <c r="AB4040">
        <v>0</v>
      </c>
      <c r="AD4040">
        <v>6</v>
      </c>
    </row>
    <row r="4041" spans="1:30" x14ac:dyDescent="0.3">
      <c r="A4041" s="4">
        <v>4063</v>
      </c>
      <c r="B4041" s="5">
        <v>4034</v>
      </c>
      <c r="C4041">
        <v>3999</v>
      </c>
      <c r="D4041" t="s">
        <v>8203</v>
      </c>
      <c r="E4041" t="s">
        <v>166</v>
      </c>
      <c r="F4041" t="s">
        <v>38</v>
      </c>
      <c r="G4041" t="s">
        <v>8204</v>
      </c>
      <c r="H4041" t="str">
        <f>"00860966"</f>
        <v>00860966</v>
      </c>
      <c r="I4041">
        <v>0</v>
      </c>
      <c r="J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6</v>
      </c>
      <c r="AB4041">
        <v>0</v>
      </c>
      <c r="AD4041">
        <v>6</v>
      </c>
    </row>
    <row r="4042" spans="1:30" x14ac:dyDescent="0.3">
      <c r="A4042" s="4">
        <v>4064</v>
      </c>
      <c r="B4042" s="5">
        <v>4035</v>
      </c>
      <c r="C4042">
        <v>4576</v>
      </c>
      <c r="D4042" t="s">
        <v>1742</v>
      </c>
      <c r="E4042" t="s">
        <v>268</v>
      </c>
      <c r="F4042" t="s">
        <v>158</v>
      </c>
      <c r="G4042" t="s">
        <v>8205</v>
      </c>
      <c r="H4042" t="str">
        <f>"00722551"</f>
        <v>00722551</v>
      </c>
      <c r="I4042">
        <v>0</v>
      </c>
      <c r="J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6</v>
      </c>
      <c r="AB4042">
        <v>0</v>
      </c>
      <c r="AD4042">
        <v>6</v>
      </c>
    </row>
    <row r="4043" spans="1:30" x14ac:dyDescent="0.3">
      <c r="A4043" s="4">
        <v>4065</v>
      </c>
      <c r="B4043" s="5">
        <v>4036</v>
      </c>
      <c r="C4043">
        <v>4282</v>
      </c>
      <c r="D4043" t="s">
        <v>3406</v>
      </c>
      <c r="E4043" t="s">
        <v>178</v>
      </c>
      <c r="F4043" t="s">
        <v>68</v>
      </c>
      <c r="G4043" t="s">
        <v>8206</v>
      </c>
      <c r="H4043" t="str">
        <f>"00859377"</f>
        <v>00859377</v>
      </c>
      <c r="I4043">
        <v>0</v>
      </c>
      <c r="J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6</v>
      </c>
      <c r="AB4043">
        <v>0</v>
      </c>
      <c r="AD4043">
        <v>6</v>
      </c>
    </row>
    <row r="4044" spans="1:30" x14ac:dyDescent="0.3">
      <c r="A4044" s="4">
        <v>4066</v>
      </c>
      <c r="B4044" s="5">
        <v>4037</v>
      </c>
      <c r="C4044">
        <v>4859</v>
      </c>
      <c r="D4044" t="s">
        <v>8207</v>
      </c>
      <c r="E4044" t="s">
        <v>22</v>
      </c>
      <c r="F4044" t="s">
        <v>158</v>
      </c>
      <c r="G4044" t="s">
        <v>8208</v>
      </c>
      <c r="H4044" t="str">
        <f>"00690822"</f>
        <v>00690822</v>
      </c>
      <c r="I4044">
        <v>0</v>
      </c>
      <c r="J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6</v>
      </c>
      <c r="AB4044">
        <v>0</v>
      </c>
      <c r="AD4044">
        <v>6</v>
      </c>
    </row>
    <row r="4045" spans="1:30" x14ac:dyDescent="0.3">
      <c r="A4045" s="4">
        <v>4067</v>
      </c>
      <c r="B4045" s="5">
        <v>4038</v>
      </c>
      <c r="C4045">
        <v>771</v>
      </c>
      <c r="D4045" t="s">
        <v>8209</v>
      </c>
      <c r="E4045" t="s">
        <v>555</v>
      </c>
      <c r="F4045" t="s">
        <v>328</v>
      </c>
      <c r="G4045" t="s">
        <v>8210</v>
      </c>
      <c r="H4045" t="str">
        <f>"00531089"</f>
        <v>00531089</v>
      </c>
      <c r="I4045">
        <v>0</v>
      </c>
      <c r="J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6</v>
      </c>
      <c r="AB4045">
        <v>0</v>
      </c>
      <c r="AD4045">
        <v>6</v>
      </c>
    </row>
    <row r="4046" spans="1:30" x14ac:dyDescent="0.3">
      <c r="A4046" s="4">
        <v>4068</v>
      </c>
      <c r="B4046" s="5">
        <v>4039</v>
      </c>
      <c r="C4046">
        <v>2386</v>
      </c>
      <c r="D4046" t="s">
        <v>5830</v>
      </c>
      <c r="E4046" t="s">
        <v>1371</v>
      </c>
      <c r="F4046" t="s">
        <v>649</v>
      </c>
      <c r="G4046" t="s">
        <v>8211</v>
      </c>
      <c r="H4046" t="str">
        <f>"00705619"</f>
        <v>00705619</v>
      </c>
      <c r="I4046">
        <v>0</v>
      </c>
      <c r="J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6</v>
      </c>
      <c r="AB4046">
        <v>0</v>
      </c>
      <c r="AD4046">
        <v>6</v>
      </c>
    </row>
    <row r="4047" spans="1:30" x14ac:dyDescent="0.3">
      <c r="A4047" s="4">
        <v>4069</v>
      </c>
      <c r="B4047" s="5">
        <v>4040</v>
      </c>
      <c r="C4047">
        <v>2111</v>
      </c>
      <c r="D4047" t="s">
        <v>8212</v>
      </c>
      <c r="E4047" t="s">
        <v>54</v>
      </c>
      <c r="F4047" t="s">
        <v>8213</v>
      </c>
      <c r="G4047" t="s">
        <v>8214</v>
      </c>
      <c r="H4047" t="str">
        <f>"201510002618"</f>
        <v>201510002618</v>
      </c>
      <c r="I4047">
        <v>0</v>
      </c>
      <c r="J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6</v>
      </c>
      <c r="AB4047">
        <v>0</v>
      </c>
      <c r="AD4047">
        <v>6</v>
      </c>
    </row>
    <row r="4048" spans="1:30" x14ac:dyDescent="0.3">
      <c r="A4048" s="4">
        <v>4070</v>
      </c>
      <c r="B4048" s="5">
        <v>4041</v>
      </c>
      <c r="C4048">
        <v>2645</v>
      </c>
      <c r="D4048" t="s">
        <v>8215</v>
      </c>
      <c r="E4048" t="s">
        <v>8216</v>
      </c>
      <c r="F4048" t="s">
        <v>570</v>
      </c>
      <c r="G4048" t="s">
        <v>8217</v>
      </c>
      <c r="H4048" t="str">
        <f>"00656824"</f>
        <v>00656824</v>
      </c>
      <c r="I4048">
        <v>0</v>
      </c>
      <c r="J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6</v>
      </c>
      <c r="AB4048">
        <v>0</v>
      </c>
      <c r="AD4048">
        <v>6</v>
      </c>
    </row>
    <row r="4049" spans="1:30" x14ac:dyDescent="0.3">
      <c r="A4049" s="4">
        <v>4071</v>
      </c>
      <c r="B4049" s="5">
        <v>4042</v>
      </c>
      <c r="C4049">
        <v>2752</v>
      </c>
      <c r="D4049" t="s">
        <v>8218</v>
      </c>
      <c r="E4049" t="s">
        <v>1874</v>
      </c>
      <c r="F4049" t="s">
        <v>117</v>
      </c>
      <c r="G4049" t="s">
        <v>8219</v>
      </c>
      <c r="H4049" t="str">
        <f>"00863718"</f>
        <v>00863718</v>
      </c>
      <c r="I4049">
        <v>6</v>
      </c>
      <c r="J4049">
        <v>0</v>
      </c>
      <c r="N4049">
        <v>0</v>
      </c>
      <c r="O4049">
        <v>0</v>
      </c>
      <c r="P4049">
        <v>0</v>
      </c>
      <c r="Q4049">
        <v>6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D4049">
        <v>6</v>
      </c>
    </row>
    <row r="4050" spans="1:30" x14ac:dyDescent="0.3">
      <c r="A4050" s="4">
        <v>4072</v>
      </c>
      <c r="B4050" s="5">
        <v>4043</v>
      </c>
      <c r="C4050">
        <v>619</v>
      </c>
      <c r="D4050" t="s">
        <v>8220</v>
      </c>
      <c r="E4050" t="s">
        <v>97</v>
      </c>
      <c r="F4050" t="s">
        <v>38</v>
      </c>
      <c r="G4050" t="s">
        <v>8221</v>
      </c>
      <c r="H4050" t="str">
        <f>"00722120"</f>
        <v>00722120</v>
      </c>
      <c r="I4050">
        <v>0</v>
      </c>
      <c r="J4050">
        <v>0</v>
      </c>
      <c r="N4050">
        <v>0</v>
      </c>
      <c r="O4050">
        <v>4</v>
      </c>
      <c r="P4050">
        <v>2</v>
      </c>
      <c r="Q4050">
        <v>6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D4050">
        <v>6</v>
      </c>
    </row>
    <row r="4051" spans="1:30" x14ac:dyDescent="0.3">
      <c r="A4051" s="4">
        <v>4073</v>
      </c>
      <c r="B4051" s="5">
        <v>4044</v>
      </c>
      <c r="C4051">
        <v>4599</v>
      </c>
      <c r="D4051" t="s">
        <v>8222</v>
      </c>
      <c r="E4051" t="s">
        <v>54</v>
      </c>
      <c r="F4051" t="s">
        <v>38</v>
      </c>
      <c r="G4051" t="s">
        <v>8223</v>
      </c>
      <c r="H4051" t="str">
        <f>"201511032049"</f>
        <v>201511032049</v>
      </c>
      <c r="I4051">
        <v>0</v>
      </c>
      <c r="J4051">
        <v>0</v>
      </c>
      <c r="N4051">
        <v>0</v>
      </c>
      <c r="O4051">
        <v>4</v>
      </c>
      <c r="P4051">
        <v>2</v>
      </c>
      <c r="Q4051">
        <v>6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D4051">
        <v>6</v>
      </c>
    </row>
    <row r="4052" spans="1:30" x14ac:dyDescent="0.3">
      <c r="A4052" s="4">
        <v>4074</v>
      </c>
      <c r="B4052" s="5">
        <v>4045</v>
      </c>
      <c r="C4052">
        <v>2598</v>
      </c>
      <c r="D4052" t="s">
        <v>8224</v>
      </c>
      <c r="E4052" t="s">
        <v>110</v>
      </c>
      <c r="F4052" t="s">
        <v>124</v>
      </c>
      <c r="G4052" t="s">
        <v>8225</v>
      </c>
      <c r="H4052" t="str">
        <f>"00864829"</f>
        <v>00864829</v>
      </c>
      <c r="I4052">
        <v>0</v>
      </c>
      <c r="J4052">
        <v>0</v>
      </c>
      <c r="M4052">
        <v>4</v>
      </c>
      <c r="N4052">
        <v>4</v>
      </c>
      <c r="O4052">
        <v>0</v>
      </c>
      <c r="P4052">
        <v>2</v>
      </c>
      <c r="Q4052">
        <v>6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D4052">
        <v>6</v>
      </c>
    </row>
    <row r="4053" spans="1:30" x14ac:dyDescent="0.3">
      <c r="A4053" s="4">
        <v>4075</v>
      </c>
      <c r="B4053" s="5">
        <v>4046</v>
      </c>
      <c r="C4053">
        <v>1034</v>
      </c>
      <c r="D4053" t="s">
        <v>8226</v>
      </c>
      <c r="E4053" t="s">
        <v>550</v>
      </c>
      <c r="F4053" t="s">
        <v>20</v>
      </c>
      <c r="G4053" t="s">
        <v>8227</v>
      </c>
      <c r="H4053" t="str">
        <f>"00429079"</f>
        <v>00429079</v>
      </c>
      <c r="I4053">
        <v>0</v>
      </c>
      <c r="J4053">
        <v>0</v>
      </c>
      <c r="N4053">
        <v>0</v>
      </c>
      <c r="O4053">
        <v>4</v>
      </c>
      <c r="P4053">
        <v>2</v>
      </c>
      <c r="Q4053">
        <v>6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D4053">
        <v>6</v>
      </c>
    </row>
    <row r="4054" spans="1:30" x14ac:dyDescent="0.3">
      <c r="A4054" s="4">
        <v>4076</v>
      </c>
      <c r="B4054" s="5">
        <v>4047</v>
      </c>
      <c r="C4054">
        <v>1586</v>
      </c>
      <c r="D4054" t="s">
        <v>8228</v>
      </c>
      <c r="E4054" t="s">
        <v>29</v>
      </c>
      <c r="F4054" t="s">
        <v>17</v>
      </c>
      <c r="G4054" t="s">
        <v>8229</v>
      </c>
      <c r="H4054" t="str">
        <f>"00161229"</f>
        <v>00161229</v>
      </c>
      <c r="I4054">
        <v>0</v>
      </c>
      <c r="J4054">
        <v>0</v>
      </c>
      <c r="N4054">
        <v>0</v>
      </c>
      <c r="O4054">
        <v>4</v>
      </c>
      <c r="P4054">
        <v>2</v>
      </c>
      <c r="Q4054">
        <v>6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D4054">
        <v>6</v>
      </c>
    </row>
    <row r="4055" spans="1:30" x14ac:dyDescent="0.3">
      <c r="A4055" s="4">
        <v>4077</v>
      </c>
      <c r="B4055" s="5">
        <v>4048</v>
      </c>
      <c r="C4055">
        <v>2346</v>
      </c>
      <c r="D4055" t="s">
        <v>165</v>
      </c>
      <c r="E4055" t="s">
        <v>29</v>
      </c>
      <c r="F4055" t="s">
        <v>81</v>
      </c>
      <c r="G4055" t="s">
        <v>8230</v>
      </c>
      <c r="H4055" t="str">
        <f>"00864494"</f>
        <v>00864494</v>
      </c>
      <c r="I4055">
        <v>0</v>
      </c>
      <c r="J4055">
        <v>0</v>
      </c>
      <c r="N4055">
        <v>0</v>
      </c>
      <c r="O4055">
        <v>4</v>
      </c>
      <c r="P4055">
        <v>2</v>
      </c>
      <c r="Q4055">
        <v>6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D4055">
        <v>6</v>
      </c>
    </row>
    <row r="4056" spans="1:30" x14ac:dyDescent="0.3">
      <c r="A4056" s="4">
        <v>4078</v>
      </c>
      <c r="B4056" s="5">
        <v>4049</v>
      </c>
      <c r="C4056">
        <v>3123</v>
      </c>
      <c r="D4056" t="s">
        <v>8231</v>
      </c>
      <c r="E4056" t="s">
        <v>110</v>
      </c>
      <c r="F4056" t="s">
        <v>4546</v>
      </c>
      <c r="G4056" t="s">
        <v>8232</v>
      </c>
      <c r="H4056" t="str">
        <f>"00532084"</f>
        <v>00532084</v>
      </c>
      <c r="I4056">
        <v>0</v>
      </c>
      <c r="J4056">
        <v>0</v>
      </c>
      <c r="N4056">
        <v>0</v>
      </c>
      <c r="O4056">
        <v>4</v>
      </c>
      <c r="P4056">
        <v>2</v>
      </c>
      <c r="Q4056">
        <v>6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D4056">
        <v>6</v>
      </c>
    </row>
    <row r="4057" spans="1:30" x14ac:dyDescent="0.3">
      <c r="A4057" s="4">
        <v>4079</v>
      </c>
      <c r="B4057" s="5">
        <v>4050</v>
      </c>
      <c r="C4057">
        <v>533</v>
      </c>
      <c r="D4057" t="s">
        <v>4853</v>
      </c>
      <c r="E4057" t="s">
        <v>2271</v>
      </c>
      <c r="F4057" t="s">
        <v>124</v>
      </c>
      <c r="G4057" t="s">
        <v>8233</v>
      </c>
      <c r="H4057" t="str">
        <f>"00559931"</f>
        <v>00559931</v>
      </c>
      <c r="I4057">
        <v>0</v>
      </c>
      <c r="J4057">
        <v>0</v>
      </c>
      <c r="N4057">
        <v>0</v>
      </c>
      <c r="O4057">
        <v>4</v>
      </c>
      <c r="P4057">
        <v>2</v>
      </c>
      <c r="Q4057">
        <v>6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D4057">
        <v>6</v>
      </c>
    </row>
    <row r="4058" spans="1:30" x14ac:dyDescent="0.3">
      <c r="A4058" s="4">
        <v>4080</v>
      </c>
      <c r="B4058" s="5">
        <v>4051</v>
      </c>
      <c r="C4058">
        <v>4138</v>
      </c>
      <c r="D4058" t="s">
        <v>7140</v>
      </c>
      <c r="E4058" t="s">
        <v>8234</v>
      </c>
      <c r="F4058" t="s">
        <v>17</v>
      </c>
      <c r="G4058" t="s">
        <v>8235</v>
      </c>
      <c r="H4058" t="str">
        <f>"00461593"</f>
        <v>00461593</v>
      </c>
      <c r="I4058">
        <v>0</v>
      </c>
      <c r="J4058">
        <v>0</v>
      </c>
      <c r="N4058">
        <v>0</v>
      </c>
      <c r="O4058">
        <v>4</v>
      </c>
      <c r="P4058">
        <v>2</v>
      </c>
      <c r="Q4058">
        <v>6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D4058">
        <v>6</v>
      </c>
    </row>
    <row r="4059" spans="1:30" x14ac:dyDescent="0.3">
      <c r="A4059" s="4">
        <v>4081</v>
      </c>
      <c r="B4059" s="5">
        <v>4052</v>
      </c>
      <c r="C4059">
        <v>1697</v>
      </c>
      <c r="D4059" t="s">
        <v>8236</v>
      </c>
      <c r="E4059" t="s">
        <v>8237</v>
      </c>
      <c r="F4059" t="s">
        <v>328</v>
      </c>
      <c r="G4059" t="s">
        <v>8238</v>
      </c>
      <c r="H4059" t="str">
        <f>"00864479"</f>
        <v>00864479</v>
      </c>
      <c r="I4059">
        <v>0</v>
      </c>
      <c r="J4059">
        <v>0</v>
      </c>
      <c r="N4059">
        <v>0</v>
      </c>
      <c r="O4059">
        <v>0</v>
      </c>
      <c r="P4059">
        <v>2</v>
      </c>
      <c r="Q4059">
        <v>2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3</v>
      </c>
      <c r="AB4059">
        <v>0</v>
      </c>
      <c r="AD4059">
        <v>5</v>
      </c>
    </row>
    <row r="4060" spans="1:30" x14ac:dyDescent="0.3">
      <c r="A4060" s="4">
        <v>4082</v>
      </c>
      <c r="B4060" s="5">
        <v>4053</v>
      </c>
      <c r="C4060">
        <v>657</v>
      </c>
      <c r="D4060" t="s">
        <v>8239</v>
      </c>
      <c r="E4060" t="s">
        <v>8240</v>
      </c>
      <c r="F4060" t="s">
        <v>136</v>
      </c>
      <c r="G4060" t="s">
        <v>8241</v>
      </c>
      <c r="H4060" t="str">
        <f>"00856266"</f>
        <v>00856266</v>
      </c>
      <c r="I4060">
        <v>0</v>
      </c>
      <c r="J4060">
        <v>0</v>
      </c>
      <c r="N4060">
        <v>0</v>
      </c>
      <c r="O4060">
        <v>4</v>
      </c>
      <c r="P4060">
        <v>0</v>
      </c>
      <c r="Q4060">
        <v>4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D4060">
        <v>4</v>
      </c>
    </row>
    <row r="4061" spans="1:30" x14ac:dyDescent="0.3">
      <c r="A4061" s="4">
        <v>4083</v>
      </c>
      <c r="B4061" s="5">
        <v>4054</v>
      </c>
      <c r="C4061">
        <v>4940</v>
      </c>
      <c r="D4061" t="s">
        <v>7678</v>
      </c>
      <c r="E4061" t="s">
        <v>957</v>
      </c>
      <c r="F4061" t="s">
        <v>158</v>
      </c>
      <c r="G4061" t="s">
        <v>8242</v>
      </c>
      <c r="H4061" t="str">
        <f>"00532635"</f>
        <v>00532635</v>
      </c>
      <c r="I4061">
        <v>0</v>
      </c>
      <c r="J4061">
        <v>0</v>
      </c>
      <c r="N4061">
        <v>0</v>
      </c>
      <c r="O4061">
        <v>4</v>
      </c>
      <c r="P4061">
        <v>0</v>
      </c>
      <c r="Q4061">
        <v>4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D4061">
        <v>4</v>
      </c>
    </row>
    <row r="4062" spans="1:30" x14ac:dyDescent="0.3">
      <c r="A4062" s="4">
        <v>4084</v>
      </c>
      <c r="B4062" s="5">
        <v>4055</v>
      </c>
      <c r="C4062">
        <v>2536</v>
      </c>
      <c r="D4062" t="s">
        <v>8243</v>
      </c>
      <c r="E4062" t="s">
        <v>100</v>
      </c>
      <c r="F4062" t="s">
        <v>68</v>
      </c>
      <c r="G4062" t="s">
        <v>8244</v>
      </c>
      <c r="H4062" t="str">
        <f>"00337503"</f>
        <v>00337503</v>
      </c>
      <c r="I4062">
        <v>0</v>
      </c>
      <c r="J4062">
        <v>0</v>
      </c>
      <c r="N4062">
        <v>0</v>
      </c>
      <c r="O4062">
        <v>4</v>
      </c>
      <c r="P4062">
        <v>0</v>
      </c>
      <c r="Q4062">
        <v>4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D4062">
        <v>4</v>
      </c>
    </row>
    <row r="4063" spans="1:30" x14ac:dyDescent="0.3">
      <c r="A4063" s="4">
        <v>4085</v>
      </c>
      <c r="B4063" s="5">
        <v>4056</v>
      </c>
      <c r="C4063">
        <v>1002</v>
      </c>
      <c r="D4063" t="s">
        <v>3438</v>
      </c>
      <c r="E4063" t="s">
        <v>110</v>
      </c>
      <c r="F4063" t="s">
        <v>17</v>
      </c>
      <c r="G4063" t="s">
        <v>8245</v>
      </c>
      <c r="H4063" t="str">
        <f>"00150533"</f>
        <v>00150533</v>
      </c>
      <c r="I4063">
        <v>0</v>
      </c>
      <c r="J4063">
        <v>0</v>
      </c>
      <c r="N4063">
        <v>0</v>
      </c>
      <c r="O4063">
        <v>4</v>
      </c>
      <c r="P4063">
        <v>0</v>
      </c>
      <c r="Q4063">
        <v>4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D4063">
        <v>4</v>
      </c>
    </row>
    <row r="4064" spans="1:30" x14ac:dyDescent="0.3">
      <c r="A4064" s="4">
        <v>4086</v>
      </c>
      <c r="B4064" s="5">
        <v>4057</v>
      </c>
      <c r="C4064">
        <v>2790</v>
      </c>
      <c r="D4064" t="s">
        <v>1287</v>
      </c>
      <c r="E4064" t="s">
        <v>789</v>
      </c>
      <c r="F4064" t="s">
        <v>649</v>
      </c>
      <c r="G4064" t="s">
        <v>8246</v>
      </c>
      <c r="H4064" t="str">
        <f>"00863367"</f>
        <v>00863367</v>
      </c>
      <c r="I4064">
        <v>0</v>
      </c>
      <c r="J4064">
        <v>0</v>
      </c>
      <c r="M4064">
        <v>4</v>
      </c>
      <c r="N4064">
        <v>4</v>
      </c>
      <c r="O4064">
        <v>0</v>
      </c>
      <c r="P4064">
        <v>0</v>
      </c>
      <c r="Q4064">
        <v>4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D4064">
        <v>4</v>
      </c>
    </row>
    <row r="4065" spans="1:30" x14ac:dyDescent="0.3">
      <c r="A4065" s="4">
        <v>4087</v>
      </c>
      <c r="B4065" s="5">
        <v>4058</v>
      </c>
      <c r="C4065">
        <v>2990</v>
      </c>
      <c r="D4065" t="s">
        <v>7118</v>
      </c>
      <c r="E4065" t="s">
        <v>613</v>
      </c>
      <c r="F4065" t="s">
        <v>68</v>
      </c>
      <c r="G4065" t="s">
        <v>8247</v>
      </c>
      <c r="H4065" t="str">
        <f>"00861192"</f>
        <v>00861192</v>
      </c>
      <c r="I4065">
        <v>0</v>
      </c>
      <c r="J4065">
        <v>0</v>
      </c>
      <c r="N4065">
        <v>0</v>
      </c>
      <c r="O4065">
        <v>4</v>
      </c>
      <c r="P4065">
        <v>0</v>
      </c>
      <c r="Q4065">
        <v>4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D4065">
        <v>4</v>
      </c>
    </row>
    <row r="4066" spans="1:30" x14ac:dyDescent="0.3">
      <c r="A4066" s="4">
        <v>4088</v>
      </c>
      <c r="B4066" s="5">
        <v>4059</v>
      </c>
      <c r="C4066">
        <v>3975</v>
      </c>
      <c r="D4066" t="s">
        <v>8248</v>
      </c>
      <c r="E4066" t="s">
        <v>182</v>
      </c>
      <c r="F4066" t="s">
        <v>20</v>
      </c>
      <c r="G4066" t="s">
        <v>8249</v>
      </c>
      <c r="H4066" t="str">
        <f>"00861160"</f>
        <v>00861160</v>
      </c>
      <c r="I4066">
        <v>0</v>
      </c>
      <c r="J4066">
        <v>0</v>
      </c>
      <c r="N4066">
        <v>0</v>
      </c>
      <c r="O4066">
        <v>4</v>
      </c>
      <c r="P4066">
        <v>0</v>
      </c>
      <c r="Q4066">
        <v>4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D4066">
        <v>4</v>
      </c>
    </row>
    <row r="4067" spans="1:30" x14ac:dyDescent="0.3">
      <c r="A4067" s="4">
        <v>4089</v>
      </c>
      <c r="B4067" s="5">
        <v>4060</v>
      </c>
      <c r="C4067">
        <v>1336</v>
      </c>
      <c r="D4067" t="s">
        <v>8250</v>
      </c>
      <c r="E4067" t="s">
        <v>1887</v>
      </c>
      <c r="F4067" t="s">
        <v>385</v>
      </c>
      <c r="G4067" t="s">
        <v>8251</v>
      </c>
      <c r="H4067" t="str">
        <f>"00582112"</f>
        <v>00582112</v>
      </c>
      <c r="I4067">
        <v>0</v>
      </c>
      <c r="J4067">
        <v>0</v>
      </c>
      <c r="N4067">
        <v>0</v>
      </c>
      <c r="O4067">
        <v>4</v>
      </c>
      <c r="P4067">
        <v>0</v>
      </c>
      <c r="Q4067">
        <v>4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D4067">
        <v>4</v>
      </c>
    </row>
    <row r="4068" spans="1:30" x14ac:dyDescent="0.3">
      <c r="A4068" s="4">
        <v>4090</v>
      </c>
      <c r="B4068" s="5">
        <v>4061</v>
      </c>
      <c r="C4068">
        <v>2827</v>
      </c>
      <c r="D4068" t="s">
        <v>8252</v>
      </c>
      <c r="E4068" t="s">
        <v>8253</v>
      </c>
      <c r="F4068" t="s">
        <v>259</v>
      </c>
      <c r="G4068" t="s">
        <v>8254</v>
      </c>
      <c r="H4068" t="str">
        <f>"00743028"</f>
        <v>00743028</v>
      </c>
      <c r="I4068">
        <v>0</v>
      </c>
      <c r="J4068">
        <v>0</v>
      </c>
      <c r="M4068">
        <v>4</v>
      </c>
      <c r="N4068">
        <v>4</v>
      </c>
      <c r="O4068">
        <v>0</v>
      </c>
      <c r="P4068">
        <v>0</v>
      </c>
      <c r="Q4068">
        <v>4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D4068">
        <v>4</v>
      </c>
    </row>
    <row r="4069" spans="1:30" x14ac:dyDescent="0.3">
      <c r="A4069" s="4">
        <v>4091</v>
      </c>
      <c r="B4069" s="5">
        <v>4062</v>
      </c>
      <c r="C4069">
        <v>3461</v>
      </c>
      <c r="D4069" t="s">
        <v>8255</v>
      </c>
      <c r="E4069" t="s">
        <v>403</v>
      </c>
      <c r="F4069" t="s">
        <v>652</v>
      </c>
      <c r="G4069" t="s">
        <v>8256</v>
      </c>
      <c r="H4069" t="str">
        <f>"00655077"</f>
        <v>00655077</v>
      </c>
      <c r="I4069">
        <v>0</v>
      </c>
      <c r="J4069">
        <v>0</v>
      </c>
      <c r="N4069">
        <v>0</v>
      </c>
      <c r="O4069">
        <v>4</v>
      </c>
      <c r="P4069">
        <v>0</v>
      </c>
      <c r="Q4069">
        <v>4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D4069">
        <v>4</v>
      </c>
    </row>
    <row r="4070" spans="1:30" x14ac:dyDescent="0.3">
      <c r="A4070" s="4">
        <v>4092</v>
      </c>
      <c r="B4070" s="5">
        <v>4063</v>
      </c>
      <c r="C4070">
        <v>618</v>
      </c>
      <c r="D4070" t="s">
        <v>8257</v>
      </c>
      <c r="E4070" t="s">
        <v>349</v>
      </c>
      <c r="F4070" t="s">
        <v>20</v>
      </c>
      <c r="G4070" t="s">
        <v>8258</v>
      </c>
      <c r="H4070" t="str">
        <f>"00757535"</f>
        <v>00757535</v>
      </c>
      <c r="I4070">
        <v>0</v>
      </c>
      <c r="J4070">
        <v>0</v>
      </c>
      <c r="N4070">
        <v>0</v>
      </c>
      <c r="O4070">
        <v>4</v>
      </c>
      <c r="P4070">
        <v>0</v>
      </c>
      <c r="Q4070">
        <v>4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D4070">
        <v>4</v>
      </c>
    </row>
    <row r="4071" spans="1:30" x14ac:dyDescent="0.3">
      <c r="A4071" s="4">
        <v>4093</v>
      </c>
      <c r="B4071" s="5">
        <v>4064</v>
      </c>
      <c r="C4071">
        <v>4228</v>
      </c>
      <c r="D4071" t="s">
        <v>8259</v>
      </c>
      <c r="E4071" t="s">
        <v>5237</v>
      </c>
      <c r="F4071" t="s">
        <v>38</v>
      </c>
      <c r="G4071" t="s">
        <v>8260</v>
      </c>
      <c r="H4071" t="str">
        <f>"00861797"</f>
        <v>00861797</v>
      </c>
      <c r="I4071">
        <v>0</v>
      </c>
      <c r="J4071">
        <v>0</v>
      </c>
      <c r="M4071">
        <v>4</v>
      </c>
      <c r="N4071">
        <v>4</v>
      </c>
      <c r="O4071">
        <v>0</v>
      </c>
      <c r="P4071">
        <v>0</v>
      </c>
      <c r="Q4071">
        <v>4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D4071">
        <v>4</v>
      </c>
    </row>
    <row r="4072" spans="1:30" x14ac:dyDescent="0.3">
      <c r="A4072" s="4">
        <v>4094</v>
      </c>
      <c r="B4072" s="5">
        <v>4065</v>
      </c>
      <c r="C4072">
        <v>464</v>
      </c>
      <c r="D4072" t="s">
        <v>8261</v>
      </c>
      <c r="E4072" t="s">
        <v>54</v>
      </c>
      <c r="F4072" t="s">
        <v>570</v>
      </c>
      <c r="G4072" t="s">
        <v>8262</v>
      </c>
      <c r="H4072" t="str">
        <f>"00856551"</f>
        <v>00856551</v>
      </c>
      <c r="I4072">
        <v>0</v>
      </c>
      <c r="J4072">
        <v>0</v>
      </c>
      <c r="N4072">
        <v>0</v>
      </c>
      <c r="O4072">
        <v>4</v>
      </c>
      <c r="P4072">
        <v>0</v>
      </c>
      <c r="Q4072">
        <v>4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D4072">
        <v>4</v>
      </c>
    </row>
    <row r="4073" spans="1:30" x14ac:dyDescent="0.3">
      <c r="A4073" s="4">
        <v>4095</v>
      </c>
      <c r="B4073" s="5">
        <v>4066</v>
      </c>
      <c r="C4073">
        <v>66</v>
      </c>
      <c r="D4073" t="s">
        <v>8263</v>
      </c>
      <c r="E4073" t="s">
        <v>1659</v>
      </c>
      <c r="F4073" t="s">
        <v>243</v>
      </c>
      <c r="G4073" t="s">
        <v>8264</v>
      </c>
      <c r="H4073" t="str">
        <f>"00854554"</f>
        <v>00854554</v>
      </c>
      <c r="I4073">
        <v>0</v>
      </c>
      <c r="J4073">
        <v>0</v>
      </c>
      <c r="N4073">
        <v>0</v>
      </c>
      <c r="O4073">
        <v>4</v>
      </c>
      <c r="P4073">
        <v>0</v>
      </c>
      <c r="Q4073">
        <v>4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D4073">
        <v>4</v>
      </c>
    </row>
    <row r="4074" spans="1:30" x14ac:dyDescent="0.3">
      <c r="A4074" s="4">
        <v>4096</v>
      </c>
      <c r="B4074" s="5">
        <v>4067</v>
      </c>
      <c r="C4074">
        <v>2047</v>
      </c>
      <c r="D4074" t="s">
        <v>6232</v>
      </c>
      <c r="E4074" t="s">
        <v>29</v>
      </c>
      <c r="F4074" t="s">
        <v>30</v>
      </c>
      <c r="G4074" t="s">
        <v>8265</v>
      </c>
      <c r="H4074" t="str">
        <f>"201402003055"</f>
        <v>201402003055</v>
      </c>
      <c r="I4074">
        <v>0</v>
      </c>
      <c r="J4074">
        <v>0</v>
      </c>
      <c r="N4074">
        <v>0</v>
      </c>
      <c r="O4074">
        <v>4</v>
      </c>
      <c r="P4074">
        <v>0</v>
      </c>
      <c r="Q4074">
        <v>4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D4074">
        <v>4</v>
      </c>
    </row>
    <row r="4075" spans="1:30" x14ac:dyDescent="0.3">
      <c r="A4075" s="4">
        <v>4097</v>
      </c>
      <c r="B4075" s="5">
        <v>4068</v>
      </c>
      <c r="C4075">
        <v>2854</v>
      </c>
      <c r="D4075" t="s">
        <v>8266</v>
      </c>
      <c r="E4075" t="s">
        <v>100</v>
      </c>
      <c r="F4075" t="s">
        <v>20</v>
      </c>
      <c r="G4075" t="s">
        <v>8267</v>
      </c>
      <c r="H4075" t="str">
        <f>"00864323"</f>
        <v>00864323</v>
      </c>
      <c r="I4075">
        <v>0</v>
      </c>
      <c r="J4075">
        <v>0</v>
      </c>
      <c r="M4075">
        <v>4</v>
      </c>
      <c r="N4075">
        <v>4</v>
      </c>
      <c r="O4075">
        <v>0</v>
      </c>
      <c r="P4075">
        <v>0</v>
      </c>
      <c r="Q4075">
        <v>4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D4075">
        <v>4</v>
      </c>
    </row>
    <row r="4076" spans="1:30" x14ac:dyDescent="0.3">
      <c r="A4076" s="4">
        <v>4098</v>
      </c>
      <c r="B4076" s="5">
        <v>4069</v>
      </c>
      <c r="C4076">
        <v>4021</v>
      </c>
      <c r="D4076" t="s">
        <v>8268</v>
      </c>
      <c r="E4076" t="s">
        <v>2758</v>
      </c>
      <c r="F4076" t="s">
        <v>20</v>
      </c>
      <c r="G4076" t="s">
        <v>8269</v>
      </c>
      <c r="H4076" t="str">
        <f>"00812518"</f>
        <v>00812518</v>
      </c>
      <c r="I4076">
        <v>0</v>
      </c>
      <c r="J4076">
        <v>0</v>
      </c>
      <c r="N4076">
        <v>0</v>
      </c>
      <c r="O4076">
        <v>4</v>
      </c>
      <c r="P4076">
        <v>0</v>
      </c>
      <c r="Q4076">
        <v>4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D4076">
        <v>4</v>
      </c>
    </row>
    <row r="4077" spans="1:30" x14ac:dyDescent="0.3">
      <c r="A4077" s="4">
        <v>4099</v>
      </c>
      <c r="B4077" s="5">
        <v>4070</v>
      </c>
      <c r="C4077">
        <v>2401</v>
      </c>
      <c r="D4077" t="s">
        <v>8270</v>
      </c>
      <c r="E4077" t="s">
        <v>400</v>
      </c>
      <c r="F4077" t="s">
        <v>20</v>
      </c>
      <c r="G4077" t="s">
        <v>8271</v>
      </c>
      <c r="H4077" t="str">
        <f>"00504801"</f>
        <v>00504801</v>
      </c>
      <c r="I4077">
        <v>0</v>
      </c>
      <c r="J4077">
        <v>0</v>
      </c>
      <c r="N4077">
        <v>0</v>
      </c>
      <c r="O4077">
        <v>4</v>
      </c>
      <c r="P4077">
        <v>0</v>
      </c>
      <c r="Q4077">
        <v>4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D4077">
        <v>4</v>
      </c>
    </row>
    <row r="4078" spans="1:30" x14ac:dyDescent="0.3">
      <c r="A4078" s="4">
        <v>4100</v>
      </c>
      <c r="B4078" s="5">
        <v>4071</v>
      </c>
      <c r="C4078">
        <v>3885</v>
      </c>
      <c r="D4078" t="s">
        <v>8272</v>
      </c>
      <c r="E4078" t="s">
        <v>3221</v>
      </c>
      <c r="F4078" t="s">
        <v>117</v>
      </c>
      <c r="G4078" t="s">
        <v>8273</v>
      </c>
      <c r="H4078" t="str">
        <f>"00863291"</f>
        <v>00863291</v>
      </c>
      <c r="I4078">
        <v>0</v>
      </c>
      <c r="J4078">
        <v>0</v>
      </c>
      <c r="M4078">
        <v>4</v>
      </c>
      <c r="N4078">
        <v>4</v>
      </c>
      <c r="O4078">
        <v>0</v>
      </c>
      <c r="P4078">
        <v>0</v>
      </c>
      <c r="Q4078">
        <v>4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D4078">
        <v>4</v>
      </c>
    </row>
    <row r="4079" spans="1:30" x14ac:dyDescent="0.3">
      <c r="A4079" s="4">
        <v>4101</v>
      </c>
      <c r="B4079" s="5">
        <v>4072</v>
      </c>
      <c r="C4079">
        <v>2670</v>
      </c>
      <c r="D4079" t="s">
        <v>8274</v>
      </c>
      <c r="E4079" t="s">
        <v>816</v>
      </c>
      <c r="F4079" t="s">
        <v>52</v>
      </c>
      <c r="G4079" t="s">
        <v>8275</v>
      </c>
      <c r="H4079" t="str">
        <f>"00862264"</f>
        <v>00862264</v>
      </c>
      <c r="I4079">
        <v>0</v>
      </c>
      <c r="J4079">
        <v>0</v>
      </c>
      <c r="M4079">
        <v>4</v>
      </c>
      <c r="N4079">
        <v>4</v>
      </c>
      <c r="O4079">
        <v>0</v>
      </c>
      <c r="P4079">
        <v>0</v>
      </c>
      <c r="Q4079">
        <v>4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D4079">
        <v>4</v>
      </c>
    </row>
    <row r="4080" spans="1:30" x14ac:dyDescent="0.3">
      <c r="A4080" s="4">
        <v>4102</v>
      </c>
      <c r="B4080" s="5">
        <v>4073</v>
      </c>
      <c r="C4080">
        <v>2551</v>
      </c>
      <c r="D4080" t="s">
        <v>3377</v>
      </c>
      <c r="E4080" t="s">
        <v>780</v>
      </c>
      <c r="F4080" t="s">
        <v>38</v>
      </c>
      <c r="G4080" t="s">
        <v>8276</v>
      </c>
      <c r="H4080" t="str">
        <f>"00163595"</f>
        <v>00163595</v>
      </c>
      <c r="I4080">
        <v>0</v>
      </c>
      <c r="J4080">
        <v>0</v>
      </c>
      <c r="N4080">
        <v>0</v>
      </c>
      <c r="O4080">
        <v>4</v>
      </c>
      <c r="P4080">
        <v>0</v>
      </c>
      <c r="Q4080">
        <v>4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D4080">
        <v>4</v>
      </c>
    </row>
    <row r="4081" spans="1:30" x14ac:dyDescent="0.3">
      <c r="A4081" s="4">
        <v>4103</v>
      </c>
      <c r="B4081" s="5">
        <v>4074</v>
      </c>
      <c r="C4081">
        <v>2164</v>
      </c>
      <c r="D4081" t="s">
        <v>8277</v>
      </c>
      <c r="E4081" t="s">
        <v>41</v>
      </c>
      <c r="F4081" t="s">
        <v>238</v>
      </c>
      <c r="G4081" t="s">
        <v>8278</v>
      </c>
      <c r="H4081" t="str">
        <f>"00860276"</f>
        <v>00860276</v>
      </c>
      <c r="I4081">
        <v>0</v>
      </c>
      <c r="J4081">
        <v>0</v>
      </c>
      <c r="N4081">
        <v>0</v>
      </c>
      <c r="O4081">
        <v>4</v>
      </c>
      <c r="P4081">
        <v>0</v>
      </c>
      <c r="Q4081">
        <v>4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D4081">
        <v>4</v>
      </c>
    </row>
    <row r="4082" spans="1:30" x14ac:dyDescent="0.3">
      <c r="A4082" s="4">
        <v>4104</v>
      </c>
      <c r="B4082" s="5">
        <v>4075</v>
      </c>
      <c r="C4082">
        <v>3149</v>
      </c>
      <c r="D4082" t="s">
        <v>1035</v>
      </c>
      <c r="E4082" t="s">
        <v>161</v>
      </c>
      <c r="F4082" t="s">
        <v>14</v>
      </c>
      <c r="G4082" t="s">
        <v>8279</v>
      </c>
      <c r="H4082" t="str">
        <f>"00865036"</f>
        <v>00865036</v>
      </c>
      <c r="I4082">
        <v>0</v>
      </c>
      <c r="J4082">
        <v>0</v>
      </c>
      <c r="N4082">
        <v>0</v>
      </c>
      <c r="O4082">
        <v>4</v>
      </c>
      <c r="P4082">
        <v>0</v>
      </c>
      <c r="Q4082">
        <v>4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D4082">
        <v>4</v>
      </c>
    </row>
    <row r="4083" spans="1:30" x14ac:dyDescent="0.3">
      <c r="A4083" s="4">
        <v>4105</v>
      </c>
      <c r="B4083" s="5">
        <v>4076</v>
      </c>
      <c r="C4083">
        <v>3252</v>
      </c>
      <c r="D4083" t="s">
        <v>8280</v>
      </c>
      <c r="E4083" t="s">
        <v>170</v>
      </c>
      <c r="F4083" t="s">
        <v>81</v>
      </c>
      <c r="G4083" t="s">
        <v>8281</v>
      </c>
      <c r="H4083" t="str">
        <f>"00865374"</f>
        <v>00865374</v>
      </c>
      <c r="I4083">
        <v>0</v>
      </c>
      <c r="J4083">
        <v>0</v>
      </c>
      <c r="M4083">
        <v>4</v>
      </c>
      <c r="N4083">
        <v>4</v>
      </c>
      <c r="O4083">
        <v>0</v>
      </c>
      <c r="P4083">
        <v>0</v>
      </c>
      <c r="Q4083">
        <v>4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D4083">
        <v>4</v>
      </c>
    </row>
    <row r="4084" spans="1:30" x14ac:dyDescent="0.3">
      <c r="A4084" s="4">
        <v>4106</v>
      </c>
      <c r="B4084" s="5">
        <v>4077</v>
      </c>
      <c r="C4084">
        <v>4553</v>
      </c>
      <c r="D4084" t="s">
        <v>8282</v>
      </c>
      <c r="E4084" t="s">
        <v>170</v>
      </c>
      <c r="F4084" t="s">
        <v>136</v>
      </c>
      <c r="G4084" t="s">
        <v>8283</v>
      </c>
      <c r="H4084" t="str">
        <f>"00539400"</f>
        <v>00539400</v>
      </c>
      <c r="I4084">
        <v>0</v>
      </c>
      <c r="J4084">
        <v>0</v>
      </c>
      <c r="M4084">
        <v>4</v>
      </c>
      <c r="N4084">
        <v>4</v>
      </c>
      <c r="O4084">
        <v>0</v>
      </c>
      <c r="P4084">
        <v>0</v>
      </c>
      <c r="Q4084">
        <v>4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D4084">
        <v>4</v>
      </c>
    </row>
    <row r="4085" spans="1:30" x14ac:dyDescent="0.3">
      <c r="A4085" s="4">
        <v>4107</v>
      </c>
      <c r="B4085" s="5">
        <v>4078</v>
      </c>
      <c r="C4085">
        <v>4786</v>
      </c>
      <c r="D4085" t="s">
        <v>1033</v>
      </c>
      <c r="E4085" t="s">
        <v>29</v>
      </c>
      <c r="F4085" t="s">
        <v>68</v>
      </c>
      <c r="G4085" t="s">
        <v>8284</v>
      </c>
      <c r="H4085" t="str">
        <f>"00865263"</f>
        <v>00865263</v>
      </c>
      <c r="I4085">
        <v>0</v>
      </c>
      <c r="J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3</v>
      </c>
      <c r="AB4085">
        <v>0</v>
      </c>
      <c r="AD4085">
        <v>3</v>
      </c>
    </row>
    <row r="4086" spans="1:30" x14ac:dyDescent="0.3">
      <c r="A4086" s="4">
        <v>4108</v>
      </c>
      <c r="B4086" s="5">
        <v>4079</v>
      </c>
      <c r="C4086">
        <v>1973</v>
      </c>
      <c r="D4086" t="s">
        <v>8285</v>
      </c>
      <c r="E4086" t="s">
        <v>161</v>
      </c>
      <c r="F4086" t="s">
        <v>52</v>
      </c>
      <c r="G4086" t="s">
        <v>8286</v>
      </c>
      <c r="H4086" t="str">
        <f>"00539760"</f>
        <v>00539760</v>
      </c>
      <c r="I4086">
        <v>0</v>
      </c>
      <c r="J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3</v>
      </c>
      <c r="AB4086">
        <v>0</v>
      </c>
      <c r="AD4086">
        <v>3</v>
      </c>
    </row>
    <row r="4087" spans="1:30" x14ac:dyDescent="0.3">
      <c r="A4087" s="4">
        <v>4109</v>
      </c>
      <c r="B4087" s="5">
        <v>4080</v>
      </c>
      <c r="C4087">
        <v>3902</v>
      </c>
      <c r="D4087" t="s">
        <v>8287</v>
      </c>
      <c r="E4087" t="s">
        <v>166</v>
      </c>
      <c r="F4087" t="s">
        <v>214</v>
      </c>
      <c r="G4087" t="s">
        <v>8288</v>
      </c>
      <c r="H4087" t="str">
        <f>"00863187"</f>
        <v>00863187</v>
      </c>
      <c r="I4087">
        <v>0</v>
      </c>
      <c r="J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3</v>
      </c>
      <c r="AB4087">
        <v>0</v>
      </c>
      <c r="AD4087">
        <v>3</v>
      </c>
    </row>
    <row r="4088" spans="1:30" x14ac:dyDescent="0.3">
      <c r="A4088" s="4">
        <v>4110</v>
      </c>
      <c r="B4088" s="5">
        <v>4081</v>
      </c>
      <c r="C4088">
        <v>2250</v>
      </c>
      <c r="D4088" t="s">
        <v>8289</v>
      </c>
      <c r="E4088" t="s">
        <v>166</v>
      </c>
      <c r="F4088" t="s">
        <v>8290</v>
      </c>
      <c r="G4088" t="s">
        <v>8291</v>
      </c>
      <c r="H4088" t="str">
        <f>"00519299"</f>
        <v>00519299</v>
      </c>
      <c r="I4088">
        <v>0</v>
      </c>
      <c r="J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3</v>
      </c>
      <c r="AB4088">
        <v>0</v>
      </c>
      <c r="AD4088">
        <v>3</v>
      </c>
    </row>
    <row r="4089" spans="1:30" x14ac:dyDescent="0.3">
      <c r="A4089" s="4">
        <v>4111</v>
      </c>
      <c r="B4089" s="5">
        <v>4082</v>
      </c>
      <c r="C4089">
        <v>4636</v>
      </c>
      <c r="D4089" t="s">
        <v>8292</v>
      </c>
      <c r="E4089" t="s">
        <v>789</v>
      </c>
      <c r="F4089" t="s">
        <v>68</v>
      </c>
      <c r="G4089" t="s">
        <v>8293</v>
      </c>
      <c r="H4089" t="str">
        <f>"00532814"</f>
        <v>00532814</v>
      </c>
      <c r="I4089">
        <v>0</v>
      </c>
      <c r="J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3</v>
      </c>
      <c r="AB4089">
        <v>0</v>
      </c>
      <c r="AD4089">
        <v>3</v>
      </c>
    </row>
    <row r="4090" spans="1:30" x14ac:dyDescent="0.3">
      <c r="A4090" s="4">
        <v>4112</v>
      </c>
      <c r="B4090" s="5">
        <v>4083</v>
      </c>
      <c r="C4090">
        <v>2838</v>
      </c>
      <c r="D4090" t="s">
        <v>8294</v>
      </c>
      <c r="E4090" t="s">
        <v>1576</v>
      </c>
      <c r="F4090" t="s">
        <v>1265</v>
      </c>
      <c r="G4090" t="s">
        <v>8295</v>
      </c>
      <c r="H4090" t="str">
        <f>"00267311"</f>
        <v>00267311</v>
      </c>
      <c r="I4090">
        <v>0</v>
      </c>
      <c r="J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3</v>
      </c>
      <c r="AB4090">
        <v>0</v>
      </c>
      <c r="AD4090">
        <v>3</v>
      </c>
    </row>
    <row r="4091" spans="1:30" x14ac:dyDescent="0.3">
      <c r="A4091" s="4">
        <v>4113</v>
      </c>
      <c r="B4091" s="5">
        <v>4084</v>
      </c>
      <c r="C4091">
        <v>1733</v>
      </c>
      <c r="D4091" t="s">
        <v>8296</v>
      </c>
      <c r="E4091" t="s">
        <v>54</v>
      </c>
      <c r="F4091" t="s">
        <v>81</v>
      </c>
      <c r="G4091" t="s">
        <v>8297</v>
      </c>
      <c r="H4091" t="str">
        <f>"00439078"</f>
        <v>00439078</v>
      </c>
      <c r="I4091">
        <v>0</v>
      </c>
      <c r="J4091">
        <v>0</v>
      </c>
      <c r="N4091">
        <v>0</v>
      </c>
      <c r="O4091">
        <v>0</v>
      </c>
      <c r="P4091">
        <v>2</v>
      </c>
      <c r="Q4091">
        <v>2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D4091">
        <v>2</v>
      </c>
    </row>
    <row r="4092" spans="1:30" x14ac:dyDescent="0.3">
      <c r="A4092" s="4">
        <v>4114</v>
      </c>
      <c r="B4092" s="5">
        <v>4085</v>
      </c>
      <c r="C4092">
        <v>4959</v>
      </c>
      <c r="D4092" t="s">
        <v>8298</v>
      </c>
      <c r="E4092" t="s">
        <v>8299</v>
      </c>
      <c r="F4092" t="s">
        <v>20</v>
      </c>
      <c r="G4092" t="s">
        <v>8300</v>
      </c>
      <c r="H4092" t="str">
        <f>"00533668"</f>
        <v>00533668</v>
      </c>
      <c r="I4092">
        <v>0</v>
      </c>
      <c r="J4092">
        <v>0</v>
      </c>
      <c r="N4092">
        <v>0</v>
      </c>
      <c r="O4092">
        <v>0</v>
      </c>
      <c r="P4092">
        <v>2</v>
      </c>
      <c r="Q4092">
        <v>2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D4092">
        <v>2</v>
      </c>
    </row>
    <row r="4093" spans="1:30" x14ac:dyDescent="0.3">
      <c r="A4093" s="4">
        <v>4115</v>
      </c>
      <c r="B4093" s="5">
        <v>4086</v>
      </c>
      <c r="C4093">
        <v>1754</v>
      </c>
      <c r="D4093" t="s">
        <v>2512</v>
      </c>
      <c r="E4093" t="s">
        <v>816</v>
      </c>
      <c r="F4093" t="s">
        <v>20</v>
      </c>
      <c r="G4093" t="s">
        <v>8301</v>
      </c>
      <c r="H4093" t="str">
        <f>"00864962"</f>
        <v>00864962</v>
      </c>
      <c r="I4093">
        <v>0</v>
      </c>
      <c r="J4093">
        <v>0</v>
      </c>
      <c r="N4093">
        <v>0</v>
      </c>
      <c r="O4093">
        <v>0</v>
      </c>
      <c r="P4093">
        <v>2</v>
      </c>
      <c r="Q4093">
        <v>2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D4093">
        <v>2</v>
      </c>
    </row>
    <row r="4094" spans="1:30" x14ac:dyDescent="0.3">
      <c r="A4094" s="4">
        <v>4116</v>
      </c>
      <c r="B4094" s="5">
        <v>4087</v>
      </c>
      <c r="C4094">
        <v>240</v>
      </c>
      <c r="D4094" t="s">
        <v>8302</v>
      </c>
      <c r="E4094" t="s">
        <v>166</v>
      </c>
      <c r="F4094" t="s">
        <v>17</v>
      </c>
      <c r="G4094" t="s">
        <v>8303</v>
      </c>
      <c r="H4094" t="str">
        <f>"00555276"</f>
        <v>00555276</v>
      </c>
      <c r="I4094">
        <v>0</v>
      </c>
      <c r="J4094">
        <v>0</v>
      </c>
      <c r="N4094">
        <v>0</v>
      </c>
      <c r="O4094">
        <v>0</v>
      </c>
      <c r="P4094">
        <v>2</v>
      </c>
      <c r="Q4094">
        <v>2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D4094">
        <v>2</v>
      </c>
    </row>
    <row r="4095" spans="1:30" x14ac:dyDescent="0.3">
      <c r="A4095" s="4">
        <v>4117</v>
      </c>
      <c r="B4095" s="5">
        <v>4088</v>
      </c>
      <c r="C4095">
        <v>4702</v>
      </c>
      <c r="D4095" t="s">
        <v>8304</v>
      </c>
      <c r="E4095" t="s">
        <v>594</v>
      </c>
      <c r="F4095" t="s">
        <v>30</v>
      </c>
      <c r="G4095" t="s">
        <v>8305</v>
      </c>
      <c r="H4095" t="str">
        <f>"00858957"</f>
        <v>00858957</v>
      </c>
      <c r="I4095">
        <v>0</v>
      </c>
      <c r="J4095">
        <v>0</v>
      </c>
      <c r="N4095">
        <v>0</v>
      </c>
      <c r="O4095">
        <v>0</v>
      </c>
      <c r="P4095">
        <v>2</v>
      </c>
      <c r="Q4095">
        <v>2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D4095">
        <v>2</v>
      </c>
    </row>
    <row r="4096" spans="1:30" x14ac:dyDescent="0.3">
      <c r="A4096" s="4">
        <v>4118</v>
      </c>
      <c r="B4096" s="5">
        <v>4089</v>
      </c>
      <c r="C4096">
        <v>4923</v>
      </c>
      <c r="D4096" t="s">
        <v>8306</v>
      </c>
      <c r="E4096" t="s">
        <v>2011</v>
      </c>
      <c r="F4096" t="s">
        <v>136</v>
      </c>
      <c r="G4096" t="s">
        <v>8307</v>
      </c>
      <c r="H4096" t="str">
        <f>"00360319"</f>
        <v>00360319</v>
      </c>
      <c r="I4096">
        <v>0</v>
      </c>
      <c r="J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D4096">
        <v>0</v>
      </c>
    </row>
    <row r="4097" spans="1:30" x14ac:dyDescent="0.3">
      <c r="A4097" s="4">
        <v>4119</v>
      </c>
      <c r="B4097" s="5">
        <v>4090</v>
      </c>
      <c r="C4097">
        <v>4373</v>
      </c>
      <c r="D4097" t="s">
        <v>8308</v>
      </c>
      <c r="E4097" t="s">
        <v>188</v>
      </c>
      <c r="F4097" t="s">
        <v>30</v>
      </c>
      <c r="G4097" t="s">
        <v>8309</v>
      </c>
      <c r="H4097" t="str">
        <f>"00863394"</f>
        <v>00863394</v>
      </c>
      <c r="I4097">
        <v>0</v>
      </c>
      <c r="J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D4097">
        <v>0</v>
      </c>
    </row>
    <row r="4098" spans="1:30" x14ac:dyDescent="0.3">
      <c r="A4098" s="4">
        <v>4120</v>
      </c>
      <c r="B4098" s="5">
        <v>4091</v>
      </c>
      <c r="C4098">
        <v>424</v>
      </c>
      <c r="D4098" t="s">
        <v>8310</v>
      </c>
      <c r="E4098" t="s">
        <v>8311</v>
      </c>
      <c r="F4098" t="s">
        <v>55</v>
      </c>
      <c r="G4098" t="s">
        <v>8312</v>
      </c>
      <c r="H4098" t="str">
        <f>"00856131"</f>
        <v>00856131</v>
      </c>
      <c r="I4098">
        <v>0</v>
      </c>
      <c r="J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D4098">
        <v>0</v>
      </c>
    </row>
    <row r="4099" spans="1:30" x14ac:dyDescent="0.3">
      <c r="A4099" s="4">
        <v>4121</v>
      </c>
      <c r="B4099" s="5">
        <v>4092</v>
      </c>
      <c r="C4099">
        <v>4799</v>
      </c>
      <c r="D4099" t="s">
        <v>8313</v>
      </c>
      <c r="E4099" t="s">
        <v>6850</v>
      </c>
      <c r="F4099" t="s">
        <v>8314</v>
      </c>
      <c r="G4099">
        <v>650679223</v>
      </c>
      <c r="H4099" t="str">
        <f>"00865245"</f>
        <v>00865245</v>
      </c>
      <c r="I4099">
        <v>0</v>
      </c>
      <c r="J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D4099">
        <v>0</v>
      </c>
    </row>
    <row r="4100" spans="1:30" x14ac:dyDescent="0.3">
      <c r="A4100" s="4">
        <v>4122</v>
      </c>
      <c r="B4100" s="5">
        <v>4093</v>
      </c>
      <c r="C4100">
        <v>2602</v>
      </c>
      <c r="D4100" t="s">
        <v>351</v>
      </c>
      <c r="E4100" t="s">
        <v>454</v>
      </c>
      <c r="F4100" t="s">
        <v>20</v>
      </c>
      <c r="G4100" t="s">
        <v>8315</v>
      </c>
      <c r="H4100" t="str">
        <f>"00865395"</f>
        <v>00865395</v>
      </c>
      <c r="I4100">
        <v>0</v>
      </c>
      <c r="J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D4100">
        <v>0</v>
      </c>
    </row>
    <row r="4101" spans="1:30" x14ac:dyDescent="0.3">
      <c r="A4101" s="4">
        <v>4123</v>
      </c>
      <c r="B4101" s="5">
        <v>4094</v>
      </c>
      <c r="C4101">
        <v>3693</v>
      </c>
      <c r="D4101" t="s">
        <v>6854</v>
      </c>
      <c r="E4101" t="s">
        <v>8316</v>
      </c>
      <c r="F4101" t="s">
        <v>1526</v>
      </c>
      <c r="G4101" t="s">
        <v>8317</v>
      </c>
      <c r="H4101" t="str">
        <f>"00780767"</f>
        <v>00780767</v>
      </c>
      <c r="I4101">
        <v>0</v>
      </c>
      <c r="J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D4101">
        <v>0</v>
      </c>
    </row>
    <row r="4102" spans="1:30" x14ac:dyDescent="0.3">
      <c r="A4102" s="4">
        <v>4124</v>
      </c>
      <c r="B4102" s="5">
        <v>4095</v>
      </c>
      <c r="C4102">
        <v>4586</v>
      </c>
      <c r="D4102" t="s">
        <v>4893</v>
      </c>
      <c r="E4102" t="s">
        <v>161</v>
      </c>
      <c r="F4102" t="s">
        <v>117</v>
      </c>
      <c r="G4102" t="s">
        <v>8318</v>
      </c>
      <c r="H4102" t="str">
        <f>"00422405"</f>
        <v>00422405</v>
      </c>
      <c r="I4102">
        <v>0</v>
      </c>
      <c r="J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D4102">
        <v>0</v>
      </c>
    </row>
    <row r="4103" spans="1:30" x14ac:dyDescent="0.3">
      <c r="A4103" s="4">
        <v>4125</v>
      </c>
      <c r="B4103" s="5">
        <v>4096</v>
      </c>
      <c r="C4103">
        <v>3375</v>
      </c>
      <c r="D4103" t="s">
        <v>6061</v>
      </c>
      <c r="E4103" t="s">
        <v>48</v>
      </c>
      <c r="F4103" t="s">
        <v>30</v>
      </c>
      <c r="G4103" t="s">
        <v>8319</v>
      </c>
      <c r="H4103" t="str">
        <f>"00531956"</f>
        <v>00531956</v>
      </c>
      <c r="I4103">
        <v>0</v>
      </c>
      <c r="J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D4103">
        <v>0</v>
      </c>
    </row>
    <row r="4104" spans="1:30" x14ac:dyDescent="0.3">
      <c r="A4104" s="4">
        <v>4126</v>
      </c>
      <c r="B4104" s="5">
        <v>4097</v>
      </c>
      <c r="C4104">
        <v>2210</v>
      </c>
      <c r="D4104" t="s">
        <v>181</v>
      </c>
      <c r="E4104" t="s">
        <v>335</v>
      </c>
      <c r="F4104" t="s">
        <v>81</v>
      </c>
      <c r="G4104" t="s">
        <v>8320</v>
      </c>
      <c r="H4104" t="str">
        <f>"00855565"</f>
        <v>00855565</v>
      </c>
      <c r="I4104">
        <v>0</v>
      </c>
      <c r="J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D4104">
        <v>0</v>
      </c>
    </row>
    <row r="4105" spans="1:30" x14ac:dyDescent="0.3">
      <c r="A4105" s="4">
        <v>4127</v>
      </c>
      <c r="B4105" s="5">
        <v>4098</v>
      </c>
      <c r="C4105">
        <v>2901</v>
      </c>
      <c r="D4105" t="s">
        <v>8321</v>
      </c>
      <c r="E4105" t="s">
        <v>132</v>
      </c>
      <c r="F4105" t="s">
        <v>6703</v>
      </c>
      <c r="G4105" t="s">
        <v>8322</v>
      </c>
      <c r="H4105" t="str">
        <f>"00861476"</f>
        <v>00861476</v>
      </c>
      <c r="I4105">
        <v>0</v>
      </c>
      <c r="J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D4105">
        <v>0</v>
      </c>
    </row>
    <row r="4106" spans="1:30" x14ac:dyDescent="0.3">
      <c r="A4106" s="4">
        <v>4128</v>
      </c>
      <c r="B4106" s="5">
        <v>4099</v>
      </c>
      <c r="C4106">
        <v>4977</v>
      </c>
      <c r="D4106" t="s">
        <v>8323</v>
      </c>
      <c r="E4106" t="s">
        <v>8324</v>
      </c>
      <c r="F4106" t="s">
        <v>1090</v>
      </c>
      <c r="G4106" t="s">
        <v>8325</v>
      </c>
      <c r="H4106" t="str">
        <f>"00463180"</f>
        <v>00463180</v>
      </c>
      <c r="I4106">
        <v>0</v>
      </c>
      <c r="J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D4106">
        <v>0</v>
      </c>
    </row>
    <row r="4107" spans="1:30" x14ac:dyDescent="0.3">
      <c r="A4107" s="4">
        <v>4129</v>
      </c>
      <c r="B4107" s="5">
        <v>4100</v>
      </c>
      <c r="C4107">
        <v>2237</v>
      </c>
      <c r="D4107" t="s">
        <v>8326</v>
      </c>
      <c r="E4107" t="s">
        <v>88</v>
      </c>
      <c r="F4107" t="s">
        <v>626</v>
      </c>
      <c r="G4107" t="s">
        <v>8327</v>
      </c>
      <c r="H4107" t="str">
        <f>"00860433"</f>
        <v>00860433</v>
      </c>
      <c r="I4107">
        <v>0</v>
      </c>
      <c r="J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D4107">
        <v>0</v>
      </c>
    </row>
    <row r="4108" spans="1:30" x14ac:dyDescent="0.3">
      <c r="A4108" s="4">
        <v>4130</v>
      </c>
      <c r="B4108" s="5">
        <v>4101</v>
      </c>
      <c r="C4108">
        <v>3135</v>
      </c>
      <c r="D4108" t="s">
        <v>8328</v>
      </c>
      <c r="E4108" t="s">
        <v>471</v>
      </c>
      <c r="F4108" t="s">
        <v>81</v>
      </c>
      <c r="G4108" t="s">
        <v>8329</v>
      </c>
      <c r="H4108" t="str">
        <f>"00857131"</f>
        <v>00857131</v>
      </c>
      <c r="I4108">
        <v>0</v>
      </c>
      <c r="J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D4108">
        <v>0</v>
      </c>
    </row>
    <row r="4109" spans="1:30" x14ac:dyDescent="0.3">
      <c r="A4109" s="4">
        <v>4131</v>
      </c>
      <c r="B4109" s="5">
        <v>4102</v>
      </c>
      <c r="C4109">
        <v>128</v>
      </c>
      <c r="D4109" t="s">
        <v>1760</v>
      </c>
      <c r="E4109" t="s">
        <v>789</v>
      </c>
      <c r="F4109" t="s">
        <v>167</v>
      </c>
      <c r="G4109" t="s">
        <v>8330</v>
      </c>
      <c r="H4109" t="str">
        <f>"00751550"</f>
        <v>00751550</v>
      </c>
      <c r="I4109">
        <v>0</v>
      </c>
      <c r="J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D4109">
        <v>0</v>
      </c>
    </row>
    <row r="4110" spans="1:30" x14ac:dyDescent="0.3">
      <c r="A4110" s="4">
        <v>4132</v>
      </c>
      <c r="B4110" s="5">
        <v>4103</v>
      </c>
      <c r="C4110">
        <v>282</v>
      </c>
      <c r="D4110" t="s">
        <v>8331</v>
      </c>
      <c r="E4110" t="s">
        <v>166</v>
      </c>
      <c r="F4110" t="s">
        <v>17</v>
      </c>
      <c r="G4110" t="s">
        <v>8332</v>
      </c>
      <c r="H4110" t="str">
        <f>"00853006"</f>
        <v>00853006</v>
      </c>
      <c r="I4110">
        <v>0</v>
      </c>
      <c r="J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D4110">
        <v>0</v>
      </c>
    </row>
    <row r="4111" spans="1:30" x14ac:dyDescent="0.3">
      <c r="A4111" s="4">
        <v>4133</v>
      </c>
      <c r="B4111" s="5">
        <v>4104</v>
      </c>
      <c r="C4111">
        <v>1747</v>
      </c>
      <c r="D4111" t="s">
        <v>8333</v>
      </c>
      <c r="E4111" t="s">
        <v>41</v>
      </c>
      <c r="F4111" t="s">
        <v>442</v>
      </c>
      <c r="G4111" t="s">
        <v>8334</v>
      </c>
      <c r="H4111" t="str">
        <f>"00559250"</f>
        <v>00559250</v>
      </c>
      <c r="I4111">
        <v>0</v>
      </c>
      <c r="J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D4111">
        <v>0</v>
      </c>
    </row>
    <row r="4112" spans="1:30" x14ac:dyDescent="0.3">
      <c r="A4112" s="4">
        <v>4134</v>
      </c>
      <c r="B4112" s="5">
        <v>4105</v>
      </c>
      <c r="C4112">
        <v>649</v>
      </c>
      <c r="D4112" t="s">
        <v>8128</v>
      </c>
      <c r="E4112" t="s">
        <v>1659</v>
      </c>
      <c r="F4112" t="s">
        <v>17</v>
      </c>
      <c r="G4112" t="s">
        <v>8335</v>
      </c>
      <c r="H4112" t="str">
        <f>"00855831"</f>
        <v>00855831</v>
      </c>
      <c r="I4112">
        <v>0</v>
      </c>
      <c r="J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D4112">
        <v>0</v>
      </c>
    </row>
    <row r="4113" spans="1:30" x14ac:dyDescent="0.3">
      <c r="A4113" s="4">
        <v>4135</v>
      </c>
      <c r="B4113" s="5">
        <v>4106</v>
      </c>
      <c r="C4113">
        <v>4134</v>
      </c>
      <c r="D4113" t="s">
        <v>8336</v>
      </c>
      <c r="E4113" t="s">
        <v>178</v>
      </c>
      <c r="F4113" t="s">
        <v>17</v>
      </c>
      <c r="G4113" t="s">
        <v>8337</v>
      </c>
      <c r="H4113" t="str">
        <f>"00804941"</f>
        <v>00804941</v>
      </c>
      <c r="I4113">
        <v>0</v>
      </c>
      <c r="J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D4113">
        <v>0</v>
      </c>
    </row>
    <row r="4114" spans="1:30" x14ac:dyDescent="0.3">
      <c r="A4114" s="4">
        <v>4136</v>
      </c>
      <c r="B4114" s="5">
        <v>4107</v>
      </c>
      <c r="C4114">
        <v>3674</v>
      </c>
      <c r="D4114" t="s">
        <v>4603</v>
      </c>
      <c r="E4114" t="s">
        <v>29</v>
      </c>
      <c r="F4114" t="s">
        <v>30</v>
      </c>
      <c r="G4114" t="s">
        <v>8338</v>
      </c>
      <c r="H4114" t="str">
        <f>"00753671"</f>
        <v>00753671</v>
      </c>
      <c r="I4114">
        <v>0</v>
      </c>
      <c r="J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D4114">
        <v>0</v>
      </c>
    </row>
    <row r="4115" spans="1:30" x14ac:dyDescent="0.3">
      <c r="A4115" s="4">
        <v>4137</v>
      </c>
      <c r="B4115" s="5">
        <v>4108</v>
      </c>
      <c r="C4115">
        <v>4259</v>
      </c>
      <c r="D4115" t="s">
        <v>165</v>
      </c>
      <c r="E4115" t="s">
        <v>358</v>
      </c>
      <c r="F4115" t="s">
        <v>750</v>
      </c>
      <c r="G4115" t="s">
        <v>8339</v>
      </c>
      <c r="H4115" t="str">
        <f>"00462337"</f>
        <v>00462337</v>
      </c>
      <c r="I4115">
        <v>0</v>
      </c>
      <c r="J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D4115">
        <v>0</v>
      </c>
    </row>
    <row r="4116" spans="1:30" x14ac:dyDescent="0.3">
      <c r="A4116" s="4">
        <v>4138</v>
      </c>
      <c r="B4116" s="5">
        <v>4109</v>
      </c>
      <c r="C4116">
        <v>611</v>
      </c>
      <c r="D4116" t="s">
        <v>8340</v>
      </c>
      <c r="E4116" t="s">
        <v>188</v>
      </c>
      <c r="F4116" t="s">
        <v>1023</v>
      </c>
      <c r="G4116" t="s">
        <v>8341</v>
      </c>
      <c r="H4116" t="str">
        <f>"201209000126"</f>
        <v>201209000126</v>
      </c>
      <c r="I4116">
        <v>0</v>
      </c>
      <c r="J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D4116">
        <v>0</v>
      </c>
    </row>
    <row r="4117" spans="1:30" x14ac:dyDescent="0.3">
      <c r="A4117" s="4">
        <v>4139</v>
      </c>
      <c r="B4117" s="5">
        <v>4110</v>
      </c>
      <c r="C4117">
        <v>3923</v>
      </c>
      <c r="D4117" t="s">
        <v>8342</v>
      </c>
      <c r="E4117" t="s">
        <v>8343</v>
      </c>
      <c r="F4117" t="s">
        <v>8344</v>
      </c>
      <c r="G4117" t="s">
        <v>8345</v>
      </c>
      <c r="H4117" t="str">
        <f>"00533842"</f>
        <v>00533842</v>
      </c>
      <c r="I4117">
        <v>0</v>
      </c>
      <c r="J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D4117">
        <v>0</v>
      </c>
    </row>
    <row r="4118" spans="1:30" x14ac:dyDescent="0.3">
      <c r="A4118" s="4">
        <v>4140</v>
      </c>
      <c r="B4118" s="5">
        <v>4111</v>
      </c>
      <c r="C4118">
        <v>2711</v>
      </c>
      <c r="D4118" t="s">
        <v>8270</v>
      </c>
      <c r="E4118" t="s">
        <v>54</v>
      </c>
      <c r="F4118" t="s">
        <v>20</v>
      </c>
      <c r="G4118" t="s">
        <v>8346</v>
      </c>
      <c r="H4118" t="str">
        <f>"00504794"</f>
        <v>00504794</v>
      </c>
      <c r="I4118">
        <v>0</v>
      </c>
      <c r="J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D4118">
        <v>0</v>
      </c>
    </row>
    <row r="4119" spans="1:30" x14ac:dyDescent="0.3">
      <c r="A4119" s="4">
        <v>4141</v>
      </c>
      <c r="B4119" s="5">
        <v>4112</v>
      </c>
      <c r="C4119">
        <v>1351</v>
      </c>
      <c r="D4119" t="s">
        <v>8347</v>
      </c>
      <c r="E4119" t="s">
        <v>8348</v>
      </c>
      <c r="F4119" t="s">
        <v>17</v>
      </c>
      <c r="G4119" t="s">
        <v>8349</v>
      </c>
      <c r="H4119" t="str">
        <f>"00857087"</f>
        <v>00857087</v>
      </c>
      <c r="I4119">
        <v>0</v>
      </c>
      <c r="J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D4119">
        <v>0</v>
      </c>
    </row>
    <row r="4120" spans="1:30" x14ac:dyDescent="0.3">
      <c r="A4120" s="4">
        <v>4142</v>
      </c>
      <c r="B4120" s="5">
        <v>4113</v>
      </c>
      <c r="C4120">
        <v>4534</v>
      </c>
      <c r="D4120" t="s">
        <v>7664</v>
      </c>
      <c r="E4120" t="s">
        <v>170</v>
      </c>
      <c r="F4120" t="s">
        <v>68</v>
      </c>
      <c r="G4120" t="s">
        <v>8350</v>
      </c>
      <c r="H4120" t="str">
        <f>"00861731"</f>
        <v>00861731</v>
      </c>
      <c r="I4120">
        <v>0</v>
      </c>
      <c r="J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D4120">
        <v>0</v>
      </c>
    </row>
    <row r="4121" spans="1:30" x14ac:dyDescent="0.3">
      <c r="A4121" s="4">
        <v>4143</v>
      </c>
      <c r="B4121" s="5">
        <v>4114</v>
      </c>
      <c r="C4121">
        <v>3685</v>
      </c>
      <c r="D4121" t="s">
        <v>8351</v>
      </c>
      <c r="E4121" t="s">
        <v>48</v>
      </c>
      <c r="F4121" t="s">
        <v>20</v>
      </c>
      <c r="G4121" t="s">
        <v>8352</v>
      </c>
      <c r="H4121" t="str">
        <f>"00859450"</f>
        <v>00859450</v>
      </c>
      <c r="I4121">
        <v>0</v>
      </c>
      <c r="J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D4121">
        <v>0</v>
      </c>
    </row>
    <row r="4122" spans="1:30" x14ac:dyDescent="0.3">
      <c r="A4122" s="4">
        <v>4144</v>
      </c>
      <c r="B4122" s="5">
        <v>4115</v>
      </c>
      <c r="C4122">
        <v>564</v>
      </c>
      <c r="D4122" t="s">
        <v>8353</v>
      </c>
      <c r="E4122" t="s">
        <v>33</v>
      </c>
      <c r="F4122" t="s">
        <v>38</v>
      </c>
      <c r="G4122" t="s">
        <v>8354</v>
      </c>
      <c r="H4122" t="str">
        <f>"00530991"</f>
        <v>00530991</v>
      </c>
      <c r="I4122">
        <v>0</v>
      </c>
      <c r="J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D4122">
        <v>0</v>
      </c>
    </row>
    <row r="4123" spans="1:30" x14ac:dyDescent="0.3">
      <c r="A4123" s="4">
        <v>4145</v>
      </c>
      <c r="B4123" s="5">
        <v>4116</v>
      </c>
      <c r="C4123">
        <v>4114</v>
      </c>
      <c r="D4123" t="s">
        <v>3856</v>
      </c>
      <c r="E4123" t="s">
        <v>789</v>
      </c>
      <c r="F4123" t="s">
        <v>117</v>
      </c>
      <c r="G4123" t="s">
        <v>8355</v>
      </c>
      <c r="H4123" t="str">
        <f>"00861344"</f>
        <v>00861344</v>
      </c>
      <c r="I4123">
        <v>0</v>
      </c>
      <c r="J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D4123">
        <v>0</v>
      </c>
    </row>
    <row r="4125" spans="1:30" x14ac:dyDescent="0.3">
      <c r="A4125" s="3" t="s">
        <v>8356</v>
      </c>
    </row>
    <row r="4126" spans="1:30" x14ac:dyDescent="0.3">
      <c r="A4126" s="3" t="s">
        <v>8357</v>
      </c>
    </row>
    <row r="4127" spans="1:30" x14ac:dyDescent="0.3">
      <c r="A4127" s="3" t="s">
        <v>8358</v>
      </c>
    </row>
    <row r="4128" spans="1:30" x14ac:dyDescent="0.3">
      <c r="A4128" s="3" t="s">
        <v>8359</v>
      </c>
    </row>
    <row r="4129" spans="1:30" x14ac:dyDescent="0.3">
      <c r="A4129" s="3" t="s">
        <v>8360</v>
      </c>
    </row>
    <row r="4130" spans="1:30" x14ac:dyDescent="0.3">
      <c r="A4130" s="3" t="s">
        <v>8361</v>
      </c>
    </row>
    <row r="4131" spans="1:30" x14ac:dyDescent="0.3">
      <c r="A4131" s="3" t="s">
        <v>8362</v>
      </c>
    </row>
    <row r="4132" spans="1:30" s="4" customFormat="1" x14ac:dyDescent="0.3">
      <c r="A4132" s="3" t="s">
        <v>8363</v>
      </c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</row>
    <row r="4133" spans="1:30" s="4" customFormat="1" x14ac:dyDescent="0.3">
      <c r="A4133" s="3" t="s">
        <v>8364</v>
      </c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</row>
    <row r="4134" spans="1:30" s="4" customFormat="1" x14ac:dyDescent="0.3">
      <c r="A4134" s="3" t="s">
        <v>8365</v>
      </c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</row>
    <row r="4135" spans="1:30" s="4" customFormat="1" x14ac:dyDescent="0.3">
      <c r="A4135" s="3" t="s">
        <v>8366</v>
      </c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</row>
    <row r="4136" spans="1:30" s="4" customFormat="1" x14ac:dyDescent="0.3">
      <c r="A4136" s="3" t="s">
        <v>8367</v>
      </c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</row>
    <row r="4137" spans="1:30" s="4" customFormat="1" x14ac:dyDescent="0.3">
      <c r="A4137" s="3" t="s">
        <v>8368</v>
      </c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</row>
    <row r="4138" spans="1:30" s="4" customFormat="1" x14ac:dyDescent="0.3">
      <c r="A4138" s="3" t="s">
        <v>8369</v>
      </c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</row>
    <row r="4139" spans="1:30" s="4" customFormat="1" x14ac:dyDescent="0.3">
      <c r="A4139" s="3" t="s">
        <v>8370</v>
      </c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</row>
    <row r="4140" spans="1:30" s="4" customFormat="1" x14ac:dyDescent="0.3">
      <c r="A4140" s="3" t="s">
        <v>8371</v>
      </c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</row>
    <row r="4141" spans="1:30" s="4" customFormat="1" x14ac:dyDescent="0.3">
      <c r="A4141" s="3" t="s">
        <v>8372</v>
      </c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</row>
    <row r="4142" spans="1:30" s="4" customFormat="1" x14ac:dyDescent="0.3">
      <c r="A4142" s="3" t="s">
        <v>8373</v>
      </c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</row>
    <row r="4143" spans="1:30" s="4" customFormat="1" x14ac:dyDescent="0.3">
      <c r="A4143" s="3" t="s">
        <v>8374</v>
      </c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</row>
    <row r="4144" spans="1:30" s="4" customFormat="1" x14ac:dyDescent="0.3">
      <c r="A4144" s="3" t="s">
        <v>8375</v>
      </c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</row>
    <row r="4145" spans="1:30" s="4" customFormat="1" x14ac:dyDescent="0.3">
      <c r="A4145" s="3" t="s">
        <v>8376</v>
      </c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</row>
    <row r="4146" spans="1:30" s="4" customFormat="1" x14ac:dyDescent="0.3">
      <c r="A4146" s="3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</row>
    <row r="4147" spans="1:30" s="4" customFormat="1" x14ac:dyDescent="0.3">
      <c r="A4147" s="3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</row>
    <row r="4148" spans="1:30" s="4" customFormat="1" x14ac:dyDescent="0.3">
      <c r="A4148" s="3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</row>
    <row r="4149" spans="1:30" s="4" customFormat="1" x14ac:dyDescent="0.3">
      <c r="A4149" s="3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</row>
    <row r="4150" spans="1:30" s="4" customFormat="1" x14ac:dyDescent="0.3">
      <c r="A4150" s="3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</row>
    <row r="4151" spans="1:30" s="4" customFormat="1" x14ac:dyDescent="0.3">
      <c r="A4151" s="3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</row>
    <row r="4152" spans="1:30" s="4" customFormat="1" x14ac:dyDescent="0.3">
      <c r="A4152" s="3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</row>
    <row r="4153" spans="1:30" s="4" customFormat="1" x14ac:dyDescent="0.3">
      <c r="A4153" s="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Φύλλο21"/>
  <dimension ref="A1:AF44"/>
  <sheetViews>
    <sheetView workbookViewId="0">
      <selection activeCell="A8" sqref="A8:AF14"/>
    </sheetView>
  </sheetViews>
  <sheetFormatPr defaultRowHeight="14.4" x14ac:dyDescent="0.3"/>
  <cols>
    <col min="1" max="2" width="9.109375" style="4"/>
    <col min="3" max="3" width="5.109375" customWidth="1"/>
    <col min="4" max="4" width="14.5546875" bestFit="1" customWidth="1"/>
    <col min="5" max="5" width="11" bestFit="1" customWidth="1"/>
    <col min="6" max="6" width="15.332031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30638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1545</v>
      </c>
      <c r="D8" t="s">
        <v>30639</v>
      </c>
      <c r="E8" t="s">
        <v>97</v>
      </c>
      <c r="F8" t="s">
        <v>193</v>
      </c>
      <c r="G8" t="s">
        <v>30640</v>
      </c>
      <c r="H8">
        <v>51</v>
      </c>
      <c r="I8">
        <v>10</v>
      </c>
      <c r="J8">
        <v>20</v>
      </c>
      <c r="M8">
        <v>20</v>
      </c>
      <c r="N8">
        <v>20</v>
      </c>
      <c r="O8">
        <v>10</v>
      </c>
      <c r="P8">
        <v>111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 t="s">
        <v>130</v>
      </c>
      <c r="AF8">
        <v>117</v>
      </c>
    </row>
    <row r="9" spans="1:32" x14ac:dyDescent="0.3">
      <c r="A9" s="4">
        <v>2</v>
      </c>
      <c r="B9" s="5">
        <v>2</v>
      </c>
      <c r="C9">
        <v>11</v>
      </c>
      <c r="D9" t="s">
        <v>21192</v>
      </c>
      <c r="E9" t="s">
        <v>8622</v>
      </c>
      <c r="F9" t="s">
        <v>136</v>
      </c>
      <c r="G9" t="s">
        <v>30641</v>
      </c>
      <c r="H9">
        <v>58.2</v>
      </c>
      <c r="I9">
        <v>0</v>
      </c>
      <c r="J9">
        <v>20</v>
      </c>
      <c r="M9">
        <v>20</v>
      </c>
      <c r="N9">
        <v>20</v>
      </c>
      <c r="O9">
        <v>10</v>
      </c>
      <c r="P9">
        <v>108.2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D9" t="s">
        <v>130</v>
      </c>
      <c r="AF9">
        <v>114.2</v>
      </c>
    </row>
    <row r="10" spans="1:32" x14ac:dyDescent="0.3">
      <c r="A10" s="4">
        <v>3</v>
      </c>
      <c r="B10" s="5">
        <v>3</v>
      </c>
      <c r="C10">
        <v>1642</v>
      </c>
      <c r="D10" t="s">
        <v>30642</v>
      </c>
      <c r="E10" t="s">
        <v>9325</v>
      </c>
      <c r="F10" t="s">
        <v>17</v>
      </c>
      <c r="G10" t="s">
        <v>30643</v>
      </c>
      <c r="H10">
        <v>41.34</v>
      </c>
      <c r="I10">
        <v>0</v>
      </c>
      <c r="M10">
        <v>0</v>
      </c>
      <c r="N10">
        <v>20</v>
      </c>
      <c r="O10">
        <v>10</v>
      </c>
      <c r="P10">
        <v>71.34</v>
      </c>
      <c r="Q10">
        <v>30</v>
      </c>
      <c r="R10">
        <v>30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30</v>
      </c>
      <c r="Z10">
        <v>0</v>
      </c>
      <c r="AA10">
        <v>0</v>
      </c>
      <c r="AD10" t="s">
        <v>130</v>
      </c>
      <c r="AF10">
        <v>101.34</v>
      </c>
    </row>
    <row r="11" spans="1:32" x14ac:dyDescent="0.3">
      <c r="A11" s="4">
        <v>4</v>
      </c>
      <c r="B11" s="5">
        <v>4</v>
      </c>
      <c r="C11">
        <v>1762</v>
      </c>
      <c r="D11" t="s">
        <v>16525</v>
      </c>
      <c r="E11" t="s">
        <v>161</v>
      </c>
      <c r="F11" t="s">
        <v>124</v>
      </c>
      <c r="G11" t="s">
        <v>30644</v>
      </c>
      <c r="H11">
        <v>45</v>
      </c>
      <c r="I11">
        <v>0</v>
      </c>
      <c r="J11">
        <v>40</v>
      </c>
      <c r="M11">
        <v>20</v>
      </c>
      <c r="N11">
        <v>20</v>
      </c>
      <c r="O11">
        <v>10</v>
      </c>
      <c r="P11">
        <v>95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t="s">
        <v>130</v>
      </c>
      <c r="AD11" t="s">
        <v>130</v>
      </c>
      <c r="AF11">
        <v>95</v>
      </c>
    </row>
    <row r="12" spans="1:32" x14ac:dyDescent="0.3">
      <c r="A12" s="4">
        <v>5</v>
      </c>
      <c r="B12" s="5">
        <v>5</v>
      </c>
      <c r="C12">
        <v>447</v>
      </c>
      <c r="D12" t="s">
        <v>30645</v>
      </c>
      <c r="E12" t="s">
        <v>19888</v>
      </c>
      <c r="F12" t="s">
        <v>81</v>
      </c>
      <c r="G12" t="s">
        <v>30646</v>
      </c>
      <c r="H12">
        <v>56.4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106.4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F12">
        <v>106.4</v>
      </c>
    </row>
    <row r="13" spans="1:32" x14ac:dyDescent="0.3">
      <c r="A13" s="4">
        <v>6</v>
      </c>
      <c r="B13" s="5">
        <v>6</v>
      </c>
      <c r="C13">
        <v>666</v>
      </c>
      <c r="D13" t="s">
        <v>30647</v>
      </c>
      <c r="E13" t="s">
        <v>964</v>
      </c>
      <c r="F13" t="s">
        <v>20</v>
      </c>
      <c r="G13" t="s">
        <v>30648</v>
      </c>
      <c r="H13">
        <v>50.4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100.4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F13">
        <v>100.4</v>
      </c>
    </row>
    <row r="14" spans="1:32" x14ac:dyDescent="0.3">
      <c r="A14" s="4">
        <v>7</v>
      </c>
      <c r="B14" s="5">
        <v>7</v>
      </c>
      <c r="C14">
        <v>865</v>
      </c>
      <c r="D14" t="s">
        <v>6587</v>
      </c>
      <c r="E14" t="s">
        <v>219</v>
      </c>
      <c r="F14" t="s">
        <v>38</v>
      </c>
      <c r="G14" t="s">
        <v>30649</v>
      </c>
      <c r="H14">
        <v>57.3</v>
      </c>
      <c r="I14">
        <v>0</v>
      </c>
      <c r="L14">
        <v>10</v>
      </c>
      <c r="M14">
        <v>10</v>
      </c>
      <c r="N14">
        <v>20</v>
      </c>
      <c r="O14">
        <v>10</v>
      </c>
      <c r="P14">
        <v>97.3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3</v>
      </c>
      <c r="AA14">
        <v>0</v>
      </c>
      <c r="AF14">
        <v>100.3</v>
      </c>
    </row>
    <row r="16" spans="1:32" x14ac:dyDescent="0.3">
      <c r="A16" s="3" t="s">
        <v>8356</v>
      </c>
    </row>
    <row r="17" spans="1:1" x14ac:dyDescent="0.3">
      <c r="A17" s="3" t="s">
        <v>30528</v>
      </c>
    </row>
    <row r="18" spans="1:1" x14ac:dyDescent="0.3">
      <c r="A18" s="3" t="s">
        <v>30529</v>
      </c>
    </row>
    <row r="19" spans="1:1" x14ac:dyDescent="0.3">
      <c r="A19" s="3" t="s">
        <v>30530</v>
      </c>
    </row>
    <row r="20" spans="1:1" x14ac:dyDescent="0.3">
      <c r="A20" s="3" t="s">
        <v>30531</v>
      </c>
    </row>
    <row r="21" spans="1:1" x14ac:dyDescent="0.3">
      <c r="A21" s="3" t="s">
        <v>30532</v>
      </c>
    </row>
    <row r="22" spans="1:1" x14ac:dyDescent="0.3">
      <c r="A22" s="3" t="s">
        <v>30533</v>
      </c>
    </row>
    <row r="23" spans="1:1" x14ac:dyDescent="0.3">
      <c r="A23" s="3" t="s">
        <v>30534</v>
      </c>
    </row>
    <row r="24" spans="1:1" x14ac:dyDescent="0.3">
      <c r="A24" s="3" t="s">
        <v>30535</v>
      </c>
    </row>
    <row r="25" spans="1:1" x14ac:dyDescent="0.3">
      <c r="A25" s="3" t="s">
        <v>8365</v>
      </c>
    </row>
    <row r="26" spans="1:1" x14ac:dyDescent="0.3">
      <c r="A26" s="3" t="s">
        <v>8366</v>
      </c>
    </row>
    <row r="27" spans="1:1" x14ac:dyDescent="0.3">
      <c r="A27" s="3" t="s">
        <v>30536</v>
      </c>
    </row>
    <row r="28" spans="1:1" x14ac:dyDescent="0.3">
      <c r="A28" s="3" t="s">
        <v>30537</v>
      </c>
    </row>
    <row r="29" spans="1:1" x14ac:dyDescent="0.3">
      <c r="A29" s="3" t="s">
        <v>30538</v>
      </c>
    </row>
    <row r="30" spans="1:1" x14ac:dyDescent="0.3">
      <c r="A30" s="3" t="s">
        <v>30539</v>
      </c>
    </row>
    <row r="31" spans="1:1" x14ac:dyDescent="0.3">
      <c r="A31" s="3" t="s">
        <v>30540</v>
      </c>
    </row>
    <row r="32" spans="1:1" x14ac:dyDescent="0.3">
      <c r="A32" s="3" t="s">
        <v>30541</v>
      </c>
    </row>
    <row r="33" spans="1:1" x14ac:dyDescent="0.3">
      <c r="A33" s="3" t="s">
        <v>30542</v>
      </c>
    </row>
    <row r="34" spans="1:1" x14ac:dyDescent="0.3">
      <c r="A34" s="3" t="s">
        <v>30543</v>
      </c>
    </row>
    <row r="35" spans="1:1" x14ac:dyDescent="0.3">
      <c r="A35" s="3" t="s">
        <v>30544</v>
      </c>
    </row>
    <row r="36" spans="1:1" x14ac:dyDescent="0.3">
      <c r="A36" s="3" t="s">
        <v>30545</v>
      </c>
    </row>
    <row r="37" spans="1:1" x14ac:dyDescent="0.3">
      <c r="A37" s="3" t="s">
        <v>30546</v>
      </c>
    </row>
    <row r="38" spans="1:1" x14ac:dyDescent="0.3">
      <c r="A38" s="3" t="s">
        <v>30547</v>
      </c>
    </row>
    <row r="39" spans="1:1" x14ac:dyDescent="0.3">
      <c r="A39" s="3" t="s">
        <v>30548</v>
      </c>
    </row>
    <row r="40" spans="1:1" x14ac:dyDescent="0.3">
      <c r="A40" s="3"/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Φύλλο22"/>
  <dimension ref="A1:AF47"/>
  <sheetViews>
    <sheetView workbookViewId="0">
      <selection activeCell="A8" sqref="A8:AF18"/>
    </sheetView>
  </sheetViews>
  <sheetFormatPr defaultRowHeight="14.4" x14ac:dyDescent="0.3"/>
  <cols>
    <col min="1" max="2" width="9.109375" style="4"/>
    <col min="3" max="3" width="5.109375" customWidth="1"/>
    <col min="4" max="4" width="15.88671875" bestFit="1" customWidth="1"/>
    <col min="5" max="5" width="22.5546875" bestFit="1" customWidth="1"/>
    <col min="6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30650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972</v>
      </c>
      <c r="D8" t="s">
        <v>1296</v>
      </c>
      <c r="E8" t="s">
        <v>136</v>
      </c>
      <c r="F8" t="s">
        <v>26104</v>
      </c>
      <c r="G8" t="s">
        <v>30651</v>
      </c>
      <c r="H8">
        <v>54.84</v>
      </c>
      <c r="I8">
        <v>0</v>
      </c>
      <c r="M8">
        <v>0</v>
      </c>
      <c r="N8">
        <v>20</v>
      </c>
      <c r="O8">
        <v>10</v>
      </c>
      <c r="P8">
        <v>84.84</v>
      </c>
      <c r="Q8">
        <v>45</v>
      </c>
      <c r="R8">
        <v>45</v>
      </c>
      <c r="S8">
        <v>0</v>
      </c>
      <c r="T8">
        <v>0</v>
      </c>
      <c r="U8">
        <v>6</v>
      </c>
      <c r="V8">
        <v>9</v>
      </c>
      <c r="W8">
        <v>0</v>
      </c>
      <c r="X8">
        <v>0</v>
      </c>
      <c r="Y8">
        <v>54</v>
      </c>
      <c r="Z8">
        <v>6</v>
      </c>
      <c r="AA8">
        <v>0</v>
      </c>
      <c r="AD8" t="s">
        <v>130</v>
      </c>
      <c r="AF8">
        <v>144.84</v>
      </c>
    </row>
    <row r="9" spans="1:32" x14ac:dyDescent="0.3">
      <c r="A9" s="4">
        <v>2</v>
      </c>
      <c r="B9" s="5">
        <v>2</v>
      </c>
      <c r="C9">
        <v>184</v>
      </c>
      <c r="D9" t="s">
        <v>30652</v>
      </c>
      <c r="E9" t="s">
        <v>1526</v>
      </c>
      <c r="F9" t="s">
        <v>17</v>
      </c>
      <c r="G9" t="s">
        <v>30653</v>
      </c>
      <c r="H9">
        <v>48</v>
      </c>
      <c r="I9">
        <v>0</v>
      </c>
      <c r="J9">
        <v>20</v>
      </c>
      <c r="M9">
        <v>20</v>
      </c>
      <c r="N9">
        <v>20</v>
      </c>
      <c r="O9">
        <v>10</v>
      </c>
      <c r="P9">
        <v>98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12</v>
      </c>
      <c r="AA9">
        <v>0</v>
      </c>
      <c r="AD9" t="s">
        <v>130</v>
      </c>
      <c r="AF9">
        <v>110</v>
      </c>
    </row>
    <row r="10" spans="1:32" x14ac:dyDescent="0.3">
      <c r="A10" s="4">
        <v>3</v>
      </c>
      <c r="B10" s="5">
        <v>3</v>
      </c>
      <c r="C10">
        <v>281</v>
      </c>
      <c r="D10" t="s">
        <v>521</v>
      </c>
      <c r="E10" t="s">
        <v>30654</v>
      </c>
      <c r="F10" t="s">
        <v>570</v>
      </c>
      <c r="G10" t="s">
        <v>30655</v>
      </c>
      <c r="H10">
        <v>54.9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104.9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D10" t="s">
        <v>130</v>
      </c>
      <c r="AF10">
        <v>104.9</v>
      </c>
    </row>
    <row r="11" spans="1:32" x14ac:dyDescent="0.3">
      <c r="A11" s="4">
        <v>4</v>
      </c>
      <c r="B11" s="5">
        <v>4</v>
      </c>
      <c r="C11">
        <v>1586</v>
      </c>
      <c r="D11" t="s">
        <v>1449</v>
      </c>
      <c r="E11" t="s">
        <v>81</v>
      </c>
      <c r="F11" t="s">
        <v>17</v>
      </c>
      <c r="G11" t="s">
        <v>30656</v>
      </c>
      <c r="H11">
        <v>56.7</v>
      </c>
      <c r="I11">
        <v>0</v>
      </c>
      <c r="L11">
        <v>10</v>
      </c>
      <c r="M11">
        <v>10</v>
      </c>
      <c r="N11">
        <v>20</v>
      </c>
      <c r="O11">
        <v>10</v>
      </c>
      <c r="P11">
        <v>96.7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D11" t="s">
        <v>130</v>
      </c>
      <c r="AF11">
        <v>102.7</v>
      </c>
    </row>
    <row r="12" spans="1:32" x14ac:dyDescent="0.3">
      <c r="A12" s="4">
        <v>5</v>
      </c>
      <c r="B12" s="5">
        <v>5</v>
      </c>
      <c r="C12">
        <v>131</v>
      </c>
      <c r="D12" t="s">
        <v>30657</v>
      </c>
      <c r="E12" t="s">
        <v>20</v>
      </c>
      <c r="F12" t="s">
        <v>17</v>
      </c>
      <c r="G12" t="s">
        <v>30658</v>
      </c>
      <c r="H12">
        <v>59.1</v>
      </c>
      <c r="I12">
        <v>0</v>
      </c>
      <c r="L12">
        <v>10</v>
      </c>
      <c r="M12">
        <v>10</v>
      </c>
      <c r="N12">
        <v>20</v>
      </c>
      <c r="O12">
        <v>10</v>
      </c>
      <c r="P12">
        <v>99.1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D12" t="s">
        <v>130</v>
      </c>
      <c r="AF12">
        <v>102.1</v>
      </c>
    </row>
    <row r="13" spans="1:32" x14ac:dyDescent="0.3">
      <c r="A13" s="4">
        <v>7</v>
      </c>
      <c r="B13" s="5">
        <v>6</v>
      </c>
      <c r="C13">
        <v>262</v>
      </c>
      <c r="D13" t="s">
        <v>8487</v>
      </c>
      <c r="E13" t="s">
        <v>38</v>
      </c>
      <c r="F13" t="s">
        <v>81</v>
      </c>
      <c r="G13" t="s">
        <v>8488</v>
      </c>
      <c r="H13">
        <v>50.7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90.7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90.7</v>
      </c>
    </row>
    <row r="14" spans="1:32" x14ac:dyDescent="0.3">
      <c r="A14" s="4">
        <v>8</v>
      </c>
      <c r="B14" s="5">
        <v>7</v>
      </c>
      <c r="C14">
        <v>361</v>
      </c>
      <c r="D14" t="s">
        <v>20736</v>
      </c>
      <c r="E14" t="s">
        <v>81</v>
      </c>
      <c r="F14" t="s">
        <v>190</v>
      </c>
      <c r="G14" t="s">
        <v>30659</v>
      </c>
      <c r="H14">
        <v>52.98</v>
      </c>
      <c r="I14">
        <v>0</v>
      </c>
      <c r="J14">
        <v>20</v>
      </c>
      <c r="M14">
        <v>20</v>
      </c>
      <c r="N14">
        <v>20</v>
      </c>
      <c r="O14">
        <v>10</v>
      </c>
      <c r="P14">
        <v>102.98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F14">
        <v>102.98</v>
      </c>
    </row>
    <row r="15" spans="1:32" x14ac:dyDescent="0.3">
      <c r="A15" s="4">
        <v>9</v>
      </c>
      <c r="B15" s="5">
        <v>8</v>
      </c>
      <c r="C15">
        <v>270</v>
      </c>
      <c r="D15" t="s">
        <v>30660</v>
      </c>
      <c r="E15" t="s">
        <v>20</v>
      </c>
      <c r="F15" t="s">
        <v>136</v>
      </c>
      <c r="G15" t="s">
        <v>30661</v>
      </c>
      <c r="H15">
        <v>54</v>
      </c>
      <c r="I15">
        <v>0</v>
      </c>
      <c r="L15">
        <v>10</v>
      </c>
      <c r="M15">
        <v>10</v>
      </c>
      <c r="N15">
        <v>20</v>
      </c>
      <c r="O15">
        <v>10</v>
      </c>
      <c r="P15">
        <v>94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F15">
        <v>94</v>
      </c>
    </row>
    <row r="16" spans="1:32" x14ac:dyDescent="0.3">
      <c r="A16" s="4">
        <v>10</v>
      </c>
      <c r="B16" s="5">
        <v>9</v>
      </c>
      <c r="C16">
        <v>587</v>
      </c>
      <c r="D16" t="s">
        <v>30662</v>
      </c>
      <c r="E16" t="s">
        <v>158</v>
      </c>
      <c r="F16" t="s">
        <v>124</v>
      </c>
      <c r="G16" t="s">
        <v>30663</v>
      </c>
      <c r="H16">
        <v>36.6</v>
      </c>
      <c r="I16">
        <v>0</v>
      </c>
      <c r="J16">
        <v>20</v>
      </c>
      <c r="M16">
        <v>20</v>
      </c>
      <c r="N16">
        <v>20</v>
      </c>
      <c r="O16">
        <v>10</v>
      </c>
      <c r="P16">
        <v>86.6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3</v>
      </c>
      <c r="AA16">
        <v>0</v>
      </c>
      <c r="AF16">
        <v>89.6</v>
      </c>
    </row>
    <row r="17" spans="1:32" x14ac:dyDescent="0.3">
      <c r="A17" s="4">
        <v>11</v>
      </c>
      <c r="B17" s="5">
        <v>10</v>
      </c>
      <c r="C17">
        <v>394</v>
      </c>
      <c r="D17" t="s">
        <v>30664</v>
      </c>
      <c r="E17" t="s">
        <v>539</v>
      </c>
      <c r="F17" t="s">
        <v>68</v>
      </c>
      <c r="G17" t="s">
        <v>30665</v>
      </c>
      <c r="H17">
        <v>49.5</v>
      </c>
      <c r="I17">
        <v>0</v>
      </c>
      <c r="M17">
        <v>0</v>
      </c>
      <c r="N17">
        <v>20</v>
      </c>
      <c r="O17">
        <v>10</v>
      </c>
      <c r="P17">
        <v>79.5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3</v>
      </c>
      <c r="AA17">
        <v>0</v>
      </c>
      <c r="AF17">
        <v>82.5</v>
      </c>
    </row>
    <row r="19" spans="1:32" x14ac:dyDescent="0.3">
      <c r="A19" s="3" t="s">
        <v>8356</v>
      </c>
    </row>
    <row r="20" spans="1:32" x14ac:dyDescent="0.3">
      <c r="A20" s="3" t="s">
        <v>30528</v>
      </c>
    </row>
    <row r="21" spans="1:32" x14ac:dyDescent="0.3">
      <c r="A21" s="3" t="s">
        <v>30529</v>
      </c>
    </row>
    <row r="22" spans="1:32" x14ac:dyDescent="0.3">
      <c r="A22" s="3" t="s">
        <v>30530</v>
      </c>
    </row>
    <row r="23" spans="1:32" x14ac:dyDescent="0.3">
      <c r="A23" s="3" t="s">
        <v>30531</v>
      </c>
    </row>
    <row r="24" spans="1:32" x14ac:dyDescent="0.3">
      <c r="A24" s="3" t="s">
        <v>30532</v>
      </c>
    </row>
    <row r="25" spans="1:32" x14ac:dyDescent="0.3">
      <c r="A25" s="3" t="s">
        <v>30533</v>
      </c>
    </row>
    <row r="26" spans="1:32" x14ac:dyDescent="0.3">
      <c r="A26" s="3" t="s">
        <v>30534</v>
      </c>
    </row>
    <row r="27" spans="1:32" x14ac:dyDescent="0.3">
      <c r="A27" s="3" t="s">
        <v>30535</v>
      </c>
    </row>
    <row r="28" spans="1:32" x14ac:dyDescent="0.3">
      <c r="A28" s="3" t="s">
        <v>8365</v>
      </c>
    </row>
    <row r="29" spans="1:32" x14ac:dyDescent="0.3">
      <c r="A29" s="3" t="s">
        <v>8366</v>
      </c>
    </row>
    <row r="30" spans="1:32" x14ac:dyDescent="0.3">
      <c r="A30" s="3" t="s">
        <v>30536</v>
      </c>
    </row>
    <row r="31" spans="1:32" x14ac:dyDescent="0.3">
      <c r="A31" s="3" t="s">
        <v>30537</v>
      </c>
    </row>
    <row r="32" spans="1:32" s="4" customFormat="1" x14ac:dyDescent="0.3">
      <c r="A32" s="3" t="s">
        <v>30538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30539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30540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30541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30542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30543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30544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30545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30546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30547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30548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Φύλλο23"/>
  <dimension ref="A1:AF40"/>
  <sheetViews>
    <sheetView workbookViewId="0">
      <selection activeCell="A8" sqref="A8:AF10"/>
    </sheetView>
  </sheetViews>
  <sheetFormatPr defaultRowHeight="14.4" x14ac:dyDescent="0.3"/>
  <cols>
    <col min="1" max="2" width="9.109375" style="4"/>
    <col min="3" max="3" width="5.109375" customWidth="1"/>
    <col min="4" max="4" width="13.33203125" bestFit="1" customWidth="1"/>
    <col min="5" max="5" width="11.5546875" bestFit="1" customWidth="1"/>
    <col min="6" max="6" width="12.66406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30666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1179</v>
      </c>
      <c r="D8" t="s">
        <v>30667</v>
      </c>
      <c r="E8" t="s">
        <v>136</v>
      </c>
      <c r="F8" t="s">
        <v>1450</v>
      </c>
      <c r="G8" t="s">
        <v>30668</v>
      </c>
      <c r="H8">
        <v>60</v>
      </c>
      <c r="I8">
        <v>0</v>
      </c>
      <c r="J8">
        <v>20</v>
      </c>
      <c r="M8">
        <v>20</v>
      </c>
      <c r="N8">
        <v>20</v>
      </c>
      <c r="O8">
        <v>10</v>
      </c>
      <c r="P8">
        <v>110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t="s">
        <v>130</v>
      </c>
      <c r="AD8" t="s">
        <v>130</v>
      </c>
      <c r="AF8">
        <v>110</v>
      </c>
    </row>
    <row r="9" spans="1:32" x14ac:dyDescent="0.3">
      <c r="A9" s="4">
        <v>2</v>
      </c>
      <c r="B9" s="5">
        <v>2</v>
      </c>
      <c r="C9">
        <v>1425</v>
      </c>
      <c r="D9" t="s">
        <v>1449</v>
      </c>
      <c r="E9" t="s">
        <v>20</v>
      </c>
      <c r="F9" t="s">
        <v>892</v>
      </c>
      <c r="G9" t="s">
        <v>30669</v>
      </c>
      <c r="H9">
        <v>60</v>
      </c>
      <c r="I9">
        <v>0</v>
      </c>
      <c r="L9">
        <v>10</v>
      </c>
      <c r="M9">
        <v>10</v>
      </c>
      <c r="N9">
        <v>20</v>
      </c>
      <c r="O9">
        <v>10</v>
      </c>
      <c r="P9">
        <v>100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D9" t="s">
        <v>130</v>
      </c>
      <c r="AF9">
        <v>100</v>
      </c>
    </row>
    <row r="10" spans="1:32" x14ac:dyDescent="0.3">
      <c r="A10" s="4">
        <v>3</v>
      </c>
      <c r="B10" s="5">
        <v>3</v>
      </c>
      <c r="C10">
        <v>1246</v>
      </c>
      <c r="D10" t="s">
        <v>30670</v>
      </c>
      <c r="E10" t="s">
        <v>38</v>
      </c>
      <c r="F10" t="s">
        <v>972</v>
      </c>
      <c r="G10" t="s">
        <v>30671</v>
      </c>
      <c r="H10">
        <v>35.25</v>
      </c>
      <c r="I10">
        <v>0</v>
      </c>
      <c r="J10">
        <v>20</v>
      </c>
      <c r="M10">
        <v>20</v>
      </c>
      <c r="N10">
        <v>20</v>
      </c>
      <c r="O10">
        <v>10</v>
      </c>
      <c r="P10">
        <v>85.25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9</v>
      </c>
      <c r="AA10">
        <v>0</v>
      </c>
      <c r="AD10" t="s">
        <v>130</v>
      </c>
      <c r="AF10">
        <v>94.25</v>
      </c>
    </row>
    <row r="12" spans="1:32" x14ac:dyDescent="0.3">
      <c r="A12" s="3" t="s">
        <v>8356</v>
      </c>
    </row>
    <row r="13" spans="1:32" x14ac:dyDescent="0.3">
      <c r="A13" s="3" t="s">
        <v>30528</v>
      </c>
    </row>
    <row r="14" spans="1:32" x14ac:dyDescent="0.3">
      <c r="A14" s="3" t="s">
        <v>30529</v>
      </c>
    </row>
    <row r="15" spans="1:32" x14ac:dyDescent="0.3">
      <c r="A15" s="3" t="s">
        <v>30530</v>
      </c>
    </row>
    <row r="16" spans="1:32" x14ac:dyDescent="0.3">
      <c r="A16" s="3" t="s">
        <v>30531</v>
      </c>
    </row>
    <row r="17" spans="1:1" x14ac:dyDescent="0.3">
      <c r="A17" s="3" t="s">
        <v>30532</v>
      </c>
    </row>
    <row r="18" spans="1:1" x14ac:dyDescent="0.3">
      <c r="A18" s="3" t="s">
        <v>30533</v>
      </c>
    </row>
    <row r="19" spans="1:1" x14ac:dyDescent="0.3">
      <c r="A19" s="3" t="s">
        <v>30534</v>
      </c>
    </row>
    <row r="20" spans="1:1" x14ac:dyDescent="0.3">
      <c r="A20" s="3" t="s">
        <v>30535</v>
      </c>
    </row>
    <row r="21" spans="1:1" x14ac:dyDescent="0.3">
      <c r="A21" s="3" t="s">
        <v>8365</v>
      </c>
    </row>
    <row r="22" spans="1:1" x14ac:dyDescent="0.3">
      <c r="A22" s="3" t="s">
        <v>8366</v>
      </c>
    </row>
    <row r="23" spans="1:1" x14ac:dyDescent="0.3">
      <c r="A23" s="3" t="s">
        <v>30536</v>
      </c>
    </row>
    <row r="24" spans="1:1" x14ac:dyDescent="0.3">
      <c r="A24" s="3" t="s">
        <v>30537</v>
      </c>
    </row>
    <row r="25" spans="1:1" x14ac:dyDescent="0.3">
      <c r="A25" s="3" t="s">
        <v>30538</v>
      </c>
    </row>
    <row r="26" spans="1:1" x14ac:dyDescent="0.3">
      <c r="A26" s="3" t="s">
        <v>30539</v>
      </c>
    </row>
    <row r="27" spans="1:1" x14ac:dyDescent="0.3">
      <c r="A27" s="3" t="s">
        <v>30540</v>
      </c>
    </row>
    <row r="28" spans="1:1" x14ac:dyDescent="0.3">
      <c r="A28" s="3" t="s">
        <v>30541</v>
      </c>
    </row>
    <row r="29" spans="1:1" x14ac:dyDescent="0.3">
      <c r="A29" s="3" t="s">
        <v>30542</v>
      </c>
    </row>
    <row r="30" spans="1:1" x14ac:dyDescent="0.3">
      <c r="A30" s="3" t="s">
        <v>30543</v>
      </c>
    </row>
    <row r="31" spans="1:1" x14ac:dyDescent="0.3">
      <c r="A31" s="3" t="s">
        <v>30544</v>
      </c>
    </row>
    <row r="32" spans="1:1" x14ac:dyDescent="0.3">
      <c r="A32" s="3" t="s">
        <v>30545</v>
      </c>
    </row>
    <row r="33" spans="1:1" x14ac:dyDescent="0.3">
      <c r="A33" s="3" t="s">
        <v>30546</v>
      </c>
    </row>
    <row r="34" spans="1:1" x14ac:dyDescent="0.3">
      <c r="A34" s="3" t="s">
        <v>30547</v>
      </c>
    </row>
    <row r="35" spans="1:1" x14ac:dyDescent="0.3">
      <c r="A35" s="3" t="s">
        <v>30548</v>
      </c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Φύλλο24"/>
  <dimension ref="A1:AF70"/>
  <sheetViews>
    <sheetView workbookViewId="0">
      <selection activeCell="A8" sqref="A8:AF42"/>
    </sheetView>
  </sheetViews>
  <sheetFormatPr defaultRowHeight="14.4" x14ac:dyDescent="0.3"/>
  <cols>
    <col min="1" max="2" width="9.109375" style="4"/>
    <col min="3" max="3" width="5.109375" customWidth="1"/>
    <col min="4" max="4" width="18.6640625" bestFit="1" customWidth="1"/>
    <col min="5" max="5" width="27.109375" bestFit="1" customWidth="1"/>
    <col min="6" max="6" width="15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30666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1459</v>
      </c>
      <c r="D8" t="s">
        <v>30672</v>
      </c>
      <c r="E8" t="s">
        <v>315</v>
      </c>
      <c r="F8" t="s">
        <v>1265</v>
      </c>
      <c r="G8" t="s">
        <v>30673</v>
      </c>
      <c r="H8">
        <v>36.24</v>
      </c>
      <c r="I8">
        <v>0</v>
      </c>
      <c r="J8">
        <v>20</v>
      </c>
      <c r="M8">
        <v>20</v>
      </c>
      <c r="N8">
        <v>20</v>
      </c>
      <c r="O8">
        <v>0</v>
      </c>
      <c r="P8">
        <v>76.239999999999995</v>
      </c>
      <c r="Q8">
        <v>43</v>
      </c>
      <c r="R8">
        <v>43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43</v>
      </c>
      <c r="Z8">
        <v>0</v>
      </c>
      <c r="AA8">
        <v>0</v>
      </c>
      <c r="AD8" t="s">
        <v>130</v>
      </c>
      <c r="AF8">
        <v>119.24</v>
      </c>
    </row>
    <row r="9" spans="1:32" x14ac:dyDescent="0.3">
      <c r="A9" s="4">
        <v>3</v>
      </c>
      <c r="B9" s="5">
        <v>2</v>
      </c>
      <c r="C9">
        <v>325</v>
      </c>
      <c r="D9" t="s">
        <v>8474</v>
      </c>
      <c r="E9" t="s">
        <v>54</v>
      </c>
      <c r="F9" t="s">
        <v>158</v>
      </c>
      <c r="G9" t="s">
        <v>8475</v>
      </c>
      <c r="H9">
        <v>58.08</v>
      </c>
      <c r="I9">
        <v>0</v>
      </c>
      <c r="J9">
        <v>20</v>
      </c>
      <c r="M9">
        <v>20</v>
      </c>
      <c r="N9">
        <v>20</v>
      </c>
      <c r="O9">
        <v>10</v>
      </c>
      <c r="P9">
        <v>108.08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9</v>
      </c>
      <c r="AA9">
        <v>0</v>
      </c>
      <c r="AD9" t="s">
        <v>130</v>
      </c>
      <c r="AF9">
        <v>117.08</v>
      </c>
    </row>
    <row r="10" spans="1:32" x14ac:dyDescent="0.3">
      <c r="A10" s="4">
        <v>4</v>
      </c>
      <c r="B10" s="5">
        <v>3</v>
      </c>
      <c r="C10">
        <v>645</v>
      </c>
      <c r="D10" t="s">
        <v>30674</v>
      </c>
      <c r="E10" t="s">
        <v>29</v>
      </c>
      <c r="F10" t="s">
        <v>58</v>
      </c>
      <c r="G10" t="s">
        <v>30675</v>
      </c>
      <c r="H10">
        <v>60</v>
      </c>
      <c r="I10">
        <v>0</v>
      </c>
      <c r="J10">
        <v>20</v>
      </c>
      <c r="L10">
        <v>10</v>
      </c>
      <c r="M10">
        <v>20</v>
      </c>
      <c r="N10">
        <v>20</v>
      </c>
      <c r="O10">
        <v>10</v>
      </c>
      <c r="P10">
        <v>110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3</v>
      </c>
      <c r="AA10">
        <v>0</v>
      </c>
      <c r="AD10" t="s">
        <v>130</v>
      </c>
      <c r="AF10">
        <v>113</v>
      </c>
    </row>
    <row r="11" spans="1:32" x14ac:dyDescent="0.3">
      <c r="A11" s="4">
        <v>5</v>
      </c>
      <c r="B11" s="5">
        <v>4</v>
      </c>
      <c r="C11">
        <v>795</v>
      </c>
      <c r="D11" t="s">
        <v>30676</v>
      </c>
      <c r="E11" t="s">
        <v>819</v>
      </c>
      <c r="F11" t="s">
        <v>30</v>
      </c>
      <c r="G11" t="s">
        <v>30677</v>
      </c>
      <c r="H11">
        <v>60</v>
      </c>
      <c r="I11">
        <v>0</v>
      </c>
      <c r="J11">
        <v>20</v>
      </c>
      <c r="L11">
        <v>10</v>
      </c>
      <c r="M11">
        <v>20</v>
      </c>
      <c r="N11">
        <v>20</v>
      </c>
      <c r="O11">
        <v>10</v>
      </c>
      <c r="P11">
        <v>110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D11" t="s">
        <v>130</v>
      </c>
      <c r="AF11">
        <v>110</v>
      </c>
    </row>
    <row r="12" spans="1:32" x14ac:dyDescent="0.3">
      <c r="A12" s="4">
        <v>7</v>
      </c>
      <c r="B12" s="5">
        <v>5</v>
      </c>
      <c r="C12">
        <v>113</v>
      </c>
      <c r="D12" t="s">
        <v>30678</v>
      </c>
      <c r="E12" t="s">
        <v>136</v>
      </c>
      <c r="F12" t="s">
        <v>521</v>
      </c>
      <c r="G12" t="s">
        <v>30679</v>
      </c>
      <c r="H12">
        <v>57.3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107.3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t="s">
        <v>130</v>
      </c>
      <c r="AD12" t="s">
        <v>130</v>
      </c>
      <c r="AF12">
        <v>107.3</v>
      </c>
    </row>
    <row r="13" spans="1:32" x14ac:dyDescent="0.3">
      <c r="A13" s="4">
        <v>8</v>
      </c>
      <c r="B13" s="5">
        <v>6</v>
      </c>
      <c r="C13">
        <v>628</v>
      </c>
      <c r="D13" t="s">
        <v>25599</v>
      </c>
      <c r="E13" t="s">
        <v>81</v>
      </c>
      <c r="F13" t="s">
        <v>17</v>
      </c>
      <c r="G13" t="s">
        <v>30680</v>
      </c>
      <c r="H13">
        <v>57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107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107</v>
      </c>
    </row>
    <row r="14" spans="1:32" x14ac:dyDescent="0.3">
      <c r="A14" s="4">
        <v>9</v>
      </c>
      <c r="B14" s="5">
        <v>7</v>
      </c>
      <c r="C14">
        <v>1233</v>
      </c>
      <c r="D14" t="s">
        <v>7569</v>
      </c>
      <c r="E14" t="s">
        <v>30681</v>
      </c>
      <c r="F14" t="s">
        <v>62</v>
      </c>
      <c r="G14" t="s">
        <v>30682</v>
      </c>
      <c r="H14">
        <v>49.8</v>
      </c>
      <c r="I14">
        <v>0</v>
      </c>
      <c r="J14">
        <v>20</v>
      </c>
      <c r="L14">
        <v>10</v>
      </c>
      <c r="M14">
        <v>20</v>
      </c>
      <c r="N14">
        <v>20</v>
      </c>
      <c r="O14">
        <v>10</v>
      </c>
      <c r="P14">
        <v>99.8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3</v>
      </c>
      <c r="AA14">
        <v>0</v>
      </c>
      <c r="AD14" t="s">
        <v>130</v>
      </c>
      <c r="AF14">
        <v>102.8</v>
      </c>
    </row>
    <row r="15" spans="1:32" x14ac:dyDescent="0.3">
      <c r="A15" s="4">
        <v>10</v>
      </c>
      <c r="B15" s="5">
        <v>8</v>
      </c>
      <c r="C15">
        <v>1705</v>
      </c>
      <c r="D15" t="s">
        <v>5483</v>
      </c>
      <c r="E15" t="s">
        <v>88</v>
      </c>
      <c r="F15" t="s">
        <v>587</v>
      </c>
      <c r="G15" t="s">
        <v>30683</v>
      </c>
      <c r="H15">
        <v>52.8</v>
      </c>
      <c r="I15">
        <v>0</v>
      </c>
      <c r="J15">
        <v>20</v>
      </c>
      <c r="M15">
        <v>20</v>
      </c>
      <c r="N15">
        <v>20</v>
      </c>
      <c r="O15">
        <v>10</v>
      </c>
      <c r="P15">
        <v>102.8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102.8</v>
      </c>
    </row>
    <row r="16" spans="1:32" x14ac:dyDescent="0.3">
      <c r="A16" s="4">
        <v>11</v>
      </c>
      <c r="B16" s="5">
        <v>9</v>
      </c>
      <c r="C16">
        <v>1040</v>
      </c>
      <c r="D16" t="s">
        <v>19312</v>
      </c>
      <c r="E16" t="s">
        <v>136</v>
      </c>
      <c r="F16" t="s">
        <v>34</v>
      </c>
      <c r="G16" t="s">
        <v>30684</v>
      </c>
      <c r="H16">
        <v>54.6</v>
      </c>
      <c r="I16">
        <v>0</v>
      </c>
      <c r="L16">
        <v>10</v>
      </c>
      <c r="M16">
        <v>10</v>
      </c>
      <c r="N16">
        <v>20</v>
      </c>
      <c r="O16">
        <v>10</v>
      </c>
      <c r="P16">
        <v>94.6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B16" t="s">
        <v>130</v>
      </c>
      <c r="AD16" t="s">
        <v>130</v>
      </c>
      <c r="AF16">
        <v>100.6</v>
      </c>
    </row>
    <row r="17" spans="1:32" x14ac:dyDescent="0.3">
      <c r="A17" s="4">
        <v>12</v>
      </c>
      <c r="B17" s="5">
        <v>10</v>
      </c>
      <c r="C17">
        <v>34</v>
      </c>
      <c r="D17" t="s">
        <v>30685</v>
      </c>
      <c r="E17" t="s">
        <v>17</v>
      </c>
      <c r="F17" t="s">
        <v>91</v>
      </c>
      <c r="G17" t="s">
        <v>30686</v>
      </c>
      <c r="H17">
        <v>60</v>
      </c>
      <c r="I17">
        <v>0</v>
      </c>
      <c r="L17">
        <v>10</v>
      </c>
      <c r="M17">
        <v>10</v>
      </c>
      <c r="N17">
        <v>20</v>
      </c>
      <c r="O17">
        <v>10</v>
      </c>
      <c r="P17">
        <v>100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D17" t="s">
        <v>130</v>
      </c>
      <c r="AF17">
        <v>100</v>
      </c>
    </row>
    <row r="18" spans="1:32" x14ac:dyDescent="0.3">
      <c r="A18" s="4">
        <v>13</v>
      </c>
      <c r="B18" s="5">
        <v>11</v>
      </c>
      <c r="C18">
        <v>1368</v>
      </c>
      <c r="D18" t="s">
        <v>30687</v>
      </c>
      <c r="E18" t="s">
        <v>17</v>
      </c>
      <c r="F18" t="s">
        <v>20</v>
      </c>
      <c r="G18" t="s">
        <v>30688</v>
      </c>
      <c r="H18">
        <v>52.74</v>
      </c>
      <c r="I18">
        <v>0</v>
      </c>
      <c r="K18">
        <v>15</v>
      </c>
      <c r="M18">
        <v>15</v>
      </c>
      <c r="N18">
        <v>20</v>
      </c>
      <c r="O18">
        <v>10</v>
      </c>
      <c r="P18">
        <v>97.74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t="s">
        <v>130</v>
      </c>
      <c r="AD18" t="s">
        <v>130</v>
      </c>
      <c r="AF18">
        <v>97.74</v>
      </c>
    </row>
    <row r="19" spans="1:32" x14ac:dyDescent="0.3">
      <c r="A19" s="4">
        <v>14</v>
      </c>
      <c r="B19" s="5">
        <v>12</v>
      </c>
      <c r="C19">
        <v>1665</v>
      </c>
      <c r="D19" t="s">
        <v>10664</v>
      </c>
      <c r="E19" t="s">
        <v>38</v>
      </c>
      <c r="F19" t="s">
        <v>20</v>
      </c>
      <c r="G19" t="s">
        <v>30689</v>
      </c>
      <c r="H19">
        <v>57.24</v>
      </c>
      <c r="I19">
        <v>0</v>
      </c>
      <c r="L19">
        <v>10</v>
      </c>
      <c r="M19">
        <v>10</v>
      </c>
      <c r="N19">
        <v>20</v>
      </c>
      <c r="O19">
        <v>10</v>
      </c>
      <c r="P19">
        <v>97.24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D19" t="s">
        <v>130</v>
      </c>
      <c r="AF19">
        <v>97.24</v>
      </c>
    </row>
    <row r="20" spans="1:32" x14ac:dyDescent="0.3">
      <c r="A20" s="4">
        <v>15</v>
      </c>
      <c r="B20" s="5">
        <v>13</v>
      </c>
      <c r="C20">
        <v>644</v>
      </c>
      <c r="D20" t="s">
        <v>645</v>
      </c>
      <c r="E20" t="s">
        <v>48</v>
      </c>
      <c r="F20" t="s">
        <v>81</v>
      </c>
      <c r="G20" t="s">
        <v>30690</v>
      </c>
      <c r="H20">
        <v>56.4</v>
      </c>
      <c r="I20">
        <v>0</v>
      </c>
      <c r="L20">
        <v>10</v>
      </c>
      <c r="M20">
        <v>10</v>
      </c>
      <c r="N20">
        <v>20</v>
      </c>
      <c r="O20">
        <v>10</v>
      </c>
      <c r="P20">
        <v>96.4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D20" t="s">
        <v>130</v>
      </c>
      <c r="AF20">
        <v>96.4</v>
      </c>
    </row>
    <row r="21" spans="1:32" x14ac:dyDescent="0.3">
      <c r="A21" s="4">
        <v>16</v>
      </c>
      <c r="B21" s="5">
        <v>14</v>
      </c>
      <c r="C21">
        <v>619</v>
      </c>
      <c r="D21" t="s">
        <v>30691</v>
      </c>
      <c r="E21" t="s">
        <v>652</v>
      </c>
      <c r="F21" t="s">
        <v>190</v>
      </c>
      <c r="G21" t="s">
        <v>30692</v>
      </c>
      <c r="H21">
        <v>54.54</v>
      </c>
      <c r="I21">
        <v>0</v>
      </c>
      <c r="M21">
        <v>0</v>
      </c>
      <c r="N21">
        <v>20</v>
      </c>
      <c r="O21">
        <v>10</v>
      </c>
      <c r="P21">
        <v>84.54</v>
      </c>
      <c r="Q21">
        <v>0</v>
      </c>
      <c r="R21">
        <v>0</v>
      </c>
      <c r="S21">
        <v>0</v>
      </c>
      <c r="T21">
        <v>0</v>
      </c>
      <c r="U21">
        <v>7</v>
      </c>
      <c r="V21">
        <v>10</v>
      </c>
      <c r="W21">
        <v>0</v>
      </c>
      <c r="X21">
        <v>0</v>
      </c>
      <c r="Y21">
        <v>10</v>
      </c>
      <c r="Z21">
        <v>0</v>
      </c>
      <c r="AA21">
        <v>0</v>
      </c>
      <c r="AD21" t="s">
        <v>130</v>
      </c>
      <c r="AF21">
        <v>94.54</v>
      </c>
    </row>
    <row r="22" spans="1:32" x14ac:dyDescent="0.3">
      <c r="A22" s="4">
        <v>17</v>
      </c>
      <c r="B22" s="5">
        <v>15</v>
      </c>
      <c r="C22">
        <v>359</v>
      </c>
      <c r="D22" t="s">
        <v>30693</v>
      </c>
      <c r="E22" t="s">
        <v>972</v>
      </c>
      <c r="F22" t="s">
        <v>17</v>
      </c>
      <c r="G22" t="s">
        <v>30694</v>
      </c>
      <c r="H22">
        <v>59.4</v>
      </c>
      <c r="I22">
        <v>0</v>
      </c>
      <c r="M22">
        <v>0</v>
      </c>
      <c r="N22">
        <v>20</v>
      </c>
      <c r="O22">
        <v>10</v>
      </c>
      <c r="P22">
        <v>89.4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D22" t="s">
        <v>130</v>
      </c>
      <c r="AF22">
        <v>89.4</v>
      </c>
    </row>
    <row r="23" spans="1:32" x14ac:dyDescent="0.3">
      <c r="A23" s="4">
        <v>18</v>
      </c>
      <c r="B23" s="5">
        <v>16</v>
      </c>
      <c r="C23">
        <v>1680</v>
      </c>
      <c r="D23" t="s">
        <v>8476</v>
      </c>
      <c r="E23" t="s">
        <v>5403</v>
      </c>
      <c r="F23" t="s">
        <v>17</v>
      </c>
      <c r="G23" t="s">
        <v>8477</v>
      </c>
      <c r="H23">
        <v>56.67</v>
      </c>
      <c r="I23">
        <v>0</v>
      </c>
      <c r="M23">
        <v>0</v>
      </c>
      <c r="N23">
        <v>20</v>
      </c>
      <c r="O23">
        <v>10</v>
      </c>
      <c r="P23">
        <v>86.67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D23" t="s">
        <v>130</v>
      </c>
      <c r="AF23">
        <v>86.67</v>
      </c>
    </row>
    <row r="24" spans="1:32" x14ac:dyDescent="0.3">
      <c r="A24" s="4">
        <v>19</v>
      </c>
      <c r="B24" s="5">
        <v>17</v>
      </c>
      <c r="C24">
        <v>502</v>
      </c>
      <c r="D24" t="s">
        <v>30695</v>
      </c>
      <c r="E24" t="s">
        <v>136</v>
      </c>
      <c r="F24" t="s">
        <v>20</v>
      </c>
      <c r="G24" t="s">
        <v>30696</v>
      </c>
      <c r="H24">
        <v>42.75</v>
      </c>
      <c r="I24">
        <v>0</v>
      </c>
      <c r="M24">
        <v>0</v>
      </c>
      <c r="N24">
        <v>20</v>
      </c>
      <c r="O24">
        <v>10</v>
      </c>
      <c r="P24">
        <v>72.75</v>
      </c>
      <c r="Q24">
        <v>7</v>
      </c>
      <c r="R24">
        <v>7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7</v>
      </c>
      <c r="Z24">
        <v>0</v>
      </c>
      <c r="AA24">
        <v>0</v>
      </c>
      <c r="AD24" t="s">
        <v>130</v>
      </c>
      <c r="AF24">
        <v>79.75</v>
      </c>
    </row>
    <row r="25" spans="1:32" x14ac:dyDescent="0.3">
      <c r="A25" s="4">
        <v>20</v>
      </c>
      <c r="B25" s="5">
        <v>18</v>
      </c>
      <c r="C25">
        <v>331</v>
      </c>
      <c r="D25" t="s">
        <v>227</v>
      </c>
      <c r="E25" t="s">
        <v>30697</v>
      </c>
      <c r="F25" t="s">
        <v>38</v>
      </c>
      <c r="G25" t="s">
        <v>30698</v>
      </c>
      <c r="H25">
        <v>42.69</v>
      </c>
      <c r="I25">
        <v>0</v>
      </c>
      <c r="M25">
        <v>0</v>
      </c>
      <c r="N25">
        <v>20</v>
      </c>
      <c r="O25">
        <v>10</v>
      </c>
      <c r="P25">
        <v>72.69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3</v>
      </c>
      <c r="AA25">
        <v>0</v>
      </c>
      <c r="AD25" t="s">
        <v>130</v>
      </c>
      <c r="AF25">
        <v>75.69</v>
      </c>
    </row>
    <row r="26" spans="1:32" x14ac:dyDescent="0.3">
      <c r="A26" s="4">
        <v>21</v>
      </c>
      <c r="B26" s="5">
        <v>19</v>
      </c>
      <c r="C26">
        <v>1574</v>
      </c>
      <c r="D26" t="s">
        <v>25997</v>
      </c>
      <c r="E26" t="s">
        <v>789</v>
      </c>
      <c r="F26" t="s">
        <v>81</v>
      </c>
      <c r="G26" t="s">
        <v>30699</v>
      </c>
      <c r="H26">
        <v>60</v>
      </c>
      <c r="I26">
        <v>0</v>
      </c>
      <c r="L26">
        <v>10</v>
      </c>
      <c r="M26">
        <v>10</v>
      </c>
      <c r="N26">
        <v>20</v>
      </c>
      <c r="O26">
        <v>10</v>
      </c>
      <c r="P26">
        <v>100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6</v>
      </c>
      <c r="AA26">
        <v>26.8</v>
      </c>
      <c r="AB26" t="s">
        <v>130</v>
      </c>
      <c r="AF26">
        <v>132.80000000000001</v>
      </c>
    </row>
    <row r="27" spans="1:32" x14ac:dyDescent="0.3">
      <c r="A27" s="4">
        <v>22</v>
      </c>
      <c r="B27" s="5">
        <v>20</v>
      </c>
      <c r="C27">
        <v>253</v>
      </c>
      <c r="D27" t="s">
        <v>30700</v>
      </c>
      <c r="E27" t="s">
        <v>1511</v>
      </c>
      <c r="F27" t="s">
        <v>1526</v>
      </c>
      <c r="G27" t="s">
        <v>30701</v>
      </c>
      <c r="H27">
        <v>53.49</v>
      </c>
      <c r="I27">
        <v>0</v>
      </c>
      <c r="M27">
        <v>0</v>
      </c>
      <c r="N27">
        <v>20</v>
      </c>
      <c r="O27">
        <v>10</v>
      </c>
      <c r="P27">
        <v>83.49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9</v>
      </c>
      <c r="AA27">
        <v>40</v>
      </c>
      <c r="AF27">
        <v>132.49</v>
      </c>
    </row>
    <row r="28" spans="1:32" x14ac:dyDescent="0.3">
      <c r="A28" s="4">
        <v>23</v>
      </c>
      <c r="B28" s="5">
        <v>21</v>
      </c>
      <c r="C28">
        <v>37</v>
      </c>
      <c r="D28" t="s">
        <v>30702</v>
      </c>
      <c r="E28" t="s">
        <v>30703</v>
      </c>
      <c r="F28" t="s">
        <v>38</v>
      </c>
      <c r="G28" t="s">
        <v>30704</v>
      </c>
      <c r="H28">
        <v>52.38</v>
      </c>
      <c r="I28">
        <v>0</v>
      </c>
      <c r="M28">
        <v>0</v>
      </c>
      <c r="N28">
        <v>20</v>
      </c>
      <c r="O28">
        <v>0</v>
      </c>
      <c r="P28">
        <v>72.38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12</v>
      </c>
      <c r="AA28">
        <v>26.8</v>
      </c>
      <c r="AF28">
        <v>111.18</v>
      </c>
    </row>
    <row r="29" spans="1:32" x14ac:dyDescent="0.3">
      <c r="A29" s="4">
        <v>24</v>
      </c>
      <c r="B29" s="5">
        <v>22</v>
      </c>
      <c r="C29">
        <v>784</v>
      </c>
      <c r="D29" t="s">
        <v>30705</v>
      </c>
      <c r="E29" t="s">
        <v>158</v>
      </c>
      <c r="F29" t="s">
        <v>2225</v>
      </c>
      <c r="G29" t="s">
        <v>30706</v>
      </c>
      <c r="H29">
        <v>59.7</v>
      </c>
      <c r="I29">
        <v>0</v>
      </c>
      <c r="J29">
        <v>20</v>
      </c>
      <c r="M29">
        <v>20</v>
      </c>
      <c r="N29">
        <v>20</v>
      </c>
      <c r="O29">
        <v>10</v>
      </c>
      <c r="P29">
        <v>109.7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F29">
        <v>109.7</v>
      </c>
    </row>
    <row r="30" spans="1:32" x14ac:dyDescent="0.3">
      <c r="A30" s="4">
        <v>25</v>
      </c>
      <c r="B30" s="5">
        <v>23</v>
      </c>
      <c r="C30">
        <v>1446</v>
      </c>
      <c r="D30" t="s">
        <v>974</v>
      </c>
      <c r="E30" t="s">
        <v>143</v>
      </c>
      <c r="F30" t="s">
        <v>136</v>
      </c>
      <c r="G30" t="s">
        <v>30707</v>
      </c>
      <c r="H30">
        <v>57.3</v>
      </c>
      <c r="I30">
        <v>0</v>
      </c>
      <c r="J30">
        <v>20</v>
      </c>
      <c r="L30">
        <v>10</v>
      </c>
      <c r="M30">
        <v>20</v>
      </c>
      <c r="N30">
        <v>20</v>
      </c>
      <c r="O30">
        <v>10</v>
      </c>
      <c r="P30">
        <v>107.3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t="s">
        <v>130</v>
      </c>
      <c r="AF30">
        <v>107.3</v>
      </c>
    </row>
    <row r="31" spans="1:32" x14ac:dyDescent="0.3">
      <c r="A31" s="4">
        <v>26</v>
      </c>
      <c r="B31" s="5">
        <v>24</v>
      </c>
      <c r="C31">
        <v>79</v>
      </c>
      <c r="D31" t="s">
        <v>8480</v>
      </c>
      <c r="E31" t="s">
        <v>124</v>
      </c>
      <c r="F31" t="s">
        <v>136</v>
      </c>
      <c r="G31" t="s">
        <v>8481</v>
      </c>
      <c r="H31">
        <v>54.27</v>
      </c>
      <c r="I31">
        <v>0</v>
      </c>
      <c r="J31">
        <v>20</v>
      </c>
      <c r="M31">
        <v>20</v>
      </c>
      <c r="N31">
        <v>20</v>
      </c>
      <c r="O31">
        <v>10</v>
      </c>
      <c r="P31">
        <v>104.27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F31">
        <v>104.27</v>
      </c>
    </row>
    <row r="32" spans="1:32" x14ac:dyDescent="0.3">
      <c r="A32" s="4">
        <v>27</v>
      </c>
      <c r="B32" s="5">
        <v>25</v>
      </c>
      <c r="C32">
        <v>85</v>
      </c>
      <c r="D32" t="s">
        <v>30708</v>
      </c>
      <c r="E32" t="s">
        <v>697</v>
      </c>
      <c r="F32" t="s">
        <v>4204</v>
      </c>
      <c r="G32" t="s">
        <v>30709</v>
      </c>
      <c r="H32">
        <v>57.9</v>
      </c>
      <c r="I32">
        <v>0</v>
      </c>
      <c r="L32">
        <v>10</v>
      </c>
      <c r="M32">
        <v>10</v>
      </c>
      <c r="N32">
        <v>20</v>
      </c>
      <c r="O32">
        <v>10</v>
      </c>
      <c r="P32">
        <v>97.9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6</v>
      </c>
      <c r="AA32">
        <v>0</v>
      </c>
      <c r="AF32">
        <v>103.9</v>
      </c>
    </row>
    <row r="33" spans="1:32" x14ac:dyDescent="0.3">
      <c r="A33" s="4">
        <v>28</v>
      </c>
      <c r="B33" s="5">
        <v>26</v>
      </c>
      <c r="C33">
        <v>1247</v>
      </c>
      <c r="D33" t="s">
        <v>16946</v>
      </c>
      <c r="E33" t="s">
        <v>17</v>
      </c>
      <c r="F33" t="s">
        <v>81</v>
      </c>
      <c r="G33" t="s">
        <v>30710</v>
      </c>
      <c r="H33">
        <v>55.08</v>
      </c>
      <c r="I33">
        <v>10</v>
      </c>
      <c r="M33">
        <v>0</v>
      </c>
      <c r="N33">
        <v>20</v>
      </c>
      <c r="O33">
        <v>10</v>
      </c>
      <c r="P33">
        <v>95.08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6</v>
      </c>
      <c r="AA33">
        <v>0</v>
      </c>
      <c r="AF33">
        <v>101.08</v>
      </c>
    </row>
    <row r="34" spans="1:32" x14ac:dyDescent="0.3">
      <c r="A34" s="4">
        <v>29</v>
      </c>
      <c r="B34" s="5">
        <v>27</v>
      </c>
      <c r="C34">
        <v>733</v>
      </c>
      <c r="D34" t="s">
        <v>30711</v>
      </c>
      <c r="E34" t="s">
        <v>34</v>
      </c>
      <c r="F34" t="s">
        <v>28648</v>
      </c>
      <c r="G34" t="s">
        <v>30712</v>
      </c>
      <c r="H34">
        <v>54.27</v>
      </c>
      <c r="I34">
        <v>0</v>
      </c>
      <c r="L34">
        <v>10</v>
      </c>
      <c r="M34">
        <v>10</v>
      </c>
      <c r="N34">
        <v>20</v>
      </c>
      <c r="O34">
        <v>10</v>
      </c>
      <c r="P34">
        <v>94.27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6</v>
      </c>
      <c r="AA34">
        <v>0</v>
      </c>
      <c r="AF34">
        <v>100.27</v>
      </c>
    </row>
    <row r="35" spans="1:32" x14ac:dyDescent="0.3">
      <c r="A35" s="4">
        <v>30</v>
      </c>
      <c r="B35" s="5">
        <v>28</v>
      </c>
      <c r="C35">
        <v>1045</v>
      </c>
      <c r="D35" t="s">
        <v>5060</v>
      </c>
      <c r="E35" t="s">
        <v>136</v>
      </c>
      <c r="F35" t="s">
        <v>34</v>
      </c>
      <c r="G35" t="s">
        <v>30713</v>
      </c>
      <c r="H35">
        <v>52.5</v>
      </c>
      <c r="I35">
        <v>0</v>
      </c>
      <c r="L35">
        <v>10</v>
      </c>
      <c r="M35">
        <v>10</v>
      </c>
      <c r="N35">
        <v>20</v>
      </c>
      <c r="O35">
        <v>10</v>
      </c>
      <c r="P35">
        <v>92.5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F35">
        <v>92.5</v>
      </c>
    </row>
    <row r="36" spans="1:32" x14ac:dyDescent="0.3">
      <c r="A36" s="4">
        <v>31</v>
      </c>
      <c r="B36" s="5">
        <v>29</v>
      </c>
      <c r="C36">
        <v>659</v>
      </c>
      <c r="D36" t="s">
        <v>30714</v>
      </c>
      <c r="E36" t="s">
        <v>182</v>
      </c>
      <c r="F36" t="s">
        <v>243</v>
      </c>
      <c r="G36" t="s">
        <v>30715</v>
      </c>
      <c r="H36">
        <v>56.46</v>
      </c>
      <c r="I36">
        <v>0</v>
      </c>
      <c r="M36">
        <v>0</v>
      </c>
      <c r="N36">
        <v>20</v>
      </c>
      <c r="O36">
        <v>10</v>
      </c>
      <c r="P36">
        <v>86.46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F36">
        <v>92.46</v>
      </c>
    </row>
    <row r="37" spans="1:32" x14ac:dyDescent="0.3">
      <c r="A37" s="4">
        <v>32</v>
      </c>
      <c r="B37" s="5">
        <v>30</v>
      </c>
      <c r="C37">
        <v>1402</v>
      </c>
      <c r="D37" t="s">
        <v>30716</v>
      </c>
      <c r="E37" t="s">
        <v>81</v>
      </c>
      <c r="F37" t="s">
        <v>38</v>
      </c>
      <c r="G37" t="s">
        <v>30717</v>
      </c>
      <c r="H37">
        <v>55.5</v>
      </c>
      <c r="I37">
        <v>0</v>
      </c>
      <c r="M37">
        <v>0</v>
      </c>
      <c r="N37">
        <v>20</v>
      </c>
      <c r="O37">
        <v>10</v>
      </c>
      <c r="P37">
        <v>85.5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6</v>
      </c>
      <c r="AA37">
        <v>0</v>
      </c>
      <c r="AF37">
        <v>91.5</v>
      </c>
    </row>
    <row r="38" spans="1:32" x14ac:dyDescent="0.3">
      <c r="A38" s="4">
        <v>33</v>
      </c>
      <c r="B38" s="5">
        <v>31</v>
      </c>
      <c r="C38">
        <v>1687</v>
      </c>
      <c r="D38" t="s">
        <v>30718</v>
      </c>
      <c r="E38" t="s">
        <v>20</v>
      </c>
      <c r="F38" t="s">
        <v>81</v>
      </c>
      <c r="G38" t="s">
        <v>30719</v>
      </c>
      <c r="H38">
        <v>54.6</v>
      </c>
      <c r="I38">
        <v>0</v>
      </c>
      <c r="J38">
        <v>20</v>
      </c>
      <c r="M38">
        <v>20</v>
      </c>
      <c r="N38">
        <v>0</v>
      </c>
      <c r="O38">
        <v>10</v>
      </c>
      <c r="P38">
        <v>84.6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F38">
        <v>84.6</v>
      </c>
    </row>
    <row r="39" spans="1:32" x14ac:dyDescent="0.3">
      <c r="A39" s="4">
        <v>34</v>
      </c>
      <c r="B39" s="5">
        <v>32</v>
      </c>
      <c r="C39">
        <v>643</v>
      </c>
      <c r="D39" t="s">
        <v>30720</v>
      </c>
      <c r="E39" t="s">
        <v>1225</v>
      </c>
      <c r="F39" t="s">
        <v>1748</v>
      </c>
      <c r="G39" t="s">
        <v>30721</v>
      </c>
      <c r="H39">
        <v>42.99</v>
      </c>
      <c r="I39">
        <v>0</v>
      </c>
      <c r="L39">
        <v>10</v>
      </c>
      <c r="M39">
        <v>10</v>
      </c>
      <c r="N39">
        <v>20</v>
      </c>
      <c r="O39">
        <v>10</v>
      </c>
      <c r="P39">
        <v>82.99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F39">
        <v>82.99</v>
      </c>
    </row>
    <row r="40" spans="1:32" x14ac:dyDescent="0.3">
      <c r="A40" s="4">
        <v>35</v>
      </c>
      <c r="B40" s="5">
        <v>33</v>
      </c>
      <c r="C40">
        <v>1183</v>
      </c>
      <c r="D40" t="s">
        <v>30722</v>
      </c>
      <c r="E40" t="s">
        <v>136</v>
      </c>
      <c r="F40" t="s">
        <v>81</v>
      </c>
      <c r="G40" t="s">
        <v>30723</v>
      </c>
      <c r="H40">
        <v>33.81</v>
      </c>
      <c r="I40">
        <v>0</v>
      </c>
      <c r="M40">
        <v>0</v>
      </c>
      <c r="N40">
        <v>20</v>
      </c>
      <c r="O40">
        <v>10</v>
      </c>
      <c r="P40">
        <v>63.81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6</v>
      </c>
      <c r="AA40">
        <v>0</v>
      </c>
      <c r="AF40">
        <v>69.81</v>
      </c>
    </row>
    <row r="42" spans="1:32" x14ac:dyDescent="0.3">
      <c r="A42" s="3" t="s">
        <v>8356</v>
      </c>
    </row>
    <row r="43" spans="1:32" x14ac:dyDescent="0.3">
      <c r="A43" s="3" t="s">
        <v>30528</v>
      </c>
    </row>
    <row r="44" spans="1:32" x14ac:dyDescent="0.3">
      <c r="A44" s="3" t="s">
        <v>30529</v>
      </c>
    </row>
    <row r="45" spans="1:32" x14ac:dyDescent="0.3">
      <c r="A45" s="3" t="s">
        <v>30530</v>
      </c>
    </row>
    <row r="46" spans="1:32" x14ac:dyDescent="0.3">
      <c r="A46" s="3" t="s">
        <v>30531</v>
      </c>
    </row>
    <row r="47" spans="1:32" s="4" customFormat="1" x14ac:dyDescent="0.3">
      <c r="A47" s="3" t="s">
        <v>30532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30533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30534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30535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 t="s">
        <v>8365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 t="s">
        <v>8366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 t="s">
        <v>30536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 t="s">
        <v>30537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 t="s">
        <v>30538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4" customFormat="1" x14ac:dyDescent="0.3">
      <c r="A56" s="3" t="s">
        <v>30539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4" customFormat="1" x14ac:dyDescent="0.3">
      <c r="A57" s="3" t="s">
        <v>30540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4" customFormat="1" x14ac:dyDescent="0.3">
      <c r="A58" s="3" t="s">
        <v>30541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4" customFormat="1" x14ac:dyDescent="0.3">
      <c r="A59" s="3" t="s">
        <v>30542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4" customFormat="1" x14ac:dyDescent="0.3">
      <c r="A60" s="3" t="s">
        <v>30543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4" customFormat="1" x14ac:dyDescent="0.3">
      <c r="A61" s="3" t="s">
        <v>30544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4" customFormat="1" x14ac:dyDescent="0.3">
      <c r="A62" s="3" t="s">
        <v>30545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4" customFormat="1" x14ac:dyDescent="0.3">
      <c r="A63" s="3" t="s">
        <v>30546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4" customFormat="1" x14ac:dyDescent="0.3">
      <c r="A64" s="3" t="s">
        <v>30547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s="4" customFormat="1" x14ac:dyDescent="0.3">
      <c r="A65" s="3" t="s">
        <v>30548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s="4" customFormat="1" x14ac:dyDescent="0.3">
      <c r="A66" s="3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s="4" customFormat="1" x14ac:dyDescent="0.3">
      <c r="A67" s="3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s="4" customFormat="1" x14ac:dyDescent="0.3">
      <c r="A68" s="3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s="4" customFormat="1" x14ac:dyDescent="0.3">
      <c r="A69" s="3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s="4" customFormat="1" x14ac:dyDescent="0.3">
      <c r="A70" s="3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Φύλλο25"/>
  <dimension ref="A1:AF55"/>
  <sheetViews>
    <sheetView workbookViewId="0">
      <selection activeCell="A8" sqref="A8:AF26"/>
    </sheetView>
  </sheetViews>
  <sheetFormatPr defaultRowHeight="14.4" x14ac:dyDescent="0.3"/>
  <cols>
    <col min="1" max="2" width="9.109375" style="4"/>
    <col min="3" max="3" width="5.109375" customWidth="1"/>
    <col min="4" max="4" width="16.5546875" bestFit="1" customWidth="1"/>
    <col min="5" max="6" width="14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30724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213</v>
      </c>
      <c r="D8" t="s">
        <v>30725</v>
      </c>
      <c r="E8" t="s">
        <v>91</v>
      </c>
      <c r="F8" t="s">
        <v>38</v>
      </c>
      <c r="G8" t="s">
        <v>30726</v>
      </c>
      <c r="H8">
        <v>55.8</v>
      </c>
      <c r="I8">
        <v>0</v>
      </c>
      <c r="L8">
        <v>10</v>
      </c>
      <c r="M8">
        <v>10</v>
      </c>
      <c r="N8">
        <v>20</v>
      </c>
      <c r="O8">
        <v>10</v>
      </c>
      <c r="P8">
        <v>95.8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20</v>
      </c>
      <c r="AD8" t="s">
        <v>130</v>
      </c>
      <c r="AF8">
        <v>124.8</v>
      </c>
    </row>
    <row r="9" spans="1:32" x14ac:dyDescent="0.3">
      <c r="A9" s="4">
        <v>3</v>
      </c>
      <c r="B9" s="5">
        <v>2</v>
      </c>
      <c r="C9">
        <v>1332</v>
      </c>
      <c r="D9" t="s">
        <v>30727</v>
      </c>
      <c r="E9" t="s">
        <v>147</v>
      </c>
      <c r="F9" t="s">
        <v>1450</v>
      </c>
      <c r="G9" t="s">
        <v>30728</v>
      </c>
      <c r="H9">
        <v>59.76</v>
      </c>
      <c r="I9">
        <v>0</v>
      </c>
      <c r="J9">
        <v>20</v>
      </c>
      <c r="K9">
        <v>15</v>
      </c>
      <c r="M9">
        <v>20</v>
      </c>
      <c r="N9">
        <v>20</v>
      </c>
      <c r="O9">
        <v>10</v>
      </c>
      <c r="P9">
        <v>109.76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t="s">
        <v>130</v>
      </c>
      <c r="AD9" t="s">
        <v>130</v>
      </c>
      <c r="AF9">
        <v>109.76</v>
      </c>
    </row>
    <row r="10" spans="1:32" x14ac:dyDescent="0.3">
      <c r="A10" s="4">
        <v>4</v>
      </c>
      <c r="B10" s="5">
        <v>3</v>
      </c>
      <c r="C10">
        <v>1674</v>
      </c>
      <c r="D10" t="s">
        <v>30729</v>
      </c>
      <c r="E10" t="s">
        <v>652</v>
      </c>
      <c r="F10" t="s">
        <v>17</v>
      </c>
      <c r="G10" t="s">
        <v>30730</v>
      </c>
      <c r="H10">
        <v>51.9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101.9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6</v>
      </c>
      <c r="AA10">
        <v>0</v>
      </c>
      <c r="AD10" t="s">
        <v>130</v>
      </c>
      <c r="AF10">
        <v>107.9</v>
      </c>
    </row>
    <row r="11" spans="1:32" x14ac:dyDescent="0.3">
      <c r="A11" s="4">
        <v>5</v>
      </c>
      <c r="B11" s="5">
        <v>4</v>
      </c>
      <c r="C11">
        <v>900</v>
      </c>
      <c r="D11" t="s">
        <v>20774</v>
      </c>
      <c r="E11" t="s">
        <v>328</v>
      </c>
      <c r="F11" t="s">
        <v>1806</v>
      </c>
      <c r="G11" t="s">
        <v>30731</v>
      </c>
      <c r="H11">
        <v>57</v>
      </c>
      <c r="I11">
        <v>0</v>
      </c>
      <c r="L11">
        <v>10</v>
      </c>
      <c r="M11">
        <v>10</v>
      </c>
      <c r="N11">
        <v>20</v>
      </c>
      <c r="O11">
        <v>10</v>
      </c>
      <c r="P11">
        <v>97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D11" t="s">
        <v>130</v>
      </c>
      <c r="AF11">
        <v>103</v>
      </c>
    </row>
    <row r="12" spans="1:32" x14ac:dyDescent="0.3">
      <c r="A12" s="4">
        <v>6</v>
      </c>
      <c r="B12" s="5">
        <v>5</v>
      </c>
      <c r="C12">
        <v>113</v>
      </c>
      <c r="D12" t="s">
        <v>30678</v>
      </c>
      <c r="E12" t="s">
        <v>136</v>
      </c>
      <c r="F12" t="s">
        <v>521</v>
      </c>
      <c r="G12" t="s">
        <v>30679</v>
      </c>
      <c r="H12">
        <v>48</v>
      </c>
      <c r="I12">
        <v>0</v>
      </c>
      <c r="J12">
        <v>20</v>
      </c>
      <c r="M12">
        <v>20</v>
      </c>
      <c r="N12">
        <v>20</v>
      </c>
      <c r="O12">
        <v>10</v>
      </c>
      <c r="P12">
        <v>98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t="s">
        <v>130</v>
      </c>
      <c r="AD12" t="s">
        <v>130</v>
      </c>
      <c r="AF12">
        <v>98</v>
      </c>
    </row>
    <row r="13" spans="1:32" x14ac:dyDescent="0.3">
      <c r="A13" s="4">
        <v>7</v>
      </c>
      <c r="B13" s="5">
        <v>6</v>
      </c>
      <c r="C13">
        <v>1195</v>
      </c>
      <c r="D13" t="s">
        <v>2498</v>
      </c>
      <c r="E13" t="s">
        <v>97</v>
      </c>
      <c r="F13" t="s">
        <v>34</v>
      </c>
      <c r="G13" t="s">
        <v>30732</v>
      </c>
      <c r="H13">
        <v>51.45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91.45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91.45</v>
      </c>
    </row>
    <row r="14" spans="1:32" x14ac:dyDescent="0.3">
      <c r="A14" s="4">
        <v>8</v>
      </c>
      <c r="B14" s="5">
        <v>7</v>
      </c>
      <c r="C14">
        <v>92</v>
      </c>
      <c r="D14" t="s">
        <v>1296</v>
      </c>
      <c r="E14" t="s">
        <v>158</v>
      </c>
      <c r="F14" t="s">
        <v>652</v>
      </c>
      <c r="G14" t="s">
        <v>30733</v>
      </c>
      <c r="H14">
        <v>50.76</v>
      </c>
      <c r="I14">
        <v>0</v>
      </c>
      <c r="L14">
        <v>10</v>
      </c>
      <c r="M14">
        <v>10</v>
      </c>
      <c r="N14">
        <v>20</v>
      </c>
      <c r="O14">
        <v>10</v>
      </c>
      <c r="P14">
        <v>90.76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90.76</v>
      </c>
    </row>
    <row r="15" spans="1:32" x14ac:dyDescent="0.3">
      <c r="A15" s="4">
        <v>9</v>
      </c>
      <c r="B15" s="5">
        <v>8</v>
      </c>
      <c r="C15">
        <v>359</v>
      </c>
      <c r="D15" t="s">
        <v>30693</v>
      </c>
      <c r="E15" t="s">
        <v>972</v>
      </c>
      <c r="F15" t="s">
        <v>17</v>
      </c>
      <c r="G15" t="s">
        <v>30694</v>
      </c>
      <c r="H15">
        <v>60</v>
      </c>
      <c r="I15">
        <v>0</v>
      </c>
      <c r="M15">
        <v>0</v>
      </c>
      <c r="N15">
        <v>20</v>
      </c>
      <c r="O15">
        <v>10</v>
      </c>
      <c r="P15">
        <v>90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90</v>
      </c>
    </row>
    <row r="16" spans="1:32" x14ac:dyDescent="0.3">
      <c r="A16" s="4">
        <v>10</v>
      </c>
      <c r="B16" s="5">
        <v>9</v>
      </c>
      <c r="C16">
        <v>1291</v>
      </c>
      <c r="D16" t="s">
        <v>30734</v>
      </c>
      <c r="E16" t="s">
        <v>892</v>
      </c>
      <c r="F16" t="s">
        <v>6828</v>
      </c>
      <c r="G16" t="s">
        <v>30735</v>
      </c>
      <c r="H16">
        <v>36.36</v>
      </c>
      <c r="I16">
        <v>0</v>
      </c>
      <c r="J16">
        <v>20</v>
      </c>
      <c r="M16">
        <v>20</v>
      </c>
      <c r="N16">
        <v>20</v>
      </c>
      <c r="O16">
        <v>10</v>
      </c>
      <c r="P16">
        <v>86.36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D16" t="s">
        <v>130</v>
      </c>
      <c r="AF16">
        <v>86.36</v>
      </c>
    </row>
    <row r="17" spans="1:32" x14ac:dyDescent="0.3">
      <c r="A17" s="4">
        <v>11</v>
      </c>
      <c r="B17" s="5">
        <v>10</v>
      </c>
      <c r="C17">
        <v>751</v>
      </c>
      <c r="D17" t="s">
        <v>30736</v>
      </c>
      <c r="E17" t="s">
        <v>19806</v>
      </c>
      <c r="F17" t="s">
        <v>68</v>
      </c>
      <c r="G17" t="s">
        <v>30737</v>
      </c>
      <c r="H17">
        <v>33.299999999999997</v>
      </c>
      <c r="I17">
        <v>0</v>
      </c>
      <c r="J17">
        <v>20</v>
      </c>
      <c r="M17">
        <v>20</v>
      </c>
      <c r="N17">
        <v>20</v>
      </c>
      <c r="O17">
        <v>10</v>
      </c>
      <c r="P17">
        <v>83.3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D17" t="s">
        <v>130</v>
      </c>
      <c r="AF17">
        <v>83.3</v>
      </c>
    </row>
    <row r="18" spans="1:32" x14ac:dyDescent="0.3">
      <c r="A18" s="4">
        <v>12</v>
      </c>
      <c r="B18" s="5">
        <v>11</v>
      </c>
      <c r="C18">
        <v>352</v>
      </c>
      <c r="D18" t="s">
        <v>18216</v>
      </c>
      <c r="E18" t="s">
        <v>136</v>
      </c>
      <c r="F18" t="s">
        <v>230</v>
      </c>
      <c r="G18" t="s">
        <v>30738</v>
      </c>
      <c r="H18">
        <v>60</v>
      </c>
      <c r="I18">
        <v>0</v>
      </c>
      <c r="L18">
        <v>10</v>
      </c>
      <c r="M18">
        <v>10</v>
      </c>
      <c r="N18">
        <v>20</v>
      </c>
      <c r="O18">
        <v>10</v>
      </c>
      <c r="P18">
        <v>100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3</v>
      </c>
      <c r="AA18">
        <v>0</v>
      </c>
      <c r="AF18">
        <v>103</v>
      </c>
    </row>
    <row r="19" spans="1:32" x14ac:dyDescent="0.3">
      <c r="A19" s="4">
        <v>13</v>
      </c>
      <c r="B19" s="5">
        <v>12</v>
      </c>
      <c r="C19">
        <v>159</v>
      </c>
      <c r="D19" t="s">
        <v>30739</v>
      </c>
      <c r="E19" t="s">
        <v>385</v>
      </c>
      <c r="F19" t="s">
        <v>91</v>
      </c>
      <c r="G19" t="s">
        <v>30740</v>
      </c>
      <c r="H19">
        <v>55.92</v>
      </c>
      <c r="I19">
        <v>0</v>
      </c>
      <c r="M19">
        <v>0</v>
      </c>
      <c r="N19">
        <v>20</v>
      </c>
      <c r="O19">
        <v>10</v>
      </c>
      <c r="P19">
        <v>85.92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F19">
        <v>91.92</v>
      </c>
    </row>
    <row r="20" spans="1:32" x14ac:dyDescent="0.3">
      <c r="A20" s="4">
        <v>14</v>
      </c>
      <c r="B20" s="5">
        <v>13</v>
      </c>
      <c r="C20">
        <v>733</v>
      </c>
      <c r="D20" t="s">
        <v>30711</v>
      </c>
      <c r="E20" t="s">
        <v>34</v>
      </c>
      <c r="F20" t="s">
        <v>28648</v>
      </c>
      <c r="G20" t="s">
        <v>30712</v>
      </c>
      <c r="H20">
        <v>45.81</v>
      </c>
      <c r="I20">
        <v>0</v>
      </c>
      <c r="L20">
        <v>10</v>
      </c>
      <c r="M20">
        <v>10</v>
      </c>
      <c r="N20">
        <v>20</v>
      </c>
      <c r="O20">
        <v>10</v>
      </c>
      <c r="P20">
        <v>85.81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F20">
        <v>91.81</v>
      </c>
    </row>
    <row r="21" spans="1:32" x14ac:dyDescent="0.3">
      <c r="A21" s="4">
        <v>15</v>
      </c>
      <c r="B21" s="5">
        <v>14</v>
      </c>
      <c r="C21">
        <v>982</v>
      </c>
      <c r="D21" t="s">
        <v>24993</v>
      </c>
      <c r="E21" t="s">
        <v>190</v>
      </c>
      <c r="F21" t="s">
        <v>23</v>
      </c>
      <c r="G21" t="s">
        <v>30741</v>
      </c>
      <c r="H21">
        <v>49.38</v>
      </c>
      <c r="I21">
        <v>0</v>
      </c>
      <c r="L21">
        <v>10</v>
      </c>
      <c r="M21">
        <v>10</v>
      </c>
      <c r="N21">
        <v>20</v>
      </c>
      <c r="O21">
        <v>10</v>
      </c>
      <c r="P21">
        <v>89.38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F21">
        <v>89.38</v>
      </c>
    </row>
    <row r="22" spans="1:32" x14ac:dyDescent="0.3">
      <c r="A22" s="4">
        <v>16</v>
      </c>
      <c r="B22" s="5">
        <v>15</v>
      </c>
      <c r="C22">
        <v>1349</v>
      </c>
      <c r="D22" t="s">
        <v>30742</v>
      </c>
      <c r="E22" t="s">
        <v>230</v>
      </c>
      <c r="F22" t="s">
        <v>17</v>
      </c>
      <c r="G22" t="s">
        <v>30743</v>
      </c>
      <c r="H22">
        <v>48.9</v>
      </c>
      <c r="I22">
        <v>0</v>
      </c>
      <c r="L22">
        <v>10</v>
      </c>
      <c r="M22">
        <v>10</v>
      </c>
      <c r="N22">
        <v>20</v>
      </c>
      <c r="O22">
        <v>10</v>
      </c>
      <c r="P22">
        <v>88.9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F22">
        <v>88.9</v>
      </c>
    </row>
    <row r="23" spans="1:32" x14ac:dyDescent="0.3">
      <c r="A23" s="4">
        <v>17</v>
      </c>
      <c r="B23" s="5">
        <v>16</v>
      </c>
      <c r="C23">
        <v>1725</v>
      </c>
      <c r="D23" t="s">
        <v>30744</v>
      </c>
      <c r="E23" t="s">
        <v>20</v>
      </c>
      <c r="F23" t="s">
        <v>343</v>
      </c>
      <c r="G23" t="s">
        <v>30745</v>
      </c>
      <c r="H23">
        <v>33.99</v>
      </c>
      <c r="I23">
        <v>0</v>
      </c>
      <c r="J23">
        <v>20</v>
      </c>
      <c r="M23">
        <v>20</v>
      </c>
      <c r="N23">
        <v>20</v>
      </c>
      <c r="O23">
        <v>10</v>
      </c>
      <c r="P23">
        <v>83.99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F23">
        <v>83.99</v>
      </c>
    </row>
    <row r="24" spans="1:32" x14ac:dyDescent="0.3">
      <c r="A24" s="4">
        <v>18</v>
      </c>
      <c r="B24" s="5">
        <v>17</v>
      </c>
      <c r="C24">
        <v>1756</v>
      </c>
      <c r="D24" t="s">
        <v>30746</v>
      </c>
      <c r="E24" t="s">
        <v>17</v>
      </c>
      <c r="F24" t="s">
        <v>30</v>
      </c>
      <c r="G24" t="s">
        <v>30747</v>
      </c>
      <c r="H24">
        <v>42</v>
      </c>
      <c r="I24">
        <v>0</v>
      </c>
      <c r="L24">
        <v>10</v>
      </c>
      <c r="M24">
        <v>10</v>
      </c>
      <c r="N24">
        <v>20</v>
      </c>
      <c r="O24">
        <v>10</v>
      </c>
      <c r="P24">
        <v>82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F24">
        <v>82</v>
      </c>
    </row>
    <row r="25" spans="1:32" x14ac:dyDescent="0.3">
      <c r="A25" s="4">
        <v>19</v>
      </c>
      <c r="B25" s="5">
        <v>18</v>
      </c>
      <c r="C25">
        <v>211</v>
      </c>
      <c r="D25" t="s">
        <v>24727</v>
      </c>
      <c r="E25" t="s">
        <v>68</v>
      </c>
      <c r="F25" t="s">
        <v>158</v>
      </c>
      <c r="G25" t="s">
        <v>30748</v>
      </c>
      <c r="H25">
        <v>30</v>
      </c>
      <c r="I25">
        <v>10</v>
      </c>
      <c r="L25">
        <v>10</v>
      </c>
      <c r="M25">
        <v>10</v>
      </c>
      <c r="N25">
        <v>20</v>
      </c>
      <c r="O25">
        <v>10</v>
      </c>
      <c r="P25">
        <v>80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t="s">
        <v>130</v>
      </c>
      <c r="AF25">
        <v>80</v>
      </c>
    </row>
    <row r="27" spans="1:32" x14ac:dyDescent="0.3">
      <c r="A27" s="3" t="s">
        <v>8356</v>
      </c>
    </row>
    <row r="28" spans="1:32" x14ac:dyDescent="0.3">
      <c r="A28" s="3" t="s">
        <v>30528</v>
      </c>
    </row>
    <row r="29" spans="1:32" x14ac:dyDescent="0.3">
      <c r="A29" s="3" t="s">
        <v>30529</v>
      </c>
    </row>
    <row r="30" spans="1:32" x14ac:dyDescent="0.3">
      <c r="A30" s="3" t="s">
        <v>30530</v>
      </c>
    </row>
    <row r="31" spans="1:32" x14ac:dyDescent="0.3">
      <c r="A31" s="3" t="s">
        <v>30531</v>
      </c>
    </row>
    <row r="32" spans="1:32" s="4" customFormat="1" x14ac:dyDescent="0.3">
      <c r="A32" s="3" t="s">
        <v>30532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30535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8365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8366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30536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30537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30538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30539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30540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30541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30542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30543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 t="s">
        <v>30544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 t="s">
        <v>30545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30546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30547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30548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Φύλλο26"/>
  <dimension ref="A1:AF50"/>
  <sheetViews>
    <sheetView workbookViewId="0">
      <selection activeCell="A8" sqref="A8:AF21"/>
    </sheetView>
  </sheetViews>
  <sheetFormatPr defaultRowHeight="14.4" x14ac:dyDescent="0.3"/>
  <cols>
    <col min="1" max="2" width="9.109375" style="4"/>
    <col min="3" max="3" width="5.109375" customWidth="1"/>
    <col min="4" max="4" width="13.33203125" customWidth="1"/>
    <col min="5" max="5" width="14" bestFit="1" customWidth="1"/>
    <col min="6" max="6" width="12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30749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1122</v>
      </c>
      <c r="D8" t="s">
        <v>30750</v>
      </c>
      <c r="E8" t="s">
        <v>342</v>
      </c>
      <c r="F8" t="s">
        <v>587</v>
      </c>
      <c r="G8" t="s">
        <v>30751</v>
      </c>
      <c r="H8">
        <v>60</v>
      </c>
      <c r="I8">
        <v>0</v>
      </c>
      <c r="L8">
        <v>10</v>
      </c>
      <c r="M8">
        <v>10</v>
      </c>
      <c r="N8">
        <v>20</v>
      </c>
      <c r="O8">
        <v>10</v>
      </c>
      <c r="P8">
        <v>100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26.8</v>
      </c>
      <c r="AD8" t="s">
        <v>130</v>
      </c>
      <c r="AF8">
        <v>135.80000000000001</v>
      </c>
    </row>
    <row r="9" spans="1:32" x14ac:dyDescent="0.3">
      <c r="A9" s="4">
        <v>2</v>
      </c>
      <c r="B9" s="5">
        <v>2</v>
      </c>
      <c r="C9">
        <v>220</v>
      </c>
      <c r="D9" t="s">
        <v>30752</v>
      </c>
      <c r="E9" t="s">
        <v>29</v>
      </c>
      <c r="F9" t="s">
        <v>30</v>
      </c>
      <c r="G9" t="s">
        <v>30753</v>
      </c>
      <c r="H9">
        <v>60</v>
      </c>
      <c r="I9">
        <v>0</v>
      </c>
      <c r="J9">
        <v>40</v>
      </c>
      <c r="M9">
        <v>20</v>
      </c>
      <c r="N9">
        <v>20</v>
      </c>
      <c r="O9">
        <v>10</v>
      </c>
      <c r="P9">
        <v>110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9</v>
      </c>
      <c r="AA9">
        <v>0</v>
      </c>
      <c r="AD9" t="s">
        <v>130</v>
      </c>
      <c r="AF9">
        <v>119</v>
      </c>
    </row>
    <row r="10" spans="1:32" x14ac:dyDescent="0.3">
      <c r="A10" s="4">
        <v>3</v>
      </c>
      <c r="B10" s="5">
        <v>3</v>
      </c>
      <c r="C10">
        <v>297</v>
      </c>
      <c r="D10" t="s">
        <v>6906</v>
      </c>
      <c r="E10" t="s">
        <v>29</v>
      </c>
      <c r="F10" t="s">
        <v>38</v>
      </c>
      <c r="G10" t="s">
        <v>30754</v>
      </c>
      <c r="H10">
        <v>59.7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109.7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6</v>
      </c>
      <c r="AA10">
        <v>0</v>
      </c>
      <c r="AD10" t="s">
        <v>130</v>
      </c>
      <c r="AF10">
        <v>115.7</v>
      </c>
    </row>
    <row r="11" spans="1:32" x14ac:dyDescent="0.3">
      <c r="A11" s="4">
        <v>4</v>
      </c>
      <c r="B11" s="5">
        <v>4</v>
      </c>
      <c r="C11">
        <v>8</v>
      </c>
      <c r="D11" t="s">
        <v>4407</v>
      </c>
      <c r="E11" t="s">
        <v>54</v>
      </c>
      <c r="F11" t="s">
        <v>124</v>
      </c>
      <c r="G11" t="s">
        <v>30755</v>
      </c>
      <c r="H11">
        <v>56.46</v>
      </c>
      <c r="I11">
        <v>0</v>
      </c>
      <c r="J11">
        <v>20</v>
      </c>
      <c r="L11">
        <v>10</v>
      </c>
      <c r="M11">
        <v>20</v>
      </c>
      <c r="N11">
        <v>20</v>
      </c>
      <c r="O11">
        <v>10</v>
      </c>
      <c r="P11">
        <v>106.46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D11" t="s">
        <v>130</v>
      </c>
      <c r="AF11">
        <v>112.46</v>
      </c>
    </row>
    <row r="12" spans="1:32" x14ac:dyDescent="0.3">
      <c r="A12" s="4">
        <v>5</v>
      </c>
      <c r="B12" s="5">
        <v>5</v>
      </c>
      <c r="C12">
        <v>873</v>
      </c>
      <c r="D12" t="s">
        <v>2008</v>
      </c>
      <c r="E12" t="s">
        <v>166</v>
      </c>
      <c r="F12" t="s">
        <v>117</v>
      </c>
      <c r="G12" t="s">
        <v>30756</v>
      </c>
      <c r="H12">
        <v>57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107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B12" t="s">
        <v>130</v>
      </c>
      <c r="AD12" t="s">
        <v>130</v>
      </c>
      <c r="AF12">
        <v>110</v>
      </c>
    </row>
    <row r="13" spans="1:32" x14ac:dyDescent="0.3">
      <c r="A13" s="4">
        <v>6</v>
      </c>
      <c r="B13" s="5">
        <v>6</v>
      </c>
      <c r="C13">
        <v>1445</v>
      </c>
      <c r="D13" t="s">
        <v>3447</v>
      </c>
      <c r="E13" t="s">
        <v>403</v>
      </c>
      <c r="F13" t="s">
        <v>124</v>
      </c>
      <c r="G13" t="s">
        <v>3677</v>
      </c>
      <c r="H13">
        <v>58.8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108.8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t="s">
        <v>130</v>
      </c>
      <c r="AD13" t="s">
        <v>130</v>
      </c>
      <c r="AF13">
        <v>108.8</v>
      </c>
    </row>
    <row r="14" spans="1:32" x14ac:dyDescent="0.3">
      <c r="A14" s="4">
        <v>8</v>
      </c>
      <c r="B14" s="5">
        <v>7</v>
      </c>
      <c r="C14">
        <v>923</v>
      </c>
      <c r="D14" t="s">
        <v>30757</v>
      </c>
      <c r="E14" t="s">
        <v>7769</v>
      </c>
      <c r="F14" t="s">
        <v>91</v>
      </c>
      <c r="G14" t="s">
        <v>30758</v>
      </c>
      <c r="H14">
        <v>56.7</v>
      </c>
      <c r="I14">
        <v>0</v>
      </c>
      <c r="J14">
        <v>20</v>
      </c>
      <c r="M14">
        <v>20</v>
      </c>
      <c r="N14">
        <v>20</v>
      </c>
      <c r="O14">
        <v>10</v>
      </c>
      <c r="P14">
        <v>106.7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106.7</v>
      </c>
    </row>
    <row r="15" spans="1:32" x14ac:dyDescent="0.3">
      <c r="A15" s="4">
        <v>9</v>
      </c>
      <c r="B15" s="5">
        <v>8</v>
      </c>
      <c r="C15">
        <v>114</v>
      </c>
      <c r="D15" t="s">
        <v>22028</v>
      </c>
      <c r="E15" t="s">
        <v>29</v>
      </c>
      <c r="F15" t="s">
        <v>1000</v>
      </c>
      <c r="G15" t="s">
        <v>30759</v>
      </c>
      <c r="H15">
        <v>49.92</v>
      </c>
      <c r="I15">
        <v>0</v>
      </c>
      <c r="J15">
        <v>20</v>
      </c>
      <c r="L15">
        <v>10</v>
      </c>
      <c r="M15">
        <v>20</v>
      </c>
      <c r="N15">
        <v>20</v>
      </c>
      <c r="O15">
        <v>10</v>
      </c>
      <c r="P15">
        <v>99.92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</v>
      </c>
      <c r="AA15">
        <v>0</v>
      </c>
      <c r="AB15" t="s">
        <v>130</v>
      </c>
      <c r="AD15" t="s">
        <v>130</v>
      </c>
      <c r="AF15">
        <v>105.92</v>
      </c>
    </row>
    <row r="16" spans="1:32" x14ac:dyDescent="0.3">
      <c r="A16" s="4">
        <v>10</v>
      </c>
      <c r="B16" s="5">
        <v>9</v>
      </c>
      <c r="C16">
        <v>1153</v>
      </c>
      <c r="D16" t="s">
        <v>20396</v>
      </c>
      <c r="E16" t="s">
        <v>88</v>
      </c>
      <c r="F16" t="s">
        <v>158</v>
      </c>
      <c r="G16" t="s">
        <v>30760</v>
      </c>
      <c r="H16">
        <v>53.7</v>
      </c>
      <c r="I16">
        <v>0</v>
      </c>
      <c r="K16">
        <v>15</v>
      </c>
      <c r="M16">
        <v>15</v>
      </c>
      <c r="N16">
        <v>20</v>
      </c>
      <c r="O16">
        <v>10</v>
      </c>
      <c r="P16">
        <v>98.7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t="s">
        <v>130</v>
      </c>
      <c r="AD16" t="s">
        <v>130</v>
      </c>
      <c r="AF16">
        <v>98.7</v>
      </c>
    </row>
    <row r="17" spans="1:32" x14ac:dyDescent="0.3">
      <c r="A17" s="4">
        <v>11</v>
      </c>
      <c r="B17" s="5">
        <v>10</v>
      </c>
      <c r="C17">
        <v>235</v>
      </c>
      <c r="D17" t="s">
        <v>30761</v>
      </c>
      <c r="E17" t="s">
        <v>17</v>
      </c>
      <c r="F17" t="s">
        <v>158</v>
      </c>
      <c r="G17" t="s">
        <v>30762</v>
      </c>
      <c r="H17">
        <v>56.7</v>
      </c>
      <c r="I17">
        <v>0</v>
      </c>
      <c r="J17">
        <v>20</v>
      </c>
      <c r="M17">
        <v>20</v>
      </c>
      <c r="N17">
        <v>20</v>
      </c>
      <c r="O17">
        <v>0</v>
      </c>
      <c r="P17">
        <v>96.7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D17" t="s">
        <v>130</v>
      </c>
      <c r="AF17">
        <v>96.7</v>
      </c>
    </row>
    <row r="18" spans="1:32" x14ac:dyDescent="0.3">
      <c r="A18" s="4">
        <v>12</v>
      </c>
      <c r="B18" s="5">
        <v>11</v>
      </c>
      <c r="C18">
        <v>1071</v>
      </c>
      <c r="D18" t="s">
        <v>11242</v>
      </c>
      <c r="E18" t="s">
        <v>8809</v>
      </c>
      <c r="F18" t="s">
        <v>375</v>
      </c>
      <c r="G18" t="s">
        <v>30763</v>
      </c>
      <c r="H18">
        <v>39</v>
      </c>
      <c r="I18">
        <v>0</v>
      </c>
      <c r="J18">
        <v>40</v>
      </c>
      <c r="M18">
        <v>20</v>
      </c>
      <c r="N18">
        <v>20</v>
      </c>
      <c r="O18">
        <v>10</v>
      </c>
      <c r="P18">
        <v>89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</v>
      </c>
      <c r="AA18">
        <v>0</v>
      </c>
      <c r="AD18" t="s">
        <v>130</v>
      </c>
      <c r="AF18">
        <v>95</v>
      </c>
    </row>
    <row r="19" spans="1:32" x14ac:dyDescent="0.3">
      <c r="A19" s="4">
        <v>13</v>
      </c>
      <c r="B19" s="5">
        <v>12</v>
      </c>
      <c r="C19">
        <v>1537</v>
      </c>
      <c r="D19" t="s">
        <v>6842</v>
      </c>
      <c r="E19" t="s">
        <v>1694</v>
      </c>
      <c r="F19" t="s">
        <v>136</v>
      </c>
      <c r="G19" t="s">
        <v>30764</v>
      </c>
      <c r="H19">
        <v>51.54</v>
      </c>
      <c r="I19">
        <v>0</v>
      </c>
      <c r="L19">
        <v>10</v>
      </c>
      <c r="M19">
        <v>10</v>
      </c>
      <c r="N19">
        <v>20</v>
      </c>
      <c r="O19">
        <v>10</v>
      </c>
      <c r="P19">
        <v>91.54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t="s">
        <v>130</v>
      </c>
      <c r="AD19" t="s">
        <v>130</v>
      </c>
      <c r="AF19">
        <v>91.54</v>
      </c>
    </row>
    <row r="20" spans="1:32" x14ac:dyDescent="0.3">
      <c r="A20" s="4">
        <v>14</v>
      </c>
      <c r="B20" s="5">
        <v>13</v>
      </c>
      <c r="C20">
        <v>371</v>
      </c>
      <c r="D20" t="s">
        <v>5457</v>
      </c>
      <c r="E20" t="s">
        <v>230</v>
      </c>
      <c r="F20" t="s">
        <v>124</v>
      </c>
      <c r="G20" t="s">
        <v>30765</v>
      </c>
      <c r="H20">
        <v>45.81</v>
      </c>
      <c r="I20">
        <v>0</v>
      </c>
      <c r="L20">
        <v>10</v>
      </c>
      <c r="M20">
        <v>10</v>
      </c>
      <c r="N20">
        <v>20</v>
      </c>
      <c r="O20">
        <v>10</v>
      </c>
      <c r="P20">
        <v>85.81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t="s">
        <v>130</v>
      </c>
      <c r="AD20" t="s">
        <v>130</v>
      </c>
      <c r="AF20">
        <v>85.81</v>
      </c>
    </row>
    <row r="22" spans="1:32" x14ac:dyDescent="0.3">
      <c r="A22" s="3" t="s">
        <v>8356</v>
      </c>
    </row>
    <row r="23" spans="1:32" x14ac:dyDescent="0.3">
      <c r="A23" s="3" t="s">
        <v>30528</v>
      </c>
    </row>
    <row r="24" spans="1:32" x14ac:dyDescent="0.3">
      <c r="A24" s="3" t="s">
        <v>30529</v>
      </c>
    </row>
    <row r="25" spans="1:32" x14ac:dyDescent="0.3">
      <c r="A25" s="3" t="s">
        <v>30530</v>
      </c>
    </row>
    <row r="26" spans="1:32" x14ac:dyDescent="0.3">
      <c r="A26" s="3" t="s">
        <v>30531</v>
      </c>
    </row>
    <row r="27" spans="1:32" x14ac:dyDescent="0.3">
      <c r="A27" s="3" t="s">
        <v>30532</v>
      </c>
    </row>
    <row r="28" spans="1:32" x14ac:dyDescent="0.3">
      <c r="A28" s="3" t="s">
        <v>30533</v>
      </c>
    </row>
    <row r="29" spans="1:32" x14ac:dyDescent="0.3">
      <c r="A29" s="3" t="s">
        <v>30534</v>
      </c>
    </row>
    <row r="30" spans="1:32" x14ac:dyDescent="0.3">
      <c r="A30" s="3" t="s">
        <v>30535</v>
      </c>
    </row>
    <row r="31" spans="1:32" x14ac:dyDescent="0.3">
      <c r="A31" s="3" t="s">
        <v>8365</v>
      </c>
    </row>
    <row r="32" spans="1:32" s="4" customFormat="1" x14ac:dyDescent="0.3">
      <c r="A32" s="3" t="s">
        <v>8366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30536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30537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30538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30539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30540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30541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30542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30543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30544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30545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30546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30547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30548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Φύλλο27"/>
  <dimension ref="A1:AF102"/>
  <sheetViews>
    <sheetView workbookViewId="0">
      <selection activeCell="A8" sqref="A8:AF73"/>
    </sheetView>
  </sheetViews>
  <sheetFormatPr defaultRowHeight="14.4" x14ac:dyDescent="0.3"/>
  <cols>
    <col min="1" max="2" width="9.109375" style="4"/>
    <col min="3" max="3" width="5.109375" customWidth="1"/>
    <col min="4" max="4" width="17.44140625" bestFit="1" customWidth="1"/>
    <col min="5" max="5" width="17.33203125" bestFit="1" customWidth="1"/>
    <col min="6" max="6" width="18.441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30749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607</v>
      </c>
      <c r="D8" t="s">
        <v>30766</v>
      </c>
      <c r="E8" t="s">
        <v>208</v>
      </c>
      <c r="F8" t="s">
        <v>214</v>
      </c>
      <c r="G8" t="s">
        <v>30767</v>
      </c>
      <c r="H8">
        <v>41.7</v>
      </c>
      <c r="I8">
        <v>0</v>
      </c>
      <c r="J8">
        <v>20</v>
      </c>
      <c r="M8">
        <v>20</v>
      </c>
      <c r="N8">
        <v>20</v>
      </c>
      <c r="O8">
        <v>10</v>
      </c>
      <c r="P8">
        <v>91.7</v>
      </c>
      <c r="Q8">
        <v>45</v>
      </c>
      <c r="R8">
        <v>45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45</v>
      </c>
      <c r="Z8">
        <v>0</v>
      </c>
      <c r="AA8">
        <v>0</v>
      </c>
      <c r="AD8" t="s">
        <v>130</v>
      </c>
      <c r="AF8">
        <v>136.69999999999999</v>
      </c>
    </row>
    <row r="9" spans="1:32" x14ac:dyDescent="0.3">
      <c r="A9" s="4">
        <v>2</v>
      </c>
      <c r="B9" s="5">
        <v>2</v>
      </c>
      <c r="C9">
        <v>1473</v>
      </c>
      <c r="D9" t="s">
        <v>30768</v>
      </c>
      <c r="E9" t="s">
        <v>29</v>
      </c>
      <c r="F9" t="s">
        <v>158</v>
      </c>
      <c r="G9" t="s">
        <v>30769</v>
      </c>
      <c r="H9">
        <v>57.06</v>
      </c>
      <c r="I9">
        <v>0</v>
      </c>
      <c r="M9">
        <v>0</v>
      </c>
      <c r="N9">
        <v>20</v>
      </c>
      <c r="O9">
        <v>10</v>
      </c>
      <c r="P9">
        <v>87.06</v>
      </c>
      <c r="Q9">
        <v>45</v>
      </c>
      <c r="R9">
        <v>45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45</v>
      </c>
      <c r="Z9">
        <v>0</v>
      </c>
      <c r="AA9">
        <v>0</v>
      </c>
      <c r="AD9" t="s">
        <v>130</v>
      </c>
      <c r="AF9">
        <v>132.06</v>
      </c>
    </row>
    <row r="10" spans="1:32" x14ac:dyDescent="0.3">
      <c r="A10" s="4">
        <v>3</v>
      </c>
      <c r="B10" s="5">
        <v>3</v>
      </c>
      <c r="C10">
        <v>594</v>
      </c>
      <c r="D10" t="s">
        <v>1000</v>
      </c>
      <c r="E10" t="s">
        <v>158</v>
      </c>
      <c r="F10" t="s">
        <v>17</v>
      </c>
      <c r="G10" t="s">
        <v>30770</v>
      </c>
      <c r="H10">
        <v>50.1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100.1</v>
      </c>
      <c r="Q10">
        <v>27</v>
      </c>
      <c r="R10">
        <v>27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27</v>
      </c>
      <c r="Z10">
        <v>0</v>
      </c>
      <c r="AA10">
        <v>0</v>
      </c>
      <c r="AB10" t="s">
        <v>130</v>
      </c>
      <c r="AD10" t="s">
        <v>130</v>
      </c>
      <c r="AF10">
        <v>127.1</v>
      </c>
    </row>
    <row r="11" spans="1:32" x14ac:dyDescent="0.3">
      <c r="A11" s="4">
        <v>4</v>
      </c>
      <c r="B11" s="5">
        <v>4</v>
      </c>
      <c r="C11">
        <v>343</v>
      </c>
      <c r="D11" t="s">
        <v>30771</v>
      </c>
      <c r="E11" t="s">
        <v>51</v>
      </c>
      <c r="F11" t="s">
        <v>442</v>
      </c>
      <c r="G11" t="s">
        <v>30772</v>
      </c>
      <c r="H11">
        <v>58.32</v>
      </c>
      <c r="I11">
        <v>0</v>
      </c>
      <c r="J11">
        <v>20</v>
      </c>
      <c r="K11">
        <v>15</v>
      </c>
      <c r="M11">
        <v>20</v>
      </c>
      <c r="N11">
        <v>20</v>
      </c>
      <c r="O11">
        <v>10</v>
      </c>
      <c r="P11">
        <v>108.32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B11" t="s">
        <v>130</v>
      </c>
      <c r="AD11" t="s">
        <v>130</v>
      </c>
      <c r="AF11">
        <v>114.32</v>
      </c>
    </row>
    <row r="12" spans="1:32" x14ac:dyDescent="0.3">
      <c r="A12" s="4">
        <v>5</v>
      </c>
      <c r="B12" s="5">
        <v>5</v>
      </c>
      <c r="C12">
        <v>308</v>
      </c>
      <c r="D12" t="s">
        <v>12104</v>
      </c>
      <c r="E12" t="s">
        <v>757</v>
      </c>
      <c r="F12" t="s">
        <v>81</v>
      </c>
      <c r="G12" t="s">
        <v>30773</v>
      </c>
      <c r="H12">
        <v>57.9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107.9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6</v>
      </c>
      <c r="AA12">
        <v>0</v>
      </c>
      <c r="AD12" t="s">
        <v>130</v>
      </c>
      <c r="AF12">
        <v>113.9</v>
      </c>
    </row>
    <row r="13" spans="1:32" x14ac:dyDescent="0.3">
      <c r="A13" s="4">
        <v>6</v>
      </c>
      <c r="B13" s="5">
        <v>6</v>
      </c>
      <c r="C13">
        <v>613</v>
      </c>
      <c r="D13" t="s">
        <v>30774</v>
      </c>
      <c r="E13" t="s">
        <v>37</v>
      </c>
      <c r="F13" t="s">
        <v>81</v>
      </c>
      <c r="G13" t="s">
        <v>30775</v>
      </c>
      <c r="H13">
        <v>54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</v>
      </c>
      <c r="AA13">
        <v>0</v>
      </c>
      <c r="AD13" t="s">
        <v>130</v>
      </c>
      <c r="AF13">
        <v>110</v>
      </c>
    </row>
    <row r="14" spans="1:32" x14ac:dyDescent="0.3">
      <c r="A14" s="4">
        <v>7</v>
      </c>
      <c r="B14" s="5">
        <v>7</v>
      </c>
      <c r="C14">
        <v>846</v>
      </c>
      <c r="D14" t="s">
        <v>2666</v>
      </c>
      <c r="E14" t="s">
        <v>147</v>
      </c>
      <c r="F14" t="s">
        <v>343</v>
      </c>
      <c r="G14" t="s">
        <v>30776</v>
      </c>
      <c r="H14">
        <v>60</v>
      </c>
      <c r="I14">
        <v>0</v>
      </c>
      <c r="J14">
        <v>20</v>
      </c>
      <c r="M14">
        <v>20</v>
      </c>
      <c r="N14">
        <v>20</v>
      </c>
      <c r="O14">
        <v>10</v>
      </c>
      <c r="P14">
        <v>110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110</v>
      </c>
    </row>
    <row r="15" spans="1:32" x14ac:dyDescent="0.3">
      <c r="A15" s="4">
        <v>8</v>
      </c>
      <c r="B15" s="5">
        <v>8</v>
      </c>
      <c r="C15">
        <v>1237</v>
      </c>
      <c r="D15" t="s">
        <v>5502</v>
      </c>
      <c r="E15" t="s">
        <v>12378</v>
      </c>
      <c r="F15" t="s">
        <v>2598</v>
      </c>
      <c r="G15" t="s">
        <v>30777</v>
      </c>
      <c r="H15">
        <v>60</v>
      </c>
      <c r="I15">
        <v>0</v>
      </c>
      <c r="J15">
        <v>40</v>
      </c>
      <c r="M15">
        <v>20</v>
      </c>
      <c r="N15">
        <v>20</v>
      </c>
      <c r="O15">
        <v>10</v>
      </c>
      <c r="P15">
        <v>110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110</v>
      </c>
    </row>
    <row r="16" spans="1:32" x14ac:dyDescent="0.3">
      <c r="A16" s="4">
        <v>9</v>
      </c>
      <c r="B16" s="5">
        <v>9</v>
      </c>
      <c r="C16">
        <v>1326</v>
      </c>
      <c r="D16" t="s">
        <v>7187</v>
      </c>
      <c r="E16" t="s">
        <v>29</v>
      </c>
      <c r="F16" t="s">
        <v>68</v>
      </c>
      <c r="G16" t="s">
        <v>30778</v>
      </c>
      <c r="H16">
        <v>55.65</v>
      </c>
      <c r="I16">
        <v>0</v>
      </c>
      <c r="J16">
        <v>20</v>
      </c>
      <c r="M16">
        <v>20</v>
      </c>
      <c r="N16">
        <v>20</v>
      </c>
      <c r="O16">
        <v>10</v>
      </c>
      <c r="P16">
        <v>105.65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3</v>
      </c>
      <c r="AA16">
        <v>0</v>
      </c>
      <c r="AD16" t="s">
        <v>130</v>
      </c>
      <c r="AF16">
        <v>108.65</v>
      </c>
    </row>
    <row r="17" spans="1:32" x14ac:dyDescent="0.3">
      <c r="A17" s="4">
        <v>10</v>
      </c>
      <c r="B17" s="5">
        <v>10</v>
      </c>
      <c r="C17">
        <v>798</v>
      </c>
      <c r="D17" t="s">
        <v>26077</v>
      </c>
      <c r="E17" t="s">
        <v>182</v>
      </c>
      <c r="F17" t="s">
        <v>30779</v>
      </c>
      <c r="G17" t="s">
        <v>30780</v>
      </c>
      <c r="H17">
        <v>58.2</v>
      </c>
      <c r="I17">
        <v>0</v>
      </c>
      <c r="J17">
        <v>20</v>
      </c>
      <c r="L17">
        <v>10</v>
      </c>
      <c r="M17">
        <v>20</v>
      </c>
      <c r="N17">
        <v>20</v>
      </c>
      <c r="O17">
        <v>10</v>
      </c>
      <c r="P17">
        <v>108.2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t="s">
        <v>130</v>
      </c>
      <c r="AD17" t="s">
        <v>130</v>
      </c>
      <c r="AF17">
        <v>108.2</v>
      </c>
    </row>
    <row r="18" spans="1:32" x14ac:dyDescent="0.3">
      <c r="A18" s="4">
        <v>11</v>
      </c>
      <c r="B18" s="5">
        <v>11</v>
      </c>
      <c r="C18">
        <v>1415</v>
      </c>
      <c r="D18" t="s">
        <v>24641</v>
      </c>
      <c r="E18" t="s">
        <v>97</v>
      </c>
      <c r="F18" t="s">
        <v>81</v>
      </c>
      <c r="G18" t="s">
        <v>30781</v>
      </c>
      <c r="H18">
        <v>58.2</v>
      </c>
      <c r="I18">
        <v>0</v>
      </c>
      <c r="J18">
        <v>20</v>
      </c>
      <c r="L18">
        <v>10</v>
      </c>
      <c r="M18">
        <v>20</v>
      </c>
      <c r="N18">
        <v>20</v>
      </c>
      <c r="O18">
        <v>10</v>
      </c>
      <c r="P18">
        <v>108.2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t="s">
        <v>130</v>
      </c>
      <c r="AD18" t="s">
        <v>130</v>
      </c>
      <c r="AF18">
        <v>108.2</v>
      </c>
    </row>
    <row r="19" spans="1:32" x14ac:dyDescent="0.3">
      <c r="A19" s="4">
        <v>12</v>
      </c>
      <c r="B19" s="5">
        <v>12</v>
      </c>
      <c r="C19">
        <v>894</v>
      </c>
      <c r="D19" t="s">
        <v>18635</v>
      </c>
      <c r="E19" t="s">
        <v>1189</v>
      </c>
      <c r="F19" t="s">
        <v>17</v>
      </c>
      <c r="G19" t="s">
        <v>30782</v>
      </c>
      <c r="H19">
        <v>60</v>
      </c>
      <c r="I19">
        <v>0</v>
      </c>
      <c r="K19">
        <v>15</v>
      </c>
      <c r="L19">
        <v>10</v>
      </c>
      <c r="M19">
        <v>15</v>
      </c>
      <c r="N19">
        <v>20</v>
      </c>
      <c r="O19">
        <v>10</v>
      </c>
      <c r="P19">
        <v>105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3</v>
      </c>
      <c r="AA19">
        <v>0</v>
      </c>
      <c r="AD19" t="s">
        <v>130</v>
      </c>
      <c r="AF19">
        <v>108</v>
      </c>
    </row>
    <row r="20" spans="1:32" x14ac:dyDescent="0.3">
      <c r="A20" s="4">
        <v>13</v>
      </c>
      <c r="B20" s="5">
        <v>13</v>
      </c>
      <c r="C20">
        <v>1609</v>
      </c>
      <c r="D20" t="s">
        <v>25245</v>
      </c>
      <c r="E20" t="s">
        <v>54</v>
      </c>
      <c r="F20" t="s">
        <v>136</v>
      </c>
      <c r="G20" t="s">
        <v>30783</v>
      </c>
      <c r="H20">
        <v>57.54</v>
      </c>
      <c r="I20">
        <v>0</v>
      </c>
      <c r="J20">
        <v>20</v>
      </c>
      <c r="L20">
        <v>10</v>
      </c>
      <c r="M20">
        <v>20</v>
      </c>
      <c r="N20">
        <v>20</v>
      </c>
      <c r="O20">
        <v>10</v>
      </c>
      <c r="P20">
        <v>107.54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t="s">
        <v>130</v>
      </c>
      <c r="AD20" t="s">
        <v>130</v>
      </c>
      <c r="AF20">
        <v>107.54</v>
      </c>
    </row>
    <row r="21" spans="1:32" x14ac:dyDescent="0.3">
      <c r="A21" s="4">
        <v>14</v>
      </c>
      <c r="B21" s="5">
        <v>14</v>
      </c>
      <c r="C21">
        <v>373</v>
      </c>
      <c r="D21" t="s">
        <v>4889</v>
      </c>
      <c r="E21" t="s">
        <v>110</v>
      </c>
      <c r="F21" t="s">
        <v>136</v>
      </c>
      <c r="G21" t="s">
        <v>30784</v>
      </c>
      <c r="H21">
        <v>57</v>
      </c>
      <c r="I21">
        <v>10</v>
      </c>
      <c r="L21">
        <v>10</v>
      </c>
      <c r="M21">
        <v>10</v>
      </c>
      <c r="N21">
        <v>20</v>
      </c>
      <c r="O21">
        <v>10</v>
      </c>
      <c r="P21">
        <v>107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t="s">
        <v>130</v>
      </c>
      <c r="AD21" t="s">
        <v>130</v>
      </c>
      <c r="AF21">
        <v>107</v>
      </c>
    </row>
    <row r="22" spans="1:32" x14ac:dyDescent="0.3">
      <c r="A22" s="4">
        <v>15</v>
      </c>
      <c r="B22" s="5">
        <v>15</v>
      </c>
      <c r="C22">
        <v>1218</v>
      </c>
      <c r="D22" t="s">
        <v>30785</v>
      </c>
      <c r="E22" t="s">
        <v>33</v>
      </c>
      <c r="F22" t="s">
        <v>117</v>
      </c>
      <c r="G22" t="s">
        <v>30786</v>
      </c>
      <c r="H22">
        <v>50.7</v>
      </c>
      <c r="I22">
        <v>0</v>
      </c>
      <c r="J22">
        <v>20</v>
      </c>
      <c r="M22">
        <v>20</v>
      </c>
      <c r="N22">
        <v>20</v>
      </c>
      <c r="O22">
        <v>10</v>
      </c>
      <c r="P22">
        <v>100.7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6</v>
      </c>
      <c r="AA22">
        <v>0</v>
      </c>
      <c r="AB22" t="s">
        <v>130</v>
      </c>
      <c r="AC22" t="s">
        <v>130</v>
      </c>
      <c r="AD22" t="s">
        <v>130</v>
      </c>
      <c r="AF22">
        <v>106.7</v>
      </c>
    </row>
    <row r="23" spans="1:32" x14ac:dyDescent="0.3">
      <c r="A23" s="4">
        <v>16</v>
      </c>
      <c r="B23" s="5">
        <v>16</v>
      </c>
      <c r="C23">
        <v>1542</v>
      </c>
      <c r="D23" t="s">
        <v>343</v>
      </c>
      <c r="E23" t="s">
        <v>20</v>
      </c>
      <c r="F23" t="s">
        <v>972</v>
      </c>
      <c r="G23" t="s">
        <v>30787</v>
      </c>
      <c r="H23">
        <v>60</v>
      </c>
      <c r="I23">
        <v>0</v>
      </c>
      <c r="K23">
        <v>15</v>
      </c>
      <c r="M23">
        <v>15</v>
      </c>
      <c r="N23">
        <v>20</v>
      </c>
      <c r="O23">
        <v>10</v>
      </c>
      <c r="P23">
        <v>105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D23" t="s">
        <v>130</v>
      </c>
      <c r="AF23">
        <v>105</v>
      </c>
    </row>
    <row r="24" spans="1:32" x14ac:dyDescent="0.3">
      <c r="A24" s="4">
        <v>18</v>
      </c>
      <c r="B24" s="5">
        <v>17</v>
      </c>
      <c r="C24">
        <v>120</v>
      </c>
      <c r="D24" t="s">
        <v>1284</v>
      </c>
      <c r="E24" t="s">
        <v>403</v>
      </c>
      <c r="F24" t="s">
        <v>14</v>
      </c>
      <c r="G24" t="s">
        <v>30788</v>
      </c>
      <c r="H24">
        <v>55.5</v>
      </c>
      <c r="I24">
        <v>0</v>
      </c>
      <c r="L24">
        <v>10</v>
      </c>
      <c r="M24">
        <v>10</v>
      </c>
      <c r="N24">
        <v>20</v>
      </c>
      <c r="O24">
        <v>10</v>
      </c>
      <c r="P24">
        <v>95.5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6</v>
      </c>
      <c r="AA24">
        <v>0</v>
      </c>
      <c r="AB24" t="s">
        <v>130</v>
      </c>
      <c r="AD24" t="s">
        <v>130</v>
      </c>
      <c r="AF24">
        <v>101.5</v>
      </c>
    </row>
    <row r="25" spans="1:32" x14ac:dyDescent="0.3">
      <c r="A25" s="4">
        <v>19</v>
      </c>
      <c r="B25" s="5">
        <v>18</v>
      </c>
      <c r="C25">
        <v>807</v>
      </c>
      <c r="D25" t="s">
        <v>30789</v>
      </c>
      <c r="E25" t="s">
        <v>17</v>
      </c>
      <c r="F25" t="s">
        <v>20</v>
      </c>
      <c r="G25" t="s">
        <v>30790</v>
      </c>
      <c r="H25">
        <v>60</v>
      </c>
      <c r="I25">
        <v>10</v>
      </c>
      <c r="M25">
        <v>0</v>
      </c>
      <c r="N25">
        <v>20</v>
      </c>
      <c r="O25">
        <v>10</v>
      </c>
      <c r="P25">
        <v>100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D25" t="s">
        <v>130</v>
      </c>
      <c r="AF25">
        <v>100</v>
      </c>
    </row>
    <row r="26" spans="1:32" x14ac:dyDescent="0.3">
      <c r="A26" s="4">
        <v>20</v>
      </c>
      <c r="B26" s="5">
        <v>19</v>
      </c>
      <c r="C26">
        <v>134</v>
      </c>
      <c r="D26" t="s">
        <v>4203</v>
      </c>
      <c r="E26" t="s">
        <v>147</v>
      </c>
      <c r="F26" t="s">
        <v>4204</v>
      </c>
      <c r="G26" t="s">
        <v>30791</v>
      </c>
      <c r="H26">
        <v>56.34</v>
      </c>
      <c r="I26">
        <v>0</v>
      </c>
      <c r="L26">
        <v>10</v>
      </c>
      <c r="M26">
        <v>10</v>
      </c>
      <c r="N26">
        <v>20</v>
      </c>
      <c r="O26">
        <v>10</v>
      </c>
      <c r="P26">
        <v>96.34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3</v>
      </c>
      <c r="AA26">
        <v>0</v>
      </c>
      <c r="AD26" t="s">
        <v>130</v>
      </c>
      <c r="AF26">
        <v>99.34</v>
      </c>
    </row>
    <row r="27" spans="1:32" x14ac:dyDescent="0.3">
      <c r="A27" s="4">
        <v>21</v>
      </c>
      <c r="B27" s="5">
        <v>20</v>
      </c>
      <c r="C27">
        <v>1007</v>
      </c>
      <c r="D27" t="s">
        <v>2647</v>
      </c>
      <c r="E27" t="s">
        <v>400</v>
      </c>
      <c r="F27" t="s">
        <v>124</v>
      </c>
      <c r="G27" t="s">
        <v>30792</v>
      </c>
      <c r="H27">
        <v>48.9</v>
      </c>
      <c r="I27">
        <v>0</v>
      </c>
      <c r="J27">
        <v>20</v>
      </c>
      <c r="L27">
        <v>10</v>
      </c>
      <c r="M27">
        <v>20</v>
      </c>
      <c r="N27">
        <v>20</v>
      </c>
      <c r="O27">
        <v>10</v>
      </c>
      <c r="P27">
        <v>98.9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t="s">
        <v>130</v>
      </c>
      <c r="AD27" t="s">
        <v>130</v>
      </c>
      <c r="AF27">
        <v>98.9</v>
      </c>
    </row>
    <row r="28" spans="1:32" x14ac:dyDescent="0.3">
      <c r="A28" s="4">
        <v>22</v>
      </c>
      <c r="B28" s="5">
        <v>21</v>
      </c>
      <c r="C28">
        <v>512</v>
      </c>
      <c r="D28" t="s">
        <v>30793</v>
      </c>
      <c r="E28" t="s">
        <v>161</v>
      </c>
      <c r="F28" t="s">
        <v>38</v>
      </c>
      <c r="G28" t="s">
        <v>30794</v>
      </c>
      <c r="H28">
        <v>52.65</v>
      </c>
      <c r="I28">
        <v>0</v>
      </c>
      <c r="L28">
        <v>10</v>
      </c>
      <c r="M28">
        <v>10</v>
      </c>
      <c r="N28">
        <v>20</v>
      </c>
      <c r="O28">
        <v>10</v>
      </c>
      <c r="P28">
        <v>92.65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</v>
      </c>
      <c r="AA28">
        <v>0</v>
      </c>
      <c r="AD28" t="s">
        <v>130</v>
      </c>
      <c r="AF28">
        <v>98.65</v>
      </c>
    </row>
    <row r="29" spans="1:32" x14ac:dyDescent="0.3">
      <c r="A29" s="4">
        <v>23</v>
      </c>
      <c r="B29" s="5">
        <v>22</v>
      </c>
      <c r="C29">
        <v>191</v>
      </c>
      <c r="D29" t="s">
        <v>30795</v>
      </c>
      <c r="E29" t="s">
        <v>30</v>
      </c>
      <c r="F29" t="s">
        <v>328</v>
      </c>
      <c r="G29" t="s">
        <v>30796</v>
      </c>
      <c r="H29">
        <v>55.65</v>
      </c>
      <c r="I29">
        <v>0</v>
      </c>
      <c r="L29">
        <v>10</v>
      </c>
      <c r="M29">
        <v>10</v>
      </c>
      <c r="N29">
        <v>20</v>
      </c>
      <c r="O29">
        <v>10</v>
      </c>
      <c r="P29">
        <v>95.65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3</v>
      </c>
      <c r="AA29">
        <v>0</v>
      </c>
      <c r="AD29" t="s">
        <v>130</v>
      </c>
      <c r="AF29">
        <v>98.65</v>
      </c>
    </row>
    <row r="30" spans="1:32" x14ac:dyDescent="0.3">
      <c r="A30" s="4">
        <v>24</v>
      </c>
      <c r="B30" s="5">
        <v>23</v>
      </c>
      <c r="C30">
        <v>422</v>
      </c>
      <c r="D30" t="s">
        <v>30797</v>
      </c>
      <c r="E30" t="s">
        <v>1998</v>
      </c>
      <c r="F30" t="s">
        <v>136</v>
      </c>
      <c r="G30" t="s">
        <v>30798</v>
      </c>
      <c r="H30">
        <v>48.54</v>
      </c>
      <c r="I30">
        <v>0</v>
      </c>
      <c r="J30">
        <v>20</v>
      </c>
      <c r="M30">
        <v>20</v>
      </c>
      <c r="N30">
        <v>20</v>
      </c>
      <c r="O30">
        <v>10</v>
      </c>
      <c r="P30">
        <v>98.54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D30" t="s">
        <v>130</v>
      </c>
      <c r="AF30">
        <v>98.54</v>
      </c>
    </row>
    <row r="31" spans="1:32" x14ac:dyDescent="0.3">
      <c r="A31" s="4">
        <v>25</v>
      </c>
      <c r="B31" s="5">
        <v>24</v>
      </c>
      <c r="C31">
        <v>1475</v>
      </c>
      <c r="D31" t="s">
        <v>30799</v>
      </c>
      <c r="E31" t="s">
        <v>740</v>
      </c>
      <c r="F31" t="s">
        <v>136</v>
      </c>
      <c r="G31" t="s">
        <v>30800</v>
      </c>
      <c r="H31">
        <v>52.2</v>
      </c>
      <c r="I31">
        <v>0</v>
      </c>
      <c r="L31">
        <v>10</v>
      </c>
      <c r="M31">
        <v>10</v>
      </c>
      <c r="N31">
        <v>20</v>
      </c>
      <c r="O31">
        <v>10</v>
      </c>
      <c r="P31">
        <v>92.2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</v>
      </c>
      <c r="AA31">
        <v>0</v>
      </c>
      <c r="AB31" t="s">
        <v>130</v>
      </c>
      <c r="AD31" t="s">
        <v>130</v>
      </c>
      <c r="AF31">
        <v>98.2</v>
      </c>
    </row>
    <row r="32" spans="1:32" x14ac:dyDescent="0.3">
      <c r="A32" s="4">
        <v>26</v>
      </c>
      <c r="B32" s="5">
        <v>25</v>
      </c>
      <c r="C32">
        <v>994</v>
      </c>
      <c r="D32" t="s">
        <v>30801</v>
      </c>
      <c r="E32" t="s">
        <v>208</v>
      </c>
      <c r="F32" t="s">
        <v>38</v>
      </c>
      <c r="G32" t="s">
        <v>30802</v>
      </c>
      <c r="H32">
        <v>53.46</v>
      </c>
      <c r="I32">
        <v>0</v>
      </c>
      <c r="L32">
        <v>10</v>
      </c>
      <c r="M32">
        <v>10</v>
      </c>
      <c r="N32">
        <v>20</v>
      </c>
      <c r="O32">
        <v>10</v>
      </c>
      <c r="P32">
        <v>93.46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3</v>
      </c>
      <c r="AA32">
        <v>0</v>
      </c>
      <c r="AB32" t="s">
        <v>130</v>
      </c>
      <c r="AC32" t="s">
        <v>130</v>
      </c>
      <c r="AD32" t="s">
        <v>130</v>
      </c>
      <c r="AF32">
        <v>96.46</v>
      </c>
    </row>
    <row r="33" spans="1:32" x14ac:dyDescent="0.3">
      <c r="A33" s="4">
        <v>27</v>
      </c>
      <c r="B33" s="5">
        <v>26</v>
      </c>
      <c r="C33">
        <v>792</v>
      </c>
      <c r="D33" t="s">
        <v>30803</v>
      </c>
      <c r="E33" t="s">
        <v>20</v>
      </c>
      <c r="F33" t="s">
        <v>328</v>
      </c>
      <c r="G33" t="s">
        <v>30804</v>
      </c>
      <c r="H33">
        <v>45.54</v>
      </c>
      <c r="I33">
        <v>0</v>
      </c>
      <c r="J33">
        <v>20</v>
      </c>
      <c r="M33">
        <v>20</v>
      </c>
      <c r="N33">
        <v>20</v>
      </c>
      <c r="O33">
        <v>10</v>
      </c>
      <c r="P33">
        <v>95.54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D33" t="s">
        <v>130</v>
      </c>
      <c r="AF33">
        <v>95.54</v>
      </c>
    </row>
    <row r="34" spans="1:32" x14ac:dyDescent="0.3">
      <c r="A34" s="4">
        <v>28</v>
      </c>
      <c r="B34" s="5">
        <v>27</v>
      </c>
      <c r="C34">
        <v>1097</v>
      </c>
      <c r="D34" t="s">
        <v>1397</v>
      </c>
      <c r="E34" t="s">
        <v>1189</v>
      </c>
      <c r="F34" t="s">
        <v>38</v>
      </c>
      <c r="G34" t="s">
        <v>30805</v>
      </c>
      <c r="H34">
        <v>52.08</v>
      </c>
      <c r="I34">
        <v>0</v>
      </c>
      <c r="L34">
        <v>10</v>
      </c>
      <c r="M34">
        <v>10</v>
      </c>
      <c r="N34">
        <v>20</v>
      </c>
      <c r="O34">
        <v>10</v>
      </c>
      <c r="P34">
        <v>92.08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3</v>
      </c>
      <c r="AA34">
        <v>0</v>
      </c>
      <c r="AD34" t="s">
        <v>130</v>
      </c>
      <c r="AF34">
        <v>95.08</v>
      </c>
    </row>
    <row r="35" spans="1:32" x14ac:dyDescent="0.3">
      <c r="A35" s="4">
        <v>29</v>
      </c>
      <c r="B35" s="5">
        <v>28</v>
      </c>
      <c r="C35">
        <v>255</v>
      </c>
      <c r="D35" t="s">
        <v>30806</v>
      </c>
      <c r="E35" t="s">
        <v>158</v>
      </c>
      <c r="F35" t="s">
        <v>81</v>
      </c>
      <c r="G35" t="s">
        <v>30807</v>
      </c>
      <c r="H35">
        <v>53.7</v>
      </c>
      <c r="I35">
        <v>0</v>
      </c>
      <c r="L35">
        <v>10</v>
      </c>
      <c r="M35">
        <v>10</v>
      </c>
      <c r="N35">
        <v>20</v>
      </c>
      <c r="O35">
        <v>10</v>
      </c>
      <c r="P35">
        <v>93.7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t="s">
        <v>130</v>
      </c>
      <c r="AD35" t="s">
        <v>130</v>
      </c>
      <c r="AF35">
        <v>93.7</v>
      </c>
    </row>
    <row r="36" spans="1:32" x14ac:dyDescent="0.3">
      <c r="A36" s="4">
        <v>30</v>
      </c>
      <c r="B36" s="5">
        <v>29</v>
      </c>
      <c r="C36">
        <v>722</v>
      </c>
      <c r="D36" t="s">
        <v>405</v>
      </c>
      <c r="E36" t="s">
        <v>406</v>
      </c>
      <c r="F36" t="s">
        <v>20</v>
      </c>
      <c r="G36" t="s">
        <v>407</v>
      </c>
      <c r="H36">
        <v>51.9</v>
      </c>
      <c r="I36">
        <v>0</v>
      </c>
      <c r="L36">
        <v>10</v>
      </c>
      <c r="M36">
        <v>10</v>
      </c>
      <c r="N36">
        <v>20</v>
      </c>
      <c r="O36">
        <v>10</v>
      </c>
      <c r="P36">
        <v>91.9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D36" t="s">
        <v>130</v>
      </c>
      <c r="AF36">
        <v>91.9</v>
      </c>
    </row>
    <row r="37" spans="1:32" x14ac:dyDescent="0.3">
      <c r="A37" s="4">
        <v>31</v>
      </c>
      <c r="B37" s="5">
        <v>30</v>
      </c>
      <c r="C37">
        <v>930</v>
      </c>
      <c r="D37" t="s">
        <v>30808</v>
      </c>
      <c r="E37" t="s">
        <v>789</v>
      </c>
      <c r="F37" t="s">
        <v>34</v>
      </c>
      <c r="G37" t="s">
        <v>30809</v>
      </c>
      <c r="H37">
        <v>60</v>
      </c>
      <c r="I37">
        <v>0</v>
      </c>
      <c r="M37">
        <v>0</v>
      </c>
      <c r="N37">
        <v>20</v>
      </c>
      <c r="O37">
        <v>10</v>
      </c>
      <c r="P37">
        <v>90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D37" t="s">
        <v>130</v>
      </c>
      <c r="AF37">
        <v>90</v>
      </c>
    </row>
    <row r="38" spans="1:32" x14ac:dyDescent="0.3">
      <c r="A38" s="4">
        <v>32</v>
      </c>
      <c r="B38" s="5">
        <v>31</v>
      </c>
      <c r="C38">
        <v>1057</v>
      </c>
      <c r="D38" t="s">
        <v>2008</v>
      </c>
      <c r="E38" t="s">
        <v>54</v>
      </c>
      <c r="F38" t="s">
        <v>17</v>
      </c>
      <c r="G38" t="s">
        <v>30810</v>
      </c>
      <c r="H38">
        <v>55.62</v>
      </c>
      <c r="I38">
        <v>0</v>
      </c>
      <c r="L38">
        <v>10</v>
      </c>
      <c r="M38">
        <v>10</v>
      </c>
      <c r="N38">
        <v>20</v>
      </c>
      <c r="O38">
        <v>0</v>
      </c>
      <c r="P38">
        <v>85.62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3</v>
      </c>
      <c r="AA38">
        <v>0</v>
      </c>
      <c r="AD38" t="s">
        <v>130</v>
      </c>
      <c r="AF38">
        <v>88.62</v>
      </c>
    </row>
    <row r="39" spans="1:32" x14ac:dyDescent="0.3">
      <c r="A39" s="4">
        <v>33</v>
      </c>
      <c r="B39" s="5">
        <v>32</v>
      </c>
      <c r="C39">
        <v>277</v>
      </c>
      <c r="D39" t="s">
        <v>30811</v>
      </c>
      <c r="E39" t="s">
        <v>38</v>
      </c>
      <c r="F39" t="s">
        <v>30</v>
      </c>
      <c r="G39" t="s">
        <v>30812</v>
      </c>
      <c r="H39">
        <v>56.4</v>
      </c>
      <c r="I39">
        <v>0</v>
      </c>
      <c r="M39">
        <v>0</v>
      </c>
      <c r="N39">
        <v>20</v>
      </c>
      <c r="O39">
        <v>10</v>
      </c>
      <c r="P39">
        <v>86.4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 t="s">
        <v>130</v>
      </c>
      <c r="AD39" t="s">
        <v>130</v>
      </c>
      <c r="AF39">
        <v>86.4</v>
      </c>
    </row>
    <row r="40" spans="1:32" x14ac:dyDescent="0.3">
      <c r="A40" s="4">
        <v>34</v>
      </c>
      <c r="B40" s="5">
        <v>33</v>
      </c>
      <c r="C40">
        <v>524</v>
      </c>
      <c r="D40" t="s">
        <v>9262</v>
      </c>
      <c r="E40" t="s">
        <v>81</v>
      </c>
      <c r="F40" t="s">
        <v>30</v>
      </c>
      <c r="G40" t="s">
        <v>30813</v>
      </c>
      <c r="H40">
        <v>55.35</v>
      </c>
      <c r="I40">
        <v>0</v>
      </c>
      <c r="J40">
        <v>20</v>
      </c>
      <c r="M40">
        <v>20</v>
      </c>
      <c r="N40">
        <v>0</v>
      </c>
      <c r="O40">
        <v>10</v>
      </c>
      <c r="P40">
        <v>85.35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D40" t="s">
        <v>130</v>
      </c>
      <c r="AF40">
        <v>85.35</v>
      </c>
    </row>
    <row r="41" spans="1:32" x14ac:dyDescent="0.3">
      <c r="A41" s="4">
        <v>35</v>
      </c>
      <c r="B41" s="5">
        <v>34</v>
      </c>
      <c r="C41">
        <v>1269</v>
      </c>
      <c r="D41" t="s">
        <v>30814</v>
      </c>
      <c r="E41" t="s">
        <v>41</v>
      </c>
      <c r="F41" t="s">
        <v>55</v>
      </c>
      <c r="G41" t="s">
        <v>30815</v>
      </c>
      <c r="H41">
        <v>44.4</v>
      </c>
      <c r="I41">
        <v>0</v>
      </c>
      <c r="J41">
        <v>20</v>
      </c>
      <c r="M41">
        <v>20</v>
      </c>
      <c r="N41">
        <v>20</v>
      </c>
      <c r="O41">
        <v>0</v>
      </c>
      <c r="P41">
        <v>84.4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D41" t="s">
        <v>130</v>
      </c>
      <c r="AF41">
        <v>84.4</v>
      </c>
    </row>
    <row r="42" spans="1:32" x14ac:dyDescent="0.3">
      <c r="A42" s="4">
        <v>36</v>
      </c>
      <c r="B42" s="5">
        <v>35</v>
      </c>
      <c r="C42">
        <v>1512</v>
      </c>
      <c r="D42" t="s">
        <v>14949</v>
      </c>
      <c r="E42" t="s">
        <v>29</v>
      </c>
      <c r="F42" t="s">
        <v>81</v>
      </c>
      <c r="G42" t="s">
        <v>30816</v>
      </c>
      <c r="H42">
        <v>58.35</v>
      </c>
      <c r="I42">
        <v>0</v>
      </c>
      <c r="L42">
        <v>10</v>
      </c>
      <c r="M42">
        <v>10</v>
      </c>
      <c r="N42">
        <v>0</v>
      </c>
      <c r="O42">
        <v>10</v>
      </c>
      <c r="P42">
        <v>78.349999999999994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6</v>
      </c>
      <c r="AA42">
        <v>0</v>
      </c>
      <c r="AD42" t="s">
        <v>130</v>
      </c>
      <c r="AF42">
        <v>84.35</v>
      </c>
    </row>
    <row r="43" spans="1:32" x14ac:dyDescent="0.3">
      <c r="A43" s="4">
        <v>37</v>
      </c>
      <c r="B43" s="5">
        <v>36</v>
      </c>
      <c r="C43">
        <v>291</v>
      </c>
      <c r="D43" t="s">
        <v>2115</v>
      </c>
      <c r="E43" t="s">
        <v>33</v>
      </c>
      <c r="F43" t="s">
        <v>62</v>
      </c>
      <c r="G43" t="s">
        <v>30817</v>
      </c>
      <c r="H43">
        <v>48.27</v>
      </c>
      <c r="I43">
        <v>0</v>
      </c>
      <c r="M43">
        <v>0</v>
      </c>
      <c r="N43">
        <v>20</v>
      </c>
      <c r="O43">
        <v>10</v>
      </c>
      <c r="P43">
        <v>78.27</v>
      </c>
      <c r="Q43">
        <v>2</v>
      </c>
      <c r="R43">
        <v>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2</v>
      </c>
      <c r="Z43">
        <v>0</v>
      </c>
      <c r="AA43">
        <v>0</v>
      </c>
      <c r="AD43" t="s">
        <v>130</v>
      </c>
      <c r="AF43">
        <v>80.27</v>
      </c>
    </row>
    <row r="44" spans="1:32" x14ac:dyDescent="0.3">
      <c r="A44" s="4">
        <v>38</v>
      </c>
      <c r="B44" s="5">
        <v>37</v>
      </c>
      <c r="C44">
        <v>403</v>
      </c>
      <c r="D44" t="s">
        <v>30</v>
      </c>
      <c r="E44" t="s">
        <v>30818</v>
      </c>
      <c r="F44" t="s">
        <v>62</v>
      </c>
      <c r="G44" t="s">
        <v>30819</v>
      </c>
      <c r="H44">
        <v>37.08</v>
      </c>
      <c r="I44">
        <v>0</v>
      </c>
      <c r="L44">
        <v>10</v>
      </c>
      <c r="M44">
        <v>10</v>
      </c>
      <c r="N44">
        <v>20</v>
      </c>
      <c r="O44">
        <v>10</v>
      </c>
      <c r="P44">
        <v>77.08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3</v>
      </c>
      <c r="AA44">
        <v>0</v>
      </c>
      <c r="AD44" t="s">
        <v>130</v>
      </c>
      <c r="AF44">
        <v>80.08</v>
      </c>
    </row>
    <row r="45" spans="1:32" x14ac:dyDescent="0.3">
      <c r="A45" s="4">
        <v>39</v>
      </c>
      <c r="B45" s="5">
        <v>38</v>
      </c>
      <c r="C45">
        <v>1654</v>
      </c>
      <c r="D45" t="s">
        <v>1129</v>
      </c>
      <c r="E45" t="s">
        <v>139</v>
      </c>
      <c r="F45" t="s">
        <v>38</v>
      </c>
      <c r="G45" t="s">
        <v>30820</v>
      </c>
      <c r="H45">
        <v>39</v>
      </c>
      <c r="I45">
        <v>0</v>
      </c>
      <c r="M45">
        <v>0</v>
      </c>
      <c r="N45">
        <v>20</v>
      </c>
      <c r="O45">
        <v>10</v>
      </c>
      <c r="P45">
        <v>69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6</v>
      </c>
      <c r="AA45">
        <v>0</v>
      </c>
      <c r="AB45" t="s">
        <v>130</v>
      </c>
      <c r="AD45" t="s">
        <v>130</v>
      </c>
      <c r="AF45">
        <v>75</v>
      </c>
    </row>
    <row r="46" spans="1:32" x14ac:dyDescent="0.3">
      <c r="A46" s="4">
        <v>40</v>
      </c>
      <c r="B46" s="5">
        <v>39</v>
      </c>
      <c r="C46">
        <v>1366</v>
      </c>
      <c r="D46" t="s">
        <v>30821</v>
      </c>
      <c r="E46" t="s">
        <v>30822</v>
      </c>
      <c r="F46" t="s">
        <v>190</v>
      </c>
      <c r="G46" t="s">
        <v>30823</v>
      </c>
      <c r="H46">
        <v>58.5</v>
      </c>
      <c r="I46">
        <v>0</v>
      </c>
      <c r="J46">
        <v>20</v>
      </c>
      <c r="M46">
        <v>20</v>
      </c>
      <c r="N46">
        <v>0</v>
      </c>
      <c r="O46">
        <v>10</v>
      </c>
      <c r="P46">
        <v>88.5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26.8</v>
      </c>
      <c r="AF46">
        <v>115.3</v>
      </c>
    </row>
    <row r="47" spans="1:32" x14ac:dyDescent="0.3">
      <c r="A47" s="4">
        <v>41</v>
      </c>
      <c r="B47" s="5">
        <v>40</v>
      </c>
      <c r="C47">
        <v>273</v>
      </c>
      <c r="D47" t="s">
        <v>11393</v>
      </c>
      <c r="E47" t="s">
        <v>789</v>
      </c>
      <c r="F47" t="s">
        <v>124</v>
      </c>
      <c r="G47" t="s">
        <v>30824</v>
      </c>
      <c r="H47">
        <v>55.2</v>
      </c>
      <c r="I47">
        <v>10</v>
      </c>
      <c r="J47">
        <v>20</v>
      </c>
      <c r="M47">
        <v>20</v>
      </c>
      <c r="N47">
        <v>20</v>
      </c>
      <c r="O47">
        <v>10</v>
      </c>
      <c r="P47">
        <v>115.2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F47">
        <v>115.2</v>
      </c>
    </row>
    <row r="48" spans="1:32" x14ac:dyDescent="0.3">
      <c r="A48" s="4">
        <v>42</v>
      </c>
      <c r="B48" s="5">
        <v>41</v>
      </c>
      <c r="C48">
        <v>595</v>
      </c>
      <c r="D48" t="s">
        <v>1299</v>
      </c>
      <c r="E48" t="s">
        <v>213</v>
      </c>
      <c r="F48" t="s">
        <v>14</v>
      </c>
      <c r="G48" t="s">
        <v>30825</v>
      </c>
      <c r="H48">
        <v>59.67</v>
      </c>
      <c r="I48">
        <v>0</v>
      </c>
      <c r="K48">
        <v>15</v>
      </c>
      <c r="M48">
        <v>15</v>
      </c>
      <c r="N48">
        <v>20</v>
      </c>
      <c r="O48">
        <v>10</v>
      </c>
      <c r="P48">
        <v>104.67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6</v>
      </c>
      <c r="AA48">
        <v>0</v>
      </c>
      <c r="AF48">
        <v>110.67</v>
      </c>
    </row>
    <row r="49" spans="1:32" x14ac:dyDescent="0.3">
      <c r="A49" s="4">
        <v>43</v>
      </c>
      <c r="B49" s="5">
        <v>42</v>
      </c>
      <c r="C49">
        <v>935</v>
      </c>
      <c r="D49" t="s">
        <v>8077</v>
      </c>
      <c r="E49" t="s">
        <v>173</v>
      </c>
      <c r="F49" t="s">
        <v>17</v>
      </c>
      <c r="G49" t="s">
        <v>30826</v>
      </c>
      <c r="H49">
        <v>58.5</v>
      </c>
      <c r="I49">
        <v>0</v>
      </c>
      <c r="L49">
        <v>20</v>
      </c>
      <c r="M49">
        <v>20</v>
      </c>
      <c r="N49">
        <v>20</v>
      </c>
      <c r="O49">
        <v>10</v>
      </c>
      <c r="P49">
        <v>108.5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F49">
        <v>108.5</v>
      </c>
    </row>
    <row r="50" spans="1:32" x14ac:dyDescent="0.3">
      <c r="A50" s="4">
        <v>44</v>
      </c>
      <c r="B50" s="5">
        <v>43</v>
      </c>
      <c r="C50">
        <v>1641</v>
      </c>
      <c r="D50" t="s">
        <v>4463</v>
      </c>
      <c r="E50" t="s">
        <v>139</v>
      </c>
      <c r="F50" t="s">
        <v>17</v>
      </c>
      <c r="G50" t="s">
        <v>4464</v>
      </c>
      <c r="H50">
        <v>55.92</v>
      </c>
      <c r="I50">
        <v>0</v>
      </c>
      <c r="J50">
        <v>20</v>
      </c>
      <c r="M50">
        <v>20</v>
      </c>
      <c r="N50">
        <v>20</v>
      </c>
      <c r="O50">
        <v>10</v>
      </c>
      <c r="P50">
        <v>105.92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F50">
        <v>105.92</v>
      </c>
    </row>
    <row r="51" spans="1:32" x14ac:dyDescent="0.3">
      <c r="A51" s="4">
        <v>45</v>
      </c>
      <c r="B51" s="5">
        <v>44</v>
      </c>
      <c r="C51">
        <v>461</v>
      </c>
      <c r="D51" t="s">
        <v>4905</v>
      </c>
      <c r="E51" t="s">
        <v>957</v>
      </c>
      <c r="F51" t="s">
        <v>79</v>
      </c>
      <c r="G51" t="s">
        <v>30827</v>
      </c>
      <c r="H51">
        <v>54.51</v>
      </c>
      <c r="I51">
        <v>0</v>
      </c>
      <c r="J51">
        <v>20</v>
      </c>
      <c r="M51">
        <v>20</v>
      </c>
      <c r="N51">
        <v>20</v>
      </c>
      <c r="O51">
        <v>10</v>
      </c>
      <c r="P51">
        <v>104.51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F51">
        <v>104.51</v>
      </c>
    </row>
    <row r="52" spans="1:32" x14ac:dyDescent="0.3">
      <c r="A52" s="4">
        <v>46</v>
      </c>
      <c r="B52" s="5">
        <v>45</v>
      </c>
      <c r="C52">
        <v>854</v>
      </c>
      <c r="D52" t="s">
        <v>2100</v>
      </c>
      <c r="E52" t="s">
        <v>29</v>
      </c>
      <c r="F52" t="s">
        <v>2101</v>
      </c>
      <c r="G52" t="s">
        <v>2102</v>
      </c>
      <c r="H52">
        <v>49.65</v>
      </c>
      <c r="I52">
        <v>0</v>
      </c>
      <c r="J52">
        <v>20</v>
      </c>
      <c r="M52">
        <v>20</v>
      </c>
      <c r="N52">
        <v>20</v>
      </c>
      <c r="O52">
        <v>0</v>
      </c>
      <c r="P52">
        <v>89.65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12</v>
      </c>
      <c r="AA52">
        <v>0</v>
      </c>
      <c r="AB52" t="s">
        <v>130</v>
      </c>
      <c r="AF52">
        <v>101.65</v>
      </c>
    </row>
    <row r="53" spans="1:32" x14ac:dyDescent="0.3">
      <c r="A53" s="4">
        <v>47</v>
      </c>
      <c r="B53" s="5">
        <v>46</v>
      </c>
      <c r="C53">
        <v>1747</v>
      </c>
      <c r="D53" t="s">
        <v>181</v>
      </c>
      <c r="E53" t="s">
        <v>208</v>
      </c>
      <c r="F53" t="s">
        <v>466</v>
      </c>
      <c r="G53" t="s">
        <v>30828</v>
      </c>
      <c r="H53">
        <v>58.5</v>
      </c>
      <c r="I53">
        <v>0</v>
      </c>
      <c r="L53">
        <v>10</v>
      </c>
      <c r="M53">
        <v>10</v>
      </c>
      <c r="N53">
        <v>20</v>
      </c>
      <c r="O53">
        <v>10</v>
      </c>
      <c r="P53">
        <v>98.5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3</v>
      </c>
      <c r="AA53">
        <v>0</v>
      </c>
      <c r="AF53">
        <v>101.5</v>
      </c>
    </row>
    <row r="54" spans="1:32" x14ac:dyDescent="0.3">
      <c r="A54" s="4">
        <v>48</v>
      </c>
      <c r="B54" s="5">
        <v>47</v>
      </c>
      <c r="C54">
        <v>89</v>
      </c>
      <c r="D54" t="s">
        <v>6676</v>
      </c>
      <c r="E54" t="s">
        <v>268</v>
      </c>
      <c r="F54" t="s">
        <v>136</v>
      </c>
      <c r="G54" t="s">
        <v>30829</v>
      </c>
      <c r="H54">
        <v>58.2</v>
      </c>
      <c r="I54">
        <v>0</v>
      </c>
      <c r="L54">
        <v>10</v>
      </c>
      <c r="M54">
        <v>10</v>
      </c>
      <c r="N54">
        <v>20</v>
      </c>
      <c r="O54">
        <v>10</v>
      </c>
      <c r="P54">
        <v>98.2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3</v>
      </c>
      <c r="AA54">
        <v>0</v>
      </c>
      <c r="AF54">
        <v>101.2</v>
      </c>
    </row>
    <row r="55" spans="1:32" x14ac:dyDescent="0.3">
      <c r="A55" s="4">
        <v>49</v>
      </c>
      <c r="B55" s="5">
        <v>48</v>
      </c>
      <c r="C55">
        <v>1418</v>
      </c>
      <c r="D55" t="s">
        <v>6857</v>
      </c>
      <c r="E55" t="s">
        <v>166</v>
      </c>
      <c r="F55" t="s">
        <v>17</v>
      </c>
      <c r="G55" t="s">
        <v>30830</v>
      </c>
      <c r="H55">
        <v>56.34</v>
      </c>
      <c r="I55">
        <v>0</v>
      </c>
      <c r="L55">
        <v>10</v>
      </c>
      <c r="M55">
        <v>10</v>
      </c>
      <c r="N55">
        <v>20</v>
      </c>
      <c r="O55">
        <v>10</v>
      </c>
      <c r="P55">
        <v>96.34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3</v>
      </c>
      <c r="AA55">
        <v>0</v>
      </c>
      <c r="AF55">
        <v>99.34</v>
      </c>
    </row>
    <row r="56" spans="1:32" x14ac:dyDescent="0.3">
      <c r="A56" s="4">
        <v>50</v>
      </c>
      <c r="B56" s="5">
        <v>49</v>
      </c>
      <c r="C56">
        <v>1748</v>
      </c>
      <c r="D56" t="s">
        <v>30831</v>
      </c>
      <c r="E56" t="s">
        <v>136</v>
      </c>
      <c r="F56" t="s">
        <v>892</v>
      </c>
      <c r="G56" t="s">
        <v>30832</v>
      </c>
      <c r="H56">
        <v>52.8</v>
      </c>
      <c r="I56">
        <v>0</v>
      </c>
      <c r="L56">
        <v>10</v>
      </c>
      <c r="M56">
        <v>10</v>
      </c>
      <c r="N56">
        <v>20</v>
      </c>
      <c r="O56">
        <v>10</v>
      </c>
      <c r="P56">
        <v>92.8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6</v>
      </c>
      <c r="AA56">
        <v>0</v>
      </c>
      <c r="AB56" t="s">
        <v>130</v>
      </c>
      <c r="AF56">
        <v>98.8</v>
      </c>
    </row>
    <row r="57" spans="1:32" x14ac:dyDescent="0.3">
      <c r="A57" s="4">
        <v>51</v>
      </c>
      <c r="B57" s="5">
        <v>50</v>
      </c>
      <c r="C57">
        <v>909</v>
      </c>
      <c r="D57" t="s">
        <v>6839</v>
      </c>
      <c r="E57" t="s">
        <v>132</v>
      </c>
      <c r="F57" t="s">
        <v>30833</v>
      </c>
      <c r="G57" t="s">
        <v>30834</v>
      </c>
      <c r="H57">
        <v>47.4</v>
      </c>
      <c r="I57">
        <v>0</v>
      </c>
      <c r="J57">
        <v>20</v>
      </c>
      <c r="M57">
        <v>20</v>
      </c>
      <c r="N57">
        <v>20</v>
      </c>
      <c r="O57">
        <v>10</v>
      </c>
      <c r="P57">
        <v>97.4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F57">
        <v>97.4</v>
      </c>
    </row>
    <row r="58" spans="1:32" x14ac:dyDescent="0.3">
      <c r="A58" s="4">
        <v>52</v>
      </c>
      <c r="B58" s="5">
        <v>51</v>
      </c>
      <c r="C58">
        <v>1502</v>
      </c>
      <c r="D58" t="s">
        <v>1306</v>
      </c>
      <c r="E58" t="s">
        <v>166</v>
      </c>
      <c r="F58" t="s">
        <v>34</v>
      </c>
      <c r="G58" t="s">
        <v>1307</v>
      </c>
      <c r="H58">
        <v>48.3</v>
      </c>
      <c r="I58">
        <v>0</v>
      </c>
      <c r="L58">
        <v>10</v>
      </c>
      <c r="M58">
        <v>10</v>
      </c>
      <c r="N58">
        <v>20</v>
      </c>
      <c r="O58">
        <v>10</v>
      </c>
      <c r="P58">
        <v>88.3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9</v>
      </c>
      <c r="AA58">
        <v>0</v>
      </c>
      <c r="AF58">
        <v>97.3</v>
      </c>
    </row>
    <row r="59" spans="1:32" x14ac:dyDescent="0.3">
      <c r="A59" s="4">
        <v>53</v>
      </c>
      <c r="B59" s="5">
        <v>52</v>
      </c>
      <c r="C59">
        <v>1019</v>
      </c>
      <c r="D59" t="s">
        <v>30835</v>
      </c>
      <c r="E59" t="s">
        <v>33</v>
      </c>
      <c r="F59" t="s">
        <v>17</v>
      </c>
      <c r="G59" t="s">
        <v>30836</v>
      </c>
      <c r="H59">
        <v>60</v>
      </c>
      <c r="I59">
        <v>0</v>
      </c>
      <c r="J59">
        <v>20</v>
      </c>
      <c r="M59">
        <v>20</v>
      </c>
      <c r="N59">
        <v>0</v>
      </c>
      <c r="O59">
        <v>10</v>
      </c>
      <c r="P59">
        <v>90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6</v>
      </c>
      <c r="AA59">
        <v>0</v>
      </c>
      <c r="AF59">
        <v>96</v>
      </c>
    </row>
    <row r="60" spans="1:32" x14ac:dyDescent="0.3">
      <c r="A60" s="4">
        <v>54</v>
      </c>
      <c r="B60" s="5">
        <v>53</v>
      </c>
      <c r="C60">
        <v>59</v>
      </c>
      <c r="D60" t="s">
        <v>30837</v>
      </c>
      <c r="E60" t="s">
        <v>30838</v>
      </c>
      <c r="F60" t="s">
        <v>343</v>
      </c>
      <c r="G60" t="s">
        <v>30839</v>
      </c>
      <c r="H60">
        <v>55.2</v>
      </c>
      <c r="I60">
        <v>0</v>
      </c>
      <c r="L60">
        <v>10</v>
      </c>
      <c r="M60">
        <v>10</v>
      </c>
      <c r="N60">
        <v>20</v>
      </c>
      <c r="O60">
        <v>10</v>
      </c>
      <c r="P60">
        <v>95.2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F60">
        <v>95.2</v>
      </c>
    </row>
    <row r="61" spans="1:32" x14ac:dyDescent="0.3">
      <c r="A61" s="4">
        <v>55</v>
      </c>
      <c r="B61" s="5">
        <v>54</v>
      </c>
      <c r="C61">
        <v>22</v>
      </c>
      <c r="D61" t="s">
        <v>30840</v>
      </c>
      <c r="E61" t="s">
        <v>487</v>
      </c>
      <c r="F61" t="s">
        <v>124</v>
      </c>
      <c r="G61" t="s">
        <v>30841</v>
      </c>
      <c r="H61">
        <v>59.1</v>
      </c>
      <c r="I61">
        <v>0</v>
      </c>
      <c r="M61">
        <v>0</v>
      </c>
      <c r="N61">
        <v>20</v>
      </c>
      <c r="O61">
        <v>10</v>
      </c>
      <c r="P61">
        <v>89.1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6</v>
      </c>
      <c r="AA61">
        <v>0</v>
      </c>
      <c r="AF61">
        <v>95.1</v>
      </c>
    </row>
    <row r="62" spans="1:32" x14ac:dyDescent="0.3">
      <c r="A62" s="4">
        <v>56</v>
      </c>
      <c r="B62" s="5">
        <v>55</v>
      </c>
      <c r="C62">
        <v>1022</v>
      </c>
      <c r="D62" t="s">
        <v>30842</v>
      </c>
      <c r="E62" t="s">
        <v>1152</v>
      </c>
      <c r="F62" t="s">
        <v>30</v>
      </c>
      <c r="G62" t="s">
        <v>30843</v>
      </c>
      <c r="H62">
        <v>43.5</v>
      </c>
      <c r="I62">
        <v>0</v>
      </c>
      <c r="K62">
        <v>15</v>
      </c>
      <c r="M62">
        <v>15</v>
      </c>
      <c r="N62">
        <v>20</v>
      </c>
      <c r="O62">
        <v>10</v>
      </c>
      <c r="P62">
        <v>88.5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3</v>
      </c>
      <c r="AA62">
        <v>0</v>
      </c>
      <c r="AF62">
        <v>91.5</v>
      </c>
    </row>
    <row r="63" spans="1:32" x14ac:dyDescent="0.3">
      <c r="A63" s="4">
        <v>57</v>
      </c>
      <c r="B63" s="5">
        <v>56</v>
      </c>
      <c r="C63">
        <v>1704</v>
      </c>
      <c r="D63" t="s">
        <v>3040</v>
      </c>
      <c r="E63" t="s">
        <v>1043</v>
      </c>
      <c r="F63" t="s">
        <v>81</v>
      </c>
      <c r="G63" t="s">
        <v>3041</v>
      </c>
      <c r="H63">
        <v>51.81</v>
      </c>
      <c r="I63">
        <v>0</v>
      </c>
      <c r="M63">
        <v>0</v>
      </c>
      <c r="N63">
        <v>20</v>
      </c>
      <c r="O63">
        <v>10</v>
      </c>
      <c r="P63">
        <v>81.81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9</v>
      </c>
      <c r="AA63">
        <v>0</v>
      </c>
      <c r="AF63">
        <v>90.81</v>
      </c>
    </row>
    <row r="64" spans="1:32" x14ac:dyDescent="0.3">
      <c r="A64" s="4">
        <v>58</v>
      </c>
      <c r="B64" s="5">
        <v>57</v>
      </c>
      <c r="C64">
        <v>1325</v>
      </c>
      <c r="D64" t="s">
        <v>21683</v>
      </c>
      <c r="E64" t="s">
        <v>17</v>
      </c>
      <c r="F64" t="s">
        <v>117</v>
      </c>
      <c r="G64" t="s">
        <v>30844</v>
      </c>
      <c r="H64">
        <v>49.5</v>
      </c>
      <c r="I64">
        <v>0</v>
      </c>
      <c r="L64">
        <v>10</v>
      </c>
      <c r="M64">
        <v>10</v>
      </c>
      <c r="N64">
        <v>20</v>
      </c>
      <c r="O64">
        <v>10</v>
      </c>
      <c r="P64">
        <v>89.5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F64">
        <v>89.5</v>
      </c>
    </row>
    <row r="65" spans="1:32" x14ac:dyDescent="0.3">
      <c r="A65" s="4">
        <v>59</v>
      </c>
      <c r="B65" s="5">
        <v>58</v>
      </c>
      <c r="C65">
        <v>1393</v>
      </c>
      <c r="D65" t="s">
        <v>25035</v>
      </c>
      <c r="E65" t="s">
        <v>1140</v>
      </c>
      <c r="F65" t="s">
        <v>3705</v>
      </c>
      <c r="G65" t="s">
        <v>30845</v>
      </c>
      <c r="H65">
        <v>58.65</v>
      </c>
      <c r="I65">
        <v>0</v>
      </c>
      <c r="M65">
        <v>0</v>
      </c>
      <c r="N65">
        <v>20</v>
      </c>
      <c r="O65">
        <v>10</v>
      </c>
      <c r="P65">
        <v>88.65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F65">
        <v>88.65</v>
      </c>
    </row>
    <row r="66" spans="1:32" x14ac:dyDescent="0.3">
      <c r="A66" s="4">
        <v>60</v>
      </c>
      <c r="B66" s="5">
        <v>59</v>
      </c>
      <c r="C66">
        <v>1243</v>
      </c>
      <c r="D66" t="s">
        <v>30846</v>
      </c>
      <c r="E66" t="s">
        <v>193</v>
      </c>
      <c r="F66" t="s">
        <v>30847</v>
      </c>
      <c r="G66" t="s">
        <v>30848</v>
      </c>
      <c r="H66">
        <v>58.5</v>
      </c>
      <c r="I66">
        <v>0</v>
      </c>
      <c r="M66">
        <v>0</v>
      </c>
      <c r="N66">
        <v>20</v>
      </c>
      <c r="O66">
        <v>10</v>
      </c>
      <c r="P66">
        <v>88.5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F66">
        <v>88.5</v>
      </c>
    </row>
    <row r="67" spans="1:32" x14ac:dyDescent="0.3">
      <c r="A67" s="4">
        <v>61</v>
      </c>
      <c r="B67" s="5">
        <v>60</v>
      </c>
      <c r="C67">
        <v>15</v>
      </c>
      <c r="D67" t="s">
        <v>30849</v>
      </c>
      <c r="E67" t="s">
        <v>575</v>
      </c>
      <c r="F67" t="s">
        <v>81</v>
      </c>
      <c r="G67" t="s">
        <v>30850</v>
      </c>
      <c r="H67">
        <v>57.27</v>
      </c>
      <c r="I67">
        <v>0</v>
      </c>
      <c r="M67">
        <v>0</v>
      </c>
      <c r="N67">
        <v>20</v>
      </c>
      <c r="O67">
        <v>10</v>
      </c>
      <c r="P67">
        <v>87.27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C67" t="s">
        <v>130</v>
      </c>
      <c r="AF67">
        <v>87.27</v>
      </c>
    </row>
    <row r="68" spans="1:32" x14ac:dyDescent="0.3">
      <c r="A68" s="4">
        <v>62</v>
      </c>
      <c r="B68" s="5">
        <v>61</v>
      </c>
      <c r="C68">
        <v>1342</v>
      </c>
      <c r="D68" t="s">
        <v>513</v>
      </c>
      <c r="E68" t="s">
        <v>29</v>
      </c>
      <c r="F68" t="s">
        <v>20</v>
      </c>
      <c r="G68" t="s">
        <v>514</v>
      </c>
      <c r="H68">
        <v>57</v>
      </c>
      <c r="I68">
        <v>0</v>
      </c>
      <c r="M68">
        <v>0</v>
      </c>
      <c r="N68">
        <v>20</v>
      </c>
      <c r="O68">
        <v>10</v>
      </c>
      <c r="P68">
        <v>87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F68">
        <v>87</v>
      </c>
    </row>
    <row r="69" spans="1:32" x14ac:dyDescent="0.3">
      <c r="A69" s="4">
        <v>63</v>
      </c>
      <c r="B69" s="5">
        <v>62</v>
      </c>
      <c r="C69">
        <v>861</v>
      </c>
      <c r="D69" t="s">
        <v>8224</v>
      </c>
      <c r="E69" t="s">
        <v>88</v>
      </c>
      <c r="F69" t="s">
        <v>81</v>
      </c>
      <c r="G69" t="s">
        <v>30851</v>
      </c>
      <c r="H69">
        <v>40.92</v>
      </c>
      <c r="I69">
        <v>0</v>
      </c>
      <c r="L69">
        <v>10</v>
      </c>
      <c r="M69">
        <v>10</v>
      </c>
      <c r="N69">
        <v>20</v>
      </c>
      <c r="O69">
        <v>10</v>
      </c>
      <c r="P69">
        <v>80.92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6</v>
      </c>
      <c r="AA69">
        <v>0</v>
      </c>
      <c r="AF69">
        <v>86.92</v>
      </c>
    </row>
    <row r="70" spans="1:32" x14ac:dyDescent="0.3">
      <c r="A70" s="4">
        <v>64</v>
      </c>
      <c r="B70" s="5">
        <v>63</v>
      </c>
      <c r="C70">
        <v>1038</v>
      </c>
      <c r="D70" t="s">
        <v>30852</v>
      </c>
      <c r="E70" t="s">
        <v>117</v>
      </c>
      <c r="F70" t="s">
        <v>81</v>
      </c>
      <c r="G70" t="s">
        <v>30853</v>
      </c>
      <c r="H70">
        <v>43.35</v>
      </c>
      <c r="I70">
        <v>0</v>
      </c>
      <c r="M70">
        <v>0</v>
      </c>
      <c r="N70">
        <v>20</v>
      </c>
      <c r="O70">
        <v>10</v>
      </c>
      <c r="P70">
        <v>73.349999999999994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9</v>
      </c>
      <c r="AA70">
        <v>0</v>
      </c>
      <c r="AF70">
        <v>82.35</v>
      </c>
    </row>
    <row r="71" spans="1:32" x14ac:dyDescent="0.3">
      <c r="A71" s="4">
        <v>65</v>
      </c>
      <c r="B71" s="5">
        <v>64</v>
      </c>
      <c r="C71">
        <v>1180</v>
      </c>
      <c r="D71" t="s">
        <v>30854</v>
      </c>
      <c r="E71" t="s">
        <v>136</v>
      </c>
      <c r="F71" t="s">
        <v>243</v>
      </c>
      <c r="G71" t="s">
        <v>30855</v>
      </c>
      <c r="H71">
        <v>48</v>
      </c>
      <c r="I71">
        <v>0</v>
      </c>
      <c r="M71">
        <v>0</v>
      </c>
      <c r="N71">
        <v>20</v>
      </c>
      <c r="O71">
        <v>10</v>
      </c>
      <c r="P71">
        <v>78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F71">
        <v>78</v>
      </c>
    </row>
    <row r="72" spans="1:32" x14ac:dyDescent="0.3">
      <c r="A72" s="4">
        <v>66</v>
      </c>
      <c r="B72" s="5">
        <v>65</v>
      </c>
      <c r="C72">
        <v>559</v>
      </c>
      <c r="D72" t="s">
        <v>30856</v>
      </c>
      <c r="E72" t="s">
        <v>178</v>
      </c>
      <c r="F72" t="s">
        <v>17</v>
      </c>
      <c r="G72" t="s">
        <v>30857</v>
      </c>
      <c r="H72">
        <v>42</v>
      </c>
      <c r="I72">
        <v>0</v>
      </c>
      <c r="M72">
        <v>0</v>
      </c>
      <c r="N72">
        <v>0</v>
      </c>
      <c r="O72">
        <v>10</v>
      </c>
      <c r="P72">
        <v>52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F72">
        <v>52</v>
      </c>
    </row>
    <row r="74" spans="1:32" x14ac:dyDescent="0.3">
      <c r="A74" s="3" t="s">
        <v>8356</v>
      </c>
    </row>
    <row r="75" spans="1:32" x14ac:dyDescent="0.3">
      <c r="A75" s="3" t="s">
        <v>30528</v>
      </c>
    </row>
    <row r="76" spans="1:32" x14ac:dyDescent="0.3">
      <c r="A76" s="3" t="s">
        <v>30529</v>
      </c>
    </row>
    <row r="77" spans="1:32" x14ac:dyDescent="0.3">
      <c r="A77" s="3" t="s">
        <v>30530</v>
      </c>
    </row>
    <row r="78" spans="1:32" x14ac:dyDescent="0.3">
      <c r="A78" s="3" t="s">
        <v>30531</v>
      </c>
    </row>
    <row r="79" spans="1:32" x14ac:dyDescent="0.3">
      <c r="A79" s="3" t="s">
        <v>30532</v>
      </c>
    </row>
    <row r="80" spans="1:32" s="4" customFormat="1" x14ac:dyDescent="0.3">
      <c r="A80" s="3" t="s">
        <v>30533</v>
      </c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1:32" s="4" customFormat="1" x14ac:dyDescent="0.3">
      <c r="A81" s="3" t="s">
        <v>30534</v>
      </c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1:32" s="4" customFormat="1" x14ac:dyDescent="0.3">
      <c r="A82" s="3" t="s">
        <v>30535</v>
      </c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1:32" s="4" customFormat="1" x14ac:dyDescent="0.3">
      <c r="A83" s="3" t="s">
        <v>8365</v>
      </c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1:32" s="4" customFormat="1" x14ac:dyDescent="0.3">
      <c r="A84" s="3" t="s">
        <v>8366</v>
      </c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1:32" s="4" customFormat="1" x14ac:dyDescent="0.3">
      <c r="A85" s="3" t="s">
        <v>30536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1:32" s="4" customFormat="1" x14ac:dyDescent="0.3">
      <c r="A86" s="3" t="s">
        <v>30537</v>
      </c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</row>
    <row r="87" spans="1:32" s="4" customFormat="1" x14ac:dyDescent="0.3">
      <c r="A87" s="3" t="s">
        <v>30538</v>
      </c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</row>
    <row r="88" spans="1:32" s="4" customFormat="1" x14ac:dyDescent="0.3">
      <c r="A88" s="3" t="s">
        <v>30539</v>
      </c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</row>
    <row r="89" spans="1:32" s="4" customFormat="1" x14ac:dyDescent="0.3">
      <c r="A89" s="3" t="s">
        <v>30540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</row>
    <row r="90" spans="1:32" s="4" customFormat="1" x14ac:dyDescent="0.3">
      <c r="A90" s="3" t="s">
        <v>30541</v>
      </c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</row>
    <row r="91" spans="1:32" s="4" customFormat="1" x14ac:dyDescent="0.3">
      <c r="A91" s="3" t="s">
        <v>30542</v>
      </c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</row>
    <row r="92" spans="1:32" s="4" customFormat="1" x14ac:dyDescent="0.3">
      <c r="A92" s="3" t="s">
        <v>30543</v>
      </c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</row>
    <row r="93" spans="1:32" s="4" customFormat="1" x14ac:dyDescent="0.3">
      <c r="A93" s="3" t="s">
        <v>30544</v>
      </c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</row>
    <row r="94" spans="1:32" s="4" customFormat="1" x14ac:dyDescent="0.3">
      <c r="A94" s="3" t="s">
        <v>30545</v>
      </c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</row>
    <row r="95" spans="1:32" s="4" customFormat="1" x14ac:dyDescent="0.3">
      <c r="A95" s="3" t="s">
        <v>30546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</row>
    <row r="96" spans="1:32" s="4" customFormat="1" x14ac:dyDescent="0.3">
      <c r="A96" s="3" t="s">
        <v>30547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</row>
    <row r="97" spans="1:32" s="4" customFormat="1" x14ac:dyDescent="0.3">
      <c r="A97" s="3" t="s">
        <v>30548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1:32" s="4" customFormat="1" x14ac:dyDescent="0.3">
      <c r="A98" s="3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1:32" s="4" customFormat="1" x14ac:dyDescent="0.3">
      <c r="A99" s="3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</row>
    <row r="100" spans="1:32" s="4" customFormat="1" x14ac:dyDescent="0.3">
      <c r="A100" s="3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1:32" s="4" customFormat="1" x14ac:dyDescent="0.3">
      <c r="A101" s="3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1:32" s="4" customFormat="1" x14ac:dyDescent="0.3">
      <c r="A102" s="3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Φύλλο28"/>
  <dimension ref="A1:AF39"/>
  <sheetViews>
    <sheetView workbookViewId="0">
      <selection activeCell="A8" sqref="A8:AF10"/>
    </sheetView>
  </sheetViews>
  <sheetFormatPr defaultRowHeight="14.4" x14ac:dyDescent="0.3"/>
  <cols>
    <col min="1" max="2" width="9.109375" style="4"/>
    <col min="3" max="3" width="5.109375" customWidth="1"/>
    <col min="4" max="4" width="14.5546875" bestFit="1" customWidth="1"/>
    <col min="5" max="5" width="10.33203125" bestFit="1" customWidth="1"/>
    <col min="6" max="6" width="12.6640625" bestFit="1" customWidth="1"/>
    <col min="7" max="7" width="9.6640625" bestFit="1" customWidth="1"/>
    <col min="8" max="8" width="5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30858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309</v>
      </c>
      <c r="D8" t="s">
        <v>24150</v>
      </c>
      <c r="E8" t="s">
        <v>255</v>
      </c>
      <c r="F8" t="s">
        <v>20</v>
      </c>
      <c r="G8" t="s">
        <v>30859</v>
      </c>
      <c r="H8">
        <v>54.9</v>
      </c>
      <c r="I8">
        <v>0</v>
      </c>
      <c r="K8">
        <v>15</v>
      </c>
      <c r="M8">
        <v>15</v>
      </c>
      <c r="N8">
        <v>20</v>
      </c>
      <c r="O8">
        <v>10</v>
      </c>
      <c r="P8">
        <v>99.9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3</v>
      </c>
      <c r="AA8">
        <v>0</v>
      </c>
      <c r="AB8" t="s">
        <v>130</v>
      </c>
      <c r="AD8" t="s">
        <v>130</v>
      </c>
      <c r="AF8">
        <v>102.9</v>
      </c>
    </row>
    <row r="9" spans="1:32" x14ac:dyDescent="0.3">
      <c r="A9" s="4">
        <v>3</v>
      </c>
      <c r="B9" s="5">
        <v>2</v>
      </c>
      <c r="C9">
        <v>1493</v>
      </c>
      <c r="D9" t="s">
        <v>2416</v>
      </c>
      <c r="E9" t="s">
        <v>19</v>
      </c>
      <c r="F9" t="s">
        <v>20</v>
      </c>
      <c r="G9" t="s">
        <v>30860</v>
      </c>
      <c r="H9">
        <v>57</v>
      </c>
      <c r="I9">
        <v>0</v>
      </c>
      <c r="L9">
        <v>10</v>
      </c>
      <c r="M9">
        <v>10</v>
      </c>
      <c r="N9">
        <v>20</v>
      </c>
      <c r="O9">
        <v>10</v>
      </c>
      <c r="P9">
        <v>97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3</v>
      </c>
      <c r="AA9">
        <v>0</v>
      </c>
      <c r="AD9" t="s">
        <v>130</v>
      </c>
      <c r="AF9">
        <v>100</v>
      </c>
    </row>
    <row r="11" spans="1:32" x14ac:dyDescent="0.3">
      <c r="A11" s="3" t="s">
        <v>8356</v>
      </c>
    </row>
    <row r="12" spans="1:32" x14ac:dyDescent="0.3">
      <c r="A12" s="3" t="s">
        <v>30528</v>
      </c>
    </row>
    <row r="13" spans="1:32" x14ac:dyDescent="0.3">
      <c r="A13" s="3" t="s">
        <v>30529</v>
      </c>
    </row>
    <row r="14" spans="1:32" x14ac:dyDescent="0.3">
      <c r="A14" s="3" t="s">
        <v>30530</v>
      </c>
    </row>
    <row r="15" spans="1:32" x14ac:dyDescent="0.3">
      <c r="A15" s="3" t="s">
        <v>30531</v>
      </c>
    </row>
    <row r="16" spans="1:32" s="4" customFormat="1" x14ac:dyDescent="0.3">
      <c r="A16" s="3" t="s">
        <v>30532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30533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30534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30535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8365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8366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30536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30537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30538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30539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30540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30541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30542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30543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30544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30545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30547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30548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Φύλλο29"/>
  <dimension ref="A1:AF50"/>
  <sheetViews>
    <sheetView workbookViewId="0">
      <selection activeCell="A8" sqref="A8:AF21"/>
    </sheetView>
  </sheetViews>
  <sheetFormatPr defaultRowHeight="14.4" x14ac:dyDescent="0.3"/>
  <cols>
    <col min="1" max="2" width="9.109375" style="4"/>
    <col min="3" max="3" width="5.109375" customWidth="1"/>
    <col min="4" max="4" width="15.88671875" bestFit="1" customWidth="1"/>
    <col min="5" max="5" width="16.109375" bestFit="1" customWidth="1"/>
    <col min="6" max="6" width="15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30858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736</v>
      </c>
      <c r="D8" t="s">
        <v>30861</v>
      </c>
      <c r="E8" t="s">
        <v>29</v>
      </c>
      <c r="F8" t="s">
        <v>158</v>
      </c>
      <c r="G8" t="s">
        <v>30862</v>
      </c>
      <c r="H8">
        <v>55.05</v>
      </c>
      <c r="I8">
        <v>0</v>
      </c>
      <c r="J8">
        <v>40</v>
      </c>
      <c r="M8">
        <v>20</v>
      </c>
      <c r="N8">
        <v>20</v>
      </c>
      <c r="O8">
        <v>10</v>
      </c>
      <c r="P8">
        <v>105.05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0</v>
      </c>
      <c r="AB8" t="s">
        <v>130</v>
      </c>
      <c r="AD8" t="s">
        <v>130</v>
      </c>
      <c r="AF8">
        <v>114.05</v>
      </c>
    </row>
    <row r="9" spans="1:32" x14ac:dyDescent="0.3">
      <c r="A9" s="4">
        <v>3</v>
      </c>
      <c r="B9" s="5">
        <v>2</v>
      </c>
      <c r="C9">
        <v>962</v>
      </c>
      <c r="D9" t="s">
        <v>17743</v>
      </c>
      <c r="E9" t="s">
        <v>147</v>
      </c>
      <c r="F9" t="s">
        <v>38</v>
      </c>
      <c r="G9" t="s">
        <v>30863</v>
      </c>
      <c r="H9">
        <v>59.1</v>
      </c>
      <c r="I9">
        <v>0</v>
      </c>
      <c r="J9">
        <v>20</v>
      </c>
      <c r="M9">
        <v>20</v>
      </c>
      <c r="N9">
        <v>20</v>
      </c>
      <c r="O9">
        <v>10</v>
      </c>
      <c r="P9">
        <v>109.1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D9" t="s">
        <v>130</v>
      </c>
      <c r="AF9">
        <v>109.1</v>
      </c>
    </row>
    <row r="10" spans="1:32" x14ac:dyDescent="0.3">
      <c r="A10" s="4">
        <v>4</v>
      </c>
      <c r="B10" s="5">
        <v>3</v>
      </c>
      <c r="C10">
        <v>591</v>
      </c>
      <c r="D10" t="s">
        <v>8410</v>
      </c>
      <c r="E10" t="s">
        <v>54</v>
      </c>
      <c r="F10" t="s">
        <v>124</v>
      </c>
      <c r="G10" t="s">
        <v>8411</v>
      </c>
      <c r="H10">
        <v>56.22</v>
      </c>
      <c r="I10">
        <v>0</v>
      </c>
      <c r="L10">
        <v>10</v>
      </c>
      <c r="M10">
        <v>10</v>
      </c>
      <c r="N10">
        <v>20</v>
      </c>
      <c r="O10">
        <v>10</v>
      </c>
      <c r="P10">
        <v>96.22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12</v>
      </c>
      <c r="AA10">
        <v>0</v>
      </c>
      <c r="AB10" t="s">
        <v>130</v>
      </c>
      <c r="AD10" t="s">
        <v>130</v>
      </c>
      <c r="AF10">
        <v>108.22</v>
      </c>
    </row>
    <row r="11" spans="1:32" x14ac:dyDescent="0.3">
      <c r="A11" s="4">
        <v>5</v>
      </c>
      <c r="B11" s="5">
        <v>4</v>
      </c>
      <c r="C11">
        <v>115</v>
      </c>
      <c r="D11" t="s">
        <v>23273</v>
      </c>
      <c r="E11" t="s">
        <v>27510</v>
      </c>
      <c r="F11" t="s">
        <v>17</v>
      </c>
      <c r="G11" t="s">
        <v>30864</v>
      </c>
      <c r="H11">
        <v>53.25</v>
      </c>
      <c r="I11">
        <v>10</v>
      </c>
      <c r="L11">
        <v>10</v>
      </c>
      <c r="M11">
        <v>10</v>
      </c>
      <c r="N11">
        <v>20</v>
      </c>
      <c r="O11">
        <v>10</v>
      </c>
      <c r="P11">
        <v>103.25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D11" t="s">
        <v>130</v>
      </c>
      <c r="AF11">
        <v>106.25</v>
      </c>
    </row>
    <row r="12" spans="1:32" x14ac:dyDescent="0.3">
      <c r="A12" s="4">
        <v>6</v>
      </c>
      <c r="B12" s="5">
        <v>5</v>
      </c>
      <c r="C12">
        <v>234</v>
      </c>
      <c r="D12" t="s">
        <v>18815</v>
      </c>
      <c r="E12" t="s">
        <v>406</v>
      </c>
      <c r="F12" t="s">
        <v>38</v>
      </c>
      <c r="G12" t="s">
        <v>18816</v>
      </c>
      <c r="H12">
        <v>56.1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106.1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D12" t="s">
        <v>130</v>
      </c>
      <c r="AF12">
        <v>106.1</v>
      </c>
    </row>
    <row r="13" spans="1:32" x14ac:dyDescent="0.3">
      <c r="A13" s="4">
        <v>7</v>
      </c>
      <c r="B13" s="5">
        <v>6</v>
      </c>
      <c r="C13">
        <v>198</v>
      </c>
      <c r="D13" t="s">
        <v>1397</v>
      </c>
      <c r="E13" t="s">
        <v>268</v>
      </c>
      <c r="F13" t="s">
        <v>58</v>
      </c>
      <c r="G13" t="s">
        <v>30865</v>
      </c>
      <c r="H13">
        <v>57.6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97.6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</v>
      </c>
      <c r="AA13">
        <v>0</v>
      </c>
      <c r="AD13" t="s">
        <v>130</v>
      </c>
      <c r="AF13">
        <v>103.6</v>
      </c>
    </row>
    <row r="14" spans="1:32" x14ac:dyDescent="0.3">
      <c r="A14" s="4">
        <v>8</v>
      </c>
      <c r="B14" s="5">
        <v>7</v>
      </c>
      <c r="C14">
        <v>1645</v>
      </c>
      <c r="D14" t="s">
        <v>4038</v>
      </c>
      <c r="E14" t="s">
        <v>71</v>
      </c>
      <c r="F14" t="s">
        <v>158</v>
      </c>
      <c r="G14" t="s">
        <v>30866</v>
      </c>
      <c r="H14">
        <v>58.71</v>
      </c>
      <c r="I14">
        <v>0</v>
      </c>
      <c r="M14">
        <v>0</v>
      </c>
      <c r="N14">
        <v>20</v>
      </c>
      <c r="O14">
        <v>10</v>
      </c>
      <c r="P14">
        <v>88.71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3</v>
      </c>
      <c r="AA14">
        <v>0</v>
      </c>
      <c r="AD14" t="s">
        <v>130</v>
      </c>
      <c r="AF14">
        <v>91.71</v>
      </c>
    </row>
    <row r="15" spans="1:32" x14ac:dyDescent="0.3">
      <c r="A15" s="4">
        <v>9</v>
      </c>
      <c r="B15" s="5">
        <v>8</v>
      </c>
      <c r="C15">
        <v>251</v>
      </c>
      <c r="D15" t="s">
        <v>4343</v>
      </c>
      <c r="E15" t="s">
        <v>268</v>
      </c>
      <c r="F15" t="s">
        <v>20</v>
      </c>
      <c r="G15" t="s">
        <v>30867</v>
      </c>
      <c r="H15">
        <v>51.6</v>
      </c>
      <c r="I15">
        <v>0</v>
      </c>
      <c r="L15">
        <v>10</v>
      </c>
      <c r="M15">
        <v>10</v>
      </c>
      <c r="N15">
        <v>20</v>
      </c>
      <c r="O15">
        <v>10</v>
      </c>
      <c r="P15">
        <v>91.6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91.6</v>
      </c>
    </row>
    <row r="16" spans="1:32" x14ac:dyDescent="0.3">
      <c r="A16" s="4">
        <v>10</v>
      </c>
      <c r="B16" s="5">
        <v>9</v>
      </c>
      <c r="C16">
        <v>1263</v>
      </c>
      <c r="D16" t="s">
        <v>1314</v>
      </c>
      <c r="E16" t="s">
        <v>166</v>
      </c>
      <c r="F16" t="s">
        <v>62</v>
      </c>
      <c r="G16" t="s">
        <v>2274</v>
      </c>
      <c r="H16">
        <v>57</v>
      </c>
      <c r="I16">
        <v>0</v>
      </c>
      <c r="J16">
        <v>20</v>
      </c>
      <c r="M16">
        <v>20</v>
      </c>
      <c r="N16">
        <v>20</v>
      </c>
      <c r="O16">
        <v>10</v>
      </c>
      <c r="P16">
        <v>107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3</v>
      </c>
      <c r="AA16">
        <v>0</v>
      </c>
      <c r="AB16" t="s">
        <v>130</v>
      </c>
      <c r="AF16">
        <v>110</v>
      </c>
    </row>
    <row r="17" spans="1:32" x14ac:dyDescent="0.3">
      <c r="A17" s="4">
        <v>11</v>
      </c>
      <c r="B17" s="5">
        <v>10</v>
      </c>
      <c r="C17">
        <v>1288</v>
      </c>
      <c r="D17" t="s">
        <v>4603</v>
      </c>
      <c r="E17" t="s">
        <v>30868</v>
      </c>
      <c r="F17" t="s">
        <v>2225</v>
      </c>
      <c r="G17" t="s">
        <v>30869</v>
      </c>
      <c r="H17">
        <v>57.3</v>
      </c>
      <c r="I17">
        <v>0</v>
      </c>
      <c r="L17">
        <v>10</v>
      </c>
      <c r="M17">
        <v>10</v>
      </c>
      <c r="N17">
        <v>20</v>
      </c>
      <c r="O17">
        <v>10</v>
      </c>
      <c r="P17">
        <v>97.3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F17">
        <v>97.3</v>
      </c>
    </row>
    <row r="18" spans="1:32" x14ac:dyDescent="0.3">
      <c r="A18" s="4">
        <v>12</v>
      </c>
      <c r="B18" s="5">
        <v>11</v>
      </c>
      <c r="C18">
        <v>592</v>
      </c>
      <c r="D18" t="s">
        <v>8444</v>
      </c>
      <c r="E18" t="s">
        <v>471</v>
      </c>
      <c r="F18" t="s">
        <v>124</v>
      </c>
      <c r="G18" t="s">
        <v>8445</v>
      </c>
      <c r="H18">
        <v>51.51</v>
      </c>
      <c r="I18">
        <v>0</v>
      </c>
      <c r="L18">
        <v>10</v>
      </c>
      <c r="M18">
        <v>10</v>
      </c>
      <c r="N18">
        <v>20</v>
      </c>
      <c r="O18">
        <v>10</v>
      </c>
      <c r="P18">
        <v>91.51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3</v>
      </c>
      <c r="AA18">
        <v>0</v>
      </c>
      <c r="AB18" t="s">
        <v>130</v>
      </c>
      <c r="AF18">
        <v>94.51</v>
      </c>
    </row>
    <row r="19" spans="1:32" x14ac:dyDescent="0.3">
      <c r="A19" s="4">
        <v>13</v>
      </c>
      <c r="B19" s="5">
        <v>12</v>
      </c>
      <c r="C19">
        <v>560</v>
      </c>
      <c r="D19" t="s">
        <v>4955</v>
      </c>
      <c r="E19" t="s">
        <v>454</v>
      </c>
      <c r="F19" t="s">
        <v>587</v>
      </c>
      <c r="G19" t="s">
        <v>30870</v>
      </c>
      <c r="H19">
        <v>57.3</v>
      </c>
      <c r="I19">
        <v>0</v>
      </c>
      <c r="M19">
        <v>0</v>
      </c>
      <c r="N19">
        <v>20</v>
      </c>
      <c r="O19">
        <v>10</v>
      </c>
      <c r="P19">
        <v>87.3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F19">
        <v>93.3</v>
      </c>
    </row>
    <row r="20" spans="1:32" x14ac:dyDescent="0.3">
      <c r="A20" s="4">
        <v>14</v>
      </c>
      <c r="B20" s="5">
        <v>13</v>
      </c>
      <c r="C20">
        <v>1356</v>
      </c>
      <c r="D20" t="s">
        <v>30871</v>
      </c>
      <c r="E20" t="s">
        <v>7345</v>
      </c>
      <c r="F20" t="s">
        <v>18128</v>
      </c>
      <c r="G20" t="s">
        <v>30872</v>
      </c>
      <c r="H20">
        <v>52.74</v>
      </c>
      <c r="I20">
        <v>0</v>
      </c>
      <c r="M20">
        <v>0</v>
      </c>
      <c r="N20">
        <v>0</v>
      </c>
      <c r="O20">
        <v>0</v>
      </c>
      <c r="P20">
        <v>52.74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3</v>
      </c>
      <c r="AA20">
        <v>0</v>
      </c>
      <c r="AF20">
        <v>55.74</v>
      </c>
    </row>
    <row r="22" spans="1:32" x14ac:dyDescent="0.3">
      <c r="A22" s="3" t="s">
        <v>8356</v>
      </c>
    </row>
    <row r="23" spans="1:32" x14ac:dyDescent="0.3">
      <c r="A23" s="3" t="s">
        <v>30528</v>
      </c>
    </row>
    <row r="24" spans="1:32" x14ac:dyDescent="0.3">
      <c r="A24" s="3" t="s">
        <v>30529</v>
      </c>
    </row>
    <row r="25" spans="1:32" x14ac:dyDescent="0.3">
      <c r="A25" s="3" t="s">
        <v>30530</v>
      </c>
    </row>
    <row r="26" spans="1:32" x14ac:dyDescent="0.3">
      <c r="A26" s="3" t="s">
        <v>30531</v>
      </c>
    </row>
    <row r="27" spans="1:32" x14ac:dyDescent="0.3">
      <c r="A27" s="3" t="s">
        <v>30532</v>
      </c>
    </row>
    <row r="28" spans="1:32" x14ac:dyDescent="0.3">
      <c r="A28" s="3" t="s">
        <v>30533</v>
      </c>
    </row>
    <row r="29" spans="1:32" x14ac:dyDescent="0.3">
      <c r="A29" s="3" t="s">
        <v>30534</v>
      </c>
    </row>
    <row r="30" spans="1:32" x14ac:dyDescent="0.3">
      <c r="A30" s="3" t="s">
        <v>30535</v>
      </c>
    </row>
    <row r="31" spans="1:32" x14ac:dyDescent="0.3">
      <c r="A31" s="3" t="s">
        <v>8365</v>
      </c>
    </row>
    <row r="32" spans="1:32" s="4" customFormat="1" x14ac:dyDescent="0.3">
      <c r="A32" s="3" t="s">
        <v>8366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30536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30537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30538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30539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30540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30541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30542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30543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30544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30545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30546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30547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30548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Φύλλο30"/>
  <dimension ref="A1:AF42"/>
  <sheetViews>
    <sheetView workbookViewId="0">
      <selection activeCell="A8" sqref="A8:AF12"/>
    </sheetView>
  </sheetViews>
  <sheetFormatPr defaultRowHeight="14.4" x14ac:dyDescent="0.3"/>
  <cols>
    <col min="1" max="2" width="9.109375" style="4"/>
    <col min="3" max="3" width="5.109375" customWidth="1"/>
    <col min="4" max="4" width="15.109375" bestFit="1" customWidth="1"/>
    <col min="5" max="5" width="15.33203125" bestFit="1" customWidth="1"/>
    <col min="6" max="6" width="12.6640625" bestFit="1" customWidth="1"/>
    <col min="7" max="7" width="9.554687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30873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108</v>
      </c>
      <c r="D8" t="s">
        <v>15334</v>
      </c>
      <c r="E8" t="s">
        <v>81</v>
      </c>
      <c r="F8" t="s">
        <v>117</v>
      </c>
      <c r="G8" t="s">
        <v>30874</v>
      </c>
      <c r="H8">
        <v>59.25</v>
      </c>
      <c r="I8">
        <v>0</v>
      </c>
      <c r="J8">
        <v>20</v>
      </c>
      <c r="M8">
        <v>20</v>
      </c>
      <c r="N8">
        <v>20</v>
      </c>
      <c r="O8">
        <v>10</v>
      </c>
      <c r="P8">
        <v>109.25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F8">
        <v>115.25</v>
      </c>
    </row>
    <row r="9" spans="1:32" x14ac:dyDescent="0.3">
      <c r="A9" s="6">
        <v>2</v>
      </c>
      <c r="B9" s="5">
        <v>2</v>
      </c>
      <c r="C9" s="1">
        <v>95</v>
      </c>
      <c r="D9" s="1" t="s">
        <v>1299</v>
      </c>
      <c r="E9" s="1" t="s">
        <v>1508</v>
      </c>
      <c r="F9" s="1" t="s">
        <v>17</v>
      </c>
      <c r="G9" s="1" t="s">
        <v>30875</v>
      </c>
      <c r="H9" s="1">
        <v>57</v>
      </c>
      <c r="I9" s="1">
        <v>10</v>
      </c>
      <c r="J9" s="1"/>
      <c r="K9" s="1"/>
      <c r="L9" s="1">
        <v>10</v>
      </c>
      <c r="M9" s="1">
        <v>10</v>
      </c>
      <c r="N9" s="1">
        <v>20</v>
      </c>
      <c r="O9" s="1">
        <v>10</v>
      </c>
      <c r="P9" s="1">
        <v>107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3</v>
      </c>
      <c r="AA9" s="1">
        <v>0</v>
      </c>
      <c r="AB9" s="1" t="s">
        <v>130</v>
      </c>
      <c r="AC9" s="1"/>
      <c r="AD9" s="1"/>
      <c r="AE9" s="1"/>
      <c r="AF9" s="1">
        <v>110</v>
      </c>
    </row>
    <row r="10" spans="1:32" x14ac:dyDescent="0.3">
      <c r="A10" s="4">
        <v>3</v>
      </c>
      <c r="B10" s="5">
        <v>3</v>
      </c>
      <c r="C10">
        <v>1367</v>
      </c>
      <c r="D10" t="s">
        <v>29058</v>
      </c>
      <c r="E10" t="s">
        <v>188</v>
      </c>
      <c r="F10" t="s">
        <v>30</v>
      </c>
      <c r="G10" t="s">
        <v>30876</v>
      </c>
      <c r="H10">
        <v>60</v>
      </c>
      <c r="I10">
        <v>0</v>
      </c>
      <c r="J10">
        <v>20</v>
      </c>
      <c r="M10">
        <v>20</v>
      </c>
      <c r="N10">
        <v>20</v>
      </c>
      <c r="O10">
        <v>0</v>
      </c>
      <c r="P10">
        <v>100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9</v>
      </c>
      <c r="AA10">
        <v>0</v>
      </c>
      <c r="AF10">
        <v>109</v>
      </c>
    </row>
    <row r="11" spans="1:32" x14ac:dyDescent="0.3">
      <c r="A11" s="4">
        <v>4</v>
      </c>
      <c r="B11" s="5">
        <v>4</v>
      </c>
      <c r="C11">
        <v>119</v>
      </c>
      <c r="D11" t="s">
        <v>849</v>
      </c>
      <c r="E11" t="s">
        <v>100</v>
      </c>
      <c r="F11" t="s">
        <v>17</v>
      </c>
      <c r="G11" t="s">
        <v>850</v>
      </c>
      <c r="H11">
        <v>54.3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104.3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B11" t="s">
        <v>130</v>
      </c>
      <c r="AF11">
        <v>107.3</v>
      </c>
    </row>
    <row r="12" spans="1:32" x14ac:dyDescent="0.3">
      <c r="A12" s="4">
        <v>5</v>
      </c>
      <c r="B12" s="5">
        <v>5</v>
      </c>
      <c r="C12">
        <v>532</v>
      </c>
      <c r="D12" t="s">
        <v>3850</v>
      </c>
      <c r="E12" t="s">
        <v>71</v>
      </c>
      <c r="F12" t="s">
        <v>30</v>
      </c>
      <c r="G12" t="s">
        <v>3851</v>
      </c>
      <c r="H12">
        <v>44.25</v>
      </c>
      <c r="I12">
        <v>0</v>
      </c>
      <c r="M12">
        <v>0</v>
      </c>
      <c r="N12">
        <v>20</v>
      </c>
      <c r="O12">
        <v>10</v>
      </c>
      <c r="P12">
        <v>74.25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6</v>
      </c>
      <c r="AA12">
        <v>0</v>
      </c>
      <c r="AF12">
        <v>80.25</v>
      </c>
    </row>
    <row r="14" spans="1:32" x14ac:dyDescent="0.3">
      <c r="A14" s="3" t="s">
        <v>8356</v>
      </c>
    </row>
    <row r="15" spans="1:32" x14ac:dyDescent="0.3">
      <c r="A15" s="3" t="s">
        <v>30528</v>
      </c>
    </row>
    <row r="16" spans="1:32" x14ac:dyDescent="0.3">
      <c r="A16" s="3" t="s">
        <v>30529</v>
      </c>
    </row>
    <row r="17" spans="1:1" x14ac:dyDescent="0.3">
      <c r="A17" s="3" t="s">
        <v>30530</v>
      </c>
    </row>
    <row r="18" spans="1:1" x14ac:dyDescent="0.3">
      <c r="A18" s="3" t="s">
        <v>30531</v>
      </c>
    </row>
    <row r="19" spans="1:1" x14ac:dyDescent="0.3">
      <c r="A19" s="3" t="s">
        <v>30532</v>
      </c>
    </row>
    <row r="20" spans="1:1" x14ac:dyDescent="0.3">
      <c r="A20" s="3" t="s">
        <v>30533</v>
      </c>
    </row>
    <row r="21" spans="1:1" x14ac:dyDescent="0.3">
      <c r="A21" s="3" t="s">
        <v>30534</v>
      </c>
    </row>
    <row r="22" spans="1:1" x14ac:dyDescent="0.3">
      <c r="A22" s="3" t="s">
        <v>30535</v>
      </c>
    </row>
    <row r="23" spans="1:1" x14ac:dyDescent="0.3">
      <c r="A23" s="3" t="s">
        <v>8365</v>
      </c>
    </row>
    <row r="24" spans="1:1" x14ac:dyDescent="0.3">
      <c r="A24" s="3" t="s">
        <v>8366</v>
      </c>
    </row>
    <row r="25" spans="1:1" x14ac:dyDescent="0.3">
      <c r="A25" s="3" t="s">
        <v>30536</v>
      </c>
    </row>
    <row r="26" spans="1:1" x14ac:dyDescent="0.3">
      <c r="A26" s="3" t="s">
        <v>30537</v>
      </c>
    </row>
    <row r="27" spans="1:1" x14ac:dyDescent="0.3">
      <c r="A27" s="3" t="s">
        <v>30538</v>
      </c>
    </row>
    <row r="28" spans="1:1" x14ac:dyDescent="0.3">
      <c r="A28" s="3" t="s">
        <v>30539</v>
      </c>
    </row>
    <row r="29" spans="1:1" x14ac:dyDescent="0.3">
      <c r="A29" s="3" t="s">
        <v>30540</v>
      </c>
    </row>
    <row r="30" spans="1:1" x14ac:dyDescent="0.3">
      <c r="A30" s="3" t="s">
        <v>30541</v>
      </c>
    </row>
    <row r="31" spans="1:1" x14ac:dyDescent="0.3">
      <c r="A31" s="3" t="s">
        <v>30542</v>
      </c>
    </row>
    <row r="32" spans="1:1" x14ac:dyDescent="0.3">
      <c r="A32" s="3" t="s">
        <v>30543</v>
      </c>
    </row>
    <row r="33" spans="1:1" x14ac:dyDescent="0.3">
      <c r="A33" s="3" t="s">
        <v>30544</v>
      </c>
    </row>
    <row r="34" spans="1:1" x14ac:dyDescent="0.3">
      <c r="A34" s="3" t="s">
        <v>30545</v>
      </c>
    </row>
    <row r="35" spans="1:1" x14ac:dyDescent="0.3">
      <c r="A35" s="3" t="s">
        <v>30546</v>
      </c>
    </row>
    <row r="36" spans="1:1" x14ac:dyDescent="0.3">
      <c r="A36" s="3" t="s">
        <v>30547</v>
      </c>
    </row>
    <row r="37" spans="1:1" x14ac:dyDescent="0.3">
      <c r="A37" s="3" t="s">
        <v>30548</v>
      </c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  <row r="42" spans="1:1" x14ac:dyDescent="0.3">
      <c r="A42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Φύλλο4"/>
  <dimension ref="A1:AD38"/>
  <sheetViews>
    <sheetView workbookViewId="0">
      <selection activeCell="A8" sqref="A8:AD8"/>
    </sheetView>
  </sheetViews>
  <sheetFormatPr defaultRowHeight="14.4" x14ac:dyDescent="0.3"/>
  <cols>
    <col min="1" max="2" width="9.109375" style="4"/>
    <col min="3" max="3" width="5.109375" customWidth="1"/>
    <col min="4" max="4" width="11.88671875" bestFit="1" customWidth="1"/>
    <col min="5" max="5" width="11.109375" bestFit="1" customWidth="1"/>
    <col min="6" max="6" width="12.6640625" bestFit="1" customWidth="1"/>
    <col min="7" max="7" width="9.6640625" bestFit="1" customWidth="1"/>
    <col min="8" max="8" width="6" customWidth="1"/>
  </cols>
  <sheetData>
    <row r="1" spans="1:30" x14ac:dyDescent="0.3">
      <c r="A1" s="3" t="s">
        <v>8377</v>
      </c>
    </row>
    <row r="2" spans="1:30" x14ac:dyDescent="0.3">
      <c r="A2" s="3" t="s">
        <v>8378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8379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8" spans="1:30" x14ac:dyDescent="0.3">
      <c r="A8" s="4">
        <v>1</v>
      </c>
      <c r="B8" s="5">
        <v>1</v>
      </c>
      <c r="C8">
        <v>14</v>
      </c>
      <c r="D8" t="s">
        <v>8380</v>
      </c>
      <c r="E8" t="s">
        <v>132</v>
      </c>
      <c r="F8" t="s">
        <v>34</v>
      </c>
      <c r="G8" t="s">
        <v>8381</v>
      </c>
      <c r="H8">
        <v>42.27</v>
      </c>
      <c r="I8">
        <v>0</v>
      </c>
      <c r="L8">
        <v>10</v>
      </c>
      <c r="M8">
        <v>10</v>
      </c>
      <c r="N8">
        <v>20</v>
      </c>
      <c r="O8">
        <v>10</v>
      </c>
      <c r="P8">
        <v>82.27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>
        <v>88.27</v>
      </c>
    </row>
    <row r="10" spans="1:30" x14ac:dyDescent="0.3">
      <c r="A10" s="3" t="s">
        <v>8356</v>
      </c>
    </row>
    <row r="11" spans="1:30" x14ac:dyDescent="0.3">
      <c r="A11" s="3" t="s">
        <v>8382</v>
      </c>
    </row>
    <row r="12" spans="1:30" x14ac:dyDescent="0.3">
      <c r="A12" s="3" t="s">
        <v>8358</v>
      </c>
    </row>
    <row r="13" spans="1:30" x14ac:dyDescent="0.3">
      <c r="A13" s="3" t="s">
        <v>8359</v>
      </c>
    </row>
    <row r="14" spans="1:30" x14ac:dyDescent="0.3">
      <c r="A14" s="3" t="s">
        <v>8360</v>
      </c>
    </row>
    <row r="15" spans="1:30" x14ac:dyDescent="0.3">
      <c r="A15" s="3" t="s">
        <v>8361</v>
      </c>
    </row>
    <row r="16" spans="1:30" x14ac:dyDescent="0.3">
      <c r="A16" s="3" t="s">
        <v>8362</v>
      </c>
    </row>
    <row r="17" spans="1:1" x14ac:dyDescent="0.3">
      <c r="A17" s="3" t="s">
        <v>8363</v>
      </c>
    </row>
    <row r="18" spans="1:1" x14ac:dyDescent="0.3">
      <c r="A18" s="3" t="s">
        <v>8364</v>
      </c>
    </row>
    <row r="19" spans="1:1" x14ac:dyDescent="0.3">
      <c r="A19" s="3" t="s">
        <v>8365</v>
      </c>
    </row>
    <row r="20" spans="1:1" x14ac:dyDescent="0.3">
      <c r="A20" s="3" t="s">
        <v>8366</v>
      </c>
    </row>
    <row r="21" spans="1:1" x14ac:dyDescent="0.3">
      <c r="A21" s="3" t="s">
        <v>8383</v>
      </c>
    </row>
    <row r="22" spans="1:1" x14ac:dyDescent="0.3">
      <c r="A22" s="3" t="s">
        <v>8384</v>
      </c>
    </row>
    <row r="23" spans="1:1" x14ac:dyDescent="0.3">
      <c r="A23" s="3" t="s">
        <v>8385</v>
      </c>
    </row>
    <row r="24" spans="1:1" x14ac:dyDescent="0.3">
      <c r="A24" s="3" t="s">
        <v>8386</v>
      </c>
    </row>
    <row r="25" spans="1:1" x14ac:dyDescent="0.3">
      <c r="A25" s="3" t="s">
        <v>8387</v>
      </c>
    </row>
    <row r="26" spans="1:1" x14ac:dyDescent="0.3">
      <c r="A26" s="3" t="s">
        <v>8388</v>
      </c>
    </row>
    <row r="27" spans="1:1" x14ac:dyDescent="0.3">
      <c r="A27" s="3" t="s">
        <v>8389</v>
      </c>
    </row>
    <row r="28" spans="1:1" x14ac:dyDescent="0.3">
      <c r="A28" s="3" t="s">
        <v>8390</v>
      </c>
    </row>
    <row r="29" spans="1:1" x14ac:dyDescent="0.3">
      <c r="A29" s="3" t="s">
        <v>8391</v>
      </c>
    </row>
    <row r="30" spans="1:1" x14ac:dyDescent="0.3">
      <c r="A30" s="3" t="s">
        <v>8392</v>
      </c>
    </row>
    <row r="31" spans="1:1" x14ac:dyDescent="0.3">
      <c r="A31" s="3" t="s">
        <v>8393</v>
      </c>
    </row>
    <row r="32" spans="1:1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Φύλλο31"/>
  <dimension ref="A1:AF39"/>
  <sheetViews>
    <sheetView workbookViewId="0">
      <selection activeCell="A8" sqref="A8:AF9"/>
    </sheetView>
  </sheetViews>
  <sheetFormatPr defaultRowHeight="14.4" x14ac:dyDescent="0.3"/>
  <cols>
    <col min="1" max="2" width="9.109375" style="4"/>
    <col min="3" max="3" width="5.109375" customWidth="1"/>
    <col min="4" max="4" width="14.33203125" bestFit="1" customWidth="1"/>
    <col min="5" max="5" width="14.5546875" bestFit="1" customWidth="1"/>
    <col min="6" max="6" width="12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30877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914</v>
      </c>
      <c r="D8" t="s">
        <v>907</v>
      </c>
      <c r="E8" t="s">
        <v>13460</v>
      </c>
      <c r="F8" t="s">
        <v>136</v>
      </c>
      <c r="G8" t="s">
        <v>26801</v>
      </c>
      <c r="H8">
        <v>52.62</v>
      </c>
      <c r="I8">
        <v>0</v>
      </c>
      <c r="J8">
        <v>20</v>
      </c>
      <c r="M8">
        <v>20</v>
      </c>
      <c r="N8">
        <v>20</v>
      </c>
      <c r="O8">
        <v>10</v>
      </c>
      <c r="P8">
        <v>102.62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 t="s">
        <v>130</v>
      </c>
      <c r="AF8">
        <v>108.62</v>
      </c>
    </row>
    <row r="9" spans="1:32" x14ac:dyDescent="0.3">
      <c r="A9" s="4">
        <v>2</v>
      </c>
      <c r="B9" s="5">
        <v>2</v>
      </c>
      <c r="C9">
        <v>747</v>
      </c>
      <c r="D9" t="s">
        <v>30878</v>
      </c>
      <c r="E9" t="s">
        <v>957</v>
      </c>
      <c r="F9" t="s">
        <v>864</v>
      </c>
      <c r="G9" t="s">
        <v>30879</v>
      </c>
      <c r="H9">
        <v>59.1</v>
      </c>
      <c r="I9">
        <v>0</v>
      </c>
      <c r="L9">
        <v>10</v>
      </c>
      <c r="M9">
        <v>10</v>
      </c>
      <c r="N9">
        <v>20</v>
      </c>
      <c r="O9">
        <v>10</v>
      </c>
      <c r="P9">
        <v>99.1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D9" t="s">
        <v>130</v>
      </c>
      <c r="AF9">
        <v>99.1</v>
      </c>
    </row>
    <row r="11" spans="1:32" x14ac:dyDescent="0.3">
      <c r="A11" s="3" t="s">
        <v>8356</v>
      </c>
    </row>
    <row r="12" spans="1:32" x14ac:dyDescent="0.3">
      <c r="A12" s="3" t="s">
        <v>30528</v>
      </c>
    </row>
    <row r="13" spans="1:32" x14ac:dyDescent="0.3">
      <c r="A13" s="3" t="s">
        <v>30529</v>
      </c>
    </row>
    <row r="14" spans="1:32" x14ac:dyDescent="0.3">
      <c r="A14" s="3" t="s">
        <v>30530</v>
      </c>
    </row>
    <row r="15" spans="1:32" x14ac:dyDescent="0.3">
      <c r="A15" s="3" t="s">
        <v>30531</v>
      </c>
    </row>
    <row r="16" spans="1:32" x14ac:dyDescent="0.3">
      <c r="A16" s="3" t="s">
        <v>30532</v>
      </c>
    </row>
    <row r="17" spans="1:1" x14ac:dyDescent="0.3">
      <c r="A17" s="3" t="s">
        <v>30533</v>
      </c>
    </row>
    <row r="18" spans="1:1" x14ac:dyDescent="0.3">
      <c r="A18" s="3" t="s">
        <v>30534</v>
      </c>
    </row>
    <row r="19" spans="1:1" x14ac:dyDescent="0.3">
      <c r="A19" s="3" t="s">
        <v>30535</v>
      </c>
    </row>
    <row r="20" spans="1:1" x14ac:dyDescent="0.3">
      <c r="A20" s="3" t="s">
        <v>8365</v>
      </c>
    </row>
    <row r="21" spans="1:1" x14ac:dyDescent="0.3">
      <c r="A21" s="3" t="s">
        <v>8366</v>
      </c>
    </row>
    <row r="22" spans="1:1" x14ac:dyDescent="0.3">
      <c r="A22" s="3" t="s">
        <v>30536</v>
      </c>
    </row>
    <row r="23" spans="1:1" x14ac:dyDescent="0.3">
      <c r="A23" s="3" t="s">
        <v>30537</v>
      </c>
    </row>
    <row r="24" spans="1:1" x14ac:dyDescent="0.3">
      <c r="A24" s="3" t="s">
        <v>30538</v>
      </c>
    </row>
    <row r="25" spans="1:1" x14ac:dyDescent="0.3">
      <c r="A25" s="3" t="s">
        <v>30539</v>
      </c>
    </row>
    <row r="26" spans="1:1" x14ac:dyDescent="0.3">
      <c r="A26" s="3" t="s">
        <v>30540</v>
      </c>
    </row>
    <row r="27" spans="1:1" x14ac:dyDescent="0.3">
      <c r="A27" s="3" t="s">
        <v>30541</v>
      </c>
    </row>
    <row r="28" spans="1:1" x14ac:dyDescent="0.3">
      <c r="A28" s="3" t="s">
        <v>30542</v>
      </c>
    </row>
    <row r="29" spans="1:1" x14ac:dyDescent="0.3">
      <c r="A29" s="3" t="s">
        <v>30543</v>
      </c>
    </row>
    <row r="30" spans="1:1" x14ac:dyDescent="0.3">
      <c r="A30" s="3" t="s">
        <v>30544</v>
      </c>
    </row>
    <row r="31" spans="1:1" x14ac:dyDescent="0.3">
      <c r="A31" s="3" t="s">
        <v>30545</v>
      </c>
    </row>
    <row r="32" spans="1:1" x14ac:dyDescent="0.3">
      <c r="A32" s="3" t="s">
        <v>30546</v>
      </c>
    </row>
    <row r="33" spans="1:1" x14ac:dyDescent="0.3">
      <c r="A33" s="3" t="s">
        <v>30547</v>
      </c>
    </row>
    <row r="34" spans="1:1" x14ac:dyDescent="0.3">
      <c r="A34" s="3" t="s">
        <v>30548</v>
      </c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Φύλλο32"/>
  <dimension ref="A1:AF59"/>
  <sheetViews>
    <sheetView workbookViewId="0">
      <selection activeCell="A8" sqref="A8:AF32"/>
    </sheetView>
  </sheetViews>
  <sheetFormatPr defaultRowHeight="14.4" x14ac:dyDescent="0.3"/>
  <cols>
    <col min="1" max="2" width="9.109375" style="4"/>
    <col min="3" max="3" width="5.109375" customWidth="1"/>
    <col min="4" max="4" width="21.44140625" bestFit="1" customWidth="1"/>
    <col min="5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30877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1490</v>
      </c>
      <c r="D8" t="s">
        <v>3487</v>
      </c>
      <c r="E8" t="s">
        <v>54</v>
      </c>
      <c r="F8" t="s">
        <v>62</v>
      </c>
      <c r="G8" t="s">
        <v>18456</v>
      </c>
      <c r="H8">
        <v>58.14</v>
      </c>
      <c r="I8">
        <v>0</v>
      </c>
      <c r="J8">
        <v>40</v>
      </c>
      <c r="M8">
        <v>20</v>
      </c>
      <c r="N8">
        <v>20</v>
      </c>
      <c r="O8">
        <v>10</v>
      </c>
      <c r="P8">
        <v>108.14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24</v>
      </c>
      <c r="AB8" t="s">
        <v>130</v>
      </c>
      <c r="AD8" t="s">
        <v>130</v>
      </c>
      <c r="AF8">
        <v>132.13999999999999</v>
      </c>
    </row>
    <row r="9" spans="1:32" x14ac:dyDescent="0.3">
      <c r="A9" s="4">
        <v>2</v>
      </c>
      <c r="B9" s="5">
        <v>2</v>
      </c>
      <c r="C9">
        <v>148</v>
      </c>
      <c r="D9" t="s">
        <v>4090</v>
      </c>
      <c r="E9" t="s">
        <v>115</v>
      </c>
      <c r="F9" t="s">
        <v>3705</v>
      </c>
      <c r="G9" t="s">
        <v>30880</v>
      </c>
      <c r="H9">
        <v>56.7</v>
      </c>
      <c r="I9">
        <v>0</v>
      </c>
      <c r="J9">
        <v>20</v>
      </c>
      <c r="M9">
        <v>20</v>
      </c>
      <c r="N9">
        <v>20</v>
      </c>
      <c r="O9">
        <v>10</v>
      </c>
      <c r="P9">
        <v>106.7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D9" t="s">
        <v>130</v>
      </c>
      <c r="AF9">
        <v>112.7</v>
      </c>
    </row>
    <row r="10" spans="1:32" x14ac:dyDescent="0.3">
      <c r="A10" s="4">
        <v>3</v>
      </c>
      <c r="B10" s="5">
        <v>3</v>
      </c>
      <c r="C10">
        <v>1320</v>
      </c>
      <c r="D10" t="s">
        <v>8885</v>
      </c>
      <c r="E10" t="s">
        <v>37</v>
      </c>
      <c r="F10" t="s">
        <v>117</v>
      </c>
      <c r="G10" t="s">
        <v>8886</v>
      </c>
      <c r="H10">
        <v>57.6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107.6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3</v>
      </c>
      <c r="AA10">
        <v>0</v>
      </c>
      <c r="AB10" t="s">
        <v>130</v>
      </c>
      <c r="AD10" t="s">
        <v>130</v>
      </c>
      <c r="AF10">
        <v>110.6</v>
      </c>
    </row>
    <row r="11" spans="1:32" x14ac:dyDescent="0.3">
      <c r="A11" s="4">
        <v>4</v>
      </c>
      <c r="B11" s="5">
        <v>4</v>
      </c>
      <c r="C11">
        <v>495</v>
      </c>
      <c r="D11" t="s">
        <v>25372</v>
      </c>
      <c r="E11" t="s">
        <v>789</v>
      </c>
      <c r="F11" t="s">
        <v>136</v>
      </c>
      <c r="G11" t="s">
        <v>25373</v>
      </c>
      <c r="H11">
        <v>60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110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D11" t="s">
        <v>130</v>
      </c>
      <c r="AF11">
        <v>110</v>
      </c>
    </row>
    <row r="12" spans="1:32" x14ac:dyDescent="0.3">
      <c r="A12" s="4">
        <v>6</v>
      </c>
      <c r="B12" s="5">
        <v>5</v>
      </c>
      <c r="C12">
        <v>67</v>
      </c>
      <c r="D12" t="s">
        <v>20276</v>
      </c>
      <c r="E12" t="s">
        <v>62</v>
      </c>
      <c r="F12" t="s">
        <v>62</v>
      </c>
      <c r="G12" t="s">
        <v>20277</v>
      </c>
      <c r="H12">
        <v>55.35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105.35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D12" t="s">
        <v>130</v>
      </c>
      <c r="AF12">
        <v>108.35</v>
      </c>
    </row>
    <row r="13" spans="1:32" x14ac:dyDescent="0.3">
      <c r="A13" s="4">
        <v>7</v>
      </c>
      <c r="B13" s="5">
        <v>6</v>
      </c>
      <c r="C13">
        <v>75</v>
      </c>
      <c r="D13" t="s">
        <v>8414</v>
      </c>
      <c r="E13" t="s">
        <v>166</v>
      </c>
      <c r="F13" t="s">
        <v>117</v>
      </c>
      <c r="G13" t="s">
        <v>8415</v>
      </c>
      <c r="H13">
        <v>58.2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108.2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t="s">
        <v>130</v>
      </c>
      <c r="AD13" t="s">
        <v>130</v>
      </c>
      <c r="AF13">
        <v>108.2</v>
      </c>
    </row>
    <row r="14" spans="1:32" x14ac:dyDescent="0.3">
      <c r="A14" s="4">
        <v>8</v>
      </c>
      <c r="B14" s="5">
        <v>7</v>
      </c>
      <c r="C14">
        <v>937</v>
      </c>
      <c r="D14" t="s">
        <v>4593</v>
      </c>
      <c r="E14" t="s">
        <v>28057</v>
      </c>
      <c r="F14" t="s">
        <v>5693</v>
      </c>
      <c r="G14" t="s">
        <v>30881</v>
      </c>
      <c r="H14">
        <v>60</v>
      </c>
      <c r="I14">
        <v>0</v>
      </c>
      <c r="K14">
        <v>15</v>
      </c>
      <c r="M14">
        <v>15</v>
      </c>
      <c r="N14">
        <v>20</v>
      </c>
      <c r="O14">
        <v>10</v>
      </c>
      <c r="P14">
        <v>105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t="s">
        <v>130</v>
      </c>
      <c r="AD14" t="s">
        <v>130</v>
      </c>
      <c r="AF14">
        <v>105</v>
      </c>
    </row>
    <row r="15" spans="1:32" x14ac:dyDescent="0.3">
      <c r="A15" s="4">
        <v>9</v>
      </c>
      <c r="B15" s="5">
        <v>8</v>
      </c>
      <c r="C15">
        <v>708</v>
      </c>
      <c r="D15" t="s">
        <v>5472</v>
      </c>
      <c r="E15" t="s">
        <v>54</v>
      </c>
      <c r="F15" t="s">
        <v>442</v>
      </c>
      <c r="G15" t="s">
        <v>30882</v>
      </c>
      <c r="H15">
        <v>53.07</v>
      </c>
      <c r="I15">
        <v>0</v>
      </c>
      <c r="L15">
        <v>10</v>
      </c>
      <c r="M15">
        <v>10</v>
      </c>
      <c r="N15">
        <v>20</v>
      </c>
      <c r="O15">
        <v>10</v>
      </c>
      <c r="P15">
        <v>93.07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</v>
      </c>
      <c r="AA15">
        <v>0</v>
      </c>
      <c r="AD15" t="s">
        <v>130</v>
      </c>
      <c r="AF15">
        <v>99.07</v>
      </c>
    </row>
    <row r="16" spans="1:32" x14ac:dyDescent="0.3">
      <c r="A16" s="4">
        <v>12</v>
      </c>
      <c r="B16" s="5">
        <v>9</v>
      </c>
      <c r="C16">
        <v>911</v>
      </c>
      <c r="D16" t="s">
        <v>9333</v>
      </c>
      <c r="E16" t="s">
        <v>81</v>
      </c>
      <c r="F16" t="s">
        <v>136</v>
      </c>
      <c r="G16" t="s">
        <v>9334</v>
      </c>
      <c r="H16">
        <v>42</v>
      </c>
      <c r="I16">
        <v>0</v>
      </c>
      <c r="J16">
        <v>20</v>
      </c>
      <c r="M16">
        <v>20</v>
      </c>
      <c r="N16">
        <v>20</v>
      </c>
      <c r="O16">
        <v>0</v>
      </c>
      <c r="P16">
        <v>82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3</v>
      </c>
      <c r="AA16">
        <v>26.8</v>
      </c>
      <c r="AF16">
        <v>111.8</v>
      </c>
    </row>
    <row r="17" spans="1:32" x14ac:dyDescent="0.3">
      <c r="A17" s="4">
        <v>13</v>
      </c>
      <c r="B17" s="5">
        <v>10</v>
      </c>
      <c r="C17">
        <v>562</v>
      </c>
      <c r="D17" t="s">
        <v>25372</v>
      </c>
      <c r="E17" t="s">
        <v>957</v>
      </c>
      <c r="F17" t="s">
        <v>136</v>
      </c>
      <c r="G17" t="s">
        <v>25645</v>
      </c>
      <c r="H17">
        <v>59.7</v>
      </c>
      <c r="I17">
        <v>0</v>
      </c>
      <c r="J17">
        <v>20</v>
      </c>
      <c r="M17">
        <v>20</v>
      </c>
      <c r="N17">
        <v>20</v>
      </c>
      <c r="O17">
        <v>10</v>
      </c>
      <c r="P17">
        <v>109.7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F17">
        <v>109.7</v>
      </c>
    </row>
    <row r="18" spans="1:32" x14ac:dyDescent="0.3">
      <c r="A18" s="4">
        <v>14</v>
      </c>
      <c r="B18" s="5">
        <v>11</v>
      </c>
      <c r="C18">
        <v>1200</v>
      </c>
      <c r="D18" t="s">
        <v>531</v>
      </c>
      <c r="E18" t="s">
        <v>54</v>
      </c>
      <c r="F18" t="s">
        <v>17</v>
      </c>
      <c r="G18" t="s">
        <v>532</v>
      </c>
      <c r="H18">
        <v>58.8</v>
      </c>
      <c r="I18">
        <v>0</v>
      </c>
      <c r="J18">
        <v>20</v>
      </c>
      <c r="M18">
        <v>20</v>
      </c>
      <c r="N18">
        <v>20</v>
      </c>
      <c r="O18">
        <v>10</v>
      </c>
      <c r="P18">
        <v>108.8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F18">
        <v>108.8</v>
      </c>
    </row>
    <row r="19" spans="1:32" x14ac:dyDescent="0.3">
      <c r="A19" s="4">
        <v>15</v>
      </c>
      <c r="B19" s="5">
        <v>12</v>
      </c>
      <c r="C19">
        <v>1408</v>
      </c>
      <c r="D19" t="s">
        <v>13009</v>
      </c>
      <c r="E19" t="s">
        <v>166</v>
      </c>
      <c r="F19" t="s">
        <v>9547</v>
      </c>
      <c r="G19" t="s">
        <v>30883</v>
      </c>
      <c r="H19">
        <v>58.83</v>
      </c>
      <c r="I19">
        <v>0</v>
      </c>
      <c r="L19">
        <v>10</v>
      </c>
      <c r="M19">
        <v>10</v>
      </c>
      <c r="N19">
        <v>20</v>
      </c>
      <c r="O19">
        <v>10</v>
      </c>
      <c r="P19">
        <v>98.83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F19">
        <v>104.83</v>
      </c>
    </row>
    <row r="20" spans="1:32" x14ac:dyDescent="0.3">
      <c r="A20" s="4">
        <v>16</v>
      </c>
      <c r="B20" s="5">
        <v>13</v>
      </c>
      <c r="C20">
        <v>928</v>
      </c>
      <c r="D20" t="s">
        <v>9942</v>
      </c>
      <c r="E20" t="s">
        <v>166</v>
      </c>
      <c r="F20" t="s">
        <v>117</v>
      </c>
      <c r="G20" t="s">
        <v>25840</v>
      </c>
      <c r="H20">
        <v>59.46</v>
      </c>
      <c r="I20">
        <v>0</v>
      </c>
      <c r="L20">
        <v>10</v>
      </c>
      <c r="M20">
        <v>10</v>
      </c>
      <c r="N20">
        <v>20</v>
      </c>
      <c r="O20">
        <v>10</v>
      </c>
      <c r="P20">
        <v>99.46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3</v>
      </c>
      <c r="AA20">
        <v>0</v>
      </c>
      <c r="AF20">
        <v>102.46</v>
      </c>
    </row>
    <row r="21" spans="1:32" x14ac:dyDescent="0.3">
      <c r="A21" s="4">
        <v>17</v>
      </c>
      <c r="B21" s="5">
        <v>14</v>
      </c>
      <c r="C21">
        <v>952</v>
      </c>
      <c r="D21" t="s">
        <v>1296</v>
      </c>
      <c r="E21" t="s">
        <v>29</v>
      </c>
      <c r="F21" t="s">
        <v>136</v>
      </c>
      <c r="G21" t="s">
        <v>4524</v>
      </c>
      <c r="H21">
        <v>57.9</v>
      </c>
      <c r="I21">
        <v>0</v>
      </c>
      <c r="L21">
        <v>10</v>
      </c>
      <c r="M21">
        <v>10</v>
      </c>
      <c r="N21">
        <v>20</v>
      </c>
      <c r="O21">
        <v>10</v>
      </c>
      <c r="P21">
        <v>97.9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3</v>
      </c>
      <c r="AA21">
        <v>0</v>
      </c>
      <c r="AF21">
        <v>100.9</v>
      </c>
    </row>
    <row r="22" spans="1:32" x14ac:dyDescent="0.3">
      <c r="A22" s="4">
        <v>18</v>
      </c>
      <c r="B22" s="5">
        <v>15</v>
      </c>
      <c r="C22">
        <v>330</v>
      </c>
      <c r="D22" t="s">
        <v>610</v>
      </c>
      <c r="E22" t="s">
        <v>54</v>
      </c>
      <c r="F22" t="s">
        <v>124</v>
      </c>
      <c r="G22" t="s">
        <v>611</v>
      </c>
      <c r="H22">
        <v>54.27</v>
      </c>
      <c r="I22">
        <v>0</v>
      </c>
      <c r="L22">
        <v>10</v>
      </c>
      <c r="M22">
        <v>10</v>
      </c>
      <c r="N22">
        <v>20</v>
      </c>
      <c r="O22">
        <v>10</v>
      </c>
      <c r="P22">
        <v>94.27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6</v>
      </c>
      <c r="AA22">
        <v>0</v>
      </c>
      <c r="AF22">
        <v>100.27</v>
      </c>
    </row>
    <row r="23" spans="1:32" x14ac:dyDescent="0.3">
      <c r="A23" s="4">
        <v>19</v>
      </c>
      <c r="B23" s="5">
        <v>16</v>
      </c>
      <c r="C23">
        <v>1483</v>
      </c>
      <c r="D23" t="s">
        <v>5200</v>
      </c>
      <c r="E23" t="s">
        <v>342</v>
      </c>
      <c r="F23" t="s">
        <v>30</v>
      </c>
      <c r="G23" t="s">
        <v>10143</v>
      </c>
      <c r="H23">
        <v>57.6</v>
      </c>
      <c r="I23">
        <v>0</v>
      </c>
      <c r="L23">
        <v>10</v>
      </c>
      <c r="M23">
        <v>10</v>
      </c>
      <c r="N23">
        <v>20</v>
      </c>
      <c r="O23">
        <v>10</v>
      </c>
      <c r="P23">
        <v>97.6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t="s">
        <v>130</v>
      </c>
      <c r="AF23">
        <v>97.6</v>
      </c>
    </row>
    <row r="24" spans="1:32" x14ac:dyDescent="0.3">
      <c r="A24" s="4">
        <v>20</v>
      </c>
      <c r="B24" s="5">
        <v>17</v>
      </c>
      <c r="C24">
        <v>1301</v>
      </c>
      <c r="D24" t="s">
        <v>30884</v>
      </c>
      <c r="E24" t="s">
        <v>338</v>
      </c>
      <c r="F24" t="s">
        <v>20</v>
      </c>
      <c r="G24" t="s">
        <v>30885</v>
      </c>
      <c r="H24">
        <v>49.8</v>
      </c>
      <c r="I24">
        <v>0</v>
      </c>
      <c r="L24">
        <v>10</v>
      </c>
      <c r="M24">
        <v>10</v>
      </c>
      <c r="N24">
        <v>20</v>
      </c>
      <c r="O24">
        <v>10</v>
      </c>
      <c r="P24">
        <v>89.8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3</v>
      </c>
      <c r="AA24">
        <v>0</v>
      </c>
      <c r="AF24">
        <v>92.8</v>
      </c>
    </row>
    <row r="25" spans="1:32" x14ac:dyDescent="0.3">
      <c r="A25" s="4">
        <v>21</v>
      </c>
      <c r="B25" s="5">
        <v>18</v>
      </c>
      <c r="C25">
        <v>1123</v>
      </c>
      <c r="D25" t="s">
        <v>30612</v>
      </c>
      <c r="E25" t="s">
        <v>9636</v>
      </c>
      <c r="F25" t="s">
        <v>328</v>
      </c>
      <c r="G25" t="s">
        <v>30613</v>
      </c>
      <c r="H25">
        <v>40.380000000000003</v>
      </c>
      <c r="I25">
        <v>0</v>
      </c>
      <c r="J25">
        <v>20</v>
      </c>
      <c r="M25">
        <v>20</v>
      </c>
      <c r="N25">
        <v>20</v>
      </c>
      <c r="O25">
        <v>10</v>
      </c>
      <c r="P25">
        <v>90.38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t="s">
        <v>130</v>
      </c>
      <c r="AF25">
        <v>90.38</v>
      </c>
    </row>
    <row r="26" spans="1:32" x14ac:dyDescent="0.3">
      <c r="A26" s="4">
        <v>22</v>
      </c>
      <c r="B26" s="5">
        <v>19</v>
      </c>
      <c r="C26">
        <v>881</v>
      </c>
      <c r="D26" t="s">
        <v>1299</v>
      </c>
      <c r="E26" t="s">
        <v>283</v>
      </c>
      <c r="F26" t="s">
        <v>68</v>
      </c>
      <c r="G26" t="s">
        <v>6150</v>
      </c>
      <c r="H26">
        <v>39.81</v>
      </c>
      <c r="I26">
        <v>0</v>
      </c>
      <c r="L26">
        <v>10</v>
      </c>
      <c r="M26">
        <v>10</v>
      </c>
      <c r="N26">
        <v>20</v>
      </c>
      <c r="O26">
        <v>10</v>
      </c>
      <c r="P26">
        <v>79.81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F26">
        <v>79.81</v>
      </c>
    </row>
    <row r="27" spans="1:32" x14ac:dyDescent="0.3">
      <c r="A27" s="4">
        <v>23</v>
      </c>
      <c r="B27" s="5">
        <v>20</v>
      </c>
      <c r="C27">
        <v>1274</v>
      </c>
      <c r="D27" t="s">
        <v>6268</v>
      </c>
      <c r="E27" t="s">
        <v>33</v>
      </c>
      <c r="F27" t="s">
        <v>34</v>
      </c>
      <c r="G27" t="s">
        <v>6269</v>
      </c>
      <c r="H27">
        <v>48.75</v>
      </c>
      <c r="I27">
        <v>0</v>
      </c>
      <c r="M27">
        <v>0</v>
      </c>
      <c r="N27">
        <v>20</v>
      </c>
      <c r="O27">
        <v>10</v>
      </c>
      <c r="P27">
        <v>78.75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F27">
        <v>78.75</v>
      </c>
    </row>
    <row r="28" spans="1:32" x14ac:dyDescent="0.3">
      <c r="A28" s="4">
        <v>24</v>
      </c>
      <c r="B28" s="5">
        <v>21</v>
      </c>
      <c r="C28">
        <v>1232</v>
      </c>
      <c r="D28" t="s">
        <v>1831</v>
      </c>
      <c r="E28" t="s">
        <v>149</v>
      </c>
      <c r="F28" t="s">
        <v>81</v>
      </c>
      <c r="G28" t="s">
        <v>30886</v>
      </c>
      <c r="H28">
        <v>34.619999999999997</v>
      </c>
      <c r="I28">
        <v>0</v>
      </c>
      <c r="L28">
        <v>10</v>
      </c>
      <c r="M28">
        <v>10</v>
      </c>
      <c r="N28">
        <v>0</v>
      </c>
      <c r="O28">
        <v>10</v>
      </c>
      <c r="P28">
        <v>54.62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20</v>
      </c>
      <c r="AF28">
        <v>74.62</v>
      </c>
    </row>
    <row r="29" spans="1:32" x14ac:dyDescent="0.3">
      <c r="A29" s="4">
        <v>25</v>
      </c>
      <c r="B29" s="5">
        <v>22</v>
      </c>
      <c r="C29">
        <v>912</v>
      </c>
      <c r="D29" t="s">
        <v>10165</v>
      </c>
      <c r="E29" t="s">
        <v>88</v>
      </c>
      <c r="F29" t="s">
        <v>38</v>
      </c>
      <c r="G29" t="s">
        <v>30887</v>
      </c>
      <c r="H29">
        <v>35.729999999999997</v>
      </c>
      <c r="I29">
        <v>0</v>
      </c>
      <c r="M29">
        <v>0</v>
      </c>
      <c r="N29">
        <v>20</v>
      </c>
      <c r="O29">
        <v>10</v>
      </c>
      <c r="P29">
        <v>65.73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t="s">
        <v>130</v>
      </c>
      <c r="AF29">
        <v>65.73</v>
      </c>
    </row>
    <row r="31" spans="1:32" s="4" customFormat="1" x14ac:dyDescent="0.3">
      <c r="A31" s="3" t="s">
        <v>8356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30528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30529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30530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30531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30532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30533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30534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30535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8365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8366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30536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30537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30538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30539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 t="s">
        <v>30540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 t="s">
        <v>30541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30542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30543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30544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 t="s">
        <v>30545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 t="s">
        <v>30546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 t="s">
        <v>30547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 t="s">
        <v>30548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4" customFormat="1" x14ac:dyDescent="0.3">
      <c r="A56" s="3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4" customFormat="1" x14ac:dyDescent="0.3">
      <c r="A57" s="3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4" customFormat="1" x14ac:dyDescent="0.3">
      <c r="A58" s="3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4" customFormat="1" x14ac:dyDescent="0.3">
      <c r="A59" s="3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Φύλλο33"/>
  <dimension ref="A1:AF56"/>
  <sheetViews>
    <sheetView workbookViewId="0">
      <selection activeCell="A8" sqref="A8:AF26"/>
    </sheetView>
  </sheetViews>
  <sheetFormatPr defaultRowHeight="14.4" x14ac:dyDescent="0.3"/>
  <cols>
    <col min="1" max="2" width="9.109375" style="4"/>
    <col min="3" max="3" width="5.109375" customWidth="1"/>
    <col min="4" max="4" width="16.6640625" bestFit="1" customWidth="1"/>
    <col min="5" max="5" width="14.109375" bestFit="1" customWidth="1"/>
    <col min="6" max="6" width="15.332031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30888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746</v>
      </c>
      <c r="D8" t="s">
        <v>2873</v>
      </c>
      <c r="E8" t="s">
        <v>2874</v>
      </c>
      <c r="F8" t="s">
        <v>2875</v>
      </c>
      <c r="G8" t="s">
        <v>2876</v>
      </c>
      <c r="H8">
        <v>59.1</v>
      </c>
      <c r="I8">
        <v>10</v>
      </c>
      <c r="J8">
        <v>20</v>
      </c>
      <c r="L8">
        <v>10</v>
      </c>
      <c r="M8">
        <v>20</v>
      </c>
      <c r="N8">
        <v>20</v>
      </c>
      <c r="O8">
        <v>10</v>
      </c>
      <c r="P8">
        <v>119.1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3</v>
      </c>
      <c r="AA8">
        <v>0</v>
      </c>
      <c r="AB8" t="s">
        <v>130</v>
      </c>
      <c r="AD8" t="s">
        <v>130</v>
      </c>
      <c r="AF8">
        <v>122.1</v>
      </c>
    </row>
    <row r="9" spans="1:32" x14ac:dyDescent="0.3">
      <c r="A9" s="4">
        <v>2</v>
      </c>
      <c r="B9" s="5">
        <v>2</v>
      </c>
      <c r="C9">
        <v>1256</v>
      </c>
      <c r="D9" t="s">
        <v>3009</v>
      </c>
      <c r="E9" t="s">
        <v>1189</v>
      </c>
      <c r="F9" t="s">
        <v>81</v>
      </c>
      <c r="G9" t="s">
        <v>3010</v>
      </c>
      <c r="H9">
        <v>60</v>
      </c>
      <c r="I9">
        <v>0</v>
      </c>
      <c r="J9">
        <v>20</v>
      </c>
      <c r="K9">
        <v>15</v>
      </c>
      <c r="M9">
        <v>20</v>
      </c>
      <c r="N9">
        <v>20</v>
      </c>
      <c r="O9">
        <v>10</v>
      </c>
      <c r="P9">
        <v>110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12</v>
      </c>
      <c r="AA9">
        <v>0</v>
      </c>
      <c r="AD9" t="s">
        <v>130</v>
      </c>
      <c r="AF9">
        <v>122</v>
      </c>
    </row>
    <row r="10" spans="1:32" x14ac:dyDescent="0.3">
      <c r="A10" s="6">
        <v>3</v>
      </c>
      <c r="B10" s="5">
        <v>3</v>
      </c>
      <c r="C10" s="1">
        <v>1664</v>
      </c>
      <c r="D10" s="1" t="s">
        <v>201</v>
      </c>
      <c r="E10" s="1" t="s">
        <v>957</v>
      </c>
      <c r="F10" s="1" t="s">
        <v>17</v>
      </c>
      <c r="G10" s="1" t="s">
        <v>30889</v>
      </c>
      <c r="H10" s="1">
        <v>59.4</v>
      </c>
      <c r="I10" s="1">
        <v>10</v>
      </c>
      <c r="J10" s="1">
        <v>20</v>
      </c>
      <c r="K10" s="1"/>
      <c r="L10" s="1">
        <v>10</v>
      </c>
      <c r="M10" s="1">
        <v>20</v>
      </c>
      <c r="N10" s="1">
        <v>20</v>
      </c>
      <c r="O10" s="1">
        <v>10</v>
      </c>
      <c r="P10" s="1">
        <v>119.4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 t="s">
        <v>130</v>
      </c>
      <c r="AC10" s="1" t="s">
        <v>130</v>
      </c>
      <c r="AD10" s="1" t="s">
        <v>130</v>
      </c>
      <c r="AE10" s="1"/>
      <c r="AF10" s="1">
        <v>119.4</v>
      </c>
    </row>
    <row r="11" spans="1:32" x14ac:dyDescent="0.3">
      <c r="A11" s="4">
        <v>4</v>
      </c>
      <c r="B11" s="5">
        <v>4</v>
      </c>
      <c r="C11">
        <v>896</v>
      </c>
      <c r="D11" t="s">
        <v>6943</v>
      </c>
      <c r="E11" t="s">
        <v>161</v>
      </c>
      <c r="F11" t="s">
        <v>17</v>
      </c>
      <c r="G11" t="s">
        <v>6944</v>
      </c>
      <c r="H11">
        <v>60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110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6</v>
      </c>
      <c r="AA11">
        <v>0</v>
      </c>
      <c r="AB11" t="s">
        <v>130</v>
      </c>
      <c r="AD11" t="s">
        <v>130</v>
      </c>
      <c r="AF11">
        <v>116</v>
      </c>
    </row>
    <row r="12" spans="1:32" x14ac:dyDescent="0.3">
      <c r="A12" s="4">
        <v>5</v>
      </c>
      <c r="B12" s="5">
        <v>5</v>
      </c>
      <c r="C12">
        <v>101</v>
      </c>
      <c r="D12" t="s">
        <v>942</v>
      </c>
      <c r="E12" t="s">
        <v>219</v>
      </c>
      <c r="F12" t="s">
        <v>81</v>
      </c>
      <c r="G12" t="s">
        <v>943</v>
      </c>
      <c r="H12">
        <v>52.68</v>
      </c>
      <c r="I12">
        <v>10</v>
      </c>
      <c r="J12">
        <v>20</v>
      </c>
      <c r="M12">
        <v>20</v>
      </c>
      <c r="N12">
        <v>20</v>
      </c>
      <c r="O12">
        <v>10</v>
      </c>
      <c r="P12">
        <v>112.68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D12" t="s">
        <v>130</v>
      </c>
      <c r="AF12">
        <v>115.68</v>
      </c>
    </row>
    <row r="13" spans="1:32" x14ac:dyDescent="0.3">
      <c r="A13" s="4">
        <v>6</v>
      </c>
      <c r="B13" s="5">
        <v>6</v>
      </c>
      <c r="C13">
        <v>357</v>
      </c>
      <c r="D13" t="s">
        <v>4139</v>
      </c>
      <c r="E13" t="s">
        <v>3948</v>
      </c>
      <c r="F13" t="s">
        <v>343</v>
      </c>
      <c r="G13" t="s">
        <v>4140</v>
      </c>
      <c r="H13">
        <v>60</v>
      </c>
      <c r="I13">
        <v>0</v>
      </c>
      <c r="J13">
        <v>20</v>
      </c>
      <c r="L13">
        <v>10</v>
      </c>
      <c r="M13">
        <v>20</v>
      </c>
      <c r="N13">
        <v>20</v>
      </c>
      <c r="O13">
        <v>10</v>
      </c>
      <c r="P13">
        <v>110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t="s">
        <v>130</v>
      </c>
      <c r="AD13" t="s">
        <v>130</v>
      </c>
      <c r="AF13">
        <v>110</v>
      </c>
    </row>
    <row r="14" spans="1:32" x14ac:dyDescent="0.3">
      <c r="A14" s="4">
        <v>7</v>
      </c>
      <c r="B14" s="5">
        <v>7</v>
      </c>
      <c r="C14">
        <v>396</v>
      </c>
      <c r="D14" t="s">
        <v>2301</v>
      </c>
      <c r="E14" t="s">
        <v>957</v>
      </c>
      <c r="F14" t="s">
        <v>343</v>
      </c>
      <c r="G14" t="s">
        <v>4130</v>
      </c>
      <c r="H14">
        <v>60</v>
      </c>
      <c r="I14">
        <v>0</v>
      </c>
      <c r="J14">
        <v>20</v>
      </c>
      <c r="L14">
        <v>10</v>
      </c>
      <c r="M14">
        <v>20</v>
      </c>
      <c r="N14">
        <v>20</v>
      </c>
      <c r="O14">
        <v>10</v>
      </c>
      <c r="P14">
        <v>110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110</v>
      </c>
    </row>
    <row r="15" spans="1:32" x14ac:dyDescent="0.3">
      <c r="A15" s="4">
        <v>8</v>
      </c>
      <c r="B15" s="5">
        <v>8</v>
      </c>
      <c r="C15">
        <v>1407</v>
      </c>
      <c r="D15" t="s">
        <v>4265</v>
      </c>
      <c r="E15" t="s">
        <v>33</v>
      </c>
      <c r="F15" t="s">
        <v>190</v>
      </c>
      <c r="G15" t="s">
        <v>4266</v>
      </c>
      <c r="H15">
        <v>56.7</v>
      </c>
      <c r="I15">
        <v>0</v>
      </c>
      <c r="J15">
        <v>20</v>
      </c>
      <c r="L15">
        <v>10</v>
      </c>
      <c r="M15">
        <v>20</v>
      </c>
      <c r="N15">
        <v>20</v>
      </c>
      <c r="O15">
        <v>10</v>
      </c>
      <c r="P15">
        <v>106.7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3</v>
      </c>
      <c r="AA15">
        <v>0</v>
      </c>
      <c r="AB15" t="s">
        <v>130</v>
      </c>
      <c r="AD15" t="s">
        <v>130</v>
      </c>
      <c r="AF15">
        <v>109.7</v>
      </c>
    </row>
    <row r="16" spans="1:32" x14ac:dyDescent="0.3">
      <c r="A16" s="4">
        <v>9</v>
      </c>
      <c r="B16" s="5">
        <v>9</v>
      </c>
      <c r="C16">
        <v>214</v>
      </c>
      <c r="D16" t="s">
        <v>4543</v>
      </c>
      <c r="E16" t="s">
        <v>255</v>
      </c>
      <c r="F16" t="s">
        <v>136</v>
      </c>
      <c r="G16" t="s">
        <v>4544</v>
      </c>
      <c r="H16">
        <v>59.7</v>
      </c>
      <c r="I16">
        <v>0</v>
      </c>
      <c r="J16">
        <v>20</v>
      </c>
      <c r="M16">
        <v>20</v>
      </c>
      <c r="N16">
        <v>20</v>
      </c>
      <c r="O16">
        <v>10</v>
      </c>
      <c r="P16">
        <v>109.7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D16" t="s">
        <v>130</v>
      </c>
      <c r="AF16">
        <v>109.7</v>
      </c>
    </row>
    <row r="17" spans="1:32" x14ac:dyDescent="0.3">
      <c r="A17" s="4">
        <v>10</v>
      </c>
      <c r="B17" s="5">
        <v>10</v>
      </c>
      <c r="C17">
        <v>1445</v>
      </c>
      <c r="D17" t="s">
        <v>3447</v>
      </c>
      <c r="E17" t="s">
        <v>403</v>
      </c>
      <c r="F17" t="s">
        <v>124</v>
      </c>
      <c r="G17" t="s">
        <v>3677</v>
      </c>
      <c r="H17">
        <v>59.7</v>
      </c>
      <c r="I17">
        <v>0</v>
      </c>
      <c r="J17">
        <v>20</v>
      </c>
      <c r="M17">
        <v>20</v>
      </c>
      <c r="N17">
        <v>20</v>
      </c>
      <c r="O17">
        <v>10</v>
      </c>
      <c r="P17">
        <v>109.7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t="s">
        <v>130</v>
      </c>
      <c r="AD17" t="s">
        <v>130</v>
      </c>
      <c r="AF17">
        <v>109.7</v>
      </c>
    </row>
    <row r="18" spans="1:32" x14ac:dyDescent="0.3">
      <c r="A18" s="4">
        <v>11</v>
      </c>
      <c r="B18" s="5">
        <v>11</v>
      </c>
      <c r="C18">
        <v>522</v>
      </c>
      <c r="D18" t="s">
        <v>2160</v>
      </c>
      <c r="E18" t="s">
        <v>173</v>
      </c>
      <c r="F18" t="s">
        <v>1450</v>
      </c>
      <c r="G18" t="s">
        <v>2161</v>
      </c>
      <c r="H18">
        <v>59.7</v>
      </c>
      <c r="I18">
        <v>0</v>
      </c>
      <c r="J18">
        <v>40</v>
      </c>
      <c r="M18">
        <v>20</v>
      </c>
      <c r="N18">
        <v>20</v>
      </c>
      <c r="O18">
        <v>10</v>
      </c>
      <c r="P18">
        <v>109.7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t="s">
        <v>130</v>
      </c>
      <c r="AD18" t="s">
        <v>130</v>
      </c>
      <c r="AF18">
        <v>109.7</v>
      </c>
    </row>
    <row r="19" spans="1:32" x14ac:dyDescent="0.3">
      <c r="A19" s="4">
        <v>12</v>
      </c>
      <c r="B19" s="5">
        <v>12</v>
      </c>
      <c r="C19">
        <v>80</v>
      </c>
      <c r="D19" t="s">
        <v>1425</v>
      </c>
      <c r="E19" t="s">
        <v>2381</v>
      </c>
      <c r="F19" t="s">
        <v>17</v>
      </c>
      <c r="G19" t="s">
        <v>4610</v>
      </c>
      <c r="H19">
        <v>60</v>
      </c>
      <c r="I19">
        <v>0</v>
      </c>
      <c r="L19">
        <v>10</v>
      </c>
      <c r="M19">
        <v>10</v>
      </c>
      <c r="N19">
        <v>20</v>
      </c>
      <c r="O19">
        <v>10</v>
      </c>
      <c r="P19">
        <v>100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3</v>
      </c>
      <c r="AA19">
        <v>0</v>
      </c>
      <c r="AD19" t="s">
        <v>130</v>
      </c>
      <c r="AF19">
        <v>103</v>
      </c>
    </row>
    <row r="20" spans="1:32" x14ac:dyDescent="0.3">
      <c r="A20" s="4">
        <v>13</v>
      </c>
      <c r="B20" s="5">
        <v>13</v>
      </c>
      <c r="C20">
        <v>427</v>
      </c>
      <c r="D20" t="s">
        <v>434</v>
      </c>
      <c r="E20" t="s">
        <v>54</v>
      </c>
      <c r="F20" t="s">
        <v>17</v>
      </c>
      <c r="G20" t="s">
        <v>4881</v>
      </c>
      <c r="H20">
        <v>58.8</v>
      </c>
      <c r="I20">
        <v>0</v>
      </c>
      <c r="J20">
        <v>20</v>
      </c>
      <c r="M20">
        <v>20</v>
      </c>
      <c r="N20">
        <v>20</v>
      </c>
      <c r="O20">
        <v>0</v>
      </c>
      <c r="P20">
        <v>98.8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t="s">
        <v>130</v>
      </c>
      <c r="AD20" t="s">
        <v>130</v>
      </c>
      <c r="AF20">
        <v>98.8</v>
      </c>
    </row>
    <row r="21" spans="1:32" x14ac:dyDescent="0.3">
      <c r="A21" s="4">
        <v>14</v>
      </c>
      <c r="B21" s="5">
        <v>14</v>
      </c>
      <c r="C21">
        <v>151</v>
      </c>
      <c r="D21" t="s">
        <v>18004</v>
      </c>
      <c r="E21" t="s">
        <v>188</v>
      </c>
      <c r="F21" t="s">
        <v>20</v>
      </c>
      <c r="G21" t="s">
        <v>25343</v>
      </c>
      <c r="H21">
        <v>48.99</v>
      </c>
      <c r="I21">
        <v>0</v>
      </c>
      <c r="L21">
        <v>10</v>
      </c>
      <c r="M21">
        <v>10</v>
      </c>
      <c r="N21">
        <v>20</v>
      </c>
      <c r="O21">
        <v>10</v>
      </c>
      <c r="P21">
        <v>88.99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9</v>
      </c>
      <c r="AA21">
        <v>0</v>
      </c>
      <c r="AB21" t="s">
        <v>130</v>
      </c>
      <c r="AD21" t="s">
        <v>130</v>
      </c>
      <c r="AF21">
        <v>97.99</v>
      </c>
    </row>
    <row r="22" spans="1:32" x14ac:dyDescent="0.3">
      <c r="A22" s="4">
        <v>15</v>
      </c>
      <c r="B22" s="5">
        <v>15</v>
      </c>
      <c r="C22">
        <v>258</v>
      </c>
      <c r="D22" t="s">
        <v>1575</v>
      </c>
      <c r="E22" t="s">
        <v>29</v>
      </c>
      <c r="F22" t="s">
        <v>158</v>
      </c>
      <c r="G22" t="s">
        <v>3538</v>
      </c>
      <c r="H22">
        <v>51.9</v>
      </c>
      <c r="I22">
        <v>10</v>
      </c>
      <c r="K22">
        <v>15</v>
      </c>
      <c r="M22">
        <v>15</v>
      </c>
      <c r="N22">
        <v>20</v>
      </c>
      <c r="O22">
        <v>0</v>
      </c>
      <c r="P22">
        <v>96.9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D22" t="s">
        <v>130</v>
      </c>
      <c r="AF22">
        <v>96.9</v>
      </c>
    </row>
    <row r="23" spans="1:32" x14ac:dyDescent="0.3">
      <c r="A23" s="4">
        <v>16</v>
      </c>
      <c r="B23" s="5">
        <v>16</v>
      </c>
      <c r="C23">
        <v>1713</v>
      </c>
      <c r="D23" t="s">
        <v>5849</v>
      </c>
      <c r="E23" t="s">
        <v>5850</v>
      </c>
      <c r="F23" t="s">
        <v>5851</v>
      </c>
      <c r="G23" t="s">
        <v>5852</v>
      </c>
      <c r="H23">
        <v>44.7</v>
      </c>
      <c r="I23">
        <v>0</v>
      </c>
      <c r="J23">
        <v>40</v>
      </c>
      <c r="M23">
        <v>20</v>
      </c>
      <c r="N23">
        <v>20</v>
      </c>
      <c r="O23">
        <v>10</v>
      </c>
      <c r="P23">
        <v>94.7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t="s">
        <v>130</v>
      </c>
      <c r="AD23" t="s">
        <v>130</v>
      </c>
      <c r="AF23">
        <v>94.7</v>
      </c>
    </row>
    <row r="24" spans="1:32" x14ac:dyDescent="0.3">
      <c r="A24" s="4">
        <v>17</v>
      </c>
      <c r="B24" s="5">
        <v>17</v>
      </c>
      <c r="C24">
        <v>778</v>
      </c>
      <c r="D24" t="s">
        <v>6026</v>
      </c>
      <c r="E24" t="s">
        <v>161</v>
      </c>
      <c r="F24" t="s">
        <v>20</v>
      </c>
      <c r="G24" t="s">
        <v>6027</v>
      </c>
      <c r="H24">
        <v>55.5</v>
      </c>
      <c r="I24">
        <v>0</v>
      </c>
      <c r="M24">
        <v>0</v>
      </c>
      <c r="N24">
        <v>20</v>
      </c>
      <c r="O24">
        <v>10</v>
      </c>
      <c r="P24">
        <v>85.5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D24" t="s">
        <v>130</v>
      </c>
      <c r="AF24">
        <v>85.5</v>
      </c>
    </row>
    <row r="25" spans="1:32" x14ac:dyDescent="0.3">
      <c r="A25" s="4">
        <v>18</v>
      </c>
      <c r="B25" s="5">
        <v>18</v>
      </c>
      <c r="C25">
        <v>1314</v>
      </c>
      <c r="D25" t="s">
        <v>794</v>
      </c>
      <c r="E25" t="s">
        <v>795</v>
      </c>
      <c r="F25" t="s">
        <v>38</v>
      </c>
      <c r="G25" t="s">
        <v>796</v>
      </c>
      <c r="H25">
        <v>57</v>
      </c>
      <c r="I25">
        <v>10</v>
      </c>
      <c r="J25">
        <v>20</v>
      </c>
      <c r="M25">
        <v>20</v>
      </c>
      <c r="N25">
        <v>20</v>
      </c>
      <c r="O25">
        <v>10</v>
      </c>
      <c r="P25">
        <v>117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F25">
        <v>117</v>
      </c>
    </row>
    <row r="26" spans="1:32" x14ac:dyDescent="0.3">
      <c r="A26" s="4">
        <v>19</v>
      </c>
      <c r="B26" s="5">
        <v>19</v>
      </c>
      <c r="C26">
        <v>202</v>
      </c>
      <c r="D26" t="s">
        <v>257</v>
      </c>
      <c r="E26" t="s">
        <v>258</v>
      </c>
      <c r="F26" t="s">
        <v>259</v>
      </c>
      <c r="G26" t="s">
        <v>260</v>
      </c>
      <c r="H26">
        <v>57.81</v>
      </c>
      <c r="I26">
        <v>0</v>
      </c>
      <c r="L26">
        <v>10</v>
      </c>
      <c r="M26">
        <v>10</v>
      </c>
      <c r="N26">
        <v>20</v>
      </c>
      <c r="O26">
        <v>0</v>
      </c>
      <c r="P26">
        <v>87.81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6</v>
      </c>
      <c r="AA26">
        <v>0</v>
      </c>
      <c r="AF26">
        <v>93.81</v>
      </c>
    </row>
    <row r="28" spans="1:32" x14ac:dyDescent="0.3">
      <c r="A28" s="3" t="s">
        <v>8356</v>
      </c>
    </row>
    <row r="29" spans="1:32" x14ac:dyDescent="0.3">
      <c r="A29" s="3" t="s">
        <v>30528</v>
      </c>
    </row>
    <row r="30" spans="1:32" x14ac:dyDescent="0.3">
      <c r="A30" s="3" t="s">
        <v>30529</v>
      </c>
    </row>
    <row r="31" spans="1:32" x14ac:dyDescent="0.3">
      <c r="A31" s="3" t="s">
        <v>30530</v>
      </c>
    </row>
    <row r="32" spans="1:32" x14ac:dyDescent="0.3">
      <c r="A32" s="3" t="s">
        <v>30531</v>
      </c>
    </row>
    <row r="33" spans="1:1" x14ac:dyDescent="0.3">
      <c r="A33" s="3" t="s">
        <v>30532</v>
      </c>
    </row>
    <row r="34" spans="1:1" x14ac:dyDescent="0.3">
      <c r="A34" s="3" t="s">
        <v>30533</v>
      </c>
    </row>
    <row r="35" spans="1:1" x14ac:dyDescent="0.3">
      <c r="A35" s="3" t="s">
        <v>30534</v>
      </c>
    </row>
    <row r="36" spans="1:1" x14ac:dyDescent="0.3">
      <c r="A36" s="3" t="s">
        <v>30535</v>
      </c>
    </row>
    <row r="37" spans="1:1" x14ac:dyDescent="0.3">
      <c r="A37" s="3" t="s">
        <v>8365</v>
      </c>
    </row>
    <row r="38" spans="1:1" x14ac:dyDescent="0.3">
      <c r="A38" s="3" t="s">
        <v>8366</v>
      </c>
    </row>
    <row r="39" spans="1:1" x14ac:dyDescent="0.3">
      <c r="A39" s="3" t="s">
        <v>30536</v>
      </c>
    </row>
    <row r="40" spans="1:1" x14ac:dyDescent="0.3">
      <c r="A40" s="3" t="s">
        <v>30537</v>
      </c>
    </row>
    <row r="41" spans="1:1" x14ac:dyDescent="0.3">
      <c r="A41" s="3" t="s">
        <v>30538</v>
      </c>
    </row>
    <row r="42" spans="1:1" x14ac:dyDescent="0.3">
      <c r="A42" s="3" t="s">
        <v>30539</v>
      </c>
    </row>
    <row r="43" spans="1:1" x14ac:dyDescent="0.3">
      <c r="A43" s="3" t="s">
        <v>30540</v>
      </c>
    </row>
    <row r="44" spans="1:1" x14ac:dyDescent="0.3">
      <c r="A44" s="3" t="s">
        <v>30541</v>
      </c>
    </row>
    <row r="45" spans="1:1" x14ac:dyDescent="0.3">
      <c r="A45" s="3" t="s">
        <v>30542</v>
      </c>
    </row>
    <row r="46" spans="1:1" x14ac:dyDescent="0.3">
      <c r="A46" s="3" t="s">
        <v>30543</v>
      </c>
    </row>
    <row r="47" spans="1:1" x14ac:dyDescent="0.3">
      <c r="A47" s="3" t="s">
        <v>30544</v>
      </c>
    </row>
    <row r="48" spans="1:1" x14ac:dyDescent="0.3">
      <c r="A48" s="3" t="s">
        <v>30545</v>
      </c>
    </row>
    <row r="49" spans="1:1" x14ac:dyDescent="0.3">
      <c r="A49" s="3" t="s">
        <v>30546</v>
      </c>
    </row>
    <row r="50" spans="1:1" x14ac:dyDescent="0.3">
      <c r="A50" s="3" t="s">
        <v>30547</v>
      </c>
    </row>
    <row r="51" spans="1:1" x14ac:dyDescent="0.3">
      <c r="A51" s="3" t="s">
        <v>30548</v>
      </c>
    </row>
    <row r="52" spans="1:1" x14ac:dyDescent="0.3">
      <c r="A52" s="3"/>
    </row>
    <row r="53" spans="1:1" x14ac:dyDescent="0.3">
      <c r="A53" s="3"/>
    </row>
    <row r="54" spans="1:1" x14ac:dyDescent="0.3">
      <c r="A54" s="3"/>
    </row>
    <row r="55" spans="1:1" x14ac:dyDescent="0.3">
      <c r="A55" s="3"/>
    </row>
    <row r="56" spans="1:1" x14ac:dyDescent="0.3">
      <c r="A56" s="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Φύλλο34"/>
  <dimension ref="A1:AF369"/>
  <sheetViews>
    <sheetView workbookViewId="0">
      <selection activeCell="A8" sqref="A8:AF345"/>
    </sheetView>
  </sheetViews>
  <sheetFormatPr defaultRowHeight="14.4" x14ac:dyDescent="0.3"/>
  <cols>
    <col min="1" max="2" width="9.109375" style="4"/>
    <col min="3" max="3" width="5.109375" customWidth="1"/>
    <col min="4" max="4" width="23" bestFit="1" customWidth="1"/>
    <col min="5" max="5" width="23.33203125" bestFit="1" customWidth="1"/>
    <col min="6" max="6" width="15.66406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30888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1193</v>
      </c>
      <c r="D8" t="s">
        <v>1606</v>
      </c>
      <c r="E8" t="s">
        <v>789</v>
      </c>
      <c r="F8" t="s">
        <v>375</v>
      </c>
      <c r="G8" t="s">
        <v>1607</v>
      </c>
      <c r="H8">
        <v>58.5</v>
      </c>
      <c r="I8">
        <v>0</v>
      </c>
      <c r="K8">
        <v>30</v>
      </c>
      <c r="M8">
        <v>20</v>
      </c>
      <c r="N8">
        <v>20</v>
      </c>
      <c r="O8">
        <v>10</v>
      </c>
      <c r="P8">
        <v>108.5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32</v>
      </c>
      <c r="AD8" t="s">
        <v>130</v>
      </c>
      <c r="AF8">
        <v>149.5</v>
      </c>
    </row>
    <row r="9" spans="1:32" x14ac:dyDescent="0.3">
      <c r="A9" s="4">
        <v>2</v>
      </c>
      <c r="B9" s="5">
        <v>2</v>
      </c>
      <c r="C9">
        <v>883</v>
      </c>
      <c r="D9" t="s">
        <v>898</v>
      </c>
      <c r="E9" t="s">
        <v>38</v>
      </c>
      <c r="F9" t="s">
        <v>91</v>
      </c>
      <c r="G9" t="s">
        <v>899</v>
      </c>
      <c r="H9">
        <v>58.8</v>
      </c>
      <c r="I9">
        <v>0</v>
      </c>
      <c r="J9">
        <v>20</v>
      </c>
      <c r="M9">
        <v>20</v>
      </c>
      <c r="N9">
        <v>20</v>
      </c>
      <c r="O9">
        <v>10</v>
      </c>
      <c r="P9">
        <v>108.8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38.799999999999997</v>
      </c>
      <c r="AD9" t="s">
        <v>130</v>
      </c>
      <c r="AF9">
        <v>147.6</v>
      </c>
    </row>
    <row r="10" spans="1:32" x14ac:dyDescent="0.3">
      <c r="A10" s="4">
        <v>4</v>
      </c>
      <c r="B10" s="5">
        <v>3</v>
      </c>
      <c r="C10">
        <v>698</v>
      </c>
      <c r="D10" t="s">
        <v>1395</v>
      </c>
      <c r="E10" t="s">
        <v>178</v>
      </c>
      <c r="F10" t="s">
        <v>81</v>
      </c>
      <c r="G10" t="s">
        <v>1396</v>
      </c>
      <c r="H10">
        <v>57.9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107.9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15</v>
      </c>
      <c r="AA10">
        <v>0</v>
      </c>
      <c r="AD10" t="s">
        <v>130</v>
      </c>
      <c r="AF10">
        <v>122.9</v>
      </c>
    </row>
    <row r="11" spans="1:32" x14ac:dyDescent="0.3">
      <c r="A11" s="4">
        <v>5</v>
      </c>
      <c r="B11" s="5">
        <v>4</v>
      </c>
      <c r="C11">
        <v>768</v>
      </c>
      <c r="D11" t="s">
        <v>127</v>
      </c>
      <c r="E11" t="s">
        <v>128</v>
      </c>
      <c r="F11" t="s">
        <v>17</v>
      </c>
      <c r="G11" t="s">
        <v>129</v>
      </c>
      <c r="H11">
        <v>59.31</v>
      </c>
      <c r="I11">
        <v>10</v>
      </c>
      <c r="J11">
        <v>20</v>
      </c>
      <c r="L11">
        <v>10</v>
      </c>
      <c r="M11">
        <v>20</v>
      </c>
      <c r="N11">
        <v>20</v>
      </c>
      <c r="O11">
        <v>10</v>
      </c>
      <c r="P11">
        <v>119.31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B11" t="s">
        <v>130</v>
      </c>
      <c r="AC11" t="s">
        <v>130</v>
      </c>
      <c r="AD11" t="s">
        <v>130</v>
      </c>
      <c r="AF11">
        <v>122.31</v>
      </c>
    </row>
    <row r="12" spans="1:32" x14ac:dyDescent="0.3">
      <c r="A12" s="4">
        <v>6</v>
      </c>
      <c r="B12" s="5">
        <v>5</v>
      </c>
      <c r="C12">
        <v>431</v>
      </c>
      <c r="D12" t="s">
        <v>1252</v>
      </c>
      <c r="E12" t="s">
        <v>424</v>
      </c>
      <c r="F12" t="s">
        <v>68</v>
      </c>
      <c r="G12" t="s">
        <v>1253</v>
      </c>
      <c r="H12">
        <v>60</v>
      </c>
      <c r="I12">
        <v>10</v>
      </c>
      <c r="J12">
        <v>20</v>
      </c>
      <c r="M12">
        <v>20</v>
      </c>
      <c r="N12">
        <v>20</v>
      </c>
      <c r="O12">
        <v>10</v>
      </c>
      <c r="P12">
        <v>120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t="s">
        <v>130</v>
      </c>
      <c r="AD12" t="s">
        <v>130</v>
      </c>
      <c r="AF12">
        <v>120</v>
      </c>
    </row>
    <row r="13" spans="1:32" x14ac:dyDescent="0.3">
      <c r="A13" s="4">
        <v>7</v>
      </c>
      <c r="B13" s="5">
        <v>6</v>
      </c>
      <c r="C13">
        <v>385</v>
      </c>
      <c r="D13" t="s">
        <v>1561</v>
      </c>
      <c r="E13" t="s">
        <v>19</v>
      </c>
      <c r="F13" t="s">
        <v>30</v>
      </c>
      <c r="G13" t="s">
        <v>1562</v>
      </c>
      <c r="H13">
        <v>59.4</v>
      </c>
      <c r="I13">
        <v>10</v>
      </c>
      <c r="J13">
        <v>20</v>
      </c>
      <c r="M13">
        <v>20</v>
      </c>
      <c r="N13">
        <v>20</v>
      </c>
      <c r="O13">
        <v>10</v>
      </c>
      <c r="P13">
        <v>119.4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t="s">
        <v>130</v>
      </c>
      <c r="AD13" t="s">
        <v>130</v>
      </c>
      <c r="AF13">
        <v>119.4</v>
      </c>
    </row>
    <row r="14" spans="1:32" x14ac:dyDescent="0.3">
      <c r="A14" s="4">
        <v>8</v>
      </c>
      <c r="B14" s="5">
        <v>7</v>
      </c>
      <c r="C14">
        <v>750</v>
      </c>
      <c r="D14" t="s">
        <v>1515</v>
      </c>
      <c r="E14" t="s">
        <v>255</v>
      </c>
      <c r="F14" t="s">
        <v>91</v>
      </c>
      <c r="G14" t="s">
        <v>1516</v>
      </c>
      <c r="H14">
        <v>45.6</v>
      </c>
      <c r="I14">
        <v>0</v>
      </c>
      <c r="L14">
        <v>10</v>
      </c>
      <c r="M14">
        <v>10</v>
      </c>
      <c r="N14">
        <v>20</v>
      </c>
      <c r="O14">
        <v>10</v>
      </c>
      <c r="P14">
        <v>85.6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32</v>
      </c>
      <c r="AD14" t="s">
        <v>130</v>
      </c>
      <c r="AF14">
        <v>117.6</v>
      </c>
    </row>
    <row r="15" spans="1:32" x14ac:dyDescent="0.3">
      <c r="A15" s="4">
        <v>10</v>
      </c>
      <c r="B15" s="5">
        <v>8</v>
      </c>
      <c r="C15">
        <v>411</v>
      </c>
      <c r="D15" t="s">
        <v>950</v>
      </c>
      <c r="E15" t="s">
        <v>115</v>
      </c>
      <c r="F15" t="s">
        <v>17</v>
      </c>
      <c r="G15" t="s">
        <v>951</v>
      </c>
      <c r="H15">
        <v>56.7</v>
      </c>
      <c r="I15">
        <v>10</v>
      </c>
      <c r="J15">
        <v>20</v>
      </c>
      <c r="M15">
        <v>20</v>
      </c>
      <c r="N15">
        <v>20</v>
      </c>
      <c r="O15">
        <v>10</v>
      </c>
      <c r="P15">
        <v>116.7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116.7</v>
      </c>
    </row>
    <row r="16" spans="1:32" x14ac:dyDescent="0.3">
      <c r="A16" s="4">
        <v>11</v>
      </c>
      <c r="B16" s="5">
        <v>9</v>
      </c>
      <c r="C16">
        <v>1379</v>
      </c>
      <c r="D16" t="s">
        <v>2421</v>
      </c>
      <c r="E16" t="s">
        <v>54</v>
      </c>
      <c r="F16" t="s">
        <v>81</v>
      </c>
      <c r="G16" t="s">
        <v>2422</v>
      </c>
      <c r="H16">
        <v>60</v>
      </c>
      <c r="I16">
        <v>0</v>
      </c>
      <c r="J16">
        <v>20</v>
      </c>
      <c r="L16">
        <v>10</v>
      </c>
      <c r="M16">
        <v>20</v>
      </c>
      <c r="N16">
        <v>20</v>
      </c>
      <c r="O16">
        <v>10</v>
      </c>
      <c r="P16">
        <v>110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D16" t="s">
        <v>130</v>
      </c>
      <c r="AF16">
        <v>116</v>
      </c>
    </row>
    <row r="17" spans="1:32" x14ac:dyDescent="0.3">
      <c r="A17" s="4">
        <v>12</v>
      </c>
      <c r="B17" s="5">
        <v>10</v>
      </c>
      <c r="C17">
        <v>192</v>
      </c>
      <c r="D17" t="s">
        <v>3936</v>
      </c>
      <c r="E17" t="s">
        <v>3937</v>
      </c>
      <c r="F17" t="s">
        <v>38</v>
      </c>
      <c r="G17" t="s">
        <v>3938</v>
      </c>
      <c r="H17">
        <v>60</v>
      </c>
      <c r="I17">
        <v>0</v>
      </c>
      <c r="J17">
        <v>20</v>
      </c>
      <c r="M17">
        <v>20</v>
      </c>
      <c r="N17">
        <v>20</v>
      </c>
      <c r="O17">
        <v>10</v>
      </c>
      <c r="P17">
        <v>110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6</v>
      </c>
      <c r="AA17">
        <v>0</v>
      </c>
      <c r="AD17" t="s">
        <v>130</v>
      </c>
      <c r="AF17">
        <v>116</v>
      </c>
    </row>
    <row r="18" spans="1:32" x14ac:dyDescent="0.3">
      <c r="A18" s="4">
        <v>13</v>
      </c>
      <c r="B18" s="5">
        <v>11</v>
      </c>
      <c r="C18">
        <v>78</v>
      </c>
      <c r="D18" t="s">
        <v>952</v>
      </c>
      <c r="E18" t="s">
        <v>29</v>
      </c>
      <c r="F18" t="s">
        <v>17</v>
      </c>
      <c r="G18" t="s">
        <v>953</v>
      </c>
      <c r="H18">
        <v>60</v>
      </c>
      <c r="I18">
        <v>0</v>
      </c>
      <c r="J18">
        <v>20</v>
      </c>
      <c r="L18">
        <v>10</v>
      </c>
      <c r="M18">
        <v>20</v>
      </c>
      <c r="N18">
        <v>20</v>
      </c>
      <c r="O18">
        <v>10</v>
      </c>
      <c r="P18">
        <v>110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</v>
      </c>
      <c r="AA18">
        <v>0</v>
      </c>
      <c r="AD18" t="s">
        <v>130</v>
      </c>
      <c r="AF18">
        <v>116</v>
      </c>
    </row>
    <row r="19" spans="1:32" x14ac:dyDescent="0.3">
      <c r="A19" s="4">
        <v>14</v>
      </c>
      <c r="B19" s="5">
        <v>12</v>
      </c>
      <c r="C19">
        <v>556</v>
      </c>
      <c r="D19" t="s">
        <v>3970</v>
      </c>
      <c r="E19" t="s">
        <v>3971</v>
      </c>
      <c r="F19" t="s">
        <v>91</v>
      </c>
      <c r="G19" t="s">
        <v>3972</v>
      </c>
      <c r="H19">
        <v>59.7</v>
      </c>
      <c r="I19">
        <v>0</v>
      </c>
      <c r="J19">
        <v>20</v>
      </c>
      <c r="M19">
        <v>20</v>
      </c>
      <c r="N19">
        <v>20</v>
      </c>
      <c r="O19">
        <v>10</v>
      </c>
      <c r="P19">
        <v>109.7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B19" t="s">
        <v>130</v>
      </c>
      <c r="AD19" t="s">
        <v>130</v>
      </c>
      <c r="AF19">
        <v>115.7</v>
      </c>
    </row>
    <row r="20" spans="1:32" x14ac:dyDescent="0.3">
      <c r="A20" s="4">
        <v>15</v>
      </c>
      <c r="B20" s="5">
        <v>13</v>
      </c>
      <c r="C20">
        <v>978</v>
      </c>
      <c r="D20" t="s">
        <v>3667</v>
      </c>
      <c r="E20" t="s">
        <v>54</v>
      </c>
      <c r="F20" t="s">
        <v>158</v>
      </c>
      <c r="G20" t="s">
        <v>3668</v>
      </c>
      <c r="H20">
        <v>59.7</v>
      </c>
      <c r="I20">
        <v>0</v>
      </c>
      <c r="J20">
        <v>20</v>
      </c>
      <c r="L20">
        <v>10</v>
      </c>
      <c r="M20">
        <v>20</v>
      </c>
      <c r="N20">
        <v>20</v>
      </c>
      <c r="O20">
        <v>10</v>
      </c>
      <c r="P20">
        <v>109.7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D20" t="s">
        <v>130</v>
      </c>
      <c r="AF20">
        <v>115.7</v>
      </c>
    </row>
    <row r="21" spans="1:32" x14ac:dyDescent="0.3">
      <c r="A21" s="4">
        <v>16</v>
      </c>
      <c r="B21" s="5">
        <v>14</v>
      </c>
      <c r="C21">
        <v>788</v>
      </c>
      <c r="D21" t="s">
        <v>3554</v>
      </c>
      <c r="E21" t="s">
        <v>744</v>
      </c>
      <c r="F21" t="s">
        <v>81</v>
      </c>
      <c r="G21" t="s">
        <v>3555</v>
      </c>
      <c r="H21">
        <v>60</v>
      </c>
      <c r="I21">
        <v>0</v>
      </c>
      <c r="J21">
        <v>20</v>
      </c>
      <c r="M21">
        <v>20</v>
      </c>
      <c r="N21">
        <v>20</v>
      </c>
      <c r="O21">
        <v>10</v>
      </c>
      <c r="P21">
        <v>110</v>
      </c>
      <c r="Q21">
        <v>5</v>
      </c>
      <c r="R21">
        <v>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5</v>
      </c>
      <c r="Z21">
        <v>0</v>
      </c>
      <c r="AA21">
        <v>0</v>
      </c>
      <c r="AD21" t="s">
        <v>130</v>
      </c>
      <c r="AF21">
        <v>115</v>
      </c>
    </row>
    <row r="22" spans="1:32" x14ac:dyDescent="0.3">
      <c r="A22" s="4">
        <v>17</v>
      </c>
      <c r="B22" s="5">
        <v>15</v>
      </c>
      <c r="C22">
        <v>19</v>
      </c>
      <c r="D22" t="s">
        <v>2985</v>
      </c>
      <c r="E22" t="s">
        <v>170</v>
      </c>
      <c r="F22" t="s">
        <v>30</v>
      </c>
      <c r="G22" t="s">
        <v>2986</v>
      </c>
      <c r="H22">
        <v>59.1</v>
      </c>
      <c r="I22">
        <v>10</v>
      </c>
      <c r="K22">
        <v>15</v>
      </c>
      <c r="M22">
        <v>15</v>
      </c>
      <c r="N22">
        <v>20</v>
      </c>
      <c r="O22">
        <v>10</v>
      </c>
      <c r="P22">
        <v>114.1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t="s">
        <v>130</v>
      </c>
      <c r="AD22" t="s">
        <v>130</v>
      </c>
      <c r="AF22">
        <v>114.1</v>
      </c>
    </row>
    <row r="23" spans="1:32" x14ac:dyDescent="0.3">
      <c r="A23" s="4">
        <v>19</v>
      </c>
      <c r="B23" s="5">
        <v>16</v>
      </c>
      <c r="C23">
        <v>9</v>
      </c>
      <c r="D23" t="s">
        <v>3415</v>
      </c>
      <c r="E23" t="s">
        <v>2838</v>
      </c>
      <c r="F23" t="s">
        <v>892</v>
      </c>
      <c r="G23" t="s">
        <v>3416</v>
      </c>
      <c r="H23">
        <v>60</v>
      </c>
      <c r="I23">
        <v>0</v>
      </c>
      <c r="L23">
        <v>20</v>
      </c>
      <c r="M23">
        <v>20</v>
      </c>
      <c r="N23">
        <v>20</v>
      </c>
      <c r="O23">
        <v>10</v>
      </c>
      <c r="P23">
        <v>110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3</v>
      </c>
      <c r="AA23">
        <v>0</v>
      </c>
      <c r="AB23" t="s">
        <v>130</v>
      </c>
      <c r="AD23" t="s">
        <v>130</v>
      </c>
      <c r="AF23">
        <v>113</v>
      </c>
    </row>
    <row r="24" spans="1:32" x14ac:dyDescent="0.3">
      <c r="A24" s="4">
        <v>20</v>
      </c>
      <c r="B24" s="5">
        <v>17</v>
      </c>
      <c r="C24">
        <v>1006</v>
      </c>
      <c r="D24" t="s">
        <v>3860</v>
      </c>
      <c r="E24" t="s">
        <v>3861</v>
      </c>
      <c r="F24" t="s">
        <v>136</v>
      </c>
      <c r="G24" t="s">
        <v>3862</v>
      </c>
      <c r="H24">
        <v>60</v>
      </c>
      <c r="I24">
        <v>0</v>
      </c>
      <c r="K24">
        <v>30</v>
      </c>
      <c r="M24">
        <v>20</v>
      </c>
      <c r="N24">
        <v>20</v>
      </c>
      <c r="O24">
        <v>10</v>
      </c>
      <c r="P24">
        <v>110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3</v>
      </c>
      <c r="AA24">
        <v>0</v>
      </c>
      <c r="AD24" t="s">
        <v>130</v>
      </c>
      <c r="AF24">
        <v>113</v>
      </c>
    </row>
    <row r="25" spans="1:32" x14ac:dyDescent="0.3">
      <c r="A25" s="4">
        <v>21</v>
      </c>
      <c r="B25" s="5">
        <v>18</v>
      </c>
      <c r="C25">
        <v>333</v>
      </c>
      <c r="D25" t="s">
        <v>4245</v>
      </c>
      <c r="E25" t="s">
        <v>29</v>
      </c>
      <c r="F25" t="s">
        <v>442</v>
      </c>
      <c r="G25" t="s">
        <v>4246</v>
      </c>
      <c r="H25">
        <v>60</v>
      </c>
      <c r="I25">
        <v>0</v>
      </c>
      <c r="J25">
        <v>20</v>
      </c>
      <c r="M25">
        <v>20</v>
      </c>
      <c r="N25">
        <v>20</v>
      </c>
      <c r="O25">
        <v>10</v>
      </c>
      <c r="P25">
        <v>110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3</v>
      </c>
      <c r="AA25">
        <v>0</v>
      </c>
      <c r="AD25" t="s">
        <v>130</v>
      </c>
      <c r="AF25">
        <v>113</v>
      </c>
    </row>
    <row r="26" spans="1:32" x14ac:dyDescent="0.3">
      <c r="A26" s="4">
        <v>22</v>
      </c>
      <c r="B26" s="5">
        <v>19</v>
      </c>
      <c r="C26">
        <v>1281</v>
      </c>
      <c r="D26" t="s">
        <v>727</v>
      </c>
      <c r="E26" t="s">
        <v>182</v>
      </c>
      <c r="F26" t="s">
        <v>38</v>
      </c>
      <c r="G26" t="s">
        <v>728</v>
      </c>
      <c r="H26">
        <v>59.7</v>
      </c>
      <c r="I26">
        <v>10</v>
      </c>
      <c r="L26">
        <v>10</v>
      </c>
      <c r="M26">
        <v>10</v>
      </c>
      <c r="N26">
        <v>20</v>
      </c>
      <c r="O26">
        <v>10</v>
      </c>
      <c r="P26">
        <v>109.7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3</v>
      </c>
      <c r="AA26">
        <v>0</v>
      </c>
      <c r="AB26" t="s">
        <v>130</v>
      </c>
      <c r="AD26" t="s">
        <v>130</v>
      </c>
      <c r="AF26">
        <v>112.7</v>
      </c>
    </row>
    <row r="27" spans="1:32" x14ac:dyDescent="0.3">
      <c r="A27" s="4">
        <v>23</v>
      </c>
      <c r="B27" s="5">
        <v>20</v>
      </c>
      <c r="C27">
        <v>1029</v>
      </c>
      <c r="D27" t="s">
        <v>4294</v>
      </c>
      <c r="E27" t="s">
        <v>4295</v>
      </c>
      <c r="F27" t="s">
        <v>1265</v>
      </c>
      <c r="G27" t="s">
        <v>4296</v>
      </c>
      <c r="H27">
        <v>59.4</v>
      </c>
      <c r="I27">
        <v>0</v>
      </c>
      <c r="J27">
        <v>20</v>
      </c>
      <c r="M27">
        <v>20</v>
      </c>
      <c r="N27">
        <v>20</v>
      </c>
      <c r="O27">
        <v>10</v>
      </c>
      <c r="P27">
        <v>109.4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3</v>
      </c>
      <c r="AA27">
        <v>0</v>
      </c>
      <c r="AD27" t="s">
        <v>130</v>
      </c>
      <c r="AF27">
        <v>112.4</v>
      </c>
    </row>
    <row r="28" spans="1:32" x14ac:dyDescent="0.3">
      <c r="A28" s="4">
        <v>25</v>
      </c>
      <c r="B28" s="5">
        <v>21</v>
      </c>
      <c r="C28">
        <v>27</v>
      </c>
      <c r="D28" t="s">
        <v>2848</v>
      </c>
      <c r="E28" t="s">
        <v>143</v>
      </c>
      <c r="F28" t="s">
        <v>117</v>
      </c>
      <c r="G28" t="s">
        <v>2849</v>
      </c>
      <c r="H28">
        <v>59.79</v>
      </c>
      <c r="I28">
        <v>0</v>
      </c>
      <c r="K28">
        <v>15</v>
      </c>
      <c r="M28">
        <v>15</v>
      </c>
      <c r="N28">
        <v>20</v>
      </c>
      <c r="O28">
        <v>10</v>
      </c>
      <c r="P28">
        <v>104.79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</v>
      </c>
      <c r="AA28">
        <v>0</v>
      </c>
      <c r="AB28" t="s">
        <v>130</v>
      </c>
      <c r="AD28" t="s">
        <v>130</v>
      </c>
      <c r="AF28">
        <v>110.79</v>
      </c>
    </row>
    <row r="29" spans="1:32" x14ac:dyDescent="0.3">
      <c r="A29" s="4">
        <v>26</v>
      </c>
      <c r="B29" s="5">
        <v>22</v>
      </c>
      <c r="C29">
        <v>1262</v>
      </c>
      <c r="D29" t="s">
        <v>1287</v>
      </c>
      <c r="E29" t="s">
        <v>894</v>
      </c>
      <c r="F29" t="s">
        <v>20</v>
      </c>
      <c r="G29" t="s">
        <v>1288</v>
      </c>
      <c r="H29">
        <v>50.46</v>
      </c>
      <c r="I29">
        <v>0</v>
      </c>
      <c r="M29">
        <v>0</v>
      </c>
      <c r="N29">
        <v>20</v>
      </c>
      <c r="O29">
        <v>10</v>
      </c>
      <c r="P29">
        <v>80.459999999999994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3</v>
      </c>
      <c r="AA29">
        <v>26.8</v>
      </c>
      <c r="AD29" t="s">
        <v>130</v>
      </c>
      <c r="AF29">
        <v>110.26</v>
      </c>
    </row>
    <row r="30" spans="1:32" x14ac:dyDescent="0.3">
      <c r="A30" s="4">
        <v>27</v>
      </c>
      <c r="B30" s="5">
        <v>23</v>
      </c>
      <c r="C30">
        <v>737</v>
      </c>
      <c r="D30" t="s">
        <v>5613</v>
      </c>
      <c r="E30" t="s">
        <v>188</v>
      </c>
      <c r="F30" t="s">
        <v>17</v>
      </c>
      <c r="G30" t="s">
        <v>25453</v>
      </c>
      <c r="H30">
        <v>57</v>
      </c>
      <c r="I30">
        <v>0</v>
      </c>
      <c r="J30">
        <v>20</v>
      </c>
      <c r="M30">
        <v>20</v>
      </c>
      <c r="N30">
        <v>20</v>
      </c>
      <c r="O30">
        <v>10</v>
      </c>
      <c r="P30">
        <v>107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3</v>
      </c>
      <c r="AA30">
        <v>0</v>
      </c>
      <c r="AB30" t="s">
        <v>130</v>
      </c>
      <c r="AD30" t="s">
        <v>130</v>
      </c>
      <c r="AF30">
        <v>110</v>
      </c>
    </row>
    <row r="31" spans="1:32" x14ac:dyDescent="0.3">
      <c r="A31" s="4">
        <v>28</v>
      </c>
      <c r="B31" s="5">
        <v>24</v>
      </c>
      <c r="C31">
        <v>1702</v>
      </c>
      <c r="D31" t="s">
        <v>4131</v>
      </c>
      <c r="E31" t="s">
        <v>29</v>
      </c>
      <c r="F31" t="s">
        <v>117</v>
      </c>
      <c r="G31" t="s">
        <v>4132</v>
      </c>
      <c r="H31">
        <v>60</v>
      </c>
      <c r="I31">
        <v>0</v>
      </c>
      <c r="J31">
        <v>20</v>
      </c>
      <c r="L31">
        <v>10</v>
      </c>
      <c r="M31">
        <v>20</v>
      </c>
      <c r="N31">
        <v>20</v>
      </c>
      <c r="O31">
        <v>10</v>
      </c>
      <c r="P31">
        <v>110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D31" t="s">
        <v>130</v>
      </c>
      <c r="AF31">
        <v>110</v>
      </c>
    </row>
    <row r="32" spans="1:32" x14ac:dyDescent="0.3">
      <c r="A32" s="4">
        <v>29</v>
      </c>
      <c r="B32" s="5">
        <v>25</v>
      </c>
      <c r="C32">
        <v>91</v>
      </c>
      <c r="D32" t="s">
        <v>2056</v>
      </c>
      <c r="E32" t="s">
        <v>219</v>
      </c>
      <c r="F32" t="s">
        <v>34</v>
      </c>
      <c r="G32" t="s">
        <v>2057</v>
      </c>
      <c r="H32">
        <v>60</v>
      </c>
      <c r="I32">
        <v>0</v>
      </c>
      <c r="J32">
        <v>20</v>
      </c>
      <c r="M32">
        <v>20</v>
      </c>
      <c r="N32">
        <v>20</v>
      </c>
      <c r="O32">
        <v>10</v>
      </c>
      <c r="P32">
        <v>110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t="s">
        <v>130</v>
      </c>
      <c r="AD32" t="s">
        <v>130</v>
      </c>
      <c r="AF32">
        <v>110</v>
      </c>
    </row>
    <row r="33" spans="1:32" x14ac:dyDescent="0.3">
      <c r="A33" s="4">
        <v>31</v>
      </c>
      <c r="B33" s="5">
        <v>26</v>
      </c>
      <c r="C33">
        <v>1365</v>
      </c>
      <c r="D33" t="s">
        <v>3257</v>
      </c>
      <c r="E33" t="s">
        <v>17</v>
      </c>
      <c r="F33" t="s">
        <v>20</v>
      </c>
      <c r="G33" t="s">
        <v>31994</v>
      </c>
      <c r="H33">
        <v>55.2</v>
      </c>
      <c r="I33">
        <v>0</v>
      </c>
      <c r="J33">
        <v>20</v>
      </c>
      <c r="M33">
        <v>20</v>
      </c>
      <c r="N33">
        <v>20</v>
      </c>
      <c r="O33">
        <v>10</v>
      </c>
      <c r="P33">
        <v>105.2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3</v>
      </c>
      <c r="AA33">
        <v>0</v>
      </c>
      <c r="AD33" t="s">
        <v>130</v>
      </c>
      <c r="AF33">
        <v>108.2</v>
      </c>
    </row>
    <row r="34" spans="1:32" x14ac:dyDescent="0.3">
      <c r="A34" s="4">
        <v>32</v>
      </c>
      <c r="B34" s="5">
        <v>27</v>
      </c>
      <c r="C34">
        <v>239</v>
      </c>
      <c r="D34" t="s">
        <v>236</v>
      </c>
      <c r="E34" t="s">
        <v>29</v>
      </c>
      <c r="F34" t="s">
        <v>136</v>
      </c>
      <c r="G34" t="s">
        <v>1369</v>
      </c>
      <c r="H34">
        <v>59.19</v>
      </c>
      <c r="I34">
        <v>0</v>
      </c>
      <c r="L34">
        <v>10</v>
      </c>
      <c r="M34">
        <v>10</v>
      </c>
      <c r="N34">
        <v>20</v>
      </c>
      <c r="O34">
        <v>10</v>
      </c>
      <c r="P34">
        <v>99.19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9</v>
      </c>
      <c r="AA34">
        <v>0</v>
      </c>
      <c r="AB34" t="s">
        <v>130</v>
      </c>
      <c r="AD34" t="s">
        <v>130</v>
      </c>
      <c r="AF34">
        <v>108.19</v>
      </c>
    </row>
    <row r="35" spans="1:32" x14ac:dyDescent="0.3">
      <c r="A35" s="4">
        <v>33</v>
      </c>
      <c r="B35" s="5">
        <v>28</v>
      </c>
      <c r="C35">
        <v>1311</v>
      </c>
      <c r="D35" t="s">
        <v>60</v>
      </c>
      <c r="E35" t="s">
        <v>61</v>
      </c>
      <c r="F35" t="s">
        <v>62</v>
      </c>
      <c r="G35" t="s">
        <v>63</v>
      </c>
      <c r="H35">
        <v>54.93</v>
      </c>
      <c r="I35">
        <v>10</v>
      </c>
      <c r="L35">
        <v>10</v>
      </c>
      <c r="M35">
        <v>10</v>
      </c>
      <c r="N35">
        <v>20</v>
      </c>
      <c r="O35">
        <v>10</v>
      </c>
      <c r="P35">
        <v>104.93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3</v>
      </c>
      <c r="AA35">
        <v>0</v>
      </c>
      <c r="AB35" t="s">
        <v>130</v>
      </c>
      <c r="AD35" t="s">
        <v>130</v>
      </c>
      <c r="AF35">
        <v>107.93</v>
      </c>
    </row>
    <row r="36" spans="1:32" x14ac:dyDescent="0.3">
      <c r="A36" s="4">
        <v>34</v>
      </c>
      <c r="B36" s="5">
        <v>29</v>
      </c>
      <c r="C36">
        <v>47</v>
      </c>
      <c r="D36" t="s">
        <v>1604</v>
      </c>
      <c r="E36" t="s">
        <v>744</v>
      </c>
      <c r="F36" t="s">
        <v>81</v>
      </c>
      <c r="G36" t="s">
        <v>2637</v>
      </c>
      <c r="H36">
        <v>51.6</v>
      </c>
      <c r="I36">
        <v>0</v>
      </c>
      <c r="J36">
        <v>20</v>
      </c>
      <c r="M36">
        <v>20</v>
      </c>
      <c r="N36">
        <v>20</v>
      </c>
      <c r="O36">
        <v>10</v>
      </c>
      <c r="P36">
        <v>101.6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B36" t="s">
        <v>130</v>
      </c>
      <c r="AD36" t="s">
        <v>130</v>
      </c>
      <c r="AF36">
        <v>107.6</v>
      </c>
    </row>
    <row r="37" spans="1:32" x14ac:dyDescent="0.3">
      <c r="A37" s="4">
        <v>35</v>
      </c>
      <c r="B37" s="5">
        <v>30</v>
      </c>
      <c r="C37">
        <v>1448</v>
      </c>
      <c r="D37" t="s">
        <v>4830</v>
      </c>
      <c r="E37" t="s">
        <v>97</v>
      </c>
      <c r="F37" t="s">
        <v>38</v>
      </c>
      <c r="G37" t="s">
        <v>4831</v>
      </c>
      <c r="H37">
        <v>57.6</v>
      </c>
      <c r="I37">
        <v>0</v>
      </c>
      <c r="J37">
        <v>20</v>
      </c>
      <c r="M37">
        <v>20</v>
      </c>
      <c r="N37">
        <v>20</v>
      </c>
      <c r="O37">
        <v>10</v>
      </c>
      <c r="P37">
        <v>107.6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D37" t="s">
        <v>130</v>
      </c>
      <c r="AF37">
        <v>107.6</v>
      </c>
    </row>
    <row r="38" spans="1:32" x14ac:dyDescent="0.3">
      <c r="A38" s="4">
        <v>36</v>
      </c>
      <c r="B38" s="5">
        <v>31</v>
      </c>
      <c r="C38">
        <v>1417</v>
      </c>
      <c r="D38" t="s">
        <v>2935</v>
      </c>
      <c r="E38" t="s">
        <v>161</v>
      </c>
      <c r="F38" t="s">
        <v>20</v>
      </c>
      <c r="G38" t="s">
        <v>2936</v>
      </c>
      <c r="H38">
        <v>60</v>
      </c>
      <c r="I38">
        <v>0</v>
      </c>
      <c r="L38">
        <v>10</v>
      </c>
      <c r="M38">
        <v>10</v>
      </c>
      <c r="N38">
        <v>20</v>
      </c>
      <c r="O38">
        <v>10</v>
      </c>
      <c r="P38">
        <v>100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6</v>
      </c>
      <c r="AA38">
        <v>0</v>
      </c>
      <c r="AD38" t="s">
        <v>130</v>
      </c>
      <c r="AF38">
        <v>106</v>
      </c>
    </row>
    <row r="39" spans="1:32" x14ac:dyDescent="0.3">
      <c r="A39" s="4">
        <v>37</v>
      </c>
      <c r="B39" s="5">
        <v>32</v>
      </c>
      <c r="C39">
        <v>1355</v>
      </c>
      <c r="D39" t="s">
        <v>2600</v>
      </c>
      <c r="E39" t="s">
        <v>22</v>
      </c>
      <c r="F39" t="s">
        <v>68</v>
      </c>
      <c r="G39" t="s">
        <v>4305</v>
      </c>
      <c r="H39">
        <v>60</v>
      </c>
      <c r="I39">
        <v>0</v>
      </c>
      <c r="L39">
        <v>10</v>
      </c>
      <c r="M39">
        <v>10</v>
      </c>
      <c r="N39">
        <v>20</v>
      </c>
      <c r="O39">
        <v>10</v>
      </c>
      <c r="P39">
        <v>100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6</v>
      </c>
      <c r="AA39">
        <v>0</v>
      </c>
      <c r="AD39" t="s">
        <v>130</v>
      </c>
      <c r="AF39">
        <v>106</v>
      </c>
    </row>
    <row r="40" spans="1:32" x14ac:dyDescent="0.3">
      <c r="A40" s="4">
        <v>38</v>
      </c>
      <c r="B40" s="5">
        <v>33</v>
      </c>
      <c r="C40">
        <v>1295</v>
      </c>
      <c r="D40" t="s">
        <v>2920</v>
      </c>
      <c r="E40" t="s">
        <v>182</v>
      </c>
      <c r="F40" t="s">
        <v>626</v>
      </c>
      <c r="G40" t="s">
        <v>2921</v>
      </c>
      <c r="H40">
        <v>59.46</v>
      </c>
      <c r="I40">
        <v>0</v>
      </c>
      <c r="L40">
        <v>10</v>
      </c>
      <c r="M40">
        <v>10</v>
      </c>
      <c r="N40">
        <v>20</v>
      </c>
      <c r="O40">
        <v>10</v>
      </c>
      <c r="P40">
        <v>99.46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6</v>
      </c>
      <c r="AA40">
        <v>0</v>
      </c>
      <c r="AD40" t="s">
        <v>130</v>
      </c>
      <c r="AF40">
        <v>105.46</v>
      </c>
    </row>
    <row r="41" spans="1:32" x14ac:dyDescent="0.3">
      <c r="A41" s="4">
        <v>39</v>
      </c>
      <c r="B41" s="5">
        <v>34</v>
      </c>
      <c r="C41">
        <v>3</v>
      </c>
      <c r="D41" t="s">
        <v>3326</v>
      </c>
      <c r="E41" t="s">
        <v>575</v>
      </c>
      <c r="F41" t="s">
        <v>2261</v>
      </c>
      <c r="G41" t="s">
        <v>3327</v>
      </c>
      <c r="H41">
        <v>49.2</v>
      </c>
      <c r="I41">
        <v>0</v>
      </c>
      <c r="J41">
        <v>20</v>
      </c>
      <c r="L41">
        <v>10</v>
      </c>
      <c r="M41">
        <v>20</v>
      </c>
      <c r="N41">
        <v>20</v>
      </c>
      <c r="O41">
        <v>10</v>
      </c>
      <c r="P41">
        <v>99.2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6</v>
      </c>
      <c r="AA41">
        <v>0</v>
      </c>
      <c r="AD41" t="s">
        <v>130</v>
      </c>
      <c r="AF41">
        <v>105.2</v>
      </c>
    </row>
    <row r="42" spans="1:32" x14ac:dyDescent="0.3">
      <c r="A42" s="4">
        <v>40</v>
      </c>
      <c r="B42" s="5">
        <v>35</v>
      </c>
      <c r="C42">
        <v>481</v>
      </c>
      <c r="D42" t="s">
        <v>3200</v>
      </c>
      <c r="E42" t="s">
        <v>22</v>
      </c>
      <c r="F42" t="s">
        <v>38</v>
      </c>
      <c r="G42" t="s">
        <v>3940</v>
      </c>
      <c r="H42">
        <v>52.08</v>
      </c>
      <c r="I42">
        <v>0</v>
      </c>
      <c r="K42">
        <v>15</v>
      </c>
      <c r="L42">
        <v>10</v>
      </c>
      <c r="M42">
        <v>15</v>
      </c>
      <c r="N42">
        <v>20</v>
      </c>
      <c r="O42">
        <v>10</v>
      </c>
      <c r="P42">
        <v>97.08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6</v>
      </c>
      <c r="AA42">
        <v>0</v>
      </c>
      <c r="AD42" t="s">
        <v>130</v>
      </c>
      <c r="AF42">
        <v>103.08</v>
      </c>
    </row>
    <row r="43" spans="1:32" x14ac:dyDescent="0.3">
      <c r="A43" s="4">
        <v>41</v>
      </c>
      <c r="B43" s="5">
        <v>36</v>
      </c>
      <c r="C43">
        <v>323</v>
      </c>
      <c r="D43" t="s">
        <v>4607</v>
      </c>
      <c r="E43" t="s">
        <v>4608</v>
      </c>
      <c r="F43" t="s">
        <v>442</v>
      </c>
      <c r="G43" t="s">
        <v>4609</v>
      </c>
      <c r="H43">
        <v>60</v>
      </c>
      <c r="I43">
        <v>0</v>
      </c>
      <c r="L43">
        <v>10</v>
      </c>
      <c r="M43">
        <v>10</v>
      </c>
      <c r="N43">
        <v>20</v>
      </c>
      <c r="O43">
        <v>10</v>
      </c>
      <c r="P43">
        <v>100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3</v>
      </c>
      <c r="AA43">
        <v>0</v>
      </c>
      <c r="AD43" t="s">
        <v>130</v>
      </c>
      <c r="AF43">
        <v>103</v>
      </c>
    </row>
    <row r="44" spans="1:32" x14ac:dyDescent="0.3">
      <c r="A44" s="4">
        <v>42</v>
      </c>
      <c r="B44" s="5">
        <v>37</v>
      </c>
      <c r="C44">
        <v>1229</v>
      </c>
      <c r="D44" t="s">
        <v>13286</v>
      </c>
      <c r="E44" t="s">
        <v>5237</v>
      </c>
      <c r="F44" t="s">
        <v>81</v>
      </c>
      <c r="G44" t="s">
        <v>30890</v>
      </c>
      <c r="H44">
        <v>59.1</v>
      </c>
      <c r="I44">
        <v>0</v>
      </c>
      <c r="L44">
        <v>10</v>
      </c>
      <c r="M44">
        <v>10</v>
      </c>
      <c r="N44">
        <v>20</v>
      </c>
      <c r="O44">
        <v>10</v>
      </c>
      <c r="P44">
        <v>99.1</v>
      </c>
      <c r="Q44">
        <v>1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D44" t="s">
        <v>130</v>
      </c>
      <c r="AF44">
        <v>100.1</v>
      </c>
    </row>
    <row r="45" spans="1:32" x14ac:dyDescent="0.3">
      <c r="A45" s="4">
        <v>43</v>
      </c>
      <c r="B45" s="5">
        <v>38</v>
      </c>
      <c r="C45">
        <v>605</v>
      </c>
      <c r="D45" t="s">
        <v>1643</v>
      </c>
      <c r="E45" t="s">
        <v>1016</v>
      </c>
      <c r="F45" t="s">
        <v>81</v>
      </c>
      <c r="G45" t="s">
        <v>1644</v>
      </c>
      <c r="H45">
        <v>60</v>
      </c>
      <c r="I45">
        <v>0</v>
      </c>
      <c r="L45">
        <v>10</v>
      </c>
      <c r="M45">
        <v>10</v>
      </c>
      <c r="N45">
        <v>20</v>
      </c>
      <c r="O45">
        <v>10</v>
      </c>
      <c r="P45">
        <v>100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D45" t="s">
        <v>130</v>
      </c>
      <c r="AF45">
        <v>100</v>
      </c>
    </row>
    <row r="46" spans="1:32" x14ac:dyDescent="0.3">
      <c r="A46" s="4">
        <v>44</v>
      </c>
      <c r="B46" s="5">
        <v>39</v>
      </c>
      <c r="C46">
        <v>1385</v>
      </c>
      <c r="D46" t="s">
        <v>198</v>
      </c>
      <c r="E46" t="s">
        <v>816</v>
      </c>
      <c r="F46" t="s">
        <v>124</v>
      </c>
      <c r="G46" t="s">
        <v>4054</v>
      </c>
      <c r="H46">
        <v>59.1</v>
      </c>
      <c r="I46">
        <v>0</v>
      </c>
      <c r="L46">
        <v>10</v>
      </c>
      <c r="M46">
        <v>10</v>
      </c>
      <c r="N46">
        <v>20</v>
      </c>
      <c r="O46">
        <v>10</v>
      </c>
      <c r="P46">
        <v>99.1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D46" t="s">
        <v>130</v>
      </c>
      <c r="AF46">
        <v>99.1</v>
      </c>
    </row>
    <row r="47" spans="1:32" x14ac:dyDescent="0.3">
      <c r="A47" s="4">
        <v>45</v>
      </c>
      <c r="B47" s="5">
        <v>40</v>
      </c>
      <c r="C47">
        <v>1719</v>
      </c>
      <c r="D47" t="s">
        <v>221</v>
      </c>
      <c r="E47" t="s">
        <v>100</v>
      </c>
      <c r="F47" t="s">
        <v>117</v>
      </c>
      <c r="G47" t="s">
        <v>1537</v>
      </c>
      <c r="H47">
        <v>52.92</v>
      </c>
      <c r="I47">
        <v>0</v>
      </c>
      <c r="L47">
        <v>10</v>
      </c>
      <c r="M47">
        <v>10</v>
      </c>
      <c r="N47">
        <v>20</v>
      </c>
      <c r="O47">
        <v>10</v>
      </c>
      <c r="P47">
        <v>92.92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3</v>
      </c>
      <c r="AA47">
        <v>0</v>
      </c>
      <c r="AB47" t="s">
        <v>130</v>
      </c>
      <c r="AD47" t="s">
        <v>130</v>
      </c>
      <c r="AF47">
        <v>95.92</v>
      </c>
    </row>
    <row r="48" spans="1:32" x14ac:dyDescent="0.3">
      <c r="A48" s="4">
        <v>46</v>
      </c>
      <c r="B48" s="5">
        <v>41</v>
      </c>
      <c r="C48">
        <v>18</v>
      </c>
      <c r="D48" t="s">
        <v>4773</v>
      </c>
      <c r="E48" t="s">
        <v>4774</v>
      </c>
      <c r="F48" t="s">
        <v>328</v>
      </c>
      <c r="G48" t="s">
        <v>4775</v>
      </c>
      <c r="H48">
        <v>59.4</v>
      </c>
      <c r="I48">
        <v>0</v>
      </c>
      <c r="M48">
        <v>0</v>
      </c>
      <c r="N48">
        <v>20</v>
      </c>
      <c r="O48">
        <v>10</v>
      </c>
      <c r="P48">
        <v>89.4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6</v>
      </c>
      <c r="AA48">
        <v>0</v>
      </c>
      <c r="AB48" t="s">
        <v>130</v>
      </c>
      <c r="AD48" t="s">
        <v>130</v>
      </c>
      <c r="AF48">
        <v>95.4</v>
      </c>
    </row>
    <row r="49" spans="1:32" x14ac:dyDescent="0.3">
      <c r="A49" s="4">
        <v>47</v>
      </c>
      <c r="B49" s="5">
        <v>42</v>
      </c>
      <c r="C49">
        <v>1532</v>
      </c>
      <c r="D49" t="s">
        <v>2456</v>
      </c>
      <c r="E49" t="s">
        <v>100</v>
      </c>
      <c r="F49" t="s">
        <v>136</v>
      </c>
      <c r="G49" t="s">
        <v>2457</v>
      </c>
      <c r="H49">
        <v>51.54</v>
      </c>
      <c r="I49">
        <v>0</v>
      </c>
      <c r="L49">
        <v>10</v>
      </c>
      <c r="M49">
        <v>10</v>
      </c>
      <c r="N49">
        <v>20</v>
      </c>
      <c r="O49">
        <v>10</v>
      </c>
      <c r="P49">
        <v>91.54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3</v>
      </c>
      <c r="AA49">
        <v>0</v>
      </c>
      <c r="AD49" t="s">
        <v>130</v>
      </c>
      <c r="AF49">
        <v>94.54</v>
      </c>
    </row>
    <row r="50" spans="1:32" x14ac:dyDescent="0.3">
      <c r="A50" s="4">
        <v>48</v>
      </c>
      <c r="B50" s="5">
        <v>43</v>
      </c>
      <c r="C50">
        <v>1604</v>
      </c>
      <c r="D50" t="s">
        <v>2609</v>
      </c>
      <c r="E50" t="s">
        <v>188</v>
      </c>
      <c r="F50" t="s">
        <v>136</v>
      </c>
      <c r="G50" t="s">
        <v>3417</v>
      </c>
      <c r="H50">
        <v>60</v>
      </c>
      <c r="I50">
        <v>0</v>
      </c>
      <c r="M50">
        <v>0</v>
      </c>
      <c r="N50">
        <v>20</v>
      </c>
      <c r="O50">
        <v>10</v>
      </c>
      <c r="P50">
        <v>90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3</v>
      </c>
      <c r="AA50">
        <v>0</v>
      </c>
      <c r="AD50" t="s">
        <v>130</v>
      </c>
      <c r="AF50">
        <v>93</v>
      </c>
    </row>
    <row r="51" spans="1:32" x14ac:dyDescent="0.3">
      <c r="A51" s="4">
        <v>49</v>
      </c>
      <c r="B51" s="5">
        <v>44</v>
      </c>
      <c r="C51">
        <v>1761</v>
      </c>
      <c r="D51" t="s">
        <v>19938</v>
      </c>
      <c r="E51" t="s">
        <v>957</v>
      </c>
      <c r="F51" t="s">
        <v>81</v>
      </c>
      <c r="G51" t="s">
        <v>19939</v>
      </c>
      <c r="H51">
        <v>58.74</v>
      </c>
      <c r="I51">
        <v>0</v>
      </c>
      <c r="M51">
        <v>0</v>
      </c>
      <c r="N51">
        <v>20</v>
      </c>
      <c r="O51">
        <v>10</v>
      </c>
      <c r="P51">
        <v>88.74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3</v>
      </c>
      <c r="AA51">
        <v>0</v>
      </c>
      <c r="AB51" t="s">
        <v>130</v>
      </c>
      <c r="AD51" t="s">
        <v>130</v>
      </c>
      <c r="AF51">
        <v>91.74</v>
      </c>
    </row>
    <row r="52" spans="1:32" x14ac:dyDescent="0.3">
      <c r="A52" s="4">
        <v>50</v>
      </c>
      <c r="B52" s="5">
        <v>45</v>
      </c>
      <c r="C52">
        <v>680</v>
      </c>
      <c r="D52" t="s">
        <v>30891</v>
      </c>
      <c r="E52" t="s">
        <v>178</v>
      </c>
      <c r="F52" t="s">
        <v>26767</v>
      </c>
      <c r="G52" t="s">
        <v>30892</v>
      </c>
      <c r="H52">
        <v>59.7</v>
      </c>
      <c r="I52">
        <v>0</v>
      </c>
      <c r="M52">
        <v>0</v>
      </c>
      <c r="N52">
        <v>20</v>
      </c>
      <c r="O52">
        <v>10</v>
      </c>
      <c r="P52">
        <v>89.7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D52" t="s">
        <v>130</v>
      </c>
      <c r="AF52">
        <v>89.7</v>
      </c>
    </row>
    <row r="53" spans="1:32" x14ac:dyDescent="0.3">
      <c r="A53" s="4">
        <v>51</v>
      </c>
      <c r="B53" s="5">
        <v>46</v>
      </c>
      <c r="C53">
        <v>995</v>
      </c>
      <c r="D53" t="s">
        <v>2342</v>
      </c>
      <c r="E53" t="s">
        <v>1189</v>
      </c>
      <c r="F53" t="s">
        <v>136</v>
      </c>
      <c r="G53" t="s">
        <v>4188</v>
      </c>
      <c r="H53">
        <v>59.7</v>
      </c>
      <c r="I53">
        <v>0</v>
      </c>
      <c r="M53">
        <v>0</v>
      </c>
      <c r="N53">
        <v>20</v>
      </c>
      <c r="O53">
        <v>10</v>
      </c>
      <c r="P53">
        <v>89.7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D53" t="s">
        <v>130</v>
      </c>
      <c r="AF53">
        <v>89.7</v>
      </c>
    </row>
    <row r="54" spans="1:32" x14ac:dyDescent="0.3">
      <c r="A54" s="4">
        <v>52</v>
      </c>
      <c r="B54" s="5">
        <v>47</v>
      </c>
      <c r="C54">
        <v>494</v>
      </c>
      <c r="D54" t="s">
        <v>5446</v>
      </c>
      <c r="E54" t="s">
        <v>5447</v>
      </c>
      <c r="F54" t="s">
        <v>2017</v>
      </c>
      <c r="G54" t="s">
        <v>5448</v>
      </c>
      <c r="H54">
        <v>59.4</v>
      </c>
      <c r="I54">
        <v>0</v>
      </c>
      <c r="M54">
        <v>0</v>
      </c>
      <c r="N54">
        <v>20</v>
      </c>
      <c r="O54">
        <v>10</v>
      </c>
      <c r="P54">
        <v>89.4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D54" t="s">
        <v>130</v>
      </c>
      <c r="AF54">
        <v>89.4</v>
      </c>
    </row>
    <row r="55" spans="1:32" x14ac:dyDescent="0.3">
      <c r="A55" s="4">
        <v>53</v>
      </c>
      <c r="B55" s="5">
        <v>48</v>
      </c>
      <c r="C55">
        <v>206</v>
      </c>
      <c r="D55" t="s">
        <v>6345</v>
      </c>
      <c r="E55" t="s">
        <v>6346</v>
      </c>
      <c r="F55" t="s">
        <v>6347</v>
      </c>
      <c r="G55" t="s">
        <v>6348</v>
      </c>
      <c r="H55">
        <v>52.62</v>
      </c>
      <c r="I55">
        <v>0</v>
      </c>
      <c r="M55">
        <v>0</v>
      </c>
      <c r="N55">
        <v>20</v>
      </c>
      <c r="O55">
        <v>10</v>
      </c>
      <c r="P55">
        <v>82.62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D55" t="s">
        <v>130</v>
      </c>
      <c r="AF55">
        <v>82.62</v>
      </c>
    </row>
    <row r="56" spans="1:32" x14ac:dyDescent="0.3">
      <c r="A56" s="4">
        <v>54</v>
      </c>
      <c r="B56" s="5">
        <v>49</v>
      </c>
      <c r="C56">
        <v>1480</v>
      </c>
      <c r="D56" t="s">
        <v>1950</v>
      </c>
      <c r="E56" t="s">
        <v>166</v>
      </c>
      <c r="F56" t="s">
        <v>20</v>
      </c>
      <c r="G56" t="s">
        <v>5579</v>
      </c>
      <c r="H56">
        <v>47.1</v>
      </c>
      <c r="I56">
        <v>0</v>
      </c>
      <c r="M56">
        <v>0</v>
      </c>
      <c r="N56">
        <v>20</v>
      </c>
      <c r="O56">
        <v>10</v>
      </c>
      <c r="P56">
        <v>77.099999999999994</v>
      </c>
      <c r="Q56">
        <v>5</v>
      </c>
      <c r="R56">
        <v>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5</v>
      </c>
      <c r="Z56">
        <v>0</v>
      </c>
      <c r="AA56">
        <v>0</v>
      </c>
      <c r="AD56" t="s">
        <v>130</v>
      </c>
      <c r="AF56">
        <v>82.1</v>
      </c>
    </row>
    <row r="57" spans="1:32" x14ac:dyDescent="0.3">
      <c r="A57" s="4">
        <v>55</v>
      </c>
      <c r="B57" s="5">
        <v>50</v>
      </c>
      <c r="C57">
        <v>1647</v>
      </c>
      <c r="D57" t="s">
        <v>27712</v>
      </c>
      <c r="E57" t="s">
        <v>41</v>
      </c>
      <c r="F57" t="s">
        <v>124</v>
      </c>
      <c r="G57" t="s">
        <v>27713</v>
      </c>
      <c r="H57">
        <v>52.08</v>
      </c>
      <c r="I57">
        <v>0</v>
      </c>
      <c r="M57">
        <v>0</v>
      </c>
      <c r="N57">
        <v>20</v>
      </c>
      <c r="O57">
        <v>10</v>
      </c>
      <c r="P57">
        <v>82.08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D57" t="s">
        <v>130</v>
      </c>
      <c r="AF57">
        <v>82.08</v>
      </c>
    </row>
    <row r="58" spans="1:32" x14ac:dyDescent="0.3">
      <c r="A58" s="4">
        <v>56</v>
      </c>
      <c r="B58" s="5">
        <v>51</v>
      </c>
      <c r="C58">
        <v>667</v>
      </c>
      <c r="D58" t="s">
        <v>1373</v>
      </c>
      <c r="E58" t="s">
        <v>1189</v>
      </c>
      <c r="F58" t="s">
        <v>17</v>
      </c>
      <c r="G58" t="s">
        <v>1374</v>
      </c>
      <c r="H58">
        <v>59.1</v>
      </c>
      <c r="I58">
        <v>0</v>
      </c>
      <c r="J58">
        <v>20</v>
      </c>
      <c r="M58">
        <v>20</v>
      </c>
      <c r="N58">
        <v>20</v>
      </c>
      <c r="O58">
        <v>10</v>
      </c>
      <c r="P58">
        <v>109.1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6</v>
      </c>
      <c r="AA58">
        <v>34</v>
      </c>
      <c r="AF58">
        <v>149.1</v>
      </c>
    </row>
    <row r="59" spans="1:32" x14ac:dyDescent="0.3">
      <c r="A59" s="4">
        <v>57</v>
      </c>
      <c r="B59" s="5">
        <v>52</v>
      </c>
      <c r="C59">
        <v>363</v>
      </c>
      <c r="D59" t="s">
        <v>618</v>
      </c>
      <c r="E59" t="s">
        <v>273</v>
      </c>
      <c r="F59" t="s">
        <v>328</v>
      </c>
      <c r="G59" t="s">
        <v>619</v>
      </c>
      <c r="H59">
        <v>60</v>
      </c>
      <c r="I59">
        <v>0</v>
      </c>
      <c r="L59">
        <v>10</v>
      </c>
      <c r="M59">
        <v>10</v>
      </c>
      <c r="N59">
        <v>20</v>
      </c>
      <c r="O59">
        <v>10</v>
      </c>
      <c r="P59">
        <v>100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6</v>
      </c>
      <c r="AA59">
        <v>38</v>
      </c>
      <c r="AF59">
        <v>144</v>
      </c>
    </row>
    <row r="60" spans="1:32" x14ac:dyDescent="0.3">
      <c r="A60" s="4">
        <v>58</v>
      </c>
      <c r="B60" s="5">
        <v>53</v>
      </c>
      <c r="C60">
        <v>567</v>
      </c>
      <c r="D60" t="s">
        <v>1004</v>
      </c>
      <c r="E60" t="s">
        <v>439</v>
      </c>
      <c r="F60" t="s">
        <v>55</v>
      </c>
      <c r="G60" t="s">
        <v>1005</v>
      </c>
      <c r="H60">
        <v>55.5</v>
      </c>
      <c r="I60">
        <v>0</v>
      </c>
      <c r="J60">
        <v>20</v>
      </c>
      <c r="M60">
        <v>20</v>
      </c>
      <c r="N60">
        <v>20</v>
      </c>
      <c r="O60">
        <v>10</v>
      </c>
      <c r="P60">
        <v>105.5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9</v>
      </c>
      <c r="AA60">
        <v>26.8</v>
      </c>
      <c r="AF60">
        <v>141.30000000000001</v>
      </c>
    </row>
    <row r="61" spans="1:32" x14ac:dyDescent="0.3">
      <c r="A61" s="4">
        <v>59</v>
      </c>
      <c r="B61" s="5">
        <v>54</v>
      </c>
      <c r="C61">
        <v>228</v>
      </c>
      <c r="D61" t="s">
        <v>181</v>
      </c>
      <c r="E61" t="s">
        <v>792</v>
      </c>
      <c r="F61" t="s">
        <v>38</v>
      </c>
      <c r="G61" t="s">
        <v>30893</v>
      </c>
      <c r="H61">
        <v>59.7</v>
      </c>
      <c r="I61">
        <v>0</v>
      </c>
      <c r="J61">
        <v>20</v>
      </c>
      <c r="M61">
        <v>20</v>
      </c>
      <c r="N61">
        <v>20</v>
      </c>
      <c r="O61">
        <v>10</v>
      </c>
      <c r="P61">
        <v>109.7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26.8</v>
      </c>
      <c r="AF61">
        <v>136.5</v>
      </c>
    </row>
    <row r="62" spans="1:32" x14ac:dyDescent="0.3">
      <c r="A62" s="4">
        <v>60</v>
      </c>
      <c r="B62" s="5">
        <v>55</v>
      </c>
      <c r="C62">
        <v>508</v>
      </c>
      <c r="D62" t="s">
        <v>2156</v>
      </c>
      <c r="E62" t="s">
        <v>2157</v>
      </c>
      <c r="F62" t="s">
        <v>2158</v>
      </c>
      <c r="G62" t="s">
        <v>2159</v>
      </c>
      <c r="H62">
        <v>58.2</v>
      </c>
      <c r="I62">
        <v>0</v>
      </c>
      <c r="L62">
        <v>10</v>
      </c>
      <c r="M62">
        <v>10</v>
      </c>
      <c r="N62">
        <v>20</v>
      </c>
      <c r="O62">
        <v>10</v>
      </c>
      <c r="P62">
        <v>98.2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6</v>
      </c>
      <c r="AA62">
        <v>32</v>
      </c>
      <c r="AF62">
        <v>136.19999999999999</v>
      </c>
    </row>
    <row r="63" spans="1:32" x14ac:dyDescent="0.3">
      <c r="A63" s="4">
        <v>61</v>
      </c>
      <c r="B63" s="5">
        <v>56</v>
      </c>
      <c r="C63">
        <v>663</v>
      </c>
      <c r="D63" t="s">
        <v>436</v>
      </c>
      <c r="E63" t="s">
        <v>29</v>
      </c>
      <c r="F63" t="s">
        <v>68</v>
      </c>
      <c r="G63" t="s">
        <v>437</v>
      </c>
      <c r="H63">
        <v>45.6</v>
      </c>
      <c r="I63">
        <v>0</v>
      </c>
      <c r="J63">
        <v>20</v>
      </c>
      <c r="M63">
        <v>20</v>
      </c>
      <c r="N63">
        <v>20</v>
      </c>
      <c r="O63">
        <v>10</v>
      </c>
      <c r="P63">
        <v>95.6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6</v>
      </c>
      <c r="AA63">
        <v>30</v>
      </c>
      <c r="AF63">
        <v>131.6</v>
      </c>
    </row>
    <row r="64" spans="1:32" x14ac:dyDescent="0.3">
      <c r="A64" s="4">
        <v>62</v>
      </c>
      <c r="B64" s="5">
        <v>57</v>
      </c>
      <c r="C64">
        <v>968</v>
      </c>
      <c r="D64" t="s">
        <v>165</v>
      </c>
      <c r="E64" t="s">
        <v>37</v>
      </c>
      <c r="F64" t="s">
        <v>136</v>
      </c>
      <c r="G64" t="s">
        <v>842</v>
      </c>
      <c r="H64">
        <v>59.7</v>
      </c>
      <c r="I64">
        <v>10</v>
      </c>
      <c r="J64">
        <v>20</v>
      </c>
      <c r="M64">
        <v>20</v>
      </c>
      <c r="N64">
        <v>20</v>
      </c>
      <c r="O64">
        <v>10</v>
      </c>
      <c r="P64">
        <v>119.7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9</v>
      </c>
      <c r="AA64">
        <v>0</v>
      </c>
      <c r="AF64">
        <v>128.69999999999999</v>
      </c>
    </row>
    <row r="65" spans="1:32" x14ac:dyDescent="0.3">
      <c r="A65" s="4">
        <v>63</v>
      </c>
      <c r="B65" s="5">
        <v>58</v>
      </c>
      <c r="C65">
        <v>563</v>
      </c>
      <c r="D65" t="s">
        <v>30894</v>
      </c>
      <c r="E65" t="s">
        <v>550</v>
      </c>
      <c r="F65" t="s">
        <v>227</v>
      </c>
      <c r="G65" t="s">
        <v>30895</v>
      </c>
      <c r="H65">
        <v>60</v>
      </c>
      <c r="I65">
        <v>10</v>
      </c>
      <c r="J65">
        <v>20</v>
      </c>
      <c r="L65">
        <v>10</v>
      </c>
      <c r="M65">
        <v>20</v>
      </c>
      <c r="N65">
        <v>20</v>
      </c>
      <c r="O65">
        <v>10</v>
      </c>
      <c r="P65">
        <v>120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6</v>
      </c>
      <c r="AA65">
        <v>0</v>
      </c>
      <c r="AF65">
        <v>126</v>
      </c>
    </row>
    <row r="66" spans="1:32" x14ac:dyDescent="0.3">
      <c r="A66" s="4">
        <v>64</v>
      </c>
      <c r="B66" s="5">
        <v>59</v>
      </c>
      <c r="C66">
        <v>862</v>
      </c>
      <c r="D66" t="s">
        <v>1060</v>
      </c>
      <c r="E66" t="s">
        <v>550</v>
      </c>
      <c r="F66" t="s">
        <v>892</v>
      </c>
      <c r="G66" t="s">
        <v>1061</v>
      </c>
      <c r="H66">
        <v>59.58</v>
      </c>
      <c r="I66">
        <v>10</v>
      </c>
      <c r="J66">
        <v>20</v>
      </c>
      <c r="M66">
        <v>20</v>
      </c>
      <c r="N66">
        <v>20</v>
      </c>
      <c r="O66">
        <v>10</v>
      </c>
      <c r="P66">
        <v>119.58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6</v>
      </c>
      <c r="AA66">
        <v>0</v>
      </c>
      <c r="AF66">
        <v>125.58</v>
      </c>
    </row>
    <row r="67" spans="1:32" x14ac:dyDescent="0.3">
      <c r="A67" s="4">
        <v>65</v>
      </c>
      <c r="B67" s="5">
        <v>60</v>
      </c>
      <c r="C67">
        <v>716</v>
      </c>
      <c r="D67" t="s">
        <v>1335</v>
      </c>
      <c r="E67" t="s">
        <v>29</v>
      </c>
      <c r="F67" t="s">
        <v>68</v>
      </c>
      <c r="G67" t="s">
        <v>1336</v>
      </c>
      <c r="H67">
        <v>46.08</v>
      </c>
      <c r="I67">
        <v>10</v>
      </c>
      <c r="L67">
        <v>10</v>
      </c>
      <c r="M67">
        <v>10</v>
      </c>
      <c r="N67">
        <v>20</v>
      </c>
      <c r="O67">
        <v>0</v>
      </c>
      <c r="P67">
        <v>86.08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9</v>
      </c>
      <c r="AA67">
        <v>28.4</v>
      </c>
      <c r="AF67">
        <v>123.48</v>
      </c>
    </row>
    <row r="68" spans="1:32" x14ac:dyDescent="0.3">
      <c r="A68" s="4">
        <v>66</v>
      </c>
      <c r="B68" s="5">
        <v>61</v>
      </c>
      <c r="C68">
        <v>816</v>
      </c>
      <c r="D68" t="s">
        <v>2816</v>
      </c>
      <c r="E68" t="s">
        <v>29</v>
      </c>
      <c r="F68" t="s">
        <v>2017</v>
      </c>
      <c r="G68" t="s">
        <v>2817</v>
      </c>
      <c r="H68">
        <v>60</v>
      </c>
      <c r="I68">
        <v>10</v>
      </c>
      <c r="J68">
        <v>20</v>
      </c>
      <c r="M68">
        <v>20</v>
      </c>
      <c r="N68">
        <v>20</v>
      </c>
      <c r="O68">
        <v>10</v>
      </c>
      <c r="P68">
        <v>120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3</v>
      </c>
      <c r="AA68">
        <v>0</v>
      </c>
      <c r="AF68">
        <v>123</v>
      </c>
    </row>
    <row r="69" spans="1:32" x14ac:dyDescent="0.3">
      <c r="A69" s="4">
        <v>67</v>
      </c>
      <c r="B69" s="5">
        <v>62</v>
      </c>
      <c r="C69">
        <v>905</v>
      </c>
      <c r="D69" t="s">
        <v>1154</v>
      </c>
      <c r="E69" t="s">
        <v>1155</v>
      </c>
      <c r="F69" t="s">
        <v>38</v>
      </c>
      <c r="G69" t="s">
        <v>1156</v>
      </c>
      <c r="H69">
        <v>59.7</v>
      </c>
      <c r="I69">
        <v>10</v>
      </c>
      <c r="J69">
        <v>20</v>
      </c>
      <c r="M69">
        <v>20</v>
      </c>
      <c r="N69">
        <v>20</v>
      </c>
      <c r="O69">
        <v>10</v>
      </c>
      <c r="P69">
        <v>119.7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3</v>
      </c>
      <c r="AA69">
        <v>0</v>
      </c>
      <c r="AF69">
        <v>122.7</v>
      </c>
    </row>
    <row r="70" spans="1:32" x14ac:dyDescent="0.3">
      <c r="A70" s="4">
        <v>68</v>
      </c>
      <c r="B70" s="5">
        <v>63</v>
      </c>
      <c r="C70">
        <v>700</v>
      </c>
      <c r="D70" t="s">
        <v>2933</v>
      </c>
      <c r="E70" t="s">
        <v>88</v>
      </c>
      <c r="F70" t="s">
        <v>158</v>
      </c>
      <c r="G70" t="s">
        <v>2934</v>
      </c>
      <c r="H70">
        <v>60</v>
      </c>
      <c r="I70">
        <v>0</v>
      </c>
      <c r="J70">
        <v>20</v>
      </c>
      <c r="M70">
        <v>20</v>
      </c>
      <c r="N70">
        <v>20</v>
      </c>
      <c r="O70">
        <v>10</v>
      </c>
      <c r="P70">
        <v>110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9</v>
      </c>
      <c r="AA70">
        <v>0</v>
      </c>
      <c r="AB70" t="s">
        <v>130</v>
      </c>
      <c r="AF70">
        <v>119</v>
      </c>
    </row>
    <row r="71" spans="1:32" x14ac:dyDescent="0.3">
      <c r="A71" s="4">
        <v>69</v>
      </c>
      <c r="B71" s="5">
        <v>64</v>
      </c>
      <c r="C71">
        <v>1494</v>
      </c>
      <c r="D71" t="s">
        <v>684</v>
      </c>
      <c r="E71" t="s">
        <v>37</v>
      </c>
      <c r="F71" t="s">
        <v>343</v>
      </c>
      <c r="G71" t="s">
        <v>685</v>
      </c>
      <c r="H71">
        <v>55.71</v>
      </c>
      <c r="I71">
        <v>10</v>
      </c>
      <c r="J71">
        <v>20</v>
      </c>
      <c r="M71">
        <v>20</v>
      </c>
      <c r="N71">
        <v>20</v>
      </c>
      <c r="O71">
        <v>10</v>
      </c>
      <c r="P71">
        <v>115.71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3</v>
      </c>
      <c r="AA71">
        <v>0</v>
      </c>
      <c r="AF71">
        <v>118.71</v>
      </c>
    </row>
    <row r="72" spans="1:32" x14ac:dyDescent="0.3">
      <c r="A72" s="4">
        <v>70</v>
      </c>
      <c r="B72" s="5">
        <v>65</v>
      </c>
      <c r="C72">
        <v>44</v>
      </c>
      <c r="D72" t="s">
        <v>759</v>
      </c>
      <c r="E72" t="s">
        <v>166</v>
      </c>
      <c r="F72" t="s">
        <v>230</v>
      </c>
      <c r="G72" t="s">
        <v>760</v>
      </c>
      <c r="H72">
        <v>57.63</v>
      </c>
      <c r="I72">
        <v>10</v>
      </c>
      <c r="K72">
        <v>15</v>
      </c>
      <c r="M72">
        <v>15</v>
      </c>
      <c r="N72">
        <v>20</v>
      </c>
      <c r="O72">
        <v>10</v>
      </c>
      <c r="P72">
        <v>112.63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6</v>
      </c>
      <c r="AA72">
        <v>0</v>
      </c>
      <c r="AB72" t="s">
        <v>130</v>
      </c>
      <c r="AF72">
        <v>118.63</v>
      </c>
    </row>
    <row r="73" spans="1:32" x14ac:dyDescent="0.3">
      <c r="A73" s="4">
        <v>71</v>
      </c>
      <c r="B73" s="5">
        <v>66</v>
      </c>
      <c r="C73">
        <v>1136</v>
      </c>
      <c r="D73" t="s">
        <v>16341</v>
      </c>
      <c r="E73" t="s">
        <v>100</v>
      </c>
      <c r="F73" t="s">
        <v>3370</v>
      </c>
      <c r="G73" t="s">
        <v>30896</v>
      </c>
      <c r="H73">
        <v>58.5</v>
      </c>
      <c r="I73">
        <v>10</v>
      </c>
      <c r="J73">
        <v>20</v>
      </c>
      <c r="M73">
        <v>20</v>
      </c>
      <c r="N73">
        <v>20</v>
      </c>
      <c r="O73">
        <v>10</v>
      </c>
      <c r="P73">
        <v>118.5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F73">
        <v>118.5</v>
      </c>
    </row>
    <row r="74" spans="1:32" x14ac:dyDescent="0.3">
      <c r="A74" s="4">
        <v>72</v>
      </c>
      <c r="B74" s="5">
        <v>67</v>
      </c>
      <c r="C74">
        <v>351</v>
      </c>
      <c r="D74" t="s">
        <v>3577</v>
      </c>
      <c r="E74" t="s">
        <v>161</v>
      </c>
      <c r="F74" t="s">
        <v>68</v>
      </c>
      <c r="G74" t="s">
        <v>3578</v>
      </c>
      <c r="H74">
        <v>59.7</v>
      </c>
      <c r="I74">
        <v>10</v>
      </c>
      <c r="K74">
        <v>15</v>
      </c>
      <c r="M74">
        <v>15</v>
      </c>
      <c r="N74">
        <v>20</v>
      </c>
      <c r="O74">
        <v>10</v>
      </c>
      <c r="P74">
        <v>114.7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3</v>
      </c>
      <c r="AA74">
        <v>0</v>
      </c>
      <c r="AF74">
        <v>117.7</v>
      </c>
    </row>
    <row r="75" spans="1:32" x14ac:dyDescent="0.3">
      <c r="A75" s="4">
        <v>73</v>
      </c>
      <c r="B75" s="5">
        <v>68</v>
      </c>
      <c r="C75">
        <v>141</v>
      </c>
      <c r="D75" t="s">
        <v>1078</v>
      </c>
      <c r="E75" t="s">
        <v>22</v>
      </c>
      <c r="F75" t="s">
        <v>68</v>
      </c>
      <c r="G75" t="s">
        <v>1079</v>
      </c>
      <c r="H75">
        <v>48.24</v>
      </c>
      <c r="I75">
        <v>10</v>
      </c>
      <c r="J75">
        <v>20</v>
      </c>
      <c r="M75">
        <v>20</v>
      </c>
      <c r="N75">
        <v>20</v>
      </c>
      <c r="O75">
        <v>10</v>
      </c>
      <c r="P75">
        <v>108.24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9</v>
      </c>
      <c r="AA75">
        <v>0</v>
      </c>
      <c r="AF75">
        <v>117.24</v>
      </c>
    </row>
    <row r="76" spans="1:32" x14ac:dyDescent="0.3">
      <c r="A76" s="4">
        <v>74</v>
      </c>
      <c r="B76" s="5">
        <v>69</v>
      </c>
      <c r="C76">
        <v>324</v>
      </c>
      <c r="D76" t="s">
        <v>2182</v>
      </c>
      <c r="E76" t="s">
        <v>143</v>
      </c>
      <c r="F76" t="s">
        <v>117</v>
      </c>
      <c r="G76" t="s">
        <v>2183</v>
      </c>
      <c r="H76">
        <v>48</v>
      </c>
      <c r="I76">
        <v>10</v>
      </c>
      <c r="J76">
        <v>20</v>
      </c>
      <c r="M76">
        <v>20</v>
      </c>
      <c r="N76">
        <v>20</v>
      </c>
      <c r="O76">
        <v>10</v>
      </c>
      <c r="P76">
        <v>108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9</v>
      </c>
      <c r="AA76">
        <v>0</v>
      </c>
      <c r="AF76">
        <v>117</v>
      </c>
    </row>
    <row r="77" spans="1:32" x14ac:dyDescent="0.3">
      <c r="A77" s="4">
        <v>75</v>
      </c>
      <c r="B77" s="5">
        <v>70</v>
      </c>
      <c r="C77">
        <v>490</v>
      </c>
      <c r="D77" t="s">
        <v>330</v>
      </c>
      <c r="E77" t="s">
        <v>54</v>
      </c>
      <c r="F77" t="s">
        <v>136</v>
      </c>
      <c r="G77" t="s">
        <v>331</v>
      </c>
      <c r="H77">
        <v>57.9</v>
      </c>
      <c r="I77">
        <v>0</v>
      </c>
      <c r="J77">
        <v>20</v>
      </c>
      <c r="M77">
        <v>20</v>
      </c>
      <c r="N77">
        <v>20</v>
      </c>
      <c r="O77">
        <v>10</v>
      </c>
      <c r="P77">
        <v>107.9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9</v>
      </c>
      <c r="AA77">
        <v>0</v>
      </c>
      <c r="AB77" t="s">
        <v>130</v>
      </c>
      <c r="AF77">
        <v>116.9</v>
      </c>
    </row>
    <row r="78" spans="1:32" x14ac:dyDescent="0.3">
      <c r="A78" s="4">
        <v>76</v>
      </c>
      <c r="B78" s="5">
        <v>71</v>
      </c>
      <c r="C78">
        <v>584</v>
      </c>
      <c r="D78" t="s">
        <v>2172</v>
      </c>
      <c r="E78" t="s">
        <v>54</v>
      </c>
      <c r="F78" t="s">
        <v>652</v>
      </c>
      <c r="G78" t="s">
        <v>2173</v>
      </c>
      <c r="H78">
        <v>57.27</v>
      </c>
      <c r="I78">
        <v>0</v>
      </c>
      <c r="J78">
        <v>20</v>
      </c>
      <c r="M78">
        <v>20</v>
      </c>
      <c r="N78">
        <v>20</v>
      </c>
      <c r="O78">
        <v>10</v>
      </c>
      <c r="P78">
        <v>107.27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9</v>
      </c>
      <c r="AA78">
        <v>0</v>
      </c>
      <c r="AB78" t="s">
        <v>130</v>
      </c>
      <c r="AF78">
        <v>116.27</v>
      </c>
    </row>
    <row r="79" spans="1:32" x14ac:dyDescent="0.3">
      <c r="A79" s="4">
        <v>77</v>
      </c>
      <c r="B79" s="5">
        <v>72</v>
      </c>
      <c r="C79">
        <v>1468</v>
      </c>
      <c r="D79" t="s">
        <v>2441</v>
      </c>
      <c r="E79" t="s">
        <v>88</v>
      </c>
      <c r="F79" t="s">
        <v>2442</v>
      </c>
      <c r="G79" t="s">
        <v>2443</v>
      </c>
      <c r="H79">
        <v>50.19</v>
      </c>
      <c r="I79">
        <v>10</v>
      </c>
      <c r="J79">
        <v>20</v>
      </c>
      <c r="M79">
        <v>20</v>
      </c>
      <c r="N79">
        <v>20</v>
      </c>
      <c r="O79">
        <v>10</v>
      </c>
      <c r="P79">
        <v>110.19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6</v>
      </c>
      <c r="AA79">
        <v>0</v>
      </c>
      <c r="AF79">
        <v>116.19</v>
      </c>
    </row>
    <row r="80" spans="1:32" x14ac:dyDescent="0.3">
      <c r="A80" s="4">
        <v>78</v>
      </c>
      <c r="B80" s="5">
        <v>73</v>
      </c>
      <c r="C80">
        <v>706</v>
      </c>
      <c r="D80" t="s">
        <v>3934</v>
      </c>
      <c r="E80" t="s">
        <v>516</v>
      </c>
      <c r="F80" t="s">
        <v>136</v>
      </c>
      <c r="G80" t="s">
        <v>3935</v>
      </c>
      <c r="H80">
        <v>60</v>
      </c>
      <c r="I80">
        <v>0</v>
      </c>
      <c r="J80">
        <v>20</v>
      </c>
      <c r="M80">
        <v>20</v>
      </c>
      <c r="N80">
        <v>20</v>
      </c>
      <c r="O80">
        <v>10</v>
      </c>
      <c r="P80">
        <v>110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6</v>
      </c>
      <c r="AA80">
        <v>0</v>
      </c>
      <c r="AF80">
        <v>116</v>
      </c>
    </row>
    <row r="81" spans="1:32" x14ac:dyDescent="0.3">
      <c r="A81" s="4">
        <v>79</v>
      </c>
      <c r="B81" s="5">
        <v>74</v>
      </c>
      <c r="C81">
        <v>1166</v>
      </c>
      <c r="D81" t="s">
        <v>2624</v>
      </c>
      <c r="E81" t="s">
        <v>166</v>
      </c>
      <c r="F81" t="s">
        <v>81</v>
      </c>
      <c r="G81" t="s">
        <v>2625</v>
      </c>
      <c r="H81">
        <v>60</v>
      </c>
      <c r="I81">
        <v>0</v>
      </c>
      <c r="J81">
        <v>20</v>
      </c>
      <c r="M81">
        <v>20</v>
      </c>
      <c r="N81">
        <v>20</v>
      </c>
      <c r="O81">
        <v>10</v>
      </c>
      <c r="P81">
        <v>110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6</v>
      </c>
      <c r="AA81">
        <v>0</v>
      </c>
      <c r="AF81">
        <v>116</v>
      </c>
    </row>
    <row r="82" spans="1:32" x14ac:dyDescent="0.3">
      <c r="A82" s="4">
        <v>80</v>
      </c>
      <c r="B82" s="5">
        <v>75</v>
      </c>
      <c r="C82">
        <v>839</v>
      </c>
      <c r="D82" t="s">
        <v>3669</v>
      </c>
      <c r="E82" t="s">
        <v>29</v>
      </c>
      <c r="F82" t="s">
        <v>79</v>
      </c>
      <c r="G82" t="s">
        <v>3670</v>
      </c>
      <c r="H82">
        <v>59.7</v>
      </c>
      <c r="I82">
        <v>0</v>
      </c>
      <c r="J82">
        <v>20</v>
      </c>
      <c r="L82">
        <v>10</v>
      </c>
      <c r="M82">
        <v>20</v>
      </c>
      <c r="N82">
        <v>20</v>
      </c>
      <c r="O82">
        <v>10</v>
      </c>
      <c r="P82">
        <v>109.7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6</v>
      </c>
      <c r="AA82">
        <v>0</v>
      </c>
      <c r="AF82">
        <v>115.7</v>
      </c>
    </row>
    <row r="83" spans="1:32" x14ac:dyDescent="0.3">
      <c r="A83" s="4">
        <v>81</v>
      </c>
      <c r="B83" s="5">
        <v>76</v>
      </c>
      <c r="C83">
        <v>1712</v>
      </c>
      <c r="D83" t="s">
        <v>1417</v>
      </c>
      <c r="E83" t="s">
        <v>29</v>
      </c>
      <c r="F83" t="s">
        <v>190</v>
      </c>
      <c r="G83" t="s">
        <v>1418</v>
      </c>
      <c r="H83">
        <v>59.4</v>
      </c>
      <c r="I83">
        <v>10</v>
      </c>
      <c r="L83">
        <v>10</v>
      </c>
      <c r="M83">
        <v>10</v>
      </c>
      <c r="N83">
        <v>20</v>
      </c>
      <c r="O83">
        <v>10</v>
      </c>
      <c r="P83">
        <v>109.4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</v>
      </c>
      <c r="AA83">
        <v>0</v>
      </c>
      <c r="AF83">
        <v>115.4</v>
      </c>
    </row>
    <row r="84" spans="1:32" x14ac:dyDescent="0.3">
      <c r="A84" s="4">
        <v>82</v>
      </c>
      <c r="B84" s="5">
        <v>77</v>
      </c>
      <c r="C84">
        <v>1140</v>
      </c>
      <c r="D84" t="s">
        <v>686</v>
      </c>
      <c r="E84" t="s">
        <v>54</v>
      </c>
      <c r="F84" t="s">
        <v>687</v>
      </c>
      <c r="G84" t="s">
        <v>688</v>
      </c>
      <c r="H84">
        <v>59.67</v>
      </c>
      <c r="I84">
        <v>10</v>
      </c>
      <c r="K84">
        <v>15</v>
      </c>
      <c r="M84">
        <v>15</v>
      </c>
      <c r="N84">
        <v>20</v>
      </c>
      <c r="O84">
        <v>10</v>
      </c>
      <c r="P84">
        <v>114.67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F84">
        <v>114.67</v>
      </c>
    </row>
    <row r="85" spans="1:32" x14ac:dyDescent="0.3">
      <c r="A85" s="4">
        <v>83</v>
      </c>
      <c r="B85" s="5">
        <v>78</v>
      </c>
      <c r="C85">
        <v>1605</v>
      </c>
      <c r="D85" t="s">
        <v>2293</v>
      </c>
      <c r="E85" t="s">
        <v>161</v>
      </c>
      <c r="F85" t="s">
        <v>30</v>
      </c>
      <c r="G85" t="s">
        <v>2294</v>
      </c>
      <c r="H85">
        <v>57.63</v>
      </c>
      <c r="I85">
        <v>0</v>
      </c>
      <c r="J85">
        <v>20</v>
      </c>
      <c r="M85">
        <v>20</v>
      </c>
      <c r="N85">
        <v>20</v>
      </c>
      <c r="O85">
        <v>10</v>
      </c>
      <c r="P85">
        <v>107.63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</v>
      </c>
      <c r="AA85">
        <v>0</v>
      </c>
      <c r="AF85">
        <v>113.63</v>
      </c>
    </row>
    <row r="86" spans="1:32" x14ac:dyDescent="0.3">
      <c r="A86" s="4">
        <v>84</v>
      </c>
      <c r="B86" s="5">
        <v>79</v>
      </c>
      <c r="C86">
        <v>370</v>
      </c>
      <c r="D86" t="s">
        <v>1390</v>
      </c>
      <c r="E86" t="s">
        <v>1391</v>
      </c>
      <c r="F86" t="s">
        <v>91</v>
      </c>
      <c r="G86" t="s">
        <v>1392</v>
      </c>
      <c r="H86">
        <v>54.33</v>
      </c>
      <c r="I86">
        <v>0</v>
      </c>
      <c r="J86">
        <v>20</v>
      </c>
      <c r="M86">
        <v>20</v>
      </c>
      <c r="N86">
        <v>20</v>
      </c>
      <c r="O86">
        <v>10</v>
      </c>
      <c r="P86">
        <v>104.33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9</v>
      </c>
      <c r="AA86">
        <v>0</v>
      </c>
      <c r="AF86">
        <v>113.33</v>
      </c>
    </row>
    <row r="87" spans="1:32" x14ac:dyDescent="0.3">
      <c r="A87" s="4">
        <v>85</v>
      </c>
      <c r="B87" s="5">
        <v>80</v>
      </c>
      <c r="C87">
        <v>1204</v>
      </c>
      <c r="D87" t="s">
        <v>3447</v>
      </c>
      <c r="E87" t="s">
        <v>439</v>
      </c>
      <c r="F87" t="s">
        <v>124</v>
      </c>
      <c r="G87" t="s">
        <v>3448</v>
      </c>
      <c r="H87">
        <v>59.7</v>
      </c>
      <c r="I87">
        <v>0</v>
      </c>
      <c r="J87">
        <v>20</v>
      </c>
      <c r="M87">
        <v>20</v>
      </c>
      <c r="N87">
        <v>20</v>
      </c>
      <c r="O87">
        <v>10</v>
      </c>
      <c r="P87">
        <v>109.7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3</v>
      </c>
      <c r="AA87">
        <v>0</v>
      </c>
      <c r="AF87">
        <v>112.7</v>
      </c>
    </row>
    <row r="88" spans="1:32" x14ac:dyDescent="0.3">
      <c r="A88" s="4">
        <v>86</v>
      </c>
      <c r="B88" s="5">
        <v>81</v>
      </c>
      <c r="C88">
        <v>882</v>
      </c>
      <c r="D88" t="s">
        <v>3200</v>
      </c>
      <c r="E88" t="s">
        <v>166</v>
      </c>
      <c r="F88" t="s">
        <v>68</v>
      </c>
      <c r="G88" t="s">
        <v>3201</v>
      </c>
      <c r="H88">
        <v>56.67</v>
      </c>
      <c r="I88">
        <v>0</v>
      </c>
      <c r="J88">
        <v>20</v>
      </c>
      <c r="M88">
        <v>20</v>
      </c>
      <c r="N88">
        <v>20</v>
      </c>
      <c r="O88">
        <v>10</v>
      </c>
      <c r="P88">
        <v>106.67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6</v>
      </c>
      <c r="AA88">
        <v>0</v>
      </c>
      <c r="AF88">
        <v>112.67</v>
      </c>
    </row>
    <row r="89" spans="1:32" x14ac:dyDescent="0.3">
      <c r="A89" s="4">
        <v>87</v>
      </c>
      <c r="B89" s="5">
        <v>82</v>
      </c>
      <c r="C89">
        <v>339</v>
      </c>
      <c r="D89" t="s">
        <v>270</v>
      </c>
      <c r="E89" t="s">
        <v>41</v>
      </c>
      <c r="F89" t="s">
        <v>124</v>
      </c>
      <c r="G89" t="s">
        <v>271</v>
      </c>
      <c r="H89">
        <v>43.5</v>
      </c>
      <c r="I89">
        <v>10</v>
      </c>
      <c r="J89">
        <v>20</v>
      </c>
      <c r="L89">
        <v>10</v>
      </c>
      <c r="M89">
        <v>20</v>
      </c>
      <c r="N89">
        <v>20</v>
      </c>
      <c r="O89">
        <v>10</v>
      </c>
      <c r="P89">
        <v>103.5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9</v>
      </c>
      <c r="AA89">
        <v>0</v>
      </c>
      <c r="AB89" t="s">
        <v>130</v>
      </c>
      <c r="AF89">
        <v>112.5</v>
      </c>
    </row>
    <row r="90" spans="1:32" x14ac:dyDescent="0.3">
      <c r="A90" s="4">
        <v>88</v>
      </c>
      <c r="B90" s="5">
        <v>83</v>
      </c>
      <c r="C90">
        <v>1263</v>
      </c>
      <c r="D90" t="s">
        <v>1314</v>
      </c>
      <c r="E90" t="s">
        <v>166</v>
      </c>
      <c r="F90" t="s">
        <v>62</v>
      </c>
      <c r="G90" t="s">
        <v>2274</v>
      </c>
      <c r="H90">
        <v>49.5</v>
      </c>
      <c r="I90">
        <v>10</v>
      </c>
      <c r="J90">
        <v>20</v>
      </c>
      <c r="M90">
        <v>20</v>
      </c>
      <c r="N90">
        <v>20</v>
      </c>
      <c r="O90">
        <v>10</v>
      </c>
      <c r="P90">
        <v>109.5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3</v>
      </c>
      <c r="AA90">
        <v>0</v>
      </c>
      <c r="AB90" t="s">
        <v>130</v>
      </c>
      <c r="AF90">
        <v>112.5</v>
      </c>
    </row>
    <row r="91" spans="1:32" x14ac:dyDescent="0.3">
      <c r="A91" s="4">
        <v>89</v>
      </c>
      <c r="B91" s="5">
        <v>84</v>
      </c>
      <c r="C91">
        <v>1266</v>
      </c>
      <c r="D91" t="s">
        <v>622</v>
      </c>
      <c r="E91" t="s">
        <v>126</v>
      </c>
      <c r="F91" t="s">
        <v>68</v>
      </c>
      <c r="G91" t="s">
        <v>623</v>
      </c>
      <c r="H91">
        <v>56.13</v>
      </c>
      <c r="I91">
        <v>10</v>
      </c>
      <c r="L91">
        <v>10</v>
      </c>
      <c r="M91">
        <v>10</v>
      </c>
      <c r="N91">
        <v>20</v>
      </c>
      <c r="O91">
        <v>10</v>
      </c>
      <c r="P91">
        <v>106.13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6</v>
      </c>
      <c r="AA91">
        <v>0</v>
      </c>
      <c r="AF91">
        <v>112.13</v>
      </c>
    </row>
    <row r="92" spans="1:32" x14ac:dyDescent="0.3">
      <c r="A92" s="4">
        <v>90</v>
      </c>
      <c r="B92" s="5">
        <v>85</v>
      </c>
      <c r="C92">
        <v>119</v>
      </c>
      <c r="D92" t="s">
        <v>849</v>
      </c>
      <c r="E92" t="s">
        <v>100</v>
      </c>
      <c r="F92" t="s">
        <v>17</v>
      </c>
      <c r="G92" t="s">
        <v>850</v>
      </c>
      <c r="H92">
        <v>58.8</v>
      </c>
      <c r="I92">
        <v>0</v>
      </c>
      <c r="J92">
        <v>20</v>
      </c>
      <c r="M92">
        <v>20</v>
      </c>
      <c r="N92">
        <v>20</v>
      </c>
      <c r="O92">
        <v>10</v>
      </c>
      <c r="P92">
        <v>108.8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</v>
      </c>
      <c r="AA92">
        <v>0</v>
      </c>
      <c r="AB92" t="s">
        <v>130</v>
      </c>
      <c r="AF92">
        <v>111.8</v>
      </c>
    </row>
    <row r="93" spans="1:32" x14ac:dyDescent="0.3">
      <c r="A93" s="4">
        <v>91</v>
      </c>
      <c r="B93" s="5">
        <v>86</v>
      </c>
      <c r="C93">
        <v>576</v>
      </c>
      <c r="D93" t="s">
        <v>1991</v>
      </c>
      <c r="E93" t="s">
        <v>100</v>
      </c>
      <c r="F93" t="s">
        <v>117</v>
      </c>
      <c r="G93" t="s">
        <v>1992</v>
      </c>
      <c r="H93">
        <v>55.41</v>
      </c>
      <c r="I93">
        <v>10</v>
      </c>
      <c r="L93">
        <v>10</v>
      </c>
      <c r="M93">
        <v>10</v>
      </c>
      <c r="N93">
        <v>20</v>
      </c>
      <c r="O93">
        <v>10</v>
      </c>
      <c r="P93">
        <v>105.41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6</v>
      </c>
      <c r="AA93">
        <v>0</v>
      </c>
      <c r="AF93">
        <v>111.41</v>
      </c>
    </row>
    <row r="94" spans="1:32" x14ac:dyDescent="0.3">
      <c r="A94" s="4">
        <v>92</v>
      </c>
      <c r="B94" s="5">
        <v>87</v>
      </c>
      <c r="C94">
        <v>50</v>
      </c>
      <c r="D94" t="s">
        <v>1886</v>
      </c>
      <c r="E94" t="s">
        <v>1887</v>
      </c>
      <c r="F94" t="s">
        <v>20</v>
      </c>
      <c r="G94" t="s">
        <v>1888</v>
      </c>
      <c r="H94">
        <v>52.35</v>
      </c>
      <c r="I94">
        <v>0</v>
      </c>
      <c r="J94">
        <v>20</v>
      </c>
      <c r="M94">
        <v>20</v>
      </c>
      <c r="N94">
        <v>20</v>
      </c>
      <c r="O94">
        <v>10</v>
      </c>
      <c r="P94">
        <v>102.35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9</v>
      </c>
      <c r="AA94">
        <v>0</v>
      </c>
      <c r="AF94">
        <v>111.35</v>
      </c>
    </row>
    <row r="95" spans="1:32" x14ac:dyDescent="0.3">
      <c r="A95" s="4">
        <v>93</v>
      </c>
      <c r="B95" s="5">
        <v>88</v>
      </c>
      <c r="C95">
        <v>1312</v>
      </c>
      <c r="D95" t="s">
        <v>3290</v>
      </c>
      <c r="E95" t="s">
        <v>3291</v>
      </c>
      <c r="F95" t="s">
        <v>20</v>
      </c>
      <c r="G95" t="s">
        <v>3292</v>
      </c>
      <c r="H95">
        <v>60</v>
      </c>
      <c r="I95">
        <v>0</v>
      </c>
      <c r="K95">
        <v>15</v>
      </c>
      <c r="M95">
        <v>15</v>
      </c>
      <c r="N95">
        <v>20</v>
      </c>
      <c r="O95">
        <v>10</v>
      </c>
      <c r="P95">
        <v>105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6</v>
      </c>
      <c r="AA95">
        <v>0</v>
      </c>
      <c r="AF95">
        <v>111</v>
      </c>
    </row>
    <row r="96" spans="1:32" x14ac:dyDescent="0.3">
      <c r="A96" s="4">
        <v>94</v>
      </c>
      <c r="B96" s="5">
        <v>89</v>
      </c>
      <c r="C96">
        <v>1278</v>
      </c>
      <c r="D96" t="s">
        <v>4439</v>
      </c>
      <c r="E96" t="s">
        <v>166</v>
      </c>
      <c r="F96" t="s">
        <v>17</v>
      </c>
      <c r="G96" t="s">
        <v>4525</v>
      </c>
      <c r="H96">
        <v>41.79</v>
      </c>
      <c r="I96">
        <v>10</v>
      </c>
      <c r="J96">
        <v>20</v>
      </c>
      <c r="M96">
        <v>20</v>
      </c>
      <c r="N96">
        <v>20</v>
      </c>
      <c r="O96">
        <v>10</v>
      </c>
      <c r="P96">
        <v>101.79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9</v>
      </c>
      <c r="AA96">
        <v>0</v>
      </c>
      <c r="AF96">
        <v>110.79</v>
      </c>
    </row>
    <row r="97" spans="1:32" x14ac:dyDescent="0.3">
      <c r="A97" s="4">
        <v>95</v>
      </c>
      <c r="B97" s="5">
        <v>90</v>
      </c>
      <c r="C97">
        <v>242</v>
      </c>
      <c r="D97" t="s">
        <v>32</v>
      </c>
      <c r="E97" t="s">
        <v>33</v>
      </c>
      <c r="F97" t="s">
        <v>34</v>
      </c>
      <c r="G97" t="s">
        <v>35</v>
      </c>
      <c r="H97">
        <v>54.66</v>
      </c>
      <c r="I97">
        <v>10</v>
      </c>
      <c r="L97">
        <v>10</v>
      </c>
      <c r="M97">
        <v>10</v>
      </c>
      <c r="N97">
        <v>20</v>
      </c>
      <c r="O97">
        <v>10</v>
      </c>
      <c r="P97">
        <v>104.66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6</v>
      </c>
      <c r="AA97">
        <v>0</v>
      </c>
      <c r="AB97" t="s">
        <v>130</v>
      </c>
      <c r="AF97">
        <v>110.66</v>
      </c>
    </row>
    <row r="98" spans="1:32" x14ac:dyDescent="0.3">
      <c r="A98" s="4">
        <v>96</v>
      </c>
      <c r="B98" s="5">
        <v>91</v>
      </c>
      <c r="C98">
        <v>301</v>
      </c>
      <c r="D98" t="s">
        <v>851</v>
      </c>
      <c r="E98" t="s">
        <v>41</v>
      </c>
      <c r="F98" t="s">
        <v>52</v>
      </c>
      <c r="G98" t="s">
        <v>852</v>
      </c>
      <c r="H98">
        <v>50.37</v>
      </c>
      <c r="I98">
        <v>10</v>
      </c>
      <c r="J98">
        <v>20</v>
      </c>
      <c r="M98">
        <v>20</v>
      </c>
      <c r="N98">
        <v>20</v>
      </c>
      <c r="O98">
        <v>10</v>
      </c>
      <c r="P98">
        <v>110.37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t="s">
        <v>130</v>
      </c>
      <c r="AF98">
        <v>110.37</v>
      </c>
    </row>
    <row r="99" spans="1:32" x14ac:dyDescent="0.3">
      <c r="A99" s="4">
        <v>97</v>
      </c>
      <c r="B99" s="5">
        <v>92</v>
      </c>
      <c r="C99">
        <v>491</v>
      </c>
      <c r="D99" t="s">
        <v>4511</v>
      </c>
      <c r="E99" t="s">
        <v>4512</v>
      </c>
      <c r="F99" t="s">
        <v>136</v>
      </c>
      <c r="G99" t="s">
        <v>4513</v>
      </c>
      <c r="H99">
        <v>60</v>
      </c>
      <c r="I99">
        <v>0</v>
      </c>
      <c r="J99">
        <v>20</v>
      </c>
      <c r="M99">
        <v>20</v>
      </c>
      <c r="N99">
        <v>20</v>
      </c>
      <c r="O99">
        <v>10</v>
      </c>
      <c r="P99">
        <v>110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F99">
        <v>110</v>
      </c>
    </row>
    <row r="100" spans="1:32" x14ac:dyDescent="0.3">
      <c r="A100" s="4">
        <v>98</v>
      </c>
      <c r="B100" s="5">
        <v>93</v>
      </c>
      <c r="C100">
        <v>1098</v>
      </c>
      <c r="D100" t="s">
        <v>2863</v>
      </c>
      <c r="E100" t="s">
        <v>213</v>
      </c>
      <c r="F100" t="s">
        <v>1566</v>
      </c>
      <c r="G100" t="s">
        <v>2864</v>
      </c>
      <c r="H100">
        <v>58.71</v>
      </c>
      <c r="I100">
        <v>0</v>
      </c>
      <c r="K100">
        <v>15</v>
      </c>
      <c r="M100">
        <v>15</v>
      </c>
      <c r="N100">
        <v>20</v>
      </c>
      <c r="O100">
        <v>10</v>
      </c>
      <c r="P100">
        <v>103.71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6</v>
      </c>
      <c r="AA100">
        <v>0</v>
      </c>
      <c r="AB100" t="s">
        <v>130</v>
      </c>
      <c r="AF100">
        <v>109.71</v>
      </c>
    </row>
    <row r="101" spans="1:32" x14ac:dyDescent="0.3">
      <c r="A101" s="4">
        <v>99</v>
      </c>
      <c r="B101" s="5">
        <v>94</v>
      </c>
      <c r="C101">
        <v>821</v>
      </c>
      <c r="D101" t="s">
        <v>569</v>
      </c>
      <c r="E101" t="s">
        <v>29</v>
      </c>
      <c r="F101" t="s">
        <v>570</v>
      </c>
      <c r="G101" t="s">
        <v>571</v>
      </c>
      <c r="H101">
        <v>49.71</v>
      </c>
      <c r="I101">
        <v>10</v>
      </c>
      <c r="J101">
        <v>20</v>
      </c>
      <c r="M101">
        <v>20</v>
      </c>
      <c r="N101">
        <v>20</v>
      </c>
      <c r="O101">
        <v>10</v>
      </c>
      <c r="P101">
        <v>109.71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 t="s">
        <v>130</v>
      </c>
      <c r="AF101">
        <v>109.71</v>
      </c>
    </row>
    <row r="102" spans="1:32" x14ac:dyDescent="0.3">
      <c r="A102" s="4">
        <v>100</v>
      </c>
      <c r="B102" s="5">
        <v>95</v>
      </c>
      <c r="C102">
        <v>1666</v>
      </c>
      <c r="D102" t="s">
        <v>788</v>
      </c>
      <c r="E102" t="s">
        <v>100</v>
      </c>
      <c r="F102" t="s">
        <v>136</v>
      </c>
      <c r="G102" t="s">
        <v>4649</v>
      </c>
      <c r="H102">
        <v>56.7</v>
      </c>
      <c r="I102">
        <v>0</v>
      </c>
      <c r="J102">
        <v>20</v>
      </c>
      <c r="M102">
        <v>20</v>
      </c>
      <c r="N102">
        <v>20</v>
      </c>
      <c r="O102">
        <v>10</v>
      </c>
      <c r="P102">
        <v>106.7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3</v>
      </c>
      <c r="AA102">
        <v>0</v>
      </c>
      <c r="AF102">
        <v>109.7</v>
      </c>
    </row>
    <row r="103" spans="1:32" x14ac:dyDescent="0.3">
      <c r="A103" s="4">
        <v>101</v>
      </c>
      <c r="B103" s="5">
        <v>96</v>
      </c>
      <c r="C103">
        <v>443</v>
      </c>
      <c r="D103" t="s">
        <v>389</v>
      </c>
      <c r="E103" t="s">
        <v>390</v>
      </c>
      <c r="F103" t="s">
        <v>55</v>
      </c>
      <c r="G103" t="s">
        <v>391</v>
      </c>
      <c r="H103">
        <v>49.65</v>
      </c>
      <c r="I103">
        <v>10</v>
      </c>
      <c r="J103">
        <v>20</v>
      </c>
      <c r="M103">
        <v>20</v>
      </c>
      <c r="N103">
        <v>20</v>
      </c>
      <c r="O103">
        <v>10</v>
      </c>
      <c r="P103">
        <v>109.65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F103">
        <v>109.65</v>
      </c>
    </row>
    <row r="104" spans="1:32" x14ac:dyDescent="0.3">
      <c r="A104" s="4">
        <v>102</v>
      </c>
      <c r="B104" s="5">
        <v>97</v>
      </c>
      <c r="C104">
        <v>391</v>
      </c>
      <c r="D104" t="s">
        <v>1250</v>
      </c>
      <c r="E104" t="s">
        <v>26</v>
      </c>
      <c r="F104" t="s">
        <v>20</v>
      </c>
      <c r="G104" t="s">
        <v>1251</v>
      </c>
      <c r="H104">
        <v>43.62</v>
      </c>
      <c r="I104">
        <v>10</v>
      </c>
      <c r="J104">
        <v>20</v>
      </c>
      <c r="M104">
        <v>20</v>
      </c>
      <c r="N104">
        <v>20</v>
      </c>
      <c r="O104">
        <v>10</v>
      </c>
      <c r="P104">
        <v>103.62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6</v>
      </c>
      <c r="AA104">
        <v>0</v>
      </c>
      <c r="AB104" t="s">
        <v>130</v>
      </c>
      <c r="AF104">
        <v>109.62</v>
      </c>
    </row>
    <row r="105" spans="1:32" x14ac:dyDescent="0.3">
      <c r="A105" s="4">
        <v>103</v>
      </c>
      <c r="B105" s="5">
        <v>98</v>
      </c>
      <c r="C105">
        <v>1544</v>
      </c>
      <c r="D105" t="s">
        <v>708</v>
      </c>
      <c r="E105" t="s">
        <v>479</v>
      </c>
      <c r="F105" t="s">
        <v>709</v>
      </c>
      <c r="G105" t="s">
        <v>710</v>
      </c>
      <c r="H105">
        <v>53.58</v>
      </c>
      <c r="I105">
        <v>10</v>
      </c>
      <c r="L105">
        <v>10</v>
      </c>
      <c r="M105">
        <v>10</v>
      </c>
      <c r="N105">
        <v>20</v>
      </c>
      <c r="O105">
        <v>10</v>
      </c>
      <c r="P105">
        <v>103.58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6</v>
      </c>
      <c r="AA105">
        <v>0</v>
      </c>
      <c r="AF105">
        <v>109.58</v>
      </c>
    </row>
    <row r="106" spans="1:32" x14ac:dyDescent="0.3">
      <c r="A106" s="4">
        <v>104</v>
      </c>
      <c r="B106" s="5">
        <v>99</v>
      </c>
      <c r="C106">
        <v>946</v>
      </c>
      <c r="D106" t="s">
        <v>4214</v>
      </c>
      <c r="E106" t="s">
        <v>22</v>
      </c>
      <c r="F106" t="s">
        <v>227</v>
      </c>
      <c r="G106" t="s">
        <v>4215</v>
      </c>
      <c r="H106">
        <v>53.4</v>
      </c>
      <c r="I106">
        <v>0</v>
      </c>
      <c r="J106">
        <v>20</v>
      </c>
      <c r="M106">
        <v>20</v>
      </c>
      <c r="N106">
        <v>20</v>
      </c>
      <c r="O106">
        <v>10</v>
      </c>
      <c r="P106">
        <v>103.4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6</v>
      </c>
      <c r="AA106">
        <v>0</v>
      </c>
      <c r="AF106">
        <v>109.4</v>
      </c>
    </row>
    <row r="107" spans="1:32" x14ac:dyDescent="0.3">
      <c r="A107" s="4">
        <v>105</v>
      </c>
      <c r="B107" s="5">
        <v>100</v>
      </c>
      <c r="C107">
        <v>868</v>
      </c>
      <c r="D107" t="s">
        <v>4776</v>
      </c>
      <c r="E107" t="s">
        <v>2401</v>
      </c>
      <c r="F107" t="s">
        <v>4777</v>
      </c>
      <c r="G107" t="s">
        <v>4778</v>
      </c>
      <c r="H107">
        <v>53.4</v>
      </c>
      <c r="I107">
        <v>0</v>
      </c>
      <c r="J107">
        <v>20</v>
      </c>
      <c r="M107">
        <v>20</v>
      </c>
      <c r="N107">
        <v>20</v>
      </c>
      <c r="O107">
        <v>10</v>
      </c>
      <c r="P107">
        <v>103.4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6</v>
      </c>
      <c r="AA107">
        <v>0</v>
      </c>
      <c r="AF107">
        <v>109.4</v>
      </c>
    </row>
    <row r="108" spans="1:32" x14ac:dyDescent="0.3">
      <c r="A108" s="4">
        <v>106</v>
      </c>
      <c r="B108" s="5">
        <v>101</v>
      </c>
      <c r="C108">
        <v>515</v>
      </c>
      <c r="D108" t="s">
        <v>2677</v>
      </c>
      <c r="E108" t="s">
        <v>97</v>
      </c>
      <c r="F108" t="s">
        <v>38</v>
      </c>
      <c r="G108" t="s">
        <v>2678</v>
      </c>
      <c r="H108">
        <v>59.4</v>
      </c>
      <c r="I108">
        <v>10</v>
      </c>
      <c r="L108">
        <v>10</v>
      </c>
      <c r="M108">
        <v>10</v>
      </c>
      <c r="N108">
        <v>20</v>
      </c>
      <c r="O108">
        <v>10</v>
      </c>
      <c r="P108">
        <v>109.4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F108">
        <v>109.4</v>
      </c>
    </row>
    <row r="109" spans="1:32" x14ac:dyDescent="0.3">
      <c r="A109" s="4">
        <v>107</v>
      </c>
      <c r="B109" s="5">
        <v>102</v>
      </c>
      <c r="C109">
        <v>175</v>
      </c>
      <c r="D109" t="s">
        <v>3102</v>
      </c>
      <c r="E109" t="s">
        <v>110</v>
      </c>
      <c r="F109" t="s">
        <v>17</v>
      </c>
      <c r="G109" t="s">
        <v>3103</v>
      </c>
      <c r="H109">
        <v>59.4</v>
      </c>
      <c r="I109">
        <v>0</v>
      </c>
      <c r="J109">
        <v>20</v>
      </c>
      <c r="M109">
        <v>20</v>
      </c>
      <c r="N109">
        <v>20</v>
      </c>
      <c r="O109">
        <v>10</v>
      </c>
      <c r="P109">
        <v>109.4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F109">
        <v>109.4</v>
      </c>
    </row>
    <row r="110" spans="1:32" x14ac:dyDescent="0.3">
      <c r="A110" s="4">
        <v>108</v>
      </c>
      <c r="B110" s="5">
        <v>103</v>
      </c>
      <c r="C110">
        <v>1492</v>
      </c>
      <c r="D110" t="s">
        <v>4593</v>
      </c>
      <c r="E110" t="s">
        <v>29</v>
      </c>
      <c r="F110" t="s">
        <v>243</v>
      </c>
      <c r="G110" t="s">
        <v>4594</v>
      </c>
      <c r="H110">
        <v>59.4</v>
      </c>
      <c r="I110">
        <v>0</v>
      </c>
      <c r="J110">
        <v>20</v>
      </c>
      <c r="M110">
        <v>20</v>
      </c>
      <c r="N110">
        <v>20</v>
      </c>
      <c r="O110">
        <v>10</v>
      </c>
      <c r="P110">
        <v>109.4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t="s">
        <v>130</v>
      </c>
      <c r="AF110">
        <v>109.4</v>
      </c>
    </row>
    <row r="111" spans="1:32" x14ac:dyDescent="0.3">
      <c r="A111" s="4">
        <v>109</v>
      </c>
      <c r="B111" s="5">
        <v>104</v>
      </c>
      <c r="C111">
        <v>1305</v>
      </c>
      <c r="D111" t="s">
        <v>47</v>
      </c>
      <c r="E111" t="s">
        <v>48</v>
      </c>
      <c r="F111" t="s">
        <v>17</v>
      </c>
      <c r="G111" t="s">
        <v>49</v>
      </c>
      <c r="H111">
        <v>53.19</v>
      </c>
      <c r="I111">
        <v>10</v>
      </c>
      <c r="L111">
        <v>10</v>
      </c>
      <c r="M111">
        <v>10</v>
      </c>
      <c r="N111">
        <v>20</v>
      </c>
      <c r="O111">
        <v>10</v>
      </c>
      <c r="P111">
        <v>103.19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6</v>
      </c>
      <c r="AA111">
        <v>0</v>
      </c>
      <c r="AB111" t="s">
        <v>130</v>
      </c>
      <c r="AF111">
        <v>109.19</v>
      </c>
    </row>
    <row r="112" spans="1:32" x14ac:dyDescent="0.3">
      <c r="A112" s="4">
        <v>110</v>
      </c>
      <c r="B112" s="5">
        <v>105</v>
      </c>
      <c r="C112">
        <v>1580</v>
      </c>
      <c r="D112" t="s">
        <v>7165</v>
      </c>
      <c r="E112" t="s">
        <v>132</v>
      </c>
      <c r="F112" t="s">
        <v>20</v>
      </c>
      <c r="G112" t="s">
        <v>7166</v>
      </c>
      <c r="H112">
        <v>55.8</v>
      </c>
      <c r="I112">
        <v>0</v>
      </c>
      <c r="J112">
        <v>20</v>
      </c>
      <c r="M112">
        <v>20</v>
      </c>
      <c r="N112">
        <v>20</v>
      </c>
      <c r="O112">
        <v>10</v>
      </c>
      <c r="P112">
        <v>105.8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3</v>
      </c>
      <c r="AA112">
        <v>0</v>
      </c>
      <c r="AF112">
        <v>108.8</v>
      </c>
    </row>
    <row r="113" spans="1:32" x14ac:dyDescent="0.3">
      <c r="A113" s="4">
        <v>111</v>
      </c>
      <c r="B113" s="5">
        <v>106</v>
      </c>
      <c r="C113">
        <v>1704</v>
      </c>
      <c r="D113" t="s">
        <v>3040</v>
      </c>
      <c r="E113" t="s">
        <v>1043</v>
      </c>
      <c r="F113" t="s">
        <v>81</v>
      </c>
      <c r="G113" t="s">
        <v>3041</v>
      </c>
      <c r="H113">
        <v>59.46</v>
      </c>
      <c r="I113">
        <v>10</v>
      </c>
      <c r="M113">
        <v>0</v>
      </c>
      <c r="N113">
        <v>20</v>
      </c>
      <c r="O113">
        <v>10</v>
      </c>
      <c r="P113">
        <v>99.46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9</v>
      </c>
      <c r="AA113">
        <v>0</v>
      </c>
      <c r="AF113">
        <v>108.46</v>
      </c>
    </row>
    <row r="114" spans="1:32" x14ac:dyDescent="0.3">
      <c r="A114" s="4">
        <v>112</v>
      </c>
      <c r="B114" s="5">
        <v>107</v>
      </c>
      <c r="C114">
        <v>1117</v>
      </c>
      <c r="D114" t="s">
        <v>3278</v>
      </c>
      <c r="E114" t="s">
        <v>100</v>
      </c>
      <c r="F114" t="s">
        <v>587</v>
      </c>
      <c r="G114" t="s">
        <v>3279</v>
      </c>
      <c r="H114">
        <v>59.4</v>
      </c>
      <c r="I114">
        <v>0</v>
      </c>
      <c r="L114">
        <v>10</v>
      </c>
      <c r="M114">
        <v>10</v>
      </c>
      <c r="N114">
        <v>20</v>
      </c>
      <c r="O114">
        <v>10</v>
      </c>
      <c r="P114">
        <v>99.4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9</v>
      </c>
      <c r="AA114">
        <v>0</v>
      </c>
      <c r="AF114">
        <v>108.4</v>
      </c>
    </row>
    <row r="115" spans="1:32" x14ac:dyDescent="0.3">
      <c r="A115" s="4">
        <v>113</v>
      </c>
      <c r="B115" s="5">
        <v>108</v>
      </c>
      <c r="C115">
        <v>845</v>
      </c>
      <c r="D115" t="s">
        <v>2344</v>
      </c>
      <c r="E115" t="s">
        <v>2345</v>
      </c>
      <c r="F115" t="s">
        <v>34</v>
      </c>
      <c r="G115" t="s">
        <v>2346</v>
      </c>
      <c r="H115">
        <v>59.37</v>
      </c>
      <c r="I115">
        <v>0</v>
      </c>
      <c r="L115">
        <v>10</v>
      </c>
      <c r="M115">
        <v>10</v>
      </c>
      <c r="N115">
        <v>20</v>
      </c>
      <c r="O115">
        <v>10</v>
      </c>
      <c r="P115">
        <v>99.37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9</v>
      </c>
      <c r="AA115">
        <v>0</v>
      </c>
      <c r="AF115">
        <v>108.37</v>
      </c>
    </row>
    <row r="116" spans="1:32" x14ac:dyDescent="0.3">
      <c r="A116" s="4">
        <v>114</v>
      </c>
      <c r="B116" s="5">
        <v>109</v>
      </c>
      <c r="C116">
        <v>1289</v>
      </c>
      <c r="D116" t="s">
        <v>1401</v>
      </c>
      <c r="E116" t="s">
        <v>29</v>
      </c>
      <c r="F116" t="s">
        <v>68</v>
      </c>
      <c r="G116" t="s">
        <v>2813</v>
      </c>
      <c r="H116">
        <v>59.37</v>
      </c>
      <c r="I116">
        <v>0</v>
      </c>
      <c r="L116">
        <v>10</v>
      </c>
      <c r="M116">
        <v>10</v>
      </c>
      <c r="N116">
        <v>20</v>
      </c>
      <c r="O116">
        <v>10</v>
      </c>
      <c r="P116">
        <v>99.37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9</v>
      </c>
      <c r="AA116">
        <v>0</v>
      </c>
      <c r="AB116" t="s">
        <v>130</v>
      </c>
      <c r="AF116">
        <v>108.37</v>
      </c>
    </row>
    <row r="117" spans="1:32" x14ac:dyDescent="0.3">
      <c r="A117" s="4">
        <v>115</v>
      </c>
      <c r="B117" s="5">
        <v>110</v>
      </c>
      <c r="C117">
        <v>1092</v>
      </c>
      <c r="D117" t="s">
        <v>30897</v>
      </c>
      <c r="E117" t="s">
        <v>30898</v>
      </c>
      <c r="F117" t="s">
        <v>79</v>
      </c>
      <c r="G117" t="s">
        <v>30899</v>
      </c>
      <c r="H117">
        <v>58.2</v>
      </c>
      <c r="I117">
        <v>0</v>
      </c>
      <c r="J117">
        <v>20</v>
      </c>
      <c r="M117">
        <v>20</v>
      </c>
      <c r="N117">
        <v>20</v>
      </c>
      <c r="O117">
        <v>10</v>
      </c>
      <c r="P117">
        <v>108.2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F117">
        <v>108.2</v>
      </c>
    </row>
    <row r="118" spans="1:32" x14ac:dyDescent="0.3">
      <c r="A118" s="4">
        <v>116</v>
      </c>
      <c r="B118" s="5">
        <v>111</v>
      </c>
      <c r="C118">
        <v>564</v>
      </c>
      <c r="D118" t="s">
        <v>3091</v>
      </c>
      <c r="E118" t="s">
        <v>3092</v>
      </c>
      <c r="F118" t="s">
        <v>158</v>
      </c>
      <c r="G118" t="s">
        <v>3093</v>
      </c>
      <c r="H118">
        <v>57.87</v>
      </c>
      <c r="I118">
        <v>10</v>
      </c>
      <c r="L118">
        <v>10</v>
      </c>
      <c r="M118">
        <v>10</v>
      </c>
      <c r="N118">
        <v>20</v>
      </c>
      <c r="O118">
        <v>10</v>
      </c>
      <c r="P118">
        <v>107.87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F118">
        <v>107.87</v>
      </c>
    </row>
    <row r="119" spans="1:32" x14ac:dyDescent="0.3">
      <c r="A119" s="4">
        <v>117</v>
      </c>
      <c r="B119" s="5">
        <v>112</v>
      </c>
      <c r="C119">
        <v>294</v>
      </c>
      <c r="D119" t="s">
        <v>4828</v>
      </c>
      <c r="E119" t="s">
        <v>166</v>
      </c>
      <c r="F119" t="s">
        <v>570</v>
      </c>
      <c r="G119" t="s">
        <v>4829</v>
      </c>
      <c r="H119">
        <v>57.6</v>
      </c>
      <c r="I119">
        <v>0</v>
      </c>
      <c r="J119">
        <v>20</v>
      </c>
      <c r="M119">
        <v>20</v>
      </c>
      <c r="N119">
        <v>20</v>
      </c>
      <c r="O119">
        <v>10</v>
      </c>
      <c r="P119">
        <v>107.6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F119">
        <v>107.6</v>
      </c>
    </row>
    <row r="120" spans="1:32" x14ac:dyDescent="0.3">
      <c r="A120" s="4">
        <v>118</v>
      </c>
      <c r="B120" s="5">
        <v>113</v>
      </c>
      <c r="C120">
        <v>944</v>
      </c>
      <c r="D120" t="s">
        <v>2389</v>
      </c>
      <c r="E120" t="s">
        <v>54</v>
      </c>
      <c r="F120" t="s">
        <v>1076</v>
      </c>
      <c r="G120" t="s">
        <v>2390</v>
      </c>
      <c r="H120">
        <v>48.54</v>
      </c>
      <c r="I120">
        <v>0</v>
      </c>
      <c r="J120">
        <v>20</v>
      </c>
      <c r="M120">
        <v>20</v>
      </c>
      <c r="N120">
        <v>20</v>
      </c>
      <c r="O120">
        <v>10</v>
      </c>
      <c r="P120">
        <v>98.54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9</v>
      </c>
      <c r="AA120">
        <v>0</v>
      </c>
      <c r="AF120">
        <v>107.54</v>
      </c>
    </row>
    <row r="121" spans="1:32" x14ac:dyDescent="0.3">
      <c r="A121" s="4">
        <v>119</v>
      </c>
      <c r="B121" s="5">
        <v>114</v>
      </c>
      <c r="C121">
        <v>723</v>
      </c>
      <c r="D121" t="s">
        <v>138</v>
      </c>
      <c r="E121" t="s">
        <v>139</v>
      </c>
      <c r="F121" t="s">
        <v>140</v>
      </c>
      <c r="G121" t="s">
        <v>141</v>
      </c>
      <c r="H121">
        <v>51</v>
      </c>
      <c r="I121">
        <v>0</v>
      </c>
      <c r="J121">
        <v>20</v>
      </c>
      <c r="M121">
        <v>20</v>
      </c>
      <c r="N121">
        <v>20</v>
      </c>
      <c r="O121">
        <v>10</v>
      </c>
      <c r="P121">
        <v>101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6</v>
      </c>
      <c r="AA121">
        <v>0</v>
      </c>
      <c r="AF121">
        <v>107</v>
      </c>
    </row>
    <row r="122" spans="1:32" x14ac:dyDescent="0.3">
      <c r="A122" s="4">
        <v>120</v>
      </c>
      <c r="B122" s="5">
        <v>115</v>
      </c>
      <c r="C122">
        <v>17</v>
      </c>
      <c r="D122" t="s">
        <v>3675</v>
      </c>
      <c r="E122" t="s">
        <v>878</v>
      </c>
      <c r="F122" t="s">
        <v>17</v>
      </c>
      <c r="G122" t="s">
        <v>3676</v>
      </c>
      <c r="H122">
        <v>57</v>
      </c>
      <c r="I122">
        <v>0</v>
      </c>
      <c r="J122">
        <v>20</v>
      </c>
      <c r="M122">
        <v>20</v>
      </c>
      <c r="N122">
        <v>20</v>
      </c>
      <c r="O122">
        <v>10</v>
      </c>
      <c r="P122">
        <v>107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F122">
        <v>107</v>
      </c>
    </row>
    <row r="123" spans="1:32" x14ac:dyDescent="0.3">
      <c r="A123" s="4">
        <v>121</v>
      </c>
      <c r="B123" s="5">
        <v>116</v>
      </c>
      <c r="C123">
        <v>1400</v>
      </c>
      <c r="D123" t="s">
        <v>10275</v>
      </c>
      <c r="E123" t="s">
        <v>115</v>
      </c>
      <c r="F123" t="s">
        <v>17</v>
      </c>
      <c r="G123" t="s">
        <v>29249</v>
      </c>
      <c r="H123">
        <v>57</v>
      </c>
      <c r="I123">
        <v>0</v>
      </c>
      <c r="J123">
        <v>20</v>
      </c>
      <c r="M123">
        <v>20</v>
      </c>
      <c r="N123">
        <v>20</v>
      </c>
      <c r="O123">
        <v>10</v>
      </c>
      <c r="P123">
        <v>107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F123">
        <v>107</v>
      </c>
    </row>
    <row r="124" spans="1:32" x14ac:dyDescent="0.3">
      <c r="A124" s="4">
        <v>122</v>
      </c>
      <c r="B124" s="5">
        <v>117</v>
      </c>
      <c r="C124">
        <v>1187</v>
      </c>
      <c r="D124" t="s">
        <v>1507</v>
      </c>
      <c r="E124" t="s">
        <v>1508</v>
      </c>
      <c r="F124" t="s">
        <v>782</v>
      </c>
      <c r="G124" t="s">
        <v>1509</v>
      </c>
      <c r="H124">
        <v>57.84</v>
      </c>
      <c r="I124">
        <v>0</v>
      </c>
      <c r="L124">
        <v>10</v>
      </c>
      <c r="M124">
        <v>10</v>
      </c>
      <c r="N124">
        <v>20</v>
      </c>
      <c r="O124">
        <v>10</v>
      </c>
      <c r="P124">
        <v>97.84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9</v>
      </c>
      <c r="AA124">
        <v>0</v>
      </c>
      <c r="AF124">
        <v>106.84</v>
      </c>
    </row>
    <row r="125" spans="1:32" x14ac:dyDescent="0.3">
      <c r="A125" s="4">
        <v>123</v>
      </c>
      <c r="B125" s="5">
        <v>118</v>
      </c>
      <c r="C125">
        <v>617</v>
      </c>
      <c r="D125" t="s">
        <v>1039</v>
      </c>
      <c r="E125" t="s">
        <v>161</v>
      </c>
      <c r="F125" t="s">
        <v>17</v>
      </c>
      <c r="G125" t="s">
        <v>1040</v>
      </c>
      <c r="H125">
        <v>57.81</v>
      </c>
      <c r="I125">
        <v>0</v>
      </c>
      <c r="J125">
        <v>20</v>
      </c>
      <c r="M125">
        <v>20</v>
      </c>
      <c r="N125">
        <v>20</v>
      </c>
      <c r="O125">
        <v>0</v>
      </c>
      <c r="P125">
        <v>97.81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9</v>
      </c>
      <c r="AA125">
        <v>0</v>
      </c>
      <c r="AB125" t="s">
        <v>130</v>
      </c>
      <c r="AF125">
        <v>106.81</v>
      </c>
    </row>
    <row r="126" spans="1:32" x14ac:dyDescent="0.3">
      <c r="A126" s="4">
        <v>124</v>
      </c>
      <c r="B126" s="5">
        <v>119</v>
      </c>
      <c r="C126">
        <v>665</v>
      </c>
      <c r="D126" t="s">
        <v>2260</v>
      </c>
      <c r="E126" t="s">
        <v>283</v>
      </c>
      <c r="F126" t="s">
        <v>2261</v>
      </c>
      <c r="G126" t="s">
        <v>2262</v>
      </c>
      <c r="H126">
        <v>58.8</v>
      </c>
      <c r="I126">
        <v>0</v>
      </c>
      <c r="L126">
        <v>10</v>
      </c>
      <c r="M126">
        <v>10</v>
      </c>
      <c r="N126">
        <v>20</v>
      </c>
      <c r="O126">
        <v>10</v>
      </c>
      <c r="P126">
        <v>98.8</v>
      </c>
      <c r="Q126">
        <v>5</v>
      </c>
      <c r="R126">
        <v>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5</v>
      </c>
      <c r="Z126">
        <v>3</v>
      </c>
      <c r="AA126">
        <v>0</v>
      </c>
      <c r="AF126">
        <v>106.8</v>
      </c>
    </row>
    <row r="127" spans="1:32" x14ac:dyDescent="0.3">
      <c r="A127" s="4">
        <v>125</v>
      </c>
      <c r="B127" s="5">
        <v>120</v>
      </c>
      <c r="C127">
        <v>997</v>
      </c>
      <c r="D127" t="s">
        <v>30900</v>
      </c>
      <c r="E127" t="s">
        <v>81</v>
      </c>
      <c r="F127" t="s">
        <v>38</v>
      </c>
      <c r="G127" t="s">
        <v>30901</v>
      </c>
      <c r="H127">
        <v>56.4</v>
      </c>
      <c r="I127">
        <v>0</v>
      </c>
      <c r="J127">
        <v>20</v>
      </c>
      <c r="M127">
        <v>20</v>
      </c>
      <c r="N127">
        <v>20</v>
      </c>
      <c r="O127">
        <v>10</v>
      </c>
      <c r="P127">
        <v>106.4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F127">
        <v>106.4</v>
      </c>
    </row>
    <row r="128" spans="1:32" x14ac:dyDescent="0.3">
      <c r="A128" s="4">
        <v>126</v>
      </c>
      <c r="B128" s="5">
        <v>121</v>
      </c>
      <c r="C128">
        <v>609</v>
      </c>
      <c r="D128" t="s">
        <v>317</v>
      </c>
      <c r="E128" t="s">
        <v>1319</v>
      </c>
      <c r="F128" t="s">
        <v>20</v>
      </c>
      <c r="G128" t="s">
        <v>1320</v>
      </c>
      <c r="H128">
        <v>56.34</v>
      </c>
      <c r="I128">
        <v>0</v>
      </c>
      <c r="J128">
        <v>20</v>
      </c>
      <c r="M128">
        <v>20</v>
      </c>
      <c r="N128">
        <v>20</v>
      </c>
      <c r="O128">
        <v>10</v>
      </c>
      <c r="P128">
        <v>106.34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F128">
        <v>106.34</v>
      </c>
    </row>
    <row r="129" spans="1:32" x14ac:dyDescent="0.3">
      <c r="A129" s="4">
        <v>127</v>
      </c>
      <c r="B129" s="5">
        <v>122</v>
      </c>
      <c r="C129">
        <v>540</v>
      </c>
      <c r="D129" t="s">
        <v>3477</v>
      </c>
      <c r="E129" t="s">
        <v>166</v>
      </c>
      <c r="F129" t="s">
        <v>38</v>
      </c>
      <c r="G129" t="s">
        <v>3478</v>
      </c>
      <c r="H129">
        <v>60</v>
      </c>
      <c r="I129">
        <v>0</v>
      </c>
      <c r="L129">
        <v>10</v>
      </c>
      <c r="M129">
        <v>10</v>
      </c>
      <c r="N129">
        <v>20</v>
      </c>
      <c r="O129">
        <v>10</v>
      </c>
      <c r="P129">
        <v>100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6</v>
      </c>
      <c r="AA129">
        <v>0</v>
      </c>
      <c r="AB129" t="s">
        <v>130</v>
      </c>
      <c r="AF129">
        <v>106</v>
      </c>
    </row>
    <row r="130" spans="1:32" x14ac:dyDescent="0.3">
      <c r="A130" s="4">
        <v>128</v>
      </c>
      <c r="B130" s="5">
        <v>123</v>
      </c>
      <c r="C130">
        <v>327</v>
      </c>
      <c r="D130" t="s">
        <v>4308</v>
      </c>
      <c r="E130" t="s">
        <v>2838</v>
      </c>
      <c r="F130" t="s">
        <v>442</v>
      </c>
      <c r="G130" t="s">
        <v>4309</v>
      </c>
      <c r="H130">
        <v>60</v>
      </c>
      <c r="I130">
        <v>0</v>
      </c>
      <c r="L130">
        <v>10</v>
      </c>
      <c r="M130">
        <v>10</v>
      </c>
      <c r="N130">
        <v>20</v>
      </c>
      <c r="O130">
        <v>10</v>
      </c>
      <c r="P130">
        <v>100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6</v>
      </c>
      <c r="AA130">
        <v>0</v>
      </c>
      <c r="AF130">
        <v>106</v>
      </c>
    </row>
    <row r="131" spans="1:32" x14ac:dyDescent="0.3">
      <c r="A131" s="4">
        <v>129</v>
      </c>
      <c r="B131" s="5">
        <v>124</v>
      </c>
      <c r="C131">
        <v>898</v>
      </c>
      <c r="D131" t="s">
        <v>30902</v>
      </c>
      <c r="E131" t="s">
        <v>789</v>
      </c>
      <c r="F131" t="s">
        <v>136</v>
      </c>
      <c r="G131" t="s">
        <v>30903</v>
      </c>
      <c r="H131">
        <v>60</v>
      </c>
      <c r="I131">
        <v>0</v>
      </c>
      <c r="L131">
        <v>10</v>
      </c>
      <c r="M131">
        <v>10</v>
      </c>
      <c r="N131">
        <v>20</v>
      </c>
      <c r="O131">
        <v>10</v>
      </c>
      <c r="P131">
        <v>100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6</v>
      </c>
      <c r="AA131">
        <v>0</v>
      </c>
      <c r="AF131">
        <v>106</v>
      </c>
    </row>
    <row r="132" spans="1:32" x14ac:dyDescent="0.3">
      <c r="A132" s="4">
        <v>130</v>
      </c>
      <c r="B132" s="5">
        <v>125</v>
      </c>
      <c r="C132">
        <v>548</v>
      </c>
      <c r="D132" t="s">
        <v>4312</v>
      </c>
      <c r="E132" t="s">
        <v>560</v>
      </c>
      <c r="F132" t="s">
        <v>1450</v>
      </c>
      <c r="G132" t="s">
        <v>4313</v>
      </c>
      <c r="H132">
        <v>60</v>
      </c>
      <c r="I132">
        <v>0</v>
      </c>
      <c r="L132">
        <v>10</v>
      </c>
      <c r="M132">
        <v>10</v>
      </c>
      <c r="N132">
        <v>20</v>
      </c>
      <c r="O132">
        <v>10</v>
      </c>
      <c r="P132">
        <v>100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6</v>
      </c>
      <c r="AA132">
        <v>0</v>
      </c>
      <c r="AF132">
        <v>106</v>
      </c>
    </row>
    <row r="133" spans="1:32" x14ac:dyDescent="0.3">
      <c r="A133" s="4">
        <v>131</v>
      </c>
      <c r="B133" s="5">
        <v>126</v>
      </c>
      <c r="C133">
        <v>730</v>
      </c>
      <c r="D133" t="s">
        <v>2393</v>
      </c>
      <c r="E133" t="s">
        <v>33</v>
      </c>
      <c r="F133" t="s">
        <v>375</v>
      </c>
      <c r="G133" t="s">
        <v>2394</v>
      </c>
      <c r="H133">
        <v>59.76</v>
      </c>
      <c r="I133">
        <v>0</v>
      </c>
      <c r="L133">
        <v>10</v>
      </c>
      <c r="M133">
        <v>10</v>
      </c>
      <c r="N133">
        <v>20</v>
      </c>
      <c r="O133">
        <v>10</v>
      </c>
      <c r="P133">
        <v>99.76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6</v>
      </c>
      <c r="AA133">
        <v>0</v>
      </c>
      <c r="AF133">
        <v>105.76</v>
      </c>
    </row>
    <row r="134" spans="1:32" x14ac:dyDescent="0.3">
      <c r="A134" s="4">
        <v>132</v>
      </c>
      <c r="B134" s="5">
        <v>127</v>
      </c>
      <c r="C134">
        <v>974</v>
      </c>
      <c r="D134" t="s">
        <v>4355</v>
      </c>
      <c r="E134" t="s">
        <v>957</v>
      </c>
      <c r="F134" t="s">
        <v>124</v>
      </c>
      <c r="G134" t="s">
        <v>4356</v>
      </c>
      <c r="H134">
        <v>59.7</v>
      </c>
      <c r="I134">
        <v>0</v>
      </c>
      <c r="L134">
        <v>10</v>
      </c>
      <c r="M134">
        <v>10</v>
      </c>
      <c r="N134">
        <v>20</v>
      </c>
      <c r="O134">
        <v>10</v>
      </c>
      <c r="P134">
        <v>99.7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6</v>
      </c>
      <c r="AA134">
        <v>0</v>
      </c>
      <c r="AF134">
        <v>105.7</v>
      </c>
    </row>
    <row r="135" spans="1:32" x14ac:dyDescent="0.3">
      <c r="A135" s="4">
        <v>133</v>
      </c>
      <c r="B135" s="5">
        <v>128</v>
      </c>
      <c r="C135">
        <v>967</v>
      </c>
      <c r="D135" t="s">
        <v>4353</v>
      </c>
      <c r="E135" t="s">
        <v>41</v>
      </c>
      <c r="F135" t="s">
        <v>892</v>
      </c>
      <c r="G135" t="s">
        <v>4354</v>
      </c>
      <c r="H135">
        <v>59.7</v>
      </c>
      <c r="I135">
        <v>0</v>
      </c>
      <c r="L135">
        <v>10</v>
      </c>
      <c r="M135">
        <v>10</v>
      </c>
      <c r="N135">
        <v>20</v>
      </c>
      <c r="O135">
        <v>10</v>
      </c>
      <c r="P135">
        <v>99.7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6</v>
      </c>
      <c r="AA135">
        <v>0</v>
      </c>
      <c r="AF135">
        <v>105.7</v>
      </c>
    </row>
    <row r="136" spans="1:32" x14ac:dyDescent="0.3">
      <c r="A136" s="4">
        <v>134</v>
      </c>
      <c r="B136" s="5">
        <v>129</v>
      </c>
      <c r="C136">
        <v>154</v>
      </c>
      <c r="D136" t="s">
        <v>3497</v>
      </c>
      <c r="E136" t="s">
        <v>54</v>
      </c>
      <c r="F136" t="s">
        <v>81</v>
      </c>
      <c r="G136" t="s">
        <v>3498</v>
      </c>
      <c r="H136">
        <v>59.7</v>
      </c>
      <c r="I136">
        <v>0</v>
      </c>
      <c r="L136">
        <v>10</v>
      </c>
      <c r="M136">
        <v>10</v>
      </c>
      <c r="N136">
        <v>20</v>
      </c>
      <c r="O136">
        <v>10</v>
      </c>
      <c r="P136">
        <v>99.7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6</v>
      </c>
      <c r="AA136">
        <v>0</v>
      </c>
      <c r="AF136">
        <v>105.7</v>
      </c>
    </row>
    <row r="137" spans="1:32" x14ac:dyDescent="0.3">
      <c r="A137" s="4">
        <v>135</v>
      </c>
      <c r="B137" s="5">
        <v>130</v>
      </c>
      <c r="C137">
        <v>987</v>
      </c>
      <c r="D137" t="s">
        <v>902</v>
      </c>
      <c r="E137" t="s">
        <v>575</v>
      </c>
      <c r="F137" t="s">
        <v>17</v>
      </c>
      <c r="G137" t="s">
        <v>5122</v>
      </c>
      <c r="H137">
        <v>55.5</v>
      </c>
      <c r="I137">
        <v>0</v>
      </c>
      <c r="J137">
        <v>20</v>
      </c>
      <c r="M137">
        <v>20</v>
      </c>
      <c r="N137">
        <v>20</v>
      </c>
      <c r="O137">
        <v>10</v>
      </c>
      <c r="P137">
        <v>105.5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 t="s">
        <v>130</v>
      </c>
      <c r="AC137" t="s">
        <v>130</v>
      </c>
      <c r="AF137">
        <v>105.5</v>
      </c>
    </row>
    <row r="138" spans="1:32" x14ac:dyDescent="0.3">
      <c r="A138" s="4">
        <v>136</v>
      </c>
      <c r="B138" s="5">
        <v>131</v>
      </c>
      <c r="C138">
        <v>455</v>
      </c>
      <c r="D138" t="s">
        <v>3783</v>
      </c>
      <c r="E138" t="s">
        <v>19</v>
      </c>
      <c r="F138" t="s">
        <v>416</v>
      </c>
      <c r="G138" t="s">
        <v>3784</v>
      </c>
      <c r="H138">
        <v>57</v>
      </c>
      <c r="I138">
        <v>0</v>
      </c>
      <c r="K138">
        <v>15</v>
      </c>
      <c r="M138">
        <v>15</v>
      </c>
      <c r="N138">
        <v>20</v>
      </c>
      <c r="O138">
        <v>10</v>
      </c>
      <c r="P138">
        <v>102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3</v>
      </c>
      <c r="AA138">
        <v>0</v>
      </c>
      <c r="AF138">
        <v>105</v>
      </c>
    </row>
    <row r="139" spans="1:32" x14ac:dyDescent="0.3">
      <c r="A139" s="4">
        <v>137</v>
      </c>
      <c r="B139" s="5">
        <v>132</v>
      </c>
      <c r="C139">
        <v>814</v>
      </c>
      <c r="D139" t="s">
        <v>2503</v>
      </c>
      <c r="E139" t="s">
        <v>54</v>
      </c>
      <c r="F139" t="s">
        <v>62</v>
      </c>
      <c r="G139" t="s">
        <v>2504</v>
      </c>
      <c r="H139">
        <v>60</v>
      </c>
      <c r="I139">
        <v>0</v>
      </c>
      <c r="K139">
        <v>15</v>
      </c>
      <c r="M139">
        <v>15</v>
      </c>
      <c r="N139">
        <v>20</v>
      </c>
      <c r="O139">
        <v>10</v>
      </c>
      <c r="P139">
        <v>105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F139">
        <v>105</v>
      </c>
    </row>
    <row r="140" spans="1:32" x14ac:dyDescent="0.3">
      <c r="A140" s="4">
        <v>138</v>
      </c>
      <c r="B140" s="5">
        <v>133</v>
      </c>
      <c r="C140">
        <v>366</v>
      </c>
      <c r="D140" t="s">
        <v>3340</v>
      </c>
      <c r="E140" t="s">
        <v>3954</v>
      </c>
      <c r="F140" t="s">
        <v>167</v>
      </c>
      <c r="G140" t="s">
        <v>3955</v>
      </c>
      <c r="H140">
        <v>60</v>
      </c>
      <c r="I140">
        <v>0</v>
      </c>
      <c r="K140">
        <v>15</v>
      </c>
      <c r="M140">
        <v>15</v>
      </c>
      <c r="N140">
        <v>20</v>
      </c>
      <c r="O140">
        <v>10</v>
      </c>
      <c r="P140">
        <v>105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F140">
        <v>105</v>
      </c>
    </row>
    <row r="141" spans="1:32" x14ac:dyDescent="0.3">
      <c r="A141" s="4">
        <v>139</v>
      </c>
      <c r="B141" s="5">
        <v>134</v>
      </c>
      <c r="C141">
        <v>836</v>
      </c>
      <c r="D141" t="s">
        <v>459</v>
      </c>
      <c r="E141" t="s">
        <v>132</v>
      </c>
      <c r="F141" t="s">
        <v>158</v>
      </c>
      <c r="G141" t="s">
        <v>1595</v>
      </c>
      <c r="H141">
        <v>51.99</v>
      </c>
      <c r="I141">
        <v>0</v>
      </c>
      <c r="J141">
        <v>20</v>
      </c>
      <c r="M141">
        <v>20</v>
      </c>
      <c r="N141">
        <v>20</v>
      </c>
      <c r="O141">
        <v>10</v>
      </c>
      <c r="P141">
        <v>101.99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3</v>
      </c>
      <c r="AA141">
        <v>0</v>
      </c>
      <c r="AF141">
        <v>104.99</v>
      </c>
    </row>
    <row r="142" spans="1:32" x14ac:dyDescent="0.3">
      <c r="A142" s="4">
        <v>140</v>
      </c>
      <c r="B142" s="5">
        <v>135</v>
      </c>
      <c r="C142">
        <v>1590</v>
      </c>
      <c r="D142" t="s">
        <v>3119</v>
      </c>
      <c r="E142" t="s">
        <v>3120</v>
      </c>
      <c r="F142" t="s">
        <v>3121</v>
      </c>
      <c r="G142" t="s">
        <v>3122</v>
      </c>
      <c r="H142">
        <v>48.6</v>
      </c>
      <c r="I142">
        <v>0</v>
      </c>
      <c r="J142">
        <v>20</v>
      </c>
      <c r="M142">
        <v>20</v>
      </c>
      <c r="N142">
        <v>20</v>
      </c>
      <c r="O142">
        <v>10</v>
      </c>
      <c r="P142">
        <v>98.6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6</v>
      </c>
      <c r="AA142">
        <v>0</v>
      </c>
      <c r="AF142">
        <v>104.6</v>
      </c>
    </row>
    <row r="143" spans="1:32" x14ac:dyDescent="0.3">
      <c r="A143" s="4">
        <v>141</v>
      </c>
      <c r="B143" s="5">
        <v>136</v>
      </c>
      <c r="C143">
        <v>1435</v>
      </c>
      <c r="D143" t="s">
        <v>4149</v>
      </c>
      <c r="E143" t="s">
        <v>301</v>
      </c>
      <c r="F143" t="s">
        <v>927</v>
      </c>
      <c r="G143" t="s">
        <v>4150</v>
      </c>
      <c r="H143">
        <v>54.6</v>
      </c>
      <c r="I143">
        <v>0</v>
      </c>
      <c r="J143">
        <v>20</v>
      </c>
      <c r="M143">
        <v>20</v>
      </c>
      <c r="N143">
        <v>20</v>
      </c>
      <c r="O143">
        <v>10</v>
      </c>
      <c r="P143">
        <v>104.6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 t="s">
        <v>130</v>
      </c>
      <c r="AF143">
        <v>104.6</v>
      </c>
    </row>
    <row r="144" spans="1:32" x14ac:dyDescent="0.3">
      <c r="A144" s="4">
        <v>142</v>
      </c>
      <c r="B144" s="5">
        <v>137</v>
      </c>
      <c r="C144">
        <v>1222</v>
      </c>
      <c r="D144" t="s">
        <v>4519</v>
      </c>
      <c r="E144" t="s">
        <v>2743</v>
      </c>
      <c r="F144" t="s">
        <v>158</v>
      </c>
      <c r="G144" t="s">
        <v>4520</v>
      </c>
      <c r="H144">
        <v>58.41</v>
      </c>
      <c r="I144">
        <v>0</v>
      </c>
      <c r="L144">
        <v>10</v>
      </c>
      <c r="M144">
        <v>10</v>
      </c>
      <c r="N144">
        <v>20</v>
      </c>
      <c r="O144">
        <v>10</v>
      </c>
      <c r="P144">
        <v>98.41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6</v>
      </c>
      <c r="AA144">
        <v>0</v>
      </c>
      <c r="AF144">
        <v>104.41</v>
      </c>
    </row>
    <row r="145" spans="1:32" x14ac:dyDescent="0.3">
      <c r="A145" s="4">
        <v>143</v>
      </c>
      <c r="B145" s="5">
        <v>138</v>
      </c>
      <c r="C145">
        <v>984</v>
      </c>
      <c r="D145" t="s">
        <v>2236</v>
      </c>
      <c r="E145" t="s">
        <v>1140</v>
      </c>
      <c r="F145" t="s">
        <v>17</v>
      </c>
      <c r="G145" t="s">
        <v>4646</v>
      </c>
      <c r="H145">
        <v>55.2</v>
      </c>
      <c r="I145">
        <v>0</v>
      </c>
      <c r="L145">
        <v>10</v>
      </c>
      <c r="M145">
        <v>10</v>
      </c>
      <c r="N145">
        <v>20</v>
      </c>
      <c r="O145">
        <v>10</v>
      </c>
      <c r="P145">
        <v>95.2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9</v>
      </c>
      <c r="AA145">
        <v>0</v>
      </c>
      <c r="AF145">
        <v>104.2</v>
      </c>
    </row>
    <row r="146" spans="1:32" x14ac:dyDescent="0.3">
      <c r="A146" s="4">
        <v>144</v>
      </c>
      <c r="B146" s="5">
        <v>139</v>
      </c>
      <c r="C146">
        <v>87</v>
      </c>
      <c r="D146" t="s">
        <v>574</v>
      </c>
      <c r="E146" t="s">
        <v>575</v>
      </c>
      <c r="F146" t="s">
        <v>20</v>
      </c>
      <c r="G146" t="s">
        <v>576</v>
      </c>
      <c r="H146">
        <v>54</v>
      </c>
      <c r="I146">
        <v>0</v>
      </c>
      <c r="L146">
        <v>20</v>
      </c>
      <c r="M146">
        <v>20</v>
      </c>
      <c r="N146">
        <v>20</v>
      </c>
      <c r="O146">
        <v>10</v>
      </c>
      <c r="P146">
        <v>104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t="s">
        <v>130</v>
      </c>
      <c r="AF146">
        <v>104</v>
      </c>
    </row>
    <row r="147" spans="1:32" x14ac:dyDescent="0.3">
      <c r="A147" s="4">
        <v>145</v>
      </c>
      <c r="B147" s="5">
        <v>140</v>
      </c>
      <c r="C147">
        <v>1182</v>
      </c>
      <c r="D147" t="s">
        <v>1960</v>
      </c>
      <c r="E147" t="s">
        <v>283</v>
      </c>
      <c r="F147" t="s">
        <v>52</v>
      </c>
      <c r="G147" t="s">
        <v>1961</v>
      </c>
      <c r="H147">
        <v>54</v>
      </c>
      <c r="I147">
        <v>0</v>
      </c>
      <c r="J147">
        <v>20</v>
      </c>
      <c r="M147">
        <v>20</v>
      </c>
      <c r="N147">
        <v>20</v>
      </c>
      <c r="O147">
        <v>10</v>
      </c>
      <c r="P147">
        <v>104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 t="s">
        <v>130</v>
      </c>
      <c r="AF147">
        <v>104</v>
      </c>
    </row>
    <row r="148" spans="1:32" x14ac:dyDescent="0.3">
      <c r="A148" s="4">
        <v>146</v>
      </c>
      <c r="B148" s="5">
        <v>141</v>
      </c>
      <c r="C148">
        <v>1226</v>
      </c>
      <c r="D148" t="s">
        <v>195</v>
      </c>
      <c r="E148" t="s">
        <v>41</v>
      </c>
      <c r="F148" t="s">
        <v>20</v>
      </c>
      <c r="G148" t="s">
        <v>3768</v>
      </c>
      <c r="H148">
        <v>54.9</v>
      </c>
      <c r="I148">
        <v>0</v>
      </c>
      <c r="L148">
        <v>10</v>
      </c>
      <c r="M148">
        <v>10</v>
      </c>
      <c r="N148">
        <v>20</v>
      </c>
      <c r="O148">
        <v>10</v>
      </c>
      <c r="P148">
        <v>94.9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9</v>
      </c>
      <c r="AA148">
        <v>0</v>
      </c>
      <c r="AF148">
        <v>103.9</v>
      </c>
    </row>
    <row r="149" spans="1:32" x14ac:dyDescent="0.3">
      <c r="A149" s="4">
        <v>147</v>
      </c>
      <c r="B149" s="5">
        <v>142</v>
      </c>
      <c r="C149">
        <v>86</v>
      </c>
      <c r="D149" t="s">
        <v>4030</v>
      </c>
      <c r="E149" t="s">
        <v>29</v>
      </c>
      <c r="F149" t="s">
        <v>3439</v>
      </c>
      <c r="G149" t="s">
        <v>4031</v>
      </c>
      <c r="H149">
        <v>57.75</v>
      </c>
      <c r="I149">
        <v>10</v>
      </c>
      <c r="M149">
        <v>0</v>
      </c>
      <c r="N149">
        <v>20</v>
      </c>
      <c r="O149">
        <v>10</v>
      </c>
      <c r="P149">
        <v>97.75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6</v>
      </c>
      <c r="AA149">
        <v>0</v>
      </c>
      <c r="AF149">
        <v>103.75</v>
      </c>
    </row>
    <row r="150" spans="1:32" x14ac:dyDescent="0.3">
      <c r="A150" s="4">
        <v>148</v>
      </c>
      <c r="B150" s="5">
        <v>143</v>
      </c>
      <c r="C150">
        <v>1643</v>
      </c>
      <c r="D150" t="s">
        <v>4303</v>
      </c>
      <c r="E150" t="s">
        <v>132</v>
      </c>
      <c r="F150" t="s">
        <v>375</v>
      </c>
      <c r="G150" t="s">
        <v>4304</v>
      </c>
      <c r="H150">
        <v>52.59</v>
      </c>
      <c r="I150">
        <v>0</v>
      </c>
      <c r="K150">
        <v>15</v>
      </c>
      <c r="M150">
        <v>15</v>
      </c>
      <c r="N150">
        <v>20</v>
      </c>
      <c r="O150">
        <v>10</v>
      </c>
      <c r="P150">
        <v>97.59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6</v>
      </c>
      <c r="AA150">
        <v>0</v>
      </c>
      <c r="AF150">
        <v>103.59</v>
      </c>
    </row>
    <row r="151" spans="1:32" x14ac:dyDescent="0.3">
      <c r="A151" s="4">
        <v>149</v>
      </c>
      <c r="B151" s="5">
        <v>144</v>
      </c>
      <c r="C151">
        <v>178</v>
      </c>
      <c r="D151" t="s">
        <v>3132</v>
      </c>
      <c r="E151" t="s">
        <v>132</v>
      </c>
      <c r="F151" t="s">
        <v>52</v>
      </c>
      <c r="G151" t="s">
        <v>3133</v>
      </c>
      <c r="H151">
        <v>57.54</v>
      </c>
      <c r="I151">
        <v>0</v>
      </c>
      <c r="L151">
        <v>10</v>
      </c>
      <c r="M151">
        <v>10</v>
      </c>
      <c r="N151">
        <v>20</v>
      </c>
      <c r="O151">
        <v>10</v>
      </c>
      <c r="P151">
        <v>97.54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6</v>
      </c>
      <c r="AA151">
        <v>0</v>
      </c>
      <c r="AF151">
        <v>103.54</v>
      </c>
    </row>
    <row r="152" spans="1:32" x14ac:dyDescent="0.3">
      <c r="A152" s="4">
        <v>150</v>
      </c>
      <c r="B152" s="5">
        <v>145</v>
      </c>
      <c r="C152">
        <v>1639</v>
      </c>
      <c r="D152" t="s">
        <v>4521</v>
      </c>
      <c r="E152" t="s">
        <v>2481</v>
      </c>
      <c r="F152" t="s">
        <v>346</v>
      </c>
      <c r="G152" t="s">
        <v>4522</v>
      </c>
      <c r="H152">
        <v>54</v>
      </c>
      <c r="I152">
        <v>0</v>
      </c>
      <c r="L152">
        <v>10</v>
      </c>
      <c r="M152">
        <v>10</v>
      </c>
      <c r="N152">
        <v>20</v>
      </c>
      <c r="O152">
        <v>10</v>
      </c>
      <c r="P152">
        <v>94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9</v>
      </c>
      <c r="AA152">
        <v>0</v>
      </c>
      <c r="AF152">
        <v>103</v>
      </c>
    </row>
    <row r="153" spans="1:32" x14ac:dyDescent="0.3">
      <c r="A153" s="4">
        <v>151</v>
      </c>
      <c r="B153" s="5">
        <v>146</v>
      </c>
      <c r="C153">
        <v>782</v>
      </c>
      <c r="D153" t="s">
        <v>3710</v>
      </c>
      <c r="E153" t="s">
        <v>268</v>
      </c>
      <c r="F153" t="s">
        <v>3711</v>
      </c>
      <c r="G153" t="s">
        <v>3712</v>
      </c>
      <c r="H153">
        <v>60</v>
      </c>
      <c r="I153">
        <v>0</v>
      </c>
      <c r="L153">
        <v>10</v>
      </c>
      <c r="M153">
        <v>10</v>
      </c>
      <c r="N153">
        <v>20</v>
      </c>
      <c r="O153">
        <v>10</v>
      </c>
      <c r="P153">
        <v>100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3</v>
      </c>
      <c r="AA153">
        <v>0</v>
      </c>
      <c r="AF153">
        <v>103</v>
      </c>
    </row>
    <row r="154" spans="1:32" x14ac:dyDescent="0.3">
      <c r="A154" s="4">
        <v>152</v>
      </c>
      <c r="B154" s="5">
        <v>147</v>
      </c>
      <c r="C154">
        <v>397</v>
      </c>
      <c r="D154" t="s">
        <v>3079</v>
      </c>
      <c r="E154" t="s">
        <v>29</v>
      </c>
      <c r="F154" t="s">
        <v>38</v>
      </c>
      <c r="G154" t="s">
        <v>3080</v>
      </c>
      <c r="H154">
        <v>52.8</v>
      </c>
      <c r="I154">
        <v>0</v>
      </c>
      <c r="J154">
        <v>20</v>
      </c>
      <c r="M154">
        <v>20</v>
      </c>
      <c r="N154">
        <v>20</v>
      </c>
      <c r="O154">
        <v>10</v>
      </c>
      <c r="P154">
        <v>102.8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F154">
        <v>102.8</v>
      </c>
    </row>
    <row r="155" spans="1:32" x14ac:dyDescent="0.3">
      <c r="A155" s="4">
        <v>153</v>
      </c>
      <c r="B155" s="5">
        <v>148</v>
      </c>
      <c r="C155">
        <v>1245</v>
      </c>
      <c r="D155" t="s">
        <v>4597</v>
      </c>
      <c r="E155" t="s">
        <v>166</v>
      </c>
      <c r="F155" t="s">
        <v>38</v>
      </c>
      <c r="G155" t="s">
        <v>4626</v>
      </c>
      <c r="H155">
        <v>57.6</v>
      </c>
      <c r="I155">
        <v>0</v>
      </c>
      <c r="K155">
        <v>15</v>
      </c>
      <c r="L155">
        <v>10</v>
      </c>
      <c r="M155">
        <v>15</v>
      </c>
      <c r="N155">
        <v>20</v>
      </c>
      <c r="O155">
        <v>10</v>
      </c>
      <c r="P155">
        <v>102.6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F155">
        <v>102.6</v>
      </c>
    </row>
    <row r="156" spans="1:32" x14ac:dyDescent="0.3">
      <c r="A156" s="4">
        <v>154</v>
      </c>
      <c r="B156" s="5">
        <v>149</v>
      </c>
      <c r="C156">
        <v>300</v>
      </c>
      <c r="D156" t="s">
        <v>1359</v>
      </c>
      <c r="E156" t="s">
        <v>1189</v>
      </c>
      <c r="F156" t="s">
        <v>972</v>
      </c>
      <c r="G156" t="s">
        <v>1360</v>
      </c>
      <c r="H156">
        <v>49.59</v>
      </c>
      <c r="I156">
        <v>10</v>
      </c>
      <c r="L156">
        <v>10</v>
      </c>
      <c r="M156">
        <v>10</v>
      </c>
      <c r="N156">
        <v>20</v>
      </c>
      <c r="O156">
        <v>10</v>
      </c>
      <c r="P156">
        <v>99.59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3</v>
      </c>
      <c r="AA156">
        <v>0</v>
      </c>
      <c r="AB156" t="s">
        <v>130</v>
      </c>
      <c r="AF156">
        <v>102.59</v>
      </c>
    </row>
    <row r="157" spans="1:32" x14ac:dyDescent="0.3">
      <c r="A157" s="4">
        <v>155</v>
      </c>
      <c r="B157" s="5">
        <v>150</v>
      </c>
      <c r="C157">
        <v>187</v>
      </c>
      <c r="D157" t="s">
        <v>3167</v>
      </c>
      <c r="E157" t="s">
        <v>29</v>
      </c>
      <c r="F157" t="s">
        <v>81</v>
      </c>
      <c r="G157" t="s">
        <v>3168</v>
      </c>
      <c r="H157">
        <v>59.4</v>
      </c>
      <c r="I157">
        <v>0</v>
      </c>
      <c r="L157">
        <v>10</v>
      </c>
      <c r="M157">
        <v>10</v>
      </c>
      <c r="N157">
        <v>20</v>
      </c>
      <c r="O157">
        <v>10</v>
      </c>
      <c r="P157">
        <v>99.4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3</v>
      </c>
      <c r="AA157">
        <v>0</v>
      </c>
      <c r="AF157">
        <v>102.4</v>
      </c>
    </row>
    <row r="158" spans="1:32" x14ac:dyDescent="0.3">
      <c r="A158" s="4">
        <v>156</v>
      </c>
      <c r="B158" s="5">
        <v>151</v>
      </c>
      <c r="C158">
        <v>276</v>
      </c>
      <c r="D158" t="s">
        <v>2109</v>
      </c>
      <c r="E158" t="s">
        <v>110</v>
      </c>
      <c r="F158" t="s">
        <v>343</v>
      </c>
      <c r="G158" t="s">
        <v>2110</v>
      </c>
      <c r="H158">
        <v>53.19</v>
      </c>
      <c r="I158">
        <v>0</v>
      </c>
      <c r="L158">
        <v>10</v>
      </c>
      <c r="M158">
        <v>10</v>
      </c>
      <c r="N158">
        <v>20</v>
      </c>
      <c r="O158">
        <v>10</v>
      </c>
      <c r="P158">
        <v>93.19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9</v>
      </c>
      <c r="AA158">
        <v>0</v>
      </c>
      <c r="AF158">
        <v>102.19</v>
      </c>
    </row>
    <row r="159" spans="1:32" x14ac:dyDescent="0.3">
      <c r="A159" s="4">
        <v>157</v>
      </c>
      <c r="B159" s="5">
        <v>152</v>
      </c>
      <c r="C159">
        <v>1102</v>
      </c>
      <c r="D159" t="s">
        <v>1092</v>
      </c>
      <c r="E159" t="s">
        <v>1093</v>
      </c>
      <c r="F159" t="s">
        <v>230</v>
      </c>
      <c r="G159" t="s">
        <v>1094</v>
      </c>
      <c r="H159">
        <v>59.19</v>
      </c>
      <c r="I159">
        <v>0</v>
      </c>
      <c r="L159">
        <v>10</v>
      </c>
      <c r="M159">
        <v>10</v>
      </c>
      <c r="N159">
        <v>20</v>
      </c>
      <c r="O159">
        <v>10</v>
      </c>
      <c r="P159">
        <v>99.19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</v>
      </c>
      <c r="AA159">
        <v>0</v>
      </c>
      <c r="AF159">
        <v>102.19</v>
      </c>
    </row>
    <row r="160" spans="1:32" x14ac:dyDescent="0.3">
      <c r="A160" s="4">
        <v>158</v>
      </c>
      <c r="B160" s="5">
        <v>153</v>
      </c>
      <c r="C160">
        <v>1637</v>
      </c>
      <c r="D160" t="s">
        <v>423</v>
      </c>
      <c r="E160" t="s">
        <v>100</v>
      </c>
      <c r="F160" t="s">
        <v>68</v>
      </c>
      <c r="G160" t="s">
        <v>2019</v>
      </c>
      <c r="H160">
        <v>52.08</v>
      </c>
      <c r="I160">
        <v>0</v>
      </c>
      <c r="J160">
        <v>20</v>
      </c>
      <c r="M160">
        <v>20</v>
      </c>
      <c r="N160">
        <v>20</v>
      </c>
      <c r="O160">
        <v>10</v>
      </c>
      <c r="P160">
        <v>102.08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F160">
        <v>102.08</v>
      </c>
    </row>
    <row r="161" spans="1:32" x14ac:dyDescent="0.3">
      <c r="A161" s="4">
        <v>159</v>
      </c>
      <c r="B161" s="5">
        <v>154</v>
      </c>
      <c r="C161">
        <v>652</v>
      </c>
      <c r="D161" t="s">
        <v>3083</v>
      </c>
      <c r="E161" t="s">
        <v>110</v>
      </c>
      <c r="F161" t="s">
        <v>892</v>
      </c>
      <c r="G161" t="s">
        <v>3084</v>
      </c>
      <c r="H161">
        <v>51.99</v>
      </c>
      <c r="I161">
        <v>0</v>
      </c>
      <c r="J161">
        <v>20</v>
      </c>
      <c r="M161">
        <v>20</v>
      </c>
      <c r="N161">
        <v>20</v>
      </c>
      <c r="O161">
        <v>10</v>
      </c>
      <c r="P161">
        <v>101.99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F161">
        <v>101.99</v>
      </c>
    </row>
    <row r="162" spans="1:32" x14ac:dyDescent="0.3">
      <c r="A162" s="4">
        <v>160</v>
      </c>
      <c r="B162" s="5">
        <v>155</v>
      </c>
      <c r="C162">
        <v>740</v>
      </c>
      <c r="D162" t="s">
        <v>345</v>
      </c>
      <c r="E162" t="s">
        <v>161</v>
      </c>
      <c r="F162" t="s">
        <v>346</v>
      </c>
      <c r="G162" t="s">
        <v>347</v>
      </c>
      <c r="H162">
        <v>55.8</v>
      </c>
      <c r="I162">
        <v>10</v>
      </c>
      <c r="M162">
        <v>0</v>
      </c>
      <c r="N162">
        <v>20</v>
      </c>
      <c r="O162">
        <v>10</v>
      </c>
      <c r="P162">
        <v>95.8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6</v>
      </c>
      <c r="AA162">
        <v>0</v>
      </c>
      <c r="AF162">
        <v>101.8</v>
      </c>
    </row>
    <row r="163" spans="1:32" x14ac:dyDescent="0.3">
      <c r="A163" s="4">
        <v>161</v>
      </c>
      <c r="B163" s="5">
        <v>156</v>
      </c>
      <c r="C163">
        <v>1010</v>
      </c>
      <c r="D163" t="s">
        <v>1738</v>
      </c>
      <c r="E163" t="s">
        <v>255</v>
      </c>
      <c r="F163" t="s">
        <v>124</v>
      </c>
      <c r="G163" t="s">
        <v>1739</v>
      </c>
      <c r="H163">
        <v>59.79</v>
      </c>
      <c r="I163">
        <v>0</v>
      </c>
      <c r="M163">
        <v>0</v>
      </c>
      <c r="N163">
        <v>20</v>
      </c>
      <c r="O163">
        <v>10</v>
      </c>
      <c r="P163">
        <v>89.79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12</v>
      </c>
      <c r="AA163">
        <v>0</v>
      </c>
      <c r="AF163">
        <v>101.79</v>
      </c>
    </row>
    <row r="164" spans="1:32" x14ac:dyDescent="0.3">
      <c r="A164" s="4">
        <v>162</v>
      </c>
      <c r="B164" s="5">
        <v>157</v>
      </c>
      <c r="C164">
        <v>1333</v>
      </c>
      <c r="D164" t="s">
        <v>112</v>
      </c>
      <c r="E164" t="s">
        <v>41</v>
      </c>
      <c r="F164" t="s">
        <v>17</v>
      </c>
      <c r="G164" t="s">
        <v>113</v>
      </c>
      <c r="H164">
        <v>52.59</v>
      </c>
      <c r="I164">
        <v>10</v>
      </c>
      <c r="M164">
        <v>0</v>
      </c>
      <c r="N164">
        <v>20</v>
      </c>
      <c r="O164">
        <v>10</v>
      </c>
      <c r="P164">
        <v>92.59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9</v>
      </c>
      <c r="AA164">
        <v>0</v>
      </c>
      <c r="AF164">
        <v>101.59</v>
      </c>
    </row>
    <row r="165" spans="1:32" x14ac:dyDescent="0.3">
      <c r="A165" s="4">
        <v>163</v>
      </c>
      <c r="B165" s="5">
        <v>158</v>
      </c>
      <c r="C165">
        <v>980</v>
      </c>
      <c r="D165" t="s">
        <v>30904</v>
      </c>
      <c r="E165" t="s">
        <v>54</v>
      </c>
      <c r="F165" t="s">
        <v>136</v>
      </c>
      <c r="G165" t="s">
        <v>30905</v>
      </c>
      <c r="H165">
        <v>47.46</v>
      </c>
      <c r="I165">
        <v>0</v>
      </c>
      <c r="K165">
        <v>15</v>
      </c>
      <c r="M165">
        <v>15</v>
      </c>
      <c r="N165">
        <v>20</v>
      </c>
      <c r="O165">
        <v>10</v>
      </c>
      <c r="P165">
        <v>92.46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9</v>
      </c>
      <c r="AA165">
        <v>0</v>
      </c>
      <c r="AF165">
        <v>101.46</v>
      </c>
    </row>
    <row r="166" spans="1:32" x14ac:dyDescent="0.3">
      <c r="A166" s="4">
        <v>164</v>
      </c>
      <c r="B166" s="5">
        <v>159</v>
      </c>
      <c r="C166">
        <v>223</v>
      </c>
      <c r="D166" t="s">
        <v>1069</v>
      </c>
      <c r="E166" t="s">
        <v>208</v>
      </c>
      <c r="F166" t="s">
        <v>136</v>
      </c>
      <c r="G166" t="s">
        <v>1070</v>
      </c>
      <c r="H166">
        <v>40.92</v>
      </c>
      <c r="I166">
        <v>10</v>
      </c>
      <c r="J166">
        <v>20</v>
      </c>
      <c r="M166">
        <v>20</v>
      </c>
      <c r="N166">
        <v>20</v>
      </c>
      <c r="O166">
        <v>10</v>
      </c>
      <c r="P166">
        <v>100.92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F166">
        <v>100.92</v>
      </c>
    </row>
    <row r="167" spans="1:32" x14ac:dyDescent="0.3">
      <c r="A167" s="4">
        <v>165</v>
      </c>
      <c r="B167" s="5">
        <v>160</v>
      </c>
      <c r="C167">
        <v>713</v>
      </c>
      <c r="D167" t="s">
        <v>2928</v>
      </c>
      <c r="E167" t="s">
        <v>147</v>
      </c>
      <c r="F167" t="s">
        <v>124</v>
      </c>
      <c r="G167" t="s">
        <v>2929</v>
      </c>
      <c r="H167">
        <v>51.81</v>
      </c>
      <c r="I167">
        <v>0</v>
      </c>
      <c r="J167">
        <v>20</v>
      </c>
      <c r="M167">
        <v>20</v>
      </c>
      <c r="N167">
        <v>20</v>
      </c>
      <c r="O167">
        <v>0</v>
      </c>
      <c r="P167">
        <v>91.81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9</v>
      </c>
      <c r="AA167">
        <v>0</v>
      </c>
      <c r="AF167">
        <v>100.81</v>
      </c>
    </row>
    <row r="168" spans="1:32" x14ac:dyDescent="0.3">
      <c r="A168" s="4">
        <v>166</v>
      </c>
      <c r="B168" s="5">
        <v>161</v>
      </c>
      <c r="C168">
        <v>1084</v>
      </c>
      <c r="D168" t="s">
        <v>3570</v>
      </c>
      <c r="E168" t="s">
        <v>4026</v>
      </c>
      <c r="F168" t="s">
        <v>81</v>
      </c>
      <c r="G168" t="s">
        <v>4027</v>
      </c>
      <c r="H168">
        <v>50.4</v>
      </c>
      <c r="I168">
        <v>0</v>
      </c>
      <c r="J168">
        <v>20</v>
      </c>
      <c r="M168">
        <v>20</v>
      </c>
      <c r="N168">
        <v>20</v>
      </c>
      <c r="O168">
        <v>10</v>
      </c>
      <c r="P168">
        <v>100.4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F168">
        <v>100.4</v>
      </c>
    </row>
    <row r="169" spans="1:32" x14ac:dyDescent="0.3">
      <c r="A169" s="4">
        <v>167</v>
      </c>
      <c r="B169" s="5">
        <v>162</v>
      </c>
      <c r="C169">
        <v>1462</v>
      </c>
      <c r="D169" t="s">
        <v>725</v>
      </c>
      <c r="E169" t="s">
        <v>283</v>
      </c>
      <c r="F169" t="s">
        <v>55</v>
      </c>
      <c r="G169" t="s">
        <v>726</v>
      </c>
      <c r="H169">
        <v>54</v>
      </c>
      <c r="I169">
        <v>0</v>
      </c>
      <c r="L169">
        <v>10</v>
      </c>
      <c r="M169">
        <v>10</v>
      </c>
      <c r="N169">
        <v>20</v>
      </c>
      <c r="O169">
        <v>10</v>
      </c>
      <c r="P169">
        <v>94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6</v>
      </c>
      <c r="AA169">
        <v>0</v>
      </c>
      <c r="AF169">
        <v>100</v>
      </c>
    </row>
    <row r="170" spans="1:32" x14ac:dyDescent="0.3">
      <c r="A170" s="4">
        <v>168</v>
      </c>
      <c r="B170" s="5">
        <v>163</v>
      </c>
      <c r="C170">
        <v>393</v>
      </c>
      <c r="D170" t="s">
        <v>5654</v>
      </c>
      <c r="E170" t="s">
        <v>29</v>
      </c>
      <c r="F170" t="s">
        <v>30</v>
      </c>
      <c r="G170" t="s">
        <v>5655</v>
      </c>
      <c r="H170">
        <v>42</v>
      </c>
      <c r="I170">
        <v>10</v>
      </c>
      <c r="K170">
        <v>15</v>
      </c>
      <c r="M170">
        <v>15</v>
      </c>
      <c r="N170">
        <v>20</v>
      </c>
      <c r="O170">
        <v>10</v>
      </c>
      <c r="P170">
        <v>97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3</v>
      </c>
      <c r="AA170">
        <v>0</v>
      </c>
      <c r="AF170">
        <v>100</v>
      </c>
    </row>
    <row r="171" spans="1:32" x14ac:dyDescent="0.3">
      <c r="A171" s="4">
        <v>169</v>
      </c>
      <c r="B171" s="5">
        <v>164</v>
      </c>
      <c r="C171">
        <v>278</v>
      </c>
      <c r="D171" t="s">
        <v>3945</v>
      </c>
      <c r="E171" t="s">
        <v>178</v>
      </c>
      <c r="F171" t="s">
        <v>38</v>
      </c>
      <c r="G171" t="s">
        <v>3946</v>
      </c>
      <c r="H171">
        <v>60</v>
      </c>
      <c r="I171">
        <v>0</v>
      </c>
      <c r="L171">
        <v>10</v>
      </c>
      <c r="M171">
        <v>10</v>
      </c>
      <c r="N171">
        <v>20</v>
      </c>
      <c r="O171">
        <v>10</v>
      </c>
      <c r="P171">
        <v>100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F171">
        <v>100</v>
      </c>
    </row>
    <row r="172" spans="1:32" x14ac:dyDescent="0.3">
      <c r="A172" s="4">
        <v>170</v>
      </c>
      <c r="B172" s="5">
        <v>165</v>
      </c>
      <c r="C172">
        <v>915</v>
      </c>
      <c r="D172" t="s">
        <v>932</v>
      </c>
      <c r="E172" t="s">
        <v>132</v>
      </c>
      <c r="F172" t="s">
        <v>158</v>
      </c>
      <c r="G172" t="s">
        <v>4926</v>
      </c>
      <c r="H172">
        <v>60</v>
      </c>
      <c r="I172">
        <v>0</v>
      </c>
      <c r="L172">
        <v>10</v>
      </c>
      <c r="M172">
        <v>10</v>
      </c>
      <c r="N172">
        <v>20</v>
      </c>
      <c r="O172">
        <v>10</v>
      </c>
      <c r="P172">
        <v>100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t="s">
        <v>130</v>
      </c>
      <c r="AF172">
        <v>100</v>
      </c>
    </row>
    <row r="173" spans="1:32" x14ac:dyDescent="0.3">
      <c r="A173" s="4">
        <v>171</v>
      </c>
      <c r="B173" s="5">
        <v>166</v>
      </c>
      <c r="C173">
        <v>604</v>
      </c>
      <c r="D173" t="s">
        <v>4916</v>
      </c>
      <c r="E173" t="s">
        <v>188</v>
      </c>
      <c r="F173" t="s">
        <v>17</v>
      </c>
      <c r="G173" t="s">
        <v>4917</v>
      </c>
      <c r="H173">
        <v>60</v>
      </c>
      <c r="I173">
        <v>0</v>
      </c>
      <c r="L173">
        <v>10</v>
      </c>
      <c r="M173">
        <v>10</v>
      </c>
      <c r="N173">
        <v>20</v>
      </c>
      <c r="O173">
        <v>10</v>
      </c>
      <c r="P173">
        <v>100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F173">
        <v>100</v>
      </c>
    </row>
    <row r="174" spans="1:32" x14ac:dyDescent="0.3">
      <c r="A174" s="4">
        <v>172</v>
      </c>
      <c r="B174" s="5">
        <v>167</v>
      </c>
      <c r="C174">
        <v>1101</v>
      </c>
      <c r="D174" t="s">
        <v>1523</v>
      </c>
      <c r="E174" t="s">
        <v>1524</v>
      </c>
      <c r="F174" t="s">
        <v>652</v>
      </c>
      <c r="G174">
        <v>368997</v>
      </c>
      <c r="H174">
        <v>59.7</v>
      </c>
      <c r="I174">
        <v>0</v>
      </c>
      <c r="L174">
        <v>10</v>
      </c>
      <c r="M174">
        <v>10</v>
      </c>
      <c r="N174">
        <v>20</v>
      </c>
      <c r="O174">
        <v>10</v>
      </c>
      <c r="P174">
        <v>99.7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F174">
        <v>99.7</v>
      </c>
    </row>
    <row r="175" spans="1:32" x14ac:dyDescent="0.3">
      <c r="A175" s="4">
        <v>173</v>
      </c>
      <c r="B175" s="5">
        <v>168</v>
      </c>
      <c r="C175">
        <v>1162</v>
      </c>
      <c r="D175" t="s">
        <v>5088</v>
      </c>
      <c r="E175" t="s">
        <v>41</v>
      </c>
      <c r="F175" t="s">
        <v>243</v>
      </c>
      <c r="G175" t="s">
        <v>5089</v>
      </c>
      <c r="H175">
        <v>56.58</v>
      </c>
      <c r="I175">
        <v>0</v>
      </c>
      <c r="L175">
        <v>10</v>
      </c>
      <c r="M175">
        <v>10</v>
      </c>
      <c r="N175">
        <v>20</v>
      </c>
      <c r="O175">
        <v>10</v>
      </c>
      <c r="P175">
        <v>96.58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3</v>
      </c>
      <c r="AA175">
        <v>0</v>
      </c>
      <c r="AF175">
        <v>99.58</v>
      </c>
    </row>
    <row r="176" spans="1:32" x14ac:dyDescent="0.3">
      <c r="A176" s="4">
        <v>174</v>
      </c>
      <c r="B176" s="5">
        <v>169</v>
      </c>
      <c r="C176">
        <v>266</v>
      </c>
      <c r="D176" t="s">
        <v>395</v>
      </c>
      <c r="E176" t="s">
        <v>188</v>
      </c>
      <c r="F176" t="s">
        <v>230</v>
      </c>
      <c r="G176" t="s">
        <v>396</v>
      </c>
      <c r="H176">
        <v>56.55</v>
      </c>
      <c r="I176">
        <v>0</v>
      </c>
      <c r="L176">
        <v>10</v>
      </c>
      <c r="M176">
        <v>10</v>
      </c>
      <c r="N176">
        <v>20</v>
      </c>
      <c r="O176">
        <v>10</v>
      </c>
      <c r="P176">
        <v>96.55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</v>
      </c>
      <c r="AA176">
        <v>0</v>
      </c>
      <c r="AB176" t="s">
        <v>130</v>
      </c>
      <c r="AF176">
        <v>99.55</v>
      </c>
    </row>
    <row r="177" spans="1:32" x14ac:dyDescent="0.3">
      <c r="A177" s="4">
        <v>175</v>
      </c>
      <c r="B177" s="5">
        <v>170</v>
      </c>
      <c r="C177">
        <v>685</v>
      </c>
      <c r="D177" t="s">
        <v>4019</v>
      </c>
      <c r="E177" t="s">
        <v>100</v>
      </c>
      <c r="F177" t="s">
        <v>20</v>
      </c>
      <c r="G177" t="s">
        <v>4020</v>
      </c>
      <c r="H177">
        <v>59.4</v>
      </c>
      <c r="I177">
        <v>0</v>
      </c>
      <c r="L177">
        <v>10</v>
      </c>
      <c r="M177">
        <v>10</v>
      </c>
      <c r="N177">
        <v>20</v>
      </c>
      <c r="O177">
        <v>10</v>
      </c>
      <c r="P177">
        <v>99.4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F177">
        <v>99.4</v>
      </c>
    </row>
    <row r="178" spans="1:32" x14ac:dyDescent="0.3">
      <c r="A178" s="4">
        <v>176</v>
      </c>
      <c r="B178" s="5">
        <v>171</v>
      </c>
      <c r="C178">
        <v>1163</v>
      </c>
      <c r="D178" t="s">
        <v>1095</v>
      </c>
      <c r="E178" t="s">
        <v>33</v>
      </c>
      <c r="F178" t="s">
        <v>230</v>
      </c>
      <c r="G178" t="s">
        <v>3699</v>
      </c>
      <c r="H178">
        <v>59.4</v>
      </c>
      <c r="I178">
        <v>0</v>
      </c>
      <c r="J178">
        <v>20</v>
      </c>
      <c r="M178">
        <v>20</v>
      </c>
      <c r="N178">
        <v>20</v>
      </c>
      <c r="O178">
        <v>0</v>
      </c>
      <c r="P178">
        <v>99.4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t="s">
        <v>130</v>
      </c>
      <c r="AF178">
        <v>99.4</v>
      </c>
    </row>
    <row r="179" spans="1:32" x14ac:dyDescent="0.3">
      <c r="A179" s="4">
        <v>177</v>
      </c>
      <c r="B179" s="5">
        <v>172</v>
      </c>
      <c r="C179">
        <v>519</v>
      </c>
      <c r="D179" t="s">
        <v>1397</v>
      </c>
      <c r="E179" t="s">
        <v>1398</v>
      </c>
      <c r="F179" t="s">
        <v>1399</v>
      </c>
      <c r="G179" t="s">
        <v>1400</v>
      </c>
      <c r="H179">
        <v>59.4</v>
      </c>
      <c r="I179">
        <v>0</v>
      </c>
      <c r="L179">
        <v>10</v>
      </c>
      <c r="M179">
        <v>10</v>
      </c>
      <c r="N179">
        <v>20</v>
      </c>
      <c r="O179">
        <v>10</v>
      </c>
      <c r="P179">
        <v>99.4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 t="s">
        <v>130</v>
      </c>
      <c r="AF179">
        <v>99.4</v>
      </c>
    </row>
    <row r="180" spans="1:32" x14ac:dyDescent="0.3">
      <c r="A180" s="4">
        <v>178</v>
      </c>
      <c r="B180" s="5">
        <v>173</v>
      </c>
      <c r="C180">
        <v>1511</v>
      </c>
      <c r="D180" t="s">
        <v>1137</v>
      </c>
      <c r="E180" t="s">
        <v>208</v>
      </c>
      <c r="F180" t="s">
        <v>20</v>
      </c>
      <c r="G180" t="s">
        <v>1138</v>
      </c>
      <c r="H180">
        <v>49.35</v>
      </c>
      <c r="I180">
        <v>10</v>
      </c>
      <c r="L180">
        <v>10</v>
      </c>
      <c r="M180">
        <v>10</v>
      </c>
      <c r="N180">
        <v>20</v>
      </c>
      <c r="O180">
        <v>10</v>
      </c>
      <c r="P180">
        <v>99.35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F180">
        <v>99.35</v>
      </c>
    </row>
    <row r="181" spans="1:32" x14ac:dyDescent="0.3">
      <c r="A181" s="4">
        <v>179</v>
      </c>
      <c r="B181" s="5">
        <v>174</v>
      </c>
      <c r="C181">
        <v>1003</v>
      </c>
      <c r="D181" t="s">
        <v>2685</v>
      </c>
      <c r="E181" t="s">
        <v>161</v>
      </c>
      <c r="F181" t="s">
        <v>30</v>
      </c>
      <c r="G181" t="s">
        <v>2686</v>
      </c>
      <c r="H181">
        <v>50.19</v>
      </c>
      <c r="I181">
        <v>10</v>
      </c>
      <c r="M181">
        <v>0</v>
      </c>
      <c r="N181">
        <v>20</v>
      </c>
      <c r="O181">
        <v>10</v>
      </c>
      <c r="P181">
        <v>90.19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9</v>
      </c>
      <c r="AA181">
        <v>0</v>
      </c>
      <c r="AF181">
        <v>99.19</v>
      </c>
    </row>
    <row r="182" spans="1:32" x14ac:dyDescent="0.3">
      <c r="A182" s="4">
        <v>180</v>
      </c>
      <c r="B182" s="5">
        <v>175</v>
      </c>
      <c r="C182">
        <v>304</v>
      </c>
      <c r="D182" t="s">
        <v>3181</v>
      </c>
      <c r="E182" t="s">
        <v>41</v>
      </c>
      <c r="F182" t="s">
        <v>68</v>
      </c>
      <c r="G182" t="s">
        <v>4053</v>
      </c>
      <c r="H182">
        <v>59.1</v>
      </c>
      <c r="I182">
        <v>0</v>
      </c>
      <c r="L182">
        <v>10</v>
      </c>
      <c r="M182">
        <v>10</v>
      </c>
      <c r="N182">
        <v>20</v>
      </c>
      <c r="O182">
        <v>10</v>
      </c>
      <c r="P182">
        <v>99.1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F182">
        <v>99.1</v>
      </c>
    </row>
    <row r="183" spans="1:32" x14ac:dyDescent="0.3">
      <c r="A183" s="4">
        <v>181</v>
      </c>
      <c r="B183" s="5">
        <v>176</v>
      </c>
      <c r="C183">
        <v>1373</v>
      </c>
      <c r="D183" t="s">
        <v>408</v>
      </c>
      <c r="E183" t="s">
        <v>2011</v>
      </c>
      <c r="F183" t="s">
        <v>136</v>
      </c>
      <c r="G183" t="s">
        <v>5062</v>
      </c>
      <c r="H183">
        <v>59.1</v>
      </c>
      <c r="I183">
        <v>0</v>
      </c>
      <c r="L183">
        <v>10</v>
      </c>
      <c r="M183">
        <v>10</v>
      </c>
      <c r="N183">
        <v>20</v>
      </c>
      <c r="O183">
        <v>10</v>
      </c>
      <c r="P183">
        <v>99.1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F183">
        <v>99.1</v>
      </c>
    </row>
    <row r="184" spans="1:32" x14ac:dyDescent="0.3">
      <c r="A184" s="4">
        <v>182</v>
      </c>
      <c r="B184" s="5">
        <v>177</v>
      </c>
      <c r="C184">
        <v>1085</v>
      </c>
      <c r="D184" t="s">
        <v>2304</v>
      </c>
      <c r="E184" t="s">
        <v>2305</v>
      </c>
      <c r="F184" t="s">
        <v>343</v>
      </c>
      <c r="G184" t="s">
        <v>2306</v>
      </c>
      <c r="H184">
        <v>50.07</v>
      </c>
      <c r="I184">
        <v>0</v>
      </c>
      <c r="J184">
        <v>20</v>
      </c>
      <c r="M184">
        <v>20</v>
      </c>
      <c r="N184">
        <v>20</v>
      </c>
      <c r="O184">
        <v>0</v>
      </c>
      <c r="P184">
        <v>90.07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9</v>
      </c>
      <c r="AA184">
        <v>0</v>
      </c>
      <c r="AF184">
        <v>99.07</v>
      </c>
    </row>
    <row r="185" spans="1:32" x14ac:dyDescent="0.3">
      <c r="A185" s="4">
        <v>183</v>
      </c>
      <c r="B185" s="5">
        <v>178</v>
      </c>
      <c r="C185">
        <v>922</v>
      </c>
      <c r="D185" t="s">
        <v>3295</v>
      </c>
      <c r="E185" t="s">
        <v>188</v>
      </c>
      <c r="F185" t="s">
        <v>972</v>
      </c>
      <c r="G185" t="s">
        <v>30906</v>
      </c>
      <c r="H185">
        <v>58.8</v>
      </c>
      <c r="I185">
        <v>0</v>
      </c>
      <c r="L185">
        <v>10</v>
      </c>
      <c r="M185">
        <v>10</v>
      </c>
      <c r="N185">
        <v>20</v>
      </c>
      <c r="O185">
        <v>10</v>
      </c>
      <c r="P185">
        <v>98.8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F185">
        <v>98.8</v>
      </c>
    </row>
    <row r="186" spans="1:32" x14ac:dyDescent="0.3">
      <c r="A186" s="4">
        <v>184</v>
      </c>
      <c r="B186" s="5">
        <v>179</v>
      </c>
      <c r="C186">
        <v>690</v>
      </c>
      <c r="D186" t="s">
        <v>4470</v>
      </c>
      <c r="E186" t="s">
        <v>22</v>
      </c>
      <c r="F186" t="s">
        <v>17</v>
      </c>
      <c r="G186" t="s">
        <v>4471</v>
      </c>
      <c r="H186">
        <v>58.71</v>
      </c>
      <c r="I186">
        <v>10</v>
      </c>
      <c r="M186">
        <v>0</v>
      </c>
      <c r="N186">
        <v>20</v>
      </c>
      <c r="O186">
        <v>10</v>
      </c>
      <c r="P186">
        <v>98.71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F186">
        <v>98.71</v>
      </c>
    </row>
    <row r="187" spans="1:32" x14ac:dyDescent="0.3">
      <c r="A187" s="4">
        <v>185</v>
      </c>
      <c r="B187" s="5">
        <v>180</v>
      </c>
      <c r="C187">
        <v>1302</v>
      </c>
      <c r="D187" t="s">
        <v>3085</v>
      </c>
      <c r="E187" t="s">
        <v>22</v>
      </c>
      <c r="F187" t="s">
        <v>17</v>
      </c>
      <c r="G187" t="s">
        <v>3086</v>
      </c>
      <c r="H187">
        <v>55.68</v>
      </c>
      <c r="I187">
        <v>10</v>
      </c>
      <c r="M187">
        <v>0</v>
      </c>
      <c r="N187">
        <v>20</v>
      </c>
      <c r="O187">
        <v>10</v>
      </c>
      <c r="P187">
        <v>95.68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3</v>
      </c>
      <c r="AA187">
        <v>0</v>
      </c>
      <c r="AF187">
        <v>98.68</v>
      </c>
    </row>
    <row r="188" spans="1:32" x14ac:dyDescent="0.3">
      <c r="A188" s="4">
        <v>186</v>
      </c>
      <c r="B188" s="5">
        <v>181</v>
      </c>
      <c r="C188">
        <v>1622</v>
      </c>
      <c r="D188" t="s">
        <v>3889</v>
      </c>
      <c r="E188" t="s">
        <v>1053</v>
      </c>
      <c r="F188" t="s">
        <v>136</v>
      </c>
      <c r="G188" t="s">
        <v>4293</v>
      </c>
      <c r="H188">
        <v>52.65</v>
      </c>
      <c r="I188">
        <v>10</v>
      </c>
      <c r="J188">
        <v>20</v>
      </c>
      <c r="M188">
        <v>20</v>
      </c>
      <c r="N188">
        <v>0</v>
      </c>
      <c r="O188">
        <v>10</v>
      </c>
      <c r="P188">
        <v>92.65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6</v>
      </c>
      <c r="AA188">
        <v>0</v>
      </c>
      <c r="AF188">
        <v>98.65</v>
      </c>
    </row>
    <row r="189" spans="1:32" x14ac:dyDescent="0.3">
      <c r="A189" s="4">
        <v>187</v>
      </c>
      <c r="B189" s="5">
        <v>182</v>
      </c>
      <c r="C189">
        <v>701</v>
      </c>
      <c r="D189" t="s">
        <v>348</v>
      </c>
      <c r="E189" t="s">
        <v>349</v>
      </c>
      <c r="F189" t="s">
        <v>136</v>
      </c>
      <c r="G189" t="s">
        <v>350</v>
      </c>
      <c r="H189">
        <v>48.6</v>
      </c>
      <c r="I189">
        <v>10</v>
      </c>
      <c r="L189">
        <v>10</v>
      </c>
      <c r="M189">
        <v>10</v>
      </c>
      <c r="N189">
        <v>20</v>
      </c>
      <c r="O189">
        <v>10</v>
      </c>
      <c r="P189">
        <v>98.6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F189">
        <v>98.6</v>
      </c>
    </row>
    <row r="190" spans="1:32" x14ac:dyDescent="0.3">
      <c r="A190" s="4">
        <v>188</v>
      </c>
      <c r="B190" s="5">
        <v>183</v>
      </c>
      <c r="C190">
        <v>886</v>
      </c>
      <c r="D190" t="s">
        <v>2658</v>
      </c>
      <c r="E190" t="s">
        <v>88</v>
      </c>
      <c r="F190" t="s">
        <v>2225</v>
      </c>
      <c r="G190" t="s">
        <v>2659</v>
      </c>
      <c r="H190">
        <v>58.2</v>
      </c>
      <c r="I190">
        <v>0</v>
      </c>
      <c r="J190">
        <v>20</v>
      </c>
      <c r="M190">
        <v>20</v>
      </c>
      <c r="N190">
        <v>20</v>
      </c>
      <c r="O190">
        <v>0</v>
      </c>
      <c r="P190">
        <v>98.2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F190">
        <v>98.2</v>
      </c>
    </row>
    <row r="191" spans="1:32" x14ac:dyDescent="0.3">
      <c r="A191" s="4">
        <v>189</v>
      </c>
      <c r="B191" s="5">
        <v>184</v>
      </c>
      <c r="C191">
        <v>143</v>
      </c>
      <c r="D191" t="s">
        <v>3412</v>
      </c>
      <c r="E191" t="s">
        <v>54</v>
      </c>
      <c r="F191" t="s">
        <v>343</v>
      </c>
      <c r="G191" t="s">
        <v>31995</v>
      </c>
      <c r="H191">
        <v>42</v>
      </c>
      <c r="I191">
        <v>0</v>
      </c>
      <c r="J191">
        <v>20</v>
      </c>
      <c r="M191">
        <v>20</v>
      </c>
      <c r="N191">
        <v>20</v>
      </c>
      <c r="O191">
        <v>10</v>
      </c>
      <c r="P191">
        <v>92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6</v>
      </c>
      <c r="AA191">
        <v>0</v>
      </c>
      <c r="AB191" t="s">
        <v>130</v>
      </c>
      <c r="AF191">
        <v>98</v>
      </c>
    </row>
    <row r="192" spans="1:32" x14ac:dyDescent="0.3">
      <c r="A192" s="4">
        <v>190</v>
      </c>
      <c r="B192" s="5">
        <v>185</v>
      </c>
      <c r="C192">
        <v>1758</v>
      </c>
      <c r="D192" t="s">
        <v>4485</v>
      </c>
      <c r="E192" t="s">
        <v>4486</v>
      </c>
      <c r="F192" t="s">
        <v>4487</v>
      </c>
      <c r="G192" t="s">
        <v>4488</v>
      </c>
      <c r="H192">
        <v>47.4</v>
      </c>
      <c r="I192">
        <v>0</v>
      </c>
      <c r="J192">
        <v>20</v>
      </c>
      <c r="M192">
        <v>20</v>
      </c>
      <c r="N192">
        <v>20</v>
      </c>
      <c r="O192">
        <v>10</v>
      </c>
      <c r="P192">
        <v>97.4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F192">
        <v>97.4</v>
      </c>
    </row>
    <row r="193" spans="1:32" x14ac:dyDescent="0.3">
      <c r="A193" s="4">
        <v>191</v>
      </c>
      <c r="B193" s="5">
        <v>186</v>
      </c>
      <c r="C193">
        <v>404</v>
      </c>
      <c r="D193" t="s">
        <v>195</v>
      </c>
      <c r="E193" t="s">
        <v>196</v>
      </c>
      <c r="F193" t="s">
        <v>68</v>
      </c>
      <c r="G193" t="s">
        <v>197</v>
      </c>
      <c r="H193">
        <v>47.1</v>
      </c>
      <c r="I193">
        <v>10</v>
      </c>
      <c r="L193">
        <v>10</v>
      </c>
      <c r="M193">
        <v>10</v>
      </c>
      <c r="N193">
        <v>20</v>
      </c>
      <c r="O193">
        <v>10</v>
      </c>
      <c r="P193">
        <v>97.1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 t="s">
        <v>130</v>
      </c>
      <c r="AF193">
        <v>97.1</v>
      </c>
    </row>
    <row r="194" spans="1:32" x14ac:dyDescent="0.3">
      <c r="A194" s="4">
        <v>192</v>
      </c>
      <c r="B194" s="5">
        <v>187</v>
      </c>
      <c r="C194">
        <v>1001</v>
      </c>
      <c r="D194" t="s">
        <v>2897</v>
      </c>
      <c r="E194" t="s">
        <v>110</v>
      </c>
      <c r="F194" t="s">
        <v>14</v>
      </c>
      <c r="G194" t="s">
        <v>2898</v>
      </c>
      <c r="H194">
        <v>48</v>
      </c>
      <c r="I194">
        <v>10</v>
      </c>
      <c r="M194">
        <v>0</v>
      </c>
      <c r="N194">
        <v>20</v>
      </c>
      <c r="O194">
        <v>10</v>
      </c>
      <c r="P194">
        <v>88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9</v>
      </c>
      <c r="AA194">
        <v>0</v>
      </c>
      <c r="AF194">
        <v>97</v>
      </c>
    </row>
    <row r="195" spans="1:32" x14ac:dyDescent="0.3">
      <c r="A195" s="4">
        <v>193</v>
      </c>
      <c r="B195" s="5">
        <v>188</v>
      </c>
      <c r="C195">
        <v>832</v>
      </c>
      <c r="D195" t="s">
        <v>871</v>
      </c>
      <c r="E195" t="s">
        <v>61</v>
      </c>
      <c r="F195" t="s">
        <v>17</v>
      </c>
      <c r="G195" t="s">
        <v>872</v>
      </c>
      <c r="H195">
        <v>57</v>
      </c>
      <c r="I195">
        <v>10</v>
      </c>
      <c r="M195">
        <v>0</v>
      </c>
      <c r="N195">
        <v>20</v>
      </c>
      <c r="O195">
        <v>10</v>
      </c>
      <c r="P195">
        <v>97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 t="s">
        <v>130</v>
      </c>
      <c r="AF195">
        <v>97</v>
      </c>
    </row>
    <row r="196" spans="1:32" x14ac:dyDescent="0.3">
      <c r="A196" s="4">
        <v>194</v>
      </c>
      <c r="B196" s="5">
        <v>189</v>
      </c>
      <c r="C196">
        <v>507</v>
      </c>
      <c r="D196" t="s">
        <v>1404</v>
      </c>
      <c r="E196" t="s">
        <v>33</v>
      </c>
      <c r="F196" t="s">
        <v>972</v>
      </c>
      <c r="G196" t="s">
        <v>1405</v>
      </c>
      <c r="H196">
        <v>57</v>
      </c>
      <c r="I196">
        <v>0</v>
      </c>
      <c r="L196">
        <v>10</v>
      </c>
      <c r="M196">
        <v>10</v>
      </c>
      <c r="N196">
        <v>20</v>
      </c>
      <c r="O196">
        <v>10</v>
      </c>
      <c r="P196">
        <v>97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F196">
        <v>97</v>
      </c>
    </row>
    <row r="197" spans="1:32" x14ac:dyDescent="0.3">
      <c r="A197" s="4">
        <v>195</v>
      </c>
      <c r="B197" s="5">
        <v>190</v>
      </c>
      <c r="C197">
        <v>1650</v>
      </c>
      <c r="D197" t="s">
        <v>577</v>
      </c>
      <c r="E197" t="s">
        <v>22</v>
      </c>
      <c r="F197" t="s">
        <v>38</v>
      </c>
      <c r="G197" t="s">
        <v>3777</v>
      </c>
      <c r="H197">
        <v>36.9</v>
      </c>
      <c r="I197">
        <v>10</v>
      </c>
      <c r="J197">
        <v>20</v>
      </c>
      <c r="M197">
        <v>20</v>
      </c>
      <c r="N197">
        <v>20</v>
      </c>
      <c r="O197">
        <v>10</v>
      </c>
      <c r="P197">
        <v>96.9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F197">
        <v>96.9</v>
      </c>
    </row>
    <row r="198" spans="1:32" x14ac:dyDescent="0.3">
      <c r="A198" s="4">
        <v>196</v>
      </c>
      <c r="B198" s="5">
        <v>191</v>
      </c>
      <c r="C198">
        <v>279</v>
      </c>
      <c r="D198" t="s">
        <v>1678</v>
      </c>
      <c r="E198" t="s">
        <v>1679</v>
      </c>
      <c r="F198" t="s">
        <v>652</v>
      </c>
      <c r="G198" t="s">
        <v>1680</v>
      </c>
      <c r="H198">
        <v>40.08</v>
      </c>
      <c r="I198">
        <v>10</v>
      </c>
      <c r="M198">
        <v>0</v>
      </c>
      <c r="N198">
        <v>20</v>
      </c>
      <c r="O198">
        <v>0</v>
      </c>
      <c r="P198">
        <v>70.08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26.8</v>
      </c>
      <c r="AF198">
        <v>96.88</v>
      </c>
    </row>
    <row r="199" spans="1:32" x14ac:dyDescent="0.3">
      <c r="A199" s="4">
        <v>197</v>
      </c>
      <c r="B199" s="5">
        <v>192</v>
      </c>
      <c r="C199">
        <v>222</v>
      </c>
      <c r="D199" t="s">
        <v>5592</v>
      </c>
      <c r="E199" t="s">
        <v>208</v>
      </c>
      <c r="F199" t="s">
        <v>68</v>
      </c>
      <c r="G199" t="s">
        <v>5593</v>
      </c>
      <c r="H199">
        <v>50.7</v>
      </c>
      <c r="I199">
        <v>0</v>
      </c>
      <c r="L199">
        <v>10</v>
      </c>
      <c r="M199">
        <v>10</v>
      </c>
      <c r="N199">
        <v>20</v>
      </c>
      <c r="O199">
        <v>10</v>
      </c>
      <c r="P199">
        <v>90.7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6</v>
      </c>
      <c r="AA199">
        <v>0</v>
      </c>
      <c r="AB199" t="s">
        <v>130</v>
      </c>
      <c r="AF199">
        <v>96.7</v>
      </c>
    </row>
    <row r="200" spans="1:32" x14ac:dyDescent="0.3">
      <c r="A200" s="4">
        <v>198</v>
      </c>
      <c r="B200" s="5">
        <v>193</v>
      </c>
      <c r="C200">
        <v>514</v>
      </c>
      <c r="D200" t="s">
        <v>2745</v>
      </c>
      <c r="E200" t="s">
        <v>26</v>
      </c>
      <c r="F200" t="s">
        <v>2746</v>
      </c>
      <c r="G200" t="s">
        <v>2747</v>
      </c>
      <c r="H200">
        <v>56.4</v>
      </c>
      <c r="I200">
        <v>10</v>
      </c>
      <c r="M200">
        <v>0</v>
      </c>
      <c r="N200">
        <v>20</v>
      </c>
      <c r="O200">
        <v>10</v>
      </c>
      <c r="P200">
        <v>96.4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F200">
        <v>96.4</v>
      </c>
    </row>
    <row r="201" spans="1:32" x14ac:dyDescent="0.3">
      <c r="A201" s="4">
        <v>199</v>
      </c>
      <c r="B201" s="5">
        <v>194</v>
      </c>
      <c r="C201">
        <v>136</v>
      </c>
      <c r="D201" t="s">
        <v>1768</v>
      </c>
      <c r="E201" t="s">
        <v>2011</v>
      </c>
      <c r="F201" t="s">
        <v>81</v>
      </c>
      <c r="G201" t="s">
        <v>2437</v>
      </c>
      <c r="H201">
        <v>41.4</v>
      </c>
      <c r="I201">
        <v>10</v>
      </c>
      <c r="K201">
        <v>15</v>
      </c>
      <c r="M201">
        <v>15</v>
      </c>
      <c r="N201">
        <v>20</v>
      </c>
      <c r="O201">
        <v>10</v>
      </c>
      <c r="P201">
        <v>96.4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F201">
        <v>96.4</v>
      </c>
    </row>
    <row r="202" spans="1:32" x14ac:dyDescent="0.3">
      <c r="A202" s="4">
        <v>200</v>
      </c>
      <c r="B202" s="5">
        <v>195</v>
      </c>
      <c r="C202">
        <v>952</v>
      </c>
      <c r="D202" t="s">
        <v>1296</v>
      </c>
      <c r="E202" t="s">
        <v>29</v>
      </c>
      <c r="F202" t="s">
        <v>136</v>
      </c>
      <c r="G202" t="s">
        <v>4524</v>
      </c>
      <c r="H202">
        <v>53.1</v>
      </c>
      <c r="I202">
        <v>0</v>
      </c>
      <c r="L202">
        <v>10</v>
      </c>
      <c r="M202">
        <v>10</v>
      </c>
      <c r="N202">
        <v>20</v>
      </c>
      <c r="O202">
        <v>10</v>
      </c>
      <c r="P202">
        <v>93.1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3</v>
      </c>
      <c r="AA202">
        <v>0</v>
      </c>
      <c r="AF202">
        <v>96.1</v>
      </c>
    </row>
    <row r="203" spans="1:32" x14ac:dyDescent="0.3">
      <c r="A203" s="4">
        <v>201</v>
      </c>
      <c r="B203" s="5">
        <v>196</v>
      </c>
      <c r="C203">
        <v>107</v>
      </c>
      <c r="D203" t="s">
        <v>2784</v>
      </c>
      <c r="E203" t="s">
        <v>213</v>
      </c>
      <c r="F203" t="s">
        <v>158</v>
      </c>
      <c r="G203" t="s">
        <v>2785</v>
      </c>
      <c r="H203">
        <v>56.01</v>
      </c>
      <c r="I203">
        <v>0</v>
      </c>
      <c r="L203">
        <v>10</v>
      </c>
      <c r="M203">
        <v>10</v>
      </c>
      <c r="N203">
        <v>20</v>
      </c>
      <c r="O203">
        <v>10</v>
      </c>
      <c r="P203">
        <v>96.01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 t="s">
        <v>130</v>
      </c>
      <c r="AF203">
        <v>96.01</v>
      </c>
    </row>
    <row r="204" spans="1:32" x14ac:dyDescent="0.3">
      <c r="A204" s="4">
        <v>202</v>
      </c>
      <c r="B204" s="5">
        <v>197</v>
      </c>
      <c r="C204">
        <v>155</v>
      </c>
      <c r="D204" t="s">
        <v>3340</v>
      </c>
      <c r="E204" t="s">
        <v>5237</v>
      </c>
      <c r="F204" t="s">
        <v>782</v>
      </c>
      <c r="G204" t="s">
        <v>5514</v>
      </c>
      <c r="H204">
        <v>55.8</v>
      </c>
      <c r="I204">
        <v>0</v>
      </c>
      <c r="L204">
        <v>10</v>
      </c>
      <c r="M204">
        <v>10</v>
      </c>
      <c r="N204">
        <v>20</v>
      </c>
      <c r="O204">
        <v>10</v>
      </c>
      <c r="P204">
        <v>95.8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 t="s">
        <v>130</v>
      </c>
      <c r="AF204">
        <v>95.8</v>
      </c>
    </row>
    <row r="205" spans="1:32" x14ac:dyDescent="0.3">
      <c r="A205" s="4">
        <v>203</v>
      </c>
      <c r="B205" s="5">
        <v>198</v>
      </c>
      <c r="C205">
        <v>673</v>
      </c>
      <c r="D205" t="s">
        <v>19266</v>
      </c>
      <c r="E205" t="s">
        <v>406</v>
      </c>
      <c r="F205" t="s">
        <v>570</v>
      </c>
      <c r="G205" t="s">
        <v>30907</v>
      </c>
      <c r="H205">
        <v>42.54</v>
      </c>
      <c r="I205">
        <v>0</v>
      </c>
      <c r="J205">
        <v>20</v>
      </c>
      <c r="M205">
        <v>20</v>
      </c>
      <c r="N205">
        <v>20</v>
      </c>
      <c r="O205">
        <v>10</v>
      </c>
      <c r="P205">
        <v>92.54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3</v>
      </c>
      <c r="AA205">
        <v>0</v>
      </c>
      <c r="AF205">
        <v>95.54</v>
      </c>
    </row>
    <row r="206" spans="1:32" x14ac:dyDescent="0.3">
      <c r="A206" s="4">
        <v>204</v>
      </c>
      <c r="B206" s="5">
        <v>199</v>
      </c>
      <c r="C206">
        <v>532</v>
      </c>
      <c r="D206" t="s">
        <v>3850</v>
      </c>
      <c r="E206" t="s">
        <v>71</v>
      </c>
      <c r="F206" t="s">
        <v>30</v>
      </c>
      <c r="G206" t="s">
        <v>3851</v>
      </c>
      <c r="H206">
        <v>59.4</v>
      </c>
      <c r="I206">
        <v>0</v>
      </c>
      <c r="M206">
        <v>0</v>
      </c>
      <c r="N206">
        <v>20</v>
      </c>
      <c r="O206">
        <v>10</v>
      </c>
      <c r="P206">
        <v>89.4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6</v>
      </c>
      <c r="AA206">
        <v>0</v>
      </c>
      <c r="AF206">
        <v>95.4</v>
      </c>
    </row>
    <row r="207" spans="1:32" x14ac:dyDescent="0.3">
      <c r="A207" s="4">
        <v>205</v>
      </c>
      <c r="B207" s="5">
        <v>200</v>
      </c>
      <c r="C207">
        <v>1540</v>
      </c>
      <c r="D207" t="s">
        <v>30908</v>
      </c>
      <c r="E207" t="s">
        <v>30909</v>
      </c>
      <c r="F207" t="s">
        <v>652</v>
      </c>
      <c r="G207" t="s">
        <v>30910</v>
      </c>
      <c r="H207">
        <v>30</v>
      </c>
      <c r="I207">
        <v>0</v>
      </c>
      <c r="J207">
        <v>20</v>
      </c>
      <c r="M207">
        <v>20</v>
      </c>
      <c r="N207">
        <v>0</v>
      </c>
      <c r="O207">
        <v>10</v>
      </c>
      <c r="P207">
        <v>60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3</v>
      </c>
      <c r="AA207">
        <v>32</v>
      </c>
      <c r="AF207">
        <v>95</v>
      </c>
    </row>
    <row r="208" spans="1:32" x14ac:dyDescent="0.3">
      <c r="A208" s="4">
        <v>206</v>
      </c>
      <c r="B208" s="5">
        <v>201</v>
      </c>
      <c r="C208">
        <v>527</v>
      </c>
      <c r="D208" t="s">
        <v>2077</v>
      </c>
      <c r="E208" t="s">
        <v>575</v>
      </c>
      <c r="F208" t="s">
        <v>117</v>
      </c>
      <c r="G208" t="s">
        <v>2078</v>
      </c>
      <c r="H208">
        <v>48.99</v>
      </c>
      <c r="I208">
        <v>10</v>
      </c>
      <c r="M208">
        <v>0</v>
      </c>
      <c r="N208">
        <v>20</v>
      </c>
      <c r="O208">
        <v>10</v>
      </c>
      <c r="P208">
        <v>88.99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6</v>
      </c>
      <c r="AA208">
        <v>0</v>
      </c>
      <c r="AF208">
        <v>94.99</v>
      </c>
    </row>
    <row r="209" spans="1:32" x14ac:dyDescent="0.3">
      <c r="A209" s="4">
        <v>207</v>
      </c>
      <c r="B209" s="5">
        <v>202</v>
      </c>
      <c r="C209">
        <v>193</v>
      </c>
      <c r="D209" t="s">
        <v>2520</v>
      </c>
      <c r="E209" t="s">
        <v>283</v>
      </c>
      <c r="F209" t="s">
        <v>136</v>
      </c>
      <c r="G209" t="s">
        <v>2521</v>
      </c>
      <c r="H209">
        <v>57.6</v>
      </c>
      <c r="I209">
        <v>0</v>
      </c>
      <c r="M209">
        <v>0</v>
      </c>
      <c r="N209">
        <v>20</v>
      </c>
      <c r="O209">
        <v>10</v>
      </c>
      <c r="P209">
        <v>87.6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6</v>
      </c>
      <c r="AA209">
        <v>0</v>
      </c>
      <c r="AF209">
        <v>93.6</v>
      </c>
    </row>
    <row r="210" spans="1:32" x14ac:dyDescent="0.3">
      <c r="A210" s="4">
        <v>208</v>
      </c>
      <c r="B210" s="5">
        <v>203</v>
      </c>
      <c r="C210">
        <v>332</v>
      </c>
      <c r="D210" t="s">
        <v>5071</v>
      </c>
      <c r="E210" t="s">
        <v>29</v>
      </c>
      <c r="F210" t="s">
        <v>81</v>
      </c>
      <c r="G210" t="s">
        <v>5072</v>
      </c>
      <c r="H210">
        <v>57.54</v>
      </c>
      <c r="I210">
        <v>0</v>
      </c>
      <c r="M210">
        <v>0</v>
      </c>
      <c r="N210">
        <v>20</v>
      </c>
      <c r="O210">
        <v>10</v>
      </c>
      <c r="P210">
        <v>87.54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6</v>
      </c>
      <c r="AA210">
        <v>0</v>
      </c>
      <c r="AF210">
        <v>93.54</v>
      </c>
    </row>
    <row r="211" spans="1:32" x14ac:dyDescent="0.3">
      <c r="A211" s="4">
        <v>209</v>
      </c>
      <c r="B211" s="5">
        <v>204</v>
      </c>
      <c r="C211">
        <v>1016</v>
      </c>
      <c r="D211" t="s">
        <v>767</v>
      </c>
      <c r="E211" t="s">
        <v>170</v>
      </c>
      <c r="F211" t="s">
        <v>750</v>
      </c>
      <c r="G211" t="s">
        <v>3852</v>
      </c>
      <c r="H211">
        <v>47.4</v>
      </c>
      <c r="I211">
        <v>0</v>
      </c>
      <c r="L211">
        <v>10</v>
      </c>
      <c r="M211">
        <v>10</v>
      </c>
      <c r="N211">
        <v>20</v>
      </c>
      <c r="O211">
        <v>10</v>
      </c>
      <c r="P211">
        <v>87.4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6</v>
      </c>
      <c r="AA211">
        <v>0</v>
      </c>
      <c r="AF211">
        <v>93.4</v>
      </c>
    </row>
    <row r="212" spans="1:32" x14ac:dyDescent="0.3">
      <c r="A212" s="4">
        <v>210</v>
      </c>
      <c r="B212" s="5">
        <v>205</v>
      </c>
      <c r="C212">
        <v>305</v>
      </c>
      <c r="D212" t="s">
        <v>5128</v>
      </c>
      <c r="E212" t="s">
        <v>149</v>
      </c>
      <c r="F212" t="s">
        <v>328</v>
      </c>
      <c r="G212" t="s">
        <v>5129</v>
      </c>
      <c r="H212">
        <v>50.4</v>
      </c>
      <c r="I212">
        <v>10</v>
      </c>
      <c r="M212">
        <v>0</v>
      </c>
      <c r="N212">
        <v>20</v>
      </c>
      <c r="O212">
        <v>10</v>
      </c>
      <c r="P212">
        <v>90.4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3</v>
      </c>
      <c r="AA212">
        <v>0</v>
      </c>
      <c r="AF212">
        <v>93.4</v>
      </c>
    </row>
    <row r="213" spans="1:32" x14ac:dyDescent="0.3">
      <c r="A213" s="4">
        <v>211</v>
      </c>
      <c r="B213" s="5">
        <v>206</v>
      </c>
      <c r="C213">
        <v>1111</v>
      </c>
      <c r="D213" t="s">
        <v>5901</v>
      </c>
      <c r="E213" t="s">
        <v>41</v>
      </c>
      <c r="F213" t="s">
        <v>416</v>
      </c>
      <c r="G213" t="s">
        <v>5902</v>
      </c>
      <c r="H213">
        <v>53.4</v>
      </c>
      <c r="I213">
        <v>0</v>
      </c>
      <c r="L213">
        <v>10</v>
      </c>
      <c r="M213">
        <v>10</v>
      </c>
      <c r="N213">
        <v>20</v>
      </c>
      <c r="O213">
        <v>10</v>
      </c>
      <c r="P213">
        <v>93.4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F213">
        <v>93.4</v>
      </c>
    </row>
    <row r="214" spans="1:32" x14ac:dyDescent="0.3">
      <c r="A214" s="4">
        <v>212</v>
      </c>
      <c r="B214" s="5">
        <v>207</v>
      </c>
      <c r="C214">
        <v>523</v>
      </c>
      <c r="D214" t="s">
        <v>3276</v>
      </c>
      <c r="E214" t="s">
        <v>88</v>
      </c>
      <c r="F214" t="s">
        <v>158</v>
      </c>
      <c r="G214" t="s">
        <v>3277</v>
      </c>
      <c r="H214">
        <v>57.24</v>
      </c>
      <c r="I214">
        <v>0</v>
      </c>
      <c r="L214">
        <v>10</v>
      </c>
      <c r="M214">
        <v>10</v>
      </c>
      <c r="N214">
        <v>20</v>
      </c>
      <c r="O214">
        <v>0</v>
      </c>
      <c r="P214">
        <v>87.24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6</v>
      </c>
      <c r="AA214">
        <v>0</v>
      </c>
      <c r="AF214">
        <v>93.24</v>
      </c>
    </row>
    <row r="215" spans="1:32" x14ac:dyDescent="0.3">
      <c r="A215" s="4">
        <v>213</v>
      </c>
      <c r="B215" s="5">
        <v>208</v>
      </c>
      <c r="C215">
        <v>1034</v>
      </c>
      <c r="D215" t="s">
        <v>1611</v>
      </c>
      <c r="E215" t="s">
        <v>166</v>
      </c>
      <c r="F215" t="s">
        <v>136</v>
      </c>
      <c r="G215" t="s">
        <v>1612</v>
      </c>
      <c r="H215">
        <v>54</v>
      </c>
      <c r="I215">
        <v>0</v>
      </c>
      <c r="M215">
        <v>0</v>
      </c>
      <c r="N215">
        <v>20</v>
      </c>
      <c r="O215">
        <v>10</v>
      </c>
      <c r="P215">
        <v>84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9</v>
      </c>
      <c r="AA215">
        <v>0</v>
      </c>
      <c r="AF215">
        <v>93</v>
      </c>
    </row>
    <row r="216" spans="1:32" x14ac:dyDescent="0.3">
      <c r="A216" s="4">
        <v>214</v>
      </c>
      <c r="B216" s="5">
        <v>209</v>
      </c>
      <c r="C216">
        <v>1691</v>
      </c>
      <c r="D216" t="s">
        <v>2460</v>
      </c>
      <c r="E216" t="s">
        <v>29</v>
      </c>
      <c r="F216" t="s">
        <v>124</v>
      </c>
      <c r="G216" t="s">
        <v>2461</v>
      </c>
      <c r="H216">
        <v>56.76</v>
      </c>
      <c r="I216">
        <v>0</v>
      </c>
      <c r="M216">
        <v>0</v>
      </c>
      <c r="N216">
        <v>20</v>
      </c>
      <c r="O216">
        <v>10</v>
      </c>
      <c r="P216">
        <v>86.76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6</v>
      </c>
      <c r="AA216">
        <v>0</v>
      </c>
      <c r="AF216">
        <v>92.76</v>
      </c>
    </row>
    <row r="217" spans="1:32" x14ac:dyDescent="0.3">
      <c r="A217" s="4">
        <v>215</v>
      </c>
      <c r="B217" s="5">
        <v>210</v>
      </c>
      <c r="C217">
        <v>137</v>
      </c>
      <c r="D217" t="s">
        <v>3467</v>
      </c>
      <c r="E217" t="s">
        <v>3468</v>
      </c>
      <c r="F217" t="s">
        <v>3469</v>
      </c>
      <c r="G217" t="s">
        <v>3470</v>
      </c>
      <c r="H217">
        <v>52.5</v>
      </c>
      <c r="I217">
        <v>10</v>
      </c>
      <c r="M217">
        <v>0</v>
      </c>
      <c r="N217">
        <v>20</v>
      </c>
      <c r="O217">
        <v>10</v>
      </c>
      <c r="P217">
        <v>92.5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F217">
        <v>92.5</v>
      </c>
    </row>
    <row r="218" spans="1:32" x14ac:dyDescent="0.3">
      <c r="A218" s="4">
        <v>216</v>
      </c>
      <c r="B218" s="5">
        <v>211</v>
      </c>
      <c r="C218">
        <v>210</v>
      </c>
      <c r="D218" t="s">
        <v>2871</v>
      </c>
      <c r="E218" t="s">
        <v>26</v>
      </c>
      <c r="F218" t="s">
        <v>20</v>
      </c>
      <c r="G218" t="s">
        <v>2872</v>
      </c>
      <c r="H218">
        <v>56.4</v>
      </c>
      <c r="I218">
        <v>0</v>
      </c>
      <c r="M218">
        <v>0</v>
      </c>
      <c r="N218">
        <v>20</v>
      </c>
      <c r="O218">
        <v>10</v>
      </c>
      <c r="P218">
        <v>86.4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6</v>
      </c>
      <c r="AA218">
        <v>0</v>
      </c>
      <c r="AF218">
        <v>92.4</v>
      </c>
    </row>
    <row r="219" spans="1:32" x14ac:dyDescent="0.3">
      <c r="A219" s="4">
        <v>217</v>
      </c>
      <c r="B219" s="5">
        <v>212</v>
      </c>
      <c r="C219">
        <v>1129</v>
      </c>
      <c r="D219" t="s">
        <v>1425</v>
      </c>
      <c r="E219" t="s">
        <v>22</v>
      </c>
      <c r="F219" t="s">
        <v>17</v>
      </c>
      <c r="G219" t="s">
        <v>4117</v>
      </c>
      <c r="H219">
        <v>59.4</v>
      </c>
      <c r="I219">
        <v>0</v>
      </c>
      <c r="M219">
        <v>0</v>
      </c>
      <c r="N219">
        <v>20</v>
      </c>
      <c r="O219">
        <v>10</v>
      </c>
      <c r="P219">
        <v>89.4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3</v>
      </c>
      <c r="AA219">
        <v>0</v>
      </c>
      <c r="AF219">
        <v>92.4</v>
      </c>
    </row>
    <row r="220" spans="1:32" x14ac:dyDescent="0.3">
      <c r="A220" s="4">
        <v>219</v>
      </c>
      <c r="B220" s="5">
        <v>213</v>
      </c>
      <c r="C220">
        <v>1141</v>
      </c>
      <c r="D220" t="s">
        <v>1310</v>
      </c>
      <c r="E220" t="s">
        <v>26</v>
      </c>
      <c r="F220" t="s">
        <v>243</v>
      </c>
      <c r="G220" t="s">
        <v>1311</v>
      </c>
      <c r="H220">
        <v>58.8</v>
      </c>
      <c r="I220">
        <v>0</v>
      </c>
      <c r="M220">
        <v>0</v>
      </c>
      <c r="N220">
        <v>20</v>
      </c>
      <c r="O220">
        <v>10</v>
      </c>
      <c r="P220">
        <v>88.8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3</v>
      </c>
      <c r="AA220">
        <v>0</v>
      </c>
      <c r="AB220" t="s">
        <v>130</v>
      </c>
      <c r="AF220">
        <v>91.8</v>
      </c>
    </row>
    <row r="221" spans="1:32" x14ac:dyDescent="0.3">
      <c r="A221" s="4">
        <v>220</v>
      </c>
      <c r="B221" s="5">
        <v>214</v>
      </c>
      <c r="C221">
        <v>702</v>
      </c>
      <c r="D221" t="s">
        <v>1342</v>
      </c>
      <c r="E221" t="s">
        <v>2939</v>
      </c>
      <c r="F221" t="s">
        <v>2360</v>
      </c>
      <c r="G221" t="s">
        <v>2940</v>
      </c>
      <c r="H221">
        <v>55.5</v>
      </c>
      <c r="I221">
        <v>0</v>
      </c>
      <c r="M221">
        <v>0</v>
      </c>
      <c r="N221">
        <v>20</v>
      </c>
      <c r="O221">
        <v>10</v>
      </c>
      <c r="P221">
        <v>85.5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6</v>
      </c>
      <c r="AA221">
        <v>0</v>
      </c>
      <c r="AF221">
        <v>91.5</v>
      </c>
    </row>
    <row r="222" spans="1:32" x14ac:dyDescent="0.3">
      <c r="A222" s="4">
        <v>221</v>
      </c>
      <c r="B222" s="5">
        <v>215</v>
      </c>
      <c r="C222">
        <v>139</v>
      </c>
      <c r="D222" t="s">
        <v>1449</v>
      </c>
      <c r="E222" t="s">
        <v>1280</v>
      </c>
      <c r="F222" t="s">
        <v>1450</v>
      </c>
      <c r="G222" t="s">
        <v>1451</v>
      </c>
      <c r="H222">
        <v>55.32</v>
      </c>
      <c r="I222">
        <v>0</v>
      </c>
      <c r="M222">
        <v>0</v>
      </c>
      <c r="N222">
        <v>20</v>
      </c>
      <c r="O222">
        <v>10</v>
      </c>
      <c r="P222">
        <v>85.32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6</v>
      </c>
      <c r="AA222">
        <v>0</v>
      </c>
      <c r="AF222">
        <v>91.32</v>
      </c>
    </row>
    <row r="223" spans="1:32" x14ac:dyDescent="0.3">
      <c r="A223" s="4">
        <v>222</v>
      </c>
      <c r="B223" s="5">
        <v>216</v>
      </c>
      <c r="C223">
        <v>718</v>
      </c>
      <c r="D223" t="s">
        <v>1493</v>
      </c>
      <c r="E223" t="s">
        <v>115</v>
      </c>
      <c r="F223" t="s">
        <v>20</v>
      </c>
      <c r="G223" t="s">
        <v>1494</v>
      </c>
      <c r="H223">
        <v>58.32</v>
      </c>
      <c r="I223">
        <v>0</v>
      </c>
      <c r="M223">
        <v>0</v>
      </c>
      <c r="N223">
        <v>20</v>
      </c>
      <c r="O223">
        <v>10</v>
      </c>
      <c r="P223">
        <v>88.32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3</v>
      </c>
      <c r="AA223">
        <v>0</v>
      </c>
      <c r="AF223">
        <v>91.32</v>
      </c>
    </row>
    <row r="224" spans="1:32" x14ac:dyDescent="0.3">
      <c r="A224" s="4">
        <v>223</v>
      </c>
      <c r="B224" s="5">
        <v>217</v>
      </c>
      <c r="C224">
        <v>1696</v>
      </c>
      <c r="D224" t="s">
        <v>2270</v>
      </c>
      <c r="E224" t="s">
        <v>2271</v>
      </c>
      <c r="F224" t="s">
        <v>38</v>
      </c>
      <c r="G224" t="s">
        <v>2272</v>
      </c>
      <c r="H224">
        <v>51.24</v>
      </c>
      <c r="I224">
        <v>0</v>
      </c>
      <c r="L224">
        <v>10</v>
      </c>
      <c r="M224">
        <v>10</v>
      </c>
      <c r="N224">
        <v>20</v>
      </c>
      <c r="O224">
        <v>10</v>
      </c>
      <c r="P224">
        <v>91.24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 t="s">
        <v>130</v>
      </c>
      <c r="AF224">
        <v>91.24</v>
      </c>
    </row>
    <row r="225" spans="1:32" x14ac:dyDescent="0.3">
      <c r="A225" s="4">
        <v>224</v>
      </c>
      <c r="B225" s="5">
        <v>218</v>
      </c>
      <c r="C225">
        <v>1039</v>
      </c>
      <c r="D225" t="s">
        <v>30911</v>
      </c>
      <c r="E225" t="s">
        <v>1484</v>
      </c>
      <c r="F225" t="s">
        <v>55</v>
      </c>
      <c r="G225" t="s">
        <v>30912</v>
      </c>
      <c r="H225">
        <v>52.98</v>
      </c>
      <c r="I225">
        <v>0</v>
      </c>
      <c r="M225">
        <v>0</v>
      </c>
      <c r="N225">
        <v>20</v>
      </c>
      <c r="O225">
        <v>10</v>
      </c>
      <c r="P225">
        <v>82.98</v>
      </c>
      <c r="Q225">
        <v>5</v>
      </c>
      <c r="R225">
        <v>5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5</v>
      </c>
      <c r="Z225">
        <v>3</v>
      </c>
      <c r="AA225">
        <v>0</v>
      </c>
      <c r="AF225">
        <v>90.98</v>
      </c>
    </row>
    <row r="226" spans="1:32" x14ac:dyDescent="0.3">
      <c r="A226" s="4">
        <v>225</v>
      </c>
      <c r="B226" s="5">
        <v>219</v>
      </c>
      <c r="C226">
        <v>867</v>
      </c>
      <c r="D226" t="s">
        <v>4415</v>
      </c>
      <c r="E226" t="s">
        <v>471</v>
      </c>
      <c r="F226" t="s">
        <v>38</v>
      </c>
      <c r="G226" t="s">
        <v>4416</v>
      </c>
      <c r="H226">
        <v>44.76</v>
      </c>
      <c r="I226">
        <v>10</v>
      </c>
      <c r="M226">
        <v>0</v>
      </c>
      <c r="N226">
        <v>20</v>
      </c>
      <c r="O226">
        <v>10</v>
      </c>
      <c r="P226">
        <v>84.76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6</v>
      </c>
      <c r="AA226">
        <v>0</v>
      </c>
      <c r="AF226">
        <v>90.76</v>
      </c>
    </row>
    <row r="227" spans="1:32" x14ac:dyDescent="0.3">
      <c r="A227" s="4">
        <v>226</v>
      </c>
      <c r="B227" s="5">
        <v>220</v>
      </c>
      <c r="C227">
        <v>299</v>
      </c>
      <c r="D227" t="s">
        <v>6248</v>
      </c>
      <c r="E227" t="s">
        <v>1371</v>
      </c>
      <c r="F227" t="s">
        <v>38</v>
      </c>
      <c r="G227" t="s">
        <v>6249</v>
      </c>
      <c r="H227">
        <v>50.76</v>
      </c>
      <c r="I227">
        <v>0</v>
      </c>
      <c r="L227">
        <v>10</v>
      </c>
      <c r="M227">
        <v>10</v>
      </c>
      <c r="N227">
        <v>20</v>
      </c>
      <c r="O227">
        <v>10</v>
      </c>
      <c r="P227">
        <v>90.76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F227">
        <v>90.76</v>
      </c>
    </row>
    <row r="228" spans="1:32" x14ac:dyDescent="0.3">
      <c r="A228" s="4">
        <v>227</v>
      </c>
      <c r="B228" s="5">
        <v>221</v>
      </c>
      <c r="C228">
        <v>418</v>
      </c>
      <c r="D228" t="s">
        <v>1530</v>
      </c>
      <c r="E228" t="s">
        <v>110</v>
      </c>
      <c r="F228" t="s">
        <v>17</v>
      </c>
      <c r="G228" t="s">
        <v>4323</v>
      </c>
      <c r="H228">
        <v>60</v>
      </c>
      <c r="I228">
        <v>0</v>
      </c>
      <c r="M228">
        <v>0</v>
      </c>
      <c r="N228">
        <v>20</v>
      </c>
      <c r="O228">
        <v>10</v>
      </c>
      <c r="P228">
        <v>90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F228">
        <v>90</v>
      </c>
    </row>
    <row r="229" spans="1:32" x14ac:dyDescent="0.3">
      <c r="A229" s="4">
        <v>228</v>
      </c>
      <c r="B229" s="5">
        <v>222</v>
      </c>
      <c r="C229">
        <v>947</v>
      </c>
      <c r="D229" t="s">
        <v>5339</v>
      </c>
      <c r="E229" t="s">
        <v>22</v>
      </c>
      <c r="F229" t="s">
        <v>17</v>
      </c>
      <c r="G229" t="s">
        <v>5340</v>
      </c>
      <c r="H229">
        <v>60</v>
      </c>
      <c r="I229">
        <v>0</v>
      </c>
      <c r="M229">
        <v>0</v>
      </c>
      <c r="N229">
        <v>20</v>
      </c>
      <c r="O229">
        <v>10</v>
      </c>
      <c r="P229">
        <v>90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F229">
        <v>90</v>
      </c>
    </row>
    <row r="230" spans="1:32" x14ac:dyDescent="0.3">
      <c r="A230" s="4">
        <v>229</v>
      </c>
      <c r="B230" s="5">
        <v>223</v>
      </c>
      <c r="C230">
        <v>965</v>
      </c>
      <c r="D230" t="s">
        <v>5342</v>
      </c>
      <c r="E230" t="s">
        <v>1815</v>
      </c>
      <c r="F230" t="s">
        <v>5343</v>
      </c>
      <c r="G230" t="s">
        <v>5344</v>
      </c>
      <c r="H230">
        <v>60</v>
      </c>
      <c r="I230">
        <v>0</v>
      </c>
      <c r="M230">
        <v>0</v>
      </c>
      <c r="N230">
        <v>20</v>
      </c>
      <c r="O230">
        <v>10</v>
      </c>
      <c r="P230">
        <v>90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F230">
        <v>90</v>
      </c>
    </row>
    <row r="231" spans="1:32" x14ac:dyDescent="0.3">
      <c r="A231" s="4">
        <v>230</v>
      </c>
      <c r="B231" s="5">
        <v>224</v>
      </c>
      <c r="C231">
        <v>1198</v>
      </c>
      <c r="D231" t="s">
        <v>4097</v>
      </c>
      <c r="E231" t="s">
        <v>2157</v>
      </c>
      <c r="F231" t="s">
        <v>4098</v>
      </c>
      <c r="G231" t="s">
        <v>4099</v>
      </c>
      <c r="H231">
        <v>49.8</v>
      </c>
      <c r="I231">
        <v>10</v>
      </c>
      <c r="M231">
        <v>0</v>
      </c>
      <c r="N231">
        <v>20</v>
      </c>
      <c r="O231">
        <v>10</v>
      </c>
      <c r="P231">
        <v>89.8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F231">
        <v>89.8</v>
      </c>
    </row>
    <row r="232" spans="1:32" x14ac:dyDescent="0.3">
      <c r="A232" s="4">
        <v>231</v>
      </c>
      <c r="B232" s="5">
        <v>225</v>
      </c>
      <c r="C232">
        <v>787</v>
      </c>
      <c r="D232" t="s">
        <v>3145</v>
      </c>
      <c r="E232" t="s">
        <v>29</v>
      </c>
      <c r="F232" t="s">
        <v>81</v>
      </c>
      <c r="G232" t="s">
        <v>3146</v>
      </c>
      <c r="H232">
        <v>59.7</v>
      </c>
      <c r="I232">
        <v>0</v>
      </c>
      <c r="M232">
        <v>0</v>
      </c>
      <c r="N232">
        <v>20</v>
      </c>
      <c r="O232">
        <v>10</v>
      </c>
      <c r="P232">
        <v>89.7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F232">
        <v>89.7</v>
      </c>
    </row>
    <row r="233" spans="1:32" x14ac:dyDescent="0.3">
      <c r="A233" s="4">
        <v>232</v>
      </c>
      <c r="B233" s="5">
        <v>226</v>
      </c>
      <c r="C233">
        <v>1640</v>
      </c>
      <c r="D233" t="s">
        <v>5410</v>
      </c>
      <c r="E233" t="s">
        <v>744</v>
      </c>
      <c r="F233" t="s">
        <v>38</v>
      </c>
      <c r="G233" t="s">
        <v>5411</v>
      </c>
      <c r="H233">
        <v>59.7</v>
      </c>
      <c r="I233">
        <v>0</v>
      </c>
      <c r="M233">
        <v>0</v>
      </c>
      <c r="N233">
        <v>20</v>
      </c>
      <c r="O233">
        <v>10</v>
      </c>
      <c r="P233">
        <v>89.7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F233">
        <v>89.7</v>
      </c>
    </row>
    <row r="234" spans="1:32" x14ac:dyDescent="0.3">
      <c r="A234" s="4">
        <v>233</v>
      </c>
      <c r="B234" s="5">
        <v>227</v>
      </c>
      <c r="C234">
        <v>566</v>
      </c>
      <c r="D234" t="s">
        <v>6676</v>
      </c>
      <c r="E234" t="s">
        <v>26</v>
      </c>
      <c r="F234" t="s">
        <v>17</v>
      </c>
      <c r="G234" t="s">
        <v>6787</v>
      </c>
      <c r="H234">
        <v>46.59</v>
      </c>
      <c r="I234">
        <v>0</v>
      </c>
      <c r="L234">
        <v>10</v>
      </c>
      <c r="M234">
        <v>10</v>
      </c>
      <c r="N234">
        <v>20</v>
      </c>
      <c r="O234">
        <v>10</v>
      </c>
      <c r="P234">
        <v>86.59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3</v>
      </c>
      <c r="AA234">
        <v>0</v>
      </c>
      <c r="AF234">
        <v>89.59</v>
      </c>
    </row>
    <row r="235" spans="1:32" x14ac:dyDescent="0.3">
      <c r="A235" s="4">
        <v>234</v>
      </c>
      <c r="B235" s="5">
        <v>228</v>
      </c>
      <c r="C235">
        <v>240</v>
      </c>
      <c r="D235" t="s">
        <v>30913</v>
      </c>
      <c r="E235" t="s">
        <v>749</v>
      </c>
      <c r="F235" t="s">
        <v>2582</v>
      </c>
      <c r="G235" t="s">
        <v>30914</v>
      </c>
      <c r="H235">
        <v>59.4</v>
      </c>
      <c r="I235">
        <v>0</v>
      </c>
      <c r="M235">
        <v>0</v>
      </c>
      <c r="N235">
        <v>20</v>
      </c>
      <c r="O235">
        <v>10</v>
      </c>
      <c r="P235">
        <v>89.4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F235">
        <v>89.4</v>
      </c>
    </row>
    <row r="236" spans="1:32" x14ac:dyDescent="0.3">
      <c r="A236" s="4">
        <v>235</v>
      </c>
      <c r="B236" s="5">
        <v>229</v>
      </c>
      <c r="C236">
        <v>1500</v>
      </c>
      <c r="D236" t="s">
        <v>882</v>
      </c>
      <c r="E236" t="s">
        <v>883</v>
      </c>
      <c r="F236" t="s">
        <v>124</v>
      </c>
      <c r="G236" t="s">
        <v>884</v>
      </c>
      <c r="H236">
        <v>59.07</v>
      </c>
      <c r="I236">
        <v>0</v>
      </c>
      <c r="M236">
        <v>0</v>
      </c>
      <c r="N236">
        <v>20</v>
      </c>
      <c r="O236">
        <v>10</v>
      </c>
      <c r="P236">
        <v>89.07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 t="s">
        <v>130</v>
      </c>
      <c r="AF236">
        <v>89.07</v>
      </c>
    </row>
    <row r="237" spans="1:32" x14ac:dyDescent="0.3">
      <c r="A237" s="4">
        <v>236</v>
      </c>
      <c r="B237" s="5">
        <v>230</v>
      </c>
      <c r="C237">
        <v>1565</v>
      </c>
      <c r="D237" t="s">
        <v>645</v>
      </c>
      <c r="E237" t="s">
        <v>342</v>
      </c>
      <c r="F237" t="s">
        <v>343</v>
      </c>
      <c r="G237" t="s">
        <v>646</v>
      </c>
      <c r="H237">
        <v>48.87</v>
      </c>
      <c r="I237">
        <v>10</v>
      </c>
      <c r="M237">
        <v>0</v>
      </c>
      <c r="N237">
        <v>20</v>
      </c>
      <c r="O237">
        <v>10</v>
      </c>
      <c r="P237">
        <v>88.87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F237">
        <v>88.87</v>
      </c>
    </row>
    <row r="238" spans="1:32" x14ac:dyDescent="0.3">
      <c r="A238" s="4">
        <v>237</v>
      </c>
      <c r="B238" s="5">
        <v>231</v>
      </c>
      <c r="C238">
        <v>552</v>
      </c>
      <c r="D238" t="s">
        <v>4013</v>
      </c>
      <c r="E238" t="s">
        <v>213</v>
      </c>
      <c r="F238" t="s">
        <v>17</v>
      </c>
      <c r="G238" t="s">
        <v>5090</v>
      </c>
      <c r="H238">
        <v>52.8</v>
      </c>
      <c r="I238">
        <v>0</v>
      </c>
      <c r="M238">
        <v>0</v>
      </c>
      <c r="N238">
        <v>20</v>
      </c>
      <c r="O238">
        <v>10</v>
      </c>
      <c r="P238">
        <v>82.8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6</v>
      </c>
      <c r="AA238">
        <v>0</v>
      </c>
      <c r="AB238" t="s">
        <v>130</v>
      </c>
      <c r="AF238">
        <v>88.8</v>
      </c>
    </row>
    <row r="239" spans="1:32" x14ac:dyDescent="0.3">
      <c r="A239" s="4">
        <v>238</v>
      </c>
      <c r="B239" s="5">
        <v>232</v>
      </c>
      <c r="C239">
        <v>714</v>
      </c>
      <c r="D239" t="s">
        <v>5617</v>
      </c>
      <c r="E239" t="s">
        <v>147</v>
      </c>
      <c r="F239" t="s">
        <v>2561</v>
      </c>
      <c r="G239" t="s">
        <v>5618</v>
      </c>
      <c r="H239">
        <v>55.62</v>
      </c>
      <c r="I239">
        <v>0</v>
      </c>
      <c r="M239">
        <v>0</v>
      </c>
      <c r="N239">
        <v>20</v>
      </c>
      <c r="O239">
        <v>10</v>
      </c>
      <c r="P239">
        <v>85.62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3</v>
      </c>
      <c r="AA239">
        <v>0</v>
      </c>
      <c r="AF239">
        <v>88.62</v>
      </c>
    </row>
    <row r="240" spans="1:32" x14ac:dyDescent="0.3">
      <c r="A240" s="4">
        <v>239</v>
      </c>
      <c r="B240" s="5">
        <v>233</v>
      </c>
      <c r="C240">
        <v>7</v>
      </c>
      <c r="D240" t="s">
        <v>3662</v>
      </c>
      <c r="E240" t="s">
        <v>3663</v>
      </c>
      <c r="F240" t="s">
        <v>62</v>
      </c>
      <c r="G240" t="s">
        <v>3664</v>
      </c>
      <c r="H240">
        <v>48.54</v>
      </c>
      <c r="I240">
        <v>10</v>
      </c>
      <c r="M240">
        <v>0</v>
      </c>
      <c r="N240">
        <v>20</v>
      </c>
      <c r="O240">
        <v>10</v>
      </c>
      <c r="P240">
        <v>88.54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F240">
        <v>88.54</v>
      </c>
    </row>
    <row r="241" spans="1:32" x14ac:dyDescent="0.3">
      <c r="A241" s="4">
        <v>240</v>
      </c>
      <c r="B241" s="5">
        <v>234</v>
      </c>
      <c r="C241">
        <v>1121</v>
      </c>
      <c r="D241" t="s">
        <v>3024</v>
      </c>
      <c r="E241" t="s">
        <v>3025</v>
      </c>
      <c r="F241" t="s">
        <v>81</v>
      </c>
      <c r="G241" t="s">
        <v>3026</v>
      </c>
      <c r="H241">
        <v>58.5</v>
      </c>
      <c r="I241">
        <v>0</v>
      </c>
      <c r="M241">
        <v>0</v>
      </c>
      <c r="N241">
        <v>20</v>
      </c>
      <c r="O241">
        <v>10</v>
      </c>
      <c r="P241">
        <v>88.5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 t="s">
        <v>130</v>
      </c>
      <c r="AF241">
        <v>88.5</v>
      </c>
    </row>
    <row r="242" spans="1:32" x14ac:dyDescent="0.3">
      <c r="A242" s="4">
        <v>241</v>
      </c>
      <c r="B242" s="5">
        <v>235</v>
      </c>
      <c r="C242">
        <v>1481</v>
      </c>
      <c r="D242" t="s">
        <v>5545</v>
      </c>
      <c r="E242" t="s">
        <v>29</v>
      </c>
      <c r="F242" t="s">
        <v>416</v>
      </c>
      <c r="G242" t="s">
        <v>5546</v>
      </c>
      <c r="H242">
        <v>58.5</v>
      </c>
      <c r="I242">
        <v>0</v>
      </c>
      <c r="M242">
        <v>0</v>
      </c>
      <c r="N242">
        <v>20</v>
      </c>
      <c r="O242">
        <v>10</v>
      </c>
      <c r="P242">
        <v>88.5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F242">
        <v>88.5</v>
      </c>
    </row>
    <row r="243" spans="1:32" x14ac:dyDescent="0.3">
      <c r="A243" s="4">
        <v>242</v>
      </c>
      <c r="B243" s="5">
        <v>236</v>
      </c>
      <c r="C243">
        <v>434</v>
      </c>
      <c r="D243" t="s">
        <v>236</v>
      </c>
      <c r="E243" t="s">
        <v>132</v>
      </c>
      <c r="F243" t="s">
        <v>136</v>
      </c>
      <c r="G243" t="s">
        <v>3422</v>
      </c>
      <c r="H243">
        <v>55.38</v>
      </c>
      <c r="I243">
        <v>0</v>
      </c>
      <c r="M243">
        <v>0</v>
      </c>
      <c r="N243">
        <v>20</v>
      </c>
      <c r="O243">
        <v>10</v>
      </c>
      <c r="P243">
        <v>85.38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3</v>
      </c>
      <c r="AA243">
        <v>0</v>
      </c>
      <c r="AF243">
        <v>88.38</v>
      </c>
    </row>
    <row r="244" spans="1:32" x14ac:dyDescent="0.3">
      <c r="A244" s="4">
        <v>243</v>
      </c>
      <c r="B244" s="5">
        <v>237</v>
      </c>
      <c r="C244">
        <v>60</v>
      </c>
      <c r="D244" t="s">
        <v>2717</v>
      </c>
      <c r="E244" t="s">
        <v>88</v>
      </c>
      <c r="F244" t="s">
        <v>62</v>
      </c>
      <c r="G244" t="s">
        <v>2718</v>
      </c>
      <c r="H244">
        <v>55.08</v>
      </c>
      <c r="I244">
        <v>0</v>
      </c>
      <c r="M244">
        <v>0</v>
      </c>
      <c r="N244">
        <v>20</v>
      </c>
      <c r="O244">
        <v>10</v>
      </c>
      <c r="P244">
        <v>85.08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3</v>
      </c>
      <c r="AA244">
        <v>0</v>
      </c>
      <c r="AF244">
        <v>88.08</v>
      </c>
    </row>
    <row r="245" spans="1:32" x14ac:dyDescent="0.3">
      <c r="A245" s="4">
        <v>244</v>
      </c>
      <c r="B245" s="5">
        <v>238</v>
      </c>
      <c r="C245">
        <v>727</v>
      </c>
      <c r="D245" t="s">
        <v>4605</v>
      </c>
      <c r="E245" t="s">
        <v>110</v>
      </c>
      <c r="F245" t="s">
        <v>81</v>
      </c>
      <c r="G245" t="s">
        <v>4606</v>
      </c>
      <c r="H245">
        <v>42</v>
      </c>
      <c r="I245">
        <v>0</v>
      </c>
      <c r="L245">
        <v>10</v>
      </c>
      <c r="M245">
        <v>10</v>
      </c>
      <c r="N245">
        <v>20</v>
      </c>
      <c r="O245">
        <v>10</v>
      </c>
      <c r="P245">
        <v>82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6</v>
      </c>
      <c r="AA245">
        <v>0</v>
      </c>
      <c r="AF245">
        <v>88</v>
      </c>
    </row>
    <row r="246" spans="1:32" x14ac:dyDescent="0.3">
      <c r="A246" s="4">
        <v>245</v>
      </c>
      <c r="B246" s="5">
        <v>239</v>
      </c>
      <c r="C246">
        <v>479</v>
      </c>
      <c r="D246" t="s">
        <v>1573</v>
      </c>
      <c r="E246" t="s">
        <v>29</v>
      </c>
      <c r="F246" t="s">
        <v>20</v>
      </c>
      <c r="G246" t="s">
        <v>1574</v>
      </c>
      <c r="H246">
        <v>42</v>
      </c>
      <c r="I246">
        <v>10</v>
      </c>
      <c r="M246">
        <v>0</v>
      </c>
      <c r="N246">
        <v>20</v>
      </c>
      <c r="O246">
        <v>10</v>
      </c>
      <c r="P246">
        <v>82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6</v>
      </c>
      <c r="AA246">
        <v>0</v>
      </c>
      <c r="AF246">
        <v>88</v>
      </c>
    </row>
    <row r="247" spans="1:32" x14ac:dyDescent="0.3">
      <c r="A247" s="4">
        <v>246</v>
      </c>
      <c r="B247" s="5">
        <v>240</v>
      </c>
      <c r="C247">
        <v>1443</v>
      </c>
      <c r="D247" t="s">
        <v>3238</v>
      </c>
      <c r="E247" t="s">
        <v>54</v>
      </c>
      <c r="F247" t="s">
        <v>393</v>
      </c>
      <c r="G247" t="s">
        <v>3239</v>
      </c>
      <c r="H247">
        <v>42</v>
      </c>
      <c r="I247">
        <v>10</v>
      </c>
      <c r="M247">
        <v>0</v>
      </c>
      <c r="N247">
        <v>20</v>
      </c>
      <c r="O247">
        <v>10</v>
      </c>
      <c r="P247">
        <v>82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6</v>
      </c>
      <c r="AA247">
        <v>0</v>
      </c>
      <c r="AF247">
        <v>88</v>
      </c>
    </row>
    <row r="248" spans="1:32" x14ac:dyDescent="0.3">
      <c r="A248" s="4">
        <v>247</v>
      </c>
      <c r="B248" s="5">
        <v>241</v>
      </c>
      <c r="C248">
        <v>1026</v>
      </c>
      <c r="D248" t="s">
        <v>2066</v>
      </c>
      <c r="E248" t="s">
        <v>22</v>
      </c>
      <c r="F248" t="s">
        <v>68</v>
      </c>
      <c r="G248" t="s">
        <v>5644</v>
      </c>
      <c r="H248">
        <v>57.9</v>
      </c>
      <c r="I248">
        <v>0</v>
      </c>
      <c r="M248">
        <v>0</v>
      </c>
      <c r="N248">
        <v>20</v>
      </c>
      <c r="O248">
        <v>10</v>
      </c>
      <c r="P248">
        <v>87.9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F248">
        <v>87.9</v>
      </c>
    </row>
    <row r="249" spans="1:32" x14ac:dyDescent="0.3">
      <c r="A249" s="4">
        <v>248</v>
      </c>
      <c r="B249" s="5">
        <v>242</v>
      </c>
      <c r="C249">
        <v>1309</v>
      </c>
      <c r="D249" t="s">
        <v>5079</v>
      </c>
      <c r="E249" t="s">
        <v>5702</v>
      </c>
      <c r="F249" t="s">
        <v>20</v>
      </c>
      <c r="G249" t="s">
        <v>5703</v>
      </c>
      <c r="H249">
        <v>57.6</v>
      </c>
      <c r="I249">
        <v>0</v>
      </c>
      <c r="M249">
        <v>0</v>
      </c>
      <c r="N249">
        <v>20</v>
      </c>
      <c r="O249">
        <v>10</v>
      </c>
      <c r="P249">
        <v>87.6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F249">
        <v>87.6</v>
      </c>
    </row>
    <row r="250" spans="1:32" x14ac:dyDescent="0.3">
      <c r="A250" s="4">
        <v>249</v>
      </c>
      <c r="B250" s="5">
        <v>243</v>
      </c>
      <c r="C250">
        <v>1348</v>
      </c>
      <c r="D250" t="s">
        <v>5493</v>
      </c>
      <c r="E250" t="s">
        <v>143</v>
      </c>
      <c r="F250" t="s">
        <v>230</v>
      </c>
      <c r="G250" t="s">
        <v>5494</v>
      </c>
      <c r="H250">
        <v>47.49</v>
      </c>
      <c r="I250">
        <v>10</v>
      </c>
      <c r="M250">
        <v>0</v>
      </c>
      <c r="N250">
        <v>20</v>
      </c>
      <c r="O250">
        <v>10</v>
      </c>
      <c r="P250">
        <v>87.49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F250">
        <v>87.49</v>
      </c>
    </row>
    <row r="251" spans="1:32" x14ac:dyDescent="0.3">
      <c r="A251" s="4">
        <v>250</v>
      </c>
      <c r="B251" s="5">
        <v>244</v>
      </c>
      <c r="C251">
        <v>1592</v>
      </c>
      <c r="D251" t="s">
        <v>885</v>
      </c>
      <c r="E251" t="s">
        <v>268</v>
      </c>
      <c r="F251" t="s">
        <v>136</v>
      </c>
      <c r="G251" t="s">
        <v>886</v>
      </c>
      <c r="H251">
        <v>51.39</v>
      </c>
      <c r="I251">
        <v>0</v>
      </c>
      <c r="M251">
        <v>0</v>
      </c>
      <c r="N251">
        <v>20</v>
      </c>
      <c r="O251">
        <v>10</v>
      </c>
      <c r="P251">
        <v>81.39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6</v>
      </c>
      <c r="AA251">
        <v>0</v>
      </c>
      <c r="AF251">
        <v>87.39</v>
      </c>
    </row>
    <row r="252" spans="1:32" x14ac:dyDescent="0.3">
      <c r="A252" s="4">
        <v>251</v>
      </c>
      <c r="B252" s="5">
        <v>245</v>
      </c>
      <c r="C252">
        <v>1595</v>
      </c>
      <c r="D252" t="s">
        <v>24621</v>
      </c>
      <c r="E252" t="s">
        <v>967</v>
      </c>
      <c r="F252" t="s">
        <v>1023</v>
      </c>
      <c r="G252" t="s">
        <v>24622</v>
      </c>
      <c r="H252">
        <v>57.36</v>
      </c>
      <c r="I252">
        <v>0</v>
      </c>
      <c r="M252">
        <v>0</v>
      </c>
      <c r="N252">
        <v>20</v>
      </c>
      <c r="O252">
        <v>10</v>
      </c>
      <c r="P252">
        <v>87.36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F252">
        <v>87.36</v>
      </c>
    </row>
    <row r="253" spans="1:32" x14ac:dyDescent="0.3">
      <c r="A253" s="4">
        <v>252</v>
      </c>
      <c r="B253" s="5">
        <v>246</v>
      </c>
      <c r="C253">
        <v>70</v>
      </c>
      <c r="D253" t="s">
        <v>4763</v>
      </c>
      <c r="E253" t="s">
        <v>132</v>
      </c>
      <c r="F253" t="s">
        <v>91</v>
      </c>
      <c r="G253" t="s">
        <v>4764</v>
      </c>
      <c r="H253">
        <v>54.3</v>
      </c>
      <c r="I253">
        <v>0</v>
      </c>
      <c r="M253">
        <v>0</v>
      </c>
      <c r="N253">
        <v>20</v>
      </c>
      <c r="O253">
        <v>10</v>
      </c>
      <c r="P253">
        <v>84.3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3</v>
      </c>
      <c r="AA253">
        <v>0</v>
      </c>
      <c r="AF253">
        <v>87.3</v>
      </c>
    </row>
    <row r="254" spans="1:32" x14ac:dyDescent="0.3">
      <c r="A254" s="4">
        <v>253</v>
      </c>
      <c r="B254" s="5">
        <v>247</v>
      </c>
      <c r="C254">
        <v>1095</v>
      </c>
      <c r="D254" t="s">
        <v>1035</v>
      </c>
      <c r="E254" t="s">
        <v>33</v>
      </c>
      <c r="F254" t="s">
        <v>158</v>
      </c>
      <c r="G254" t="s">
        <v>1856</v>
      </c>
      <c r="H254">
        <v>57.3</v>
      </c>
      <c r="I254">
        <v>0</v>
      </c>
      <c r="M254">
        <v>0</v>
      </c>
      <c r="N254">
        <v>20</v>
      </c>
      <c r="O254">
        <v>10</v>
      </c>
      <c r="P254">
        <v>87.3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F254">
        <v>87.3</v>
      </c>
    </row>
    <row r="255" spans="1:32" x14ac:dyDescent="0.3">
      <c r="A255" s="4">
        <v>254</v>
      </c>
      <c r="B255" s="5">
        <v>248</v>
      </c>
      <c r="C255">
        <v>1491</v>
      </c>
      <c r="D255" t="s">
        <v>1406</v>
      </c>
      <c r="E255" t="s">
        <v>738</v>
      </c>
      <c r="F255" t="s">
        <v>442</v>
      </c>
      <c r="G255" t="s">
        <v>1407</v>
      </c>
      <c r="H255">
        <v>47.13</v>
      </c>
      <c r="I255">
        <v>10</v>
      </c>
      <c r="M255">
        <v>0</v>
      </c>
      <c r="N255">
        <v>20</v>
      </c>
      <c r="O255">
        <v>10</v>
      </c>
      <c r="P255">
        <v>87.13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F255">
        <v>87.13</v>
      </c>
    </row>
    <row r="256" spans="1:32" x14ac:dyDescent="0.3">
      <c r="A256" s="4">
        <v>255</v>
      </c>
      <c r="B256" s="5">
        <v>249</v>
      </c>
      <c r="C256">
        <v>1342</v>
      </c>
      <c r="D256" t="s">
        <v>513</v>
      </c>
      <c r="E256" t="s">
        <v>29</v>
      </c>
      <c r="F256" t="s">
        <v>20</v>
      </c>
      <c r="G256" t="s">
        <v>514</v>
      </c>
      <c r="H256">
        <v>57</v>
      </c>
      <c r="I256">
        <v>0</v>
      </c>
      <c r="M256">
        <v>0</v>
      </c>
      <c r="N256">
        <v>20</v>
      </c>
      <c r="O256">
        <v>10</v>
      </c>
      <c r="P256">
        <v>87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F256">
        <v>87</v>
      </c>
    </row>
    <row r="257" spans="1:32" x14ac:dyDescent="0.3">
      <c r="A257" s="4">
        <v>256</v>
      </c>
      <c r="B257" s="5">
        <v>250</v>
      </c>
      <c r="C257">
        <v>423</v>
      </c>
      <c r="D257" t="s">
        <v>4409</v>
      </c>
      <c r="E257" t="s">
        <v>286</v>
      </c>
      <c r="F257" t="s">
        <v>190</v>
      </c>
      <c r="G257" t="s">
        <v>4410</v>
      </c>
      <c r="H257">
        <v>57</v>
      </c>
      <c r="I257">
        <v>0</v>
      </c>
      <c r="M257">
        <v>0</v>
      </c>
      <c r="N257">
        <v>20</v>
      </c>
      <c r="O257">
        <v>10</v>
      </c>
      <c r="P257">
        <v>87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F257">
        <v>87</v>
      </c>
    </row>
    <row r="258" spans="1:32" x14ac:dyDescent="0.3">
      <c r="A258" s="4">
        <v>257</v>
      </c>
      <c r="B258" s="5">
        <v>251</v>
      </c>
      <c r="C258">
        <v>358</v>
      </c>
      <c r="D258" t="s">
        <v>3996</v>
      </c>
      <c r="E258" t="s">
        <v>166</v>
      </c>
      <c r="F258" t="s">
        <v>136</v>
      </c>
      <c r="G258" t="s">
        <v>3997</v>
      </c>
      <c r="H258">
        <v>37.71</v>
      </c>
      <c r="I258">
        <v>10</v>
      </c>
      <c r="M258">
        <v>0</v>
      </c>
      <c r="N258">
        <v>20</v>
      </c>
      <c r="O258">
        <v>10</v>
      </c>
      <c r="P258">
        <v>77.709999999999994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9</v>
      </c>
      <c r="AA258">
        <v>0</v>
      </c>
      <c r="AB258" t="s">
        <v>130</v>
      </c>
      <c r="AF258">
        <v>86.71</v>
      </c>
    </row>
    <row r="259" spans="1:32" x14ac:dyDescent="0.3">
      <c r="A259" s="4">
        <v>258</v>
      </c>
      <c r="B259" s="5">
        <v>252</v>
      </c>
      <c r="C259">
        <v>127</v>
      </c>
      <c r="D259" t="s">
        <v>2645</v>
      </c>
      <c r="E259" t="s">
        <v>29</v>
      </c>
      <c r="F259" t="s">
        <v>158</v>
      </c>
      <c r="G259" t="s">
        <v>8091</v>
      </c>
      <c r="H259">
        <v>46.2</v>
      </c>
      <c r="I259">
        <v>0</v>
      </c>
      <c r="L259">
        <v>10</v>
      </c>
      <c r="M259">
        <v>10</v>
      </c>
      <c r="N259">
        <v>20</v>
      </c>
      <c r="O259">
        <v>10</v>
      </c>
      <c r="P259">
        <v>86.2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F259">
        <v>86.2</v>
      </c>
    </row>
    <row r="260" spans="1:32" x14ac:dyDescent="0.3">
      <c r="A260" s="4">
        <v>259</v>
      </c>
      <c r="B260" s="5">
        <v>253</v>
      </c>
      <c r="C260">
        <v>656</v>
      </c>
      <c r="D260" t="s">
        <v>2554</v>
      </c>
      <c r="E260" t="s">
        <v>3221</v>
      </c>
      <c r="F260" t="s">
        <v>158</v>
      </c>
      <c r="G260" t="s">
        <v>6267</v>
      </c>
      <c r="H260">
        <v>46.2</v>
      </c>
      <c r="I260">
        <v>10</v>
      </c>
      <c r="M260">
        <v>0</v>
      </c>
      <c r="N260">
        <v>20</v>
      </c>
      <c r="O260">
        <v>10</v>
      </c>
      <c r="P260">
        <v>86.2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F260">
        <v>86.2</v>
      </c>
    </row>
    <row r="261" spans="1:32" x14ac:dyDescent="0.3">
      <c r="A261" s="4">
        <v>260</v>
      </c>
      <c r="B261" s="5">
        <v>254</v>
      </c>
      <c r="C261">
        <v>893</v>
      </c>
      <c r="D261" t="s">
        <v>4653</v>
      </c>
      <c r="E261" t="s">
        <v>255</v>
      </c>
      <c r="F261" t="s">
        <v>91</v>
      </c>
      <c r="G261" t="s">
        <v>4654</v>
      </c>
      <c r="H261">
        <v>46.2</v>
      </c>
      <c r="I261">
        <v>10</v>
      </c>
      <c r="M261">
        <v>0</v>
      </c>
      <c r="N261">
        <v>20</v>
      </c>
      <c r="O261">
        <v>10</v>
      </c>
      <c r="P261">
        <v>86.2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F261">
        <v>86.2</v>
      </c>
    </row>
    <row r="262" spans="1:32" x14ac:dyDescent="0.3">
      <c r="A262" s="4">
        <v>261</v>
      </c>
      <c r="B262" s="5">
        <v>255</v>
      </c>
      <c r="C262">
        <v>572</v>
      </c>
      <c r="D262" t="s">
        <v>1129</v>
      </c>
      <c r="E262" t="s">
        <v>115</v>
      </c>
      <c r="F262" t="s">
        <v>14</v>
      </c>
      <c r="G262" t="s">
        <v>3189</v>
      </c>
      <c r="H262">
        <v>56.1</v>
      </c>
      <c r="I262">
        <v>0</v>
      </c>
      <c r="M262">
        <v>0</v>
      </c>
      <c r="N262">
        <v>20</v>
      </c>
      <c r="O262">
        <v>10</v>
      </c>
      <c r="P262">
        <v>86.1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F262">
        <v>86.1</v>
      </c>
    </row>
    <row r="263" spans="1:32" x14ac:dyDescent="0.3">
      <c r="A263" s="4">
        <v>262</v>
      </c>
      <c r="B263" s="5">
        <v>256</v>
      </c>
      <c r="C263">
        <v>145</v>
      </c>
      <c r="D263" t="s">
        <v>5084</v>
      </c>
      <c r="E263" t="s">
        <v>48</v>
      </c>
      <c r="F263" t="s">
        <v>20</v>
      </c>
      <c r="G263" t="s">
        <v>5085</v>
      </c>
      <c r="H263">
        <v>49.92</v>
      </c>
      <c r="I263">
        <v>0</v>
      </c>
      <c r="M263">
        <v>0</v>
      </c>
      <c r="N263">
        <v>20</v>
      </c>
      <c r="O263">
        <v>10</v>
      </c>
      <c r="P263">
        <v>79.92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6</v>
      </c>
      <c r="AA263">
        <v>0</v>
      </c>
      <c r="AF263">
        <v>85.92</v>
      </c>
    </row>
    <row r="264" spans="1:32" x14ac:dyDescent="0.3">
      <c r="A264" s="4">
        <v>263</v>
      </c>
      <c r="B264" s="5">
        <v>257</v>
      </c>
      <c r="C264">
        <v>248</v>
      </c>
      <c r="D264" t="s">
        <v>5166</v>
      </c>
      <c r="E264" t="s">
        <v>29</v>
      </c>
      <c r="F264" t="s">
        <v>38</v>
      </c>
      <c r="G264" t="s">
        <v>5167</v>
      </c>
      <c r="H264">
        <v>46.8</v>
      </c>
      <c r="I264">
        <v>0</v>
      </c>
      <c r="M264">
        <v>0</v>
      </c>
      <c r="N264">
        <v>20</v>
      </c>
      <c r="O264">
        <v>10</v>
      </c>
      <c r="P264">
        <v>76.8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9</v>
      </c>
      <c r="AA264">
        <v>0</v>
      </c>
      <c r="AF264">
        <v>85.8</v>
      </c>
    </row>
    <row r="265" spans="1:32" x14ac:dyDescent="0.3">
      <c r="A265" s="4">
        <v>264</v>
      </c>
      <c r="B265" s="5">
        <v>258</v>
      </c>
      <c r="C265">
        <v>653</v>
      </c>
      <c r="D265" t="s">
        <v>5292</v>
      </c>
      <c r="E265" t="s">
        <v>166</v>
      </c>
      <c r="F265" t="s">
        <v>17</v>
      </c>
      <c r="G265" t="s">
        <v>5293</v>
      </c>
      <c r="H265">
        <v>49.8</v>
      </c>
      <c r="I265">
        <v>0</v>
      </c>
      <c r="M265">
        <v>0</v>
      </c>
      <c r="N265">
        <v>20</v>
      </c>
      <c r="O265">
        <v>10</v>
      </c>
      <c r="P265">
        <v>79.8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6</v>
      </c>
      <c r="AA265">
        <v>0</v>
      </c>
      <c r="AF265">
        <v>85.8</v>
      </c>
    </row>
    <row r="266" spans="1:32" x14ac:dyDescent="0.3">
      <c r="A266" s="4">
        <v>265</v>
      </c>
      <c r="B266" s="5">
        <v>259</v>
      </c>
      <c r="C266">
        <v>1343</v>
      </c>
      <c r="D266" t="s">
        <v>1549</v>
      </c>
      <c r="E266" t="s">
        <v>37</v>
      </c>
      <c r="F266" t="s">
        <v>343</v>
      </c>
      <c r="G266" t="s">
        <v>1550</v>
      </c>
      <c r="H266">
        <v>52.8</v>
      </c>
      <c r="I266">
        <v>0</v>
      </c>
      <c r="M266">
        <v>0</v>
      </c>
      <c r="N266">
        <v>20</v>
      </c>
      <c r="O266">
        <v>10</v>
      </c>
      <c r="P266">
        <v>82.8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3</v>
      </c>
      <c r="AA266">
        <v>0</v>
      </c>
      <c r="AF266">
        <v>85.8</v>
      </c>
    </row>
    <row r="267" spans="1:32" x14ac:dyDescent="0.3">
      <c r="A267" s="4">
        <v>266</v>
      </c>
      <c r="B267" s="5">
        <v>260</v>
      </c>
      <c r="C267">
        <v>1030</v>
      </c>
      <c r="D267" t="s">
        <v>246</v>
      </c>
      <c r="E267" t="s">
        <v>54</v>
      </c>
      <c r="F267" t="s">
        <v>38</v>
      </c>
      <c r="G267" t="s">
        <v>247</v>
      </c>
      <c r="H267">
        <v>45.21</v>
      </c>
      <c r="I267">
        <v>10</v>
      </c>
      <c r="L267">
        <v>10</v>
      </c>
      <c r="M267">
        <v>10</v>
      </c>
      <c r="N267">
        <v>20</v>
      </c>
      <c r="O267">
        <v>0</v>
      </c>
      <c r="P267">
        <v>85.21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F267">
        <v>85.21</v>
      </c>
    </row>
    <row r="268" spans="1:32" x14ac:dyDescent="0.3">
      <c r="A268" s="4">
        <v>267</v>
      </c>
      <c r="B268" s="5">
        <v>261</v>
      </c>
      <c r="C268">
        <v>920</v>
      </c>
      <c r="D268" t="s">
        <v>4192</v>
      </c>
      <c r="E268" t="s">
        <v>789</v>
      </c>
      <c r="F268" t="s">
        <v>68</v>
      </c>
      <c r="G268" t="s">
        <v>4193</v>
      </c>
      <c r="H268">
        <v>55.08</v>
      </c>
      <c r="I268">
        <v>0</v>
      </c>
      <c r="M268">
        <v>0</v>
      </c>
      <c r="N268">
        <v>20</v>
      </c>
      <c r="O268">
        <v>10</v>
      </c>
      <c r="P268">
        <v>85.08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F268">
        <v>85.08</v>
      </c>
    </row>
    <row r="269" spans="1:32" x14ac:dyDescent="0.3">
      <c r="A269" s="4">
        <v>268</v>
      </c>
      <c r="B269" s="5">
        <v>262</v>
      </c>
      <c r="C269">
        <v>633</v>
      </c>
      <c r="D269" t="s">
        <v>1950</v>
      </c>
      <c r="E269" t="s">
        <v>2401</v>
      </c>
      <c r="F269" t="s">
        <v>20</v>
      </c>
      <c r="G269" t="s">
        <v>3930</v>
      </c>
      <c r="H269">
        <v>42</v>
      </c>
      <c r="I269">
        <v>10</v>
      </c>
      <c r="M269">
        <v>0</v>
      </c>
      <c r="N269">
        <v>20</v>
      </c>
      <c r="O269">
        <v>10</v>
      </c>
      <c r="P269">
        <v>82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3</v>
      </c>
      <c r="AA269">
        <v>0</v>
      </c>
      <c r="AF269">
        <v>85</v>
      </c>
    </row>
    <row r="270" spans="1:32" x14ac:dyDescent="0.3">
      <c r="A270" s="4">
        <v>269</v>
      </c>
      <c r="B270" s="5">
        <v>263</v>
      </c>
      <c r="C270">
        <v>550</v>
      </c>
      <c r="D270" t="s">
        <v>2064</v>
      </c>
      <c r="E270" t="s">
        <v>161</v>
      </c>
      <c r="F270" t="s">
        <v>416</v>
      </c>
      <c r="G270" t="s">
        <v>2065</v>
      </c>
      <c r="H270">
        <v>48.6</v>
      </c>
      <c r="I270">
        <v>0</v>
      </c>
      <c r="M270">
        <v>0</v>
      </c>
      <c r="N270">
        <v>20</v>
      </c>
      <c r="O270">
        <v>10</v>
      </c>
      <c r="P270">
        <v>78.599999999999994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6</v>
      </c>
      <c r="AA270">
        <v>0</v>
      </c>
      <c r="AF270">
        <v>84.6</v>
      </c>
    </row>
    <row r="271" spans="1:32" x14ac:dyDescent="0.3">
      <c r="A271" s="4">
        <v>270</v>
      </c>
      <c r="B271" s="5">
        <v>264</v>
      </c>
      <c r="C271">
        <v>149</v>
      </c>
      <c r="D271" t="s">
        <v>5842</v>
      </c>
      <c r="E271" t="s">
        <v>789</v>
      </c>
      <c r="F271" t="s">
        <v>81</v>
      </c>
      <c r="G271" t="s">
        <v>5843</v>
      </c>
      <c r="H271">
        <v>53.7</v>
      </c>
      <c r="I271">
        <v>0</v>
      </c>
      <c r="J271">
        <v>20</v>
      </c>
      <c r="M271">
        <v>20</v>
      </c>
      <c r="N271">
        <v>0</v>
      </c>
      <c r="O271">
        <v>10</v>
      </c>
      <c r="P271">
        <v>83.7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F271">
        <v>83.7</v>
      </c>
    </row>
    <row r="272" spans="1:32" x14ac:dyDescent="0.3">
      <c r="A272" s="4">
        <v>271</v>
      </c>
      <c r="B272" s="5">
        <v>265</v>
      </c>
      <c r="C272">
        <v>1527</v>
      </c>
      <c r="D272" t="s">
        <v>4458</v>
      </c>
      <c r="E272" t="s">
        <v>29</v>
      </c>
      <c r="F272" t="s">
        <v>34</v>
      </c>
      <c r="G272" t="s">
        <v>6456</v>
      </c>
      <c r="H272">
        <v>47.19</v>
      </c>
      <c r="I272">
        <v>0</v>
      </c>
      <c r="M272">
        <v>0</v>
      </c>
      <c r="N272">
        <v>20</v>
      </c>
      <c r="O272">
        <v>10</v>
      </c>
      <c r="P272">
        <v>77.19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6</v>
      </c>
      <c r="AA272">
        <v>0</v>
      </c>
      <c r="AF272">
        <v>83.19</v>
      </c>
    </row>
    <row r="273" spans="1:32" x14ac:dyDescent="0.3">
      <c r="A273" s="4">
        <v>272</v>
      </c>
      <c r="B273" s="5">
        <v>266</v>
      </c>
      <c r="C273">
        <v>1231</v>
      </c>
      <c r="D273" t="s">
        <v>3309</v>
      </c>
      <c r="E273" t="s">
        <v>29</v>
      </c>
      <c r="F273" t="s">
        <v>6454</v>
      </c>
      <c r="G273" t="s">
        <v>6455</v>
      </c>
      <c r="H273">
        <v>47.19</v>
      </c>
      <c r="I273">
        <v>0</v>
      </c>
      <c r="M273">
        <v>0</v>
      </c>
      <c r="N273">
        <v>20</v>
      </c>
      <c r="O273">
        <v>10</v>
      </c>
      <c r="P273">
        <v>77.19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6</v>
      </c>
      <c r="AA273">
        <v>0</v>
      </c>
      <c r="AF273">
        <v>83.19</v>
      </c>
    </row>
    <row r="274" spans="1:32" x14ac:dyDescent="0.3">
      <c r="A274" s="4">
        <v>273</v>
      </c>
      <c r="B274" s="5">
        <v>267</v>
      </c>
      <c r="C274">
        <v>126</v>
      </c>
      <c r="D274" t="s">
        <v>1378</v>
      </c>
      <c r="E274" t="s">
        <v>166</v>
      </c>
      <c r="F274" t="s">
        <v>17</v>
      </c>
      <c r="G274" t="s">
        <v>1379</v>
      </c>
      <c r="H274">
        <v>57</v>
      </c>
      <c r="I274">
        <v>0</v>
      </c>
      <c r="M274">
        <v>0</v>
      </c>
      <c r="N274">
        <v>20</v>
      </c>
      <c r="O274">
        <v>0</v>
      </c>
      <c r="P274">
        <v>77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6</v>
      </c>
      <c r="AA274">
        <v>0</v>
      </c>
      <c r="AF274">
        <v>83</v>
      </c>
    </row>
    <row r="275" spans="1:32" x14ac:dyDescent="0.3">
      <c r="A275" s="4">
        <v>274</v>
      </c>
      <c r="B275" s="5">
        <v>268</v>
      </c>
      <c r="C275">
        <v>913</v>
      </c>
      <c r="D275" t="s">
        <v>5613</v>
      </c>
      <c r="E275" t="s">
        <v>258</v>
      </c>
      <c r="F275" t="s">
        <v>5614</v>
      </c>
      <c r="G275" t="s">
        <v>5615</v>
      </c>
      <c r="H275">
        <v>43.71</v>
      </c>
      <c r="I275">
        <v>0</v>
      </c>
      <c r="M275">
        <v>0</v>
      </c>
      <c r="N275">
        <v>20</v>
      </c>
      <c r="O275">
        <v>10</v>
      </c>
      <c r="P275">
        <v>73.709999999999994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9</v>
      </c>
      <c r="AA275">
        <v>0</v>
      </c>
      <c r="AF275">
        <v>82.71</v>
      </c>
    </row>
    <row r="276" spans="1:32" x14ac:dyDescent="0.3">
      <c r="A276" s="4">
        <v>275</v>
      </c>
      <c r="B276" s="5">
        <v>269</v>
      </c>
      <c r="C276">
        <v>156</v>
      </c>
      <c r="D276" t="s">
        <v>3033</v>
      </c>
      <c r="E276" t="s">
        <v>166</v>
      </c>
      <c r="F276" t="s">
        <v>20</v>
      </c>
      <c r="G276" t="s">
        <v>3034</v>
      </c>
      <c r="H276">
        <v>46.62</v>
      </c>
      <c r="I276">
        <v>10</v>
      </c>
      <c r="M276">
        <v>0</v>
      </c>
      <c r="N276">
        <v>20</v>
      </c>
      <c r="O276">
        <v>0</v>
      </c>
      <c r="P276">
        <v>76.62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6</v>
      </c>
      <c r="AA276">
        <v>0</v>
      </c>
      <c r="AF276">
        <v>82.62</v>
      </c>
    </row>
    <row r="277" spans="1:32" x14ac:dyDescent="0.3">
      <c r="A277" s="4">
        <v>276</v>
      </c>
      <c r="B277" s="5">
        <v>270</v>
      </c>
      <c r="C277">
        <v>1436</v>
      </c>
      <c r="D277" t="s">
        <v>30915</v>
      </c>
      <c r="E277" t="s">
        <v>613</v>
      </c>
      <c r="F277" t="s">
        <v>1367</v>
      </c>
      <c r="G277" t="s">
        <v>30916</v>
      </c>
      <c r="H277">
        <v>42.6</v>
      </c>
      <c r="I277">
        <v>10</v>
      </c>
      <c r="J277">
        <v>20</v>
      </c>
      <c r="M277">
        <v>20</v>
      </c>
      <c r="N277">
        <v>0</v>
      </c>
      <c r="O277">
        <v>10</v>
      </c>
      <c r="P277">
        <v>82.6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F277">
        <v>82.6</v>
      </c>
    </row>
    <row r="278" spans="1:32" x14ac:dyDescent="0.3">
      <c r="A278" s="4">
        <v>277</v>
      </c>
      <c r="B278" s="5">
        <v>271</v>
      </c>
      <c r="C278">
        <v>1094</v>
      </c>
      <c r="D278" t="s">
        <v>3253</v>
      </c>
      <c r="E278" t="s">
        <v>283</v>
      </c>
      <c r="F278" t="s">
        <v>68</v>
      </c>
      <c r="G278" t="s">
        <v>3254</v>
      </c>
      <c r="H278">
        <v>49.29</v>
      </c>
      <c r="I278">
        <v>0</v>
      </c>
      <c r="M278">
        <v>0</v>
      </c>
      <c r="N278">
        <v>20</v>
      </c>
      <c r="O278">
        <v>10</v>
      </c>
      <c r="P278">
        <v>79.290000000000006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3</v>
      </c>
      <c r="AA278">
        <v>0</v>
      </c>
      <c r="AF278">
        <v>82.29</v>
      </c>
    </row>
    <row r="279" spans="1:32" x14ac:dyDescent="0.3">
      <c r="A279" s="4">
        <v>278</v>
      </c>
      <c r="B279" s="5">
        <v>272</v>
      </c>
      <c r="C279">
        <v>1508</v>
      </c>
      <c r="D279" t="s">
        <v>767</v>
      </c>
      <c r="E279" t="s">
        <v>166</v>
      </c>
      <c r="F279" t="s">
        <v>298</v>
      </c>
      <c r="G279" t="s">
        <v>5656</v>
      </c>
      <c r="H279">
        <v>45.81</v>
      </c>
      <c r="I279">
        <v>0</v>
      </c>
      <c r="M279">
        <v>0</v>
      </c>
      <c r="N279">
        <v>20</v>
      </c>
      <c r="O279">
        <v>10</v>
      </c>
      <c r="P279">
        <v>75.81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6</v>
      </c>
      <c r="AA279">
        <v>0</v>
      </c>
      <c r="AF279">
        <v>81.81</v>
      </c>
    </row>
    <row r="280" spans="1:32" x14ac:dyDescent="0.3">
      <c r="A280" s="4">
        <v>279</v>
      </c>
      <c r="B280" s="5">
        <v>273</v>
      </c>
      <c r="C280">
        <v>528</v>
      </c>
      <c r="D280" t="s">
        <v>5743</v>
      </c>
      <c r="E280" t="s">
        <v>2481</v>
      </c>
      <c r="F280" t="s">
        <v>62</v>
      </c>
      <c r="G280" t="s">
        <v>5744</v>
      </c>
      <c r="H280">
        <v>41.79</v>
      </c>
      <c r="I280">
        <v>0</v>
      </c>
      <c r="L280">
        <v>10</v>
      </c>
      <c r="M280">
        <v>10</v>
      </c>
      <c r="N280">
        <v>20</v>
      </c>
      <c r="O280">
        <v>10</v>
      </c>
      <c r="P280">
        <v>81.790000000000006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F280">
        <v>81.790000000000006</v>
      </c>
    </row>
    <row r="281" spans="1:32" x14ac:dyDescent="0.3">
      <c r="A281" s="4">
        <v>280</v>
      </c>
      <c r="B281" s="5">
        <v>274</v>
      </c>
      <c r="C281">
        <v>612</v>
      </c>
      <c r="D281" t="s">
        <v>1766</v>
      </c>
      <c r="E281" t="s">
        <v>132</v>
      </c>
      <c r="F281" t="s">
        <v>81</v>
      </c>
      <c r="G281" t="s">
        <v>1767</v>
      </c>
      <c r="H281">
        <v>45</v>
      </c>
      <c r="I281">
        <v>0</v>
      </c>
      <c r="L281">
        <v>10</v>
      </c>
      <c r="M281">
        <v>10</v>
      </c>
      <c r="N281">
        <v>20</v>
      </c>
      <c r="O281">
        <v>0</v>
      </c>
      <c r="P281">
        <v>75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6</v>
      </c>
      <c r="AA281">
        <v>0</v>
      </c>
      <c r="AB281" t="s">
        <v>130</v>
      </c>
      <c r="AF281">
        <v>81</v>
      </c>
    </row>
    <row r="282" spans="1:32" x14ac:dyDescent="0.3">
      <c r="A282" s="4">
        <v>281</v>
      </c>
      <c r="B282" s="5">
        <v>275</v>
      </c>
      <c r="C282">
        <v>1083</v>
      </c>
      <c r="D282" t="s">
        <v>1276</v>
      </c>
      <c r="E282" t="s">
        <v>1277</v>
      </c>
      <c r="F282" t="s">
        <v>17</v>
      </c>
      <c r="G282" t="s">
        <v>1278</v>
      </c>
      <c r="H282">
        <v>50.61</v>
      </c>
      <c r="I282">
        <v>0</v>
      </c>
      <c r="M282">
        <v>0</v>
      </c>
      <c r="N282">
        <v>20</v>
      </c>
      <c r="O282">
        <v>10</v>
      </c>
      <c r="P282">
        <v>80.61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F282">
        <v>80.61</v>
      </c>
    </row>
    <row r="283" spans="1:32" x14ac:dyDescent="0.3">
      <c r="A283" s="4">
        <v>282</v>
      </c>
      <c r="B283" s="5">
        <v>276</v>
      </c>
      <c r="C283">
        <v>12</v>
      </c>
      <c r="D283" t="s">
        <v>4927</v>
      </c>
      <c r="E283" t="s">
        <v>4982</v>
      </c>
      <c r="F283" t="s">
        <v>17</v>
      </c>
      <c r="G283" t="s">
        <v>4983</v>
      </c>
      <c r="H283">
        <v>44.58</v>
      </c>
      <c r="I283">
        <v>0</v>
      </c>
      <c r="M283">
        <v>0</v>
      </c>
      <c r="N283">
        <v>20</v>
      </c>
      <c r="O283">
        <v>10</v>
      </c>
      <c r="P283">
        <v>74.58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6</v>
      </c>
      <c r="AA283">
        <v>0</v>
      </c>
      <c r="AF283">
        <v>80.58</v>
      </c>
    </row>
    <row r="284" spans="1:32" x14ac:dyDescent="0.3">
      <c r="A284" s="4">
        <v>283</v>
      </c>
      <c r="B284" s="5">
        <v>277</v>
      </c>
      <c r="C284">
        <v>745</v>
      </c>
      <c r="D284" t="s">
        <v>577</v>
      </c>
      <c r="E284" t="s">
        <v>471</v>
      </c>
      <c r="F284" t="s">
        <v>81</v>
      </c>
      <c r="G284" t="s">
        <v>3144</v>
      </c>
      <c r="H284">
        <v>59.7</v>
      </c>
      <c r="I284">
        <v>0</v>
      </c>
      <c r="M284">
        <v>0</v>
      </c>
      <c r="N284">
        <v>20</v>
      </c>
      <c r="O284">
        <v>0</v>
      </c>
      <c r="P284">
        <v>79.7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F284">
        <v>79.7</v>
      </c>
    </row>
    <row r="285" spans="1:32" x14ac:dyDescent="0.3">
      <c r="A285" s="4">
        <v>284</v>
      </c>
      <c r="B285" s="5">
        <v>278</v>
      </c>
      <c r="C285">
        <v>395</v>
      </c>
      <c r="D285" t="s">
        <v>4428</v>
      </c>
      <c r="E285" t="s">
        <v>54</v>
      </c>
      <c r="F285" t="s">
        <v>30</v>
      </c>
      <c r="G285" t="s">
        <v>4429</v>
      </c>
      <c r="H285">
        <v>59.7</v>
      </c>
      <c r="I285">
        <v>0</v>
      </c>
      <c r="M285">
        <v>0</v>
      </c>
      <c r="N285">
        <v>20</v>
      </c>
      <c r="O285">
        <v>0</v>
      </c>
      <c r="P285">
        <v>79.7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F285">
        <v>79.7</v>
      </c>
    </row>
    <row r="286" spans="1:32" x14ac:dyDescent="0.3">
      <c r="A286" s="4">
        <v>285</v>
      </c>
      <c r="B286" s="5">
        <v>279</v>
      </c>
      <c r="C286">
        <v>1745</v>
      </c>
      <c r="D286" t="s">
        <v>4693</v>
      </c>
      <c r="E286" t="s">
        <v>54</v>
      </c>
      <c r="F286" t="s">
        <v>38</v>
      </c>
      <c r="G286" t="s">
        <v>4694</v>
      </c>
      <c r="H286">
        <v>43.62</v>
      </c>
      <c r="I286">
        <v>0</v>
      </c>
      <c r="M286">
        <v>0</v>
      </c>
      <c r="N286">
        <v>20</v>
      </c>
      <c r="O286">
        <v>10</v>
      </c>
      <c r="P286">
        <v>73.62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6</v>
      </c>
      <c r="AA286">
        <v>0</v>
      </c>
      <c r="AF286">
        <v>79.62</v>
      </c>
    </row>
    <row r="287" spans="1:32" x14ac:dyDescent="0.3">
      <c r="A287" s="4">
        <v>286</v>
      </c>
      <c r="B287" s="5">
        <v>280</v>
      </c>
      <c r="C287">
        <v>286</v>
      </c>
      <c r="D287" t="s">
        <v>30917</v>
      </c>
      <c r="E287" t="s">
        <v>29</v>
      </c>
      <c r="F287" t="s">
        <v>81</v>
      </c>
      <c r="G287" t="s">
        <v>30918</v>
      </c>
      <c r="H287">
        <v>48.99</v>
      </c>
      <c r="I287">
        <v>0</v>
      </c>
      <c r="M287">
        <v>0</v>
      </c>
      <c r="N287">
        <v>20</v>
      </c>
      <c r="O287">
        <v>10</v>
      </c>
      <c r="P287">
        <v>78.989999999999995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F287">
        <v>78.989999999999995</v>
      </c>
    </row>
    <row r="288" spans="1:32" x14ac:dyDescent="0.3">
      <c r="A288" s="4">
        <v>287</v>
      </c>
      <c r="B288" s="5">
        <v>281</v>
      </c>
      <c r="C288">
        <v>1715</v>
      </c>
      <c r="D288" t="s">
        <v>1705</v>
      </c>
      <c r="E288" t="s">
        <v>54</v>
      </c>
      <c r="F288" t="s">
        <v>55</v>
      </c>
      <c r="G288" t="s">
        <v>1706</v>
      </c>
      <c r="H288">
        <v>46.92</v>
      </c>
      <c r="I288">
        <v>0</v>
      </c>
      <c r="M288">
        <v>0</v>
      </c>
      <c r="N288">
        <v>20</v>
      </c>
      <c r="O288">
        <v>0</v>
      </c>
      <c r="P288">
        <v>66.92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12</v>
      </c>
      <c r="AA288">
        <v>0</v>
      </c>
      <c r="AF288">
        <v>78.92</v>
      </c>
    </row>
    <row r="289" spans="1:32" x14ac:dyDescent="0.3">
      <c r="A289" s="4">
        <v>288</v>
      </c>
      <c r="B289" s="5">
        <v>282</v>
      </c>
      <c r="C289">
        <v>1043</v>
      </c>
      <c r="D289" t="s">
        <v>3218</v>
      </c>
      <c r="E289" t="s">
        <v>439</v>
      </c>
      <c r="F289" t="s">
        <v>17</v>
      </c>
      <c r="G289" t="s">
        <v>3219</v>
      </c>
      <c r="H289">
        <v>55.5</v>
      </c>
      <c r="I289">
        <v>0</v>
      </c>
      <c r="M289">
        <v>0</v>
      </c>
      <c r="N289">
        <v>20</v>
      </c>
      <c r="O289">
        <v>0</v>
      </c>
      <c r="P289">
        <v>75.5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3</v>
      </c>
      <c r="AA289">
        <v>0</v>
      </c>
      <c r="AF289">
        <v>78.5</v>
      </c>
    </row>
    <row r="290" spans="1:32" x14ac:dyDescent="0.3">
      <c r="A290" s="4">
        <v>289</v>
      </c>
      <c r="B290" s="5">
        <v>283</v>
      </c>
      <c r="C290">
        <v>150</v>
      </c>
      <c r="D290" t="s">
        <v>4988</v>
      </c>
      <c r="E290" t="s">
        <v>54</v>
      </c>
      <c r="F290" t="s">
        <v>243</v>
      </c>
      <c r="G290" t="s">
        <v>4989</v>
      </c>
      <c r="H290">
        <v>42.21</v>
      </c>
      <c r="I290">
        <v>10</v>
      </c>
      <c r="M290">
        <v>0</v>
      </c>
      <c r="N290">
        <v>20</v>
      </c>
      <c r="O290">
        <v>0</v>
      </c>
      <c r="P290">
        <v>72.209999999999994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6</v>
      </c>
      <c r="AA290">
        <v>0</v>
      </c>
      <c r="AF290">
        <v>78.209999999999994</v>
      </c>
    </row>
    <row r="291" spans="1:32" x14ac:dyDescent="0.3">
      <c r="A291" s="4">
        <v>290</v>
      </c>
      <c r="B291" s="5">
        <v>284</v>
      </c>
      <c r="C291">
        <v>981</v>
      </c>
      <c r="D291" t="s">
        <v>429</v>
      </c>
      <c r="E291" t="s">
        <v>188</v>
      </c>
      <c r="F291" t="s">
        <v>430</v>
      </c>
      <c r="G291" t="s">
        <v>431</v>
      </c>
      <c r="H291">
        <v>45.21</v>
      </c>
      <c r="I291">
        <v>10</v>
      </c>
      <c r="M291">
        <v>0</v>
      </c>
      <c r="N291">
        <v>20</v>
      </c>
      <c r="O291">
        <v>0</v>
      </c>
      <c r="P291">
        <v>75.209999999999994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3</v>
      </c>
      <c r="AA291">
        <v>0</v>
      </c>
      <c r="AB291" t="s">
        <v>130</v>
      </c>
      <c r="AF291">
        <v>78.209999999999994</v>
      </c>
    </row>
    <row r="292" spans="1:32" x14ac:dyDescent="0.3">
      <c r="A292" s="4">
        <v>291</v>
      </c>
      <c r="B292" s="5">
        <v>285</v>
      </c>
      <c r="C292">
        <v>934</v>
      </c>
      <c r="D292" t="s">
        <v>701</v>
      </c>
      <c r="E292" t="s">
        <v>550</v>
      </c>
      <c r="F292" t="s">
        <v>343</v>
      </c>
      <c r="G292" t="s">
        <v>990</v>
      </c>
      <c r="H292">
        <v>48.21</v>
      </c>
      <c r="I292">
        <v>0</v>
      </c>
      <c r="M292">
        <v>0</v>
      </c>
      <c r="N292">
        <v>20</v>
      </c>
      <c r="O292">
        <v>10</v>
      </c>
      <c r="P292">
        <v>78.209999999999994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F292">
        <v>78.209999999999994</v>
      </c>
    </row>
    <row r="293" spans="1:32" x14ac:dyDescent="0.3">
      <c r="A293" s="4">
        <v>292</v>
      </c>
      <c r="B293" s="5">
        <v>286</v>
      </c>
      <c r="C293">
        <v>636</v>
      </c>
      <c r="D293" t="s">
        <v>6773</v>
      </c>
      <c r="E293" t="s">
        <v>208</v>
      </c>
      <c r="F293" t="s">
        <v>124</v>
      </c>
      <c r="G293" t="s">
        <v>6774</v>
      </c>
      <c r="H293">
        <v>42</v>
      </c>
      <c r="I293">
        <v>0</v>
      </c>
      <c r="M293">
        <v>0</v>
      </c>
      <c r="N293">
        <v>20</v>
      </c>
      <c r="O293">
        <v>10</v>
      </c>
      <c r="P293">
        <v>72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6</v>
      </c>
      <c r="AA293">
        <v>0</v>
      </c>
      <c r="AF293">
        <v>78</v>
      </c>
    </row>
    <row r="294" spans="1:32" x14ac:dyDescent="0.3">
      <c r="A294" s="4">
        <v>293</v>
      </c>
      <c r="B294" s="5">
        <v>287</v>
      </c>
      <c r="C294">
        <v>538</v>
      </c>
      <c r="D294" t="s">
        <v>4016</v>
      </c>
      <c r="E294" t="s">
        <v>4017</v>
      </c>
      <c r="F294" t="s">
        <v>243</v>
      </c>
      <c r="G294" t="s">
        <v>4018</v>
      </c>
      <c r="H294">
        <v>48</v>
      </c>
      <c r="I294">
        <v>0</v>
      </c>
      <c r="M294">
        <v>0</v>
      </c>
      <c r="N294">
        <v>20</v>
      </c>
      <c r="O294">
        <v>10</v>
      </c>
      <c r="P294">
        <v>78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F294">
        <v>78</v>
      </c>
    </row>
    <row r="295" spans="1:32" x14ac:dyDescent="0.3">
      <c r="A295" s="4">
        <v>294</v>
      </c>
      <c r="B295" s="5">
        <v>288</v>
      </c>
      <c r="C295">
        <v>1606</v>
      </c>
      <c r="D295" t="s">
        <v>5759</v>
      </c>
      <c r="E295" t="s">
        <v>3964</v>
      </c>
      <c r="F295" t="s">
        <v>892</v>
      </c>
      <c r="G295" t="s">
        <v>5760</v>
      </c>
      <c r="H295">
        <v>57.3</v>
      </c>
      <c r="I295">
        <v>0</v>
      </c>
      <c r="L295">
        <v>10</v>
      </c>
      <c r="M295">
        <v>10</v>
      </c>
      <c r="N295">
        <v>0</v>
      </c>
      <c r="O295">
        <v>10</v>
      </c>
      <c r="P295">
        <v>77.3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F295">
        <v>77.3</v>
      </c>
    </row>
    <row r="296" spans="1:32" x14ac:dyDescent="0.3">
      <c r="A296" s="4">
        <v>295</v>
      </c>
      <c r="B296" s="5">
        <v>289</v>
      </c>
      <c r="C296">
        <v>1177</v>
      </c>
      <c r="D296" t="s">
        <v>1296</v>
      </c>
      <c r="E296" t="s">
        <v>2542</v>
      </c>
      <c r="F296" t="s">
        <v>2543</v>
      </c>
      <c r="G296" t="s">
        <v>2544</v>
      </c>
      <c r="H296">
        <v>51</v>
      </c>
      <c r="I296">
        <v>10</v>
      </c>
      <c r="M296">
        <v>0</v>
      </c>
      <c r="N296">
        <v>0</v>
      </c>
      <c r="O296">
        <v>10</v>
      </c>
      <c r="P296">
        <v>71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6</v>
      </c>
      <c r="AA296">
        <v>0</v>
      </c>
      <c r="AF296">
        <v>77</v>
      </c>
    </row>
    <row r="297" spans="1:32" x14ac:dyDescent="0.3">
      <c r="A297" s="4">
        <v>296</v>
      </c>
      <c r="B297" s="5">
        <v>290</v>
      </c>
      <c r="C297">
        <v>583</v>
      </c>
      <c r="D297" t="s">
        <v>4286</v>
      </c>
      <c r="E297" t="s">
        <v>789</v>
      </c>
      <c r="F297" t="s">
        <v>136</v>
      </c>
      <c r="G297" t="s">
        <v>5222</v>
      </c>
      <c r="H297">
        <v>37.590000000000003</v>
      </c>
      <c r="I297">
        <v>0</v>
      </c>
      <c r="M297">
        <v>0</v>
      </c>
      <c r="N297">
        <v>20</v>
      </c>
      <c r="O297">
        <v>10</v>
      </c>
      <c r="P297">
        <v>67.59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9</v>
      </c>
      <c r="AA297">
        <v>0</v>
      </c>
      <c r="AB297" t="s">
        <v>130</v>
      </c>
      <c r="AF297">
        <v>76.59</v>
      </c>
    </row>
    <row r="298" spans="1:32" x14ac:dyDescent="0.3">
      <c r="A298" s="4">
        <v>297</v>
      </c>
      <c r="B298" s="5">
        <v>291</v>
      </c>
      <c r="C298">
        <v>863</v>
      </c>
      <c r="D298" t="s">
        <v>459</v>
      </c>
      <c r="E298" t="s">
        <v>166</v>
      </c>
      <c r="F298" t="s">
        <v>158</v>
      </c>
      <c r="G298" t="s">
        <v>5952</v>
      </c>
      <c r="H298">
        <v>46.35</v>
      </c>
      <c r="I298">
        <v>0</v>
      </c>
      <c r="M298">
        <v>0</v>
      </c>
      <c r="N298">
        <v>20</v>
      </c>
      <c r="O298">
        <v>10</v>
      </c>
      <c r="P298">
        <v>76.349999999999994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F298">
        <v>76.349999999999994</v>
      </c>
    </row>
    <row r="299" spans="1:32" x14ac:dyDescent="0.3">
      <c r="A299" s="4">
        <v>298</v>
      </c>
      <c r="B299" s="5">
        <v>292</v>
      </c>
      <c r="C299">
        <v>1482</v>
      </c>
      <c r="D299" t="s">
        <v>30919</v>
      </c>
      <c r="E299" t="s">
        <v>286</v>
      </c>
      <c r="F299" t="s">
        <v>38</v>
      </c>
      <c r="G299" t="s">
        <v>30920</v>
      </c>
      <c r="H299">
        <v>55.8</v>
      </c>
      <c r="I299">
        <v>0</v>
      </c>
      <c r="L299">
        <v>10</v>
      </c>
      <c r="M299">
        <v>10</v>
      </c>
      <c r="N299">
        <v>0</v>
      </c>
      <c r="O299">
        <v>10</v>
      </c>
      <c r="P299">
        <v>75.8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F299">
        <v>75.8</v>
      </c>
    </row>
    <row r="300" spans="1:32" x14ac:dyDescent="0.3">
      <c r="A300" s="4">
        <v>299</v>
      </c>
      <c r="B300" s="5">
        <v>293</v>
      </c>
      <c r="C300">
        <v>64</v>
      </c>
      <c r="D300" t="s">
        <v>2963</v>
      </c>
      <c r="E300" t="s">
        <v>2964</v>
      </c>
      <c r="F300" t="s">
        <v>34</v>
      </c>
      <c r="G300" t="s">
        <v>2965</v>
      </c>
      <c r="H300">
        <v>52.32</v>
      </c>
      <c r="I300">
        <v>0</v>
      </c>
      <c r="L300">
        <v>10</v>
      </c>
      <c r="M300">
        <v>10</v>
      </c>
      <c r="N300">
        <v>0</v>
      </c>
      <c r="O300">
        <v>10</v>
      </c>
      <c r="P300">
        <v>72.319999999999993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3</v>
      </c>
      <c r="AA300">
        <v>0</v>
      </c>
      <c r="AF300">
        <v>75.319999999999993</v>
      </c>
    </row>
    <row r="301" spans="1:32" x14ac:dyDescent="0.3">
      <c r="A301" s="4">
        <v>300</v>
      </c>
      <c r="B301" s="5">
        <v>294</v>
      </c>
      <c r="C301">
        <v>1220</v>
      </c>
      <c r="D301" t="s">
        <v>6280</v>
      </c>
      <c r="E301" t="s">
        <v>132</v>
      </c>
      <c r="F301" t="s">
        <v>17</v>
      </c>
      <c r="G301" t="s">
        <v>6281</v>
      </c>
      <c r="H301">
        <v>39.21</v>
      </c>
      <c r="I301">
        <v>0</v>
      </c>
      <c r="M301">
        <v>0</v>
      </c>
      <c r="N301">
        <v>20</v>
      </c>
      <c r="O301">
        <v>10</v>
      </c>
      <c r="P301">
        <v>69.209999999999994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6</v>
      </c>
      <c r="AA301">
        <v>0</v>
      </c>
      <c r="AF301">
        <v>75.209999999999994</v>
      </c>
    </row>
    <row r="302" spans="1:32" x14ac:dyDescent="0.3">
      <c r="A302" s="4">
        <v>301</v>
      </c>
      <c r="B302" s="5">
        <v>295</v>
      </c>
      <c r="C302">
        <v>1560</v>
      </c>
      <c r="D302" t="s">
        <v>30921</v>
      </c>
      <c r="E302" t="s">
        <v>30922</v>
      </c>
      <c r="F302" t="s">
        <v>81</v>
      </c>
      <c r="G302" t="s">
        <v>30923</v>
      </c>
      <c r="H302">
        <v>42</v>
      </c>
      <c r="I302">
        <v>0</v>
      </c>
      <c r="J302">
        <v>20</v>
      </c>
      <c r="M302">
        <v>20</v>
      </c>
      <c r="N302">
        <v>0</v>
      </c>
      <c r="O302">
        <v>10</v>
      </c>
      <c r="P302">
        <v>72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  <c r="AA302">
        <v>0</v>
      </c>
      <c r="AF302">
        <v>75</v>
      </c>
    </row>
    <row r="303" spans="1:32" x14ac:dyDescent="0.3">
      <c r="A303" s="4">
        <v>302</v>
      </c>
      <c r="B303" s="5">
        <v>296</v>
      </c>
      <c r="C303">
        <v>674</v>
      </c>
      <c r="D303" t="s">
        <v>6137</v>
      </c>
      <c r="E303" t="s">
        <v>161</v>
      </c>
      <c r="F303" t="s">
        <v>30</v>
      </c>
      <c r="G303" t="s">
        <v>6138</v>
      </c>
      <c r="H303">
        <v>54.6</v>
      </c>
      <c r="I303">
        <v>0</v>
      </c>
      <c r="L303">
        <v>10</v>
      </c>
      <c r="M303">
        <v>10</v>
      </c>
      <c r="N303">
        <v>0</v>
      </c>
      <c r="O303">
        <v>10</v>
      </c>
      <c r="P303">
        <v>74.599999999999994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F303">
        <v>74.599999999999994</v>
      </c>
    </row>
    <row r="304" spans="1:32" x14ac:dyDescent="0.3">
      <c r="A304" s="4">
        <v>303</v>
      </c>
      <c r="B304" s="5">
        <v>297</v>
      </c>
      <c r="C304">
        <v>954</v>
      </c>
      <c r="D304" t="s">
        <v>5326</v>
      </c>
      <c r="E304" t="s">
        <v>29</v>
      </c>
      <c r="F304" t="s">
        <v>136</v>
      </c>
      <c r="G304" t="s">
        <v>5327</v>
      </c>
      <c r="H304">
        <v>58.5</v>
      </c>
      <c r="I304">
        <v>0</v>
      </c>
      <c r="M304">
        <v>0</v>
      </c>
      <c r="N304">
        <v>0</v>
      </c>
      <c r="O304">
        <v>10</v>
      </c>
      <c r="P304">
        <v>68.5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6</v>
      </c>
      <c r="AA304">
        <v>0</v>
      </c>
      <c r="AF304">
        <v>74.5</v>
      </c>
    </row>
    <row r="305" spans="1:32" x14ac:dyDescent="0.3">
      <c r="A305" s="4">
        <v>304</v>
      </c>
      <c r="B305" s="5">
        <v>298</v>
      </c>
      <c r="C305">
        <v>1023</v>
      </c>
      <c r="D305" t="s">
        <v>7054</v>
      </c>
      <c r="E305" t="s">
        <v>166</v>
      </c>
      <c r="F305" t="s">
        <v>20</v>
      </c>
      <c r="G305" t="s">
        <v>7055</v>
      </c>
      <c r="H305">
        <v>38.4</v>
      </c>
      <c r="I305">
        <v>0</v>
      </c>
      <c r="M305">
        <v>0</v>
      </c>
      <c r="N305">
        <v>20</v>
      </c>
      <c r="O305">
        <v>10</v>
      </c>
      <c r="P305">
        <v>68.400000000000006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6</v>
      </c>
      <c r="AA305">
        <v>0</v>
      </c>
      <c r="AF305">
        <v>74.400000000000006</v>
      </c>
    </row>
    <row r="306" spans="1:32" x14ac:dyDescent="0.3">
      <c r="A306" s="4">
        <v>305</v>
      </c>
      <c r="B306" s="5">
        <v>299</v>
      </c>
      <c r="C306">
        <v>684</v>
      </c>
      <c r="D306" t="s">
        <v>4061</v>
      </c>
      <c r="E306" t="s">
        <v>2852</v>
      </c>
      <c r="F306" t="s">
        <v>259</v>
      </c>
      <c r="G306" t="s">
        <v>4062</v>
      </c>
      <c r="H306">
        <v>45.03</v>
      </c>
      <c r="I306">
        <v>0</v>
      </c>
      <c r="M306">
        <v>0</v>
      </c>
      <c r="N306">
        <v>20</v>
      </c>
      <c r="O306">
        <v>0</v>
      </c>
      <c r="P306">
        <v>65.03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9</v>
      </c>
      <c r="AA306">
        <v>0</v>
      </c>
      <c r="AF306">
        <v>74.03</v>
      </c>
    </row>
    <row r="307" spans="1:32" x14ac:dyDescent="0.3">
      <c r="A307" s="4">
        <v>306</v>
      </c>
      <c r="B307" s="5">
        <v>300</v>
      </c>
      <c r="C307">
        <v>163</v>
      </c>
      <c r="D307" t="s">
        <v>3959</v>
      </c>
      <c r="E307" t="s">
        <v>132</v>
      </c>
      <c r="F307" t="s">
        <v>17</v>
      </c>
      <c r="G307" t="s">
        <v>32033</v>
      </c>
      <c r="H307">
        <v>54</v>
      </c>
      <c r="I307">
        <v>0</v>
      </c>
      <c r="M307">
        <v>0</v>
      </c>
      <c r="N307">
        <v>20</v>
      </c>
      <c r="O307">
        <v>0</v>
      </c>
      <c r="P307">
        <v>74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F307">
        <v>74</v>
      </c>
    </row>
    <row r="308" spans="1:32" x14ac:dyDescent="0.3">
      <c r="A308" s="4">
        <v>307</v>
      </c>
      <c r="B308" s="5">
        <v>301</v>
      </c>
      <c r="C308">
        <v>433</v>
      </c>
      <c r="D308" t="s">
        <v>1641</v>
      </c>
      <c r="E308" t="s">
        <v>2538</v>
      </c>
      <c r="F308" t="s">
        <v>14</v>
      </c>
      <c r="G308" t="s">
        <v>4368</v>
      </c>
      <c r="H308">
        <v>58.8</v>
      </c>
      <c r="I308">
        <v>0</v>
      </c>
      <c r="M308">
        <v>0</v>
      </c>
      <c r="N308">
        <v>0</v>
      </c>
      <c r="O308">
        <v>10</v>
      </c>
      <c r="P308">
        <v>68.8</v>
      </c>
      <c r="Q308">
        <v>5</v>
      </c>
      <c r="R308">
        <v>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5</v>
      </c>
      <c r="Z308">
        <v>0</v>
      </c>
      <c r="AA308">
        <v>0</v>
      </c>
      <c r="AF308">
        <v>73.8</v>
      </c>
    </row>
    <row r="309" spans="1:32" x14ac:dyDescent="0.3">
      <c r="A309" s="4">
        <v>308</v>
      </c>
      <c r="B309" s="5">
        <v>302</v>
      </c>
      <c r="C309">
        <v>1012</v>
      </c>
      <c r="D309" t="s">
        <v>5130</v>
      </c>
      <c r="E309" t="s">
        <v>110</v>
      </c>
      <c r="F309" t="s">
        <v>30</v>
      </c>
      <c r="G309" t="s">
        <v>5131</v>
      </c>
      <c r="H309">
        <v>40.35</v>
      </c>
      <c r="I309">
        <v>0</v>
      </c>
      <c r="M309">
        <v>0</v>
      </c>
      <c r="N309">
        <v>20</v>
      </c>
      <c r="O309">
        <v>10</v>
      </c>
      <c r="P309">
        <v>70.349999999999994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3</v>
      </c>
      <c r="AA309">
        <v>0</v>
      </c>
      <c r="AF309">
        <v>73.349999999999994</v>
      </c>
    </row>
    <row r="310" spans="1:32" x14ac:dyDescent="0.3">
      <c r="A310" s="4">
        <v>309</v>
      </c>
      <c r="B310" s="5">
        <v>303</v>
      </c>
      <c r="C310">
        <v>488</v>
      </c>
      <c r="D310" t="s">
        <v>6561</v>
      </c>
      <c r="E310" t="s">
        <v>2795</v>
      </c>
      <c r="F310" t="s">
        <v>30</v>
      </c>
      <c r="G310" t="s">
        <v>6562</v>
      </c>
      <c r="H310">
        <v>40.29</v>
      </c>
      <c r="I310">
        <v>0</v>
      </c>
      <c r="M310">
        <v>0</v>
      </c>
      <c r="N310">
        <v>20</v>
      </c>
      <c r="O310">
        <v>10</v>
      </c>
      <c r="P310">
        <v>70.290000000000006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3</v>
      </c>
      <c r="AA310">
        <v>0</v>
      </c>
      <c r="AF310">
        <v>73.290000000000006</v>
      </c>
    </row>
    <row r="311" spans="1:32" x14ac:dyDescent="0.3">
      <c r="A311" s="4">
        <v>310</v>
      </c>
      <c r="B311" s="5">
        <v>304</v>
      </c>
      <c r="C311">
        <v>1456</v>
      </c>
      <c r="D311" t="s">
        <v>5915</v>
      </c>
      <c r="E311" t="s">
        <v>283</v>
      </c>
      <c r="F311" t="s">
        <v>17</v>
      </c>
      <c r="G311" t="s">
        <v>6625</v>
      </c>
      <c r="H311">
        <v>39.81</v>
      </c>
      <c r="I311">
        <v>0</v>
      </c>
      <c r="M311">
        <v>0</v>
      </c>
      <c r="N311">
        <v>20</v>
      </c>
      <c r="O311">
        <v>10</v>
      </c>
      <c r="P311">
        <v>69.81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3</v>
      </c>
      <c r="AA311">
        <v>0</v>
      </c>
      <c r="AF311">
        <v>72.81</v>
      </c>
    </row>
    <row r="312" spans="1:32" x14ac:dyDescent="0.3">
      <c r="A312" s="4">
        <v>311</v>
      </c>
      <c r="B312" s="5">
        <v>305</v>
      </c>
      <c r="C312">
        <v>546</v>
      </c>
      <c r="D312" t="s">
        <v>767</v>
      </c>
      <c r="E312" t="s">
        <v>97</v>
      </c>
      <c r="F312" t="s">
        <v>136</v>
      </c>
      <c r="G312" t="s">
        <v>768</v>
      </c>
      <c r="H312">
        <v>56.79</v>
      </c>
      <c r="I312">
        <v>0</v>
      </c>
      <c r="M312">
        <v>0</v>
      </c>
      <c r="N312">
        <v>0</v>
      </c>
      <c r="O312">
        <v>10</v>
      </c>
      <c r="P312">
        <v>66.790000000000006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6</v>
      </c>
      <c r="AA312">
        <v>0</v>
      </c>
      <c r="AF312">
        <v>72.790000000000006</v>
      </c>
    </row>
    <row r="313" spans="1:32" x14ac:dyDescent="0.3">
      <c r="A313" s="4">
        <v>312</v>
      </c>
      <c r="B313" s="5">
        <v>306</v>
      </c>
      <c r="C313">
        <v>1068</v>
      </c>
      <c r="D313" t="s">
        <v>682</v>
      </c>
      <c r="E313" t="s">
        <v>208</v>
      </c>
      <c r="F313" t="s">
        <v>17</v>
      </c>
      <c r="G313" t="s">
        <v>4523</v>
      </c>
      <c r="H313">
        <v>59.1</v>
      </c>
      <c r="I313">
        <v>0</v>
      </c>
      <c r="M313">
        <v>0</v>
      </c>
      <c r="N313">
        <v>0</v>
      </c>
      <c r="O313">
        <v>10</v>
      </c>
      <c r="P313">
        <v>69.099999999999994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3</v>
      </c>
      <c r="AA313">
        <v>0</v>
      </c>
      <c r="AF313">
        <v>72.099999999999994</v>
      </c>
    </row>
    <row r="314" spans="1:32" x14ac:dyDescent="0.3">
      <c r="A314" s="4">
        <v>313</v>
      </c>
      <c r="B314" s="5">
        <v>307</v>
      </c>
      <c r="C314">
        <v>1330</v>
      </c>
      <c r="D314" t="s">
        <v>3315</v>
      </c>
      <c r="E314" t="s">
        <v>479</v>
      </c>
      <c r="F314" t="s">
        <v>136</v>
      </c>
      <c r="G314" t="s">
        <v>3316</v>
      </c>
      <c r="H314">
        <v>41.79</v>
      </c>
      <c r="I314">
        <v>0</v>
      </c>
      <c r="M314">
        <v>0</v>
      </c>
      <c r="N314">
        <v>20</v>
      </c>
      <c r="O314">
        <v>10</v>
      </c>
      <c r="P314">
        <v>71.790000000000006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F314">
        <v>71.790000000000006</v>
      </c>
    </row>
    <row r="315" spans="1:32" x14ac:dyDescent="0.3">
      <c r="A315" s="4">
        <v>314</v>
      </c>
      <c r="B315" s="5">
        <v>308</v>
      </c>
      <c r="C315">
        <v>1334</v>
      </c>
      <c r="D315" t="s">
        <v>5915</v>
      </c>
      <c r="E315" t="s">
        <v>178</v>
      </c>
      <c r="F315" t="s">
        <v>343</v>
      </c>
      <c r="G315" t="s">
        <v>5916</v>
      </c>
      <c r="H315">
        <v>55.5</v>
      </c>
      <c r="I315">
        <v>0</v>
      </c>
      <c r="M315">
        <v>0</v>
      </c>
      <c r="N315">
        <v>0</v>
      </c>
      <c r="O315">
        <v>10</v>
      </c>
      <c r="P315">
        <v>65.5</v>
      </c>
      <c r="Q315">
        <v>5</v>
      </c>
      <c r="R315">
        <v>5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5</v>
      </c>
      <c r="Z315">
        <v>0</v>
      </c>
      <c r="AA315">
        <v>0</v>
      </c>
      <c r="AF315">
        <v>70.5</v>
      </c>
    </row>
    <row r="316" spans="1:32" x14ac:dyDescent="0.3">
      <c r="A316" s="4">
        <v>315</v>
      </c>
      <c r="B316" s="5">
        <v>309</v>
      </c>
      <c r="C316">
        <v>1157</v>
      </c>
      <c r="D316" t="s">
        <v>3889</v>
      </c>
      <c r="E316" t="s">
        <v>4769</v>
      </c>
      <c r="F316" t="s">
        <v>68</v>
      </c>
      <c r="G316" t="s">
        <v>7410</v>
      </c>
      <c r="H316">
        <v>36.75</v>
      </c>
      <c r="I316">
        <v>0</v>
      </c>
      <c r="M316">
        <v>0</v>
      </c>
      <c r="N316">
        <v>20</v>
      </c>
      <c r="O316">
        <v>10</v>
      </c>
      <c r="P316">
        <v>66.75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3</v>
      </c>
      <c r="AA316">
        <v>0</v>
      </c>
      <c r="AB316" t="s">
        <v>130</v>
      </c>
      <c r="AF316">
        <v>69.75</v>
      </c>
    </row>
    <row r="317" spans="1:32" x14ac:dyDescent="0.3">
      <c r="A317" s="4">
        <v>316</v>
      </c>
      <c r="B317" s="5">
        <v>310</v>
      </c>
      <c r="C317">
        <v>1086</v>
      </c>
      <c r="D317" t="s">
        <v>4359</v>
      </c>
      <c r="E317" t="s">
        <v>157</v>
      </c>
      <c r="F317" t="s">
        <v>158</v>
      </c>
      <c r="G317" t="s">
        <v>4360</v>
      </c>
      <c r="H317">
        <v>53.7</v>
      </c>
      <c r="I317">
        <v>0</v>
      </c>
      <c r="M317">
        <v>0</v>
      </c>
      <c r="N317">
        <v>0</v>
      </c>
      <c r="O317">
        <v>10</v>
      </c>
      <c r="P317">
        <v>63.7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6</v>
      </c>
      <c r="AA317">
        <v>0</v>
      </c>
      <c r="AF317">
        <v>69.7</v>
      </c>
    </row>
    <row r="318" spans="1:32" x14ac:dyDescent="0.3">
      <c r="A318" s="4">
        <v>317</v>
      </c>
      <c r="B318" s="5">
        <v>311</v>
      </c>
      <c r="C318">
        <v>1760</v>
      </c>
      <c r="D318" t="s">
        <v>5838</v>
      </c>
      <c r="E318" t="s">
        <v>1300</v>
      </c>
      <c r="F318" t="s">
        <v>17</v>
      </c>
      <c r="G318" t="s">
        <v>5839</v>
      </c>
      <c r="H318">
        <v>59.7</v>
      </c>
      <c r="I318">
        <v>0</v>
      </c>
      <c r="M318">
        <v>0</v>
      </c>
      <c r="N318">
        <v>0</v>
      </c>
      <c r="O318">
        <v>10</v>
      </c>
      <c r="P318">
        <v>69.7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F318">
        <v>69.7</v>
      </c>
    </row>
    <row r="319" spans="1:32" x14ac:dyDescent="0.3">
      <c r="A319" s="4">
        <v>318</v>
      </c>
      <c r="B319" s="5">
        <v>312</v>
      </c>
      <c r="C319">
        <v>895</v>
      </c>
      <c r="D319" t="s">
        <v>4805</v>
      </c>
      <c r="E319" t="s">
        <v>54</v>
      </c>
      <c r="F319" t="s">
        <v>81</v>
      </c>
      <c r="G319" t="s">
        <v>4806</v>
      </c>
      <c r="H319">
        <v>59.4</v>
      </c>
      <c r="I319">
        <v>0</v>
      </c>
      <c r="M319">
        <v>0</v>
      </c>
      <c r="N319">
        <v>0</v>
      </c>
      <c r="O319">
        <v>10</v>
      </c>
      <c r="P319">
        <v>69.400000000000006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F319">
        <v>69.400000000000006</v>
      </c>
    </row>
    <row r="320" spans="1:32" x14ac:dyDescent="0.3">
      <c r="A320" s="4">
        <v>319</v>
      </c>
      <c r="B320" s="5">
        <v>313</v>
      </c>
      <c r="C320">
        <v>694</v>
      </c>
      <c r="D320" t="s">
        <v>421</v>
      </c>
      <c r="E320" t="s">
        <v>178</v>
      </c>
      <c r="F320" t="s">
        <v>17</v>
      </c>
      <c r="G320" t="s">
        <v>5029</v>
      </c>
      <c r="H320">
        <v>57.9</v>
      </c>
      <c r="I320">
        <v>0</v>
      </c>
      <c r="M320">
        <v>0</v>
      </c>
      <c r="N320">
        <v>0</v>
      </c>
      <c r="O320">
        <v>10</v>
      </c>
      <c r="P320">
        <v>67.900000000000006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F320">
        <v>67.900000000000006</v>
      </c>
    </row>
    <row r="321" spans="1:32" x14ac:dyDescent="0.3">
      <c r="A321" s="4">
        <v>320</v>
      </c>
      <c r="B321" s="5">
        <v>314</v>
      </c>
      <c r="C321">
        <v>697</v>
      </c>
      <c r="D321" t="s">
        <v>632</v>
      </c>
      <c r="E321" t="s">
        <v>88</v>
      </c>
      <c r="F321" t="s">
        <v>633</v>
      </c>
      <c r="G321" t="s">
        <v>634</v>
      </c>
      <c r="H321">
        <v>37.200000000000003</v>
      </c>
      <c r="I321">
        <v>0</v>
      </c>
      <c r="M321">
        <v>0</v>
      </c>
      <c r="N321">
        <v>20</v>
      </c>
      <c r="O321">
        <v>10</v>
      </c>
      <c r="P321">
        <v>67.2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F321">
        <v>67.2</v>
      </c>
    </row>
    <row r="322" spans="1:32" x14ac:dyDescent="0.3">
      <c r="A322" s="4">
        <v>321</v>
      </c>
      <c r="B322" s="5">
        <v>315</v>
      </c>
      <c r="C322">
        <v>835</v>
      </c>
      <c r="D322" t="s">
        <v>1555</v>
      </c>
      <c r="E322" t="s">
        <v>54</v>
      </c>
      <c r="F322" t="s">
        <v>238</v>
      </c>
      <c r="G322" t="s">
        <v>3933</v>
      </c>
      <c r="H322">
        <v>53.37</v>
      </c>
      <c r="I322">
        <v>0</v>
      </c>
      <c r="M322">
        <v>0</v>
      </c>
      <c r="N322">
        <v>0</v>
      </c>
      <c r="O322">
        <v>10</v>
      </c>
      <c r="P322">
        <v>63.37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3</v>
      </c>
      <c r="AA322">
        <v>0</v>
      </c>
      <c r="AF322">
        <v>66.37</v>
      </c>
    </row>
    <row r="323" spans="1:32" x14ac:dyDescent="0.3">
      <c r="A323" s="4">
        <v>322</v>
      </c>
      <c r="B323" s="5">
        <v>316</v>
      </c>
      <c r="C323">
        <v>97</v>
      </c>
      <c r="D323" t="s">
        <v>5294</v>
      </c>
      <c r="E323" t="s">
        <v>29</v>
      </c>
      <c r="F323" t="s">
        <v>117</v>
      </c>
      <c r="G323" t="s">
        <v>5295</v>
      </c>
      <c r="H323">
        <v>55.8</v>
      </c>
      <c r="I323">
        <v>0</v>
      </c>
      <c r="M323">
        <v>0</v>
      </c>
      <c r="N323">
        <v>0</v>
      </c>
      <c r="O323">
        <v>10</v>
      </c>
      <c r="P323">
        <v>65.8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F323">
        <v>65.8</v>
      </c>
    </row>
    <row r="324" spans="1:32" x14ac:dyDescent="0.3">
      <c r="A324" s="4">
        <v>323</v>
      </c>
      <c r="B324" s="5">
        <v>317</v>
      </c>
      <c r="C324">
        <v>1076</v>
      </c>
      <c r="D324" t="s">
        <v>6336</v>
      </c>
      <c r="E324" t="s">
        <v>110</v>
      </c>
      <c r="F324" t="s">
        <v>1748</v>
      </c>
      <c r="G324" t="s">
        <v>30924</v>
      </c>
      <c r="H324">
        <v>55.5</v>
      </c>
      <c r="I324">
        <v>0</v>
      </c>
      <c r="M324">
        <v>0</v>
      </c>
      <c r="N324">
        <v>0</v>
      </c>
      <c r="O324">
        <v>10</v>
      </c>
      <c r="P324">
        <v>65.5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F324">
        <v>65.5</v>
      </c>
    </row>
    <row r="325" spans="1:32" x14ac:dyDescent="0.3">
      <c r="A325" s="4">
        <v>324</v>
      </c>
      <c r="B325" s="5">
        <v>318</v>
      </c>
      <c r="C325">
        <v>1397</v>
      </c>
      <c r="D325" t="s">
        <v>7076</v>
      </c>
      <c r="E325" t="s">
        <v>1117</v>
      </c>
      <c r="F325" t="s">
        <v>7077</v>
      </c>
      <c r="G325" t="s">
        <v>7078</v>
      </c>
      <c r="H325">
        <v>54</v>
      </c>
      <c r="I325">
        <v>10</v>
      </c>
      <c r="M325">
        <v>0</v>
      </c>
      <c r="N325">
        <v>0</v>
      </c>
      <c r="O325">
        <v>0</v>
      </c>
      <c r="P325">
        <v>64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 t="s">
        <v>130</v>
      </c>
      <c r="AF325">
        <v>64</v>
      </c>
    </row>
    <row r="326" spans="1:32" x14ac:dyDescent="0.3">
      <c r="A326" s="4">
        <v>325</v>
      </c>
      <c r="B326" s="5">
        <v>319</v>
      </c>
      <c r="C326">
        <v>1173</v>
      </c>
      <c r="D326" t="s">
        <v>1849</v>
      </c>
      <c r="E326" t="s">
        <v>1280</v>
      </c>
      <c r="F326" t="s">
        <v>30</v>
      </c>
      <c r="G326" t="s">
        <v>1850</v>
      </c>
      <c r="H326">
        <v>37.29</v>
      </c>
      <c r="I326">
        <v>0</v>
      </c>
      <c r="M326">
        <v>0</v>
      </c>
      <c r="N326">
        <v>20</v>
      </c>
      <c r="O326">
        <v>0</v>
      </c>
      <c r="P326">
        <v>57.29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6</v>
      </c>
      <c r="AA326">
        <v>0</v>
      </c>
      <c r="AF326">
        <v>63.29</v>
      </c>
    </row>
    <row r="327" spans="1:32" x14ac:dyDescent="0.3">
      <c r="A327" s="4">
        <v>326</v>
      </c>
      <c r="B327" s="5">
        <v>320</v>
      </c>
      <c r="C327">
        <v>1694</v>
      </c>
      <c r="D327" t="s">
        <v>2816</v>
      </c>
      <c r="E327" t="s">
        <v>238</v>
      </c>
      <c r="F327" t="s">
        <v>2017</v>
      </c>
      <c r="G327" t="s">
        <v>7148</v>
      </c>
      <c r="H327">
        <v>48.9</v>
      </c>
      <c r="I327">
        <v>0</v>
      </c>
      <c r="M327">
        <v>0</v>
      </c>
      <c r="N327">
        <v>0</v>
      </c>
      <c r="O327">
        <v>10</v>
      </c>
      <c r="P327">
        <v>58.9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F327">
        <v>58.9</v>
      </c>
    </row>
    <row r="328" spans="1:32" x14ac:dyDescent="0.3">
      <c r="A328" s="4">
        <v>327</v>
      </c>
      <c r="B328" s="5">
        <v>321</v>
      </c>
      <c r="C328">
        <v>1421</v>
      </c>
      <c r="D328" t="s">
        <v>2227</v>
      </c>
      <c r="E328" t="s">
        <v>342</v>
      </c>
      <c r="F328" t="s">
        <v>488</v>
      </c>
      <c r="G328" t="s">
        <v>2228</v>
      </c>
      <c r="H328">
        <v>37.65</v>
      </c>
      <c r="I328">
        <v>0</v>
      </c>
      <c r="M328">
        <v>0</v>
      </c>
      <c r="N328">
        <v>20</v>
      </c>
      <c r="O328">
        <v>0</v>
      </c>
      <c r="P328">
        <v>57.65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 t="s">
        <v>130</v>
      </c>
      <c r="AF328">
        <v>57.65</v>
      </c>
    </row>
    <row r="329" spans="1:32" x14ac:dyDescent="0.3">
      <c r="A329" s="4">
        <v>328</v>
      </c>
      <c r="B329" s="5">
        <v>322</v>
      </c>
      <c r="C329">
        <v>412</v>
      </c>
      <c r="D329" t="s">
        <v>2695</v>
      </c>
      <c r="E329" t="s">
        <v>967</v>
      </c>
      <c r="F329" t="s">
        <v>81</v>
      </c>
      <c r="G329" t="s">
        <v>5313</v>
      </c>
      <c r="H329">
        <v>40.65</v>
      </c>
      <c r="I329">
        <v>0</v>
      </c>
      <c r="M329">
        <v>0</v>
      </c>
      <c r="N329">
        <v>0</v>
      </c>
      <c r="O329">
        <v>10</v>
      </c>
      <c r="P329">
        <v>50.65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6</v>
      </c>
      <c r="AA329">
        <v>0</v>
      </c>
      <c r="AF329">
        <v>56.65</v>
      </c>
    </row>
    <row r="330" spans="1:32" x14ac:dyDescent="0.3">
      <c r="A330" s="4">
        <v>329</v>
      </c>
      <c r="B330" s="5">
        <v>323</v>
      </c>
      <c r="C330">
        <v>1451</v>
      </c>
      <c r="D330" t="s">
        <v>2720</v>
      </c>
      <c r="E330" t="s">
        <v>54</v>
      </c>
      <c r="F330" t="s">
        <v>2721</v>
      </c>
      <c r="G330" t="s">
        <v>2722</v>
      </c>
      <c r="H330">
        <v>54.3</v>
      </c>
      <c r="I330">
        <v>0</v>
      </c>
      <c r="M330">
        <v>0</v>
      </c>
      <c r="N330">
        <v>0</v>
      </c>
      <c r="O330">
        <v>0</v>
      </c>
      <c r="P330">
        <v>54.3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F330">
        <v>54.3</v>
      </c>
    </row>
    <row r="331" spans="1:32" x14ac:dyDescent="0.3">
      <c r="A331" s="4">
        <v>330</v>
      </c>
      <c r="B331" s="5">
        <v>324</v>
      </c>
      <c r="C331">
        <v>945</v>
      </c>
      <c r="D331" t="s">
        <v>5215</v>
      </c>
      <c r="E331" t="s">
        <v>2122</v>
      </c>
      <c r="F331" t="s">
        <v>7576</v>
      </c>
      <c r="G331" t="s">
        <v>30925</v>
      </c>
      <c r="H331">
        <v>54</v>
      </c>
      <c r="I331">
        <v>0</v>
      </c>
      <c r="M331">
        <v>0</v>
      </c>
      <c r="N331">
        <v>0</v>
      </c>
      <c r="O331">
        <v>0</v>
      </c>
      <c r="P331">
        <v>54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F331">
        <v>54</v>
      </c>
    </row>
    <row r="332" spans="1:32" x14ac:dyDescent="0.3">
      <c r="A332" s="4">
        <v>331</v>
      </c>
      <c r="B332" s="5">
        <v>325</v>
      </c>
      <c r="C332">
        <v>1096</v>
      </c>
      <c r="D332" t="s">
        <v>6879</v>
      </c>
      <c r="E332" t="s">
        <v>789</v>
      </c>
      <c r="F332" t="s">
        <v>5971</v>
      </c>
      <c r="G332" t="s">
        <v>6880</v>
      </c>
      <c r="H332">
        <v>47.79</v>
      </c>
      <c r="I332">
        <v>0</v>
      </c>
      <c r="M332">
        <v>0</v>
      </c>
      <c r="N332">
        <v>0</v>
      </c>
      <c r="O332">
        <v>0</v>
      </c>
      <c r="P332">
        <v>47.79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6</v>
      </c>
      <c r="AA332">
        <v>0</v>
      </c>
      <c r="AF332">
        <v>53.79</v>
      </c>
    </row>
    <row r="333" spans="1:32" x14ac:dyDescent="0.3">
      <c r="A333" s="4">
        <v>332</v>
      </c>
      <c r="B333" s="5">
        <v>326</v>
      </c>
      <c r="C333">
        <v>1236</v>
      </c>
      <c r="D333" t="s">
        <v>181</v>
      </c>
      <c r="E333" t="s">
        <v>161</v>
      </c>
      <c r="F333" t="s">
        <v>17</v>
      </c>
      <c r="G333" t="s">
        <v>6203</v>
      </c>
      <c r="H333">
        <v>42.81</v>
      </c>
      <c r="I333">
        <v>0</v>
      </c>
      <c r="M333">
        <v>0</v>
      </c>
      <c r="N333">
        <v>0</v>
      </c>
      <c r="O333">
        <v>10</v>
      </c>
      <c r="P333">
        <v>52.81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F333">
        <v>52.81</v>
      </c>
    </row>
    <row r="334" spans="1:32" x14ac:dyDescent="0.3">
      <c r="A334" s="4">
        <v>333</v>
      </c>
      <c r="B334" s="5">
        <v>327</v>
      </c>
      <c r="C334">
        <v>224</v>
      </c>
      <c r="D334" t="s">
        <v>4644</v>
      </c>
      <c r="E334" t="s">
        <v>132</v>
      </c>
      <c r="F334" t="s">
        <v>136</v>
      </c>
      <c r="G334" t="s">
        <v>4645</v>
      </c>
      <c r="H334">
        <v>52.23</v>
      </c>
      <c r="I334">
        <v>0</v>
      </c>
      <c r="M334">
        <v>0</v>
      </c>
      <c r="N334">
        <v>0</v>
      </c>
      <c r="O334">
        <v>0</v>
      </c>
      <c r="P334">
        <v>52.23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F334">
        <v>52.23</v>
      </c>
    </row>
    <row r="335" spans="1:32" x14ac:dyDescent="0.3">
      <c r="A335" s="4">
        <v>334</v>
      </c>
      <c r="B335" s="5">
        <v>328</v>
      </c>
      <c r="C335">
        <v>245</v>
      </c>
      <c r="D335" t="s">
        <v>6765</v>
      </c>
      <c r="E335" t="s">
        <v>41</v>
      </c>
      <c r="F335" t="s">
        <v>38</v>
      </c>
      <c r="G335" t="s">
        <v>6766</v>
      </c>
      <c r="H335">
        <v>41.58</v>
      </c>
      <c r="I335">
        <v>0</v>
      </c>
      <c r="M335">
        <v>0</v>
      </c>
      <c r="N335">
        <v>0</v>
      </c>
      <c r="O335">
        <v>10</v>
      </c>
      <c r="P335">
        <v>51.58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F335">
        <v>51.58</v>
      </c>
    </row>
    <row r="336" spans="1:32" x14ac:dyDescent="0.3">
      <c r="A336" s="4">
        <v>335</v>
      </c>
      <c r="B336" s="5">
        <v>329</v>
      </c>
      <c r="C336">
        <v>1653</v>
      </c>
      <c r="D336" t="s">
        <v>7811</v>
      </c>
      <c r="E336" t="s">
        <v>136</v>
      </c>
      <c r="F336" t="s">
        <v>30</v>
      </c>
      <c r="G336" t="s">
        <v>7812</v>
      </c>
      <c r="H336">
        <v>30</v>
      </c>
      <c r="I336">
        <v>0</v>
      </c>
      <c r="L336">
        <v>10</v>
      </c>
      <c r="M336">
        <v>10</v>
      </c>
      <c r="N336">
        <v>0</v>
      </c>
      <c r="O336">
        <v>10</v>
      </c>
      <c r="P336">
        <v>50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F336">
        <v>50</v>
      </c>
    </row>
    <row r="337" spans="1:32" x14ac:dyDescent="0.3">
      <c r="A337" s="4">
        <v>336</v>
      </c>
      <c r="B337" s="5">
        <v>330</v>
      </c>
      <c r="C337">
        <v>1382</v>
      </c>
      <c r="D337" t="s">
        <v>30926</v>
      </c>
      <c r="E337" t="s">
        <v>29</v>
      </c>
      <c r="F337" t="s">
        <v>81</v>
      </c>
      <c r="G337" t="s">
        <v>30927</v>
      </c>
      <c r="H337">
        <v>47.4</v>
      </c>
      <c r="I337">
        <v>0</v>
      </c>
      <c r="M337">
        <v>0</v>
      </c>
      <c r="N337">
        <v>0</v>
      </c>
      <c r="O337">
        <v>0</v>
      </c>
      <c r="P337">
        <v>47.4</v>
      </c>
      <c r="Q337">
        <v>1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0</v>
      </c>
      <c r="AA337">
        <v>0</v>
      </c>
      <c r="AF337">
        <v>48.4</v>
      </c>
    </row>
    <row r="338" spans="1:32" x14ac:dyDescent="0.3">
      <c r="A338" s="4">
        <v>337</v>
      </c>
      <c r="B338" s="5">
        <v>331</v>
      </c>
      <c r="C338">
        <v>186</v>
      </c>
      <c r="D338" t="s">
        <v>2635</v>
      </c>
      <c r="E338" t="s">
        <v>400</v>
      </c>
      <c r="F338" t="s">
        <v>243</v>
      </c>
      <c r="G338" t="s">
        <v>32037</v>
      </c>
      <c r="H338">
        <v>41.79</v>
      </c>
      <c r="I338">
        <v>0</v>
      </c>
      <c r="M338">
        <v>0</v>
      </c>
      <c r="N338">
        <v>0</v>
      </c>
      <c r="O338">
        <v>0</v>
      </c>
      <c r="P338">
        <v>41.79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6</v>
      </c>
      <c r="AA338">
        <v>0</v>
      </c>
      <c r="AF338">
        <v>47.79</v>
      </c>
    </row>
    <row r="339" spans="1:32" x14ac:dyDescent="0.3">
      <c r="A339" s="4">
        <v>338</v>
      </c>
      <c r="B339" s="5">
        <v>332</v>
      </c>
      <c r="C339">
        <v>720</v>
      </c>
      <c r="D339" t="s">
        <v>3149</v>
      </c>
      <c r="E339" t="s">
        <v>26</v>
      </c>
      <c r="F339" t="s">
        <v>782</v>
      </c>
      <c r="G339" t="s">
        <v>3150</v>
      </c>
      <c r="H339">
        <v>33.6</v>
      </c>
      <c r="I339">
        <v>10</v>
      </c>
      <c r="M339">
        <v>0</v>
      </c>
      <c r="N339">
        <v>0</v>
      </c>
      <c r="O339">
        <v>0</v>
      </c>
      <c r="P339">
        <v>43.6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F339">
        <v>43.6</v>
      </c>
    </row>
    <row r="341" spans="1:32" x14ac:dyDescent="0.3">
      <c r="A341" s="3" t="s">
        <v>8356</v>
      </c>
    </row>
    <row r="342" spans="1:32" x14ac:dyDescent="0.3">
      <c r="A342" s="3" t="s">
        <v>30528</v>
      </c>
    </row>
    <row r="343" spans="1:32" x14ac:dyDescent="0.3">
      <c r="A343" s="3" t="s">
        <v>30529</v>
      </c>
    </row>
    <row r="344" spans="1:32" x14ac:dyDescent="0.3">
      <c r="A344" s="3" t="s">
        <v>30530</v>
      </c>
    </row>
    <row r="345" spans="1:32" x14ac:dyDescent="0.3">
      <c r="A345" s="3" t="s">
        <v>30531</v>
      </c>
    </row>
    <row r="346" spans="1:32" x14ac:dyDescent="0.3">
      <c r="A346" s="3" t="s">
        <v>30532</v>
      </c>
    </row>
    <row r="347" spans="1:32" s="4" customFormat="1" x14ac:dyDescent="0.3">
      <c r="A347" s="3" t="s">
        <v>30533</v>
      </c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</row>
    <row r="348" spans="1:32" s="4" customFormat="1" x14ac:dyDescent="0.3">
      <c r="A348" s="3" t="s">
        <v>30534</v>
      </c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</row>
    <row r="349" spans="1:32" s="4" customFormat="1" x14ac:dyDescent="0.3">
      <c r="A349" s="3" t="s">
        <v>30535</v>
      </c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</row>
    <row r="350" spans="1:32" s="4" customFormat="1" x14ac:dyDescent="0.3">
      <c r="A350" s="3" t="s">
        <v>8365</v>
      </c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</row>
    <row r="351" spans="1:32" s="4" customFormat="1" x14ac:dyDescent="0.3">
      <c r="A351" s="3" t="s">
        <v>8366</v>
      </c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</row>
    <row r="352" spans="1:32" s="4" customFormat="1" x14ac:dyDescent="0.3">
      <c r="A352" s="3" t="s">
        <v>30536</v>
      </c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</row>
    <row r="353" spans="1:32" s="4" customFormat="1" x14ac:dyDescent="0.3">
      <c r="A353" s="3" t="s">
        <v>30537</v>
      </c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</row>
    <row r="354" spans="1:32" s="4" customFormat="1" x14ac:dyDescent="0.3">
      <c r="A354" s="3" t="s">
        <v>30538</v>
      </c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</row>
    <row r="355" spans="1:32" s="4" customFormat="1" x14ac:dyDescent="0.3">
      <c r="A355" s="3" t="s">
        <v>30539</v>
      </c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</row>
    <row r="356" spans="1:32" s="4" customFormat="1" x14ac:dyDescent="0.3">
      <c r="A356" s="3" t="s">
        <v>30540</v>
      </c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</row>
    <row r="357" spans="1:32" s="4" customFormat="1" x14ac:dyDescent="0.3">
      <c r="A357" s="3" t="s">
        <v>30541</v>
      </c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</row>
    <row r="358" spans="1:32" s="4" customFormat="1" x14ac:dyDescent="0.3">
      <c r="A358" s="3" t="s">
        <v>30542</v>
      </c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</row>
    <row r="359" spans="1:32" s="4" customFormat="1" x14ac:dyDescent="0.3">
      <c r="A359" s="3" t="s">
        <v>30543</v>
      </c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</row>
    <row r="360" spans="1:32" s="4" customFormat="1" x14ac:dyDescent="0.3">
      <c r="A360" s="3" t="s">
        <v>30544</v>
      </c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</row>
    <row r="361" spans="1:32" s="4" customFormat="1" x14ac:dyDescent="0.3">
      <c r="A361" s="3" t="s">
        <v>30545</v>
      </c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</row>
    <row r="362" spans="1:32" s="4" customFormat="1" x14ac:dyDescent="0.3">
      <c r="A362" s="3" t="s">
        <v>30546</v>
      </c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</row>
    <row r="363" spans="1:32" s="4" customFormat="1" x14ac:dyDescent="0.3">
      <c r="A363" s="3" t="s">
        <v>30547</v>
      </c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</row>
    <row r="364" spans="1:32" s="4" customFormat="1" x14ac:dyDescent="0.3">
      <c r="A364" s="3" t="s">
        <v>30548</v>
      </c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</row>
    <row r="365" spans="1:32" s="4" customFormat="1" x14ac:dyDescent="0.3">
      <c r="A365" s="3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</row>
    <row r="366" spans="1:32" s="4" customFormat="1" x14ac:dyDescent="0.3">
      <c r="A366" s="3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</row>
    <row r="367" spans="1:32" s="4" customFormat="1" x14ac:dyDescent="0.3">
      <c r="A367" s="3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</row>
    <row r="368" spans="1:32" s="4" customFormat="1" x14ac:dyDescent="0.3">
      <c r="A368" s="3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</row>
    <row r="369" spans="1:32" s="4" customFormat="1" x14ac:dyDescent="0.3">
      <c r="A369" s="3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Φύλλο35"/>
  <dimension ref="A1:AF37"/>
  <sheetViews>
    <sheetView workbookViewId="0">
      <selection activeCell="A8" sqref="A8:AF8"/>
    </sheetView>
  </sheetViews>
  <sheetFormatPr defaultRowHeight="14.4" x14ac:dyDescent="0.3"/>
  <cols>
    <col min="1" max="2" width="9.109375" style="4"/>
    <col min="3" max="3" width="5.109375" customWidth="1"/>
    <col min="4" max="4" width="10.33203125" bestFit="1" customWidth="1"/>
    <col min="5" max="5" width="8.33203125" customWidth="1"/>
    <col min="6" max="6" width="12.6640625" bestFit="1" customWidth="1"/>
    <col min="7" max="7" width="6.109375" customWidth="1"/>
    <col min="8" max="8" width="2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30928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9" spans="1:32" x14ac:dyDescent="0.3">
      <c r="A9" s="3"/>
    </row>
    <row r="10" spans="1:32" x14ac:dyDescent="0.3">
      <c r="A10" s="3" t="s">
        <v>8356</v>
      </c>
    </row>
    <row r="11" spans="1:32" x14ac:dyDescent="0.3">
      <c r="A11" s="3" t="s">
        <v>30528</v>
      </c>
    </row>
    <row r="12" spans="1:32" x14ac:dyDescent="0.3">
      <c r="A12" s="3" t="s">
        <v>30529</v>
      </c>
    </row>
    <row r="13" spans="1:32" x14ac:dyDescent="0.3">
      <c r="A13" s="3" t="s">
        <v>30530</v>
      </c>
    </row>
    <row r="14" spans="1:32" x14ac:dyDescent="0.3">
      <c r="A14" s="3" t="s">
        <v>30531</v>
      </c>
    </row>
    <row r="15" spans="1:32" x14ac:dyDescent="0.3">
      <c r="A15" s="3" t="s">
        <v>30532</v>
      </c>
    </row>
    <row r="16" spans="1:32" s="4" customFormat="1" x14ac:dyDescent="0.3">
      <c r="A16" s="3" t="s">
        <v>30533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8365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30540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30542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30543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30545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30547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30548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Φύλλο36"/>
  <dimension ref="A1:AF37"/>
  <sheetViews>
    <sheetView workbookViewId="0">
      <selection activeCell="A8" sqref="A8:AF8"/>
    </sheetView>
  </sheetViews>
  <sheetFormatPr defaultRowHeight="14.4" x14ac:dyDescent="0.3"/>
  <cols>
    <col min="1" max="2" width="9.109375" style="4"/>
    <col min="3" max="3" width="5.109375" customWidth="1"/>
    <col min="4" max="4" width="10.33203125" customWidth="1"/>
    <col min="5" max="5" width="8.33203125" customWidth="1"/>
    <col min="6" max="6" width="12.6640625" bestFit="1" customWidth="1"/>
    <col min="7" max="7" width="6.109375" customWidth="1"/>
    <col min="8" max="8" width="2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30929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9" spans="1:32" x14ac:dyDescent="0.3">
      <c r="A9" s="3"/>
    </row>
    <row r="10" spans="1:32" x14ac:dyDescent="0.3">
      <c r="A10" s="3" t="s">
        <v>8356</v>
      </c>
    </row>
    <row r="11" spans="1:32" x14ac:dyDescent="0.3">
      <c r="A11" s="3" t="s">
        <v>30528</v>
      </c>
    </row>
    <row r="12" spans="1:32" x14ac:dyDescent="0.3">
      <c r="A12" s="3" t="s">
        <v>30529</v>
      </c>
    </row>
    <row r="13" spans="1:32" x14ac:dyDescent="0.3">
      <c r="A13" s="3" t="s">
        <v>30530</v>
      </c>
    </row>
    <row r="14" spans="1:32" x14ac:dyDescent="0.3">
      <c r="A14" s="3" t="s">
        <v>30531</v>
      </c>
    </row>
    <row r="15" spans="1:32" x14ac:dyDescent="0.3">
      <c r="A15" s="3" t="s">
        <v>30532</v>
      </c>
    </row>
    <row r="16" spans="1:32" s="4" customFormat="1" x14ac:dyDescent="0.3">
      <c r="A16" s="3" t="s">
        <v>30533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8365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30540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30542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30543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30545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30547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30548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Φύλλο37"/>
  <dimension ref="A1:AF55"/>
  <sheetViews>
    <sheetView workbookViewId="0">
      <selection activeCell="A8" sqref="A8:AF26"/>
    </sheetView>
  </sheetViews>
  <sheetFormatPr defaultRowHeight="14.4" x14ac:dyDescent="0.3"/>
  <cols>
    <col min="1" max="2" width="9.109375" style="4"/>
    <col min="3" max="3" width="5.109375" customWidth="1"/>
    <col min="4" max="4" width="23.44140625" bestFit="1" customWidth="1"/>
    <col min="5" max="5" width="14.109375" bestFit="1" customWidth="1"/>
    <col min="6" max="6" width="13.332031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30929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462</v>
      </c>
      <c r="D8" t="s">
        <v>28992</v>
      </c>
      <c r="E8" t="s">
        <v>289</v>
      </c>
      <c r="F8" t="s">
        <v>5248</v>
      </c>
      <c r="G8" t="s">
        <v>30930</v>
      </c>
      <c r="H8">
        <v>53.58</v>
      </c>
      <c r="I8">
        <v>0</v>
      </c>
      <c r="L8">
        <v>10</v>
      </c>
      <c r="M8">
        <v>10</v>
      </c>
      <c r="N8">
        <v>20</v>
      </c>
      <c r="O8">
        <v>10</v>
      </c>
      <c r="P8">
        <v>93.58</v>
      </c>
      <c r="Q8">
        <v>2</v>
      </c>
      <c r="R8">
        <v>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2</v>
      </c>
      <c r="Z8">
        <v>6</v>
      </c>
      <c r="AA8">
        <v>0</v>
      </c>
      <c r="AD8" t="s">
        <v>130</v>
      </c>
      <c r="AF8">
        <v>101.58</v>
      </c>
    </row>
    <row r="9" spans="1:32" x14ac:dyDescent="0.3">
      <c r="A9" s="4">
        <v>3</v>
      </c>
      <c r="B9" s="5">
        <v>2</v>
      </c>
      <c r="C9">
        <v>24</v>
      </c>
      <c r="D9" t="s">
        <v>30931</v>
      </c>
      <c r="E9" t="s">
        <v>208</v>
      </c>
      <c r="F9" t="s">
        <v>17</v>
      </c>
      <c r="G9" t="s">
        <v>30932</v>
      </c>
      <c r="H9">
        <v>54</v>
      </c>
      <c r="I9">
        <v>0</v>
      </c>
      <c r="L9">
        <v>10</v>
      </c>
      <c r="M9">
        <v>10</v>
      </c>
      <c r="N9">
        <v>20</v>
      </c>
      <c r="O9">
        <v>10</v>
      </c>
      <c r="P9">
        <v>94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D9" t="s">
        <v>130</v>
      </c>
      <c r="AF9">
        <v>100</v>
      </c>
    </row>
    <row r="10" spans="1:32" x14ac:dyDescent="0.3">
      <c r="A10" s="4">
        <v>4</v>
      </c>
      <c r="B10" s="5">
        <v>3</v>
      </c>
      <c r="C10">
        <v>200</v>
      </c>
      <c r="D10" t="s">
        <v>1707</v>
      </c>
      <c r="E10" t="s">
        <v>283</v>
      </c>
      <c r="F10" t="s">
        <v>68</v>
      </c>
      <c r="G10" t="s">
        <v>30933</v>
      </c>
      <c r="H10">
        <v>57.78</v>
      </c>
      <c r="I10">
        <v>0</v>
      </c>
      <c r="L10">
        <v>10</v>
      </c>
      <c r="M10">
        <v>10</v>
      </c>
      <c r="N10">
        <v>20</v>
      </c>
      <c r="O10">
        <v>10</v>
      </c>
      <c r="P10">
        <v>97.78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D10" t="s">
        <v>130</v>
      </c>
      <c r="AF10">
        <v>97.78</v>
      </c>
    </row>
    <row r="11" spans="1:32" x14ac:dyDescent="0.3">
      <c r="A11" s="4">
        <v>5</v>
      </c>
      <c r="B11" s="5">
        <v>4</v>
      </c>
      <c r="C11">
        <v>1576</v>
      </c>
      <c r="D11" t="s">
        <v>1115</v>
      </c>
      <c r="E11" t="s">
        <v>29</v>
      </c>
      <c r="F11" t="s">
        <v>626</v>
      </c>
      <c r="G11" t="s">
        <v>30934</v>
      </c>
      <c r="H11">
        <v>47.07</v>
      </c>
      <c r="I11">
        <v>0</v>
      </c>
      <c r="J11">
        <v>20</v>
      </c>
      <c r="M11">
        <v>20</v>
      </c>
      <c r="N11">
        <v>20</v>
      </c>
      <c r="O11">
        <v>10</v>
      </c>
      <c r="P11">
        <v>97.07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t="s">
        <v>130</v>
      </c>
      <c r="AD11" t="s">
        <v>130</v>
      </c>
      <c r="AF11">
        <v>97.07</v>
      </c>
    </row>
    <row r="12" spans="1:32" x14ac:dyDescent="0.3">
      <c r="A12" s="4">
        <v>6</v>
      </c>
      <c r="B12" s="5">
        <v>5</v>
      </c>
      <c r="C12">
        <v>773</v>
      </c>
      <c r="D12" t="s">
        <v>30935</v>
      </c>
      <c r="E12" t="s">
        <v>38</v>
      </c>
      <c r="F12" t="s">
        <v>17</v>
      </c>
      <c r="G12" t="s">
        <v>30936</v>
      </c>
      <c r="H12">
        <v>51.69</v>
      </c>
      <c r="I12">
        <v>0</v>
      </c>
      <c r="K12">
        <v>15</v>
      </c>
      <c r="M12">
        <v>15</v>
      </c>
      <c r="N12">
        <v>20</v>
      </c>
      <c r="O12">
        <v>10</v>
      </c>
      <c r="P12">
        <v>96.69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t="s">
        <v>130</v>
      </c>
      <c r="AD12" t="s">
        <v>130</v>
      </c>
      <c r="AF12">
        <v>96.69</v>
      </c>
    </row>
    <row r="13" spans="1:32" x14ac:dyDescent="0.3">
      <c r="A13" s="4">
        <v>7</v>
      </c>
      <c r="B13" s="5">
        <v>6</v>
      </c>
      <c r="C13">
        <v>340</v>
      </c>
      <c r="D13" t="s">
        <v>5970</v>
      </c>
      <c r="E13" t="s">
        <v>29</v>
      </c>
      <c r="F13" t="s">
        <v>17</v>
      </c>
      <c r="G13" t="s">
        <v>30937</v>
      </c>
      <c r="H13">
        <v>52.74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92.74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92.74</v>
      </c>
    </row>
    <row r="14" spans="1:32" x14ac:dyDescent="0.3">
      <c r="A14" s="4">
        <v>8</v>
      </c>
      <c r="B14" s="5">
        <v>7</v>
      </c>
      <c r="C14">
        <v>457</v>
      </c>
      <c r="D14" t="s">
        <v>30938</v>
      </c>
      <c r="E14" t="s">
        <v>188</v>
      </c>
      <c r="F14" t="s">
        <v>190</v>
      </c>
      <c r="G14" t="s">
        <v>30939</v>
      </c>
      <c r="H14">
        <v>58.08</v>
      </c>
      <c r="I14">
        <v>0</v>
      </c>
      <c r="M14">
        <v>0</v>
      </c>
      <c r="N14">
        <v>20</v>
      </c>
      <c r="O14">
        <v>10</v>
      </c>
      <c r="P14">
        <v>88.08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88.08</v>
      </c>
    </row>
    <row r="15" spans="1:32" x14ac:dyDescent="0.3">
      <c r="A15" s="4">
        <v>9</v>
      </c>
      <c r="B15" s="5">
        <v>8</v>
      </c>
      <c r="C15">
        <v>326</v>
      </c>
      <c r="D15" t="s">
        <v>30940</v>
      </c>
      <c r="E15" t="s">
        <v>29</v>
      </c>
      <c r="F15" t="s">
        <v>38</v>
      </c>
      <c r="G15" t="s">
        <v>30941</v>
      </c>
      <c r="H15">
        <v>57.6</v>
      </c>
      <c r="I15">
        <v>0</v>
      </c>
      <c r="M15">
        <v>0</v>
      </c>
      <c r="N15">
        <v>20</v>
      </c>
      <c r="O15">
        <v>10</v>
      </c>
      <c r="P15">
        <v>87.6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87.6</v>
      </c>
    </row>
    <row r="16" spans="1:32" x14ac:dyDescent="0.3">
      <c r="A16" s="4">
        <v>10</v>
      </c>
      <c r="B16" s="5">
        <v>9</v>
      </c>
      <c r="C16">
        <v>1546</v>
      </c>
      <c r="D16" t="s">
        <v>13750</v>
      </c>
      <c r="E16" t="s">
        <v>283</v>
      </c>
      <c r="F16" t="s">
        <v>302</v>
      </c>
      <c r="G16" t="s">
        <v>30942</v>
      </c>
      <c r="H16">
        <v>57.45</v>
      </c>
      <c r="I16">
        <v>0</v>
      </c>
      <c r="M16">
        <v>0</v>
      </c>
      <c r="N16">
        <v>20</v>
      </c>
      <c r="O16">
        <v>10</v>
      </c>
      <c r="P16">
        <v>87.45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D16" t="s">
        <v>130</v>
      </c>
      <c r="AF16">
        <v>87.45</v>
      </c>
    </row>
    <row r="17" spans="1:32" x14ac:dyDescent="0.3">
      <c r="A17" s="4">
        <v>11</v>
      </c>
      <c r="B17" s="5">
        <v>10</v>
      </c>
      <c r="C17">
        <v>445</v>
      </c>
      <c r="D17" t="s">
        <v>25963</v>
      </c>
      <c r="E17" t="s">
        <v>2598</v>
      </c>
      <c r="F17" t="s">
        <v>375</v>
      </c>
      <c r="G17" t="s">
        <v>30943</v>
      </c>
      <c r="H17">
        <v>47.52</v>
      </c>
      <c r="I17">
        <v>0</v>
      </c>
      <c r="M17">
        <v>0</v>
      </c>
      <c r="N17">
        <v>20</v>
      </c>
      <c r="O17">
        <v>10</v>
      </c>
      <c r="P17">
        <v>77.52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9</v>
      </c>
      <c r="AA17">
        <v>0</v>
      </c>
      <c r="AD17" t="s">
        <v>130</v>
      </c>
      <c r="AF17">
        <v>86.52</v>
      </c>
    </row>
    <row r="18" spans="1:32" x14ac:dyDescent="0.3">
      <c r="A18" s="4">
        <v>12</v>
      </c>
      <c r="B18" s="5">
        <v>11</v>
      </c>
      <c r="C18">
        <v>791</v>
      </c>
      <c r="D18" t="s">
        <v>30944</v>
      </c>
      <c r="E18" t="s">
        <v>100</v>
      </c>
      <c r="F18" t="s">
        <v>117</v>
      </c>
      <c r="G18" t="s">
        <v>30945</v>
      </c>
      <c r="H18">
        <v>45.54</v>
      </c>
      <c r="I18">
        <v>0</v>
      </c>
      <c r="L18">
        <v>10</v>
      </c>
      <c r="M18">
        <v>10</v>
      </c>
      <c r="N18">
        <v>20</v>
      </c>
      <c r="O18">
        <v>10</v>
      </c>
      <c r="P18">
        <v>85.54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D18" t="s">
        <v>130</v>
      </c>
      <c r="AF18">
        <v>85.54</v>
      </c>
    </row>
    <row r="19" spans="1:32" x14ac:dyDescent="0.3">
      <c r="A19" s="4">
        <v>13</v>
      </c>
      <c r="B19" s="5">
        <v>12</v>
      </c>
      <c r="C19">
        <v>593</v>
      </c>
      <c r="D19" t="s">
        <v>3587</v>
      </c>
      <c r="E19" t="s">
        <v>178</v>
      </c>
      <c r="F19" t="s">
        <v>34</v>
      </c>
      <c r="G19" t="s">
        <v>30946</v>
      </c>
      <c r="H19">
        <v>37.92</v>
      </c>
      <c r="I19">
        <v>0</v>
      </c>
      <c r="M19">
        <v>0</v>
      </c>
      <c r="N19">
        <v>20</v>
      </c>
      <c r="O19">
        <v>10</v>
      </c>
      <c r="P19">
        <v>67.92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3</v>
      </c>
      <c r="AA19">
        <v>0</v>
      </c>
      <c r="AD19" t="s">
        <v>130</v>
      </c>
      <c r="AF19">
        <v>70.92</v>
      </c>
    </row>
    <row r="20" spans="1:32" x14ac:dyDescent="0.3">
      <c r="A20" s="4">
        <v>14</v>
      </c>
      <c r="B20" s="5">
        <v>13</v>
      </c>
      <c r="C20">
        <v>766</v>
      </c>
      <c r="D20" t="s">
        <v>788</v>
      </c>
      <c r="E20" t="s">
        <v>54</v>
      </c>
      <c r="F20" t="s">
        <v>52</v>
      </c>
      <c r="G20" t="s">
        <v>30947</v>
      </c>
      <c r="H20">
        <v>20.07</v>
      </c>
      <c r="I20">
        <v>0</v>
      </c>
      <c r="J20">
        <v>20</v>
      </c>
      <c r="M20">
        <v>20</v>
      </c>
      <c r="N20">
        <v>20</v>
      </c>
      <c r="O20">
        <v>10</v>
      </c>
      <c r="P20">
        <v>70.069999999999993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D20" t="s">
        <v>130</v>
      </c>
      <c r="AF20">
        <v>70.069999999999993</v>
      </c>
    </row>
    <row r="21" spans="1:32" x14ac:dyDescent="0.3">
      <c r="A21" s="4">
        <v>15</v>
      </c>
      <c r="B21" s="5">
        <v>14</v>
      </c>
      <c r="C21">
        <v>1</v>
      </c>
      <c r="D21" t="s">
        <v>30948</v>
      </c>
      <c r="E21" t="s">
        <v>149</v>
      </c>
      <c r="F21" t="s">
        <v>68</v>
      </c>
      <c r="G21" t="s">
        <v>30949</v>
      </c>
      <c r="H21">
        <v>57.9</v>
      </c>
      <c r="I21">
        <v>0</v>
      </c>
      <c r="J21">
        <v>20</v>
      </c>
      <c r="M21">
        <v>20</v>
      </c>
      <c r="N21">
        <v>20</v>
      </c>
      <c r="O21">
        <v>10</v>
      </c>
      <c r="P21">
        <v>107.9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3</v>
      </c>
      <c r="AA21">
        <v>0</v>
      </c>
      <c r="AF21">
        <v>110.9</v>
      </c>
    </row>
    <row r="22" spans="1:32" x14ac:dyDescent="0.3">
      <c r="A22" s="4">
        <v>16</v>
      </c>
      <c r="B22" s="5">
        <v>15</v>
      </c>
      <c r="C22">
        <v>346</v>
      </c>
      <c r="D22" t="s">
        <v>30950</v>
      </c>
      <c r="E22" t="s">
        <v>29</v>
      </c>
      <c r="F22" t="s">
        <v>328</v>
      </c>
      <c r="G22" t="s">
        <v>30951</v>
      </c>
      <c r="H22">
        <v>58.26</v>
      </c>
      <c r="I22">
        <v>0</v>
      </c>
      <c r="L22">
        <v>10</v>
      </c>
      <c r="M22">
        <v>10</v>
      </c>
      <c r="N22">
        <v>20</v>
      </c>
      <c r="O22">
        <v>10</v>
      </c>
      <c r="P22">
        <v>98.26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F22">
        <v>101.26</v>
      </c>
    </row>
    <row r="23" spans="1:32" x14ac:dyDescent="0.3">
      <c r="A23" s="4">
        <v>17</v>
      </c>
      <c r="B23" s="5">
        <v>16</v>
      </c>
      <c r="C23">
        <v>378</v>
      </c>
      <c r="D23" t="s">
        <v>30952</v>
      </c>
      <c r="E23" t="s">
        <v>17</v>
      </c>
      <c r="F23" t="s">
        <v>782</v>
      </c>
      <c r="G23" t="s">
        <v>30953</v>
      </c>
      <c r="H23">
        <v>52.2</v>
      </c>
      <c r="I23">
        <v>0</v>
      </c>
      <c r="M23">
        <v>0</v>
      </c>
      <c r="N23">
        <v>20</v>
      </c>
      <c r="O23">
        <v>10</v>
      </c>
      <c r="P23">
        <v>82.2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6</v>
      </c>
      <c r="AA23">
        <v>0</v>
      </c>
      <c r="AF23">
        <v>88.2</v>
      </c>
    </row>
    <row r="24" spans="1:32" x14ac:dyDescent="0.3">
      <c r="A24" s="4">
        <v>18</v>
      </c>
      <c r="B24" s="5">
        <v>17</v>
      </c>
      <c r="C24">
        <v>1178</v>
      </c>
      <c r="D24" t="s">
        <v>2647</v>
      </c>
      <c r="E24" t="s">
        <v>30954</v>
      </c>
      <c r="F24" t="s">
        <v>124</v>
      </c>
      <c r="G24" t="s">
        <v>30955</v>
      </c>
      <c r="H24">
        <v>52.65</v>
      </c>
      <c r="I24">
        <v>0</v>
      </c>
      <c r="M24">
        <v>0</v>
      </c>
      <c r="N24">
        <v>20</v>
      </c>
      <c r="O24">
        <v>10</v>
      </c>
      <c r="P24">
        <v>82.65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F24">
        <v>82.65</v>
      </c>
    </row>
    <row r="25" spans="1:32" x14ac:dyDescent="0.3">
      <c r="A25" s="4">
        <v>19</v>
      </c>
      <c r="B25" s="5">
        <v>18</v>
      </c>
      <c r="C25">
        <v>193</v>
      </c>
      <c r="D25" t="s">
        <v>2520</v>
      </c>
      <c r="E25" t="s">
        <v>283</v>
      </c>
      <c r="F25" t="s">
        <v>136</v>
      </c>
      <c r="G25" t="s">
        <v>2521</v>
      </c>
      <c r="H25">
        <v>46.62</v>
      </c>
      <c r="I25">
        <v>0</v>
      </c>
      <c r="M25">
        <v>0</v>
      </c>
      <c r="N25">
        <v>20</v>
      </c>
      <c r="O25">
        <v>10</v>
      </c>
      <c r="P25">
        <v>76.62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</v>
      </c>
      <c r="AA25">
        <v>0</v>
      </c>
      <c r="AF25">
        <v>82.62</v>
      </c>
    </row>
    <row r="27" spans="1:32" x14ac:dyDescent="0.3">
      <c r="A27" s="3" t="s">
        <v>8356</v>
      </c>
    </row>
    <row r="28" spans="1:32" x14ac:dyDescent="0.3">
      <c r="A28" s="3" t="s">
        <v>30528</v>
      </c>
    </row>
    <row r="29" spans="1:32" x14ac:dyDescent="0.3">
      <c r="A29" s="3" t="s">
        <v>30529</v>
      </c>
    </row>
    <row r="30" spans="1:32" x14ac:dyDescent="0.3">
      <c r="A30" s="3" t="s">
        <v>30530</v>
      </c>
    </row>
    <row r="31" spans="1:32" x14ac:dyDescent="0.3">
      <c r="A31" s="3" t="s">
        <v>30531</v>
      </c>
    </row>
    <row r="32" spans="1:32" s="4" customFormat="1" x14ac:dyDescent="0.3">
      <c r="A32" s="3" t="s">
        <v>30532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30535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8365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8366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30536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30537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30538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30539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30540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30541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30542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30543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 t="s">
        <v>30544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 t="s">
        <v>30545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30546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30547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30548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Φύλλο38"/>
  <dimension ref="A1:AF39"/>
  <sheetViews>
    <sheetView workbookViewId="0">
      <selection activeCell="A8" sqref="A8:AF10"/>
    </sheetView>
  </sheetViews>
  <sheetFormatPr defaultRowHeight="14.4" x14ac:dyDescent="0.3"/>
  <cols>
    <col min="1" max="2" width="9.109375" style="4"/>
    <col min="3" max="3" width="5.109375" customWidth="1"/>
    <col min="4" max="4" width="11.33203125" bestFit="1" customWidth="1"/>
    <col min="5" max="5" width="10.109375" bestFit="1" customWidth="1"/>
    <col min="6" max="6" width="12.6640625" bestFit="1" customWidth="1"/>
    <col min="7" max="7" width="8.88671875" customWidth="1"/>
    <col min="8" max="8" width="5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30956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825</v>
      </c>
      <c r="D8" t="s">
        <v>30957</v>
      </c>
      <c r="E8" t="s">
        <v>26</v>
      </c>
      <c r="F8" t="s">
        <v>259</v>
      </c>
      <c r="G8" t="s">
        <v>30958</v>
      </c>
      <c r="H8">
        <v>55.2</v>
      </c>
      <c r="I8">
        <v>0</v>
      </c>
      <c r="L8">
        <v>10</v>
      </c>
      <c r="M8">
        <v>10</v>
      </c>
      <c r="N8">
        <v>20</v>
      </c>
      <c r="O8">
        <v>10</v>
      </c>
      <c r="P8">
        <v>95.2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 t="s">
        <v>130</v>
      </c>
      <c r="AF8">
        <v>101.2</v>
      </c>
    </row>
    <row r="9" spans="1:32" x14ac:dyDescent="0.3">
      <c r="A9" s="4">
        <v>3</v>
      </c>
      <c r="B9" s="5">
        <v>2</v>
      </c>
      <c r="C9">
        <v>1769</v>
      </c>
      <c r="D9" t="s">
        <v>30959</v>
      </c>
      <c r="E9" t="s">
        <v>178</v>
      </c>
      <c r="F9" t="s">
        <v>259</v>
      </c>
      <c r="G9" t="s">
        <v>30960</v>
      </c>
      <c r="H9">
        <v>57.6</v>
      </c>
      <c r="I9">
        <v>0</v>
      </c>
      <c r="M9">
        <v>0</v>
      </c>
      <c r="N9">
        <v>20</v>
      </c>
      <c r="O9">
        <v>10</v>
      </c>
      <c r="P9">
        <v>87.6</v>
      </c>
      <c r="Q9">
        <v>0</v>
      </c>
      <c r="R9">
        <v>0</v>
      </c>
      <c r="S9">
        <v>0</v>
      </c>
      <c r="T9">
        <v>0</v>
      </c>
      <c r="U9">
        <v>7</v>
      </c>
      <c r="V9">
        <v>10</v>
      </c>
      <c r="W9">
        <v>0</v>
      </c>
      <c r="X9">
        <v>0</v>
      </c>
      <c r="Y9">
        <v>10</v>
      </c>
      <c r="Z9">
        <v>0</v>
      </c>
      <c r="AA9">
        <v>0</v>
      </c>
      <c r="AD9" t="s">
        <v>130</v>
      </c>
      <c r="AF9">
        <v>97.6</v>
      </c>
    </row>
    <row r="11" spans="1:32" x14ac:dyDescent="0.3">
      <c r="A11" s="3" t="s">
        <v>8356</v>
      </c>
    </row>
    <row r="12" spans="1:32" x14ac:dyDescent="0.3">
      <c r="A12" s="3" t="s">
        <v>30528</v>
      </c>
    </row>
    <row r="13" spans="1:32" x14ac:dyDescent="0.3">
      <c r="A13" s="3" t="s">
        <v>30529</v>
      </c>
    </row>
    <row r="14" spans="1:32" x14ac:dyDescent="0.3">
      <c r="A14" s="3" t="s">
        <v>30530</v>
      </c>
    </row>
    <row r="15" spans="1:32" x14ac:dyDescent="0.3">
      <c r="A15" s="3" t="s">
        <v>30531</v>
      </c>
    </row>
    <row r="16" spans="1:32" s="4" customFormat="1" x14ac:dyDescent="0.3">
      <c r="A16" s="3" t="s">
        <v>30532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30533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30534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30535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8365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8366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30536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30537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30538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30539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30540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30541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30542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30543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30544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30545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30547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30548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Φύλλο39"/>
  <dimension ref="A1:AF71"/>
  <sheetViews>
    <sheetView workbookViewId="0">
      <selection activeCell="A8" sqref="A8:AF43"/>
    </sheetView>
  </sheetViews>
  <sheetFormatPr defaultRowHeight="14.4" x14ac:dyDescent="0.3"/>
  <cols>
    <col min="1" max="2" width="9.109375" style="4"/>
    <col min="3" max="3" width="5.109375" customWidth="1"/>
    <col min="4" max="4" width="20.5546875" bestFit="1" customWidth="1"/>
    <col min="5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30956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1383</v>
      </c>
      <c r="D8" t="s">
        <v>4409</v>
      </c>
      <c r="E8" t="s">
        <v>132</v>
      </c>
      <c r="F8" t="s">
        <v>68</v>
      </c>
      <c r="G8" t="s">
        <v>30961</v>
      </c>
      <c r="H8">
        <v>50.76</v>
      </c>
      <c r="I8">
        <v>0</v>
      </c>
      <c r="M8">
        <v>0</v>
      </c>
      <c r="N8">
        <v>20</v>
      </c>
      <c r="O8">
        <v>10</v>
      </c>
      <c r="P8">
        <v>80.760000000000005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40</v>
      </c>
      <c r="AD8" t="s">
        <v>130</v>
      </c>
      <c r="AF8">
        <v>129.76</v>
      </c>
    </row>
    <row r="9" spans="1:32" x14ac:dyDescent="0.3">
      <c r="A9" s="4">
        <v>2</v>
      </c>
      <c r="B9" s="5">
        <v>2</v>
      </c>
      <c r="C9">
        <v>213</v>
      </c>
      <c r="D9" t="s">
        <v>30725</v>
      </c>
      <c r="E9" t="s">
        <v>91</v>
      </c>
      <c r="F9" t="s">
        <v>38</v>
      </c>
      <c r="G9" t="s">
        <v>30726</v>
      </c>
      <c r="H9">
        <v>58.2</v>
      </c>
      <c r="I9">
        <v>0</v>
      </c>
      <c r="L9">
        <v>10</v>
      </c>
      <c r="M9">
        <v>10</v>
      </c>
      <c r="N9">
        <v>20</v>
      </c>
      <c r="O9">
        <v>10</v>
      </c>
      <c r="P9">
        <v>98.2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9</v>
      </c>
      <c r="AA9">
        <v>20</v>
      </c>
      <c r="AD9" t="s">
        <v>130</v>
      </c>
      <c r="AF9">
        <v>127.2</v>
      </c>
    </row>
    <row r="10" spans="1:32" x14ac:dyDescent="0.3">
      <c r="A10" s="4">
        <v>3</v>
      </c>
      <c r="B10" s="5">
        <v>3</v>
      </c>
      <c r="C10">
        <v>268</v>
      </c>
      <c r="D10" t="s">
        <v>30962</v>
      </c>
      <c r="E10" t="s">
        <v>3854</v>
      </c>
      <c r="F10" t="s">
        <v>892</v>
      </c>
      <c r="G10" t="s">
        <v>30963</v>
      </c>
      <c r="H10">
        <v>59.31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109.31</v>
      </c>
      <c r="Q10">
        <v>14</v>
      </c>
      <c r="R10">
        <v>14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14</v>
      </c>
      <c r="Z10">
        <v>3</v>
      </c>
      <c r="AA10">
        <v>0</v>
      </c>
      <c r="AB10" t="s">
        <v>130</v>
      </c>
      <c r="AD10" t="s">
        <v>130</v>
      </c>
      <c r="AF10">
        <v>126.31</v>
      </c>
    </row>
    <row r="11" spans="1:32" x14ac:dyDescent="0.3">
      <c r="A11" s="4">
        <v>4</v>
      </c>
      <c r="B11" s="5">
        <v>4</v>
      </c>
      <c r="C11">
        <v>83</v>
      </c>
      <c r="D11" t="s">
        <v>30964</v>
      </c>
      <c r="E11" t="s">
        <v>81</v>
      </c>
      <c r="F11" t="s">
        <v>38</v>
      </c>
      <c r="G11" t="s">
        <v>30965</v>
      </c>
      <c r="H11">
        <v>55.2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105.2</v>
      </c>
      <c r="Q11">
        <v>8</v>
      </c>
      <c r="R11">
        <v>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8</v>
      </c>
      <c r="Z11">
        <v>3</v>
      </c>
      <c r="AA11">
        <v>0</v>
      </c>
      <c r="AD11" t="s">
        <v>130</v>
      </c>
      <c r="AF11">
        <v>116.2</v>
      </c>
    </row>
    <row r="12" spans="1:32" x14ac:dyDescent="0.3">
      <c r="A12" s="4">
        <v>5</v>
      </c>
      <c r="B12" s="5">
        <v>5</v>
      </c>
      <c r="C12">
        <v>1276</v>
      </c>
      <c r="D12" t="s">
        <v>30966</v>
      </c>
      <c r="E12" t="s">
        <v>17</v>
      </c>
      <c r="F12" t="s">
        <v>117</v>
      </c>
      <c r="G12" t="s">
        <v>30967</v>
      </c>
      <c r="H12">
        <v>55.5</v>
      </c>
      <c r="I12">
        <v>0</v>
      </c>
      <c r="M12">
        <v>0</v>
      </c>
      <c r="N12">
        <v>20</v>
      </c>
      <c r="O12">
        <v>10</v>
      </c>
      <c r="P12">
        <v>85.5</v>
      </c>
      <c r="Q12">
        <v>27</v>
      </c>
      <c r="R12">
        <v>27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27</v>
      </c>
      <c r="Z12">
        <v>0</v>
      </c>
      <c r="AA12">
        <v>0</v>
      </c>
      <c r="AD12" t="s">
        <v>130</v>
      </c>
      <c r="AF12">
        <v>112.5</v>
      </c>
    </row>
    <row r="13" spans="1:32" x14ac:dyDescent="0.3">
      <c r="A13" s="4">
        <v>6</v>
      </c>
      <c r="B13" s="5">
        <v>6</v>
      </c>
      <c r="C13">
        <v>908</v>
      </c>
      <c r="D13" t="s">
        <v>30968</v>
      </c>
      <c r="E13" t="s">
        <v>149</v>
      </c>
      <c r="F13" t="s">
        <v>20</v>
      </c>
      <c r="G13" t="s">
        <v>30969</v>
      </c>
      <c r="H13">
        <v>59.1</v>
      </c>
      <c r="I13">
        <v>0</v>
      </c>
      <c r="J13">
        <v>20</v>
      </c>
      <c r="L13">
        <v>10</v>
      </c>
      <c r="M13">
        <v>20</v>
      </c>
      <c r="N13">
        <v>20</v>
      </c>
      <c r="O13">
        <v>10</v>
      </c>
      <c r="P13">
        <v>109.1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109.1</v>
      </c>
    </row>
    <row r="14" spans="1:32" x14ac:dyDescent="0.3">
      <c r="A14" s="4">
        <v>7</v>
      </c>
      <c r="B14" s="5">
        <v>7</v>
      </c>
      <c r="C14">
        <v>451</v>
      </c>
      <c r="D14" t="s">
        <v>11259</v>
      </c>
      <c r="E14" t="s">
        <v>33</v>
      </c>
      <c r="F14" t="s">
        <v>238</v>
      </c>
      <c r="G14" t="s">
        <v>30970</v>
      </c>
      <c r="H14">
        <v>59.7</v>
      </c>
      <c r="I14">
        <v>0</v>
      </c>
      <c r="L14">
        <v>10</v>
      </c>
      <c r="M14">
        <v>10</v>
      </c>
      <c r="N14">
        <v>20</v>
      </c>
      <c r="O14">
        <v>10</v>
      </c>
      <c r="P14">
        <v>99.7</v>
      </c>
      <c r="Q14">
        <v>8</v>
      </c>
      <c r="R14">
        <v>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8</v>
      </c>
      <c r="Z14">
        <v>0</v>
      </c>
      <c r="AA14">
        <v>0</v>
      </c>
      <c r="AD14" t="s">
        <v>130</v>
      </c>
      <c r="AF14">
        <v>107.7</v>
      </c>
    </row>
    <row r="15" spans="1:32" x14ac:dyDescent="0.3">
      <c r="A15" s="4">
        <v>9</v>
      </c>
      <c r="B15" s="5">
        <v>8</v>
      </c>
      <c r="C15">
        <v>468</v>
      </c>
      <c r="D15" t="s">
        <v>30971</v>
      </c>
      <c r="E15" t="s">
        <v>158</v>
      </c>
      <c r="F15" t="s">
        <v>416</v>
      </c>
      <c r="G15" t="s">
        <v>30972</v>
      </c>
      <c r="H15">
        <v>54</v>
      </c>
      <c r="I15">
        <v>0</v>
      </c>
      <c r="J15">
        <v>20</v>
      </c>
      <c r="M15">
        <v>20</v>
      </c>
      <c r="N15">
        <v>20</v>
      </c>
      <c r="O15">
        <v>10</v>
      </c>
      <c r="P15">
        <v>104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3</v>
      </c>
      <c r="AA15">
        <v>0</v>
      </c>
      <c r="AD15" t="s">
        <v>130</v>
      </c>
      <c r="AF15">
        <v>107</v>
      </c>
    </row>
    <row r="16" spans="1:32" x14ac:dyDescent="0.3">
      <c r="A16" s="4">
        <v>10</v>
      </c>
      <c r="B16" s="5">
        <v>9</v>
      </c>
      <c r="C16">
        <v>1509</v>
      </c>
      <c r="D16" t="s">
        <v>4051</v>
      </c>
      <c r="E16" t="s">
        <v>170</v>
      </c>
      <c r="F16" t="s">
        <v>230</v>
      </c>
      <c r="G16" t="s">
        <v>30973</v>
      </c>
      <c r="H16">
        <v>59.4</v>
      </c>
      <c r="I16">
        <v>0</v>
      </c>
      <c r="L16">
        <v>10</v>
      </c>
      <c r="M16">
        <v>10</v>
      </c>
      <c r="N16">
        <v>20</v>
      </c>
      <c r="O16">
        <v>10</v>
      </c>
      <c r="P16">
        <v>99.4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B16" t="s">
        <v>130</v>
      </c>
      <c r="AD16" t="s">
        <v>130</v>
      </c>
      <c r="AF16">
        <v>105.4</v>
      </c>
    </row>
    <row r="17" spans="1:32" x14ac:dyDescent="0.3">
      <c r="A17" s="4">
        <v>11</v>
      </c>
      <c r="B17" s="5">
        <v>10</v>
      </c>
      <c r="C17">
        <v>743</v>
      </c>
      <c r="D17" t="s">
        <v>23679</v>
      </c>
      <c r="E17" t="s">
        <v>5614</v>
      </c>
      <c r="F17" t="s">
        <v>230</v>
      </c>
      <c r="G17" t="s">
        <v>30974</v>
      </c>
      <c r="H17">
        <v>54.24</v>
      </c>
      <c r="I17">
        <v>0</v>
      </c>
      <c r="M17">
        <v>0</v>
      </c>
      <c r="N17">
        <v>20</v>
      </c>
      <c r="O17">
        <v>10</v>
      </c>
      <c r="P17">
        <v>84.24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21</v>
      </c>
      <c r="AA17">
        <v>0</v>
      </c>
      <c r="AD17" t="s">
        <v>130</v>
      </c>
      <c r="AF17">
        <v>105.24</v>
      </c>
    </row>
    <row r="18" spans="1:32" x14ac:dyDescent="0.3">
      <c r="A18" s="4">
        <v>13</v>
      </c>
      <c r="B18" s="5">
        <v>11</v>
      </c>
      <c r="C18">
        <v>1066</v>
      </c>
      <c r="D18" t="s">
        <v>30975</v>
      </c>
      <c r="E18" t="s">
        <v>17</v>
      </c>
      <c r="F18" t="s">
        <v>30</v>
      </c>
      <c r="G18" t="s">
        <v>30976</v>
      </c>
      <c r="H18">
        <v>51.51</v>
      </c>
      <c r="I18">
        <v>10</v>
      </c>
      <c r="L18">
        <v>10</v>
      </c>
      <c r="M18">
        <v>10</v>
      </c>
      <c r="N18">
        <v>20</v>
      </c>
      <c r="O18">
        <v>10</v>
      </c>
      <c r="P18">
        <v>101.51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t="s">
        <v>130</v>
      </c>
      <c r="AD18" t="s">
        <v>130</v>
      </c>
      <c r="AF18">
        <v>101.51</v>
      </c>
    </row>
    <row r="19" spans="1:32" x14ac:dyDescent="0.3">
      <c r="A19" s="4">
        <v>14</v>
      </c>
      <c r="B19" s="5">
        <v>12</v>
      </c>
      <c r="C19">
        <v>1519</v>
      </c>
      <c r="D19" t="s">
        <v>18543</v>
      </c>
      <c r="E19" t="s">
        <v>166</v>
      </c>
      <c r="F19" t="s">
        <v>30977</v>
      </c>
      <c r="G19" t="s">
        <v>30978</v>
      </c>
      <c r="H19">
        <v>44.01</v>
      </c>
      <c r="I19">
        <v>10</v>
      </c>
      <c r="L19">
        <v>10</v>
      </c>
      <c r="M19">
        <v>10</v>
      </c>
      <c r="N19">
        <v>20</v>
      </c>
      <c r="O19">
        <v>10</v>
      </c>
      <c r="P19">
        <v>94.01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D19" t="s">
        <v>130</v>
      </c>
      <c r="AF19">
        <v>100.01</v>
      </c>
    </row>
    <row r="20" spans="1:32" x14ac:dyDescent="0.3">
      <c r="A20" s="4">
        <v>15</v>
      </c>
      <c r="B20" s="5">
        <v>13</v>
      </c>
      <c r="C20">
        <v>368</v>
      </c>
      <c r="D20" t="s">
        <v>30979</v>
      </c>
      <c r="E20" t="s">
        <v>20</v>
      </c>
      <c r="F20" t="s">
        <v>243</v>
      </c>
      <c r="G20" t="s">
        <v>30980</v>
      </c>
      <c r="H20">
        <v>51.6</v>
      </c>
      <c r="I20">
        <v>0</v>
      </c>
      <c r="L20">
        <v>10</v>
      </c>
      <c r="M20">
        <v>10</v>
      </c>
      <c r="N20">
        <v>20</v>
      </c>
      <c r="O20">
        <v>10</v>
      </c>
      <c r="P20">
        <v>91.6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3</v>
      </c>
      <c r="AA20">
        <v>0</v>
      </c>
      <c r="AD20" t="s">
        <v>130</v>
      </c>
      <c r="AF20">
        <v>94.6</v>
      </c>
    </row>
    <row r="21" spans="1:32" x14ac:dyDescent="0.3">
      <c r="A21" s="4">
        <v>16</v>
      </c>
      <c r="B21" s="5">
        <v>14</v>
      </c>
      <c r="C21">
        <v>42</v>
      </c>
      <c r="D21" t="s">
        <v>30981</v>
      </c>
      <c r="E21" t="s">
        <v>30</v>
      </c>
      <c r="F21" t="s">
        <v>81</v>
      </c>
      <c r="G21" t="s">
        <v>30982</v>
      </c>
      <c r="H21">
        <v>39.299999999999997</v>
      </c>
      <c r="I21">
        <v>0</v>
      </c>
      <c r="J21">
        <v>20</v>
      </c>
      <c r="M21">
        <v>20</v>
      </c>
      <c r="N21">
        <v>20</v>
      </c>
      <c r="O21">
        <v>10</v>
      </c>
      <c r="P21">
        <v>89.3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t="s">
        <v>130</v>
      </c>
      <c r="AD21" t="s">
        <v>130</v>
      </c>
      <c r="AF21">
        <v>89.3</v>
      </c>
    </row>
    <row r="22" spans="1:32" x14ac:dyDescent="0.3">
      <c r="A22" s="4">
        <v>17</v>
      </c>
      <c r="B22" s="5">
        <v>15</v>
      </c>
      <c r="C22">
        <v>221</v>
      </c>
      <c r="D22" t="s">
        <v>30983</v>
      </c>
      <c r="E22" t="s">
        <v>117</v>
      </c>
      <c r="F22" t="s">
        <v>62</v>
      </c>
      <c r="G22" t="s">
        <v>30984</v>
      </c>
      <c r="H22">
        <v>44.31</v>
      </c>
      <c r="I22">
        <v>0</v>
      </c>
      <c r="L22">
        <v>10</v>
      </c>
      <c r="M22">
        <v>10</v>
      </c>
      <c r="N22">
        <v>20</v>
      </c>
      <c r="O22">
        <v>10</v>
      </c>
      <c r="P22">
        <v>84.31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D22" t="s">
        <v>130</v>
      </c>
      <c r="AF22">
        <v>87.31</v>
      </c>
    </row>
    <row r="23" spans="1:32" x14ac:dyDescent="0.3">
      <c r="A23" s="4">
        <v>18</v>
      </c>
      <c r="B23" s="5">
        <v>16</v>
      </c>
      <c r="C23">
        <v>1733</v>
      </c>
      <c r="D23" t="s">
        <v>30985</v>
      </c>
      <c r="E23" t="s">
        <v>38</v>
      </c>
      <c r="F23" t="s">
        <v>20</v>
      </c>
      <c r="G23" t="s">
        <v>30986</v>
      </c>
      <c r="H23">
        <v>57.3</v>
      </c>
      <c r="I23">
        <v>0</v>
      </c>
      <c r="M23">
        <v>0</v>
      </c>
      <c r="N23">
        <v>20</v>
      </c>
      <c r="O23">
        <v>10</v>
      </c>
      <c r="P23">
        <v>87.3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t="s">
        <v>130</v>
      </c>
      <c r="AD23" t="s">
        <v>130</v>
      </c>
      <c r="AF23">
        <v>87.3</v>
      </c>
    </row>
    <row r="24" spans="1:32" x14ac:dyDescent="0.3">
      <c r="A24" s="4">
        <v>19</v>
      </c>
      <c r="B24" s="5">
        <v>17</v>
      </c>
      <c r="C24">
        <v>972</v>
      </c>
      <c r="D24" t="s">
        <v>1296</v>
      </c>
      <c r="E24" t="s">
        <v>136</v>
      </c>
      <c r="F24" t="s">
        <v>26104</v>
      </c>
      <c r="G24" t="s">
        <v>30651</v>
      </c>
      <c r="H24">
        <v>46.26</v>
      </c>
      <c r="I24">
        <v>0</v>
      </c>
      <c r="M24">
        <v>0</v>
      </c>
      <c r="N24">
        <v>20</v>
      </c>
      <c r="O24">
        <v>10</v>
      </c>
      <c r="P24">
        <v>76.260000000000005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6</v>
      </c>
      <c r="AA24">
        <v>0</v>
      </c>
      <c r="AD24" t="s">
        <v>130</v>
      </c>
      <c r="AF24">
        <v>82.26</v>
      </c>
    </row>
    <row r="25" spans="1:32" x14ac:dyDescent="0.3">
      <c r="A25" s="4">
        <v>20</v>
      </c>
      <c r="B25" s="5">
        <v>18</v>
      </c>
      <c r="C25">
        <v>1108</v>
      </c>
      <c r="D25" t="s">
        <v>30818</v>
      </c>
      <c r="E25" t="s">
        <v>68</v>
      </c>
      <c r="F25" t="s">
        <v>58</v>
      </c>
      <c r="G25" t="s">
        <v>30987</v>
      </c>
      <c r="H25">
        <v>34.74</v>
      </c>
      <c r="I25">
        <v>0</v>
      </c>
      <c r="M25">
        <v>0</v>
      </c>
      <c r="N25">
        <v>20</v>
      </c>
      <c r="O25">
        <v>10</v>
      </c>
      <c r="P25">
        <v>64.739999999999995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D25" t="s">
        <v>130</v>
      </c>
      <c r="AF25">
        <v>64.739999999999995</v>
      </c>
    </row>
    <row r="26" spans="1:32" x14ac:dyDescent="0.3">
      <c r="A26" s="4">
        <v>21</v>
      </c>
      <c r="B26" s="5">
        <v>19</v>
      </c>
      <c r="C26">
        <v>763</v>
      </c>
      <c r="D26" t="s">
        <v>30988</v>
      </c>
      <c r="E26" t="s">
        <v>17</v>
      </c>
      <c r="F26" t="s">
        <v>30</v>
      </c>
      <c r="G26" t="s">
        <v>30989</v>
      </c>
      <c r="H26">
        <v>54</v>
      </c>
      <c r="I26">
        <v>0</v>
      </c>
      <c r="M26">
        <v>0</v>
      </c>
      <c r="N26">
        <v>0</v>
      </c>
      <c r="O26">
        <v>10</v>
      </c>
      <c r="P26">
        <v>64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D26" t="s">
        <v>130</v>
      </c>
      <c r="AF26">
        <v>64</v>
      </c>
    </row>
    <row r="27" spans="1:32" x14ac:dyDescent="0.3">
      <c r="A27" s="4">
        <v>22</v>
      </c>
      <c r="B27" s="5">
        <v>20</v>
      </c>
      <c r="C27">
        <v>254</v>
      </c>
      <c r="D27" t="s">
        <v>30990</v>
      </c>
      <c r="E27" t="s">
        <v>258</v>
      </c>
      <c r="F27" t="s">
        <v>38</v>
      </c>
      <c r="G27" t="s">
        <v>30991</v>
      </c>
      <c r="H27">
        <v>44.49</v>
      </c>
      <c r="I27">
        <v>0</v>
      </c>
      <c r="J27">
        <v>20</v>
      </c>
      <c r="M27">
        <v>20</v>
      </c>
      <c r="N27">
        <v>20</v>
      </c>
      <c r="O27">
        <v>10</v>
      </c>
      <c r="P27">
        <v>94.49</v>
      </c>
      <c r="Q27">
        <v>16</v>
      </c>
      <c r="R27">
        <v>16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16</v>
      </c>
      <c r="Z27">
        <v>0</v>
      </c>
      <c r="AA27">
        <v>0</v>
      </c>
      <c r="AF27">
        <v>110.49</v>
      </c>
    </row>
    <row r="28" spans="1:32" x14ac:dyDescent="0.3">
      <c r="A28" s="4">
        <v>23</v>
      </c>
      <c r="B28" s="5">
        <v>21</v>
      </c>
      <c r="C28">
        <v>56</v>
      </c>
      <c r="D28" t="s">
        <v>30992</v>
      </c>
      <c r="E28" t="s">
        <v>30</v>
      </c>
      <c r="F28" t="s">
        <v>375</v>
      </c>
      <c r="G28" t="s">
        <v>30993</v>
      </c>
      <c r="H28">
        <v>56.7</v>
      </c>
      <c r="I28">
        <v>0</v>
      </c>
      <c r="J28">
        <v>20</v>
      </c>
      <c r="M28">
        <v>20</v>
      </c>
      <c r="N28">
        <v>20</v>
      </c>
      <c r="O28">
        <v>10</v>
      </c>
      <c r="P28">
        <v>106.7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F28">
        <v>106.7</v>
      </c>
    </row>
    <row r="29" spans="1:32" x14ac:dyDescent="0.3">
      <c r="A29" s="4">
        <v>24</v>
      </c>
      <c r="B29" s="5">
        <v>22</v>
      </c>
      <c r="C29">
        <v>845</v>
      </c>
      <c r="D29" t="s">
        <v>2344</v>
      </c>
      <c r="E29" t="s">
        <v>2345</v>
      </c>
      <c r="F29" t="s">
        <v>34</v>
      </c>
      <c r="G29" t="s">
        <v>2346</v>
      </c>
      <c r="H29">
        <v>55.8</v>
      </c>
      <c r="I29">
        <v>0</v>
      </c>
      <c r="L29">
        <v>10</v>
      </c>
      <c r="M29">
        <v>10</v>
      </c>
      <c r="N29">
        <v>20</v>
      </c>
      <c r="O29">
        <v>10</v>
      </c>
      <c r="P29">
        <v>95.8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9</v>
      </c>
      <c r="AA29">
        <v>0</v>
      </c>
      <c r="AF29">
        <v>104.8</v>
      </c>
    </row>
    <row r="30" spans="1:32" x14ac:dyDescent="0.3">
      <c r="A30" s="4">
        <v>25</v>
      </c>
      <c r="B30" s="5">
        <v>23</v>
      </c>
      <c r="C30">
        <v>1386</v>
      </c>
      <c r="D30" t="s">
        <v>2961</v>
      </c>
      <c r="E30" t="s">
        <v>26287</v>
      </c>
      <c r="F30" t="s">
        <v>343</v>
      </c>
      <c r="G30" t="s">
        <v>30994</v>
      </c>
      <c r="H30">
        <v>48.3</v>
      </c>
      <c r="I30">
        <v>0</v>
      </c>
      <c r="M30">
        <v>0</v>
      </c>
      <c r="N30">
        <v>20</v>
      </c>
      <c r="O30">
        <v>0</v>
      </c>
      <c r="P30">
        <v>68.3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9</v>
      </c>
      <c r="AA30">
        <v>26.8</v>
      </c>
      <c r="AF30">
        <v>104.1</v>
      </c>
    </row>
    <row r="31" spans="1:32" x14ac:dyDescent="0.3">
      <c r="A31" s="4">
        <v>26</v>
      </c>
      <c r="B31" s="5">
        <v>24</v>
      </c>
      <c r="C31">
        <v>1401</v>
      </c>
      <c r="D31" t="s">
        <v>30995</v>
      </c>
      <c r="E31" t="s">
        <v>30</v>
      </c>
      <c r="F31" t="s">
        <v>20</v>
      </c>
      <c r="G31" t="s">
        <v>30996</v>
      </c>
      <c r="H31">
        <v>57.81</v>
      </c>
      <c r="I31">
        <v>0</v>
      </c>
      <c r="L31">
        <v>10</v>
      </c>
      <c r="M31">
        <v>10</v>
      </c>
      <c r="N31">
        <v>20</v>
      </c>
      <c r="O31">
        <v>10</v>
      </c>
      <c r="P31">
        <v>97.81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</v>
      </c>
      <c r="AA31">
        <v>0</v>
      </c>
      <c r="AF31">
        <v>103.81</v>
      </c>
    </row>
    <row r="32" spans="1:32" x14ac:dyDescent="0.3">
      <c r="A32" s="4">
        <v>27</v>
      </c>
      <c r="B32" s="5">
        <v>25</v>
      </c>
      <c r="C32">
        <v>1711</v>
      </c>
      <c r="D32" t="s">
        <v>8489</v>
      </c>
      <c r="E32" t="s">
        <v>91</v>
      </c>
      <c r="F32" t="s">
        <v>81</v>
      </c>
      <c r="G32" t="s">
        <v>8490</v>
      </c>
      <c r="H32">
        <v>48.6</v>
      </c>
      <c r="I32">
        <v>10</v>
      </c>
      <c r="M32">
        <v>0</v>
      </c>
      <c r="N32">
        <v>20</v>
      </c>
      <c r="O32">
        <v>10</v>
      </c>
      <c r="P32">
        <v>88.6</v>
      </c>
      <c r="Q32">
        <v>9</v>
      </c>
      <c r="R32">
        <v>9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9</v>
      </c>
      <c r="Z32">
        <v>6</v>
      </c>
      <c r="AA32">
        <v>0</v>
      </c>
      <c r="AF32">
        <v>103.6</v>
      </c>
    </row>
    <row r="33" spans="1:32" x14ac:dyDescent="0.3">
      <c r="A33" s="4">
        <v>28</v>
      </c>
      <c r="B33" s="5">
        <v>26</v>
      </c>
      <c r="C33">
        <v>85</v>
      </c>
      <c r="D33" t="s">
        <v>30708</v>
      </c>
      <c r="E33" t="s">
        <v>697</v>
      </c>
      <c r="F33" t="s">
        <v>4204</v>
      </c>
      <c r="G33" t="s">
        <v>30709</v>
      </c>
      <c r="H33">
        <v>56.4</v>
      </c>
      <c r="I33">
        <v>0</v>
      </c>
      <c r="L33">
        <v>10</v>
      </c>
      <c r="M33">
        <v>10</v>
      </c>
      <c r="N33">
        <v>20</v>
      </c>
      <c r="O33">
        <v>10</v>
      </c>
      <c r="P33">
        <v>96.4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6</v>
      </c>
      <c r="AA33">
        <v>0</v>
      </c>
      <c r="AF33">
        <v>102.4</v>
      </c>
    </row>
    <row r="34" spans="1:32" x14ac:dyDescent="0.3">
      <c r="A34" s="4">
        <v>29</v>
      </c>
      <c r="B34" s="5">
        <v>27</v>
      </c>
      <c r="C34">
        <v>899</v>
      </c>
      <c r="D34" t="s">
        <v>2561</v>
      </c>
      <c r="E34" t="s">
        <v>190</v>
      </c>
      <c r="F34" t="s">
        <v>136</v>
      </c>
      <c r="G34" t="s">
        <v>30997</v>
      </c>
      <c r="H34">
        <v>52.74</v>
      </c>
      <c r="I34">
        <v>0</v>
      </c>
      <c r="L34">
        <v>10</v>
      </c>
      <c r="M34">
        <v>10</v>
      </c>
      <c r="N34">
        <v>20</v>
      </c>
      <c r="O34">
        <v>10</v>
      </c>
      <c r="P34">
        <v>92.74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6</v>
      </c>
      <c r="AA34">
        <v>0</v>
      </c>
      <c r="AF34">
        <v>98.74</v>
      </c>
    </row>
    <row r="35" spans="1:32" x14ac:dyDescent="0.3">
      <c r="A35" s="4">
        <v>30</v>
      </c>
      <c r="B35" s="5">
        <v>28</v>
      </c>
      <c r="C35">
        <v>237</v>
      </c>
      <c r="D35" t="s">
        <v>8450</v>
      </c>
      <c r="E35" t="s">
        <v>516</v>
      </c>
      <c r="F35" t="s">
        <v>243</v>
      </c>
      <c r="G35" t="s">
        <v>8451</v>
      </c>
      <c r="H35">
        <v>38.25</v>
      </c>
      <c r="I35">
        <v>0</v>
      </c>
      <c r="J35">
        <v>20</v>
      </c>
      <c r="M35">
        <v>20</v>
      </c>
      <c r="N35">
        <v>20</v>
      </c>
      <c r="O35">
        <v>10</v>
      </c>
      <c r="P35">
        <v>88.25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6</v>
      </c>
      <c r="AA35">
        <v>0</v>
      </c>
      <c r="AF35">
        <v>94.25</v>
      </c>
    </row>
    <row r="36" spans="1:32" x14ac:dyDescent="0.3">
      <c r="A36" s="4">
        <v>31</v>
      </c>
      <c r="B36" s="5">
        <v>29</v>
      </c>
      <c r="C36">
        <v>1603</v>
      </c>
      <c r="D36" t="s">
        <v>10010</v>
      </c>
      <c r="E36" t="s">
        <v>136</v>
      </c>
      <c r="F36" t="s">
        <v>117</v>
      </c>
      <c r="G36" t="s">
        <v>30998</v>
      </c>
      <c r="H36">
        <v>51.3</v>
      </c>
      <c r="I36">
        <v>0</v>
      </c>
      <c r="L36">
        <v>10</v>
      </c>
      <c r="M36">
        <v>10</v>
      </c>
      <c r="N36">
        <v>20</v>
      </c>
      <c r="O36">
        <v>10</v>
      </c>
      <c r="P36">
        <v>91.3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F36">
        <v>91.3</v>
      </c>
    </row>
    <row r="37" spans="1:32" x14ac:dyDescent="0.3">
      <c r="A37" s="4">
        <v>32</v>
      </c>
      <c r="B37" s="5">
        <v>30</v>
      </c>
      <c r="C37">
        <v>1380</v>
      </c>
      <c r="D37" t="s">
        <v>30999</v>
      </c>
      <c r="E37" t="s">
        <v>20333</v>
      </c>
      <c r="F37" t="s">
        <v>81</v>
      </c>
      <c r="G37" t="s">
        <v>31000</v>
      </c>
      <c r="H37">
        <v>56.1</v>
      </c>
      <c r="I37">
        <v>0</v>
      </c>
      <c r="M37">
        <v>0</v>
      </c>
      <c r="N37">
        <v>20</v>
      </c>
      <c r="O37">
        <v>10</v>
      </c>
      <c r="P37">
        <v>86.1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3</v>
      </c>
      <c r="AA37">
        <v>0</v>
      </c>
      <c r="AF37">
        <v>89.1</v>
      </c>
    </row>
    <row r="38" spans="1:32" x14ac:dyDescent="0.3">
      <c r="A38" s="4">
        <v>33</v>
      </c>
      <c r="B38" s="5">
        <v>31</v>
      </c>
      <c r="C38">
        <v>1268</v>
      </c>
      <c r="D38" t="s">
        <v>31001</v>
      </c>
      <c r="E38" t="s">
        <v>13977</v>
      </c>
      <c r="F38" t="s">
        <v>243</v>
      </c>
      <c r="G38" t="s">
        <v>31002</v>
      </c>
      <c r="H38">
        <v>59.4</v>
      </c>
      <c r="I38">
        <v>0</v>
      </c>
      <c r="L38">
        <v>10</v>
      </c>
      <c r="M38">
        <v>10</v>
      </c>
      <c r="N38">
        <v>0</v>
      </c>
      <c r="O38">
        <v>10</v>
      </c>
      <c r="P38">
        <v>79.400000000000006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6</v>
      </c>
      <c r="AA38">
        <v>0</v>
      </c>
      <c r="AF38">
        <v>85.4</v>
      </c>
    </row>
    <row r="39" spans="1:32" x14ac:dyDescent="0.3">
      <c r="A39" s="4">
        <v>34</v>
      </c>
      <c r="B39" s="5">
        <v>32</v>
      </c>
      <c r="C39">
        <v>745</v>
      </c>
      <c r="D39" t="s">
        <v>577</v>
      </c>
      <c r="E39" t="s">
        <v>471</v>
      </c>
      <c r="F39" t="s">
        <v>81</v>
      </c>
      <c r="G39" t="s">
        <v>3144</v>
      </c>
      <c r="H39">
        <v>59.7</v>
      </c>
      <c r="I39">
        <v>0</v>
      </c>
      <c r="M39">
        <v>0</v>
      </c>
      <c r="N39">
        <v>20</v>
      </c>
      <c r="O39">
        <v>0</v>
      </c>
      <c r="P39">
        <v>79.7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F39">
        <v>79.7</v>
      </c>
    </row>
    <row r="40" spans="1:32" x14ac:dyDescent="0.3">
      <c r="A40" s="4">
        <v>35</v>
      </c>
      <c r="B40" s="5">
        <v>33</v>
      </c>
      <c r="C40">
        <v>1720</v>
      </c>
      <c r="D40" t="s">
        <v>8491</v>
      </c>
      <c r="E40" t="s">
        <v>38</v>
      </c>
      <c r="F40" t="s">
        <v>81</v>
      </c>
      <c r="G40" t="s">
        <v>8492</v>
      </c>
      <c r="H40">
        <v>39.659999999999997</v>
      </c>
      <c r="I40">
        <v>0</v>
      </c>
      <c r="M40">
        <v>0</v>
      </c>
      <c r="N40">
        <v>20</v>
      </c>
      <c r="O40">
        <v>10</v>
      </c>
      <c r="P40">
        <v>69.66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F40">
        <v>69.66</v>
      </c>
    </row>
    <row r="41" spans="1:32" x14ac:dyDescent="0.3">
      <c r="A41" s="4">
        <v>36</v>
      </c>
      <c r="B41" s="5">
        <v>34</v>
      </c>
      <c r="C41">
        <v>553</v>
      </c>
      <c r="D41" t="s">
        <v>996</v>
      </c>
      <c r="E41" t="s">
        <v>20</v>
      </c>
      <c r="F41" t="s">
        <v>972</v>
      </c>
      <c r="G41" t="s">
        <v>31003</v>
      </c>
      <c r="H41">
        <v>38.25</v>
      </c>
      <c r="I41">
        <v>0</v>
      </c>
      <c r="L41">
        <v>10</v>
      </c>
      <c r="M41">
        <v>10</v>
      </c>
      <c r="N41">
        <v>0</v>
      </c>
      <c r="O41">
        <v>10</v>
      </c>
      <c r="P41">
        <v>58.25</v>
      </c>
      <c r="Q41">
        <v>1</v>
      </c>
      <c r="R41">
        <v>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6</v>
      </c>
      <c r="AA41">
        <v>0</v>
      </c>
      <c r="AF41">
        <v>65.25</v>
      </c>
    </row>
    <row r="43" spans="1:32" x14ac:dyDescent="0.3">
      <c r="A43" s="3" t="s">
        <v>8356</v>
      </c>
    </row>
    <row r="44" spans="1:32" x14ac:dyDescent="0.3">
      <c r="A44" s="3" t="s">
        <v>30528</v>
      </c>
    </row>
    <row r="45" spans="1:32" x14ac:dyDescent="0.3">
      <c r="A45" s="3" t="s">
        <v>30529</v>
      </c>
    </row>
    <row r="46" spans="1:32" x14ac:dyDescent="0.3">
      <c r="A46" s="3" t="s">
        <v>30530</v>
      </c>
    </row>
    <row r="47" spans="1:32" s="4" customFormat="1" x14ac:dyDescent="0.3">
      <c r="A47" s="3" t="s">
        <v>30531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30532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30533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30534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 t="s">
        <v>30535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 t="s">
        <v>8365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 t="s">
        <v>8366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 t="s">
        <v>30536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 t="s">
        <v>30537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4" customFormat="1" x14ac:dyDescent="0.3">
      <c r="A56" s="3" t="s">
        <v>30538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4" customFormat="1" x14ac:dyDescent="0.3">
      <c r="A57" s="3" t="s">
        <v>30539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4" customFormat="1" x14ac:dyDescent="0.3">
      <c r="A58" s="3" t="s">
        <v>30540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4" customFormat="1" x14ac:dyDescent="0.3">
      <c r="A59" s="3" t="s">
        <v>30541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4" customFormat="1" x14ac:dyDescent="0.3">
      <c r="A60" s="3" t="s">
        <v>30542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4" customFormat="1" x14ac:dyDescent="0.3">
      <c r="A61" s="3" t="s">
        <v>30543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4" customFormat="1" x14ac:dyDescent="0.3">
      <c r="A62" s="3" t="s">
        <v>30544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4" customFormat="1" x14ac:dyDescent="0.3">
      <c r="A63" s="3" t="s">
        <v>30545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4" customFormat="1" x14ac:dyDescent="0.3">
      <c r="A64" s="3" t="s">
        <v>30546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s="4" customFormat="1" x14ac:dyDescent="0.3">
      <c r="A65" s="3" t="s">
        <v>30547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s="4" customFormat="1" x14ac:dyDescent="0.3">
      <c r="A66" s="3" t="s">
        <v>30548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s="4" customFormat="1" x14ac:dyDescent="0.3">
      <c r="A67" s="3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s="4" customFormat="1" x14ac:dyDescent="0.3">
      <c r="A68" s="3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s="4" customFormat="1" x14ac:dyDescent="0.3">
      <c r="A69" s="3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s="4" customFormat="1" x14ac:dyDescent="0.3">
      <c r="A70" s="3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s="4" customFormat="1" x14ac:dyDescent="0.3">
      <c r="A71" s="3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Φύλλο40"/>
  <dimension ref="A1:AF37"/>
  <sheetViews>
    <sheetView workbookViewId="0">
      <selection activeCell="A8" sqref="A8:AF8"/>
    </sheetView>
  </sheetViews>
  <sheetFormatPr defaultRowHeight="14.4" x14ac:dyDescent="0.3"/>
  <cols>
    <col min="1" max="2" width="9.109375" style="4"/>
    <col min="3" max="3" width="5.109375" customWidth="1"/>
    <col min="4" max="4" width="10.33203125" customWidth="1"/>
    <col min="5" max="5" width="8.33203125" customWidth="1"/>
    <col min="6" max="6" width="12.6640625" bestFit="1" customWidth="1"/>
    <col min="7" max="7" width="6.109375" customWidth="1"/>
    <col min="8" max="8" width="2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31004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9" spans="1:32" x14ac:dyDescent="0.3">
      <c r="A9" s="3"/>
    </row>
    <row r="10" spans="1:32" x14ac:dyDescent="0.3">
      <c r="A10" s="3" t="s">
        <v>8356</v>
      </c>
    </row>
    <row r="11" spans="1:32" x14ac:dyDescent="0.3">
      <c r="A11" s="3" t="s">
        <v>30528</v>
      </c>
    </row>
    <row r="12" spans="1:32" x14ac:dyDescent="0.3">
      <c r="A12" s="3" t="s">
        <v>30529</v>
      </c>
    </row>
    <row r="13" spans="1:32" x14ac:dyDescent="0.3">
      <c r="A13" s="3" t="s">
        <v>30530</v>
      </c>
    </row>
    <row r="14" spans="1:32" x14ac:dyDescent="0.3">
      <c r="A14" s="3" t="s">
        <v>30531</v>
      </c>
    </row>
    <row r="15" spans="1:32" x14ac:dyDescent="0.3">
      <c r="A15" s="3" t="s">
        <v>30532</v>
      </c>
    </row>
    <row r="16" spans="1:32" s="4" customFormat="1" x14ac:dyDescent="0.3">
      <c r="A16" s="3" t="s">
        <v>30533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8365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30540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30542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30543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30545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30547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30548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Φύλλο5"/>
  <dimension ref="A1:AD37"/>
  <sheetViews>
    <sheetView workbookViewId="0">
      <selection activeCell="A8" sqref="A8:AD8"/>
    </sheetView>
  </sheetViews>
  <sheetFormatPr defaultRowHeight="14.4" x14ac:dyDescent="0.3"/>
  <cols>
    <col min="1" max="2" width="9.109375" style="4"/>
    <col min="3" max="3" width="5.109375" customWidth="1"/>
    <col min="4" max="4" width="10.33203125" bestFit="1" customWidth="1"/>
    <col min="5" max="5" width="8.33203125" customWidth="1"/>
    <col min="6" max="6" width="12.6640625" bestFit="1" customWidth="1"/>
    <col min="7" max="7" width="6.109375" customWidth="1"/>
    <col min="8" max="8" width="2" customWidth="1"/>
  </cols>
  <sheetData>
    <row r="1" spans="1:30" x14ac:dyDescent="0.3">
      <c r="A1" s="3" t="s">
        <v>8377</v>
      </c>
    </row>
    <row r="2" spans="1:30" x14ac:dyDescent="0.3">
      <c r="A2" s="3" t="s">
        <v>8394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8395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9" spans="1:30" x14ac:dyDescent="0.3">
      <c r="A9" s="3" t="s">
        <v>8356</v>
      </c>
    </row>
    <row r="10" spans="1:30" x14ac:dyDescent="0.3">
      <c r="A10" s="3" t="s">
        <v>8382</v>
      </c>
    </row>
    <row r="11" spans="1:30" x14ac:dyDescent="0.3">
      <c r="A11" s="3" t="s">
        <v>8358</v>
      </c>
    </row>
    <row r="12" spans="1:30" x14ac:dyDescent="0.3">
      <c r="A12" s="3" t="s">
        <v>8359</v>
      </c>
    </row>
    <row r="13" spans="1:30" x14ac:dyDescent="0.3">
      <c r="A13" s="3" t="s">
        <v>8360</v>
      </c>
    </row>
    <row r="14" spans="1:30" x14ac:dyDescent="0.3">
      <c r="A14" s="3" t="s">
        <v>8361</v>
      </c>
    </row>
    <row r="15" spans="1:30" x14ac:dyDescent="0.3">
      <c r="A15" s="3" t="s">
        <v>8362</v>
      </c>
    </row>
    <row r="16" spans="1:30" s="4" customFormat="1" x14ac:dyDescent="0.3">
      <c r="A16" s="3" t="s">
        <v>8363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s="4" customFormat="1" x14ac:dyDescent="0.3">
      <c r="A17" s="3" t="s">
        <v>8364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s="4" customFormat="1" x14ac:dyDescent="0.3">
      <c r="A18" s="3" t="s">
        <v>8365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4" customFormat="1" x14ac:dyDescent="0.3">
      <c r="A19" s="3" t="s">
        <v>8366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4" customFormat="1" x14ac:dyDescent="0.3">
      <c r="A20" s="3" t="s">
        <v>8383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4" customFormat="1" x14ac:dyDescent="0.3">
      <c r="A21" s="3" t="s">
        <v>8384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4" customFormat="1" x14ac:dyDescent="0.3">
      <c r="A22" s="3" t="s">
        <v>8385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4" customFormat="1" x14ac:dyDescent="0.3">
      <c r="A23" s="3" t="s">
        <v>8386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4" customFormat="1" x14ac:dyDescent="0.3">
      <c r="A24" s="3" t="s">
        <v>8387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s="4" customFormat="1" x14ac:dyDescent="0.3">
      <c r="A25" s="3" t="s">
        <v>8388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s="4" customFormat="1" x14ac:dyDescent="0.3">
      <c r="A26" s="3" t="s">
        <v>8389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s="4" customFormat="1" x14ac:dyDescent="0.3">
      <c r="A27" s="3" t="s">
        <v>8390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s="4" customFormat="1" x14ac:dyDescent="0.3">
      <c r="A28" s="3" t="s">
        <v>8391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s="4" customFormat="1" x14ac:dyDescent="0.3">
      <c r="A29" s="3" t="s">
        <v>8392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s="4" customFormat="1" x14ac:dyDescent="0.3">
      <c r="A30" s="3" t="s">
        <v>8393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s="4" customFormat="1" x14ac:dyDescent="0.3">
      <c r="A31" s="3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s="4" customFormat="1" x14ac:dyDescent="0.3">
      <c r="A32" s="3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s="4" customFormat="1" x14ac:dyDescent="0.3">
      <c r="A33" s="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Φύλλο41"/>
  <dimension ref="A1:AF41"/>
  <sheetViews>
    <sheetView workbookViewId="0">
      <selection activeCell="A8" sqref="A8:AF11"/>
    </sheetView>
  </sheetViews>
  <sheetFormatPr defaultRowHeight="14.4" x14ac:dyDescent="0.3"/>
  <cols>
    <col min="1" max="2" width="9.109375" style="4"/>
    <col min="3" max="3" width="5.109375" customWidth="1"/>
    <col min="4" max="4" width="16.33203125" bestFit="1" customWidth="1"/>
    <col min="5" max="5" width="12.5546875" bestFit="1" customWidth="1"/>
    <col min="6" max="6" width="15.332031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31004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1216</v>
      </c>
      <c r="D8" t="s">
        <v>31005</v>
      </c>
      <c r="E8" t="s">
        <v>132</v>
      </c>
      <c r="F8" t="s">
        <v>81</v>
      </c>
      <c r="G8" t="s">
        <v>31006</v>
      </c>
      <c r="H8">
        <v>60</v>
      </c>
      <c r="I8">
        <v>0</v>
      </c>
      <c r="J8">
        <v>20</v>
      </c>
      <c r="M8">
        <v>20</v>
      </c>
      <c r="N8">
        <v>20</v>
      </c>
      <c r="O8">
        <v>10</v>
      </c>
      <c r="P8">
        <v>110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 t="s">
        <v>130</v>
      </c>
      <c r="AF8">
        <v>116</v>
      </c>
    </row>
    <row r="9" spans="1:32" x14ac:dyDescent="0.3">
      <c r="A9" s="4">
        <v>2</v>
      </c>
      <c r="B9" s="5">
        <v>2</v>
      </c>
      <c r="C9">
        <v>476</v>
      </c>
      <c r="D9" t="s">
        <v>31007</v>
      </c>
      <c r="E9" t="s">
        <v>273</v>
      </c>
      <c r="F9" t="s">
        <v>14</v>
      </c>
      <c r="G9" t="s">
        <v>31008</v>
      </c>
      <c r="H9">
        <v>49.65</v>
      </c>
      <c r="I9">
        <v>0</v>
      </c>
      <c r="L9">
        <v>10</v>
      </c>
      <c r="M9">
        <v>10</v>
      </c>
      <c r="N9">
        <v>20</v>
      </c>
      <c r="O9">
        <v>10</v>
      </c>
      <c r="P9">
        <v>89.65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D9" t="s">
        <v>130</v>
      </c>
      <c r="AF9">
        <v>95.65</v>
      </c>
    </row>
    <row r="10" spans="1:32" x14ac:dyDescent="0.3">
      <c r="A10" s="4">
        <v>3</v>
      </c>
      <c r="B10" s="5">
        <v>3</v>
      </c>
      <c r="C10">
        <v>315</v>
      </c>
      <c r="D10" t="s">
        <v>4032</v>
      </c>
      <c r="E10" t="s">
        <v>4033</v>
      </c>
      <c r="F10" t="s">
        <v>4034</v>
      </c>
      <c r="G10" t="s">
        <v>4035</v>
      </c>
      <c r="H10">
        <v>54.81</v>
      </c>
      <c r="I10">
        <v>0</v>
      </c>
      <c r="M10">
        <v>0</v>
      </c>
      <c r="N10">
        <v>20</v>
      </c>
      <c r="O10">
        <v>10</v>
      </c>
      <c r="P10">
        <v>84.81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F10">
        <v>84.81</v>
      </c>
    </row>
    <row r="11" spans="1:32" x14ac:dyDescent="0.3">
      <c r="A11" s="4">
        <v>4</v>
      </c>
      <c r="B11" s="5">
        <v>4</v>
      </c>
      <c r="C11">
        <v>1403</v>
      </c>
      <c r="D11" t="s">
        <v>7029</v>
      </c>
      <c r="E11" t="s">
        <v>1526</v>
      </c>
      <c r="F11" t="s">
        <v>230</v>
      </c>
      <c r="G11" t="s">
        <v>31009</v>
      </c>
      <c r="H11">
        <v>43.26</v>
      </c>
      <c r="I11">
        <v>0</v>
      </c>
      <c r="M11">
        <v>0</v>
      </c>
      <c r="N11">
        <v>20</v>
      </c>
      <c r="O11">
        <v>10</v>
      </c>
      <c r="P11">
        <v>73.260000000000005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F11">
        <v>73.260000000000005</v>
      </c>
    </row>
    <row r="13" spans="1:32" x14ac:dyDescent="0.3">
      <c r="A13" s="3" t="s">
        <v>8356</v>
      </c>
    </row>
    <row r="14" spans="1:32" x14ac:dyDescent="0.3">
      <c r="A14" s="3" t="s">
        <v>30528</v>
      </c>
    </row>
    <row r="15" spans="1:32" x14ac:dyDescent="0.3">
      <c r="A15" s="3" t="s">
        <v>30529</v>
      </c>
    </row>
    <row r="16" spans="1:32" x14ac:dyDescent="0.3">
      <c r="A16" s="3" t="s">
        <v>30530</v>
      </c>
    </row>
    <row r="17" spans="1:1" x14ac:dyDescent="0.3">
      <c r="A17" s="3" t="s">
        <v>30531</v>
      </c>
    </row>
    <row r="18" spans="1:1" x14ac:dyDescent="0.3">
      <c r="A18" s="3" t="s">
        <v>30532</v>
      </c>
    </row>
    <row r="19" spans="1:1" x14ac:dyDescent="0.3">
      <c r="A19" s="3" t="s">
        <v>30533</v>
      </c>
    </row>
    <row r="20" spans="1:1" x14ac:dyDescent="0.3">
      <c r="A20" s="3" t="s">
        <v>30534</v>
      </c>
    </row>
    <row r="21" spans="1:1" x14ac:dyDescent="0.3">
      <c r="A21" s="3" t="s">
        <v>30535</v>
      </c>
    </row>
    <row r="22" spans="1:1" x14ac:dyDescent="0.3">
      <c r="A22" s="3" t="s">
        <v>8365</v>
      </c>
    </row>
    <row r="23" spans="1:1" x14ac:dyDescent="0.3">
      <c r="A23" s="3" t="s">
        <v>8366</v>
      </c>
    </row>
    <row r="24" spans="1:1" x14ac:dyDescent="0.3">
      <c r="A24" s="3" t="s">
        <v>30536</v>
      </c>
    </row>
    <row r="25" spans="1:1" x14ac:dyDescent="0.3">
      <c r="A25" s="3" t="s">
        <v>30537</v>
      </c>
    </row>
    <row r="26" spans="1:1" x14ac:dyDescent="0.3">
      <c r="A26" s="3" t="s">
        <v>30538</v>
      </c>
    </row>
    <row r="27" spans="1:1" x14ac:dyDescent="0.3">
      <c r="A27" s="3" t="s">
        <v>30539</v>
      </c>
    </row>
    <row r="28" spans="1:1" x14ac:dyDescent="0.3">
      <c r="A28" s="3" t="s">
        <v>30540</v>
      </c>
    </row>
    <row r="29" spans="1:1" x14ac:dyDescent="0.3">
      <c r="A29" s="3" t="s">
        <v>30541</v>
      </c>
    </row>
    <row r="30" spans="1:1" x14ac:dyDescent="0.3">
      <c r="A30" s="3" t="s">
        <v>30542</v>
      </c>
    </row>
    <row r="31" spans="1:1" x14ac:dyDescent="0.3">
      <c r="A31" s="3" t="s">
        <v>30543</v>
      </c>
    </row>
    <row r="32" spans="1:1" x14ac:dyDescent="0.3">
      <c r="A32" s="3" t="s">
        <v>30544</v>
      </c>
    </row>
    <row r="33" spans="1:1" x14ac:dyDescent="0.3">
      <c r="A33" s="3" t="s">
        <v>30545</v>
      </c>
    </row>
    <row r="34" spans="1:1" x14ac:dyDescent="0.3">
      <c r="A34" s="3" t="s">
        <v>30546</v>
      </c>
    </row>
    <row r="35" spans="1:1" x14ac:dyDescent="0.3">
      <c r="A35" s="3" t="s">
        <v>30547</v>
      </c>
    </row>
    <row r="36" spans="1:1" x14ac:dyDescent="0.3">
      <c r="A36" s="3" t="s">
        <v>30548</v>
      </c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Φύλλο42"/>
  <dimension ref="A1:AF43"/>
  <sheetViews>
    <sheetView workbookViewId="0">
      <selection activeCell="A8" sqref="A8:AF14"/>
    </sheetView>
  </sheetViews>
  <sheetFormatPr defaultRowHeight="14.4" x14ac:dyDescent="0.3"/>
  <cols>
    <col min="1" max="2" width="9.109375" style="4"/>
    <col min="3" max="3" width="5.109375" customWidth="1"/>
    <col min="4" max="4" width="10.33203125" customWidth="1"/>
    <col min="5" max="5" width="10.6640625" bestFit="1" customWidth="1"/>
    <col min="6" max="6" width="12.66406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31010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1350</v>
      </c>
      <c r="D8" t="s">
        <v>31011</v>
      </c>
      <c r="E8" t="s">
        <v>14</v>
      </c>
      <c r="F8" t="s">
        <v>259</v>
      </c>
      <c r="G8" t="s">
        <v>31012</v>
      </c>
      <c r="H8">
        <v>56.1</v>
      </c>
      <c r="I8">
        <v>0</v>
      </c>
      <c r="J8">
        <v>20</v>
      </c>
      <c r="M8">
        <v>20</v>
      </c>
      <c r="N8">
        <v>20</v>
      </c>
      <c r="O8">
        <v>10</v>
      </c>
      <c r="P8">
        <v>106.1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20</v>
      </c>
      <c r="AD8" t="s">
        <v>130</v>
      </c>
      <c r="AF8">
        <v>132.1</v>
      </c>
    </row>
    <row r="9" spans="1:32" x14ac:dyDescent="0.3">
      <c r="A9" s="4">
        <v>2</v>
      </c>
      <c r="B9" s="5">
        <v>2</v>
      </c>
      <c r="C9">
        <v>344</v>
      </c>
      <c r="D9" t="s">
        <v>31013</v>
      </c>
      <c r="E9" t="s">
        <v>51</v>
      </c>
      <c r="F9" t="s">
        <v>117</v>
      </c>
      <c r="G9" t="s">
        <v>31014</v>
      </c>
      <c r="H9">
        <v>60</v>
      </c>
      <c r="I9">
        <v>0</v>
      </c>
      <c r="J9">
        <v>40</v>
      </c>
      <c r="M9">
        <v>20</v>
      </c>
      <c r="N9">
        <v>20</v>
      </c>
      <c r="O9">
        <v>10</v>
      </c>
      <c r="P9">
        <v>110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B9" t="s">
        <v>130</v>
      </c>
      <c r="AD9" t="s">
        <v>130</v>
      </c>
      <c r="AF9">
        <v>116</v>
      </c>
    </row>
    <row r="10" spans="1:32" x14ac:dyDescent="0.3">
      <c r="A10" s="4">
        <v>3</v>
      </c>
      <c r="B10" s="5">
        <v>3</v>
      </c>
      <c r="C10">
        <v>939</v>
      </c>
      <c r="D10" t="s">
        <v>6630</v>
      </c>
      <c r="E10" t="s">
        <v>406</v>
      </c>
      <c r="F10" t="s">
        <v>878</v>
      </c>
      <c r="G10" t="s">
        <v>31015</v>
      </c>
      <c r="H10">
        <v>59.7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109.7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6</v>
      </c>
      <c r="AA10">
        <v>0</v>
      </c>
      <c r="AB10" t="s">
        <v>130</v>
      </c>
      <c r="AD10" t="s">
        <v>130</v>
      </c>
      <c r="AF10">
        <v>115.7</v>
      </c>
    </row>
    <row r="11" spans="1:32" x14ac:dyDescent="0.3">
      <c r="A11" s="4">
        <v>5</v>
      </c>
      <c r="B11" s="5">
        <v>4</v>
      </c>
      <c r="C11">
        <v>219</v>
      </c>
      <c r="D11" t="s">
        <v>569</v>
      </c>
      <c r="E11" t="s">
        <v>88</v>
      </c>
      <c r="F11" t="s">
        <v>801</v>
      </c>
      <c r="G11" t="s">
        <v>31016</v>
      </c>
      <c r="H11">
        <v>57.6</v>
      </c>
      <c r="I11">
        <v>0</v>
      </c>
      <c r="J11">
        <v>20</v>
      </c>
      <c r="L11">
        <v>10</v>
      </c>
      <c r="M11">
        <v>20</v>
      </c>
      <c r="N11">
        <v>20</v>
      </c>
      <c r="O11">
        <v>10</v>
      </c>
      <c r="P11">
        <v>107.6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B11" t="s">
        <v>130</v>
      </c>
      <c r="AD11" t="s">
        <v>130</v>
      </c>
      <c r="AF11">
        <v>110.6</v>
      </c>
    </row>
    <row r="12" spans="1:32" x14ac:dyDescent="0.3">
      <c r="A12" s="4">
        <v>6</v>
      </c>
      <c r="B12" s="5">
        <v>5</v>
      </c>
      <c r="C12">
        <v>183</v>
      </c>
      <c r="D12" t="s">
        <v>31017</v>
      </c>
      <c r="E12" t="s">
        <v>927</v>
      </c>
      <c r="F12" t="s">
        <v>38</v>
      </c>
      <c r="G12" t="s">
        <v>31018</v>
      </c>
      <c r="H12">
        <v>58.38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108.38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D12" t="s">
        <v>130</v>
      </c>
      <c r="AF12">
        <v>108.38</v>
      </c>
    </row>
    <row r="13" spans="1:32" x14ac:dyDescent="0.3">
      <c r="A13" s="4">
        <v>7</v>
      </c>
      <c r="B13" s="5">
        <v>6</v>
      </c>
      <c r="C13">
        <v>1376</v>
      </c>
      <c r="D13" t="s">
        <v>31019</v>
      </c>
      <c r="E13" t="s">
        <v>139</v>
      </c>
      <c r="F13" t="s">
        <v>38</v>
      </c>
      <c r="G13" t="s">
        <v>31020</v>
      </c>
      <c r="H13">
        <v>54.3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104.3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t="s">
        <v>130</v>
      </c>
      <c r="AD13" t="s">
        <v>130</v>
      </c>
      <c r="AF13">
        <v>104.3</v>
      </c>
    </row>
    <row r="15" spans="1:32" x14ac:dyDescent="0.3">
      <c r="A15" s="3" t="s">
        <v>8356</v>
      </c>
    </row>
    <row r="16" spans="1:32" s="4" customFormat="1" x14ac:dyDescent="0.3">
      <c r="A16" s="3" t="s">
        <v>30528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30529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30530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30531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30532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30533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30534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30535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8365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8366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30536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30537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30538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30539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30540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30541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30542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30544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30545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30546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30547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30548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Φύλλο43"/>
  <dimension ref="A1:AF109"/>
  <sheetViews>
    <sheetView workbookViewId="0">
      <selection activeCell="A8" sqref="A8:AF81"/>
    </sheetView>
  </sheetViews>
  <sheetFormatPr defaultRowHeight="14.4" x14ac:dyDescent="0.3"/>
  <cols>
    <col min="1" max="2" width="9.109375" style="4"/>
    <col min="3" max="3" width="5.109375" customWidth="1"/>
    <col min="4" max="4" width="18.44140625" bestFit="1" customWidth="1"/>
    <col min="5" max="5" width="19.5546875" bestFit="1" customWidth="1"/>
    <col min="6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31010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496</v>
      </c>
      <c r="D8" t="s">
        <v>31021</v>
      </c>
      <c r="E8" t="s">
        <v>132</v>
      </c>
      <c r="F8" t="s">
        <v>158</v>
      </c>
      <c r="G8" t="s">
        <v>31022</v>
      </c>
      <c r="H8">
        <v>58.2</v>
      </c>
      <c r="I8">
        <v>10</v>
      </c>
      <c r="J8">
        <v>20</v>
      </c>
      <c r="M8">
        <v>20</v>
      </c>
      <c r="N8">
        <v>20</v>
      </c>
      <c r="O8">
        <v>10</v>
      </c>
      <c r="P8">
        <v>118.2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27.2</v>
      </c>
      <c r="AD8" t="s">
        <v>130</v>
      </c>
      <c r="AF8">
        <v>151.4</v>
      </c>
    </row>
    <row r="9" spans="1:32" x14ac:dyDescent="0.3">
      <c r="A9" s="4">
        <v>2</v>
      </c>
      <c r="B9" s="5">
        <v>2</v>
      </c>
      <c r="C9">
        <v>195</v>
      </c>
      <c r="D9" t="s">
        <v>31023</v>
      </c>
      <c r="E9" t="s">
        <v>149</v>
      </c>
      <c r="F9" t="s">
        <v>238</v>
      </c>
      <c r="G9" t="s">
        <v>31024</v>
      </c>
      <c r="H9">
        <v>52.08</v>
      </c>
      <c r="I9">
        <v>0</v>
      </c>
      <c r="J9">
        <v>20</v>
      </c>
      <c r="M9">
        <v>20</v>
      </c>
      <c r="N9">
        <v>20</v>
      </c>
      <c r="O9">
        <v>10</v>
      </c>
      <c r="P9">
        <v>102.08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3</v>
      </c>
      <c r="AA9">
        <v>28.4</v>
      </c>
      <c r="AD9" t="s">
        <v>130</v>
      </c>
      <c r="AF9">
        <v>133.47999999999999</v>
      </c>
    </row>
    <row r="10" spans="1:32" x14ac:dyDescent="0.3">
      <c r="A10" s="4">
        <v>3</v>
      </c>
      <c r="B10" s="5">
        <v>3</v>
      </c>
      <c r="C10">
        <v>650</v>
      </c>
      <c r="D10" t="s">
        <v>19252</v>
      </c>
      <c r="E10" t="s">
        <v>41</v>
      </c>
      <c r="F10" t="s">
        <v>81</v>
      </c>
      <c r="G10" t="s">
        <v>31025</v>
      </c>
      <c r="H10">
        <v>60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110</v>
      </c>
      <c r="Q10">
        <v>18</v>
      </c>
      <c r="R10">
        <v>18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18</v>
      </c>
      <c r="Z10">
        <v>0</v>
      </c>
      <c r="AA10">
        <v>0</v>
      </c>
      <c r="AD10" t="s">
        <v>130</v>
      </c>
      <c r="AF10">
        <v>128</v>
      </c>
    </row>
    <row r="11" spans="1:32" x14ac:dyDescent="0.3">
      <c r="A11" s="4">
        <v>4</v>
      </c>
      <c r="B11" s="5">
        <v>4</v>
      </c>
      <c r="C11">
        <v>856</v>
      </c>
      <c r="D11" t="s">
        <v>31026</v>
      </c>
      <c r="E11" t="s">
        <v>31027</v>
      </c>
      <c r="F11" t="s">
        <v>81</v>
      </c>
      <c r="G11" t="s">
        <v>31028</v>
      </c>
      <c r="H11">
        <v>56.19</v>
      </c>
      <c r="I11">
        <v>0</v>
      </c>
      <c r="L11">
        <v>10</v>
      </c>
      <c r="M11">
        <v>10</v>
      </c>
      <c r="N11">
        <v>20</v>
      </c>
      <c r="O11">
        <v>10</v>
      </c>
      <c r="P11">
        <v>96.19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24.4</v>
      </c>
      <c r="AD11" t="s">
        <v>130</v>
      </c>
      <c r="AF11">
        <v>123.59</v>
      </c>
    </row>
    <row r="12" spans="1:32" x14ac:dyDescent="0.3">
      <c r="A12" s="4">
        <v>5</v>
      </c>
      <c r="B12" s="5">
        <v>5</v>
      </c>
      <c r="C12">
        <v>449</v>
      </c>
      <c r="D12" t="s">
        <v>18963</v>
      </c>
      <c r="E12" t="s">
        <v>342</v>
      </c>
      <c r="F12" t="s">
        <v>17</v>
      </c>
      <c r="G12" t="s">
        <v>31029</v>
      </c>
      <c r="H12">
        <v>59.16</v>
      </c>
      <c r="I12">
        <v>10</v>
      </c>
      <c r="L12">
        <v>10</v>
      </c>
      <c r="M12">
        <v>10</v>
      </c>
      <c r="N12">
        <v>20</v>
      </c>
      <c r="O12">
        <v>10</v>
      </c>
      <c r="P12">
        <v>109.16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12</v>
      </c>
      <c r="AA12">
        <v>0</v>
      </c>
      <c r="AD12" t="s">
        <v>130</v>
      </c>
      <c r="AF12">
        <v>121.16</v>
      </c>
    </row>
    <row r="13" spans="1:32" x14ac:dyDescent="0.3">
      <c r="A13" s="4">
        <v>6</v>
      </c>
      <c r="B13" s="5">
        <v>6</v>
      </c>
      <c r="C13">
        <v>272</v>
      </c>
      <c r="D13" t="s">
        <v>1770</v>
      </c>
      <c r="E13" t="s">
        <v>54</v>
      </c>
      <c r="F13" t="s">
        <v>11853</v>
      </c>
      <c r="G13" t="s">
        <v>31030</v>
      </c>
      <c r="H13">
        <v>60</v>
      </c>
      <c r="I13">
        <v>0</v>
      </c>
      <c r="J13">
        <v>20</v>
      </c>
      <c r="M13">
        <v>20</v>
      </c>
      <c r="N13">
        <v>20</v>
      </c>
      <c r="O13">
        <v>10</v>
      </c>
      <c r="P13">
        <v>110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9</v>
      </c>
      <c r="AA13">
        <v>0</v>
      </c>
      <c r="AD13" t="s">
        <v>130</v>
      </c>
      <c r="AF13">
        <v>119</v>
      </c>
    </row>
    <row r="14" spans="1:32" x14ac:dyDescent="0.3">
      <c r="A14" s="4">
        <v>7</v>
      </c>
      <c r="B14" s="5">
        <v>7</v>
      </c>
      <c r="C14">
        <v>1260</v>
      </c>
      <c r="D14" t="s">
        <v>31031</v>
      </c>
      <c r="E14" t="s">
        <v>1997</v>
      </c>
      <c r="F14" t="s">
        <v>91</v>
      </c>
      <c r="G14" t="s">
        <v>31032</v>
      </c>
      <c r="H14">
        <v>55.29</v>
      </c>
      <c r="I14">
        <v>0</v>
      </c>
      <c r="M14">
        <v>0</v>
      </c>
      <c r="N14">
        <v>20</v>
      </c>
      <c r="O14">
        <v>10</v>
      </c>
      <c r="P14">
        <v>85.29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9</v>
      </c>
      <c r="AA14">
        <v>22</v>
      </c>
      <c r="AD14" t="s">
        <v>130</v>
      </c>
      <c r="AF14">
        <v>116.29</v>
      </c>
    </row>
    <row r="15" spans="1:32" x14ac:dyDescent="0.3">
      <c r="A15" s="4">
        <v>8</v>
      </c>
      <c r="B15" s="5">
        <v>8</v>
      </c>
      <c r="C15">
        <v>712</v>
      </c>
      <c r="D15" t="s">
        <v>31033</v>
      </c>
      <c r="E15" t="s">
        <v>3964</v>
      </c>
      <c r="F15" t="s">
        <v>91</v>
      </c>
      <c r="G15" t="s">
        <v>31034</v>
      </c>
      <c r="H15">
        <v>60</v>
      </c>
      <c r="I15">
        <v>0</v>
      </c>
      <c r="J15">
        <v>20</v>
      </c>
      <c r="M15">
        <v>20</v>
      </c>
      <c r="N15">
        <v>20</v>
      </c>
      <c r="O15">
        <v>10</v>
      </c>
      <c r="P15">
        <v>110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6</v>
      </c>
      <c r="AA15">
        <v>0</v>
      </c>
      <c r="AB15" t="s">
        <v>130</v>
      </c>
      <c r="AD15" t="s">
        <v>130</v>
      </c>
      <c r="AF15">
        <v>116</v>
      </c>
    </row>
    <row r="16" spans="1:32" x14ac:dyDescent="0.3">
      <c r="A16" s="4">
        <v>9</v>
      </c>
      <c r="B16" s="5">
        <v>9</v>
      </c>
      <c r="C16">
        <v>104</v>
      </c>
      <c r="D16" t="s">
        <v>12571</v>
      </c>
      <c r="E16" t="s">
        <v>1652</v>
      </c>
      <c r="F16" t="s">
        <v>17</v>
      </c>
      <c r="G16" t="s">
        <v>31035</v>
      </c>
      <c r="H16">
        <v>59.76</v>
      </c>
      <c r="I16">
        <v>0</v>
      </c>
      <c r="J16">
        <v>20</v>
      </c>
      <c r="L16">
        <v>10</v>
      </c>
      <c r="M16">
        <v>20</v>
      </c>
      <c r="N16">
        <v>20</v>
      </c>
      <c r="O16">
        <v>10</v>
      </c>
      <c r="P16">
        <v>109.76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B16" t="s">
        <v>130</v>
      </c>
      <c r="AD16" t="s">
        <v>130</v>
      </c>
      <c r="AF16">
        <v>115.76</v>
      </c>
    </row>
    <row r="17" spans="1:32" x14ac:dyDescent="0.3">
      <c r="A17" s="4">
        <v>10</v>
      </c>
      <c r="B17" s="5">
        <v>10</v>
      </c>
      <c r="C17">
        <v>88</v>
      </c>
      <c r="D17" t="s">
        <v>31036</v>
      </c>
      <c r="E17" t="s">
        <v>3964</v>
      </c>
      <c r="F17" t="s">
        <v>190</v>
      </c>
      <c r="G17" t="s">
        <v>31037</v>
      </c>
      <c r="H17">
        <v>47.73</v>
      </c>
      <c r="I17">
        <v>10</v>
      </c>
      <c r="J17">
        <v>20</v>
      </c>
      <c r="M17">
        <v>20</v>
      </c>
      <c r="N17">
        <v>20</v>
      </c>
      <c r="O17">
        <v>10</v>
      </c>
      <c r="P17">
        <v>107.73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6</v>
      </c>
      <c r="AA17">
        <v>0</v>
      </c>
      <c r="AD17" t="s">
        <v>130</v>
      </c>
      <c r="AF17">
        <v>113.73</v>
      </c>
    </row>
    <row r="18" spans="1:32" x14ac:dyDescent="0.3">
      <c r="A18" s="4">
        <v>11</v>
      </c>
      <c r="B18" s="5">
        <v>11</v>
      </c>
      <c r="C18">
        <v>290</v>
      </c>
      <c r="D18" t="s">
        <v>17226</v>
      </c>
      <c r="E18" t="s">
        <v>6517</v>
      </c>
      <c r="F18" t="s">
        <v>17</v>
      </c>
      <c r="G18" t="s">
        <v>31038</v>
      </c>
      <c r="H18">
        <v>54.81</v>
      </c>
      <c r="I18">
        <v>0</v>
      </c>
      <c r="J18">
        <v>20</v>
      </c>
      <c r="M18">
        <v>20</v>
      </c>
      <c r="N18">
        <v>20</v>
      </c>
      <c r="O18">
        <v>10</v>
      </c>
      <c r="P18">
        <v>104.81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</v>
      </c>
      <c r="AA18">
        <v>0</v>
      </c>
      <c r="AD18" t="s">
        <v>130</v>
      </c>
      <c r="AF18">
        <v>110.81</v>
      </c>
    </row>
    <row r="19" spans="1:32" x14ac:dyDescent="0.3">
      <c r="A19" s="4">
        <v>12</v>
      </c>
      <c r="B19" s="5">
        <v>12</v>
      </c>
      <c r="C19">
        <v>9</v>
      </c>
      <c r="D19" t="s">
        <v>3415</v>
      </c>
      <c r="E19" t="s">
        <v>2838</v>
      </c>
      <c r="F19" t="s">
        <v>892</v>
      </c>
      <c r="G19" t="s">
        <v>3416</v>
      </c>
      <c r="H19">
        <v>57.75</v>
      </c>
      <c r="I19">
        <v>0</v>
      </c>
      <c r="L19">
        <v>20</v>
      </c>
      <c r="M19">
        <v>20</v>
      </c>
      <c r="N19">
        <v>20</v>
      </c>
      <c r="O19">
        <v>10</v>
      </c>
      <c r="P19">
        <v>107.75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3</v>
      </c>
      <c r="AA19">
        <v>0</v>
      </c>
      <c r="AB19" t="s">
        <v>130</v>
      </c>
      <c r="AD19" t="s">
        <v>130</v>
      </c>
      <c r="AF19">
        <v>110.75</v>
      </c>
    </row>
    <row r="20" spans="1:32" x14ac:dyDescent="0.3">
      <c r="A20" s="4">
        <v>13</v>
      </c>
      <c r="B20" s="5">
        <v>13</v>
      </c>
      <c r="C20">
        <v>478</v>
      </c>
      <c r="D20" t="s">
        <v>2666</v>
      </c>
      <c r="E20" t="s">
        <v>27796</v>
      </c>
      <c r="F20" t="s">
        <v>81</v>
      </c>
      <c r="G20" t="s">
        <v>31039</v>
      </c>
      <c r="H20">
        <v>54.27</v>
      </c>
      <c r="I20">
        <v>0</v>
      </c>
      <c r="J20">
        <v>20</v>
      </c>
      <c r="M20">
        <v>20</v>
      </c>
      <c r="N20">
        <v>20</v>
      </c>
      <c r="O20">
        <v>10</v>
      </c>
      <c r="P20">
        <v>104.27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B20" t="s">
        <v>130</v>
      </c>
      <c r="AD20" t="s">
        <v>130</v>
      </c>
      <c r="AF20">
        <v>110.27</v>
      </c>
    </row>
    <row r="21" spans="1:32" x14ac:dyDescent="0.3">
      <c r="A21" s="4">
        <v>14</v>
      </c>
      <c r="B21" s="5">
        <v>14</v>
      </c>
      <c r="C21">
        <v>1597</v>
      </c>
      <c r="D21" t="s">
        <v>93</v>
      </c>
      <c r="E21" t="s">
        <v>41</v>
      </c>
      <c r="F21" t="s">
        <v>20</v>
      </c>
      <c r="G21" t="s">
        <v>31040</v>
      </c>
      <c r="H21">
        <v>56.55</v>
      </c>
      <c r="I21">
        <v>0</v>
      </c>
      <c r="J21">
        <v>20</v>
      </c>
      <c r="M21">
        <v>20</v>
      </c>
      <c r="N21">
        <v>20</v>
      </c>
      <c r="O21">
        <v>10</v>
      </c>
      <c r="P21">
        <v>106.55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3</v>
      </c>
      <c r="AA21">
        <v>0</v>
      </c>
      <c r="AD21" t="s">
        <v>130</v>
      </c>
      <c r="AF21">
        <v>109.55</v>
      </c>
    </row>
    <row r="22" spans="1:32" x14ac:dyDescent="0.3">
      <c r="A22" s="4">
        <v>15</v>
      </c>
      <c r="B22" s="5">
        <v>15</v>
      </c>
      <c r="C22">
        <v>848</v>
      </c>
      <c r="D22" t="s">
        <v>31041</v>
      </c>
      <c r="E22" t="s">
        <v>521</v>
      </c>
      <c r="F22" t="s">
        <v>227</v>
      </c>
      <c r="G22" t="s">
        <v>32093</v>
      </c>
      <c r="H22">
        <v>59.07</v>
      </c>
      <c r="I22">
        <v>0</v>
      </c>
      <c r="J22">
        <v>20</v>
      </c>
      <c r="M22">
        <v>20</v>
      </c>
      <c r="N22">
        <v>20</v>
      </c>
      <c r="O22">
        <v>10</v>
      </c>
      <c r="P22">
        <v>109.07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D22" t="s">
        <v>130</v>
      </c>
      <c r="AF22">
        <v>109.07</v>
      </c>
    </row>
    <row r="23" spans="1:32" x14ac:dyDescent="0.3">
      <c r="A23" s="4">
        <v>16</v>
      </c>
      <c r="B23" s="5">
        <v>16</v>
      </c>
      <c r="C23">
        <v>1298</v>
      </c>
      <c r="D23" t="s">
        <v>18009</v>
      </c>
      <c r="E23" t="s">
        <v>41</v>
      </c>
      <c r="F23" t="s">
        <v>17</v>
      </c>
      <c r="G23" t="s">
        <v>31042</v>
      </c>
      <c r="H23">
        <v>58.65</v>
      </c>
      <c r="I23">
        <v>10</v>
      </c>
      <c r="L23">
        <v>10</v>
      </c>
      <c r="M23">
        <v>10</v>
      </c>
      <c r="N23">
        <v>20</v>
      </c>
      <c r="O23">
        <v>10</v>
      </c>
      <c r="P23">
        <v>108.65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D23" t="s">
        <v>130</v>
      </c>
      <c r="AF23">
        <v>108.65</v>
      </c>
    </row>
    <row r="24" spans="1:32" x14ac:dyDescent="0.3">
      <c r="A24" s="4">
        <v>17</v>
      </c>
      <c r="B24" s="5">
        <v>17</v>
      </c>
      <c r="C24">
        <v>979</v>
      </c>
      <c r="D24" t="s">
        <v>2115</v>
      </c>
      <c r="E24" t="s">
        <v>166</v>
      </c>
      <c r="F24" t="s">
        <v>81</v>
      </c>
      <c r="G24" t="s">
        <v>31043</v>
      </c>
      <c r="H24">
        <v>57.6</v>
      </c>
      <c r="I24">
        <v>0</v>
      </c>
      <c r="J24">
        <v>20</v>
      </c>
      <c r="M24">
        <v>20</v>
      </c>
      <c r="N24">
        <v>20</v>
      </c>
      <c r="O24">
        <v>10</v>
      </c>
      <c r="P24">
        <v>107.6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D24" t="s">
        <v>130</v>
      </c>
      <c r="AF24">
        <v>107.6</v>
      </c>
    </row>
    <row r="25" spans="1:32" x14ac:dyDescent="0.3">
      <c r="A25" s="4">
        <v>18</v>
      </c>
      <c r="B25" s="5">
        <v>18</v>
      </c>
      <c r="C25">
        <v>1470</v>
      </c>
      <c r="D25" t="s">
        <v>14047</v>
      </c>
      <c r="E25" t="s">
        <v>54</v>
      </c>
      <c r="F25" t="s">
        <v>238</v>
      </c>
      <c r="G25" t="s">
        <v>31044</v>
      </c>
      <c r="H25">
        <v>54</v>
      </c>
      <c r="I25">
        <v>0</v>
      </c>
      <c r="J25">
        <v>20</v>
      </c>
      <c r="M25">
        <v>20</v>
      </c>
      <c r="N25">
        <v>20</v>
      </c>
      <c r="O25">
        <v>10</v>
      </c>
      <c r="P25">
        <v>104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3</v>
      </c>
      <c r="AA25">
        <v>0</v>
      </c>
      <c r="AB25" t="s">
        <v>130</v>
      </c>
      <c r="AD25" t="s">
        <v>130</v>
      </c>
      <c r="AF25">
        <v>107</v>
      </c>
    </row>
    <row r="26" spans="1:32" x14ac:dyDescent="0.3">
      <c r="A26" s="4">
        <v>19</v>
      </c>
      <c r="B26" s="5">
        <v>19</v>
      </c>
      <c r="C26">
        <v>1377</v>
      </c>
      <c r="D26" t="s">
        <v>31045</v>
      </c>
      <c r="E26" t="s">
        <v>54</v>
      </c>
      <c r="F26" t="s">
        <v>238</v>
      </c>
      <c r="G26" t="s">
        <v>31046</v>
      </c>
      <c r="H26">
        <v>56.58</v>
      </c>
      <c r="I26">
        <v>0</v>
      </c>
      <c r="J26">
        <v>20</v>
      </c>
      <c r="K26">
        <v>15</v>
      </c>
      <c r="M26">
        <v>20</v>
      </c>
      <c r="N26">
        <v>20</v>
      </c>
      <c r="O26">
        <v>10</v>
      </c>
      <c r="P26">
        <v>106.58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D26" t="s">
        <v>130</v>
      </c>
      <c r="AF26">
        <v>106.58</v>
      </c>
    </row>
    <row r="27" spans="1:32" x14ac:dyDescent="0.3">
      <c r="A27" s="4">
        <v>20</v>
      </c>
      <c r="B27" s="5">
        <v>20</v>
      </c>
      <c r="C27">
        <v>319</v>
      </c>
      <c r="D27" t="s">
        <v>31047</v>
      </c>
      <c r="E27" t="s">
        <v>68</v>
      </c>
      <c r="F27" t="s">
        <v>17</v>
      </c>
      <c r="G27" t="s">
        <v>31048</v>
      </c>
      <c r="H27">
        <v>54.42</v>
      </c>
      <c r="I27">
        <v>0</v>
      </c>
      <c r="J27">
        <v>20</v>
      </c>
      <c r="M27">
        <v>20</v>
      </c>
      <c r="N27">
        <v>20</v>
      </c>
      <c r="O27">
        <v>10</v>
      </c>
      <c r="P27">
        <v>104.42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D27" t="s">
        <v>130</v>
      </c>
      <c r="AF27">
        <v>104.42</v>
      </c>
    </row>
    <row r="28" spans="1:32" x14ac:dyDescent="0.3">
      <c r="A28" s="4">
        <v>21</v>
      </c>
      <c r="B28" s="5">
        <v>21</v>
      </c>
      <c r="C28">
        <v>1437</v>
      </c>
      <c r="D28" t="s">
        <v>31049</v>
      </c>
      <c r="E28" t="s">
        <v>54</v>
      </c>
      <c r="F28" t="s">
        <v>190</v>
      </c>
      <c r="G28" t="s">
        <v>31050</v>
      </c>
      <c r="H28">
        <v>51.21</v>
      </c>
      <c r="I28">
        <v>0</v>
      </c>
      <c r="J28">
        <v>20</v>
      </c>
      <c r="M28">
        <v>20</v>
      </c>
      <c r="N28">
        <v>20</v>
      </c>
      <c r="O28">
        <v>10</v>
      </c>
      <c r="P28">
        <v>101.21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3</v>
      </c>
      <c r="AA28">
        <v>0</v>
      </c>
      <c r="AD28" t="s">
        <v>130</v>
      </c>
      <c r="AF28">
        <v>104.21</v>
      </c>
    </row>
    <row r="29" spans="1:32" x14ac:dyDescent="0.3">
      <c r="A29" s="4">
        <v>22</v>
      </c>
      <c r="B29" s="5">
        <v>22</v>
      </c>
      <c r="C29">
        <v>1384</v>
      </c>
      <c r="D29" t="s">
        <v>31051</v>
      </c>
      <c r="E29" t="s">
        <v>29</v>
      </c>
      <c r="F29" t="s">
        <v>343</v>
      </c>
      <c r="G29" t="s">
        <v>31052</v>
      </c>
      <c r="H29">
        <v>54</v>
      </c>
      <c r="I29">
        <v>0</v>
      </c>
      <c r="J29">
        <v>20</v>
      </c>
      <c r="M29">
        <v>20</v>
      </c>
      <c r="N29">
        <v>20</v>
      </c>
      <c r="O29">
        <v>10</v>
      </c>
      <c r="P29">
        <v>104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D29" t="s">
        <v>130</v>
      </c>
      <c r="AF29">
        <v>104</v>
      </c>
    </row>
    <row r="30" spans="1:32" x14ac:dyDescent="0.3">
      <c r="A30" s="4">
        <v>23</v>
      </c>
      <c r="B30" s="5">
        <v>23</v>
      </c>
      <c r="C30">
        <v>1165</v>
      </c>
      <c r="D30" t="s">
        <v>181</v>
      </c>
      <c r="E30" t="s">
        <v>132</v>
      </c>
      <c r="F30" t="s">
        <v>259</v>
      </c>
      <c r="G30" t="s">
        <v>32018</v>
      </c>
      <c r="H30">
        <v>53.76</v>
      </c>
      <c r="I30">
        <v>0</v>
      </c>
      <c r="J30">
        <v>20</v>
      </c>
      <c r="M30">
        <v>20</v>
      </c>
      <c r="N30">
        <v>20</v>
      </c>
      <c r="O30">
        <v>10</v>
      </c>
      <c r="P30">
        <v>103.76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D30" t="s">
        <v>130</v>
      </c>
      <c r="AF30">
        <v>103.76</v>
      </c>
    </row>
    <row r="31" spans="1:32" x14ac:dyDescent="0.3">
      <c r="A31" s="4">
        <v>25</v>
      </c>
      <c r="B31" s="5">
        <v>24</v>
      </c>
      <c r="C31">
        <v>1684</v>
      </c>
      <c r="D31" t="s">
        <v>181</v>
      </c>
      <c r="E31" t="s">
        <v>149</v>
      </c>
      <c r="F31" t="s">
        <v>81</v>
      </c>
      <c r="G31" t="s">
        <v>31053</v>
      </c>
      <c r="H31">
        <v>50.7</v>
      </c>
      <c r="I31">
        <v>0</v>
      </c>
      <c r="K31">
        <v>15</v>
      </c>
      <c r="M31">
        <v>15</v>
      </c>
      <c r="N31">
        <v>20</v>
      </c>
      <c r="O31">
        <v>10</v>
      </c>
      <c r="P31">
        <v>95.7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</v>
      </c>
      <c r="AA31">
        <v>0</v>
      </c>
      <c r="AD31" t="s">
        <v>130</v>
      </c>
      <c r="AF31">
        <v>101.7</v>
      </c>
    </row>
    <row r="32" spans="1:32" x14ac:dyDescent="0.3">
      <c r="A32" s="4">
        <v>26</v>
      </c>
      <c r="B32" s="5">
        <v>25</v>
      </c>
      <c r="C32">
        <v>474</v>
      </c>
      <c r="D32" t="s">
        <v>31054</v>
      </c>
      <c r="E32" t="s">
        <v>1743</v>
      </c>
      <c r="F32" t="s">
        <v>11673</v>
      </c>
      <c r="G32" t="s">
        <v>31055</v>
      </c>
      <c r="H32">
        <v>51.6</v>
      </c>
      <c r="I32">
        <v>0</v>
      </c>
      <c r="J32">
        <v>40</v>
      </c>
      <c r="M32">
        <v>20</v>
      </c>
      <c r="N32">
        <v>20</v>
      </c>
      <c r="O32">
        <v>10</v>
      </c>
      <c r="P32">
        <v>101.6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D32" t="s">
        <v>130</v>
      </c>
      <c r="AF32">
        <v>101.6</v>
      </c>
    </row>
    <row r="33" spans="1:32" x14ac:dyDescent="0.3">
      <c r="A33" s="4">
        <v>27</v>
      </c>
      <c r="B33" s="5">
        <v>26</v>
      </c>
      <c r="C33">
        <v>998</v>
      </c>
      <c r="D33" t="s">
        <v>4477</v>
      </c>
      <c r="E33" t="s">
        <v>29</v>
      </c>
      <c r="F33" t="s">
        <v>17</v>
      </c>
      <c r="G33" t="s">
        <v>31056</v>
      </c>
      <c r="H33">
        <v>45.51</v>
      </c>
      <c r="I33">
        <v>0</v>
      </c>
      <c r="J33">
        <v>20</v>
      </c>
      <c r="M33">
        <v>20</v>
      </c>
      <c r="N33">
        <v>20</v>
      </c>
      <c r="O33">
        <v>10</v>
      </c>
      <c r="P33">
        <v>95.51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6</v>
      </c>
      <c r="AA33">
        <v>0</v>
      </c>
      <c r="AB33" t="s">
        <v>130</v>
      </c>
      <c r="AD33" t="s">
        <v>130</v>
      </c>
      <c r="AF33">
        <v>101.51</v>
      </c>
    </row>
    <row r="34" spans="1:32" x14ac:dyDescent="0.3">
      <c r="A34" s="4">
        <v>28</v>
      </c>
      <c r="B34" s="5">
        <v>27</v>
      </c>
      <c r="C34">
        <v>1290</v>
      </c>
      <c r="D34" t="s">
        <v>1555</v>
      </c>
      <c r="E34" t="s">
        <v>54</v>
      </c>
      <c r="F34" t="s">
        <v>158</v>
      </c>
      <c r="G34" t="s">
        <v>31057</v>
      </c>
      <c r="H34">
        <v>48.45</v>
      </c>
      <c r="I34">
        <v>0</v>
      </c>
      <c r="J34">
        <v>20</v>
      </c>
      <c r="L34">
        <v>10</v>
      </c>
      <c r="M34">
        <v>20</v>
      </c>
      <c r="N34">
        <v>20</v>
      </c>
      <c r="O34">
        <v>10</v>
      </c>
      <c r="P34">
        <v>98.45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3</v>
      </c>
      <c r="AA34">
        <v>0</v>
      </c>
      <c r="AB34" t="s">
        <v>130</v>
      </c>
      <c r="AD34" t="s">
        <v>130</v>
      </c>
      <c r="AF34">
        <v>101.45</v>
      </c>
    </row>
    <row r="35" spans="1:32" x14ac:dyDescent="0.3">
      <c r="A35" s="4">
        <v>29</v>
      </c>
      <c r="B35" s="5">
        <v>28</v>
      </c>
      <c r="C35">
        <v>72</v>
      </c>
      <c r="D35" t="s">
        <v>31058</v>
      </c>
      <c r="E35" t="s">
        <v>258</v>
      </c>
      <c r="F35" t="s">
        <v>801</v>
      </c>
      <c r="G35" t="s">
        <v>31059</v>
      </c>
      <c r="H35">
        <v>55.08</v>
      </c>
      <c r="I35">
        <v>0</v>
      </c>
      <c r="L35">
        <v>10</v>
      </c>
      <c r="M35">
        <v>10</v>
      </c>
      <c r="N35">
        <v>20</v>
      </c>
      <c r="O35">
        <v>10</v>
      </c>
      <c r="P35">
        <v>95.08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6</v>
      </c>
      <c r="AA35">
        <v>0</v>
      </c>
      <c r="AB35" t="s">
        <v>130</v>
      </c>
      <c r="AD35" t="s">
        <v>130</v>
      </c>
      <c r="AF35">
        <v>101.08</v>
      </c>
    </row>
    <row r="36" spans="1:32" x14ac:dyDescent="0.3">
      <c r="A36" s="4">
        <v>30</v>
      </c>
      <c r="B36" s="5">
        <v>29</v>
      </c>
      <c r="C36">
        <v>1746</v>
      </c>
      <c r="D36" t="s">
        <v>577</v>
      </c>
      <c r="E36" t="s">
        <v>166</v>
      </c>
      <c r="F36" t="s">
        <v>652</v>
      </c>
      <c r="G36" t="s">
        <v>31060</v>
      </c>
      <c r="H36">
        <v>54.87</v>
      </c>
      <c r="I36">
        <v>0</v>
      </c>
      <c r="L36">
        <v>10</v>
      </c>
      <c r="M36">
        <v>10</v>
      </c>
      <c r="N36">
        <v>20</v>
      </c>
      <c r="O36">
        <v>10</v>
      </c>
      <c r="P36">
        <v>94.87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D36" t="s">
        <v>130</v>
      </c>
      <c r="AF36">
        <v>100.87</v>
      </c>
    </row>
    <row r="37" spans="1:32" x14ac:dyDescent="0.3">
      <c r="A37" s="4">
        <v>31</v>
      </c>
      <c r="B37" s="5">
        <v>30</v>
      </c>
      <c r="C37">
        <v>679</v>
      </c>
      <c r="D37" t="s">
        <v>31061</v>
      </c>
      <c r="E37" t="s">
        <v>1659</v>
      </c>
      <c r="F37" t="s">
        <v>81</v>
      </c>
      <c r="G37" t="s">
        <v>31062</v>
      </c>
      <c r="H37">
        <v>54.45</v>
      </c>
      <c r="I37">
        <v>0</v>
      </c>
      <c r="L37">
        <v>10</v>
      </c>
      <c r="M37">
        <v>10</v>
      </c>
      <c r="N37">
        <v>20</v>
      </c>
      <c r="O37">
        <v>10</v>
      </c>
      <c r="P37">
        <v>94.45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6</v>
      </c>
      <c r="AA37">
        <v>0</v>
      </c>
      <c r="AB37" t="s">
        <v>130</v>
      </c>
      <c r="AD37" t="s">
        <v>130</v>
      </c>
      <c r="AF37">
        <v>100.45</v>
      </c>
    </row>
    <row r="38" spans="1:32" x14ac:dyDescent="0.3">
      <c r="A38" s="4">
        <v>32</v>
      </c>
      <c r="B38" s="5">
        <v>31</v>
      </c>
      <c r="C38">
        <v>1489</v>
      </c>
      <c r="D38" t="s">
        <v>18686</v>
      </c>
      <c r="E38" t="s">
        <v>88</v>
      </c>
      <c r="F38" t="s">
        <v>38</v>
      </c>
      <c r="G38" t="s">
        <v>31063</v>
      </c>
      <c r="H38">
        <v>43.92</v>
      </c>
      <c r="I38">
        <v>0</v>
      </c>
      <c r="J38">
        <v>20</v>
      </c>
      <c r="M38">
        <v>20</v>
      </c>
      <c r="N38">
        <v>20</v>
      </c>
      <c r="O38">
        <v>10</v>
      </c>
      <c r="P38">
        <v>93.92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6</v>
      </c>
      <c r="AA38">
        <v>0</v>
      </c>
      <c r="AB38" t="s">
        <v>130</v>
      </c>
      <c r="AD38" t="s">
        <v>130</v>
      </c>
      <c r="AF38">
        <v>99.92</v>
      </c>
    </row>
    <row r="39" spans="1:32" x14ac:dyDescent="0.3">
      <c r="A39" s="4">
        <v>33</v>
      </c>
      <c r="B39" s="5">
        <v>32</v>
      </c>
      <c r="C39">
        <v>1411</v>
      </c>
      <c r="D39" t="s">
        <v>11141</v>
      </c>
      <c r="E39" t="s">
        <v>29</v>
      </c>
      <c r="F39" t="s">
        <v>136</v>
      </c>
      <c r="G39" t="s">
        <v>31064</v>
      </c>
      <c r="H39">
        <v>48.87</v>
      </c>
      <c r="I39">
        <v>0</v>
      </c>
      <c r="J39">
        <v>20</v>
      </c>
      <c r="M39">
        <v>20</v>
      </c>
      <c r="N39">
        <v>20</v>
      </c>
      <c r="O39">
        <v>10</v>
      </c>
      <c r="P39">
        <v>98.87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D39" t="s">
        <v>130</v>
      </c>
      <c r="AF39">
        <v>98.87</v>
      </c>
    </row>
    <row r="40" spans="1:32" x14ac:dyDescent="0.3">
      <c r="A40" s="4">
        <v>34</v>
      </c>
      <c r="B40" s="5">
        <v>33</v>
      </c>
      <c r="C40">
        <v>1078</v>
      </c>
      <c r="D40" t="s">
        <v>31065</v>
      </c>
      <c r="E40" t="s">
        <v>147</v>
      </c>
      <c r="F40" t="s">
        <v>68</v>
      </c>
      <c r="G40" t="s">
        <v>31066</v>
      </c>
      <c r="H40">
        <v>52.5</v>
      </c>
      <c r="I40">
        <v>0</v>
      </c>
      <c r="L40">
        <v>10</v>
      </c>
      <c r="M40">
        <v>10</v>
      </c>
      <c r="N40">
        <v>20</v>
      </c>
      <c r="O40">
        <v>10</v>
      </c>
      <c r="P40">
        <v>92.5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6</v>
      </c>
      <c r="AA40">
        <v>0</v>
      </c>
      <c r="AD40" t="s">
        <v>130</v>
      </c>
      <c r="AF40">
        <v>98.5</v>
      </c>
    </row>
    <row r="41" spans="1:32" x14ac:dyDescent="0.3">
      <c r="A41" s="4">
        <v>35</v>
      </c>
      <c r="B41" s="5">
        <v>34</v>
      </c>
      <c r="C41">
        <v>408</v>
      </c>
      <c r="D41" t="s">
        <v>4051</v>
      </c>
      <c r="E41" t="s">
        <v>6946</v>
      </c>
      <c r="F41" t="s">
        <v>81</v>
      </c>
      <c r="G41" t="s">
        <v>31067</v>
      </c>
      <c r="H41">
        <v>51.24</v>
      </c>
      <c r="I41">
        <v>0</v>
      </c>
      <c r="J41">
        <v>20</v>
      </c>
      <c r="M41">
        <v>20</v>
      </c>
      <c r="N41">
        <v>20</v>
      </c>
      <c r="O41">
        <v>0</v>
      </c>
      <c r="P41">
        <v>91.24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6</v>
      </c>
      <c r="AA41">
        <v>0</v>
      </c>
      <c r="AB41" t="s">
        <v>130</v>
      </c>
      <c r="AD41" t="s">
        <v>130</v>
      </c>
      <c r="AF41">
        <v>97.24</v>
      </c>
    </row>
    <row r="42" spans="1:32" x14ac:dyDescent="0.3">
      <c r="A42" s="4">
        <v>36</v>
      </c>
      <c r="B42" s="5">
        <v>35</v>
      </c>
      <c r="C42">
        <v>448</v>
      </c>
      <c r="D42" t="s">
        <v>1736</v>
      </c>
      <c r="E42" t="s">
        <v>738</v>
      </c>
      <c r="F42" t="s">
        <v>136</v>
      </c>
      <c r="G42" t="s">
        <v>31068</v>
      </c>
      <c r="H42">
        <v>57</v>
      </c>
      <c r="I42">
        <v>0</v>
      </c>
      <c r="L42">
        <v>10</v>
      </c>
      <c r="M42">
        <v>10</v>
      </c>
      <c r="N42">
        <v>20</v>
      </c>
      <c r="O42">
        <v>10</v>
      </c>
      <c r="P42">
        <v>97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D42" t="s">
        <v>130</v>
      </c>
      <c r="AF42">
        <v>97</v>
      </c>
    </row>
    <row r="43" spans="1:32" x14ac:dyDescent="0.3">
      <c r="A43" s="4">
        <v>37</v>
      </c>
      <c r="B43" s="5">
        <v>36</v>
      </c>
      <c r="C43">
        <v>1539</v>
      </c>
      <c r="D43" t="s">
        <v>31069</v>
      </c>
      <c r="E43" t="s">
        <v>147</v>
      </c>
      <c r="F43" t="s">
        <v>38</v>
      </c>
      <c r="G43" t="s">
        <v>31070</v>
      </c>
      <c r="H43">
        <v>46.62</v>
      </c>
      <c r="I43">
        <v>0</v>
      </c>
      <c r="J43">
        <v>20</v>
      </c>
      <c r="M43">
        <v>20</v>
      </c>
      <c r="N43">
        <v>20</v>
      </c>
      <c r="O43">
        <v>10</v>
      </c>
      <c r="P43">
        <v>96.62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D43" t="s">
        <v>130</v>
      </c>
      <c r="AF43">
        <v>96.62</v>
      </c>
    </row>
    <row r="44" spans="1:32" x14ac:dyDescent="0.3">
      <c r="A44" s="4">
        <v>38</v>
      </c>
      <c r="B44" s="5">
        <v>37</v>
      </c>
      <c r="C44">
        <v>1621</v>
      </c>
      <c r="D44" t="s">
        <v>7746</v>
      </c>
      <c r="E44" t="s">
        <v>88</v>
      </c>
      <c r="F44" t="s">
        <v>81</v>
      </c>
      <c r="G44" t="s">
        <v>31071</v>
      </c>
      <c r="H44">
        <v>52.5</v>
      </c>
      <c r="I44">
        <v>0</v>
      </c>
      <c r="L44">
        <v>10</v>
      </c>
      <c r="M44">
        <v>10</v>
      </c>
      <c r="N44">
        <v>20</v>
      </c>
      <c r="O44">
        <v>10</v>
      </c>
      <c r="P44">
        <v>92.5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D44" t="s">
        <v>130</v>
      </c>
      <c r="AF44">
        <v>92.5</v>
      </c>
    </row>
    <row r="45" spans="1:32" x14ac:dyDescent="0.3">
      <c r="A45" s="4">
        <v>40</v>
      </c>
      <c r="B45" s="5">
        <v>38</v>
      </c>
      <c r="C45">
        <v>551</v>
      </c>
      <c r="D45" t="s">
        <v>1078</v>
      </c>
      <c r="E45" t="s">
        <v>29</v>
      </c>
      <c r="F45" t="s">
        <v>38</v>
      </c>
      <c r="G45" t="s">
        <v>31072</v>
      </c>
      <c r="H45">
        <v>42.24</v>
      </c>
      <c r="I45">
        <v>0</v>
      </c>
      <c r="J45">
        <v>20</v>
      </c>
      <c r="M45">
        <v>20</v>
      </c>
      <c r="N45">
        <v>20</v>
      </c>
      <c r="O45">
        <v>10</v>
      </c>
      <c r="P45">
        <v>92.24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D45" t="s">
        <v>130</v>
      </c>
      <c r="AF45">
        <v>92.24</v>
      </c>
    </row>
    <row r="46" spans="1:32" x14ac:dyDescent="0.3">
      <c r="A46" s="4">
        <v>41</v>
      </c>
      <c r="B46" s="5">
        <v>39</v>
      </c>
      <c r="C46">
        <v>121</v>
      </c>
      <c r="D46" t="s">
        <v>261</v>
      </c>
      <c r="E46" t="s">
        <v>29</v>
      </c>
      <c r="F46" t="s">
        <v>801</v>
      </c>
      <c r="G46" t="s">
        <v>31073</v>
      </c>
      <c r="H46">
        <v>42</v>
      </c>
      <c r="I46">
        <v>0</v>
      </c>
      <c r="J46">
        <v>20</v>
      </c>
      <c r="M46">
        <v>20</v>
      </c>
      <c r="N46">
        <v>20</v>
      </c>
      <c r="O46">
        <v>10</v>
      </c>
      <c r="P46">
        <v>92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D46" t="s">
        <v>130</v>
      </c>
      <c r="AF46">
        <v>92</v>
      </c>
    </row>
    <row r="47" spans="1:32" x14ac:dyDescent="0.3">
      <c r="A47" s="4">
        <v>42</v>
      </c>
      <c r="B47" s="5">
        <v>40</v>
      </c>
      <c r="C47">
        <v>1394</v>
      </c>
      <c r="D47" t="s">
        <v>31074</v>
      </c>
      <c r="E47" t="s">
        <v>471</v>
      </c>
      <c r="F47" t="s">
        <v>17</v>
      </c>
      <c r="G47" t="s">
        <v>31075</v>
      </c>
      <c r="H47">
        <v>58.2</v>
      </c>
      <c r="I47">
        <v>0</v>
      </c>
      <c r="M47">
        <v>0</v>
      </c>
      <c r="N47">
        <v>20</v>
      </c>
      <c r="O47">
        <v>10</v>
      </c>
      <c r="P47">
        <v>88.2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3</v>
      </c>
      <c r="AA47">
        <v>0</v>
      </c>
      <c r="AB47" t="s">
        <v>130</v>
      </c>
      <c r="AD47" t="s">
        <v>130</v>
      </c>
      <c r="AF47">
        <v>91.2</v>
      </c>
    </row>
    <row r="48" spans="1:32" x14ac:dyDescent="0.3">
      <c r="A48" s="4">
        <v>43</v>
      </c>
      <c r="B48" s="5">
        <v>41</v>
      </c>
      <c r="C48">
        <v>1585</v>
      </c>
      <c r="D48" t="s">
        <v>1095</v>
      </c>
      <c r="E48" t="s">
        <v>29</v>
      </c>
      <c r="F48" t="s">
        <v>136</v>
      </c>
      <c r="G48" t="s">
        <v>31076</v>
      </c>
      <c r="H48">
        <v>51</v>
      </c>
      <c r="I48">
        <v>0</v>
      </c>
      <c r="L48">
        <v>10</v>
      </c>
      <c r="M48">
        <v>10</v>
      </c>
      <c r="N48">
        <v>20</v>
      </c>
      <c r="O48">
        <v>10</v>
      </c>
      <c r="P48">
        <v>91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D48" t="s">
        <v>130</v>
      </c>
      <c r="AF48">
        <v>91</v>
      </c>
    </row>
    <row r="49" spans="1:32" x14ac:dyDescent="0.3">
      <c r="A49" s="4">
        <v>44</v>
      </c>
      <c r="B49" s="5">
        <v>42</v>
      </c>
      <c r="C49">
        <v>1331</v>
      </c>
      <c r="D49" t="s">
        <v>18699</v>
      </c>
      <c r="E49" t="s">
        <v>170</v>
      </c>
      <c r="F49" t="s">
        <v>243</v>
      </c>
      <c r="G49" t="s">
        <v>31077</v>
      </c>
      <c r="H49">
        <v>56.49</v>
      </c>
      <c r="I49">
        <v>0</v>
      </c>
      <c r="M49">
        <v>0</v>
      </c>
      <c r="N49">
        <v>20</v>
      </c>
      <c r="O49">
        <v>10</v>
      </c>
      <c r="P49">
        <v>86.49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3</v>
      </c>
      <c r="AA49">
        <v>0</v>
      </c>
      <c r="AB49" t="s">
        <v>130</v>
      </c>
      <c r="AD49" t="s">
        <v>130</v>
      </c>
      <c r="AF49">
        <v>89.49</v>
      </c>
    </row>
    <row r="50" spans="1:32" x14ac:dyDescent="0.3">
      <c r="A50" s="4">
        <v>45</v>
      </c>
      <c r="B50" s="5">
        <v>43</v>
      </c>
      <c r="C50">
        <v>1638</v>
      </c>
      <c r="D50" t="s">
        <v>31078</v>
      </c>
      <c r="E50" t="s">
        <v>17</v>
      </c>
      <c r="F50" t="s">
        <v>158</v>
      </c>
      <c r="G50" t="s">
        <v>31079</v>
      </c>
      <c r="H50">
        <v>59.1</v>
      </c>
      <c r="I50">
        <v>0</v>
      </c>
      <c r="M50">
        <v>0</v>
      </c>
      <c r="N50">
        <v>20</v>
      </c>
      <c r="O50">
        <v>10</v>
      </c>
      <c r="P50">
        <v>89.1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D50" t="s">
        <v>130</v>
      </c>
      <c r="AF50">
        <v>89.1</v>
      </c>
    </row>
    <row r="51" spans="1:32" x14ac:dyDescent="0.3">
      <c r="A51" s="4">
        <v>46</v>
      </c>
      <c r="B51" s="5">
        <v>44</v>
      </c>
      <c r="C51">
        <v>502</v>
      </c>
      <c r="D51" t="s">
        <v>30695</v>
      </c>
      <c r="E51" t="s">
        <v>136</v>
      </c>
      <c r="F51" t="s">
        <v>20</v>
      </c>
      <c r="G51" t="s">
        <v>30696</v>
      </c>
      <c r="H51">
        <v>58.8</v>
      </c>
      <c r="I51">
        <v>0</v>
      </c>
      <c r="M51">
        <v>0</v>
      </c>
      <c r="N51">
        <v>20</v>
      </c>
      <c r="O51">
        <v>10</v>
      </c>
      <c r="P51">
        <v>88.8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D51" t="s">
        <v>130</v>
      </c>
      <c r="AF51">
        <v>88.8</v>
      </c>
    </row>
    <row r="52" spans="1:32" x14ac:dyDescent="0.3">
      <c r="A52" s="4">
        <v>47</v>
      </c>
      <c r="B52" s="5">
        <v>45</v>
      </c>
      <c r="C52">
        <v>457</v>
      </c>
      <c r="D52" t="s">
        <v>30938</v>
      </c>
      <c r="E52" t="s">
        <v>188</v>
      </c>
      <c r="F52" t="s">
        <v>190</v>
      </c>
      <c r="G52" t="s">
        <v>30939</v>
      </c>
      <c r="H52">
        <v>58.5</v>
      </c>
      <c r="I52">
        <v>0</v>
      </c>
      <c r="M52">
        <v>0</v>
      </c>
      <c r="N52">
        <v>20</v>
      </c>
      <c r="O52">
        <v>10</v>
      </c>
      <c r="P52">
        <v>88.5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D52" t="s">
        <v>130</v>
      </c>
      <c r="AF52">
        <v>88.5</v>
      </c>
    </row>
    <row r="53" spans="1:32" x14ac:dyDescent="0.3">
      <c r="A53" s="4">
        <v>48</v>
      </c>
      <c r="B53" s="5">
        <v>46</v>
      </c>
      <c r="C53">
        <v>1771</v>
      </c>
      <c r="D53" t="s">
        <v>18620</v>
      </c>
      <c r="E53" t="s">
        <v>161</v>
      </c>
      <c r="F53" t="s">
        <v>81</v>
      </c>
      <c r="G53" t="s">
        <v>31080</v>
      </c>
      <c r="H53">
        <v>42.48</v>
      </c>
      <c r="I53">
        <v>0</v>
      </c>
      <c r="M53">
        <v>0</v>
      </c>
      <c r="N53">
        <v>20</v>
      </c>
      <c r="O53">
        <v>10</v>
      </c>
      <c r="P53">
        <v>72.48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D53" t="s">
        <v>130</v>
      </c>
      <c r="AF53">
        <v>72.48</v>
      </c>
    </row>
    <row r="54" spans="1:32" x14ac:dyDescent="0.3">
      <c r="A54" s="4">
        <v>49</v>
      </c>
      <c r="B54" s="5">
        <v>47</v>
      </c>
      <c r="C54">
        <v>117</v>
      </c>
      <c r="D54" t="s">
        <v>31081</v>
      </c>
      <c r="E54" t="s">
        <v>81</v>
      </c>
      <c r="F54" t="s">
        <v>52</v>
      </c>
      <c r="G54" t="s">
        <v>31082</v>
      </c>
      <c r="H54">
        <v>54.24</v>
      </c>
      <c r="I54">
        <v>0</v>
      </c>
      <c r="J54">
        <v>20</v>
      </c>
      <c r="M54">
        <v>20</v>
      </c>
      <c r="N54">
        <v>20</v>
      </c>
      <c r="O54">
        <v>10</v>
      </c>
      <c r="P54">
        <v>104.24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12</v>
      </c>
      <c r="AA54">
        <v>0</v>
      </c>
      <c r="AF54">
        <v>116.24</v>
      </c>
    </row>
    <row r="55" spans="1:32" x14ac:dyDescent="0.3">
      <c r="A55" s="4">
        <v>50</v>
      </c>
      <c r="B55" s="5">
        <v>48</v>
      </c>
      <c r="C55">
        <v>1573</v>
      </c>
      <c r="D55" t="s">
        <v>31083</v>
      </c>
      <c r="E55" t="s">
        <v>136</v>
      </c>
      <c r="F55" t="s">
        <v>892</v>
      </c>
      <c r="G55" t="s">
        <v>31084</v>
      </c>
      <c r="H55">
        <v>42.75</v>
      </c>
      <c r="I55">
        <v>0</v>
      </c>
      <c r="J55">
        <v>20</v>
      </c>
      <c r="M55">
        <v>20</v>
      </c>
      <c r="N55">
        <v>20</v>
      </c>
      <c r="O55">
        <v>10</v>
      </c>
      <c r="P55">
        <v>92.75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20</v>
      </c>
      <c r="AF55">
        <v>112.75</v>
      </c>
    </row>
    <row r="56" spans="1:32" x14ac:dyDescent="0.3">
      <c r="A56" s="4">
        <v>51</v>
      </c>
      <c r="B56" s="5">
        <v>49</v>
      </c>
      <c r="C56">
        <v>1410</v>
      </c>
      <c r="D56" t="s">
        <v>31085</v>
      </c>
      <c r="E56" t="s">
        <v>88</v>
      </c>
      <c r="F56" t="s">
        <v>31086</v>
      </c>
      <c r="G56" t="s">
        <v>31087</v>
      </c>
      <c r="H56">
        <v>57.93</v>
      </c>
      <c r="I56">
        <v>0</v>
      </c>
      <c r="K56">
        <v>15</v>
      </c>
      <c r="M56">
        <v>15</v>
      </c>
      <c r="N56">
        <v>20</v>
      </c>
      <c r="O56">
        <v>10</v>
      </c>
      <c r="P56">
        <v>102.93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9</v>
      </c>
      <c r="AA56">
        <v>0</v>
      </c>
      <c r="AF56">
        <v>111.93</v>
      </c>
    </row>
    <row r="57" spans="1:32" x14ac:dyDescent="0.3">
      <c r="A57" s="4">
        <v>52</v>
      </c>
      <c r="B57" s="5">
        <v>50</v>
      </c>
      <c r="C57">
        <v>1631</v>
      </c>
      <c r="D57" t="s">
        <v>31088</v>
      </c>
      <c r="E57" t="s">
        <v>31089</v>
      </c>
      <c r="F57" t="s">
        <v>20</v>
      </c>
      <c r="G57" t="s">
        <v>31090</v>
      </c>
      <c r="H57">
        <v>58.2</v>
      </c>
      <c r="I57">
        <v>0</v>
      </c>
      <c r="J57">
        <v>20</v>
      </c>
      <c r="M57">
        <v>20</v>
      </c>
      <c r="N57">
        <v>20</v>
      </c>
      <c r="O57">
        <v>10</v>
      </c>
      <c r="P57">
        <v>108.2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F57">
        <v>108.2</v>
      </c>
    </row>
    <row r="58" spans="1:32" x14ac:dyDescent="0.3">
      <c r="A58" s="4">
        <v>53</v>
      </c>
      <c r="B58" s="5">
        <v>51</v>
      </c>
      <c r="C58">
        <v>1212</v>
      </c>
      <c r="D58" t="s">
        <v>31091</v>
      </c>
      <c r="E58" t="s">
        <v>29</v>
      </c>
      <c r="F58" t="s">
        <v>20</v>
      </c>
      <c r="G58" t="s">
        <v>31092</v>
      </c>
      <c r="H58">
        <v>57.9</v>
      </c>
      <c r="I58">
        <v>0</v>
      </c>
      <c r="J58">
        <v>20</v>
      </c>
      <c r="M58">
        <v>20</v>
      </c>
      <c r="N58">
        <v>20</v>
      </c>
      <c r="O58">
        <v>10</v>
      </c>
      <c r="P58">
        <v>107.9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F58">
        <v>107.9</v>
      </c>
    </row>
    <row r="59" spans="1:32" x14ac:dyDescent="0.3">
      <c r="A59" s="4">
        <v>54</v>
      </c>
      <c r="B59" s="5">
        <v>52</v>
      </c>
      <c r="C59">
        <v>498</v>
      </c>
      <c r="D59" t="s">
        <v>31093</v>
      </c>
      <c r="E59" t="s">
        <v>54</v>
      </c>
      <c r="F59" t="s">
        <v>20</v>
      </c>
      <c r="G59" t="s">
        <v>31094</v>
      </c>
      <c r="H59">
        <v>40.799999999999997</v>
      </c>
      <c r="I59">
        <v>10</v>
      </c>
      <c r="J59">
        <v>20</v>
      </c>
      <c r="M59">
        <v>20</v>
      </c>
      <c r="N59">
        <v>20</v>
      </c>
      <c r="O59">
        <v>10</v>
      </c>
      <c r="P59">
        <v>100.8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6</v>
      </c>
      <c r="AA59">
        <v>0</v>
      </c>
      <c r="AB59" t="s">
        <v>130</v>
      </c>
      <c r="AF59">
        <v>106.8</v>
      </c>
    </row>
    <row r="60" spans="1:32" x14ac:dyDescent="0.3">
      <c r="A60" s="4">
        <v>55</v>
      </c>
      <c r="B60" s="5">
        <v>53</v>
      </c>
      <c r="C60">
        <v>727</v>
      </c>
      <c r="D60" t="s">
        <v>4605</v>
      </c>
      <c r="E60" t="s">
        <v>110</v>
      </c>
      <c r="F60" t="s">
        <v>81</v>
      </c>
      <c r="G60" t="s">
        <v>4606</v>
      </c>
      <c r="H60">
        <v>59.1</v>
      </c>
      <c r="I60">
        <v>0</v>
      </c>
      <c r="L60">
        <v>10</v>
      </c>
      <c r="M60">
        <v>10</v>
      </c>
      <c r="N60">
        <v>20</v>
      </c>
      <c r="O60">
        <v>10</v>
      </c>
      <c r="P60">
        <v>99.1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6</v>
      </c>
      <c r="AA60">
        <v>0</v>
      </c>
      <c r="AF60">
        <v>105.1</v>
      </c>
    </row>
    <row r="61" spans="1:32" x14ac:dyDescent="0.3">
      <c r="A61" s="4">
        <v>56</v>
      </c>
      <c r="B61" s="5">
        <v>54</v>
      </c>
      <c r="C61">
        <v>1063</v>
      </c>
      <c r="D61" t="s">
        <v>2174</v>
      </c>
      <c r="E61" t="s">
        <v>29</v>
      </c>
      <c r="F61" t="s">
        <v>55</v>
      </c>
      <c r="G61" t="s">
        <v>2175</v>
      </c>
      <c r="H61">
        <v>51</v>
      </c>
      <c r="I61">
        <v>0</v>
      </c>
      <c r="J61">
        <v>20</v>
      </c>
      <c r="M61">
        <v>20</v>
      </c>
      <c r="N61">
        <v>20</v>
      </c>
      <c r="O61">
        <v>10</v>
      </c>
      <c r="P61">
        <v>101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F61">
        <v>101</v>
      </c>
    </row>
    <row r="62" spans="1:32" x14ac:dyDescent="0.3">
      <c r="A62" s="4">
        <v>57</v>
      </c>
      <c r="B62" s="5">
        <v>55</v>
      </c>
      <c r="C62">
        <v>32</v>
      </c>
      <c r="D62" t="s">
        <v>31095</v>
      </c>
      <c r="E62" t="s">
        <v>5767</v>
      </c>
      <c r="F62" t="s">
        <v>81</v>
      </c>
      <c r="G62" t="s">
        <v>31096</v>
      </c>
      <c r="H62">
        <v>48.24</v>
      </c>
      <c r="I62">
        <v>0</v>
      </c>
      <c r="K62">
        <v>15</v>
      </c>
      <c r="M62">
        <v>15</v>
      </c>
      <c r="N62">
        <v>20</v>
      </c>
      <c r="O62">
        <v>10</v>
      </c>
      <c r="P62">
        <v>93.24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6</v>
      </c>
      <c r="AA62">
        <v>0</v>
      </c>
      <c r="AF62">
        <v>99.24</v>
      </c>
    </row>
    <row r="63" spans="1:32" x14ac:dyDescent="0.3">
      <c r="A63" s="4">
        <v>58</v>
      </c>
      <c r="B63" s="5">
        <v>56</v>
      </c>
      <c r="C63">
        <v>1283</v>
      </c>
      <c r="D63" t="s">
        <v>31097</v>
      </c>
      <c r="E63" t="s">
        <v>20</v>
      </c>
      <c r="F63" t="s">
        <v>158</v>
      </c>
      <c r="G63" t="s">
        <v>31098</v>
      </c>
      <c r="H63">
        <v>49.08</v>
      </c>
      <c r="I63">
        <v>0</v>
      </c>
      <c r="J63">
        <v>20</v>
      </c>
      <c r="M63">
        <v>20</v>
      </c>
      <c r="N63">
        <v>20</v>
      </c>
      <c r="O63">
        <v>10</v>
      </c>
      <c r="P63">
        <v>99.08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F63">
        <v>99.08</v>
      </c>
    </row>
    <row r="64" spans="1:32" x14ac:dyDescent="0.3">
      <c r="A64" s="4">
        <v>59</v>
      </c>
      <c r="B64" s="5">
        <v>57</v>
      </c>
      <c r="C64">
        <v>1207</v>
      </c>
      <c r="D64" t="s">
        <v>2170</v>
      </c>
      <c r="E64" t="s">
        <v>139</v>
      </c>
      <c r="F64" t="s">
        <v>136</v>
      </c>
      <c r="G64" t="s">
        <v>31099</v>
      </c>
      <c r="H64">
        <v>52.62</v>
      </c>
      <c r="I64">
        <v>0</v>
      </c>
      <c r="L64">
        <v>10</v>
      </c>
      <c r="M64">
        <v>10</v>
      </c>
      <c r="N64">
        <v>20</v>
      </c>
      <c r="O64">
        <v>10</v>
      </c>
      <c r="P64">
        <v>92.62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6</v>
      </c>
      <c r="AA64">
        <v>0</v>
      </c>
      <c r="AB64" t="s">
        <v>130</v>
      </c>
      <c r="AF64">
        <v>98.62</v>
      </c>
    </row>
    <row r="65" spans="1:32" x14ac:dyDescent="0.3">
      <c r="A65" s="4">
        <v>60</v>
      </c>
      <c r="B65" s="5">
        <v>58</v>
      </c>
      <c r="C65">
        <v>742</v>
      </c>
      <c r="D65" t="s">
        <v>1287</v>
      </c>
      <c r="E65" t="s">
        <v>413</v>
      </c>
      <c r="F65" t="s">
        <v>801</v>
      </c>
      <c r="G65" t="s">
        <v>31100</v>
      </c>
      <c r="H65">
        <v>57.9</v>
      </c>
      <c r="I65">
        <v>0</v>
      </c>
      <c r="L65">
        <v>10</v>
      </c>
      <c r="M65">
        <v>10</v>
      </c>
      <c r="N65">
        <v>20</v>
      </c>
      <c r="O65">
        <v>10</v>
      </c>
      <c r="P65">
        <v>97.9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F65">
        <v>97.9</v>
      </c>
    </row>
    <row r="66" spans="1:32" x14ac:dyDescent="0.3">
      <c r="A66" s="4">
        <v>61</v>
      </c>
      <c r="B66" s="5">
        <v>59</v>
      </c>
      <c r="C66">
        <v>1629</v>
      </c>
      <c r="D66" t="s">
        <v>7694</v>
      </c>
      <c r="E66" t="s">
        <v>26</v>
      </c>
      <c r="F66" t="s">
        <v>81</v>
      </c>
      <c r="G66" t="s">
        <v>31101</v>
      </c>
      <c r="H66">
        <v>46.41</v>
      </c>
      <c r="I66">
        <v>0</v>
      </c>
      <c r="J66">
        <v>20</v>
      </c>
      <c r="M66">
        <v>20</v>
      </c>
      <c r="N66">
        <v>20</v>
      </c>
      <c r="O66">
        <v>10</v>
      </c>
      <c r="P66">
        <v>96.41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F66">
        <v>96.41</v>
      </c>
    </row>
    <row r="67" spans="1:32" x14ac:dyDescent="0.3">
      <c r="A67" s="4">
        <v>62</v>
      </c>
      <c r="B67" s="5">
        <v>60</v>
      </c>
      <c r="C67">
        <v>53</v>
      </c>
      <c r="D67" t="s">
        <v>2660</v>
      </c>
      <c r="E67" t="s">
        <v>97</v>
      </c>
      <c r="F67" t="s">
        <v>570</v>
      </c>
      <c r="G67" t="s">
        <v>3698</v>
      </c>
      <c r="H67">
        <v>54</v>
      </c>
      <c r="I67">
        <v>0</v>
      </c>
      <c r="L67">
        <v>10</v>
      </c>
      <c r="M67">
        <v>10</v>
      </c>
      <c r="N67">
        <v>20</v>
      </c>
      <c r="O67">
        <v>10</v>
      </c>
      <c r="P67">
        <v>94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F67">
        <v>94</v>
      </c>
    </row>
    <row r="68" spans="1:32" x14ac:dyDescent="0.3">
      <c r="A68" s="4">
        <v>63</v>
      </c>
      <c r="B68" s="5">
        <v>61</v>
      </c>
      <c r="C68">
        <v>1561</v>
      </c>
      <c r="D68" t="s">
        <v>4328</v>
      </c>
      <c r="E68" t="s">
        <v>3719</v>
      </c>
      <c r="F68" t="s">
        <v>81</v>
      </c>
      <c r="G68" t="s">
        <v>4329</v>
      </c>
      <c r="H68">
        <v>48.24</v>
      </c>
      <c r="I68">
        <v>0</v>
      </c>
      <c r="L68">
        <v>10</v>
      </c>
      <c r="M68">
        <v>10</v>
      </c>
      <c r="N68">
        <v>20</v>
      </c>
      <c r="O68">
        <v>10</v>
      </c>
      <c r="P68">
        <v>88.24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F68">
        <v>88.24</v>
      </c>
    </row>
    <row r="69" spans="1:32" x14ac:dyDescent="0.3">
      <c r="A69" s="4">
        <v>64</v>
      </c>
      <c r="B69" s="5">
        <v>62</v>
      </c>
      <c r="C69">
        <v>515</v>
      </c>
      <c r="D69" t="s">
        <v>2677</v>
      </c>
      <c r="E69" t="s">
        <v>97</v>
      </c>
      <c r="F69" t="s">
        <v>38</v>
      </c>
      <c r="G69" t="s">
        <v>2678</v>
      </c>
      <c r="H69">
        <v>46.38</v>
      </c>
      <c r="I69">
        <v>0</v>
      </c>
      <c r="L69">
        <v>10</v>
      </c>
      <c r="M69">
        <v>10</v>
      </c>
      <c r="N69">
        <v>20</v>
      </c>
      <c r="O69">
        <v>10</v>
      </c>
      <c r="P69">
        <v>86.38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F69">
        <v>86.38</v>
      </c>
    </row>
    <row r="70" spans="1:32" x14ac:dyDescent="0.3">
      <c r="A70" s="4">
        <v>65</v>
      </c>
      <c r="B70" s="5">
        <v>63</v>
      </c>
      <c r="C70">
        <v>514</v>
      </c>
      <c r="D70" t="s">
        <v>2745</v>
      </c>
      <c r="E70" t="s">
        <v>26</v>
      </c>
      <c r="F70" t="s">
        <v>2746</v>
      </c>
      <c r="G70" t="s">
        <v>2747</v>
      </c>
      <c r="H70">
        <v>51</v>
      </c>
      <c r="I70">
        <v>0</v>
      </c>
      <c r="M70">
        <v>0</v>
      </c>
      <c r="N70">
        <v>20</v>
      </c>
      <c r="O70">
        <v>10</v>
      </c>
      <c r="P70">
        <v>81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F70">
        <v>81</v>
      </c>
    </row>
    <row r="71" spans="1:32" x14ac:dyDescent="0.3">
      <c r="A71" s="4">
        <v>66</v>
      </c>
      <c r="B71" s="5">
        <v>64</v>
      </c>
      <c r="C71">
        <v>10</v>
      </c>
      <c r="D71" t="s">
        <v>3181</v>
      </c>
      <c r="E71" t="s">
        <v>132</v>
      </c>
      <c r="F71" t="s">
        <v>892</v>
      </c>
      <c r="G71" t="s">
        <v>31102</v>
      </c>
      <c r="H71">
        <v>18</v>
      </c>
      <c r="I71">
        <v>0</v>
      </c>
      <c r="J71">
        <v>20</v>
      </c>
      <c r="M71">
        <v>20</v>
      </c>
      <c r="N71">
        <v>20</v>
      </c>
      <c r="O71">
        <v>10</v>
      </c>
      <c r="P71">
        <v>68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12</v>
      </c>
      <c r="AA71">
        <v>0</v>
      </c>
      <c r="AB71" t="s">
        <v>130</v>
      </c>
      <c r="AF71">
        <v>80</v>
      </c>
    </row>
    <row r="72" spans="1:32" x14ac:dyDescent="0.3">
      <c r="A72" s="4">
        <v>67</v>
      </c>
      <c r="B72" s="5">
        <v>65</v>
      </c>
      <c r="C72">
        <v>1121</v>
      </c>
      <c r="D72" t="s">
        <v>3024</v>
      </c>
      <c r="E72" t="s">
        <v>3025</v>
      </c>
      <c r="F72" t="s">
        <v>81</v>
      </c>
      <c r="G72" t="s">
        <v>3026</v>
      </c>
      <c r="H72">
        <v>49.62</v>
      </c>
      <c r="I72">
        <v>0</v>
      </c>
      <c r="M72">
        <v>0</v>
      </c>
      <c r="N72">
        <v>20</v>
      </c>
      <c r="O72">
        <v>10</v>
      </c>
      <c r="P72">
        <v>79.62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 t="s">
        <v>130</v>
      </c>
      <c r="AF72">
        <v>79.62</v>
      </c>
    </row>
    <row r="73" spans="1:32" x14ac:dyDescent="0.3">
      <c r="A73" s="4">
        <v>68</v>
      </c>
      <c r="B73" s="5">
        <v>66</v>
      </c>
      <c r="C73">
        <v>610</v>
      </c>
      <c r="D73" t="s">
        <v>31103</v>
      </c>
      <c r="E73" t="s">
        <v>97</v>
      </c>
      <c r="F73" t="s">
        <v>975</v>
      </c>
      <c r="G73" t="s">
        <v>31104</v>
      </c>
      <c r="H73">
        <v>58.08</v>
      </c>
      <c r="I73">
        <v>0</v>
      </c>
      <c r="L73">
        <v>10</v>
      </c>
      <c r="M73">
        <v>10</v>
      </c>
      <c r="N73">
        <v>0</v>
      </c>
      <c r="O73">
        <v>10</v>
      </c>
      <c r="P73">
        <v>78.08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F73">
        <v>78.08</v>
      </c>
    </row>
    <row r="74" spans="1:32" x14ac:dyDescent="0.3">
      <c r="A74" s="4">
        <v>69</v>
      </c>
      <c r="B74" s="5">
        <v>67</v>
      </c>
      <c r="C74">
        <v>1582</v>
      </c>
      <c r="D74" t="s">
        <v>31105</v>
      </c>
      <c r="E74" t="s">
        <v>5321</v>
      </c>
      <c r="F74" t="s">
        <v>17</v>
      </c>
      <c r="G74" t="s">
        <v>31106</v>
      </c>
      <c r="H74">
        <v>46.62</v>
      </c>
      <c r="I74">
        <v>0</v>
      </c>
      <c r="J74">
        <v>20</v>
      </c>
      <c r="M74">
        <v>20</v>
      </c>
      <c r="N74">
        <v>0</v>
      </c>
      <c r="O74">
        <v>10</v>
      </c>
      <c r="P74">
        <v>76.62</v>
      </c>
      <c r="Q74">
        <v>1</v>
      </c>
      <c r="R74">
        <v>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0</v>
      </c>
      <c r="AA74">
        <v>0</v>
      </c>
      <c r="AF74">
        <v>77.62</v>
      </c>
    </row>
    <row r="75" spans="1:32" x14ac:dyDescent="0.3">
      <c r="A75" s="4">
        <v>70</v>
      </c>
      <c r="B75" s="5">
        <v>68</v>
      </c>
      <c r="C75">
        <v>776</v>
      </c>
      <c r="D75" t="s">
        <v>26284</v>
      </c>
      <c r="E75" t="s">
        <v>110</v>
      </c>
      <c r="F75" t="s">
        <v>136</v>
      </c>
      <c r="G75" t="s">
        <v>31107</v>
      </c>
      <c r="H75">
        <v>51.36</v>
      </c>
      <c r="I75">
        <v>0</v>
      </c>
      <c r="L75">
        <v>10</v>
      </c>
      <c r="M75">
        <v>10</v>
      </c>
      <c r="N75">
        <v>0</v>
      </c>
      <c r="O75">
        <v>10</v>
      </c>
      <c r="P75">
        <v>71.36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6</v>
      </c>
      <c r="AA75">
        <v>0</v>
      </c>
      <c r="AF75">
        <v>77.36</v>
      </c>
    </row>
    <row r="76" spans="1:32" x14ac:dyDescent="0.3">
      <c r="A76" s="4">
        <v>71</v>
      </c>
      <c r="B76" s="5">
        <v>69</v>
      </c>
      <c r="C76">
        <v>58</v>
      </c>
      <c r="D76" t="s">
        <v>7062</v>
      </c>
      <c r="E76" t="s">
        <v>273</v>
      </c>
      <c r="F76" t="s">
        <v>238</v>
      </c>
      <c r="G76" t="s">
        <v>7063</v>
      </c>
      <c r="H76">
        <v>46.8</v>
      </c>
      <c r="I76">
        <v>0</v>
      </c>
      <c r="M76">
        <v>0</v>
      </c>
      <c r="N76">
        <v>20</v>
      </c>
      <c r="O76">
        <v>10</v>
      </c>
      <c r="P76">
        <v>76.8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F76">
        <v>76.8</v>
      </c>
    </row>
    <row r="77" spans="1:32" x14ac:dyDescent="0.3">
      <c r="A77" s="4">
        <v>72</v>
      </c>
      <c r="B77" s="5">
        <v>70</v>
      </c>
      <c r="C77">
        <v>880</v>
      </c>
      <c r="D77" t="s">
        <v>31108</v>
      </c>
      <c r="E77" t="s">
        <v>20</v>
      </c>
      <c r="F77" t="s">
        <v>20</v>
      </c>
      <c r="G77" t="s">
        <v>31109</v>
      </c>
      <c r="H77">
        <v>48</v>
      </c>
      <c r="I77">
        <v>0</v>
      </c>
      <c r="M77">
        <v>0</v>
      </c>
      <c r="N77">
        <v>20</v>
      </c>
      <c r="O77">
        <v>0</v>
      </c>
      <c r="P77">
        <v>68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3</v>
      </c>
      <c r="AA77">
        <v>0</v>
      </c>
      <c r="AF77">
        <v>71</v>
      </c>
    </row>
    <row r="78" spans="1:32" x14ac:dyDescent="0.3">
      <c r="A78" s="4">
        <v>73</v>
      </c>
      <c r="B78" s="5">
        <v>71</v>
      </c>
      <c r="C78">
        <v>1524</v>
      </c>
      <c r="D78" t="s">
        <v>31110</v>
      </c>
      <c r="E78" t="s">
        <v>100</v>
      </c>
      <c r="F78" t="s">
        <v>298</v>
      </c>
      <c r="G78" t="s">
        <v>31111</v>
      </c>
      <c r="H78">
        <v>36</v>
      </c>
      <c r="I78">
        <v>0</v>
      </c>
      <c r="M78">
        <v>0</v>
      </c>
      <c r="N78">
        <v>20</v>
      </c>
      <c r="O78">
        <v>10</v>
      </c>
      <c r="P78">
        <v>66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3</v>
      </c>
      <c r="AA78">
        <v>0</v>
      </c>
      <c r="AB78" t="s">
        <v>130</v>
      </c>
      <c r="AF78">
        <v>69</v>
      </c>
    </row>
    <row r="79" spans="1:32" x14ac:dyDescent="0.3">
      <c r="A79" s="4">
        <v>74</v>
      </c>
      <c r="B79" s="5">
        <v>72</v>
      </c>
      <c r="C79">
        <v>1360</v>
      </c>
      <c r="D79" t="s">
        <v>31112</v>
      </c>
      <c r="E79" t="s">
        <v>30</v>
      </c>
      <c r="F79" t="s">
        <v>81</v>
      </c>
      <c r="G79" t="s">
        <v>31113</v>
      </c>
      <c r="H79">
        <v>43.5</v>
      </c>
      <c r="I79">
        <v>0</v>
      </c>
      <c r="M79">
        <v>0</v>
      </c>
      <c r="N79">
        <v>0</v>
      </c>
      <c r="O79">
        <v>0</v>
      </c>
      <c r="P79">
        <v>43.5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F79">
        <v>43.5</v>
      </c>
    </row>
    <row r="81" spans="1:32" x14ac:dyDescent="0.3">
      <c r="A81" s="3" t="s">
        <v>8356</v>
      </c>
    </row>
    <row r="82" spans="1:32" x14ac:dyDescent="0.3">
      <c r="A82" s="3" t="s">
        <v>30528</v>
      </c>
    </row>
    <row r="83" spans="1:32" x14ac:dyDescent="0.3">
      <c r="A83" s="3" t="s">
        <v>30529</v>
      </c>
    </row>
    <row r="84" spans="1:32" x14ac:dyDescent="0.3">
      <c r="A84" s="3" t="s">
        <v>30530</v>
      </c>
    </row>
    <row r="85" spans="1:32" x14ac:dyDescent="0.3">
      <c r="A85" s="3" t="s">
        <v>30531</v>
      </c>
    </row>
    <row r="86" spans="1:32" x14ac:dyDescent="0.3">
      <c r="A86" s="3" t="s">
        <v>30532</v>
      </c>
    </row>
    <row r="87" spans="1:32" x14ac:dyDescent="0.3">
      <c r="A87" s="3" t="s">
        <v>30533</v>
      </c>
    </row>
    <row r="88" spans="1:32" x14ac:dyDescent="0.3">
      <c r="A88" s="3" t="s">
        <v>30534</v>
      </c>
    </row>
    <row r="89" spans="1:32" x14ac:dyDescent="0.3">
      <c r="A89" s="3" t="s">
        <v>30535</v>
      </c>
    </row>
    <row r="90" spans="1:32" x14ac:dyDescent="0.3">
      <c r="A90" s="3" t="s">
        <v>8365</v>
      </c>
    </row>
    <row r="91" spans="1:32" x14ac:dyDescent="0.3">
      <c r="A91" s="3" t="s">
        <v>8366</v>
      </c>
    </row>
    <row r="92" spans="1:32" x14ac:dyDescent="0.3">
      <c r="A92" s="3" t="s">
        <v>30536</v>
      </c>
    </row>
    <row r="93" spans="1:32" x14ac:dyDescent="0.3">
      <c r="A93" s="3" t="s">
        <v>30537</v>
      </c>
    </row>
    <row r="94" spans="1:32" x14ac:dyDescent="0.3">
      <c r="A94" s="3" t="s">
        <v>30538</v>
      </c>
    </row>
    <row r="95" spans="1:32" s="4" customFormat="1" x14ac:dyDescent="0.3">
      <c r="A95" s="3" t="s">
        <v>30539</v>
      </c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</row>
    <row r="96" spans="1:32" s="4" customFormat="1" x14ac:dyDescent="0.3">
      <c r="A96" s="3" t="s">
        <v>30540</v>
      </c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</row>
    <row r="97" spans="1:32" s="4" customFormat="1" x14ac:dyDescent="0.3">
      <c r="A97" s="3" t="s">
        <v>30541</v>
      </c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1:32" s="4" customFormat="1" x14ac:dyDescent="0.3">
      <c r="A98" s="3" t="s">
        <v>30542</v>
      </c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1:32" s="4" customFormat="1" x14ac:dyDescent="0.3">
      <c r="A99" s="3" t="s">
        <v>30543</v>
      </c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</row>
    <row r="100" spans="1:32" s="4" customFormat="1" x14ac:dyDescent="0.3">
      <c r="A100" s="3" t="s">
        <v>30544</v>
      </c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1:32" s="4" customFormat="1" x14ac:dyDescent="0.3">
      <c r="A101" s="3" t="s">
        <v>30545</v>
      </c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1:32" s="4" customFormat="1" x14ac:dyDescent="0.3">
      <c r="A102" s="3" t="s">
        <v>30546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</row>
    <row r="103" spans="1:32" s="4" customFormat="1" x14ac:dyDescent="0.3">
      <c r="A103" s="3" t="s">
        <v>30547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</row>
    <row r="104" spans="1:32" s="4" customFormat="1" x14ac:dyDescent="0.3">
      <c r="A104" s="3" t="s">
        <v>30548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</row>
    <row r="105" spans="1:32" s="4" customFormat="1" x14ac:dyDescent="0.3">
      <c r="A105" s="3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</row>
    <row r="106" spans="1:32" s="4" customFormat="1" x14ac:dyDescent="0.3">
      <c r="A106" s="3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</row>
    <row r="107" spans="1:32" s="4" customFormat="1" x14ac:dyDescent="0.3">
      <c r="A107" s="3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</row>
    <row r="108" spans="1:32" s="4" customFormat="1" x14ac:dyDescent="0.3">
      <c r="A108" s="3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</row>
    <row r="109" spans="1:32" s="4" customFormat="1" x14ac:dyDescent="0.3">
      <c r="A109" s="3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Φύλλο44"/>
  <dimension ref="A1:AF39"/>
  <sheetViews>
    <sheetView workbookViewId="0">
      <selection activeCell="A8" sqref="A8:AF9"/>
    </sheetView>
  </sheetViews>
  <sheetFormatPr defaultRowHeight="14.4" x14ac:dyDescent="0.3"/>
  <cols>
    <col min="1" max="2" width="9.109375" style="4"/>
    <col min="3" max="3" width="5.109375" customWidth="1"/>
    <col min="4" max="4" width="10.33203125" bestFit="1" customWidth="1"/>
    <col min="5" max="5" width="11.88671875" bestFit="1" customWidth="1"/>
    <col min="6" max="6" width="12.6640625" bestFit="1" customWidth="1"/>
    <col min="7" max="7" width="9.554687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31114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1598</v>
      </c>
      <c r="D8" t="s">
        <v>31115</v>
      </c>
      <c r="E8" t="s">
        <v>795</v>
      </c>
      <c r="F8" t="s">
        <v>17</v>
      </c>
      <c r="G8" t="s">
        <v>31116</v>
      </c>
      <c r="H8">
        <v>59.31</v>
      </c>
      <c r="I8">
        <v>0</v>
      </c>
      <c r="J8">
        <v>20</v>
      </c>
      <c r="M8">
        <v>20</v>
      </c>
      <c r="N8">
        <v>20</v>
      </c>
      <c r="O8">
        <v>10</v>
      </c>
      <c r="P8">
        <v>109.31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t="s">
        <v>130</v>
      </c>
      <c r="AD8" t="s">
        <v>130</v>
      </c>
      <c r="AF8">
        <v>109.31</v>
      </c>
    </row>
    <row r="9" spans="1:32" x14ac:dyDescent="0.3">
      <c r="A9" s="4">
        <v>2</v>
      </c>
      <c r="B9" s="5">
        <v>2</v>
      </c>
      <c r="C9">
        <v>125</v>
      </c>
      <c r="D9" t="s">
        <v>31117</v>
      </c>
      <c r="E9" t="s">
        <v>54</v>
      </c>
      <c r="F9" t="s">
        <v>4204</v>
      </c>
      <c r="G9" t="s">
        <v>31118</v>
      </c>
      <c r="H9">
        <v>56.1</v>
      </c>
      <c r="I9">
        <v>0</v>
      </c>
      <c r="J9">
        <v>20</v>
      </c>
      <c r="L9">
        <v>10</v>
      </c>
      <c r="M9">
        <v>20</v>
      </c>
      <c r="N9">
        <v>20</v>
      </c>
      <c r="O9">
        <v>0</v>
      </c>
      <c r="P9">
        <v>96.1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D9" t="s">
        <v>130</v>
      </c>
      <c r="AF9">
        <v>96.1</v>
      </c>
    </row>
    <row r="11" spans="1:32" x14ac:dyDescent="0.3">
      <c r="A11" s="3" t="s">
        <v>8356</v>
      </c>
    </row>
    <row r="12" spans="1:32" x14ac:dyDescent="0.3">
      <c r="A12" s="3" t="s">
        <v>30528</v>
      </c>
    </row>
    <row r="13" spans="1:32" x14ac:dyDescent="0.3">
      <c r="A13" s="3" t="s">
        <v>30529</v>
      </c>
    </row>
    <row r="14" spans="1:32" x14ac:dyDescent="0.3">
      <c r="A14" s="3" t="s">
        <v>30530</v>
      </c>
    </row>
    <row r="15" spans="1:32" x14ac:dyDescent="0.3">
      <c r="A15" s="3" t="s">
        <v>30531</v>
      </c>
    </row>
    <row r="16" spans="1:32" x14ac:dyDescent="0.3">
      <c r="A16" s="3" t="s">
        <v>30532</v>
      </c>
    </row>
    <row r="17" spans="1:1" x14ac:dyDescent="0.3">
      <c r="A17" s="3" t="s">
        <v>30533</v>
      </c>
    </row>
    <row r="18" spans="1:1" x14ac:dyDescent="0.3">
      <c r="A18" s="3" t="s">
        <v>30534</v>
      </c>
    </row>
    <row r="19" spans="1:1" x14ac:dyDescent="0.3">
      <c r="A19" s="3" t="s">
        <v>30535</v>
      </c>
    </row>
    <row r="20" spans="1:1" x14ac:dyDescent="0.3">
      <c r="A20" s="3" t="s">
        <v>8365</v>
      </c>
    </row>
    <row r="21" spans="1:1" x14ac:dyDescent="0.3">
      <c r="A21" s="3" t="s">
        <v>8366</v>
      </c>
    </row>
    <row r="22" spans="1:1" x14ac:dyDescent="0.3">
      <c r="A22" s="3" t="s">
        <v>30536</v>
      </c>
    </row>
    <row r="23" spans="1:1" x14ac:dyDescent="0.3">
      <c r="A23" s="3" t="s">
        <v>30537</v>
      </c>
    </row>
    <row r="24" spans="1:1" x14ac:dyDescent="0.3">
      <c r="A24" s="3" t="s">
        <v>30538</v>
      </c>
    </row>
    <row r="25" spans="1:1" x14ac:dyDescent="0.3">
      <c r="A25" s="3" t="s">
        <v>30539</v>
      </c>
    </row>
    <row r="26" spans="1:1" x14ac:dyDescent="0.3">
      <c r="A26" s="3" t="s">
        <v>30540</v>
      </c>
    </row>
    <row r="27" spans="1:1" x14ac:dyDescent="0.3">
      <c r="A27" s="3" t="s">
        <v>30541</v>
      </c>
    </row>
    <row r="28" spans="1:1" x14ac:dyDescent="0.3">
      <c r="A28" s="3" t="s">
        <v>30542</v>
      </c>
    </row>
    <row r="29" spans="1:1" x14ac:dyDescent="0.3">
      <c r="A29" s="3" t="s">
        <v>30543</v>
      </c>
    </row>
    <row r="30" spans="1:1" x14ac:dyDescent="0.3">
      <c r="A30" s="3" t="s">
        <v>30544</v>
      </c>
    </row>
    <row r="31" spans="1:1" x14ac:dyDescent="0.3">
      <c r="A31" s="3" t="s">
        <v>30545</v>
      </c>
    </row>
    <row r="32" spans="1:1" x14ac:dyDescent="0.3">
      <c r="A32" s="3" t="s">
        <v>30546</v>
      </c>
    </row>
    <row r="33" spans="1:1" x14ac:dyDescent="0.3">
      <c r="A33" s="3" t="s">
        <v>30547</v>
      </c>
    </row>
    <row r="34" spans="1:1" x14ac:dyDescent="0.3">
      <c r="A34" s="3" t="s">
        <v>30548</v>
      </c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Φύλλο45"/>
  <dimension ref="A1:AF58"/>
  <sheetViews>
    <sheetView workbookViewId="0">
      <selection activeCell="A8" sqref="A8:AF29"/>
    </sheetView>
  </sheetViews>
  <sheetFormatPr defaultRowHeight="14.4" x14ac:dyDescent="0.3"/>
  <cols>
    <col min="1" max="2" width="9.109375" style="4"/>
    <col min="3" max="3" width="5.109375" customWidth="1"/>
    <col min="4" max="4" width="17.33203125" bestFit="1" customWidth="1"/>
    <col min="5" max="5" width="20.44140625" bestFit="1" customWidth="1"/>
    <col min="6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31114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1627</v>
      </c>
      <c r="D8" t="s">
        <v>2666</v>
      </c>
      <c r="E8" t="s">
        <v>88</v>
      </c>
      <c r="F8" t="s">
        <v>38</v>
      </c>
      <c r="G8" t="s">
        <v>31119</v>
      </c>
      <c r="H8">
        <v>55.89</v>
      </c>
      <c r="I8">
        <v>10</v>
      </c>
      <c r="K8">
        <v>15</v>
      </c>
      <c r="M8">
        <v>15</v>
      </c>
      <c r="N8">
        <v>20</v>
      </c>
      <c r="O8">
        <v>10</v>
      </c>
      <c r="P8">
        <v>110.89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t="s">
        <v>130</v>
      </c>
      <c r="AD8" t="s">
        <v>130</v>
      </c>
      <c r="AF8">
        <v>110.89</v>
      </c>
    </row>
    <row r="9" spans="1:32" x14ac:dyDescent="0.3">
      <c r="A9" s="4">
        <v>3</v>
      </c>
      <c r="B9" s="5">
        <v>2</v>
      </c>
      <c r="C9">
        <v>36</v>
      </c>
      <c r="D9" t="s">
        <v>31120</v>
      </c>
      <c r="E9" t="s">
        <v>29</v>
      </c>
      <c r="F9" t="s">
        <v>34</v>
      </c>
      <c r="G9" t="s">
        <v>31121</v>
      </c>
      <c r="H9">
        <v>58.65</v>
      </c>
      <c r="I9">
        <v>0</v>
      </c>
      <c r="L9">
        <v>10</v>
      </c>
      <c r="M9">
        <v>10</v>
      </c>
      <c r="N9">
        <v>20</v>
      </c>
      <c r="O9">
        <v>10</v>
      </c>
      <c r="P9">
        <v>98.65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9</v>
      </c>
      <c r="AA9">
        <v>0</v>
      </c>
      <c r="AD9" t="s">
        <v>130</v>
      </c>
      <c r="AF9">
        <v>107.65</v>
      </c>
    </row>
    <row r="10" spans="1:32" x14ac:dyDescent="0.3">
      <c r="A10" s="4">
        <v>4</v>
      </c>
      <c r="B10" s="5">
        <v>3</v>
      </c>
      <c r="C10">
        <v>203</v>
      </c>
      <c r="D10" t="s">
        <v>31122</v>
      </c>
      <c r="E10" t="s">
        <v>54</v>
      </c>
      <c r="F10" t="s">
        <v>117</v>
      </c>
      <c r="G10" t="s">
        <v>31123</v>
      </c>
      <c r="H10">
        <v>59.13</v>
      </c>
      <c r="I10">
        <v>0</v>
      </c>
      <c r="K10">
        <v>15</v>
      </c>
      <c r="L10">
        <v>10</v>
      </c>
      <c r="M10">
        <v>15</v>
      </c>
      <c r="N10">
        <v>20</v>
      </c>
      <c r="O10">
        <v>10</v>
      </c>
      <c r="P10">
        <v>104.13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t="s">
        <v>130</v>
      </c>
      <c r="AD10" t="s">
        <v>130</v>
      </c>
      <c r="AF10">
        <v>104.13</v>
      </c>
    </row>
    <row r="11" spans="1:32" x14ac:dyDescent="0.3">
      <c r="A11" s="4">
        <v>5</v>
      </c>
      <c r="B11" s="5">
        <v>4</v>
      </c>
      <c r="C11">
        <v>1405</v>
      </c>
      <c r="D11" t="s">
        <v>29659</v>
      </c>
      <c r="E11" t="s">
        <v>31124</v>
      </c>
      <c r="F11" t="s">
        <v>117</v>
      </c>
      <c r="G11" t="s">
        <v>31125</v>
      </c>
      <c r="H11">
        <v>52.08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102.08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t="s">
        <v>130</v>
      </c>
      <c r="AD11" t="s">
        <v>130</v>
      </c>
      <c r="AF11">
        <v>102.08</v>
      </c>
    </row>
    <row r="12" spans="1:32" x14ac:dyDescent="0.3">
      <c r="A12" s="4">
        <v>6</v>
      </c>
      <c r="B12" s="5">
        <v>5</v>
      </c>
      <c r="C12">
        <v>247</v>
      </c>
      <c r="D12" t="s">
        <v>19211</v>
      </c>
      <c r="E12" t="s">
        <v>34</v>
      </c>
      <c r="F12" t="s">
        <v>30</v>
      </c>
      <c r="G12" t="s">
        <v>31126</v>
      </c>
      <c r="H12">
        <v>51.9</v>
      </c>
      <c r="I12">
        <v>0</v>
      </c>
      <c r="L12">
        <v>20</v>
      </c>
      <c r="M12">
        <v>20</v>
      </c>
      <c r="N12">
        <v>20</v>
      </c>
      <c r="O12">
        <v>10</v>
      </c>
      <c r="P12">
        <v>101.9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D12" t="s">
        <v>130</v>
      </c>
      <c r="AF12">
        <v>101.9</v>
      </c>
    </row>
    <row r="13" spans="1:32" x14ac:dyDescent="0.3">
      <c r="A13" s="4">
        <v>7</v>
      </c>
      <c r="B13" s="5">
        <v>6</v>
      </c>
      <c r="C13">
        <v>1419</v>
      </c>
      <c r="D13" t="s">
        <v>1528</v>
      </c>
      <c r="E13" t="s">
        <v>173</v>
      </c>
      <c r="F13" t="s">
        <v>136</v>
      </c>
      <c r="G13" t="s">
        <v>31127</v>
      </c>
      <c r="H13">
        <v>59.34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99.34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D13" t="s">
        <v>130</v>
      </c>
      <c r="AF13">
        <v>99.34</v>
      </c>
    </row>
    <row r="14" spans="1:32" x14ac:dyDescent="0.3">
      <c r="A14" s="4">
        <v>8</v>
      </c>
      <c r="B14" s="5">
        <v>7</v>
      </c>
      <c r="C14">
        <v>1206</v>
      </c>
      <c r="D14" t="s">
        <v>31128</v>
      </c>
      <c r="E14" t="s">
        <v>31129</v>
      </c>
      <c r="F14" t="s">
        <v>20</v>
      </c>
      <c r="G14" t="s">
        <v>31130</v>
      </c>
      <c r="H14">
        <v>49.32</v>
      </c>
      <c r="I14">
        <v>0</v>
      </c>
      <c r="J14">
        <v>20</v>
      </c>
      <c r="M14">
        <v>20</v>
      </c>
      <c r="N14">
        <v>20</v>
      </c>
      <c r="O14">
        <v>10</v>
      </c>
      <c r="P14">
        <v>99.32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D14" t="s">
        <v>130</v>
      </c>
      <c r="AF14">
        <v>99.32</v>
      </c>
    </row>
    <row r="15" spans="1:32" x14ac:dyDescent="0.3">
      <c r="A15" s="4">
        <v>9</v>
      </c>
      <c r="B15" s="5">
        <v>8</v>
      </c>
      <c r="C15">
        <v>369</v>
      </c>
      <c r="D15" t="s">
        <v>2266</v>
      </c>
      <c r="E15" t="s">
        <v>4695</v>
      </c>
      <c r="F15" t="s">
        <v>117</v>
      </c>
      <c r="G15" t="s">
        <v>31131</v>
      </c>
      <c r="H15">
        <v>40.98</v>
      </c>
      <c r="I15">
        <v>0</v>
      </c>
      <c r="J15">
        <v>20</v>
      </c>
      <c r="M15">
        <v>20</v>
      </c>
      <c r="N15">
        <v>20</v>
      </c>
      <c r="O15">
        <v>10</v>
      </c>
      <c r="P15">
        <v>90.98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90.98</v>
      </c>
    </row>
    <row r="16" spans="1:32" x14ac:dyDescent="0.3">
      <c r="A16" s="4">
        <v>10</v>
      </c>
      <c r="B16" s="5">
        <v>9</v>
      </c>
      <c r="C16">
        <v>1738</v>
      </c>
      <c r="D16" t="s">
        <v>31132</v>
      </c>
      <c r="E16" t="s">
        <v>1140</v>
      </c>
      <c r="F16" t="s">
        <v>38</v>
      </c>
      <c r="G16" t="s">
        <v>31133</v>
      </c>
      <c r="H16">
        <v>59.46</v>
      </c>
      <c r="I16">
        <v>0</v>
      </c>
      <c r="M16">
        <v>0</v>
      </c>
      <c r="N16">
        <v>20</v>
      </c>
      <c r="O16">
        <v>10</v>
      </c>
      <c r="P16">
        <v>89.46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D16" t="s">
        <v>130</v>
      </c>
      <c r="AF16">
        <v>89.46</v>
      </c>
    </row>
    <row r="17" spans="1:32" x14ac:dyDescent="0.3">
      <c r="A17" s="4">
        <v>11</v>
      </c>
      <c r="B17" s="5">
        <v>10</v>
      </c>
      <c r="C17">
        <v>1581</v>
      </c>
      <c r="D17" t="s">
        <v>31134</v>
      </c>
      <c r="E17" t="s">
        <v>1716</v>
      </c>
      <c r="F17" t="s">
        <v>521</v>
      </c>
      <c r="G17" t="s">
        <v>31135</v>
      </c>
      <c r="H17">
        <v>48.75</v>
      </c>
      <c r="I17">
        <v>0</v>
      </c>
      <c r="M17">
        <v>0</v>
      </c>
      <c r="N17">
        <v>0</v>
      </c>
      <c r="O17">
        <v>0</v>
      </c>
      <c r="P17">
        <v>48.75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6</v>
      </c>
      <c r="AA17">
        <v>26.8</v>
      </c>
      <c r="AD17" t="s">
        <v>130</v>
      </c>
      <c r="AF17">
        <v>81.55</v>
      </c>
    </row>
    <row r="18" spans="1:32" x14ac:dyDescent="0.3">
      <c r="A18" s="4">
        <v>12</v>
      </c>
      <c r="B18" s="5">
        <v>11</v>
      </c>
      <c r="C18">
        <v>441</v>
      </c>
      <c r="D18" t="s">
        <v>31136</v>
      </c>
      <c r="E18" t="s">
        <v>26</v>
      </c>
      <c r="F18" t="s">
        <v>343</v>
      </c>
      <c r="G18" t="s">
        <v>31137</v>
      </c>
      <c r="H18">
        <v>24.99</v>
      </c>
      <c r="I18">
        <v>0</v>
      </c>
      <c r="L18">
        <v>10</v>
      </c>
      <c r="M18">
        <v>10</v>
      </c>
      <c r="N18">
        <v>20</v>
      </c>
      <c r="O18">
        <v>10</v>
      </c>
      <c r="P18">
        <v>64.989999999999995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</v>
      </c>
      <c r="AA18">
        <v>0</v>
      </c>
      <c r="AD18" t="s">
        <v>130</v>
      </c>
      <c r="AF18">
        <v>70.989999999999995</v>
      </c>
    </row>
    <row r="19" spans="1:32" x14ac:dyDescent="0.3">
      <c r="A19" s="4">
        <v>13</v>
      </c>
      <c r="B19" s="5">
        <v>12</v>
      </c>
      <c r="C19">
        <v>549</v>
      </c>
      <c r="D19" t="s">
        <v>675</v>
      </c>
      <c r="E19" t="s">
        <v>208</v>
      </c>
      <c r="F19" t="s">
        <v>587</v>
      </c>
      <c r="G19" t="s">
        <v>676</v>
      </c>
      <c r="H19">
        <v>55.8</v>
      </c>
      <c r="I19">
        <v>10</v>
      </c>
      <c r="J19">
        <v>20</v>
      </c>
      <c r="M19">
        <v>20</v>
      </c>
      <c r="N19">
        <v>20</v>
      </c>
      <c r="O19">
        <v>10</v>
      </c>
      <c r="P19">
        <v>115.8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6</v>
      </c>
      <c r="AA19">
        <v>0</v>
      </c>
      <c r="AF19">
        <v>121.8</v>
      </c>
    </row>
    <row r="20" spans="1:32" x14ac:dyDescent="0.3">
      <c r="A20" s="4">
        <v>14</v>
      </c>
      <c r="B20" s="5">
        <v>13</v>
      </c>
      <c r="C20">
        <v>254</v>
      </c>
      <c r="D20" t="s">
        <v>30990</v>
      </c>
      <c r="E20" t="s">
        <v>258</v>
      </c>
      <c r="F20" t="s">
        <v>38</v>
      </c>
      <c r="G20" t="s">
        <v>30991</v>
      </c>
      <c r="H20">
        <v>48</v>
      </c>
      <c r="I20">
        <v>10</v>
      </c>
      <c r="J20">
        <v>20</v>
      </c>
      <c r="M20">
        <v>20</v>
      </c>
      <c r="N20">
        <v>20</v>
      </c>
      <c r="O20">
        <v>10</v>
      </c>
      <c r="P20">
        <v>108</v>
      </c>
      <c r="Q20">
        <v>9</v>
      </c>
      <c r="R20">
        <v>9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9</v>
      </c>
      <c r="Z20">
        <v>0</v>
      </c>
      <c r="AA20">
        <v>0</v>
      </c>
      <c r="AF20">
        <v>117</v>
      </c>
    </row>
    <row r="21" spans="1:32" x14ac:dyDescent="0.3">
      <c r="A21" s="4">
        <v>15</v>
      </c>
      <c r="B21" s="5">
        <v>14</v>
      </c>
      <c r="C21">
        <v>447</v>
      </c>
      <c r="D21" t="s">
        <v>30645</v>
      </c>
      <c r="E21" t="s">
        <v>19888</v>
      </c>
      <c r="F21" t="s">
        <v>81</v>
      </c>
      <c r="G21" t="s">
        <v>30646</v>
      </c>
      <c r="H21">
        <v>59.1</v>
      </c>
      <c r="I21">
        <v>0</v>
      </c>
      <c r="J21">
        <v>20</v>
      </c>
      <c r="M21">
        <v>20</v>
      </c>
      <c r="N21">
        <v>20</v>
      </c>
      <c r="O21">
        <v>10</v>
      </c>
      <c r="P21">
        <v>109.1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F21">
        <v>109.1</v>
      </c>
    </row>
    <row r="22" spans="1:32" x14ac:dyDescent="0.3">
      <c r="A22" s="4">
        <v>16</v>
      </c>
      <c r="B22" s="5">
        <v>15</v>
      </c>
      <c r="C22">
        <v>1125</v>
      </c>
      <c r="D22" t="s">
        <v>31138</v>
      </c>
      <c r="E22" t="s">
        <v>22</v>
      </c>
      <c r="F22" t="s">
        <v>117</v>
      </c>
      <c r="G22" t="s">
        <v>31139</v>
      </c>
      <c r="H22">
        <v>55.5</v>
      </c>
      <c r="I22">
        <v>0</v>
      </c>
      <c r="J22">
        <v>20</v>
      </c>
      <c r="M22">
        <v>20</v>
      </c>
      <c r="N22">
        <v>20</v>
      </c>
      <c r="O22">
        <v>10</v>
      </c>
      <c r="P22">
        <v>105.5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F22">
        <v>105.5</v>
      </c>
    </row>
    <row r="23" spans="1:32" x14ac:dyDescent="0.3">
      <c r="A23" s="4">
        <v>17</v>
      </c>
      <c r="B23" s="5">
        <v>16</v>
      </c>
      <c r="C23">
        <v>1710</v>
      </c>
      <c r="D23" t="s">
        <v>2961</v>
      </c>
      <c r="E23" t="s">
        <v>789</v>
      </c>
      <c r="F23" t="s">
        <v>81</v>
      </c>
      <c r="G23" t="s">
        <v>2962</v>
      </c>
      <c r="H23">
        <v>56.76</v>
      </c>
      <c r="I23">
        <v>0</v>
      </c>
      <c r="K23">
        <v>15</v>
      </c>
      <c r="L23">
        <v>10</v>
      </c>
      <c r="M23">
        <v>15</v>
      </c>
      <c r="N23">
        <v>20</v>
      </c>
      <c r="O23">
        <v>10</v>
      </c>
      <c r="P23">
        <v>101.76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F23">
        <v>101.76</v>
      </c>
    </row>
    <row r="24" spans="1:32" x14ac:dyDescent="0.3">
      <c r="A24" s="4">
        <v>18</v>
      </c>
      <c r="B24" s="5">
        <v>17</v>
      </c>
      <c r="C24">
        <v>430</v>
      </c>
      <c r="D24" t="s">
        <v>31140</v>
      </c>
      <c r="E24" t="s">
        <v>29</v>
      </c>
      <c r="F24" t="s">
        <v>17</v>
      </c>
      <c r="G24" t="s">
        <v>31141</v>
      </c>
      <c r="H24">
        <v>53.01</v>
      </c>
      <c r="I24">
        <v>0</v>
      </c>
      <c r="M24">
        <v>0</v>
      </c>
      <c r="N24">
        <v>20</v>
      </c>
      <c r="O24">
        <v>10</v>
      </c>
      <c r="P24">
        <v>83.01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6</v>
      </c>
      <c r="AA24">
        <v>0</v>
      </c>
      <c r="AF24">
        <v>89.01</v>
      </c>
    </row>
    <row r="25" spans="1:32" x14ac:dyDescent="0.3">
      <c r="A25" s="4">
        <v>19</v>
      </c>
      <c r="B25" s="5">
        <v>18</v>
      </c>
      <c r="C25">
        <v>517</v>
      </c>
      <c r="D25" t="s">
        <v>11747</v>
      </c>
      <c r="E25" t="s">
        <v>37</v>
      </c>
      <c r="F25" t="s">
        <v>521</v>
      </c>
      <c r="G25" t="s">
        <v>31142</v>
      </c>
      <c r="H25">
        <v>56.4</v>
      </c>
      <c r="I25">
        <v>0</v>
      </c>
      <c r="M25">
        <v>0</v>
      </c>
      <c r="N25">
        <v>20</v>
      </c>
      <c r="O25">
        <v>10</v>
      </c>
      <c r="P25">
        <v>86.4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t="s">
        <v>130</v>
      </c>
      <c r="AF25">
        <v>86.4</v>
      </c>
    </row>
    <row r="26" spans="1:32" x14ac:dyDescent="0.3">
      <c r="A26" s="4">
        <v>20</v>
      </c>
      <c r="B26" s="5">
        <v>19</v>
      </c>
      <c r="C26">
        <v>1526</v>
      </c>
      <c r="D26" t="s">
        <v>2335</v>
      </c>
      <c r="E26" t="s">
        <v>301</v>
      </c>
      <c r="F26" t="s">
        <v>2336</v>
      </c>
      <c r="G26" t="s">
        <v>2337</v>
      </c>
      <c r="H26">
        <v>51.51</v>
      </c>
      <c r="I26">
        <v>0</v>
      </c>
      <c r="L26">
        <v>10</v>
      </c>
      <c r="M26">
        <v>10</v>
      </c>
      <c r="N26">
        <v>20</v>
      </c>
      <c r="O26">
        <v>0</v>
      </c>
      <c r="P26">
        <v>81.510000000000005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3</v>
      </c>
      <c r="AA26">
        <v>0</v>
      </c>
      <c r="AF26">
        <v>84.51</v>
      </c>
    </row>
    <row r="27" spans="1:32" x14ac:dyDescent="0.3">
      <c r="A27" s="4">
        <v>21</v>
      </c>
      <c r="B27" s="5">
        <v>20</v>
      </c>
      <c r="C27">
        <v>1104</v>
      </c>
      <c r="D27" t="s">
        <v>31143</v>
      </c>
      <c r="E27" t="s">
        <v>178</v>
      </c>
      <c r="F27" t="s">
        <v>30</v>
      </c>
      <c r="G27" t="s">
        <v>31144</v>
      </c>
      <c r="H27">
        <v>49.2</v>
      </c>
      <c r="I27">
        <v>0</v>
      </c>
      <c r="L27">
        <v>10</v>
      </c>
      <c r="M27">
        <v>10</v>
      </c>
      <c r="N27">
        <v>20</v>
      </c>
      <c r="O27">
        <v>0</v>
      </c>
      <c r="P27">
        <v>79.2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F27">
        <v>79.2</v>
      </c>
    </row>
    <row r="28" spans="1:32" x14ac:dyDescent="0.3">
      <c r="A28" s="4">
        <v>22</v>
      </c>
      <c r="B28" s="5">
        <v>21</v>
      </c>
      <c r="C28">
        <v>109</v>
      </c>
      <c r="D28" t="s">
        <v>11296</v>
      </c>
      <c r="E28" t="s">
        <v>22</v>
      </c>
      <c r="F28" t="s">
        <v>81</v>
      </c>
      <c r="G28" t="s">
        <v>31145</v>
      </c>
      <c r="H28">
        <v>50.1</v>
      </c>
      <c r="I28">
        <v>0</v>
      </c>
      <c r="M28">
        <v>0</v>
      </c>
      <c r="N28">
        <v>0</v>
      </c>
      <c r="O28">
        <v>10</v>
      </c>
      <c r="P28">
        <v>60.1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9</v>
      </c>
      <c r="AA28">
        <v>0</v>
      </c>
      <c r="AF28">
        <v>69.099999999999994</v>
      </c>
    </row>
    <row r="30" spans="1:32" x14ac:dyDescent="0.3">
      <c r="A30" s="3" t="s">
        <v>8356</v>
      </c>
    </row>
    <row r="31" spans="1:32" x14ac:dyDescent="0.3">
      <c r="A31" s="3" t="s">
        <v>30528</v>
      </c>
    </row>
    <row r="32" spans="1:32" s="4" customFormat="1" x14ac:dyDescent="0.3">
      <c r="A32" s="3" t="s">
        <v>30529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30530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 t="s">
        <v>30531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 t="s">
        <v>30532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 t="s">
        <v>30533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 t="s">
        <v>30534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 t="s">
        <v>30535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s="4" customFormat="1" x14ac:dyDescent="0.3">
      <c r="A39" s="3" t="s">
        <v>8365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s="4" customFormat="1" x14ac:dyDescent="0.3">
      <c r="A40" s="3" t="s">
        <v>8366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s="4" customFormat="1" x14ac:dyDescent="0.3">
      <c r="A41" s="3" t="s">
        <v>30536</v>
      </c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s="4" customFormat="1" x14ac:dyDescent="0.3">
      <c r="A42" s="3" t="s">
        <v>30537</v>
      </c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s="4" customFormat="1" x14ac:dyDescent="0.3">
      <c r="A43" s="3" t="s">
        <v>30538</v>
      </c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s="4" customFormat="1" x14ac:dyDescent="0.3">
      <c r="A44" s="3" t="s">
        <v>30539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s="4" customFormat="1" x14ac:dyDescent="0.3">
      <c r="A45" s="3" t="s">
        <v>30540</v>
      </c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s="4" customFormat="1" x14ac:dyDescent="0.3">
      <c r="A46" s="3" t="s">
        <v>30541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s="4" customFormat="1" x14ac:dyDescent="0.3">
      <c r="A47" s="3" t="s">
        <v>30542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30543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30544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30545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 t="s">
        <v>30546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 t="s">
        <v>30547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 t="s">
        <v>30548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4" customFormat="1" x14ac:dyDescent="0.3">
      <c r="A56" s="3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4" customFormat="1" x14ac:dyDescent="0.3">
      <c r="A57" s="3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4" customFormat="1" x14ac:dyDescent="0.3">
      <c r="A58" s="3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Φύλλο46"/>
  <dimension ref="A1:AF38"/>
  <sheetViews>
    <sheetView workbookViewId="0">
      <selection activeCell="A8" sqref="A8:AF8"/>
    </sheetView>
  </sheetViews>
  <sheetFormatPr defaultRowHeight="14.4" x14ac:dyDescent="0.3"/>
  <cols>
    <col min="1" max="2" width="9.109375" style="4"/>
    <col min="3" max="3" width="5.109375" customWidth="1"/>
    <col min="4" max="4" width="14.33203125" bestFit="1" customWidth="1"/>
    <col min="5" max="5" width="9.88671875" bestFit="1" customWidth="1"/>
    <col min="6" max="6" width="12.6640625" bestFit="1" customWidth="1"/>
    <col min="7" max="7" width="9.44140625" bestFit="1" customWidth="1"/>
    <col min="8" max="8" width="3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31146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215</v>
      </c>
      <c r="D8" t="s">
        <v>10862</v>
      </c>
      <c r="E8" t="s">
        <v>100</v>
      </c>
      <c r="F8" t="s">
        <v>539</v>
      </c>
      <c r="G8" t="s">
        <v>31147</v>
      </c>
      <c r="H8">
        <v>30</v>
      </c>
      <c r="I8">
        <v>0</v>
      </c>
      <c r="J8">
        <v>20</v>
      </c>
      <c r="M8">
        <v>20</v>
      </c>
      <c r="N8">
        <v>20</v>
      </c>
      <c r="O8">
        <v>10</v>
      </c>
      <c r="P8">
        <v>80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3</v>
      </c>
      <c r="AA8">
        <v>0</v>
      </c>
      <c r="AD8" t="s">
        <v>130</v>
      </c>
      <c r="AF8">
        <v>83</v>
      </c>
    </row>
    <row r="10" spans="1:32" x14ac:dyDescent="0.3">
      <c r="A10" s="3"/>
    </row>
    <row r="11" spans="1:32" x14ac:dyDescent="0.3">
      <c r="A11" s="3" t="s">
        <v>8356</v>
      </c>
    </row>
    <row r="12" spans="1:32" x14ac:dyDescent="0.3">
      <c r="A12" s="3" t="s">
        <v>30528</v>
      </c>
    </row>
    <row r="13" spans="1:32" x14ac:dyDescent="0.3">
      <c r="A13" s="3" t="s">
        <v>30529</v>
      </c>
    </row>
    <row r="14" spans="1:32" x14ac:dyDescent="0.3">
      <c r="A14" s="3" t="s">
        <v>30530</v>
      </c>
    </row>
    <row r="15" spans="1:32" x14ac:dyDescent="0.3">
      <c r="A15" s="3" t="s">
        <v>30531</v>
      </c>
    </row>
    <row r="16" spans="1:32" x14ac:dyDescent="0.3">
      <c r="A16" s="3" t="s">
        <v>30532</v>
      </c>
    </row>
    <row r="17" spans="1:1" x14ac:dyDescent="0.3">
      <c r="A17" s="3" t="s">
        <v>30533</v>
      </c>
    </row>
    <row r="18" spans="1:1" x14ac:dyDescent="0.3">
      <c r="A18" s="3" t="s">
        <v>30534</v>
      </c>
    </row>
    <row r="19" spans="1:1" x14ac:dyDescent="0.3">
      <c r="A19" s="3" t="s">
        <v>30535</v>
      </c>
    </row>
    <row r="20" spans="1:1" x14ac:dyDescent="0.3">
      <c r="A20" s="3" t="s">
        <v>8365</v>
      </c>
    </row>
    <row r="21" spans="1:1" x14ac:dyDescent="0.3">
      <c r="A21" s="3" t="s">
        <v>8366</v>
      </c>
    </row>
    <row r="22" spans="1:1" x14ac:dyDescent="0.3">
      <c r="A22" s="3" t="s">
        <v>30536</v>
      </c>
    </row>
    <row r="23" spans="1:1" x14ac:dyDescent="0.3">
      <c r="A23" s="3" t="s">
        <v>30537</v>
      </c>
    </row>
    <row r="24" spans="1:1" x14ac:dyDescent="0.3">
      <c r="A24" s="3" t="s">
        <v>30538</v>
      </c>
    </row>
    <row r="25" spans="1:1" x14ac:dyDescent="0.3">
      <c r="A25" s="3" t="s">
        <v>30539</v>
      </c>
    </row>
    <row r="26" spans="1:1" x14ac:dyDescent="0.3">
      <c r="A26" s="3" t="s">
        <v>30540</v>
      </c>
    </row>
    <row r="27" spans="1:1" x14ac:dyDescent="0.3">
      <c r="A27" s="3" t="s">
        <v>30541</v>
      </c>
    </row>
    <row r="28" spans="1:1" x14ac:dyDescent="0.3">
      <c r="A28" s="3" t="s">
        <v>30542</v>
      </c>
    </row>
    <row r="29" spans="1:1" x14ac:dyDescent="0.3">
      <c r="A29" s="3" t="s">
        <v>30543</v>
      </c>
    </row>
    <row r="30" spans="1:1" x14ac:dyDescent="0.3">
      <c r="A30" s="3" t="s">
        <v>30544</v>
      </c>
    </row>
    <row r="31" spans="1:1" x14ac:dyDescent="0.3">
      <c r="A31" s="3" t="s">
        <v>30545</v>
      </c>
    </row>
    <row r="32" spans="1:1" x14ac:dyDescent="0.3">
      <c r="A32" s="3" t="s">
        <v>30546</v>
      </c>
    </row>
    <row r="33" spans="1:1" x14ac:dyDescent="0.3">
      <c r="A33" s="3" t="s">
        <v>30547</v>
      </c>
    </row>
    <row r="34" spans="1:1" x14ac:dyDescent="0.3">
      <c r="A34" s="3" t="s">
        <v>30548</v>
      </c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Φύλλο47"/>
  <dimension ref="A1:AF45"/>
  <sheetViews>
    <sheetView workbookViewId="0">
      <selection activeCell="A8" sqref="A8:AF15"/>
    </sheetView>
  </sheetViews>
  <sheetFormatPr defaultRowHeight="14.4" x14ac:dyDescent="0.3"/>
  <cols>
    <col min="1" max="2" width="9.109375" style="4"/>
    <col min="3" max="3" width="5.109375" customWidth="1"/>
    <col min="4" max="4" width="17.33203125" bestFit="1" customWidth="1"/>
    <col min="5" max="5" width="11.88671875" bestFit="1" customWidth="1"/>
    <col min="6" max="6" width="15.33203125" bestFit="1" customWidth="1"/>
    <col min="7" max="7" width="9.66406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31146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1370</v>
      </c>
      <c r="D8" t="s">
        <v>860</v>
      </c>
      <c r="E8" t="s">
        <v>14734</v>
      </c>
      <c r="F8" t="s">
        <v>158</v>
      </c>
      <c r="G8" t="s">
        <v>31148</v>
      </c>
      <c r="H8">
        <v>55.98</v>
      </c>
      <c r="I8">
        <v>0</v>
      </c>
      <c r="K8">
        <v>15</v>
      </c>
      <c r="M8">
        <v>15</v>
      </c>
      <c r="N8">
        <v>20</v>
      </c>
      <c r="O8">
        <v>10</v>
      </c>
      <c r="P8">
        <v>100.98</v>
      </c>
      <c r="Q8">
        <v>46</v>
      </c>
      <c r="R8">
        <v>46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46</v>
      </c>
      <c r="Z8">
        <v>0</v>
      </c>
      <c r="AA8">
        <v>0</v>
      </c>
      <c r="AD8" t="s">
        <v>130</v>
      </c>
      <c r="AF8">
        <v>146.97999999999999</v>
      </c>
    </row>
    <row r="9" spans="1:32" x14ac:dyDescent="0.3">
      <c r="A9" s="4">
        <v>2</v>
      </c>
      <c r="B9" s="5">
        <v>2</v>
      </c>
      <c r="C9">
        <v>615</v>
      </c>
      <c r="D9" t="s">
        <v>31149</v>
      </c>
      <c r="E9" t="s">
        <v>158</v>
      </c>
      <c r="F9" t="s">
        <v>20</v>
      </c>
      <c r="G9" t="s">
        <v>31150</v>
      </c>
      <c r="H9">
        <v>55.26</v>
      </c>
      <c r="I9">
        <v>0</v>
      </c>
      <c r="J9">
        <v>20</v>
      </c>
      <c r="M9">
        <v>20</v>
      </c>
      <c r="N9">
        <v>20</v>
      </c>
      <c r="O9">
        <v>10</v>
      </c>
      <c r="P9">
        <v>105.26</v>
      </c>
      <c r="Q9">
        <v>63</v>
      </c>
      <c r="R9">
        <v>63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63</v>
      </c>
      <c r="Z9">
        <v>0</v>
      </c>
      <c r="AA9">
        <v>0</v>
      </c>
      <c r="AB9" t="s">
        <v>130</v>
      </c>
      <c r="AF9">
        <v>168.26</v>
      </c>
    </row>
    <row r="10" spans="1:32" x14ac:dyDescent="0.3">
      <c r="A10" s="4">
        <v>3</v>
      </c>
      <c r="B10" s="5">
        <v>3</v>
      </c>
      <c r="C10">
        <v>1632</v>
      </c>
      <c r="D10" t="s">
        <v>31151</v>
      </c>
      <c r="E10" t="s">
        <v>1371</v>
      </c>
      <c r="F10" t="s">
        <v>81</v>
      </c>
      <c r="G10" t="s">
        <v>31152</v>
      </c>
      <c r="H10">
        <v>58.74</v>
      </c>
      <c r="I10">
        <v>0</v>
      </c>
      <c r="M10">
        <v>0</v>
      </c>
      <c r="N10">
        <v>20</v>
      </c>
      <c r="O10">
        <v>0</v>
      </c>
      <c r="P10">
        <v>78.739999999999995</v>
      </c>
      <c r="Q10">
        <v>72</v>
      </c>
      <c r="R10">
        <v>72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72</v>
      </c>
      <c r="Z10">
        <v>0</v>
      </c>
      <c r="AA10">
        <v>0</v>
      </c>
      <c r="AF10">
        <v>150.74</v>
      </c>
    </row>
    <row r="11" spans="1:32" x14ac:dyDescent="0.3">
      <c r="A11" s="4">
        <v>4</v>
      </c>
      <c r="B11" s="5">
        <v>4</v>
      </c>
      <c r="C11">
        <v>600</v>
      </c>
      <c r="D11" t="s">
        <v>31153</v>
      </c>
      <c r="E11" t="s">
        <v>178</v>
      </c>
      <c r="F11" t="s">
        <v>687</v>
      </c>
      <c r="G11" t="s">
        <v>31154</v>
      </c>
      <c r="H11">
        <v>55.26</v>
      </c>
      <c r="I11">
        <v>0</v>
      </c>
      <c r="J11">
        <v>20</v>
      </c>
      <c r="M11">
        <v>20</v>
      </c>
      <c r="N11">
        <v>20</v>
      </c>
      <c r="O11">
        <v>10</v>
      </c>
      <c r="P11">
        <v>105.26</v>
      </c>
      <c r="Q11">
        <v>28</v>
      </c>
      <c r="R11">
        <v>28</v>
      </c>
      <c r="S11">
        <v>0</v>
      </c>
      <c r="T11">
        <v>0</v>
      </c>
      <c r="U11">
        <v>2</v>
      </c>
      <c r="V11">
        <v>3</v>
      </c>
      <c r="W11">
        <v>0</v>
      </c>
      <c r="X11">
        <v>0</v>
      </c>
      <c r="Y11">
        <v>31</v>
      </c>
      <c r="Z11">
        <v>6</v>
      </c>
      <c r="AA11">
        <v>0</v>
      </c>
      <c r="AF11">
        <v>142.26</v>
      </c>
    </row>
    <row r="12" spans="1:32" x14ac:dyDescent="0.3">
      <c r="A12" s="4">
        <v>5</v>
      </c>
      <c r="B12" s="5">
        <v>5</v>
      </c>
      <c r="C12">
        <v>285</v>
      </c>
      <c r="D12" t="s">
        <v>8396</v>
      </c>
      <c r="E12" t="s">
        <v>8397</v>
      </c>
      <c r="F12" t="s">
        <v>81</v>
      </c>
      <c r="G12" t="s">
        <v>8398</v>
      </c>
      <c r="H12">
        <v>52.98</v>
      </c>
      <c r="I12">
        <v>0</v>
      </c>
      <c r="K12">
        <v>15</v>
      </c>
      <c r="M12">
        <v>15</v>
      </c>
      <c r="N12">
        <v>20</v>
      </c>
      <c r="O12">
        <v>10</v>
      </c>
      <c r="P12">
        <v>97.98</v>
      </c>
      <c r="Q12">
        <v>9</v>
      </c>
      <c r="R12">
        <v>9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9</v>
      </c>
      <c r="Z12">
        <v>6</v>
      </c>
      <c r="AA12">
        <v>0</v>
      </c>
      <c r="AB12" t="s">
        <v>130</v>
      </c>
      <c r="AF12">
        <v>112.98</v>
      </c>
    </row>
    <row r="13" spans="1:32" x14ac:dyDescent="0.3">
      <c r="A13" s="4">
        <v>6</v>
      </c>
      <c r="B13" s="5">
        <v>6</v>
      </c>
      <c r="C13">
        <v>49</v>
      </c>
      <c r="D13" t="s">
        <v>31155</v>
      </c>
      <c r="E13" t="s">
        <v>213</v>
      </c>
      <c r="F13" t="s">
        <v>6828</v>
      </c>
      <c r="G13" t="s">
        <v>31156</v>
      </c>
      <c r="H13">
        <v>52.8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92.8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</v>
      </c>
      <c r="AA13">
        <v>0</v>
      </c>
      <c r="AF13">
        <v>98.8</v>
      </c>
    </row>
    <row r="14" spans="1:32" x14ac:dyDescent="0.3">
      <c r="A14" s="4">
        <v>7</v>
      </c>
      <c r="B14" s="5">
        <v>7</v>
      </c>
      <c r="C14">
        <v>360</v>
      </c>
      <c r="D14" t="s">
        <v>8847</v>
      </c>
      <c r="E14" t="s">
        <v>1576</v>
      </c>
      <c r="F14" t="s">
        <v>20</v>
      </c>
      <c r="G14" t="s">
        <v>31157</v>
      </c>
      <c r="H14">
        <v>57.9</v>
      </c>
      <c r="I14">
        <v>10</v>
      </c>
      <c r="M14">
        <v>0</v>
      </c>
      <c r="N14">
        <v>20</v>
      </c>
      <c r="O14">
        <v>10</v>
      </c>
      <c r="P14">
        <v>97.9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F14">
        <v>97.9</v>
      </c>
    </row>
    <row r="15" spans="1:32" x14ac:dyDescent="0.3">
      <c r="A15" s="4">
        <v>8</v>
      </c>
      <c r="B15" s="5">
        <v>8</v>
      </c>
      <c r="C15">
        <v>517</v>
      </c>
      <c r="D15" t="s">
        <v>11747</v>
      </c>
      <c r="E15" t="s">
        <v>37</v>
      </c>
      <c r="F15" t="s">
        <v>521</v>
      </c>
      <c r="G15" t="s">
        <v>31142</v>
      </c>
      <c r="H15">
        <v>54.6</v>
      </c>
      <c r="I15">
        <v>0</v>
      </c>
      <c r="M15">
        <v>0</v>
      </c>
      <c r="N15">
        <v>20</v>
      </c>
      <c r="O15">
        <v>10</v>
      </c>
      <c r="P15">
        <v>84.6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t="s">
        <v>130</v>
      </c>
      <c r="AF15">
        <v>84.6</v>
      </c>
    </row>
    <row r="17" spans="1:1" x14ac:dyDescent="0.3">
      <c r="A17" s="3" t="s">
        <v>8356</v>
      </c>
    </row>
    <row r="18" spans="1:1" x14ac:dyDescent="0.3">
      <c r="A18" s="3" t="s">
        <v>30528</v>
      </c>
    </row>
    <row r="19" spans="1:1" x14ac:dyDescent="0.3">
      <c r="A19" s="3" t="s">
        <v>30529</v>
      </c>
    </row>
    <row r="20" spans="1:1" x14ac:dyDescent="0.3">
      <c r="A20" s="3" t="s">
        <v>30530</v>
      </c>
    </row>
    <row r="21" spans="1:1" x14ac:dyDescent="0.3">
      <c r="A21" s="3" t="s">
        <v>30531</v>
      </c>
    </row>
    <row r="22" spans="1:1" x14ac:dyDescent="0.3">
      <c r="A22" s="3" t="s">
        <v>30532</v>
      </c>
    </row>
    <row r="23" spans="1:1" x14ac:dyDescent="0.3">
      <c r="A23" s="3" t="s">
        <v>30533</v>
      </c>
    </row>
    <row r="24" spans="1:1" x14ac:dyDescent="0.3">
      <c r="A24" s="3" t="s">
        <v>30534</v>
      </c>
    </row>
    <row r="25" spans="1:1" x14ac:dyDescent="0.3">
      <c r="A25" s="3" t="s">
        <v>30535</v>
      </c>
    </row>
    <row r="26" spans="1:1" x14ac:dyDescent="0.3">
      <c r="A26" s="3" t="s">
        <v>8365</v>
      </c>
    </row>
    <row r="27" spans="1:1" x14ac:dyDescent="0.3">
      <c r="A27" s="3" t="s">
        <v>8366</v>
      </c>
    </row>
    <row r="28" spans="1:1" x14ac:dyDescent="0.3">
      <c r="A28" s="3" t="s">
        <v>30536</v>
      </c>
    </row>
    <row r="29" spans="1:1" x14ac:dyDescent="0.3">
      <c r="A29" s="3" t="s">
        <v>30537</v>
      </c>
    </row>
    <row r="30" spans="1:1" x14ac:dyDescent="0.3">
      <c r="A30" s="3" t="s">
        <v>30538</v>
      </c>
    </row>
    <row r="31" spans="1:1" x14ac:dyDescent="0.3">
      <c r="A31" s="3" t="s">
        <v>30539</v>
      </c>
    </row>
    <row r="32" spans="1:1" x14ac:dyDescent="0.3">
      <c r="A32" s="3" t="s">
        <v>30540</v>
      </c>
    </row>
    <row r="33" spans="1:1" x14ac:dyDescent="0.3">
      <c r="A33" s="3" t="s">
        <v>30541</v>
      </c>
    </row>
    <row r="34" spans="1:1" x14ac:dyDescent="0.3">
      <c r="A34" s="3" t="s">
        <v>30542</v>
      </c>
    </row>
    <row r="35" spans="1:1" x14ac:dyDescent="0.3">
      <c r="A35" s="3" t="s">
        <v>30543</v>
      </c>
    </row>
    <row r="36" spans="1:1" x14ac:dyDescent="0.3">
      <c r="A36" s="3" t="s">
        <v>30544</v>
      </c>
    </row>
    <row r="37" spans="1:1" x14ac:dyDescent="0.3">
      <c r="A37" s="3" t="s">
        <v>30545</v>
      </c>
    </row>
    <row r="38" spans="1:1" x14ac:dyDescent="0.3">
      <c r="A38" s="3" t="s">
        <v>30546</v>
      </c>
    </row>
    <row r="39" spans="1:1" x14ac:dyDescent="0.3">
      <c r="A39" s="3" t="s">
        <v>30547</v>
      </c>
    </row>
    <row r="40" spans="1:1" x14ac:dyDescent="0.3">
      <c r="A40" s="3" t="s">
        <v>30548</v>
      </c>
    </row>
    <row r="41" spans="1:1" x14ac:dyDescent="0.3">
      <c r="A41" s="3"/>
    </row>
    <row r="42" spans="1:1" x14ac:dyDescent="0.3">
      <c r="A42" s="3"/>
    </row>
    <row r="43" spans="1:1" x14ac:dyDescent="0.3">
      <c r="A43" s="3"/>
    </row>
    <row r="44" spans="1:1" x14ac:dyDescent="0.3">
      <c r="A44" s="3"/>
    </row>
    <row r="45" spans="1:1" x14ac:dyDescent="0.3">
      <c r="A45" s="3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Φύλλο48"/>
  <dimension ref="A1:AF38"/>
  <sheetViews>
    <sheetView workbookViewId="0">
      <selection activeCell="A8" sqref="A8:AF9"/>
    </sheetView>
  </sheetViews>
  <sheetFormatPr defaultRowHeight="14.4" x14ac:dyDescent="0.3"/>
  <cols>
    <col min="1" max="2" width="9.109375" style="4"/>
    <col min="3" max="3" width="5.109375" customWidth="1"/>
    <col min="4" max="4" width="14.88671875" bestFit="1" customWidth="1"/>
    <col min="5" max="5" width="10.33203125" bestFit="1" customWidth="1"/>
    <col min="6" max="6" width="12.6640625" bestFit="1" customWidth="1"/>
    <col min="7" max="7" width="9.33203125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31158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1450</v>
      </c>
      <c r="D8" t="s">
        <v>31159</v>
      </c>
      <c r="E8" t="s">
        <v>30</v>
      </c>
      <c r="F8" t="s">
        <v>298</v>
      </c>
      <c r="G8" t="s">
        <v>31160</v>
      </c>
      <c r="H8">
        <v>58.29</v>
      </c>
      <c r="I8">
        <v>0</v>
      </c>
      <c r="L8">
        <v>10</v>
      </c>
      <c r="M8">
        <v>10</v>
      </c>
      <c r="N8">
        <v>20</v>
      </c>
      <c r="O8">
        <v>10</v>
      </c>
      <c r="P8">
        <v>98.29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D8" t="s">
        <v>130</v>
      </c>
      <c r="AF8">
        <v>98.29</v>
      </c>
    </row>
    <row r="10" spans="1:32" x14ac:dyDescent="0.3">
      <c r="A10" s="3" t="s">
        <v>8356</v>
      </c>
    </row>
    <row r="11" spans="1:32" x14ac:dyDescent="0.3">
      <c r="A11" s="3" t="s">
        <v>30528</v>
      </c>
    </row>
    <row r="12" spans="1:32" x14ac:dyDescent="0.3">
      <c r="A12" s="3" t="s">
        <v>30529</v>
      </c>
    </row>
    <row r="13" spans="1:32" x14ac:dyDescent="0.3">
      <c r="A13" s="3" t="s">
        <v>30530</v>
      </c>
    </row>
    <row r="14" spans="1:32" x14ac:dyDescent="0.3">
      <c r="A14" s="3" t="s">
        <v>30531</v>
      </c>
    </row>
    <row r="15" spans="1:32" x14ac:dyDescent="0.3">
      <c r="A15" s="3" t="s">
        <v>30532</v>
      </c>
    </row>
    <row r="16" spans="1:32" s="4" customFormat="1" x14ac:dyDescent="0.3">
      <c r="A16" s="3" t="s">
        <v>30533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4" customFormat="1" x14ac:dyDescent="0.3">
      <c r="A17" s="3" t="s">
        <v>30534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4" customFormat="1" x14ac:dyDescent="0.3">
      <c r="A18" s="3" t="s">
        <v>30535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s="4" customFormat="1" x14ac:dyDescent="0.3">
      <c r="A19" s="3" t="s">
        <v>8365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4" customFormat="1" x14ac:dyDescent="0.3">
      <c r="A20" s="3" t="s">
        <v>8366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s="4" customFormat="1" x14ac:dyDescent="0.3">
      <c r="A21" s="3" t="s">
        <v>30536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s="4" customFormat="1" x14ac:dyDescent="0.3">
      <c r="A22" s="3" t="s">
        <v>30537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s="4" customFormat="1" x14ac:dyDescent="0.3">
      <c r="A23" s="3" t="s">
        <v>30538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s="4" customFormat="1" x14ac:dyDescent="0.3">
      <c r="A24" s="3" t="s">
        <v>30539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s="4" customFormat="1" x14ac:dyDescent="0.3">
      <c r="A25" s="3" t="s">
        <v>30540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s="4" customFormat="1" x14ac:dyDescent="0.3">
      <c r="A26" s="3" t="s">
        <v>30541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s="4" customFormat="1" x14ac:dyDescent="0.3">
      <c r="A27" s="3" t="s">
        <v>30542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s="4" customFormat="1" x14ac:dyDescent="0.3">
      <c r="A28" s="3" t="s">
        <v>30543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s="4" customFormat="1" x14ac:dyDescent="0.3">
      <c r="A29" s="3" t="s">
        <v>30544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s="4" customFormat="1" x14ac:dyDescent="0.3">
      <c r="A30" s="3" t="s">
        <v>30545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s="4" customFormat="1" x14ac:dyDescent="0.3">
      <c r="A31" s="3" t="s">
        <v>30546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s="4" customFormat="1" x14ac:dyDescent="0.3">
      <c r="A32" s="3" t="s">
        <v>30547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s="4" customFormat="1" x14ac:dyDescent="0.3">
      <c r="A33" s="3" t="s">
        <v>30548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s="4" customFormat="1" x14ac:dyDescent="0.3">
      <c r="A34" s="3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s="4" customFormat="1" x14ac:dyDescent="0.3">
      <c r="A35" s="3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s="4" customFormat="1" x14ac:dyDescent="0.3">
      <c r="A36" s="3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s="4" customFormat="1" x14ac:dyDescent="0.3">
      <c r="A38" s="3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Φύλλο49"/>
  <dimension ref="A1:AF72"/>
  <sheetViews>
    <sheetView workbookViewId="0">
      <selection activeCell="A8" sqref="A8:AF44"/>
    </sheetView>
  </sheetViews>
  <sheetFormatPr defaultRowHeight="14.4" x14ac:dyDescent="0.3"/>
  <cols>
    <col min="1" max="2" width="9.109375" style="4"/>
    <col min="3" max="3" width="5.109375" customWidth="1"/>
    <col min="4" max="4" width="18.109375" bestFit="1" customWidth="1"/>
    <col min="5" max="5" width="20.88671875" bestFit="1" customWidth="1"/>
    <col min="6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31158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2</v>
      </c>
      <c r="B8" s="5">
        <v>1</v>
      </c>
      <c r="C8">
        <v>904</v>
      </c>
      <c r="D8" t="s">
        <v>2772</v>
      </c>
      <c r="E8" t="s">
        <v>2852</v>
      </c>
      <c r="F8" t="s">
        <v>30</v>
      </c>
      <c r="G8" t="s">
        <v>31161</v>
      </c>
      <c r="H8">
        <v>54.21</v>
      </c>
      <c r="I8">
        <v>0</v>
      </c>
      <c r="J8">
        <v>20</v>
      </c>
      <c r="M8">
        <v>20</v>
      </c>
      <c r="N8">
        <v>20</v>
      </c>
      <c r="O8">
        <v>10</v>
      </c>
      <c r="P8">
        <v>104.21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0</v>
      </c>
      <c r="AD8" t="s">
        <v>130</v>
      </c>
      <c r="AF8">
        <v>113.21</v>
      </c>
    </row>
    <row r="9" spans="1:32" x14ac:dyDescent="0.3">
      <c r="A9" s="4">
        <v>3</v>
      </c>
      <c r="B9" s="5">
        <v>2</v>
      </c>
      <c r="C9">
        <v>1489</v>
      </c>
      <c r="D9" t="s">
        <v>18686</v>
      </c>
      <c r="E9" t="s">
        <v>88</v>
      </c>
      <c r="F9" t="s">
        <v>38</v>
      </c>
      <c r="G9" t="s">
        <v>31063</v>
      </c>
      <c r="H9">
        <v>57</v>
      </c>
      <c r="I9">
        <v>0</v>
      </c>
      <c r="J9">
        <v>20</v>
      </c>
      <c r="M9">
        <v>20</v>
      </c>
      <c r="N9">
        <v>20</v>
      </c>
      <c r="O9">
        <v>10</v>
      </c>
      <c r="P9">
        <v>107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</v>
      </c>
      <c r="AA9">
        <v>0</v>
      </c>
      <c r="AB9" t="s">
        <v>130</v>
      </c>
      <c r="AD9" t="s">
        <v>130</v>
      </c>
      <c r="AF9">
        <v>113</v>
      </c>
    </row>
    <row r="10" spans="1:32" x14ac:dyDescent="0.3">
      <c r="A10" s="4">
        <v>4</v>
      </c>
      <c r="B10" s="5">
        <v>3</v>
      </c>
      <c r="C10">
        <v>678</v>
      </c>
      <c r="D10" t="s">
        <v>31162</v>
      </c>
      <c r="E10" t="s">
        <v>117</v>
      </c>
      <c r="F10" t="s">
        <v>124</v>
      </c>
      <c r="G10" t="s">
        <v>31163</v>
      </c>
      <c r="H10">
        <v>56.79</v>
      </c>
      <c r="I10">
        <v>0</v>
      </c>
      <c r="J10">
        <v>20</v>
      </c>
      <c r="M10">
        <v>20</v>
      </c>
      <c r="N10">
        <v>20</v>
      </c>
      <c r="O10">
        <v>10</v>
      </c>
      <c r="P10">
        <v>106.79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6</v>
      </c>
      <c r="AA10">
        <v>0</v>
      </c>
      <c r="AB10" t="s">
        <v>130</v>
      </c>
      <c r="AD10" t="s">
        <v>130</v>
      </c>
      <c r="AF10">
        <v>112.79</v>
      </c>
    </row>
    <row r="11" spans="1:32" x14ac:dyDescent="0.3">
      <c r="A11" s="4">
        <v>6</v>
      </c>
      <c r="B11" s="5">
        <v>4</v>
      </c>
      <c r="C11">
        <v>466</v>
      </c>
      <c r="D11" t="s">
        <v>8663</v>
      </c>
      <c r="E11" t="s">
        <v>170</v>
      </c>
      <c r="F11" t="s">
        <v>17</v>
      </c>
      <c r="G11" t="s">
        <v>31164</v>
      </c>
      <c r="H11">
        <v>58.5</v>
      </c>
      <c r="I11">
        <v>0</v>
      </c>
      <c r="M11">
        <v>0</v>
      </c>
      <c r="N11">
        <v>20</v>
      </c>
      <c r="O11">
        <v>10</v>
      </c>
      <c r="P11">
        <v>88.5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20</v>
      </c>
      <c r="AD11" t="s">
        <v>130</v>
      </c>
      <c r="AF11">
        <v>108.5</v>
      </c>
    </row>
    <row r="12" spans="1:32" x14ac:dyDescent="0.3">
      <c r="A12" s="4">
        <v>7</v>
      </c>
      <c r="B12" s="5">
        <v>5</v>
      </c>
      <c r="C12">
        <v>310</v>
      </c>
      <c r="D12" t="s">
        <v>31165</v>
      </c>
      <c r="E12" t="s">
        <v>208</v>
      </c>
      <c r="F12" t="s">
        <v>68</v>
      </c>
      <c r="G12" t="s">
        <v>32019</v>
      </c>
      <c r="H12">
        <v>55.5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105.5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D12" t="s">
        <v>130</v>
      </c>
      <c r="AF12">
        <v>108.5</v>
      </c>
    </row>
    <row r="13" spans="1:32" x14ac:dyDescent="0.3">
      <c r="A13" s="4">
        <v>8</v>
      </c>
      <c r="B13" s="5">
        <v>6</v>
      </c>
      <c r="C13">
        <v>283</v>
      </c>
      <c r="D13" t="s">
        <v>31166</v>
      </c>
      <c r="E13" t="s">
        <v>1090</v>
      </c>
      <c r="F13" t="s">
        <v>4088</v>
      </c>
      <c r="G13" t="s">
        <v>31167</v>
      </c>
      <c r="H13">
        <v>48.9</v>
      </c>
      <c r="I13">
        <v>0</v>
      </c>
      <c r="J13">
        <v>20</v>
      </c>
      <c r="M13">
        <v>20</v>
      </c>
      <c r="N13">
        <v>20</v>
      </c>
      <c r="O13">
        <v>10</v>
      </c>
      <c r="P13">
        <v>98.9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6</v>
      </c>
      <c r="AA13">
        <v>0</v>
      </c>
      <c r="AD13" t="s">
        <v>130</v>
      </c>
      <c r="AF13">
        <v>104.9</v>
      </c>
    </row>
    <row r="14" spans="1:32" x14ac:dyDescent="0.3">
      <c r="A14" s="4">
        <v>9</v>
      </c>
      <c r="B14" s="5">
        <v>7</v>
      </c>
      <c r="C14">
        <v>1315</v>
      </c>
      <c r="D14" t="s">
        <v>31168</v>
      </c>
      <c r="E14" t="s">
        <v>243</v>
      </c>
      <c r="F14" t="s">
        <v>20</v>
      </c>
      <c r="G14" t="s">
        <v>31169</v>
      </c>
      <c r="H14">
        <v>40.380000000000003</v>
      </c>
      <c r="I14">
        <v>0</v>
      </c>
      <c r="M14">
        <v>0</v>
      </c>
      <c r="N14">
        <v>20</v>
      </c>
      <c r="O14">
        <v>10</v>
      </c>
      <c r="P14">
        <v>70.38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3</v>
      </c>
      <c r="AA14">
        <v>26.8</v>
      </c>
      <c r="AB14" t="s">
        <v>130</v>
      </c>
      <c r="AD14" t="s">
        <v>130</v>
      </c>
      <c r="AF14">
        <v>100.18</v>
      </c>
    </row>
    <row r="15" spans="1:32" x14ac:dyDescent="0.3">
      <c r="A15" s="4">
        <v>10</v>
      </c>
      <c r="B15" s="5">
        <v>8</v>
      </c>
      <c r="C15">
        <v>354</v>
      </c>
      <c r="D15" t="s">
        <v>22443</v>
      </c>
      <c r="E15" t="s">
        <v>31170</v>
      </c>
      <c r="F15" t="s">
        <v>972</v>
      </c>
      <c r="G15" t="s">
        <v>31171</v>
      </c>
      <c r="H15">
        <v>58.8</v>
      </c>
      <c r="I15">
        <v>0</v>
      </c>
      <c r="L15">
        <v>10</v>
      </c>
      <c r="M15">
        <v>10</v>
      </c>
      <c r="N15">
        <v>20</v>
      </c>
      <c r="O15">
        <v>10</v>
      </c>
      <c r="P15">
        <v>98.8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D15" t="s">
        <v>130</v>
      </c>
      <c r="AF15">
        <v>98.8</v>
      </c>
    </row>
    <row r="16" spans="1:32" x14ac:dyDescent="0.3">
      <c r="A16" s="4">
        <v>11</v>
      </c>
      <c r="B16" s="5">
        <v>9</v>
      </c>
      <c r="C16">
        <v>833</v>
      </c>
      <c r="D16" t="s">
        <v>1654</v>
      </c>
      <c r="E16" t="s">
        <v>29</v>
      </c>
      <c r="F16" t="s">
        <v>158</v>
      </c>
      <c r="G16" t="s">
        <v>19788</v>
      </c>
      <c r="H16">
        <v>58.62</v>
      </c>
      <c r="I16">
        <v>0</v>
      </c>
      <c r="L16">
        <v>10</v>
      </c>
      <c r="M16">
        <v>10</v>
      </c>
      <c r="N16">
        <v>20</v>
      </c>
      <c r="O16">
        <v>10</v>
      </c>
      <c r="P16">
        <v>98.62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D16" t="s">
        <v>130</v>
      </c>
      <c r="AF16">
        <v>98.62</v>
      </c>
    </row>
    <row r="17" spans="1:32" x14ac:dyDescent="0.3">
      <c r="A17" s="4">
        <v>12</v>
      </c>
      <c r="B17" s="5">
        <v>10</v>
      </c>
      <c r="C17">
        <v>322</v>
      </c>
      <c r="D17" t="s">
        <v>2246</v>
      </c>
      <c r="E17" t="s">
        <v>51</v>
      </c>
      <c r="F17" t="s">
        <v>158</v>
      </c>
      <c r="G17" t="s">
        <v>31172</v>
      </c>
      <c r="H17">
        <v>54.42</v>
      </c>
      <c r="I17">
        <v>10</v>
      </c>
      <c r="M17">
        <v>0</v>
      </c>
      <c r="N17">
        <v>20</v>
      </c>
      <c r="O17">
        <v>10</v>
      </c>
      <c r="P17">
        <v>94.42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3</v>
      </c>
      <c r="AA17">
        <v>0</v>
      </c>
      <c r="AD17" t="s">
        <v>130</v>
      </c>
      <c r="AF17">
        <v>97.42</v>
      </c>
    </row>
    <row r="18" spans="1:32" x14ac:dyDescent="0.3">
      <c r="A18" s="4">
        <v>13</v>
      </c>
      <c r="B18" s="5">
        <v>11</v>
      </c>
      <c r="C18">
        <v>1617</v>
      </c>
      <c r="D18" t="s">
        <v>3889</v>
      </c>
      <c r="E18" t="s">
        <v>170</v>
      </c>
      <c r="F18" t="s">
        <v>81</v>
      </c>
      <c r="G18" t="s">
        <v>31173</v>
      </c>
      <c r="H18">
        <v>57</v>
      </c>
      <c r="I18">
        <v>0</v>
      </c>
      <c r="L18">
        <v>10</v>
      </c>
      <c r="M18">
        <v>10</v>
      </c>
      <c r="N18">
        <v>20</v>
      </c>
      <c r="O18">
        <v>10</v>
      </c>
      <c r="P18">
        <v>97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D18" t="s">
        <v>130</v>
      </c>
      <c r="AF18">
        <v>97</v>
      </c>
    </row>
    <row r="19" spans="1:32" x14ac:dyDescent="0.3">
      <c r="A19" s="4">
        <v>14</v>
      </c>
      <c r="B19" s="5">
        <v>12</v>
      </c>
      <c r="C19">
        <v>451</v>
      </c>
      <c r="D19" t="s">
        <v>11259</v>
      </c>
      <c r="E19" t="s">
        <v>33</v>
      </c>
      <c r="F19" t="s">
        <v>238</v>
      </c>
      <c r="G19" t="s">
        <v>30970</v>
      </c>
      <c r="H19">
        <v>57</v>
      </c>
      <c r="I19">
        <v>0</v>
      </c>
      <c r="L19">
        <v>10</v>
      </c>
      <c r="M19">
        <v>10</v>
      </c>
      <c r="N19">
        <v>20</v>
      </c>
      <c r="O19">
        <v>10</v>
      </c>
      <c r="P19">
        <v>97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D19" t="s">
        <v>130</v>
      </c>
      <c r="AF19">
        <v>97</v>
      </c>
    </row>
    <row r="20" spans="1:32" x14ac:dyDescent="0.3">
      <c r="A20" s="4">
        <v>15</v>
      </c>
      <c r="B20" s="5">
        <v>13</v>
      </c>
      <c r="C20">
        <v>168</v>
      </c>
      <c r="D20" t="s">
        <v>19235</v>
      </c>
      <c r="E20" t="s">
        <v>54</v>
      </c>
      <c r="F20" t="s">
        <v>190</v>
      </c>
      <c r="G20" t="s">
        <v>31174</v>
      </c>
      <c r="H20">
        <v>54</v>
      </c>
      <c r="I20">
        <v>0</v>
      </c>
      <c r="L20">
        <v>10</v>
      </c>
      <c r="M20">
        <v>10</v>
      </c>
      <c r="N20">
        <v>20</v>
      </c>
      <c r="O20">
        <v>10</v>
      </c>
      <c r="P20">
        <v>94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D20" t="s">
        <v>130</v>
      </c>
      <c r="AF20">
        <v>94</v>
      </c>
    </row>
    <row r="21" spans="1:32" x14ac:dyDescent="0.3">
      <c r="A21" s="4">
        <v>16</v>
      </c>
      <c r="B21" s="5">
        <v>14</v>
      </c>
      <c r="C21">
        <v>16</v>
      </c>
      <c r="D21" t="s">
        <v>31175</v>
      </c>
      <c r="E21" t="s">
        <v>38</v>
      </c>
      <c r="F21" t="s">
        <v>167</v>
      </c>
      <c r="G21" t="s">
        <v>31176</v>
      </c>
      <c r="H21">
        <v>42.87</v>
      </c>
      <c r="I21">
        <v>0</v>
      </c>
      <c r="J21">
        <v>20</v>
      </c>
      <c r="M21">
        <v>20</v>
      </c>
      <c r="N21">
        <v>20</v>
      </c>
      <c r="O21">
        <v>10</v>
      </c>
      <c r="P21">
        <v>92.87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t="s">
        <v>130</v>
      </c>
      <c r="AD21" t="s">
        <v>130</v>
      </c>
      <c r="AF21">
        <v>92.87</v>
      </c>
    </row>
    <row r="22" spans="1:32" x14ac:dyDescent="0.3">
      <c r="A22" s="4">
        <v>17</v>
      </c>
      <c r="B22" s="5">
        <v>15</v>
      </c>
      <c r="C22">
        <v>1174</v>
      </c>
      <c r="D22" t="s">
        <v>4279</v>
      </c>
      <c r="E22" t="s">
        <v>563</v>
      </c>
      <c r="F22" t="s">
        <v>68</v>
      </c>
      <c r="G22" t="s">
        <v>31177</v>
      </c>
      <c r="H22">
        <v>59.28</v>
      </c>
      <c r="I22">
        <v>0</v>
      </c>
      <c r="M22">
        <v>0</v>
      </c>
      <c r="N22">
        <v>20</v>
      </c>
      <c r="O22">
        <v>10</v>
      </c>
      <c r="P22">
        <v>89.28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D22" t="s">
        <v>130</v>
      </c>
      <c r="AF22">
        <v>89.28</v>
      </c>
    </row>
    <row r="23" spans="1:32" x14ac:dyDescent="0.3">
      <c r="A23" s="4">
        <v>18</v>
      </c>
      <c r="B23" s="5">
        <v>16</v>
      </c>
      <c r="C23">
        <v>847</v>
      </c>
      <c r="D23" t="s">
        <v>4038</v>
      </c>
      <c r="E23" t="s">
        <v>88</v>
      </c>
      <c r="F23" t="s">
        <v>81</v>
      </c>
      <c r="G23" t="s">
        <v>31178</v>
      </c>
      <c r="H23">
        <v>56.58</v>
      </c>
      <c r="I23">
        <v>0</v>
      </c>
      <c r="M23">
        <v>0</v>
      </c>
      <c r="N23">
        <v>20</v>
      </c>
      <c r="O23">
        <v>10</v>
      </c>
      <c r="P23">
        <v>86.58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D23" t="s">
        <v>130</v>
      </c>
      <c r="AF23">
        <v>86.58</v>
      </c>
    </row>
    <row r="24" spans="1:32" x14ac:dyDescent="0.3">
      <c r="A24" s="4">
        <v>19</v>
      </c>
      <c r="B24" s="5">
        <v>17</v>
      </c>
      <c r="C24">
        <v>249</v>
      </c>
      <c r="D24" t="s">
        <v>5166</v>
      </c>
      <c r="E24" t="s">
        <v>3313</v>
      </c>
      <c r="F24" t="s">
        <v>38</v>
      </c>
      <c r="G24" t="s">
        <v>20499</v>
      </c>
      <c r="H24">
        <v>51.6</v>
      </c>
      <c r="I24">
        <v>0</v>
      </c>
      <c r="M24">
        <v>0</v>
      </c>
      <c r="N24">
        <v>20</v>
      </c>
      <c r="O24">
        <v>10</v>
      </c>
      <c r="P24">
        <v>81.599999999999994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D24" t="s">
        <v>130</v>
      </c>
      <c r="AF24">
        <v>81.599999999999994</v>
      </c>
    </row>
    <row r="25" spans="1:32" x14ac:dyDescent="0.3">
      <c r="A25" s="4">
        <v>20</v>
      </c>
      <c r="B25" s="5">
        <v>18</v>
      </c>
      <c r="C25">
        <v>1044</v>
      </c>
      <c r="D25" t="s">
        <v>31179</v>
      </c>
      <c r="E25" t="s">
        <v>38</v>
      </c>
      <c r="F25" t="s">
        <v>34</v>
      </c>
      <c r="G25" t="s">
        <v>31180</v>
      </c>
      <c r="H25">
        <v>43.08</v>
      </c>
      <c r="I25">
        <v>0</v>
      </c>
      <c r="M25">
        <v>0</v>
      </c>
      <c r="N25">
        <v>0</v>
      </c>
      <c r="O25">
        <v>10</v>
      </c>
      <c r="P25">
        <v>53.08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</v>
      </c>
      <c r="AA25">
        <v>0</v>
      </c>
      <c r="AD25" t="s">
        <v>130</v>
      </c>
      <c r="AF25">
        <v>59.08</v>
      </c>
    </row>
    <row r="26" spans="1:32" x14ac:dyDescent="0.3">
      <c r="A26" s="4">
        <v>21</v>
      </c>
      <c r="B26" s="5">
        <v>19</v>
      </c>
      <c r="C26">
        <v>61</v>
      </c>
      <c r="D26" t="s">
        <v>2318</v>
      </c>
      <c r="E26" t="s">
        <v>41</v>
      </c>
      <c r="F26" t="s">
        <v>158</v>
      </c>
      <c r="G26" t="s">
        <v>31181</v>
      </c>
      <c r="H26">
        <v>54.87</v>
      </c>
      <c r="I26">
        <v>0</v>
      </c>
      <c r="L26">
        <v>10</v>
      </c>
      <c r="M26">
        <v>10</v>
      </c>
      <c r="N26">
        <v>20</v>
      </c>
      <c r="O26">
        <v>10</v>
      </c>
      <c r="P26">
        <v>94.87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3</v>
      </c>
      <c r="AA26">
        <v>24</v>
      </c>
      <c r="AF26">
        <v>121.87</v>
      </c>
    </row>
    <row r="27" spans="1:32" x14ac:dyDescent="0.3">
      <c r="A27" s="4">
        <v>22</v>
      </c>
      <c r="B27" s="5">
        <v>20</v>
      </c>
      <c r="C27">
        <v>410</v>
      </c>
      <c r="D27" t="s">
        <v>31182</v>
      </c>
      <c r="E27" t="s">
        <v>2598</v>
      </c>
      <c r="F27" t="s">
        <v>81</v>
      </c>
      <c r="G27" t="s">
        <v>31183</v>
      </c>
      <c r="H27">
        <v>36</v>
      </c>
      <c r="I27">
        <v>0</v>
      </c>
      <c r="M27">
        <v>0</v>
      </c>
      <c r="N27">
        <v>20</v>
      </c>
      <c r="O27">
        <v>10</v>
      </c>
      <c r="P27">
        <v>66</v>
      </c>
      <c r="Q27">
        <v>44</v>
      </c>
      <c r="R27">
        <v>44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44</v>
      </c>
      <c r="Z27">
        <v>0</v>
      </c>
      <c r="AA27">
        <v>0</v>
      </c>
      <c r="AF27">
        <v>110</v>
      </c>
    </row>
    <row r="28" spans="1:32" x14ac:dyDescent="0.3">
      <c r="A28" s="4">
        <v>23</v>
      </c>
      <c r="B28" s="5">
        <v>21</v>
      </c>
      <c r="C28">
        <v>1132</v>
      </c>
      <c r="D28" t="s">
        <v>31184</v>
      </c>
      <c r="E28" t="s">
        <v>471</v>
      </c>
      <c r="F28" t="s">
        <v>243</v>
      </c>
      <c r="G28" t="s">
        <v>31185</v>
      </c>
      <c r="H28">
        <v>57.6</v>
      </c>
      <c r="I28">
        <v>0</v>
      </c>
      <c r="L28">
        <v>10</v>
      </c>
      <c r="M28">
        <v>10</v>
      </c>
      <c r="N28">
        <v>20</v>
      </c>
      <c r="O28">
        <v>10</v>
      </c>
      <c r="P28">
        <v>97.6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</v>
      </c>
      <c r="AA28">
        <v>0</v>
      </c>
      <c r="AF28">
        <v>103.6</v>
      </c>
    </row>
    <row r="29" spans="1:32" x14ac:dyDescent="0.3">
      <c r="A29" s="4">
        <v>24</v>
      </c>
      <c r="B29" s="5">
        <v>22</v>
      </c>
      <c r="C29">
        <v>620</v>
      </c>
      <c r="D29" t="s">
        <v>607</v>
      </c>
      <c r="E29" t="s">
        <v>29</v>
      </c>
      <c r="F29" t="s">
        <v>30</v>
      </c>
      <c r="G29" t="s">
        <v>31186</v>
      </c>
      <c r="H29">
        <v>47.01</v>
      </c>
      <c r="I29">
        <v>0</v>
      </c>
      <c r="J29">
        <v>20</v>
      </c>
      <c r="M29">
        <v>20</v>
      </c>
      <c r="N29">
        <v>20</v>
      </c>
      <c r="O29">
        <v>10</v>
      </c>
      <c r="P29">
        <v>97.01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3</v>
      </c>
      <c r="AA29">
        <v>0</v>
      </c>
      <c r="AF29">
        <v>100.01</v>
      </c>
    </row>
    <row r="30" spans="1:32" x14ac:dyDescent="0.3">
      <c r="A30" s="4">
        <v>25</v>
      </c>
      <c r="B30" s="5">
        <v>23</v>
      </c>
      <c r="C30">
        <v>646</v>
      </c>
      <c r="D30" t="s">
        <v>31187</v>
      </c>
      <c r="E30" t="s">
        <v>41</v>
      </c>
      <c r="F30" t="s">
        <v>30</v>
      </c>
      <c r="G30" t="s">
        <v>31188</v>
      </c>
      <c r="H30">
        <v>55.5</v>
      </c>
      <c r="I30">
        <v>0</v>
      </c>
      <c r="L30">
        <v>10</v>
      </c>
      <c r="M30">
        <v>10</v>
      </c>
      <c r="N30">
        <v>20</v>
      </c>
      <c r="O30">
        <v>10</v>
      </c>
      <c r="P30">
        <v>95.5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3</v>
      </c>
      <c r="AA30">
        <v>0</v>
      </c>
      <c r="AF30">
        <v>98.5</v>
      </c>
    </row>
    <row r="31" spans="1:32" x14ac:dyDescent="0.3">
      <c r="A31" s="4">
        <v>26</v>
      </c>
      <c r="B31" s="5">
        <v>24</v>
      </c>
      <c r="C31">
        <v>648</v>
      </c>
      <c r="D31" t="s">
        <v>10431</v>
      </c>
      <c r="E31" t="s">
        <v>54</v>
      </c>
      <c r="F31" t="s">
        <v>30</v>
      </c>
      <c r="G31" t="s">
        <v>31189</v>
      </c>
      <c r="H31">
        <v>58.08</v>
      </c>
      <c r="I31">
        <v>0</v>
      </c>
      <c r="M31">
        <v>0</v>
      </c>
      <c r="N31">
        <v>20</v>
      </c>
      <c r="O31">
        <v>10</v>
      </c>
      <c r="P31">
        <v>88.08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9</v>
      </c>
      <c r="AA31">
        <v>0</v>
      </c>
      <c r="AF31">
        <v>97.08</v>
      </c>
    </row>
    <row r="32" spans="1:32" x14ac:dyDescent="0.3">
      <c r="A32" s="4">
        <v>27</v>
      </c>
      <c r="B32" s="5">
        <v>25</v>
      </c>
      <c r="C32">
        <v>986</v>
      </c>
      <c r="D32" t="s">
        <v>2282</v>
      </c>
      <c r="E32" t="s">
        <v>2283</v>
      </c>
      <c r="F32" t="s">
        <v>2284</v>
      </c>
      <c r="G32" t="s">
        <v>2285</v>
      </c>
      <c r="H32">
        <v>49.2</v>
      </c>
      <c r="I32">
        <v>0</v>
      </c>
      <c r="K32">
        <v>15</v>
      </c>
      <c r="M32">
        <v>15</v>
      </c>
      <c r="N32">
        <v>20</v>
      </c>
      <c r="O32">
        <v>10</v>
      </c>
      <c r="P32">
        <v>94.2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F32">
        <v>94.2</v>
      </c>
    </row>
    <row r="33" spans="1:32" x14ac:dyDescent="0.3">
      <c r="A33" s="4">
        <v>28</v>
      </c>
      <c r="B33" s="5">
        <v>26</v>
      </c>
      <c r="C33">
        <v>1439</v>
      </c>
      <c r="D33" t="s">
        <v>5281</v>
      </c>
      <c r="E33" t="s">
        <v>471</v>
      </c>
      <c r="F33" t="s">
        <v>17</v>
      </c>
      <c r="G33" t="s">
        <v>31190</v>
      </c>
      <c r="H33">
        <v>45.63</v>
      </c>
      <c r="I33">
        <v>0</v>
      </c>
      <c r="M33">
        <v>0</v>
      </c>
      <c r="N33">
        <v>20</v>
      </c>
      <c r="O33">
        <v>0</v>
      </c>
      <c r="P33">
        <v>65.63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26.8</v>
      </c>
      <c r="AF33">
        <v>92.43</v>
      </c>
    </row>
    <row r="34" spans="1:32" x14ac:dyDescent="0.3">
      <c r="A34" s="4">
        <v>29</v>
      </c>
      <c r="B34" s="5">
        <v>27</v>
      </c>
      <c r="C34">
        <v>1319</v>
      </c>
      <c r="D34" t="s">
        <v>2666</v>
      </c>
      <c r="E34" t="s">
        <v>30</v>
      </c>
      <c r="F34" t="s">
        <v>38</v>
      </c>
      <c r="G34" t="s">
        <v>31191</v>
      </c>
      <c r="H34">
        <v>51.54</v>
      </c>
      <c r="I34">
        <v>0</v>
      </c>
      <c r="M34">
        <v>0</v>
      </c>
      <c r="N34">
        <v>20</v>
      </c>
      <c r="O34">
        <v>10</v>
      </c>
      <c r="P34">
        <v>81.540000000000006</v>
      </c>
      <c r="Q34">
        <v>9</v>
      </c>
      <c r="R34">
        <v>9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9</v>
      </c>
      <c r="Z34">
        <v>0</v>
      </c>
      <c r="AA34">
        <v>0</v>
      </c>
      <c r="AF34">
        <v>90.54</v>
      </c>
    </row>
    <row r="35" spans="1:32" x14ac:dyDescent="0.3">
      <c r="A35" s="4">
        <v>30</v>
      </c>
      <c r="B35" s="5">
        <v>28</v>
      </c>
      <c r="C35">
        <v>1100</v>
      </c>
      <c r="D35" t="s">
        <v>18578</v>
      </c>
      <c r="E35" t="s">
        <v>972</v>
      </c>
      <c r="F35" t="s">
        <v>20</v>
      </c>
      <c r="G35" t="s">
        <v>31192</v>
      </c>
      <c r="H35">
        <v>35.369999999999997</v>
      </c>
      <c r="I35">
        <v>0</v>
      </c>
      <c r="J35">
        <v>20</v>
      </c>
      <c r="M35">
        <v>20</v>
      </c>
      <c r="N35">
        <v>20</v>
      </c>
      <c r="O35">
        <v>10</v>
      </c>
      <c r="P35">
        <v>85.37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3</v>
      </c>
      <c r="AA35">
        <v>0</v>
      </c>
      <c r="AF35">
        <v>88.37</v>
      </c>
    </row>
    <row r="36" spans="1:32" x14ac:dyDescent="0.3">
      <c r="A36" s="4">
        <v>31</v>
      </c>
      <c r="B36" s="5">
        <v>29</v>
      </c>
      <c r="C36">
        <v>1463</v>
      </c>
      <c r="D36" t="s">
        <v>31193</v>
      </c>
      <c r="E36" t="s">
        <v>54</v>
      </c>
      <c r="F36" t="s">
        <v>343</v>
      </c>
      <c r="G36" t="s">
        <v>31194</v>
      </c>
      <c r="H36">
        <v>39.42</v>
      </c>
      <c r="I36">
        <v>0</v>
      </c>
      <c r="L36">
        <v>10</v>
      </c>
      <c r="M36">
        <v>10</v>
      </c>
      <c r="N36">
        <v>20</v>
      </c>
      <c r="O36">
        <v>10</v>
      </c>
      <c r="P36">
        <v>79.42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6</v>
      </c>
      <c r="AA36">
        <v>0</v>
      </c>
      <c r="AF36">
        <v>85.42</v>
      </c>
    </row>
    <row r="37" spans="1:32" x14ac:dyDescent="0.3">
      <c r="A37" s="4">
        <v>32</v>
      </c>
      <c r="B37" s="5">
        <v>30</v>
      </c>
      <c r="C37">
        <v>1318</v>
      </c>
      <c r="D37" t="s">
        <v>5483</v>
      </c>
      <c r="E37" t="s">
        <v>1280</v>
      </c>
      <c r="F37" t="s">
        <v>81</v>
      </c>
      <c r="G37" t="s">
        <v>31195</v>
      </c>
      <c r="H37">
        <v>54.84</v>
      </c>
      <c r="I37">
        <v>0</v>
      </c>
      <c r="M37">
        <v>0</v>
      </c>
      <c r="N37">
        <v>20</v>
      </c>
      <c r="O37">
        <v>10</v>
      </c>
      <c r="P37">
        <v>84.84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F37">
        <v>84.84</v>
      </c>
    </row>
    <row r="38" spans="1:32" x14ac:dyDescent="0.3">
      <c r="A38" s="4">
        <v>33</v>
      </c>
      <c r="B38" s="5">
        <v>31</v>
      </c>
      <c r="C38">
        <v>305</v>
      </c>
      <c r="D38" t="s">
        <v>5128</v>
      </c>
      <c r="E38" t="s">
        <v>149</v>
      </c>
      <c r="F38" t="s">
        <v>328</v>
      </c>
      <c r="G38" t="s">
        <v>5129</v>
      </c>
      <c r="H38">
        <v>49.29</v>
      </c>
      <c r="I38">
        <v>0</v>
      </c>
      <c r="M38">
        <v>0</v>
      </c>
      <c r="N38">
        <v>20</v>
      </c>
      <c r="O38">
        <v>10</v>
      </c>
      <c r="P38">
        <v>79.290000000000006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3</v>
      </c>
      <c r="AA38">
        <v>0</v>
      </c>
      <c r="AF38">
        <v>82.29</v>
      </c>
    </row>
    <row r="39" spans="1:32" x14ac:dyDescent="0.3">
      <c r="A39" s="4">
        <v>34</v>
      </c>
      <c r="B39" s="5">
        <v>32</v>
      </c>
      <c r="C39">
        <v>166</v>
      </c>
      <c r="D39" t="s">
        <v>31196</v>
      </c>
      <c r="E39" t="s">
        <v>9010</v>
      </c>
      <c r="F39" t="s">
        <v>23</v>
      </c>
      <c r="G39" t="s">
        <v>31197</v>
      </c>
      <c r="H39">
        <v>52.14</v>
      </c>
      <c r="I39">
        <v>0</v>
      </c>
      <c r="M39">
        <v>0</v>
      </c>
      <c r="N39">
        <v>20</v>
      </c>
      <c r="O39">
        <v>10</v>
      </c>
      <c r="P39">
        <v>82.14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F39">
        <v>82.14</v>
      </c>
    </row>
    <row r="40" spans="1:32" x14ac:dyDescent="0.3">
      <c r="A40" s="4">
        <v>35</v>
      </c>
      <c r="B40" s="5">
        <v>33</v>
      </c>
      <c r="C40">
        <v>210</v>
      </c>
      <c r="D40" t="s">
        <v>2871</v>
      </c>
      <c r="E40" t="s">
        <v>26</v>
      </c>
      <c r="F40" t="s">
        <v>20</v>
      </c>
      <c r="G40" t="s">
        <v>2872</v>
      </c>
      <c r="H40">
        <v>45.54</v>
      </c>
      <c r="I40">
        <v>0</v>
      </c>
      <c r="M40">
        <v>0</v>
      </c>
      <c r="N40">
        <v>20</v>
      </c>
      <c r="O40">
        <v>10</v>
      </c>
      <c r="P40">
        <v>75.540000000000006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6</v>
      </c>
      <c r="AA40">
        <v>0</v>
      </c>
      <c r="AF40">
        <v>81.540000000000006</v>
      </c>
    </row>
    <row r="41" spans="1:32" x14ac:dyDescent="0.3">
      <c r="A41" s="4">
        <v>36</v>
      </c>
      <c r="B41" s="5">
        <v>34</v>
      </c>
      <c r="C41">
        <v>1135</v>
      </c>
      <c r="D41" t="s">
        <v>3711</v>
      </c>
      <c r="E41" t="s">
        <v>31198</v>
      </c>
      <c r="F41" t="s">
        <v>38</v>
      </c>
      <c r="G41" t="s">
        <v>31199</v>
      </c>
      <c r="H41">
        <v>39.9</v>
      </c>
      <c r="I41">
        <v>10</v>
      </c>
      <c r="M41">
        <v>0</v>
      </c>
      <c r="N41">
        <v>20</v>
      </c>
      <c r="O41">
        <v>10</v>
      </c>
      <c r="P41">
        <v>79.900000000000006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F41">
        <v>79.900000000000006</v>
      </c>
    </row>
    <row r="42" spans="1:32" x14ac:dyDescent="0.3">
      <c r="A42" s="4">
        <v>37</v>
      </c>
      <c r="B42" s="5">
        <v>35</v>
      </c>
      <c r="C42">
        <v>1454</v>
      </c>
      <c r="D42" t="s">
        <v>13003</v>
      </c>
      <c r="E42" t="s">
        <v>575</v>
      </c>
      <c r="F42" t="s">
        <v>55</v>
      </c>
      <c r="G42" t="s">
        <v>31200</v>
      </c>
      <c r="H42">
        <v>44.28</v>
      </c>
      <c r="I42">
        <v>0</v>
      </c>
      <c r="M42">
        <v>0</v>
      </c>
      <c r="N42">
        <v>20</v>
      </c>
      <c r="O42">
        <v>10</v>
      </c>
      <c r="P42">
        <v>74.28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3</v>
      </c>
      <c r="AA42">
        <v>0</v>
      </c>
      <c r="AF42">
        <v>77.28</v>
      </c>
    </row>
    <row r="44" spans="1:32" x14ac:dyDescent="0.3">
      <c r="A44" s="3" t="s">
        <v>8356</v>
      </c>
    </row>
    <row r="45" spans="1:32" x14ac:dyDescent="0.3">
      <c r="A45" s="3" t="s">
        <v>30528</v>
      </c>
    </row>
    <row r="46" spans="1:32" x14ac:dyDescent="0.3">
      <c r="A46" s="3" t="s">
        <v>30529</v>
      </c>
    </row>
    <row r="47" spans="1:32" s="4" customFormat="1" x14ac:dyDescent="0.3">
      <c r="A47" s="3" t="s">
        <v>30530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s="4" customFormat="1" x14ac:dyDescent="0.3">
      <c r="A48" s="3" t="s">
        <v>30531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s="4" customFormat="1" x14ac:dyDescent="0.3">
      <c r="A49" s="3" t="s">
        <v>30532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s="4" customFormat="1" x14ac:dyDescent="0.3">
      <c r="A50" s="3" t="s">
        <v>30533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s="4" customFormat="1" x14ac:dyDescent="0.3">
      <c r="A51" s="3" t="s">
        <v>30534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s="4" customFormat="1" x14ac:dyDescent="0.3">
      <c r="A52" s="3" t="s">
        <v>30535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s="4" customFormat="1" x14ac:dyDescent="0.3">
      <c r="A53" s="3" t="s">
        <v>8365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s="4" customFormat="1" x14ac:dyDescent="0.3">
      <c r="A54" s="3" t="s">
        <v>8366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s="4" customFormat="1" x14ac:dyDescent="0.3">
      <c r="A55" s="3" t="s">
        <v>30536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s="4" customFormat="1" x14ac:dyDescent="0.3">
      <c r="A56" s="3" t="s">
        <v>30537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s="4" customFormat="1" x14ac:dyDescent="0.3">
      <c r="A57" s="3" t="s">
        <v>30538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s="4" customFormat="1" x14ac:dyDescent="0.3">
      <c r="A58" s="3" t="s">
        <v>30539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s="4" customFormat="1" x14ac:dyDescent="0.3">
      <c r="A59" s="3" t="s">
        <v>30540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s="4" customFormat="1" x14ac:dyDescent="0.3">
      <c r="A60" s="3" t="s">
        <v>30541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s="4" customFormat="1" x14ac:dyDescent="0.3">
      <c r="A61" s="3" t="s">
        <v>30542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s="4" customFormat="1" x14ac:dyDescent="0.3">
      <c r="A62" s="3" t="s">
        <v>30543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s="4" customFormat="1" x14ac:dyDescent="0.3">
      <c r="A63" s="3" t="s">
        <v>30544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s="4" customFormat="1" x14ac:dyDescent="0.3">
      <c r="A64" s="3" t="s">
        <v>30545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s="4" customFormat="1" x14ac:dyDescent="0.3">
      <c r="A65" s="3" t="s">
        <v>30546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s="4" customFormat="1" x14ac:dyDescent="0.3">
      <c r="A66" s="3" t="s">
        <v>30547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s="4" customFormat="1" x14ac:dyDescent="0.3">
      <c r="A67" s="3" t="s">
        <v>30548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s="4" customFormat="1" x14ac:dyDescent="0.3">
      <c r="A68" s="3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s="4" customFormat="1" x14ac:dyDescent="0.3">
      <c r="A69" s="3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s="4" customFormat="1" x14ac:dyDescent="0.3">
      <c r="A70" s="3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s="4" customFormat="1" x14ac:dyDescent="0.3">
      <c r="A71" s="3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s="4" customFormat="1" x14ac:dyDescent="0.3">
      <c r="A72" s="3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Φύλλο50"/>
  <dimension ref="A1:AF132"/>
  <sheetViews>
    <sheetView workbookViewId="0">
      <selection activeCell="A8" sqref="A8:AF131"/>
    </sheetView>
  </sheetViews>
  <sheetFormatPr defaultRowHeight="14.4" x14ac:dyDescent="0.3"/>
  <cols>
    <col min="1" max="2" width="9.109375" style="4"/>
    <col min="3" max="3" width="5.109375" customWidth="1"/>
    <col min="4" max="4" width="27.44140625" bestFit="1" customWidth="1"/>
    <col min="5" max="5" width="26.44140625" bestFit="1" customWidth="1"/>
    <col min="6" max="6" width="15.3320312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8394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31201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1061</v>
      </c>
      <c r="D8" t="s">
        <v>31202</v>
      </c>
      <c r="E8" t="s">
        <v>17</v>
      </c>
      <c r="F8" t="s">
        <v>38</v>
      </c>
      <c r="G8" t="s">
        <v>31203</v>
      </c>
      <c r="H8">
        <v>54.6</v>
      </c>
      <c r="I8">
        <v>0</v>
      </c>
      <c r="J8">
        <v>20</v>
      </c>
      <c r="M8">
        <v>20</v>
      </c>
      <c r="N8">
        <v>20</v>
      </c>
      <c r="O8">
        <v>10</v>
      </c>
      <c r="P8">
        <v>104.6</v>
      </c>
      <c r="Q8">
        <v>100</v>
      </c>
      <c r="R8">
        <v>100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100</v>
      </c>
      <c r="Z8">
        <v>6</v>
      </c>
      <c r="AA8">
        <v>20</v>
      </c>
      <c r="AB8" t="s">
        <v>130</v>
      </c>
      <c r="AD8" t="s">
        <v>130</v>
      </c>
      <c r="AF8">
        <v>230.6</v>
      </c>
    </row>
    <row r="9" spans="1:32" x14ac:dyDescent="0.3">
      <c r="A9" s="4">
        <v>2</v>
      </c>
      <c r="B9" s="5">
        <v>2</v>
      </c>
      <c r="C9">
        <v>991</v>
      </c>
      <c r="D9" t="s">
        <v>31204</v>
      </c>
      <c r="E9" t="s">
        <v>104</v>
      </c>
      <c r="F9" t="s">
        <v>81</v>
      </c>
      <c r="G9" t="s">
        <v>31205</v>
      </c>
      <c r="H9">
        <v>60</v>
      </c>
      <c r="I9">
        <v>10</v>
      </c>
      <c r="J9">
        <v>20</v>
      </c>
      <c r="K9">
        <v>15</v>
      </c>
      <c r="M9">
        <v>20</v>
      </c>
      <c r="N9">
        <v>20</v>
      </c>
      <c r="O9">
        <v>10</v>
      </c>
      <c r="P9">
        <v>120</v>
      </c>
      <c r="Q9">
        <v>109</v>
      </c>
      <c r="R9">
        <v>109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109</v>
      </c>
      <c r="Z9">
        <v>0</v>
      </c>
      <c r="AA9">
        <v>0</v>
      </c>
      <c r="AB9" t="s">
        <v>130</v>
      </c>
      <c r="AD9" t="s">
        <v>130</v>
      </c>
      <c r="AF9">
        <v>229</v>
      </c>
    </row>
    <row r="10" spans="1:32" x14ac:dyDescent="0.3">
      <c r="A10" s="4">
        <v>6</v>
      </c>
      <c r="B10" s="5">
        <v>3</v>
      </c>
      <c r="C10">
        <v>577</v>
      </c>
      <c r="D10" t="s">
        <v>12621</v>
      </c>
      <c r="E10" t="s">
        <v>29</v>
      </c>
      <c r="F10" t="s">
        <v>62</v>
      </c>
      <c r="G10" t="s">
        <v>31207</v>
      </c>
      <c r="H10">
        <v>57</v>
      </c>
      <c r="I10">
        <v>0</v>
      </c>
      <c r="J10">
        <v>20</v>
      </c>
      <c r="L10">
        <v>10</v>
      </c>
      <c r="M10">
        <v>20</v>
      </c>
      <c r="N10">
        <v>20</v>
      </c>
      <c r="O10">
        <v>10</v>
      </c>
      <c r="P10">
        <v>107</v>
      </c>
      <c r="Q10">
        <v>76</v>
      </c>
      <c r="R10">
        <v>76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76</v>
      </c>
      <c r="Z10">
        <v>9</v>
      </c>
      <c r="AA10">
        <v>0</v>
      </c>
      <c r="AB10" t="s">
        <v>130</v>
      </c>
      <c r="AD10" t="s">
        <v>130</v>
      </c>
      <c r="AF10">
        <v>192</v>
      </c>
    </row>
    <row r="11" spans="1:32" x14ac:dyDescent="0.3">
      <c r="A11" s="4">
        <v>7</v>
      </c>
      <c r="B11" s="5">
        <v>4</v>
      </c>
      <c r="C11">
        <v>1329</v>
      </c>
      <c r="D11" t="s">
        <v>4070</v>
      </c>
      <c r="E11" t="s">
        <v>97</v>
      </c>
      <c r="F11" t="s">
        <v>193</v>
      </c>
      <c r="G11" t="s">
        <v>31208</v>
      </c>
      <c r="H11">
        <v>57</v>
      </c>
      <c r="I11">
        <v>10</v>
      </c>
      <c r="M11">
        <v>0</v>
      </c>
      <c r="N11">
        <v>20</v>
      </c>
      <c r="O11">
        <v>10</v>
      </c>
      <c r="P11">
        <v>97</v>
      </c>
      <c r="Q11">
        <v>60</v>
      </c>
      <c r="R11">
        <v>60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60</v>
      </c>
      <c r="Z11">
        <v>0</v>
      </c>
      <c r="AA11">
        <v>26.8</v>
      </c>
      <c r="AD11" t="s">
        <v>130</v>
      </c>
      <c r="AF11">
        <v>183.8</v>
      </c>
    </row>
    <row r="12" spans="1:32" x14ac:dyDescent="0.3">
      <c r="A12" s="4">
        <v>8</v>
      </c>
      <c r="B12" s="5">
        <v>5</v>
      </c>
      <c r="C12">
        <v>69</v>
      </c>
      <c r="D12" t="s">
        <v>1663</v>
      </c>
      <c r="E12" t="s">
        <v>88</v>
      </c>
      <c r="F12" t="s">
        <v>81</v>
      </c>
      <c r="G12" t="s">
        <v>31209</v>
      </c>
      <c r="H12">
        <v>56.16</v>
      </c>
      <c r="I12">
        <v>0</v>
      </c>
      <c r="J12">
        <v>40</v>
      </c>
      <c r="M12">
        <v>20</v>
      </c>
      <c r="N12">
        <v>20</v>
      </c>
      <c r="O12">
        <v>10</v>
      </c>
      <c r="P12">
        <v>106.16</v>
      </c>
      <c r="Q12">
        <v>73</v>
      </c>
      <c r="R12">
        <v>73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73</v>
      </c>
      <c r="Z12">
        <v>3</v>
      </c>
      <c r="AA12">
        <v>0</v>
      </c>
      <c r="AB12" t="s">
        <v>130</v>
      </c>
      <c r="AD12" t="s">
        <v>130</v>
      </c>
      <c r="AF12">
        <v>182.16</v>
      </c>
    </row>
    <row r="13" spans="1:32" x14ac:dyDescent="0.3">
      <c r="A13" s="4">
        <v>9</v>
      </c>
      <c r="B13" s="5">
        <v>6</v>
      </c>
      <c r="C13">
        <v>901</v>
      </c>
      <c r="D13" t="s">
        <v>31105</v>
      </c>
      <c r="E13" t="s">
        <v>22</v>
      </c>
      <c r="F13" t="s">
        <v>17</v>
      </c>
      <c r="G13" t="s">
        <v>31210</v>
      </c>
      <c r="H13">
        <v>58.8</v>
      </c>
      <c r="I13">
        <v>0</v>
      </c>
      <c r="L13">
        <v>10</v>
      </c>
      <c r="M13">
        <v>10</v>
      </c>
      <c r="N13">
        <v>20</v>
      </c>
      <c r="O13">
        <v>10</v>
      </c>
      <c r="P13">
        <v>98.8</v>
      </c>
      <c r="Q13">
        <v>51</v>
      </c>
      <c r="R13">
        <v>51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51</v>
      </c>
      <c r="Z13">
        <v>0</v>
      </c>
      <c r="AA13">
        <v>32</v>
      </c>
      <c r="AB13" t="s">
        <v>130</v>
      </c>
      <c r="AD13" t="s">
        <v>130</v>
      </c>
      <c r="AF13">
        <v>181.8</v>
      </c>
    </row>
    <row r="14" spans="1:32" x14ac:dyDescent="0.3">
      <c r="A14" s="4">
        <v>10</v>
      </c>
      <c r="B14" s="5">
        <v>7</v>
      </c>
      <c r="C14">
        <v>54</v>
      </c>
      <c r="D14" t="s">
        <v>31211</v>
      </c>
      <c r="E14" t="s">
        <v>132</v>
      </c>
      <c r="F14" t="s">
        <v>20</v>
      </c>
      <c r="G14" t="s">
        <v>31212</v>
      </c>
      <c r="H14">
        <v>54</v>
      </c>
      <c r="I14">
        <v>0</v>
      </c>
      <c r="J14">
        <v>20</v>
      </c>
      <c r="M14">
        <v>20</v>
      </c>
      <c r="N14">
        <v>20</v>
      </c>
      <c r="O14">
        <v>10</v>
      </c>
      <c r="P14">
        <v>104</v>
      </c>
      <c r="Q14">
        <v>38</v>
      </c>
      <c r="R14">
        <v>38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38</v>
      </c>
      <c r="Z14">
        <v>3</v>
      </c>
      <c r="AA14">
        <v>36</v>
      </c>
      <c r="AB14" t="s">
        <v>130</v>
      </c>
      <c r="AD14" t="s">
        <v>130</v>
      </c>
      <c r="AF14">
        <v>181</v>
      </c>
    </row>
    <row r="15" spans="1:32" x14ac:dyDescent="0.3">
      <c r="A15" s="4">
        <v>11</v>
      </c>
      <c r="B15" s="5">
        <v>8</v>
      </c>
      <c r="C15">
        <v>282</v>
      </c>
      <c r="D15" t="s">
        <v>31213</v>
      </c>
      <c r="E15" t="s">
        <v>31214</v>
      </c>
      <c r="F15" t="s">
        <v>136</v>
      </c>
      <c r="G15" t="s">
        <v>31215</v>
      </c>
      <c r="H15">
        <v>57.42</v>
      </c>
      <c r="I15">
        <v>10</v>
      </c>
      <c r="J15">
        <v>20</v>
      </c>
      <c r="K15">
        <v>15</v>
      </c>
      <c r="M15">
        <v>20</v>
      </c>
      <c r="N15">
        <v>20</v>
      </c>
      <c r="O15">
        <v>10</v>
      </c>
      <c r="P15">
        <v>117.42</v>
      </c>
      <c r="Q15">
        <v>52</v>
      </c>
      <c r="R15">
        <v>52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52</v>
      </c>
      <c r="Z15">
        <v>9</v>
      </c>
      <c r="AA15">
        <v>0</v>
      </c>
      <c r="AC15" t="s">
        <v>130</v>
      </c>
      <c r="AD15" t="s">
        <v>130</v>
      </c>
      <c r="AF15">
        <v>178.42</v>
      </c>
    </row>
    <row r="16" spans="1:32" x14ac:dyDescent="0.3">
      <c r="A16" s="4">
        <v>12</v>
      </c>
      <c r="B16" s="5">
        <v>9</v>
      </c>
      <c r="C16">
        <v>309</v>
      </c>
      <c r="D16" t="s">
        <v>24150</v>
      </c>
      <c r="E16" t="s">
        <v>255</v>
      </c>
      <c r="F16" t="s">
        <v>20</v>
      </c>
      <c r="G16" t="s">
        <v>30859</v>
      </c>
      <c r="H16">
        <v>54</v>
      </c>
      <c r="I16">
        <v>10</v>
      </c>
      <c r="K16">
        <v>15</v>
      </c>
      <c r="M16">
        <v>15</v>
      </c>
      <c r="N16">
        <v>20</v>
      </c>
      <c r="O16">
        <v>10</v>
      </c>
      <c r="P16">
        <v>109</v>
      </c>
      <c r="Q16">
        <v>63</v>
      </c>
      <c r="R16">
        <v>63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63</v>
      </c>
      <c r="Z16">
        <v>3</v>
      </c>
      <c r="AA16">
        <v>0</v>
      </c>
      <c r="AB16" t="s">
        <v>130</v>
      </c>
      <c r="AD16" t="s">
        <v>130</v>
      </c>
      <c r="AF16">
        <v>175</v>
      </c>
    </row>
    <row r="17" spans="1:32" x14ac:dyDescent="0.3">
      <c r="A17" s="4">
        <v>13</v>
      </c>
      <c r="B17" s="5">
        <v>10</v>
      </c>
      <c r="C17">
        <v>482</v>
      </c>
      <c r="D17" t="s">
        <v>717</v>
      </c>
      <c r="E17" t="s">
        <v>166</v>
      </c>
      <c r="F17" t="s">
        <v>81</v>
      </c>
      <c r="G17" t="s">
        <v>31216</v>
      </c>
      <c r="H17">
        <v>60</v>
      </c>
      <c r="I17">
        <v>10</v>
      </c>
      <c r="J17">
        <v>20</v>
      </c>
      <c r="L17">
        <v>10</v>
      </c>
      <c r="M17">
        <v>20</v>
      </c>
      <c r="N17">
        <v>20</v>
      </c>
      <c r="O17">
        <v>10</v>
      </c>
      <c r="P17">
        <v>120</v>
      </c>
      <c r="Q17">
        <v>51</v>
      </c>
      <c r="R17">
        <v>51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51</v>
      </c>
      <c r="Z17">
        <v>3</v>
      </c>
      <c r="AA17">
        <v>0</v>
      </c>
      <c r="AD17" t="s">
        <v>130</v>
      </c>
      <c r="AF17">
        <v>174</v>
      </c>
    </row>
    <row r="18" spans="1:32" x14ac:dyDescent="0.3">
      <c r="A18" s="4">
        <v>14</v>
      </c>
      <c r="B18" s="5">
        <v>11</v>
      </c>
      <c r="C18">
        <v>1020</v>
      </c>
      <c r="D18" t="s">
        <v>2881</v>
      </c>
      <c r="E18" t="s">
        <v>575</v>
      </c>
      <c r="F18" t="s">
        <v>38</v>
      </c>
      <c r="G18" t="s">
        <v>31217</v>
      </c>
      <c r="H18">
        <v>57</v>
      </c>
      <c r="I18">
        <v>10</v>
      </c>
      <c r="J18">
        <v>20</v>
      </c>
      <c r="M18">
        <v>20</v>
      </c>
      <c r="N18">
        <v>20</v>
      </c>
      <c r="O18">
        <v>10</v>
      </c>
      <c r="P18">
        <v>117</v>
      </c>
      <c r="Q18">
        <v>56</v>
      </c>
      <c r="R18">
        <v>56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56</v>
      </c>
      <c r="Z18">
        <v>0</v>
      </c>
      <c r="AA18">
        <v>0</v>
      </c>
      <c r="AB18" t="s">
        <v>130</v>
      </c>
      <c r="AD18" t="s">
        <v>130</v>
      </c>
      <c r="AF18">
        <v>173</v>
      </c>
    </row>
    <row r="19" spans="1:32" x14ac:dyDescent="0.3">
      <c r="A19" s="4">
        <v>15</v>
      </c>
      <c r="B19" s="5">
        <v>12</v>
      </c>
      <c r="C19">
        <v>55</v>
      </c>
      <c r="D19" t="s">
        <v>31218</v>
      </c>
      <c r="E19" t="s">
        <v>117</v>
      </c>
      <c r="F19" t="s">
        <v>17</v>
      </c>
      <c r="G19" t="s">
        <v>31219</v>
      </c>
      <c r="H19">
        <v>60</v>
      </c>
      <c r="I19">
        <v>10</v>
      </c>
      <c r="J19">
        <v>20</v>
      </c>
      <c r="M19">
        <v>20</v>
      </c>
      <c r="N19">
        <v>20</v>
      </c>
      <c r="O19">
        <v>10</v>
      </c>
      <c r="P19">
        <v>120</v>
      </c>
      <c r="Q19">
        <v>45</v>
      </c>
      <c r="R19">
        <v>45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45</v>
      </c>
      <c r="Z19">
        <v>6</v>
      </c>
      <c r="AA19">
        <v>0</v>
      </c>
      <c r="AD19" t="s">
        <v>130</v>
      </c>
      <c r="AF19">
        <v>171</v>
      </c>
    </row>
    <row r="20" spans="1:32" x14ac:dyDescent="0.3">
      <c r="A20" s="4">
        <v>16</v>
      </c>
      <c r="B20" s="5">
        <v>13</v>
      </c>
      <c r="C20">
        <v>1438</v>
      </c>
      <c r="D20" t="s">
        <v>10763</v>
      </c>
      <c r="E20" t="s">
        <v>88</v>
      </c>
      <c r="F20" t="s">
        <v>117</v>
      </c>
      <c r="G20" t="s">
        <v>10764</v>
      </c>
      <c r="H20">
        <v>59.58</v>
      </c>
      <c r="I20">
        <v>10</v>
      </c>
      <c r="J20">
        <v>20</v>
      </c>
      <c r="M20">
        <v>20</v>
      </c>
      <c r="N20">
        <v>20</v>
      </c>
      <c r="O20">
        <v>10</v>
      </c>
      <c r="P20">
        <v>119.58</v>
      </c>
      <c r="Q20">
        <v>43</v>
      </c>
      <c r="R20">
        <v>43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43</v>
      </c>
      <c r="Z20">
        <v>6</v>
      </c>
      <c r="AA20">
        <v>0</v>
      </c>
      <c r="AD20" t="s">
        <v>130</v>
      </c>
      <c r="AF20">
        <v>168.58</v>
      </c>
    </row>
    <row r="21" spans="1:32" x14ac:dyDescent="0.3">
      <c r="A21" s="4">
        <v>18</v>
      </c>
      <c r="B21" s="5">
        <v>14</v>
      </c>
      <c r="C21">
        <v>810</v>
      </c>
      <c r="D21" t="s">
        <v>31220</v>
      </c>
      <c r="E21" t="s">
        <v>208</v>
      </c>
      <c r="F21" t="s">
        <v>16753</v>
      </c>
      <c r="G21" t="s">
        <v>31221</v>
      </c>
      <c r="H21">
        <v>57</v>
      </c>
      <c r="I21">
        <v>10</v>
      </c>
      <c r="J21">
        <v>20</v>
      </c>
      <c r="M21">
        <v>20</v>
      </c>
      <c r="N21">
        <v>20</v>
      </c>
      <c r="O21">
        <v>10</v>
      </c>
      <c r="P21">
        <v>117</v>
      </c>
      <c r="Q21">
        <v>51</v>
      </c>
      <c r="R21">
        <v>51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51</v>
      </c>
      <c r="Z21">
        <v>0</v>
      </c>
      <c r="AA21">
        <v>0</v>
      </c>
      <c r="AD21" t="s">
        <v>130</v>
      </c>
      <c r="AF21">
        <v>168</v>
      </c>
    </row>
    <row r="22" spans="1:32" x14ac:dyDescent="0.3">
      <c r="A22" s="4">
        <v>19</v>
      </c>
      <c r="B22" s="5">
        <v>15</v>
      </c>
      <c r="C22">
        <v>1089</v>
      </c>
      <c r="D22" t="s">
        <v>31222</v>
      </c>
      <c r="E22" t="s">
        <v>22</v>
      </c>
      <c r="F22" t="s">
        <v>243</v>
      </c>
      <c r="G22" t="s">
        <v>31223</v>
      </c>
      <c r="H22">
        <v>57.84</v>
      </c>
      <c r="I22">
        <v>10</v>
      </c>
      <c r="J22">
        <v>20</v>
      </c>
      <c r="M22">
        <v>20</v>
      </c>
      <c r="N22">
        <v>20</v>
      </c>
      <c r="O22">
        <v>10</v>
      </c>
      <c r="P22">
        <v>117.84</v>
      </c>
      <c r="Q22">
        <v>44</v>
      </c>
      <c r="R22">
        <v>44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44</v>
      </c>
      <c r="Z22">
        <v>6</v>
      </c>
      <c r="AA22">
        <v>0</v>
      </c>
      <c r="AB22" t="s">
        <v>130</v>
      </c>
      <c r="AD22" t="s">
        <v>130</v>
      </c>
      <c r="AF22">
        <v>167.84</v>
      </c>
    </row>
    <row r="23" spans="1:32" x14ac:dyDescent="0.3">
      <c r="A23" s="4">
        <v>20</v>
      </c>
      <c r="B23" s="5">
        <v>16</v>
      </c>
      <c r="C23">
        <v>878</v>
      </c>
      <c r="D23" t="s">
        <v>929</v>
      </c>
      <c r="E23" t="s">
        <v>110</v>
      </c>
      <c r="F23" t="s">
        <v>626</v>
      </c>
      <c r="G23" t="s">
        <v>31224</v>
      </c>
      <c r="H23">
        <v>60</v>
      </c>
      <c r="I23">
        <v>0</v>
      </c>
      <c r="J23">
        <v>40</v>
      </c>
      <c r="M23">
        <v>20</v>
      </c>
      <c r="N23">
        <v>20</v>
      </c>
      <c r="O23">
        <v>10</v>
      </c>
      <c r="P23">
        <v>110</v>
      </c>
      <c r="Q23">
        <v>51</v>
      </c>
      <c r="R23">
        <v>51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51</v>
      </c>
      <c r="Z23">
        <v>6</v>
      </c>
      <c r="AA23">
        <v>0</v>
      </c>
      <c r="AB23" t="s">
        <v>130</v>
      </c>
      <c r="AD23" t="s">
        <v>130</v>
      </c>
      <c r="AF23">
        <v>167</v>
      </c>
    </row>
    <row r="24" spans="1:32" x14ac:dyDescent="0.3">
      <c r="A24" s="4">
        <v>21</v>
      </c>
      <c r="B24" s="5">
        <v>17</v>
      </c>
      <c r="C24">
        <v>1433</v>
      </c>
      <c r="D24" t="s">
        <v>3293</v>
      </c>
      <c r="E24" t="s">
        <v>33</v>
      </c>
      <c r="F24" t="s">
        <v>17</v>
      </c>
      <c r="G24" t="s">
        <v>31225</v>
      </c>
      <c r="H24">
        <v>60</v>
      </c>
      <c r="I24">
        <v>10</v>
      </c>
      <c r="J24">
        <v>20</v>
      </c>
      <c r="M24">
        <v>20</v>
      </c>
      <c r="N24">
        <v>20</v>
      </c>
      <c r="O24">
        <v>10</v>
      </c>
      <c r="P24">
        <v>120</v>
      </c>
      <c r="Q24">
        <v>29</v>
      </c>
      <c r="R24">
        <v>29</v>
      </c>
      <c r="S24">
        <v>0</v>
      </c>
      <c r="T24">
        <v>0</v>
      </c>
      <c r="U24">
        <v>7</v>
      </c>
      <c r="V24">
        <v>10</v>
      </c>
      <c r="W24">
        <v>0</v>
      </c>
      <c r="X24">
        <v>0</v>
      </c>
      <c r="Y24">
        <v>39</v>
      </c>
      <c r="Z24">
        <v>6</v>
      </c>
      <c r="AA24">
        <v>0</v>
      </c>
      <c r="AD24" t="s">
        <v>130</v>
      </c>
      <c r="AF24">
        <v>165</v>
      </c>
    </row>
    <row r="25" spans="1:32" x14ac:dyDescent="0.3">
      <c r="A25" s="4">
        <v>22</v>
      </c>
      <c r="B25" s="5">
        <v>18</v>
      </c>
      <c r="C25">
        <v>1420</v>
      </c>
      <c r="D25" t="s">
        <v>31226</v>
      </c>
      <c r="E25" t="s">
        <v>41</v>
      </c>
      <c r="F25" t="s">
        <v>243</v>
      </c>
      <c r="G25" t="s">
        <v>31227</v>
      </c>
      <c r="H25">
        <v>57</v>
      </c>
      <c r="I25">
        <v>10</v>
      </c>
      <c r="L25">
        <v>10</v>
      </c>
      <c r="M25">
        <v>10</v>
      </c>
      <c r="N25">
        <v>20</v>
      </c>
      <c r="O25">
        <v>10</v>
      </c>
      <c r="P25">
        <v>107</v>
      </c>
      <c r="Q25">
        <v>54</v>
      </c>
      <c r="R25">
        <v>54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54</v>
      </c>
      <c r="Z25">
        <v>3</v>
      </c>
      <c r="AA25">
        <v>0</v>
      </c>
      <c r="AD25" t="s">
        <v>130</v>
      </c>
      <c r="AF25">
        <v>164</v>
      </c>
    </row>
    <row r="26" spans="1:32" x14ac:dyDescent="0.3">
      <c r="A26" s="4">
        <v>23</v>
      </c>
      <c r="B26" s="5">
        <v>19</v>
      </c>
      <c r="C26">
        <v>1033</v>
      </c>
      <c r="D26" t="s">
        <v>23424</v>
      </c>
      <c r="E26" t="s">
        <v>26</v>
      </c>
      <c r="F26" t="s">
        <v>328</v>
      </c>
      <c r="G26" t="s">
        <v>31228</v>
      </c>
      <c r="H26">
        <v>58.5</v>
      </c>
      <c r="I26">
        <v>10</v>
      </c>
      <c r="L26">
        <v>20</v>
      </c>
      <c r="M26">
        <v>20</v>
      </c>
      <c r="N26">
        <v>20</v>
      </c>
      <c r="O26">
        <v>10</v>
      </c>
      <c r="P26">
        <v>118.5</v>
      </c>
      <c r="Q26">
        <v>36</v>
      </c>
      <c r="R26">
        <v>36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36</v>
      </c>
      <c r="Z26">
        <v>3</v>
      </c>
      <c r="AA26">
        <v>0</v>
      </c>
      <c r="AB26" t="s">
        <v>130</v>
      </c>
      <c r="AC26" t="s">
        <v>130</v>
      </c>
      <c r="AD26" t="s">
        <v>130</v>
      </c>
      <c r="AF26">
        <v>157.5</v>
      </c>
    </row>
    <row r="27" spans="1:32" x14ac:dyDescent="0.3">
      <c r="A27" s="4">
        <v>24</v>
      </c>
      <c r="B27" s="5">
        <v>20</v>
      </c>
      <c r="C27">
        <v>406</v>
      </c>
      <c r="D27" t="s">
        <v>165</v>
      </c>
      <c r="E27" t="s">
        <v>208</v>
      </c>
      <c r="F27" t="s">
        <v>117</v>
      </c>
      <c r="G27" t="s">
        <v>31229</v>
      </c>
      <c r="H27">
        <v>60</v>
      </c>
      <c r="I27">
        <v>10</v>
      </c>
      <c r="K27">
        <v>15</v>
      </c>
      <c r="M27">
        <v>15</v>
      </c>
      <c r="N27">
        <v>20</v>
      </c>
      <c r="O27">
        <v>10</v>
      </c>
      <c r="P27">
        <v>115</v>
      </c>
      <c r="Q27">
        <v>26</v>
      </c>
      <c r="R27">
        <v>26</v>
      </c>
      <c r="S27">
        <v>0</v>
      </c>
      <c r="T27">
        <v>0</v>
      </c>
      <c r="U27">
        <v>6</v>
      </c>
      <c r="V27">
        <v>9</v>
      </c>
      <c r="W27">
        <v>0</v>
      </c>
      <c r="X27">
        <v>0</v>
      </c>
      <c r="Y27">
        <v>35</v>
      </c>
      <c r="Z27">
        <v>6</v>
      </c>
      <c r="AA27">
        <v>0</v>
      </c>
      <c r="AD27" t="s">
        <v>130</v>
      </c>
      <c r="AF27">
        <v>156</v>
      </c>
    </row>
    <row r="28" spans="1:32" x14ac:dyDescent="0.3">
      <c r="A28" s="4">
        <v>25</v>
      </c>
      <c r="B28" s="5">
        <v>21</v>
      </c>
      <c r="C28">
        <v>181</v>
      </c>
      <c r="D28" t="s">
        <v>181</v>
      </c>
      <c r="E28" t="s">
        <v>1997</v>
      </c>
      <c r="F28" t="s">
        <v>570</v>
      </c>
      <c r="G28" t="s">
        <v>31230</v>
      </c>
      <c r="H28">
        <v>57</v>
      </c>
      <c r="I28">
        <v>10</v>
      </c>
      <c r="J28">
        <v>20</v>
      </c>
      <c r="M28">
        <v>20</v>
      </c>
      <c r="N28">
        <v>20</v>
      </c>
      <c r="O28">
        <v>10</v>
      </c>
      <c r="P28">
        <v>117</v>
      </c>
      <c r="Q28">
        <v>31</v>
      </c>
      <c r="R28">
        <v>31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31</v>
      </c>
      <c r="Z28">
        <v>6</v>
      </c>
      <c r="AA28">
        <v>0</v>
      </c>
      <c r="AD28" t="s">
        <v>130</v>
      </c>
      <c r="AF28">
        <v>154</v>
      </c>
    </row>
    <row r="29" spans="1:32" x14ac:dyDescent="0.3">
      <c r="A29" s="4">
        <v>26</v>
      </c>
      <c r="B29" s="5">
        <v>22</v>
      </c>
      <c r="C29">
        <v>356</v>
      </c>
      <c r="D29" t="s">
        <v>31231</v>
      </c>
      <c r="E29" t="s">
        <v>136</v>
      </c>
      <c r="F29" t="s">
        <v>17</v>
      </c>
      <c r="G29" t="s">
        <v>31232</v>
      </c>
      <c r="H29">
        <v>60</v>
      </c>
      <c r="I29">
        <v>10</v>
      </c>
      <c r="J29">
        <v>40</v>
      </c>
      <c r="M29">
        <v>20</v>
      </c>
      <c r="N29">
        <v>20</v>
      </c>
      <c r="O29">
        <v>10</v>
      </c>
      <c r="P29">
        <v>120</v>
      </c>
      <c r="Q29">
        <v>27</v>
      </c>
      <c r="R29">
        <v>27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27</v>
      </c>
      <c r="Z29">
        <v>6</v>
      </c>
      <c r="AA29">
        <v>0</v>
      </c>
      <c r="AB29" t="s">
        <v>130</v>
      </c>
      <c r="AD29" t="s">
        <v>130</v>
      </c>
      <c r="AF29">
        <v>153</v>
      </c>
    </row>
    <row r="30" spans="1:32" x14ac:dyDescent="0.3">
      <c r="A30" s="4">
        <v>27</v>
      </c>
      <c r="B30" s="5">
        <v>23</v>
      </c>
      <c r="C30">
        <v>217</v>
      </c>
      <c r="D30" t="s">
        <v>31233</v>
      </c>
      <c r="E30" t="s">
        <v>54</v>
      </c>
      <c r="F30" t="s">
        <v>20</v>
      </c>
      <c r="G30" t="s">
        <v>31234</v>
      </c>
      <c r="H30">
        <v>51</v>
      </c>
      <c r="I30">
        <v>0</v>
      </c>
      <c r="J30">
        <v>20</v>
      </c>
      <c r="M30">
        <v>20</v>
      </c>
      <c r="N30">
        <v>20</v>
      </c>
      <c r="O30">
        <v>10</v>
      </c>
      <c r="P30">
        <v>101</v>
      </c>
      <c r="Q30">
        <v>47</v>
      </c>
      <c r="R30">
        <v>47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47</v>
      </c>
      <c r="Z30">
        <v>0</v>
      </c>
      <c r="AA30">
        <v>0</v>
      </c>
      <c r="AC30" t="s">
        <v>130</v>
      </c>
      <c r="AD30" t="s">
        <v>130</v>
      </c>
      <c r="AF30">
        <v>148</v>
      </c>
    </row>
    <row r="31" spans="1:32" x14ac:dyDescent="0.3">
      <c r="A31" s="4">
        <v>28</v>
      </c>
      <c r="B31" s="5">
        <v>24</v>
      </c>
      <c r="C31">
        <v>1227</v>
      </c>
      <c r="D31" t="s">
        <v>31235</v>
      </c>
      <c r="E31" t="s">
        <v>41</v>
      </c>
      <c r="F31" t="s">
        <v>20</v>
      </c>
      <c r="G31" t="s">
        <v>31236</v>
      </c>
      <c r="H31">
        <v>59.22</v>
      </c>
      <c r="I31">
        <v>10</v>
      </c>
      <c r="J31">
        <v>20</v>
      </c>
      <c r="L31">
        <v>10</v>
      </c>
      <c r="M31">
        <v>20</v>
      </c>
      <c r="N31">
        <v>20</v>
      </c>
      <c r="O31">
        <v>10</v>
      </c>
      <c r="P31">
        <v>119.22</v>
      </c>
      <c r="Q31">
        <v>14</v>
      </c>
      <c r="R31">
        <v>14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14</v>
      </c>
      <c r="Z31">
        <v>6</v>
      </c>
      <c r="AA31">
        <v>0</v>
      </c>
      <c r="AD31" t="s">
        <v>130</v>
      </c>
      <c r="AF31">
        <v>139.22</v>
      </c>
    </row>
    <row r="32" spans="1:32" x14ac:dyDescent="0.3">
      <c r="A32" s="4">
        <v>29</v>
      </c>
      <c r="B32" s="5">
        <v>25</v>
      </c>
      <c r="C32">
        <v>1021</v>
      </c>
      <c r="D32" t="s">
        <v>31237</v>
      </c>
      <c r="E32" t="s">
        <v>38</v>
      </c>
      <c r="F32" t="s">
        <v>30</v>
      </c>
      <c r="G32" t="s">
        <v>31238</v>
      </c>
      <c r="H32">
        <v>60</v>
      </c>
      <c r="I32">
        <v>0</v>
      </c>
      <c r="J32">
        <v>20</v>
      </c>
      <c r="M32">
        <v>20</v>
      </c>
      <c r="N32">
        <v>20</v>
      </c>
      <c r="O32">
        <v>10</v>
      </c>
      <c r="P32">
        <v>110</v>
      </c>
      <c r="Q32">
        <v>28</v>
      </c>
      <c r="R32">
        <v>28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28</v>
      </c>
      <c r="Z32">
        <v>0</v>
      </c>
      <c r="AA32">
        <v>0</v>
      </c>
      <c r="AD32" t="s">
        <v>130</v>
      </c>
      <c r="AF32">
        <v>138</v>
      </c>
    </row>
    <row r="33" spans="1:32" x14ac:dyDescent="0.3">
      <c r="A33" s="4">
        <v>30</v>
      </c>
      <c r="B33" s="5">
        <v>26</v>
      </c>
      <c r="C33">
        <v>1338</v>
      </c>
      <c r="D33" t="s">
        <v>3570</v>
      </c>
      <c r="E33" t="s">
        <v>406</v>
      </c>
      <c r="F33" t="s">
        <v>801</v>
      </c>
      <c r="G33" t="s">
        <v>31239</v>
      </c>
      <c r="H33">
        <v>58.26</v>
      </c>
      <c r="I33">
        <v>0</v>
      </c>
      <c r="J33">
        <v>20</v>
      </c>
      <c r="M33">
        <v>20</v>
      </c>
      <c r="N33">
        <v>20</v>
      </c>
      <c r="O33">
        <v>10</v>
      </c>
      <c r="P33">
        <v>108.26</v>
      </c>
      <c r="Q33">
        <v>29</v>
      </c>
      <c r="R33">
        <v>29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29</v>
      </c>
      <c r="Z33">
        <v>0</v>
      </c>
      <c r="AA33">
        <v>0</v>
      </c>
      <c r="AB33" t="s">
        <v>130</v>
      </c>
      <c r="AD33" t="s">
        <v>130</v>
      </c>
      <c r="AF33">
        <v>137.26</v>
      </c>
    </row>
    <row r="34" spans="1:32" x14ac:dyDescent="0.3">
      <c r="A34" s="4">
        <v>31</v>
      </c>
      <c r="B34" s="5">
        <v>27</v>
      </c>
      <c r="C34">
        <v>421</v>
      </c>
      <c r="D34" t="s">
        <v>31240</v>
      </c>
      <c r="E34" t="s">
        <v>166</v>
      </c>
      <c r="F34" t="s">
        <v>124</v>
      </c>
      <c r="G34" t="s">
        <v>31241</v>
      </c>
      <c r="H34">
        <v>60</v>
      </c>
      <c r="I34">
        <v>10</v>
      </c>
      <c r="J34">
        <v>20</v>
      </c>
      <c r="K34">
        <v>15</v>
      </c>
      <c r="M34">
        <v>20</v>
      </c>
      <c r="N34">
        <v>20</v>
      </c>
      <c r="O34">
        <v>10</v>
      </c>
      <c r="P34">
        <v>120</v>
      </c>
      <c r="Q34">
        <v>16</v>
      </c>
      <c r="R34">
        <v>16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16</v>
      </c>
      <c r="Z34">
        <v>0</v>
      </c>
      <c r="AA34">
        <v>0</v>
      </c>
      <c r="AB34" t="s">
        <v>130</v>
      </c>
      <c r="AD34" t="s">
        <v>130</v>
      </c>
      <c r="AF34">
        <v>136</v>
      </c>
    </row>
    <row r="35" spans="1:32" x14ac:dyDescent="0.3">
      <c r="A35" s="4">
        <v>34</v>
      </c>
      <c r="B35" s="5">
        <v>28</v>
      </c>
      <c r="C35">
        <v>1230</v>
      </c>
      <c r="D35" t="s">
        <v>14339</v>
      </c>
      <c r="E35" t="s">
        <v>31242</v>
      </c>
      <c r="F35" t="s">
        <v>136</v>
      </c>
      <c r="G35" t="s">
        <v>31243</v>
      </c>
      <c r="H35">
        <v>58.5</v>
      </c>
      <c r="I35">
        <v>10</v>
      </c>
      <c r="J35">
        <v>20</v>
      </c>
      <c r="M35">
        <v>20</v>
      </c>
      <c r="N35">
        <v>20</v>
      </c>
      <c r="O35">
        <v>0</v>
      </c>
      <c r="P35">
        <v>108.5</v>
      </c>
      <c r="Q35">
        <v>21</v>
      </c>
      <c r="R35">
        <v>21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21</v>
      </c>
      <c r="Z35">
        <v>0</v>
      </c>
      <c r="AA35">
        <v>0</v>
      </c>
      <c r="AD35" t="s">
        <v>130</v>
      </c>
      <c r="AF35">
        <v>129.5</v>
      </c>
    </row>
    <row r="36" spans="1:32" x14ac:dyDescent="0.3">
      <c r="A36" s="4">
        <v>35</v>
      </c>
      <c r="B36" s="5">
        <v>29</v>
      </c>
      <c r="C36">
        <v>658</v>
      </c>
      <c r="D36" t="s">
        <v>31244</v>
      </c>
      <c r="E36" t="s">
        <v>858</v>
      </c>
      <c r="F36" t="s">
        <v>38</v>
      </c>
      <c r="G36" t="s">
        <v>31245</v>
      </c>
      <c r="H36">
        <v>54</v>
      </c>
      <c r="I36">
        <v>10</v>
      </c>
      <c r="K36">
        <v>15</v>
      </c>
      <c r="M36">
        <v>15</v>
      </c>
      <c r="N36">
        <v>20</v>
      </c>
      <c r="O36">
        <v>10</v>
      </c>
      <c r="P36">
        <v>109</v>
      </c>
      <c r="Q36">
        <v>14</v>
      </c>
      <c r="R36">
        <v>14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14</v>
      </c>
      <c r="Z36">
        <v>6</v>
      </c>
      <c r="AA36">
        <v>0</v>
      </c>
      <c r="AB36" t="s">
        <v>130</v>
      </c>
      <c r="AD36" t="s">
        <v>130</v>
      </c>
      <c r="AF36">
        <v>129</v>
      </c>
    </row>
    <row r="37" spans="1:32" x14ac:dyDescent="0.3">
      <c r="A37" s="4">
        <v>36</v>
      </c>
      <c r="B37" s="5">
        <v>30</v>
      </c>
      <c r="C37">
        <v>102</v>
      </c>
      <c r="D37" t="s">
        <v>9643</v>
      </c>
      <c r="E37" t="s">
        <v>1053</v>
      </c>
      <c r="F37" t="s">
        <v>20</v>
      </c>
      <c r="G37" t="s">
        <v>31246</v>
      </c>
      <c r="H37">
        <v>60</v>
      </c>
      <c r="I37">
        <v>10</v>
      </c>
      <c r="J37">
        <v>20</v>
      </c>
      <c r="M37">
        <v>20</v>
      </c>
      <c r="N37">
        <v>20</v>
      </c>
      <c r="O37">
        <v>10</v>
      </c>
      <c r="P37">
        <v>120</v>
      </c>
      <c r="Q37">
        <v>6</v>
      </c>
      <c r="R37">
        <v>6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6</v>
      </c>
      <c r="Z37">
        <v>3</v>
      </c>
      <c r="AA37">
        <v>0</v>
      </c>
      <c r="AD37" t="s">
        <v>130</v>
      </c>
      <c r="AF37">
        <v>129</v>
      </c>
    </row>
    <row r="38" spans="1:32" x14ac:dyDescent="0.3">
      <c r="A38" s="4">
        <v>37</v>
      </c>
      <c r="B38" s="5">
        <v>31</v>
      </c>
      <c r="C38">
        <v>606</v>
      </c>
      <c r="D38" t="s">
        <v>31247</v>
      </c>
      <c r="E38" t="s">
        <v>54</v>
      </c>
      <c r="F38" t="s">
        <v>124</v>
      </c>
      <c r="G38" t="s">
        <v>31248</v>
      </c>
      <c r="H38">
        <v>57</v>
      </c>
      <c r="I38">
        <v>10</v>
      </c>
      <c r="J38">
        <v>20</v>
      </c>
      <c r="M38">
        <v>20</v>
      </c>
      <c r="N38">
        <v>20</v>
      </c>
      <c r="O38">
        <v>10</v>
      </c>
      <c r="P38">
        <v>117</v>
      </c>
      <c r="Q38">
        <v>9</v>
      </c>
      <c r="R38">
        <v>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9</v>
      </c>
      <c r="Z38">
        <v>3</v>
      </c>
      <c r="AA38">
        <v>0</v>
      </c>
      <c r="AD38" t="s">
        <v>130</v>
      </c>
      <c r="AF38">
        <v>129</v>
      </c>
    </row>
    <row r="39" spans="1:32" x14ac:dyDescent="0.3">
      <c r="A39" s="4">
        <v>38</v>
      </c>
      <c r="B39" s="5">
        <v>32</v>
      </c>
      <c r="C39">
        <v>128</v>
      </c>
      <c r="D39" t="s">
        <v>11984</v>
      </c>
      <c r="E39" t="s">
        <v>29</v>
      </c>
      <c r="F39" t="s">
        <v>17</v>
      </c>
      <c r="G39" t="s">
        <v>31249</v>
      </c>
      <c r="H39">
        <v>57</v>
      </c>
      <c r="I39">
        <v>0</v>
      </c>
      <c r="J39">
        <v>20</v>
      </c>
      <c r="M39">
        <v>20</v>
      </c>
      <c r="N39">
        <v>20</v>
      </c>
      <c r="O39">
        <v>10</v>
      </c>
      <c r="P39">
        <v>107</v>
      </c>
      <c r="Q39">
        <v>19</v>
      </c>
      <c r="R39">
        <v>19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19</v>
      </c>
      <c r="Z39">
        <v>3</v>
      </c>
      <c r="AA39">
        <v>0</v>
      </c>
      <c r="AB39" t="s">
        <v>130</v>
      </c>
      <c r="AD39" t="s">
        <v>130</v>
      </c>
      <c r="AF39">
        <v>129</v>
      </c>
    </row>
    <row r="40" spans="1:32" x14ac:dyDescent="0.3">
      <c r="A40" s="4">
        <v>39</v>
      </c>
      <c r="B40" s="5">
        <v>33</v>
      </c>
      <c r="C40">
        <v>1160</v>
      </c>
      <c r="D40" t="s">
        <v>31250</v>
      </c>
      <c r="E40" t="s">
        <v>188</v>
      </c>
      <c r="F40" t="s">
        <v>91</v>
      </c>
      <c r="G40" t="s">
        <v>31251</v>
      </c>
      <c r="H40">
        <v>57.24</v>
      </c>
      <c r="I40">
        <v>0</v>
      </c>
      <c r="J40">
        <v>20</v>
      </c>
      <c r="K40">
        <v>15</v>
      </c>
      <c r="M40">
        <v>20</v>
      </c>
      <c r="N40">
        <v>20</v>
      </c>
      <c r="O40">
        <v>10</v>
      </c>
      <c r="P40">
        <v>107.24</v>
      </c>
      <c r="Q40">
        <v>21</v>
      </c>
      <c r="R40">
        <v>21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21</v>
      </c>
      <c r="Z40">
        <v>0</v>
      </c>
      <c r="AA40">
        <v>0</v>
      </c>
      <c r="AB40" t="s">
        <v>130</v>
      </c>
      <c r="AD40" t="s">
        <v>130</v>
      </c>
      <c r="AF40">
        <v>128.24</v>
      </c>
    </row>
    <row r="41" spans="1:32" x14ac:dyDescent="0.3">
      <c r="A41" s="4">
        <v>40</v>
      </c>
      <c r="B41" s="5">
        <v>34</v>
      </c>
      <c r="C41">
        <v>1259</v>
      </c>
      <c r="D41" t="s">
        <v>3295</v>
      </c>
      <c r="E41" t="s">
        <v>2150</v>
      </c>
      <c r="F41" t="s">
        <v>343</v>
      </c>
      <c r="G41" t="s">
        <v>3296</v>
      </c>
      <c r="H41">
        <v>60</v>
      </c>
      <c r="I41">
        <v>0</v>
      </c>
      <c r="J41">
        <v>20</v>
      </c>
      <c r="M41">
        <v>20</v>
      </c>
      <c r="N41">
        <v>20</v>
      </c>
      <c r="O41">
        <v>10</v>
      </c>
      <c r="P41">
        <v>110</v>
      </c>
      <c r="Q41">
        <v>18</v>
      </c>
      <c r="R41">
        <v>18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18</v>
      </c>
      <c r="Z41">
        <v>0</v>
      </c>
      <c r="AA41">
        <v>0</v>
      </c>
      <c r="AB41" t="s">
        <v>130</v>
      </c>
      <c r="AD41" t="s">
        <v>130</v>
      </c>
      <c r="AF41">
        <v>128</v>
      </c>
    </row>
    <row r="42" spans="1:32" x14ac:dyDescent="0.3">
      <c r="A42" s="4">
        <v>41</v>
      </c>
      <c r="B42" s="5">
        <v>35</v>
      </c>
      <c r="C42">
        <v>1521</v>
      </c>
      <c r="D42" t="s">
        <v>6264</v>
      </c>
      <c r="E42" t="s">
        <v>31252</v>
      </c>
      <c r="F42" t="s">
        <v>1460</v>
      </c>
      <c r="G42" t="s">
        <v>31253</v>
      </c>
      <c r="H42">
        <v>56.94</v>
      </c>
      <c r="I42">
        <v>0</v>
      </c>
      <c r="J42">
        <v>20</v>
      </c>
      <c r="L42">
        <v>10</v>
      </c>
      <c r="M42">
        <v>20</v>
      </c>
      <c r="N42">
        <v>20</v>
      </c>
      <c r="O42">
        <v>10</v>
      </c>
      <c r="P42">
        <v>106.94</v>
      </c>
      <c r="Q42">
        <v>15</v>
      </c>
      <c r="R42">
        <v>15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15</v>
      </c>
      <c r="Z42">
        <v>6</v>
      </c>
      <c r="AA42">
        <v>0</v>
      </c>
      <c r="AD42" t="s">
        <v>130</v>
      </c>
      <c r="AF42">
        <v>127.94</v>
      </c>
    </row>
    <row r="43" spans="1:32" x14ac:dyDescent="0.3">
      <c r="A43" s="4">
        <v>42</v>
      </c>
      <c r="B43" s="5">
        <v>36</v>
      </c>
      <c r="C43">
        <v>1467</v>
      </c>
      <c r="D43" t="s">
        <v>31254</v>
      </c>
      <c r="E43" t="s">
        <v>31255</v>
      </c>
      <c r="F43" t="s">
        <v>117</v>
      </c>
      <c r="G43" t="s">
        <v>31256</v>
      </c>
      <c r="H43">
        <v>57</v>
      </c>
      <c r="I43">
        <v>10</v>
      </c>
      <c r="J43">
        <v>20</v>
      </c>
      <c r="M43">
        <v>20</v>
      </c>
      <c r="N43">
        <v>20</v>
      </c>
      <c r="O43">
        <v>10</v>
      </c>
      <c r="P43">
        <v>117</v>
      </c>
      <c r="Q43">
        <v>2</v>
      </c>
      <c r="R43">
        <v>2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2</v>
      </c>
      <c r="Z43">
        <v>6</v>
      </c>
      <c r="AA43">
        <v>0</v>
      </c>
      <c r="AB43" t="s">
        <v>130</v>
      </c>
      <c r="AD43" t="s">
        <v>130</v>
      </c>
      <c r="AF43">
        <v>125</v>
      </c>
    </row>
    <row r="44" spans="1:32" x14ac:dyDescent="0.3">
      <c r="A44" s="4">
        <v>45</v>
      </c>
      <c r="B44" s="5">
        <v>37</v>
      </c>
      <c r="C44">
        <v>726</v>
      </c>
      <c r="D44" t="s">
        <v>8648</v>
      </c>
      <c r="E44" t="s">
        <v>52</v>
      </c>
      <c r="F44" t="s">
        <v>38</v>
      </c>
      <c r="G44" t="s">
        <v>31257</v>
      </c>
      <c r="H44">
        <v>57</v>
      </c>
      <c r="I44">
        <v>0</v>
      </c>
      <c r="L44">
        <v>10</v>
      </c>
      <c r="M44">
        <v>10</v>
      </c>
      <c r="N44">
        <v>20</v>
      </c>
      <c r="O44">
        <v>10</v>
      </c>
      <c r="P44">
        <v>97</v>
      </c>
      <c r="Q44">
        <v>24</v>
      </c>
      <c r="R44">
        <v>24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24</v>
      </c>
      <c r="Z44">
        <v>0</v>
      </c>
      <c r="AA44">
        <v>0</v>
      </c>
      <c r="AD44" t="s">
        <v>130</v>
      </c>
      <c r="AF44">
        <v>121</v>
      </c>
    </row>
    <row r="45" spans="1:32" x14ac:dyDescent="0.3">
      <c r="A45" s="4">
        <v>46</v>
      </c>
      <c r="B45" s="5">
        <v>38</v>
      </c>
      <c r="C45">
        <v>711</v>
      </c>
      <c r="D45" t="s">
        <v>12219</v>
      </c>
      <c r="E45" t="s">
        <v>41</v>
      </c>
      <c r="F45" t="s">
        <v>179</v>
      </c>
      <c r="G45" t="s">
        <v>32020</v>
      </c>
      <c r="H45">
        <v>57</v>
      </c>
      <c r="I45">
        <v>0</v>
      </c>
      <c r="J45">
        <v>20</v>
      </c>
      <c r="M45">
        <v>20</v>
      </c>
      <c r="N45">
        <v>20</v>
      </c>
      <c r="O45">
        <v>10</v>
      </c>
      <c r="P45">
        <v>107</v>
      </c>
      <c r="Q45">
        <v>4</v>
      </c>
      <c r="R45">
        <v>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4</v>
      </c>
      <c r="Z45">
        <v>9</v>
      </c>
      <c r="AA45">
        <v>0</v>
      </c>
      <c r="AD45" t="s">
        <v>130</v>
      </c>
      <c r="AF45">
        <v>120</v>
      </c>
    </row>
    <row r="46" spans="1:32" x14ac:dyDescent="0.3">
      <c r="A46" s="4">
        <v>47</v>
      </c>
      <c r="B46" s="5">
        <v>39</v>
      </c>
      <c r="C46">
        <v>1369</v>
      </c>
      <c r="D46" t="s">
        <v>31258</v>
      </c>
      <c r="E46" t="s">
        <v>328</v>
      </c>
      <c r="F46" t="s">
        <v>136</v>
      </c>
      <c r="G46" t="s">
        <v>31259</v>
      </c>
      <c r="H46">
        <v>60</v>
      </c>
      <c r="I46">
        <v>10</v>
      </c>
      <c r="J46">
        <v>20</v>
      </c>
      <c r="L46">
        <v>10</v>
      </c>
      <c r="M46">
        <v>20</v>
      </c>
      <c r="N46">
        <v>20</v>
      </c>
      <c r="O46">
        <v>10</v>
      </c>
      <c r="P46">
        <v>120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 t="s">
        <v>130</v>
      </c>
      <c r="AD46" t="s">
        <v>130</v>
      </c>
      <c r="AF46">
        <v>120</v>
      </c>
    </row>
    <row r="47" spans="1:32" x14ac:dyDescent="0.3">
      <c r="A47" s="4">
        <v>48</v>
      </c>
      <c r="B47" s="5">
        <v>40</v>
      </c>
      <c r="C47">
        <v>963</v>
      </c>
      <c r="D47" t="s">
        <v>31260</v>
      </c>
      <c r="E47" t="s">
        <v>132</v>
      </c>
      <c r="F47" t="s">
        <v>750</v>
      </c>
      <c r="G47" t="s">
        <v>31261</v>
      </c>
      <c r="H47">
        <v>60</v>
      </c>
      <c r="I47">
        <v>10</v>
      </c>
      <c r="J47">
        <v>20</v>
      </c>
      <c r="L47">
        <v>10</v>
      </c>
      <c r="M47">
        <v>20</v>
      </c>
      <c r="N47">
        <v>20</v>
      </c>
      <c r="O47">
        <v>10</v>
      </c>
      <c r="P47">
        <v>120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t="s">
        <v>130</v>
      </c>
      <c r="AD47" t="s">
        <v>130</v>
      </c>
      <c r="AF47">
        <v>120</v>
      </c>
    </row>
    <row r="48" spans="1:32" x14ac:dyDescent="0.3">
      <c r="A48" s="4">
        <v>49</v>
      </c>
      <c r="B48" s="5">
        <v>41</v>
      </c>
      <c r="C48">
        <v>1112</v>
      </c>
      <c r="D48" t="s">
        <v>1742</v>
      </c>
      <c r="E48" t="s">
        <v>54</v>
      </c>
      <c r="F48" t="s">
        <v>626</v>
      </c>
      <c r="G48" t="s">
        <v>31262</v>
      </c>
      <c r="H48">
        <v>60</v>
      </c>
      <c r="I48">
        <v>0</v>
      </c>
      <c r="J48">
        <v>20</v>
      </c>
      <c r="L48">
        <v>10</v>
      </c>
      <c r="M48">
        <v>20</v>
      </c>
      <c r="N48">
        <v>20</v>
      </c>
      <c r="O48">
        <v>10</v>
      </c>
      <c r="P48">
        <v>110</v>
      </c>
      <c r="Q48">
        <v>10</v>
      </c>
      <c r="R48">
        <v>10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10</v>
      </c>
      <c r="Z48">
        <v>0</v>
      </c>
      <c r="AA48">
        <v>0</v>
      </c>
      <c r="AB48" t="s">
        <v>130</v>
      </c>
      <c r="AD48" t="s">
        <v>130</v>
      </c>
      <c r="AF48">
        <v>120</v>
      </c>
    </row>
    <row r="49" spans="1:32" x14ac:dyDescent="0.3">
      <c r="A49" s="4">
        <v>50</v>
      </c>
      <c r="B49" s="5">
        <v>42</v>
      </c>
      <c r="C49">
        <v>590</v>
      </c>
      <c r="D49" t="s">
        <v>1707</v>
      </c>
      <c r="E49" t="s">
        <v>132</v>
      </c>
      <c r="F49" t="s">
        <v>81</v>
      </c>
      <c r="G49" t="s">
        <v>31263</v>
      </c>
      <c r="H49">
        <v>57</v>
      </c>
      <c r="I49">
        <v>0</v>
      </c>
      <c r="J49">
        <v>20</v>
      </c>
      <c r="M49">
        <v>20</v>
      </c>
      <c r="N49">
        <v>20</v>
      </c>
      <c r="O49">
        <v>10</v>
      </c>
      <c r="P49">
        <v>107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12</v>
      </c>
      <c r="AA49">
        <v>0</v>
      </c>
      <c r="AB49" t="s">
        <v>130</v>
      </c>
      <c r="AD49" t="s">
        <v>130</v>
      </c>
      <c r="AF49">
        <v>119</v>
      </c>
    </row>
    <row r="50" spans="1:32" x14ac:dyDescent="0.3">
      <c r="A50" s="4">
        <v>52</v>
      </c>
      <c r="B50" s="5">
        <v>43</v>
      </c>
      <c r="C50">
        <v>157</v>
      </c>
      <c r="D50" t="s">
        <v>31264</v>
      </c>
      <c r="E50" t="s">
        <v>170</v>
      </c>
      <c r="F50" t="s">
        <v>30</v>
      </c>
      <c r="G50" t="s">
        <v>31265</v>
      </c>
      <c r="H50">
        <v>60</v>
      </c>
      <c r="I50">
        <v>10</v>
      </c>
      <c r="L50">
        <v>10</v>
      </c>
      <c r="M50">
        <v>10</v>
      </c>
      <c r="N50">
        <v>20</v>
      </c>
      <c r="O50">
        <v>10</v>
      </c>
      <c r="P50">
        <v>110</v>
      </c>
      <c r="Q50">
        <v>9</v>
      </c>
      <c r="R50">
        <v>9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9</v>
      </c>
      <c r="Z50">
        <v>0</v>
      </c>
      <c r="AA50">
        <v>0</v>
      </c>
      <c r="AB50" t="s">
        <v>130</v>
      </c>
      <c r="AD50" t="s">
        <v>130</v>
      </c>
      <c r="AF50">
        <v>119</v>
      </c>
    </row>
    <row r="51" spans="1:32" x14ac:dyDescent="0.3">
      <c r="A51" s="4">
        <v>53</v>
      </c>
      <c r="B51" s="5">
        <v>44</v>
      </c>
      <c r="C51">
        <v>887</v>
      </c>
      <c r="D51" t="s">
        <v>20994</v>
      </c>
      <c r="E51" t="s">
        <v>17</v>
      </c>
      <c r="F51" t="s">
        <v>38</v>
      </c>
      <c r="G51" t="s">
        <v>31266</v>
      </c>
      <c r="H51">
        <v>54.42</v>
      </c>
      <c r="I51">
        <v>10</v>
      </c>
      <c r="J51">
        <v>20</v>
      </c>
      <c r="M51">
        <v>20</v>
      </c>
      <c r="N51">
        <v>20</v>
      </c>
      <c r="O51">
        <v>0</v>
      </c>
      <c r="P51">
        <v>104.42</v>
      </c>
      <c r="Q51">
        <v>10</v>
      </c>
      <c r="R51">
        <v>10</v>
      </c>
      <c r="S51">
        <v>0</v>
      </c>
      <c r="T51">
        <v>0</v>
      </c>
      <c r="U51">
        <v>3</v>
      </c>
      <c r="V51">
        <v>4.5</v>
      </c>
      <c r="W51">
        <v>0</v>
      </c>
      <c r="X51">
        <v>0</v>
      </c>
      <c r="Y51">
        <v>14.5</v>
      </c>
      <c r="Z51">
        <v>0</v>
      </c>
      <c r="AA51">
        <v>0</v>
      </c>
      <c r="AD51" t="s">
        <v>130</v>
      </c>
      <c r="AF51">
        <v>118.92</v>
      </c>
    </row>
    <row r="52" spans="1:32" x14ac:dyDescent="0.3">
      <c r="A52" s="4">
        <v>56</v>
      </c>
      <c r="B52" s="5">
        <v>45</v>
      </c>
      <c r="C52">
        <v>1133</v>
      </c>
      <c r="D52" t="s">
        <v>2236</v>
      </c>
      <c r="E52" t="s">
        <v>33</v>
      </c>
      <c r="F52" t="s">
        <v>190</v>
      </c>
      <c r="G52" t="s">
        <v>31267</v>
      </c>
      <c r="H52">
        <v>57</v>
      </c>
      <c r="I52">
        <v>10</v>
      </c>
      <c r="J52">
        <v>20</v>
      </c>
      <c r="L52">
        <v>10</v>
      </c>
      <c r="M52">
        <v>20</v>
      </c>
      <c r="N52">
        <v>20</v>
      </c>
      <c r="O52">
        <v>10</v>
      </c>
      <c r="P52">
        <v>117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 t="s">
        <v>130</v>
      </c>
      <c r="AD52" t="s">
        <v>130</v>
      </c>
      <c r="AF52">
        <v>117</v>
      </c>
    </row>
    <row r="53" spans="1:32" x14ac:dyDescent="0.3">
      <c r="A53" s="4">
        <v>57</v>
      </c>
      <c r="B53" s="5">
        <v>46</v>
      </c>
      <c r="C53">
        <v>1279</v>
      </c>
      <c r="D53" t="s">
        <v>14323</v>
      </c>
      <c r="E53" t="s">
        <v>2643</v>
      </c>
      <c r="F53" t="s">
        <v>38</v>
      </c>
      <c r="G53" t="s">
        <v>31268</v>
      </c>
      <c r="H53">
        <v>57</v>
      </c>
      <c r="I53">
        <v>10</v>
      </c>
      <c r="J53">
        <v>20</v>
      </c>
      <c r="K53">
        <v>15</v>
      </c>
      <c r="M53">
        <v>20</v>
      </c>
      <c r="N53">
        <v>20</v>
      </c>
      <c r="O53">
        <v>10</v>
      </c>
      <c r="P53">
        <v>117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D53" t="s">
        <v>130</v>
      </c>
      <c r="AF53">
        <v>117</v>
      </c>
    </row>
    <row r="54" spans="1:32" x14ac:dyDescent="0.3">
      <c r="A54" s="4">
        <v>59</v>
      </c>
      <c r="B54" s="5">
        <v>47</v>
      </c>
      <c r="C54">
        <v>1270</v>
      </c>
      <c r="D54" t="s">
        <v>1907</v>
      </c>
      <c r="E54" t="s">
        <v>1280</v>
      </c>
      <c r="F54" t="s">
        <v>30</v>
      </c>
      <c r="G54" t="s">
        <v>31269</v>
      </c>
      <c r="H54">
        <v>48.84</v>
      </c>
      <c r="I54">
        <v>10</v>
      </c>
      <c r="K54">
        <v>15</v>
      </c>
      <c r="M54">
        <v>15</v>
      </c>
      <c r="N54">
        <v>20</v>
      </c>
      <c r="O54">
        <v>10</v>
      </c>
      <c r="P54">
        <v>103.84</v>
      </c>
      <c r="Q54">
        <v>13</v>
      </c>
      <c r="R54">
        <v>13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13</v>
      </c>
      <c r="Z54">
        <v>0</v>
      </c>
      <c r="AA54">
        <v>0</v>
      </c>
      <c r="AD54" t="s">
        <v>130</v>
      </c>
      <c r="AF54">
        <v>116.84</v>
      </c>
    </row>
    <row r="55" spans="1:32" x14ac:dyDescent="0.3">
      <c r="A55" s="4">
        <v>60</v>
      </c>
      <c r="B55" s="5">
        <v>48</v>
      </c>
      <c r="C55">
        <v>473</v>
      </c>
      <c r="D55" t="s">
        <v>31270</v>
      </c>
      <c r="E55" t="s">
        <v>255</v>
      </c>
      <c r="F55" t="s">
        <v>328</v>
      </c>
      <c r="G55" t="s">
        <v>31271</v>
      </c>
      <c r="H55">
        <v>60</v>
      </c>
      <c r="I55">
        <v>0</v>
      </c>
      <c r="J55">
        <v>20</v>
      </c>
      <c r="M55">
        <v>20</v>
      </c>
      <c r="N55">
        <v>20</v>
      </c>
      <c r="O55">
        <v>10</v>
      </c>
      <c r="P55">
        <v>110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6</v>
      </c>
      <c r="AA55">
        <v>0</v>
      </c>
      <c r="AD55" t="s">
        <v>130</v>
      </c>
      <c r="AF55">
        <v>116</v>
      </c>
    </row>
    <row r="56" spans="1:32" x14ac:dyDescent="0.3">
      <c r="A56" s="4">
        <v>61</v>
      </c>
      <c r="B56" s="5">
        <v>49</v>
      </c>
      <c r="C56">
        <v>1464</v>
      </c>
      <c r="D56" t="s">
        <v>221</v>
      </c>
      <c r="E56" t="s">
        <v>182</v>
      </c>
      <c r="F56" t="s">
        <v>81</v>
      </c>
      <c r="G56" t="s">
        <v>31272</v>
      </c>
      <c r="H56">
        <v>52.68</v>
      </c>
      <c r="I56">
        <v>0</v>
      </c>
      <c r="K56">
        <v>15</v>
      </c>
      <c r="M56">
        <v>15</v>
      </c>
      <c r="N56">
        <v>20</v>
      </c>
      <c r="O56">
        <v>10</v>
      </c>
      <c r="P56">
        <v>97.68</v>
      </c>
      <c r="Q56">
        <v>15</v>
      </c>
      <c r="R56">
        <v>15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15</v>
      </c>
      <c r="Z56">
        <v>3</v>
      </c>
      <c r="AA56">
        <v>0</v>
      </c>
      <c r="AB56" t="s">
        <v>130</v>
      </c>
      <c r="AD56" t="s">
        <v>130</v>
      </c>
      <c r="AF56">
        <v>115.68</v>
      </c>
    </row>
    <row r="57" spans="1:32" x14ac:dyDescent="0.3">
      <c r="A57" s="4">
        <v>62</v>
      </c>
      <c r="B57" s="5">
        <v>50</v>
      </c>
      <c r="C57">
        <v>1210</v>
      </c>
      <c r="D57" t="s">
        <v>31273</v>
      </c>
      <c r="E57" t="s">
        <v>173</v>
      </c>
      <c r="F57" t="s">
        <v>375</v>
      </c>
      <c r="G57" t="s">
        <v>31274</v>
      </c>
      <c r="H57">
        <v>60</v>
      </c>
      <c r="I57">
        <v>0</v>
      </c>
      <c r="J57">
        <v>20</v>
      </c>
      <c r="M57">
        <v>20</v>
      </c>
      <c r="N57">
        <v>20</v>
      </c>
      <c r="O57">
        <v>10</v>
      </c>
      <c r="P57">
        <v>110</v>
      </c>
      <c r="Q57">
        <v>5</v>
      </c>
      <c r="R57">
        <v>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5</v>
      </c>
      <c r="Z57">
        <v>0</v>
      </c>
      <c r="AA57">
        <v>0</v>
      </c>
      <c r="AB57" t="s">
        <v>130</v>
      </c>
      <c r="AD57" t="s">
        <v>130</v>
      </c>
      <c r="AF57">
        <v>115</v>
      </c>
    </row>
    <row r="58" spans="1:32" x14ac:dyDescent="0.3">
      <c r="A58" s="4">
        <v>63</v>
      </c>
      <c r="B58" s="5">
        <v>51</v>
      </c>
      <c r="C58">
        <v>1750</v>
      </c>
      <c r="D58" t="s">
        <v>31275</v>
      </c>
      <c r="E58" t="s">
        <v>31276</v>
      </c>
      <c r="F58" t="s">
        <v>38</v>
      </c>
      <c r="G58" t="s">
        <v>31277</v>
      </c>
      <c r="H58">
        <v>51</v>
      </c>
      <c r="I58">
        <v>0</v>
      </c>
      <c r="J58">
        <v>20</v>
      </c>
      <c r="M58">
        <v>20</v>
      </c>
      <c r="N58">
        <v>20</v>
      </c>
      <c r="O58">
        <v>10</v>
      </c>
      <c r="P58">
        <v>101</v>
      </c>
      <c r="Q58">
        <v>8</v>
      </c>
      <c r="R58">
        <v>8</v>
      </c>
      <c r="S58">
        <v>0</v>
      </c>
      <c r="T58">
        <v>0</v>
      </c>
      <c r="U58">
        <v>4</v>
      </c>
      <c r="V58">
        <v>6</v>
      </c>
      <c r="W58">
        <v>0</v>
      </c>
      <c r="X58">
        <v>0</v>
      </c>
      <c r="Y58">
        <v>14</v>
      </c>
      <c r="Z58">
        <v>0</v>
      </c>
      <c r="AA58">
        <v>0</v>
      </c>
      <c r="AB58" t="s">
        <v>130</v>
      </c>
      <c r="AD58" t="s">
        <v>130</v>
      </c>
      <c r="AF58">
        <v>115</v>
      </c>
    </row>
    <row r="59" spans="1:32" x14ac:dyDescent="0.3">
      <c r="A59" s="4">
        <v>64</v>
      </c>
      <c r="B59" s="5">
        <v>52</v>
      </c>
      <c r="C59">
        <v>526</v>
      </c>
      <c r="D59" t="s">
        <v>22728</v>
      </c>
      <c r="E59" t="s">
        <v>31278</v>
      </c>
      <c r="F59" t="s">
        <v>62</v>
      </c>
      <c r="G59" t="s">
        <v>31279</v>
      </c>
      <c r="H59">
        <v>57</v>
      </c>
      <c r="I59">
        <v>0</v>
      </c>
      <c r="L59">
        <v>10</v>
      </c>
      <c r="M59">
        <v>10</v>
      </c>
      <c r="N59">
        <v>20</v>
      </c>
      <c r="O59">
        <v>10</v>
      </c>
      <c r="P59">
        <v>97</v>
      </c>
      <c r="Q59">
        <v>18</v>
      </c>
      <c r="R59">
        <v>18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18</v>
      </c>
      <c r="Z59">
        <v>0</v>
      </c>
      <c r="AA59">
        <v>0</v>
      </c>
      <c r="AD59" t="s">
        <v>130</v>
      </c>
      <c r="AF59">
        <v>115</v>
      </c>
    </row>
    <row r="60" spans="1:32" x14ac:dyDescent="0.3">
      <c r="A60" s="4">
        <v>65</v>
      </c>
      <c r="B60" s="5">
        <v>53</v>
      </c>
      <c r="C60">
        <v>1035</v>
      </c>
      <c r="D60" t="s">
        <v>4013</v>
      </c>
      <c r="E60" t="s">
        <v>178</v>
      </c>
      <c r="F60" t="s">
        <v>227</v>
      </c>
      <c r="G60" t="s">
        <v>31280</v>
      </c>
      <c r="H60">
        <v>54</v>
      </c>
      <c r="I60">
        <v>10</v>
      </c>
      <c r="J60">
        <v>20</v>
      </c>
      <c r="M60">
        <v>20</v>
      </c>
      <c r="N60">
        <v>20</v>
      </c>
      <c r="O60">
        <v>10</v>
      </c>
      <c r="P60">
        <v>114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D60" t="s">
        <v>130</v>
      </c>
      <c r="AF60">
        <v>114</v>
      </c>
    </row>
    <row r="61" spans="1:32" x14ac:dyDescent="0.3">
      <c r="A61" s="4">
        <v>66</v>
      </c>
      <c r="B61" s="5">
        <v>54</v>
      </c>
      <c r="C61">
        <v>803</v>
      </c>
      <c r="D61" t="s">
        <v>3434</v>
      </c>
      <c r="E61" t="s">
        <v>825</v>
      </c>
      <c r="F61" t="s">
        <v>117</v>
      </c>
      <c r="G61" t="s">
        <v>31281</v>
      </c>
      <c r="H61">
        <v>57</v>
      </c>
      <c r="I61">
        <v>0</v>
      </c>
      <c r="M61">
        <v>0</v>
      </c>
      <c r="N61">
        <v>20</v>
      </c>
      <c r="O61">
        <v>10</v>
      </c>
      <c r="P61">
        <v>87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26.8</v>
      </c>
      <c r="AD61" t="s">
        <v>130</v>
      </c>
      <c r="AF61">
        <v>113.8</v>
      </c>
    </row>
    <row r="62" spans="1:32" x14ac:dyDescent="0.3">
      <c r="A62" s="4">
        <v>68</v>
      </c>
      <c r="B62" s="5">
        <v>55</v>
      </c>
      <c r="C62">
        <v>1131</v>
      </c>
      <c r="D62" t="s">
        <v>14323</v>
      </c>
      <c r="E62" t="s">
        <v>161</v>
      </c>
      <c r="F62" t="s">
        <v>38</v>
      </c>
      <c r="G62" t="s">
        <v>31282</v>
      </c>
      <c r="H62">
        <v>57</v>
      </c>
      <c r="I62">
        <v>10</v>
      </c>
      <c r="K62">
        <v>15</v>
      </c>
      <c r="M62">
        <v>15</v>
      </c>
      <c r="N62">
        <v>20</v>
      </c>
      <c r="O62">
        <v>10</v>
      </c>
      <c r="P62">
        <v>112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D62" t="s">
        <v>130</v>
      </c>
      <c r="AF62">
        <v>112</v>
      </c>
    </row>
    <row r="63" spans="1:32" x14ac:dyDescent="0.3">
      <c r="A63" s="4">
        <v>71</v>
      </c>
      <c r="B63" s="5">
        <v>56</v>
      </c>
      <c r="C63">
        <v>761</v>
      </c>
      <c r="D63" t="s">
        <v>19611</v>
      </c>
      <c r="E63" t="s">
        <v>37</v>
      </c>
      <c r="F63" t="s">
        <v>124</v>
      </c>
      <c r="G63" t="s">
        <v>31283</v>
      </c>
      <c r="H63">
        <v>51</v>
      </c>
      <c r="I63">
        <v>10</v>
      </c>
      <c r="J63">
        <v>20</v>
      </c>
      <c r="M63">
        <v>20</v>
      </c>
      <c r="N63">
        <v>20</v>
      </c>
      <c r="O63">
        <v>10</v>
      </c>
      <c r="P63">
        <v>111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D63" t="s">
        <v>130</v>
      </c>
      <c r="AF63">
        <v>111</v>
      </c>
    </row>
    <row r="64" spans="1:32" x14ac:dyDescent="0.3">
      <c r="A64" s="4">
        <v>72</v>
      </c>
      <c r="B64" s="5">
        <v>57</v>
      </c>
      <c r="C64">
        <v>1221</v>
      </c>
      <c r="D64" t="s">
        <v>752</v>
      </c>
      <c r="E64" t="s">
        <v>126</v>
      </c>
      <c r="F64" t="s">
        <v>801</v>
      </c>
      <c r="G64" t="s">
        <v>31284</v>
      </c>
      <c r="H64">
        <v>54.06</v>
      </c>
      <c r="I64">
        <v>0</v>
      </c>
      <c r="L64">
        <v>10</v>
      </c>
      <c r="M64">
        <v>10</v>
      </c>
      <c r="N64">
        <v>20</v>
      </c>
      <c r="O64">
        <v>10</v>
      </c>
      <c r="P64">
        <v>94.06</v>
      </c>
      <c r="Q64">
        <v>13</v>
      </c>
      <c r="R64">
        <v>13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13</v>
      </c>
      <c r="Z64">
        <v>3</v>
      </c>
      <c r="AA64">
        <v>0</v>
      </c>
      <c r="AB64" t="s">
        <v>130</v>
      </c>
      <c r="AD64" t="s">
        <v>130</v>
      </c>
      <c r="AF64">
        <v>110.06</v>
      </c>
    </row>
    <row r="65" spans="1:32" x14ac:dyDescent="0.3">
      <c r="A65" s="4">
        <v>74</v>
      </c>
      <c r="B65" s="5">
        <v>58</v>
      </c>
      <c r="C65">
        <v>672</v>
      </c>
      <c r="D65" t="s">
        <v>3960</v>
      </c>
      <c r="E65" t="s">
        <v>97</v>
      </c>
      <c r="F65" t="s">
        <v>190</v>
      </c>
      <c r="G65" t="s">
        <v>31287</v>
      </c>
      <c r="H65">
        <v>60</v>
      </c>
      <c r="I65">
        <v>0</v>
      </c>
      <c r="J65">
        <v>20</v>
      </c>
      <c r="M65">
        <v>20</v>
      </c>
      <c r="N65">
        <v>20</v>
      </c>
      <c r="O65">
        <v>10</v>
      </c>
      <c r="P65">
        <v>110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D65" t="s">
        <v>130</v>
      </c>
      <c r="AF65">
        <v>110</v>
      </c>
    </row>
    <row r="66" spans="1:32" x14ac:dyDescent="0.3">
      <c r="A66" s="4">
        <v>75</v>
      </c>
      <c r="B66" s="5">
        <v>59</v>
      </c>
      <c r="C66">
        <v>269</v>
      </c>
      <c r="D66" t="s">
        <v>31288</v>
      </c>
      <c r="E66" t="s">
        <v>29</v>
      </c>
      <c r="F66" t="s">
        <v>117</v>
      </c>
      <c r="G66" t="s">
        <v>31289</v>
      </c>
      <c r="H66">
        <v>60</v>
      </c>
      <c r="I66">
        <v>0</v>
      </c>
      <c r="J66">
        <v>20</v>
      </c>
      <c r="M66">
        <v>20</v>
      </c>
      <c r="N66">
        <v>20</v>
      </c>
      <c r="O66">
        <v>10</v>
      </c>
      <c r="P66">
        <v>110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D66" t="s">
        <v>130</v>
      </c>
      <c r="AF66">
        <v>110</v>
      </c>
    </row>
    <row r="67" spans="1:32" x14ac:dyDescent="0.3">
      <c r="A67" s="4">
        <v>76</v>
      </c>
      <c r="B67" s="5">
        <v>60</v>
      </c>
      <c r="C67">
        <v>1587</v>
      </c>
      <c r="D67" t="s">
        <v>31290</v>
      </c>
      <c r="E67" t="s">
        <v>1152</v>
      </c>
      <c r="F67" t="s">
        <v>38</v>
      </c>
      <c r="G67" t="s">
        <v>31291</v>
      </c>
      <c r="H67">
        <v>60</v>
      </c>
      <c r="I67">
        <v>10</v>
      </c>
      <c r="L67">
        <v>10</v>
      </c>
      <c r="M67">
        <v>10</v>
      </c>
      <c r="N67">
        <v>20</v>
      </c>
      <c r="O67">
        <v>10</v>
      </c>
      <c r="P67">
        <v>110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D67" t="s">
        <v>130</v>
      </c>
      <c r="AF67">
        <v>110</v>
      </c>
    </row>
    <row r="68" spans="1:32" x14ac:dyDescent="0.3">
      <c r="A68" s="4">
        <v>77</v>
      </c>
      <c r="B68" s="5">
        <v>61</v>
      </c>
      <c r="C68">
        <v>786</v>
      </c>
      <c r="D68" t="s">
        <v>4343</v>
      </c>
      <c r="E68" t="s">
        <v>1171</v>
      </c>
      <c r="F68" t="s">
        <v>124</v>
      </c>
      <c r="G68" t="s">
        <v>31292</v>
      </c>
      <c r="H68">
        <v>60</v>
      </c>
      <c r="I68">
        <v>0</v>
      </c>
      <c r="J68">
        <v>20</v>
      </c>
      <c r="M68">
        <v>20</v>
      </c>
      <c r="N68">
        <v>20</v>
      </c>
      <c r="O68">
        <v>10</v>
      </c>
      <c r="P68">
        <v>110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D68" t="s">
        <v>130</v>
      </c>
      <c r="AF68">
        <v>110</v>
      </c>
    </row>
    <row r="69" spans="1:32" x14ac:dyDescent="0.3">
      <c r="A69" s="4">
        <v>79</v>
      </c>
      <c r="B69" s="5">
        <v>62</v>
      </c>
      <c r="C69">
        <v>1196</v>
      </c>
      <c r="D69" t="s">
        <v>6286</v>
      </c>
      <c r="E69" t="s">
        <v>6225</v>
      </c>
      <c r="F69" t="s">
        <v>4680</v>
      </c>
      <c r="G69" t="s">
        <v>31293</v>
      </c>
      <c r="H69">
        <v>54</v>
      </c>
      <c r="I69">
        <v>10</v>
      </c>
      <c r="K69">
        <v>15</v>
      </c>
      <c r="M69">
        <v>15</v>
      </c>
      <c r="N69">
        <v>20</v>
      </c>
      <c r="O69">
        <v>10</v>
      </c>
      <c r="P69">
        <v>109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 t="s">
        <v>130</v>
      </c>
      <c r="AD69" t="s">
        <v>130</v>
      </c>
      <c r="AF69">
        <v>109</v>
      </c>
    </row>
    <row r="70" spans="1:32" x14ac:dyDescent="0.3">
      <c r="A70" s="4">
        <v>80</v>
      </c>
      <c r="B70" s="5">
        <v>63</v>
      </c>
      <c r="C70">
        <v>1167</v>
      </c>
      <c r="D70" t="s">
        <v>31294</v>
      </c>
      <c r="E70" t="s">
        <v>132</v>
      </c>
      <c r="F70" t="s">
        <v>230</v>
      </c>
      <c r="G70" t="s">
        <v>31295</v>
      </c>
      <c r="H70">
        <v>60</v>
      </c>
      <c r="I70">
        <v>0</v>
      </c>
      <c r="L70">
        <v>10</v>
      </c>
      <c r="M70">
        <v>10</v>
      </c>
      <c r="N70">
        <v>20</v>
      </c>
      <c r="O70">
        <v>10</v>
      </c>
      <c r="P70">
        <v>100</v>
      </c>
      <c r="Q70">
        <v>9</v>
      </c>
      <c r="R70">
        <v>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9</v>
      </c>
      <c r="Z70">
        <v>0</v>
      </c>
      <c r="AA70">
        <v>0</v>
      </c>
      <c r="AD70" t="s">
        <v>130</v>
      </c>
      <c r="AF70">
        <v>109</v>
      </c>
    </row>
    <row r="71" spans="1:32" x14ac:dyDescent="0.3">
      <c r="A71" s="4">
        <v>81</v>
      </c>
      <c r="B71" s="5">
        <v>64</v>
      </c>
      <c r="C71">
        <v>1069</v>
      </c>
      <c r="D71" t="s">
        <v>6792</v>
      </c>
      <c r="E71" t="s">
        <v>1892</v>
      </c>
      <c r="F71" t="s">
        <v>17</v>
      </c>
      <c r="G71" t="s">
        <v>31296</v>
      </c>
      <c r="H71">
        <v>58.8</v>
      </c>
      <c r="I71">
        <v>0</v>
      </c>
      <c r="J71">
        <v>20</v>
      </c>
      <c r="L71">
        <v>10</v>
      </c>
      <c r="M71">
        <v>20</v>
      </c>
      <c r="N71">
        <v>20</v>
      </c>
      <c r="O71">
        <v>10</v>
      </c>
      <c r="P71">
        <v>108.8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D71" t="s">
        <v>130</v>
      </c>
      <c r="AF71">
        <v>108.8</v>
      </c>
    </row>
    <row r="72" spans="1:32" x14ac:dyDescent="0.3">
      <c r="A72" s="4">
        <v>83</v>
      </c>
      <c r="B72" s="5">
        <v>65</v>
      </c>
      <c r="C72">
        <v>671</v>
      </c>
      <c r="D72" t="s">
        <v>31297</v>
      </c>
      <c r="E72" t="s">
        <v>1997</v>
      </c>
      <c r="F72" t="s">
        <v>5304</v>
      </c>
      <c r="G72" t="s">
        <v>31298</v>
      </c>
      <c r="H72">
        <v>39</v>
      </c>
      <c r="I72">
        <v>0</v>
      </c>
      <c r="J72">
        <v>20</v>
      </c>
      <c r="M72">
        <v>20</v>
      </c>
      <c r="N72">
        <v>20</v>
      </c>
      <c r="O72">
        <v>10</v>
      </c>
      <c r="P72">
        <v>89</v>
      </c>
      <c r="Q72">
        <v>13</v>
      </c>
      <c r="R72">
        <v>13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13</v>
      </c>
      <c r="Z72">
        <v>6</v>
      </c>
      <c r="AA72">
        <v>0</v>
      </c>
      <c r="AB72" t="s">
        <v>130</v>
      </c>
      <c r="AD72" t="s">
        <v>130</v>
      </c>
      <c r="AF72">
        <v>108</v>
      </c>
    </row>
    <row r="73" spans="1:32" x14ac:dyDescent="0.3">
      <c r="A73" s="4">
        <v>84</v>
      </c>
      <c r="B73" s="5">
        <v>66</v>
      </c>
      <c r="C73">
        <v>1676</v>
      </c>
      <c r="D73" t="s">
        <v>10138</v>
      </c>
      <c r="E73" t="s">
        <v>41</v>
      </c>
      <c r="F73" t="s">
        <v>55</v>
      </c>
      <c r="G73" t="s">
        <v>31299</v>
      </c>
      <c r="H73">
        <v>60</v>
      </c>
      <c r="I73">
        <v>0</v>
      </c>
      <c r="J73">
        <v>20</v>
      </c>
      <c r="M73">
        <v>20</v>
      </c>
      <c r="N73">
        <v>20</v>
      </c>
      <c r="O73">
        <v>0</v>
      </c>
      <c r="P73">
        <v>100</v>
      </c>
      <c r="Q73">
        <v>8</v>
      </c>
      <c r="R73">
        <v>8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8</v>
      </c>
      <c r="Z73">
        <v>0</v>
      </c>
      <c r="AA73">
        <v>0</v>
      </c>
      <c r="AD73" t="s">
        <v>130</v>
      </c>
      <c r="AF73">
        <v>108</v>
      </c>
    </row>
    <row r="74" spans="1:32" x14ac:dyDescent="0.3">
      <c r="A74" s="4">
        <v>85</v>
      </c>
      <c r="B74" s="5">
        <v>67</v>
      </c>
      <c r="C74">
        <v>196</v>
      </c>
      <c r="D74" t="s">
        <v>31300</v>
      </c>
      <c r="E74" t="s">
        <v>31301</v>
      </c>
      <c r="F74" t="s">
        <v>30</v>
      </c>
      <c r="G74" t="s">
        <v>31302</v>
      </c>
      <c r="H74">
        <v>57.6</v>
      </c>
      <c r="I74">
        <v>0</v>
      </c>
      <c r="J74">
        <v>20</v>
      </c>
      <c r="M74">
        <v>20</v>
      </c>
      <c r="N74">
        <v>20</v>
      </c>
      <c r="O74">
        <v>10</v>
      </c>
      <c r="P74">
        <v>107.6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D74" t="s">
        <v>130</v>
      </c>
      <c r="AF74">
        <v>107.6</v>
      </c>
    </row>
    <row r="75" spans="1:32" x14ac:dyDescent="0.3">
      <c r="A75" s="4">
        <v>87</v>
      </c>
      <c r="B75" s="5">
        <v>68</v>
      </c>
      <c r="C75">
        <v>1612</v>
      </c>
      <c r="D75" t="s">
        <v>31303</v>
      </c>
      <c r="E75" t="s">
        <v>26</v>
      </c>
      <c r="F75" t="s">
        <v>17</v>
      </c>
      <c r="G75" t="s">
        <v>31304</v>
      </c>
      <c r="H75">
        <v>56.04</v>
      </c>
      <c r="I75">
        <v>0</v>
      </c>
      <c r="J75">
        <v>40</v>
      </c>
      <c r="M75">
        <v>20</v>
      </c>
      <c r="N75">
        <v>20</v>
      </c>
      <c r="O75">
        <v>10</v>
      </c>
      <c r="P75">
        <v>106.04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D75" t="s">
        <v>130</v>
      </c>
      <c r="AF75">
        <v>106.04</v>
      </c>
    </row>
    <row r="76" spans="1:32" x14ac:dyDescent="0.3">
      <c r="A76" s="4">
        <v>89</v>
      </c>
      <c r="B76" s="5">
        <v>69</v>
      </c>
      <c r="C76">
        <v>906</v>
      </c>
      <c r="D76" t="s">
        <v>1296</v>
      </c>
      <c r="E76" t="s">
        <v>406</v>
      </c>
      <c r="F76" t="s">
        <v>20</v>
      </c>
      <c r="G76" t="s">
        <v>31305</v>
      </c>
      <c r="H76">
        <v>54.42</v>
      </c>
      <c r="I76">
        <v>0</v>
      </c>
      <c r="J76">
        <v>20</v>
      </c>
      <c r="L76">
        <v>10</v>
      </c>
      <c r="M76">
        <v>20</v>
      </c>
      <c r="N76">
        <v>20</v>
      </c>
      <c r="O76">
        <v>10</v>
      </c>
      <c r="P76">
        <v>104.42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D76" t="s">
        <v>130</v>
      </c>
      <c r="AF76">
        <v>104.42</v>
      </c>
    </row>
    <row r="77" spans="1:32" x14ac:dyDescent="0.3">
      <c r="A77" s="4">
        <v>90</v>
      </c>
      <c r="B77" s="5">
        <v>70</v>
      </c>
      <c r="C77">
        <v>1050</v>
      </c>
      <c r="D77" t="s">
        <v>15722</v>
      </c>
      <c r="E77" t="s">
        <v>54</v>
      </c>
      <c r="F77" t="s">
        <v>124</v>
      </c>
      <c r="G77" t="s">
        <v>31306</v>
      </c>
      <c r="H77">
        <v>57</v>
      </c>
      <c r="I77">
        <v>0</v>
      </c>
      <c r="K77">
        <v>15</v>
      </c>
      <c r="M77">
        <v>15</v>
      </c>
      <c r="N77">
        <v>20</v>
      </c>
      <c r="O77">
        <v>10</v>
      </c>
      <c r="P77">
        <v>102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 t="s">
        <v>130</v>
      </c>
      <c r="AD77" t="s">
        <v>130</v>
      </c>
      <c r="AF77">
        <v>102</v>
      </c>
    </row>
    <row r="78" spans="1:32" x14ac:dyDescent="0.3">
      <c r="A78" s="4">
        <v>92</v>
      </c>
      <c r="B78" s="5">
        <v>71</v>
      </c>
      <c r="C78">
        <v>1453</v>
      </c>
      <c r="D78" t="s">
        <v>14648</v>
      </c>
      <c r="E78" t="s">
        <v>68</v>
      </c>
      <c r="F78" t="s">
        <v>18967</v>
      </c>
      <c r="G78" t="s">
        <v>31307</v>
      </c>
      <c r="H78">
        <v>51</v>
      </c>
      <c r="I78">
        <v>10</v>
      </c>
      <c r="L78">
        <v>10</v>
      </c>
      <c r="M78">
        <v>10</v>
      </c>
      <c r="N78">
        <v>20</v>
      </c>
      <c r="O78">
        <v>10</v>
      </c>
      <c r="P78">
        <v>101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D78" t="s">
        <v>130</v>
      </c>
      <c r="AF78">
        <v>101</v>
      </c>
    </row>
    <row r="79" spans="1:32" x14ac:dyDescent="0.3">
      <c r="A79" s="4">
        <v>94</v>
      </c>
      <c r="B79" s="5">
        <v>72</v>
      </c>
      <c r="C79">
        <v>452</v>
      </c>
      <c r="D79" t="s">
        <v>1736</v>
      </c>
      <c r="E79" t="s">
        <v>65</v>
      </c>
      <c r="F79" t="s">
        <v>17</v>
      </c>
      <c r="G79" t="s">
        <v>31308</v>
      </c>
      <c r="H79">
        <v>51</v>
      </c>
      <c r="I79">
        <v>0</v>
      </c>
      <c r="J79">
        <v>20</v>
      </c>
      <c r="K79">
        <v>15</v>
      </c>
      <c r="M79">
        <v>20</v>
      </c>
      <c r="N79">
        <v>20</v>
      </c>
      <c r="O79">
        <v>10</v>
      </c>
      <c r="P79">
        <v>101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 t="s">
        <v>130</v>
      </c>
      <c r="AD79" t="s">
        <v>130</v>
      </c>
      <c r="AF79">
        <v>101</v>
      </c>
    </row>
    <row r="80" spans="1:32" x14ac:dyDescent="0.3">
      <c r="A80" s="4">
        <v>95</v>
      </c>
      <c r="B80" s="5">
        <v>73</v>
      </c>
      <c r="C80">
        <v>819</v>
      </c>
      <c r="D80" t="s">
        <v>31309</v>
      </c>
      <c r="E80" t="s">
        <v>158</v>
      </c>
      <c r="F80" t="s">
        <v>117</v>
      </c>
      <c r="G80" t="s">
        <v>31310</v>
      </c>
      <c r="H80">
        <v>51</v>
      </c>
      <c r="I80">
        <v>10</v>
      </c>
      <c r="J80">
        <v>20</v>
      </c>
      <c r="M80">
        <v>20</v>
      </c>
      <c r="N80">
        <v>20</v>
      </c>
      <c r="O80">
        <v>0</v>
      </c>
      <c r="P80">
        <v>101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D80" t="s">
        <v>130</v>
      </c>
      <c r="AF80">
        <v>101</v>
      </c>
    </row>
    <row r="81" spans="1:32" x14ac:dyDescent="0.3">
      <c r="A81" s="4">
        <v>96</v>
      </c>
      <c r="B81" s="5">
        <v>74</v>
      </c>
      <c r="C81">
        <v>41</v>
      </c>
      <c r="D81" t="s">
        <v>14667</v>
      </c>
      <c r="E81" t="s">
        <v>100</v>
      </c>
      <c r="F81" t="s">
        <v>81</v>
      </c>
      <c r="G81" t="s">
        <v>31311</v>
      </c>
      <c r="H81">
        <v>51</v>
      </c>
      <c r="I81">
        <v>0</v>
      </c>
      <c r="J81">
        <v>20</v>
      </c>
      <c r="L81">
        <v>10</v>
      </c>
      <c r="M81">
        <v>20</v>
      </c>
      <c r="N81">
        <v>20</v>
      </c>
      <c r="O81">
        <v>10</v>
      </c>
      <c r="P81">
        <v>101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 t="s">
        <v>130</v>
      </c>
      <c r="AD81" t="s">
        <v>130</v>
      </c>
      <c r="AF81">
        <v>101</v>
      </c>
    </row>
    <row r="82" spans="1:32" x14ac:dyDescent="0.3">
      <c r="A82" s="4">
        <v>97</v>
      </c>
      <c r="B82" s="5">
        <v>75</v>
      </c>
      <c r="C82">
        <v>940</v>
      </c>
      <c r="D82" t="s">
        <v>3035</v>
      </c>
      <c r="E82" t="s">
        <v>697</v>
      </c>
      <c r="F82" t="s">
        <v>20</v>
      </c>
      <c r="G82" t="s">
        <v>31312</v>
      </c>
      <c r="H82">
        <v>51</v>
      </c>
      <c r="I82">
        <v>0</v>
      </c>
      <c r="J82">
        <v>40</v>
      </c>
      <c r="M82">
        <v>20</v>
      </c>
      <c r="N82">
        <v>20</v>
      </c>
      <c r="O82">
        <v>10</v>
      </c>
      <c r="P82">
        <v>101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D82" t="s">
        <v>130</v>
      </c>
      <c r="AF82">
        <v>101</v>
      </c>
    </row>
    <row r="83" spans="1:32" x14ac:dyDescent="0.3">
      <c r="A83" s="4">
        <v>99</v>
      </c>
      <c r="B83" s="5">
        <v>76</v>
      </c>
      <c r="C83">
        <v>580</v>
      </c>
      <c r="D83" t="s">
        <v>3356</v>
      </c>
      <c r="E83" t="s">
        <v>31027</v>
      </c>
      <c r="F83" t="s">
        <v>68</v>
      </c>
      <c r="G83" t="s">
        <v>31313</v>
      </c>
      <c r="H83">
        <v>59.7</v>
      </c>
      <c r="I83">
        <v>0</v>
      </c>
      <c r="L83">
        <v>10</v>
      </c>
      <c r="M83">
        <v>10</v>
      </c>
      <c r="N83">
        <v>20</v>
      </c>
      <c r="O83">
        <v>10</v>
      </c>
      <c r="P83">
        <v>99.7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D83" t="s">
        <v>130</v>
      </c>
      <c r="AF83">
        <v>99.7</v>
      </c>
    </row>
    <row r="84" spans="1:32" x14ac:dyDescent="0.3">
      <c r="A84" s="4">
        <v>101</v>
      </c>
      <c r="B84" s="5">
        <v>77</v>
      </c>
      <c r="C84">
        <v>477</v>
      </c>
      <c r="D84" t="s">
        <v>31314</v>
      </c>
      <c r="E84" t="s">
        <v>361</v>
      </c>
      <c r="F84" t="s">
        <v>17</v>
      </c>
      <c r="G84" t="s">
        <v>31315</v>
      </c>
      <c r="H84">
        <v>58.2</v>
      </c>
      <c r="I84">
        <v>10</v>
      </c>
      <c r="M84">
        <v>0</v>
      </c>
      <c r="N84">
        <v>20</v>
      </c>
      <c r="O84">
        <v>10</v>
      </c>
      <c r="P84">
        <v>98.2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D84" t="s">
        <v>130</v>
      </c>
      <c r="AF84">
        <v>98.2</v>
      </c>
    </row>
    <row r="85" spans="1:32" x14ac:dyDescent="0.3">
      <c r="A85" s="4">
        <v>103</v>
      </c>
      <c r="B85" s="5">
        <v>78</v>
      </c>
      <c r="C85">
        <v>647</v>
      </c>
      <c r="D85" t="s">
        <v>31316</v>
      </c>
      <c r="E85" t="s">
        <v>38</v>
      </c>
      <c r="F85" t="s">
        <v>167</v>
      </c>
      <c r="G85" t="s">
        <v>31317</v>
      </c>
      <c r="H85">
        <v>51</v>
      </c>
      <c r="I85">
        <v>0</v>
      </c>
      <c r="L85">
        <v>10</v>
      </c>
      <c r="M85">
        <v>10</v>
      </c>
      <c r="N85">
        <v>20</v>
      </c>
      <c r="O85">
        <v>10</v>
      </c>
      <c r="P85">
        <v>91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6</v>
      </c>
      <c r="AA85">
        <v>0</v>
      </c>
      <c r="AD85" t="s">
        <v>130</v>
      </c>
      <c r="AF85">
        <v>97</v>
      </c>
    </row>
    <row r="86" spans="1:32" x14ac:dyDescent="0.3">
      <c r="A86" s="4">
        <v>104</v>
      </c>
      <c r="B86" s="5">
        <v>79</v>
      </c>
      <c r="C86">
        <v>603</v>
      </c>
      <c r="D86" t="s">
        <v>16657</v>
      </c>
      <c r="E86" t="s">
        <v>31318</v>
      </c>
      <c r="F86" t="s">
        <v>298</v>
      </c>
      <c r="G86" t="s">
        <v>31319</v>
      </c>
      <c r="H86">
        <v>57</v>
      </c>
      <c r="I86">
        <v>0</v>
      </c>
      <c r="J86">
        <v>20</v>
      </c>
      <c r="M86">
        <v>20</v>
      </c>
      <c r="N86">
        <v>20</v>
      </c>
      <c r="O86">
        <v>0</v>
      </c>
      <c r="P86">
        <v>97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 t="s">
        <v>130</v>
      </c>
      <c r="AD86" t="s">
        <v>130</v>
      </c>
      <c r="AF86">
        <v>97</v>
      </c>
    </row>
    <row r="87" spans="1:32" x14ac:dyDescent="0.3">
      <c r="A87" s="4">
        <v>106</v>
      </c>
      <c r="B87" s="5">
        <v>80</v>
      </c>
      <c r="C87">
        <v>1371</v>
      </c>
      <c r="D87" t="s">
        <v>6302</v>
      </c>
      <c r="E87" t="s">
        <v>182</v>
      </c>
      <c r="F87" t="s">
        <v>124</v>
      </c>
      <c r="G87" t="s">
        <v>31320</v>
      </c>
      <c r="H87">
        <v>48.18</v>
      </c>
      <c r="I87">
        <v>10</v>
      </c>
      <c r="L87">
        <v>10</v>
      </c>
      <c r="M87">
        <v>10</v>
      </c>
      <c r="N87">
        <v>20</v>
      </c>
      <c r="O87">
        <v>0</v>
      </c>
      <c r="P87">
        <v>88.18</v>
      </c>
      <c r="Q87">
        <v>5</v>
      </c>
      <c r="R87">
        <v>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5</v>
      </c>
      <c r="Z87">
        <v>3</v>
      </c>
      <c r="AA87">
        <v>0</v>
      </c>
      <c r="AD87" t="s">
        <v>130</v>
      </c>
      <c r="AF87">
        <v>96.18</v>
      </c>
    </row>
    <row r="88" spans="1:32" x14ac:dyDescent="0.3">
      <c r="A88" s="4">
        <v>107</v>
      </c>
      <c r="B88" s="5">
        <v>81</v>
      </c>
      <c r="C88">
        <v>676</v>
      </c>
      <c r="D88" t="s">
        <v>12725</v>
      </c>
      <c r="E88" t="s">
        <v>219</v>
      </c>
      <c r="F88" t="s">
        <v>55</v>
      </c>
      <c r="G88" t="s">
        <v>31321</v>
      </c>
      <c r="H88">
        <v>53.1</v>
      </c>
      <c r="I88">
        <v>0</v>
      </c>
      <c r="L88">
        <v>10</v>
      </c>
      <c r="M88">
        <v>10</v>
      </c>
      <c r="N88">
        <v>20</v>
      </c>
      <c r="O88">
        <v>10</v>
      </c>
      <c r="P88">
        <v>93.1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3</v>
      </c>
      <c r="AA88">
        <v>0</v>
      </c>
      <c r="AB88" t="s">
        <v>130</v>
      </c>
      <c r="AD88" t="s">
        <v>130</v>
      </c>
      <c r="AF88">
        <v>96.1</v>
      </c>
    </row>
    <row r="89" spans="1:32" x14ac:dyDescent="0.3">
      <c r="A89" s="4">
        <v>109</v>
      </c>
      <c r="B89" s="5">
        <v>82</v>
      </c>
      <c r="C89">
        <v>1566</v>
      </c>
      <c r="D89" t="s">
        <v>18490</v>
      </c>
      <c r="E89" t="s">
        <v>166</v>
      </c>
      <c r="F89" t="s">
        <v>1121</v>
      </c>
      <c r="G89" t="s">
        <v>31322</v>
      </c>
      <c r="H89">
        <v>39</v>
      </c>
      <c r="I89">
        <v>0</v>
      </c>
      <c r="J89">
        <v>20</v>
      </c>
      <c r="M89">
        <v>20</v>
      </c>
      <c r="N89">
        <v>20</v>
      </c>
      <c r="O89">
        <v>10</v>
      </c>
      <c r="P89">
        <v>89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6</v>
      </c>
      <c r="AA89">
        <v>0</v>
      </c>
      <c r="AB89" t="s">
        <v>130</v>
      </c>
      <c r="AD89" t="s">
        <v>130</v>
      </c>
      <c r="AF89">
        <v>95</v>
      </c>
    </row>
    <row r="90" spans="1:32" x14ac:dyDescent="0.3">
      <c r="A90" s="4">
        <v>110</v>
      </c>
      <c r="B90" s="5">
        <v>83</v>
      </c>
      <c r="C90">
        <v>1004</v>
      </c>
      <c r="D90" t="s">
        <v>31323</v>
      </c>
      <c r="E90" t="s">
        <v>30</v>
      </c>
      <c r="F90" t="s">
        <v>17</v>
      </c>
      <c r="G90" t="s">
        <v>31324</v>
      </c>
      <c r="H90">
        <v>54</v>
      </c>
      <c r="I90">
        <v>0</v>
      </c>
      <c r="L90">
        <v>10</v>
      </c>
      <c r="M90">
        <v>10</v>
      </c>
      <c r="N90">
        <v>20</v>
      </c>
      <c r="O90">
        <v>10</v>
      </c>
      <c r="P90">
        <v>94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 t="s">
        <v>130</v>
      </c>
      <c r="AD90" t="s">
        <v>130</v>
      </c>
      <c r="AF90">
        <v>94</v>
      </c>
    </row>
    <row r="91" spans="1:32" x14ac:dyDescent="0.3">
      <c r="A91" s="4">
        <v>111</v>
      </c>
      <c r="B91" s="5">
        <v>84</v>
      </c>
      <c r="C91">
        <v>654</v>
      </c>
      <c r="D91" t="s">
        <v>31325</v>
      </c>
      <c r="E91" t="s">
        <v>29</v>
      </c>
      <c r="F91" t="s">
        <v>38</v>
      </c>
      <c r="G91" t="s">
        <v>31326</v>
      </c>
      <c r="H91">
        <v>48.96</v>
      </c>
      <c r="I91">
        <v>0</v>
      </c>
      <c r="L91">
        <v>10</v>
      </c>
      <c r="M91">
        <v>10</v>
      </c>
      <c r="N91">
        <v>20</v>
      </c>
      <c r="O91">
        <v>10</v>
      </c>
      <c r="P91">
        <v>88.96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3</v>
      </c>
      <c r="AA91">
        <v>0</v>
      </c>
      <c r="AD91" t="s">
        <v>130</v>
      </c>
      <c r="AF91">
        <v>91.96</v>
      </c>
    </row>
    <row r="92" spans="1:32" x14ac:dyDescent="0.3">
      <c r="A92" s="4">
        <v>112</v>
      </c>
      <c r="B92" s="5">
        <v>85</v>
      </c>
      <c r="C92">
        <v>35</v>
      </c>
      <c r="D92" t="s">
        <v>31327</v>
      </c>
      <c r="E92" t="s">
        <v>31328</v>
      </c>
      <c r="F92" t="s">
        <v>243</v>
      </c>
      <c r="G92" t="s">
        <v>31329</v>
      </c>
      <c r="H92">
        <v>51</v>
      </c>
      <c r="I92">
        <v>10</v>
      </c>
      <c r="L92">
        <v>10</v>
      </c>
      <c r="M92">
        <v>10</v>
      </c>
      <c r="N92">
        <v>20</v>
      </c>
      <c r="O92">
        <v>0</v>
      </c>
      <c r="P92">
        <v>91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D92" t="s">
        <v>130</v>
      </c>
      <c r="AF92">
        <v>91</v>
      </c>
    </row>
    <row r="93" spans="1:32" x14ac:dyDescent="0.3">
      <c r="A93" s="4">
        <v>114</v>
      </c>
      <c r="B93" s="5">
        <v>86</v>
      </c>
      <c r="C93">
        <v>1651</v>
      </c>
      <c r="D93" t="s">
        <v>31330</v>
      </c>
      <c r="E93" t="s">
        <v>403</v>
      </c>
      <c r="F93" t="s">
        <v>136</v>
      </c>
      <c r="G93" t="s">
        <v>31331</v>
      </c>
      <c r="H93">
        <v>39</v>
      </c>
      <c r="I93">
        <v>10</v>
      </c>
      <c r="L93">
        <v>10</v>
      </c>
      <c r="M93">
        <v>10</v>
      </c>
      <c r="N93">
        <v>20</v>
      </c>
      <c r="O93">
        <v>10</v>
      </c>
      <c r="P93">
        <v>89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D93" t="s">
        <v>130</v>
      </c>
      <c r="AF93">
        <v>89</v>
      </c>
    </row>
    <row r="94" spans="1:32" x14ac:dyDescent="0.3">
      <c r="A94" s="4">
        <v>115</v>
      </c>
      <c r="B94" s="5">
        <v>87</v>
      </c>
      <c r="C94">
        <v>1569</v>
      </c>
      <c r="D94" t="s">
        <v>31332</v>
      </c>
      <c r="E94" t="s">
        <v>100</v>
      </c>
      <c r="F94" t="s">
        <v>17</v>
      </c>
      <c r="G94" t="s">
        <v>31333</v>
      </c>
      <c r="H94">
        <v>39</v>
      </c>
      <c r="I94">
        <v>0</v>
      </c>
      <c r="J94">
        <v>40</v>
      </c>
      <c r="M94">
        <v>20</v>
      </c>
      <c r="N94">
        <v>20</v>
      </c>
      <c r="O94">
        <v>10</v>
      </c>
      <c r="P94">
        <v>89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D94" t="s">
        <v>130</v>
      </c>
      <c r="AF94">
        <v>89</v>
      </c>
    </row>
    <row r="95" spans="1:32" x14ac:dyDescent="0.3">
      <c r="A95" s="4">
        <v>116</v>
      </c>
      <c r="B95" s="5">
        <v>88</v>
      </c>
      <c r="C95">
        <v>219</v>
      </c>
      <c r="D95" t="s">
        <v>569</v>
      </c>
      <c r="E95" t="s">
        <v>88</v>
      </c>
      <c r="F95" t="s">
        <v>801</v>
      </c>
      <c r="G95" t="s">
        <v>31016</v>
      </c>
      <c r="H95">
        <v>34.68</v>
      </c>
      <c r="I95">
        <v>0</v>
      </c>
      <c r="J95">
        <v>20</v>
      </c>
      <c r="L95">
        <v>10</v>
      </c>
      <c r="M95">
        <v>20</v>
      </c>
      <c r="N95">
        <v>20</v>
      </c>
      <c r="O95">
        <v>10</v>
      </c>
      <c r="P95">
        <v>84.68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3</v>
      </c>
      <c r="AA95">
        <v>0</v>
      </c>
      <c r="AB95" t="s">
        <v>130</v>
      </c>
      <c r="AD95" t="s">
        <v>130</v>
      </c>
      <c r="AF95">
        <v>87.68</v>
      </c>
    </row>
    <row r="96" spans="1:32" x14ac:dyDescent="0.3">
      <c r="A96" s="4">
        <v>117</v>
      </c>
      <c r="B96" s="5">
        <v>89</v>
      </c>
      <c r="C96">
        <v>1520</v>
      </c>
      <c r="D96" t="s">
        <v>2043</v>
      </c>
      <c r="E96" t="s">
        <v>320</v>
      </c>
      <c r="F96" t="s">
        <v>9731</v>
      </c>
      <c r="G96" t="s">
        <v>31334</v>
      </c>
      <c r="H96">
        <v>36</v>
      </c>
      <c r="I96">
        <v>0</v>
      </c>
      <c r="J96">
        <v>20</v>
      </c>
      <c r="M96">
        <v>20</v>
      </c>
      <c r="N96">
        <v>20</v>
      </c>
      <c r="O96">
        <v>10</v>
      </c>
      <c r="P96">
        <v>86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D96" t="s">
        <v>130</v>
      </c>
      <c r="AF96">
        <v>86</v>
      </c>
    </row>
    <row r="97" spans="1:32" x14ac:dyDescent="0.3">
      <c r="A97" s="4">
        <v>118</v>
      </c>
      <c r="B97" s="5">
        <v>90</v>
      </c>
      <c r="C97">
        <v>1724</v>
      </c>
      <c r="D97" t="s">
        <v>31335</v>
      </c>
      <c r="E97" t="s">
        <v>22</v>
      </c>
      <c r="F97" t="s">
        <v>1511</v>
      </c>
      <c r="G97" t="s">
        <v>31336</v>
      </c>
      <c r="H97">
        <v>49.68</v>
      </c>
      <c r="I97">
        <v>0</v>
      </c>
      <c r="M97">
        <v>0</v>
      </c>
      <c r="N97">
        <v>20</v>
      </c>
      <c r="O97">
        <v>10</v>
      </c>
      <c r="P97">
        <v>79.680000000000007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6</v>
      </c>
      <c r="AA97">
        <v>0</v>
      </c>
      <c r="AB97" t="s">
        <v>130</v>
      </c>
      <c r="AD97" t="s">
        <v>130</v>
      </c>
      <c r="AF97">
        <v>85.68</v>
      </c>
    </row>
    <row r="98" spans="1:32" x14ac:dyDescent="0.3">
      <c r="A98" s="4">
        <v>119</v>
      </c>
      <c r="B98" s="5">
        <v>91</v>
      </c>
      <c r="C98">
        <v>662</v>
      </c>
      <c r="D98" t="s">
        <v>31337</v>
      </c>
      <c r="E98" t="s">
        <v>178</v>
      </c>
      <c r="F98" t="s">
        <v>17</v>
      </c>
      <c r="G98" t="s">
        <v>31338</v>
      </c>
      <c r="H98">
        <v>52.5</v>
      </c>
      <c r="I98">
        <v>0</v>
      </c>
      <c r="L98">
        <v>10</v>
      </c>
      <c r="M98">
        <v>10</v>
      </c>
      <c r="N98">
        <v>20</v>
      </c>
      <c r="O98">
        <v>0</v>
      </c>
      <c r="P98">
        <v>82.5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D98" t="s">
        <v>130</v>
      </c>
      <c r="AF98">
        <v>82.5</v>
      </c>
    </row>
    <row r="99" spans="1:32" x14ac:dyDescent="0.3">
      <c r="A99" s="4">
        <v>121</v>
      </c>
      <c r="B99" s="5">
        <v>92</v>
      </c>
      <c r="C99">
        <v>1352</v>
      </c>
      <c r="D99" t="s">
        <v>31339</v>
      </c>
      <c r="E99" t="s">
        <v>166</v>
      </c>
      <c r="F99" t="s">
        <v>878</v>
      </c>
      <c r="G99" t="s">
        <v>31340</v>
      </c>
      <c r="H99">
        <v>39</v>
      </c>
      <c r="I99">
        <v>0</v>
      </c>
      <c r="L99">
        <v>10</v>
      </c>
      <c r="M99">
        <v>10</v>
      </c>
      <c r="N99">
        <v>20</v>
      </c>
      <c r="O99">
        <v>10</v>
      </c>
      <c r="P99">
        <v>79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D99" t="s">
        <v>130</v>
      </c>
      <c r="AF99">
        <v>79</v>
      </c>
    </row>
    <row r="100" spans="1:32" x14ac:dyDescent="0.3">
      <c r="A100" s="4">
        <v>122</v>
      </c>
      <c r="B100" s="5">
        <v>93</v>
      </c>
      <c r="C100">
        <v>971</v>
      </c>
      <c r="D100" t="s">
        <v>3547</v>
      </c>
      <c r="E100" t="s">
        <v>636</v>
      </c>
      <c r="F100" t="s">
        <v>782</v>
      </c>
      <c r="G100" t="s">
        <v>31341</v>
      </c>
      <c r="H100">
        <v>39</v>
      </c>
      <c r="I100">
        <v>10</v>
      </c>
      <c r="L100">
        <v>10</v>
      </c>
      <c r="M100">
        <v>10</v>
      </c>
      <c r="N100">
        <v>0</v>
      </c>
      <c r="O100">
        <v>0</v>
      </c>
      <c r="P100">
        <v>59</v>
      </c>
      <c r="Q100">
        <v>18</v>
      </c>
      <c r="R100">
        <v>18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18</v>
      </c>
      <c r="Z100">
        <v>0</v>
      </c>
      <c r="AA100">
        <v>0</v>
      </c>
      <c r="AD100" t="s">
        <v>130</v>
      </c>
      <c r="AF100">
        <v>77</v>
      </c>
    </row>
    <row r="101" spans="1:32" x14ac:dyDescent="0.3">
      <c r="A101" s="4">
        <v>123</v>
      </c>
      <c r="B101" s="5">
        <v>94</v>
      </c>
      <c r="C101">
        <v>721</v>
      </c>
      <c r="D101" t="s">
        <v>31342</v>
      </c>
      <c r="E101" t="s">
        <v>283</v>
      </c>
      <c r="F101" t="s">
        <v>30</v>
      </c>
      <c r="G101" t="s">
        <v>31343</v>
      </c>
      <c r="H101">
        <v>51</v>
      </c>
      <c r="I101">
        <v>0</v>
      </c>
      <c r="M101">
        <v>0</v>
      </c>
      <c r="N101">
        <v>20</v>
      </c>
      <c r="O101">
        <v>0</v>
      </c>
      <c r="P101">
        <v>71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D101" t="s">
        <v>130</v>
      </c>
      <c r="AF101">
        <v>71</v>
      </c>
    </row>
    <row r="102" spans="1:32" x14ac:dyDescent="0.3">
      <c r="A102" s="4">
        <v>124</v>
      </c>
      <c r="B102" s="5">
        <v>95</v>
      </c>
      <c r="C102">
        <v>5</v>
      </c>
      <c r="D102" t="s">
        <v>31344</v>
      </c>
      <c r="E102" t="s">
        <v>6316</v>
      </c>
      <c r="F102" t="s">
        <v>488</v>
      </c>
      <c r="G102" t="s">
        <v>31345</v>
      </c>
      <c r="H102">
        <v>57</v>
      </c>
      <c r="I102">
        <v>0</v>
      </c>
      <c r="J102">
        <v>20</v>
      </c>
      <c r="M102">
        <v>20</v>
      </c>
      <c r="N102">
        <v>20</v>
      </c>
      <c r="O102">
        <v>10</v>
      </c>
      <c r="P102">
        <v>107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F102">
        <v>107</v>
      </c>
    </row>
    <row r="104" spans="1:32" x14ac:dyDescent="0.3">
      <c r="A104" s="3" t="s">
        <v>8356</v>
      </c>
    </row>
    <row r="105" spans="1:32" x14ac:dyDescent="0.3">
      <c r="A105" s="3" t="s">
        <v>30528</v>
      </c>
    </row>
    <row r="106" spans="1:32" x14ac:dyDescent="0.3">
      <c r="A106" s="3" t="s">
        <v>30529</v>
      </c>
    </row>
    <row r="107" spans="1:32" x14ac:dyDescent="0.3">
      <c r="A107" s="3" t="s">
        <v>30530</v>
      </c>
    </row>
    <row r="108" spans="1:32" x14ac:dyDescent="0.3">
      <c r="A108" s="3" t="s">
        <v>30531</v>
      </c>
    </row>
    <row r="109" spans="1:32" x14ac:dyDescent="0.3">
      <c r="A109" s="3" t="s">
        <v>30532</v>
      </c>
    </row>
    <row r="110" spans="1:32" x14ac:dyDescent="0.3">
      <c r="A110" s="3" t="s">
        <v>30533</v>
      </c>
    </row>
    <row r="111" spans="1:32" x14ac:dyDescent="0.3">
      <c r="A111" s="3" t="s">
        <v>30534</v>
      </c>
    </row>
    <row r="112" spans="1:32" x14ac:dyDescent="0.3">
      <c r="A112" s="3" t="s">
        <v>30535</v>
      </c>
    </row>
    <row r="113" spans="1:32" x14ac:dyDescent="0.3">
      <c r="A113" s="3" t="s">
        <v>8365</v>
      </c>
    </row>
    <row r="114" spans="1:32" x14ac:dyDescent="0.3">
      <c r="A114" s="3" t="s">
        <v>8366</v>
      </c>
    </row>
    <row r="115" spans="1:32" x14ac:dyDescent="0.3">
      <c r="A115" s="3" t="s">
        <v>30536</v>
      </c>
    </row>
    <row r="116" spans="1:32" s="4" customFormat="1" x14ac:dyDescent="0.3">
      <c r="A116" s="3" t="s">
        <v>30537</v>
      </c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</row>
    <row r="117" spans="1:32" s="4" customFormat="1" x14ac:dyDescent="0.3">
      <c r="A117" s="3" t="s">
        <v>30538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</row>
    <row r="118" spans="1:32" s="4" customFormat="1" x14ac:dyDescent="0.3">
      <c r="A118" s="3" t="s">
        <v>30539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</row>
    <row r="119" spans="1:32" s="4" customFormat="1" x14ac:dyDescent="0.3">
      <c r="A119" s="3" t="s">
        <v>30540</v>
      </c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2" s="4" customFormat="1" x14ac:dyDescent="0.3">
      <c r="A120" s="3" t="s">
        <v>30541</v>
      </c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2" s="4" customFormat="1" x14ac:dyDescent="0.3">
      <c r="A121" s="3" t="s">
        <v>30542</v>
      </c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32" s="4" customFormat="1" x14ac:dyDescent="0.3">
      <c r="A122" s="3" t="s">
        <v>30543</v>
      </c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</row>
    <row r="123" spans="1:32" s="4" customFormat="1" x14ac:dyDescent="0.3">
      <c r="A123" s="3" t="s">
        <v>30544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</row>
    <row r="124" spans="1:32" s="4" customFormat="1" x14ac:dyDescent="0.3">
      <c r="A124" s="3" t="s">
        <v>30545</v>
      </c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</row>
    <row r="125" spans="1:32" s="4" customFormat="1" x14ac:dyDescent="0.3">
      <c r="A125" s="3" t="s">
        <v>30546</v>
      </c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</row>
    <row r="126" spans="1:32" s="4" customFormat="1" x14ac:dyDescent="0.3">
      <c r="A126" s="3" t="s">
        <v>30547</v>
      </c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2" s="4" customFormat="1" x14ac:dyDescent="0.3">
      <c r="A127" s="3" t="s">
        <v>30548</v>
      </c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2" s="4" customFormat="1" x14ac:dyDescent="0.3">
      <c r="A128" s="3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4" customFormat="1" x14ac:dyDescent="0.3">
      <c r="A129" s="3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4" customFormat="1" x14ac:dyDescent="0.3">
      <c r="A130" s="3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4" customFormat="1" x14ac:dyDescent="0.3">
      <c r="A131" s="3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4" customFormat="1" x14ac:dyDescent="0.3">
      <c r="A132" s="3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Φύλλο6"/>
  <dimension ref="A1:AD38"/>
  <sheetViews>
    <sheetView workbookViewId="0">
      <selection activeCell="A8" sqref="A8:AD8"/>
    </sheetView>
  </sheetViews>
  <sheetFormatPr defaultRowHeight="14.4" x14ac:dyDescent="0.3"/>
  <cols>
    <col min="1" max="2" width="9.109375" style="4"/>
    <col min="3" max="3" width="5.109375" customWidth="1"/>
    <col min="4" max="4" width="10.33203125" bestFit="1" customWidth="1"/>
    <col min="5" max="5" width="11.88671875" bestFit="1" customWidth="1"/>
    <col min="6" max="6" width="15.33203125" bestFit="1" customWidth="1"/>
    <col min="7" max="7" width="9.6640625" bestFit="1" customWidth="1"/>
    <col min="8" max="8" width="5" customWidth="1"/>
  </cols>
  <sheetData>
    <row r="1" spans="1:30" x14ac:dyDescent="0.3">
      <c r="A1" s="3" t="s">
        <v>8377</v>
      </c>
    </row>
    <row r="2" spans="1:30" x14ac:dyDescent="0.3">
      <c r="A2" s="3" t="s">
        <v>8378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8395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9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8" spans="1:30" x14ac:dyDescent="0.3">
      <c r="A8" s="4">
        <v>1</v>
      </c>
      <c r="B8" s="5">
        <v>1</v>
      </c>
      <c r="C8">
        <v>34</v>
      </c>
      <c r="D8" t="s">
        <v>8396</v>
      </c>
      <c r="E8" t="s">
        <v>8397</v>
      </c>
      <c r="F8" t="s">
        <v>81</v>
      </c>
      <c r="G8" t="s">
        <v>8398</v>
      </c>
      <c r="H8">
        <v>42.5</v>
      </c>
      <c r="I8">
        <v>20</v>
      </c>
      <c r="K8">
        <v>15</v>
      </c>
      <c r="M8">
        <v>15</v>
      </c>
      <c r="N8">
        <v>20</v>
      </c>
      <c r="O8">
        <v>10</v>
      </c>
      <c r="P8">
        <v>107.5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6</v>
      </c>
      <c r="AA8">
        <v>0</v>
      </c>
      <c r="AD8">
        <v>113.5</v>
      </c>
    </row>
    <row r="10" spans="1:30" x14ac:dyDescent="0.3">
      <c r="A10" s="3" t="s">
        <v>8356</v>
      </c>
    </row>
    <row r="11" spans="1:30" x14ac:dyDescent="0.3">
      <c r="A11" s="3" t="s">
        <v>8382</v>
      </c>
    </row>
    <row r="12" spans="1:30" x14ac:dyDescent="0.3">
      <c r="A12" s="3" t="s">
        <v>8358</v>
      </c>
    </row>
    <row r="13" spans="1:30" x14ac:dyDescent="0.3">
      <c r="A13" s="3" t="s">
        <v>8359</v>
      </c>
    </row>
    <row r="14" spans="1:30" x14ac:dyDescent="0.3">
      <c r="A14" s="3" t="s">
        <v>8360</v>
      </c>
    </row>
    <row r="15" spans="1:30" x14ac:dyDescent="0.3">
      <c r="A15" s="3" t="s">
        <v>8361</v>
      </c>
    </row>
    <row r="16" spans="1:30" x14ac:dyDescent="0.3">
      <c r="A16" s="3" t="s">
        <v>8362</v>
      </c>
    </row>
    <row r="17" spans="1:1" x14ac:dyDescent="0.3">
      <c r="A17" s="3" t="s">
        <v>8363</v>
      </c>
    </row>
    <row r="18" spans="1:1" x14ac:dyDescent="0.3">
      <c r="A18" s="3" t="s">
        <v>8364</v>
      </c>
    </row>
    <row r="19" spans="1:1" x14ac:dyDescent="0.3">
      <c r="A19" s="3" t="s">
        <v>8365</v>
      </c>
    </row>
    <row r="20" spans="1:1" x14ac:dyDescent="0.3">
      <c r="A20" s="3" t="s">
        <v>8366</v>
      </c>
    </row>
    <row r="21" spans="1:1" x14ac:dyDescent="0.3">
      <c r="A21" s="3" t="s">
        <v>8383</v>
      </c>
    </row>
    <row r="22" spans="1:1" x14ac:dyDescent="0.3">
      <c r="A22" s="3" t="s">
        <v>8384</v>
      </c>
    </row>
    <row r="23" spans="1:1" x14ac:dyDescent="0.3">
      <c r="A23" s="3" t="s">
        <v>8385</v>
      </c>
    </row>
    <row r="24" spans="1:1" x14ac:dyDescent="0.3">
      <c r="A24" s="3" t="s">
        <v>8386</v>
      </c>
    </row>
    <row r="25" spans="1:1" x14ac:dyDescent="0.3">
      <c r="A25" s="3" t="s">
        <v>8387</v>
      </c>
    </row>
    <row r="26" spans="1:1" x14ac:dyDescent="0.3">
      <c r="A26" s="3" t="s">
        <v>8388</v>
      </c>
    </row>
    <row r="27" spans="1:1" x14ac:dyDescent="0.3">
      <c r="A27" s="3" t="s">
        <v>8389</v>
      </c>
    </row>
    <row r="28" spans="1:1" x14ac:dyDescent="0.3">
      <c r="A28" s="3" t="s">
        <v>8390</v>
      </c>
    </row>
    <row r="29" spans="1:1" x14ac:dyDescent="0.3">
      <c r="A29" s="3" t="s">
        <v>8391</v>
      </c>
    </row>
    <row r="30" spans="1:1" x14ac:dyDescent="0.3">
      <c r="A30" s="3" t="s">
        <v>8392</v>
      </c>
    </row>
    <row r="31" spans="1:1" x14ac:dyDescent="0.3">
      <c r="A31" s="3" t="s">
        <v>8393</v>
      </c>
    </row>
    <row r="32" spans="1:1" x14ac:dyDescent="0.3">
      <c r="A32" s="3"/>
    </row>
    <row r="33" spans="1:1" x14ac:dyDescent="0.3">
      <c r="A33" s="3"/>
    </row>
    <row r="34" spans="1:1" x14ac:dyDescent="0.3">
      <c r="A34" s="3"/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Φύλλο51"/>
  <dimension ref="A1:AF471"/>
  <sheetViews>
    <sheetView tabSelected="1" topLeftCell="A241" workbookViewId="0">
      <selection activeCell="E25" sqref="E25"/>
    </sheetView>
  </sheetViews>
  <sheetFormatPr defaultRowHeight="14.4" x14ac:dyDescent="0.3"/>
  <cols>
    <col min="1" max="2" width="9.109375" style="4"/>
    <col min="3" max="3" width="5.109375" customWidth="1"/>
    <col min="4" max="4" width="27.5546875" bestFit="1" customWidth="1"/>
    <col min="5" max="5" width="25" bestFit="1" customWidth="1"/>
    <col min="6" max="6" width="23.5546875" bestFit="1" customWidth="1"/>
    <col min="7" max="7" width="10" bestFit="1" customWidth="1"/>
    <col min="8" max="8" width="6" customWidth="1"/>
  </cols>
  <sheetData>
    <row r="1" spans="1:32" x14ac:dyDescent="0.3">
      <c r="A1" s="3" t="s">
        <v>30516</v>
      </c>
    </row>
    <row r="2" spans="1:32" x14ac:dyDescent="0.3">
      <c r="A2" s="3" t="s">
        <v>8378</v>
      </c>
    </row>
    <row r="3" spans="1:32" x14ac:dyDescent="0.3">
      <c r="A3" s="3" t="s">
        <v>30517</v>
      </c>
    </row>
    <row r="4" spans="1:32" x14ac:dyDescent="0.3">
      <c r="A4" s="3"/>
    </row>
    <row r="5" spans="1:32" x14ac:dyDescent="0.3">
      <c r="A5" s="3" t="s">
        <v>31201</v>
      </c>
    </row>
    <row r="7" spans="1:32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 t="s">
        <v>11</v>
      </c>
    </row>
    <row r="8" spans="1:32" x14ac:dyDescent="0.3">
      <c r="A8" s="4">
        <v>1</v>
      </c>
      <c r="B8" s="5">
        <v>1</v>
      </c>
      <c r="C8">
        <v>1514</v>
      </c>
      <c r="D8" t="s">
        <v>31346</v>
      </c>
      <c r="E8" t="s">
        <v>3719</v>
      </c>
      <c r="F8" t="s">
        <v>29681</v>
      </c>
      <c r="G8" t="s">
        <v>31347</v>
      </c>
      <c r="H8">
        <v>54</v>
      </c>
      <c r="I8">
        <v>10</v>
      </c>
      <c r="J8">
        <v>20</v>
      </c>
      <c r="M8">
        <v>20</v>
      </c>
      <c r="N8">
        <v>20</v>
      </c>
      <c r="O8">
        <v>10</v>
      </c>
      <c r="P8">
        <v>114</v>
      </c>
      <c r="Q8">
        <v>120</v>
      </c>
      <c r="R8">
        <v>120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120</v>
      </c>
      <c r="Z8">
        <v>0</v>
      </c>
      <c r="AA8">
        <v>0</v>
      </c>
      <c r="AB8" t="s">
        <v>130</v>
      </c>
      <c r="AD8" t="s">
        <v>130</v>
      </c>
      <c r="AF8">
        <v>234</v>
      </c>
    </row>
    <row r="9" spans="1:32" x14ac:dyDescent="0.3">
      <c r="A9" s="4">
        <v>2</v>
      </c>
      <c r="B9" s="5">
        <v>2</v>
      </c>
      <c r="C9">
        <v>93</v>
      </c>
      <c r="D9" t="s">
        <v>31348</v>
      </c>
      <c r="E9" t="s">
        <v>20</v>
      </c>
      <c r="F9" t="s">
        <v>38</v>
      </c>
      <c r="G9" t="s">
        <v>31349</v>
      </c>
      <c r="H9">
        <v>60</v>
      </c>
      <c r="I9">
        <v>10</v>
      </c>
      <c r="M9">
        <v>0</v>
      </c>
      <c r="N9">
        <v>20</v>
      </c>
      <c r="O9">
        <v>10</v>
      </c>
      <c r="P9">
        <v>100</v>
      </c>
      <c r="Q9">
        <v>107</v>
      </c>
      <c r="R9">
        <v>107</v>
      </c>
      <c r="S9">
        <v>8</v>
      </c>
      <c r="T9">
        <v>16</v>
      </c>
      <c r="U9">
        <v>0</v>
      </c>
      <c r="V9">
        <v>0</v>
      </c>
      <c r="W9">
        <v>0</v>
      </c>
      <c r="X9">
        <v>0</v>
      </c>
      <c r="Y9">
        <v>120</v>
      </c>
      <c r="Z9">
        <v>9</v>
      </c>
      <c r="AA9">
        <v>0</v>
      </c>
      <c r="AB9" t="s">
        <v>130</v>
      </c>
      <c r="AD9" t="s">
        <v>130</v>
      </c>
      <c r="AF9">
        <v>229</v>
      </c>
    </row>
    <row r="10" spans="1:32" x14ac:dyDescent="0.3">
      <c r="A10" s="4">
        <v>3</v>
      </c>
      <c r="B10" s="5">
        <v>3</v>
      </c>
      <c r="C10">
        <v>138</v>
      </c>
      <c r="D10" t="s">
        <v>31350</v>
      </c>
      <c r="E10" t="s">
        <v>265</v>
      </c>
      <c r="F10" t="s">
        <v>136</v>
      </c>
      <c r="G10" t="s">
        <v>31351</v>
      </c>
      <c r="H10">
        <v>51</v>
      </c>
      <c r="I10">
        <v>10</v>
      </c>
      <c r="M10">
        <v>0</v>
      </c>
      <c r="N10">
        <v>20</v>
      </c>
      <c r="O10">
        <v>10</v>
      </c>
      <c r="P10">
        <v>91</v>
      </c>
      <c r="Q10">
        <v>108</v>
      </c>
      <c r="R10">
        <v>108</v>
      </c>
      <c r="S10">
        <v>0</v>
      </c>
      <c r="T10">
        <v>0</v>
      </c>
      <c r="U10">
        <v>7</v>
      </c>
      <c r="V10">
        <v>10</v>
      </c>
      <c r="W10">
        <v>0</v>
      </c>
      <c r="X10">
        <v>0</v>
      </c>
      <c r="Y10">
        <v>118</v>
      </c>
      <c r="Z10">
        <v>12</v>
      </c>
      <c r="AA10">
        <v>0</v>
      </c>
      <c r="AB10" t="s">
        <v>130</v>
      </c>
      <c r="AD10" t="s">
        <v>130</v>
      </c>
      <c r="AF10">
        <v>221</v>
      </c>
    </row>
    <row r="11" spans="1:32" x14ac:dyDescent="0.3">
      <c r="A11" s="4">
        <v>4</v>
      </c>
      <c r="B11" s="5">
        <v>4</v>
      </c>
      <c r="C11">
        <v>1533</v>
      </c>
      <c r="D11" t="s">
        <v>31352</v>
      </c>
      <c r="E11" t="s">
        <v>33</v>
      </c>
      <c r="F11" t="s">
        <v>343</v>
      </c>
      <c r="G11" t="s">
        <v>31353</v>
      </c>
      <c r="H11">
        <v>58.2</v>
      </c>
      <c r="I11">
        <v>10</v>
      </c>
      <c r="J11">
        <v>20</v>
      </c>
      <c r="M11">
        <v>20</v>
      </c>
      <c r="N11">
        <v>20</v>
      </c>
      <c r="O11">
        <v>10</v>
      </c>
      <c r="P11">
        <v>118.2</v>
      </c>
      <c r="Q11">
        <v>92</v>
      </c>
      <c r="R11">
        <v>92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92</v>
      </c>
      <c r="Z11">
        <v>0</v>
      </c>
      <c r="AA11">
        <v>0</v>
      </c>
      <c r="AD11" t="s">
        <v>130</v>
      </c>
      <c r="AF11">
        <v>210.2</v>
      </c>
    </row>
    <row r="12" spans="1:32" x14ac:dyDescent="0.3">
      <c r="A12" s="4">
        <v>5</v>
      </c>
      <c r="B12" s="5">
        <v>5</v>
      </c>
      <c r="C12">
        <v>1189</v>
      </c>
      <c r="D12" t="s">
        <v>7274</v>
      </c>
      <c r="E12" t="s">
        <v>208</v>
      </c>
      <c r="F12" t="s">
        <v>81</v>
      </c>
      <c r="G12" t="s">
        <v>31354</v>
      </c>
      <c r="H12">
        <v>58.8</v>
      </c>
      <c r="I12">
        <v>0</v>
      </c>
      <c r="J12">
        <v>20</v>
      </c>
      <c r="M12">
        <v>20</v>
      </c>
      <c r="N12">
        <v>20</v>
      </c>
      <c r="O12">
        <v>10</v>
      </c>
      <c r="P12">
        <v>108.8</v>
      </c>
      <c r="Q12">
        <v>96</v>
      </c>
      <c r="R12">
        <v>96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96</v>
      </c>
      <c r="Z12">
        <v>0</v>
      </c>
      <c r="AA12">
        <v>0</v>
      </c>
      <c r="AD12" t="s">
        <v>130</v>
      </c>
      <c r="AF12">
        <v>204.8</v>
      </c>
    </row>
    <row r="13" spans="1:32" x14ac:dyDescent="0.3">
      <c r="A13" s="4">
        <v>6</v>
      </c>
      <c r="B13" s="5">
        <v>6</v>
      </c>
      <c r="C13">
        <v>1169</v>
      </c>
      <c r="D13" t="s">
        <v>31355</v>
      </c>
      <c r="E13" t="s">
        <v>14</v>
      </c>
      <c r="F13" t="s">
        <v>12028</v>
      </c>
      <c r="G13" t="s">
        <v>31356</v>
      </c>
      <c r="H13">
        <v>54</v>
      </c>
      <c r="I13">
        <v>0</v>
      </c>
      <c r="M13">
        <v>0</v>
      </c>
      <c r="N13">
        <v>20</v>
      </c>
      <c r="O13">
        <v>10</v>
      </c>
      <c r="P13">
        <v>84</v>
      </c>
      <c r="Q13">
        <v>120</v>
      </c>
      <c r="R13">
        <v>120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120</v>
      </c>
      <c r="Z13">
        <v>0</v>
      </c>
      <c r="AA13">
        <v>0</v>
      </c>
      <c r="AD13" t="s">
        <v>130</v>
      </c>
      <c r="AF13">
        <v>204</v>
      </c>
    </row>
    <row r="14" spans="1:32" x14ac:dyDescent="0.3">
      <c r="A14" s="4">
        <v>7</v>
      </c>
      <c r="B14" s="5">
        <v>7</v>
      </c>
      <c r="C14">
        <v>1698</v>
      </c>
      <c r="D14" t="s">
        <v>31357</v>
      </c>
      <c r="E14" t="s">
        <v>149</v>
      </c>
      <c r="F14" t="s">
        <v>2474</v>
      </c>
      <c r="G14" t="s">
        <v>31358</v>
      </c>
      <c r="H14">
        <v>58.02</v>
      </c>
      <c r="I14">
        <v>10</v>
      </c>
      <c r="M14">
        <v>0</v>
      </c>
      <c r="N14">
        <v>20</v>
      </c>
      <c r="O14">
        <v>10</v>
      </c>
      <c r="P14">
        <v>98.02</v>
      </c>
      <c r="Q14">
        <v>99</v>
      </c>
      <c r="R14">
        <v>99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99</v>
      </c>
      <c r="Z14">
        <v>6</v>
      </c>
      <c r="AA14">
        <v>0</v>
      </c>
      <c r="AD14" t="s">
        <v>130</v>
      </c>
      <c r="AF14">
        <v>203.02</v>
      </c>
    </row>
    <row r="15" spans="1:32" x14ac:dyDescent="0.3">
      <c r="A15" s="4">
        <v>8</v>
      </c>
      <c r="B15" s="5">
        <v>8</v>
      </c>
      <c r="C15">
        <v>1287</v>
      </c>
      <c r="D15" t="s">
        <v>139</v>
      </c>
      <c r="E15" t="s">
        <v>31359</v>
      </c>
      <c r="F15" t="s">
        <v>1450</v>
      </c>
      <c r="G15" t="s">
        <v>31360</v>
      </c>
      <c r="H15">
        <v>57</v>
      </c>
      <c r="I15">
        <v>10</v>
      </c>
      <c r="M15">
        <v>0</v>
      </c>
      <c r="N15">
        <v>20</v>
      </c>
      <c r="O15">
        <v>10</v>
      </c>
      <c r="P15">
        <v>97</v>
      </c>
      <c r="Q15">
        <v>96</v>
      </c>
      <c r="R15">
        <v>96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96</v>
      </c>
      <c r="Z15">
        <v>6</v>
      </c>
      <c r="AA15">
        <v>0</v>
      </c>
      <c r="AD15" t="s">
        <v>130</v>
      </c>
      <c r="AF15">
        <v>199</v>
      </c>
    </row>
    <row r="16" spans="1:32" x14ac:dyDescent="0.3">
      <c r="A16" s="4">
        <v>9</v>
      </c>
      <c r="B16" s="5">
        <v>9</v>
      </c>
      <c r="C16">
        <v>956</v>
      </c>
      <c r="D16" t="s">
        <v>3889</v>
      </c>
      <c r="E16" t="s">
        <v>97</v>
      </c>
      <c r="F16" t="s">
        <v>587</v>
      </c>
      <c r="G16" t="s">
        <v>31361</v>
      </c>
      <c r="H16">
        <v>52.5</v>
      </c>
      <c r="I16">
        <v>0</v>
      </c>
      <c r="J16">
        <v>40</v>
      </c>
      <c r="M16">
        <v>20</v>
      </c>
      <c r="N16">
        <v>20</v>
      </c>
      <c r="O16">
        <v>10</v>
      </c>
      <c r="P16">
        <v>102.5</v>
      </c>
      <c r="Q16">
        <v>96</v>
      </c>
      <c r="R16">
        <v>96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96</v>
      </c>
      <c r="Z16">
        <v>0</v>
      </c>
      <c r="AA16">
        <v>0</v>
      </c>
      <c r="AB16" t="s">
        <v>130</v>
      </c>
      <c r="AD16" t="s">
        <v>130</v>
      </c>
      <c r="AF16">
        <v>198.5</v>
      </c>
    </row>
    <row r="17" spans="1:32" x14ac:dyDescent="0.3">
      <c r="A17" s="4">
        <v>10</v>
      </c>
      <c r="B17" s="5">
        <v>10</v>
      </c>
      <c r="C17">
        <v>484</v>
      </c>
      <c r="D17" t="s">
        <v>1611</v>
      </c>
      <c r="E17" t="s">
        <v>967</v>
      </c>
      <c r="F17" t="s">
        <v>343</v>
      </c>
      <c r="G17" t="s">
        <v>31362</v>
      </c>
      <c r="H17">
        <v>59.4</v>
      </c>
      <c r="I17">
        <v>10</v>
      </c>
      <c r="L17">
        <v>10</v>
      </c>
      <c r="M17">
        <v>10</v>
      </c>
      <c r="N17">
        <v>20</v>
      </c>
      <c r="O17">
        <v>10</v>
      </c>
      <c r="P17">
        <v>109.4</v>
      </c>
      <c r="Q17">
        <v>84</v>
      </c>
      <c r="R17">
        <v>84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84</v>
      </c>
      <c r="Z17">
        <v>0</v>
      </c>
      <c r="AA17">
        <v>0</v>
      </c>
      <c r="AD17" t="s">
        <v>130</v>
      </c>
      <c r="AF17">
        <v>193.4</v>
      </c>
    </row>
    <row r="18" spans="1:32" x14ac:dyDescent="0.3">
      <c r="A18" s="4">
        <v>11</v>
      </c>
      <c r="B18" s="5">
        <v>11</v>
      </c>
      <c r="C18">
        <v>390</v>
      </c>
      <c r="D18" t="s">
        <v>31363</v>
      </c>
      <c r="E18" t="s">
        <v>182</v>
      </c>
      <c r="F18" t="s">
        <v>339</v>
      </c>
      <c r="G18" t="s">
        <v>31364</v>
      </c>
      <c r="H18">
        <v>60</v>
      </c>
      <c r="I18">
        <v>10</v>
      </c>
      <c r="L18">
        <v>10</v>
      </c>
      <c r="M18">
        <v>10</v>
      </c>
      <c r="N18">
        <v>20</v>
      </c>
      <c r="O18">
        <v>10</v>
      </c>
      <c r="P18">
        <v>110</v>
      </c>
      <c r="Q18">
        <v>79</v>
      </c>
      <c r="R18">
        <v>79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79</v>
      </c>
      <c r="Z18">
        <v>0</v>
      </c>
      <c r="AA18">
        <v>0</v>
      </c>
      <c r="AB18" t="s">
        <v>130</v>
      </c>
      <c r="AD18" t="s">
        <v>130</v>
      </c>
      <c r="AF18">
        <v>189</v>
      </c>
    </row>
    <row r="19" spans="1:32" x14ac:dyDescent="0.3">
      <c r="A19" s="4">
        <v>12</v>
      </c>
      <c r="B19" s="5">
        <v>12</v>
      </c>
      <c r="C19">
        <v>349</v>
      </c>
      <c r="D19" t="s">
        <v>6719</v>
      </c>
      <c r="E19" t="s">
        <v>31365</v>
      </c>
      <c r="F19" t="s">
        <v>38</v>
      </c>
      <c r="G19" t="s">
        <v>31366</v>
      </c>
      <c r="H19">
        <v>57.96</v>
      </c>
      <c r="I19">
        <v>10</v>
      </c>
      <c r="J19">
        <v>20</v>
      </c>
      <c r="M19">
        <v>20</v>
      </c>
      <c r="N19">
        <v>20</v>
      </c>
      <c r="O19">
        <v>10</v>
      </c>
      <c r="P19">
        <v>117.96</v>
      </c>
      <c r="Q19">
        <v>71</v>
      </c>
      <c r="R19">
        <v>71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71</v>
      </c>
      <c r="Z19">
        <v>0</v>
      </c>
      <c r="AA19">
        <v>0</v>
      </c>
      <c r="AD19" t="s">
        <v>130</v>
      </c>
      <c r="AF19">
        <v>188.96</v>
      </c>
    </row>
    <row r="20" spans="1:32" x14ac:dyDescent="0.3">
      <c r="A20" s="4">
        <v>13</v>
      </c>
      <c r="B20" s="5">
        <v>13</v>
      </c>
      <c r="C20">
        <v>179</v>
      </c>
      <c r="D20" t="s">
        <v>8800</v>
      </c>
      <c r="E20" t="s">
        <v>54</v>
      </c>
      <c r="F20" t="s">
        <v>570</v>
      </c>
      <c r="G20" t="s">
        <v>31367</v>
      </c>
      <c r="H20">
        <v>60</v>
      </c>
      <c r="I20">
        <v>0</v>
      </c>
      <c r="M20">
        <v>0</v>
      </c>
      <c r="N20">
        <v>20</v>
      </c>
      <c r="O20">
        <v>10</v>
      </c>
      <c r="P20">
        <v>90</v>
      </c>
      <c r="Q20">
        <v>92</v>
      </c>
      <c r="R20">
        <v>92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92</v>
      </c>
      <c r="Z20">
        <v>6</v>
      </c>
      <c r="AA20">
        <v>0</v>
      </c>
      <c r="AD20" t="s">
        <v>130</v>
      </c>
      <c r="AF20">
        <v>188</v>
      </c>
    </row>
    <row r="21" spans="1:32" x14ac:dyDescent="0.3">
      <c r="A21" s="4">
        <v>14</v>
      </c>
      <c r="B21" s="5">
        <v>14</v>
      </c>
      <c r="C21">
        <v>977</v>
      </c>
      <c r="D21" t="s">
        <v>31368</v>
      </c>
      <c r="E21" t="s">
        <v>29</v>
      </c>
      <c r="F21" t="s">
        <v>230</v>
      </c>
      <c r="G21" t="s">
        <v>31369</v>
      </c>
      <c r="H21">
        <v>60</v>
      </c>
      <c r="I21">
        <v>10</v>
      </c>
      <c r="L21">
        <v>10</v>
      </c>
      <c r="M21">
        <v>10</v>
      </c>
      <c r="N21">
        <v>20</v>
      </c>
      <c r="O21">
        <v>10</v>
      </c>
      <c r="P21">
        <v>110</v>
      </c>
      <c r="Q21">
        <v>68</v>
      </c>
      <c r="R21">
        <v>68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68</v>
      </c>
      <c r="Z21">
        <v>0</v>
      </c>
      <c r="AA21">
        <v>0</v>
      </c>
      <c r="AB21" t="s">
        <v>130</v>
      </c>
      <c r="AD21" t="s">
        <v>130</v>
      </c>
      <c r="AF21">
        <v>178</v>
      </c>
    </row>
    <row r="22" spans="1:32" x14ac:dyDescent="0.3">
      <c r="A22" s="4">
        <v>15</v>
      </c>
      <c r="B22" s="5">
        <v>15</v>
      </c>
      <c r="C22">
        <v>651</v>
      </c>
      <c r="D22" t="s">
        <v>264</v>
      </c>
      <c r="E22" t="s">
        <v>1140</v>
      </c>
      <c r="F22" t="s">
        <v>117</v>
      </c>
      <c r="G22" t="s">
        <v>31370</v>
      </c>
      <c r="H22">
        <v>51</v>
      </c>
      <c r="I22">
        <v>10</v>
      </c>
      <c r="L22">
        <v>10</v>
      </c>
      <c r="M22">
        <v>10</v>
      </c>
      <c r="N22">
        <v>20</v>
      </c>
      <c r="O22">
        <v>10</v>
      </c>
      <c r="P22">
        <v>101</v>
      </c>
      <c r="Q22">
        <v>73</v>
      </c>
      <c r="R22">
        <v>73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73</v>
      </c>
      <c r="Z22">
        <v>3</v>
      </c>
      <c r="AA22">
        <v>0</v>
      </c>
      <c r="AD22" t="s">
        <v>130</v>
      </c>
      <c r="AF22">
        <v>177</v>
      </c>
    </row>
    <row r="23" spans="1:32" x14ac:dyDescent="0.3">
      <c r="A23" s="4">
        <v>16</v>
      </c>
      <c r="B23" s="5">
        <v>16</v>
      </c>
      <c r="C23">
        <v>52</v>
      </c>
      <c r="D23" t="s">
        <v>31371</v>
      </c>
      <c r="E23" t="s">
        <v>161</v>
      </c>
      <c r="F23" t="s">
        <v>20</v>
      </c>
      <c r="G23" t="s">
        <v>31372</v>
      </c>
      <c r="H23">
        <v>60</v>
      </c>
      <c r="I23">
        <v>10</v>
      </c>
      <c r="L23">
        <v>20</v>
      </c>
      <c r="M23">
        <v>20</v>
      </c>
      <c r="N23">
        <v>20</v>
      </c>
      <c r="O23">
        <v>10</v>
      </c>
      <c r="P23">
        <v>120</v>
      </c>
      <c r="Q23">
        <v>10</v>
      </c>
      <c r="R23">
        <v>10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10</v>
      </c>
      <c r="Z23">
        <v>9</v>
      </c>
      <c r="AA23">
        <v>36</v>
      </c>
      <c r="AD23" t="s">
        <v>130</v>
      </c>
      <c r="AF23">
        <v>175</v>
      </c>
    </row>
    <row r="24" spans="1:32" x14ac:dyDescent="0.3">
      <c r="A24" s="4">
        <v>17</v>
      </c>
      <c r="B24" s="5">
        <v>17</v>
      </c>
      <c r="C24">
        <v>1519</v>
      </c>
      <c r="D24" t="s">
        <v>18543</v>
      </c>
      <c r="E24" t="s">
        <v>166</v>
      </c>
      <c r="F24" t="s">
        <v>30977</v>
      </c>
      <c r="G24" t="s">
        <v>30978</v>
      </c>
      <c r="H24">
        <v>60</v>
      </c>
      <c r="I24">
        <v>10</v>
      </c>
      <c r="L24">
        <v>10</v>
      </c>
      <c r="M24">
        <v>10</v>
      </c>
      <c r="N24">
        <v>20</v>
      </c>
      <c r="O24">
        <v>10</v>
      </c>
      <c r="P24">
        <v>110</v>
      </c>
      <c r="Q24">
        <v>59</v>
      </c>
      <c r="R24">
        <v>59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59</v>
      </c>
      <c r="Z24">
        <v>6</v>
      </c>
      <c r="AA24">
        <v>0</v>
      </c>
      <c r="AD24" t="s">
        <v>130</v>
      </c>
      <c r="AF24">
        <v>175</v>
      </c>
    </row>
    <row r="25" spans="1:32" x14ac:dyDescent="0.3">
      <c r="A25" s="4">
        <v>18</v>
      </c>
      <c r="B25" s="5">
        <v>18</v>
      </c>
      <c r="C25">
        <v>1234</v>
      </c>
      <c r="D25" t="s">
        <v>12370</v>
      </c>
      <c r="E25" t="s">
        <v>126</v>
      </c>
      <c r="F25" t="s">
        <v>136</v>
      </c>
      <c r="G25" t="s">
        <v>31373</v>
      </c>
      <c r="H25">
        <v>45</v>
      </c>
      <c r="I25">
        <v>0</v>
      </c>
      <c r="L25">
        <v>10</v>
      </c>
      <c r="M25">
        <v>10</v>
      </c>
      <c r="N25">
        <v>20</v>
      </c>
      <c r="O25">
        <v>10</v>
      </c>
      <c r="P25">
        <v>85</v>
      </c>
      <c r="Q25">
        <v>84</v>
      </c>
      <c r="R25">
        <v>84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84</v>
      </c>
      <c r="Z25">
        <v>6</v>
      </c>
      <c r="AA25">
        <v>0</v>
      </c>
      <c r="AD25" t="s">
        <v>130</v>
      </c>
      <c r="AF25">
        <v>175</v>
      </c>
    </row>
    <row r="26" spans="1:32" x14ac:dyDescent="0.3">
      <c r="A26" s="4">
        <v>19</v>
      </c>
      <c r="B26" s="5">
        <v>19</v>
      </c>
      <c r="C26">
        <v>292</v>
      </c>
      <c r="D26" t="s">
        <v>31374</v>
      </c>
      <c r="E26" t="s">
        <v>26</v>
      </c>
      <c r="F26" t="s">
        <v>52</v>
      </c>
      <c r="G26" t="s">
        <v>31375</v>
      </c>
      <c r="H26">
        <v>58.8</v>
      </c>
      <c r="I26">
        <v>10</v>
      </c>
      <c r="J26">
        <v>20</v>
      </c>
      <c r="M26">
        <v>20</v>
      </c>
      <c r="N26">
        <v>20</v>
      </c>
      <c r="O26">
        <v>10</v>
      </c>
      <c r="P26">
        <v>118.8</v>
      </c>
      <c r="Q26">
        <v>56</v>
      </c>
      <c r="R26">
        <v>56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56</v>
      </c>
      <c r="Z26">
        <v>0</v>
      </c>
      <c r="AA26">
        <v>0</v>
      </c>
      <c r="AD26" t="s">
        <v>130</v>
      </c>
      <c r="AF26">
        <v>174.8</v>
      </c>
    </row>
    <row r="27" spans="1:32" x14ac:dyDescent="0.3">
      <c r="A27" s="4">
        <v>20</v>
      </c>
      <c r="B27" s="5">
        <v>20</v>
      </c>
      <c r="C27">
        <v>831</v>
      </c>
      <c r="D27" t="s">
        <v>31376</v>
      </c>
      <c r="E27" t="s">
        <v>29</v>
      </c>
      <c r="F27" t="s">
        <v>38</v>
      </c>
      <c r="G27" t="s">
        <v>31377</v>
      </c>
      <c r="H27">
        <v>60</v>
      </c>
      <c r="I27">
        <v>10</v>
      </c>
      <c r="J27">
        <v>20</v>
      </c>
      <c r="M27">
        <v>20</v>
      </c>
      <c r="N27">
        <v>20</v>
      </c>
      <c r="O27">
        <v>10</v>
      </c>
      <c r="P27">
        <v>120</v>
      </c>
      <c r="Q27">
        <v>48</v>
      </c>
      <c r="R27">
        <v>48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48</v>
      </c>
      <c r="Z27">
        <v>6</v>
      </c>
      <c r="AA27">
        <v>0</v>
      </c>
      <c r="AD27" t="s">
        <v>130</v>
      </c>
      <c r="AF27">
        <v>174</v>
      </c>
    </row>
    <row r="28" spans="1:32" x14ac:dyDescent="0.3">
      <c r="A28" s="4">
        <v>21</v>
      </c>
      <c r="B28" s="5">
        <v>21</v>
      </c>
      <c r="C28">
        <v>1217</v>
      </c>
      <c r="D28" t="s">
        <v>31378</v>
      </c>
      <c r="E28" t="s">
        <v>132</v>
      </c>
      <c r="F28" t="s">
        <v>17</v>
      </c>
      <c r="G28" t="s">
        <v>31379</v>
      </c>
      <c r="H28">
        <v>60</v>
      </c>
      <c r="I28">
        <v>0</v>
      </c>
      <c r="J28">
        <v>20</v>
      </c>
      <c r="K28">
        <v>15</v>
      </c>
      <c r="M28">
        <v>20</v>
      </c>
      <c r="N28">
        <v>20</v>
      </c>
      <c r="O28">
        <v>10</v>
      </c>
      <c r="P28">
        <v>110</v>
      </c>
      <c r="Q28">
        <v>64</v>
      </c>
      <c r="R28">
        <v>64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64</v>
      </c>
      <c r="Z28">
        <v>0</v>
      </c>
      <c r="AA28">
        <v>0</v>
      </c>
      <c r="AB28" t="s">
        <v>130</v>
      </c>
      <c r="AD28" t="s">
        <v>130</v>
      </c>
      <c r="AF28">
        <v>174</v>
      </c>
    </row>
    <row r="29" spans="1:32" x14ac:dyDescent="0.3">
      <c r="A29" s="4">
        <v>22</v>
      </c>
      <c r="B29" s="5">
        <v>22</v>
      </c>
      <c r="C29">
        <v>1531</v>
      </c>
      <c r="D29" t="s">
        <v>31380</v>
      </c>
      <c r="E29" t="s">
        <v>626</v>
      </c>
      <c r="F29" t="s">
        <v>230</v>
      </c>
      <c r="G29" t="s">
        <v>31381</v>
      </c>
      <c r="H29">
        <v>57</v>
      </c>
      <c r="I29">
        <v>10</v>
      </c>
      <c r="M29">
        <v>0</v>
      </c>
      <c r="N29">
        <v>20</v>
      </c>
      <c r="O29">
        <v>10</v>
      </c>
      <c r="P29">
        <v>97</v>
      </c>
      <c r="Q29">
        <v>77</v>
      </c>
      <c r="R29">
        <v>77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77</v>
      </c>
      <c r="Z29">
        <v>0</v>
      </c>
      <c r="AA29">
        <v>0</v>
      </c>
      <c r="AD29" t="s">
        <v>130</v>
      </c>
      <c r="AF29">
        <v>174</v>
      </c>
    </row>
    <row r="30" spans="1:32" x14ac:dyDescent="0.3">
      <c r="A30" s="4">
        <v>23</v>
      </c>
      <c r="B30" s="5">
        <v>23</v>
      </c>
      <c r="C30">
        <v>13</v>
      </c>
      <c r="D30" t="s">
        <v>7280</v>
      </c>
      <c r="E30" t="s">
        <v>29</v>
      </c>
      <c r="F30" t="s">
        <v>81</v>
      </c>
      <c r="G30" t="s">
        <v>31382</v>
      </c>
      <c r="H30">
        <v>36</v>
      </c>
      <c r="I30">
        <v>0</v>
      </c>
      <c r="M30">
        <v>0</v>
      </c>
      <c r="N30">
        <v>20</v>
      </c>
      <c r="O30">
        <v>10</v>
      </c>
      <c r="P30">
        <v>66</v>
      </c>
      <c r="Q30">
        <v>81</v>
      </c>
      <c r="R30">
        <v>81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81</v>
      </c>
      <c r="Z30">
        <v>6</v>
      </c>
      <c r="AA30">
        <v>20</v>
      </c>
      <c r="AB30" t="s">
        <v>130</v>
      </c>
      <c r="AC30" t="s">
        <v>130</v>
      </c>
      <c r="AD30" t="s">
        <v>130</v>
      </c>
      <c r="AF30">
        <v>173</v>
      </c>
    </row>
    <row r="31" spans="1:32" x14ac:dyDescent="0.3">
      <c r="A31" s="4">
        <v>24</v>
      </c>
      <c r="B31" s="5">
        <v>24</v>
      </c>
      <c r="C31">
        <v>1499</v>
      </c>
      <c r="D31" t="s">
        <v>12637</v>
      </c>
      <c r="E31" t="s">
        <v>31383</v>
      </c>
      <c r="F31" t="s">
        <v>741</v>
      </c>
      <c r="G31" t="s">
        <v>31384</v>
      </c>
      <c r="H31">
        <v>54</v>
      </c>
      <c r="I31">
        <v>10</v>
      </c>
      <c r="L31">
        <v>10</v>
      </c>
      <c r="M31">
        <v>10</v>
      </c>
      <c r="N31">
        <v>20</v>
      </c>
      <c r="O31">
        <v>10</v>
      </c>
      <c r="P31">
        <v>104</v>
      </c>
      <c r="Q31">
        <v>63</v>
      </c>
      <c r="R31">
        <v>63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63</v>
      </c>
      <c r="Z31">
        <v>6</v>
      </c>
      <c r="AA31">
        <v>0</v>
      </c>
      <c r="AD31" t="s">
        <v>130</v>
      </c>
      <c r="AF31">
        <v>173</v>
      </c>
    </row>
    <row r="32" spans="1:32" x14ac:dyDescent="0.3">
      <c r="A32" s="4">
        <v>25</v>
      </c>
      <c r="B32" s="5">
        <v>25</v>
      </c>
      <c r="C32">
        <v>1679</v>
      </c>
      <c r="D32" t="s">
        <v>31385</v>
      </c>
      <c r="E32" t="s">
        <v>8868</v>
      </c>
      <c r="F32" t="s">
        <v>117</v>
      </c>
      <c r="G32" t="s">
        <v>31386</v>
      </c>
      <c r="H32">
        <v>57</v>
      </c>
      <c r="I32">
        <v>0</v>
      </c>
      <c r="L32">
        <v>10</v>
      </c>
      <c r="M32">
        <v>10</v>
      </c>
      <c r="N32">
        <v>20</v>
      </c>
      <c r="O32">
        <v>10</v>
      </c>
      <c r="P32">
        <v>97</v>
      </c>
      <c r="Q32">
        <v>71</v>
      </c>
      <c r="R32">
        <v>71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71</v>
      </c>
      <c r="Z32">
        <v>3</v>
      </c>
      <c r="AA32">
        <v>0</v>
      </c>
      <c r="AD32" t="s">
        <v>130</v>
      </c>
      <c r="AF32">
        <v>171</v>
      </c>
    </row>
    <row r="33" spans="1:32" x14ac:dyDescent="0.3">
      <c r="A33" s="4">
        <v>26</v>
      </c>
      <c r="B33" s="5">
        <v>26</v>
      </c>
      <c r="C33">
        <v>1614</v>
      </c>
      <c r="D33" t="s">
        <v>8106</v>
      </c>
      <c r="E33" t="s">
        <v>406</v>
      </c>
      <c r="F33" t="s">
        <v>38</v>
      </c>
      <c r="G33" t="s">
        <v>31387</v>
      </c>
      <c r="H33">
        <v>60</v>
      </c>
      <c r="I33">
        <v>10</v>
      </c>
      <c r="J33">
        <v>20</v>
      </c>
      <c r="M33">
        <v>20</v>
      </c>
      <c r="N33">
        <v>20</v>
      </c>
      <c r="O33">
        <v>10</v>
      </c>
      <c r="P33">
        <v>120</v>
      </c>
      <c r="Q33">
        <v>45</v>
      </c>
      <c r="R33">
        <v>45</v>
      </c>
      <c r="S33">
        <v>0</v>
      </c>
      <c r="T33">
        <v>0</v>
      </c>
      <c r="U33">
        <v>4</v>
      </c>
      <c r="V33">
        <v>6</v>
      </c>
      <c r="W33">
        <v>0</v>
      </c>
      <c r="X33">
        <v>0</v>
      </c>
      <c r="Y33">
        <v>51</v>
      </c>
      <c r="Z33">
        <v>0</v>
      </c>
      <c r="AA33">
        <v>0</v>
      </c>
      <c r="AB33" t="s">
        <v>130</v>
      </c>
      <c r="AD33" t="s">
        <v>130</v>
      </c>
      <c r="AF33">
        <v>171</v>
      </c>
    </row>
    <row r="34" spans="1:32" x14ac:dyDescent="0.3">
      <c r="A34" s="4">
        <v>27</v>
      </c>
      <c r="B34" s="5">
        <v>27</v>
      </c>
      <c r="C34">
        <v>1249</v>
      </c>
      <c r="D34" t="s">
        <v>31388</v>
      </c>
      <c r="E34" t="s">
        <v>652</v>
      </c>
      <c r="F34" t="s">
        <v>238</v>
      </c>
      <c r="G34" t="s">
        <v>31389</v>
      </c>
      <c r="H34">
        <v>60</v>
      </c>
      <c r="I34">
        <v>10</v>
      </c>
      <c r="M34">
        <v>0</v>
      </c>
      <c r="N34">
        <v>20</v>
      </c>
      <c r="O34">
        <v>10</v>
      </c>
      <c r="P34">
        <v>100</v>
      </c>
      <c r="Q34">
        <v>71</v>
      </c>
      <c r="R34">
        <v>71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71</v>
      </c>
      <c r="Z34">
        <v>0</v>
      </c>
      <c r="AA34">
        <v>0</v>
      </c>
      <c r="AD34" t="s">
        <v>130</v>
      </c>
      <c r="AF34">
        <v>171</v>
      </c>
    </row>
    <row r="35" spans="1:32" x14ac:dyDescent="0.3">
      <c r="A35" s="4">
        <v>28</v>
      </c>
      <c r="B35" s="5">
        <v>28</v>
      </c>
      <c r="C35">
        <v>985</v>
      </c>
      <c r="D35" t="s">
        <v>4070</v>
      </c>
      <c r="E35" t="s">
        <v>26</v>
      </c>
      <c r="F35" t="s">
        <v>190</v>
      </c>
      <c r="G35" t="s">
        <v>31390</v>
      </c>
      <c r="H35">
        <v>60</v>
      </c>
      <c r="I35">
        <v>10</v>
      </c>
      <c r="L35">
        <v>10</v>
      </c>
      <c r="M35">
        <v>10</v>
      </c>
      <c r="N35">
        <v>20</v>
      </c>
      <c r="O35">
        <v>10</v>
      </c>
      <c r="P35">
        <v>110</v>
      </c>
      <c r="Q35">
        <v>57</v>
      </c>
      <c r="R35">
        <v>57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57</v>
      </c>
      <c r="Z35">
        <v>0</v>
      </c>
      <c r="AA35">
        <v>0</v>
      </c>
      <c r="AD35" t="s">
        <v>130</v>
      </c>
      <c r="AF35">
        <v>167</v>
      </c>
    </row>
    <row r="36" spans="1:32" x14ac:dyDescent="0.3">
      <c r="A36" s="4">
        <v>29</v>
      </c>
      <c r="B36" s="5">
        <v>29</v>
      </c>
      <c r="C36">
        <v>386</v>
      </c>
      <c r="D36" t="s">
        <v>31391</v>
      </c>
      <c r="E36" t="s">
        <v>166</v>
      </c>
      <c r="F36" t="s">
        <v>243</v>
      </c>
      <c r="G36" t="s">
        <v>31392</v>
      </c>
      <c r="H36">
        <v>60</v>
      </c>
      <c r="I36">
        <v>10</v>
      </c>
      <c r="J36">
        <v>20</v>
      </c>
      <c r="M36">
        <v>20</v>
      </c>
      <c r="N36">
        <v>20</v>
      </c>
      <c r="O36">
        <v>10</v>
      </c>
      <c r="P36">
        <v>120</v>
      </c>
      <c r="Q36">
        <v>14</v>
      </c>
      <c r="R36">
        <v>14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14</v>
      </c>
      <c r="Z36">
        <v>6</v>
      </c>
      <c r="AA36">
        <v>26.8</v>
      </c>
      <c r="AD36" t="s">
        <v>130</v>
      </c>
      <c r="AF36">
        <v>166.8</v>
      </c>
    </row>
    <row r="37" spans="1:32" x14ac:dyDescent="0.3">
      <c r="A37" s="4">
        <v>30</v>
      </c>
      <c r="B37" s="5">
        <v>30</v>
      </c>
      <c r="C37">
        <v>664</v>
      </c>
      <c r="D37" t="s">
        <v>31393</v>
      </c>
      <c r="E37" t="s">
        <v>1140</v>
      </c>
      <c r="F37" t="s">
        <v>17</v>
      </c>
      <c r="G37" t="s">
        <v>31394</v>
      </c>
      <c r="H37">
        <v>57.96</v>
      </c>
      <c r="I37">
        <v>10</v>
      </c>
      <c r="M37">
        <v>0</v>
      </c>
      <c r="N37">
        <v>20</v>
      </c>
      <c r="O37">
        <v>10</v>
      </c>
      <c r="P37">
        <v>97.96</v>
      </c>
      <c r="Q37">
        <v>68</v>
      </c>
      <c r="R37">
        <v>68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68</v>
      </c>
      <c r="Z37">
        <v>0</v>
      </c>
      <c r="AA37">
        <v>0</v>
      </c>
      <c r="AB37" t="s">
        <v>130</v>
      </c>
      <c r="AD37" t="s">
        <v>130</v>
      </c>
      <c r="AF37">
        <v>165.96</v>
      </c>
    </row>
    <row r="38" spans="1:32" x14ac:dyDescent="0.3">
      <c r="A38" s="4">
        <v>31</v>
      </c>
      <c r="B38" s="5">
        <v>31</v>
      </c>
      <c r="C38">
        <v>1306</v>
      </c>
      <c r="D38" t="s">
        <v>29328</v>
      </c>
      <c r="E38" t="s">
        <v>161</v>
      </c>
      <c r="F38" t="s">
        <v>238</v>
      </c>
      <c r="G38" t="s">
        <v>31395</v>
      </c>
      <c r="H38">
        <v>60</v>
      </c>
      <c r="I38">
        <v>10</v>
      </c>
      <c r="L38">
        <v>10</v>
      </c>
      <c r="M38">
        <v>10</v>
      </c>
      <c r="N38">
        <v>20</v>
      </c>
      <c r="O38">
        <v>10</v>
      </c>
      <c r="P38">
        <v>110</v>
      </c>
      <c r="Q38">
        <v>49</v>
      </c>
      <c r="R38">
        <v>49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49</v>
      </c>
      <c r="Z38">
        <v>3</v>
      </c>
      <c r="AA38">
        <v>0</v>
      </c>
      <c r="AD38" t="s">
        <v>130</v>
      </c>
      <c r="AF38">
        <v>162</v>
      </c>
    </row>
    <row r="39" spans="1:32" x14ac:dyDescent="0.3">
      <c r="A39" s="4">
        <v>32</v>
      </c>
      <c r="B39" s="5">
        <v>32</v>
      </c>
      <c r="C39">
        <v>769</v>
      </c>
      <c r="D39" t="s">
        <v>18901</v>
      </c>
      <c r="E39" t="s">
        <v>283</v>
      </c>
      <c r="F39" t="s">
        <v>167</v>
      </c>
      <c r="G39" t="s">
        <v>31396</v>
      </c>
      <c r="H39">
        <v>57</v>
      </c>
      <c r="I39">
        <v>0</v>
      </c>
      <c r="L39">
        <v>10</v>
      </c>
      <c r="M39">
        <v>10</v>
      </c>
      <c r="N39">
        <v>20</v>
      </c>
      <c r="O39">
        <v>10</v>
      </c>
      <c r="P39">
        <v>97</v>
      </c>
      <c r="Q39">
        <v>63</v>
      </c>
      <c r="R39">
        <v>63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63</v>
      </c>
      <c r="Z39">
        <v>0</v>
      </c>
      <c r="AA39">
        <v>0</v>
      </c>
      <c r="AD39" t="s">
        <v>130</v>
      </c>
      <c r="AF39">
        <v>160</v>
      </c>
    </row>
    <row r="40" spans="1:32" x14ac:dyDescent="0.3">
      <c r="A40" s="4">
        <v>33</v>
      </c>
      <c r="B40" s="5">
        <v>33</v>
      </c>
      <c r="C40">
        <v>71</v>
      </c>
      <c r="D40" t="s">
        <v>8684</v>
      </c>
      <c r="E40" t="s">
        <v>161</v>
      </c>
      <c r="F40" t="s">
        <v>158</v>
      </c>
      <c r="G40" t="s">
        <v>31397</v>
      </c>
      <c r="H40">
        <v>51</v>
      </c>
      <c r="I40">
        <v>10</v>
      </c>
      <c r="M40">
        <v>0</v>
      </c>
      <c r="N40">
        <v>20</v>
      </c>
      <c r="O40">
        <v>10</v>
      </c>
      <c r="P40">
        <v>91</v>
      </c>
      <c r="Q40">
        <v>68</v>
      </c>
      <c r="R40">
        <v>68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68</v>
      </c>
      <c r="Z40">
        <v>0</v>
      </c>
      <c r="AA40">
        <v>0</v>
      </c>
      <c r="AD40" t="s">
        <v>130</v>
      </c>
      <c r="AF40">
        <v>159</v>
      </c>
    </row>
    <row r="41" spans="1:32" x14ac:dyDescent="0.3">
      <c r="A41" s="4">
        <v>34</v>
      </c>
      <c r="B41" s="5">
        <v>34</v>
      </c>
      <c r="C41">
        <v>450</v>
      </c>
      <c r="D41" t="s">
        <v>31398</v>
      </c>
      <c r="E41" t="s">
        <v>29</v>
      </c>
      <c r="F41" t="s">
        <v>62</v>
      </c>
      <c r="G41" t="s">
        <v>31399</v>
      </c>
      <c r="H41">
        <v>60</v>
      </c>
      <c r="I41">
        <v>10</v>
      </c>
      <c r="L41">
        <v>10</v>
      </c>
      <c r="M41">
        <v>10</v>
      </c>
      <c r="N41">
        <v>20</v>
      </c>
      <c r="O41">
        <v>10</v>
      </c>
      <c r="P41">
        <v>110</v>
      </c>
      <c r="Q41">
        <v>48</v>
      </c>
      <c r="R41">
        <v>48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</v>
      </c>
      <c r="Z41">
        <v>0</v>
      </c>
      <c r="AA41">
        <v>0</v>
      </c>
      <c r="AD41" t="s">
        <v>130</v>
      </c>
      <c r="AF41">
        <v>158</v>
      </c>
    </row>
    <row r="42" spans="1:32" x14ac:dyDescent="0.3">
      <c r="A42" s="4">
        <v>35</v>
      </c>
      <c r="B42" s="5">
        <v>35</v>
      </c>
      <c r="C42">
        <v>941</v>
      </c>
      <c r="D42" t="s">
        <v>31400</v>
      </c>
      <c r="E42" t="s">
        <v>37</v>
      </c>
      <c r="F42" t="s">
        <v>62</v>
      </c>
      <c r="G42" t="s">
        <v>31401</v>
      </c>
      <c r="H42">
        <v>57.18</v>
      </c>
      <c r="I42">
        <v>10</v>
      </c>
      <c r="L42">
        <v>10</v>
      </c>
      <c r="M42">
        <v>10</v>
      </c>
      <c r="N42">
        <v>20</v>
      </c>
      <c r="O42">
        <v>10</v>
      </c>
      <c r="P42">
        <v>107.18</v>
      </c>
      <c r="Q42">
        <v>50</v>
      </c>
      <c r="R42">
        <v>50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50</v>
      </c>
      <c r="Z42">
        <v>0</v>
      </c>
      <c r="AA42">
        <v>0</v>
      </c>
      <c r="AD42" t="s">
        <v>130</v>
      </c>
      <c r="AF42">
        <v>157.18</v>
      </c>
    </row>
    <row r="43" spans="1:32" x14ac:dyDescent="0.3">
      <c r="A43" s="4">
        <v>36</v>
      </c>
      <c r="B43" s="5">
        <v>36</v>
      </c>
      <c r="C43">
        <v>31</v>
      </c>
      <c r="D43" t="s">
        <v>31402</v>
      </c>
      <c r="E43" t="s">
        <v>3803</v>
      </c>
      <c r="F43" t="s">
        <v>381</v>
      </c>
      <c r="G43" t="s">
        <v>31403</v>
      </c>
      <c r="H43">
        <v>57.36</v>
      </c>
      <c r="I43">
        <v>0</v>
      </c>
      <c r="L43">
        <v>10</v>
      </c>
      <c r="M43">
        <v>10</v>
      </c>
      <c r="N43">
        <v>20</v>
      </c>
      <c r="O43">
        <v>10</v>
      </c>
      <c r="P43">
        <v>97.36</v>
      </c>
      <c r="Q43">
        <v>53</v>
      </c>
      <c r="R43">
        <v>53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53</v>
      </c>
      <c r="Z43">
        <v>6</v>
      </c>
      <c r="AA43">
        <v>0</v>
      </c>
      <c r="AD43" t="s">
        <v>130</v>
      </c>
      <c r="AF43">
        <v>156.36000000000001</v>
      </c>
    </row>
    <row r="44" spans="1:32" x14ac:dyDescent="0.3">
      <c r="A44" s="4">
        <v>37</v>
      </c>
      <c r="B44" s="5">
        <v>37</v>
      </c>
      <c r="C44">
        <v>467</v>
      </c>
      <c r="D44" t="s">
        <v>31404</v>
      </c>
      <c r="E44" t="s">
        <v>161</v>
      </c>
      <c r="F44" t="s">
        <v>782</v>
      </c>
      <c r="G44" t="s">
        <v>31405</v>
      </c>
      <c r="H44">
        <v>60</v>
      </c>
      <c r="I44">
        <v>10</v>
      </c>
      <c r="M44">
        <v>0</v>
      </c>
      <c r="N44">
        <v>20</v>
      </c>
      <c r="O44">
        <v>10</v>
      </c>
      <c r="P44">
        <v>100</v>
      </c>
      <c r="Q44">
        <v>56</v>
      </c>
      <c r="R44">
        <v>56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56</v>
      </c>
      <c r="Z44">
        <v>0</v>
      </c>
      <c r="AA44">
        <v>0</v>
      </c>
      <c r="AD44" t="s">
        <v>130</v>
      </c>
      <c r="AF44">
        <v>156</v>
      </c>
    </row>
    <row r="45" spans="1:32" x14ac:dyDescent="0.3">
      <c r="A45" s="4">
        <v>38</v>
      </c>
      <c r="B45" s="5">
        <v>38</v>
      </c>
      <c r="C45">
        <v>1671</v>
      </c>
      <c r="D45" t="s">
        <v>1095</v>
      </c>
      <c r="E45" t="s">
        <v>37</v>
      </c>
      <c r="F45" t="s">
        <v>124</v>
      </c>
      <c r="G45" t="s">
        <v>31406</v>
      </c>
      <c r="H45">
        <v>58.5</v>
      </c>
      <c r="I45">
        <v>0</v>
      </c>
      <c r="J45">
        <v>40</v>
      </c>
      <c r="M45">
        <v>20</v>
      </c>
      <c r="N45">
        <v>20</v>
      </c>
      <c r="O45">
        <v>10</v>
      </c>
      <c r="P45">
        <v>108.5</v>
      </c>
      <c r="Q45">
        <v>47</v>
      </c>
      <c r="R45">
        <v>47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47</v>
      </c>
      <c r="Z45">
        <v>0</v>
      </c>
      <c r="AA45">
        <v>0</v>
      </c>
      <c r="AD45" t="s">
        <v>130</v>
      </c>
      <c r="AF45">
        <v>155.5</v>
      </c>
    </row>
    <row r="46" spans="1:32" x14ac:dyDescent="0.3">
      <c r="A46" s="4">
        <v>39</v>
      </c>
      <c r="B46" s="5">
        <v>39</v>
      </c>
      <c r="C46">
        <v>1323</v>
      </c>
      <c r="D46" t="s">
        <v>3522</v>
      </c>
      <c r="E46" t="s">
        <v>3523</v>
      </c>
      <c r="F46" t="s">
        <v>570</v>
      </c>
      <c r="G46" t="s">
        <v>3524</v>
      </c>
      <c r="H46">
        <v>58.2</v>
      </c>
      <c r="I46">
        <v>10</v>
      </c>
      <c r="M46">
        <v>0</v>
      </c>
      <c r="N46">
        <v>20</v>
      </c>
      <c r="O46">
        <v>10</v>
      </c>
      <c r="P46">
        <v>98.2</v>
      </c>
      <c r="Q46">
        <v>51</v>
      </c>
      <c r="R46">
        <v>51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51</v>
      </c>
      <c r="Z46">
        <v>6</v>
      </c>
      <c r="AA46">
        <v>0</v>
      </c>
      <c r="AD46" t="s">
        <v>130</v>
      </c>
      <c r="AF46">
        <v>155.19999999999999</v>
      </c>
    </row>
    <row r="47" spans="1:32" x14ac:dyDescent="0.3">
      <c r="A47" s="4">
        <v>40</v>
      </c>
      <c r="B47" s="5">
        <v>40</v>
      </c>
      <c r="C47">
        <v>754</v>
      </c>
      <c r="D47" t="s">
        <v>20525</v>
      </c>
      <c r="E47" t="s">
        <v>41</v>
      </c>
      <c r="F47" t="s">
        <v>2721</v>
      </c>
      <c r="G47" t="s">
        <v>31407</v>
      </c>
      <c r="H47">
        <v>50.4</v>
      </c>
      <c r="I47">
        <v>10</v>
      </c>
      <c r="J47">
        <v>20</v>
      </c>
      <c r="M47">
        <v>20</v>
      </c>
      <c r="N47">
        <v>20</v>
      </c>
      <c r="O47">
        <v>10</v>
      </c>
      <c r="P47">
        <v>110.4</v>
      </c>
      <c r="Q47">
        <v>37</v>
      </c>
      <c r="R47">
        <v>37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37</v>
      </c>
      <c r="Z47">
        <v>6</v>
      </c>
      <c r="AA47">
        <v>0</v>
      </c>
      <c r="AB47" t="s">
        <v>130</v>
      </c>
      <c r="AD47" t="s">
        <v>130</v>
      </c>
      <c r="AF47">
        <v>153.4</v>
      </c>
    </row>
    <row r="48" spans="1:32" x14ac:dyDescent="0.3">
      <c r="A48" s="4">
        <v>41</v>
      </c>
      <c r="B48" s="5">
        <v>41</v>
      </c>
      <c r="C48">
        <v>1058</v>
      </c>
      <c r="D48" t="s">
        <v>31408</v>
      </c>
      <c r="E48" t="s">
        <v>31409</v>
      </c>
      <c r="F48" t="s">
        <v>20</v>
      </c>
      <c r="G48" t="s">
        <v>31410</v>
      </c>
      <c r="H48">
        <v>60</v>
      </c>
      <c r="I48">
        <v>10</v>
      </c>
      <c r="L48">
        <v>10</v>
      </c>
      <c r="M48">
        <v>10</v>
      </c>
      <c r="N48">
        <v>20</v>
      </c>
      <c r="O48">
        <v>10</v>
      </c>
      <c r="P48">
        <v>110</v>
      </c>
      <c r="Q48">
        <v>40</v>
      </c>
      <c r="R48">
        <v>40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40</v>
      </c>
      <c r="Z48">
        <v>3</v>
      </c>
      <c r="AA48">
        <v>0</v>
      </c>
      <c r="AD48" t="s">
        <v>130</v>
      </c>
      <c r="AF48">
        <v>153</v>
      </c>
    </row>
    <row r="49" spans="1:32" x14ac:dyDescent="0.3">
      <c r="A49" s="4">
        <v>42</v>
      </c>
      <c r="B49" s="5">
        <v>42</v>
      </c>
      <c r="C49">
        <v>1077</v>
      </c>
      <c r="D49" t="s">
        <v>24150</v>
      </c>
      <c r="E49" t="s">
        <v>33</v>
      </c>
      <c r="F49" t="s">
        <v>190</v>
      </c>
      <c r="G49" t="s">
        <v>31411</v>
      </c>
      <c r="H49">
        <v>54</v>
      </c>
      <c r="I49">
        <v>0</v>
      </c>
      <c r="J49">
        <v>20</v>
      </c>
      <c r="M49">
        <v>20</v>
      </c>
      <c r="N49">
        <v>20</v>
      </c>
      <c r="O49">
        <v>10</v>
      </c>
      <c r="P49">
        <v>104</v>
      </c>
      <c r="Q49">
        <v>41</v>
      </c>
      <c r="R49">
        <v>41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41</v>
      </c>
      <c r="Z49">
        <v>6</v>
      </c>
      <c r="AA49">
        <v>0</v>
      </c>
      <c r="AD49" t="s">
        <v>130</v>
      </c>
      <c r="AF49">
        <v>151</v>
      </c>
    </row>
    <row r="50" spans="1:32" x14ac:dyDescent="0.3">
      <c r="A50" s="4">
        <v>43</v>
      </c>
      <c r="B50" s="5">
        <v>43</v>
      </c>
      <c r="C50">
        <v>355</v>
      </c>
      <c r="D50" t="s">
        <v>31412</v>
      </c>
      <c r="E50" t="s">
        <v>41</v>
      </c>
      <c r="F50" t="s">
        <v>17</v>
      </c>
      <c r="G50" t="s">
        <v>31413</v>
      </c>
      <c r="H50">
        <v>60</v>
      </c>
      <c r="I50">
        <v>10</v>
      </c>
      <c r="J50">
        <v>20</v>
      </c>
      <c r="M50">
        <v>20</v>
      </c>
      <c r="N50">
        <v>20</v>
      </c>
      <c r="O50">
        <v>10</v>
      </c>
      <c r="P50">
        <v>120</v>
      </c>
      <c r="Q50">
        <v>1</v>
      </c>
      <c r="R50">
        <v>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3</v>
      </c>
      <c r="AA50">
        <v>26.8</v>
      </c>
      <c r="AB50" t="s">
        <v>130</v>
      </c>
      <c r="AD50" t="s">
        <v>130</v>
      </c>
      <c r="AF50">
        <v>150.80000000000001</v>
      </c>
    </row>
    <row r="51" spans="1:32" x14ac:dyDescent="0.3">
      <c r="A51" s="4">
        <v>45</v>
      </c>
      <c r="B51" s="5">
        <v>44</v>
      </c>
      <c r="C51">
        <v>1081</v>
      </c>
      <c r="D51" t="s">
        <v>31414</v>
      </c>
      <c r="E51" t="s">
        <v>575</v>
      </c>
      <c r="F51" t="s">
        <v>158</v>
      </c>
      <c r="G51" t="s">
        <v>31415</v>
      </c>
      <c r="H51">
        <v>51</v>
      </c>
      <c r="I51">
        <v>0</v>
      </c>
      <c r="J51">
        <v>20</v>
      </c>
      <c r="M51">
        <v>20</v>
      </c>
      <c r="N51">
        <v>20</v>
      </c>
      <c r="O51">
        <v>10</v>
      </c>
      <c r="P51">
        <v>101</v>
      </c>
      <c r="Q51">
        <v>48</v>
      </c>
      <c r="R51">
        <v>48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48</v>
      </c>
      <c r="Z51">
        <v>0</v>
      </c>
      <c r="AA51">
        <v>0</v>
      </c>
      <c r="AD51" t="s">
        <v>130</v>
      </c>
      <c r="AF51">
        <v>149</v>
      </c>
    </row>
    <row r="52" spans="1:32" x14ac:dyDescent="0.3">
      <c r="A52" s="4">
        <v>46</v>
      </c>
      <c r="B52" s="5">
        <v>45</v>
      </c>
      <c r="C52">
        <v>1593</v>
      </c>
      <c r="D52" t="s">
        <v>31416</v>
      </c>
      <c r="E52" t="s">
        <v>41</v>
      </c>
      <c r="F52" t="s">
        <v>38</v>
      </c>
      <c r="G52" t="s">
        <v>31417</v>
      </c>
      <c r="H52">
        <v>52.98</v>
      </c>
      <c r="I52">
        <v>10</v>
      </c>
      <c r="L52">
        <v>10</v>
      </c>
      <c r="M52">
        <v>10</v>
      </c>
      <c r="N52">
        <v>20</v>
      </c>
      <c r="O52">
        <v>10</v>
      </c>
      <c r="P52">
        <v>102.98</v>
      </c>
      <c r="Q52">
        <v>37</v>
      </c>
      <c r="R52">
        <v>37</v>
      </c>
      <c r="S52">
        <v>0</v>
      </c>
      <c r="T52">
        <v>0</v>
      </c>
      <c r="U52">
        <v>4</v>
      </c>
      <c r="V52">
        <v>6</v>
      </c>
      <c r="W52">
        <v>0</v>
      </c>
      <c r="X52">
        <v>0</v>
      </c>
      <c r="Y52">
        <v>43</v>
      </c>
      <c r="Z52">
        <v>3</v>
      </c>
      <c r="AA52">
        <v>0</v>
      </c>
      <c r="AB52" t="s">
        <v>130</v>
      </c>
      <c r="AD52" t="s">
        <v>130</v>
      </c>
      <c r="AF52">
        <v>148.97999999999999</v>
      </c>
    </row>
    <row r="53" spans="1:32" x14ac:dyDescent="0.3">
      <c r="A53" s="4">
        <v>47</v>
      </c>
      <c r="B53" s="5">
        <v>46</v>
      </c>
      <c r="C53">
        <v>953</v>
      </c>
      <c r="D53" t="s">
        <v>7596</v>
      </c>
      <c r="E53" t="s">
        <v>188</v>
      </c>
      <c r="F53" t="s">
        <v>17</v>
      </c>
      <c r="G53" t="s">
        <v>31418</v>
      </c>
      <c r="H53">
        <v>51</v>
      </c>
      <c r="I53">
        <v>10</v>
      </c>
      <c r="M53">
        <v>0</v>
      </c>
      <c r="N53">
        <v>20</v>
      </c>
      <c r="O53">
        <v>10</v>
      </c>
      <c r="P53">
        <v>91</v>
      </c>
      <c r="Q53">
        <v>54</v>
      </c>
      <c r="R53">
        <v>54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54</v>
      </c>
      <c r="Z53">
        <v>0</v>
      </c>
      <c r="AA53">
        <v>0</v>
      </c>
      <c r="AD53" t="s">
        <v>130</v>
      </c>
      <c r="AF53">
        <v>145</v>
      </c>
    </row>
    <row r="54" spans="1:32" x14ac:dyDescent="0.3">
      <c r="A54" s="4">
        <v>48</v>
      </c>
      <c r="B54" s="5">
        <v>47</v>
      </c>
      <c r="C54">
        <v>1742</v>
      </c>
      <c r="D54" t="s">
        <v>12682</v>
      </c>
      <c r="E54" t="s">
        <v>563</v>
      </c>
      <c r="F54" t="s">
        <v>38</v>
      </c>
      <c r="G54" t="s">
        <v>31419</v>
      </c>
      <c r="H54">
        <v>58.92</v>
      </c>
      <c r="I54">
        <v>10</v>
      </c>
      <c r="K54">
        <v>15</v>
      </c>
      <c r="M54">
        <v>15</v>
      </c>
      <c r="N54">
        <v>20</v>
      </c>
      <c r="O54">
        <v>10</v>
      </c>
      <c r="P54">
        <v>113.92</v>
      </c>
      <c r="Q54">
        <v>27</v>
      </c>
      <c r="R54">
        <v>27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27</v>
      </c>
      <c r="Z54">
        <v>3</v>
      </c>
      <c r="AA54">
        <v>0</v>
      </c>
      <c r="AD54" t="s">
        <v>130</v>
      </c>
      <c r="AF54">
        <v>143.91999999999999</v>
      </c>
    </row>
    <row r="55" spans="1:32" x14ac:dyDescent="0.3">
      <c r="A55" s="4">
        <v>49</v>
      </c>
      <c r="B55" s="5">
        <v>48</v>
      </c>
      <c r="C55">
        <v>770</v>
      </c>
      <c r="D55" t="s">
        <v>31420</v>
      </c>
      <c r="E55" t="s">
        <v>38</v>
      </c>
      <c r="F55" t="s">
        <v>20</v>
      </c>
      <c r="G55" t="s">
        <v>31421</v>
      </c>
      <c r="H55">
        <v>60</v>
      </c>
      <c r="I55">
        <v>0</v>
      </c>
      <c r="J55">
        <v>20</v>
      </c>
      <c r="M55">
        <v>20</v>
      </c>
      <c r="N55">
        <v>20</v>
      </c>
      <c r="O55">
        <v>10</v>
      </c>
      <c r="P55">
        <v>110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6</v>
      </c>
      <c r="AA55">
        <v>26.8</v>
      </c>
      <c r="AD55" t="s">
        <v>130</v>
      </c>
      <c r="AF55">
        <v>142.80000000000001</v>
      </c>
    </row>
    <row r="56" spans="1:32" x14ac:dyDescent="0.3">
      <c r="A56" s="4">
        <v>50</v>
      </c>
      <c r="B56" s="5">
        <v>49</v>
      </c>
      <c r="C56">
        <v>891</v>
      </c>
      <c r="D56" t="s">
        <v>31422</v>
      </c>
      <c r="E56" t="s">
        <v>457</v>
      </c>
      <c r="F56" t="s">
        <v>375</v>
      </c>
      <c r="G56" t="s">
        <v>31423</v>
      </c>
      <c r="H56">
        <v>57.96</v>
      </c>
      <c r="I56">
        <v>10</v>
      </c>
      <c r="J56">
        <v>20</v>
      </c>
      <c r="M56">
        <v>20</v>
      </c>
      <c r="N56">
        <v>20</v>
      </c>
      <c r="O56">
        <v>10</v>
      </c>
      <c r="P56">
        <v>117.96</v>
      </c>
      <c r="Q56">
        <v>20</v>
      </c>
      <c r="R56">
        <v>20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20</v>
      </c>
      <c r="Z56">
        <v>3</v>
      </c>
      <c r="AA56">
        <v>0</v>
      </c>
      <c r="AD56" t="s">
        <v>130</v>
      </c>
      <c r="AF56">
        <v>140.96</v>
      </c>
    </row>
    <row r="57" spans="1:32" x14ac:dyDescent="0.3">
      <c r="A57" s="4">
        <v>51</v>
      </c>
      <c r="B57" s="5">
        <v>50</v>
      </c>
      <c r="C57">
        <v>1088</v>
      </c>
      <c r="D57" t="s">
        <v>229</v>
      </c>
      <c r="E57" t="s">
        <v>149</v>
      </c>
      <c r="F57" t="s">
        <v>243</v>
      </c>
      <c r="G57" t="s">
        <v>31424</v>
      </c>
      <c r="H57">
        <v>60</v>
      </c>
      <c r="I57">
        <v>0</v>
      </c>
      <c r="J57">
        <v>20</v>
      </c>
      <c r="M57">
        <v>20</v>
      </c>
      <c r="N57">
        <v>20</v>
      </c>
      <c r="O57">
        <v>10</v>
      </c>
      <c r="P57">
        <v>110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3</v>
      </c>
      <c r="AA57">
        <v>27.2</v>
      </c>
      <c r="AD57" t="s">
        <v>130</v>
      </c>
      <c r="AF57">
        <v>140.19999999999999</v>
      </c>
    </row>
    <row r="58" spans="1:32" x14ac:dyDescent="0.3">
      <c r="A58" s="4">
        <v>52</v>
      </c>
      <c r="B58" s="5">
        <v>51</v>
      </c>
      <c r="C58">
        <v>783</v>
      </c>
      <c r="D58" t="s">
        <v>1296</v>
      </c>
      <c r="E58" t="s">
        <v>10939</v>
      </c>
      <c r="F58" t="s">
        <v>136</v>
      </c>
      <c r="G58" t="s">
        <v>31425</v>
      </c>
      <c r="H58">
        <v>57</v>
      </c>
      <c r="I58">
        <v>10</v>
      </c>
      <c r="K58">
        <v>15</v>
      </c>
      <c r="L58">
        <v>10</v>
      </c>
      <c r="M58">
        <v>15</v>
      </c>
      <c r="N58">
        <v>20</v>
      </c>
      <c r="O58">
        <v>10</v>
      </c>
      <c r="P58">
        <v>112</v>
      </c>
      <c r="Q58">
        <v>28</v>
      </c>
      <c r="R58">
        <v>28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28</v>
      </c>
      <c r="Z58">
        <v>0</v>
      </c>
      <c r="AA58">
        <v>0</v>
      </c>
      <c r="AD58" t="s">
        <v>130</v>
      </c>
      <c r="AF58">
        <v>140</v>
      </c>
    </row>
    <row r="59" spans="1:32" x14ac:dyDescent="0.3">
      <c r="A59" s="4">
        <v>53</v>
      </c>
      <c r="B59" s="5">
        <v>52</v>
      </c>
      <c r="C59">
        <v>1703</v>
      </c>
      <c r="D59" t="s">
        <v>6413</v>
      </c>
      <c r="E59" t="s">
        <v>110</v>
      </c>
      <c r="F59" t="s">
        <v>17</v>
      </c>
      <c r="G59" t="s">
        <v>31426</v>
      </c>
      <c r="H59">
        <v>60</v>
      </c>
      <c r="I59">
        <v>10</v>
      </c>
      <c r="L59">
        <v>10</v>
      </c>
      <c r="M59">
        <v>10</v>
      </c>
      <c r="N59">
        <v>20</v>
      </c>
      <c r="O59">
        <v>10</v>
      </c>
      <c r="P59">
        <v>110</v>
      </c>
      <c r="Q59">
        <v>30</v>
      </c>
      <c r="R59">
        <v>30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30</v>
      </c>
      <c r="Z59">
        <v>0</v>
      </c>
      <c r="AA59">
        <v>0</v>
      </c>
      <c r="AD59" t="s">
        <v>130</v>
      </c>
      <c r="AF59">
        <v>140</v>
      </c>
    </row>
    <row r="60" spans="1:32" x14ac:dyDescent="0.3">
      <c r="A60" s="4">
        <v>54</v>
      </c>
      <c r="B60" s="5">
        <v>53</v>
      </c>
      <c r="C60">
        <v>529</v>
      </c>
      <c r="D60" t="s">
        <v>871</v>
      </c>
      <c r="E60" t="s">
        <v>258</v>
      </c>
      <c r="F60" t="s">
        <v>20</v>
      </c>
      <c r="G60" t="s">
        <v>31427</v>
      </c>
      <c r="H60">
        <v>57</v>
      </c>
      <c r="I60">
        <v>10</v>
      </c>
      <c r="J60">
        <v>20</v>
      </c>
      <c r="M60">
        <v>20</v>
      </c>
      <c r="N60">
        <v>20</v>
      </c>
      <c r="O60">
        <v>10</v>
      </c>
      <c r="P60">
        <v>117</v>
      </c>
      <c r="Q60">
        <v>13</v>
      </c>
      <c r="R60">
        <v>13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13</v>
      </c>
      <c r="Z60">
        <v>9</v>
      </c>
      <c r="AA60">
        <v>0</v>
      </c>
      <c r="AD60" t="s">
        <v>130</v>
      </c>
      <c r="AF60">
        <v>139</v>
      </c>
    </row>
    <row r="61" spans="1:32" x14ac:dyDescent="0.3">
      <c r="A61" s="4">
        <v>55</v>
      </c>
      <c r="B61" s="5">
        <v>54</v>
      </c>
      <c r="C61">
        <v>296</v>
      </c>
      <c r="D61" t="s">
        <v>31428</v>
      </c>
      <c r="E61" t="s">
        <v>816</v>
      </c>
      <c r="F61" t="s">
        <v>55</v>
      </c>
      <c r="G61" t="s">
        <v>31429</v>
      </c>
      <c r="H61">
        <v>59.16</v>
      </c>
      <c r="I61">
        <v>10</v>
      </c>
      <c r="M61">
        <v>0</v>
      </c>
      <c r="N61">
        <v>20</v>
      </c>
      <c r="O61">
        <v>10</v>
      </c>
      <c r="P61">
        <v>99.16</v>
      </c>
      <c r="Q61">
        <v>39</v>
      </c>
      <c r="R61">
        <v>39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39</v>
      </c>
      <c r="Z61">
        <v>0</v>
      </c>
      <c r="AA61">
        <v>0</v>
      </c>
      <c r="AD61" t="s">
        <v>130</v>
      </c>
      <c r="AF61">
        <v>138.16</v>
      </c>
    </row>
    <row r="62" spans="1:32" x14ac:dyDescent="0.3">
      <c r="A62" s="4">
        <v>56</v>
      </c>
      <c r="B62" s="5">
        <v>55</v>
      </c>
      <c r="C62">
        <v>1501</v>
      </c>
      <c r="D62" t="s">
        <v>3931</v>
      </c>
      <c r="E62" t="s">
        <v>342</v>
      </c>
      <c r="F62" t="s">
        <v>167</v>
      </c>
      <c r="G62" t="s">
        <v>31430</v>
      </c>
      <c r="H62">
        <v>60</v>
      </c>
      <c r="I62">
        <v>10</v>
      </c>
      <c r="J62">
        <v>20</v>
      </c>
      <c r="M62">
        <v>20</v>
      </c>
      <c r="N62">
        <v>20</v>
      </c>
      <c r="O62">
        <v>10</v>
      </c>
      <c r="P62">
        <v>120</v>
      </c>
      <c r="Q62">
        <v>12</v>
      </c>
      <c r="R62">
        <v>12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12</v>
      </c>
      <c r="Z62">
        <v>6</v>
      </c>
      <c r="AA62">
        <v>0</v>
      </c>
      <c r="AD62" t="s">
        <v>130</v>
      </c>
      <c r="AF62">
        <v>138</v>
      </c>
    </row>
    <row r="63" spans="1:32" x14ac:dyDescent="0.3">
      <c r="A63" s="4">
        <v>57</v>
      </c>
      <c r="B63" s="5">
        <v>56</v>
      </c>
      <c r="C63">
        <v>767</v>
      </c>
      <c r="D63" t="s">
        <v>31431</v>
      </c>
      <c r="E63" t="s">
        <v>81</v>
      </c>
      <c r="F63" t="s">
        <v>230</v>
      </c>
      <c r="G63" t="s">
        <v>31432</v>
      </c>
      <c r="H63">
        <v>60</v>
      </c>
      <c r="I63">
        <v>10</v>
      </c>
      <c r="L63">
        <v>10</v>
      </c>
      <c r="M63">
        <v>10</v>
      </c>
      <c r="N63">
        <v>20</v>
      </c>
      <c r="O63">
        <v>10</v>
      </c>
      <c r="P63">
        <v>110</v>
      </c>
      <c r="Q63">
        <v>22</v>
      </c>
      <c r="R63">
        <v>22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22</v>
      </c>
      <c r="Z63">
        <v>6</v>
      </c>
      <c r="AA63">
        <v>0</v>
      </c>
      <c r="AD63" t="s">
        <v>130</v>
      </c>
      <c r="AF63">
        <v>138</v>
      </c>
    </row>
    <row r="64" spans="1:32" x14ac:dyDescent="0.3">
      <c r="A64" s="4">
        <v>58</v>
      </c>
      <c r="B64" s="5">
        <v>57</v>
      </c>
      <c r="C64">
        <v>1053</v>
      </c>
      <c r="D64" t="s">
        <v>31433</v>
      </c>
      <c r="E64" t="s">
        <v>158</v>
      </c>
      <c r="F64" t="s">
        <v>17</v>
      </c>
      <c r="G64" t="s">
        <v>31434</v>
      </c>
      <c r="H64">
        <v>55.5</v>
      </c>
      <c r="I64">
        <v>10</v>
      </c>
      <c r="M64">
        <v>0</v>
      </c>
      <c r="N64">
        <v>20</v>
      </c>
      <c r="O64">
        <v>10</v>
      </c>
      <c r="P64">
        <v>95.5</v>
      </c>
      <c r="Q64">
        <v>41</v>
      </c>
      <c r="R64">
        <v>41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41</v>
      </c>
      <c r="Z64">
        <v>0</v>
      </c>
      <c r="AA64">
        <v>0</v>
      </c>
      <c r="AD64" t="s">
        <v>130</v>
      </c>
      <c r="AF64">
        <v>136.5</v>
      </c>
    </row>
    <row r="65" spans="1:32" x14ac:dyDescent="0.3">
      <c r="A65" s="4">
        <v>59</v>
      </c>
      <c r="B65" s="5">
        <v>58</v>
      </c>
      <c r="C65">
        <v>1267</v>
      </c>
      <c r="D65" t="s">
        <v>2236</v>
      </c>
      <c r="E65" t="s">
        <v>424</v>
      </c>
      <c r="F65" t="s">
        <v>259</v>
      </c>
      <c r="G65" t="s">
        <v>31435</v>
      </c>
      <c r="H65">
        <v>60</v>
      </c>
      <c r="I65">
        <v>10</v>
      </c>
      <c r="J65">
        <v>20</v>
      </c>
      <c r="L65">
        <v>10</v>
      </c>
      <c r="M65">
        <v>20</v>
      </c>
      <c r="N65">
        <v>20</v>
      </c>
      <c r="O65">
        <v>10</v>
      </c>
      <c r="P65">
        <v>120</v>
      </c>
      <c r="Q65">
        <v>6</v>
      </c>
      <c r="R65">
        <v>6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6</v>
      </c>
      <c r="Z65">
        <v>9</v>
      </c>
      <c r="AA65">
        <v>0</v>
      </c>
      <c r="AD65" t="s">
        <v>130</v>
      </c>
      <c r="AF65">
        <v>135</v>
      </c>
    </row>
    <row r="66" spans="1:32" x14ac:dyDescent="0.3">
      <c r="A66" s="4">
        <v>60</v>
      </c>
      <c r="B66" s="5">
        <v>59</v>
      </c>
      <c r="C66">
        <v>318</v>
      </c>
      <c r="D66" t="s">
        <v>31436</v>
      </c>
      <c r="E66" t="s">
        <v>29</v>
      </c>
      <c r="F66" t="s">
        <v>117</v>
      </c>
      <c r="G66" t="s">
        <v>31437</v>
      </c>
      <c r="H66">
        <v>60</v>
      </c>
      <c r="I66">
        <v>10</v>
      </c>
      <c r="J66">
        <v>20</v>
      </c>
      <c r="M66">
        <v>20</v>
      </c>
      <c r="N66">
        <v>20</v>
      </c>
      <c r="O66">
        <v>10</v>
      </c>
      <c r="P66">
        <v>120</v>
      </c>
      <c r="Q66">
        <v>15</v>
      </c>
      <c r="R66">
        <v>15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15</v>
      </c>
      <c r="Z66">
        <v>0</v>
      </c>
      <c r="AA66">
        <v>0</v>
      </c>
      <c r="AD66" t="s">
        <v>130</v>
      </c>
      <c r="AF66">
        <v>135</v>
      </c>
    </row>
    <row r="67" spans="1:32" x14ac:dyDescent="0.3">
      <c r="A67" s="4">
        <v>61</v>
      </c>
      <c r="B67" s="5">
        <v>60</v>
      </c>
      <c r="C67">
        <v>885</v>
      </c>
      <c r="D67" t="s">
        <v>6502</v>
      </c>
      <c r="E67" t="s">
        <v>2122</v>
      </c>
      <c r="F67" t="s">
        <v>124</v>
      </c>
      <c r="G67" t="s">
        <v>31438</v>
      </c>
      <c r="H67">
        <v>58.2</v>
      </c>
      <c r="I67">
        <v>0</v>
      </c>
      <c r="J67">
        <v>20</v>
      </c>
      <c r="M67">
        <v>20</v>
      </c>
      <c r="N67">
        <v>20</v>
      </c>
      <c r="O67">
        <v>10</v>
      </c>
      <c r="P67">
        <v>108.2</v>
      </c>
      <c r="Q67">
        <v>26</v>
      </c>
      <c r="R67">
        <v>26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26</v>
      </c>
      <c r="Z67">
        <v>0</v>
      </c>
      <c r="AA67">
        <v>0</v>
      </c>
      <c r="AB67" t="s">
        <v>130</v>
      </c>
      <c r="AD67" t="s">
        <v>130</v>
      </c>
      <c r="AF67">
        <v>134.19999999999999</v>
      </c>
    </row>
    <row r="68" spans="1:32" x14ac:dyDescent="0.3">
      <c r="A68" s="4">
        <v>62</v>
      </c>
      <c r="B68" s="5">
        <v>61</v>
      </c>
      <c r="C68">
        <v>1032</v>
      </c>
      <c r="D68" t="s">
        <v>2881</v>
      </c>
      <c r="E68" t="s">
        <v>97</v>
      </c>
      <c r="F68" t="s">
        <v>91</v>
      </c>
      <c r="G68" t="s">
        <v>31439</v>
      </c>
      <c r="H68">
        <v>57</v>
      </c>
      <c r="I68">
        <v>10</v>
      </c>
      <c r="J68">
        <v>20</v>
      </c>
      <c r="M68">
        <v>20</v>
      </c>
      <c r="N68">
        <v>20</v>
      </c>
      <c r="O68">
        <v>10</v>
      </c>
      <c r="P68">
        <v>117</v>
      </c>
      <c r="Q68">
        <v>7</v>
      </c>
      <c r="R68">
        <v>7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7</v>
      </c>
      <c r="Z68">
        <v>9</v>
      </c>
      <c r="AA68">
        <v>0</v>
      </c>
      <c r="AB68" t="s">
        <v>130</v>
      </c>
      <c r="AD68" t="s">
        <v>130</v>
      </c>
      <c r="AF68">
        <v>133</v>
      </c>
    </row>
    <row r="69" spans="1:32" x14ac:dyDescent="0.3">
      <c r="A69" s="4">
        <v>63</v>
      </c>
      <c r="B69" s="5">
        <v>62</v>
      </c>
      <c r="C69">
        <v>81</v>
      </c>
      <c r="D69" t="s">
        <v>31440</v>
      </c>
      <c r="E69" t="s">
        <v>178</v>
      </c>
      <c r="F69" t="s">
        <v>158</v>
      </c>
      <c r="G69" t="s">
        <v>31441</v>
      </c>
      <c r="H69">
        <v>54</v>
      </c>
      <c r="I69">
        <v>10</v>
      </c>
      <c r="L69">
        <v>10</v>
      </c>
      <c r="M69">
        <v>10</v>
      </c>
      <c r="N69">
        <v>20</v>
      </c>
      <c r="O69">
        <v>10</v>
      </c>
      <c r="P69">
        <v>104</v>
      </c>
      <c r="Q69">
        <v>16</v>
      </c>
      <c r="R69">
        <v>16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16</v>
      </c>
      <c r="Z69">
        <v>12</v>
      </c>
      <c r="AA69">
        <v>0</v>
      </c>
      <c r="AD69" t="s">
        <v>130</v>
      </c>
      <c r="AF69">
        <v>132</v>
      </c>
    </row>
    <row r="70" spans="1:32" x14ac:dyDescent="0.3">
      <c r="A70" s="4">
        <v>64</v>
      </c>
      <c r="B70" s="5">
        <v>63</v>
      </c>
      <c r="C70">
        <v>18</v>
      </c>
      <c r="D70" t="s">
        <v>4773</v>
      </c>
      <c r="E70" t="s">
        <v>4774</v>
      </c>
      <c r="F70" t="s">
        <v>328</v>
      </c>
      <c r="G70" t="s">
        <v>4775</v>
      </c>
      <c r="H70">
        <v>57</v>
      </c>
      <c r="I70">
        <v>10</v>
      </c>
      <c r="M70">
        <v>0</v>
      </c>
      <c r="N70">
        <v>20</v>
      </c>
      <c r="O70">
        <v>10</v>
      </c>
      <c r="P70">
        <v>97</v>
      </c>
      <c r="Q70">
        <v>29</v>
      </c>
      <c r="R70">
        <v>29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29</v>
      </c>
      <c r="Z70">
        <v>6</v>
      </c>
      <c r="AA70">
        <v>0</v>
      </c>
      <c r="AB70" t="s">
        <v>130</v>
      </c>
      <c r="AD70" t="s">
        <v>130</v>
      </c>
      <c r="AF70">
        <v>132</v>
      </c>
    </row>
    <row r="71" spans="1:32" x14ac:dyDescent="0.3">
      <c r="A71" s="4">
        <v>65</v>
      </c>
      <c r="B71" s="5">
        <v>64</v>
      </c>
      <c r="C71">
        <v>398</v>
      </c>
      <c r="D71" t="s">
        <v>902</v>
      </c>
      <c r="E71" t="s">
        <v>54</v>
      </c>
      <c r="F71" t="s">
        <v>117</v>
      </c>
      <c r="G71" t="s">
        <v>31442</v>
      </c>
      <c r="H71">
        <v>60</v>
      </c>
      <c r="I71">
        <v>10</v>
      </c>
      <c r="J71">
        <v>20</v>
      </c>
      <c r="M71">
        <v>20</v>
      </c>
      <c r="N71">
        <v>20</v>
      </c>
      <c r="O71">
        <v>10</v>
      </c>
      <c r="P71">
        <v>120</v>
      </c>
      <c r="Q71">
        <v>5</v>
      </c>
      <c r="R71">
        <v>5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5</v>
      </c>
      <c r="Z71">
        <v>6</v>
      </c>
      <c r="AA71">
        <v>0</v>
      </c>
      <c r="AD71" t="s">
        <v>130</v>
      </c>
      <c r="AF71">
        <v>131</v>
      </c>
    </row>
    <row r="72" spans="1:32" x14ac:dyDescent="0.3">
      <c r="A72" s="4">
        <v>66</v>
      </c>
      <c r="B72" s="5">
        <v>65</v>
      </c>
      <c r="C72">
        <v>260</v>
      </c>
      <c r="D72" t="s">
        <v>31443</v>
      </c>
      <c r="E72" t="s">
        <v>166</v>
      </c>
      <c r="F72" t="s">
        <v>117</v>
      </c>
      <c r="G72" t="s">
        <v>31444</v>
      </c>
      <c r="H72">
        <v>57</v>
      </c>
      <c r="I72">
        <v>10</v>
      </c>
      <c r="J72">
        <v>20</v>
      </c>
      <c r="M72">
        <v>20</v>
      </c>
      <c r="N72">
        <v>20</v>
      </c>
      <c r="O72">
        <v>10</v>
      </c>
      <c r="P72">
        <v>117</v>
      </c>
      <c r="Q72">
        <v>0</v>
      </c>
      <c r="R72">
        <v>0</v>
      </c>
      <c r="S72">
        <v>0</v>
      </c>
      <c r="T72">
        <v>0</v>
      </c>
      <c r="U72">
        <v>7</v>
      </c>
      <c r="V72">
        <v>10</v>
      </c>
      <c r="W72">
        <v>0</v>
      </c>
      <c r="X72">
        <v>0</v>
      </c>
      <c r="Y72">
        <v>10</v>
      </c>
      <c r="Z72">
        <v>3</v>
      </c>
      <c r="AA72">
        <v>0</v>
      </c>
      <c r="AD72" t="s">
        <v>130</v>
      </c>
      <c r="AF72">
        <v>130</v>
      </c>
    </row>
    <row r="73" spans="1:32" x14ac:dyDescent="0.3">
      <c r="A73" s="4">
        <v>67</v>
      </c>
      <c r="B73" s="5">
        <v>66</v>
      </c>
      <c r="C73">
        <v>877</v>
      </c>
      <c r="D73" t="s">
        <v>12776</v>
      </c>
      <c r="E73" t="s">
        <v>117</v>
      </c>
      <c r="F73" t="s">
        <v>68</v>
      </c>
      <c r="G73" t="s">
        <v>31445</v>
      </c>
      <c r="H73">
        <v>60</v>
      </c>
      <c r="I73">
        <v>10</v>
      </c>
      <c r="J73">
        <v>20</v>
      </c>
      <c r="M73">
        <v>20</v>
      </c>
      <c r="N73">
        <v>20</v>
      </c>
      <c r="O73">
        <v>10</v>
      </c>
      <c r="P73">
        <v>120</v>
      </c>
      <c r="Q73">
        <v>10</v>
      </c>
      <c r="R73">
        <v>10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10</v>
      </c>
      <c r="Z73">
        <v>0</v>
      </c>
      <c r="AA73">
        <v>0</v>
      </c>
      <c r="AD73" t="s">
        <v>130</v>
      </c>
      <c r="AF73">
        <v>130</v>
      </c>
    </row>
    <row r="74" spans="1:32" x14ac:dyDescent="0.3">
      <c r="A74" s="4">
        <v>68</v>
      </c>
      <c r="B74" s="5">
        <v>67</v>
      </c>
      <c r="C74">
        <v>793</v>
      </c>
      <c r="D74" t="s">
        <v>28980</v>
      </c>
      <c r="E74" t="s">
        <v>26</v>
      </c>
      <c r="F74" t="s">
        <v>68</v>
      </c>
      <c r="G74" t="s">
        <v>31446</v>
      </c>
      <c r="H74">
        <v>57</v>
      </c>
      <c r="I74">
        <v>10</v>
      </c>
      <c r="J74">
        <v>20</v>
      </c>
      <c r="M74">
        <v>20</v>
      </c>
      <c r="N74">
        <v>20</v>
      </c>
      <c r="O74">
        <v>10</v>
      </c>
      <c r="P74">
        <v>117</v>
      </c>
      <c r="Q74">
        <v>13</v>
      </c>
      <c r="R74">
        <v>13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13</v>
      </c>
      <c r="Z74">
        <v>0</v>
      </c>
      <c r="AA74">
        <v>0</v>
      </c>
      <c r="AD74" t="s">
        <v>130</v>
      </c>
      <c r="AF74">
        <v>130</v>
      </c>
    </row>
    <row r="75" spans="1:32" x14ac:dyDescent="0.3">
      <c r="A75" s="4">
        <v>69</v>
      </c>
      <c r="B75" s="5">
        <v>68</v>
      </c>
      <c r="C75">
        <v>256</v>
      </c>
      <c r="D75" t="s">
        <v>6587</v>
      </c>
      <c r="E75" t="s">
        <v>124</v>
      </c>
      <c r="F75" t="s">
        <v>31447</v>
      </c>
      <c r="G75" t="s">
        <v>31448</v>
      </c>
      <c r="H75">
        <v>60</v>
      </c>
      <c r="I75">
        <v>0</v>
      </c>
      <c r="J75">
        <v>20</v>
      </c>
      <c r="M75">
        <v>20</v>
      </c>
      <c r="N75">
        <v>20</v>
      </c>
      <c r="O75">
        <v>10</v>
      </c>
      <c r="P75">
        <v>110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7</v>
      </c>
      <c r="X75">
        <v>20</v>
      </c>
      <c r="Y75">
        <v>20</v>
      </c>
      <c r="Z75">
        <v>0</v>
      </c>
      <c r="AA75">
        <v>0</v>
      </c>
      <c r="AD75" t="s">
        <v>130</v>
      </c>
      <c r="AF75">
        <v>130</v>
      </c>
    </row>
    <row r="76" spans="1:32" x14ac:dyDescent="0.3">
      <c r="A76" s="4">
        <v>70</v>
      </c>
      <c r="B76" s="5">
        <v>69</v>
      </c>
      <c r="C76">
        <v>957</v>
      </c>
      <c r="D76" t="s">
        <v>9127</v>
      </c>
      <c r="E76" t="s">
        <v>17</v>
      </c>
      <c r="F76" t="s">
        <v>117</v>
      </c>
      <c r="G76" t="s">
        <v>31449</v>
      </c>
      <c r="H76">
        <v>60</v>
      </c>
      <c r="I76">
        <v>10</v>
      </c>
      <c r="J76">
        <v>40</v>
      </c>
      <c r="M76">
        <v>20</v>
      </c>
      <c r="N76">
        <v>20</v>
      </c>
      <c r="O76">
        <v>10</v>
      </c>
      <c r="P76">
        <v>120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9</v>
      </c>
      <c r="AA76">
        <v>0</v>
      </c>
      <c r="AD76" t="s">
        <v>130</v>
      </c>
      <c r="AF76">
        <v>129</v>
      </c>
    </row>
    <row r="77" spans="1:32" x14ac:dyDescent="0.3">
      <c r="A77" s="4">
        <v>71</v>
      </c>
      <c r="B77" s="5">
        <v>70</v>
      </c>
      <c r="C77">
        <v>1743</v>
      </c>
      <c r="D77" t="s">
        <v>4857</v>
      </c>
      <c r="E77" t="s">
        <v>29</v>
      </c>
      <c r="F77" t="s">
        <v>17</v>
      </c>
      <c r="G77" t="s">
        <v>31450</v>
      </c>
      <c r="H77">
        <v>60</v>
      </c>
      <c r="I77">
        <v>10</v>
      </c>
      <c r="L77">
        <v>20</v>
      </c>
      <c r="M77">
        <v>20</v>
      </c>
      <c r="N77">
        <v>20</v>
      </c>
      <c r="O77">
        <v>10</v>
      </c>
      <c r="P77">
        <v>120</v>
      </c>
      <c r="Q77">
        <v>9</v>
      </c>
      <c r="R77">
        <v>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9</v>
      </c>
      <c r="Z77">
        <v>0</v>
      </c>
      <c r="AA77">
        <v>0</v>
      </c>
      <c r="AB77" t="s">
        <v>130</v>
      </c>
      <c r="AD77" t="s">
        <v>130</v>
      </c>
      <c r="AF77">
        <v>129</v>
      </c>
    </row>
    <row r="78" spans="1:32" x14ac:dyDescent="0.3">
      <c r="A78" s="4">
        <v>72</v>
      </c>
      <c r="B78" s="5">
        <v>71</v>
      </c>
      <c r="C78">
        <v>28</v>
      </c>
      <c r="D78" t="s">
        <v>31451</v>
      </c>
      <c r="E78" t="s">
        <v>97</v>
      </c>
      <c r="F78" t="s">
        <v>68</v>
      </c>
      <c r="G78" t="s">
        <v>31452</v>
      </c>
      <c r="H78">
        <v>60</v>
      </c>
      <c r="I78">
        <v>10</v>
      </c>
      <c r="L78">
        <v>10</v>
      </c>
      <c r="M78">
        <v>10</v>
      </c>
      <c r="N78">
        <v>20</v>
      </c>
      <c r="O78">
        <v>10</v>
      </c>
      <c r="P78">
        <v>110</v>
      </c>
      <c r="Q78">
        <v>7</v>
      </c>
      <c r="R78">
        <v>7</v>
      </c>
      <c r="S78">
        <v>0</v>
      </c>
      <c r="T78">
        <v>0</v>
      </c>
      <c r="U78">
        <v>0</v>
      </c>
      <c r="V78">
        <v>0</v>
      </c>
      <c r="W78">
        <v>4</v>
      </c>
      <c r="X78">
        <v>12</v>
      </c>
      <c r="Y78">
        <v>19</v>
      </c>
      <c r="Z78">
        <v>0</v>
      </c>
      <c r="AA78">
        <v>0</v>
      </c>
      <c r="AD78" t="s">
        <v>130</v>
      </c>
      <c r="AF78">
        <v>129</v>
      </c>
    </row>
    <row r="79" spans="1:32" x14ac:dyDescent="0.3">
      <c r="A79" s="4">
        <v>73</v>
      </c>
      <c r="B79" s="5">
        <v>72</v>
      </c>
      <c r="C79">
        <v>1265</v>
      </c>
      <c r="D79" t="s">
        <v>31453</v>
      </c>
      <c r="E79" t="s">
        <v>208</v>
      </c>
      <c r="F79" t="s">
        <v>124</v>
      </c>
      <c r="G79" t="s">
        <v>31454</v>
      </c>
      <c r="H79">
        <v>60</v>
      </c>
      <c r="I79">
        <v>10</v>
      </c>
      <c r="J79">
        <v>20</v>
      </c>
      <c r="L79">
        <v>10</v>
      </c>
      <c r="M79">
        <v>20</v>
      </c>
      <c r="N79">
        <v>20</v>
      </c>
      <c r="O79">
        <v>10</v>
      </c>
      <c r="P79">
        <v>120</v>
      </c>
      <c r="Q79">
        <v>8</v>
      </c>
      <c r="R79">
        <v>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8</v>
      </c>
      <c r="Z79">
        <v>0</v>
      </c>
      <c r="AA79">
        <v>0</v>
      </c>
      <c r="AB79" t="s">
        <v>130</v>
      </c>
      <c r="AD79" t="s">
        <v>130</v>
      </c>
      <c r="AF79">
        <v>128</v>
      </c>
    </row>
    <row r="80" spans="1:32" x14ac:dyDescent="0.3">
      <c r="A80" s="4">
        <v>74</v>
      </c>
      <c r="B80" s="5">
        <v>73</v>
      </c>
      <c r="C80">
        <v>518</v>
      </c>
      <c r="D80" t="s">
        <v>31455</v>
      </c>
      <c r="E80" t="s">
        <v>29</v>
      </c>
      <c r="F80" t="s">
        <v>243</v>
      </c>
      <c r="G80" t="s">
        <v>31456</v>
      </c>
      <c r="H80">
        <v>60</v>
      </c>
      <c r="I80">
        <v>0</v>
      </c>
      <c r="L80">
        <v>10</v>
      </c>
      <c r="M80">
        <v>10</v>
      </c>
      <c r="N80">
        <v>20</v>
      </c>
      <c r="O80">
        <v>10</v>
      </c>
      <c r="P80">
        <v>100</v>
      </c>
      <c r="Q80">
        <v>28</v>
      </c>
      <c r="R80">
        <v>28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28</v>
      </c>
      <c r="Z80">
        <v>0</v>
      </c>
      <c r="AA80">
        <v>0</v>
      </c>
      <c r="AD80" t="s">
        <v>130</v>
      </c>
      <c r="AF80">
        <v>128</v>
      </c>
    </row>
    <row r="81" spans="1:32" x14ac:dyDescent="0.3">
      <c r="A81" s="4">
        <v>75</v>
      </c>
      <c r="B81" s="5">
        <v>74</v>
      </c>
      <c r="C81">
        <v>692</v>
      </c>
      <c r="D81" t="s">
        <v>31457</v>
      </c>
      <c r="E81" t="s">
        <v>29</v>
      </c>
      <c r="F81" t="s">
        <v>68</v>
      </c>
      <c r="G81" t="s">
        <v>31458</v>
      </c>
      <c r="H81">
        <v>59.52</v>
      </c>
      <c r="I81">
        <v>10</v>
      </c>
      <c r="J81">
        <v>20</v>
      </c>
      <c r="L81">
        <v>10</v>
      </c>
      <c r="M81">
        <v>20</v>
      </c>
      <c r="N81">
        <v>20</v>
      </c>
      <c r="O81">
        <v>10</v>
      </c>
      <c r="P81">
        <v>119.52</v>
      </c>
      <c r="Q81">
        <v>8</v>
      </c>
      <c r="R81">
        <v>8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8</v>
      </c>
      <c r="Z81">
        <v>0</v>
      </c>
      <c r="AA81">
        <v>0</v>
      </c>
      <c r="AD81" t="s">
        <v>130</v>
      </c>
      <c r="AF81">
        <v>127.52</v>
      </c>
    </row>
    <row r="82" spans="1:32" x14ac:dyDescent="0.3">
      <c r="A82" s="4">
        <v>76</v>
      </c>
      <c r="B82" s="5">
        <v>75</v>
      </c>
      <c r="C82">
        <v>657</v>
      </c>
      <c r="D82" t="s">
        <v>31459</v>
      </c>
      <c r="E82" t="s">
        <v>31460</v>
      </c>
      <c r="F82" t="s">
        <v>238</v>
      </c>
      <c r="G82" t="s">
        <v>31461</v>
      </c>
      <c r="H82">
        <v>60</v>
      </c>
      <c r="I82">
        <v>10</v>
      </c>
      <c r="J82">
        <v>20</v>
      </c>
      <c r="M82">
        <v>20</v>
      </c>
      <c r="N82">
        <v>20</v>
      </c>
      <c r="O82">
        <v>10</v>
      </c>
      <c r="P82">
        <v>120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6</v>
      </c>
      <c r="AA82">
        <v>0</v>
      </c>
      <c r="AD82" t="s">
        <v>130</v>
      </c>
      <c r="AF82">
        <v>126</v>
      </c>
    </row>
    <row r="83" spans="1:32" x14ac:dyDescent="0.3">
      <c r="A83" s="4">
        <v>77</v>
      </c>
      <c r="B83" s="5">
        <v>76</v>
      </c>
      <c r="C83">
        <v>1599</v>
      </c>
      <c r="D83" t="s">
        <v>11584</v>
      </c>
      <c r="E83" t="s">
        <v>132</v>
      </c>
      <c r="F83" t="s">
        <v>972</v>
      </c>
      <c r="G83" t="s">
        <v>31462</v>
      </c>
      <c r="H83">
        <v>60</v>
      </c>
      <c r="I83">
        <v>10</v>
      </c>
      <c r="J83">
        <v>20</v>
      </c>
      <c r="L83">
        <v>10</v>
      </c>
      <c r="M83">
        <v>20</v>
      </c>
      <c r="N83">
        <v>20</v>
      </c>
      <c r="O83">
        <v>10</v>
      </c>
      <c r="P83">
        <v>120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6</v>
      </c>
      <c r="AA83">
        <v>0</v>
      </c>
      <c r="AD83" t="s">
        <v>130</v>
      </c>
      <c r="AF83">
        <v>126</v>
      </c>
    </row>
    <row r="84" spans="1:32" x14ac:dyDescent="0.3">
      <c r="A84" s="4">
        <v>78</v>
      </c>
      <c r="B84" s="5">
        <v>77</v>
      </c>
      <c r="C84">
        <v>1610</v>
      </c>
      <c r="D84" t="s">
        <v>31463</v>
      </c>
      <c r="E84" t="s">
        <v>13673</v>
      </c>
      <c r="F84" t="s">
        <v>12409</v>
      </c>
      <c r="G84" t="s">
        <v>31464</v>
      </c>
      <c r="H84">
        <v>60</v>
      </c>
      <c r="I84">
        <v>10</v>
      </c>
      <c r="J84">
        <v>20</v>
      </c>
      <c r="M84">
        <v>20</v>
      </c>
      <c r="N84">
        <v>20</v>
      </c>
      <c r="O84">
        <v>10</v>
      </c>
      <c r="P84">
        <v>120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6</v>
      </c>
      <c r="AA84">
        <v>0</v>
      </c>
      <c r="AD84" t="s">
        <v>130</v>
      </c>
      <c r="AF84">
        <v>126</v>
      </c>
    </row>
    <row r="85" spans="1:32" x14ac:dyDescent="0.3">
      <c r="A85" s="4">
        <v>79</v>
      </c>
      <c r="B85" s="5">
        <v>78</v>
      </c>
      <c r="C85">
        <v>1557</v>
      </c>
      <c r="D85" t="s">
        <v>31465</v>
      </c>
      <c r="E85" t="s">
        <v>320</v>
      </c>
      <c r="F85" t="s">
        <v>136</v>
      </c>
      <c r="G85" t="s">
        <v>31466</v>
      </c>
      <c r="H85">
        <v>57.96</v>
      </c>
      <c r="I85">
        <v>10</v>
      </c>
      <c r="M85">
        <v>0</v>
      </c>
      <c r="N85">
        <v>20</v>
      </c>
      <c r="O85">
        <v>10</v>
      </c>
      <c r="P85">
        <v>97.96</v>
      </c>
      <c r="Q85">
        <v>25</v>
      </c>
      <c r="R85">
        <v>25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25</v>
      </c>
      <c r="Z85">
        <v>3</v>
      </c>
      <c r="AA85">
        <v>0</v>
      </c>
      <c r="AD85" t="s">
        <v>130</v>
      </c>
      <c r="AF85">
        <v>125.96</v>
      </c>
    </row>
    <row r="86" spans="1:32" x14ac:dyDescent="0.3">
      <c r="A86" s="4">
        <v>80</v>
      </c>
      <c r="B86" s="5">
        <v>79</v>
      </c>
      <c r="C86">
        <v>1727</v>
      </c>
      <c r="D86" t="s">
        <v>27916</v>
      </c>
      <c r="E86" t="s">
        <v>454</v>
      </c>
      <c r="F86" t="s">
        <v>20</v>
      </c>
      <c r="G86" t="s">
        <v>31467</v>
      </c>
      <c r="H86">
        <v>58.8</v>
      </c>
      <c r="I86">
        <v>10</v>
      </c>
      <c r="M86">
        <v>0</v>
      </c>
      <c r="N86">
        <v>20</v>
      </c>
      <c r="O86">
        <v>0</v>
      </c>
      <c r="P86">
        <v>88.8</v>
      </c>
      <c r="Q86">
        <v>30</v>
      </c>
      <c r="R86">
        <v>30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30</v>
      </c>
      <c r="Z86">
        <v>6</v>
      </c>
      <c r="AA86">
        <v>0</v>
      </c>
      <c r="AD86" t="s">
        <v>130</v>
      </c>
      <c r="AF86">
        <v>124.8</v>
      </c>
    </row>
    <row r="87" spans="1:32" x14ac:dyDescent="0.3">
      <c r="A87" s="4">
        <v>81</v>
      </c>
      <c r="B87" s="5">
        <v>80</v>
      </c>
      <c r="C87">
        <v>1624</v>
      </c>
      <c r="D87" t="s">
        <v>6547</v>
      </c>
      <c r="E87" t="s">
        <v>349</v>
      </c>
      <c r="F87" t="s">
        <v>81</v>
      </c>
      <c r="G87" t="s">
        <v>31468</v>
      </c>
      <c r="H87">
        <v>51</v>
      </c>
      <c r="I87">
        <v>0</v>
      </c>
      <c r="J87">
        <v>20</v>
      </c>
      <c r="L87">
        <v>10</v>
      </c>
      <c r="M87">
        <v>20</v>
      </c>
      <c r="N87">
        <v>20</v>
      </c>
      <c r="O87">
        <v>10</v>
      </c>
      <c r="P87">
        <v>101</v>
      </c>
      <c r="Q87">
        <v>13</v>
      </c>
      <c r="R87">
        <v>13</v>
      </c>
      <c r="S87">
        <v>0</v>
      </c>
      <c r="T87">
        <v>0</v>
      </c>
      <c r="U87">
        <v>5</v>
      </c>
      <c r="V87">
        <v>7.5</v>
      </c>
      <c r="W87">
        <v>0</v>
      </c>
      <c r="X87">
        <v>0</v>
      </c>
      <c r="Y87">
        <v>20.5</v>
      </c>
      <c r="Z87">
        <v>3</v>
      </c>
      <c r="AA87">
        <v>0</v>
      </c>
      <c r="AD87" t="s">
        <v>130</v>
      </c>
      <c r="AF87">
        <v>124.5</v>
      </c>
    </row>
    <row r="88" spans="1:32" x14ac:dyDescent="0.3">
      <c r="A88" s="4">
        <v>82</v>
      </c>
      <c r="B88" s="5">
        <v>81</v>
      </c>
      <c r="C88">
        <v>749</v>
      </c>
      <c r="D88" t="s">
        <v>7248</v>
      </c>
      <c r="E88" t="s">
        <v>29</v>
      </c>
      <c r="F88" t="s">
        <v>14</v>
      </c>
      <c r="G88" t="s">
        <v>31469</v>
      </c>
      <c r="H88">
        <v>53.1</v>
      </c>
      <c r="I88">
        <v>0</v>
      </c>
      <c r="J88">
        <v>20</v>
      </c>
      <c r="M88">
        <v>20</v>
      </c>
      <c r="N88">
        <v>20</v>
      </c>
      <c r="O88">
        <v>10</v>
      </c>
      <c r="P88">
        <v>103.1</v>
      </c>
      <c r="Q88">
        <v>14</v>
      </c>
      <c r="R88">
        <v>14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14</v>
      </c>
      <c r="Z88">
        <v>6</v>
      </c>
      <c r="AA88">
        <v>0</v>
      </c>
      <c r="AB88" t="s">
        <v>130</v>
      </c>
      <c r="AD88" t="s">
        <v>130</v>
      </c>
      <c r="AF88">
        <v>123.1</v>
      </c>
    </row>
    <row r="89" spans="1:32" x14ac:dyDescent="0.3">
      <c r="A89" s="4">
        <v>83</v>
      </c>
      <c r="B89" s="5">
        <v>82</v>
      </c>
      <c r="C89">
        <v>275</v>
      </c>
      <c r="D89" t="s">
        <v>22106</v>
      </c>
      <c r="E89" t="s">
        <v>1190</v>
      </c>
      <c r="F89" t="s">
        <v>972</v>
      </c>
      <c r="G89" t="s">
        <v>31470</v>
      </c>
      <c r="H89">
        <v>57</v>
      </c>
      <c r="I89">
        <v>0</v>
      </c>
      <c r="M89">
        <v>0</v>
      </c>
      <c r="N89">
        <v>20</v>
      </c>
      <c r="O89">
        <v>10</v>
      </c>
      <c r="P89">
        <v>87</v>
      </c>
      <c r="Q89">
        <v>8</v>
      </c>
      <c r="R89">
        <v>8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8</v>
      </c>
      <c r="Z89">
        <v>0</v>
      </c>
      <c r="AA89">
        <v>28</v>
      </c>
      <c r="AD89" t="s">
        <v>130</v>
      </c>
      <c r="AF89">
        <v>123</v>
      </c>
    </row>
    <row r="90" spans="1:32" x14ac:dyDescent="0.3">
      <c r="A90" s="4">
        <v>84</v>
      </c>
      <c r="B90" s="5">
        <v>83</v>
      </c>
      <c r="C90">
        <v>90</v>
      </c>
      <c r="D90" t="s">
        <v>31471</v>
      </c>
      <c r="E90" t="s">
        <v>97</v>
      </c>
      <c r="F90" t="s">
        <v>81</v>
      </c>
      <c r="G90" t="s">
        <v>31472</v>
      </c>
      <c r="H90">
        <v>57</v>
      </c>
      <c r="I90">
        <v>10</v>
      </c>
      <c r="L90">
        <v>20</v>
      </c>
      <c r="M90">
        <v>20</v>
      </c>
      <c r="N90">
        <v>20</v>
      </c>
      <c r="O90">
        <v>10</v>
      </c>
      <c r="P90">
        <v>117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6</v>
      </c>
      <c r="AA90">
        <v>0</v>
      </c>
      <c r="AD90" t="s">
        <v>130</v>
      </c>
      <c r="AF90">
        <v>123</v>
      </c>
    </row>
    <row r="91" spans="1:32" x14ac:dyDescent="0.3">
      <c r="A91" s="4">
        <v>85</v>
      </c>
      <c r="B91" s="5">
        <v>84</v>
      </c>
      <c r="C91">
        <v>464</v>
      </c>
      <c r="D91" t="s">
        <v>249</v>
      </c>
      <c r="E91" t="s">
        <v>11601</v>
      </c>
      <c r="F91" t="s">
        <v>117</v>
      </c>
      <c r="G91" t="s">
        <v>31473</v>
      </c>
      <c r="H91">
        <v>60</v>
      </c>
      <c r="I91">
        <v>10</v>
      </c>
      <c r="J91">
        <v>20</v>
      </c>
      <c r="M91">
        <v>20</v>
      </c>
      <c r="N91">
        <v>20</v>
      </c>
      <c r="O91">
        <v>10</v>
      </c>
      <c r="P91">
        <v>120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3</v>
      </c>
      <c r="AA91">
        <v>0</v>
      </c>
      <c r="AD91" t="s">
        <v>130</v>
      </c>
      <c r="AF91">
        <v>123</v>
      </c>
    </row>
    <row r="92" spans="1:32" x14ac:dyDescent="0.3">
      <c r="A92" s="4">
        <v>86</v>
      </c>
      <c r="B92" s="5">
        <v>85</v>
      </c>
      <c r="C92">
        <v>465</v>
      </c>
      <c r="D92" t="s">
        <v>31474</v>
      </c>
      <c r="E92" t="s">
        <v>20</v>
      </c>
      <c r="F92" t="s">
        <v>782</v>
      </c>
      <c r="G92" t="s">
        <v>31475</v>
      </c>
      <c r="H92">
        <v>60</v>
      </c>
      <c r="I92">
        <v>10</v>
      </c>
      <c r="J92">
        <v>40</v>
      </c>
      <c r="M92">
        <v>20</v>
      </c>
      <c r="N92">
        <v>20</v>
      </c>
      <c r="O92">
        <v>10</v>
      </c>
      <c r="P92">
        <v>120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3</v>
      </c>
      <c r="AA92">
        <v>0</v>
      </c>
      <c r="AD92" t="s">
        <v>130</v>
      </c>
      <c r="AF92">
        <v>123</v>
      </c>
    </row>
    <row r="93" spans="1:32" x14ac:dyDescent="0.3">
      <c r="A93" s="4">
        <v>87</v>
      </c>
      <c r="B93" s="5">
        <v>86</v>
      </c>
      <c r="C93">
        <v>313</v>
      </c>
      <c r="D93" t="s">
        <v>2490</v>
      </c>
      <c r="E93" t="s">
        <v>54</v>
      </c>
      <c r="F93" t="s">
        <v>124</v>
      </c>
      <c r="G93" t="s">
        <v>31476</v>
      </c>
      <c r="H93">
        <v>60</v>
      </c>
      <c r="I93">
        <v>10</v>
      </c>
      <c r="J93">
        <v>20</v>
      </c>
      <c r="K93">
        <v>15</v>
      </c>
      <c r="M93">
        <v>20</v>
      </c>
      <c r="N93">
        <v>20</v>
      </c>
      <c r="O93">
        <v>10</v>
      </c>
      <c r="P93">
        <v>120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3</v>
      </c>
      <c r="AA93">
        <v>0</v>
      </c>
      <c r="AD93" t="s">
        <v>130</v>
      </c>
      <c r="AF93">
        <v>123</v>
      </c>
    </row>
    <row r="94" spans="1:32" x14ac:dyDescent="0.3">
      <c r="A94" s="4">
        <v>88</v>
      </c>
      <c r="B94" s="5">
        <v>87</v>
      </c>
      <c r="C94">
        <v>381</v>
      </c>
      <c r="D94" t="s">
        <v>5483</v>
      </c>
      <c r="E94" t="s">
        <v>41</v>
      </c>
      <c r="F94" t="s">
        <v>136</v>
      </c>
      <c r="G94" t="s">
        <v>31477</v>
      </c>
      <c r="H94">
        <v>57</v>
      </c>
      <c r="I94">
        <v>0</v>
      </c>
      <c r="J94">
        <v>20</v>
      </c>
      <c r="L94">
        <v>10</v>
      </c>
      <c r="M94">
        <v>20</v>
      </c>
      <c r="N94">
        <v>20</v>
      </c>
      <c r="O94">
        <v>10</v>
      </c>
      <c r="P94">
        <v>107</v>
      </c>
      <c r="Q94">
        <v>13</v>
      </c>
      <c r="R94">
        <v>13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13</v>
      </c>
      <c r="Z94">
        <v>3</v>
      </c>
      <c r="AA94">
        <v>0</v>
      </c>
      <c r="AD94" t="s">
        <v>130</v>
      </c>
      <c r="AF94">
        <v>123</v>
      </c>
    </row>
    <row r="95" spans="1:32" x14ac:dyDescent="0.3">
      <c r="A95" s="4">
        <v>89</v>
      </c>
      <c r="B95" s="5">
        <v>88</v>
      </c>
      <c r="C95">
        <v>1505</v>
      </c>
      <c r="D95" t="s">
        <v>31478</v>
      </c>
      <c r="E95" t="s">
        <v>30</v>
      </c>
      <c r="F95" t="s">
        <v>136</v>
      </c>
      <c r="G95" t="s">
        <v>31479</v>
      </c>
      <c r="H95">
        <v>60</v>
      </c>
      <c r="I95">
        <v>10</v>
      </c>
      <c r="K95">
        <v>15</v>
      </c>
      <c r="M95">
        <v>15</v>
      </c>
      <c r="N95">
        <v>20</v>
      </c>
      <c r="O95">
        <v>10</v>
      </c>
      <c r="P95">
        <v>115</v>
      </c>
      <c r="Q95">
        <v>8</v>
      </c>
      <c r="R95">
        <v>8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8</v>
      </c>
      <c r="Z95">
        <v>0</v>
      </c>
      <c r="AA95">
        <v>0</v>
      </c>
      <c r="AD95" t="s">
        <v>130</v>
      </c>
      <c r="AF95">
        <v>123</v>
      </c>
    </row>
    <row r="96" spans="1:32" x14ac:dyDescent="0.3">
      <c r="A96" s="4">
        <v>90</v>
      </c>
      <c r="B96" s="5">
        <v>89</v>
      </c>
      <c r="C96">
        <v>118</v>
      </c>
      <c r="D96" t="s">
        <v>31480</v>
      </c>
      <c r="E96" t="s">
        <v>33</v>
      </c>
      <c r="F96" t="s">
        <v>117</v>
      </c>
      <c r="G96" t="s">
        <v>31481</v>
      </c>
      <c r="H96">
        <v>54</v>
      </c>
      <c r="I96">
        <v>10</v>
      </c>
      <c r="J96">
        <v>20</v>
      </c>
      <c r="M96">
        <v>20</v>
      </c>
      <c r="N96">
        <v>20</v>
      </c>
      <c r="O96">
        <v>10</v>
      </c>
      <c r="P96">
        <v>114</v>
      </c>
      <c r="Q96">
        <v>9</v>
      </c>
      <c r="R96">
        <v>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9</v>
      </c>
      <c r="Z96">
        <v>0</v>
      </c>
      <c r="AA96">
        <v>0</v>
      </c>
      <c r="AD96" t="s">
        <v>130</v>
      </c>
      <c r="AF96">
        <v>123</v>
      </c>
    </row>
    <row r="97" spans="1:32" x14ac:dyDescent="0.3">
      <c r="A97" s="4">
        <v>91</v>
      </c>
      <c r="B97" s="5">
        <v>90</v>
      </c>
      <c r="C97">
        <v>188</v>
      </c>
      <c r="D97" t="s">
        <v>1894</v>
      </c>
      <c r="E97" t="s">
        <v>26</v>
      </c>
      <c r="F97" t="s">
        <v>38</v>
      </c>
      <c r="G97" t="s">
        <v>32021</v>
      </c>
      <c r="H97">
        <v>51</v>
      </c>
      <c r="I97">
        <v>10</v>
      </c>
      <c r="J97">
        <v>20</v>
      </c>
      <c r="M97">
        <v>20</v>
      </c>
      <c r="N97">
        <v>20</v>
      </c>
      <c r="O97">
        <v>10</v>
      </c>
      <c r="P97">
        <v>111</v>
      </c>
      <c r="Q97">
        <v>11</v>
      </c>
      <c r="R97">
        <v>11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11</v>
      </c>
      <c r="Z97">
        <v>0</v>
      </c>
      <c r="AA97">
        <v>0</v>
      </c>
      <c r="AD97" t="s">
        <v>130</v>
      </c>
      <c r="AF97">
        <v>122</v>
      </c>
    </row>
    <row r="98" spans="1:32" x14ac:dyDescent="0.3">
      <c r="A98" s="4">
        <v>92</v>
      </c>
      <c r="B98" s="5">
        <v>91</v>
      </c>
      <c r="C98">
        <v>1079</v>
      </c>
      <c r="D98" t="s">
        <v>28836</v>
      </c>
      <c r="E98" t="s">
        <v>29</v>
      </c>
      <c r="F98" t="s">
        <v>62</v>
      </c>
      <c r="G98" t="s">
        <v>31482</v>
      </c>
      <c r="H98">
        <v>57.6</v>
      </c>
      <c r="I98">
        <v>10</v>
      </c>
      <c r="J98">
        <v>20</v>
      </c>
      <c r="M98">
        <v>20</v>
      </c>
      <c r="N98">
        <v>20</v>
      </c>
      <c r="O98">
        <v>10</v>
      </c>
      <c r="P98">
        <v>117.6</v>
      </c>
      <c r="Q98">
        <v>4</v>
      </c>
      <c r="R98">
        <v>4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4</v>
      </c>
      <c r="Z98">
        <v>0</v>
      </c>
      <c r="AA98">
        <v>0</v>
      </c>
      <c r="AB98" t="s">
        <v>130</v>
      </c>
      <c r="AD98" t="s">
        <v>130</v>
      </c>
      <c r="AF98">
        <v>121.6</v>
      </c>
    </row>
    <row r="99" spans="1:32" x14ac:dyDescent="0.3">
      <c r="A99" s="4">
        <v>93</v>
      </c>
      <c r="B99" s="5">
        <v>92</v>
      </c>
      <c r="C99">
        <v>1272</v>
      </c>
      <c r="D99" t="s">
        <v>31483</v>
      </c>
      <c r="E99" t="s">
        <v>29</v>
      </c>
      <c r="F99" t="s">
        <v>38</v>
      </c>
      <c r="G99" t="s">
        <v>31484</v>
      </c>
      <c r="H99">
        <v>60</v>
      </c>
      <c r="I99">
        <v>10</v>
      </c>
      <c r="K99">
        <v>15</v>
      </c>
      <c r="M99">
        <v>15</v>
      </c>
      <c r="N99">
        <v>20</v>
      </c>
      <c r="O99">
        <v>10</v>
      </c>
      <c r="P99">
        <v>115</v>
      </c>
      <c r="Q99">
        <v>6</v>
      </c>
      <c r="R99">
        <v>6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6</v>
      </c>
      <c r="Z99">
        <v>0</v>
      </c>
      <c r="AA99">
        <v>0</v>
      </c>
      <c r="AD99" t="s">
        <v>130</v>
      </c>
      <c r="AF99">
        <v>121</v>
      </c>
    </row>
    <row r="100" spans="1:32" x14ac:dyDescent="0.3">
      <c r="A100" s="4">
        <v>94</v>
      </c>
      <c r="B100" s="5">
        <v>93</v>
      </c>
      <c r="C100">
        <v>486</v>
      </c>
      <c r="D100" t="s">
        <v>31485</v>
      </c>
      <c r="E100" t="s">
        <v>81</v>
      </c>
      <c r="F100" t="s">
        <v>124</v>
      </c>
      <c r="G100" t="s">
        <v>31486</v>
      </c>
      <c r="H100">
        <v>60</v>
      </c>
      <c r="I100">
        <v>0</v>
      </c>
      <c r="L100">
        <v>20</v>
      </c>
      <c r="M100">
        <v>20</v>
      </c>
      <c r="N100">
        <v>20</v>
      </c>
      <c r="O100">
        <v>10</v>
      </c>
      <c r="P100">
        <v>110</v>
      </c>
      <c r="Q100">
        <v>0</v>
      </c>
      <c r="R100">
        <v>0</v>
      </c>
      <c r="S100">
        <v>0</v>
      </c>
      <c r="T100">
        <v>0</v>
      </c>
      <c r="U100">
        <v>5</v>
      </c>
      <c r="V100">
        <v>7.5</v>
      </c>
      <c r="W100">
        <v>0</v>
      </c>
      <c r="X100">
        <v>0</v>
      </c>
      <c r="Y100">
        <v>7.5</v>
      </c>
      <c r="Z100">
        <v>3</v>
      </c>
      <c r="AA100">
        <v>0</v>
      </c>
      <c r="AD100" t="s">
        <v>130</v>
      </c>
      <c r="AF100">
        <v>120.5</v>
      </c>
    </row>
    <row r="101" spans="1:32" x14ac:dyDescent="0.3">
      <c r="A101" s="4">
        <v>95</v>
      </c>
      <c r="B101" s="5">
        <v>94</v>
      </c>
      <c r="C101">
        <v>640</v>
      </c>
      <c r="D101" t="s">
        <v>31487</v>
      </c>
      <c r="E101" t="s">
        <v>37</v>
      </c>
      <c r="F101" t="s">
        <v>17</v>
      </c>
      <c r="G101" t="s">
        <v>31488</v>
      </c>
      <c r="H101">
        <v>44.4</v>
      </c>
      <c r="I101">
        <v>0</v>
      </c>
      <c r="J101">
        <v>20</v>
      </c>
      <c r="L101">
        <v>10</v>
      </c>
      <c r="M101">
        <v>20</v>
      </c>
      <c r="N101">
        <v>20</v>
      </c>
      <c r="O101">
        <v>10</v>
      </c>
      <c r="P101">
        <v>94.4</v>
      </c>
      <c r="Q101">
        <v>16</v>
      </c>
      <c r="R101">
        <v>16</v>
      </c>
      <c r="S101">
        <v>0</v>
      </c>
      <c r="T101">
        <v>0</v>
      </c>
      <c r="U101">
        <v>7</v>
      </c>
      <c r="V101">
        <v>10</v>
      </c>
      <c r="W101">
        <v>0</v>
      </c>
      <c r="X101">
        <v>0</v>
      </c>
      <c r="Y101">
        <v>26</v>
      </c>
      <c r="Z101">
        <v>0</v>
      </c>
      <c r="AA101">
        <v>0</v>
      </c>
      <c r="AD101" t="s">
        <v>130</v>
      </c>
      <c r="AF101">
        <v>120.4</v>
      </c>
    </row>
    <row r="102" spans="1:32" x14ac:dyDescent="0.3">
      <c r="A102" s="4">
        <v>96</v>
      </c>
      <c r="B102" s="5">
        <v>95</v>
      </c>
      <c r="C102">
        <v>830</v>
      </c>
      <c r="D102" t="s">
        <v>31489</v>
      </c>
      <c r="E102" t="s">
        <v>390</v>
      </c>
      <c r="F102" t="s">
        <v>136</v>
      </c>
      <c r="G102" t="s">
        <v>31490</v>
      </c>
      <c r="H102">
        <v>60</v>
      </c>
      <c r="I102">
        <v>10</v>
      </c>
      <c r="J102">
        <v>20</v>
      </c>
      <c r="M102">
        <v>20</v>
      </c>
      <c r="N102">
        <v>20</v>
      </c>
      <c r="O102">
        <v>10</v>
      </c>
      <c r="P102">
        <v>120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D102" t="s">
        <v>130</v>
      </c>
      <c r="AF102">
        <v>120</v>
      </c>
    </row>
    <row r="103" spans="1:32" x14ac:dyDescent="0.3">
      <c r="A103" s="4">
        <v>97</v>
      </c>
      <c r="B103" s="5">
        <v>96</v>
      </c>
      <c r="C103">
        <v>910</v>
      </c>
      <c r="D103" t="s">
        <v>31491</v>
      </c>
      <c r="E103" t="s">
        <v>10212</v>
      </c>
      <c r="F103" t="s">
        <v>26927</v>
      </c>
      <c r="G103" t="s">
        <v>31492</v>
      </c>
      <c r="H103">
        <v>60</v>
      </c>
      <c r="I103">
        <v>10</v>
      </c>
      <c r="J103">
        <v>40</v>
      </c>
      <c r="M103">
        <v>20</v>
      </c>
      <c r="N103">
        <v>20</v>
      </c>
      <c r="O103">
        <v>10</v>
      </c>
      <c r="P103">
        <v>120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D103" t="s">
        <v>130</v>
      </c>
      <c r="AF103">
        <v>120</v>
      </c>
    </row>
    <row r="104" spans="1:32" x14ac:dyDescent="0.3">
      <c r="A104" s="4">
        <v>98</v>
      </c>
      <c r="B104" s="5">
        <v>97</v>
      </c>
      <c r="C104">
        <v>1296</v>
      </c>
      <c r="D104" t="s">
        <v>31493</v>
      </c>
      <c r="E104" t="s">
        <v>166</v>
      </c>
      <c r="F104" t="s">
        <v>81</v>
      </c>
      <c r="G104" t="s">
        <v>31494</v>
      </c>
      <c r="H104">
        <v>60</v>
      </c>
      <c r="I104">
        <v>10</v>
      </c>
      <c r="J104">
        <v>20</v>
      </c>
      <c r="M104">
        <v>20</v>
      </c>
      <c r="N104">
        <v>20</v>
      </c>
      <c r="O104">
        <v>10</v>
      </c>
      <c r="P104">
        <v>120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D104" t="s">
        <v>130</v>
      </c>
      <c r="AF104">
        <v>120</v>
      </c>
    </row>
    <row r="105" spans="1:32" x14ac:dyDescent="0.3">
      <c r="A105" s="4">
        <v>99</v>
      </c>
      <c r="B105" s="5">
        <v>98</v>
      </c>
      <c r="C105">
        <v>505</v>
      </c>
      <c r="D105" t="s">
        <v>31495</v>
      </c>
      <c r="E105" t="s">
        <v>26</v>
      </c>
      <c r="F105" t="s">
        <v>339</v>
      </c>
      <c r="G105" t="s">
        <v>31496</v>
      </c>
      <c r="H105">
        <v>60</v>
      </c>
      <c r="I105">
        <v>10</v>
      </c>
      <c r="J105">
        <v>20</v>
      </c>
      <c r="L105">
        <v>10</v>
      </c>
      <c r="M105">
        <v>20</v>
      </c>
      <c r="N105">
        <v>20</v>
      </c>
      <c r="O105">
        <v>10</v>
      </c>
      <c r="P105">
        <v>120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 t="s">
        <v>130</v>
      </c>
      <c r="AD105" t="s">
        <v>130</v>
      </c>
      <c r="AF105">
        <v>120</v>
      </c>
    </row>
    <row r="106" spans="1:32" x14ac:dyDescent="0.3">
      <c r="A106" s="4">
        <v>100</v>
      </c>
      <c r="B106" s="5">
        <v>99</v>
      </c>
      <c r="C106">
        <v>1384</v>
      </c>
      <c r="D106" t="s">
        <v>31051</v>
      </c>
      <c r="E106" t="s">
        <v>29</v>
      </c>
      <c r="F106" t="s">
        <v>343</v>
      </c>
      <c r="G106" t="s">
        <v>31052</v>
      </c>
      <c r="H106">
        <v>60</v>
      </c>
      <c r="I106">
        <v>10</v>
      </c>
      <c r="J106">
        <v>20</v>
      </c>
      <c r="M106">
        <v>20</v>
      </c>
      <c r="N106">
        <v>20</v>
      </c>
      <c r="O106">
        <v>10</v>
      </c>
      <c r="P106">
        <v>120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D106" t="s">
        <v>130</v>
      </c>
      <c r="AF106">
        <v>120</v>
      </c>
    </row>
    <row r="107" spans="1:32" x14ac:dyDescent="0.3">
      <c r="A107" s="4">
        <v>101</v>
      </c>
      <c r="B107" s="5">
        <v>100</v>
      </c>
      <c r="C107">
        <v>233</v>
      </c>
      <c r="D107" t="s">
        <v>31497</v>
      </c>
      <c r="E107" t="s">
        <v>213</v>
      </c>
      <c r="F107" t="s">
        <v>31498</v>
      </c>
      <c r="G107" t="s">
        <v>31499</v>
      </c>
      <c r="H107">
        <v>60</v>
      </c>
      <c r="I107">
        <v>10</v>
      </c>
      <c r="J107">
        <v>20</v>
      </c>
      <c r="M107">
        <v>20</v>
      </c>
      <c r="N107">
        <v>20</v>
      </c>
      <c r="O107">
        <v>10</v>
      </c>
      <c r="P107">
        <v>120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D107" t="s">
        <v>130</v>
      </c>
      <c r="AF107">
        <v>120</v>
      </c>
    </row>
    <row r="108" spans="1:32" x14ac:dyDescent="0.3">
      <c r="A108" s="4">
        <v>102</v>
      </c>
      <c r="B108" s="5">
        <v>101</v>
      </c>
      <c r="C108">
        <v>1202</v>
      </c>
      <c r="D108" t="s">
        <v>20188</v>
      </c>
      <c r="E108" t="s">
        <v>479</v>
      </c>
      <c r="F108" t="s">
        <v>328</v>
      </c>
      <c r="G108" t="s">
        <v>31500</v>
      </c>
      <c r="H108">
        <v>60</v>
      </c>
      <c r="I108">
        <v>10</v>
      </c>
      <c r="J108">
        <v>20</v>
      </c>
      <c r="L108">
        <v>10</v>
      </c>
      <c r="M108">
        <v>20</v>
      </c>
      <c r="N108">
        <v>20</v>
      </c>
      <c r="O108">
        <v>10</v>
      </c>
      <c r="P108">
        <v>120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D108" t="s">
        <v>130</v>
      </c>
      <c r="AF108">
        <v>120</v>
      </c>
    </row>
    <row r="109" spans="1:32" x14ac:dyDescent="0.3">
      <c r="A109" s="4">
        <v>103</v>
      </c>
      <c r="B109" s="5">
        <v>102</v>
      </c>
      <c r="C109">
        <v>158</v>
      </c>
      <c r="D109" t="s">
        <v>31501</v>
      </c>
      <c r="E109" t="s">
        <v>31502</v>
      </c>
      <c r="F109" t="s">
        <v>18459</v>
      </c>
      <c r="G109" t="s">
        <v>31503</v>
      </c>
      <c r="H109">
        <v>60</v>
      </c>
      <c r="I109">
        <v>10</v>
      </c>
      <c r="J109">
        <v>20</v>
      </c>
      <c r="M109">
        <v>20</v>
      </c>
      <c r="N109">
        <v>20</v>
      </c>
      <c r="O109">
        <v>10</v>
      </c>
      <c r="P109">
        <v>120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D109" t="s">
        <v>130</v>
      </c>
      <c r="AF109">
        <v>120</v>
      </c>
    </row>
    <row r="110" spans="1:32" x14ac:dyDescent="0.3">
      <c r="A110" s="4">
        <v>104</v>
      </c>
      <c r="B110" s="5">
        <v>103</v>
      </c>
      <c r="C110">
        <v>1396</v>
      </c>
      <c r="D110" t="s">
        <v>3230</v>
      </c>
      <c r="E110" t="s">
        <v>110</v>
      </c>
      <c r="F110" t="s">
        <v>17</v>
      </c>
      <c r="G110" t="s">
        <v>31504</v>
      </c>
      <c r="H110">
        <v>60</v>
      </c>
      <c r="I110">
        <v>10</v>
      </c>
      <c r="L110">
        <v>20</v>
      </c>
      <c r="M110">
        <v>20</v>
      </c>
      <c r="N110">
        <v>20</v>
      </c>
      <c r="O110">
        <v>10</v>
      </c>
      <c r="P110">
        <v>120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t="s">
        <v>130</v>
      </c>
      <c r="AD110" t="s">
        <v>130</v>
      </c>
      <c r="AF110">
        <v>120</v>
      </c>
    </row>
    <row r="111" spans="1:32" x14ac:dyDescent="0.3">
      <c r="A111" s="4">
        <v>105</v>
      </c>
      <c r="B111" s="5">
        <v>104</v>
      </c>
      <c r="C111">
        <v>63</v>
      </c>
      <c r="D111" t="s">
        <v>31505</v>
      </c>
      <c r="E111" t="s">
        <v>97</v>
      </c>
      <c r="F111" t="s">
        <v>5300</v>
      </c>
      <c r="G111" t="s">
        <v>31506</v>
      </c>
      <c r="H111">
        <v>60</v>
      </c>
      <c r="I111">
        <v>10</v>
      </c>
      <c r="J111">
        <v>20</v>
      </c>
      <c r="L111">
        <v>10</v>
      </c>
      <c r="M111">
        <v>20</v>
      </c>
      <c r="N111">
        <v>20</v>
      </c>
      <c r="O111">
        <v>10</v>
      </c>
      <c r="P111">
        <v>120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D111" t="s">
        <v>130</v>
      </c>
      <c r="AF111">
        <v>120</v>
      </c>
    </row>
    <row r="112" spans="1:32" x14ac:dyDescent="0.3">
      <c r="A112" s="4">
        <v>106</v>
      </c>
      <c r="B112" s="5">
        <v>105</v>
      </c>
      <c r="C112">
        <v>257</v>
      </c>
      <c r="D112" t="s">
        <v>6336</v>
      </c>
      <c r="E112" t="s">
        <v>1809</v>
      </c>
      <c r="F112" t="s">
        <v>55</v>
      </c>
      <c r="G112" t="s">
        <v>31507</v>
      </c>
      <c r="H112">
        <v>60</v>
      </c>
      <c r="I112">
        <v>10</v>
      </c>
      <c r="J112">
        <v>20</v>
      </c>
      <c r="M112">
        <v>20</v>
      </c>
      <c r="N112">
        <v>20</v>
      </c>
      <c r="O112">
        <v>10</v>
      </c>
      <c r="P112">
        <v>120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D112" t="s">
        <v>130</v>
      </c>
      <c r="AF112">
        <v>120</v>
      </c>
    </row>
    <row r="113" spans="1:32" x14ac:dyDescent="0.3">
      <c r="A113" s="4">
        <v>107</v>
      </c>
      <c r="B113" s="5">
        <v>106</v>
      </c>
      <c r="C113">
        <v>1087</v>
      </c>
      <c r="D113" t="s">
        <v>31508</v>
      </c>
      <c r="E113" t="s">
        <v>166</v>
      </c>
      <c r="F113" t="s">
        <v>136</v>
      </c>
      <c r="G113" t="s">
        <v>31509</v>
      </c>
      <c r="H113">
        <v>60</v>
      </c>
      <c r="I113">
        <v>10</v>
      </c>
      <c r="J113">
        <v>20</v>
      </c>
      <c r="M113">
        <v>20</v>
      </c>
      <c r="N113">
        <v>20</v>
      </c>
      <c r="O113">
        <v>10</v>
      </c>
      <c r="P113">
        <v>120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D113" t="s">
        <v>130</v>
      </c>
      <c r="AF113">
        <v>120</v>
      </c>
    </row>
    <row r="114" spans="1:32" x14ac:dyDescent="0.3">
      <c r="A114" s="4">
        <v>108</v>
      </c>
      <c r="B114" s="5">
        <v>107</v>
      </c>
      <c r="C114">
        <v>1357</v>
      </c>
      <c r="D114" t="s">
        <v>31510</v>
      </c>
      <c r="E114" t="s">
        <v>30838</v>
      </c>
      <c r="F114" t="s">
        <v>5614</v>
      </c>
      <c r="G114" t="s">
        <v>31511</v>
      </c>
      <c r="H114">
        <v>57</v>
      </c>
      <c r="I114">
        <v>0</v>
      </c>
      <c r="J114">
        <v>20</v>
      </c>
      <c r="M114">
        <v>20</v>
      </c>
      <c r="N114">
        <v>20</v>
      </c>
      <c r="O114">
        <v>10</v>
      </c>
      <c r="P114">
        <v>107</v>
      </c>
      <c r="Q114">
        <v>13</v>
      </c>
      <c r="R114">
        <v>13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13</v>
      </c>
      <c r="Z114">
        <v>0</v>
      </c>
      <c r="AA114">
        <v>0</v>
      </c>
      <c r="AD114" t="s">
        <v>130</v>
      </c>
      <c r="AF114">
        <v>120</v>
      </c>
    </row>
    <row r="115" spans="1:32" x14ac:dyDescent="0.3">
      <c r="A115" s="4">
        <v>109</v>
      </c>
      <c r="B115" s="5">
        <v>108</v>
      </c>
      <c r="C115">
        <v>884</v>
      </c>
      <c r="D115" t="s">
        <v>31512</v>
      </c>
      <c r="E115" t="s">
        <v>54</v>
      </c>
      <c r="F115" t="s">
        <v>81</v>
      </c>
      <c r="G115" t="s">
        <v>31513</v>
      </c>
      <c r="H115">
        <v>59.4</v>
      </c>
      <c r="I115">
        <v>0</v>
      </c>
      <c r="J115">
        <v>20</v>
      </c>
      <c r="M115">
        <v>20</v>
      </c>
      <c r="N115">
        <v>20</v>
      </c>
      <c r="O115">
        <v>10</v>
      </c>
      <c r="P115">
        <v>109.4</v>
      </c>
      <c r="Q115">
        <v>3</v>
      </c>
      <c r="R115">
        <v>3</v>
      </c>
      <c r="S115">
        <v>0</v>
      </c>
      <c r="T115">
        <v>0</v>
      </c>
      <c r="U115">
        <v>5</v>
      </c>
      <c r="V115">
        <v>7.5</v>
      </c>
      <c r="W115">
        <v>0</v>
      </c>
      <c r="X115">
        <v>0</v>
      </c>
      <c r="Y115">
        <v>10.5</v>
      </c>
      <c r="Z115">
        <v>0</v>
      </c>
      <c r="AA115">
        <v>0</v>
      </c>
      <c r="AB115" t="s">
        <v>130</v>
      </c>
      <c r="AD115" t="s">
        <v>130</v>
      </c>
      <c r="AF115">
        <v>119.9</v>
      </c>
    </row>
    <row r="116" spans="1:32" x14ac:dyDescent="0.3">
      <c r="A116" s="4">
        <v>110</v>
      </c>
      <c r="B116" s="5">
        <v>109</v>
      </c>
      <c r="C116">
        <v>1093</v>
      </c>
      <c r="D116" t="s">
        <v>10403</v>
      </c>
      <c r="E116" t="s">
        <v>471</v>
      </c>
      <c r="F116" t="s">
        <v>167</v>
      </c>
      <c r="G116" t="s">
        <v>31514</v>
      </c>
      <c r="H116">
        <v>58.8</v>
      </c>
      <c r="I116">
        <v>10</v>
      </c>
      <c r="L116">
        <v>10</v>
      </c>
      <c r="M116">
        <v>10</v>
      </c>
      <c r="N116">
        <v>20</v>
      </c>
      <c r="O116">
        <v>10</v>
      </c>
      <c r="P116">
        <v>108.8</v>
      </c>
      <c r="Q116">
        <v>11</v>
      </c>
      <c r="R116">
        <v>11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11</v>
      </c>
      <c r="Z116">
        <v>0</v>
      </c>
      <c r="AA116">
        <v>0</v>
      </c>
      <c r="AD116" t="s">
        <v>130</v>
      </c>
      <c r="AF116">
        <v>119.8</v>
      </c>
    </row>
    <row r="117" spans="1:32" x14ac:dyDescent="0.3">
      <c r="A117" s="4">
        <v>111</v>
      </c>
      <c r="B117" s="5">
        <v>110</v>
      </c>
      <c r="C117">
        <v>345</v>
      </c>
      <c r="D117" t="s">
        <v>18334</v>
      </c>
      <c r="E117" t="s">
        <v>789</v>
      </c>
      <c r="F117" t="s">
        <v>17</v>
      </c>
      <c r="G117" t="s">
        <v>31515</v>
      </c>
      <c r="H117">
        <v>57.6</v>
      </c>
      <c r="I117">
        <v>0</v>
      </c>
      <c r="J117">
        <v>20</v>
      </c>
      <c r="M117">
        <v>20</v>
      </c>
      <c r="N117">
        <v>20</v>
      </c>
      <c r="O117">
        <v>10</v>
      </c>
      <c r="P117">
        <v>107.6</v>
      </c>
      <c r="Q117">
        <v>0</v>
      </c>
      <c r="R117">
        <v>0</v>
      </c>
      <c r="S117">
        <v>0</v>
      </c>
      <c r="T117">
        <v>0</v>
      </c>
      <c r="U117">
        <v>6</v>
      </c>
      <c r="V117">
        <v>9</v>
      </c>
      <c r="W117">
        <v>0</v>
      </c>
      <c r="X117">
        <v>0</v>
      </c>
      <c r="Y117">
        <v>9</v>
      </c>
      <c r="Z117">
        <v>3</v>
      </c>
      <c r="AA117">
        <v>0</v>
      </c>
      <c r="AB117" t="s">
        <v>130</v>
      </c>
      <c r="AD117" t="s">
        <v>130</v>
      </c>
      <c r="AF117">
        <v>119.6</v>
      </c>
    </row>
    <row r="118" spans="1:32" x14ac:dyDescent="0.3">
      <c r="A118" s="4">
        <v>112</v>
      </c>
      <c r="B118" s="5">
        <v>111</v>
      </c>
      <c r="C118">
        <v>806</v>
      </c>
      <c r="D118" t="s">
        <v>31516</v>
      </c>
      <c r="E118" t="s">
        <v>166</v>
      </c>
      <c r="F118" t="s">
        <v>17</v>
      </c>
      <c r="G118" t="s">
        <v>31517</v>
      </c>
      <c r="H118">
        <v>60</v>
      </c>
      <c r="I118">
        <v>0</v>
      </c>
      <c r="L118">
        <v>10</v>
      </c>
      <c r="M118">
        <v>10</v>
      </c>
      <c r="N118">
        <v>20</v>
      </c>
      <c r="O118">
        <v>10</v>
      </c>
      <c r="P118">
        <v>100</v>
      </c>
      <c r="Q118">
        <v>1</v>
      </c>
      <c r="R118">
        <v>1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18</v>
      </c>
      <c r="AA118">
        <v>0</v>
      </c>
      <c r="AD118" t="s">
        <v>130</v>
      </c>
      <c r="AF118">
        <v>119</v>
      </c>
    </row>
    <row r="119" spans="1:32" x14ac:dyDescent="0.3">
      <c r="A119" s="4">
        <v>113</v>
      </c>
      <c r="B119" s="5">
        <v>112</v>
      </c>
      <c r="C119">
        <v>917</v>
      </c>
      <c r="D119" t="s">
        <v>31518</v>
      </c>
      <c r="E119" t="s">
        <v>68</v>
      </c>
      <c r="F119" t="s">
        <v>38</v>
      </c>
      <c r="G119" t="s">
        <v>31519</v>
      </c>
      <c r="H119">
        <v>60</v>
      </c>
      <c r="I119">
        <v>10</v>
      </c>
      <c r="L119">
        <v>10</v>
      </c>
      <c r="M119">
        <v>10</v>
      </c>
      <c r="N119">
        <v>20</v>
      </c>
      <c r="O119">
        <v>10</v>
      </c>
      <c r="P119">
        <v>110</v>
      </c>
      <c r="Q119">
        <v>6</v>
      </c>
      <c r="R119">
        <v>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6</v>
      </c>
      <c r="Z119">
        <v>3</v>
      </c>
      <c r="AA119">
        <v>0</v>
      </c>
      <c r="AD119" t="s">
        <v>130</v>
      </c>
      <c r="AF119">
        <v>119</v>
      </c>
    </row>
    <row r="120" spans="1:32" x14ac:dyDescent="0.3">
      <c r="A120" s="4">
        <v>114</v>
      </c>
      <c r="B120" s="5">
        <v>113</v>
      </c>
      <c r="C120">
        <v>837</v>
      </c>
      <c r="D120" t="s">
        <v>31520</v>
      </c>
      <c r="E120" t="s">
        <v>283</v>
      </c>
      <c r="F120" t="s">
        <v>31521</v>
      </c>
      <c r="G120" t="s">
        <v>31522</v>
      </c>
      <c r="H120">
        <v>58.8</v>
      </c>
      <c r="I120">
        <v>10</v>
      </c>
      <c r="J120">
        <v>20</v>
      </c>
      <c r="M120">
        <v>20</v>
      </c>
      <c r="N120">
        <v>20</v>
      </c>
      <c r="O120">
        <v>10</v>
      </c>
      <c r="P120">
        <v>118.8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 t="s">
        <v>130</v>
      </c>
      <c r="AD120" t="s">
        <v>130</v>
      </c>
      <c r="AF120">
        <v>118.8</v>
      </c>
    </row>
    <row r="121" spans="1:32" x14ac:dyDescent="0.3">
      <c r="A121" s="4">
        <v>115</v>
      </c>
      <c r="B121" s="5">
        <v>114</v>
      </c>
      <c r="C121">
        <v>1109</v>
      </c>
      <c r="D121" t="s">
        <v>2024</v>
      </c>
      <c r="E121" t="s">
        <v>19</v>
      </c>
      <c r="F121" t="s">
        <v>81</v>
      </c>
      <c r="G121" t="s">
        <v>12230</v>
      </c>
      <c r="H121">
        <v>58.26</v>
      </c>
      <c r="I121">
        <v>0</v>
      </c>
      <c r="J121">
        <v>20</v>
      </c>
      <c r="M121">
        <v>20</v>
      </c>
      <c r="N121">
        <v>20</v>
      </c>
      <c r="O121">
        <v>10</v>
      </c>
      <c r="P121">
        <v>108.26</v>
      </c>
      <c r="Q121">
        <v>10</v>
      </c>
      <c r="R121">
        <v>10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10</v>
      </c>
      <c r="Z121">
        <v>0</v>
      </c>
      <c r="AA121">
        <v>0</v>
      </c>
      <c r="AB121" t="s">
        <v>130</v>
      </c>
      <c r="AD121" t="s">
        <v>130</v>
      </c>
      <c r="AF121">
        <v>118.26</v>
      </c>
    </row>
    <row r="122" spans="1:32" x14ac:dyDescent="0.3">
      <c r="A122" s="4">
        <v>116</v>
      </c>
      <c r="B122" s="5">
        <v>115</v>
      </c>
      <c r="C122">
        <v>1754</v>
      </c>
      <c r="D122" t="s">
        <v>11377</v>
      </c>
      <c r="E122" t="s">
        <v>213</v>
      </c>
      <c r="F122" t="s">
        <v>117</v>
      </c>
      <c r="G122" t="s">
        <v>31523</v>
      </c>
      <c r="H122">
        <v>58.2</v>
      </c>
      <c r="I122">
        <v>10</v>
      </c>
      <c r="J122">
        <v>20</v>
      </c>
      <c r="M122">
        <v>20</v>
      </c>
      <c r="N122">
        <v>20</v>
      </c>
      <c r="O122">
        <v>10</v>
      </c>
      <c r="P122">
        <v>118.2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D122" t="s">
        <v>130</v>
      </c>
      <c r="AF122">
        <v>118.2</v>
      </c>
    </row>
    <row r="123" spans="1:32" x14ac:dyDescent="0.3">
      <c r="A123" s="4">
        <v>117</v>
      </c>
      <c r="B123" s="5">
        <v>116</v>
      </c>
      <c r="C123">
        <v>1017</v>
      </c>
      <c r="D123" t="s">
        <v>5374</v>
      </c>
      <c r="E123" t="s">
        <v>136</v>
      </c>
      <c r="F123" t="s">
        <v>81</v>
      </c>
      <c r="G123" t="s">
        <v>31524</v>
      </c>
      <c r="H123">
        <v>60</v>
      </c>
      <c r="I123">
        <v>10</v>
      </c>
      <c r="K123">
        <v>15</v>
      </c>
      <c r="M123">
        <v>15</v>
      </c>
      <c r="N123">
        <v>20</v>
      </c>
      <c r="O123">
        <v>10</v>
      </c>
      <c r="P123">
        <v>115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</v>
      </c>
      <c r="AA123">
        <v>0</v>
      </c>
      <c r="AD123" t="s">
        <v>130</v>
      </c>
      <c r="AF123">
        <v>118</v>
      </c>
    </row>
    <row r="124" spans="1:32" x14ac:dyDescent="0.3">
      <c r="A124" s="4">
        <v>118</v>
      </c>
      <c r="B124" s="5">
        <v>117</v>
      </c>
      <c r="C124">
        <v>1669</v>
      </c>
      <c r="D124" t="s">
        <v>2666</v>
      </c>
      <c r="E124" t="s">
        <v>54</v>
      </c>
      <c r="F124" t="s">
        <v>124</v>
      </c>
      <c r="G124" t="s">
        <v>31525</v>
      </c>
      <c r="H124">
        <v>60</v>
      </c>
      <c r="I124">
        <v>10</v>
      </c>
      <c r="L124">
        <v>10</v>
      </c>
      <c r="M124">
        <v>10</v>
      </c>
      <c r="N124">
        <v>20</v>
      </c>
      <c r="O124">
        <v>10</v>
      </c>
      <c r="P124">
        <v>110</v>
      </c>
      <c r="Q124">
        <v>8</v>
      </c>
      <c r="R124">
        <v>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8</v>
      </c>
      <c r="Z124">
        <v>0</v>
      </c>
      <c r="AA124">
        <v>0</v>
      </c>
      <c r="AD124" t="s">
        <v>130</v>
      </c>
      <c r="AF124">
        <v>118</v>
      </c>
    </row>
    <row r="125" spans="1:32" x14ac:dyDescent="0.3">
      <c r="A125" s="4">
        <v>119</v>
      </c>
      <c r="B125" s="5">
        <v>118</v>
      </c>
      <c r="C125">
        <v>1618</v>
      </c>
      <c r="D125" t="s">
        <v>31526</v>
      </c>
      <c r="E125" t="s">
        <v>88</v>
      </c>
      <c r="F125" t="s">
        <v>91</v>
      </c>
      <c r="G125" t="s">
        <v>31527</v>
      </c>
      <c r="H125">
        <v>60</v>
      </c>
      <c r="I125">
        <v>10</v>
      </c>
      <c r="L125">
        <v>10</v>
      </c>
      <c r="M125">
        <v>10</v>
      </c>
      <c r="N125">
        <v>20</v>
      </c>
      <c r="O125">
        <v>10</v>
      </c>
      <c r="P125">
        <v>110</v>
      </c>
      <c r="Q125">
        <v>8</v>
      </c>
      <c r="R125">
        <v>8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8</v>
      </c>
      <c r="Z125">
        <v>0</v>
      </c>
      <c r="AA125">
        <v>0</v>
      </c>
      <c r="AB125" t="s">
        <v>130</v>
      </c>
      <c r="AD125" t="s">
        <v>130</v>
      </c>
      <c r="AF125">
        <v>118</v>
      </c>
    </row>
    <row r="126" spans="1:32" x14ac:dyDescent="0.3">
      <c r="A126" s="4">
        <v>120</v>
      </c>
      <c r="B126" s="5">
        <v>119</v>
      </c>
      <c r="C126">
        <v>1600</v>
      </c>
      <c r="D126" t="s">
        <v>31528</v>
      </c>
      <c r="E126" t="s">
        <v>3854</v>
      </c>
      <c r="F126" t="s">
        <v>381</v>
      </c>
      <c r="G126" t="s">
        <v>31529</v>
      </c>
      <c r="H126">
        <v>57</v>
      </c>
      <c r="I126">
        <v>10</v>
      </c>
      <c r="L126">
        <v>10</v>
      </c>
      <c r="M126">
        <v>10</v>
      </c>
      <c r="N126">
        <v>20</v>
      </c>
      <c r="O126">
        <v>10</v>
      </c>
      <c r="P126">
        <v>107</v>
      </c>
      <c r="Q126">
        <v>11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11</v>
      </c>
      <c r="Z126">
        <v>0</v>
      </c>
      <c r="AA126">
        <v>0</v>
      </c>
      <c r="AD126" t="s">
        <v>130</v>
      </c>
      <c r="AF126">
        <v>118</v>
      </c>
    </row>
    <row r="127" spans="1:32" x14ac:dyDescent="0.3">
      <c r="A127" s="4">
        <v>121</v>
      </c>
      <c r="B127" s="5">
        <v>120</v>
      </c>
      <c r="C127">
        <v>805</v>
      </c>
      <c r="D127" t="s">
        <v>6131</v>
      </c>
      <c r="E127" t="s">
        <v>219</v>
      </c>
      <c r="F127" t="s">
        <v>81</v>
      </c>
      <c r="G127" t="s">
        <v>31530</v>
      </c>
      <c r="H127">
        <v>60</v>
      </c>
      <c r="I127">
        <v>0</v>
      </c>
      <c r="L127">
        <v>10</v>
      </c>
      <c r="M127">
        <v>10</v>
      </c>
      <c r="N127">
        <v>0</v>
      </c>
      <c r="O127">
        <v>10</v>
      </c>
      <c r="P127">
        <v>80</v>
      </c>
      <c r="Q127">
        <v>28</v>
      </c>
      <c r="R127">
        <v>28</v>
      </c>
      <c r="S127">
        <v>0</v>
      </c>
      <c r="T127">
        <v>0</v>
      </c>
      <c r="U127">
        <v>4</v>
      </c>
      <c r="V127">
        <v>6</v>
      </c>
      <c r="W127">
        <v>0</v>
      </c>
      <c r="X127">
        <v>0</v>
      </c>
      <c r="Y127">
        <v>34</v>
      </c>
      <c r="Z127">
        <v>3</v>
      </c>
      <c r="AA127">
        <v>0</v>
      </c>
      <c r="AD127" t="s">
        <v>130</v>
      </c>
      <c r="AF127">
        <v>117</v>
      </c>
    </row>
    <row r="128" spans="1:32" x14ac:dyDescent="0.3">
      <c r="A128" s="4">
        <v>122</v>
      </c>
      <c r="B128" s="5">
        <v>121</v>
      </c>
      <c r="C128">
        <v>113</v>
      </c>
      <c r="D128" t="s">
        <v>30678</v>
      </c>
      <c r="E128" t="s">
        <v>136</v>
      </c>
      <c r="F128" t="s">
        <v>521</v>
      </c>
      <c r="G128" t="s">
        <v>30679</v>
      </c>
      <c r="H128">
        <v>57</v>
      </c>
      <c r="I128">
        <v>10</v>
      </c>
      <c r="J128">
        <v>20</v>
      </c>
      <c r="M128">
        <v>20</v>
      </c>
      <c r="N128">
        <v>20</v>
      </c>
      <c r="O128">
        <v>10</v>
      </c>
      <c r="P128">
        <v>117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 t="s">
        <v>130</v>
      </c>
      <c r="AD128" t="s">
        <v>130</v>
      </c>
      <c r="AF128">
        <v>117</v>
      </c>
    </row>
    <row r="129" spans="1:32" x14ac:dyDescent="0.3">
      <c r="A129" s="4">
        <v>123</v>
      </c>
      <c r="B129" s="5">
        <v>122</v>
      </c>
      <c r="C129">
        <v>852</v>
      </c>
      <c r="D129" t="s">
        <v>264</v>
      </c>
      <c r="E129" t="s">
        <v>31531</v>
      </c>
      <c r="F129" t="s">
        <v>190</v>
      </c>
      <c r="G129" t="s">
        <v>31532</v>
      </c>
      <c r="H129">
        <v>57</v>
      </c>
      <c r="I129">
        <v>10</v>
      </c>
      <c r="J129">
        <v>20</v>
      </c>
      <c r="M129">
        <v>20</v>
      </c>
      <c r="N129">
        <v>20</v>
      </c>
      <c r="O129">
        <v>10</v>
      </c>
      <c r="P129">
        <v>117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D129" t="s">
        <v>130</v>
      </c>
      <c r="AF129">
        <v>117</v>
      </c>
    </row>
    <row r="130" spans="1:32" x14ac:dyDescent="0.3">
      <c r="A130" s="4">
        <v>124</v>
      </c>
      <c r="B130" s="5">
        <v>123</v>
      </c>
      <c r="C130">
        <v>627</v>
      </c>
      <c r="D130" t="s">
        <v>14343</v>
      </c>
      <c r="E130" t="s">
        <v>7576</v>
      </c>
      <c r="F130" t="s">
        <v>649</v>
      </c>
      <c r="G130" t="s">
        <v>31533</v>
      </c>
      <c r="H130">
        <v>60</v>
      </c>
      <c r="I130">
        <v>0</v>
      </c>
      <c r="L130">
        <v>10</v>
      </c>
      <c r="M130">
        <v>10</v>
      </c>
      <c r="N130">
        <v>20</v>
      </c>
      <c r="O130">
        <v>10</v>
      </c>
      <c r="P130">
        <v>100</v>
      </c>
      <c r="Q130">
        <v>7</v>
      </c>
      <c r="R130">
        <v>7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7</v>
      </c>
      <c r="Z130">
        <v>9</v>
      </c>
      <c r="AA130">
        <v>0</v>
      </c>
      <c r="AD130" t="s">
        <v>130</v>
      </c>
      <c r="AF130">
        <v>116</v>
      </c>
    </row>
    <row r="131" spans="1:32" x14ac:dyDescent="0.3">
      <c r="A131" s="4">
        <v>126</v>
      </c>
      <c r="B131" s="5">
        <v>124</v>
      </c>
      <c r="C131">
        <v>38</v>
      </c>
      <c r="D131" t="s">
        <v>31534</v>
      </c>
      <c r="E131" t="s">
        <v>170</v>
      </c>
      <c r="F131" t="s">
        <v>38</v>
      </c>
      <c r="G131" t="s">
        <v>31535</v>
      </c>
      <c r="H131">
        <v>60</v>
      </c>
      <c r="I131">
        <v>0</v>
      </c>
      <c r="J131">
        <v>20</v>
      </c>
      <c r="M131">
        <v>20</v>
      </c>
      <c r="N131">
        <v>20</v>
      </c>
      <c r="O131">
        <v>10</v>
      </c>
      <c r="P131">
        <v>110</v>
      </c>
      <c r="Q131">
        <v>3</v>
      </c>
      <c r="R131">
        <v>3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3</v>
      </c>
      <c r="Z131">
        <v>3</v>
      </c>
      <c r="AA131">
        <v>0</v>
      </c>
      <c r="AD131" t="s">
        <v>130</v>
      </c>
      <c r="AF131">
        <v>116</v>
      </c>
    </row>
    <row r="132" spans="1:32" x14ac:dyDescent="0.3">
      <c r="A132" s="4">
        <v>127</v>
      </c>
      <c r="B132" s="5">
        <v>125</v>
      </c>
      <c r="C132">
        <v>1558</v>
      </c>
      <c r="D132" t="s">
        <v>31536</v>
      </c>
      <c r="E132" t="s">
        <v>136</v>
      </c>
      <c r="F132" t="s">
        <v>34</v>
      </c>
      <c r="G132" t="s">
        <v>31537</v>
      </c>
      <c r="H132">
        <v>45.84</v>
      </c>
      <c r="I132">
        <v>10</v>
      </c>
      <c r="M132">
        <v>0</v>
      </c>
      <c r="N132">
        <v>20</v>
      </c>
      <c r="O132">
        <v>10</v>
      </c>
      <c r="P132">
        <v>85.84</v>
      </c>
      <c r="Q132">
        <v>30</v>
      </c>
      <c r="R132">
        <v>30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30</v>
      </c>
      <c r="Z132">
        <v>0</v>
      </c>
      <c r="AA132">
        <v>0</v>
      </c>
      <c r="AD132" t="s">
        <v>130</v>
      </c>
      <c r="AF132">
        <v>115.84</v>
      </c>
    </row>
    <row r="133" spans="1:32" x14ac:dyDescent="0.3">
      <c r="A133" s="4">
        <v>128</v>
      </c>
      <c r="B133" s="5">
        <v>126</v>
      </c>
      <c r="C133">
        <v>1015</v>
      </c>
      <c r="D133" t="s">
        <v>31538</v>
      </c>
      <c r="E133" t="s">
        <v>97</v>
      </c>
      <c r="F133" t="s">
        <v>17</v>
      </c>
      <c r="G133" t="s">
        <v>31539</v>
      </c>
      <c r="H133">
        <v>55.8</v>
      </c>
      <c r="I133">
        <v>10</v>
      </c>
      <c r="J133">
        <v>20</v>
      </c>
      <c r="L133">
        <v>10</v>
      </c>
      <c r="M133">
        <v>20</v>
      </c>
      <c r="N133">
        <v>20</v>
      </c>
      <c r="O133">
        <v>10</v>
      </c>
      <c r="P133">
        <v>115.8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D133" t="s">
        <v>130</v>
      </c>
      <c r="AF133">
        <v>115.8</v>
      </c>
    </row>
    <row r="134" spans="1:32" x14ac:dyDescent="0.3">
      <c r="A134" s="4">
        <v>129</v>
      </c>
      <c r="B134" s="5">
        <v>127</v>
      </c>
      <c r="C134">
        <v>14</v>
      </c>
      <c r="D134" t="s">
        <v>2416</v>
      </c>
      <c r="E134" t="s">
        <v>158</v>
      </c>
      <c r="F134" t="s">
        <v>52</v>
      </c>
      <c r="G134" t="s">
        <v>31540</v>
      </c>
      <c r="H134">
        <v>55.62</v>
      </c>
      <c r="I134">
        <v>10</v>
      </c>
      <c r="M134">
        <v>0</v>
      </c>
      <c r="N134">
        <v>20</v>
      </c>
      <c r="O134">
        <v>10</v>
      </c>
      <c r="P134">
        <v>95.62</v>
      </c>
      <c r="Q134">
        <v>17</v>
      </c>
      <c r="R134">
        <v>17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17</v>
      </c>
      <c r="Z134">
        <v>3</v>
      </c>
      <c r="AA134">
        <v>0</v>
      </c>
      <c r="AD134" t="s">
        <v>130</v>
      </c>
      <c r="AF134">
        <v>115.62</v>
      </c>
    </row>
    <row r="135" spans="1:32" x14ac:dyDescent="0.3">
      <c r="A135" s="4">
        <v>130</v>
      </c>
      <c r="B135" s="5">
        <v>128</v>
      </c>
      <c r="C135">
        <v>1073</v>
      </c>
      <c r="D135" t="s">
        <v>8945</v>
      </c>
      <c r="E135" t="s">
        <v>1189</v>
      </c>
      <c r="F135" t="s">
        <v>171</v>
      </c>
      <c r="G135" t="s">
        <v>31541</v>
      </c>
      <c r="H135">
        <v>58.2</v>
      </c>
      <c r="I135">
        <v>10</v>
      </c>
      <c r="L135">
        <v>10</v>
      </c>
      <c r="M135">
        <v>10</v>
      </c>
      <c r="N135">
        <v>20</v>
      </c>
      <c r="O135">
        <v>10</v>
      </c>
      <c r="P135">
        <v>108.2</v>
      </c>
      <c r="Q135">
        <v>1</v>
      </c>
      <c r="R135">
        <v>1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6</v>
      </c>
      <c r="AA135">
        <v>0</v>
      </c>
      <c r="AB135" t="s">
        <v>130</v>
      </c>
      <c r="AD135" t="s">
        <v>130</v>
      </c>
      <c r="AF135">
        <v>115.2</v>
      </c>
    </row>
    <row r="136" spans="1:32" x14ac:dyDescent="0.3">
      <c r="A136" s="4">
        <v>131</v>
      </c>
      <c r="B136" s="5">
        <v>129</v>
      </c>
      <c r="C136">
        <v>1562</v>
      </c>
      <c r="D136" t="s">
        <v>31542</v>
      </c>
      <c r="E136" t="s">
        <v>652</v>
      </c>
      <c r="F136" t="s">
        <v>38</v>
      </c>
      <c r="G136" t="s">
        <v>31543</v>
      </c>
      <c r="H136">
        <v>46.2</v>
      </c>
      <c r="I136">
        <v>0</v>
      </c>
      <c r="L136">
        <v>10</v>
      </c>
      <c r="M136">
        <v>10</v>
      </c>
      <c r="N136">
        <v>20</v>
      </c>
      <c r="O136">
        <v>10</v>
      </c>
      <c r="P136">
        <v>86.2</v>
      </c>
      <c r="Q136">
        <v>23</v>
      </c>
      <c r="R136">
        <v>23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23</v>
      </c>
      <c r="Z136">
        <v>6</v>
      </c>
      <c r="AA136">
        <v>0</v>
      </c>
      <c r="AD136" t="s">
        <v>130</v>
      </c>
      <c r="AF136">
        <v>115.2</v>
      </c>
    </row>
    <row r="137" spans="1:32" x14ac:dyDescent="0.3">
      <c r="A137" s="4">
        <v>132</v>
      </c>
      <c r="B137" s="5">
        <v>130</v>
      </c>
      <c r="C137">
        <v>827</v>
      </c>
      <c r="D137" t="s">
        <v>31544</v>
      </c>
      <c r="E137" t="s">
        <v>117</v>
      </c>
      <c r="F137" t="s">
        <v>343</v>
      </c>
      <c r="G137" t="s">
        <v>31545</v>
      </c>
      <c r="H137">
        <v>60</v>
      </c>
      <c r="I137">
        <v>10</v>
      </c>
      <c r="K137">
        <v>15</v>
      </c>
      <c r="M137">
        <v>15</v>
      </c>
      <c r="N137">
        <v>20</v>
      </c>
      <c r="O137">
        <v>10</v>
      </c>
      <c r="P137">
        <v>115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D137" t="s">
        <v>130</v>
      </c>
      <c r="AF137">
        <v>115</v>
      </c>
    </row>
    <row r="138" spans="1:32" x14ac:dyDescent="0.3">
      <c r="A138" s="4">
        <v>133</v>
      </c>
      <c r="B138" s="5">
        <v>131</v>
      </c>
      <c r="C138">
        <v>1363</v>
      </c>
      <c r="D138" t="s">
        <v>17042</v>
      </c>
      <c r="E138" t="s">
        <v>136</v>
      </c>
      <c r="F138" t="s">
        <v>38</v>
      </c>
      <c r="G138" t="s">
        <v>31546</v>
      </c>
      <c r="H138">
        <v>51</v>
      </c>
      <c r="I138">
        <v>10</v>
      </c>
      <c r="J138">
        <v>20</v>
      </c>
      <c r="L138">
        <v>10</v>
      </c>
      <c r="M138">
        <v>20</v>
      </c>
      <c r="N138">
        <v>20</v>
      </c>
      <c r="O138">
        <v>10</v>
      </c>
      <c r="P138">
        <v>111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3</v>
      </c>
      <c r="AA138">
        <v>0</v>
      </c>
      <c r="AD138" t="s">
        <v>130</v>
      </c>
      <c r="AF138">
        <v>114</v>
      </c>
    </row>
    <row r="139" spans="1:32" x14ac:dyDescent="0.3">
      <c r="A139" s="4">
        <v>134</v>
      </c>
      <c r="B139" s="5">
        <v>132</v>
      </c>
      <c r="C139">
        <v>1190</v>
      </c>
      <c r="D139" t="s">
        <v>7020</v>
      </c>
      <c r="E139" t="s">
        <v>41</v>
      </c>
      <c r="F139" t="s">
        <v>20</v>
      </c>
      <c r="G139" t="s">
        <v>31547</v>
      </c>
      <c r="H139">
        <v>54</v>
      </c>
      <c r="I139">
        <v>10</v>
      </c>
      <c r="J139">
        <v>20</v>
      </c>
      <c r="M139">
        <v>20</v>
      </c>
      <c r="N139">
        <v>20</v>
      </c>
      <c r="O139">
        <v>10</v>
      </c>
      <c r="P139">
        <v>114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D139" t="s">
        <v>130</v>
      </c>
      <c r="AF139">
        <v>114</v>
      </c>
    </row>
    <row r="140" spans="1:32" x14ac:dyDescent="0.3">
      <c r="A140" s="4">
        <v>135</v>
      </c>
      <c r="B140" s="5">
        <v>133</v>
      </c>
      <c r="C140">
        <v>1031</v>
      </c>
      <c r="D140" t="s">
        <v>31548</v>
      </c>
      <c r="E140" t="s">
        <v>167</v>
      </c>
      <c r="F140" t="s">
        <v>38</v>
      </c>
      <c r="G140" t="s">
        <v>31549</v>
      </c>
      <c r="H140">
        <v>54</v>
      </c>
      <c r="I140">
        <v>0</v>
      </c>
      <c r="J140">
        <v>20</v>
      </c>
      <c r="L140">
        <v>10</v>
      </c>
      <c r="M140">
        <v>20</v>
      </c>
      <c r="N140">
        <v>20</v>
      </c>
      <c r="O140">
        <v>10</v>
      </c>
      <c r="P140">
        <v>104</v>
      </c>
      <c r="Q140">
        <v>0</v>
      </c>
      <c r="R140">
        <v>0</v>
      </c>
      <c r="S140">
        <v>0</v>
      </c>
      <c r="T140">
        <v>0</v>
      </c>
      <c r="U140">
        <v>7</v>
      </c>
      <c r="V140">
        <v>10</v>
      </c>
      <c r="W140">
        <v>0</v>
      </c>
      <c r="X140">
        <v>0</v>
      </c>
      <c r="Y140">
        <v>10</v>
      </c>
      <c r="Z140">
        <v>0</v>
      </c>
      <c r="AA140">
        <v>0</v>
      </c>
      <c r="AD140" t="s">
        <v>130</v>
      </c>
      <c r="AF140">
        <v>114</v>
      </c>
    </row>
    <row r="141" spans="1:32" x14ac:dyDescent="0.3">
      <c r="A141" s="4">
        <v>136</v>
      </c>
      <c r="B141" s="5">
        <v>134</v>
      </c>
      <c r="C141">
        <v>68</v>
      </c>
      <c r="D141" t="s">
        <v>1436</v>
      </c>
      <c r="E141" t="s">
        <v>182</v>
      </c>
      <c r="F141" t="s">
        <v>55</v>
      </c>
      <c r="G141" t="s">
        <v>31550</v>
      </c>
      <c r="H141">
        <v>51</v>
      </c>
      <c r="I141">
        <v>10</v>
      </c>
      <c r="L141">
        <v>10</v>
      </c>
      <c r="M141">
        <v>10</v>
      </c>
      <c r="N141">
        <v>20</v>
      </c>
      <c r="O141">
        <v>10</v>
      </c>
      <c r="P141">
        <v>101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12</v>
      </c>
      <c r="AA141">
        <v>0</v>
      </c>
      <c r="AD141" t="s">
        <v>130</v>
      </c>
      <c r="AF141">
        <v>113</v>
      </c>
    </row>
    <row r="142" spans="1:32" x14ac:dyDescent="0.3">
      <c r="A142" s="4">
        <v>139</v>
      </c>
      <c r="B142" s="5">
        <v>135</v>
      </c>
      <c r="C142">
        <v>544</v>
      </c>
      <c r="D142" t="s">
        <v>31551</v>
      </c>
      <c r="E142" t="s">
        <v>41</v>
      </c>
      <c r="F142" t="s">
        <v>13978</v>
      </c>
      <c r="G142" t="s">
        <v>31552</v>
      </c>
      <c r="H142">
        <v>57</v>
      </c>
      <c r="I142">
        <v>10</v>
      </c>
      <c r="L142">
        <v>10</v>
      </c>
      <c r="M142">
        <v>10</v>
      </c>
      <c r="N142">
        <v>20</v>
      </c>
      <c r="O142">
        <v>10</v>
      </c>
      <c r="P142">
        <v>107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6</v>
      </c>
      <c r="AA142">
        <v>0</v>
      </c>
      <c r="AD142" t="s">
        <v>130</v>
      </c>
      <c r="AF142">
        <v>113</v>
      </c>
    </row>
    <row r="143" spans="1:32" x14ac:dyDescent="0.3">
      <c r="A143" s="4">
        <v>140</v>
      </c>
      <c r="B143" s="5">
        <v>136</v>
      </c>
      <c r="C143">
        <v>73</v>
      </c>
      <c r="D143" t="s">
        <v>31553</v>
      </c>
      <c r="E143" t="s">
        <v>182</v>
      </c>
      <c r="F143" t="s">
        <v>81</v>
      </c>
      <c r="G143" t="s">
        <v>31554</v>
      </c>
      <c r="H143">
        <v>54</v>
      </c>
      <c r="I143">
        <v>0</v>
      </c>
      <c r="K143">
        <v>15</v>
      </c>
      <c r="M143">
        <v>15</v>
      </c>
      <c r="N143">
        <v>20</v>
      </c>
      <c r="O143">
        <v>10</v>
      </c>
      <c r="P143">
        <v>99</v>
      </c>
      <c r="Q143">
        <v>8</v>
      </c>
      <c r="R143">
        <v>8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8</v>
      </c>
      <c r="Z143">
        <v>6</v>
      </c>
      <c r="AA143">
        <v>0</v>
      </c>
      <c r="AD143" t="s">
        <v>130</v>
      </c>
      <c r="AF143">
        <v>113</v>
      </c>
    </row>
    <row r="144" spans="1:32" x14ac:dyDescent="0.3">
      <c r="A144" s="4">
        <v>141</v>
      </c>
      <c r="B144" s="5">
        <v>137</v>
      </c>
      <c r="C144">
        <v>1656</v>
      </c>
      <c r="D144" t="s">
        <v>24150</v>
      </c>
      <c r="E144" t="s">
        <v>1809</v>
      </c>
      <c r="F144" t="s">
        <v>20</v>
      </c>
      <c r="G144" t="s">
        <v>31555</v>
      </c>
      <c r="H144">
        <v>60</v>
      </c>
      <c r="I144">
        <v>0</v>
      </c>
      <c r="J144">
        <v>20</v>
      </c>
      <c r="M144">
        <v>20</v>
      </c>
      <c r="N144">
        <v>20</v>
      </c>
      <c r="O144">
        <v>10</v>
      </c>
      <c r="P144">
        <v>110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3</v>
      </c>
      <c r="AA144">
        <v>0</v>
      </c>
      <c r="AB144" t="s">
        <v>130</v>
      </c>
      <c r="AD144" t="s">
        <v>130</v>
      </c>
      <c r="AF144">
        <v>113</v>
      </c>
    </row>
    <row r="145" spans="1:32" x14ac:dyDescent="0.3">
      <c r="A145" s="4">
        <v>143</v>
      </c>
      <c r="B145" s="5">
        <v>138</v>
      </c>
      <c r="C145">
        <v>265</v>
      </c>
      <c r="D145" t="s">
        <v>11631</v>
      </c>
      <c r="E145" t="s">
        <v>539</v>
      </c>
      <c r="F145" t="s">
        <v>17</v>
      </c>
      <c r="G145" t="s">
        <v>31556</v>
      </c>
      <c r="H145">
        <v>54</v>
      </c>
      <c r="I145">
        <v>0</v>
      </c>
      <c r="J145">
        <v>20</v>
      </c>
      <c r="M145">
        <v>20</v>
      </c>
      <c r="N145">
        <v>20</v>
      </c>
      <c r="O145">
        <v>10</v>
      </c>
      <c r="P145">
        <v>104</v>
      </c>
      <c r="Q145">
        <v>8</v>
      </c>
      <c r="R145">
        <v>8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8</v>
      </c>
      <c r="Z145">
        <v>0</v>
      </c>
      <c r="AA145">
        <v>0</v>
      </c>
      <c r="AD145" t="s">
        <v>130</v>
      </c>
      <c r="AF145">
        <v>112</v>
      </c>
    </row>
    <row r="146" spans="1:32" x14ac:dyDescent="0.3">
      <c r="A146" s="4">
        <v>144</v>
      </c>
      <c r="B146" s="5">
        <v>139</v>
      </c>
      <c r="C146">
        <v>1116</v>
      </c>
      <c r="D146" t="s">
        <v>31557</v>
      </c>
      <c r="E146" t="s">
        <v>81</v>
      </c>
      <c r="F146" t="s">
        <v>570</v>
      </c>
      <c r="G146" t="s">
        <v>31558</v>
      </c>
      <c r="H146">
        <v>46.8</v>
      </c>
      <c r="I146">
        <v>10</v>
      </c>
      <c r="J146">
        <v>20</v>
      </c>
      <c r="M146">
        <v>20</v>
      </c>
      <c r="N146">
        <v>20</v>
      </c>
      <c r="O146">
        <v>10</v>
      </c>
      <c r="P146">
        <v>106.8</v>
      </c>
      <c r="Q146">
        <v>5</v>
      </c>
      <c r="R146">
        <v>5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5</v>
      </c>
      <c r="Z146">
        <v>0</v>
      </c>
      <c r="AA146">
        <v>0</v>
      </c>
      <c r="AD146" t="s">
        <v>130</v>
      </c>
      <c r="AF146">
        <v>111.8</v>
      </c>
    </row>
    <row r="147" spans="1:32" x14ac:dyDescent="0.3">
      <c r="A147" s="4">
        <v>145</v>
      </c>
      <c r="B147" s="5">
        <v>140</v>
      </c>
      <c r="C147">
        <v>1452</v>
      </c>
      <c r="D147" t="s">
        <v>31559</v>
      </c>
      <c r="E147" t="s">
        <v>563</v>
      </c>
      <c r="F147" t="s">
        <v>81</v>
      </c>
      <c r="G147" t="s">
        <v>31560</v>
      </c>
      <c r="H147">
        <v>58.5</v>
      </c>
      <c r="I147">
        <v>0</v>
      </c>
      <c r="J147">
        <v>20</v>
      </c>
      <c r="M147">
        <v>20</v>
      </c>
      <c r="N147">
        <v>20</v>
      </c>
      <c r="O147">
        <v>10</v>
      </c>
      <c r="P147">
        <v>108.5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3</v>
      </c>
      <c r="AA147">
        <v>0</v>
      </c>
      <c r="AB147" t="s">
        <v>130</v>
      </c>
      <c r="AD147" t="s">
        <v>130</v>
      </c>
      <c r="AF147">
        <v>111.5</v>
      </c>
    </row>
    <row r="148" spans="1:32" x14ac:dyDescent="0.3">
      <c r="A148" s="4">
        <v>146</v>
      </c>
      <c r="B148" s="5">
        <v>141</v>
      </c>
      <c r="C148">
        <v>1307</v>
      </c>
      <c r="D148" t="s">
        <v>31561</v>
      </c>
      <c r="E148" t="s">
        <v>1117</v>
      </c>
      <c r="F148" t="s">
        <v>17</v>
      </c>
      <c r="G148" t="s">
        <v>31562</v>
      </c>
      <c r="H148">
        <v>58.5</v>
      </c>
      <c r="I148">
        <v>10</v>
      </c>
      <c r="L148">
        <v>10</v>
      </c>
      <c r="M148">
        <v>10</v>
      </c>
      <c r="N148">
        <v>20</v>
      </c>
      <c r="O148">
        <v>10</v>
      </c>
      <c r="P148">
        <v>108.5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3</v>
      </c>
      <c r="AA148">
        <v>0</v>
      </c>
      <c r="AB148" t="s">
        <v>130</v>
      </c>
      <c r="AD148" t="s">
        <v>130</v>
      </c>
      <c r="AF148">
        <v>111.5</v>
      </c>
    </row>
    <row r="149" spans="1:32" x14ac:dyDescent="0.3">
      <c r="A149" s="4">
        <v>148</v>
      </c>
      <c r="B149" s="5">
        <v>142</v>
      </c>
      <c r="C149">
        <v>1744</v>
      </c>
      <c r="D149" t="s">
        <v>31563</v>
      </c>
      <c r="E149" t="s">
        <v>17</v>
      </c>
      <c r="F149" t="s">
        <v>878</v>
      </c>
      <c r="G149" t="s">
        <v>31564</v>
      </c>
      <c r="H149">
        <v>51</v>
      </c>
      <c r="I149">
        <v>10</v>
      </c>
      <c r="J149">
        <v>20</v>
      </c>
      <c r="M149">
        <v>20</v>
      </c>
      <c r="N149">
        <v>20</v>
      </c>
      <c r="O149">
        <v>10</v>
      </c>
      <c r="P149">
        <v>111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D149" t="s">
        <v>130</v>
      </c>
      <c r="AF149">
        <v>111</v>
      </c>
    </row>
    <row r="150" spans="1:32" x14ac:dyDescent="0.3">
      <c r="A150" s="4">
        <v>149</v>
      </c>
      <c r="B150" s="5">
        <v>143</v>
      </c>
      <c r="C150">
        <v>1659</v>
      </c>
      <c r="D150" t="s">
        <v>31565</v>
      </c>
      <c r="E150" t="s">
        <v>20</v>
      </c>
      <c r="F150" t="s">
        <v>55</v>
      </c>
      <c r="G150" t="s">
        <v>31566</v>
      </c>
      <c r="H150">
        <v>51</v>
      </c>
      <c r="I150">
        <v>10</v>
      </c>
      <c r="J150">
        <v>20</v>
      </c>
      <c r="M150">
        <v>20</v>
      </c>
      <c r="N150">
        <v>20</v>
      </c>
      <c r="O150">
        <v>10</v>
      </c>
      <c r="P150">
        <v>111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D150" t="s">
        <v>130</v>
      </c>
      <c r="AF150">
        <v>111</v>
      </c>
    </row>
    <row r="151" spans="1:32" x14ac:dyDescent="0.3">
      <c r="A151" s="4">
        <v>150</v>
      </c>
      <c r="B151" s="5">
        <v>144</v>
      </c>
      <c r="C151">
        <v>826</v>
      </c>
      <c r="D151" t="s">
        <v>31567</v>
      </c>
      <c r="E151" t="s">
        <v>68</v>
      </c>
      <c r="F151" t="s">
        <v>31568</v>
      </c>
      <c r="G151" t="s">
        <v>31569</v>
      </c>
      <c r="H151">
        <v>60</v>
      </c>
      <c r="I151">
        <v>10</v>
      </c>
      <c r="L151">
        <v>10</v>
      </c>
      <c r="M151">
        <v>10</v>
      </c>
      <c r="N151">
        <v>20</v>
      </c>
      <c r="O151">
        <v>10</v>
      </c>
      <c r="P151">
        <v>110</v>
      </c>
      <c r="Q151">
        <v>1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  <c r="AA151">
        <v>0</v>
      </c>
      <c r="AD151" t="s">
        <v>130</v>
      </c>
      <c r="AF151">
        <v>111</v>
      </c>
    </row>
    <row r="152" spans="1:32" x14ac:dyDescent="0.3">
      <c r="A152" s="4">
        <v>151</v>
      </c>
      <c r="B152" s="5">
        <v>145</v>
      </c>
      <c r="C152">
        <v>1388</v>
      </c>
      <c r="D152" t="s">
        <v>8197</v>
      </c>
      <c r="E152" t="s">
        <v>33</v>
      </c>
      <c r="F152" t="s">
        <v>20</v>
      </c>
      <c r="G152" t="s">
        <v>31570</v>
      </c>
      <c r="H152">
        <v>48</v>
      </c>
      <c r="I152">
        <v>0</v>
      </c>
      <c r="K152">
        <v>15</v>
      </c>
      <c r="M152">
        <v>15</v>
      </c>
      <c r="N152">
        <v>20</v>
      </c>
      <c r="O152">
        <v>10</v>
      </c>
      <c r="P152">
        <v>93</v>
      </c>
      <c r="Q152">
        <v>18</v>
      </c>
      <c r="R152">
        <v>18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18</v>
      </c>
      <c r="Z152">
        <v>0</v>
      </c>
      <c r="AA152">
        <v>0</v>
      </c>
      <c r="AB152" t="s">
        <v>130</v>
      </c>
      <c r="AC152" t="s">
        <v>130</v>
      </c>
      <c r="AD152" t="s">
        <v>130</v>
      </c>
      <c r="AF152">
        <v>111</v>
      </c>
    </row>
    <row r="153" spans="1:32" x14ac:dyDescent="0.3">
      <c r="A153" s="4">
        <v>152</v>
      </c>
      <c r="B153" s="5">
        <v>146</v>
      </c>
      <c r="C153">
        <v>1570</v>
      </c>
      <c r="D153" t="s">
        <v>2600</v>
      </c>
      <c r="E153" t="s">
        <v>26</v>
      </c>
      <c r="F153" t="s">
        <v>55</v>
      </c>
      <c r="G153" t="s">
        <v>31571</v>
      </c>
      <c r="H153">
        <v>57.48</v>
      </c>
      <c r="I153">
        <v>0</v>
      </c>
      <c r="J153">
        <v>20</v>
      </c>
      <c r="M153">
        <v>20</v>
      </c>
      <c r="N153">
        <v>20</v>
      </c>
      <c r="O153">
        <v>10</v>
      </c>
      <c r="P153">
        <v>107.48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3</v>
      </c>
      <c r="AA153">
        <v>0</v>
      </c>
      <c r="AB153" t="s">
        <v>130</v>
      </c>
      <c r="AD153" t="s">
        <v>130</v>
      </c>
      <c r="AF153">
        <v>110.48</v>
      </c>
    </row>
    <row r="154" spans="1:32" x14ac:dyDescent="0.3">
      <c r="A154" s="4">
        <v>153</v>
      </c>
      <c r="B154" s="5">
        <v>147</v>
      </c>
      <c r="C154">
        <v>1181</v>
      </c>
      <c r="D154" t="s">
        <v>17351</v>
      </c>
      <c r="E154" t="s">
        <v>539</v>
      </c>
      <c r="F154" t="s">
        <v>17</v>
      </c>
      <c r="G154" t="s">
        <v>31572</v>
      </c>
      <c r="H154">
        <v>60</v>
      </c>
      <c r="I154">
        <v>0</v>
      </c>
      <c r="J154">
        <v>20</v>
      </c>
      <c r="M154">
        <v>20</v>
      </c>
      <c r="N154">
        <v>20</v>
      </c>
      <c r="O154">
        <v>10</v>
      </c>
      <c r="P154">
        <v>110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 t="s">
        <v>130</v>
      </c>
      <c r="AD154" t="s">
        <v>130</v>
      </c>
      <c r="AF154">
        <v>110</v>
      </c>
    </row>
    <row r="155" spans="1:32" x14ac:dyDescent="0.3">
      <c r="A155" s="4">
        <v>154</v>
      </c>
      <c r="B155" s="5">
        <v>148</v>
      </c>
      <c r="C155">
        <v>1484</v>
      </c>
      <c r="D155" t="s">
        <v>31573</v>
      </c>
      <c r="E155" t="s">
        <v>100</v>
      </c>
      <c r="F155" t="s">
        <v>81</v>
      </c>
      <c r="G155" t="s">
        <v>31574</v>
      </c>
      <c r="H155">
        <v>60</v>
      </c>
      <c r="I155">
        <v>0</v>
      </c>
      <c r="J155">
        <v>20</v>
      </c>
      <c r="M155">
        <v>20</v>
      </c>
      <c r="N155">
        <v>20</v>
      </c>
      <c r="O155">
        <v>10</v>
      </c>
      <c r="P155">
        <v>110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D155" t="s">
        <v>130</v>
      </c>
      <c r="AF155">
        <v>110</v>
      </c>
    </row>
    <row r="156" spans="1:32" x14ac:dyDescent="0.3">
      <c r="A156" s="4">
        <v>155</v>
      </c>
      <c r="B156" s="5">
        <v>149</v>
      </c>
      <c r="C156">
        <v>1596</v>
      </c>
      <c r="D156" t="s">
        <v>2666</v>
      </c>
      <c r="E156" t="s">
        <v>10341</v>
      </c>
      <c r="F156" t="s">
        <v>81</v>
      </c>
      <c r="G156" t="s">
        <v>31575</v>
      </c>
      <c r="H156">
        <v>60</v>
      </c>
      <c r="I156">
        <v>0</v>
      </c>
      <c r="J156">
        <v>20</v>
      </c>
      <c r="M156">
        <v>20</v>
      </c>
      <c r="N156">
        <v>20</v>
      </c>
      <c r="O156">
        <v>10</v>
      </c>
      <c r="P156">
        <v>110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D156" t="s">
        <v>130</v>
      </c>
      <c r="AF156">
        <v>110</v>
      </c>
    </row>
    <row r="157" spans="1:32" x14ac:dyDescent="0.3">
      <c r="A157" s="4">
        <v>158</v>
      </c>
      <c r="B157" s="5">
        <v>150</v>
      </c>
      <c r="C157">
        <v>585</v>
      </c>
      <c r="D157" t="s">
        <v>31576</v>
      </c>
      <c r="E157" t="s">
        <v>2308</v>
      </c>
      <c r="F157" t="s">
        <v>68</v>
      </c>
      <c r="G157" t="s">
        <v>31577</v>
      </c>
      <c r="H157">
        <v>60</v>
      </c>
      <c r="I157">
        <v>0</v>
      </c>
      <c r="J157">
        <v>20</v>
      </c>
      <c r="M157">
        <v>20</v>
      </c>
      <c r="N157">
        <v>20</v>
      </c>
      <c r="O157">
        <v>10</v>
      </c>
      <c r="P157">
        <v>110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D157" t="s">
        <v>130</v>
      </c>
      <c r="AF157">
        <v>110</v>
      </c>
    </row>
    <row r="158" spans="1:32" x14ac:dyDescent="0.3">
      <c r="A158" s="4">
        <v>159</v>
      </c>
      <c r="B158" s="5">
        <v>151</v>
      </c>
      <c r="C158">
        <v>1146</v>
      </c>
      <c r="D158" t="s">
        <v>11246</v>
      </c>
      <c r="E158" t="s">
        <v>29</v>
      </c>
      <c r="F158" t="s">
        <v>539</v>
      </c>
      <c r="G158" t="s">
        <v>31578</v>
      </c>
      <c r="H158">
        <v>60</v>
      </c>
      <c r="I158">
        <v>0</v>
      </c>
      <c r="J158">
        <v>20</v>
      </c>
      <c r="M158">
        <v>20</v>
      </c>
      <c r="N158">
        <v>20</v>
      </c>
      <c r="O158">
        <v>10</v>
      </c>
      <c r="P158">
        <v>110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D158" t="s">
        <v>130</v>
      </c>
      <c r="AF158">
        <v>110</v>
      </c>
    </row>
    <row r="159" spans="1:32" x14ac:dyDescent="0.3">
      <c r="A159" s="4">
        <v>161</v>
      </c>
      <c r="B159" s="5">
        <v>152</v>
      </c>
      <c r="C159">
        <v>1139</v>
      </c>
      <c r="D159" t="s">
        <v>12344</v>
      </c>
      <c r="E159" t="s">
        <v>29</v>
      </c>
      <c r="F159" t="s">
        <v>30</v>
      </c>
      <c r="G159" t="s">
        <v>31579</v>
      </c>
      <c r="H159">
        <v>60</v>
      </c>
      <c r="I159">
        <v>0</v>
      </c>
      <c r="J159">
        <v>20</v>
      </c>
      <c r="M159">
        <v>20</v>
      </c>
      <c r="N159">
        <v>20</v>
      </c>
      <c r="O159">
        <v>10</v>
      </c>
      <c r="P159">
        <v>110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D159" t="s">
        <v>130</v>
      </c>
      <c r="AF159">
        <v>110</v>
      </c>
    </row>
    <row r="160" spans="1:32" x14ac:dyDescent="0.3">
      <c r="A160" s="4">
        <v>162</v>
      </c>
      <c r="B160" s="5">
        <v>153</v>
      </c>
      <c r="C160">
        <v>688</v>
      </c>
      <c r="D160" t="s">
        <v>1404</v>
      </c>
      <c r="E160" t="s">
        <v>132</v>
      </c>
      <c r="F160" t="s">
        <v>20</v>
      </c>
      <c r="G160" t="s">
        <v>31580</v>
      </c>
      <c r="H160">
        <v>60</v>
      </c>
      <c r="I160">
        <v>0</v>
      </c>
      <c r="J160">
        <v>40</v>
      </c>
      <c r="M160">
        <v>20</v>
      </c>
      <c r="N160">
        <v>20</v>
      </c>
      <c r="O160">
        <v>10</v>
      </c>
      <c r="P160">
        <v>110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D160" t="s">
        <v>130</v>
      </c>
      <c r="AF160">
        <v>110</v>
      </c>
    </row>
    <row r="161" spans="1:32" x14ac:dyDescent="0.3">
      <c r="A161" s="4">
        <v>163</v>
      </c>
      <c r="B161" s="5">
        <v>154</v>
      </c>
      <c r="C161">
        <v>1571</v>
      </c>
      <c r="D161" t="s">
        <v>14523</v>
      </c>
      <c r="E161" t="s">
        <v>31581</v>
      </c>
      <c r="F161" t="s">
        <v>17</v>
      </c>
      <c r="G161" t="s">
        <v>31582</v>
      </c>
      <c r="H161">
        <v>60</v>
      </c>
      <c r="I161">
        <v>0</v>
      </c>
      <c r="J161">
        <v>20</v>
      </c>
      <c r="M161">
        <v>20</v>
      </c>
      <c r="N161">
        <v>20</v>
      </c>
      <c r="O161">
        <v>10</v>
      </c>
      <c r="P161">
        <v>110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D161" t="s">
        <v>130</v>
      </c>
      <c r="AF161">
        <v>110</v>
      </c>
    </row>
    <row r="162" spans="1:32" x14ac:dyDescent="0.3">
      <c r="A162" s="4">
        <v>164</v>
      </c>
      <c r="B162" s="5">
        <v>155</v>
      </c>
      <c r="C162">
        <v>874</v>
      </c>
      <c r="D162" t="s">
        <v>14523</v>
      </c>
      <c r="E162" t="s">
        <v>30</v>
      </c>
      <c r="F162" t="s">
        <v>972</v>
      </c>
      <c r="G162" t="s">
        <v>31583</v>
      </c>
      <c r="H162">
        <v>60</v>
      </c>
      <c r="I162">
        <v>10</v>
      </c>
      <c r="L162">
        <v>10</v>
      </c>
      <c r="M162">
        <v>10</v>
      </c>
      <c r="N162">
        <v>20</v>
      </c>
      <c r="O162">
        <v>10</v>
      </c>
      <c r="P162">
        <v>110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D162" t="s">
        <v>130</v>
      </c>
      <c r="AF162">
        <v>110</v>
      </c>
    </row>
    <row r="163" spans="1:32" x14ac:dyDescent="0.3">
      <c r="A163" s="4">
        <v>165</v>
      </c>
      <c r="B163" s="5">
        <v>156</v>
      </c>
      <c r="C163">
        <v>1583</v>
      </c>
      <c r="D163" t="s">
        <v>2877</v>
      </c>
      <c r="E163" t="s">
        <v>1465</v>
      </c>
      <c r="F163" t="s">
        <v>1526</v>
      </c>
      <c r="G163" t="s">
        <v>31584</v>
      </c>
      <c r="H163">
        <v>60</v>
      </c>
      <c r="I163">
        <v>0</v>
      </c>
      <c r="J163">
        <v>20</v>
      </c>
      <c r="M163">
        <v>20</v>
      </c>
      <c r="N163">
        <v>20</v>
      </c>
      <c r="O163">
        <v>10</v>
      </c>
      <c r="P163">
        <v>110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D163" t="s">
        <v>130</v>
      </c>
      <c r="AF163">
        <v>110</v>
      </c>
    </row>
    <row r="164" spans="1:32" x14ac:dyDescent="0.3">
      <c r="A164" s="4">
        <v>166</v>
      </c>
      <c r="B164" s="5">
        <v>157</v>
      </c>
      <c r="C164">
        <v>1714</v>
      </c>
      <c r="D164" t="s">
        <v>47</v>
      </c>
      <c r="E164" t="s">
        <v>14305</v>
      </c>
      <c r="F164" t="s">
        <v>20</v>
      </c>
      <c r="G164" t="s">
        <v>31585</v>
      </c>
      <c r="H164">
        <v>60</v>
      </c>
      <c r="I164">
        <v>0</v>
      </c>
      <c r="J164">
        <v>20</v>
      </c>
      <c r="M164">
        <v>20</v>
      </c>
      <c r="N164">
        <v>20</v>
      </c>
      <c r="O164">
        <v>10</v>
      </c>
      <c r="P164">
        <v>110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D164" t="s">
        <v>130</v>
      </c>
      <c r="AF164">
        <v>110</v>
      </c>
    </row>
    <row r="165" spans="1:32" x14ac:dyDescent="0.3">
      <c r="A165" s="4">
        <v>167</v>
      </c>
      <c r="B165" s="5">
        <v>158</v>
      </c>
      <c r="C165">
        <v>1142</v>
      </c>
      <c r="D165" t="s">
        <v>181</v>
      </c>
      <c r="E165" t="s">
        <v>33</v>
      </c>
      <c r="F165" t="s">
        <v>17</v>
      </c>
      <c r="G165" t="s">
        <v>31586</v>
      </c>
      <c r="H165">
        <v>51</v>
      </c>
      <c r="I165">
        <v>0</v>
      </c>
      <c r="J165">
        <v>20</v>
      </c>
      <c r="M165">
        <v>20</v>
      </c>
      <c r="N165">
        <v>20</v>
      </c>
      <c r="O165">
        <v>10</v>
      </c>
      <c r="P165">
        <v>101</v>
      </c>
      <c r="Q165">
        <v>9</v>
      </c>
      <c r="R165">
        <v>9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9</v>
      </c>
      <c r="Z165">
        <v>0</v>
      </c>
      <c r="AA165">
        <v>0</v>
      </c>
      <c r="AD165" t="s">
        <v>130</v>
      </c>
      <c r="AF165">
        <v>110</v>
      </c>
    </row>
    <row r="166" spans="1:32" x14ac:dyDescent="0.3">
      <c r="A166" s="4">
        <v>168</v>
      </c>
      <c r="B166" s="5">
        <v>159</v>
      </c>
      <c r="C166">
        <v>39</v>
      </c>
      <c r="D166" t="s">
        <v>16860</v>
      </c>
      <c r="E166" t="s">
        <v>424</v>
      </c>
      <c r="F166" t="s">
        <v>782</v>
      </c>
      <c r="G166" t="s">
        <v>31587</v>
      </c>
      <c r="H166">
        <v>60</v>
      </c>
      <c r="I166">
        <v>0</v>
      </c>
      <c r="L166">
        <v>10</v>
      </c>
      <c r="M166">
        <v>10</v>
      </c>
      <c r="N166">
        <v>20</v>
      </c>
      <c r="O166">
        <v>10</v>
      </c>
      <c r="P166">
        <v>100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9</v>
      </c>
      <c r="AA166">
        <v>0</v>
      </c>
      <c r="AD166" t="s">
        <v>130</v>
      </c>
      <c r="AF166">
        <v>109</v>
      </c>
    </row>
    <row r="167" spans="1:32" x14ac:dyDescent="0.3">
      <c r="A167" s="4">
        <v>170</v>
      </c>
      <c r="B167" s="5">
        <v>160</v>
      </c>
      <c r="C167">
        <v>1321</v>
      </c>
      <c r="D167" t="s">
        <v>26636</v>
      </c>
      <c r="E167" t="s">
        <v>550</v>
      </c>
      <c r="F167" t="s">
        <v>3224</v>
      </c>
      <c r="G167" t="s">
        <v>31588</v>
      </c>
      <c r="H167">
        <v>60</v>
      </c>
      <c r="I167">
        <v>0</v>
      </c>
      <c r="L167">
        <v>10</v>
      </c>
      <c r="M167">
        <v>10</v>
      </c>
      <c r="N167">
        <v>20</v>
      </c>
      <c r="O167">
        <v>10</v>
      </c>
      <c r="P167">
        <v>100</v>
      </c>
      <c r="Q167">
        <v>5</v>
      </c>
      <c r="R167">
        <v>5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5</v>
      </c>
      <c r="Z167">
        <v>3</v>
      </c>
      <c r="AA167">
        <v>0</v>
      </c>
      <c r="AB167" t="s">
        <v>130</v>
      </c>
      <c r="AD167" t="s">
        <v>130</v>
      </c>
      <c r="AF167">
        <v>108</v>
      </c>
    </row>
    <row r="168" spans="1:32" x14ac:dyDescent="0.3">
      <c r="A168" s="4">
        <v>171</v>
      </c>
      <c r="B168" s="5">
        <v>161</v>
      </c>
      <c r="C168">
        <v>1391</v>
      </c>
      <c r="D168" t="s">
        <v>31589</v>
      </c>
      <c r="E168" t="s">
        <v>2843</v>
      </c>
      <c r="F168" t="s">
        <v>442</v>
      </c>
      <c r="G168" t="s">
        <v>31590</v>
      </c>
      <c r="H168">
        <v>54</v>
      </c>
      <c r="I168">
        <v>0</v>
      </c>
      <c r="K168">
        <v>30</v>
      </c>
      <c r="M168">
        <v>20</v>
      </c>
      <c r="N168">
        <v>20</v>
      </c>
      <c r="O168">
        <v>10</v>
      </c>
      <c r="P168">
        <v>104</v>
      </c>
      <c r="Q168">
        <v>4</v>
      </c>
      <c r="R168">
        <v>4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4</v>
      </c>
      <c r="Z168">
        <v>0</v>
      </c>
      <c r="AA168">
        <v>0</v>
      </c>
      <c r="AD168" t="s">
        <v>130</v>
      </c>
      <c r="AF168">
        <v>108</v>
      </c>
    </row>
    <row r="169" spans="1:32" x14ac:dyDescent="0.3">
      <c r="A169" s="4">
        <v>172</v>
      </c>
      <c r="B169" s="5">
        <v>162</v>
      </c>
      <c r="C169">
        <v>463</v>
      </c>
      <c r="D169" t="s">
        <v>7108</v>
      </c>
      <c r="E169" t="s">
        <v>355</v>
      </c>
      <c r="F169" t="s">
        <v>17</v>
      </c>
      <c r="G169" t="s">
        <v>31591</v>
      </c>
      <c r="H169">
        <v>60</v>
      </c>
      <c r="I169">
        <v>0</v>
      </c>
      <c r="L169">
        <v>10</v>
      </c>
      <c r="M169">
        <v>10</v>
      </c>
      <c r="N169">
        <v>20</v>
      </c>
      <c r="O169">
        <v>10</v>
      </c>
      <c r="P169">
        <v>100</v>
      </c>
      <c r="Q169">
        <v>8</v>
      </c>
      <c r="R169">
        <v>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8</v>
      </c>
      <c r="Z169">
        <v>0</v>
      </c>
      <c r="AA169">
        <v>0</v>
      </c>
      <c r="AD169" t="s">
        <v>130</v>
      </c>
      <c r="AF169">
        <v>108</v>
      </c>
    </row>
    <row r="170" spans="1:32" x14ac:dyDescent="0.3">
      <c r="A170" s="4">
        <v>173</v>
      </c>
      <c r="B170" s="5">
        <v>163</v>
      </c>
      <c r="C170">
        <v>758</v>
      </c>
      <c r="D170" t="s">
        <v>1784</v>
      </c>
      <c r="E170" t="s">
        <v>22</v>
      </c>
      <c r="F170" t="s">
        <v>6216</v>
      </c>
      <c r="G170" t="s">
        <v>31592</v>
      </c>
      <c r="H170">
        <v>60</v>
      </c>
      <c r="I170">
        <v>0</v>
      </c>
      <c r="L170">
        <v>10</v>
      </c>
      <c r="M170">
        <v>10</v>
      </c>
      <c r="N170">
        <v>20</v>
      </c>
      <c r="O170">
        <v>10</v>
      </c>
      <c r="P170">
        <v>100</v>
      </c>
      <c r="Q170">
        <v>8</v>
      </c>
      <c r="R170">
        <v>8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8</v>
      </c>
      <c r="Z170">
        <v>0</v>
      </c>
      <c r="AA170">
        <v>0</v>
      </c>
      <c r="AB170" t="s">
        <v>130</v>
      </c>
      <c r="AD170" t="s">
        <v>130</v>
      </c>
      <c r="AF170">
        <v>108</v>
      </c>
    </row>
    <row r="171" spans="1:32" x14ac:dyDescent="0.3">
      <c r="A171" s="4">
        <v>174</v>
      </c>
      <c r="B171" s="5">
        <v>164</v>
      </c>
      <c r="C171">
        <v>1130</v>
      </c>
      <c r="D171" t="s">
        <v>31593</v>
      </c>
      <c r="E171" t="s">
        <v>157</v>
      </c>
      <c r="F171" t="s">
        <v>782</v>
      </c>
      <c r="G171" t="s">
        <v>31594</v>
      </c>
      <c r="H171">
        <v>55.5</v>
      </c>
      <c r="I171">
        <v>0</v>
      </c>
      <c r="J171">
        <v>20</v>
      </c>
      <c r="L171">
        <v>10</v>
      </c>
      <c r="M171">
        <v>20</v>
      </c>
      <c r="N171">
        <v>20</v>
      </c>
      <c r="O171">
        <v>10</v>
      </c>
      <c r="P171">
        <v>105.5</v>
      </c>
      <c r="Q171">
        <v>2</v>
      </c>
      <c r="R171">
        <v>2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2</v>
      </c>
      <c r="Z171">
        <v>0</v>
      </c>
      <c r="AA171">
        <v>0</v>
      </c>
      <c r="AD171" t="s">
        <v>130</v>
      </c>
      <c r="AF171">
        <v>107.5</v>
      </c>
    </row>
    <row r="172" spans="1:32" x14ac:dyDescent="0.3">
      <c r="A172" s="4">
        <v>176</v>
      </c>
      <c r="B172" s="5">
        <v>165</v>
      </c>
      <c r="C172">
        <v>1335</v>
      </c>
      <c r="D172" t="s">
        <v>26081</v>
      </c>
      <c r="E172" t="s">
        <v>31595</v>
      </c>
      <c r="F172" t="s">
        <v>243</v>
      </c>
      <c r="G172" t="s">
        <v>31596</v>
      </c>
      <c r="H172">
        <v>51</v>
      </c>
      <c r="I172">
        <v>0</v>
      </c>
      <c r="J172">
        <v>20</v>
      </c>
      <c r="M172">
        <v>20</v>
      </c>
      <c r="N172">
        <v>20</v>
      </c>
      <c r="O172">
        <v>10</v>
      </c>
      <c r="P172">
        <v>101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6</v>
      </c>
      <c r="AA172">
        <v>0</v>
      </c>
      <c r="AD172" t="s">
        <v>130</v>
      </c>
      <c r="AF172">
        <v>107</v>
      </c>
    </row>
    <row r="173" spans="1:32" x14ac:dyDescent="0.3">
      <c r="A173" s="4">
        <v>177</v>
      </c>
      <c r="B173" s="5">
        <v>166</v>
      </c>
      <c r="C173">
        <v>1304</v>
      </c>
      <c r="D173" t="s">
        <v>27540</v>
      </c>
      <c r="E173" t="s">
        <v>283</v>
      </c>
      <c r="F173" t="s">
        <v>117</v>
      </c>
      <c r="G173" t="s">
        <v>31597</v>
      </c>
      <c r="H173">
        <v>51</v>
      </c>
      <c r="I173">
        <v>10</v>
      </c>
      <c r="L173">
        <v>10</v>
      </c>
      <c r="M173">
        <v>10</v>
      </c>
      <c r="N173">
        <v>20</v>
      </c>
      <c r="O173">
        <v>10</v>
      </c>
      <c r="P173">
        <v>101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6</v>
      </c>
      <c r="AA173">
        <v>0</v>
      </c>
      <c r="AB173" t="s">
        <v>130</v>
      </c>
      <c r="AC173" t="s">
        <v>130</v>
      </c>
      <c r="AD173" t="s">
        <v>130</v>
      </c>
      <c r="AF173">
        <v>107</v>
      </c>
    </row>
    <row r="174" spans="1:32" x14ac:dyDescent="0.3">
      <c r="A174" s="4">
        <v>178</v>
      </c>
      <c r="B174" s="5">
        <v>167</v>
      </c>
      <c r="C174">
        <v>828</v>
      </c>
      <c r="D174" t="s">
        <v>31598</v>
      </c>
      <c r="E174" t="s">
        <v>1809</v>
      </c>
      <c r="F174" t="s">
        <v>34</v>
      </c>
      <c r="G174" t="s">
        <v>31599</v>
      </c>
      <c r="H174">
        <v>60</v>
      </c>
      <c r="I174">
        <v>0</v>
      </c>
      <c r="L174">
        <v>10</v>
      </c>
      <c r="M174">
        <v>10</v>
      </c>
      <c r="N174">
        <v>20</v>
      </c>
      <c r="O174">
        <v>10</v>
      </c>
      <c r="P174">
        <v>100</v>
      </c>
      <c r="Q174">
        <v>1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6</v>
      </c>
      <c r="AA174">
        <v>0</v>
      </c>
      <c r="AB174" t="s">
        <v>130</v>
      </c>
      <c r="AD174" t="s">
        <v>130</v>
      </c>
      <c r="AF174">
        <v>107</v>
      </c>
    </row>
    <row r="175" spans="1:32" x14ac:dyDescent="0.3">
      <c r="A175" s="4">
        <v>179</v>
      </c>
      <c r="B175" s="5">
        <v>168</v>
      </c>
      <c r="C175">
        <v>932</v>
      </c>
      <c r="D175" t="s">
        <v>17632</v>
      </c>
      <c r="E175" t="s">
        <v>413</v>
      </c>
      <c r="F175" t="s">
        <v>20</v>
      </c>
      <c r="G175" t="s">
        <v>31600</v>
      </c>
      <c r="H175">
        <v>57</v>
      </c>
      <c r="I175">
        <v>0</v>
      </c>
      <c r="J175">
        <v>20</v>
      </c>
      <c r="M175">
        <v>20</v>
      </c>
      <c r="N175">
        <v>20</v>
      </c>
      <c r="O175">
        <v>10</v>
      </c>
      <c r="P175">
        <v>107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 t="s">
        <v>130</v>
      </c>
      <c r="AD175" t="s">
        <v>130</v>
      </c>
      <c r="AF175">
        <v>107</v>
      </c>
    </row>
    <row r="176" spans="1:32" x14ac:dyDescent="0.3">
      <c r="A176" s="4">
        <v>180</v>
      </c>
      <c r="B176" s="5">
        <v>169</v>
      </c>
      <c r="C176">
        <v>1498</v>
      </c>
      <c r="D176" t="s">
        <v>31601</v>
      </c>
      <c r="E176" t="s">
        <v>243</v>
      </c>
      <c r="F176" t="s">
        <v>136</v>
      </c>
      <c r="G176" t="s">
        <v>31602</v>
      </c>
      <c r="H176">
        <v>57</v>
      </c>
      <c r="I176">
        <v>0</v>
      </c>
      <c r="J176">
        <v>20</v>
      </c>
      <c r="M176">
        <v>20</v>
      </c>
      <c r="N176">
        <v>20</v>
      </c>
      <c r="O176">
        <v>10</v>
      </c>
      <c r="P176">
        <v>107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D176" t="s">
        <v>130</v>
      </c>
      <c r="AF176">
        <v>107</v>
      </c>
    </row>
    <row r="177" spans="1:32" x14ac:dyDescent="0.3">
      <c r="A177" s="4">
        <v>181</v>
      </c>
      <c r="B177" s="5">
        <v>170</v>
      </c>
      <c r="C177">
        <v>1110</v>
      </c>
      <c r="D177" t="s">
        <v>30557</v>
      </c>
      <c r="E177" t="s">
        <v>41</v>
      </c>
      <c r="F177" t="s">
        <v>136</v>
      </c>
      <c r="G177" t="s">
        <v>31603</v>
      </c>
      <c r="H177">
        <v>48</v>
      </c>
      <c r="I177">
        <v>0</v>
      </c>
      <c r="L177">
        <v>10</v>
      </c>
      <c r="M177">
        <v>10</v>
      </c>
      <c r="N177">
        <v>20</v>
      </c>
      <c r="O177">
        <v>10</v>
      </c>
      <c r="P177">
        <v>88</v>
      </c>
      <c r="Q177">
        <v>19</v>
      </c>
      <c r="R177">
        <v>19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19</v>
      </c>
      <c r="Z177">
        <v>0</v>
      </c>
      <c r="AA177">
        <v>0</v>
      </c>
      <c r="AD177" t="s">
        <v>130</v>
      </c>
      <c r="AF177">
        <v>107</v>
      </c>
    </row>
    <row r="178" spans="1:32" x14ac:dyDescent="0.3">
      <c r="A178" s="4">
        <v>183</v>
      </c>
      <c r="B178" s="5">
        <v>171</v>
      </c>
      <c r="C178">
        <v>483</v>
      </c>
      <c r="D178" t="s">
        <v>31604</v>
      </c>
      <c r="E178" t="s">
        <v>41</v>
      </c>
      <c r="F178" t="s">
        <v>243</v>
      </c>
      <c r="G178" t="s">
        <v>31605</v>
      </c>
      <c r="H178">
        <v>60</v>
      </c>
      <c r="I178">
        <v>0</v>
      </c>
      <c r="L178">
        <v>10</v>
      </c>
      <c r="M178">
        <v>10</v>
      </c>
      <c r="N178">
        <v>20</v>
      </c>
      <c r="O178">
        <v>10</v>
      </c>
      <c r="P178">
        <v>100</v>
      </c>
      <c r="Q178">
        <v>6</v>
      </c>
      <c r="R178">
        <v>6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6</v>
      </c>
      <c r="Z178">
        <v>0</v>
      </c>
      <c r="AA178">
        <v>0</v>
      </c>
      <c r="AD178" t="s">
        <v>130</v>
      </c>
      <c r="AF178">
        <v>106</v>
      </c>
    </row>
    <row r="179" spans="1:32" x14ac:dyDescent="0.3">
      <c r="A179" s="4">
        <v>184</v>
      </c>
      <c r="B179" s="5">
        <v>172</v>
      </c>
      <c r="C179">
        <v>1156</v>
      </c>
      <c r="D179" t="s">
        <v>5927</v>
      </c>
      <c r="E179" t="s">
        <v>17</v>
      </c>
      <c r="F179" t="s">
        <v>158</v>
      </c>
      <c r="G179" t="s">
        <v>31606</v>
      </c>
      <c r="H179">
        <v>60</v>
      </c>
      <c r="I179">
        <v>10</v>
      </c>
      <c r="M179">
        <v>0</v>
      </c>
      <c r="N179">
        <v>20</v>
      </c>
      <c r="O179">
        <v>10</v>
      </c>
      <c r="P179">
        <v>100</v>
      </c>
      <c r="Q179">
        <v>5</v>
      </c>
      <c r="R179">
        <v>5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5</v>
      </c>
      <c r="Z179">
        <v>0</v>
      </c>
      <c r="AA179">
        <v>0</v>
      </c>
      <c r="AD179" t="s">
        <v>130</v>
      </c>
      <c r="AF179">
        <v>105</v>
      </c>
    </row>
    <row r="180" spans="1:32" x14ac:dyDescent="0.3">
      <c r="A180" s="4">
        <v>185</v>
      </c>
      <c r="B180" s="5">
        <v>173</v>
      </c>
      <c r="C180">
        <v>1024</v>
      </c>
      <c r="D180" t="s">
        <v>2113</v>
      </c>
      <c r="E180" t="s">
        <v>31607</v>
      </c>
      <c r="F180" t="s">
        <v>62</v>
      </c>
      <c r="G180" t="s">
        <v>31608</v>
      </c>
      <c r="H180">
        <v>49.62</v>
      </c>
      <c r="I180">
        <v>0</v>
      </c>
      <c r="L180">
        <v>10</v>
      </c>
      <c r="M180">
        <v>10</v>
      </c>
      <c r="N180">
        <v>20</v>
      </c>
      <c r="O180">
        <v>10</v>
      </c>
      <c r="P180">
        <v>89.62</v>
      </c>
      <c r="Q180">
        <v>15</v>
      </c>
      <c r="R180">
        <v>15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15</v>
      </c>
      <c r="Z180">
        <v>0</v>
      </c>
      <c r="AA180">
        <v>0</v>
      </c>
      <c r="AD180" t="s">
        <v>130</v>
      </c>
      <c r="AF180">
        <v>104.62</v>
      </c>
    </row>
    <row r="181" spans="1:32" x14ac:dyDescent="0.3">
      <c r="A181" s="4">
        <v>186</v>
      </c>
      <c r="B181" s="5">
        <v>174</v>
      </c>
      <c r="C181">
        <v>456</v>
      </c>
      <c r="D181" t="s">
        <v>784</v>
      </c>
      <c r="E181" t="s">
        <v>26</v>
      </c>
      <c r="F181" t="s">
        <v>34</v>
      </c>
      <c r="G181" t="s">
        <v>31609</v>
      </c>
      <c r="H181">
        <v>50.1</v>
      </c>
      <c r="I181">
        <v>10</v>
      </c>
      <c r="L181">
        <v>10</v>
      </c>
      <c r="M181">
        <v>10</v>
      </c>
      <c r="N181">
        <v>20</v>
      </c>
      <c r="O181">
        <v>10</v>
      </c>
      <c r="P181">
        <v>100.1</v>
      </c>
      <c r="Q181">
        <v>4</v>
      </c>
      <c r="R181">
        <v>4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4</v>
      </c>
      <c r="Z181">
        <v>0</v>
      </c>
      <c r="AA181">
        <v>0</v>
      </c>
      <c r="AD181" t="s">
        <v>130</v>
      </c>
      <c r="AF181">
        <v>104.1</v>
      </c>
    </row>
    <row r="182" spans="1:32" x14ac:dyDescent="0.3">
      <c r="A182" s="4">
        <v>187</v>
      </c>
      <c r="B182" s="5">
        <v>175</v>
      </c>
      <c r="C182">
        <v>959</v>
      </c>
      <c r="D182" t="s">
        <v>3404</v>
      </c>
      <c r="E182" t="s">
        <v>7769</v>
      </c>
      <c r="F182" t="s">
        <v>136</v>
      </c>
      <c r="G182" t="s">
        <v>31610</v>
      </c>
      <c r="H182">
        <v>51</v>
      </c>
      <c r="I182">
        <v>10</v>
      </c>
      <c r="L182">
        <v>10</v>
      </c>
      <c r="M182">
        <v>10</v>
      </c>
      <c r="N182">
        <v>20</v>
      </c>
      <c r="O182">
        <v>10</v>
      </c>
      <c r="P182">
        <v>101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3</v>
      </c>
      <c r="AA182">
        <v>0</v>
      </c>
      <c r="AD182" t="s">
        <v>130</v>
      </c>
      <c r="AF182">
        <v>104</v>
      </c>
    </row>
    <row r="183" spans="1:32" x14ac:dyDescent="0.3">
      <c r="A183" s="4">
        <v>188</v>
      </c>
      <c r="B183" s="5">
        <v>176</v>
      </c>
      <c r="C183">
        <v>77</v>
      </c>
      <c r="D183" t="s">
        <v>31611</v>
      </c>
      <c r="E183" t="s">
        <v>139</v>
      </c>
      <c r="F183" t="s">
        <v>243</v>
      </c>
      <c r="G183" t="s">
        <v>31612</v>
      </c>
      <c r="H183">
        <v>51</v>
      </c>
      <c r="I183">
        <v>0</v>
      </c>
      <c r="J183">
        <v>20</v>
      </c>
      <c r="M183">
        <v>20</v>
      </c>
      <c r="N183">
        <v>20</v>
      </c>
      <c r="O183">
        <v>10</v>
      </c>
      <c r="P183">
        <v>101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3</v>
      </c>
      <c r="AA183">
        <v>0</v>
      </c>
      <c r="AD183" t="s">
        <v>130</v>
      </c>
      <c r="AF183">
        <v>104</v>
      </c>
    </row>
    <row r="184" spans="1:32" x14ac:dyDescent="0.3">
      <c r="A184" s="4">
        <v>189</v>
      </c>
      <c r="B184" s="5">
        <v>177</v>
      </c>
      <c r="C184">
        <v>1736</v>
      </c>
      <c r="D184" t="s">
        <v>31613</v>
      </c>
      <c r="E184" t="s">
        <v>413</v>
      </c>
      <c r="F184" t="s">
        <v>68</v>
      </c>
      <c r="G184" t="s">
        <v>31614</v>
      </c>
      <c r="H184">
        <v>54</v>
      </c>
      <c r="I184">
        <v>0</v>
      </c>
      <c r="J184">
        <v>20</v>
      </c>
      <c r="M184">
        <v>20</v>
      </c>
      <c r="N184">
        <v>20</v>
      </c>
      <c r="O184">
        <v>10</v>
      </c>
      <c r="P184">
        <v>104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D184" t="s">
        <v>130</v>
      </c>
      <c r="AF184">
        <v>104</v>
      </c>
    </row>
    <row r="185" spans="1:32" x14ac:dyDescent="0.3">
      <c r="A185" s="4">
        <v>190</v>
      </c>
      <c r="B185" s="5">
        <v>178</v>
      </c>
      <c r="C185">
        <v>1255</v>
      </c>
      <c r="D185" t="s">
        <v>334</v>
      </c>
      <c r="E185" t="s">
        <v>471</v>
      </c>
      <c r="F185" t="s">
        <v>488</v>
      </c>
      <c r="G185" t="s">
        <v>31615</v>
      </c>
      <c r="H185">
        <v>54</v>
      </c>
      <c r="I185">
        <v>0</v>
      </c>
      <c r="J185">
        <v>20</v>
      </c>
      <c r="L185">
        <v>10</v>
      </c>
      <c r="M185">
        <v>20</v>
      </c>
      <c r="N185">
        <v>20</v>
      </c>
      <c r="O185">
        <v>10</v>
      </c>
      <c r="P185">
        <v>104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D185" t="s">
        <v>130</v>
      </c>
      <c r="AF185">
        <v>104</v>
      </c>
    </row>
    <row r="186" spans="1:32" x14ac:dyDescent="0.3">
      <c r="A186" s="4">
        <v>191</v>
      </c>
      <c r="B186" s="5">
        <v>179</v>
      </c>
      <c r="C186">
        <v>437</v>
      </c>
      <c r="D186" t="s">
        <v>2043</v>
      </c>
      <c r="E186" t="s">
        <v>166</v>
      </c>
      <c r="F186" t="s">
        <v>124</v>
      </c>
      <c r="G186" t="s">
        <v>31616</v>
      </c>
      <c r="H186">
        <v>54</v>
      </c>
      <c r="I186">
        <v>0</v>
      </c>
      <c r="J186">
        <v>20</v>
      </c>
      <c r="L186">
        <v>10</v>
      </c>
      <c r="M186">
        <v>20</v>
      </c>
      <c r="N186">
        <v>20</v>
      </c>
      <c r="O186">
        <v>10</v>
      </c>
      <c r="P186">
        <v>104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D186" t="s">
        <v>130</v>
      </c>
      <c r="AF186">
        <v>104</v>
      </c>
    </row>
    <row r="187" spans="1:32" x14ac:dyDescent="0.3">
      <c r="A187" s="4">
        <v>192</v>
      </c>
      <c r="B187" s="5">
        <v>180</v>
      </c>
      <c r="C187">
        <v>132</v>
      </c>
      <c r="D187" t="s">
        <v>1604</v>
      </c>
      <c r="E187" t="s">
        <v>31617</v>
      </c>
      <c r="F187" t="s">
        <v>20</v>
      </c>
      <c r="G187" t="s">
        <v>31618</v>
      </c>
      <c r="H187">
        <v>54</v>
      </c>
      <c r="I187">
        <v>0</v>
      </c>
      <c r="L187">
        <v>20</v>
      </c>
      <c r="M187">
        <v>20</v>
      </c>
      <c r="N187">
        <v>20</v>
      </c>
      <c r="O187">
        <v>10</v>
      </c>
      <c r="P187">
        <v>104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D187" t="s">
        <v>130</v>
      </c>
      <c r="AF187">
        <v>104</v>
      </c>
    </row>
    <row r="188" spans="1:32" x14ac:dyDescent="0.3">
      <c r="A188" s="4">
        <v>193</v>
      </c>
      <c r="B188" s="5">
        <v>181</v>
      </c>
      <c r="C188">
        <v>1059</v>
      </c>
      <c r="D188" t="s">
        <v>11645</v>
      </c>
      <c r="E188" t="s">
        <v>10280</v>
      </c>
      <c r="F188" t="s">
        <v>230</v>
      </c>
      <c r="G188" t="s">
        <v>31619</v>
      </c>
      <c r="H188">
        <v>60</v>
      </c>
      <c r="I188">
        <v>0</v>
      </c>
      <c r="L188">
        <v>10</v>
      </c>
      <c r="M188">
        <v>10</v>
      </c>
      <c r="N188">
        <v>20</v>
      </c>
      <c r="O188">
        <v>10</v>
      </c>
      <c r="P188">
        <v>100</v>
      </c>
      <c r="Q188">
        <v>4</v>
      </c>
      <c r="R188">
        <v>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4</v>
      </c>
      <c r="Z188">
        <v>0</v>
      </c>
      <c r="AA188">
        <v>0</v>
      </c>
      <c r="AD188" t="s">
        <v>130</v>
      </c>
      <c r="AF188">
        <v>104</v>
      </c>
    </row>
    <row r="189" spans="1:32" x14ac:dyDescent="0.3">
      <c r="A189" s="4">
        <v>194</v>
      </c>
      <c r="B189" s="5">
        <v>182</v>
      </c>
      <c r="C189">
        <v>1534</v>
      </c>
      <c r="D189" t="s">
        <v>74</v>
      </c>
      <c r="E189" t="s">
        <v>1280</v>
      </c>
      <c r="F189" t="s">
        <v>375</v>
      </c>
      <c r="G189" t="s">
        <v>31620</v>
      </c>
      <c r="H189">
        <v>54.78</v>
      </c>
      <c r="I189">
        <v>0</v>
      </c>
      <c r="L189">
        <v>10</v>
      </c>
      <c r="M189">
        <v>10</v>
      </c>
      <c r="N189">
        <v>20</v>
      </c>
      <c r="O189">
        <v>10</v>
      </c>
      <c r="P189">
        <v>94.78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9</v>
      </c>
      <c r="AA189">
        <v>0</v>
      </c>
      <c r="AD189" t="s">
        <v>130</v>
      </c>
      <c r="AF189">
        <v>103.78</v>
      </c>
    </row>
    <row r="190" spans="1:32" x14ac:dyDescent="0.3">
      <c r="A190" s="4">
        <v>195</v>
      </c>
      <c r="B190" s="5">
        <v>183</v>
      </c>
      <c r="C190">
        <v>106</v>
      </c>
      <c r="D190" t="s">
        <v>31621</v>
      </c>
      <c r="E190" t="s">
        <v>20</v>
      </c>
      <c r="F190" t="s">
        <v>62</v>
      </c>
      <c r="G190" t="s">
        <v>31622</v>
      </c>
      <c r="H190">
        <v>57.6</v>
      </c>
      <c r="I190">
        <v>0</v>
      </c>
      <c r="L190">
        <v>10</v>
      </c>
      <c r="M190">
        <v>10</v>
      </c>
      <c r="N190">
        <v>20</v>
      </c>
      <c r="O190">
        <v>10</v>
      </c>
      <c r="P190">
        <v>97.6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6</v>
      </c>
      <c r="AA190">
        <v>0</v>
      </c>
      <c r="AD190" t="s">
        <v>130</v>
      </c>
      <c r="AF190">
        <v>103.6</v>
      </c>
    </row>
    <row r="191" spans="1:32" x14ac:dyDescent="0.3">
      <c r="A191" s="4">
        <v>196</v>
      </c>
      <c r="B191" s="5">
        <v>184</v>
      </c>
      <c r="C191">
        <v>1113</v>
      </c>
      <c r="D191" t="s">
        <v>31623</v>
      </c>
      <c r="E191" t="s">
        <v>81</v>
      </c>
      <c r="F191" t="s">
        <v>17</v>
      </c>
      <c r="G191" t="s">
        <v>31624</v>
      </c>
      <c r="H191">
        <v>50.4</v>
      </c>
      <c r="I191">
        <v>0</v>
      </c>
      <c r="J191">
        <v>20</v>
      </c>
      <c r="M191">
        <v>20</v>
      </c>
      <c r="N191">
        <v>20</v>
      </c>
      <c r="O191">
        <v>10</v>
      </c>
      <c r="P191">
        <v>100.4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3</v>
      </c>
      <c r="AA191">
        <v>0</v>
      </c>
      <c r="AD191" t="s">
        <v>130</v>
      </c>
      <c r="AF191">
        <v>103.4</v>
      </c>
    </row>
    <row r="192" spans="1:32" x14ac:dyDescent="0.3">
      <c r="A192" s="4">
        <v>197</v>
      </c>
      <c r="B192" s="5">
        <v>185</v>
      </c>
      <c r="C192">
        <v>797</v>
      </c>
      <c r="D192" t="s">
        <v>25695</v>
      </c>
      <c r="E192" t="s">
        <v>3523</v>
      </c>
      <c r="F192" t="s">
        <v>68</v>
      </c>
      <c r="G192" t="s">
        <v>31625</v>
      </c>
      <c r="H192">
        <v>53.4</v>
      </c>
      <c r="I192">
        <v>0</v>
      </c>
      <c r="J192">
        <v>20</v>
      </c>
      <c r="M192">
        <v>20</v>
      </c>
      <c r="N192">
        <v>20</v>
      </c>
      <c r="O192">
        <v>10</v>
      </c>
      <c r="P192">
        <v>103.4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D192" t="s">
        <v>130</v>
      </c>
      <c r="AF192">
        <v>103.4</v>
      </c>
    </row>
    <row r="193" spans="1:32" x14ac:dyDescent="0.3">
      <c r="A193" s="4">
        <v>198</v>
      </c>
      <c r="B193" s="5">
        <v>186</v>
      </c>
      <c r="C193">
        <v>1515</v>
      </c>
      <c r="D193" t="s">
        <v>3356</v>
      </c>
      <c r="E193" t="s">
        <v>88</v>
      </c>
      <c r="F193" t="s">
        <v>17</v>
      </c>
      <c r="G193" t="s">
        <v>31626</v>
      </c>
      <c r="H193">
        <v>57</v>
      </c>
      <c r="I193">
        <v>0</v>
      </c>
      <c r="L193">
        <v>10</v>
      </c>
      <c r="M193">
        <v>10</v>
      </c>
      <c r="N193">
        <v>20</v>
      </c>
      <c r="O193">
        <v>10</v>
      </c>
      <c r="P193">
        <v>97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6</v>
      </c>
      <c r="AA193">
        <v>0</v>
      </c>
      <c r="AB193" t="s">
        <v>130</v>
      </c>
      <c r="AD193" t="s">
        <v>130</v>
      </c>
      <c r="AF193">
        <v>103</v>
      </c>
    </row>
    <row r="194" spans="1:32" x14ac:dyDescent="0.3">
      <c r="A194" s="4">
        <v>199</v>
      </c>
      <c r="B194" s="5">
        <v>187</v>
      </c>
      <c r="C194">
        <v>619</v>
      </c>
      <c r="D194" t="s">
        <v>30691</v>
      </c>
      <c r="E194" t="s">
        <v>652</v>
      </c>
      <c r="F194" t="s">
        <v>190</v>
      </c>
      <c r="G194" t="s">
        <v>30692</v>
      </c>
      <c r="H194">
        <v>60</v>
      </c>
      <c r="I194">
        <v>10</v>
      </c>
      <c r="M194">
        <v>0</v>
      </c>
      <c r="N194">
        <v>20</v>
      </c>
      <c r="O194">
        <v>10</v>
      </c>
      <c r="P194">
        <v>100</v>
      </c>
      <c r="Q194">
        <v>3</v>
      </c>
      <c r="R194">
        <v>3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3</v>
      </c>
      <c r="Z194">
        <v>0</v>
      </c>
      <c r="AA194">
        <v>0</v>
      </c>
      <c r="AD194" t="s">
        <v>130</v>
      </c>
      <c r="AF194">
        <v>103</v>
      </c>
    </row>
    <row r="195" spans="1:32" x14ac:dyDescent="0.3">
      <c r="A195" s="4">
        <v>200</v>
      </c>
      <c r="B195" s="5">
        <v>188</v>
      </c>
      <c r="C195">
        <v>743</v>
      </c>
      <c r="D195" t="s">
        <v>23679</v>
      </c>
      <c r="E195" t="s">
        <v>5614</v>
      </c>
      <c r="F195" t="s">
        <v>230</v>
      </c>
      <c r="G195" t="s">
        <v>30974</v>
      </c>
      <c r="H195">
        <v>51</v>
      </c>
      <c r="I195">
        <v>0</v>
      </c>
      <c r="M195">
        <v>0</v>
      </c>
      <c r="N195">
        <v>20</v>
      </c>
      <c r="O195">
        <v>10</v>
      </c>
      <c r="P195">
        <v>81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21</v>
      </c>
      <c r="AA195">
        <v>0</v>
      </c>
      <c r="AD195" t="s">
        <v>130</v>
      </c>
      <c r="AF195">
        <v>102</v>
      </c>
    </row>
    <row r="196" spans="1:32" x14ac:dyDescent="0.3">
      <c r="A196" s="4">
        <v>201</v>
      </c>
      <c r="B196" s="5">
        <v>189</v>
      </c>
      <c r="C196">
        <v>1663</v>
      </c>
      <c r="D196" t="s">
        <v>31627</v>
      </c>
      <c r="E196" t="s">
        <v>81</v>
      </c>
      <c r="F196" t="s">
        <v>5060</v>
      </c>
      <c r="G196" t="s">
        <v>31628</v>
      </c>
      <c r="H196">
        <v>51</v>
      </c>
      <c r="I196">
        <v>0</v>
      </c>
      <c r="K196">
        <v>15</v>
      </c>
      <c r="M196">
        <v>15</v>
      </c>
      <c r="N196">
        <v>20</v>
      </c>
      <c r="O196">
        <v>10</v>
      </c>
      <c r="P196">
        <v>96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6</v>
      </c>
      <c r="AA196">
        <v>0</v>
      </c>
      <c r="AD196" t="s">
        <v>130</v>
      </c>
      <c r="AF196">
        <v>102</v>
      </c>
    </row>
    <row r="197" spans="1:32" x14ac:dyDescent="0.3">
      <c r="A197" s="4">
        <v>202</v>
      </c>
      <c r="B197" s="5">
        <v>190</v>
      </c>
      <c r="C197">
        <v>902</v>
      </c>
      <c r="D197" t="s">
        <v>31629</v>
      </c>
      <c r="E197" t="s">
        <v>213</v>
      </c>
      <c r="F197" t="s">
        <v>782</v>
      </c>
      <c r="G197" t="s">
        <v>31630</v>
      </c>
      <c r="H197">
        <v>57</v>
      </c>
      <c r="I197">
        <v>10</v>
      </c>
      <c r="M197">
        <v>0</v>
      </c>
      <c r="N197">
        <v>20</v>
      </c>
      <c r="O197">
        <v>10</v>
      </c>
      <c r="P197">
        <v>97</v>
      </c>
      <c r="Q197">
        <v>5</v>
      </c>
      <c r="R197">
        <v>5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5</v>
      </c>
      <c r="Z197">
        <v>0</v>
      </c>
      <c r="AA197">
        <v>0</v>
      </c>
      <c r="AB197" t="s">
        <v>130</v>
      </c>
      <c r="AD197" t="s">
        <v>130</v>
      </c>
      <c r="AF197">
        <v>102</v>
      </c>
    </row>
    <row r="198" spans="1:32" x14ac:dyDescent="0.3">
      <c r="A198" s="4">
        <v>203</v>
      </c>
      <c r="B198" s="5">
        <v>191</v>
      </c>
      <c r="C198">
        <v>820</v>
      </c>
      <c r="D198" t="s">
        <v>7327</v>
      </c>
      <c r="E198" t="s">
        <v>648</v>
      </c>
      <c r="F198" t="s">
        <v>1460</v>
      </c>
      <c r="G198" t="s">
        <v>31631</v>
      </c>
      <c r="H198">
        <v>57.84</v>
      </c>
      <c r="I198">
        <v>0</v>
      </c>
      <c r="L198">
        <v>10</v>
      </c>
      <c r="M198">
        <v>10</v>
      </c>
      <c r="N198">
        <v>20</v>
      </c>
      <c r="O198">
        <v>10</v>
      </c>
      <c r="P198">
        <v>97.84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3</v>
      </c>
      <c r="AA198">
        <v>0</v>
      </c>
      <c r="AD198" t="s">
        <v>130</v>
      </c>
      <c r="AF198">
        <v>101.84</v>
      </c>
    </row>
    <row r="199" spans="1:32" x14ac:dyDescent="0.3">
      <c r="A199" s="4">
        <v>204</v>
      </c>
      <c r="B199" s="5">
        <v>192</v>
      </c>
      <c r="C199">
        <v>1341</v>
      </c>
      <c r="D199" t="s">
        <v>31632</v>
      </c>
      <c r="E199" t="s">
        <v>2372</v>
      </c>
      <c r="F199" t="s">
        <v>17</v>
      </c>
      <c r="G199" t="s">
        <v>31633</v>
      </c>
      <c r="H199">
        <v>51</v>
      </c>
      <c r="I199">
        <v>0</v>
      </c>
      <c r="J199">
        <v>20</v>
      </c>
      <c r="M199">
        <v>20</v>
      </c>
      <c r="N199">
        <v>20</v>
      </c>
      <c r="O199">
        <v>10</v>
      </c>
      <c r="P199">
        <v>101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D199" t="s">
        <v>130</v>
      </c>
      <c r="AF199">
        <v>101</v>
      </c>
    </row>
    <row r="200" spans="1:32" x14ac:dyDescent="0.3">
      <c r="A200" s="4">
        <v>205</v>
      </c>
      <c r="B200" s="5">
        <v>193</v>
      </c>
      <c r="C200">
        <v>638</v>
      </c>
      <c r="D200" t="s">
        <v>31634</v>
      </c>
      <c r="E200" t="s">
        <v>273</v>
      </c>
      <c r="F200" t="s">
        <v>136</v>
      </c>
      <c r="G200" t="s">
        <v>31635</v>
      </c>
      <c r="H200">
        <v>51</v>
      </c>
      <c r="I200">
        <v>0</v>
      </c>
      <c r="J200">
        <v>20</v>
      </c>
      <c r="L200">
        <v>10</v>
      </c>
      <c r="M200">
        <v>20</v>
      </c>
      <c r="N200">
        <v>20</v>
      </c>
      <c r="O200">
        <v>10</v>
      </c>
      <c r="P200">
        <v>101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 t="s">
        <v>130</v>
      </c>
      <c r="AD200" t="s">
        <v>130</v>
      </c>
      <c r="AF200">
        <v>101</v>
      </c>
    </row>
    <row r="201" spans="1:32" x14ac:dyDescent="0.3">
      <c r="A201" s="4">
        <v>206</v>
      </c>
      <c r="B201" s="5">
        <v>194</v>
      </c>
      <c r="C201">
        <v>353</v>
      </c>
      <c r="D201" t="s">
        <v>31636</v>
      </c>
      <c r="E201" t="s">
        <v>782</v>
      </c>
      <c r="F201" t="s">
        <v>20</v>
      </c>
      <c r="G201" t="s">
        <v>31637</v>
      </c>
      <c r="H201">
        <v>51</v>
      </c>
      <c r="I201">
        <v>0</v>
      </c>
      <c r="J201">
        <v>20</v>
      </c>
      <c r="M201">
        <v>20</v>
      </c>
      <c r="N201">
        <v>20</v>
      </c>
      <c r="O201">
        <v>10</v>
      </c>
      <c r="P201">
        <v>101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D201" t="s">
        <v>130</v>
      </c>
      <c r="AF201">
        <v>101</v>
      </c>
    </row>
    <row r="202" spans="1:32" x14ac:dyDescent="0.3">
      <c r="A202" s="4">
        <v>207</v>
      </c>
      <c r="B202" s="5">
        <v>195</v>
      </c>
      <c r="C202">
        <v>1530</v>
      </c>
      <c r="D202" t="s">
        <v>20610</v>
      </c>
      <c r="E202" t="s">
        <v>3359</v>
      </c>
      <c r="F202" t="s">
        <v>801</v>
      </c>
      <c r="G202" t="s">
        <v>31638</v>
      </c>
      <c r="H202">
        <v>51</v>
      </c>
      <c r="I202">
        <v>10</v>
      </c>
      <c r="L202">
        <v>10</v>
      </c>
      <c r="M202">
        <v>10</v>
      </c>
      <c r="N202">
        <v>20</v>
      </c>
      <c r="O202">
        <v>10</v>
      </c>
      <c r="P202">
        <v>101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D202" t="s">
        <v>130</v>
      </c>
      <c r="AF202">
        <v>101</v>
      </c>
    </row>
    <row r="203" spans="1:32" x14ac:dyDescent="0.3">
      <c r="A203" s="4">
        <v>208</v>
      </c>
      <c r="B203" s="5">
        <v>196</v>
      </c>
      <c r="C203">
        <v>100</v>
      </c>
      <c r="D203" t="s">
        <v>13766</v>
      </c>
      <c r="E203" t="s">
        <v>1474</v>
      </c>
      <c r="F203" t="s">
        <v>20</v>
      </c>
      <c r="G203" t="s">
        <v>31639</v>
      </c>
      <c r="H203">
        <v>51</v>
      </c>
      <c r="I203">
        <v>0</v>
      </c>
      <c r="J203">
        <v>20</v>
      </c>
      <c r="L203">
        <v>10</v>
      </c>
      <c r="M203">
        <v>20</v>
      </c>
      <c r="N203">
        <v>20</v>
      </c>
      <c r="O203">
        <v>10</v>
      </c>
      <c r="P203">
        <v>101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D203" t="s">
        <v>130</v>
      </c>
      <c r="AF203">
        <v>101</v>
      </c>
    </row>
    <row r="204" spans="1:32" x14ac:dyDescent="0.3">
      <c r="A204" s="4">
        <v>209</v>
      </c>
      <c r="B204" s="5">
        <v>197</v>
      </c>
      <c r="C204">
        <v>1072</v>
      </c>
      <c r="D204" t="s">
        <v>7389</v>
      </c>
      <c r="E204" t="s">
        <v>88</v>
      </c>
      <c r="F204" t="s">
        <v>117</v>
      </c>
      <c r="G204" t="s">
        <v>31640</v>
      </c>
      <c r="H204">
        <v>51</v>
      </c>
      <c r="I204">
        <v>0</v>
      </c>
      <c r="J204">
        <v>20</v>
      </c>
      <c r="L204">
        <v>10</v>
      </c>
      <c r="M204">
        <v>20</v>
      </c>
      <c r="N204">
        <v>20</v>
      </c>
      <c r="O204">
        <v>10</v>
      </c>
      <c r="P204">
        <v>101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D204" t="s">
        <v>130</v>
      </c>
      <c r="AF204">
        <v>101</v>
      </c>
    </row>
    <row r="205" spans="1:32" x14ac:dyDescent="0.3">
      <c r="A205" s="4">
        <v>210</v>
      </c>
      <c r="B205" s="5">
        <v>198</v>
      </c>
      <c r="C205">
        <v>459</v>
      </c>
      <c r="D205" t="s">
        <v>31431</v>
      </c>
      <c r="E205" t="s">
        <v>17</v>
      </c>
      <c r="F205" t="s">
        <v>124</v>
      </c>
      <c r="G205" t="s">
        <v>31641</v>
      </c>
      <c r="H205">
        <v>51</v>
      </c>
      <c r="I205">
        <v>0</v>
      </c>
      <c r="J205">
        <v>20</v>
      </c>
      <c r="M205">
        <v>20</v>
      </c>
      <c r="N205">
        <v>20</v>
      </c>
      <c r="O205">
        <v>10</v>
      </c>
      <c r="P205">
        <v>101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D205" t="s">
        <v>130</v>
      </c>
      <c r="AF205">
        <v>101</v>
      </c>
    </row>
    <row r="206" spans="1:32" x14ac:dyDescent="0.3">
      <c r="A206" s="4">
        <v>211</v>
      </c>
      <c r="B206" s="5">
        <v>199</v>
      </c>
      <c r="C206">
        <v>999</v>
      </c>
      <c r="D206" t="s">
        <v>2725</v>
      </c>
      <c r="E206" t="s">
        <v>88</v>
      </c>
      <c r="F206" t="s">
        <v>328</v>
      </c>
      <c r="G206" t="s">
        <v>31642</v>
      </c>
      <c r="H206">
        <v>51</v>
      </c>
      <c r="I206">
        <v>0</v>
      </c>
      <c r="J206">
        <v>20</v>
      </c>
      <c r="L206">
        <v>10</v>
      </c>
      <c r="M206">
        <v>20</v>
      </c>
      <c r="N206">
        <v>20</v>
      </c>
      <c r="O206">
        <v>10</v>
      </c>
      <c r="P206">
        <v>101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D206" t="s">
        <v>130</v>
      </c>
      <c r="AF206">
        <v>101</v>
      </c>
    </row>
    <row r="207" spans="1:32" x14ac:dyDescent="0.3">
      <c r="A207" s="4">
        <v>212</v>
      </c>
      <c r="B207" s="5">
        <v>200</v>
      </c>
      <c r="C207">
        <v>983</v>
      </c>
      <c r="D207" t="s">
        <v>1907</v>
      </c>
      <c r="E207" t="s">
        <v>41</v>
      </c>
      <c r="F207" t="s">
        <v>30</v>
      </c>
      <c r="G207" t="s">
        <v>31643</v>
      </c>
      <c r="H207">
        <v>51</v>
      </c>
      <c r="I207">
        <v>0</v>
      </c>
      <c r="J207">
        <v>20</v>
      </c>
      <c r="M207">
        <v>20</v>
      </c>
      <c r="N207">
        <v>20</v>
      </c>
      <c r="O207">
        <v>10</v>
      </c>
      <c r="P207">
        <v>101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D207" t="s">
        <v>130</v>
      </c>
      <c r="AF207">
        <v>101</v>
      </c>
    </row>
    <row r="208" spans="1:32" x14ac:dyDescent="0.3">
      <c r="A208" s="4">
        <v>213</v>
      </c>
      <c r="B208" s="5">
        <v>201</v>
      </c>
      <c r="C208">
        <v>1700</v>
      </c>
      <c r="D208" t="s">
        <v>31644</v>
      </c>
      <c r="E208" t="s">
        <v>31645</v>
      </c>
      <c r="F208" t="s">
        <v>68</v>
      </c>
      <c r="G208" t="s">
        <v>31646</v>
      </c>
      <c r="H208">
        <v>51</v>
      </c>
      <c r="I208">
        <v>0</v>
      </c>
      <c r="J208">
        <v>20</v>
      </c>
      <c r="K208">
        <v>15</v>
      </c>
      <c r="M208">
        <v>20</v>
      </c>
      <c r="N208">
        <v>20</v>
      </c>
      <c r="O208">
        <v>10</v>
      </c>
      <c r="P208">
        <v>101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D208" t="s">
        <v>130</v>
      </c>
      <c r="AF208">
        <v>101</v>
      </c>
    </row>
    <row r="209" spans="1:32" x14ac:dyDescent="0.3">
      <c r="A209" s="4">
        <v>214</v>
      </c>
      <c r="B209" s="5">
        <v>202</v>
      </c>
      <c r="C209">
        <v>1299</v>
      </c>
      <c r="D209" t="s">
        <v>31647</v>
      </c>
      <c r="E209" t="s">
        <v>17</v>
      </c>
      <c r="F209" t="s">
        <v>243</v>
      </c>
      <c r="G209" t="s">
        <v>31648</v>
      </c>
      <c r="H209">
        <v>51</v>
      </c>
      <c r="I209">
        <v>0</v>
      </c>
      <c r="J209">
        <v>20</v>
      </c>
      <c r="M209">
        <v>20</v>
      </c>
      <c r="N209">
        <v>20</v>
      </c>
      <c r="O209">
        <v>10</v>
      </c>
      <c r="P209">
        <v>101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D209" t="s">
        <v>130</v>
      </c>
      <c r="AF209">
        <v>101</v>
      </c>
    </row>
    <row r="210" spans="1:32" x14ac:dyDescent="0.3">
      <c r="A210" s="4">
        <v>215</v>
      </c>
      <c r="B210" s="5">
        <v>203</v>
      </c>
      <c r="C210">
        <v>817</v>
      </c>
      <c r="D210" t="s">
        <v>31649</v>
      </c>
      <c r="E210" t="s">
        <v>29</v>
      </c>
      <c r="F210" t="s">
        <v>17</v>
      </c>
      <c r="G210" t="s">
        <v>31650</v>
      </c>
      <c r="H210">
        <v>51</v>
      </c>
      <c r="I210">
        <v>10</v>
      </c>
      <c r="L210">
        <v>10</v>
      </c>
      <c r="M210">
        <v>10</v>
      </c>
      <c r="N210">
        <v>20</v>
      </c>
      <c r="O210">
        <v>10</v>
      </c>
      <c r="P210">
        <v>101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D210" t="s">
        <v>130</v>
      </c>
      <c r="AF210">
        <v>101</v>
      </c>
    </row>
    <row r="211" spans="1:32" x14ac:dyDescent="0.3">
      <c r="A211" s="4">
        <v>216</v>
      </c>
      <c r="B211" s="5">
        <v>204</v>
      </c>
      <c r="C211">
        <v>756</v>
      </c>
      <c r="D211" t="s">
        <v>31651</v>
      </c>
      <c r="E211" t="s">
        <v>62</v>
      </c>
      <c r="F211" t="s">
        <v>3236</v>
      </c>
      <c r="G211" t="s">
        <v>31652</v>
      </c>
      <c r="H211">
        <v>51</v>
      </c>
      <c r="I211">
        <v>0</v>
      </c>
      <c r="J211">
        <v>20</v>
      </c>
      <c r="M211">
        <v>20</v>
      </c>
      <c r="N211">
        <v>20</v>
      </c>
      <c r="O211">
        <v>10</v>
      </c>
      <c r="P211">
        <v>101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D211" t="s">
        <v>130</v>
      </c>
      <c r="AF211">
        <v>101</v>
      </c>
    </row>
    <row r="212" spans="1:32" x14ac:dyDescent="0.3">
      <c r="A212" s="4">
        <v>217</v>
      </c>
      <c r="B212" s="5">
        <v>205</v>
      </c>
      <c r="C212">
        <v>942</v>
      </c>
      <c r="D212" t="s">
        <v>31653</v>
      </c>
      <c r="E212" t="s">
        <v>29</v>
      </c>
      <c r="F212" t="s">
        <v>38</v>
      </c>
      <c r="G212" t="s">
        <v>31654</v>
      </c>
      <c r="H212">
        <v>50.52</v>
      </c>
      <c r="I212">
        <v>0</v>
      </c>
      <c r="J212">
        <v>20</v>
      </c>
      <c r="M212">
        <v>20</v>
      </c>
      <c r="N212">
        <v>20</v>
      </c>
      <c r="O212">
        <v>10</v>
      </c>
      <c r="P212">
        <v>100.52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D212" t="s">
        <v>130</v>
      </c>
      <c r="AF212">
        <v>100.52</v>
      </c>
    </row>
    <row r="213" spans="1:32" x14ac:dyDescent="0.3">
      <c r="A213" s="4">
        <v>218</v>
      </c>
      <c r="B213" s="5">
        <v>206</v>
      </c>
      <c r="C213">
        <v>337</v>
      </c>
      <c r="D213" t="s">
        <v>31655</v>
      </c>
      <c r="E213" t="s">
        <v>81</v>
      </c>
      <c r="F213" t="s">
        <v>136</v>
      </c>
      <c r="G213" t="s">
        <v>31656</v>
      </c>
      <c r="H213">
        <v>54</v>
      </c>
      <c r="I213">
        <v>0</v>
      </c>
      <c r="M213">
        <v>0</v>
      </c>
      <c r="N213">
        <v>20</v>
      </c>
      <c r="O213">
        <v>10</v>
      </c>
      <c r="P213">
        <v>84</v>
      </c>
      <c r="Q213">
        <v>10</v>
      </c>
      <c r="R213">
        <v>10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10</v>
      </c>
      <c r="Z213">
        <v>6</v>
      </c>
      <c r="AA213">
        <v>0</v>
      </c>
      <c r="AD213" t="s">
        <v>130</v>
      </c>
      <c r="AF213">
        <v>100</v>
      </c>
    </row>
    <row r="214" spans="1:32" x14ac:dyDescent="0.3">
      <c r="A214" s="4">
        <v>219</v>
      </c>
      <c r="B214" s="5">
        <v>207</v>
      </c>
      <c r="C214">
        <v>1441</v>
      </c>
      <c r="D214" t="s">
        <v>23914</v>
      </c>
      <c r="E214" t="s">
        <v>33</v>
      </c>
      <c r="F214" t="s">
        <v>416</v>
      </c>
      <c r="G214" t="s">
        <v>31657</v>
      </c>
      <c r="H214">
        <v>57</v>
      </c>
      <c r="I214">
        <v>0</v>
      </c>
      <c r="L214">
        <v>10</v>
      </c>
      <c r="M214">
        <v>10</v>
      </c>
      <c r="N214">
        <v>20</v>
      </c>
      <c r="O214">
        <v>10</v>
      </c>
      <c r="P214">
        <v>97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3</v>
      </c>
      <c r="AA214">
        <v>0</v>
      </c>
      <c r="AD214" t="s">
        <v>130</v>
      </c>
      <c r="AF214">
        <v>100</v>
      </c>
    </row>
    <row r="215" spans="1:32" x14ac:dyDescent="0.3">
      <c r="A215" s="4">
        <v>221</v>
      </c>
      <c r="B215" s="5">
        <v>208</v>
      </c>
      <c r="C215">
        <v>1730</v>
      </c>
      <c r="D215" t="s">
        <v>9866</v>
      </c>
      <c r="E215" t="s">
        <v>1426</v>
      </c>
      <c r="F215" t="s">
        <v>17</v>
      </c>
      <c r="G215" t="s">
        <v>31658</v>
      </c>
      <c r="H215">
        <v>60</v>
      </c>
      <c r="I215">
        <v>0</v>
      </c>
      <c r="L215">
        <v>10</v>
      </c>
      <c r="M215">
        <v>10</v>
      </c>
      <c r="N215">
        <v>20</v>
      </c>
      <c r="O215">
        <v>10</v>
      </c>
      <c r="P215">
        <v>100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D215" t="s">
        <v>130</v>
      </c>
      <c r="AF215">
        <v>100</v>
      </c>
    </row>
    <row r="216" spans="1:32" x14ac:dyDescent="0.3">
      <c r="A216" s="4">
        <v>222</v>
      </c>
      <c r="B216" s="5">
        <v>209</v>
      </c>
      <c r="C216">
        <v>116</v>
      </c>
      <c r="D216" t="s">
        <v>31659</v>
      </c>
      <c r="E216" t="s">
        <v>38</v>
      </c>
      <c r="F216" t="s">
        <v>81</v>
      </c>
      <c r="G216" t="s">
        <v>31660</v>
      </c>
      <c r="H216">
        <v>60</v>
      </c>
      <c r="I216">
        <v>0</v>
      </c>
      <c r="L216">
        <v>10</v>
      </c>
      <c r="M216">
        <v>10</v>
      </c>
      <c r="N216">
        <v>20</v>
      </c>
      <c r="O216">
        <v>10</v>
      </c>
      <c r="P216">
        <v>100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D216" t="s">
        <v>130</v>
      </c>
      <c r="AF216">
        <v>100</v>
      </c>
    </row>
    <row r="217" spans="1:32" x14ac:dyDescent="0.3">
      <c r="A217" s="4">
        <v>223</v>
      </c>
      <c r="B217" s="5">
        <v>210</v>
      </c>
      <c r="C217">
        <v>177</v>
      </c>
      <c r="D217" t="s">
        <v>31661</v>
      </c>
      <c r="E217" t="s">
        <v>283</v>
      </c>
      <c r="F217" t="s">
        <v>259</v>
      </c>
      <c r="G217" t="s">
        <v>31662</v>
      </c>
      <c r="H217">
        <v>60</v>
      </c>
      <c r="I217">
        <v>10</v>
      </c>
      <c r="J217">
        <v>20</v>
      </c>
      <c r="M217">
        <v>20</v>
      </c>
      <c r="N217">
        <v>0</v>
      </c>
      <c r="O217">
        <v>10</v>
      </c>
      <c r="P217">
        <v>100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D217" t="s">
        <v>130</v>
      </c>
      <c r="AF217">
        <v>100</v>
      </c>
    </row>
    <row r="218" spans="1:32" x14ac:dyDescent="0.3">
      <c r="A218" s="4">
        <v>224</v>
      </c>
      <c r="B218" s="5">
        <v>211</v>
      </c>
      <c r="C218">
        <v>1155</v>
      </c>
      <c r="D218" t="s">
        <v>4369</v>
      </c>
      <c r="E218" t="s">
        <v>22</v>
      </c>
      <c r="F218" t="s">
        <v>17</v>
      </c>
      <c r="G218" t="s">
        <v>31663</v>
      </c>
      <c r="H218">
        <v>54.96</v>
      </c>
      <c r="I218">
        <v>0</v>
      </c>
      <c r="L218">
        <v>10</v>
      </c>
      <c r="M218">
        <v>10</v>
      </c>
      <c r="N218">
        <v>20</v>
      </c>
      <c r="O218">
        <v>10</v>
      </c>
      <c r="P218">
        <v>94.96</v>
      </c>
      <c r="Q218">
        <v>2</v>
      </c>
      <c r="R218">
        <v>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2</v>
      </c>
      <c r="Z218">
        <v>3</v>
      </c>
      <c r="AA218">
        <v>0</v>
      </c>
      <c r="AD218" t="s">
        <v>130</v>
      </c>
      <c r="AF218">
        <v>99.96</v>
      </c>
    </row>
    <row r="219" spans="1:32" x14ac:dyDescent="0.3">
      <c r="A219" s="4">
        <v>225</v>
      </c>
      <c r="B219" s="5">
        <v>212</v>
      </c>
      <c r="C219">
        <v>1707</v>
      </c>
      <c r="D219" t="s">
        <v>31664</v>
      </c>
      <c r="E219" t="s">
        <v>29</v>
      </c>
      <c r="F219" t="s">
        <v>190</v>
      </c>
      <c r="G219" t="s">
        <v>31665</v>
      </c>
      <c r="H219">
        <v>60</v>
      </c>
      <c r="I219">
        <v>0</v>
      </c>
      <c r="M219">
        <v>0</v>
      </c>
      <c r="N219">
        <v>20</v>
      </c>
      <c r="O219">
        <v>10</v>
      </c>
      <c r="P219">
        <v>90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9</v>
      </c>
      <c r="AA219">
        <v>0</v>
      </c>
      <c r="AD219" t="s">
        <v>130</v>
      </c>
      <c r="AF219">
        <v>99</v>
      </c>
    </row>
    <row r="220" spans="1:32" x14ac:dyDescent="0.3">
      <c r="A220" s="4">
        <v>226</v>
      </c>
      <c r="B220" s="5">
        <v>213</v>
      </c>
      <c r="C220">
        <v>892</v>
      </c>
      <c r="D220" t="s">
        <v>31666</v>
      </c>
      <c r="E220" t="s">
        <v>31667</v>
      </c>
      <c r="F220" t="s">
        <v>158</v>
      </c>
      <c r="G220" t="s">
        <v>31668</v>
      </c>
      <c r="H220">
        <v>39</v>
      </c>
      <c r="I220">
        <v>10</v>
      </c>
      <c r="J220">
        <v>20</v>
      </c>
      <c r="M220">
        <v>20</v>
      </c>
      <c r="N220">
        <v>20</v>
      </c>
      <c r="O220">
        <v>10</v>
      </c>
      <c r="P220">
        <v>99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D220" t="s">
        <v>130</v>
      </c>
      <c r="AF220">
        <v>99</v>
      </c>
    </row>
    <row r="221" spans="1:32" x14ac:dyDescent="0.3">
      <c r="A221" s="4">
        <v>227</v>
      </c>
      <c r="B221" s="5">
        <v>214</v>
      </c>
      <c r="C221">
        <v>1718</v>
      </c>
      <c r="D221" t="s">
        <v>19815</v>
      </c>
      <c r="E221" t="s">
        <v>132</v>
      </c>
      <c r="F221" t="s">
        <v>25827</v>
      </c>
      <c r="G221" t="s">
        <v>31669</v>
      </c>
      <c r="H221">
        <v>58.8</v>
      </c>
      <c r="I221">
        <v>0</v>
      </c>
      <c r="L221">
        <v>10</v>
      </c>
      <c r="M221">
        <v>10</v>
      </c>
      <c r="N221">
        <v>20</v>
      </c>
      <c r="O221">
        <v>10</v>
      </c>
      <c r="P221">
        <v>98.8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D221" t="s">
        <v>130</v>
      </c>
      <c r="AF221">
        <v>98.8</v>
      </c>
    </row>
    <row r="222" spans="1:32" x14ac:dyDescent="0.3">
      <c r="A222" s="4">
        <v>228</v>
      </c>
      <c r="B222" s="5">
        <v>215</v>
      </c>
      <c r="C222">
        <v>57</v>
      </c>
      <c r="D222" t="s">
        <v>31670</v>
      </c>
      <c r="E222" t="s">
        <v>789</v>
      </c>
      <c r="F222" t="s">
        <v>20</v>
      </c>
      <c r="G222" t="s">
        <v>31671</v>
      </c>
      <c r="H222">
        <v>48.6</v>
      </c>
      <c r="I222">
        <v>0</v>
      </c>
      <c r="J222">
        <v>20</v>
      </c>
      <c r="K222">
        <v>15</v>
      </c>
      <c r="M222">
        <v>20</v>
      </c>
      <c r="N222">
        <v>20</v>
      </c>
      <c r="O222">
        <v>10</v>
      </c>
      <c r="P222">
        <v>98.6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D222" t="s">
        <v>130</v>
      </c>
      <c r="AF222">
        <v>98.6</v>
      </c>
    </row>
    <row r="223" spans="1:32" x14ac:dyDescent="0.3">
      <c r="A223" s="4">
        <v>229</v>
      </c>
      <c r="B223" s="5">
        <v>216</v>
      </c>
      <c r="C223">
        <v>725</v>
      </c>
      <c r="D223" t="s">
        <v>31300</v>
      </c>
      <c r="E223" t="s">
        <v>29</v>
      </c>
      <c r="F223" t="s">
        <v>81</v>
      </c>
      <c r="G223" t="s">
        <v>31672</v>
      </c>
      <c r="H223">
        <v>57</v>
      </c>
      <c r="I223">
        <v>0</v>
      </c>
      <c r="J223">
        <v>20</v>
      </c>
      <c r="M223">
        <v>20</v>
      </c>
      <c r="N223">
        <v>0</v>
      </c>
      <c r="O223">
        <v>10</v>
      </c>
      <c r="P223">
        <v>87</v>
      </c>
      <c r="Q223">
        <v>5</v>
      </c>
      <c r="R223">
        <v>5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5</v>
      </c>
      <c r="Z223">
        <v>6</v>
      </c>
      <c r="AA223">
        <v>0</v>
      </c>
      <c r="AD223" t="s">
        <v>130</v>
      </c>
      <c r="AF223">
        <v>98</v>
      </c>
    </row>
    <row r="224" spans="1:32" x14ac:dyDescent="0.3">
      <c r="A224" s="4">
        <v>230</v>
      </c>
      <c r="B224" s="5">
        <v>217</v>
      </c>
      <c r="C224">
        <v>173</v>
      </c>
      <c r="D224" t="s">
        <v>10882</v>
      </c>
      <c r="E224" t="s">
        <v>789</v>
      </c>
      <c r="F224" t="s">
        <v>124</v>
      </c>
      <c r="G224" t="s">
        <v>31673</v>
      </c>
      <c r="H224">
        <v>48</v>
      </c>
      <c r="I224">
        <v>10</v>
      </c>
      <c r="L224">
        <v>10</v>
      </c>
      <c r="M224">
        <v>10</v>
      </c>
      <c r="N224">
        <v>20</v>
      </c>
      <c r="O224">
        <v>10</v>
      </c>
      <c r="P224">
        <v>98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D224" t="s">
        <v>130</v>
      </c>
      <c r="AF224">
        <v>98</v>
      </c>
    </row>
    <row r="225" spans="1:32" x14ac:dyDescent="0.3">
      <c r="A225" s="4">
        <v>231</v>
      </c>
      <c r="B225" s="5">
        <v>218</v>
      </c>
      <c r="C225">
        <v>804</v>
      </c>
      <c r="D225" t="s">
        <v>7768</v>
      </c>
      <c r="E225" t="s">
        <v>31674</v>
      </c>
      <c r="F225" t="s">
        <v>81</v>
      </c>
      <c r="G225" t="s">
        <v>31675</v>
      </c>
      <c r="H225">
        <v>48</v>
      </c>
      <c r="I225">
        <v>10</v>
      </c>
      <c r="L225">
        <v>10</v>
      </c>
      <c r="M225">
        <v>10</v>
      </c>
      <c r="N225">
        <v>20</v>
      </c>
      <c r="O225">
        <v>10</v>
      </c>
      <c r="P225">
        <v>98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D225" t="s">
        <v>130</v>
      </c>
      <c r="AF225">
        <v>98</v>
      </c>
    </row>
    <row r="226" spans="1:32" x14ac:dyDescent="0.3">
      <c r="A226" s="4">
        <v>232</v>
      </c>
      <c r="B226" s="5">
        <v>219</v>
      </c>
      <c r="C226">
        <v>614</v>
      </c>
      <c r="D226" t="s">
        <v>181</v>
      </c>
      <c r="E226" t="s">
        <v>3778</v>
      </c>
      <c r="F226" t="s">
        <v>136</v>
      </c>
      <c r="G226" t="s">
        <v>31676</v>
      </c>
      <c r="H226">
        <v>51</v>
      </c>
      <c r="I226">
        <v>0</v>
      </c>
      <c r="K226">
        <v>15</v>
      </c>
      <c r="M226">
        <v>15</v>
      </c>
      <c r="N226">
        <v>20</v>
      </c>
      <c r="O226">
        <v>10</v>
      </c>
      <c r="P226">
        <v>96</v>
      </c>
      <c r="Q226">
        <v>2</v>
      </c>
      <c r="R226">
        <v>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2</v>
      </c>
      <c r="Z226">
        <v>0</v>
      </c>
      <c r="AA226">
        <v>0</v>
      </c>
      <c r="AD226" t="s">
        <v>130</v>
      </c>
      <c r="AF226">
        <v>98</v>
      </c>
    </row>
    <row r="227" spans="1:32" x14ac:dyDescent="0.3">
      <c r="A227" s="4">
        <v>233</v>
      </c>
      <c r="B227" s="5">
        <v>220</v>
      </c>
      <c r="C227">
        <v>1214</v>
      </c>
      <c r="D227" t="s">
        <v>12745</v>
      </c>
      <c r="E227" t="s">
        <v>170</v>
      </c>
      <c r="F227" t="s">
        <v>68</v>
      </c>
      <c r="G227" t="s">
        <v>31677</v>
      </c>
      <c r="H227">
        <v>51</v>
      </c>
      <c r="I227">
        <v>0</v>
      </c>
      <c r="L227">
        <v>10</v>
      </c>
      <c r="M227">
        <v>10</v>
      </c>
      <c r="N227">
        <v>20</v>
      </c>
      <c r="O227">
        <v>10</v>
      </c>
      <c r="P227">
        <v>91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6</v>
      </c>
      <c r="AA227">
        <v>0</v>
      </c>
      <c r="AD227" t="s">
        <v>130</v>
      </c>
      <c r="AF227">
        <v>97</v>
      </c>
    </row>
    <row r="228" spans="1:32" x14ac:dyDescent="0.3">
      <c r="A228" s="4">
        <v>234</v>
      </c>
      <c r="B228" s="5">
        <v>221</v>
      </c>
      <c r="C228">
        <v>1000</v>
      </c>
      <c r="D228" t="s">
        <v>257</v>
      </c>
      <c r="E228" t="s">
        <v>5311</v>
      </c>
      <c r="F228" t="s">
        <v>38</v>
      </c>
      <c r="G228" t="s">
        <v>31678</v>
      </c>
      <c r="H228">
        <v>53.88</v>
      </c>
      <c r="I228">
        <v>0</v>
      </c>
      <c r="L228">
        <v>10</v>
      </c>
      <c r="M228">
        <v>10</v>
      </c>
      <c r="N228">
        <v>20</v>
      </c>
      <c r="O228">
        <v>10</v>
      </c>
      <c r="P228">
        <v>93.88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3</v>
      </c>
      <c r="AA228">
        <v>0</v>
      </c>
      <c r="AD228" t="s">
        <v>130</v>
      </c>
      <c r="AF228">
        <v>96.88</v>
      </c>
    </row>
    <row r="229" spans="1:32" x14ac:dyDescent="0.3">
      <c r="A229" s="4">
        <v>235</v>
      </c>
      <c r="B229" s="5">
        <v>222</v>
      </c>
      <c r="C229">
        <v>918</v>
      </c>
      <c r="D229" t="s">
        <v>31679</v>
      </c>
      <c r="E229" t="s">
        <v>37</v>
      </c>
      <c r="F229" t="s">
        <v>9822</v>
      </c>
      <c r="G229" t="s">
        <v>31680</v>
      </c>
      <c r="H229">
        <v>50.4</v>
      </c>
      <c r="I229">
        <v>0</v>
      </c>
      <c r="L229">
        <v>10</v>
      </c>
      <c r="M229">
        <v>10</v>
      </c>
      <c r="N229">
        <v>20</v>
      </c>
      <c r="O229">
        <v>10</v>
      </c>
      <c r="P229">
        <v>90.4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6</v>
      </c>
      <c r="AA229">
        <v>0</v>
      </c>
      <c r="AB229" t="s">
        <v>130</v>
      </c>
      <c r="AD229" t="s">
        <v>130</v>
      </c>
      <c r="AF229">
        <v>96.4</v>
      </c>
    </row>
    <row r="230" spans="1:32" x14ac:dyDescent="0.3">
      <c r="A230" s="4">
        <v>236</v>
      </c>
      <c r="B230" s="5">
        <v>223</v>
      </c>
      <c r="C230">
        <v>1427</v>
      </c>
      <c r="D230" t="s">
        <v>8489</v>
      </c>
      <c r="E230" t="s">
        <v>892</v>
      </c>
      <c r="F230" t="s">
        <v>243</v>
      </c>
      <c r="G230" t="s">
        <v>31681</v>
      </c>
      <c r="H230">
        <v>60</v>
      </c>
      <c r="I230">
        <v>0</v>
      </c>
      <c r="M230">
        <v>0</v>
      </c>
      <c r="N230">
        <v>20</v>
      </c>
      <c r="O230">
        <v>10</v>
      </c>
      <c r="P230">
        <v>90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6</v>
      </c>
      <c r="AA230">
        <v>0</v>
      </c>
      <c r="AD230" t="s">
        <v>130</v>
      </c>
      <c r="AF230">
        <v>96</v>
      </c>
    </row>
    <row r="231" spans="1:32" x14ac:dyDescent="0.3">
      <c r="A231" s="4">
        <v>237</v>
      </c>
      <c r="B231" s="5">
        <v>224</v>
      </c>
      <c r="C231">
        <v>890</v>
      </c>
      <c r="D231" t="s">
        <v>31682</v>
      </c>
      <c r="E231" t="s">
        <v>31683</v>
      </c>
      <c r="F231" t="s">
        <v>81</v>
      </c>
      <c r="G231" t="s">
        <v>31684</v>
      </c>
      <c r="H231">
        <v>60</v>
      </c>
      <c r="I231">
        <v>0</v>
      </c>
      <c r="K231">
        <v>15</v>
      </c>
      <c r="M231">
        <v>15</v>
      </c>
      <c r="N231">
        <v>20</v>
      </c>
      <c r="O231">
        <v>0</v>
      </c>
      <c r="P231">
        <v>95</v>
      </c>
      <c r="Q231">
        <v>1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0</v>
      </c>
      <c r="AA231">
        <v>0</v>
      </c>
      <c r="AD231" t="s">
        <v>130</v>
      </c>
      <c r="AF231">
        <v>96</v>
      </c>
    </row>
    <row r="232" spans="1:32" x14ac:dyDescent="0.3">
      <c r="A232" s="4">
        <v>238</v>
      </c>
      <c r="B232" s="5">
        <v>225</v>
      </c>
      <c r="C232">
        <v>1628</v>
      </c>
      <c r="D232" t="s">
        <v>31685</v>
      </c>
      <c r="E232" t="s">
        <v>178</v>
      </c>
      <c r="F232" t="s">
        <v>31686</v>
      </c>
      <c r="G232" t="s">
        <v>31687</v>
      </c>
      <c r="H232">
        <v>45.12</v>
      </c>
      <c r="I232">
        <v>0</v>
      </c>
      <c r="J232">
        <v>20</v>
      </c>
      <c r="M232">
        <v>20</v>
      </c>
      <c r="N232">
        <v>20</v>
      </c>
      <c r="O232">
        <v>10</v>
      </c>
      <c r="P232">
        <v>95.12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 t="s">
        <v>130</v>
      </c>
      <c r="AD232" t="s">
        <v>130</v>
      </c>
      <c r="AF232">
        <v>95.12</v>
      </c>
    </row>
    <row r="233" spans="1:32" x14ac:dyDescent="0.3">
      <c r="A233" s="4">
        <v>239</v>
      </c>
      <c r="B233" s="5">
        <v>226</v>
      </c>
      <c r="C233">
        <v>1218</v>
      </c>
      <c r="D233" t="s">
        <v>30785</v>
      </c>
      <c r="E233" t="s">
        <v>33</v>
      </c>
      <c r="F233" t="s">
        <v>117</v>
      </c>
      <c r="G233" t="s">
        <v>30786</v>
      </c>
      <c r="H233">
        <v>39</v>
      </c>
      <c r="I233">
        <v>0</v>
      </c>
      <c r="J233">
        <v>20</v>
      </c>
      <c r="M233">
        <v>20</v>
      </c>
      <c r="N233">
        <v>20</v>
      </c>
      <c r="O233">
        <v>10</v>
      </c>
      <c r="P233">
        <v>89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6</v>
      </c>
      <c r="AA233">
        <v>0</v>
      </c>
      <c r="AB233" t="s">
        <v>130</v>
      </c>
      <c r="AC233" t="s">
        <v>130</v>
      </c>
      <c r="AD233" t="s">
        <v>130</v>
      </c>
      <c r="AF233">
        <v>95</v>
      </c>
    </row>
    <row r="234" spans="1:32" x14ac:dyDescent="0.3">
      <c r="A234" s="4">
        <v>240</v>
      </c>
      <c r="B234" s="5">
        <v>227</v>
      </c>
      <c r="C234">
        <v>1690</v>
      </c>
      <c r="D234" t="s">
        <v>15622</v>
      </c>
      <c r="E234" t="s">
        <v>825</v>
      </c>
      <c r="F234" t="s">
        <v>91</v>
      </c>
      <c r="G234" t="s">
        <v>31688</v>
      </c>
      <c r="H234">
        <v>33</v>
      </c>
      <c r="I234">
        <v>0</v>
      </c>
      <c r="J234">
        <v>20</v>
      </c>
      <c r="L234">
        <v>10</v>
      </c>
      <c r="M234">
        <v>20</v>
      </c>
      <c r="N234">
        <v>20</v>
      </c>
      <c r="O234">
        <v>10</v>
      </c>
      <c r="P234">
        <v>83</v>
      </c>
      <c r="Q234">
        <v>12</v>
      </c>
      <c r="R234">
        <v>12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12</v>
      </c>
      <c r="Z234">
        <v>0</v>
      </c>
      <c r="AA234">
        <v>0</v>
      </c>
      <c r="AD234" t="s">
        <v>130</v>
      </c>
      <c r="AF234">
        <v>95</v>
      </c>
    </row>
    <row r="235" spans="1:32" x14ac:dyDescent="0.3">
      <c r="A235" s="4">
        <v>241</v>
      </c>
      <c r="B235" s="5">
        <v>228</v>
      </c>
      <c r="C235">
        <v>586</v>
      </c>
      <c r="D235" t="s">
        <v>3155</v>
      </c>
      <c r="E235" t="s">
        <v>424</v>
      </c>
      <c r="F235" t="s">
        <v>878</v>
      </c>
      <c r="G235" t="s">
        <v>31689</v>
      </c>
      <c r="H235">
        <v>54</v>
      </c>
      <c r="I235">
        <v>0</v>
      </c>
      <c r="L235">
        <v>10</v>
      </c>
      <c r="M235">
        <v>10</v>
      </c>
      <c r="N235">
        <v>20</v>
      </c>
      <c r="O235">
        <v>10</v>
      </c>
      <c r="P235">
        <v>94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D235" t="s">
        <v>130</v>
      </c>
      <c r="AF235">
        <v>94</v>
      </c>
    </row>
    <row r="236" spans="1:32" x14ac:dyDescent="0.3">
      <c r="A236" s="4">
        <v>242</v>
      </c>
      <c r="B236" s="5">
        <v>229</v>
      </c>
      <c r="C236">
        <v>1728</v>
      </c>
      <c r="D236" t="s">
        <v>31690</v>
      </c>
      <c r="E236" t="s">
        <v>230</v>
      </c>
      <c r="F236" t="s">
        <v>136</v>
      </c>
      <c r="G236" t="s">
        <v>31691</v>
      </c>
      <c r="H236">
        <v>54</v>
      </c>
      <c r="I236">
        <v>0</v>
      </c>
      <c r="L236">
        <v>10</v>
      </c>
      <c r="M236">
        <v>10</v>
      </c>
      <c r="N236">
        <v>20</v>
      </c>
      <c r="O236">
        <v>10</v>
      </c>
      <c r="P236">
        <v>94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D236" t="s">
        <v>130</v>
      </c>
      <c r="AF236">
        <v>94</v>
      </c>
    </row>
    <row r="237" spans="1:32" x14ac:dyDescent="0.3">
      <c r="A237" s="4">
        <v>243</v>
      </c>
      <c r="B237" s="5">
        <v>230</v>
      </c>
      <c r="C237">
        <v>1018</v>
      </c>
      <c r="D237" t="s">
        <v>9298</v>
      </c>
      <c r="E237" t="s">
        <v>13882</v>
      </c>
      <c r="F237" t="s">
        <v>81</v>
      </c>
      <c r="G237" t="s">
        <v>31692</v>
      </c>
      <c r="H237">
        <v>51</v>
      </c>
      <c r="I237">
        <v>0</v>
      </c>
      <c r="L237">
        <v>10</v>
      </c>
      <c r="M237">
        <v>10</v>
      </c>
      <c r="N237">
        <v>20</v>
      </c>
      <c r="O237">
        <v>10</v>
      </c>
      <c r="P237">
        <v>91</v>
      </c>
      <c r="Q237">
        <v>3</v>
      </c>
      <c r="R237">
        <v>3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3</v>
      </c>
      <c r="Z237">
        <v>0</v>
      </c>
      <c r="AA237">
        <v>0</v>
      </c>
      <c r="AD237" t="s">
        <v>130</v>
      </c>
      <c r="AF237">
        <v>94</v>
      </c>
    </row>
    <row r="238" spans="1:32" x14ac:dyDescent="0.3">
      <c r="A238" s="4">
        <v>246</v>
      </c>
      <c r="B238" s="5">
        <v>231</v>
      </c>
      <c r="C238">
        <v>1589</v>
      </c>
      <c r="D238" t="s">
        <v>31693</v>
      </c>
      <c r="E238" t="s">
        <v>31694</v>
      </c>
      <c r="F238" t="s">
        <v>1526</v>
      </c>
      <c r="G238" t="s">
        <v>31695</v>
      </c>
      <c r="H238">
        <v>52.98</v>
      </c>
      <c r="I238">
        <v>0</v>
      </c>
      <c r="L238">
        <v>10</v>
      </c>
      <c r="M238">
        <v>10</v>
      </c>
      <c r="N238">
        <v>20</v>
      </c>
      <c r="O238">
        <v>10</v>
      </c>
      <c r="P238">
        <v>92.98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D238" t="s">
        <v>130</v>
      </c>
      <c r="AF238">
        <v>92.98</v>
      </c>
    </row>
    <row r="239" spans="1:32" x14ac:dyDescent="0.3">
      <c r="A239" s="4">
        <v>247</v>
      </c>
      <c r="B239" s="5">
        <v>232</v>
      </c>
      <c r="C239">
        <v>428</v>
      </c>
      <c r="D239" t="s">
        <v>31696</v>
      </c>
      <c r="E239" t="s">
        <v>41</v>
      </c>
      <c r="F239" t="s">
        <v>416</v>
      </c>
      <c r="G239" t="s">
        <v>31697</v>
      </c>
      <c r="H239">
        <v>52.8</v>
      </c>
      <c r="I239">
        <v>0</v>
      </c>
      <c r="L239">
        <v>10</v>
      </c>
      <c r="M239">
        <v>10</v>
      </c>
      <c r="N239">
        <v>20</v>
      </c>
      <c r="O239">
        <v>10</v>
      </c>
      <c r="P239">
        <v>92.8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D239" t="s">
        <v>130</v>
      </c>
      <c r="AF239">
        <v>92.8</v>
      </c>
    </row>
    <row r="240" spans="1:32" x14ac:dyDescent="0.3">
      <c r="A240" s="4">
        <v>248</v>
      </c>
      <c r="B240" s="5">
        <v>233</v>
      </c>
      <c r="C240">
        <v>829</v>
      </c>
      <c r="D240" t="s">
        <v>31698</v>
      </c>
      <c r="E240" t="s">
        <v>283</v>
      </c>
      <c r="F240" t="s">
        <v>385</v>
      </c>
      <c r="G240" t="s">
        <v>31699</v>
      </c>
      <c r="H240">
        <v>52.26</v>
      </c>
      <c r="I240">
        <v>0</v>
      </c>
      <c r="J240">
        <v>20</v>
      </c>
      <c r="M240">
        <v>20</v>
      </c>
      <c r="N240">
        <v>20</v>
      </c>
      <c r="O240">
        <v>0</v>
      </c>
      <c r="P240">
        <v>92.26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 t="s">
        <v>130</v>
      </c>
      <c r="AD240" t="s">
        <v>130</v>
      </c>
      <c r="AF240">
        <v>92.26</v>
      </c>
    </row>
    <row r="241" spans="1:32" x14ac:dyDescent="0.3">
      <c r="A241" s="4">
        <v>249</v>
      </c>
      <c r="B241" s="5">
        <v>234</v>
      </c>
      <c r="C241">
        <v>575</v>
      </c>
      <c r="D241" t="s">
        <v>31700</v>
      </c>
      <c r="E241" t="s">
        <v>652</v>
      </c>
      <c r="F241" t="s">
        <v>892</v>
      </c>
      <c r="G241" t="s">
        <v>31701</v>
      </c>
      <c r="H241">
        <v>46.2</v>
      </c>
      <c r="I241">
        <v>0</v>
      </c>
      <c r="L241">
        <v>10</v>
      </c>
      <c r="M241">
        <v>10</v>
      </c>
      <c r="N241">
        <v>20</v>
      </c>
      <c r="O241">
        <v>10</v>
      </c>
      <c r="P241">
        <v>86.2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6</v>
      </c>
      <c r="AA241">
        <v>0</v>
      </c>
      <c r="AD241" t="s">
        <v>130</v>
      </c>
      <c r="AF241">
        <v>92.2</v>
      </c>
    </row>
    <row r="242" spans="1:32" x14ac:dyDescent="0.3">
      <c r="A242" s="4">
        <v>250</v>
      </c>
      <c r="B242" s="5">
        <v>235</v>
      </c>
      <c r="C242">
        <v>1716</v>
      </c>
      <c r="D242" t="s">
        <v>31702</v>
      </c>
      <c r="E242" t="s">
        <v>167</v>
      </c>
      <c r="F242" t="s">
        <v>38</v>
      </c>
      <c r="G242" t="s">
        <v>31703</v>
      </c>
      <c r="H242">
        <v>39</v>
      </c>
      <c r="I242">
        <v>0</v>
      </c>
      <c r="J242">
        <v>20</v>
      </c>
      <c r="M242">
        <v>20</v>
      </c>
      <c r="N242">
        <v>20</v>
      </c>
      <c r="O242">
        <v>10</v>
      </c>
      <c r="P242">
        <v>89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3</v>
      </c>
      <c r="AA242">
        <v>0</v>
      </c>
      <c r="AD242" t="s">
        <v>130</v>
      </c>
      <c r="AF242">
        <v>92</v>
      </c>
    </row>
    <row r="243" spans="1:32" x14ac:dyDescent="0.3">
      <c r="A243" s="4">
        <v>251</v>
      </c>
      <c r="B243" s="5">
        <v>236</v>
      </c>
      <c r="C243">
        <v>943</v>
      </c>
      <c r="D243" t="s">
        <v>31704</v>
      </c>
      <c r="E243" t="s">
        <v>14</v>
      </c>
      <c r="F243" t="s">
        <v>20</v>
      </c>
      <c r="G243" t="s">
        <v>31705</v>
      </c>
      <c r="H243">
        <v>51</v>
      </c>
      <c r="I243">
        <v>0</v>
      </c>
      <c r="L243">
        <v>10</v>
      </c>
      <c r="M243">
        <v>10</v>
      </c>
      <c r="N243">
        <v>20</v>
      </c>
      <c r="O243">
        <v>10</v>
      </c>
      <c r="P243">
        <v>91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D243" t="s">
        <v>130</v>
      </c>
      <c r="AF243">
        <v>91</v>
      </c>
    </row>
    <row r="244" spans="1:32" x14ac:dyDescent="0.3">
      <c r="A244" s="4">
        <v>252</v>
      </c>
      <c r="B244" s="5">
        <v>237</v>
      </c>
      <c r="C244">
        <v>1726</v>
      </c>
      <c r="D244" t="s">
        <v>31706</v>
      </c>
      <c r="E244" t="s">
        <v>147</v>
      </c>
      <c r="F244" t="s">
        <v>375</v>
      </c>
      <c r="G244" t="s">
        <v>31707</v>
      </c>
      <c r="H244">
        <v>51</v>
      </c>
      <c r="I244">
        <v>0</v>
      </c>
      <c r="L244">
        <v>10</v>
      </c>
      <c r="M244">
        <v>10</v>
      </c>
      <c r="N244">
        <v>20</v>
      </c>
      <c r="O244">
        <v>10</v>
      </c>
      <c r="P244">
        <v>91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D244" t="s">
        <v>130</v>
      </c>
      <c r="AF244">
        <v>91</v>
      </c>
    </row>
    <row r="245" spans="1:32" x14ac:dyDescent="0.3">
      <c r="A245" s="4">
        <v>253</v>
      </c>
      <c r="B245" s="5">
        <v>238</v>
      </c>
      <c r="C245">
        <v>1551</v>
      </c>
      <c r="D245" t="s">
        <v>9490</v>
      </c>
      <c r="E245" t="s">
        <v>29</v>
      </c>
      <c r="F245" t="s">
        <v>343</v>
      </c>
      <c r="G245" t="s">
        <v>31708</v>
      </c>
      <c r="H245">
        <v>51</v>
      </c>
      <c r="I245">
        <v>0</v>
      </c>
      <c r="L245">
        <v>10</v>
      </c>
      <c r="M245">
        <v>10</v>
      </c>
      <c r="N245">
        <v>20</v>
      </c>
      <c r="O245">
        <v>10</v>
      </c>
      <c r="P245">
        <v>91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D245" t="s">
        <v>130</v>
      </c>
      <c r="AF245">
        <v>91</v>
      </c>
    </row>
    <row r="246" spans="1:32" x14ac:dyDescent="0.3">
      <c r="A246" s="4">
        <v>254</v>
      </c>
      <c r="B246" s="5">
        <v>239</v>
      </c>
      <c r="C246">
        <v>419</v>
      </c>
      <c r="D246" t="s">
        <v>481</v>
      </c>
      <c r="E246" t="s">
        <v>29</v>
      </c>
      <c r="F246" t="s">
        <v>343</v>
      </c>
      <c r="G246" t="s">
        <v>31709</v>
      </c>
      <c r="H246">
        <v>51.78</v>
      </c>
      <c r="I246">
        <v>0</v>
      </c>
      <c r="M246">
        <v>0</v>
      </c>
      <c r="N246">
        <v>20</v>
      </c>
      <c r="O246">
        <v>10</v>
      </c>
      <c r="P246">
        <v>81.78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9</v>
      </c>
      <c r="AA246">
        <v>0</v>
      </c>
      <c r="AD246" t="s">
        <v>130</v>
      </c>
      <c r="AF246">
        <v>90.78</v>
      </c>
    </row>
    <row r="247" spans="1:32" x14ac:dyDescent="0.3">
      <c r="A247" s="4">
        <v>255</v>
      </c>
      <c r="B247" s="5">
        <v>240</v>
      </c>
      <c r="C247">
        <v>261</v>
      </c>
      <c r="D247" t="s">
        <v>6377</v>
      </c>
      <c r="E247" t="s">
        <v>380</v>
      </c>
      <c r="F247" t="s">
        <v>117</v>
      </c>
      <c r="G247" t="s">
        <v>31710</v>
      </c>
      <c r="H247">
        <v>48.66</v>
      </c>
      <c r="I247">
        <v>10</v>
      </c>
      <c r="L247">
        <v>10</v>
      </c>
      <c r="M247">
        <v>10</v>
      </c>
      <c r="N247">
        <v>0</v>
      </c>
      <c r="O247">
        <v>10</v>
      </c>
      <c r="P247">
        <v>78.66</v>
      </c>
      <c r="Q247">
        <v>12</v>
      </c>
      <c r="R247">
        <v>12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12</v>
      </c>
      <c r="Z247">
        <v>0</v>
      </c>
      <c r="AA247">
        <v>0</v>
      </c>
      <c r="AD247" t="s">
        <v>130</v>
      </c>
      <c r="AF247">
        <v>90.66</v>
      </c>
    </row>
    <row r="248" spans="1:32" x14ac:dyDescent="0.3">
      <c r="A248" s="4">
        <v>256</v>
      </c>
      <c r="B248" s="5">
        <v>241</v>
      </c>
      <c r="C248">
        <v>1428</v>
      </c>
      <c r="D248" t="s">
        <v>31711</v>
      </c>
      <c r="E248" t="s">
        <v>81</v>
      </c>
      <c r="F248" t="s">
        <v>20</v>
      </c>
      <c r="G248" t="s">
        <v>31712</v>
      </c>
      <c r="H248">
        <v>51</v>
      </c>
      <c r="I248">
        <v>0</v>
      </c>
      <c r="M248">
        <v>0</v>
      </c>
      <c r="N248">
        <v>20</v>
      </c>
      <c r="O248">
        <v>10</v>
      </c>
      <c r="P248">
        <v>81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9</v>
      </c>
      <c r="AA248">
        <v>0</v>
      </c>
      <c r="AD248" t="s">
        <v>130</v>
      </c>
      <c r="AF248">
        <v>90</v>
      </c>
    </row>
    <row r="249" spans="1:32" x14ac:dyDescent="0.3">
      <c r="A249" s="4">
        <v>257</v>
      </c>
      <c r="B249" s="5">
        <v>242</v>
      </c>
      <c r="C249">
        <v>838</v>
      </c>
      <c r="D249" t="s">
        <v>1224</v>
      </c>
      <c r="E249" t="s">
        <v>738</v>
      </c>
      <c r="F249" t="s">
        <v>649</v>
      </c>
      <c r="G249" t="s">
        <v>31713</v>
      </c>
      <c r="H249">
        <v>51</v>
      </c>
      <c r="I249">
        <v>0</v>
      </c>
      <c r="M249">
        <v>0</v>
      </c>
      <c r="N249">
        <v>20</v>
      </c>
      <c r="O249">
        <v>10</v>
      </c>
      <c r="P249">
        <v>81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9</v>
      </c>
      <c r="AA249">
        <v>0</v>
      </c>
      <c r="AD249" t="s">
        <v>130</v>
      </c>
      <c r="AF249">
        <v>90</v>
      </c>
    </row>
    <row r="250" spans="1:32" x14ac:dyDescent="0.3">
      <c r="A250" s="4">
        <v>258</v>
      </c>
      <c r="B250" s="5">
        <v>243</v>
      </c>
      <c r="C250">
        <v>1564</v>
      </c>
      <c r="D250" t="s">
        <v>9646</v>
      </c>
      <c r="E250" t="s">
        <v>31714</v>
      </c>
      <c r="F250" t="s">
        <v>38</v>
      </c>
      <c r="G250" t="s">
        <v>31715</v>
      </c>
      <c r="H250">
        <v>39</v>
      </c>
      <c r="I250">
        <v>0</v>
      </c>
      <c r="K250">
        <v>15</v>
      </c>
      <c r="M250">
        <v>15</v>
      </c>
      <c r="N250">
        <v>20</v>
      </c>
      <c r="O250">
        <v>10</v>
      </c>
      <c r="P250">
        <v>84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6</v>
      </c>
      <c r="AA250">
        <v>0</v>
      </c>
      <c r="AD250" t="s">
        <v>130</v>
      </c>
      <c r="AF250">
        <v>90</v>
      </c>
    </row>
    <row r="251" spans="1:32" x14ac:dyDescent="0.3">
      <c r="A251" s="4">
        <v>259</v>
      </c>
      <c r="B251" s="5">
        <v>244</v>
      </c>
      <c r="C251">
        <v>189</v>
      </c>
      <c r="D251" t="s">
        <v>31716</v>
      </c>
      <c r="E251" t="s">
        <v>1716</v>
      </c>
      <c r="F251" t="s">
        <v>62</v>
      </c>
      <c r="G251" t="s">
        <v>31717</v>
      </c>
      <c r="H251">
        <v>60</v>
      </c>
      <c r="I251">
        <v>0</v>
      </c>
      <c r="M251">
        <v>0</v>
      </c>
      <c r="N251">
        <v>20</v>
      </c>
      <c r="O251">
        <v>10</v>
      </c>
      <c r="P251">
        <v>90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D251" t="s">
        <v>130</v>
      </c>
      <c r="AF251">
        <v>90</v>
      </c>
    </row>
    <row r="252" spans="1:32" x14ac:dyDescent="0.3">
      <c r="A252" s="4">
        <v>260</v>
      </c>
      <c r="B252" s="5">
        <v>245</v>
      </c>
      <c r="C252">
        <v>350</v>
      </c>
      <c r="D252" t="s">
        <v>31718</v>
      </c>
      <c r="E252" t="s">
        <v>136</v>
      </c>
      <c r="F252" t="s">
        <v>158</v>
      </c>
      <c r="G252" t="s">
        <v>31719</v>
      </c>
      <c r="H252">
        <v>60</v>
      </c>
      <c r="I252">
        <v>10</v>
      </c>
      <c r="L252">
        <v>10</v>
      </c>
      <c r="M252">
        <v>10</v>
      </c>
      <c r="N252">
        <v>0</v>
      </c>
      <c r="O252">
        <v>10</v>
      </c>
      <c r="P252">
        <v>90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D252" t="s">
        <v>130</v>
      </c>
      <c r="AF252">
        <v>90</v>
      </c>
    </row>
    <row r="253" spans="1:32" x14ac:dyDescent="0.3">
      <c r="A253" s="4">
        <v>261</v>
      </c>
      <c r="B253" s="5">
        <v>246</v>
      </c>
      <c r="C253">
        <v>741</v>
      </c>
      <c r="D253" t="s">
        <v>31720</v>
      </c>
      <c r="E253" t="s">
        <v>740</v>
      </c>
      <c r="F253" t="s">
        <v>38</v>
      </c>
      <c r="G253" t="s">
        <v>31721</v>
      </c>
      <c r="H253">
        <v>60</v>
      </c>
      <c r="I253">
        <v>0</v>
      </c>
      <c r="J253">
        <v>20</v>
      </c>
      <c r="M253">
        <v>20</v>
      </c>
      <c r="N253">
        <v>0</v>
      </c>
      <c r="O253">
        <v>10</v>
      </c>
      <c r="P253">
        <v>90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 t="s">
        <v>130</v>
      </c>
      <c r="AD253" t="s">
        <v>130</v>
      </c>
      <c r="AF253">
        <v>90</v>
      </c>
    </row>
    <row r="254" spans="1:32" x14ac:dyDescent="0.3">
      <c r="A254" s="4">
        <v>262</v>
      </c>
      <c r="B254" s="5">
        <v>247</v>
      </c>
      <c r="C254">
        <v>960</v>
      </c>
      <c r="D254" t="s">
        <v>421</v>
      </c>
      <c r="E254" t="s">
        <v>740</v>
      </c>
      <c r="F254" t="s">
        <v>158</v>
      </c>
      <c r="G254" t="s">
        <v>31722</v>
      </c>
      <c r="H254">
        <v>60</v>
      </c>
      <c r="I254">
        <v>0</v>
      </c>
      <c r="M254">
        <v>0</v>
      </c>
      <c r="N254">
        <v>20</v>
      </c>
      <c r="O254">
        <v>10</v>
      </c>
      <c r="P254">
        <v>90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D254" t="s">
        <v>130</v>
      </c>
      <c r="AF254">
        <v>90</v>
      </c>
    </row>
    <row r="255" spans="1:32" x14ac:dyDescent="0.3">
      <c r="A255" s="4">
        <v>263</v>
      </c>
      <c r="B255" s="5">
        <v>248</v>
      </c>
      <c r="C255">
        <v>380</v>
      </c>
      <c r="D255" t="s">
        <v>31723</v>
      </c>
      <c r="E255" t="s">
        <v>31724</v>
      </c>
      <c r="F255" t="s">
        <v>30</v>
      </c>
      <c r="G255" t="s">
        <v>31725</v>
      </c>
      <c r="H255">
        <v>39</v>
      </c>
      <c r="I255">
        <v>0</v>
      </c>
      <c r="J255">
        <v>20</v>
      </c>
      <c r="K255">
        <v>15</v>
      </c>
      <c r="M255">
        <v>20</v>
      </c>
      <c r="N255">
        <v>20</v>
      </c>
      <c r="O255">
        <v>10</v>
      </c>
      <c r="P255">
        <v>89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D255" t="s">
        <v>130</v>
      </c>
      <c r="AF255">
        <v>89</v>
      </c>
    </row>
    <row r="256" spans="1:32" x14ac:dyDescent="0.3">
      <c r="A256" s="4">
        <v>264</v>
      </c>
      <c r="B256" s="5">
        <v>249</v>
      </c>
      <c r="C256">
        <v>703</v>
      </c>
      <c r="D256" t="s">
        <v>19613</v>
      </c>
      <c r="E256" t="s">
        <v>375</v>
      </c>
      <c r="F256" t="s">
        <v>81</v>
      </c>
      <c r="G256" t="s">
        <v>31726</v>
      </c>
      <c r="H256">
        <v>39</v>
      </c>
      <c r="I256">
        <v>0</v>
      </c>
      <c r="J256">
        <v>20</v>
      </c>
      <c r="M256">
        <v>20</v>
      </c>
      <c r="N256">
        <v>20</v>
      </c>
      <c r="O256">
        <v>10</v>
      </c>
      <c r="P256">
        <v>89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D256" t="s">
        <v>130</v>
      </c>
      <c r="AF256">
        <v>89</v>
      </c>
    </row>
    <row r="257" spans="1:32" x14ac:dyDescent="0.3">
      <c r="A257" s="4">
        <v>265</v>
      </c>
      <c r="B257" s="5">
        <v>250</v>
      </c>
      <c r="C257">
        <v>284</v>
      </c>
      <c r="D257" t="s">
        <v>31727</v>
      </c>
      <c r="E257" t="s">
        <v>17</v>
      </c>
      <c r="F257" t="s">
        <v>38</v>
      </c>
      <c r="G257" t="s">
        <v>31728</v>
      </c>
      <c r="H257">
        <v>39</v>
      </c>
      <c r="I257">
        <v>0</v>
      </c>
      <c r="J257">
        <v>20</v>
      </c>
      <c r="M257">
        <v>20</v>
      </c>
      <c r="N257">
        <v>20</v>
      </c>
      <c r="O257">
        <v>10</v>
      </c>
      <c r="P257">
        <v>89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D257" t="s">
        <v>130</v>
      </c>
      <c r="AF257">
        <v>89</v>
      </c>
    </row>
    <row r="258" spans="1:32" x14ac:dyDescent="0.3">
      <c r="A258" s="4">
        <v>266</v>
      </c>
      <c r="B258" s="5">
        <v>251</v>
      </c>
      <c r="C258">
        <v>420</v>
      </c>
      <c r="D258" t="s">
        <v>248</v>
      </c>
      <c r="E258" t="s">
        <v>31729</v>
      </c>
      <c r="F258" t="s">
        <v>38</v>
      </c>
      <c r="G258" t="s">
        <v>31730</v>
      </c>
      <c r="H258">
        <v>39</v>
      </c>
      <c r="I258">
        <v>0</v>
      </c>
      <c r="J258">
        <v>20</v>
      </c>
      <c r="K258">
        <v>15</v>
      </c>
      <c r="M258">
        <v>20</v>
      </c>
      <c r="N258">
        <v>20</v>
      </c>
      <c r="O258">
        <v>10</v>
      </c>
      <c r="P258">
        <v>89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D258" t="s">
        <v>130</v>
      </c>
      <c r="AF258">
        <v>89</v>
      </c>
    </row>
    <row r="259" spans="1:32" x14ac:dyDescent="0.3">
      <c r="A259" s="4">
        <v>267</v>
      </c>
      <c r="B259" s="5">
        <v>252</v>
      </c>
      <c r="C259">
        <v>1608</v>
      </c>
      <c r="D259" t="s">
        <v>31731</v>
      </c>
      <c r="E259" t="s">
        <v>454</v>
      </c>
      <c r="F259" t="s">
        <v>68</v>
      </c>
      <c r="G259" t="s">
        <v>31732</v>
      </c>
      <c r="H259">
        <v>39</v>
      </c>
      <c r="I259">
        <v>0</v>
      </c>
      <c r="J259">
        <v>20</v>
      </c>
      <c r="M259">
        <v>20</v>
      </c>
      <c r="N259">
        <v>20</v>
      </c>
      <c r="O259">
        <v>10</v>
      </c>
      <c r="P259">
        <v>89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D259" t="s">
        <v>130</v>
      </c>
      <c r="AF259">
        <v>89</v>
      </c>
    </row>
    <row r="260" spans="1:32" x14ac:dyDescent="0.3">
      <c r="A260" s="4">
        <v>268</v>
      </c>
      <c r="B260" s="5">
        <v>253</v>
      </c>
      <c r="C260">
        <v>889</v>
      </c>
      <c r="D260" t="s">
        <v>7248</v>
      </c>
      <c r="E260" t="s">
        <v>54</v>
      </c>
      <c r="F260" t="s">
        <v>55</v>
      </c>
      <c r="G260" t="s">
        <v>31733</v>
      </c>
      <c r="H260">
        <v>39</v>
      </c>
      <c r="I260">
        <v>0</v>
      </c>
      <c r="J260">
        <v>20</v>
      </c>
      <c r="M260">
        <v>20</v>
      </c>
      <c r="N260">
        <v>20</v>
      </c>
      <c r="O260">
        <v>10</v>
      </c>
      <c r="P260">
        <v>89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 t="s">
        <v>130</v>
      </c>
      <c r="AD260" t="s">
        <v>130</v>
      </c>
      <c r="AF260">
        <v>89</v>
      </c>
    </row>
    <row r="261" spans="1:32" x14ac:dyDescent="0.3">
      <c r="A261" s="4">
        <v>269</v>
      </c>
      <c r="B261" s="5">
        <v>254</v>
      </c>
      <c r="C261">
        <v>1126</v>
      </c>
      <c r="D261" t="s">
        <v>31734</v>
      </c>
      <c r="E261" t="s">
        <v>243</v>
      </c>
      <c r="F261" t="s">
        <v>20</v>
      </c>
      <c r="G261" t="s">
        <v>31735</v>
      </c>
      <c r="H261">
        <v>57.48</v>
      </c>
      <c r="I261">
        <v>10</v>
      </c>
      <c r="L261">
        <v>10</v>
      </c>
      <c r="M261">
        <v>10</v>
      </c>
      <c r="N261">
        <v>0</v>
      </c>
      <c r="O261">
        <v>10</v>
      </c>
      <c r="P261">
        <v>87.48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D261" t="s">
        <v>130</v>
      </c>
      <c r="AF261">
        <v>87.48</v>
      </c>
    </row>
    <row r="262" spans="1:32" x14ac:dyDescent="0.3">
      <c r="A262" s="4">
        <v>270</v>
      </c>
      <c r="B262" s="5">
        <v>255</v>
      </c>
      <c r="C262">
        <v>1685</v>
      </c>
      <c r="D262" t="s">
        <v>31736</v>
      </c>
      <c r="E262" t="s">
        <v>375</v>
      </c>
      <c r="F262" t="s">
        <v>38</v>
      </c>
      <c r="G262" t="s">
        <v>31737</v>
      </c>
      <c r="H262">
        <v>39</v>
      </c>
      <c r="I262">
        <v>0</v>
      </c>
      <c r="L262">
        <v>10</v>
      </c>
      <c r="M262">
        <v>10</v>
      </c>
      <c r="N262">
        <v>20</v>
      </c>
      <c r="O262">
        <v>10</v>
      </c>
      <c r="P262">
        <v>79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6</v>
      </c>
      <c r="AA262">
        <v>0</v>
      </c>
      <c r="AD262" t="s">
        <v>130</v>
      </c>
      <c r="AF262">
        <v>85</v>
      </c>
    </row>
    <row r="263" spans="1:32" x14ac:dyDescent="0.3">
      <c r="A263" s="4">
        <v>271</v>
      </c>
      <c r="B263" s="5">
        <v>256</v>
      </c>
      <c r="C263">
        <v>1423</v>
      </c>
      <c r="D263" t="s">
        <v>31738</v>
      </c>
      <c r="E263" t="s">
        <v>424</v>
      </c>
      <c r="F263" t="s">
        <v>190</v>
      </c>
      <c r="G263" t="s">
        <v>31739</v>
      </c>
      <c r="H263">
        <v>27</v>
      </c>
      <c r="I263">
        <v>10</v>
      </c>
      <c r="L263">
        <v>10</v>
      </c>
      <c r="M263">
        <v>10</v>
      </c>
      <c r="N263">
        <v>20</v>
      </c>
      <c r="O263">
        <v>10</v>
      </c>
      <c r="P263">
        <v>77</v>
      </c>
      <c r="Q263">
        <v>8</v>
      </c>
      <c r="R263">
        <v>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8</v>
      </c>
      <c r="Z263">
        <v>0</v>
      </c>
      <c r="AA263">
        <v>0</v>
      </c>
      <c r="AD263" t="s">
        <v>130</v>
      </c>
      <c r="AF263">
        <v>85</v>
      </c>
    </row>
    <row r="264" spans="1:32" x14ac:dyDescent="0.3">
      <c r="A264" s="4">
        <v>272</v>
      </c>
      <c r="B264" s="5">
        <v>257</v>
      </c>
      <c r="C264">
        <v>1137</v>
      </c>
      <c r="D264" t="s">
        <v>31740</v>
      </c>
      <c r="E264" t="s">
        <v>190</v>
      </c>
      <c r="F264" t="s">
        <v>62</v>
      </c>
      <c r="G264" t="s">
        <v>31741</v>
      </c>
      <c r="H264">
        <v>51</v>
      </c>
      <c r="I264">
        <v>0</v>
      </c>
      <c r="M264">
        <v>0</v>
      </c>
      <c r="N264">
        <v>20</v>
      </c>
      <c r="O264">
        <v>10</v>
      </c>
      <c r="P264">
        <v>81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3</v>
      </c>
      <c r="AA264">
        <v>0</v>
      </c>
      <c r="AD264" t="s">
        <v>130</v>
      </c>
      <c r="AF264">
        <v>84</v>
      </c>
    </row>
    <row r="265" spans="1:32" x14ac:dyDescent="0.3">
      <c r="A265" s="4">
        <v>273</v>
      </c>
      <c r="B265" s="5">
        <v>258</v>
      </c>
      <c r="C265">
        <v>1372</v>
      </c>
      <c r="D265" t="s">
        <v>31742</v>
      </c>
      <c r="E265" t="s">
        <v>424</v>
      </c>
      <c r="F265" t="s">
        <v>11853</v>
      </c>
      <c r="G265" t="s">
        <v>31743</v>
      </c>
      <c r="H265">
        <v>54</v>
      </c>
      <c r="I265">
        <v>0</v>
      </c>
      <c r="J265">
        <v>20</v>
      </c>
      <c r="M265">
        <v>20</v>
      </c>
      <c r="N265">
        <v>0</v>
      </c>
      <c r="O265">
        <v>10</v>
      </c>
      <c r="P265">
        <v>84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D265" t="s">
        <v>130</v>
      </c>
      <c r="AF265">
        <v>84</v>
      </c>
    </row>
    <row r="266" spans="1:32" x14ac:dyDescent="0.3">
      <c r="A266" s="4">
        <v>274</v>
      </c>
      <c r="B266" s="5">
        <v>259</v>
      </c>
      <c r="C266">
        <v>1215</v>
      </c>
      <c r="D266" t="s">
        <v>6430</v>
      </c>
      <c r="E266" t="s">
        <v>161</v>
      </c>
      <c r="F266" t="s">
        <v>17</v>
      </c>
      <c r="G266" t="s">
        <v>31744</v>
      </c>
      <c r="H266">
        <v>39</v>
      </c>
      <c r="I266">
        <v>0</v>
      </c>
      <c r="K266">
        <v>15</v>
      </c>
      <c r="M266">
        <v>15</v>
      </c>
      <c r="N266">
        <v>20</v>
      </c>
      <c r="O266">
        <v>10</v>
      </c>
      <c r="P266">
        <v>84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D266" t="s">
        <v>130</v>
      </c>
      <c r="AF266">
        <v>84</v>
      </c>
    </row>
    <row r="267" spans="1:32" x14ac:dyDescent="0.3">
      <c r="A267" s="4">
        <v>275</v>
      </c>
      <c r="B267" s="5">
        <v>260</v>
      </c>
      <c r="C267">
        <v>161</v>
      </c>
      <c r="D267" t="s">
        <v>31745</v>
      </c>
      <c r="E267" t="s">
        <v>816</v>
      </c>
      <c r="F267" t="s">
        <v>38</v>
      </c>
      <c r="G267" t="s">
        <v>31746</v>
      </c>
      <c r="H267">
        <v>42</v>
      </c>
      <c r="I267">
        <v>0</v>
      </c>
      <c r="L267">
        <v>10</v>
      </c>
      <c r="M267">
        <v>10</v>
      </c>
      <c r="N267">
        <v>20</v>
      </c>
      <c r="O267">
        <v>10</v>
      </c>
      <c r="P267">
        <v>82</v>
      </c>
      <c r="Q267">
        <v>1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0</v>
      </c>
      <c r="AA267">
        <v>0</v>
      </c>
      <c r="AB267" t="s">
        <v>130</v>
      </c>
      <c r="AD267" t="s">
        <v>130</v>
      </c>
      <c r="AF267">
        <v>83</v>
      </c>
    </row>
    <row r="268" spans="1:32" x14ac:dyDescent="0.3">
      <c r="A268" s="4">
        <v>276</v>
      </c>
      <c r="B268" s="5">
        <v>261</v>
      </c>
      <c r="C268">
        <v>1297</v>
      </c>
      <c r="D268" t="s">
        <v>31747</v>
      </c>
      <c r="E268" t="s">
        <v>54</v>
      </c>
      <c r="F268" t="s">
        <v>136</v>
      </c>
      <c r="G268" t="s">
        <v>31748</v>
      </c>
      <c r="H268">
        <v>60</v>
      </c>
      <c r="I268">
        <v>0</v>
      </c>
      <c r="L268">
        <v>10</v>
      </c>
      <c r="M268">
        <v>10</v>
      </c>
      <c r="N268">
        <v>0</v>
      </c>
      <c r="O268">
        <v>10</v>
      </c>
      <c r="P268">
        <v>80</v>
      </c>
      <c r="Q268">
        <v>3</v>
      </c>
      <c r="R268">
        <v>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3</v>
      </c>
      <c r="Z268">
        <v>0</v>
      </c>
      <c r="AA268">
        <v>0</v>
      </c>
      <c r="AD268" t="s">
        <v>130</v>
      </c>
      <c r="AF268">
        <v>83</v>
      </c>
    </row>
    <row r="269" spans="1:32" x14ac:dyDescent="0.3">
      <c r="A269" s="4">
        <v>277</v>
      </c>
      <c r="B269" s="5">
        <v>262</v>
      </c>
      <c r="C269">
        <v>588</v>
      </c>
      <c r="D269" t="s">
        <v>31749</v>
      </c>
      <c r="E269" t="s">
        <v>29</v>
      </c>
      <c r="F269" t="s">
        <v>117</v>
      </c>
      <c r="G269" t="s">
        <v>31750</v>
      </c>
      <c r="H269">
        <v>52.2</v>
      </c>
      <c r="I269">
        <v>10</v>
      </c>
      <c r="M269">
        <v>0</v>
      </c>
      <c r="N269">
        <v>20</v>
      </c>
      <c r="O269">
        <v>0</v>
      </c>
      <c r="P269">
        <v>82.2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D269" t="s">
        <v>130</v>
      </c>
      <c r="AF269">
        <v>82.2</v>
      </c>
    </row>
    <row r="270" spans="1:32" x14ac:dyDescent="0.3">
      <c r="A270" s="4">
        <v>278</v>
      </c>
      <c r="B270" s="5">
        <v>263</v>
      </c>
      <c r="C270">
        <v>1701</v>
      </c>
      <c r="D270" t="s">
        <v>31702</v>
      </c>
      <c r="E270" t="s">
        <v>298</v>
      </c>
      <c r="F270" t="s">
        <v>38</v>
      </c>
      <c r="G270" t="s">
        <v>31751</v>
      </c>
      <c r="H270">
        <v>39</v>
      </c>
      <c r="I270">
        <v>0</v>
      </c>
      <c r="L270">
        <v>10</v>
      </c>
      <c r="M270">
        <v>10</v>
      </c>
      <c r="N270">
        <v>20</v>
      </c>
      <c r="O270">
        <v>10</v>
      </c>
      <c r="P270">
        <v>79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3</v>
      </c>
      <c r="AA270">
        <v>0</v>
      </c>
      <c r="AD270" t="s">
        <v>130</v>
      </c>
      <c r="AF270">
        <v>82</v>
      </c>
    </row>
    <row r="271" spans="1:32" x14ac:dyDescent="0.3">
      <c r="A271" s="4">
        <v>279</v>
      </c>
      <c r="B271" s="5">
        <v>264</v>
      </c>
      <c r="C271">
        <v>801</v>
      </c>
      <c r="D271" t="s">
        <v>19865</v>
      </c>
      <c r="E271" t="s">
        <v>161</v>
      </c>
      <c r="F271" t="s">
        <v>31752</v>
      </c>
      <c r="G271" t="s">
        <v>31753</v>
      </c>
      <c r="H271">
        <v>60</v>
      </c>
      <c r="I271">
        <v>0</v>
      </c>
      <c r="L271">
        <v>10</v>
      </c>
      <c r="M271">
        <v>10</v>
      </c>
      <c r="N271">
        <v>0</v>
      </c>
      <c r="O271">
        <v>10</v>
      </c>
      <c r="P271">
        <v>80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D271" t="s">
        <v>130</v>
      </c>
      <c r="AF271">
        <v>80</v>
      </c>
    </row>
    <row r="272" spans="1:32" x14ac:dyDescent="0.3">
      <c r="A272" s="4">
        <v>280</v>
      </c>
      <c r="B272" s="5">
        <v>265</v>
      </c>
      <c r="C272">
        <v>504</v>
      </c>
      <c r="D272" t="s">
        <v>3642</v>
      </c>
      <c r="E272" t="s">
        <v>41</v>
      </c>
      <c r="F272" t="s">
        <v>91</v>
      </c>
      <c r="G272" t="s">
        <v>31754</v>
      </c>
      <c r="H272">
        <v>30</v>
      </c>
      <c r="I272">
        <v>0</v>
      </c>
      <c r="J272">
        <v>20</v>
      </c>
      <c r="M272">
        <v>20</v>
      </c>
      <c r="N272">
        <v>20</v>
      </c>
      <c r="O272">
        <v>10</v>
      </c>
      <c r="P272">
        <v>80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D272" t="s">
        <v>130</v>
      </c>
      <c r="AF272">
        <v>80</v>
      </c>
    </row>
    <row r="273" spans="1:32" x14ac:dyDescent="0.3">
      <c r="A273" s="4">
        <v>281</v>
      </c>
      <c r="B273" s="5">
        <v>266</v>
      </c>
      <c r="C273">
        <v>785</v>
      </c>
      <c r="D273" t="s">
        <v>31755</v>
      </c>
      <c r="E273" t="s">
        <v>166</v>
      </c>
      <c r="F273" t="s">
        <v>4546</v>
      </c>
      <c r="G273" t="s">
        <v>31756</v>
      </c>
      <c r="H273">
        <v>39</v>
      </c>
      <c r="I273">
        <v>0</v>
      </c>
      <c r="L273">
        <v>10</v>
      </c>
      <c r="M273">
        <v>10</v>
      </c>
      <c r="N273">
        <v>20</v>
      </c>
      <c r="O273">
        <v>10</v>
      </c>
      <c r="P273">
        <v>79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 t="s">
        <v>130</v>
      </c>
      <c r="AD273" t="s">
        <v>130</v>
      </c>
      <c r="AF273">
        <v>79</v>
      </c>
    </row>
    <row r="274" spans="1:32" x14ac:dyDescent="0.3">
      <c r="A274" s="4">
        <v>282</v>
      </c>
      <c r="B274" s="5">
        <v>267</v>
      </c>
      <c r="C274">
        <v>1636</v>
      </c>
      <c r="D274" t="s">
        <v>31757</v>
      </c>
      <c r="E274" t="s">
        <v>4236</v>
      </c>
      <c r="F274" t="s">
        <v>167</v>
      </c>
      <c r="G274" t="s">
        <v>31758</v>
      </c>
      <c r="H274">
        <v>57.18</v>
      </c>
      <c r="I274">
        <v>0</v>
      </c>
      <c r="L274">
        <v>10</v>
      </c>
      <c r="M274">
        <v>10</v>
      </c>
      <c r="N274">
        <v>0</v>
      </c>
      <c r="O274">
        <v>10</v>
      </c>
      <c r="P274">
        <v>77.180000000000007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D274" t="s">
        <v>130</v>
      </c>
      <c r="AF274">
        <v>77.180000000000007</v>
      </c>
    </row>
    <row r="275" spans="1:32" x14ac:dyDescent="0.3">
      <c r="A275" s="4">
        <v>283</v>
      </c>
      <c r="B275" s="5">
        <v>268</v>
      </c>
      <c r="C275">
        <v>1765</v>
      </c>
      <c r="D275" t="s">
        <v>31759</v>
      </c>
      <c r="E275" t="s">
        <v>8150</v>
      </c>
      <c r="F275" t="s">
        <v>68</v>
      </c>
      <c r="G275" t="s">
        <v>31760</v>
      </c>
      <c r="H275">
        <v>57</v>
      </c>
      <c r="I275">
        <v>10</v>
      </c>
      <c r="M275">
        <v>0</v>
      </c>
      <c r="N275">
        <v>0</v>
      </c>
      <c r="O275">
        <v>10</v>
      </c>
      <c r="P275">
        <v>77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D275" t="s">
        <v>130</v>
      </c>
      <c r="AF275">
        <v>77</v>
      </c>
    </row>
    <row r="276" spans="1:32" x14ac:dyDescent="0.3">
      <c r="A276" s="4">
        <v>284</v>
      </c>
      <c r="B276" s="5">
        <v>269</v>
      </c>
      <c r="C276">
        <v>1392</v>
      </c>
      <c r="D276" t="s">
        <v>173</v>
      </c>
      <c r="E276" t="s">
        <v>132</v>
      </c>
      <c r="F276" t="s">
        <v>38</v>
      </c>
      <c r="G276" t="s">
        <v>31761</v>
      </c>
      <c r="H276">
        <v>27</v>
      </c>
      <c r="I276">
        <v>0</v>
      </c>
      <c r="J276">
        <v>20</v>
      </c>
      <c r="M276">
        <v>20</v>
      </c>
      <c r="N276">
        <v>20</v>
      </c>
      <c r="O276">
        <v>10</v>
      </c>
      <c r="P276">
        <v>77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D276" t="s">
        <v>130</v>
      </c>
      <c r="AF276">
        <v>77</v>
      </c>
    </row>
    <row r="277" spans="1:32" x14ac:dyDescent="0.3">
      <c r="A277" s="4">
        <v>285</v>
      </c>
      <c r="B277" s="5">
        <v>270</v>
      </c>
      <c r="C277">
        <v>105</v>
      </c>
      <c r="D277" t="s">
        <v>31762</v>
      </c>
      <c r="E277" t="s">
        <v>652</v>
      </c>
      <c r="F277" t="s">
        <v>38</v>
      </c>
      <c r="G277" t="s">
        <v>31763</v>
      </c>
      <c r="H277">
        <v>30</v>
      </c>
      <c r="I277">
        <v>0</v>
      </c>
      <c r="K277">
        <v>15</v>
      </c>
      <c r="M277">
        <v>15</v>
      </c>
      <c r="N277">
        <v>20</v>
      </c>
      <c r="O277">
        <v>10</v>
      </c>
      <c r="P277">
        <v>75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D277" t="s">
        <v>130</v>
      </c>
      <c r="AF277">
        <v>75</v>
      </c>
    </row>
    <row r="278" spans="1:32" x14ac:dyDescent="0.3">
      <c r="A278" s="4">
        <v>286</v>
      </c>
      <c r="B278" s="5">
        <v>271</v>
      </c>
      <c r="C278">
        <v>728</v>
      </c>
      <c r="D278" t="s">
        <v>2416</v>
      </c>
      <c r="E278" t="s">
        <v>30</v>
      </c>
      <c r="F278" t="s">
        <v>1274</v>
      </c>
      <c r="G278" t="s">
        <v>31764</v>
      </c>
      <c r="H278">
        <v>39</v>
      </c>
      <c r="I278">
        <v>0</v>
      </c>
      <c r="M278">
        <v>0</v>
      </c>
      <c r="N278">
        <v>20</v>
      </c>
      <c r="O278">
        <v>10</v>
      </c>
      <c r="P278">
        <v>69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3</v>
      </c>
      <c r="AA278">
        <v>0</v>
      </c>
      <c r="AD278" t="s">
        <v>130</v>
      </c>
      <c r="AF278">
        <v>72</v>
      </c>
    </row>
    <row r="279" spans="1:32" x14ac:dyDescent="0.3">
      <c r="A279" s="4">
        <v>287</v>
      </c>
      <c r="B279" s="5">
        <v>272</v>
      </c>
      <c r="C279">
        <v>936</v>
      </c>
      <c r="D279" t="s">
        <v>31765</v>
      </c>
      <c r="E279" t="s">
        <v>13743</v>
      </c>
      <c r="F279" t="s">
        <v>457</v>
      </c>
      <c r="G279" t="s">
        <v>31766</v>
      </c>
      <c r="H279">
        <v>50.58</v>
      </c>
      <c r="I279">
        <v>10</v>
      </c>
      <c r="M279">
        <v>0</v>
      </c>
      <c r="N279">
        <v>0</v>
      </c>
      <c r="O279">
        <v>10</v>
      </c>
      <c r="P279">
        <v>70.58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D279" t="s">
        <v>130</v>
      </c>
      <c r="AF279">
        <v>70.58</v>
      </c>
    </row>
    <row r="280" spans="1:32" x14ac:dyDescent="0.3">
      <c r="A280" s="4">
        <v>288</v>
      </c>
      <c r="B280" s="5">
        <v>273</v>
      </c>
      <c r="C280">
        <v>1011</v>
      </c>
      <c r="D280" t="s">
        <v>18680</v>
      </c>
      <c r="E280" t="s">
        <v>22</v>
      </c>
      <c r="F280" t="s">
        <v>652</v>
      </c>
      <c r="G280" t="s">
        <v>31767</v>
      </c>
      <c r="H280">
        <v>57</v>
      </c>
      <c r="I280">
        <v>0</v>
      </c>
      <c r="M280">
        <v>0</v>
      </c>
      <c r="N280">
        <v>0</v>
      </c>
      <c r="O280">
        <v>10</v>
      </c>
      <c r="P280">
        <v>67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D280" t="s">
        <v>130</v>
      </c>
      <c r="AF280">
        <v>67</v>
      </c>
    </row>
    <row r="281" spans="1:32" x14ac:dyDescent="0.3">
      <c r="A281" s="4">
        <v>289</v>
      </c>
      <c r="B281" s="5">
        <v>274</v>
      </c>
      <c r="C281">
        <v>1286</v>
      </c>
      <c r="D281" t="s">
        <v>30500</v>
      </c>
      <c r="E281" t="s">
        <v>91</v>
      </c>
      <c r="F281" t="s">
        <v>393</v>
      </c>
      <c r="G281" t="s">
        <v>31768</v>
      </c>
      <c r="H281">
        <v>57</v>
      </c>
      <c r="I281">
        <v>0</v>
      </c>
      <c r="L281">
        <v>10</v>
      </c>
      <c r="M281">
        <v>10</v>
      </c>
      <c r="N281">
        <v>20</v>
      </c>
      <c r="O281">
        <v>10</v>
      </c>
      <c r="P281">
        <v>97</v>
      </c>
      <c r="Q281">
        <v>87</v>
      </c>
      <c r="R281">
        <v>87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87</v>
      </c>
      <c r="Z281">
        <v>0</v>
      </c>
      <c r="AA281">
        <v>0</v>
      </c>
      <c r="AF281">
        <v>184</v>
      </c>
    </row>
    <row r="282" spans="1:32" x14ac:dyDescent="0.3">
      <c r="A282" s="4">
        <v>290</v>
      </c>
      <c r="B282" s="5">
        <v>275</v>
      </c>
      <c r="C282">
        <v>1100</v>
      </c>
      <c r="D282" t="s">
        <v>18578</v>
      </c>
      <c r="E282" t="s">
        <v>972</v>
      </c>
      <c r="F282" t="s">
        <v>20</v>
      </c>
      <c r="G282" t="s">
        <v>31192</v>
      </c>
      <c r="H282">
        <v>60</v>
      </c>
      <c r="I282">
        <v>10</v>
      </c>
      <c r="J282">
        <v>20</v>
      </c>
      <c r="M282">
        <v>20</v>
      </c>
      <c r="N282">
        <v>20</v>
      </c>
      <c r="O282">
        <v>10</v>
      </c>
      <c r="P282">
        <v>120</v>
      </c>
      <c r="Q282">
        <v>48</v>
      </c>
      <c r="R282">
        <v>48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48</v>
      </c>
      <c r="Z282">
        <v>3</v>
      </c>
      <c r="AA282">
        <v>0</v>
      </c>
      <c r="AF282">
        <v>171</v>
      </c>
    </row>
    <row r="283" spans="1:32" x14ac:dyDescent="0.3">
      <c r="A283" s="4">
        <v>291</v>
      </c>
      <c r="B283" s="5">
        <v>276</v>
      </c>
      <c r="C283">
        <v>417</v>
      </c>
      <c r="D283" t="s">
        <v>31769</v>
      </c>
      <c r="E283" t="s">
        <v>117</v>
      </c>
      <c r="F283" t="s">
        <v>31770</v>
      </c>
      <c r="G283" t="s">
        <v>31771</v>
      </c>
      <c r="H283">
        <v>60</v>
      </c>
      <c r="I283">
        <v>10</v>
      </c>
      <c r="L283">
        <v>10</v>
      </c>
      <c r="M283">
        <v>10</v>
      </c>
      <c r="N283">
        <v>20</v>
      </c>
      <c r="O283">
        <v>10</v>
      </c>
      <c r="P283">
        <v>110</v>
      </c>
      <c r="Q283">
        <v>28</v>
      </c>
      <c r="R283">
        <v>28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28</v>
      </c>
      <c r="Z283">
        <v>6</v>
      </c>
      <c r="AA283">
        <v>26.8</v>
      </c>
      <c r="AF283">
        <v>170.8</v>
      </c>
    </row>
    <row r="284" spans="1:32" x14ac:dyDescent="0.3">
      <c r="A284" s="4">
        <v>292</v>
      </c>
      <c r="B284" s="5">
        <v>277</v>
      </c>
      <c r="C284">
        <v>618</v>
      </c>
      <c r="D284" t="s">
        <v>13282</v>
      </c>
      <c r="E284" t="s">
        <v>289</v>
      </c>
      <c r="F284" t="s">
        <v>81</v>
      </c>
      <c r="G284" t="s">
        <v>31772</v>
      </c>
      <c r="H284">
        <v>58.8</v>
      </c>
      <c r="I284">
        <v>10</v>
      </c>
      <c r="L284">
        <v>10</v>
      </c>
      <c r="M284">
        <v>10</v>
      </c>
      <c r="N284">
        <v>20</v>
      </c>
      <c r="O284">
        <v>10</v>
      </c>
      <c r="P284">
        <v>108.8</v>
      </c>
      <c r="Q284">
        <v>62</v>
      </c>
      <c r="R284">
        <v>62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62</v>
      </c>
      <c r="Z284">
        <v>0</v>
      </c>
      <c r="AA284">
        <v>0</v>
      </c>
      <c r="AF284">
        <v>170.8</v>
      </c>
    </row>
    <row r="285" spans="1:32" x14ac:dyDescent="0.3">
      <c r="A285" s="4">
        <v>293</v>
      </c>
      <c r="B285" s="5">
        <v>278</v>
      </c>
      <c r="C285">
        <v>1722</v>
      </c>
      <c r="D285" t="s">
        <v>3406</v>
      </c>
      <c r="E285" t="s">
        <v>6946</v>
      </c>
      <c r="F285" t="s">
        <v>81</v>
      </c>
      <c r="G285" t="s">
        <v>31773</v>
      </c>
      <c r="H285">
        <v>60</v>
      </c>
      <c r="I285">
        <v>10</v>
      </c>
      <c r="L285">
        <v>20</v>
      </c>
      <c r="M285">
        <v>20</v>
      </c>
      <c r="N285">
        <v>20</v>
      </c>
      <c r="O285">
        <v>10</v>
      </c>
      <c r="P285">
        <v>120</v>
      </c>
      <c r="Q285">
        <v>2</v>
      </c>
      <c r="R285">
        <v>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2</v>
      </c>
      <c r="Z285">
        <v>6</v>
      </c>
      <c r="AA285">
        <v>38.4</v>
      </c>
      <c r="AF285">
        <v>166.4</v>
      </c>
    </row>
    <row r="286" spans="1:32" x14ac:dyDescent="0.3">
      <c r="A286" s="4">
        <v>294</v>
      </c>
      <c r="B286" s="5">
        <v>279</v>
      </c>
      <c r="C286">
        <v>1282</v>
      </c>
      <c r="D286" t="s">
        <v>31774</v>
      </c>
      <c r="E286" t="s">
        <v>22</v>
      </c>
      <c r="F286" t="s">
        <v>117</v>
      </c>
      <c r="G286" t="s">
        <v>31775</v>
      </c>
      <c r="H286">
        <v>48.96</v>
      </c>
      <c r="I286">
        <v>10</v>
      </c>
      <c r="L286">
        <v>10</v>
      </c>
      <c r="M286">
        <v>10</v>
      </c>
      <c r="N286">
        <v>20</v>
      </c>
      <c r="O286">
        <v>10</v>
      </c>
      <c r="P286">
        <v>98.96</v>
      </c>
      <c r="Q286">
        <v>59</v>
      </c>
      <c r="R286">
        <v>59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59</v>
      </c>
      <c r="Z286">
        <v>3</v>
      </c>
      <c r="AA286">
        <v>0</v>
      </c>
      <c r="AF286">
        <v>160.96</v>
      </c>
    </row>
    <row r="287" spans="1:32" x14ac:dyDescent="0.3">
      <c r="A287" s="4">
        <v>295</v>
      </c>
      <c r="B287" s="5">
        <v>280</v>
      </c>
      <c r="C287">
        <v>1584</v>
      </c>
      <c r="D287" t="s">
        <v>3542</v>
      </c>
      <c r="E287" t="s">
        <v>2150</v>
      </c>
      <c r="F287" t="s">
        <v>328</v>
      </c>
      <c r="G287" t="s">
        <v>31776</v>
      </c>
      <c r="H287">
        <v>57.48</v>
      </c>
      <c r="I287">
        <v>10</v>
      </c>
      <c r="M287">
        <v>0</v>
      </c>
      <c r="N287">
        <v>20</v>
      </c>
      <c r="O287">
        <v>10</v>
      </c>
      <c r="P287">
        <v>97.48</v>
      </c>
      <c r="Q287">
        <v>58</v>
      </c>
      <c r="R287">
        <v>58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58</v>
      </c>
      <c r="Z287">
        <v>3</v>
      </c>
      <c r="AA287">
        <v>0</v>
      </c>
      <c r="AF287">
        <v>158.47999999999999</v>
      </c>
    </row>
    <row r="288" spans="1:32" x14ac:dyDescent="0.3">
      <c r="A288" s="4">
        <v>296</v>
      </c>
      <c r="B288" s="5">
        <v>281</v>
      </c>
      <c r="C288">
        <v>1158</v>
      </c>
      <c r="D288" t="s">
        <v>30606</v>
      </c>
      <c r="E288" t="s">
        <v>29</v>
      </c>
      <c r="F288" t="s">
        <v>339</v>
      </c>
      <c r="G288" t="s">
        <v>30607</v>
      </c>
      <c r="H288">
        <v>54</v>
      </c>
      <c r="I288">
        <v>10</v>
      </c>
      <c r="J288">
        <v>20</v>
      </c>
      <c r="M288">
        <v>20</v>
      </c>
      <c r="N288">
        <v>20</v>
      </c>
      <c r="O288">
        <v>10</v>
      </c>
      <c r="P288">
        <v>114</v>
      </c>
      <c r="Q288">
        <v>34</v>
      </c>
      <c r="R288">
        <v>34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34</v>
      </c>
      <c r="Z288">
        <v>9</v>
      </c>
      <c r="AA288">
        <v>0</v>
      </c>
      <c r="AF288">
        <v>157</v>
      </c>
    </row>
    <row r="289" spans="1:32" x14ac:dyDescent="0.3">
      <c r="A289" s="4">
        <v>297</v>
      </c>
      <c r="B289" s="5">
        <v>282</v>
      </c>
      <c r="C289">
        <v>1516</v>
      </c>
      <c r="D289" t="s">
        <v>4171</v>
      </c>
      <c r="E289" t="s">
        <v>286</v>
      </c>
      <c r="F289" t="s">
        <v>782</v>
      </c>
      <c r="G289" t="s">
        <v>31777</v>
      </c>
      <c r="H289">
        <v>58.8</v>
      </c>
      <c r="I289">
        <v>10</v>
      </c>
      <c r="J289">
        <v>20</v>
      </c>
      <c r="M289">
        <v>20</v>
      </c>
      <c r="N289">
        <v>20</v>
      </c>
      <c r="O289">
        <v>10</v>
      </c>
      <c r="P289">
        <v>118.8</v>
      </c>
      <c r="Q289">
        <v>34</v>
      </c>
      <c r="R289">
        <v>34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34</v>
      </c>
      <c r="Z289">
        <v>3</v>
      </c>
      <c r="AA289">
        <v>0</v>
      </c>
      <c r="AF289">
        <v>155.80000000000001</v>
      </c>
    </row>
    <row r="290" spans="1:32" x14ac:dyDescent="0.3">
      <c r="A290" s="4">
        <v>298</v>
      </c>
      <c r="B290" s="5">
        <v>283</v>
      </c>
      <c r="C290">
        <v>511</v>
      </c>
      <c r="D290" t="s">
        <v>11696</v>
      </c>
      <c r="E290" t="s">
        <v>361</v>
      </c>
      <c r="F290" t="s">
        <v>158</v>
      </c>
      <c r="G290" t="s">
        <v>31778</v>
      </c>
      <c r="H290">
        <v>60</v>
      </c>
      <c r="I290">
        <v>0</v>
      </c>
      <c r="L290">
        <v>10</v>
      </c>
      <c r="M290">
        <v>10</v>
      </c>
      <c r="N290">
        <v>20</v>
      </c>
      <c r="O290">
        <v>10</v>
      </c>
      <c r="P290">
        <v>100</v>
      </c>
      <c r="Q290">
        <v>54</v>
      </c>
      <c r="R290">
        <v>54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54</v>
      </c>
      <c r="Z290">
        <v>0</v>
      </c>
      <c r="AA290">
        <v>0</v>
      </c>
      <c r="AB290" t="s">
        <v>130</v>
      </c>
      <c r="AF290">
        <v>154</v>
      </c>
    </row>
    <row r="291" spans="1:32" x14ac:dyDescent="0.3">
      <c r="A291" s="4">
        <v>299</v>
      </c>
      <c r="B291" s="5">
        <v>284</v>
      </c>
      <c r="C291">
        <v>912</v>
      </c>
      <c r="D291" t="s">
        <v>10165</v>
      </c>
      <c r="E291" t="s">
        <v>88</v>
      </c>
      <c r="F291" t="s">
        <v>38</v>
      </c>
      <c r="G291" t="s">
        <v>30887</v>
      </c>
      <c r="H291">
        <v>57</v>
      </c>
      <c r="I291">
        <v>10</v>
      </c>
      <c r="M291">
        <v>0</v>
      </c>
      <c r="N291">
        <v>20</v>
      </c>
      <c r="O291">
        <v>10</v>
      </c>
      <c r="P291">
        <v>97</v>
      </c>
      <c r="Q291">
        <v>56</v>
      </c>
      <c r="R291">
        <v>56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56</v>
      </c>
      <c r="Z291">
        <v>0</v>
      </c>
      <c r="AA291">
        <v>0</v>
      </c>
      <c r="AB291" t="s">
        <v>130</v>
      </c>
      <c r="AF291">
        <v>153</v>
      </c>
    </row>
    <row r="292" spans="1:32" x14ac:dyDescent="0.3">
      <c r="A292" s="4">
        <v>300</v>
      </c>
      <c r="B292" s="5">
        <v>285</v>
      </c>
      <c r="C292">
        <v>988</v>
      </c>
      <c r="D292" t="s">
        <v>2647</v>
      </c>
      <c r="E292" t="s">
        <v>22</v>
      </c>
      <c r="F292" t="s">
        <v>117</v>
      </c>
      <c r="G292" t="s">
        <v>31779</v>
      </c>
      <c r="H292">
        <v>60</v>
      </c>
      <c r="I292">
        <v>10</v>
      </c>
      <c r="L292">
        <v>10</v>
      </c>
      <c r="M292">
        <v>10</v>
      </c>
      <c r="N292">
        <v>20</v>
      </c>
      <c r="O292">
        <v>10</v>
      </c>
      <c r="P292">
        <v>110</v>
      </c>
      <c r="Q292">
        <v>13</v>
      </c>
      <c r="R292">
        <v>13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13</v>
      </c>
      <c r="Z292">
        <v>3</v>
      </c>
      <c r="AA292">
        <v>26.8</v>
      </c>
      <c r="AB292" t="s">
        <v>130</v>
      </c>
      <c r="AF292">
        <v>152.80000000000001</v>
      </c>
    </row>
    <row r="293" spans="1:32" x14ac:dyDescent="0.3">
      <c r="A293" s="4">
        <v>301</v>
      </c>
      <c r="B293" s="5">
        <v>286</v>
      </c>
      <c r="C293">
        <v>1294</v>
      </c>
      <c r="D293" t="s">
        <v>20158</v>
      </c>
      <c r="E293" t="s">
        <v>26</v>
      </c>
      <c r="F293" t="s">
        <v>55</v>
      </c>
      <c r="G293" t="s">
        <v>31780</v>
      </c>
      <c r="H293">
        <v>58.8</v>
      </c>
      <c r="I293">
        <v>10</v>
      </c>
      <c r="L293">
        <v>10</v>
      </c>
      <c r="M293">
        <v>10</v>
      </c>
      <c r="N293">
        <v>20</v>
      </c>
      <c r="O293">
        <v>10</v>
      </c>
      <c r="P293">
        <v>108.8</v>
      </c>
      <c r="Q293">
        <v>28</v>
      </c>
      <c r="R293">
        <v>28</v>
      </c>
      <c r="S293">
        <v>0</v>
      </c>
      <c r="T293">
        <v>0</v>
      </c>
      <c r="U293">
        <v>7</v>
      </c>
      <c r="V293">
        <v>10</v>
      </c>
      <c r="W293">
        <v>0</v>
      </c>
      <c r="X293">
        <v>0</v>
      </c>
      <c r="Y293">
        <v>38</v>
      </c>
      <c r="Z293">
        <v>6</v>
      </c>
      <c r="AA293">
        <v>0</v>
      </c>
      <c r="AF293">
        <v>152.80000000000001</v>
      </c>
    </row>
    <row r="294" spans="1:32" x14ac:dyDescent="0.3">
      <c r="A294" s="4">
        <v>302</v>
      </c>
      <c r="B294" s="5">
        <v>287</v>
      </c>
      <c r="C294">
        <v>811</v>
      </c>
      <c r="D294" t="s">
        <v>31781</v>
      </c>
      <c r="E294" t="s">
        <v>81</v>
      </c>
      <c r="F294" t="s">
        <v>38</v>
      </c>
      <c r="G294" t="s">
        <v>31782</v>
      </c>
      <c r="H294">
        <v>60</v>
      </c>
      <c r="I294">
        <v>0</v>
      </c>
      <c r="L294">
        <v>10</v>
      </c>
      <c r="M294">
        <v>10</v>
      </c>
      <c r="N294">
        <v>20</v>
      </c>
      <c r="O294">
        <v>10</v>
      </c>
      <c r="P294">
        <v>100</v>
      </c>
      <c r="Q294">
        <v>48</v>
      </c>
      <c r="R294">
        <v>48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48</v>
      </c>
      <c r="Z294">
        <v>3</v>
      </c>
      <c r="AA294">
        <v>0</v>
      </c>
      <c r="AF294">
        <v>151</v>
      </c>
    </row>
    <row r="295" spans="1:32" x14ac:dyDescent="0.3">
      <c r="A295" s="4">
        <v>303</v>
      </c>
      <c r="B295" s="5">
        <v>288</v>
      </c>
      <c r="C295">
        <v>1409</v>
      </c>
      <c r="D295" t="s">
        <v>31783</v>
      </c>
      <c r="E295" t="s">
        <v>117</v>
      </c>
      <c r="F295" t="s">
        <v>17</v>
      </c>
      <c r="G295" t="s">
        <v>31784</v>
      </c>
      <c r="H295">
        <v>60</v>
      </c>
      <c r="I295">
        <v>0</v>
      </c>
      <c r="J295">
        <v>20</v>
      </c>
      <c r="M295">
        <v>20</v>
      </c>
      <c r="N295">
        <v>20</v>
      </c>
      <c r="O295">
        <v>10</v>
      </c>
      <c r="P295">
        <v>110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6</v>
      </c>
      <c r="AA295">
        <v>32</v>
      </c>
      <c r="AF295">
        <v>148</v>
      </c>
    </row>
    <row r="296" spans="1:32" x14ac:dyDescent="0.3">
      <c r="A296" s="4">
        <v>304</v>
      </c>
      <c r="B296" s="5">
        <v>289</v>
      </c>
      <c r="C296">
        <v>1739</v>
      </c>
      <c r="D296" t="s">
        <v>4094</v>
      </c>
      <c r="E296" t="s">
        <v>166</v>
      </c>
      <c r="F296" t="s">
        <v>20</v>
      </c>
      <c r="G296" t="s">
        <v>31785</v>
      </c>
      <c r="H296">
        <v>57</v>
      </c>
      <c r="I296">
        <v>10</v>
      </c>
      <c r="L296">
        <v>10</v>
      </c>
      <c r="M296">
        <v>10</v>
      </c>
      <c r="N296">
        <v>20</v>
      </c>
      <c r="O296">
        <v>10</v>
      </c>
      <c r="P296">
        <v>107</v>
      </c>
      <c r="Q296">
        <v>41</v>
      </c>
      <c r="R296">
        <v>41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41</v>
      </c>
      <c r="Z296">
        <v>0</v>
      </c>
      <c r="AA296">
        <v>0</v>
      </c>
      <c r="AB296" t="s">
        <v>130</v>
      </c>
      <c r="AF296">
        <v>148</v>
      </c>
    </row>
    <row r="297" spans="1:32" x14ac:dyDescent="0.3">
      <c r="A297" s="4">
        <v>305</v>
      </c>
      <c r="B297" s="5">
        <v>290</v>
      </c>
      <c r="C297">
        <v>975</v>
      </c>
      <c r="D297" t="s">
        <v>31786</v>
      </c>
      <c r="E297" t="s">
        <v>265</v>
      </c>
      <c r="F297" t="s">
        <v>243</v>
      </c>
      <c r="G297" t="s">
        <v>31787</v>
      </c>
      <c r="H297">
        <v>51.3</v>
      </c>
      <c r="I297">
        <v>10</v>
      </c>
      <c r="M297">
        <v>0</v>
      </c>
      <c r="N297">
        <v>20</v>
      </c>
      <c r="O297">
        <v>10</v>
      </c>
      <c r="P297">
        <v>91.3</v>
      </c>
      <c r="Q297">
        <v>45</v>
      </c>
      <c r="R297">
        <v>45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45</v>
      </c>
      <c r="Z297">
        <v>6</v>
      </c>
      <c r="AA297">
        <v>0</v>
      </c>
      <c r="AB297" t="s">
        <v>130</v>
      </c>
      <c r="AF297">
        <v>142.30000000000001</v>
      </c>
    </row>
    <row r="298" spans="1:32" x14ac:dyDescent="0.3">
      <c r="A298" s="4">
        <v>306</v>
      </c>
      <c r="B298" s="5">
        <v>291</v>
      </c>
      <c r="C298">
        <v>287</v>
      </c>
      <c r="D298" t="s">
        <v>11708</v>
      </c>
      <c r="E298" t="s">
        <v>858</v>
      </c>
      <c r="F298" t="s">
        <v>136</v>
      </c>
      <c r="G298" t="s">
        <v>31788</v>
      </c>
      <c r="H298">
        <v>60</v>
      </c>
      <c r="I298">
        <v>10</v>
      </c>
      <c r="M298">
        <v>0</v>
      </c>
      <c r="N298">
        <v>20</v>
      </c>
      <c r="O298">
        <v>10</v>
      </c>
      <c r="P298">
        <v>100</v>
      </c>
      <c r="Q298">
        <v>19</v>
      </c>
      <c r="R298">
        <v>19</v>
      </c>
      <c r="S298">
        <v>0</v>
      </c>
      <c r="T298">
        <v>0</v>
      </c>
      <c r="U298">
        <v>4</v>
      </c>
      <c r="V298">
        <v>6</v>
      </c>
      <c r="W298">
        <v>0</v>
      </c>
      <c r="X298">
        <v>0</v>
      </c>
      <c r="Y298">
        <v>25</v>
      </c>
      <c r="Z298">
        <v>12</v>
      </c>
      <c r="AA298">
        <v>0</v>
      </c>
      <c r="AF298">
        <v>137</v>
      </c>
    </row>
    <row r="299" spans="1:32" x14ac:dyDescent="0.3">
      <c r="A299" s="4">
        <v>307</v>
      </c>
      <c r="B299" s="5">
        <v>292</v>
      </c>
      <c r="C299">
        <v>809</v>
      </c>
      <c r="D299" t="s">
        <v>31789</v>
      </c>
      <c r="E299" t="s">
        <v>124</v>
      </c>
      <c r="F299" t="s">
        <v>238</v>
      </c>
      <c r="G299" t="s">
        <v>31790</v>
      </c>
      <c r="H299">
        <v>57</v>
      </c>
      <c r="I299">
        <v>10</v>
      </c>
      <c r="L299">
        <v>10</v>
      </c>
      <c r="M299">
        <v>10</v>
      </c>
      <c r="N299">
        <v>20</v>
      </c>
      <c r="O299">
        <v>10</v>
      </c>
      <c r="P299">
        <v>107</v>
      </c>
      <c r="Q299">
        <v>28</v>
      </c>
      <c r="R299">
        <v>28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28</v>
      </c>
      <c r="Z299">
        <v>0</v>
      </c>
      <c r="AA299">
        <v>0</v>
      </c>
      <c r="AF299">
        <v>135</v>
      </c>
    </row>
    <row r="300" spans="1:32" x14ac:dyDescent="0.3">
      <c r="A300" s="4">
        <v>308</v>
      </c>
      <c r="B300" s="5">
        <v>293</v>
      </c>
      <c r="C300">
        <v>117</v>
      </c>
      <c r="D300" t="s">
        <v>31081</v>
      </c>
      <c r="E300" t="s">
        <v>81</v>
      </c>
      <c r="F300" t="s">
        <v>52</v>
      </c>
      <c r="G300" t="s">
        <v>31082</v>
      </c>
      <c r="H300">
        <v>57</v>
      </c>
      <c r="I300">
        <v>10</v>
      </c>
      <c r="J300">
        <v>20</v>
      </c>
      <c r="M300">
        <v>20</v>
      </c>
      <c r="N300">
        <v>20</v>
      </c>
      <c r="O300">
        <v>10</v>
      </c>
      <c r="P300">
        <v>117</v>
      </c>
      <c r="Q300">
        <v>5</v>
      </c>
      <c r="R300">
        <v>5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5</v>
      </c>
      <c r="Z300">
        <v>12</v>
      </c>
      <c r="AA300">
        <v>0</v>
      </c>
      <c r="AF300">
        <v>134</v>
      </c>
    </row>
    <row r="301" spans="1:32" x14ac:dyDescent="0.3">
      <c r="A301" s="4">
        <v>309</v>
      </c>
      <c r="B301" s="5">
        <v>294</v>
      </c>
      <c r="C301">
        <v>1002</v>
      </c>
      <c r="D301" t="s">
        <v>6480</v>
      </c>
      <c r="E301" t="s">
        <v>48</v>
      </c>
      <c r="F301" t="s">
        <v>2598</v>
      </c>
      <c r="G301" t="s">
        <v>31791</v>
      </c>
      <c r="H301">
        <v>58.5</v>
      </c>
      <c r="I301">
        <v>10</v>
      </c>
      <c r="M301">
        <v>0</v>
      </c>
      <c r="N301">
        <v>20</v>
      </c>
      <c r="O301">
        <v>10</v>
      </c>
      <c r="P301">
        <v>98.5</v>
      </c>
      <c r="Q301">
        <v>35</v>
      </c>
      <c r="R301">
        <v>35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35</v>
      </c>
      <c r="Z301">
        <v>0</v>
      </c>
      <c r="AA301">
        <v>0</v>
      </c>
      <c r="AF301">
        <v>133.5</v>
      </c>
    </row>
    <row r="302" spans="1:32" x14ac:dyDescent="0.3">
      <c r="A302" s="4">
        <v>310</v>
      </c>
      <c r="B302" s="5">
        <v>295</v>
      </c>
      <c r="C302">
        <v>336</v>
      </c>
      <c r="D302" t="s">
        <v>1425</v>
      </c>
      <c r="E302" t="s">
        <v>213</v>
      </c>
      <c r="F302" t="s">
        <v>2101</v>
      </c>
      <c r="G302" t="s">
        <v>31792</v>
      </c>
      <c r="H302">
        <v>60</v>
      </c>
      <c r="I302">
        <v>0</v>
      </c>
      <c r="M302">
        <v>0</v>
      </c>
      <c r="N302">
        <v>0</v>
      </c>
      <c r="O302">
        <v>0</v>
      </c>
      <c r="P302">
        <v>60</v>
      </c>
      <c r="Q302">
        <v>38</v>
      </c>
      <c r="R302">
        <v>38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38</v>
      </c>
      <c r="Z302">
        <v>3</v>
      </c>
      <c r="AA302">
        <v>32</v>
      </c>
      <c r="AF302">
        <v>133</v>
      </c>
    </row>
    <row r="303" spans="1:32" x14ac:dyDescent="0.3">
      <c r="A303" s="4">
        <v>311</v>
      </c>
      <c r="B303" s="5">
        <v>296</v>
      </c>
      <c r="C303">
        <v>632</v>
      </c>
      <c r="D303" t="s">
        <v>31793</v>
      </c>
      <c r="E303" t="s">
        <v>88</v>
      </c>
      <c r="F303" t="s">
        <v>626</v>
      </c>
      <c r="G303" t="s">
        <v>31794</v>
      </c>
      <c r="H303">
        <v>60</v>
      </c>
      <c r="I303">
        <v>10</v>
      </c>
      <c r="M303">
        <v>0</v>
      </c>
      <c r="N303">
        <v>20</v>
      </c>
      <c r="O303">
        <v>10</v>
      </c>
      <c r="P303">
        <v>100</v>
      </c>
      <c r="Q303">
        <v>27</v>
      </c>
      <c r="R303">
        <v>27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27</v>
      </c>
      <c r="Z303">
        <v>6</v>
      </c>
      <c r="AA303">
        <v>0</v>
      </c>
      <c r="AB303" t="s">
        <v>130</v>
      </c>
      <c r="AF303">
        <v>133</v>
      </c>
    </row>
    <row r="304" spans="1:32" x14ac:dyDescent="0.3">
      <c r="A304" s="4">
        <v>312</v>
      </c>
      <c r="B304" s="5">
        <v>297</v>
      </c>
      <c r="C304">
        <v>389</v>
      </c>
      <c r="D304" t="s">
        <v>31795</v>
      </c>
      <c r="E304" t="s">
        <v>83</v>
      </c>
      <c r="F304" t="s">
        <v>79</v>
      </c>
      <c r="G304" t="s">
        <v>31796</v>
      </c>
      <c r="H304">
        <v>60</v>
      </c>
      <c r="I304">
        <v>0</v>
      </c>
      <c r="M304">
        <v>0</v>
      </c>
      <c r="N304">
        <v>20</v>
      </c>
      <c r="O304">
        <v>10</v>
      </c>
      <c r="P304">
        <v>90</v>
      </c>
      <c r="Q304">
        <v>40</v>
      </c>
      <c r="R304">
        <v>40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40</v>
      </c>
      <c r="Z304">
        <v>3</v>
      </c>
      <c r="AA304">
        <v>0</v>
      </c>
      <c r="AF304">
        <v>133</v>
      </c>
    </row>
    <row r="305" spans="1:32" x14ac:dyDescent="0.3">
      <c r="A305" s="4">
        <v>313</v>
      </c>
      <c r="B305" s="5">
        <v>298</v>
      </c>
      <c r="C305">
        <v>951</v>
      </c>
      <c r="D305" t="s">
        <v>31797</v>
      </c>
      <c r="E305" t="s">
        <v>54</v>
      </c>
      <c r="F305" t="s">
        <v>81</v>
      </c>
      <c r="G305" t="s">
        <v>31798</v>
      </c>
      <c r="H305">
        <v>60</v>
      </c>
      <c r="I305">
        <v>10</v>
      </c>
      <c r="J305">
        <v>20</v>
      </c>
      <c r="L305">
        <v>10</v>
      </c>
      <c r="M305">
        <v>20</v>
      </c>
      <c r="N305">
        <v>20</v>
      </c>
      <c r="O305">
        <v>10</v>
      </c>
      <c r="P305">
        <v>120</v>
      </c>
      <c r="Q305">
        <v>12</v>
      </c>
      <c r="R305">
        <v>12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12</v>
      </c>
      <c r="Z305">
        <v>0</v>
      </c>
      <c r="AA305">
        <v>0</v>
      </c>
      <c r="AF305">
        <v>132</v>
      </c>
    </row>
    <row r="306" spans="1:32" x14ac:dyDescent="0.3">
      <c r="A306" s="4">
        <v>314</v>
      </c>
      <c r="B306" s="5">
        <v>299</v>
      </c>
      <c r="C306">
        <v>135</v>
      </c>
      <c r="D306" t="s">
        <v>8435</v>
      </c>
      <c r="E306" t="s">
        <v>5237</v>
      </c>
      <c r="F306" t="s">
        <v>442</v>
      </c>
      <c r="G306" t="s">
        <v>31799</v>
      </c>
      <c r="H306">
        <v>60</v>
      </c>
      <c r="I306">
        <v>10</v>
      </c>
      <c r="J306">
        <v>20</v>
      </c>
      <c r="M306">
        <v>20</v>
      </c>
      <c r="N306">
        <v>20</v>
      </c>
      <c r="O306">
        <v>10</v>
      </c>
      <c r="P306">
        <v>120</v>
      </c>
      <c r="Q306">
        <v>8</v>
      </c>
      <c r="R306">
        <v>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8</v>
      </c>
      <c r="Z306">
        <v>3</v>
      </c>
      <c r="AA306">
        <v>0</v>
      </c>
      <c r="AF306">
        <v>131</v>
      </c>
    </row>
    <row r="307" spans="1:32" x14ac:dyDescent="0.3">
      <c r="A307" s="4">
        <v>315</v>
      </c>
      <c r="B307" s="5">
        <v>300</v>
      </c>
      <c r="C307">
        <v>169</v>
      </c>
      <c r="D307" t="s">
        <v>31800</v>
      </c>
      <c r="E307" t="s">
        <v>161</v>
      </c>
      <c r="F307" t="s">
        <v>81</v>
      </c>
      <c r="G307" t="s">
        <v>31801</v>
      </c>
      <c r="H307">
        <v>58.8</v>
      </c>
      <c r="I307">
        <v>10</v>
      </c>
      <c r="M307">
        <v>0</v>
      </c>
      <c r="N307">
        <v>20</v>
      </c>
      <c r="O307">
        <v>10</v>
      </c>
      <c r="P307">
        <v>98.8</v>
      </c>
      <c r="Q307">
        <v>23</v>
      </c>
      <c r="R307">
        <v>23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23</v>
      </c>
      <c r="Z307">
        <v>9</v>
      </c>
      <c r="AA307">
        <v>0</v>
      </c>
      <c r="AF307">
        <v>130.80000000000001</v>
      </c>
    </row>
    <row r="308" spans="1:32" x14ac:dyDescent="0.3">
      <c r="A308" s="4">
        <v>316</v>
      </c>
      <c r="B308" s="5">
        <v>301</v>
      </c>
      <c r="C308">
        <v>1170</v>
      </c>
      <c r="D308" t="s">
        <v>1778</v>
      </c>
      <c r="E308" t="s">
        <v>29</v>
      </c>
      <c r="F308" t="s">
        <v>17</v>
      </c>
      <c r="G308" t="s">
        <v>1779</v>
      </c>
      <c r="H308">
        <v>33.6</v>
      </c>
      <c r="I308">
        <v>0</v>
      </c>
      <c r="J308">
        <v>20</v>
      </c>
      <c r="M308">
        <v>20</v>
      </c>
      <c r="N308">
        <v>20</v>
      </c>
      <c r="O308">
        <v>10</v>
      </c>
      <c r="P308">
        <v>83.6</v>
      </c>
      <c r="Q308">
        <v>44</v>
      </c>
      <c r="R308">
        <v>44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44</v>
      </c>
      <c r="Z308">
        <v>3</v>
      </c>
      <c r="AA308">
        <v>0</v>
      </c>
      <c r="AF308">
        <v>130.6</v>
      </c>
    </row>
    <row r="309" spans="1:32" x14ac:dyDescent="0.3">
      <c r="A309" s="4">
        <v>317</v>
      </c>
      <c r="B309" s="5">
        <v>302</v>
      </c>
      <c r="C309">
        <v>236</v>
      </c>
      <c r="D309" t="s">
        <v>31802</v>
      </c>
      <c r="E309" t="s">
        <v>100</v>
      </c>
      <c r="F309" t="s">
        <v>68</v>
      </c>
      <c r="G309" t="s">
        <v>31803</v>
      </c>
      <c r="H309">
        <v>54</v>
      </c>
      <c r="I309">
        <v>10</v>
      </c>
      <c r="J309">
        <v>20</v>
      </c>
      <c r="M309">
        <v>20</v>
      </c>
      <c r="N309">
        <v>20</v>
      </c>
      <c r="O309">
        <v>10</v>
      </c>
      <c r="P309">
        <v>114</v>
      </c>
      <c r="Q309">
        <v>12</v>
      </c>
      <c r="R309">
        <v>12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12</v>
      </c>
      <c r="Z309">
        <v>3</v>
      </c>
      <c r="AA309">
        <v>0</v>
      </c>
      <c r="AF309">
        <v>129</v>
      </c>
    </row>
    <row r="310" spans="1:32" x14ac:dyDescent="0.3">
      <c r="A310" s="4">
        <v>318</v>
      </c>
      <c r="B310" s="5">
        <v>303</v>
      </c>
      <c r="C310">
        <v>1644</v>
      </c>
      <c r="D310" t="s">
        <v>25814</v>
      </c>
      <c r="E310" t="s">
        <v>29</v>
      </c>
      <c r="F310" t="s">
        <v>55</v>
      </c>
      <c r="G310" t="s">
        <v>25815</v>
      </c>
      <c r="H310">
        <v>60</v>
      </c>
      <c r="I310">
        <v>10</v>
      </c>
      <c r="J310">
        <v>20</v>
      </c>
      <c r="M310">
        <v>20</v>
      </c>
      <c r="N310">
        <v>20</v>
      </c>
      <c r="O310">
        <v>10</v>
      </c>
      <c r="P310">
        <v>120</v>
      </c>
      <c r="Q310">
        <v>9</v>
      </c>
      <c r="R310">
        <v>9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9</v>
      </c>
      <c r="Z310">
        <v>0</v>
      </c>
      <c r="AA310">
        <v>0</v>
      </c>
      <c r="AF310">
        <v>129</v>
      </c>
    </row>
    <row r="311" spans="1:32" x14ac:dyDescent="0.3">
      <c r="A311" s="4">
        <v>319</v>
      </c>
      <c r="B311" s="5">
        <v>304</v>
      </c>
      <c r="C311">
        <v>903</v>
      </c>
      <c r="D311" t="s">
        <v>31804</v>
      </c>
      <c r="E311" t="s">
        <v>20</v>
      </c>
      <c r="F311" t="s">
        <v>136</v>
      </c>
      <c r="G311" t="s">
        <v>31805</v>
      </c>
      <c r="H311">
        <v>54</v>
      </c>
      <c r="I311">
        <v>0</v>
      </c>
      <c r="J311">
        <v>20</v>
      </c>
      <c r="M311">
        <v>20</v>
      </c>
      <c r="N311">
        <v>20</v>
      </c>
      <c r="O311">
        <v>10</v>
      </c>
      <c r="P311">
        <v>104</v>
      </c>
      <c r="Q311">
        <v>24</v>
      </c>
      <c r="R311">
        <v>24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24</v>
      </c>
      <c r="Z311">
        <v>0</v>
      </c>
      <c r="AA311">
        <v>0</v>
      </c>
      <c r="AF311">
        <v>128</v>
      </c>
    </row>
    <row r="312" spans="1:32" x14ac:dyDescent="0.3">
      <c r="A312" s="4">
        <v>320</v>
      </c>
      <c r="B312" s="5">
        <v>305</v>
      </c>
      <c r="C312">
        <v>1708</v>
      </c>
      <c r="D312" t="s">
        <v>31806</v>
      </c>
      <c r="E312" t="s">
        <v>91</v>
      </c>
      <c r="F312" t="s">
        <v>240</v>
      </c>
      <c r="G312" t="s">
        <v>31807</v>
      </c>
      <c r="H312">
        <v>60</v>
      </c>
      <c r="I312">
        <v>10</v>
      </c>
      <c r="M312">
        <v>0</v>
      </c>
      <c r="N312">
        <v>20</v>
      </c>
      <c r="O312">
        <v>10</v>
      </c>
      <c r="P312">
        <v>100</v>
      </c>
      <c r="Q312">
        <v>19</v>
      </c>
      <c r="R312">
        <v>19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19</v>
      </c>
      <c r="Z312">
        <v>6</v>
      </c>
      <c r="AA312">
        <v>0</v>
      </c>
      <c r="AB312" t="s">
        <v>130</v>
      </c>
      <c r="AF312">
        <v>125</v>
      </c>
    </row>
    <row r="313" spans="1:32" x14ac:dyDescent="0.3">
      <c r="A313" s="4">
        <v>321</v>
      </c>
      <c r="B313" s="5">
        <v>306</v>
      </c>
      <c r="C313">
        <v>1568</v>
      </c>
      <c r="D313" t="s">
        <v>27571</v>
      </c>
      <c r="E313" t="s">
        <v>17</v>
      </c>
      <c r="F313" t="s">
        <v>2333</v>
      </c>
      <c r="G313" t="s">
        <v>31808</v>
      </c>
      <c r="H313">
        <v>57</v>
      </c>
      <c r="I313">
        <v>10</v>
      </c>
      <c r="M313">
        <v>0</v>
      </c>
      <c r="N313">
        <v>20</v>
      </c>
      <c r="O313">
        <v>10</v>
      </c>
      <c r="P313">
        <v>97</v>
      </c>
      <c r="Q313">
        <v>28</v>
      </c>
      <c r="R313">
        <v>28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28</v>
      </c>
      <c r="Z313">
        <v>0</v>
      </c>
      <c r="AA313">
        <v>0</v>
      </c>
      <c r="AF313">
        <v>125</v>
      </c>
    </row>
    <row r="314" spans="1:32" x14ac:dyDescent="0.3">
      <c r="A314" s="4">
        <v>322</v>
      </c>
      <c r="B314" s="5">
        <v>307</v>
      </c>
      <c r="C314">
        <v>1322</v>
      </c>
      <c r="D314" t="s">
        <v>5954</v>
      </c>
      <c r="E314" t="s">
        <v>54</v>
      </c>
      <c r="F314" t="s">
        <v>117</v>
      </c>
      <c r="G314" t="s">
        <v>31809</v>
      </c>
      <c r="H314">
        <v>55.8</v>
      </c>
      <c r="I314">
        <v>10</v>
      </c>
      <c r="J314">
        <v>20</v>
      </c>
      <c r="M314">
        <v>20</v>
      </c>
      <c r="N314">
        <v>20</v>
      </c>
      <c r="O314">
        <v>10</v>
      </c>
      <c r="P314">
        <v>115.8</v>
      </c>
      <c r="Q314">
        <v>9</v>
      </c>
      <c r="R314">
        <v>9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9</v>
      </c>
      <c r="Z314">
        <v>0</v>
      </c>
      <c r="AA314">
        <v>0</v>
      </c>
      <c r="AF314">
        <v>124.8</v>
      </c>
    </row>
    <row r="315" spans="1:32" x14ac:dyDescent="0.3">
      <c r="A315" s="4">
        <v>323</v>
      </c>
      <c r="B315" s="5">
        <v>308</v>
      </c>
      <c r="C315">
        <v>634</v>
      </c>
      <c r="D315" t="s">
        <v>15679</v>
      </c>
      <c r="E315" t="s">
        <v>54</v>
      </c>
      <c r="F315" t="s">
        <v>190</v>
      </c>
      <c r="G315" t="s">
        <v>31810</v>
      </c>
      <c r="H315">
        <v>54.6</v>
      </c>
      <c r="I315">
        <v>10</v>
      </c>
      <c r="M315">
        <v>0</v>
      </c>
      <c r="N315">
        <v>20</v>
      </c>
      <c r="O315">
        <v>0</v>
      </c>
      <c r="P315">
        <v>84.6</v>
      </c>
      <c r="Q315">
        <v>37</v>
      </c>
      <c r="R315">
        <v>37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37</v>
      </c>
      <c r="Z315">
        <v>3</v>
      </c>
      <c r="AA315">
        <v>0</v>
      </c>
      <c r="AF315">
        <v>124.6</v>
      </c>
    </row>
    <row r="316" spans="1:32" x14ac:dyDescent="0.3">
      <c r="A316" s="4">
        <v>324</v>
      </c>
      <c r="B316" s="5">
        <v>309</v>
      </c>
      <c r="C316">
        <v>1337</v>
      </c>
      <c r="D316" t="s">
        <v>1125</v>
      </c>
      <c r="E316" t="s">
        <v>31811</v>
      </c>
      <c r="F316" t="s">
        <v>6216</v>
      </c>
      <c r="G316" t="s">
        <v>31812</v>
      </c>
      <c r="H316">
        <v>48.96</v>
      </c>
      <c r="I316">
        <v>0</v>
      </c>
      <c r="L316">
        <v>10</v>
      </c>
      <c r="M316">
        <v>10</v>
      </c>
      <c r="N316">
        <v>20</v>
      </c>
      <c r="O316">
        <v>10</v>
      </c>
      <c r="P316">
        <v>88.96</v>
      </c>
      <c r="Q316">
        <v>32</v>
      </c>
      <c r="R316">
        <v>32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32</v>
      </c>
      <c r="Z316">
        <v>3</v>
      </c>
      <c r="AA316">
        <v>0</v>
      </c>
      <c r="AB316" t="s">
        <v>130</v>
      </c>
      <c r="AF316">
        <v>123.96</v>
      </c>
    </row>
    <row r="317" spans="1:32" x14ac:dyDescent="0.3">
      <c r="A317" s="4">
        <v>325</v>
      </c>
      <c r="B317" s="5">
        <v>310</v>
      </c>
      <c r="C317">
        <v>855</v>
      </c>
      <c r="D317" t="s">
        <v>4995</v>
      </c>
      <c r="E317" t="s">
        <v>892</v>
      </c>
      <c r="F317" t="s">
        <v>136</v>
      </c>
      <c r="G317" t="s">
        <v>31813</v>
      </c>
      <c r="H317">
        <v>60</v>
      </c>
      <c r="I317">
        <v>10</v>
      </c>
      <c r="M317">
        <v>0</v>
      </c>
      <c r="N317">
        <v>20</v>
      </c>
      <c r="O317">
        <v>10</v>
      </c>
      <c r="P317">
        <v>100</v>
      </c>
      <c r="Q317">
        <v>20</v>
      </c>
      <c r="R317">
        <v>20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20</v>
      </c>
      <c r="Z317">
        <v>3</v>
      </c>
      <c r="AA317">
        <v>0</v>
      </c>
      <c r="AF317">
        <v>123</v>
      </c>
    </row>
    <row r="318" spans="1:32" x14ac:dyDescent="0.3">
      <c r="A318" s="4">
        <v>326</v>
      </c>
      <c r="B318" s="5">
        <v>311</v>
      </c>
      <c r="C318">
        <v>824</v>
      </c>
      <c r="D318" t="s">
        <v>17816</v>
      </c>
      <c r="E318" t="s">
        <v>30</v>
      </c>
      <c r="F318" t="s">
        <v>17</v>
      </c>
      <c r="G318" t="s">
        <v>17817</v>
      </c>
      <c r="H318">
        <v>60</v>
      </c>
      <c r="I318">
        <v>10</v>
      </c>
      <c r="J318">
        <v>20</v>
      </c>
      <c r="M318">
        <v>20</v>
      </c>
      <c r="N318">
        <v>20</v>
      </c>
      <c r="O318">
        <v>10</v>
      </c>
      <c r="P318">
        <v>120</v>
      </c>
      <c r="Q318">
        <v>3</v>
      </c>
      <c r="R318">
        <v>3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3</v>
      </c>
      <c r="Z318">
        <v>0</v>
      </c>
      <c r="AA318">
        <v>0</v>
      </c>
      <c r="AF318">
        <v>123</v>
      </c>
    </row>
    <row r="319" spans="1:32" x14ac:dyDescent="0.3">
      <c r="A319" s="4">
        <v>327</v>
      </c>
      <c r="B319" s="5">
        <v>312</v>
      </c>
      <c r="C319">
        <v>171</v>
      </c>
      <c r="D319" t="s">
        <v>22728</v>
      </c>
      <c r="E319" t="s">
        <v>1053</v>
      </c>
      <c r="F319" t="s">
        <v>34</v>
      </c>
      <c r="G319" t="s">
        <v>31814</v>
      </c>
      <c r="H319">
        <v>50.46</v>
      </c>
      <c r="I319">
        <v>10</v>
      </c>
      <c r="J319">
        <v>20</v>
      </c>
      <c r="M319">
        <v>20</v>
      </c>
      <c r="N319">
        <v>20</v>
      </c>
      <c r="O319">
        <v>10</v>
      </c>
      <c r="P319">
        <v>110.46</v>
      </c>
      <c r="Q319">
        <v>12</v>
      </c>
      <c r="R319">
        <v>12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12</v>
      </c>
      <c r="Z319">
        <v>0</v>
      </c>
      <c r="AA319">
        <v>0</v>
      </c>
      <c r="AF319">
        <v>122.46</v>
      </c>
    </row>
    <row r="320" spans="1:32" x14ac:dyDescent="0.3">
      <c r="A320" s="6">
        <v>328</v>
      </c>
      <c r="B320" s="5">
        <v>313</v>
      </c>
      <c r="C320" s="1">
        <v>734</v>
      </c>
      <c r="D320" s="1" t="s">
        <v>31815</v>
      </c>
      <c r="E320" s="1" t="s">
        <v>91</v>
      </c>
      <c r="F320" s="1" t="s">
        <v>136</v>
      </c>
      <c r="G320" s="1" t="s">
        <v>31816</v>
      </c>
      <c r="H320" s="1">
        <v>60</v>
      </c>
      <c r="I320" s="1">
        <v>10</v>
      </c>
      <c r="J320" s="1"/>
      <c r="K320" s="1"/>
      <c r="L320" s="1"/>
      <c r="M320" s="1">
        <v>0</v>
      </c>
      <c r="N320" s="1">
        <v>20</v>
      </c>
      <c r="O320" s="1">
        <v>10</v>
      </c>
      <c r="P320" s="1">
        <v>100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22</v>
      </c>
      <c r="AB320" s="1"/>
      <c r="AC320" s="1"/>
      <c r="AD320" s="1"/>
      <c r="AE320" s="1"/>
      <c r="AF320" s="1">
        <v>122</v>
      </c>
    </row>
    <row r="321" spans="1:32" x14ac:dyDescent="0.3">
      <c r="A321" s="4">
        <v>329</v>
      </c>
      <c r="B321" s="5">
        <v>314</v>
      </c>
      <c r="C321">
        <v>525</v>
      </c>
      <c r="D321" t="s">
        <v>31817</v>
      </c>
      <c r="E321" t="s">
        <v>81</v>
      </c>
      <c r="F321" t="s">
        <v>343</v>
      </c>
      <c r="G321" t="s">
        <v>31818</v>
      </c>
      <c r="H321">
        <v>58.2</v>
      </c>
      <c r="I321">
        <v>10</v>
      </c>
      <c r="M321">
        <v>0</v>
      </c>
      <c r="N321">
        <v>20</v>
      </c>
      <c r="O321">
        <v>10</v>
      </c>
      <c r="P321">
        <v>98.2</v>
      </c>
      <c r="Q321">
        <v>23</v>
      </c>
      <c r="R321">
        <v>23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23</v>
      </c>
      <c r="Z321">
        <v>0</v>
      </c>
      <c r="AA321">
        <v>0</v>
      </c>
      <c r="AF321">
        <v>121.2</v>
      </c>
    </row>
    <row r="322" spans="1:32" x14ac:dyDescent="0.3">
      <c r="A322" s="4">
        <v>330</v>
      </c>
      <c r="B322" s="5">
        <v>315</v>
      </c>
      <c r="C322">
        <v>335</v>
      </c>
      <c r="D322" t="s">
        <v>1615</v>
      </c>
      <c r="E322" t="s">
        <v>26</v>
      </c>
      <c r="F322" t="s">
        <v>136</v>
      </c>
      <c r="G322" t="s">
        <v>31819</v>
      </c>
      <c r="H322">
        <v>54.78</v>
      </c>
      <c r="I322">
        <v>0</v>
      </c>
      <c r="K322">
        <v>15</v>
      </c>
      <c r="L322">
        <v>10</v>
      </c>
      <c r="M322">
        <v>15</v>
      </c>
      <c r="N322">
        <v>20</v>
      </c>
      <c r="O322">
        <v>10</v>
      </c>
      <c r="P322">
        <v>99.78</v>
      </c>
      <c r="Q322">
        <v>18</v>
      </c>
      <c r="R322">
        <v>18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18</v>
      </c>
      <c r="Z322">
        <v>3</v>
      </c>
      <c r="AA322">
        <v>0</v>
      </c>
      <c r="AB322" t="s">
        <v>130</v>
      </c>
      <c r="AC322" t="s">
        <v>130</v>
      </c>
      <c r="AF322">
        <v>120.78</v>
      </c>
    </row>
    <row r="323" spans="1:32" x14ac:dyDescent="0.3">
      <c r="A323" s="4">
        <v>331</v>
      </c>
      <c r="B323" s="5">
        <v>316</v>
      </c>
      <c r="C323">
        <v>1359</v>
      </c>
      <c r="D323" t="s">
        <v>31820</v>
      </c>
      <c r="E323" t="s">
        <v>22</v>
      </c>
      <c r="F323" t="s">
        <v>652</v>
      </c>
      <c r="G323">
        <v>816902</v>
      </c>
      <c r="H323">
        <v>39</v>
      </c>
      <c r="I323">
        <v>10</v>
      </c>
      <c r="L323">
        <v>20</v>
      </c>
      <c r="M323">
        <v>20</v>
      </c>
      <c r="N323">
        <v>0</v>
      </c>
      <c r="O323">
        <v>10</v>
      </c>
      <c r="P323">
        <v>79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9</v>
      </c>
      <c r="AA323">
        <v>32</v>
      </c>
      <c r="AF323">
        <v>120</v>
      </c>
    </row>
    <row r="324" spans="1:32" x14ac:dyDescent="0.3">
      <c r="A324" s="4">
        <v>332</v>
      </c>
      <c r="B324" s="5">
        <v>317</v>
      </c>
      <c r="C324">
        <v>1194</v>
      </c>
      <c r="D324" t="s">
        <v>2047</v>
      </c>
      <c r="E324" t="s">
        <v>832</v>
      </c>
      <c r="F324" t="s">
        <v>1023</v>
      </c>
      <c r="G324" t="s">
        <v>2048</v>
      </c>
      <c r="H324">
        <v>60</v>
      </c>
      <c r="I324">
        <v>10</v>
      </c>
      <c r="L324">
        <v>10</v>
      </c>
      <c r="M324">
        <v>10</v>
      </c>
      <c r="N324">
        <v>20</v>
      </c>
      <c r="O324">
        <v>10</v>
      </c>
      <c r="P324">
        <v>110</v>
      </c>
      <c r="Q324">
        <v>4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4</v>
      </c>
      <c r="Z324">
        <v>6</v>
      </c>
      <c r="AA324">
        <v>0</v>
      </c>
      <c r="AF324">
        <v>120</v>
      </c>
    </row>
    <row r="325" spans="1:32" x14ac:dyDescent="0.3">
      <c r="A325" s="4">
        <v>333</v>
      </c>
      <c r="B325" s="5">
        <v>318</v>
      </c>
      <c r="C325">
        <v>929</v>
      </c>
      <c r="D325" t="s">
        <v>31821</v>
      </c>
      <c r="E325" t="s">
        <v>935</v>
      </c>
      <c r="F325" t="s">
        <v>136</v>
      </c>
      <c r="G325" t="s">
        <v>31822</v>
      </c>
      <c r="H325">
        <v>60</v>
      </c>
      <c r="I325">
        <v>10</v>
      </c>
      <c r="L325">
        <v>20</v>
      </c>
      <c r="M325">
        <v>20</v>
      </c>
      <c r="N325">
        <v>0</v>
      </c>
      <c r="O325">
        <v>10</v>
      </c>
      <c r="P325">
        <v>100</v>
      </c>
      <c r="Q325">
        <v>14</v>
      </c>
      <c r="R325">
        <v>14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14</v>
      </c>
      <c r="Z325">
        <v>6</v>
      </c>
      <c r="AA325">
        <v>0</v>
      </c>
      <c r="AF325">
        <v>120</v>
      </c>
    </row>
    <row r="326" spans="1:32" x14ac:dyDescent="0.3">
      <c r="A326" s="4">
        <v>334</v>
      </c>
      <c r="B326" s="5">
        <v>319</v>
      </c>
      <c r="C326">
        <v>372</v>
      </c>
      <c r="D326" t="s">
        <v>3506</v>
      </c>
      <c r="E326" t="s">
        <v>136</v>
      </c>
      <c r="F326" t="s">
        <v>38</v>
      </c>
      <c r="G326" t="s">
        <v>31823</v>
      </c>
      <c r="H326">
        <v>60</v>
      </c>
      <c r="I326">
        <v>10</v>
      </c>
      <c r="J326">
        <v>20</v>
      </c>
      <c r="M326">
        <v>20</v>
      </c>
      <c r="N326">
        <v>20</v>
      </c>
      <c r="O326">
        <v>10</v>
      </c>
      <c r="P326">
        <v>120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F326">
        <v>120</v>
      </c>
    </row>
    <row r="327" spans="1:32" x14ac:dyDescent="0.3">
      <c r="A327" s="4">
        <v>335</v>
      </c>
      <c r="B327" s="5">
        <v>320</v>
      </c>
      <c r="C327">
        <v>485</v>
      </c>
      <c r="D327" t="s">
        <v>1476</v>
      </c>
      <c r="E327" t="s">
        <v>273</v>
      </c>
      <c r="F327" t="s">
        <v>1477</v>
      </c>
      <c r="G327" t="s">
        <v>1478</v>
      </c>
      <c r="H327">
        <v>60</v>
      </c>
      <c r="I327">
        <v>10</v>
      </c>
      <c r="J327">
        <v>20</v>
      </c>
      <c r="K327">
        <v>15</v>
      </c>
      <c r="M327">
        <v>20</v>
      </c>
      <c r="N327">
        <v>20</v>
      </c>
      <c r="O327">
        <v>10</v>
      </c>
      <c r="P327">
        <v>120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 t="s">
        <v>130</v>
      </c>
      <c r="AF327">
        <v>120</v>
      </c>
    </row>
    <row r="328" spans="1:32" x14ac:dyDescent="0.3">
      <c r="A328" s="4">
        <v>336</v>
      </c>
      <c r="B328" s="5">
        <v>321</v>
      </c>
      <c r="C328">
        <v>454</v>
      </c>
      <c r="D328" t="s">
        <v>31824</v>
      </c>
      <c r="E328" t="s">
        <v>8702</v>
      </c>
      <c r="F328" t="s">
        <v>20</v>
      </c>
      <c r="G328" t="s">
        <v>31825</v>
      </c>
      <c r="H328">
        <v>60</v>
      </c>
      <c r="I328">
        <v>10</v>
      </c>
      <c r="J328">
        <v>20</v>
      </c>
      <c r="M328">
        <v>20</v>
      </c>
      <c r="N328">
        <v>20</v>
      </c>
      <c r="O328">
        <v>10</v>
      </c>
      <c r="P328">
        <v>120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F328">
        <v>120</v>
      </c>
    </row>
    <row r="329" spans="1:32" x14ac:dyDescent="0.3">
      <c r="A329" s="4">
        <v>337</v>
      </c>
      <c r="B329" s="5">
        <v>322</v>
      </c>
      <c r="C329">
        <v>781</v>
      </c>
      <c r="D329" t="s">
        <v>31826</v>
      </c>
      <c r="E329" t="s">
        <v>110</v>
      </c>
      <c r="F329" t="s">
        <v>158</v>
      </c>
      <c r="G329" t="s">
        <v>31827</v>
      </c>
      <c r="H329">
        <v>48</v>
      </c>
      <c r="I329">
        <v>10</v>
      </c>
      <c r="M329">
        <v>0</v>
      </c>
      <c r="N329">
        <v>20</v>
      </c>
      <c r="O329">
        <v>10</v>
      </c>
      <c r="P329">
        <v>88</v>
      </c>
      <c r="Q329">
        <v>32</v>
      </c>
      <c r="R329">
        <v>32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32</v>
      </c>
      <c r="Z329">
        <v>0</v>
      </c>
      <c r="AA329">
        <v>0</v>
      </c>
      <c r="AB329" t="s">
        <v>130</v>
      </c>
      <c r="AF329">
        <v>120</v>
      </c>
    </row>
    <row r="330" spans="1:32" x14ac:dyDescent="0.3">
      <c r="A330" s="4">
        <v>338</v>
      </c>
      <c r="B330" s="5">
        <v>323</v>
      </c>
      <c r="C330">
        <v>1588</v>
      </c>
      <c r="D330" t="s">
        <v>6115</v>
      </c>
      <c r="E330" t="s">
        <v>2538</v>
      </c>
      <c r="F330" t="s">
        <v>20</v>
      </c>
      <c r="G330" t="s">
        <v>31828</v>
      </c>
      <c r="H330">
        <v>59.04</v>
      </c>
      <c r="I330">
        <v>10</v>
      </c>
      <c r="J330">
        <v>20</v>
      </c>
      <c r="M330">
        <v>20</v>
      </c>
      <c r="N330">
        <v>20</v>
      </c>
      <c r="O330">
        <v>10</v>
      </c>
      <c r="P330">
        <v>119.04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F330">
        <v>119.04</v>
      </c>
    </row>
    <row r="331" spans="1:32" x14ac:dyDescent="0.3">
      <c r="A331" s="4">
        <v>339</v>
      </c>
      <c r="B331" s="5">
        <v>324</v>
      </c>
      <c r="C331">
        <v>1148</v>
      </c>
      <c r="D331" t="s">
        <v>1337</v>
      </c>
      <c r="E331" t="s">
        <v>1338</v>
      </c>
      <c r="F331" t="s">
        <v>81</v>
      </c>
      <c r="G331" t="s">
        <v>1339</v>
      </c>
      <c r="H331">
        <v>51</v>
      </c>
      <c r="I331">
        <v>10</v>
      </c>
      <c r="M331">
        <v>0</v>
      </c>
      <c r="N331">
        <v>20</v>
      </c>
      <c r="O331">
        <v>0</v>
      </c>
      <c r="P331">
        <v>81</v>
      </c>
      <c r="Q331">
        <v>3</v>
      </c>
      <c r="R331">
        <v>3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3</v>
      </c>
      <c r="Z331">
        <v>3</v>
      </c>
      <c r="AA331">
        <v>32</v>
      </c>
      <c r="AF331">
        <v>119</v>
      </c>
    </row>
    <row r="332" spans="1:32" x14ac:dyDescent="0.3">
      <c r="A332" s="4">
        <v>340</v>
      </c>
      <c r="B332" s="5">
        <v>325</v>
      </c>
      <c r="C332">
        <v>1721</v>
      </c>
      <c r="D332" t="s">
        <v>10275</v>
      </c>
      <c r="E332" t="s">
        <v>182</v>
      </c>
      <c r="F332" t="s">
        <v>91</v>
      </c>
      <c r="G332" t="s">
        <v>31829</v>
      </c>
      <c r="H332">
        <v>60</v>
      </c>
      <c r="I332">
        <v>10</v>
      </c>
      <c r="K332">
        <v>15</v>
      </c>
      <c r="M332">
        <v>15</v>
      </c>
      <c r="N332">
        <v>20</v>
      </c>
      <c r="O332">
        <v>10</v>
      </c>
      <c r="P332">
        <v>115</v>
      </c>
      <c r="Q332">
        <v>1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3</v>
      </c>
      <c r="AA332">
        <v>0</v>
      </c>
      <c r="AF332">
        <v>119</v>
      </c>
    </row>
    <row r="333" spans="1:32" x14ac:dyDescent="0.3">
      <c r="A333" s="4">
        <v>341</v>
      </c>
      <c r="B333" s="5">
        <v>326</v>
      </c>
      <c r="C333">
        <v>789</v>
      </c>
      <c r="D333" t="s">
        <v>31830</v>
      </c>
      <c r="E333" t="s">
        <v>550</v>
      </c>
      <c r="F333" t="s">
        <v>1121</v>
      </c>
      <c r="G333" t="s">
        <v>31831</v>
      </c>
      <c r="H333">
        <v>60</v>
      </c>
      <c r="I333">
        <v>10</v>
      </c>
      <c r="L333">
        <v>10</v>
      </c>
      <c r="M333">
        <v>10</v>
      </c>
      <c r="N333">
        <v>20</v>
      </c>
      <c r="O333">
        <v>10</v>
      </c>
      <c r="P333">
        <v>110</v>
      </c>
      <c r="Q333">
        <v>9</v>
      </c>
      <c r="R333">
        <v>9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9</v>
      </c>
      <c r="Z333">
        <v>0</v>
      </c>
      <c r="AA333">
        <v>0</v>
      </c>
      <c r="AF333">
        <v>119</v>
      </c>
    </row>
    <row r="334" spans="1:32" x14ac:dyDescent="0.3">
      <c r="A334" s="4">
        <v>342</v>
      </c>
      <c r="B334" s="5">
        <v>327</v>
      </c>
      <c r="C334">
        <v>1164</v>
      </c>
      <c r="D334" t="s">
        <v>31832</v>
      </c>
      <c r="E334" t="s">
        <v>258</v>
      </c>
      <c r="F334" t="s">
        <v>117</v>
      </c>
      <c r="G334" t="s">
        <v>31833</v>
      </c>
      <c r="H334">
        <v>55.5</v>
      </c>
      <c r="I334">
        <v>10</v>
      </c>
      <c r="J334">
        <v>20</v>
      </c>
      <c r="M334">
        <v>20</v>
      </c>
      <c r="N334">
        <v>20</v>
      </c>
      <c r="O334">
        <v>10</v>
      </c>
      <c r="P334">
        <v>115.5</v>
      </c>
      <c r="Q334">
        <v>0</v>
      </c>
      <c r="R334">
        <v>0</v>
      </c>
      <c r="S334">
        <v>0</v>
      </c>
      <c r="T334">
        <v>0</v>
      </c>
      <c r="U334">
        <v>1</v>
      </c>
      <c r="V334">
        <v>1.5</v>
      </c>
      <c r="W334">
        <v>0</v>
      </c>
      <c r="X334">
        <v>0</v>
      </c>
      <c r="Y334">
        <v>1.5</v>
      </c>
      <c r="Z334">
        <v>0</v>
      </c>
      <c r="AA334">
        <v>0</v>
      </c>
      <c r="AF334">
        <v>117</v>
      </c>
    </row>
    <row r="335" spans="1:32" x14ac:dyDescent="0.3">
      <c r="A335" s="4">
        <v>343</v>
      </c>
      <c r="B335" s="5">
        <v>328</v>
      </c>
      <c r="C335">
        <v>554</v>
      </c>
      <c r="D335" t="s">
        <v>3651</v>
      </c>
      <c r="E335" t="s">
        <v>173</v>
      </c>
      <c r="F335" t="s">
        <v>649</v>
      </c>
      <c r="G335" t="s">
        <v>31834</v>
      </c>
      <c r="H335">
        <v>57.9</v>
      </c>
      <c r="I335">
        <v>10</v>
      </c>
      <c r="M335">
        <v>0</v>
      </c>
      <c r="N335">
        <v>20</v>
      </c>
      <c r="O335">
        <v>10</v>
      </c>
      <c r="P335">
        <v>97.9</v>
      </c>
      <c r="Q335">
        <v>15</v>
      </c>
      <c r="R335">
        <v>15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15</v>
      </c>
      <c r="Z335">
        <v>3</v>
      </c>
      <c r="AA335">
        <v>0</v>
      </c>
      <c r="AF335">
        <v>115.9</v>
      </c>
    </row>
    <row r="336" spans="1:32" x14ac:dyDescent="0.3">
      <c r="A336" s="4">
        <v>344</v>
      </c>
      <c r="B336" s="5">
        <v>329</v>
      </c>
      <c r="C336">
        <v>649</v>
      </c>
      <c r="D336" t="s">
        <v>554</v>
      </c>
      <c r="E336" t="s">
        <v>54</v>
      </c>
      <c r="F336" t="s">
        <v>158</v>
      </c>
      <c r="G336" t="s">
        <v>31835</v>
      </c>
      <c r="H336">
        <v>55.8</v>
      </c>
      <c r="I336">
        <v>10</v>
      </c>
      <c r="J336">
        <v>20</v>
      </c>
      <c r="M336">
        <v>20</v>
      </c>
      <c r="N336">
        <v>20</v>
      </c>
      <c r="O336">
        <v>10</v>
      </c>
      <c r="P336">
        <v>115.8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F336">
        <v>115.8</v>
      </c>
    </row>
    <row r="337" spans="1:32" x14ac:dyDescent="0.3">
      <c r="A337" s="4">
        <v>345</v>
      </c>
      <c r="B337" s="5">
        <v>330</v>
      </c>
      <c r="C337">
        <v>1099</v>
      </c>
      <c r="D337" t="s">
        <v>950</v>
      </c>
      <c r="E337" t="s">
        <v>29</v>
      </c>
      <c r="F337" t="s">
        <v>117</v>
      </c>
      <c r="G337" t="s">
        <v>31836</v>
      </c>
      <c r="H337">
        <v>55.38</v>
      </c>
      <c r="I337">
        <v>10</v>
      </c>
      <c r="J337">
        <v>20</v>
      </c>
      <c r="M337">
        <v>20</v>
      </c>
      <c r="N337">
        <v>20</v>
      </c>
      <c r="O337">
        <v>10</v>
      </c>
      <c r="P337">
        <v>115.38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 t="s">
        <v>130</v>
      </c>
      <c r="AF337">
        <v>115.38</v>
      </c>
    </row>
    <row r="338" spans="1:32" x14ac:dyDescent="0.3">
      <c r="A338" s="4">
        <v>346</v>
      </c>
      <c r="B338" s="5">
        <v>331</v>
      </c>
      <c r="C338">
        <v>246</v>
      </c>
      <c r="D338" t="s">
        <v>31837</v>
      </c>
      <c r="E338" t="s">
        <v>1189</v>
      </c>
      <c r="F338" t="s">
        <v>17</v>
      </c>
      <c r="G338" t="s">
        <v>31838</v>
      </c>
      <c r="H338">
        <v>58.68</v>
      </c>
      <c r="I338">
        <v>10</v>
      </c>
      <c r="K338">
        <v>15</v>
      </c>
      <c r="M338">
        <v>15</v>
      </c>
      <c r="N338">
        <v>20</v>
      </c>
      <c r="O338">
        <v>10</v>
      </c>
      <c r="P338">
        <v>113.68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F338">
        <v>113.68</v>
      </c>
    </row>
    <row r="339" spans="1:32" x14ac:dyDescent="0.3">
      <c r="A339" s="4">
        <v>347</v>
      </c>
      <c r="B339" s="5">
        <v>332</v>
      </c>
      <c r="C339">
        <v>1238</v>
      </c>
      <c r="D339" t="s">
        <v>30587</v>
      </c>
      <c r="E339" t="s">
        <v>31839</v>
      </c>
      <c r="F339" t="s">
        <v>375</v>
      </c>
      <c r="G339" t="s">
        <v>31840</v>
      </c>
      <c r="H339">
        <v>57</v>
      </c>
      <c r="I339">
        <v>0</v>
      </c>
      <c r="J339">
        <v>20</v>
      </c>
      <c r="M339">
        <v>20</v>
      </c>
      <c r="N339">
        <v>20</v>
      </c>
      <c r="O339">
        <v>10</v>
      </c>
      <c r="P339">
        <v>107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6</v>
      </c>
      <c r="AA339">
        <v>0</v>
      </c>
      <c r="AF339">
        <v>113</v>
      </c>
    </row>
    <row r="340" spans="1:32" x14ac:dyDescent="0.3">
      <c r="A340" s="4">
        <v>348</v>
      </c>
      <c r="B340" s="5">
        <v>333</v>
      </c>
      <c r="C340">
        <v>216</v>
      </c>
      <c r="D340" t="s">
        <v>31841</v>
      </c>
      <c r="E340" t="s">
        <v>26</v>
      </c>
      <c r="F340" t="s">
        <v>30</v>
      </c>
      <c r="G340" t="s">
        <v>31842</v>
      </c>
      <c r="H340">
        <v>57</v>
      </c>
      <c r="I340">
        <v>0</v>
      </c>
      <c r="L340">
        <v>10</v>
      </c>
      <c r="M340">
        <v>10</v>
      </c>
      <c r="N340">
        <v>20</v>
      </c>
      <c r="O340">
        <v>10</v>
      </c>
      <c r="P340">
        <v>97</v>
      </c>
      <c r="Q340">
        <v>10</v>
      </c>
      <c r="R340">
        <v>10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10</v>
      </c>
      <c r="Z340">
        <v>6</v>
      </c>
      <c r="AA340">
        <v>0</v>
      </c>
      <c r="AF340">
        <v>113</v>
      </c>
    </row>
    <row r="341" spans="1:32" x14ac:dyDescent="0.3">
      <c r="A341" s="4">
        <v>349</v>
      </c>
      <c r="B341" s="5">
        <v>334</v>
      </c>
      <c r="C341">
        <v>212</v>
      </c>
      <c r="D341" t="s">
        <v>31843</v>
      </c>
      <c r="E341" t="s">
        <v>17</v>
      </c>
      <c r="F341" t="s">
        <v>81</v>
      </c>
      <c r="G341" t="s">
        <v>31844</v>
      </c>
      <c r="H341">
        <v>60</v>
      </c>
      <c r="I341">
        <v>0</v>
      </c>
      <c r="J341">
        <v>20</v>
      </c>
      <c r="M341">
        <v>20</v>
      </c>
      <c r="N341">
        <v>20</v>
      </c>
      <c r="O341">
        <v>10</v>
      </c>
      <c r="P341">
        <v>110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3</v>
      </c>
      <c r="AA341">
        <v>0</v>
      </c>
      <c r="AF341">
        <v>113</v>
      </c>
    </row>
    <row r="342" spans="1:32" x14ac:dyDescent="0.3">
      <c r="A342" s="4">
        <v>350</v>
      </c>
      <c r="B342" s="5">
        <v>335</v>
      </c>
      <c r="C342">
        <v>655</v>
      </c>
      <c r="D342" t="s">
        <v>31845</v>
      </c>
      <c r="E342" t="s">
        <v>789</v>
      </c>
      <c r="F342" t="s">
        <v>339</v>
      </c>
      <c r="G342" t="s">
        <v>31846</v>
      </c>
      <c r="H342">
        <v>60</v>
      </c>
      <c r="I342">
        <v>10</v>
      </c>
      <c r="L342">
        <v>10</v>
      </c>
      <c r="M342">
        <v>10</v>
      </c>
      <c r="N342">
        <v>20</v>
      </c>
      <c r="O342">
        <v>10</v>
      </c>
      <c r="P342">
        <v>110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3</v>
      </c>
      <c r="AA342">
        <v>0</v>
      </c>
      <c r="AF342">
        <v>113</v>
      </c>
    </row>
    <row r="343" spans="1:32" x14ac:dyDescent="0.3">
      <c r="A343" s="4">
        <v>351</v>
      </c>
      <c r="B343" s="5">
        <v>336</v>
      </c>
      <c r="C343">
        <v>1646</v>
      </c>
      <c r="D343" t="s">
        <v>31847</v>
      </c>
      <c r="E343" t="s">
        <v>17</v>
      </c>
      <c r="F343" t="s">
        <v>136</v>
      </c>
      <c r="G343" t="s">
        <v>31848</v>
      </c>
      <c r="H343">
        <v>55.2</v>
      </c>
      <c r="I343">
        <v>0</v>
      </c>
      <c r="L343">
        <v>10</v>
      </c>
      <c r="M343">
        <v>10</v>
      </c>
      <c r="N343">
        <v>20</v>
      </c>
      <c r="O343">
        <v>10</v>
      </c>
      <c r="P343">
        <v>95.2</v>
      </c>
      <c r="Q343">
        <v>17</v>
      </c>
      <c r="R343">
        <v>17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17</v>
      </c>
      <c r="Z343">
        <v>0</v>
      </c>
      <c r="AA343">
        <v>0</v>
      </c>
      <c r="AF343">
        <v>112.2</v>
      </c>
    </row>
    <row r="344" spans="1:32" x14ac:dyDescent="0.3">
      <c r="A344" s="4">
        <v>352</v>
      </c>
      <c r="B344" s="5">
        <v>337</v>
      </c>
      <c r="C344">
        <v>859</v>
      </c>
      <c r="D344" t="s">
        <v>31849</v>
      </c>
      <c r="E344" t="s">
        <v>20</v>
      </c>
      <c r="F344" t="s">
        <v>466</v>
      </c>
      <c r="G344" t="s">
        <v>31850</v>
      </c>
      <c r="H344">
        <v>60</v>
      </c>
      <c r="I344">
        <v>10</v>
      </c>
      <c r="M344">
        <v>0</v>
      </c>
      <c r="N344">
        <v>20</v>
      </c>
      <c r="O344">
        <v>10</v>
      </c>
      <c r="P344">
        <v>100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12</v>
      </c>
      <c r="AA344">
        <v>0</v>
      </c>
      <c r="AF344">
        <v>112</v>
      </c>
    </row>
    <row r="345" spans="1:32" x14ac:dyDescent="0.3">
      <c r="A345" s="4">
        <v>353</v>
      </c>
      <c r="B345" s="5">
        <v>338</v>
      </c>
      <c r="C345">
        <v>866</v>
      </c>
      <c r="D345" t="s">
        <v>4970</v>
      </c>
      <c r="E345" t="s">
        <v>744</v>
      </c>
      <c r="F345" t="s">
        <v>2513</v>
      </c>
      <c r="G345" t="s">
        <v>31851</v>
      </c>
      <c r="H345">
        <v>57</v>
      </c>
      <c r="I345">
        <v>0</v>
      </c>
      <c r="L345">
        <v>10</v>
      </c>
      <c r="M345">
        <v>10</v>
      </c>
      <c r="N345">
        <v>20</v>
      </c>
      <c r="O345">
        <v>10</v>
      </c>
      <c r="P345">
        <v>97</v>
      </c>
      <c r="Q345">
        <v>12</v>
      </c>
      <c r="R345">
        <v>12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12</v>
      </c>
      <c r="Z345">
        <v>3</v>
      </c>
      <c r="AA345">
        <v>0</v>
      </c>
      <c r="AF345">
        <v>112</v>
      </c>
    </row>
    <row r="346" spans="1:32" x14ac:dyDescent="0.3">
      <c r="A346" s="4">
        <v>354</v>
      </c>
      <c r="B346" s="5">
        <v>339</v>
      </c>
      <c r="C346">
        <v>1378</v>
      </c>
      <c r="D346" t="s">
        <v>31852</v>
      </c>
      <c r="E346" t="s">
        <v>38</v>
      </c>
      <c r="F346" t="s">
        <v>3175</v>
      </c>
      <c r="G346" t="s">
        <v>31853</v>
      </c>
      <c r="H346">
        <v>60</v>
      </c>
      <c r="I346">
        <v>0</v>
      </c>
      <c r="K346">
        <v>15</v>
      </c>
      <c r="L346">
        <v>10</v>
      </c>
      <c r="M346">
        <v>15</v>
      </c>
      <c r="N346">
        <v>20</v>
      </c>
      <c r="O346">
        <v>10</v>
      </c>
      <c r="P346">
        <v>105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6</v>
      </c>
      <c r="AA346">
        <v>0</v>
      </c>
      <c r="AF346">
        <v>111</v>
      </c>
    </row>
    <row r="347" spans="1:32" x14ac:dyDescent="0.3">
      <c r="A347" s="4">
        <v>355</v>
      </c>
      <c r="B347" s="5">
        <v>340</v>
      </c>
      <c r="C347">
        <v>547</v>
      </c>
      <c r="D347" t="s">
        <v>31854</v>
      </c>
      <c r="E347" t="s">
        <v>38</v>
      </c>
      <c r="F347" t="s">
        <v>2408</v>
      </c>
      <c r="G347" t="s">
        <v>31855</v>
      </c>
      <c r="H347">
        <v>51</v>
      </c>
      <c r="I347">
        <v>10</v>
      </c>
      <c r="J347">
        <v>20</v>
      </c>
      <c r="M347">
        <v>20</v>
      </c>
      <c r="N347">
        <v>20</v>
      </c>
      <c r="O347">
        <v>10</v>
      </c>
      <c r="P347">
        <v>111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F347">
        <v>111</v>
      </c>
    </row>
    <row r="348" spans="1:32" x14ac:dyDescent="0.3">
      <c r="A348" s="4">
        <v>356</v>
      </c>
      <c r="B348" s="5">
        <v>341</v>
      </c>
      <c r="C348">
        <v>497</v>
      </c>
      <c r="D348" t="s">
        <v>1430</v>
      </c>
      <c r="E348" t="s">
        <v>12175</v>
      </c>
      <c r="F348" t="s">
        <v>3236</v>
      </c>
      <c r="G348" t="s">
        <v>31856</v>
      </c>
      <c r="H348">
        <v>51</v>
      </c>
      <c r="I348">
        <v>10</v>
      </c>
      <c r="L348">
        <v>10</v>
      </c>
      <c r="M348">
        <v>10</v>
      </c>
      <c r="N348">
        <v>20</v>
      </c>
      <c r="O348">
        <v>10</v>
      </c>
      <c r="P348">
        <v>101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9</v>
      </c>
      <c r="AA348">
        <v>0</v>
      </c>
      <c r="AF348">
        <v>110</v>
      </c>
    </row>
    <row r="349" spans="1:32" x14ac:dyDescent="0.3">
      <c r="A349" s="4">
        <v>357</v>
      </c>
      <c r="B349" s="5">
        <v>342</v>
      </c>
      <c r="C349">
        <v>1563</v>
      </c>
      <c r="D349" t="s">
        <v>31857</v>
      </c>
      <c r="E349" t="s">
        <v>992</v>
      </c>
      <c r="F349" t="s">
        <v>20</v>
      </c>
      <c r="G349" t="s">
        <v>31858</v>
      </c>
      <c r="H349">
        <v>60</v>
      </c>
      <c r="I349">
        <v>0</v>
      </c>
      <c r="M349">
        <v>0</v>
      </c>
      <c r="N349">
        <v>20</v>
      </c>
      <c r="O349">
        <v>10</v>
      </c>
      <c r="P349">
        <v>90</v>
      </c>
      <c r="Q349">
        <v>11</v>
      </c>
      <c r="R349">
        <v>11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11</v>
      </c>
      <c r="Z349">
        <v>9</v>
      </c>
      <c r="AA349">
        <v>0</v>
      </c>
      <c r="AF349">
        <v>110</v>
      </c>
    </row>
    <row r="350" spans="1:32" x14ac:dyDescent="0.3">
      <c r="A350" s="4">
        <v>358</v>
      </c>
      <c r="B350" s="5">
        <v>343</v>
      </c>
      <c r="C350">
        <v>1188</v>
      </c>
      <c r="D350" t="s">
        <v>16457</v>
      </c>
      <c r="E350" t="s">
        <v>132</v>
      </c>
      <c r="F350" t="s">
        <v>6216</v>
      </c>
      <c r="G350" t="s">
        <v>31859</v>
      </c>
      <c r="H350">
        <v>60</v>
      </c>
      <c r="I350">
        <v>0</v>
      </c>
      <c r="J350">
        <v>20</v>
      </c>
      <c r="M350">
        <v>20</v>
      </c>
      <c r="N350">
        <v>20</v>
      </c>
      <c r="O350">
        <v>10</v>
      </c>
      <c r="P350">
        <v>110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F350">
        <v>110</v>
      </c>
    </row>
    <row r="351" spans="1:32" x14ac:dyDescent="0.3">
      <c r="A351" s="4">
        <v>359</v>
      </c>
      <c r="B351" s="5">
        <v>344</v>
      </c>
      <c r="C351">
        <v>1055</v>
      </c>
      <c r="D351" t="s">
        <v>31860</v>
      </c>
      <c r="E351" t="s">
        <v>62</v>
      </c>
      <c r="F351" t="s">
        <v>31861</v>
      </c>
      <c r="G351" t="s">
        <v>31862</v>
      </c>
      <c r="H351">
        <v>60</v>
      </c>
      <c r="I351">
        <v>10</v>
      </c>
      <c r="L351">
        <v>10</v>
      </c>
      <c r="M351">
        <v>10</v>
      </c>
      <c r="N351">
        <v>20</v>
      </c>
      <c r="O351">
        <v>10</v>
      </c>
      <c r="P351">
        <v>110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F351">
        <v>110</v>
      </c>
    </row>
    <row r="352" spans="1:32" x14ac:dyDescent="0.3">
      <c r="A352" s="4">
        <v>360</v>
      </c>
      <c r="B352" s="5">
        <v>345</v>
      </c>
      <c r="C352">
        <v>1070</v>
      </c>
      <c r="D352" t="s">
        <v>31863</v>
      </c>
      <c r="E352" t="s">
        <v>283</v>
      </c>
      <c r="F352" t="s">
        <v>79</v>
      </c>
      <c r="G352" t="s">
        <v>32022</v>
      </c>
      <c r="H352">
        <v>54</v>
      </c>
      <c r="I352">
        <v>10</v>
      </c>
      <c r="M352">
        <v>0</v>
      </c>
      <c r="N352">
        <v>0</v>
      </c>
      <c r="O352">
        <v>10</v>
      </c>
      <c r="P352">
        <v>74</v>
      </c>
      <c r="Q352">
        <v>36</v>
      </c>
      <c r="R352">
        <v>36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36</v>
      </c>
      <c r="Z352">
        <v>0</v>
      </c>
      <c r="AA352">
        <v>0</v>
      </c>
      <c r="AF352">
        <v>110</v>
      </c>
    </row>
    <row r="353" spans="1:32" x14ac:dyDescent="0.3">
      <c r="A353" s="4">
        <v>361</v>
      </c>
      <c r="B353" s="5">
        <v>346</v>
      </c>
      <c r="C353">
        <v>1660</v>
      </c>
      <c r="D353" t="s">
        <v>7248</v>
      </c>
      <c r="E353" t="s">
        <v>54</v>
      </c>
      <c r="F353" t="s">
        <v>62</v>
      </c>
      <c r="G353" t="s">
        <v>31864</v>
      </c>
      <c r="H353">
        <v>60</v>
      </c>
      <c r="I353">
        <v>10</v>
      </c>
      <c r="M353">
        <v>0</v>
      </c>
      <c r="N353">
        <v>20</v>
      </c>
      <c r="O353">
        <v>10</v>
      </c>
      <c r="P353">
        <v>100</v>
      </c>
      <c r="Q353">
        <v>5</v>
      </c>
      <c r="R353">
        <v>5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5</v>
      </c>
      <c r="Z353">
        <v>3</v>
      </c>
      <c r="AA353">
        <v>0</v>
      </c>
      <c r="AF353">
        <v>108</v>
      </c>
    </row>
    <row r="354" spans="1:32" x14ac:dyDescent="0.3">
      <c r="A354" s="4">
        <v>362</v>
      </c>
      <c r="B354" s="5">
        <v>347</v>
      </c>
      <c r="C354">
        <v>1317</v>
      </c>
      <c r="D354" t="s">
        <v>31865</v>
      </c>
      <c r="E354" t="s">
        <v>41</v>
      </c>
      <c r="F354" t="s">
        <v>38</v>
      </c>
      <c r="G354" t="s">
        <v>31866</v>
      </c>
      <c r="H354">
        <v>57</v>
      </c>
      <c r="I354">
        <v>0</v>
      </c>
      <c r="J354">
        <v>20</v>
      </c>
      <c r="M354">
        <v>20</v>
      </c>
      <c r="N354">
        <v>20</v>
      </c>
      <c r="O354">
        <v>10</v>
      </c>
      <c r="P354">
        <v>107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F354">
        <v>107</v>
      </c>
    </row>
    <row r="355" spans="1:32" x14ac:dyDescent="0.3">
      <c r="A355" s="4">
        <v>363</v>
      </c>
      <c r="B355" s="5">
        <v>348</v>
      </c>
      <c r="C355">
        <v>1488</v>
      </c>
      <c r="D355" t="s">
        <v>31867</v>
      </c>
      <c r="E355" t="s">
        <v>213</v>
      </c>
      <c r="F355" t="s">
        <v>81</v>
      </c>
      <c r="G355" t="s">
        <v>31868</v>
      </c>
      <c r="H355">
        <v>57</v>
      </c>
      <c r="I355">
        <v>10</v>
      </c>
      <c r="M355">
        <v>0</v>
      </c>
      <c r="N355">
        <v>20</v>
      </c>
      <c r="O355">
        <v>10</v>
      </c>
      <c r="P355">
        <v>97</v>
      </c>
      <c r="Q355">
        <v>10</v>
      </c>
      <c r="R355">
        <v>10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10</v>
      </c>
      <c r="Z355">
        <v>0</v>
      </c>
      <c r="AA355">
        <v>0</v>
      </c>
      <c r="AF355">
        <v>107</v>
      </c>
    </row>
    <row r="356" spans="1:32" x14ac:dyDescent="0.3">
      <c r="A356" s="4">
        <v>364</v>
      </c>
      <c r="B356" s="5">
        <v>349</v>
      </c>
      <c r="C356">
        <v>152</v>
      </c>
      <c r="D356" t="s">
        <v>7029</v>
      </c>
      <c r="E356" t="s">
        <v>7899</v>
      </c>
      <c r="F356" t="s">
        <v>38</v>
      </c>
      <c r="G356" t="s">
        <v>31869</v>
      </c>
      <c r="H356">
        <v>60</v>
      </c>
      <c r="I356">
        <v>10</v>
      </c>
      <c r="M356">
        <v>0</v>
      </c>
      <c r="N356">
        <v>20</v>
      </c>
      <c r="O356">
        <v>10</v>
      </c>
      <c r="P356">
        <v>100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6</v>
      </c>
      <c r="AA356">
        <v>0</v>
      </c>
      <c r="AF356">
        <v>106</v>
      </c>
    </row>
    <row r="357" spans="1:32" x14ac:dyDescent="0.3">
      <c r="A357" s="4">
        <v>365</v>
      </c>
      <c r="B357" s="5">
        <v>350</v>
      </c>
      <c r="C357">
        <v>1749</v>
      </c>
      <c r="D357" t="s">
        <v>31870</v>
      </c>
      <c r="E357" t="s">
        <v>1659</v>
      </c>
      <c r="F357" t="s">
        <v>62</v>
      </c>
      <c r="G357" t="s">
        <v>31871</v>
      </c>
      <c r="H357">
        <v>57</v>
      </c>
      <c r="I357">
        <v>10</v>
      </c>
      <c r="M357">
        <v>0</v>
      </c>
      <c r="N357">
        <v>20</v>
      </c>
      <c r="O357">
        <v>10</v>
      </c>
      <c r="P357">
        <v>97</v>
      </c>
      <c r="Q357">
        <v>6</v>
      </c>
      <c r="R357">
        <v>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6</v>
      </c>
      <c r="Z357">
        <v>3</v>
      </c>
      <c r="AA357">
        <v>0</v>
      </c>
      <c r="AF357">
        <v>106</v>
      </c>
    </row>
    <row r="358" spans="1:32" x14ac:dyDescent="0.3">
      <c r="A358" s="4">
        <v>366</v>
      </c>
      <c r="B358" s="5">
        <v>351</v>
      </c>
      <c r="C358">
        <v>1503</v>
      </c>
      <c r="D358" t="s">
        <v>18443</v>
      </c>
      <c r="E358" t="s">
        <v>170</v>
      </c>
      <c r="F358" t="s">
        <v>68</v>
      </c>
      <c r="G358" t="s">
        <v>31872</v>
      </c>
      <c r="H358">
        <v>52.98</v>
      </c>
      <c r="I358">
        <v>0</v>
      </c>
      <c r="J358">
        <v>20</v>
      </c>
      <c r="M358">
        <v>20</v>
      </c>
      <c r="N358">
        <v>20</v>
      </c>
      <c r="O358">
        <v>10</v>
      </c>
      <c r="P358">
        <v>102.98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</v>
      </c>
      <c r="AA358">
        <v>0</v>
      </c>
      <c r="AF358">
        <v>105.98</v>
      </c>
    </row>
    <row r="359" spans="1:32" x14ac:dyDescent="0.3">
      <c r="A359" s="4">
        <v>367</v>
      </c>
      <c r="B359" s="5">
        <v>352</v>
      </c>
      <c r="C359">
        <v>208</v>
      </c>
      <c r="D359" t="s">
        <v>8839</v>
      </c>
      <c r="E359" t="s">
        <v>17</v>
      </c>
      <c r="F359" t="s">
        <v>230</v>
      </c>
      <c r="G359" t="s">
        <v>31873</v>
      </c>
      <c r="H359">
        <v>54.72</v>
      </c>
      <c r="I359">
        <v>0</v>
      </c>
      <c r="K359">
        <v>15</v>
      </c>
      <c r="M359">
        <v>15</v>
      </c>
      <c r="N359">
        <v>20</v>
      </c>
      <c r="O359">
        <v>10</v>
      </c>
      <c r="P359">
        <v>99.72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6</v>
      </c>
      <c r="AA359">
        <v>0</v>
      </c>
      <c r="AF359">
        <v>105.72</v>
      </c>
    </row>
    <row r="360" spans="1:32" x14ac:dyDescent="0.3">
      <c r="A360" s="4">
        <v>368</v>
      </c>
      <c r="B360" s="5">
        <v>353</v>
      </c>
      <c r="C360">
        <v>446</v>
      </c>
      <c r="D360" t="s">
        <v>1457</v>
      </c>
      <c r="E360" t="s">
        <v>1016</v>
      </c>
      <c r="F360" t="s">
        <v>892</v>
      </c>
      <c r="G360" t="s">
        <v>31874</v>
      </c>
      <c r="H360">
        <v>56.4</v>
      </c>
      <c r="I360">
        <v>0</v>
      </c>
      <c r="M360">
        <v>0</v>
      </c>
      <c r="N360">
        <v>20</v>
      </c>
      <c r="O360">
        <v>10</v>
      </c>
      <c r="P360">
        <v>86.4</v>
      </c>
      <c r="Q360">
        <v>19</v>
      </c>
      <c r="R360">
        <v>19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19</v>
      </c>
      <c r="Z360">
        <v>0</v>
      </c>
      <c r="AA360">
        <v>0</v>
      </c>
      <c r="AF360">
        <v>105.4</v>
      </c>
    </row>
    <row r="361" spans="1:32" x14ac:dyDescent="0.3">
      <c r="A361" s="4">
        <v>369</v>
      </c>
      <c r="B361" s="5">
        <v>354</v>
      </c>
      <c r="C361">
        <v>1374</v>
      </c>
      <c r="D361" t="s">
        <v>31875</v>
      </c>
      <c r="E361" t="s">
        <v>471</v>
      </c>
      <c r="F361" t="s">
        <v>158</v>
      </c>
      <c r="G361" t="s">
        <v>31876</v>
      </c>
      <c r="H361">
        <v>60</v>
      </c>
      <c r="I361">
        <v>0</v>
      </c>
      <c r="K361">
        <v>15</v>
      </c>
      <c r="M361">
        <v>15</v>
      </c>
      <c r="N361">
        <v>20</v>
      </c>
      <c r="O361">
        <v>10</v>
      </c>
      <c r="P361">
        <v>105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 t="s">
        <v>130</v>
      </c>
      <c r="AF361">
        <v>105</v>
      </c>
    </row>
    <row r="362" spans="1:32" x14ac:dyDescent="0.3">
      <c r="A362" s="4">
        <v>370</v>
      </c>
      <c r="B362" s="5">
        <v>355</v>
      </c>
      <c r="C362">
        <v>1471</v>
      </c>
      <c r="D362" t="s">
        <v>21094</v>
      </c>
      <c r="E362" t="s">
        <v>816</v>
      </c>
      <c r="F362" t="s">
        <v>55</v>
      </c>
      <c r="G362" t="s">
        <v>31877</v>
      </c>
      <c r="H362">
        <v>57.6</v>
      </c>
      <c r="I362">
        <v>0</v>
      </c>
      <c r="L362">
        <v>10</v>
      </c>
      <c r="M362">
        <v>10</v>
      </c>
      <c r="N362">
        <v>0</v>
      </c>
      <c r="O362">
        <v>10</v>
      </c>
      <c r="P362">
        <v>77.599999999999994</v>
      </c>
      <c r="Q362">
        <v>24</v>
      </c>
      <c r="R362">
        <v>24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24</v>
      </c>
      <c r="Z362">
        <v>3</v>
      </c>
      <c r="AA362">
        <v>0</v>
      </c>
      <c r="AF362">
        <v>104.6</v>
      </c>
    </row>
    <row r="363" spans="1:32" x14ac:dyDescent="0.3">
      <c r="A363" s="4">
        <v>371</v>
      </c>
      <c r="B363" s="5">
        <v>356</v>
      </c>
      <c r="C363">
        <v>1476</v>
      </c>
      <c r="D363" t="s">
        <v>6999</v>
      </c>
      <c r="E363" t="s">
        <v>54</v>
      </c>
      <c r="F363" t="s">
        <v>587</v>
      </c>
      <c r="G363" t="s">
        <v>31878</v>
      </c>
      <c r="H363">
        <v>51</v>
      </c>
      <c r="I363">
        <v>10</v>
      </c>
      <c r="L363">
        <v>10</v>
      </c>
      <c r="M363">
        <v>10</v>
      </c>
      <c r="N363">
        <v>20</v>
      </c>
      <c r="O363">
        <v>10</v>
      </c>
      <c r="P363">
        <v>101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3</v>
      </c>
      <c r="AA363">
        <v>0</v>
      </c>
      <c r="AF363">
        <v>104</v>
      </c>
    </row>
    <row r="364" spans="1:32" x14ac:dyDescent="0.3">
      <c r="A364" s="4">
        <v>372</v>
      </c>
      <c r="B364" s="5">
        <v>357</v>
      </c>
      <c r="C364">
        <v>842</v>
      </c>
      <c r="D364" t="s">
        <v>31879</v>
      </c>
      <c r="E364" t="s">
        <v>17</v>
      </c>
      <c r="F364" t="s">
        <v>238</v>
      </c>
      <c r="G364" t="s">
        <v>31880</v>
      </c>
      <c r="H364">
        <v>54</v>
      </c>
      <c r="I364">
        <v>0</v>
      </c>
      <c r="J364">
        <v>20</v>
      </c>
      <c r="M364">
        <v>20</v>
      </c>
      <c r="N364">
        <v>20</v>
      </c>
      <c r="O364">
        <v>10</v>
      </c>
      <c r="P364">
        <v>104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F364">
        <v>104</v>
      </c>
    </row>
    <row r="365" spans="1:32" x14ac:dyDescent="0.3">
      <c r="A365" s="4">
        <v>373</v>
      </c>
      <c r="B365" s="5">
        <v>358</v>
      </c>
      <c r="C365">
        <v>306</v>
      </c>
      <c r="D365" t="s">
        <v>5780</v>
      </c>
      <c r="E365" t="s">
        <v>173</v>
      </c>
      <c r="F365" t="s">
        <v>31881</v>
      </c>
      <c r="G365" t="s">
        <v>31882</v>
      </c>
      <c r="H365">
        <v>54</v>
      </c>
      <c r="I365">
        <v>10</v>
      </c>
      <c r="L365">
        <v>10</v>
      </c>
      <c r="M365">
        <v>10</v>
      </c>
      <c r="N365">
        <v>20</v>
      </c>
      <c r="O365">
        <v>10</v>
      </c>
      <c r="P365">
        <v>104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F365">
        <v>104</v>
      </c>
    </row>
    <row r="366" spans="1:32" x14ac:dyDescent="0.3">
      <c r="A366" s="4">
        <v>374</v>
      </c>
      <c r="B366" s="5">
        <v>359</v>
      </c>
      <c r="C366">
        <v>762</v>
      </c>
      <c r="D366" t="s">
        <v>10875</v>
      </c>
      <c r="E366" t="s">
        <v>31883</v>
      </c>
      <c r="F366" t="s">
        <v>1460</v>
      </c>
      <c r="G366" t="s">
        <v>31884</v>
      </c>
      <c r="H366">
        <v>51</v>
      </c>
      <c r="I366">
        <v>10</v>
      </c>
      <c r="M366">
        <v>0</v>
      </c>
      <c r="N366">
        <v>0</v>
      </c>
      <c r="O366">
        <v>10</v>
      </c>
      <c r="P366">
        <v>71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6</v>
      </c>
      <c r="AA366">
        <v>26.8</v>
      </c>
      <c r="AF366">
        <v>103.8</v>
      </c>
    </row>
    <row r="367" spans="1:32" x14ac:dyDescent="0.3">
      <c r="A367" s="4">
        <v>375</v>
      </c>
      <c r="B367" s="5">
        <v>360</v>
      </c>
      <c r="C367">
        <v>1524</v>
      </c>
      <c r="D367" t="s">
        <v>31110</v>
      </c>
      <c r="E367" t="s">
        <v>100</v>
      </c>
      <c r="F367" t="s">
        <v>298</v>
      </c>
      <c r="G367" t="s">
        <v>31111</v>
      </c>
      <c r="H367">
        <v>60</v>
      </c>
      <c r="I367">
        <v>10</v>
      </c>
      <c r="M367">
        <v>0</v>
      </c>
      <c r="N367">
        <v>20</v>
      </c>
      <c r="O367">
        <v>10</v>
      </c>
      <c r="P367">
        <v>100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3</v>
      </c>
      <c r="AA367">
        <v>0</v>
      </c>
      <c r="AB367" t="s">
        <v>130</v>
      </c>
      <c r="AF367">
        <v>103</v>
      </c>
    </row>
    <row r="368" spans="1:32" x14ac:dyDescent="0.3">
      <c r="A368" s="4">
        <v>376</v>
      </c>
      <c r="B368" s="5">
        <v>361</v>
      </c>
      <c r="C368">
        <v>1244</v>
      </c>
      <c r="D368" t="s">
        <v>31885</v>
      </c>
      <c r="E368" t="s">
        <v>54</v>
      </c>
      <c r="F368" t="s">
        <v>81</v>
      </c>
      <c r="G368" t="s">
        <v>31886</v>
      </c>
      <c r="H368">
        <v>58.98</v>
      </c>
      <c r="I368">
        <v>0</v>
      </c>
      <c r="L368">
        <v>10</v>
      </c>
      <c r="M368">
        <v>10</v>
      </c>
      <c r="N368">
        <v>20</v>
      </c>
      <c r="O368">
        <v>10</v>
      </c>
      <c r="P368">
        <v>98.98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3</v>
      </c>
      <c r="AA368">
        <v>0</v>
      </c>
      <c r="AB368" t="s">
        <v>130</v>
      </c>
      <c r="AF368">
        <v>101.98</v>
      </c>
    </row>
    <row r="369" spans="1:32" x14ac:dyDescent="0.3">
      <c r="A369" s="4">
        <v>377</v>
      </c>
      <c r="B369" s="5">
        <v>362</v>
      </c>
      <c r="C369">
        <v>1591</v>
      </c>
      <c r="D369" t="s">
        <v>31887</v>
      </c>
      <c r="E369" t="s">
        <v>41</v>
      </c>
      <c r="F369" t="s">
        <v>34</v>
      </c>
      <c r="G369" t="s">
        <v>31888</v>
      </c>
      <c r="H369">
        <v>51</v>
      </c>
      <c r="I369">
        <v>0</v>
      </c>
      <c r="L369">
        <v>10</v>
      </c>
      <c r="M369">
        <v>10</v>
      </c>
      <c r="N369">
        <v>0</v>
      </c>
      <c r="O369">
        <v>10</v>
      </c>
      <c r="P369">
        <v>71</v>
      </c>
      <c r="Q369">
        <v>24</v>
      </c>
      <c r="R369">
        <v>24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24</v>
      </c>
      <c r="Z369">
        <v>6</v>
      </c>
      <c r="AA369">
        <v>0</v>
      </c>
      <c r="AF369">
        <v>101</v>
      </c>
    </row>
    <row r="370" spans="1:32" x14ac:dyDescent="0.3">
      <c r="A370" s="4">
        <v>378</v>
      </c>
      <c r="B370" s="5">
        <v>363</v>
      </c>
      <c r="C370">
        <v>1065</v>
      </c>
      <c r="D370" t="s">
        <v>198</v>
      </c>
      <c r="E370" t="s">
        <v>188</v>
      </c>
      <c r="F370" t="s">
        <v>30</v>
      </c>
      <c r="G370" t="s">
        <v>31889</v>
      </c>
      <c r="H370">
        <v>51</v>
      </c>
      <c r="I370">
        <v>10</v>
      </c>
      <c r="L370">
        <v>10</v>
      </c>
      <c r="M370">
        <v>10</v>
      </c>
      <c r="N370">
        <v>20</v>
      </c>
      <c r="O370">
        <v>10</v>
      </c>
      <c r="P370">
        <v>101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F370">
        <v>101</v>
      </c>
    </row>
    <row r="371" spans="1:32" x14ac:dyDescent="0.3">
      <c r="A371" s="4">
        <v>379</v>
      </c>
      <c r="B371" s="5">
        <v>364</v>
      </c>
      <c r="C371">
        <v>933</v>
      </c>
      <c r="D371" t="s">
        <v>31890</v>
      </c>
      <c r="E371" t="s">
        <v>273</v>
      </c>
      <c r="F371" t="s">
        <v>124</v>
      </c>
      <c r="G371" t="s">
        <v>31891</v>
      </c>
      <c r="H371">
        <v>51</v>
      </c>
      <c r="I371">
        <v>10</v>
      </c>
      <c r="L371">
        <v>10</v>
      </c>
      <c r="M371">
        <v>10</v>
      </c>
      <c r="N371">
        <v>20</v>
      </c>
      <c r="O371">
        <v>10</v>
      </c>
      <c r="P371">
        <v>101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F371">
        <v>101</v>
      </c>
    </row>
    <row r="372" spans="1:32" x14ac:dyDescent="0.3">
      <c r="A372" s="4">
        <v>380</v>
      </c>
      <c r="B372" s="5">
        <v>365</v>
      </c>
      <c r="C372">
        <v>823</v>
      </c>
      <c r="D372" t="s">
        <v>2666</v>
      </c>
      <c r="E372" t="s">
        <v>29</v>
      </c>
      <c r="F372" t="s">
        <v>375</v>
      </c>
      <c r="G372" t="s">
        <v>31892</v>
      </c>
      <c r="H372">
        <v>59.28</v>
      </c>
      <c r="I372">
        <v>0</v>
      </c>
      <c r="L372">
        <v>10</v>
      </c>
      <c r="M372">
        <v>10</v>
      </c>
      <c r="N372">
        <v>20</v>
      </c>
      <c r="O372">
        <v>10</v>
      </c>
      <c r="P372">
        <v>99.28</v>
      </c>
      <c r="Q372">
        <v>0</v>
      </c>
      <c r="R372">
        <v>0</v>
      </c>
      <c r="S372">
        <v>0</v>
      </c>
      <c r="T372">
        <v>0</v>
      </c>
      <c r="U372">
        <v>1</v>
      </c>
      <c r="V372">
        <v>1.5</v>
      </c>
      <c r="W372">
        <v>0</v>
      </c>
      <c r="X372">
        <v>0</v>
      </c>
      <c r="Y372">
        <v>1.5</v>
      </c>
      <c r="Z372">
        <v>0</v>
      </c>
      <c r="AA372">
        <v>0</v>
      </c>
      <c r="AF372">
        <v>100.78</v>
      </c>
    </row>
    <row r="373" spans="1:32" x14ac:dyDescent="0.3">
      <c r="A373" s="4">
        <v>381</v>
      </c>
      <c r="B373" s="5">
        <v>366</v>
      </c>
      <c r="C373">
        <v>1264</v>
      </c>
      <c r="D373" t="s">
        <v>31893</v>
      </c>
      <c r="E373" t="s">
        <v>7769</v>
      </c>
      <c r="F373" t="s">
        <v>34</v>
      </c>
      <c r="G373" t="s">
        <v>31894</v>
      </c>
      <c r="H373">
        <v>51</v>
      </c>
      <c r="I373">
        <v>0</v>
      </c>
      <c r="L373">
        <v>10</v>
      </c>
      <c r="M373">
        <v>10</v>
      </c>
      <c r="N373">
        <v>20</v>
      </c>
      <c r="O373">
        <v>10</v>
      </c>
      <c r="P373">
        <v>91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9</v>
      </c>
      <c r="AA373">
        <v>0</v>
      </c>
      <c r="AF373">
        <v>100</v>
      </c>
    </row>
    <row r="374" spans="1:32" x14ac:dyDescent="0.3">
      <c r="A374" s="4">
        <v>382</v>
      </c>
      <c r="B374" s="5">
        <v>367</v>
      </c>
      <c r="C374">
        <v>629</v>
      </c>
      <c r="D374" t="s">
        <v>31895</v>
      </c>
      <c r="E374" t="s">
        <v>33</v>
      </c>
      <c r="F374" t="s">
        <v>62</v>
      </c>
      <c r="G374" t="s">
        <v>31896</v>
      </c>
      <c r="H374">
        <v>60</v>
      </c>
      <c r="I374">
        <v>0</v>
      </c>
      <c r="J374">
        <v>20</v>
      </c>
      <c r="M374">
        <v>20</v>
      </c>
      <c r="N374">
        <v>20</v>
      </c>
      <c r="O374">
        <v>0</v>
      </c>
      <c r="P374">
        <v>100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F374">
        <v>100</v>
      </c>
    </row>
    <row r="375" spans="1:32" x14ac:dyDescent="0.3">
      <c r="A375" s="4">
        <v>383</v>
      </c>
      <c r="B375" s="5">
        <v>368</v>
      </c>
      <c r="C375">
        <v>1316</v>
      </c>
      <c r="D375" t="s">
        <v>74</v>
      </c>
      <c r="E375" t="s">
        <v>88</v>
      </c>
      <c r="F375" t="s">
        <v>91</v>
      </c>
      <c r="G375" t="s">
        <v>31897</v>
      </c>
      <c r="H375">
        <v>60</v>
      </c>
      <c r="I375">
        <v>10</v>
      </c>
      <c r="M375">
        <v>0</v>
      </c>
      <c r="N375">
        <v>20</v>
      </c>
      <c r="O375">
        <v>10</v>
      </c>
      <c r="P375">
        <v>100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F375">
        <v>100</v>
      </c>
    </row>
    <row r="376" spans="1:32" x14ac:dyDescent="0.3">
      <c r="A376" s="4">
        <v>384</v>
      </c>
      <c r="B376" s="5">
        <v>369</v>
      </c>
      <c r="C376">
        <v>516</v>
      </c>
      <c r="D376" t="s">
        <v>31898</v>
      </c>
      <c r="E376" t="s">
        <v>652</v>
      </c>
      <c r="F376" t="s">
        <v>20</v>
      </c>
      <c r="G376" t="s">
        <v>31899</v>
      </c>
      <c r="H376">
        <v>39</v>
      </c>
      <c r="I376">
        <v>10</v>
      </c>
      <c r="J376">
        <v>20</v>
      </c>
      <c r="M376">
        <v>20</v>
      </c>
      <c r="N376">
        <v>20</v>
      </c>
      <c r="O376">
        <v>10</v>
      </c>
      <c r="P376">
        <v>99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F376">
        <v>99</v>
      </c>
    </row>
    <row r="377" spans="1:32" x14ac:dyDescent="0.3">
      <c r="A377" s="4">
        <v>385</v>
      </c>
      <c r="B377" s="5">
        <v>370</v>
      </c>
      <c r="C377">
        <v>1607</v>
      </c>
      <c r="D377" t="s">
        <v>31900</v>
      </c>
      <c r="E377" t="s">
        <v>31901</v>
      </c>
      <c r="F377" t="s">
        <v>38</v>
      </c>
      <c r="G377" t="s">
        <v>31902</v>
      </c>
      <c r="H377">
        <v>39</v>
      </c>
      <c r="I377">
        <v>10</v>
      </c>
      <c r="J377">
        <v>20</v>
      </c>
      <c r="L377">
        <v>10</v>
      </c>
      <c r="M377">
        <v>20</v>
      </c>
      <c r="N377">
        <v>20</v>
      </c>
      <c r="O377">
        <v>10</v>
      </c>
      <c r="P377">
        <v>99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F377">
        <v>99</v>
      </c>
    </row>
    <row r="378" spans="1:32" x14ac:dyDescent="0.3">
      <c r="A378" s="4">
        <v>386</v>
      </c>
      <c r="B378" s="5">
        <v>371</v>
      </c>
      <c r="C378">
        <v>707</v>
      </c>
      <c r="D378" t="s">
        <v>31903</v>
      </c>
      <c r="E378" t="s">
        <v>355</v>
      </c>
      <c r="F378" t="s">
        <v>6216</v>
      </c>
      <c r="G378" t="s">
        <v>31904</v>
      </c>
      <c r="H378">
        <v>58.32</v>
      </c>
      <c r="I378">
        <v>0</v>
      </c>
      <c r="L378">
        <v>10</v>
      </c>
      <c r="M378">
        <v>10</v>
      </c>
      <c r="N378">
        <v>20</v>
      </c>
      <c r="O378">
        <v>10</v>
      </c>
      <c r="P378">
        <v>98.32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F378">
        <v>98.32</v>
      </c>
    </row>
    <row r="379" spans="1:32" x14ac:dyDescent="0.3">
      <c r="A379" s="4">
        <v>387</v>
      </c>
      <c r="B379" s="5">
        <v>372</v>
      </c>
      <c r="C379">
        <v>1399</v>
      </c>
      <c r="D379" t="s">
        <v>5155</v>
      </c>
      <c r="E379" t="s">
        <v>161</v>
      </c>
      <c r="F379" t="s">
        <v>136</v>
      </c>
      <c r="G379" t="s">
        <v>31905</v>
      </c>
      <c r="H379">
        <v>51</v>
      </c>
      <c r="I379">
        <v>0</v>
      </c>
      <c r="M379">
        <v>0</v>
      </c>
      <c r="N379">
        <v>20</v>
      </c>
      <c r="O379">
        <v>10</v>
      </c>
      <c r="P379">
        <v>81</v>
      </c>
      <c r="Q379">
        <v>14</v>
      </c>
      <c r="R379">
        <v>14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14</v>
      </c>
      <c r="Z379">
        <v>3</v>
      </c>
      <c r="AA379">
        <v>0</v>
      </c>
      <c r="AB379" t="s">
        <v>130</v>
      </c>
      <c r="AF379">
        <v>98</v>
      </c>
    </row>
    <row r="380" spans="1:32" x14ac:dyDescent="0.3">
      <c r="A380" s="4">
        <v>388</v>
      </c>
      <c r="B380" s="5">
        <v>373</v>
      </c>
      <c r="C380">
        <v>1186</v>
      </c>
      <c r="D380" t="s">
        <v>18361</v>
      </c>
      <c r="E380" t="s">
        <v>219</v>
      </c>
      <c r="F380" t="s">
        <v>190</v>
      </c>
      <c r="G380" t="s">
        <v>31906</v>
      </c>
      <c r="H380">
        <v>39</v>
      </c>
      <c r="I380">
        <v>10</v>
      </c>
      <c r="M380">
        <v>0</v>
      </c>
      <c r="N380">
        <v>0</v>
      </c>
      <c r="O380">
        <v>10</v>
      </c>
      <c r="P380">
        <v>59</v>
      </c>
      <c r="Q380">
        <v>36</v>
      </c>
      <c r="R380">
        <v>36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36</v>
      </c>
      <c r="Z380">
        <v>3</v>
      </c>
      <c r="AA380">
        <v>0</v>
      </c>
      <c r="AF380">
        <v>98</v>
      </c>
    </row>
    <row r="381" spans="1:32" x14ac:dyDescent="0.3">
      <c r="A381" s="4">
        <v>389</v>
      </c>
      <c r="B381" s="5">
        <v>374</v>
      </c>
      <c r="C381">
        <v>1268</v>
      </c>
      <c r="D381" t="s">
        <v>31001</v>
      </c>
      <c r="E381" t="s">
        <v>13977</v>
      </c>
      <c r="F381" t="s">
        <v>243</v>
      </c>
      <c r="G381" t="s">
        <v>31002</v>
      </c>
      <c r="H381">
        <v>60</v>
      </c>
      <c r="I381">
        <v>10</v>
      </c>
      <c r="L381">
        <v>10</v>
      </c>
      <c r="M381">
        <v>10</v>
      </c>
      <c r="N381">
        <v>0</v>
      </c>
      <c r="O381">
        <v>10</v>
      </c>
      <c r="P381">
        <v>90</v>
      </c>
      <c r="Q381">
        <v>1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6</v>
      </c>
      <c r="AA381">
        <v>0</v>
      </c>
      <c r="AF381">
        <v>97</v>
      </c>
    </row>
    <row r="382" spans="1:32" x14ac:dyDescent="0.3">
      <c r="A382" s="4">
        <v>390</v>
      </c>
      <c r="B382" s="5">
        <v>375</v>
      </c>
      <c r="C382">
        <v>1147</v>
      </c>
      <c r="D382" t="s">
        <v>18427</v>
      </c>
      <c r="E382" t="s">
        <v>117</v>
      </c>
      <c r="F382" t="s">
        <v>81</v>
      </c>
      <c r="G382" t="s">
        <v>31907</v>
      </c>
      <c r="H382">
        <v>51</v>
      </c>
      <c r="I382">
        <v>0</v>
      </c>
      <c r="M382">
        <v>0</v>
      </c>
      <c r="N382">
        <v>20</v>
      </c>
      <c r="O382">
        <v>10</v>
      </c>
      <c r="P382">
        <v>81</v>
      </c>
      <c r="Q382">
        <v>13</v>
      </c>
      <c r="R382">
        <v>13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13</v>
      </c>
      <c r="Z382">
        <v>3</v>
      </c>
      <c r="AA382">
        <v>0</v>
      </c>
      <c r="AF382">
        <v>97</v>
      </c>
    </row>
    <row r="383" spans="1:32" x14ac:dyDescent="0.3">
      <c r="A383" s="4">
        <v>391</v>
      </c>
      <c r="B383" s="5">
        <v>376</v>
      </c>
      <c r="C383">
        <v>1772</v>
      </c>
      <c r="D383" t="s">
        <v>2609</v>
      </c>
      <c r="E383" t="s">
        <v>31908</v>
      </c>
      <c r="F383" t="s">
        <v>117</v>
      </c>
      <c r="G383" t="s">
        <v>31909</v>
      </c>
      <c r="H383">
        <v>57</v>
      </c>
      <c r="I383">
        <v>0</v>
      </c>
      <c r="L383">
        <v>10</v>
      </c>
      <c r="M383">
        <v>10</v>
      </c>
      <c r="N383">
        <v>20</v>
      </c>
      <c r="O383">
        <v>10</v>
      </c>
      <c r="P383">
        <v>97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 t="s">
        <v>130</v>
      </c>
      <c r="AF383">
        <v>97</v>
      </c>
    </row>
    <row r="384" spans="1:32" x14ac:dyDescent="0.3">
      <c r="A384" s="4">
        <v>392</v>
      </c>
      <c r="B384" s="5">
        <v>377</v>
      </c>
      <c r="C384">
        <v>328</v>
      </c>
      <c r="D384" t="s">
        <v>3276</v>
      </c>
      <c r="E384" t="s">
        <v>41</v>
      </c>
      <c r="F384" t="s">
        <v>343</v>
      </c>
      <c r="G384" t="s">
        <v>31910</v>
      </c>
      <c r="H384">
        <v>60</v>
      </c>
      <c r="I384">
        <v>10</v>
      </c>
      <c r="M384">
        <v>0</v>
      </c>
      <c r="N384">
        <v>0</v>
      </c>
      <c r="O384">
        <v>10</v>
      </c>
      <c r="P384">
        <v>80</v>
      </c>
      <c r="Q384">
        <v>17</v>
      </c>
      <c r="R384">
        <v>17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17</v>
      </c>
      <c r="Z384">
        <v>0</v>
      </c>
      <c r="AA384">
        <v>0</v>
      </c>
      <c r="AF384">
        <v>97</v>
      </c>
    </row>
    <row r="385" spans="1:32" x14ac:dyDescent="0.3">
      <c r="A385" s="4">
        <v>393</v>
      </c>
      <c r="B385" s="5">
        <v>378</v>
      </c>
      <c r="C385">
        <v>377</v>
      </c>
      <c r="D385" t="s">
        <v>15941</v>
      </c>
      <c r="E385" t="s">
        <v>26</v>
      </c>
      <c r="F385" t="s">
        <v>30</v>
      </c>
      <c r="G385" t="s">
        <v>31911</v>
      </c>
      <c r="H385">
        <v>56.94</v>
      </c>
      <c r="I385">
        <v>10</v>
      </c>
      <c r="M385">
        <v>0</v>
      </c>
      <c r="N385">
        <v>20</v>
      </c>
      <c r="O385">
        <v>10</v>
      </c>
      <c r="P385">
        <v>96.94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F385">
        <v>96.94</v>
      </c>
    </row>
    <row r="386" spans="1:32" x14ac:dyDescent="0.3">
      <c r="A386" s="4">
        <v>394</v>
      </c>
      <c r="B386" s="5">
        <v>379</v>
      </c>
      <c r="C386">
        <v>1203</v>
      </c>
      <c r="D386" t="s">
        <v>18541</v>
      </c>
      <c r="E386" t="s">
        <v>479</v>
      </c>
      <c r="F386" t="s">
        <v>136</v>
      </c>
      <c r="G386" t="s">
        <v>31912</v>
      </c>
      <c r="H386">
        <v>58.2</v>
      </c>
      <c r="I386">
        <v>0</v>
      </c>
      <c r="M386">
        <v>0</v>
      </c>
      <c r="N386">
        <v>20</v>
      </c>
      <c r="O386">
        <v>10</v>
      </c>
      <c r="P386">
        <v>88.2</v>
      </c>
      <c r="Q386">
        <v>2</v>
      </c>
      <c r="R386">
        <v>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2</v>
      </c>
      <c r="Z386">
        <v>6</v>
      </c>
      <c r="AA386">
        <v>0</v>
      </c>
      <c r="AF386">
        <v>96.2</v>
      </c>
    </row>
    <row r="387" spans="1:32" x14ac:dyDescent="0.3">
      <c r="A387" s="4">
        <v>395</v>
      </c>
      <c r="B387" s="5">
        <v>380</v>
      </c>
      <c r="C387">
        <v>376</v>
      </c>
      <c r="D387" t="s">
        <v>31913</v>
      </c>
      <c r="E387" t="s">
        <v>7899</v>
      </c>
      <c r="F387" t="s">
        <v>238</v>
      </c>
      <c r="G387" t="s">
        <v>31914</v>
      </c>
      <c r="H387">
        <v>60</v>
      </c>
      <c r="I387">
        <v>0</v>
      </c>
      <c r="M387">
        <v>0</v>
      </c>
      <c r="N387">
        <v>20</v>
      </c>
      <c r="O387">
        <v>10</v>
      </c>
      <c r="P387">
        <v>90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6</v>
      </c>
      <c r="AA387">
        <v>0</v>
      </c>
      <c r="AF387">
        <v>96</v>
      </c>
    </row>
    <row r="388" spans="1:32" x14ac:dyDescent="0.3">
      <c r="A388" s="4">
        <v>396</v>
      </c>
      <c r="B388" s="5">
        <v>381</v>
      </c>
      <c r="C388">
        <v>1552</v>
      </c>
      <c r="D388" t="s">
        <v>31915</v>
      </c>
      <c r="E388" t="s">
        <v>97</v>
      </c>
      <c r="F388" t="s">
        <v>1854</v>
      </c>
      <c r="G388" t="s">
        <v>31916</v>
      </c>
      <c r="H388">
        <v>60</v>
      </c>
      <c r="I388">
        <v>10</v>
      </c>
      <c r="M388">
        <v>0</v>
      </c>
      <c r="N388">
        <v>0</v>
      </c>
      <c r="O388">
        <v>0</v>
      </c>
      <c r="P388">
        <v>70</v>
      </c>
      <c r="Q388">
        <v>26</v>
      </c>
      <c r="R388">
        <v>26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26</v>
      </c>
      <c r="Z388">
        <v>0</v>
      </c>
      <c r="AA388">
        <v>0</v>
      </c>
      <c r="AB388" t="s">
        <v>130</v>
      </c>
      <c r="AF388">
        <v>96</v>
      </c>
    </row>
    <row r="389" spans="1:32" x14ac:dyDescent="0.3">
      <c r="A389" s="4">
        <v>397</v>
      </c>
      <c r="B389" s="5">
        <v>382</v>
      </c>
      <c r="C389">
        <v>1447</v>
      </c>
      <c r="D389" t="s">
        <v>5919</v>
      </c>
      <c r="E389" t="s">
        <v>1189</v>
      </c>
      <c r="F389" t="s">
        <v>328</v>
      </c>
      <c r="G389" t="s">
        <v>31917</v>
      </c>
      <c r="H389">
        <v>60</v>
      </c>
      <c r="I389">
        <v>0</v>
      </c>
      <c r="M389">
        <v>0</v>
      </c>
      <c r="N389">
        <v>0</v>
      </c>
      <c r="O389">
        <v>0</v>
      </c>
      <c r="P389">
        <v>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9</v>
      </c>
      <c r="AA389">
        <v>26.8</v>
      </c>
      <c r="AF389">
        <v>95.8</v>
      </c>
    </row>
    <row r="390" spans="1:32" x14ac:dyDescent="0.3">
      <c r="A390" s="4">
        <v>398</v>
      </c>
      <c r="B390" s="5">
        <v>383</v>
      </c>
      <c r="C390">
        <v>1658</v>
      </c>
      <c r="D390" t="s">
        <v>28798</v>
      </c>
      <c r="E390" t="s">
        <v>132</v>
      </c>
      <c r="F390" t="s">
        <v>158</v>
      </c>
      <c r="G390" t="s">
        <v>31918</v>
      </c>
      <c r="H390">
        <v>39</v>
      </c>
      <c r="I390">
        <v>0</v>
      </c>
      <c r="J390">
        <v>20</v>
      </c>
      <c r="L390">
        <v>10</v>
      </c>
      <c r="M390">
        <v>20</v>
      </c>
      <c r="N390">
        <v>20</v>
      </c>
      <c r="O390">
        <v>10</v>
      </c>
      <c r="P390">
        <v>89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6</v>
      </c>
      <c r="AA390">
        <v>0</v>
      </c>
      <c r="AF390">
        <v>95</v>
      </c>
    </row>
    <row r="391" spans="1:32" x14ac:dyDescent="0.3">
      <c r="A391" s="4">
        <v>399</v>
      </c>
      <c r="B391" s="5">
        <v>384</v>
      </c>
      <c r="C391">
        <v>1013</v>
      </c>
      <c r="D391" t="s">
        <v>2695</v>
      </c>
      <c r="E391" t="s">
        <v>31919</v>
      </c>
      <c r="F391" t="s">
        <v>31920</v>
      </c>
      <c r="G391" t="s">
        <v>31921</v>
      </c>
      <c r="H391">
        <v>60</v>
      </c>
      <c r="I391">
        <v>10</v>
      </c>
      <c r="L391">
        <v>10</v>
      </c>
      <c r="M391">
        <v>10</v>
      </c>
      <c r="N391">
        <v>0</v>
      </c>
      <c r="O391">
        <v>10</v>
      </c>
      <c r="P391">
        <v>90</v>
      </c>
      <c r="Q391">
        <v>5</v>
      </c>
      <c r="R391">
        <v>5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0</v>
      </c>
      <c r="AA391">
        <v>0</v>
      </c>
      <c r="AF391">
        <v>95</v>
      </c>
    </row>
    <row r="392" spans="1:32" x14ac:dyDescent="0.3">
      <c r="A392" s="4">
        <v>400</v>
      </c>
      <c r="B392" s="5">
        <v>385</v>
      </c>
      <c r="C392">
        <v>226</v>
      </c>
      <c r="D392" t="s">
        <v>31922</v>
      </c>
      <c r="E392" t="s">
        <v>6507</v>
      </c>
      <c r="F392" t="s">
        <v>68</v>
      </c>
      <c r="G392" t="s">
        <v>31923</v>
      </c>
      <c r="H392">
        <v>39</v>
      </c>
      <c r="I392">
        <v>0</v>
      </c>
      <c r="M392">
        <v>0</v>
      </c>
      <c r="N392">
        <v>0</v>
      </c>
      <c r="O392">
        <v>10</v>
      </c>
      <c r="P392">
        <v>49</v>
      </c>
      <c r="Q392">
        <v>39</v>
      </c>
      <c r="R392">
        <v>39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39</v>
      </c>
      <c r="Z392">
        <v>6</v>
      </c>
      <c r="AA392">
        <v>0</v>
      </c>
      <c r="AF392">
        <v>94</v>
      </c>
    </row>
    <row r="393" spans="1:32" x14ac:dyDescent="0.3">
      <c r="A393" s="4">
        <v>401</v>
      </c>
      <c r="B393" s="5">
        <v>386</v>
      </c>
      <c r="C393">
        <v>1344</v>
      </c>
      <c r="D393" t="s">
        <v>3691</v>
      </c>
      <c r="E393" t="s">
        <v>439</v>
      </c>
      <c r="F393" t="s">
        <v>38</v>
      </c>
      <c r="G393" t="s">
        <v>3692</v>
      </c>
      <c r="H393">
        <v>51</v>
      </c>
      <c r="I393">
        <v>0</v>
      </c>
      <c r="L393">
        <v>10</v>
      </c>
      <c r="M393">
        <v>10</v>
      </c>
      <c r="N393">
        <v>20</v>
      </c>
      <c r="O393">
        <v>10</v>
      </c>
      <c r="P393">
        <v>91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3</v>
      </c>
      <c r="AA393">
        <v>0</v>
      </c>
      <c r="AB393" t="s">
        <v>130</v>
      </c>
      <c r="AF393">
        <v>94</v>
      </c>
    </row>
    <row r="394" spans="1:32" x14ac:dyDescent="0.3">
      <c r="A394" s="4">
        <v>402</v>
      </c>
      <c r="B394" s="5">
        <v>387</v>
      </c>
      <c r="C394">
        <v>869</v>
      </c>
      <c r="D394" t="s">
        <v>1348</v>
      </c>
      <c r="E394" t="s">
        <v>286</v>
      </c>
      <c r="F394" t="s">
        <v>20</v>
      </c>
      <c r="G394" t="s">
        <v>1349</v>
      </c>
      <c r="H394">
        <v>54</v>
      </c>
      <c r="I394">
        <v>0</v>
      </c>
      <c r="L394">
        <v>10</v>
      </c>
      <c r="M394">
        <v>10</v>
      </c>
      <c r="N394">
        <v>20</v>
      </c>
      <c r="O394">
        <v>10</v>
      </c>
      <c r="P394">
        <v>94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 t="s">
        <v>130</v>
      </c>
      <c r="AF394">
        <v>94</v>
      </c>
    </row>
    <row r="395" spans="1:32" x14ac:dyDescent="0.3">
      <c r="A395" s="4">
        <v>403</v>
      </c>
      <c r="B395" s="5">
        <v>388</v>
      </c>
      <c r="C395">
        <v>1185</v>
      </c>
      <c r="D395" t="s">
        <v>31924</v>
      </c>
      <c r="E395" t="s">
        <v>471</v>
      </c>
      <c r="F395" t="s">
        <v>68</v>
      </c>
      <c r="G395" t="s">
        <v>31925</v>
      </c>
      <c r="H395">
        <v>54</v>
      </c>
      <c r="I395">
        <v>0</v>
      </c>
      <c r="L395">
        <v>10</v>
      </c>
      <c r="M395">
        <v>10</v>
      </c>
      <c r="N395">
        <v>20</v>
      </c>
      <c r="O395">
        <v>10</v>
      </c>
      <c r="P395">
        <v>94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F395">
        <v>94</v>
      </c>
    </row>
    <row r="396" spans="1:32" x14ac:dyDescent="0.3">
      <c r="A396" s="4">
        <v>404</v>
      </c>
      <c r="B396" s="5">
        <v>389</v>
      </c>
      <c r="C396">
        <v>142</v>
      </c>
      <c r="D396" t="s">
        <v>62</v>
      </c>
      <c r="E396" t="s">
        <v>1189</v>
      </c>
      <c r="F396" t="s">
        <v>20</v>
      </c>
      <c r="G396" t="s">
        <v>31926</v>
      </c>
      <c r="H396">
        <v>54</v>
      </c>
      <c r="I396">
        <v>10</v>
      </c>
      <c r="J396">
        <v>20</v>
      </c>
      <c r="M396">
        <v>20</v>
      </c>
      <c r="N396">
        <v>0</v>
      </c>
      <c r="O396">
        <v>10</v>
      </c>
      <c r="P396">
        <v>94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F396">
        <v>94</v>
      </c>
    </row>
    <row r="397" spans="1:32" x14ac:dyDescent="0.3">
      <c r="A397" s="4">
        <v>405</v>
      </c>
      <c r="B397" s="5">
        <v>390</v>
      </c>
      <c r="C397">
        <v>1028</v>
      </c>
      <c r="D397" t="s">
        <v>4070</v>
      </c>
      <c r="E397" t="s">
        <v>5237</v>
      </c>
      <c r="F397" t="s">
        <v>1274</v>
      </c>
      <c r="G397" t="s">
        <v>31927</v>
      </c>
      <c r="H397">
        <v>58.5</v>
      </c>
      <c r="I397">
        <v>10</v>
      </c>
      <c r="M397">
        <v>0</v>
      </c>
      <c r="N397">
        <v>0</v>
      </c>
      <c r="O397">
        <v>0</v>
      </c>
      <c r="P397">
        <v>68.5</v>
      </c>
      <c r="Q397">
        <v>16</v>
      </c>
      <c r="R397">
        <v>16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16</v>
      </c>
      <c r="Z397">
        <v>9</v>
      </c>
      <c r="AA397">
        <v>0</v>
      </c>
      <c r="AF397">
        <v>93.5</v>
      </c>
    </row>
    <row r="398" spans="1:32" x14ac:dyDescent="0.3">
      <c r="A398" s="4">
        <v>406</v>
      </c>
      <c r="B398" s="5">
        <v>391</v>
      </c>
      <c r="C398">
        <v>99</v>
      </c>
      <c r="D398" t="s">
        <v>31928</v>
      </c>
      <c r="E398" t="s">
        <v>20</v>
      </c>
      <c r="F398" t="s">
        <v>136</v>
      </c>
      <c r="G398" t="s">
        <v>31929</v>
      </c>
      <c r="H398">
        <v>52.2</v>
      </c>
      <c r="I398">
        <v>0</v>
      </c>
      <c r="L398">
        <v>10</v>
      </c>
      <c r="M398">
        <v>10</v>
      </c>
      <c r="N398">
        <v>20</v>
      </c>
      <c r="O398">
        <v>10</v>
      </c>
      <c r="P398">
        <v>92.2</v>
      </c>
      <c r="Q398">
        <v>1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  <c r="AA398">
        <v>0</v>
      </c>
      <c r="AF398">
        <v>93.2</v>
      </c>
    </row>
    <row r="399" spans="1:32" x14ac:dyDescent="0.3">
      <c r="A399" s="4">
        <v>407</v>
      </c>
      <c r="B399" s="5">
        <v>392</v>
      </c>
      <c r="C399">
        <v>919</v>
      </c>
      <c r="D399" t="s">
        <v>16288</v>
      </c>
      <c r="E399" t="s">
        <v>2743</v>
      </c>
      <c r="F399" t="s">
        <v>230</v>
      </c>
      <c r="G399" t="s">
        <v>31930</v>
      </c>
      <c r="H399">
        <v>39</v>
      </c>
      <c r="I399">
        <v>0</v>
      </c>
      <c r="K399">
        <v>15</v>
      </c>
      <c r="M399">
        <v>15</v>
      </c>
      <c r="N399">
        <v>20</v>
      </c>
      <c r="O399">
        <v>10</v>
      </c>
      <c r="P399">
        <v>84</v>
      </c>
      <c r="Q399">
        <v>8</v>
      </c>
      <c r="R399">
        <v>8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8</v>
      </c>
      <c r="Z399">
        <v>0</v>
      </c>
      <c r="AA399">
        <v>0</v>
      </c>
      <c r="AF399">
        <v>92</v>
      </c>
    </row>
    <row r="400" spans="1:32" x14ac:dyDescent="0.3">
      <c r="A400" s="4">
        <v>408</v>
      </c>
      <c r="B400" s="5">
        <v>393</v>
      </c>
      <c r="C400">
        <v>374</v>
      </c>
      <c r="D400" t="s">
        <v>31931</v>
      </c>
      <c r="E400" t="s">
        <v>26</v>
      </c>
      <c r="F400" t="s">
        <v>17</v>
      </c>
      <c r="G400" t="s">
        <v>31932</v>
      </c>
      <c r="H400">
        <v>50.4</v>
      </c>
      <c r="I400">
        <v>0</v>
      </c>
      <c r="M400">
        <v>0</v>
      </c>
      <c r="N400">
        <v>20</v>
      </c>
      <c r="O400">
        <v>10</v>
      </c>
      <c r="P400">
        <v>80.400000000000006</v>
      </c>
      <c r="Q400">
        <v>5</v>
      </c>
      <c r="R400">
        <v>5</v>
      </c>
      <c r="S400">
        <v>0</v>
      </c>
      <c r="T400">
        <v>0</v>
      </c>
      <c r="U400">
        <v>4</v>
      </c>
      <c r="V400">
        <v>6</v>
      </c>
      <c r="W400">
        <v>0</v>
      </c>
      <c r="X400">
        <v>0</v>
      </c>
      <c r="Y400">
        <v>11</v>
      </c>
      <c r="Z400">
        <v>0</v>
      </c>
      <c r="AA400">
        <v>0</v>
      </c>
      <c r="AF400">
        <v>91.4</v>
      </c>
    </row>
    <row r="401" spans="1:32" x14ac:dyDescent="0.3">
      <c r="A401" s="4">
        <v>409</v>
      </c>
      <c r="B401" s="5">
        <v>394</v>
      </c>
      <c r="C401">
        <v>1390</v>
      </c>
      <c r="D401" t="s">
        <v>16803</v>
      </c>
      <c r="E401" t="s">
        <v>54</v>
      </c>
      <c r="F401" t="s">
        <v>91</v>
      </c>
      <c r="G401" t="s">
        <v>31933</v>
      </c>
      <c r="H401">
        <v>54</v>
      </c>
      <c r="I401">
        <v>0</v>
      </c>
      <c r="M401">
        <v>0</v>
      </c>
      <c r="N401">
        <v>20</v>
      </c>
      <c r="O401">
        <v>10</v>
      </c>
      <c r="P401">
        <v>84</v>
      </c>
      <c r="Q401">
        <v>7</v>
      </c>
      <c r="R401">
        <v>7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7</v>
      </c>
      <c r="Z401">
        <v>0</v>
      </c>
      <c r="AA401">
        <v>0</v>
      </c>
      <c r="AF401">
        <v>91</v>
      </c>
    </row>
    <row r="402" spans="1:32" x14ac:dyDescent="0.3">
      <c r="A402" s="4">
        <v>410</v>
      </c>
      <c r="B402" s="5">
        <v>395</v>
      </c>
      <c r="C402">
        <v>510</v>
      </c>
      <c r="D402" t="s">
        <v>1419</v>
      </c>
      <c r="E402" t="s">
        <v>147</v>
      </c>
      <c r="F402" t="s">
        <v>972</v>
      </c>
      <c r="G402" t="s">
        <v>31934</v>
      </c>
      <c r="H402">
        <v>51</v>
      </c>
      <c r="I402">
        <v>10</v>
      </c>
      <c r="M402">
        <v>0</v>
      </c>
      <c r="N402">
        <v>0</v>
      </c>
      <c r="O402">
        <v>10</v>
      </c>
      <c r="P402">
        <v>71</v>
      </c>
      <c r="Q402">
        <v>13</v>
      </c>
      <c r="R402">
        <v>13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13</v>
      </c>
      <c r="Z402">
        <v>6</v>
      </c>
      <c r="AA402">
        <v>0</v>
      </c>
      <c r="AF402">
        <v>90</v>
      </c>
    </row>
    <row r="403" spans="1:32" x14ac:dyDescent="0.3">
      <c r="A403" s="4">
        <v>411</v>
      </c>
      <c r="B403" s="5">
        <v>396</v>
      </c>
      <c r="C403">
        <v>1239</v>
      </c>
      <c r="D403" t="s">
        <v>31935</v>
      </c>
      <c r="E403" t="s">
        <v>54</v>
      </c>
      <c r="F403" t="s">
        <v>81</v>
      </c>
      <c r="G403" t="s">
        <v>31936</v>
      </c>
      <c r="H403">
        <v>60</v>
      </c>
      <c r="I403">
        <v>0</v>
      </c>
      <c r="M403">
        <v>0</v>
      </c>
      <c r="N403">
        <v>20</v>
      </c>
      <c r="O403">
        <v>10</v>
      </c>
      <c r="P403">
        <v>90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F403">
        <v>90</v>
      </c>
    </row>
    <row r="404" spans="1:32" x14ac:dyDescent="0.3">
      <c r="A404" s="4">
        <v>412</v>
      </c>
      <c r="B404" s="5">
        <v>397</v>
      </c>
      <c r="C404">
        <v>334</v>
      </c>
      <c r="D404" t="s">
        <v>31937</v>
      </c>
      <c r="E404" t="s">
        <v>31938</v>
      </c>
      <c r="F404" t="s">
        <v>346</v>
      </c>
      <c r="G404" t="s">
        <v>31939</v>
      </c>
      <c r="H404">
        <v>60</v>
      </c>
      <c r="I404">
        <v>10</v>
      </c>
      <c r="L404">
        <v>10</v>
      </c>
      <c r="M404">
        <v>10</v>
      </c>
      <c r="N404">
        <v>0</v>
      </c>
      <c r="O404">
        <v>10</v>
      </c>
      <c r="P404">
        <v>90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F404">
        <v>90</v>
      </c>
    </row>
    <row r="405" spans="1:32" x14ac:dyDescent="0.3">
      <c r="A405" s="4">
        <v>413</v>
      </c>
      <c r="B405" s="5">
        <v>398</v>
      </c>
      <c r="C405">
        <v>541</v>
      </c>
      <c r="D405" t="s">
        <v>6286</v>
      </c>
      <c r="E405" t="s">
        <v>31940</v>
      </c>
      <c r="F405" t="s">
        <v>38</v>
      </c>
      <c r="G405" t="s">
        <v>31941</v>
      </c>
      <c r="H405">
        <v>39.42</v>
      </c>
      <c r="I405">
        <v>0</v>
      </c>
      <c r="J405">
        <v>20</v>
      </c>
      <c r="M405">
        <v>20</v>
      </c>
      <c r="N405">
        <v>20</v>
      </c>
      <c r="O405">
        <v>10</v>
      </c>
      <c r="P405">
        <v>89.42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F405">
        <v>89.42</v>
      </c>
    </row>
    <row r="406" spans="1:32" x14ac:dyDescent="0.3">
      <c r="A406" s="4">
        <v>414</v>
      </c>
      <c r="B406" s="5">
        <v>399</v>
      </c>
      <c r="C406">
        <v>492</v>
      </c>
      <c r="D406" t="s">
        <v>31942</v>
      </c>
      <c r="E406" t="s">
        <v>182</v>
      </c>
      <c r="F406" t="s">
        <v>52</v>
      </c>
      <c r="G406" t="s">
        <v>31943</v>
      </c>
      <c r="H406">
        <v>39</v>
      </c>
      <c r="I406">
        <v>0</v>
      </c>
      <c r="J406">
        <v>20</v>
      </c>
      <c r="M406">
        <v>20</v>
      </c>
      <c r="N406">
        <v>20</v>
      </c>
      <c r="O406">
        <v>10</v>
      </c>
      <c r="P406">
        <v>89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F406">
        <v>89</v>
      </c>
    </row>
    <row r="407" spans="1:32" x14ac:dyDescent="0.3">
      <c r="A407" s="4">
        <v>415</v>
      </c>
      <c r="B407" s="5">
        <v>400</v>
      </c>
      <c r="C407">
        <v>1074</v>
      </c>
      <c r="D407" t="s">
        <v>10693</v>
      </c>
      <c r="E407" t="s">
        <v>173</v>
      </c>
      <c r="F407" t="s">
        <v>136</v>
      </c>
      <c r="G407" t="s">
        <v>31944</v>
      </c>
      <c r="H407">
        <v>58.8</v>
      </c>
      <c r="I407">
        <v>10</v>
      </c>
      <c r="L407">
        <v>10</v>
      </c>
      <c r="M407">
        <v>10</v>
      </c>
      <c r="N407">
        <v>0</v>
      </c>
      <c r="O407">
        <v>10</v>
      </c>
      <c r="P407">
        <v>88.8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F407">
        <v>88.8</v>
      </c>
    </row>
    <row r="408" spans="1:32" x14ac:dyDescent="0.3">
      <c r="A408" s="4">
        <v>416</v>
      </c>
      <c r="B408" s="5">
        <v>401</v>
      </c>
      <c r="C408">
        <v>858</v>
      </c>
      <c r="D408" t="s">
        <v>31945</v>
      </c>
      <c r="E408" t="s">
        <v>361</v>
      </c>
      <c r="F408" t="s">
        <v>20</v>
      </c>
      <c r="G408" t="s">
        <v>31946</v>
      </c>
      <c r="H408">
        <v>48.3</v>
      </c>
      <c r="I408">
        <v>0</v>
      </c>
      <c r="M408">
        <v>0</v>
      </c>
      <c r="N408">
        <v>0</v>
      </c>
      <c r="O408">
        <v>0</v>
      </c>
      <c r="P408">
        <v>48.3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12</v>
      </c>
      <c r="AA408">
        <v>26.8</v>
      </c>
      <c r="AF408">
        <v>87.1</v>
      </c>
    </row>
    <row r="409" spans="1:32" x14ac:dyDescent="0.3">
      <c r="A409" s="4">
        <v>417</v>
      </c>
      <c r="B409" s="5">
        <v>402</v>
      </c>
      <c r="C409">
        <v>1172</v>
      </c>
      <c r="D409" t="s">
        <v>4572</v>
      </c>
      <c r="E409" t="s">
        <v>104</v>
      </c>
      <c r="F409" t="s">
        <v>17</v>
      </c>
      <c r="G409" t="s">
        <v>31947</v>
      </c>
      <c r="H409">
        <v>48</v>
      </c>
      <c r="I409">
        <v>10</v>
      </c>
      <c r="L409">
        <v>10</v>
      </c>
      <c r="M409">
        <v>10</v>
      </c>
      <c r="N409">
        <v>0</v>
      </c>
      <c r="O409">
        <v>0</v>
      </c>
      <c r="P409">
        <v>68</v>
      </c>
      <c r="Q409">
        <v>19</v>
      </c>
      <c r="R409">
        <v>19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19</v>
      </c>
      <c r="Z409">
        <v>0</v>
      </c>
      <c r="AA409">
        <v>0</v>
      </c>
      <c r="AF409">
        <v>87</v>
      </c>
    </row>
    <row r="410" spans="1:32" x14ac:dyDescent="0.3">
      <c r="A410" s="4">
        <v>418</v>
      </c>
      <c r="B410" s="5">
        <v>403</v>
      </c>
      <c r="C410">
        <v>160</v>
      </c>
      <c r="D410" t="s">
        <v>20958</v>
      </c>
      <c r="E410" t="s">
        <v>636</v>
      </c>
      <c r="F410" t="s">
        <v>158</v>
      </c>
      <c r="G410" t="s">
        <v>31948</v>
      </c>
      <c r="H410">
        <v>48</v>
      </c>
      <c r="I410">
        <v>10</v>
      </c>
      <c r="L410">
        <v>10</v>
      </c>
      <c r="M410">
        <v>10</v>
      </c>
      <c r="N410">
        <v>0</v>
      </c>
      <c r="O410">
        <v>0</v>
      </c>
      <c r="P410">
        <v>68</v>
      </c>
      <c r="Q410">
        <v>12</v>
      </c>
      <c r="R410">
        <v>12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12</v>
      </c>
      <c r="Z410">
        <v>6</v>
      </c>
      <c r="AA410">
        <v>0</v>
      </c>
      <c r="AB410" t="s">
        <v>130</v>
      </c>
      <c r="AF410">
        <v>86</v>
      </c>
    </row>
    <row r="411" spans="1:32" x14ac:dyDescent="0.3">
      <c r="A411" s="4">
        <v>419</v>
      </c>
      <c r="B411" s="5">
        <v>404</v>
      </c>
      <c r="C411">
        <v>416</v>
      </c>
      <c r="D411" t="s">
        <v>31949</v>
      </c>
      <c r="E411" t="s">
        <v>479</v>
      </c>
      <c r="F411" t="s">
        <v>20</v>
      </c>
      <c r="G411" t="s">
        <v>31950</v>
      </c>
      <c r="H411">
        <v>58.8</v>
      </c>
      <c r="I411">
        <v>10</v>
      </c>
      <c r="M411">
        <v>0</v>
      </c>
      <c r="N411">
        <v>0</v>
      </c>
      <c r="O411">
        <v>10</v>
      </c>
      <c r="P411">
        <v>78.8</v>
      </c>
      <c r="Q411">
        <v>7</v>
      </c>
      <c r="R411">
        <v>7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7</v>
      </c>
      <c r="Z411">
        <v>0</v>
      </c>
      <c r="AA411">
        <v>0</v>
      </c>
      <c r="AF411">
        <v>85.8</v>
      </c>
    </row>
    <row r="412" spans="1:32" x14ac:dyDescent="0.3">
      <c r="A412" s="4">
        <v>420</v>
      </c>
      <c r="B412" s="5">
        <v>405</v>
      </c>
      <c r="C412">
        <v>631</v>
      </c>
      <c r="D412" t="s">
        <v>31951</v>
      </c>
      <c r="E412" t="s">
        <v>161</v>
      </c>
      <c r="F412" t="s">
        <v>230</v>
      </c>
      <c r="G412" t="s">
        <v>31952</v>
      </c>
      <c r="H412">
        <v>59.4</v>
      </c>
      <c r="I412">
        <v>10</v>
      </c>
      <c r="M412">
        <v>0</v>
      </c>
      <c r="N412">
        <v>0</v>
      </c>
      <c r="O412">
        <v>10</v>
      </c>
      <c r="P412">
        <v>79.400000000000006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6</v>
      </c>
      <c r="AA412">
        <v>0</v>
      </c>
      <c r="AF412">
        <v>85.4</v>
      </c>
    </row>
    <row r="413" spans="1:32" x14ac:dyDescent="0.3">
      <c r="A413" s="4">
        <v>421</v>
      </c>
      <c r="B413" s="5">
        <v>406</v>
      </c>
      <c r="C413">
        <v>74</v>
      </c>
      <c r="D413" t="s">
        <v>31953</v>
      </c>
      <c r="E413" t="s">
        <v>68</v>
      </c>
      <c r="F413" t="s">
        <v>30</v>
      </c>
      <c r="G413" t="s">
        <v>31954</v>
      </c>
      <c r="H413">
        <v>54</v>
      </c>
      <c r="I413">
        <v>0</v>
      </c>
      <c r="M413">
        <v>0</v>
      </c>
      <c r="N413">
        <v>20</v>
      </c>
      <c r="O413">
        <v>0</v>
      </c>
      <c r="P413">
        <v>74</v>
      </c>
      <c r="Q413">
        <v>9</v>
      </c>
      <c r="R413">
        <v>9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9</v>
      </c>
      <c r="Z413">
        <v>0</v>
      </c>
      <c r="AA413">
        <v>0</v>
      </c>
      <c r="AF413">
        <v>83</v>
      </c>
    </row>
    <row r="414" spans="1:32" x14ac:dyDescent="0.3">
      <c r="A414" s="4">
        <v>422</v>
      </c>
      <c r="B414" s="5">
        <v>407</v>
      </c>
      <c r="C414">
        <v>218</v>
      </c>
      <c r="D414" t="s">
        <v>31955</v>
      </c>
      <c r="E414" t="s">
        <v>413</v>
      </c>
      <c r="F414" t="s">
        <v>20</v>
      </c>
      <c r="G414" t="s">
        <v>31956</v>
      </c>
      <c r="H414">
        <v>39</v>
      </c>
      <c r="I414">
        <v>0</v>
      </c>
      <c r="M414">
        <v>0</v>
      </c>
      <c r="N414">
        <v>20</v>
      </c>
      <c r="O414">
        <v>10</v>
      </c>
      <c r="P414">
        <v>69</v>
      </c>
      <c r="Q414">
        <v>6</v>
      </c>
      <c r="R414">
        <v>6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6</v>
      </c>
      <c r="Z414">
        <v>6</v>
      </c>
      <c r="AA414">
        <v>0</v>
      </c>
      <c r="AF414">
        <v>81</v>
      </c>
    </row>
    <row r="415" spans="1:32" x14ac:dyDescent="0.3">
      <c r="A415" s="4">
        <v>423</v>
      </c>
      <c r="B415" s="5">
        <v>408</v>
      </c>
      <c r="C415">
        <v>1699</v>
      </c>
      <c r="D415" t="s">
        <v>31548</v>
      </c>
      <c r="E415" t="s">
        <v>161</v>
      </c>
      <c r="F415" t="s">
        <v>38</v>
      </c>
      <c r="G415" t="s">
        <v>31957</v>
      </c>
      <c r="H415">
        <v>51</v>
      </c>
      <c r="I415">
        <v>0</v>
      </c>
      <c r="J415">
        <v>20</v>
      </c>
      <c r="M415">
        <v>20</v>
      </c>
      <c r="N415">
        <v>0</v>
      </c>
      <c r="O415">
        <v>10</v>
      </c>
      <c r="P415">
        <v>81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F415">
        <v>81</v>
      </c>
    </row>
    <row r="416" spans="1:32" x14ac:dyDescent="0.3">
      <c r="A416" s="4">
        <v>424</v>
      </c>
      <c r="B416" s="5">
        <v>409</v>
      </c>
      <c r="C416">
        <v>571</v>
      </c>
      <c r="D416" t="s">
        <v>4294</v>
      </c>
      <c r="E416" t="s">
        <v>5811</v>
      </c>
      <c r="F416" t="s">
        <v>55</v>
      </c>
      <c r="G416" t="s">
        <v>5812</v>
      </c>
      <c r="H416">
        <v>51</v>
      </c>
      <c r="I416">
        <v>0</v>
      </c>
      <c r="M416">
        <v>0</v>
      </c>
      <c r="N416">
        <v>20</v>
      </c>
      <c r="O416">
        <v>10</v>
      </c>
      <c r="P416">
        <v>81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F416">
        <v>81</v>
      </c>
    </row>
    <row r="417" spans="1:32" x14ac:dyDescent="0.3">
      <c r="A417" s="4">
        <v>425</v>
      </c>
      <c r="B417" s="5">
        <v>410</v>
      </c>
      <c r="C417">
        <v>302</v>
      </c>
      <c r="D417" t="s">
        <v>31958</v>
      </c>
      <c r="E417" t="s">
        <v>81</v>
      </c>
      <c r="F417" t="s">
        <v>1748</v>
      </c>
      <c r="G417" t="s">
        <v>31959</v>
      </c>
      <c r="H417">
        <v>51</v>
      </c>
      <c r="I417">
        <v>0</v>
      </c>
      <c r="M417">
        <v>0</v>
      </c>
      <c r="N417">
        <v>20</v>
      </c>
      <c r="O417">
        <v>10</v>
      </c>
      <c r="P417">
        <v>81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 t="s">
        <v>130</v>
      </c>
      <c r="AF417">
        <v>81</v>
      </c>
    </row>
    <row r="418" spans="1:32" x14ac:dyDescent="0.3">
      <c r="A418" s="4">
        <v>426</v>
      </c>
      <c r="B418" s="5">
        <v>411</v>
      </c>
      <c r="C418">
        <v>364</v>
      </c>
      <c r="D418" t="s">
        <v>31960</v>
      </c>
      <c r="E418" t="s">
        <v>124</v>
      </c>
      <c r="F418" t="s">
        <v>34</v>
      </c>
      <c r="G418" t="s">
        <v>31961</v>
      </c>
      <c r="H418">
        <v>60</v>
      </c>
      <c r="I418">
        <v>10</v>
      </c>
      <c r="M418">
        <v>0</v>
      </c>
      <c r="N418">
        <v>0</v>
      </c>
      <c r="O418">
        <v>10</v>
      </c>
      <c r="P418">
        <v>80</v>
      </c>
      <c r="Q418">
        <v>1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0</v>
      </c>
      <c r="AA418">
        <v>0</v>
      </c>
      <c r="AF418">
        <v>81</v>
      </c>
    </row>
    <row r="419" spans="1:32" x14ac:dyDescent="0.3">
      <c r="A419" s="4">
        <v>427</v>
      </c>
      <c r="B419" s="5">
        <v>412</v>
      </c>
      <c r="C419">
        <v>388</v>
      </c>
      <c r="D419" t="s">
        <v>31962</v>
      </c>
      <c r="E419" t="s">
        <v>41</v>
      </c>
      <c r="F419" t="s">
        <v>4176</v>
      </c>
      <c r="G419" t="s">
        <v>31963</v>
      </c>
      <c r="H419">
        <v>51</v>
      </c>
      <c r="I419">
        <v>10</v>
      </c>
      <c r="M419">
        <v>0</v>
      </c>
      <c r="N419">
        <v>0</v>
      </c>
      <c r="O419">
        <v>10</v>
      </c>
      <c r="P419">
        <v>71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9</v>
      </c>
      <c r="AA419">
        <v>0</v>
      </c>
      <c r="AF419">
        <v>80</v>
      </c>
    </row>
    <row r="420" spans="1:32" x14ac:dyDescent="0.3">
      <c r="A420" s="4">
        <v>428</v>
      </c>
      <c r="B420" s="5">
        <v>413</v>
      </c>
      <c r="C420">
        <v>938</v>
      </c>
      <c r="D420" t="s">
        <v>31964</v>
      </c>
      <c r="E420" t="s">
        <v>31965</v>
      </c>
      <c r="F420" t="s">
        <v>17</v>
      </c>
      <c r="G420" t="s">
        <v>31966</v>
      </c>
      <c r="H420">
        <v>60</v>
      </c>
      <c r="I420">
        <v>0</v>
      </c>
      <c r="L420">
        <v>10</v>
      </c>
      <c r="M420">
        <v>10</v>
      </c>
      <c r="N420">
        <v>0</v>
      </c>
      <c r="O420">
        <v>10</v>
      </c>
      <c r="P420">
        <v>80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F420">
        <v>80</v>
      </c>
    </row>
    <row r="421" spans="1:32" x14ac:dyDescent="0.3">
      <c r="A421" s="4">
        <v>429</v>
      </c>
      <c r="B421" s="5">
        <v>414</v>
      </c>
      <c r="C421">
        <v>211</v>
      </c>
      <c r="D421" t="s">
        <v>24727</v>
      </c>
      <c r="E421" t="s">
        <v>68</v>
      </c>
      <c r="F421" t="s">
        <v>158</v>
      </c>
      <c r="G421" t="s">
        <v>30748</v>
      </c>
      <c r="H421">
        <v>39</v>
      </c>
      <c r="I421">
        <v>0</v>
      </c>
      <c r="L421">
        <v>10</v>
      </c>
      <c r="M421">
        <v>10</v>
      </c>
      <c r="N421">
        <v>20</v>
      </c>
      <c r="O421">
        <v>10</v>
      </c>
      <c r="P421">
        <v>79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 t="s">
        <v>130</v>
      </c>
      <c r="AF421">
        <v>79</v>
      </c>
    </row>
    <row r="422" spans="1:32" x14ac:dyDescent="0.3">
      <c r="A422" s="4">
        <v>430</v>
      </c>
      <c r="B422" s="5">
        <v>415</v>
      </c>
      <c r="C422">
        <v>520</v>
      </c>
      <c r="D422" t="s">
        <v>567</v>
      </c>
      <c r="E422" t="s">
        <v>41</v>
      </c>
      <c r="F422" t="s">
        <v>81</v>
      </c>
      <c r="G422" t="s">
        <v>568</v>
      </c>
      <c r="H422">
        <v>39</v>
      </c>
      <c r="I422">
        <v>0</v>
      </c>
      <c r="L422">
        <v>10</v>
      </c>
      <c r="M422">
        <v>10</v>
      </c>
      <c r="N422">
        <v>20</v>
      </c>
      <c r="O422">
        <v>10</v>
      </c>
      <c r="P422">
        <v>79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 t="s">
        <v>130</v>
      </c>
      <c r="AF422">
        <v>79</v>
      </c>
    </row>
    <row r="423" spans="1:32" x14ac:dyDescent="0.3">
      <c r="A423" s="4">
        <v>431</v>
      </c>
      <c r="B423" s="5">
        <v>416</v>
      </c>
      <c r="C423">
        <v>599</v>
      </c>
      <c r="D423" t="s">
        <v>581</v>
      </c>
      <c r="E423" t="s">
        <v>37</v>
      </c>
      <c r="F423" t="s">
        <v>81</v>
      </c>
      <c r="G423" t="s">
        <v>582</v>
      </c>
      <c r="H423">
        <v>39</v>
      </c>
      <c r="I423">
        <v>0</v>
      </c>
      <c r="L423">
        <v>10</v>
      </c>
      <c r="M423">
        <v>10</v>
      </c>
      <c r="N423">
        <v>20</v>
      </c>
      <c r="O423">
        <v>10</v>
      </c>
      <c r="P423">
        <v>79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F423">
        <v>79</v>
      </c>
    </row>
    <row r="424" spans="1:32" x14ac:dyDescent="0.3">
      <c r="A424" s="4">
        <v>432</v>
      </c>
      <c r="B424" s="5">
        <v>417</v>
      </c>
      <c r="C424">
        <v>487</v>
      </c>
      <c r="D424" t="s">
        <v>8461</v>
      </c>
      <c r="E424" t="s">
        <v>26</v>
      </c>
      <c r="F424" t="s">
        <v>819</v>
      </c>
      <c r="G424" t="s">
        <v>8462</v>
      </c>
      <c r="H424">
        <v>39</v>
      </c>
      <c r="I424">
        <v>0</v>
      </c>
      <c r="M424">
        <v>0</v>
      </c>
      <c r="N424">
        <v>20</v>
      </c>
      <c r="O424">
        <v>10</v>
      </c>
      <c r="P424">
        <v>69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9</v>
      </c>
      <c r="AA424">
        <v>0</v>
      </c>
      <c r="AF424">
        <v>78</v>
      </c>
    </row>
    <row r="425" spans="1:32" x14ac:dyDescent="0.3">
      <c r="A425" s="4">
        <v>433</v>
      </c>
      <c r="B425" s="5">
        <v>418</v>
      </c>
      <c r="C425">
        <v>530</v>
      </c>
      <c r="D425" t="s">
        <v>31967</v>
      </c>
      <c r="E425" t="s">
        <v>117</v>
      </c>
      <c r="F425" t="s">
        <v>17</v>
      </c>
      <c r="G425" t="s">
        <v>31968</v>
      </c>
      <c r="H425">
        <v>39</v>
      </c>
      <c r="I425">
        <v>0</v>
      </c>
      <c r="M425">
        <v>0</v>
      </c>
      <c r="N425">
        <v>20</v>
      </c>
      <c r="O425">
        <v>10</v>
      </c>
      <c r="P425">
        <v>69</v>
      </c>
      <c r="Q425">
        <v>9</v>
      </c>
      <c r="R425">
        <v>9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9</v>
      </c>
      <c r="Z425">
        <v>0</v>
      </c>
      <c r="AA425">
        <v>0</v>
      </c>
      <c r="AF425">
        <v>78</v>
      </c>
    </row>
    <row r="426" spans="1:32" x14ac:dyDescent="0.3">
      <c r="A426" s="4">
        <v>434</v>
      </c>
      <c r="B426" s="5">
        <v>419</v>
      </c>
      <c r="C426">
        <v>1541</v>
      </c>
      <c r="D426" t="s">
        <v>31969</v>
      </c>
      <c r="E426" t="s">
        <v>1874</v>
      </c>
      <c r="F426" t="s">
        <v>17</v>
      </c>
      <c r="G426" t="s">
        <v>31970</v>
      </c>
      <c r="H426">
        <v>39</v>
      </c>
      <c r="I426">
        <v>0</v>
      </c>
      <c r="M426">
        <v>0</v>
      </c>
      <c r="N426">
        <v>20</v>
      </c>
      <c r="O426">
        <v>10</v>
      </c>
      <c r="P426">
        <v>69</v>
      </c>
      <c r="Q426">
        <v>2</v>
      </c>
      <c r="R426">
        <v>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2</v>
      </c>
      <c r="Z426">
        <v>6</v>
      </c>
      <c r="AA426">
        <v>0</v>
      </c>
      <c r="AF426">
        <v>77</v>
      </c>
    </row>
    <row r="427" spans="1:32" x14ac:dyDescent="0.3">
      <c r="A427" s="4">
        <v>435</v>
      </c>
      <c r="B427" s="5">
        <v>420</v>
      </c>
      <c r="C427">
        <v>870</v>
      </c>
      <c r="D427" t="s">
        <v>3585</v>
      </c>
      <c r="E427" t="s">
        <v>166</v>
      </c>
      <c r="F427" t="s">
        <v>124</v>
      </c>
      <c r="G427" t="s">
        <v>31971</v>
      </c>
      <c r="H427">
        <v>39</v>
      </c>
      <c r="I427">
        <v>0</v>
      </c>
      <c r="M427">
        <v>0</v>
      </c>
      <c r="N427">
        <v>20</v>
      </c>
      <c r="O427">
        <v>10</v>
      </c>
      <c r="P427">
        <v>69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6</v>
      </c>
      <c r="AA427">
        <v>0</v>
      </c>
      <c r="AF427">
        <v>75</v>
      </c>
    </row>
    <row r="428" spans="1:32" x14ac:dyDescent="0.3">
      <c r="A428" s="4">
        <v>436</v>
      </c>
      <c r="B428" s="5">
        <v>421</v>
      </c>
      <c r="C428">
        <v>752</v>
      </c>
      <c r="D428" t="s">
        <v>31972</v>
      </c>
      <c r="E428" t="s">
        <v>20</v>
      </c>
      <c r="F428" t="s">
        <v>124</v>
      </c>
      <c r="G428" t="s">
        <v>31973</v>
      </c>
      <c r="H428">
        <v>51</v>
      </c>
      <c r="I428">
        <v>10</v>
      </c>
      <c r="M428">
        <v>0</v>
      </c>
      <c r="N428">
        <v>0</v>
      </c>
      <c r="O428">
        <v>10</v>
      </c>
      <c r="P428">
        <v>71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3</v>
      </c>
      <c r="AA428">
        <v>0</v>
      </c>
      <c r="AF428">
        <v>74</v>
      </c>
    </row>
    <row r="429" spans="1:32" x14ac:dyDescent="0.3">
      <c r="A429" s="4">
        <v>437</v>
      </c>
      <c r="B429" s="5">
        <v>422</v>
      </c>
      <c r="C429">
        <v>1395</v>
      </c>
      <c r="D429" t="s">
        <v>1709</v>
      </c>
      <c r="E429" t="s">
        <v>29</v>
      </c>
      <c r="F429" t="s">
        <v>31974</v>
      </c>
      <c r="G429" t="s">
        <v>31975</v>
      </c>
      <c r="H429">
        <v>54</v>
      </c>
      <c r="I429">
        <v>10</v>
      </c>
      <c r="M429">
        <v>0</v>
      </c>
      <c r="N429">
        <v>0</v>
      </c>
      <c r="O429">
        <v>10</v>
      </c>
      <c r="P429">
        <v>74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F429">
        <v>74</v>
      </c>
    </row>
    <row r="430" spans="1:32" x14ac:dyDescent="0.3">
      <c r="A430" s="4">
        <v>438</v>
      </c>
      <c r="B430" s="5">
        <v>423</v>
      </c>
      <c r="C430">
        <v>976</v>
      </c>
      <c r="D430" t="s">
        <v>31976</v>
      </c>
      <c r="E430" t="s">
        <v>457</v>
      </c>
      <c r="F430" t="s">
        <v>521</v>
      </c>
      <c r="G430" t="s">
        <v>31977</v>
      </c>
      <c r="H430">
        <v>60</v>
      </c>
      <c r="I430">
        <v>0</v>
      </c>
      <c r="M430">
        <v>0</v>
      </c>
      <c r="N430">
        <v>0</v>
      </c>
      <c r="O430">
        <v>10</v>
      </c>
      <c r="P430">
        <v>70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3</v>
      </c>
      <c r="AA430">
        <v>0</v>
      </c>
      <c r="AB430" t="s">
        <v>130</v>
      </c>
      <c r="AF430">
        <v>73</v>
      </c>
    </row>
    <row r="431" spans="1:32" x14ac:dyDescent="0.3">
      <c r="A431" s="4">
        <v>439</v>
      </c>
      <c r="B431" s="5">
        <v>424</v>
      </c>
      <c r="C431">
        <v>601</v>
      </c>
      <c r="D431" t="s">
        <v>31978</v>
      </c>
      <c r="E431" t="s">
        <v>626</v>
      </c>
      <c r="F431" t="s">
        <v>17</v>
      </c>
      <c r="G431" t="s">
        <v>31979</v>
      </c>
      <c r="H431">
        <v>51</v>
      </c>
      <c r="I431">
        <v>10</v>
      </c>
      <c r="M431">
        <v>0</v>
      </c>
      <c r="N431">
        <v>0</v>
      </c>
      <c r="O431">
        <v>10</v>
      </c>
      <c r="P431">
        <v>71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F431">
        <v>71</v>
      </c>
    </row>
    <row r="432" spans="1:32" x14ac:dyDescent="0.3">
      <c r="A432" s="4">
        <v>440</v>
      </c>
      <c r="B432" s="5">
        <v>425</v>
      </c>
      <c r="C432">
        <v>1128</v>
      </c>
      <c r="D432" t="s">
        <v>31980</v>
      </c>
      <c r="E432" t="s">
        <v>38</v>
      </c>
      <c r="F432" t="s">
        <v>20</v>
      </c>
      <c r="G432" t="s">
        <v>31981</v>
      </c>
      <c r="H432">
        <v>51</v>
      </c>
      <c r="I432">
        <v>0</v>
      </c>
      <c r="L432">
        <v>10</v>
      </c>
      <c r="M432">
        <v>10</v>
      </c>
      <c r="N432">
        <v>0</v>
      </c>
      <c r="O432">
        <v>10</v>
      </c>
      <c r="P432">
        <v>71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F432">
        <v>71</v>
      </c>
    </row>
    <row r="433" spans="1:32" x14ac:dyDescent="0.3">
      <c r="A433" s="4">
        <v>441</v>
      </c>
      <c r="B433" s="5">
        <v>426</v>
      </c>
      <c r="C433">
        <v>1127</v>
      </c>
      <c r="D433" t="s">
        <v>31388</v>
      </c>
      <c r="E433" t="s">
        <v>68</v>
      </c>
      <c r="F433" t="s">
        <v>238</v>
      </c>
      <c r="G433" t="s">
        <v>31982</v>
      </c>
      <c r="H433">
        <v>60</v>
      </c>
      <c r="I433">
        <v>0</v>
      </c>
      <c r="M433">
        <v>0</v>
      </c>
      <c r="N433">
        <v>0</v>
      </c>
      <c r="O433">
        <v>10</v>
      </c>
      <c r="P433">
        <v>70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F433">
        <v>70</v>
      </c>
    </row>
    <row r="434" spans="1:32" x14ac:dyDescent="0.3">
      <c r="A434" s="4">
        <v>442</v>
      </c>
      <c r="B434" s="5">
        <v>427</v>
      </c>
      <c r="C434">
        <v>990</v>
      </c>
      <c r="D434" t="s">
        <v>6470</v>
      </c>
      <c r="E434" t="s">
        <v>190</v>
      </c>
      <c r="F434" t="s">
        <v>124</v>
      </c>
      <c r="G434" t="s">
        <v>6471</v>
      </c>
      <c r="H434">
        <v>39</v>
      </c>
      <c r="I434">
        <v>0</v>
      </c>
      <c r="M434">
        <v>0</v>
      </c>
      <c r="N434">
        <v>20</v>
      </c>
      <c r="O434">
        <v>10</v>
      </c>
      <c r="P434">
        <v>69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F434">
        <v>69</v>
      </c>
    </row>
    <row r="435" spans="1:32" x14ac:dyDescent="0.3">
      <c r="A435" s="4">
        <v>443</v>
      </c>
      <c r="B435" s="5">
        <v>428</v>
      </c>
      <c r="C435">
        <v>1161</v>
      </c>
      <c r="D435" t="s">
        <v>31983</v>
      </c>
      <c r="E435" t="s">
        <v>17</v>
      </c>
      <c r="F435" t="s">
        <v>34</v>
      </c>
      <c r="G435" t="s">
        <v>31984</v>
      </c>
      <c r="H435">
        <v>51</v>
      </c>
      <c r="I435">
        <v>0</v>
      </c>
      <c r="M435">
        <v>0</v>
      </c>
      <c r="N435">
        <v>0</v>
      </c>
      <c r="O435">
        <v>10</v>
      </c>
      <c r="P435">
        <v>61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6</v>
      </c>
      <c r="AA435">
        <v>0</v>
      </c>
      <c r="AF435">
        <v>67</v>
      </c>
    </row>
    <row r="436" spans="1:32" x14ac:dyDescent="0.3">
      <c r="A436" s="4">
        <v>444</v>
      </c>
      <c r="B436" s="5">
        <v>429</v>
      </c>
      <c r="C436">
        <v>1208</v>
      </c>
      <c r="D436" t="s">
        <v>5306</v>
      </c>
      <c r="E436" t="s">
        <v>550</v>
      </c>
      <c r="F436" t="s">
        <v>117</v>
      </c>
      <c r="G436" t="s">
        <v>31985</v>
      </c>
      <c r="H436">
        <v>55.14</v>
      </c>
      <c r="I436">
        <v>10</v>
      </c>
      <c r="M436">
        <v>0</v>
      </c>
      <c r="N436">
        <v>0</v>
      </c>
      <c r="O436">
        <v>0</v>
      </c>
      <c r="P436">
        <v>65.14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F436">
        <v>65.14</v>
      </c>
    </row>
    <row r="437" spans="1:32" x14ac:dyDescent="0.3">
      <c r="A437" s="4">
        <v>445</v>
      </c>
      <c r="B437" s="5">
        <v>430</v>
      </c>
      <c r="C437">
        <v>543</v>
      </c>
      <c r="D437" t="s">
        <v>4714</v>
      </c>
      <c r="E437" t="s">
        <v>8016</v>
      </c>
      <c r="F437" t="s">
        <v>17</v>
      </c>
      <c r="G437" t="s">
        <v>31986</v>
      </c>
      <c r="H437">
        <v>24</v>
      </c>
      <c r="I437">
        <v>0</v>
      </c>
      <c r="M437">
        <v>0</v>
      </c>
      <c r="N437">
        <v>20</v>
      </c>
      <c r="O437">
        <v>10</v>
      </c>
      <c r="P437">
        <v>54</v>
      </c>
      <c r="Q437">
        <v>9</v>
      </c>
      <c r="R437">
        <v>9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9</v>
      </c>
      <c r="Z437">
        <v>0</v>
      </c>
      <c r="AA437">
        <v>0</v>
      </c>
      <c r="AF437">
        <v>63</v>
      </c>
    </row>
    <row r="438" spans="1:32" x14ac:dyDescent="0.3">
      <c r="A438" s="4">
        <v>446</v>
      </c>
      <c r="B438" s="5">
        <v>431</v>
      </c>
      <c r="C438">
        <v>170</v>
      </c>
      <c r="D438" t="s">
        <v>2635</v>
      </c>
      <c r="E438" t="s">
        <v>1659</v>
      </c>
      <c r="F438" t="s">
        <v>38</v>
      </c>
      <c r="G438" t="s">
        <v>31987</v>
      </c>
      <c r="H438">
        <v>51</v>
      </c>
      <c r="I438">
        <v>0</v>
      </c>
      <c r="M438">
        <v>0</v>
      </c>
      <c r="N438">
        <v>0</v>
      </c>
      <c r="O438">
        <v>10</v>
      </c>
      <c r="P438">
        <v>61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F438">
        <v>61</v>
      </c>
    </row>
    <row r="439" spans="1:32" x14ac:dyDescent="0.3">
      <c r="A439" s="4">
        <v>447</v>
      </c>
      <c r="B439" s="5">
        <v>432</v>
      </c>
      <c r="C439">
        <v>1046</v>
      </c>
      <c r="D439" t="s">
        <v>31988</v>
      </c>
      <c r="E439" t="s">
        <v>136</v>
      </c>
      <c r="F439" t="s">
        <v>81</v>
      </c>
      <c r="G439" t="s">
        <v>31989</v>
      </c>
      <c r="H439">
        <v>39</v>
      </c>
      <c r="I439">
        <v>0</v>
      </c>
      <c r="M439">
        <v>0</v>
      </c>
      <c r="N439">
        <v>0</v>
      </c>
      <c r="O439">
        <v>10</v>
      </c>
      <c r="P439">
        <v>49</v>
      </c>
      <c r="Q439">
        <v>12</v>
      </c>
      <c r="R439">
        <v>12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12</v>
      </c>
      <c r="Z439">
        <v>0</v>
      </c>
      <c r="AA439">
        <v>0</v>
      </c>
      <c r="AF439">
        <v>61</v>
      </c>
    </row>
    <row r="440" spans="1:32" x14ac:dyDescent="0.3">
      <c r="A440" s="4">
        <v>448</v>
      </c>
      <c r="B440" s="5">
        <v>433</v>
      </c>
      <c r="C440">
        <v>1478</v>
      </c>
      <c r="D440" t="s">
        <v>17649</v>
      </c>
      <c r="E440" t="s">
        <v>29</v>
      </c>
      <c r="F440" t="s">
        <v>38</v>
      </c>
      <c r="G440" t="s">
        <v>31990</v>
      </c>
      <c r="H440">
        <v>39</v>
      </c>
      <c r="I440">
        <v>0</v>
      </c>
      <c r="M440">
        <v>0</v>
      </c>
      <c r="N440">
        <v>0</v>
      </c>
      <c r="O440">
        <v>10</v>
      </c>
      <c r="P440">
        <v>49</v>
      </c>
      <c r="Q440">
        <v>9</v>
      </c>
      <c r="R440">
        <v>9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9</v>
      </c>
      <c r="Z440">
        <v>0</v>
      </c>
      <c r="AA440">
        <v>0</v>
      </c>
      <c r="AF440">
        <v>58</v>
      </c>
    </row>
    <row r="441" spans="1:32" x14ac:dyDescent="0.3">
      <c r="A441" s="4">
        <v>449</v>
      </c>
      <c r="B441" s="5">
        <v>434</v>
      </c>
      <c r="C441">
        <v>1496</v>
      </c>
      <c r="D441" t="s">
        <v>2647</v>
      </c>
      <c r="E441" t="s">
        <v>10391</v>
      </c>
      <c r="F441" t="s">
        <v>3854</v>
      </c>
      <c r="G441" t="s">
        <v>31991</v>
      </c>
      <c r="H441">
        <v>24</v>
      </c>
      <c r="I441">
        <v>0</v>
      </c>
      <c r="M441">
        <v>0</v>
      </c>
      <c r="N441">
        <v>0</v>
      </c>
      <c r="O441">
        <v>10</v>
      </c>
      <c r="P441">
        <v>34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F441">
        <v>34</v>
      </c>
    </row>
    <row r="443" spans="1:32" x14ac:dyDescent="0.3">
      <c r="A443" s="3" t="s">
        <v>8356</v>
      </c>
    </row>
    <row r="444" spans="1:32" x14ac:dyDescent="0.3">
      <c r="A444" s="3" t="s">
        <v>30528</v>
      </c>
    </row>
    <row r="445" spans="1:32" x14ac:dyDescent="0.3">
      <c r="A445" s="3" t="s">
        <v>30529</v>
      </c>
    </row>
    <row r="446" spans="1:32" x14ac:dyDescent="0.3">
      <c r="A446" s="3" t="s">
        <v>30530</v>
      </c>
    </row>
    <row r="447" spans="1:32" x14ac:dyDescent="0.3">
      <c r="A447" s="3" t="s">
        <v>30531</v>
      </c>
    </row>
    <row r="448" spans="1:32" x14ac:dyDescent="0.3">
      <c r="A448" s="3" t="s">
        <v>30532</v>
      </c>
    </row>
    <row r="449" spans="1:32" x14ac:dyDescent="0.3">
      <c r="A449" s="3" t="s">
        <v>30533</v>
      </c>
    </row>
    <row r="450" spans="1:32" s="4" customFormat="1" x14ac:dyDescent="0.3">
      <c r="A450" s="3" t="s">
        <v>30534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</row>
    <row r="451" spans="1:32" s="4" customFormat="1" x14ac:dyDescent="0.3">
      <c r="A451" s="3" t="s">
        <v>30535</v>
      </c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</row>
    <row r="452" spans="1:32" s="4" customFormat="1" x14ac:dyDescent="0.3">
      <c r="A452" s="3" t="s">
        <v>8365</v>
      </c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</row>
    <row r="453" spans="1:32" s="4" customFormat="1" x14ac:dyDescent="0.3">
      <c r="A453" s="3" t="s">
        <v>8366</v>
      </c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</row>
    <row r="454" spans="1:32" s="4" customFormat="1" x14ac:dyDescent="0.3">
      <c r="A454" s="3" t="s">
        <v>30536</v>
      </c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</row>
    <row r="455" spans="1:32" s="4" customFormat="1" x14ac:dyDescent="0.3">
      <c r="A455" s="3" t="s">
        <v>30537</v>
      </c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</row>
    <row r="456" spans="1:32" s="4" customFormat="1" x14ac:dyDescent="0.3">
      <c r="A456" s="3" t="s">
        <v>30538</v>
      </c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</row>
    <row r="457" spans="1:32" s="4" customFormat="1" x14ac:dyDescent="0.3">
      <c r="A457" s="3" t="s">
        <v>30539</v>
      </c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</row>
    <row r="458" spans="1:32" s="4" customFormat="1" x14ac:dyDescent="0.3">
      <c r="A458" s="3" t="s">
        <v>30540</v>
      </c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</row>
    <row r="459" spans="1:32" s="4" customFormat="1" x14ac:dyDescent="0.3">
      <c r="A459" s="3" t="s">
        <v>30541</v>
      </c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</row>
    <row r="460" spans="1:32" s="4" customFormat="1" x14ac:dyDescent="0.3">
      <c r="A460" s="3" t="s">
        <v>30542</v>
      </c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</row>
    <row r="461" spans="1:32" s="4" customFormat="1" x14ac:dyDescent="0.3">
      <c r="A461" s="3" t="s">
        <v>30543</v>
      </c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</row>
    <row r="462" spans="1:32" s="4" customFormat="1" x14ac:dyDescent="0.3">
      <c r="A462" s="3" t="s">
        <v>30544</v>
      </c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</row>
    <row r="463" spans="1:32" s="4" customFormat="1" x14ac:dyDescent="0.3">
      <c r="A463" s="3" t="s">
        <v>30545</v>
      </c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</row>
    <row r="464" spans="1:32" s="4" customFormat="1" x14ac:dyDescent="0.3">
      <c r="A464" s="3" t="s">
        <v>30546</v>
      </c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</row>
    <row r="465" spans="1:32" s="4" customFormat="1" x14ac:dyDescent="0.3">
      <c r="A465" s="3" t="s">
        <v>30547</v>
      </c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</row>
    <row r="466" spans="1:32" s="4" customFormat="1" x14ac:dyDescent="0.3">
      <c r="A466" s="3" t="s">
        <v>30548</v>
      </c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</row>
    <row r="467" spans="1:32" s="4" customFormat="1" x14ac:dyDescent="0.3">
      <c r="A467" s="3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</row>
    <row r="468" spans="1:32" s="4" customFormat="1" x14ac:dyDescent="0.3">
      <c r="A468" s="3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</row>
    <row r="469" spans="1:32" s="4" customFormat="1" x14ac:dyDescent="0.3">
      <c r="A469" s="3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</row>
    <row r="470" spans="1:32" s="4" customFormat="1" x14ac:dyDescent="0.3">
      <c r="A470" s="3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</row>
    <row r="471" spans="1:32" s="4" customFormat="1" x14ac:dyDescent="0.3">
      <c r="A471" s="3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Φύλλο7"/>
  <dimension ref="A1:AD74"/>
  <sheetViews>
    <sheetView workbookViewId="0">
      <selection activeCell="A8" sqref="A8:AD47"/>
    </sheetView>
  </sheetViews>
  <sheetFormatPr defaultRowHeight="14.4" x14ac:dyDescent="0.3"/>
  <cols>
    <col min="1" max="2" width="9.109375" style="4"/>
    <col min="3" max="3" width="5.109375" customWidth="1"/>
    <col min="4" max="4" width="17.5546875" bestFit="1" customWidth="1"/>
    <col min="5" max="5" width="21.44140625" bestFit="1" customWidth="1"/>
    <col min="6" max="6" width="15.33203125" bestFit="1" customWidth="1"/>
    <col min="7" max="7" width="10" bestFit="1" customWidth="1"/>
    <col min="8" max="8" width="6" customWidth="1"/>
  </cols>
  <sheetData>
    <row r="1" spans="1:30" x14ac:dyDescent="0.3">
      <c r="A1" s="3" t="s">
        <v>8377</v>
      </c>
    </row>
    <row r="2" spans="1:30" x14ac:dyDescent="0.3">
      <c r="A2" s="3" t="s">
        <v>8378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8399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8" spans="1:30" x14ac:dyDescent="0.3">
      <c r="A8" s="4">
        <v>2</v>
      </c>
      <c r="B8" s="5">
        <v>1</v>
      </c>
      <c r="C8">
        <v>102</v>
      </c>
      <c r="D8" t="s">
        <v>7050</v>
      </c>
      <c r="E8" t="s">
        <v>110</v>
      </c>
      <c r="F8" t="s">
        <v>68</v>
      </c>
      <c r="G8" t="s">
        <v>8400</v>
      </c>
      <c r="H8">
        <v>49.17</v>
      </c>
      <c r="I8">
        <v>0</v>
      </c>
      <c r="J8">
        <v>20</v>
      </c>
      <c r="M8">
        <v>20</v>
      </c>
      <c r="N8">
        <v>20</v>
      </c>
      <c r="O8">
        <v>10</v>
      </c>
      <c r="P8">
        <v>99.17</v>
      </c>
      <c r="Q8">
        <v>35</v>
      </c>
      <c r="R8">
        <v>35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35</v>
      </c>
      <c r="Z8">
        <v>0</v>
      </c>
      <c r="AA8">
        <v>0</v>
      </c>
      <c r="AC8" t="s">
        <v>130</v>
      </c>
      <c r="AD8">
        <v>134.16999999999999</v>
      </c>
    </row>
    <row r="9" spans="1:30" x14ac:dyDescent="0.3">
      <c r="A9" s="4">
        <v>3</v>
      </c>
      <c r="B9" s="5">
        <v>2</v>
      </c>
      <c r="C9">
        <v>29</v>
      </c>
      <c r="D9" t="s">
        <v>8401</v>
      </c>
      <c r="E9" t="s">
        <v>132</v>
      </c>
      <c r="F9" t="s">
        <v>328</v>
      </c>
      <c r="G9" t="s">
        <v>8402</v>
      </c>
      <c r="H9">
        <v>34.5</v>
      </c>
      <c r="I9">
        <v>0</v>
      </c>
      <c r="K9">
        <v>15</v>
      </c>
      <c r="M9">
        <v>15</v>
      </c>
      <c r="N9">
        <v>20</v>
      </c>
      <c r="O9">
        <v>10</v>
      </c>
      <c r="P9">
        <v>79.5</v>
      </c>
      <c r="Q9">
        <v>35</v>
      </c>
      <c r="R9">
        <v>35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35</v>
      </c>
      <c r="Z9">
        <v>6</v>
      </c>
      <c r="AA9">
        <v>0</v>
      </c>
      <c r="AC9" t="s">
        <v>130</v>
      </c>
      <c r="AD9">
        <v>120.5</v>
      </c>
    </row>
    <row r="10" spans="1:30" x14ac:dyDescent="0.3">
      <c r="A10" s="4">
        <v>4</v>
      </c>
      <c r="B10" s="5">
        <v>3</v>
      </c>
      <c r="C10">
        <v>56</v>
      </c>
      <c r="D10" t="s">
        <v>8403</v>
      </c>
      <c r="E10" t="s">
        <v>652</v>
      </c>
      <c r="F10" t="s">
        <v>81</v>
      </c>
      <c r="G10" t="s">
        <v>8404</v>
      </c>
      <c r="H10">
        <v>48.25</v>
      </c>
      <c r="I10">
        <v>12</v>
      </c>
      <c r="J10">
        <v>20</v>
      </c>
      <c r="M10">
        <v>20</v>
      </c>
      <c r="N10">
        <v>20</v>
      </c>
      <c r="O10">
        <v>10</v>
      </c>
      <c r="P10">
        <v>110.25</v>
      </c>
      <c r="Q10">
        <v>8</v>
      </c>
      <c r="R10">
        <v>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8</v>
      </c>
      <c r="Z10">
        <v>0</v>
      </c>
      <c r="AA10">
        <v>0</v>
      </c>
      <c r="AC10" t="s">
        <v>130</v>
      </c>
      <c r="AD10">
        <v>118.25</v>
      </c>
    </row>
    <row r="11" spans="1:30" x14ac:dyDescent="0.3">
      <c r="A11" s="4">
        <v>5</v>
      </c>
      <c r="B11" s="5">
        <v>4</v>
      </c>
      <c r="C11">
        <v>27</v>
      </c>
      <c r="D11" t="s">
        <v>8405</v>
      </c>
      <c r="E11" t="s">
        <v>166</v>
      </c>
      <c r="F11" t="s">
        <v>62</v>
      </c>
      <c r="G11" t="s">
        <v>8406</v>
      </c>
      <c r="H11">
        <v>49</v>
      </c>
      <c r="I11">
        <v>12</v>
      </c>
      <c r="J11">
        <v>20</v>
      </c>
      <c r="M11">
        <v>20</v>
      </c>
      <c r="N11">
        <v>20</v>
      </c>
      <c r="O11">
        <v>10</v>
      </c>
      <c r="P11">
        <v>111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C11" t="s">
        <v>130</v>
      </c>
      <c r="AD11">
        <v>111</v>
      </c>
    </row>
    <row r="12" spans="1:30" x14ac:dyDescent="0.3">
      <c r="A12" s="4">
        <v>6</v>
      </c>
      <c r="B12" s="5">
        <v>5</v>
      </c>
      <c r="C12">
        <v>71</v>
      </c>
      <c r="D12" t="s">
        <v>8407</v>
      </c>
      <c r="E12" t="s">
        <v>38</v>
      </c>
      <c r="F12" t="s">
        <v>81</v>
      </c>
      <c r="G12" t="s">
        <v>8408</v>
      </c>
      <c r="H12">
        <v>41.46</v>
      </c>
      <c r="I12">
        <v>16</v>
      </c>
      <c r="J12">
        <v>20</v>
      </c>
      <c r="M12">
        <v>20</v>
      </c>
      <c r="N12">
        <v>20</v>
      </c>
      <c r="O12">
        <v>10</v>
      </c>
      <c r="P12">
        <v>107.46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3</v>
      </c>
      <c r="AA12">
        <v>0</v>
      </c>
      <c r="AC12" t="s">
        <v>130</v>
      </c>
      <c r="AD12">
        <v>110.46</v>
      </c>
    </row>
    <row r="13" spans="1:30" x14ac:dyDescent="0.3">
      <c r="A13" s="4">
        <v>8</v>
      </c>
      <c r="B13" s="5">
        <v>6</v>
      </c>
      <c r="C13">
        <v>85</v>
      </c>
      <c r="D13" t="s">
        <v>8410</v>
      </c>
      <c r="E13" t="s">
        <v>54</v>
      </c>
      <c r="F13" t="s">
        <v>124</v>
      </c>
      <c r="G13" t="s">
        <v>8411</v>
      </c>
      <c r="H13">
        <v>42.69</v>
      </c>
      <c r="I13">
        <v>4</v>
      </c>
      <c r="L13">
        <v>10</v>
      </c>
      <c r="M13">
        <v>10</v>
      </c>
      <c r="N13">
        <v>20</v>
      </c>
      <c r="O13">
        <v>10</v>
      </c>
      <c r="P13">
        <v>86.69</v>
      </c>
      <c r="Q13">
        <v>8</v>
      </c>
      <c r="R13">
        <v>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8</v>
      </c>
      <c r="Z13">
        <v>12</v>
      </c>
      <c r="AA13">
        <v>0</v>
      </c>
      <c r="AC13" t="s">
        <v>130</v>
      </c>
      <c r="AD13">
        <v>106.69</v>
      </c>
    </row>
    <row r="14" spans="1:30" x14ac:dyDescent="0.3">
      <c r="A14" s="4">
        <v>9</v>
      </c>
      <c r="B14" s="5">
        <v>7</v>
      </c>
      <c r="C14">
        <v>31</v>
      </c>
      <c r="D14" t="s">
        <v>8412</v>
      </c>
      <c r="E14" t="s">
        <v>594</v>
      </c>
      <c r="F14" t="s">
        <v>2101</v>
      </c>
      <c r="G14" t="s">
        <v>8413</v>
      </c>
      <c r="H14">
        <v>47.5</v>
      </c>
      <c r="I14">
        <v>8</v>
      </c>
      <c r="L14">
        <v>10</v>
      </c>
      <c r="M14">
        <v>10</v>
      </c>
      <c r="N14">
        <v>20</v>
      </c>
      <c r="O14">
        <v>10</v>
      </c>
      <c r="P14">
        <v>95.5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9</v>
      </c>
      <c r="AA14">
        <v>0</v>
      </c>
      <c r="AC14" t="s">
        <v>130</v>
      </c>
      <c r="AD14">
        <v>104.5</v>
      </c>
    </row>
    <row r="15" spans="1:30" x14ac:dyDescent="0.3">
      <c r="A15" s="4">
        <v>10</v>
      </c>
      <c r="B15" s="5">
        <v>8</v>
      </c>
      <c r="C15">
        <v>23</v>
      </c>
      <c r="D15" t="s">
        <v>8414</v>
      </c>
      <c r="E15" t="s">
        <v>166</v>
      </c>
      <c r="F15" t="s">
        <v>117</v>
      </c>
      <c r="G15" t="s">
        <v>8415</v>
      </c>
      <c r="H15">
        <v>42.08</v>
      </c>
      <c r="I15">
        <v>12</v>
      </c>
      <c r="J15">
        <v>20</v>
      </c>
      <c r="M15">
        <v>20</v>
      </c>
      <c r="N15">
        <v>20</v>
      </c>
      <c r="O15">
        <v>10</v>
      </c>
      <c r="P15">
        <v>104.08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C15" t="s">
        <v>130</v>
      </c>
      <c r="AD15">
        <v>104.08</v>
      </c>
    </row>
    <row r="16" spans="1:30" x14ac:dyDescent="0.3">
      <c r="A16" s="4">
        <v>11</v>
      </c>
      <c r="B16" s="5">
        <v>9</v>
      </c>
      <c r="C16">
        <v>3</v>
      </c>
      <c r="D16" t="s">
        <v>8416</v>
      </c>
      <c r="E16" t="s">
        <v>335</v>
      </c>
      <c r="F16" t="s">
        <v>38</v>
      </c>
      <c r="G16" t="s">
        <v>8417</v>
      </c>
      <c r="H16">
        <v>45</v>
      </c>
      <c r="I16">
        <v>20</v>
      </c>
      <c r="M16">
        <v>0</v>
      </c>
      <c r="N16">
        <v>20</v>
      </c>
      <c r="O16">
        <v>10</v>
      </c>
      <c r="P16">
        <v>95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6</v>
      </c>
      <c r="AA16">
        <v>0</v>
      </c>
      <c r="AC16" t="s">
        <v>130</v>
      </c>
      <c r="AD16">
        <v>101</v>
      </c>
    </row>
    <row r="17" spans="1:30" x14ac:dyDescent="0.3">
      <c r="A17" s="4">
        <v>12</v>
      </c>
      <c r="B17" s="5">
        <v>10</v>
      </c>
      <c r="C17">
        <v>36</v>
      </c>
      <c r="D17" t="s">
        <v>1889</v>
      </c>
      <c r="E17" t="s">
        <v>188</v>
      </c>
      <c r="F17" t="s">
        <v>8418</v>
      </c>
      <c r="G17" t="s">
        <v>8419</v>
      </c>
      <c r="H17">
        <v>49.75</v>
      </c>
      <c r="I17">
        <v>0</v>
      </c>
      <c r="L17">
        <v>10</v>
      </c>
      <c r="M17">
        <v>10</v>
      </c>
      <c r="N17">
        <v>20</v>
      </c>
      <c r="O17">
        <v>10</v>
      </c>
      <c r="P17">
        <v>89.75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6</v>
      </c>
      <c r="AA17">
        <v>0</v>
      </c>
      <c r="AC17" t="s">
        <v>130</v>
      </c>
      <c r="AD17">
        <v>95.75</v>
      </c>
    </row>
    <row r="18" spans="1:30" x14ac:dyDescent="0.3">
      <c r="A18" s="4">
        <v>13</v>
      </c>
      <c r="B18" s="5">
        <v>11</v>
      </c>
      <c r="C18">
        <v>97</v>
      </c>
      <c r="D18" t="s">
        <v>8420</v>
      </c>
      <c r="E18" t="s">
        <v>88</v>
      </c>
      <c r="F18" t="s">
        <v>81</v>
      </c>
      <c r="G18" t="s">
        <v>8421</v>
      </c>
      <c r="H18">
        <v>35</v>
      </c>
      <c r="I18">
        <v>12</v>
      </c>
      <c r="M18">
        <v>0</v>
      </c>
      <c r="N18">
        <v>20</v>
      </c>
      <c r="O18">
        <v>10</v>
      </c>
      <c r="P18">
        <v>77</v>
      </c>
      <c r="Q18">
        <v>8</v>
      </c>
      <c r="R18">
        <v>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8</v>
      </c>
      <c r="Z18">
        <v>0</v>
      </c>
      <c r="AA18">
        <v>0</v>
      </c>
      <c r="AC18" t="s">
        <v>130</v>
      </c>
      <c r="AD18">
        <v>85</v>
      </c>
    </row>
    <row r="19" spans="1:30" x14ac:dyDescent="0.3">
      <c r="A19" s="4">
        <v>14</v>
      </c>
      <c r="B19" s="5">
        <v>12</v>
      </c>
      <c r="C19">
        <v>42</v>
      </c>
      <c r="D19" t="s">
        <v>8422</v>
      </c>
      <c r="E19" t="s">
        <v>740</v>
      </c>
      <c r="F19" t="s">
        <v>136</v>
      </c>
      <c r="G19" t="s">
        <v>8423</v>
      </c>
      <c r="H19">
        <v>40</v>
      </c>
      <c r="I19">
        <v>20</v>
      </c>
      <c r="J19">
        <v>20</v>
      </c>
      <c r="M19">
        <v>20</v>
      </c>
      <c r="N19">
        <v>20</v>
      </c>
      <c r="O19">
        <v>10</v>
      </c>
      <c r="P19">
        <v>110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26.8</v>
      </c>
      <c r="AD19">
        <v>136.80000000000001</v>
      </c>
    </row>
    <row r="20" spans="1:30" x14ac:dyDescent="0.3">
      <c r="A20" s="4">
        <v>15</v>
      </c>
      <c r="B20" s="5">
        <v>13</v>
      </c>
      <c r="C20">
        <v>70</v>
      </c>
      <c r="D20" t="s">
        <v>8424</v>
      </c>
      <c r="E20" t="s">
        <v>166</v>
      </c>
      <c r="F20" t="s">
        <v>20</v>
      </c>
      <c r="G20" t="s">
        <v>8425</v>
      </c>
      <c r="H20">
        <v>42.5</v>
      </c>
      <c r="I20">
        <v>20</v>
      </c>
      <c r="L20">
        <v>10</v>
      </c>
      <c r="M20">
        <v>10</v>
      </c>
      <c r="N20">
        <v>20</v>
      </c>
      <c r="O20">
        <v>0</v>
      </c>
      <c r="P20">
        <v>92.5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36.799999999999997</v>
      </c>
      <c r="AD20">
        <v>135.30000000000001</v>
      </c>
    </row>
    <row r="21" spans="1:30" x14ac:dyDescent="0.3">
      <c r="A21" s="4">
        <v>16</v>
      </c>
      <c r="B21" s="5">
        <v>14</v>
      </c>
      <c r="C21">
        <v>63</v>
      </c>
      <c r="D21" t="s">
        <v>8426</v>
      </c>
      <c r="E21" t="s">
        <v>88</v>
      </c>
      <c r="F21" t="s">
        <v>55</v>
      </c>
      <c r="G21" t="s">
        <v>8427</v>
      </c>
      <c r="H21">
        <v>42.5</v>
      </c>
      <c r="I21">
        <v>0</v>
      </c>
      <c r="J21">
        <v>20</v>
      </c>
      <c r="M21">
        <v>20</v>
      </c>
      <c r="N21">
        <v>20</v>
      </c>
      <c r="O21">
        <v>10</v>
      </c>
      <c r="P21">
        <v>92.5</v>
      </c>
      <c r="Q21">
        <v>25</v>
      </c>
      <c r="R21">
        <v>25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25</v>
      </c>
      <c r="Z21">
        <v>3</v>
      </c>
      <c r="AA21">
        <v>0</v>
      </c>
      <c r="AD21">
        <v>120.5</v>
      </c>
    </row>
    <row r="22" spans="1:30" x14ac:dyDescent="0.3">
      <c r="A22" s="4">
        <v>17</v>
      </c>
      <c r="B22" s="5">
        <v>15</v>
      </c>
      <c r="C22">
        <v>51</v>
      </c>
      <c r="D22" t="s">
        <v>8428</v>
      </c>
      <c r="E22" t="s">
        <v>1815</v>
      </c>
      <c r="F22" t="s">
        <v>38</v>
      </c>
      <c r="G22" t="s">
        <v>8429</v>
      </c>
      <c r="H22">
        <v>46.82</v>
      </c>
      <c r="I22">
        <v>20</v>
      </c>
      <c r="J22">
        <v>20</v>
      </c>
      <c r="M22">
        <v>20</v>
      </c>
      <c r="N22">
        <v>20</v>
      </c>
      <c r="O22">
        <v>10</v>
      </c>
      <c r="P22">
        <v>116.82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D22">
        <v>119.82</v>
      </c>
    </row>
    <row r="23" spans="1:30" x14ac:dyDescent="0.3">
      <c r="A23" s="4">
        <v>18</v>
      </c>
      <c r="B23" s="5">
        <v>16</v>
      </c>
      <c r="C23">
        <v>19</v>
      </c>
      <c r="D23" t="s">
        <v>8430</v>
      </c>
      <c r="E23" t="s">
        <v>8431</v>
      </c>
      <c r="F23" t="s">
        <v>55</v>
      </c>
      <c r="G23" t="s">
        <v>8432</v>
      </c>
      <c r="H23">
        <v>46.04</v>
      </c>
      <c r="I23">
        <v>20</v>
      </c>
      <c r="J23">
        <v>20</v>
      </c>
      <c r="M23">
        <v>20</v>
      </c>
      <c r="N23">
        <v>20</v>
      </c>
      <c r="O23">
        <v>10</v>
      </c>
      <c r="P23">
        <v>116.04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3</v>
      </c>
      <c r="AA23">
        <v>0</v>
      </c>
      <c r="AD23">
        <v>119.04</v>
      </c>
    </row>
    <row r="24" spans="1:30" x14ac:dyDescent="0.3">
      <c r="A24" s="4">
        <v>20</v>
      </c>
      <c r="B24" s="5">
        <v>17</v>
      </c>
      <c r="C24">
        <v>77</v>
      </c>
      <c r="D24" t="s">
        <v>8433</v>
      </c>
      <c r="E24" t="s">
        <v>100</v>
      </c>
      <c r="F24" t="s">
        <v>81</v>
      </c>
      <c r="G24" t="s">
        <v>8434</v>
      </c>
      <c r="H24">
        <v>49.69</v>
      </c>
      <c r="I24">
        <v>8</v>
      </c>
      <c r="J24">
        <v>20</v>
      </c>
      <c r="M24">
        <v>20</v>
      </c>
      <c r="N24">
        <v>20</v>
      </c>
      <c r="O24">
        <v>10</v>
      </c>
      <c r="P24">
        <v>107.69</v>
      </c>
      <c r="Q24">
        <v>8</v>
      </c>
      <c r="R24">
        <v>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8</v>
      </c>
      <c r="Z24">
        <v>0</v>
      </c>
      <c r="AA24">
        <v>0</v>
      </c>
      <c r="AD24">
        <v>115.69</v>
      </c>
    </row>
    <row r="25" spans="1:30" x14ac:dyDescent="0.3">
      <c r="A25" s="4">
        <v>21</v>
      </c>
      <c r="B25" s="5">
        <v>18</v>
      </c>
      <c r="C25">
        <v>73</v>
      </c>
      <c r="D25" t="s">
        <v>8435</v>
      </c>
      <c r="E25" t="s">
        <v>170</v>
      </c>
      <c r="F25" t="s">
        <v>158</v>
      </c>
      <c r="G25" t="s">
        <v>8436</v>
      </c>
      <c r="H25">
        <v>47.08</v>
      </c>
      <c r="I25">
        <v>12</v>
      </c>
      <c r="J25">
        <v>20</v>
      </c>
      <c r="M25">
        <v>20</v>
      </c>
      <c r="N25">
        <v>20</v>
      </c>
      <c r="O25">
        <v>10</v>
      </c>
      <c r="P25">
        <v>109.08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6</v>
      </c>
      <c r="AA25">
        <v>0</v>
      </c>
      <c r="AD25">
        <v>115.08</v>
      </c>
    </row>
    <row r="26" spans="1:30" x14ac:dyDescent="0.3">
      <c r="A26" s="4">
        <v>22</v>
      </c>
      <c r="B26" s="5">
        <v>19</v>
      </c>
      <c r="C26">
        <v>64</v>
      </c>
      <c r="D26" t="s">
        <v>8437</v>
      </c>
      <c r="E26" t="s">
        <v>88</v>
      </c>
      <c r="F26" t="s">
        <v>782</v>
      </c>
      <c r="G26" t="s">
        <v>8438</v>
      </c>
      <c r="H26">
        <v>44.4</v>
      </c>
      <c r="I26">
        <v>20</v>
      </c>
      <c r="L26">
        <v>10</v>
      </c>
      <c r="M26">
        <v>10</v>
      </c>
      <c r="N26">
        <v>20</v>
      </c>
      <c r="O26">
        <v>10</v>
      </c>
      <c r="P26">
        <v>104.4</v>
      </c>
      <c r="Q26">
        <v>7</v>
      </c>
      <c r="R26">
        <v>7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7</v>
      </c>
      <c r="Z26">
        <v>3</v>
      </c>
      <c r="AA26">
        <v>0</v>
      </c>
      <c r="AD26">
        <v>114.4</v>
      </c>
    </row>
    <row r="27" spans="1:30" x14ac:dyDescent="0.3">
      <c r="A27" s="4">
        <v>23</v>
      </c>
      <c r="B27" s="5">
        <v>20</v>
      </c>
      <c r="C27">
        <v>39</v>
      </c>
      <c r="D27" t="s">
        <v>784</v>
      </c>
      <c r="E27" t="s">
        <v>400</v>
      </c>
      <c r="F27" t="s">
        <v>927</v>
      </c>
      <c r="G27" t="s">
        <v>8439</v>
      </c>
      <c r="H27">
        <v>47.29</v>
      </c>
      <c r="I27">
        <v>20</v>
      </c>
      <c r="J27">
        <v>20</v>
      </c>
      <c r="M27">
        <v>20</v>
      </c>
      <c r="N27">
        <v>20</v>
      </c>
      <c r="O27">
        <v>0</v>
      </c>
      <c r="P27">
        <v>107.29</v>
      </c>
      <c r="Q27">
        <v>0</v>
      </c>
      <c r="R27">
        <v>0</v>
      </c>
      <c r="S27">
        <v>0</v>
      </c>
      <c r="T27">
        <v>0</v>
      </c>
      <c r="U27">
        <v>4</v>
      </c>
      <c r="V27">
        <v>6</v>
      </c>
      <c r="W27">
        <v>0</v>
      </c>
      <c r="X27">
        <v>0</v>
      </c>
      <c r="Y27">
        <v>6</v>
      </c>
      <c r="Z27">
        <v>0</v>
      </c>
      <c r="AA27">
        <v>0</v>
      </c>
      <c r="AD27">
        <v>113.29</v>
      </c>
    </row>
    <row r="28" spans="1:30" x14ac:dyDescent="0.3">
      <c r="A28" s="4">
        <v>24</v>
      </c>
      <c r="B28" s="5">
        <v>21</v>
      </c>
      <c r="C28">
        <v>76</v>
      </c>
      <c r="D28" t="s">
        <v>8440</v>
      </c>
      <c r="E28" t="s">
        <v>1084</v>
      </c>
      <c r="F28" t="s">
        <v>117</v>
      </c>
      <c r="G28" t="s">
        <v>8441</v>
      </c>
      <c r="H28">
        <v>43.06</v>
      </c>
      <c r="I28">
        <v>12</v>
      </c>
      <c r="M28">
        <v>0</v>
      </c>
      <c r="N28">
        <v>20</v>
      </c>
      <c r="O28">
        <v>10</v>
      </c>
      <c r="P28">
        <v>85.06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6</v>
      </c>
      <c r="AA28">
        <v>20</v>
      </c>
      <c r="AD28">
        <v>111.06</v>
      </c>
    </row>
    <row r="29" spans="1:30" x14ac:dyDescent="0.3">
      <c r="A29" s="4">
        <v>25</v>
      </c>
      <c r="B29" s="5">
        <v>22</v>
      </c>
      <c r="C29">
        <v>5</v>
      </c>
      <c r="D29" t="s">
        <v>8442</v>
      </c>
      <c r="E29" t="s">
        <v>29</v>
      </c>
      <c r="F29" t="s">
        <v>230</v>
      </c>
      <c r="G29" t="s">
        <v>8443</v>
      </c>
      <c r="H29">
        <v>49.17</v>
      </c>
      <c r="I29">
        <v>20</v>
      </c>
      <c r="M29">
        <v>0</v>
      </c>
      <c r="N29">
        <v>20</v>
      </c>
      <c r="O29">
        <v>10</v>
      </c>
      <c r="P29">
        <v>99.17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6</v>
      </c>
      <c r="AA29">
        <v>0</v>
      </c>
      <c r="AD29">
        <v>105.17</v>
      </c>
    </row>
    <row r="30" spans="1:30" x14ac:dyDescent="0.3">
      <c r="A30" s="4">
        <v>26</v>
      </c>
      <c r="B30" s="5">
        <v>23</v>
      </c>
      <c r="C30">
        <v>74</v>
      </c>
      <c r="D30" t="s">
        <v>8444</v>
      </c>
      <c r="E30" t="s">
        <v>471</v>
      </c>
      <c r="F30" t="s">
        <v>124</v>
      </c>
      <c r="G30" t="s">
        <v>8445</v>
      </c>
      <c r="H30">
        <v>41.88</v>
      </c>
      <c r="I30">
        <v>20</v>
      </c>
      <c r="L30">
        <v>10</v>
      </c>
      <c r="M30">
        <v>10</v>
      </c>
      <c r="N30">
        <v>20</v>
      </c>
      <c r="O30">
        <v>10</v>
      </c>
      <c r="P30">
        <v>101.88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3</v>
      </c>
      <c r="AA30">
        <v>0</v>
      </c>
      <c r="AD30">
        <v>104.88</v>
      </c>
    </row>
    <row r="31" spans="1:30" x14ac:dyDescent="0.3">
      <c r="A31" s="4">
        <v>27</v>
      </c>
      <c r="B31" s="5">
        <v>24</v>
      </c>
      <c r="C31">
        <v>40</v>
      </c>
      <c r="D31" t="s">
        <v>8446</v>
      </c>
      <c r="E31" t="s">
        <v>1280</v>
      </c>
      <c r="F31" t="s">
        <v>17</v>
      </c>
      <c r="G31" t="s">
        <v>8447</v>
      </c>
      <c r="H31">
        <v>46.88</v>
      </c>
      <c r="I31">
        <v>20</v>
      </c>
      <c r="M31">
        <v>0</v>
      </c>
      <c r="N31">
        <v>20</v>
      </c>
      <c r="O31">
        <v>10</v>
      </c>
      <c r="P31">
        <v>96.88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</v>
      </c>
      <c r="AA31">
        <v>0</v>
      </c>
      <c r="AD31">
        <v>102.88</v>
      </c>
    </row>
    <row r="32" spans="1:30" x14ac:dyDescent="0.3">
      <c r="A32" s="4">
        <v>28</v>
      </c>
      <c r="B32" s="5">
        <v>25</v>
      </c>
      <c r="C32">
        <v>101</v>
      </c>
      <c r="D32" t="s">
        <v>8448</v>
      </c>
      <c r="E32" t="s">
        <v>789</v>
      </c>
      <c r="F32" t="s">
        <v>1806</v>
      </c>
      <c r="G32" t="s">
        <v>8449</v>
      </c>
      <c r="H32">
        <v>37.92</v>
      </c>
      <c r="I32">
        <v>8</v>
      </c>
      <c r="J32">
        <v>20</v>
      </c>
      <c r="M32">
        <v>20</v>
      </c>
      <c r="N32">
        <v>20</v>
      </c>
      <c r="O32">
        <v>10</v>
      </c>
      <c r="P32">
        <v>95.92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6</v>
      </c>
      <c r="AA32">
        <v>0</v>
      </c>
      <c r="AD32">
        <v>101.92</v>
      </c>
    </row>
    <row r="33" spans="1:30" x14ac:dyDescent="0.3">
      <c r="A33" s="4">
        <v>29</v>
      </c>
      <c r="B33" s="5">
        <v>26</v>
      </c>
      <c r="C33">
        <v>12</v>
      </c>
      <c r="D33" t="s">
        <v>8450</v>
      </c>
      <c r="E33" t="s">
        <v>516</v>
      </c>
      <c r="F33" t="s">
        <v>243</v>
      </c>
      <c r="G33" t="s">
        <v>8451</v>
      </c>
      <c r="H33">
        <v>45</v>
      </c>
      <c r="I33">
        <v>0</v>
      </c>
      <c r="J33">
        <v>20</v>
      </c>
      <c r="M33">
        <v>20</v>
      </c>
      <c r="N33">
        <v>20</v>
      </c>
      <c r="O33">
        <v>10</v>
      </c>
      <c r="P33">
        <v>95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6</v>
      </c>
      <c r="AA33">
        <v>0</v>
      </c>
      <c r="AD33">
        <v>101</v>
      </c>
    </row>
    <row r="34" spans="1:30" x14ac:dyDescent="0.3">
      <c r="A34" s="4">
        <v>30</v>
      </c>
      <c r="B34" s="5">
        <v>27</v>
      </c>
      <c r="C34">
        <v>96</v>
      </c>
      <c r="D34" t="s">
        <v>8452</v>
      </c>
      <c r="E34" t="s">
        <v>81</v>
      </c>
      <c r="F34" t="s">
        <v>3439</v>
      </c>
      <c r="G34" t="s">
        <v>8453</v>
      </c>
      <c r="H34">
        <v>45</v>
      </c>
      <c r="I34">
        <v>16</v>
      </c>
      <c r="J34">
        <v>20</v>
      </c>
      <c r="M34">
        <v>20</v>
      </c>
      <c r="N34">
        <v>20</v>
      </c>
      <c r="O34">
        <v>0</v>
      </c>
      <c r="P34">
        <v>101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D34">
        <v>101</v>
      </c>
    </row>
    <row r="35" spans="1:30" x14ac:dyDescent="0.3">
      <c r="A35" s="4">
        <v>31</v>
      </c>
      <c r="B35" s="5">
        <v>28</v>
      </c>
      <c r="C35">
        <v>98</v>
      </c>
      <c r="D35" t="s">
        <v>8454</v>
      </c>
      <c r="E35" t="s">
        <v>88</v>
      </c>
      <c r="F35" t="s">
        <v>136</v>
      </c>
      <c r="G35" t="s">
        <v>8455</v>
      </c>
      <c r="H35">
        <v>40</v>
      </c>
      <c r="I35">
        <v>20</v>
      </c>
      <c r="M35">
        <v>0</v>
      </c>
      <c r="N35">
        <v>20</v>
      </c>
      <c r="O35">
        <v>10</v>
      </c>
      <c r="P35">
        <v>90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9</v>
      </c>
      <c r="AA35">
        <v>0</v>
      </c>
      <c r="AD35">
        <v>99</v>
      </c>
    </row>
    <row r="36" spans="1:30" x14ac:dyDescent="0.3">
      <c r="A36" s="4">
        <v>32</v>
      </c>
      <c r="B36" s="5">
        <v>29</v>
      </c>
      <c r="C36">
        <v>87</v>
      </c>
      <c r="D36" t="s">
        <v>8456</v>
      </c>
      <c r="E36" t="s">
        <v>161</v>
      </c>
      <c r="F36" t="s">
        <v>17</v>
      </c>
      <c r="G36" t="s">
        <v>8457</v>
      </c>
      <c r="H36">
        <v>45.45</v>
      </c>
      <c r="I36">
        <v>20</v>
      </c>
      <c r="M36">
        <v>0</v>
      </c>
      <c r="N36">
        <v>20</v>
      </c>
      <c r="O36">
        <v>10</v>
      </c>
      <c r="P36">
        <v>95.45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3</v>
      </c>
      <c r="AA36">
        <v>0</v>
      </c>
      <c r="AD36">
        <v>98.45</v>
      </c>
    </row>
    <row r="37" spans="1:30" x14ac:dyDescent="0.3">
      <c r="A37" s="4">
        <v>33</v>
      </c>
      <c r="B37" s="5">
        <v>30</v>
      </c>
      <c r="C37">
        <v>105</v>
      </c>
      <c r="D37" t="s">
        <v>8458</v>
      </c>
      <c r="E37" t="s">
        <v>8459</v>
      </c>
      <c r="F37" t="s">
        <v>62</v>
      </c>
      <c r="G37" t="s">
        <v>8460</v>
      </c>
      <c r="H37">
        <v>46.75</v>
      </c>
      <c r="I37">
        <v>0</v>
      </c>
      <c r="J37">
        <v>20</v>
      </c>
      <c r="M37">
        <v>20</v>
      </c>
      <c r="N37">
        <v>20</v>
      </c>
      <c r="O37">
        <v>10</v>
      </c>
      <c r="P37">
        <v>96.75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D37">
        <v>96.75</v>
      </c>
    </row>
    <row r="38" spans="1:30" x14ac:dyDescent="0.3">
      <c r="A38" s="4">
        <v>34</v>
      </c>
      <c r="B38" s="5">
        <v>31</v>
      </c>
      <c r="C38">
        <v>13</v>
      </c>
      <c r="D38" t="s">
        <v>8461</v>
      </c>
      <c r="E38" t="s">
        <v>26</v>
      </c>
      <c r="F38" t="s">
        <v>819</v>
      </c>
      <c r="G38" t="s">
        <v>8462</v>
      </c>
      <c r="H38">
        <v>40.65</v>
      </c>
      <c r="I38">
        <v>16</v>
      </c>
      <c r="M38">
        <v>0</v>
      </c>
      <c r="N38">
        <v>20</v>
      </c>
      <c r="O38">
        <v>10</v>
      </c>
      <c r="P38">
        <v>86.65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9</v>
      </c>
      <c r="AA38">
        <v>0</v>
      </c>
      <c r="AD38">
        <v>95.65</v>
      </c>
    </row>
    <row r="39" spans="1:30" x14ac:dyDescent="0.3">
      <c r="A39" s="4">
        <v>35</v>
      </c>
      <c r="B39" s="5">
        <v>32</v>
      </c>
      <c r="C39">
        <v>1</v>
      </c>
      <c r="D39" t="s">
        <v>8463</v>
      </c>
      <c r="E39" t="s">
        <v>161</v>
      </c>
      <c r="F39" t="s">
        <v>38</v>
      </c>
      <c r="G39" t="s">
        <v>8464</v>
      </c>
      <c r="H39">
        <v>42.5</v>
      </c>
      <c r="I39">
        <v>0</v>
      </c>
      <c r="L39">
        <v>10</v>
      </c>
      <c r="M39">
        <v>10</v>
      </c>
      <c r="N39">
        <v>20</v>
      </c>
      <c r="O39">
        <v>10</v>
      </c>
      <c r="P39">
        <v>82.5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6</v>
      </c>
      <c r="AA39">
        <v>0</v>
      </c>
      <c r="AD39">
        <v>88.5</v>
      </c>
    </row>
    <row r="40" spans="1:30" x14ac:dyDescent="0.3">
      <c r="A40" s="4">
        <v>36</v>
      </c>
      <c r="B40" s="5">
        <v>33</v>
      </c>
      <c r="C40">
        <v>90</v>
      </c>
      <c r="D40" t="s">
        <v>8465</v>
      </c>
      <c r="E40" t="s">
        <v>8466</v>
      </c>
      <c r="F40" t="s">
        <v>4924</v>
      </c>
      <c r="G40" t="s">
        <v>8467</v>
      </c>
      <c r="H40">
        <v>38.33</v>
      </c>
      <c r="I40">
        <v>0</v>
      </c>
      <c r="J40">
        <v>40</v>
      </c>
      <c r="M40">
        <v>20</v>
      </c>
      <c r="N40">
        <v>20</v>
      </c>
      <c r="O40">
        <v>10</v>
      </c>
      <c r="P40">
        <v>88.33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D40">
        <v>88.33</v>
      </c>
    </row>
    <row r="41" spans="1:30" x14ac:dyDescent="0.3">
      <c r="A41" s="4">
        <v>37</v>
      </c>
      <c r="B41" s="5">
        <v>34</v>
      </c>
      <c r="C41">
        <v>117</v>
      </c>
      <c r="D41" t="s">
        <v>6744</v>
      </c>
      <c r="E41" t="s">
        <v>54</v>
      </c>
      <c r="F41" t="s">
        <v>38</v>
      </c>
      <c r="G41" t="s">
        <v>6745</v>
      </c>
      <c r="H41">
        <v>43.13</v>
      </c>
      <c r="I41">
        <v>0</v>
      </c>
      <c r="L41">
        <v>10</v>
      </c>
      <c r="M41">
        <v>10</v>
      </c>
      <c r="N41">
        <v>20</v>
      </c>
      <c r="O41">
        <v>10</v>
      </c>
      <c r="P41">
        <v>83.13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D41">
        <v>83.13</v>
      </c>
    </row>
    <row r="42" spans="1:30" x14ac:dyDescent="0.3">
      <c r="A42" s="4">
        <v>38</v>
      </c>
      <c r="B42" s="5">
        <v>35</v>
      </c>
      <c r="C42">
        <v>44</v>
      </c>
      <c r="D42" t="s">
        <v>195</v>
      </c>
      <c r="E42" t="s">
        <v>88</v>
      </c>
      <c r="F42" t="s">
        <v>81</v>
      </c>
      <c r="G42" t="s">
        <v>8468</v>
      </c>
      <c r="H42">
        <v>48.75</v>
      </c>
      <c r="I42">
        <v>0</v>
      </c>
      <c r="M42">
        <v>0</v>
      </c>
      <c r="N42">
        <v>20</v>
      </c>
      <c r="O42">
        <v>10</v>
      </c>
      <c r="P42">
        <v>78.75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D42">
        <v>78.75</v>
      </c>
    </row>
    <row r="43" spans="1:30" x14ac:dyDescent="0.3">
      <c r="A43" s="4">
        <v>39</v>
      </c>
      <c r="B43" s="5">
        <v>36</v>
      </c>
      <c r="C43">
        <v>113</v>
      </c>
      <c r="D43" t="s">
        <v>67</v>
      </c>
      <c r="E43" t="s">
        <v>335</v>
      </c>
      <c r="F43" t="s">
        <v>3968</v>
      </c>
      <c r="G43" t="s">
        <v>8469</v>
      </c>
      <c r="H43">
        <v>37.25</v>
      </c>
      <c r="I43">
        <v>0</v>
      </c>
      <c r="J43">
        <v>20</v>
      </c>
      <c r="M43">
        <v>20</v>
      </c>
      <c r="N43">
        <v>20</v>
      </c>
      <c r="O43">
        <v>0</v>
      </c>
      <c r="P43">
        <v>77.25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D43">
        <v>77.25</v>
      </c>
    </row>
    <row r="44" spans="1:30" x14ac:dyDescent="0.3">
      <c r="A44" s="4">
        <v>40</v>
      </c>
      <c r="B44" s="5">
        <v>37</v>
      </c>
      <c r="C44">
        <v>84</v>
      </c>
      <c r="D44" t="s">
        <v>8470</v>
      </c>
      <c r="E44" t="s">
        <v>37</v>
      </c>
      <c r="F44" t="s">
        <v>927</v>
      </c>
      <c r="G44" t="s">
        <v>8471</v>
      </c>
      <c r="H44">
        <v>37.5</v>
      </c>
      <c r="I44">
        <v>0</v>
      </c>
      <c r="M44">
        <v>0</v>
      </c>
      <c r="N44">
        <v>20</v>
      </c>
      <c r="O44">
        <v>10</v>
      </c>
      <c r="P44">
        <v>67.5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D44">
        <v>67.5</v>
      </c>
    </row>
    <row r="46" spans="1:30" s="4" customFormat="1" x14ac:dyDescent="0.3">
      <c r="A46" s="3" t="s">
        <v>8356</v>
      </c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s="4" customFormat="1" x14ac:dyDescent="0.3">
      <c r="A47" s="3" t="s">
        <v>8382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s="4" customFormat="1" x14ac:dyDescent="0.3">
      <c r="A48" s="3" t="s">
        <v>8358</v>
      </c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s="4" customFormat="1" x14ac:dyDescent="0.3">
      <c r="A49" s="3" t="s">
        <v>8359</v>
      </c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s="4" customFormat="1" x14ac:dyDescent="0.3">
      <c r="A50" s="3" t="s">
        <v>8360</v>
      </c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s="4" customFormat="1" x14ac:dyDescent="0.3">
      <c r="A51" s="3" t="s">
        <v>8361</v>
      </c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s="4" customFormat="1" x14ac:dyDescent="0.3">
      <c r="A52" s="3" t="s">
        <v>8362</v>
      </c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s="4" customFormat="1" x14ac:dyDescent="0.3">
      <c r="A53" s="3" t="s">
        <v>8363</v>
      </c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s="4" customFormat="1" x14ac:dyDescent="0.3">
      <c r="A54" s="3" t="s">
        <v>8364</v>
      </c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s="4" customFormat="1" x14ac:dyDescent="0.3">
      <c r="A55" s="3" t="s">
        <v>8365</v>
      </c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s="4" customFormat="1" x14ac:dyDescent="0.3">
      <c r="A56" s="3" t="s">
        <v>8366</v>
      </c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s="4" customFormat="1" x14ac:dyDescent="0.3">
      <c r="A57" s="3" t="s">
        <v>8383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s="4" customFormat="1" x14ac:dyDescent="0.3">
      <c r="A58" s="3" t="s">
        <v>8384</v>
      </c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s="4" customFormat="1" x14ac:dyDescent="0.3">
      <c r="A59" s="3" t="s">
        <v>8385</v>
      </c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s="4" customFormat="1" x14ac:dyDescent="0.3">
      <c r="A60" s="3" t="s">
        <v>8386</v>
      </c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s="4" customFormat="1" x14ac:dyDescent="0.3">
      <c r="A61" s="3" t="s">
        <v>8387</v>
      </c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s="4" customFormat="1" x14ac:dyDescent="0.3">
      <c r="A62" s="3" t="s">
        <v>8388</v>
      </c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s="4" customFormat="1" x14ac:dyDescent="0.3">
      <c r="A63" s="3" t="s">
        <v>8389</v>
      </c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s="4" customFormat="1" x14ac:dyDescent="0.3">
      <c r="A64" s="3" t="s">
        <v>8390</v>
      </c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s="4" customFormat="1" x14ac:dyDescent="0.3">
      <c r="A65" s="3" t="s">
        <v>8391</v>
      </c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s="4" customFormat="1" x14ac:dyDescent="0.3">
      <c r="A66" s="3" t="s">
        <v>8392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s="4" customFormat="1" x14ac:dyDescent="0.3">
      <c r="A67" s="3" t="s">
        <v>8393</v>
      </c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s="4" customFormat="1" x14ac:dyDescent="0.3">
      <c r="A68" s="3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s="4" customFormat="1" x14ac:dyDescent="0.3">
      <c r="A69" s="3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s="4" customFormat="1" x14ac:dyDescent="0.3">
      <c r="A70" s="3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s="4" customFormat="1" x14ac:dyDescent="0.3">
      <c r="A71" s="3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s="4" customFormat="1" x14ac:dyDescent="0.3">
      <c r="A72" s="3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s="4" customFormat="1" x14ac:dyDescent="0.3">
      <c r="A73" s="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s="4" customFormat="1" x14ac:dyDescent="0.3">
      <c r="A74" s="3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Φύλλο8"/>
  <dimension ref="A1:AD43"/>
  <sheetViews>
    <sheetView workbookViewId="0">
      <selection activeCell="A8" sqref="A8:AD14"/>
    </sheetView>
  </sheetViews>
  <sheetFormatPr defaultRowHeight="14.4" x14ac:dyDescent="0.3"/>
  <cols>
    <col min="1" max="2" width="9.109375" style="4"/>
    <col min="3" max="3" width="5.109375" customWidth="1"/>
    <col min="4" max="4" width="18.6640625" bestFit="1" customWidth="1"/>
    <col min="5" max="5" width="12.109375" bestFit="1" customWidth="1"/>
    <col min="6" max="6" width="12.6640625" bestFit="1" customWidth="1"/>
    <col min="7" max="7" width="10" bestFit="1" customWidth="1"/>
    <col min="8" max="8" width="6" customWidth="1"/>
  </cols>
  <sheetData>
    <row r="1" spans="1:30" x14ac:dyDescent="0.3">
      <c r="A1" s="3" t="s">
        <v>8377</v>
      </c>
    </row>
    <row r="2" spans="1:30" x14ac:dyDescent="0.3">
      <c r="A2" s="3" t="s">
        <v>8378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8472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8" spans="1:30" x14ac:dyDescent="0.3">
      <c r="A8" s="4">
        <v>2</v>
      </c>
      <c r="B8" s="5">
        <v>1</v>
      </c>
      <c r="C8">
        <v>17</v>
      </c>
      <c r="D8" t="s">
        <v>8474</v>
      </c>
      <c r="E8" t="s">
        <v>54</v>
      </c>
      <c r="F8" t="s">
        <v>158</v>
      </c>
      <c r="G8" t="s">
        <v>8475</v>
      </c>
      <c r="H8">
        <v>48.75</v>
      </c>
      <c r="I8">
        <v>20</v>
      </c>
      <c r="J8">
        <v>20</v>
      </c>
      <c r="M8">
        <v>20</v>
      </c>
      <c r="N8">
        <v>20</v>
      </c>
      <c r="O8">
        <v>10</v>
      </c>
      <c r="P8">
        <v>118.75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9</v>
      </c>
      <c r="AA8">
        <v>0</v>
      </c>
      <c r="AC8" t="s">
        <v>130</v>
      </c>
      <c r="AD8">
        <v>127.75</v>
      </c>
    </row>
    <row r="9" spans="1:30" x14ac:dyDescent="0.3">
      <c r="A9" s="4">
        <v>3</v>
      </c>
      <c r="B9" s="5">
        <v>2</v>
      </c>
      <c r="C9">
        <v>119</v>
      </c>
      <c r="D9" t="s">
        <v>8476</v>
      </c>
      <c r="E9" t="s">
        <v>5403</v>
      </c>
      <c r="F9" t="s">
        <v>17</v>
      </c>
      <c r="G9" t="s">
        <v>8477</v>
      </c>
      <c r="H9">
        <v>45.38</v>
      </c>
      <c r="I9">
        <v>0</v>
      </c>
      <c r="M9">
        <v>0</v>
      </c>
      <c r="N9">
        <v>20</v>
      </c>
      <c r="O9">
        <v>10</v>
      </c>
      <c r="P9">
        <v>75.38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C9" t="s">
        <v>130</v>
      </c>
      <c r="AD9">
        <v>75.38</v>
      </c>
    </row>
    <row r="10" spans="1:30" x14ac:dyDescent="0.3">
      <c r="A10" s="4">
        <v>4</v>
      </c>
      <c r="B10" s="5">
        <v>3</v>
      </c>
      <c r="C10">
        <v>2</v>
      </c>
      <c r="D10" t="s">
        <v>8478</v>
      </c>
      <c r="E10" t="s">
        <v>136</v>
      </c>
      <c r="F10" t="s">
        <v>243</v>
      </c>
      <c r="G10" t="s">
        <v>8479</v>
      </c>
      <c r="H10">
        <v>42.5</v>
      </c>
      <c r="I10">
        <v>16</v>
      </c>
      <c r="L10">
        <v>10</v>
      </c>
      <c r="M10">
        <v>10</v>
      </c>
      <c r="N10">
        <v>20</v>
      </c>
      <c r="O10">
        <v>10</v>
      </c>
      <c r="P10">
        <v>98.5</v>
      </c>
      <c r="Q10">
        <v>18</v>
      </c>
      <c r="R10">
        <v>18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18</v>
      </c>
      <c r="Z10">
        <v>3</v>
      </c>
      <c r="AA10">
        <v>32.799999999999997</v>
      </c>
      <c r="AD10">
        <v>152.30000000000001</v>
      </c>
    </row>
    <row r="11" spans="1:30" x14ac:dyDescent="0.3">
      <c r="A11" s="4">
        <v>5</v>
      </c>
      <c r="B11" s="5">
        <v>4</v>
      </c>
      <c r="C11">
        <v>7</v>
      </c>
      <c r="D11" t="s">
        <v>8480</v>
      </c>
      <c r="E11" t="s">
        <v>124</v>
      </c>
      <c r="F11" t="s">
        <v>136</v>
      </c>
      <c r="G11" t="s">
        <v>8481</v>
      </c>
      <c r="H11">
        <v>44.53</v>
      </c>
      <c r="I11">
        <v>12</v>
      </c>
      <c r="J11">
        <v>20</v>
      </c>
      <c r="M11">
        <v>20</v>
      </c>
      <c r="N11">
        <v>20</v>
      </c>
      <c r="O11">
        <v>10</v>
      </c>
      <c r="P11">
        <v>106.53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D11">
        <v>106.53</v>
      </c>
    </row>
    <row r="12" spans="1:30" x14ac:dyDescent="0.3">
      <c r="A12" s="4">
        <v>6</v>
      </c>
      <c r="B12" s="5">
        <v>5</v>
      </c>
      <c r="C12">
        <v>81</v>
      </c>
      <c r="D12" t="s">
        <v>8482</v>
      </c>
      <c r="E12" t="s">
        <v>34</v>
      </c>
      <c r="F12" t="s">
        <v>17</v>
      </c>
      <c r="G12" t="s">
        <v>8483</v>
      </c>
      <c r="H12">
        <v>28.96</v>
      </c>
      <c r="I12">
        <v>0</v>
      </c>
      <c r="M12">
        <v>0</v>
      </c>
      <c r="N12">
        <v>20</v>
      </c>
      <c r="O12">
        <v>0</v>
      </c>
      <c r="P12">
        <v>48.96</v>
      </c>
      <c r="Q12">
        <v>8</v>
      </c>
      <c r="R12">
        <v>8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8</v>
      </c>
      <c r="Z12">
        <v>6</v>
      </c>
      <c r="AA12">
        <v>26.8</v>
      </c>
      <c r="AD12">
        <v>89.76</v>
      </c>
    </row>
    <row r="13" spans="1:30" x14ac:dyDescent="0.3">
      <c r="A13" s="4">
        <v>7</v>
      </c>
      <c r="B13" s="5">
        <v>6</v>
      </c>
      <c r="C13">
        <v>11</v>
      </c>
      <c r="D13" t="s">
        <v>8484</v>
      </c>
      <c r="E13" t="s">
        <v>68</v>
      </c>
      <c r="F13" t="s">
        <v>2998</v>
      </c>
      <c r="G13" t="s">
        <v>8485</v>
      </c>
      <c r="H13">
        <v>30.05</v>
      </c>
      <c r="I13">
        <v>0</v>
      </c>
      <c r="M13">
        <v>0</v>
      </c>
      <c r="N13">
        <v>20</v>
      </c>
      <c r="O13">
        <v>10</v>
      </c>
      <c r="P13">
        <v>60.05</v>
      </c>
      <c r="Q13">
        <v>17</v>
      </c>
      <c r="R13">
        <v>17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17</v>
      </c>
      <c r="Z13">
        <v>0</v>
      </c>
      <c r="AA13">
        <v>0</v>
      </c>
      <c r="AD13">
        <v>77.05</v>
      </c>
    </row>
    <row r="15" spans="1:30" x14ac:dyDescent="0.3">
      <c r="A15" s="3" t="s">
        <v>8356</v>
      </c>
    </row>
    <row r="16" spans="1:30" s="4" customFormat="1" x14ac:dyDescent="0.3">
      <c r="A16" s="3" t="s">
        <v>8382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s="4" customFormat="1" x14ac:dyDescent="0.3">
      <c r="A17" s="3" t="s">
        <v>8358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s="4" customFormat="1" x14ac:dyDescent="0.3">
      <c r="A18" s="3" t="s">
        <v>8359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s="4" customFormat="1" x14ac:dyDescent="0.3">
      <c r="A19" s="3" t="s">
        <v>8360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4" customFormat="1" x14ac:dyDescent="0.3">
      <c r="A20" s="3" t="s">
        <v>8361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s="4" customFormat="1" x14ac:dyDescent="0.3">
      <c r="A21" s="3" t="s">
        <v>8362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s="4" customFormat="1" x14ac:dyDescent="0.3">
      <c r="A22" s="3" t="s">
        <v>8363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s="4" customFormat="1" x14ac:dyDescent="0.3">
      <c r="A23" s="3" t="s">
        <v>8364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s="4" customFormat="1" x14ac:dyDescent="0.3">
      <c r="A24" s="3" t="s">
        <v>8365</v>
      </c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s="4" customFormat="1" x14ac:dyDescent="0.3">
      <c r="A25" s="3" t="s">
        <v>8366</v>
      </c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s="4" customFormat="1" x14ac:dyDescent="0.3">
      <c r="A26" s="3" t="s">
        <v>8383</v>
      </c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s="4" customFormat="1" x14ac:dyDescent="0.3">
      <c r="A27" s="3" t="s">
        <v>8384</v>
      </c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s="4" customFormat="1" x14ac:dyDescent="0.3">
      <c r="A28" s="3" t="s">
        <v>8385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s="4" customFormat="1" x14ac:dyDescent="0.3">
      <c r="A29" s="3" t="s">
        <v>8386</v>
      </c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s="4" customFormat="1" x14ac:dyDescent="0.3">
      <c r="A30" s="3" t="s">
        <v>8387</v>
      </c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s="4" customFormat="1" x14ac:dyDescent="0.3">
      <c r="A31" s="3" t="s">
        <v>8388</v>
      </c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s="4" customFormat="1" x14ac:dyDescent="0.3">
      <c r="A32" s="3" t="s">
        <v>8389</v>
      </c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s="4" customFormat="1" x14ac:dyDescent="0.3">
      <c r="A33" s="3" t="s">
        <v>8390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s="4" customFormat="1" x14ac:dyDescent="0.3">
      <c r="A34" s="3" t="s">
        <v>8391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s="4" customFormat="1" x14ac:dyDescent="0.3">
      <c r="A35" s="3" t="s">
        <v>8392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s="4" customFormat="1" x14ac:dyDescent="0.3">
      <c r="A36" s="3" t="s">
        <v>8393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s="4" customFormat="1" x14ac:dyDescent="0.3">
      <c r="A37" s="3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s="4" customFormat="1" x14ac:dyDescent="0.3">
      <c r="A38" s="3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s="4" customFormat="1" x14ac:dyDescent="0.3">
      <c r="A39" s="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s="4" customFormat="1" x14ac:dyDescent="0.3">
      <c r="A40" s="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s="4" customFormat="1" x14ac:dyDescent="0.3">
      <c r="A41" s="3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s="4" customFormat="1" x14ac:dyDescent="0.3">
      <c r="A42" s="3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s="4" customFormat="1" x14ac:dyDescent="0.3">
      <c r="A43" s="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Φύλλο9"/>
  <dimension ref="A1:AD41"/>
  <sheetViews>
    <sheetView workbookViewId="0">
      <selection activeCell="A8" sqref="A8:AD11"/>
    </sheetView>
  </sheetViews>
  <sheetFormatPr defaultRowHeight="14.4" x14ac:dyDescent="0.3"/>
  <cols>
    <col min="1" max="2" width="9.109375" style="4"/>
    <col min="3" max="3" width="5.109375" customWidth="1"/>
    <col min="4" max="4" width="20.109375" bestFit="1" customWidth="1"/>
    <col min="5" max="5" width="12.33203125" bestFit="1" customWidth="1"/>
    <col min="6" max="6" width="15.33203125" bestFit="1" customWidth="1"/>
    <col min="7" max="7" width="9.44140625" bestFit="1" customWidth="1"/>
    <col min="8" max="8" width="6" customWidth="1"/>
  </cols>
  <sheetData>
    <row r="1" spans="1:30" x14ac:dyDescent="0.3">
      <c r="A1" s="3" t="s">
        <v>8377</v>
      </c>
    </row>
    <row r="2" spans="1:30" x14ac:dyDescent="0.3">
      <c r="A2" s="3" t="s">
        <v>8378</v>
      </c>
    </row>
    <row r="3" spans="1:30" x14ac:dyDescent="0.3">
      <c r="A3" s="3" t="s">
        <v>2</v>
      </c>
    </row>
    <row r="4" spans="1:30" x14ac:dyDescent="0.3">
      <c r="A4" s="3"/>
    </row>
    <row r="5" spans="1:30" x14ac:dyDescent="0.3">
      <c r="A5" s="3" t="s">
        <v>8486</v>
      </c>
    </row>
    <row r="7" spans="1:30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 t="s">
        <v>11</v>
      </c>
    </row>
    <row r="8" spans="1:30" x14ac:dyDescent="0.3">
      <c r="A8" s="4">
        <v>1</v>
      </c>
      <c r="B8" s="5">
        <v>1</v>
      </c>
      <c r="C8">
        <v>21</v>
      </c>
      <c r="D8" t="s">
        <v>8487</v>
      </c>
      <c r="E8" t="s">
        <v>38</v>
      </c>
      <c r="F8" t="s">
        <v>81</v>
      </c>
      <c r="G8" t="s">
        <v>8488</v>
      </c>
      <c r="H8">
        <v>42.5</v>
      </c>
      <c r="I8">
        <v>0</v>
      </c>
      <c r="L8">
        <v>10</v>
      </c>
      <c r="M8">
        <v>10</v>
      </c>
      <c r="N8">
        <v>20</v>
      </c>
      <c r="O8">
        <v>10</v>
      </c>
      <c r="P8">
        <v>82.5</v>
      </c>
      <c r="Q8">
        <v>2</v>
      </c>
      <c r="R8">
        <v>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2</v>
      </c>
      <c r="Z8">
        <v>0</v>
      </c>
      <c r="AA8">
        <v>0</v>
      </c>
      <c r="AC8" t="s">
        <v>130</v>
      </c>
      <c r="AD8">
        <v>84.5</v>
      </c>
    </row>
    <row r="9" spans="1:30" x14ac:dyDescent="0.3">
      <c r="A9" s="4">
        <v>2</v>
      </c>
      <c r="B9" s="5">
        <v>2</v>
      </c>
      <c r="C9">
        <v>116</v>
      </c>
      <c r="D9" t="s">
        <v>8489</v>
      </c>
      <c r="E9" t="s">
        <v>91</v>
      </c>
      <c r="F9" t="s">
        <v>81</v>
      </c>
      <c r="G9" t="s">
        <v>8490</v>
      </c>
      <c r="H9">
        <v>25.83</v>
      </c>
      <c r="I9">
        <v>20</v>
      </c>
      <c r="M9">
        <v>0</v>
      </c>
      <c r="N9">
        <v>20</v>
      </c>
      <c r="O9">
        <v>10</v>
      </c>
      <c r="P9">
        <v>75.83</v>
      </c>
      <c r="Q9">
        <v>13</v>
      </c>
      <c r="R9">
        <v>13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13</v>
      </c>
      <c r="Z9">
        <v>6</v>
      </c>
      <c r="AA9">
        <v>0</v>
      </c>
      <c r="AD9">
        <v>94.83</v>
      </c>
    </row>
    <row r="10" spans="1:30" x14ac:dyDescent="0.3">
      <c r="A10" s="4">
        <v>3</v>
      </c>
      <c r="B10" s="5">
        <v>3</v>
      </c>
      <c r="C10">
        <v>106</v>
      </c>
      <c r="D10" t="s">
        <v>8491</v>
      </c>
      <c r="E10" t="s">
        <v>38</v>
      </c>
      <c r="F10" t="s">
        <v>81</v>
      </c>
      <c r="G10" t="s">
        <v>8492</v>
      </c>
      <c r="H10">
        <v>30.45</v>
      </c>
      <c r="I10">
        <v>20</v>
      </c>
      <c r="M10">
        <v>0</v>
      </c>
      <c r="N10">
        <v>20</v>
      </c>
      <c r="O10">
        <v>10</v>
      </c>
      <c r="P10">
        <v>80.45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D10">
        <v>80.45</v>
      </c>
    </row>
    <row r="11" spans="1:30" x14ac:dyDescent="0.3">
      <c r="A11" s="4">
        <v>4</v>
      </c>
      <c r="B11" s="5">
        <v>4</v>
      </c>
      <c r="C11">
        <v>52</v>
      </c>
      <c r="D11" t="s">
        <v>1565</v>
      </c>
      <c r="E11" t="s">
        <v>62</v>
      </c>
      <c r="F11" t="s">
        <v>17</v>
      </c>
      <c r="G11" t="s">
        <v>8493</v>
      </c>
      <c r="H11">
        <v>42.5</v>
      </c>
      <c r="I11">
        <v>8</v>
      </c>
      <c r="M11">
        <v>0</v>
      </c>
      <c r="N11">
        <v>0</v>
      </c>
      <c r="O11">
        <v>10</v>
      </c>
      <c r="P11">
        <v>60.5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3</v>
      </c>
      <c r="AA11">
        <v>0</v>
      </c>
      <c r="AD11">
        <v>63.5</v>
      </c>
    </row>
    <row r="13" spans="1:30" x14ac:dyDescent="0.3">
      <c r="A13" s="3" t="s">
        <v>8356</v>
      </c>
    </row>
    <row r="14" spans="1:30" x14ac:dyDescent="0.3">
      <c r="A14" s="3" t="s">
        <v>8382</v>
      </c>
    </row>
    <row r="15" spans="1:30" x14ac:dyDescent="0.3">
      <c r="A15" s="3" t="s">
        <v>8358</v>
      </c>
    </row>
    <row r="16" spans="1:30" x14ac:dyDescent="0.3">
      <c r="A16" s="3" t="s">
        <v>8359</v>
      </c>
    </row>
    <row r="17" spans="1:1" x14ac:dyDescent="0.3">
      <c r="A17" s="3" t="s">
        <v>8360</v>
      </c>
    </row>
    <row r="18" spans="1:1" x14ac:dyDescent="0.3">
      <c r="A18" s="3" t="s">
        <v>8361</v>
      </c>
    </row>
    <row r="19" spans="1:1" x14ac:dyDescent="0.3">
      <c r="A19" s="3" t="s">
        <v>8362</v>
      </c>
    </row>
    <row r="20" spans="1:1" x14ac:dyDescent="0.3">
      <c r="A20" s="3" t="s">
        <v>8363</v>
      </c>
    </row>
    <row r="21" spans="1:1" x14ac:dyDescent="0.3">
      <c r="A21" s="3" t="s">
        <v>8364</v>
      </c>
    </row>
    <row r="22" spans="1:1" x14ac:dyDescent="0.3">
      <c r="A22" s="3" t="s">
        <v>8365</v>
      </c>
    </row>
    <row r="23" spans="1:1" x14ac:dyDescent="0.3">
      <c r="A23" s="3" t="s">
        <v>8366</v>
      </c>
    </row>
    <row r="24" spans="1:1" x14ac:dyDescent="0.3">
      <c r="A24" s="3" t="s">
        <v>8383</v>
      </c>
    </row>
    <row r="25" spans="1:1" x14ac:dyDescent="0.3">
      <c r="A25" s="3" t="s">
        <v>8384</v>
      </c>
    </row>
    <row r="26" spans="1:1" x14ac:dyDescent="0.3">
      <c r="A26" s="3" t="s">
        <v>8385</v>
      </c>
    </row>
    <row r="27" spans="1:1" x14ac:dyDescent="0.3">
      <c r="A27" s="3" t="s">
        <v>8386</v>
      </c>
    </row>
    <row r="28" spans="1:1" x14ac:dyDescent="0.3">
      <c r="A28" s="3" t="s">
        <v>8387</v>
      </c>
    </row>
    <row r="29" spans="1:1" x14ac:dyDescent="0.3">
      <c r="A29" s="3" t="s">
        <v>8388</v>
      </c>
    </row>
    <row r="30" spans="1:1" x14ac:dyDescent="0.3">
      <c r="A30" s="3" t="s">
        <v>8389</v>
      </c>
    </row>
    <row r="31" spans="1:1" x14ac:dyDescent="0.3">
      <c r="A31" s="3" t="s">
        <v>8390</v>
      </c>
    </row>
    <row r="32" spans="1:1" x14ac:dyDescent="0.3">
      <c r="A32" s="3" t="s">
        <v>8391</v>
      </c>
    </row>
    <row r="33" spans="1:1" x14ac:dyDescent="0.3">
      <c r="A33" s="3" t="s">
        <v>8392</v>
      </c>
    </row>
    <row r="34" spans="1:1" x14ac:dyDescent="0.3">
      <c r="A34" s="3" t="s">
        <v>8393</v>
      </c>
    </row>
    <row r="35" spans="1:1" x14ac:dyDescent="0.3">
      <c r="A35" s="3"/>
    </row>
    <row r="36" spans="1:1" x14ac:dyDescent="0.3">
      <c r="A36" s="3"/>
    </row>
    <row r="37" spans="1:1" x14ac:dyDescent="0.3">
      <c r="A37" s="3"/>
    </row>
    <row r="38" spans="1:1" x14ac:dyDescent="0.3">
      <c r="A38" s="3"/>
    </row>
    <row r="39" spans="1:1" x14ac:dyDescent="0.3">
      <c r="A39" s="3"/>
    </row>
    <row r="40" spans="1:1" x14ac:dyDescent="0.3">
      <c r="A40" s="3"/>
    </row>
    <row r="41" spans="1:1" x14ac:dyDescent="0.3">
      <c r="A41" s="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Φύλλο10"/>
  <dimension ref="A1:AH1292"/>
  <sheetViews>
    <sheetView workbookViewId="0">
      <selection activeCell="A8" sqref="A8:AH1286"/>
    </sheetView>
  </sheetViews>
  <sheetFormatPr defaultRowHeight="14.4" x14ac:dyDescent="0.3"/>
  <cols>
    <col min="1" max="2" width="9.109375" style="4"/>
    <col min="3" max="3" width="6" customWidth="1"/>
    <col min="4" max="4" width="27.6640625" bestFit="1" customWidth="1"/>
    <col min="5" max="5" width="24.33203125" bestFit="1" customWidth="1"/>
    <col min="6" max="6" width="24.44140625" bestFit="1" customWidth="1"/>
    <col min="7" max="7" width="10.33203125" bestFit="1" customWidth="1"/>
    <col min="8" max="8" width="6" customWidth="1"/>
  </cols>
  <sheetData>
    <row r="1" spans="1:34" x14ac:dyDescent="0.3">
      <c r="A1" s="3" t="s">
        <v>8494</v>
      </c>
    </row>
    <row r="2" spans="1:34" x14ac:dyDescent="0.3">
      <c r="A2" s="3" t="s">
        <v>8394</v>
      </c>
    </row>
    <row r="3" spans="1:34" x14ac:dyDescent="0.3">
      <c r="A3" s="3" t="s">
        <v>8495</v>
      </c>
    </row>
    <row r="4" spans="1:34" x14ac:dyDescent="0.3">
      <c r="A4" s="3"/>
    </row>
    <row r="5" spans="1:34" x14ac:dyDescent="0.3">
      <c r="A5" s="3" t="s">
        <v>8496</v>
      </c>
    </row>
    <row r="7" spans="1:34" x14ac:dyDescent="0.3">
      <c r="A7" s="4" t="s">
        <v>4</v>
      </c>
      <c r="B7" s="5" t="s">
        <v>32094</v>
      </c>
      <c r="C7" t="s">
        <v>5</v>
      </c>
      <c r="D7" t="s">
        <v>6</v>
      </c>
      <c r="E7" t="s">
        <v>7</v>
      </c>
      <c r="F7" t="s">
        <v>8</v>
      </c>
      <c r="G7" t="s">
        <v>32040</v>
      </c>
      <c r="H7">
        <v>1</v>
      </c>
      <c r="I7">
        <v>2</v>
      </c>
      <c r="J7">
        <v>3</v>
      </c>
      <c r="K7">
        <v>4</v>
      </c>
      <c r="L7">
        <v>5</v>
      </c>
      <c r="M7">
        <v>6</v>
      </c>
      <c r="N7">
        <v>7</v>
      </c>
      <c r="O7">
        <v>8</v>
      </c>
      <c r="P7">
        <v>9</v>
      </c>
      <c r="Q7">
        <v>10</v>
      </c>
      <c r="R7">
        <v>11</v>
      </c>
      <c r="S7">
        <v>12</v>
      </c>
      <c r="T7">
        <v>13</v>
      </c>
      <c r="U7">
        <v>14</v>
      </c>
      <c r="V7">
        <v>15</v>
      </c>
      <c r="W7">
        <v>16</v>
      </c>
      <c r="X7">
        <v>17</v>
      </c>
      <c r="Y7">
        <v>18</v>
      </c>
      <c r="Z7">
        <v>19</v>
      </c>
      <c r="AA7">
        <v>20</v>
      </c>
      <c r="AB7">
        <v>21</v>
      </c>
      <c r="AC7">
        <v>22</v>
      </c>
      <c r="AD7">
        <v>23</v>
      </c>
      <c r="AE7">
        <v>24</v>
      </c>
      <c r="AF7">
        <v>25</v>
      </c>
      <c r="AG7">
        <v>26</v>
      </c>
      <c r="AH7" t="s">
        <v>11</v>
      </c>
    </row>
    <row r="8" spans="1:34" x14ac:dyDescent="0.3">
      <c r="A8" s="4">
        <v>2</v>
      </c>
      <c r="B8" s="5">
        <v>1</v>
      </c>
      <c r="C8">
        <v>4985</v>
      </c>
      <c r="D8" t="s">
        <v>8498</v>
      </c>
      <c r="E8" t="s">
        <v>54</v>
      </c>
      <c r="F8" t="s">
        <v>782</v>
      </c>
      <c r="G8" t="s">
        <v>8499</v>
      </c>
      <c r="H8">
        <v>19.3</v>
      </c>
      <c r="I8">
        <v>0</v>
      </c>
      <c r="J8">
        <v>0</v>
      </c>
      <c r="K8">
        <v>20</v>
      </c>
      <c r="M8">
        <v>5</v>
      </c>
      <c r="O8">
        <v>5</v>
      </c>
      <c r="P8">
        <v>4</v>
      </c>
      <c r="Q8">
        <v>0</v>
      </c>
      <c r="R8">
        <v>48.3</v>
      </c>
      <c r="S8">
        <v>52</v>
      </c>
      <c r="T8">
        <v>52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52</v>
      </c>
      <c r="AB8">
        <v>9</v>
      </c>
      <c r="AC8">
        <v>26.8</v>
      </c>
      <c r="AF8" t="s">
        <v>130</v>
      </c>
      <c r="AH8">
        <v>136.1</v>
      </c>
    </row>
    <row r="9" spans="1:34" x14ac:dyDescent="0.3">
      <c r="A9" s="4">
        <v>3</v>
      </c>
      <c r="B9" s="5">
        <v>2</v>
      </c>
      <c r="C9">
        <v>12557</v>
      </c>
      <c r="D9" t="s">
        <v>8500</v>
      </c>
      <c r="E9" t="s">
        <v>8501</v>
      </c>
      <c r="F9" t="s">
        <v>892</v>
      </c>
      <c r="G9" t="s">
        <v>8502</v>
      </c>
      <c r="H9">
        <v>20.329999999999998</v>
      </c>
      <c r="I9">
        <v>0</v>
      </c>
      <c r="J9">
        <v>0</v>
      </c>
      <c r="K9">
        <v>20</v>
      </c>
      <c r="L9">
        <v>14</v>
      </c>
      <c r="O9">
        <v>14</v>
      </c>
      <c r="P9">
        <v>4</v>
      </c>
      <c r="Q9">
        <v>2</v>
      </c>
      <c r="R9">
        <v>60.33</v>
      </c>
      <c r="S9">
        <v>65</v>
      </c>
      <c r="T9">
        <v>65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65</v>
      </c>
      <c r="AB9">
        <v>6</v>
      </c>
      <c r="AC9">
        <v>0</v>
      </c>
      <c r="AF9" t="s">
        <v>130</v>
      </c>
      <c r="AH9">
        <v>131.33000000000001</v>
      </c>
    </row>
    <row r="10" spans="1:34" x14ac:dyDescent="0.3">
      <c r="A10" s="4">
        <v>4</v>
      </c>
      <c r="B10" s="5">
        <v>3</v>
      </c>
      <c r="C10">
        <v>10062</v>
      </c>
      <c r="D10" t="s">
        <v>8503</v>
      </c>
      <c r="E10" t="s">
        <v>8504</v>
      </c>
      <c r="F10" t="s">
        <v>8505</v>
      </c>
      <c r="G10" t="s">
        <v>8506</v>
      </c>
      <c r="H10">
        <v>17.23</v>
      </c>
      <c r="I10">
        <v>0</v>
      </c>
      <c r="J10">
        <v>0</v>
      </c>
      <c r="K10">
        <v>20</v>
      </c>
      <c r="O10">
        <v>0</v>
      </c>
      <c r="P10">
        <v>4</v>
      </c>
      <c r="Q10">
        <v>0</v>
      </c>
      <c r="R10">
        <v>41.23</v>
      </c>
      <c r="S10">
        <v>52</v>
      </c>
      <c r="T10">
        <v>52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52</v>
      </c>
      <c r="AB10">
        <v>9</v>
      </c>
      <c r="AC10">
        <v>26.8</v>
      </c>
      <c r="AF10" t="s">
        <v>130</v>
      </c>
      <c r="AH10">
        <v>129.03</v>
      </c>
    </row>
    <row r="11" spans="1:34" x14ac:dyDescent="0.3">
      <c r="A11" s="4">
        <v>5</v>
      </c>
      <c r="B11" s="5">
        <v>4</v>
      </c>
      <c r="C11">
        <v>4111</v>
      </c>
      <c r="D11" t="s">
        <v>8507</v>
      </c>
      <c r="E11" t="s">
        <v>29</v>
      </c>
      <c r="F11" t="s">
        <v>81</v>
      </c>
      <c r="G11" t="s">
        <v>8508</v>
      </c>
      <c r="H11">
        <v>21.33</v>
      </c>
      <c r="I11">
        <v>0</v>
      </c>
      <c r="J11">
        <v>40</v>
      </c>
      <c r="K11">
        <v>20</v>
      </c>
      <c r="L11">
        <v>14</v>
      </c>
      <c r="O11">
        <v>14</v>
      </c>
      <c r="P11">
        <v>4</v>
      </c>
      <c r="Q11">
        <v>0</v>
      </c>
      <c r="R11">
        <v>99.33</v>
      </c>
      <c r="S11">
        <v>26</v>
      </c>
      <c r="T11">
        <v>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26</v>
      </c>
      <c r="AB11">
        <v>3</v>
      </c>
      <c r="AC11">
        <v>0</v>
      </c>
      <c r="AD11" t="s">
        <v>130</v>
      </c>
      <c r="AF11" t="s">
        <v>130</v>
      </c>
      <c r="AH11">
        <v>128.33000000000001</v>
      </c>
    </row>
    <row r="12" spans="1:34" x14ac:dyDescent="0.3">
      <c r="A12" s="6">
        <v>6</v>
      </c>
      <c r="B12" s="5">
        <v>5</v>
      </c>
      <c r="C12" s="1">
        <v>2537</v>
      </c>
      <c r="D12" s="1" t="s">
        <v>8509</v>
      </c>
      <c r="E12" s="1" t="s">
        <v>166</v>
      </c>
      <c r="F12" s="1" t="s">
        <v>38</v>
      </c>
      <c r="G12" s="1" t="s">
        <v>8510</v>
      </c>
      <c r="H12" s="1">
        <v>19.899999999999999</v>
      </c>
      <c r="I12" s="1">
        <v>0</v>
      </c>
      <c r="J12" s="1">
        <v>40</v>
      </c>
      <c r="K12" s="1">
        <v>20</v>
      </c>
      <c r="L12" s="1">
        <v>7</v>
      </c>
      <c r="M12" s="1"/>
      <c r="N12" s="1">
        <v>3</v>
      </c>
      <c r="O12" s="1">
        <v>10</v>
      </c>
      <c r="P12" s="1">
        <v>4</v>
      </c>
      <c r="Q12" s="1">
        <v>2</v>
      </c>
      <c r="R12" s="1">
        <v>95.9</v>
      </c>
      <c r="S12" s="1">
        <v>31</v>
      </c>
      <c r="T12" s="1">
        <v>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31</v>
      </c>
      <c r="AB12" s="1">
        <v>0</v>
      </c>
      <c r="AC12" s="1">
        <v>0</v>
      </c>
      <c r="AD12" s="1" t="s">
        <v>130</v>
      </c>
      <c r="AE12" s="1"/>
      <c r="AF12" s="1" t="s">
        <v>130</v>
      </c>
      <c r="AG12" s="1"/>
      <c r="AH12" s="1">
        <v>126.9</v>
      </c>
    </row>
    <row r="13" spans="1:34" x14ac:dyDescent="0.3">
      <c r="A13" s="4">
        <v>8</v>
      </c>
      <c r="B13" s="5">
        <v>6</v>
      </c>
      <c r="C13">
        <v>3968</v>
      </c>
      <c r="D13" t="s">
        <v>3447</v>
      </c>
      <c r="E13" t="s">
        <v>2843</v>
      </c>
      <c r="F13" t="s">
        <v>81</v>
      </c>
      <c r="G13" t="s">
        <v>8511</v>
      </c>
      <c r="H13">
        <v>20.65</v>
      </c>
      <c r="I13">
        <v>7</v>
      </c>
      <c r="J13">
        <v>0</v>
      </c>
      <c r="K13">
        <v>28</v>
      </c>
      <c r="L13">
        <v>7</v>
      </c>
      <c r="N13">
        <v>3</v>
      </c>
      <c r="O13">
        <v>10</v>
      </c>
      <c r="P13">
        <v>4</v>
      </c>
      <c r="Q13">
        <v>2</v>
      </c>
      <c r="R13">
        <v>71.650000000000006</v>
      </c>
      <c r="S13">
        <v>49</v>
      </c>
      <c r="T13">
        <v>49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49</v>
      </c>
      <c r="AB13">
        <v>3</v>
      </c>
      <c r="AC13">
        <v>0</v>
      </c>
      <c r="AF13" t="s">
        <v>130</v>
      </c>
      <c r="AH13">
        <v>123.65</v>
      </c>
    </row>
    <row r="14" spans="1:34" x14ac:dyDescent="0.3">
      <c r="A14" s="4">
        <v>9</v>
      </c>
      <c r="B14" s="5">
        <v>7</v>
      </c>
      <c r="C14">
        <v>5058</v>
      </c>
      <c r="D14" t="s">
        <v>8512</v>
      </c>
      <c r="E14" t="s">
        <v>413</v>
      </c>
      <c r="F14" t="s">
        <v>68</v>
      </c>
      <c r="G14" t="s">
        <v>8513</v>
      </c>
      <c r="H14">
        <v>20</v>
      </c>
      <c r="I14">
        <v>0</v>
      </c>
      <c r="J14">
        <v>0</v>
      </c>
      <c r="K14">
        <v>20</v>
      </c>
      <c r="L14">
        <v>14</v>
      </c>
      <c r="O14">
        <v>14</v>
      </c>
      <c r="P14">
        <v>4</v>
      </c>
      <c r="Q14">
        <v>0</v>
      </c>
      <c r="R14">
        <v>58</v>
      </c>
      <c r="S14">
        <v>59</v>
      </c>
      <c r="T14">
        <v>59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59</v>
      </c>
      <c r="AB14">
        <v>6</v>
      </c>
      <c r="AC14">
        <v>0</v>
      </c>
      <c r="AD14" t="s">
        <v>130</v>
      </c>
      <c r="AF14" t="s">
        <v>130</v>
      </c>
      <c r="AH14">
        <v>123</v>
      </c>
    </row>
    <row r="15" spans="1:34" x14ac:dyDescent="0.3">
      <c r="A15" s="4">
        <v>10</v>
      </c>
      <c r="B15" s="5">
        <v>8</v>
      </c>
      <c r="C15">
        <v>9987</v>
      </c>
      <c r="D15" t="s">
        <v>2008</v>
      </c>
      <c r="E15" t="s">
        <v>41</v>
      </c>
      <c r="F15" t="s">
        <v>17</v>
      </c>
      <c r="G15" t="s">
        <v>8514</v>
      </c>
      <c r="H15">
        <v>22.65</v>
      </c>
      <c r="I15">
        <v>0</v>
      </c>
      <c r="J15">
        <v>40</v>
      </c>
      <c r="K15">
        <v>20</v>
      </c>
      <c r="L15">
        <v>7</v>
      </c>
      <c r="O15">
        <v>7</v>
      </c>
      <c r="P15">
        <v>4</v>
      </c>
      <c r="Q15">
        <v>2</v>
      </c>
      <c r="R15">
        <v>95.65</v>
      </c>
      <c r="S15">
        <v>18</v>
      </c>
      <c r="T15">
        <v>18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18</v>
      </c>
      <c r="AB15">
        <v>9</v>
      </c>
      <c r="AC15">
        <v>0</v>
      </c>
      <c r="AF15" t="s">
        <v>130</v>
      </c>
      <c r="AH15">
        <v>122.65</v>
      </c>
    </row>
    <row r="16" spans="1:34" x14ac:dyDescent="0.3">
      <c r="A16" s="4">
        <v>11</v>
      </c>
      <c r="B16" s="5">
        <v>9</v>
      </c>
      <c r="C16">
        <v>5778</v>
      </c>
      <c r="D16" t="s">
        <v>8515</v>
      </c>
      <c r="E16" t="s">
        <v>8516</v>
      </c>
      <c r="F16" t="s">
        <v>591</v>
      </c>
      <c r="G16" t="s">
        <v>8517</v>
      </c>
      <c r="H16">
        <v>19</v>
      </c>
      <c r="I16">
        <v>0</v>
      </c>
      <c r="J16">
        <v>0</v>
      </c>
      <c r="K16">
        <v>20</v>
      </c>
      <c r="L16">
        <v>7</v>
      </c>
      <c r="O16">
        <v>7</v>
      </c>
      <c r="P16">
        <v>4</v>
      </c>
      <c r="Q16">
        <v>0</v>
      </c>
      <c r="R16">
        <v>50</v>
      </c>
      <c r="S16">
        <v>43</v>
      </c>
      <c r="T16">
        <v>43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43</v>
      </c>
      <c r="AB16">
        <v>6</v>
      </c>
      <c r="AC16">
        <v>20</v>
      </c>
      <c r="AF16" t="s">
        <v>130</v>
      </c>
      <c r="AH16">
        <v>119</v>
      </c>
    </row>
    <row r="17" spans="1:34" x14ac:dyDescent="0.3">
      <c r="A17" s="4">
        <v>12</v>
      </c>
      <c r="B17" s="5">
        <v>10</v>
      </c>
      <c r="C17">
        <v>1523</v>
      </c>
      <c r="D17" t="s">
        <v>1284</v>
      </c>
      <c r="E17" t="s">
        <v>166</v>
      </c>
      <c r="F17" t="s">
        <v>652</v>
      </c>
      <c r="G17" t="s">
        <v>8518</v>
      </c>
      <c r="H17">
        <v>20.73</v>
      </c>
      <c r="I17">
        <v>7</v>
      </c>
      <c r="J17">
        <v>0</v>
      </c>
      <c r="K17">
        <v>20</v>
      </c>
      <c r="L17">
        <v>7</v>
      </c>
      <c r="N17">
        <v>3</v>
      </c>
      <c r="O17">
        <v>10</v>
      </c>
      <c r="P17">
        <v>4</v>
      </c>
      <c r="Q17">
        <v>0</v>
      </c>
      <c r="R17">
        <v>61.73</v>
      </c>
      <c r="S17">
        <v>52</v>
      </c>
      <c r="T17">
        <v>52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52</v>
      </c>
      <c r="AB17">
        <v>3</v>
      </c>
      <c r="AC17">
        <v>0</v>
      </c>
      <c r="AF17" t="s">
        <v>130</v>
      </c>
      <c r="AH17">
        <v>116.73</v>
      </c>
    </row>
    <row r="18" spans="1:34" x14ac:dyDescent="0.3">
      <c r="A18" s="4">
        <v>13</v>
      </c>
      <c r="B18" s="5">
        <v>11</v>
      </c>
      <c r="C18">
        <v>9568</v>
      </c>
      <c r="D18" t="s">
        <v>3309</v>
      </c>
      <c r="E18" t="s">
        <v>208</v>
      </c>
      <c r="F18" t="s">
        <v>136</v>
      </c>
      <c r="G18" t="s">
        <v>8519</v>
      </c>
      <c r="H18">
        <v>18.5</v>
      </c>
      <c r="I18">
        <v>0</v>
      </c>
      <c r="J18">
        <v>0</v>
      </c>
      <c r="K18">
        <v>20</v>
      </c>
      <c r="M18">
        <v>5</v>
      </c>
      <c r="O18">
        <v>5</v>
      </c>
      <c r="P18">
        <v>4</v>
      </c>
      <c r="Q18">
        <v>2</v>
      </c>
      <c r="R18">
        <v>49.5</v>
      </c>
      <c r="S18">
        <v>61</v>
      </c>
      <c r="T18">
        <v>61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61</v>
      </c>
      <c r="AB18">
        <v>6</v>
      </c>
      <c r="AC18">
        <v>0</v>
      </c>
      <c r="AF18" t="s">
        <v>130</v>
      </c>
      <c r="AH18">
        <v>116.5</v>
      </c>
    </row>
    <row r="19" spans="1:34" x14ac:dyDescent="0.3">
      <c r="A19" s="4">
        <v>14</v>
      </c>
      <c r="B19" s="5">
        <v>12</v>
      </c>
      <c r="C19">
        <v>12571</v>
      </c>
      <c r="D19" t="s">
        <v>3704</v>
      </c>
      <c r="E19" t="s">
        <v>5497</v>
      </c>
      <c r="F19" t="s">
        <v>416</v>
      </c>
      <c r="G19" t="s">
        <v>8520</v>
      </c>
      <c r="H19">
        <v>18.149999999999999</v>
      </c>
      <c r="I19">
        <v>0</v>
      </c>
      <c r="J19">
        <v>0</v>
      </c>
      <c r="K19">
        <v>0</v>
      </c>
      <c r="L19">
        <v>7</v>
      </c>
      <c r="O19">
        <v>7</v>
      </c>
      <c r="P19">
        <v>4</v>
      </c>
      <c r="Q19">
        <v>2</v>
      </c>
      <c r="R19">
        <v>31.15</v>
      </c>
      <c r="S19">
        <v>82</v>
      </c>
      <c r="T19">
        <v>82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82</v>
      </c>
      <c r="AB19">
        <v>3</v>
      </c>
      <c r="AC19">
        <v>0</v>
      </c>
      <c r="AD19" t="s">
        <v>130</v>
      </c>
      <c r="AF19" t="s">
        <v>130</v>
      </c>
      <c r="AH19">
        <v>116.15</v>
      </c>
    </row>
    <row r="20" spans="1:34" x14ac:dyDescent="0.3">
      <c r="A20" s="4">
        <v>15</v>
      </c>
      <c r="B20" s="5">
        <v>13</v>
      </c>
      <c r="C20">
        <v>5123</v>
      </c>
      <c r="D20" t="s">
        <v>1286</v>
      </c>
      <c r="E20" t="s">
        <v>1189</v>
      </c>
      <c r="F20" t="s">
        <v>190</v>
      </c>
      <c r="G20" t="s">
        <v>8521</v>
      </c>
      <c r="H20">
        <v>19.3</v>
      </c>
      <c r="I20">
        <v>0</v>
      </c>
      <c r="J20">
        <v>0</v>
      </c>
      <c r="K20">
        <v>20</v>
      </c>
      <c r="L20">
        <v>7</v>
      </c>
      <c r="O20">
        <v>7</v>
      </c>
      <c r="P20">
        <v>4</v>
      </c>
      <c r="Q20">
        <v>2</v>
      </c>
      <c r="R20">
        <v>52.3</v>
      </c>
      <c r="S20">
        <v>62</v>
      </c>
      <c r="T20">
        <v>62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62</v>
      </c>
      <c r="AB20">
        <v>0</v>
      </c>
      <c r="AC20">
        <v>0</v>
      </c>
      <c r="AF20" t="s">
        <v>130</v>
      </c>
      <c r="AH20">
        <v>114.3</v>
      </c>
    </row>
    <row r="21" spans="1:34" x14ac:dyDescent="0.3">
      <c r="A21" s="4">
        <v>16</v>
      </c>
      <c r="B21" s="5">
        <v>14</v>
      </c>
      <c r="C21">
        <v>12665</v>
      </c>
      <c r="D21" t="s">
        <v>8522</v>
      </c>
      <c r="E21" t="s">
        <v>289</v>
      </c>
      <c r="F21" t="s">
        <v>190</v>
      </c>
      <c r="G21" t="s">
        <v>8523</v>
      </c>
      <c r="H21">
        <v>20.3</v>
      </c>
      <c r="I21">
        <v>0</v>
      </c>
      <c r="J21">
        <v>0</v>
      </c>
      <c r="K21">
        <v>20</v>
      </c>
      <c r="M21">
        <v>5</v>
      </c>
      <c r="N21">
        <v>3</v>
      </c>
      <c r="O21">
        <v>8</v>
      </c>
      <c r="P21">
        <v>4</v>
      </c>
      <c r="Q21">
        <v>2</v>
      </c>
      <c r="R21">
        <v>54.3</v>
      </c>
      <c r="S21">
        <v>56</v>
      </c>
      <c r="T21">
        <v>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56</v>
      </c>
      <c r="AB21">
        <v>3</v>
      </c>
      <c r="AC21">
        <v>0</v>
      </c>
      <c r="AF21" t="s">
        <v>130</v>
      </c>
      <c r="AH21">
        <v>113.3</v>
      </c>
    </row>
    <row r="22" spans="1:34" x14ac:dyDescent="0.3">
      <c r="A22" s="4">
        <v>19</v>
      </c>
      <c r="B22" s="5">
        <v>15</v>
      </c>
      <c r="C22">
        <v>7763</v>
      </c>
      <c r="D22" t="s">
        <v>173</v>
      </c>
      <c r="E22" t="s">
        <v>8525</v>
      </c>
      <c r="F22" t="s">
        <v>243</v>
      </c>
      <c r="G22" t="s">
        <v>8526</v>
      </c>
      <c r="H22">
        <v>19.38</v>
      </c>
      <c r="I22">
        <v>0</v>
      </c>
      <c r="J22">
        <v>0</v>
      </c>
      <c r="K22">
        <v>20</v>
      </c>
      <c r="L22">
        <v>7</v>
      </c>
      <c r="O22">
        <v>7</v>
      </c>
      <c r="P22">
        <v>4</v>
      </c>
      <c r="Q22">
        <v>2</v>
      </c>
      <c r="R22">
        <v>52.38</v>
      </c>
      <c r="S22">
        <v>60</v>
      </c>
      <c r="T22">
        <v>60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60</v>
      </c>
      <c r="AB22">
        <v>0</v>
      </c>
      <c r="AC22">
        <v>0</v>
      </c>
      <c r="AD22" t="s">
        <v>130</v>
      </c>
      <c r="AF22" t="s">
        <v>130</v>
      </c>
      <c r="AH22">
        <v>112.38</v>
      </c>
    </row>
    <row r="23" spans="1:34" x14ac:dyDescent="0.3">
      <c r="A23" s="4">
        <v>20</v>
      </c>
      <c r="B23" s="5">
        <v>16</v>
      </c>
      <c r="C23">
        <v>6089</v>
      </c>
      <c r="D23" t="s">
        <v>8527</v>
      </c>
      <c r="E23" t="s">
        <v>2333</v>
      </c>
      <c r="F23" t="s">
        <v>20</v>
      </c>
      <c r="G23" t="s">
        <v>8528</v>
      </c>
      <c r="H23">
        <v>17.93</v>
      </c>
      <c r="I23">
        <v>0</v>
      </c>
      <c r="J23">
        <v>0</v>
      </c>
      <c r="K23">
        <v>20</v>
      </c>
      <c r="L23">
        <v>7</v>
      </c>
      <c r="N23">
        <v>3</v>
      </c>
      <c r="O23">
        <v>10</v>
      </c>
      <c r="P23">
        <v>4</v>
      </c>
      <c r="Q23">
        <v>0</v>
      </c>
      <c r="R23">
        <v>51.93</v>
      </c>
      <c r="S23">
        <v>57</v>
      </c>
      <c r="T23">
        <v>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57</v>
      </c>
      <c r="AB23">
        <v>3</v>
      </c>
      <c r="AC23">
        <v>0</v>
      </c>
      <c r="AF23" t="s">
        <v>130</v>
      </c>
      <c r="AH23">
        <v>111.93</v>
      </c>
    </row>
    <row r="24" spans="1:34" x14ac:dyDescent="0.3">
      <c r="A24" s="4">
        <v>21</v>
      </c>
      <c r="B24" s="5">
        <v>17</v>
      </c>
      <c r="C24">
        <v>6731</v>
      </c>
      <c r="D24" t="s">
        <v>7029</v>
      </c>
      <c r="E24" t="s">
        <v>539</v>
      </c>
      <c r="F24" t="s">
        <v>136</v>
      </c>
      <c r="G24" t="s">
        <v>8529</v>
      </c>
      <c r="H24">
        <v>17.53</v>
      </c>
      <c r="I24">
        <v>0</v>
      </c>
      <c r="J24">
        <v>40</v>
      </c>
      <c r="K24">
        <v>20</v>
      </c>
      <c r="N24">
        <v>3</v>
      </c>
      <c r="O24">
        <v>3</v>
      </c>
      <c r="P24">
        <v>4</v>
      </c>
      <c r="Q24">
        <v>0</v>
      </c>
      <c r="R24">
        <v>84.53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26.8</v>
      </c>
      <c r="AF24" t="s">
        <v>130</v>
      </c>
      <c r="AH24">
        <v>111.33</v>
      </c>
    </row>
    <row r="25" spans="1:34" x14ac:dyDescent="0.3">
      <c r="A25" s="4">
        <v>22</v>
      </c>
      <c r="B25" s="5">
        <v>18</v>
      </c>
      <c r="C25">
        <v>2968</v>
      </c>
      <c r="D25" t="s">
        <v>4809</v>
      </c>
      <c r="E25" t="s">
        <v>54</v>
      </c>
      <c r="F25" t="s">
        <v>381</v>
      </c>
      <c r="G25" t="s">
        <v>8530</v>
      </c>
      <c r="H25">
        <v>17.75</v>
      </c>
      <c r="I25">
        <v>0</v>
      </c>
      <c r="J25">
        <v>0</v>
      </c>
      <c r="K25">
        <v>20</v>
      </c>
      <c r="N25">
        <v>3</v>
      </c>
      <c r="O25">
        <v>3</v>
      </c>
      <c r="P25">
        <v>4</v>
      </c>
      <c r="Q25">
        <v>2</v>
      </c>
      <c r="R25">
        <v>46.75</v>
      </c>
      <c r="S25">
        <v>64</v>
      </c>
      <c r="T25">
        <v>64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64</v>
      </c>
      <c r="AB25">
        <v>0</v>
      </c>
      <c r="AC25">
        <v>0</v>
      </c>
      <c r="AD25" t="s">
        <v>130</v>
      </c>
      <c r="AF25" t="s">
        <v>130</v>
      </c>
      <c r="AH25">
        <v>110.75</v>
      </c>
    </row>
    <row r="26" spans="1:34" x14ac:dyDescent="0.3">
      <c r="A26" s="4">
        <v>23</v>
      </c>
      <c r="B26" s="5">
        <v>19</v>
      </c>
      <c r="C26">
        <v>7339</v>
      </c>
      <c r="D26" t="s">
        <v>8531</v>
      </c>
      <c r="E26" t="s">
        <v>30</v>
      </c>
      <c r="F26" t="s">
        <v>38</v>
      </c>
      <c r="G26" t="s">
        <v>8532</v>
      </c>
      <c r="H26">
        <v>19.579999999999998</v>
      </c>
      <c r="I26">
        <v>0</v>
      </c>
      <c r="J26">
        <v>40</v>
      </c>
      <c r="K26">
        <v>20</v>
      </c>
      <c r="L26">
        <v>7</v>
      </c>
      <c r="O26">
        <v>7</v>
      </c>
      <c r="P26">
        <v>4</v>
      </c>
      <c r="Q26">
        <v>2</v>
      </c>
      <c r="R26">
        <v>92.58</v>
      </c>
      <c r="S26">
        <v>18</v>
      </c>
      <c r="T26">
        <v>18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18</v>
      </c>
      <c r="AB26">
        <v>0</v>
      </c>
      <c r="AC26">
        <v>0</v>
      </c>
      <c r="AF26" t="s">
        <v>130</v>
      </c>
      <c r="AH26">
        <v>110.58</v>
      </c>
    </row>
    <row r="27" spans="1:34" x14ac:dyDescent="0.3">
      <c r="A27" s="4">
        <v>24</v>
      </c>
      <c r="B27" s="5">
        <v>20</v>
      </c>
      <c r="C27">
        <v>4583</v>
      </c>
      <c r="D27" t="s">
        <v>8533</v>
      </c>
      <c r="E27" t="s">
        <v>424</v>
      </c>
      <c r="F27" t="s">
        <v>8534</v>
      </c>
      <c r="G27" t="s">
        <v>8535</v>
      </c>
      <c r="H27">
        <v>19.079999999999998</v>
      </c>
      <c r="I27">
        <v>0</v>
      </c>
      <c r="J27">
        <v>0</v>
      </c>
      <c r="K27">
        <v>20</v>
      </c>
      <c r="N27">
        <v>3</v>
      </c>
      <c r="O27">
        <v>3</v>
      </c>
      <c r="P27">
        <v>4</v>
      </c>
      <c r="Q27">
        <v>2</v>
      </c>
      <c r="R27">
        <v>48.08</v>
      </c>
      <c r="S27">
        <v>50</v>
      </c>
      <c r="T27">
        <v>50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50</v>
      </c>
      <c r="AB27">
        <v>9</v>
      </c>
      <c r="AC27">
        <v>0</v>
      </c>
      <c r="AD27" t="s">
        <v>130</v>
      </c>
      <c r="AF27" t="s">
        <v>130</v>
      </c>
      <c r="AH27">
        <v>107.08</v>
      </c>
    </row>
    <row r="28" spans="1:34" x14ac:dyDescent="0.3">
      <c r="A28" s="4">
        <v>25</v>
      </c>
      <c r="B28" s="5">
        <v>21</v>
      </c>
      <c r="C28">
        <v>13398</v>
      </c>
      <c r="D28" t="s">
        <v>2365</v>
      </c>
      <c r="E28" t="s">
        <v>26</v>
      </c>
      <c r="F28" t="s">
        <v>81</v>
      </c>
      <c r="G28" t="s">
        <v>8536</v>
      </c>
      <c r="H28">
        <v>18.600000000000001</v>
      </c>
      <c r="I28">
        <v>0</v>
      </c>
      <c r="J28">
        <v>0</v>
      </c>
      <c r="K28">
        <v>20</v>
      </c>
      <c r="L28">
        <v>7</v>
      </c>
      <c r="M28">
        <v>5</v>
      </c>
      <c r="O28">
        <v>12</v>
      </c>
      <c r="P28">
        <v>4</v>
      </c>
      <c r="Q28">
        <v>2</v>
      </c>
      <c r="R28">
        <v>56.6</v>
      </c>
      <c r="S28">
        <v>50</v>
      </c>
      <c r="T28">
        <v>50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50</v>
      </c>
      <c r="AB28">
        <v>0</v>
      </c>
      <c r="AC28">
        <v>0</v>
      </c>
      <c r="AD28" t="s">
        <v>130</v>
      </c>
      <c r="AF28" t="s">
        <v>130</v>
      </c>
      <c r="AH28">
        <v>106.6</v>
      </c>
    </row>
    <row r="29" spans="1:34" x14ac:dyDescent="0.3">
      <c r="A29" s="4">
        <v>27</v>
      </c>
      <c r="B29" s="5">
        <v>22</v>
      </c>
      <c r="C29">
        <v>2764</v>
      </c>
      <c r="D29" t="s">
        <v>8537</v>
      </c>
      <c r="E29" t="s">
        <v>33</v>
      </c>
      <c r="F29" t="s">
        <v>81</v>
      </c>
      <c r="G29" t="s">
        <v>8538</v>
      </c>
      <c r="H29">
        <v>19.579999999999998</v>
      </c>
      <c r="I29">
        <v>0</v>
      </c>
      <c r="J29">
        <v>0</v>
      </c>
      <c r="K29">
        <v>28</v>
      </c>
      <c r="N29">
        <v>6</v>
      </c>
      <c r="O29">
        <v>6</v>
      </c>
      <c r="P29">
        <v>4</v>
      </c>
      <c r="Q29">
        <v>2</v>
      </c>
      <c r="R29">
        <v>59.58</v>
      </c>
      <c r="S29">
        <v>46</v>
      </c>
      <c r="T29">
        <v>46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46</v>
      </c>
      <c r="AB29">
        <v>0</v>
      </c>
      <c r="AC29">
        <v>0</v>
      </c>
      <c r="AF29" t="s">
        <v>130</v>
      </c>
      <c r="AH29">
        <v>105.58</v>
      </c>
    </row>
    <row r="30" spans="1:34" x14ac:dyDescent="0.3">
      <c r="A30" s="4">
        <v>28</v>
      </c>
      <c r="B30" s="5">
        <v>23</v>
      </c>
      <c r="C30">
        <v>10093</v>
      </c>
      <c r="D30" t="s">
        <v>8539</v>
      </c>
      <c r="E30" t="s">
        <v>188</v>
      </c>
      <c r="F30" t="s">
        <v>17</v>
      </c>
      <c r="G30" t="s">
        <v>8540</v>
      </c>
      <c r="H30">
        <v>20.58</v>
      </c>
      <c r="I30">
        <v>0</v>
      </c>
      <c r="J30">
        <v>0</v>
      </c>
      <c r="K30">
        <v>20</v>
      </c>
      <c r="L30">
        <v>7</v>
      </c>
      <c r="O30">
        <v>7</v>
      </c>
      <c r="P30">
        <v>4</v>
      </c>
      <c r="Q30">
        <v>2</v>
      </c>
      <c r="R30">
        <v>53.58</v>
      </c>
      <c r="S30">
        <v>52</v>
      </c>
      <c r="T30">
        <v>52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52</v>
      </c>
      <c r="AB30">
        <v>0</v>
      </c>
      <c r="AC30">
        <v>0</v>
      </c>
      <c r="AD30" t="s">
        <v>130</v>
      </c>
      <c r="AF30" t="s">
        <v>130</v>
      </c>
      <c r="AH30">
        <v>105.58</v>
      </c>
    </row>
    <row r="31" spans="1:34" x14ac:dyDescent="0.3">
      <c r="A31" s="4">
        <v>30</v>
      </c>
      <c r="B31" s="5">
        <v>24</v>
      </c>
      <c r="C31">
        <v>7259</v>
      </c>
      <c r="D31" t="s">
        <v>8541</v>
      </c>
      <c r="E31" t="s">
        <v>1576</v>
      </c>
      <c r="F31" t="s">
        <v>38</v>
      </c>
      <c r="G31" t="s">
        <v>8542</v>
      </c>
      <c r="H31">
        <v>17.329999999999998</v>
      </c>
      <c r="I31">
        <v>0</v>
      </c>
      <c r="J31">
        <v>0</v>
      </c>
      <c r="K31">
        <v>20</v>
      </c>
      <c r="N31">
        <v>3</v>
      </c>
      <c r="O31">
        <v>3</v>
      </c>
      <c r="P31">
        <v>4</v>
      </c>
      <c r="Q31">
        <v>2</v>
      </c>
      <c r="R31">
        <v>46.33</v>
      </c>
      <c r="S31">
        <v>59</v>
      </c>
      <c r="T31">
        <v>59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59</v>
      </c>
      <c r="AB31">
        <v>0</v>
      </c>
      <c r="AC31">
        <v>0</v>
      </c>
      <c r="AD31" t="s">
        <v>130</v>
      </c>
      <c r="AF31" t="s">
        <v>130</v>
      </c>
      <c r="AH31">
        <v>105.33</v>
      </c>
    </row>
    <row r="32" spans="1:34" x14ac:dyDescent="0.3">
      <c r="A32" s="4">
        <v>32</v>
      </c>
      <c r="B32" s="5">
        <v>25</v>
      </c>
      <c r="C32">
        <v>14710</v>
      </c>
      <c r="D32" t="s">
        <v>8543</v>
      </c>
      <c r="E32" t="s">
        <v>4935</v>
      </c>
      <c r="F32" t="s">
        <v>17</v>
      </c>
      <c r="G32" t="s">
        <v>8544</v>
      </c>
      <c r="H32">
        <v>23.13</v>
      </c>
      <c r="I32">
        <v>7</v>
      </c>
      <c r="J32">
        <v>0</v>
      </c>
      <c r="K32">
        <v>20</v>
      </c>
      <c r="L32">
        <v>7</v>
      </c>
      <c r="O32">
        <v>7</v>
      </c>
      <c r="P32">
        <v>4</v>
      </c>
      <c r="Q32">
        <v>2</v>
      </c>
      <c r="R32">
        <v>63.13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</v>
      </c>
      <c r="AC32">
        <v>38.799999999999997</v>
      </c>
      <c r="AF32" t="s">
        <v>130</v>
      </c>
      <c r="AH32">
        <v>104.93</v>
      </c>
    </row>
    <row r="33" spans="1:34" x14ac:dyDescent="0.3">
      <c r="A33" s="4">
        <v>34</v>
      </c>
      <c r="B33" s="5">
        <v>26</v>
      </c>
      <c r="C33">
        <v>2927</v>
      </c>
      <c r="D33" t="s">
        <v>3027</v>
      </c>
      <c r="E33" t="s">
        <v>132</v>
      </c>
      <c r="F33" t="s">
        <v>328</v>
      </c>
      <c r="G33" t="s">
        <v>8545</v>
      </c>
      <c r="H33">
        <v>20.5</v>
      </c>
      <c r="I33">
        <v>0</v>
      </c>
      <c r="J33">
        <v>0</v>
      </c>
      <c r="K33">
        <v>0</v>
      </c>
      <c r="L33">
        <v>7</v>
      </c>
      <c r="O33">
        <v>7</v>
      </c>
      <c r="P33">
        <v>4</v>
      </c>
      <c r="Q33">
        <v>2</v>
      </c>
      <c r="R33">
        <v>33.5</v>
      </c>
      <c r="S33">
        <v>64</v>
      </c>
      <c r="T33">
        <v>64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64</v>
      </c>
      <c r="AB33">
        <v>6</v>
      </c>
      <c r="AC33">
        <v>0</v>
      </c>
      <c r="AF33" t="s">
        <v>130</v>
      </c>
      <c r="AH33">
        <v>103.5</v>
      </c>
    </row>
    <row r="34" spans="1:34" x14ac:dyDescent="0.3">
      <c r="A34" s="4">
        <v>35</v>
      </c>
      <c r="B34" s="5">
        <v>27</v>
      </c>
      <c r="C34">
        <v>10402</v>
      </c>
      <c r="D34" t="s">
        <v>8546</v>
      </c>
      <c r="E34" t="s">
        <v>97</v>
      </c>
      <c r="F34" t="s">
        <v>8147</v>
      </c>
      <c r="G34" t="s">
        <v>8547</v>
      </c>
      <c r="H34">
        <v>23.25</v>
      </c>
      <c r="I34">
        <v>0</v>
      </c>
      <c r="J34">
        <v>0</v>
      </c>
      <c r="K34">
        <v>20</v>
      </c>
      <c r="L34">
        <v>14</v>
      </c>
      <c r="O34">
        <v>14</v>
      </c>
      <c r="P34">
        <v>4</v>
      </c>
      <c r="Q34">
        <v>2</v>
      </c>
      <c r="R34">
        <v>63.25</v>
      </c>
      <c r="S34">
        <v>37</v>
      </c>
      <c r="T34">
        <v>37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37</v>
      </c>
      <c r="AB34">
        <v>3</v>
      </c>
      <c r="AC34">
        <v>0</v>
      </c>
      <c r="AF34" t="s">
        <v>130</v>
      </c>
      <c r="AH34">
        <v>103.25</v>
      </c>
    </row>
    <row r="35" spans="1:34" x14ac:dyDescent="0.3">
      <c r="A35" s="4">
        <v>36</v>
      </c>
      <c r="B35" s="5">
        <v>28</v>
      </c>
      <c r="C35">
        <v>9328</v>
      </c>
      <c r="D35" t="s">
        <v>1613</v>
      </c>
      <c r="E35" t="s">
        <v>33</v>
      </c>
      <c r="F35" t="s">
        <v>136</v>
      </c>
      <c r="G35" t="s">
        <v>8548</v>
      </c>
      <c r="H35">
        <v>25</v>
      </c>
      <c r="I35">
        <v>0</v>
      </c>
      <c r="J35">
        <v>0</v>
      </c>
      <c r="K35">
        <v>20</v>
      </c>
      <c r="L35">
        <v>7</v>
      </c>
      <c r="M35">
        <v>5</v>
      </c>
      <c r="O35">
        <v>12</v>
      </c>
      <c r="P35">
        <v>4</v>
      </c>
      <c r="Q35">
        <v>2</v>
      </c>
      <c r="R35">
        <v>63</v>
      </c>
      <c r="S35">
        <v>33</v>
      </c>
      <c r="T35">
        <v>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33</v>
      </c>
      <c r="AB35">
        <v>6</v>
      </c>
      <c r="AC35">
        <v>0</v>
      </c>
      <c r="AD35" t="s">
        <v>130</v>
      </c>
      <c r="AF35" t="s">
        <v>130</v>
      </c>
      <c r="AH35">
        <v>102</v>
      </c>
    </row>
    <row r="36" spans="1:34" x14ac:dyDescent="0.3">
      <c r="A36" s="4">
        <v>37</v>
      </c>
      <c r="B36" s="5">
        <v>29</v>
      </c>
      <c r="C36">
        <v>7577</v>
      </c>
      <c r="D36" t="s">
        <v>8549</v>
      </c>
      <c r="E36" t="s">
        <v>8550</v>
      </c>
      <c r="F36" t="s">
        <v>179</v>
      </c>
      <c r="G36" t="s">
        <v>8551</v>
      </c>
      <c r="H36">
        <v>18.5</v>
      </c>
      <c r="I36">
        <v>0</v>
      </c>
      <c r="J36">
        <v>0</v>
      </c>
      <c r="K36">
        <v>28</v>
      </c>
      <c r="L36">
        <v>7</v>
      </c>
      <c r="O36">
        <v>7</v>
      </c>
      <c r="P36">
        <v>4</v>
      </c>
      <c r="Q36">
        <v>2</v>
      </c>
      <c r="R36">
        <v>59.5</v>
      </c>
      <c r="S36">
        <v>39</v>
      </c>
      <c r="T36">
        <v>39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39</v>
      </c>
      <c r="AB36">
        <v>3</v>
      </c>
      <c r="AC36">
        <v>0</v>
      </c>
      <c r="AF36" t="s">
        <v>130</v>
      </c>
      <c r="AH36">
        <v>101.5</v>
      </c>
    </row>
    <row r="37" spans="1:34" x14ac:dyDescent="0.3">
      <c r="A37" s="4">
        <v>38</v>
      </c>
      <c r="B37" s="5">
        <v>30</v>
      </c>
      <c r="C37">
        <v>10713</v>
      </c>
      <c r="D37" t="s">
        <v>8552</v>
      </c>
      <c r="E37" t="s">
        <v>37</v>
      </c>
      <c r="F37" t="s">
        <v>158</v>
      </c>
      <c r="G37" t="s">
        <v>8553</v>
      </c>
      <c r="H37">
        <v>18.3</v>
      </c>
      <c r="I37">
        <v>0</v>
      </c>
      <c r="J37">
        <v>0</v>
      </c>
      <c r="K37">
        <v>20</v>
      </c>
      <c r="O37">
        <v>0</v>
      </c>
      <c r="P37">
        <v>4</v>
      </c>
      <c r="Q37">
        <v>2</v>
      </c>
      <c r="R37">
        <v>44.3</v>
      </c>
      <c r="S37">
        <v>57</v>
      </c>
      <c r="T37">
        <v>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57</v>
      </c>
      <c r="AB37">
        <v>0</v>
      </c>
      <c r="AC37">
        <v>0</v>
      </c>
      <c r="AD37" t="s">
        <v>130</v>
      </c>
      <c r="AF37" t="s">
        <v>130</v>
      </c>
      <c r="AH37">
        <v>101.3</v>
      </c>
    </row>
    <row r="38" spans="1:34" x14ac:dyDescent="0.3">
      <c r="A38" s="4">
        <v>39</v>
      </c>
      <c r="B38" s="5">
        <v>31</v>
      </c>
      <c r="C38">
        <v>5549</v>
      </c>
      <c r="D38" t="s">
        <v>3420</v>
      </c>
      <c r="E38" t="s">
        <v>1508</v>
      </c>
      <c r="F38" t="s">
        <v>101</v>
      </c>
      <c r="G38" t="s">
        <v>3421</v>
      </c>
      <c r="H38">
        <v>18.8</v>
      </c>
      <c r="I38">
        <v>0</v>
      </c>
      <c r="J38">
        <v>0</v>
      </c>
      <c r="K38">
        <v>20</v>
      </c>
      <c r="L38">
        <v>7</v>
      </c>
      <c r="O38">
        <v>7</v>
      </c>
      <c r="P38">
        <v>4</v>
      </c>
      <c r="Q38">
        <v>2</v>
      </c>
      <c r="R38">
        <v>51.8</v>
      </c>
      <c r="S38">
        <v>43</v>
      </c>
      <c r="T38">
        <v>43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43</v>
      </c>
      <c r="AB38">
        <v>6</v>
      </c>
      <c r="AC38">
        <v>0</v>
      </c>
      <c r="AF38" t="s">
        <v>130</v>
      </c>
      <c r="AH38">
        <v>100.8</v>
      </c>
    </row>
    <row r="39" spans="1:34" x14ac:dyDescent="0.3">
      <c r="A39" s="4">
        <v>40</v>
      </c>
      <c r="B39" s="5">
        <v>32</v>
      </c>
      <c r="C39">
        <v>4711</v>
      </c>
      <c r="D39" t="s">
        <v>8554</v>
      </c>
      <c r="E39" t="s">
        <v>33</v>
      </c>
      <c r="F39" t="s">
        <v>38</v>
      </c>
      <c r="G39" t="s">
        <v>8555</v>
      </c>
      <c r="H39">
        <v>20.65</v>
      </c>
      <c r="I39">
        <v>0</v>
      </c>
      <c r="J39">
        <v>0</v>
      </c>
      <c r="K39">
        <v>20</v>
      </c>
      <c r="L39">
        <v>7</v>
      </c>
      <c r="O39">
        <v>7</v>
      </c>
      <c r="P39">
        <v>4</v>
      </c>
      <c r="Q39">
        <v>2</v>
      </c>
      <c r="R39">
        <v>53.65</v>
      </c>
      <c r="S39">
        <v>41</v>
      </c>
      <c r="T39">
        <v>41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41</v>
      </c>
      <c r="AB39">
        <v>6</v>
      </c>
      <c r="AC39">
        <v>0</v>
      </c>
      <c r="AD39" t="s">
        <v>130</v>
      </c>
      <c r="AF39" t="s">
        <v>130</v>
      </c>
      <c r="AH39">
        <v>100.65</v>
      </c>
    </row>
    <row r="40" spans="1:34" x14ac:dyDescent="0.3">
      <c r="A40" s="4">
        <v>41</v>
      </c>
      <c r="B40" s="5">
        <v>33</v>
      </c>
      <c r="C40">
        <v>5306</v>
      </c>
      <c r="D40" t="s">
        <v>8556</v>
      </c>
      <c r="E40" t="s">
        <v>8557</v>
      </c>
      <c r="F40" t="s">
        <v>343</v>
      </c>
      <c r="G40" t="s">
        <v>8558</v>
      </c>
      <c r="H40">
        <v>20.43</v>
      </c>
      <c r="I40">
        <v>0</v>
      </c>
      <c r="J40">
        <v>0</v>
      </c>
      <c r="K40">
        <v>0</v>
      </c>
      <c r="L40">
        <v>7</v>
      </c>
      <c r="N40">
        <v>3</v>
      </c>
      <c r="O40">
        <v>10</v>
      </c>
      <c r="P40">
        <v>4</v>
      </c>
      <c r="Q40">
        <v>2</v>
      </c>
      <c r="R40">
        <v>36.43</v>
      </c>
      <c r="S40">
        <v>58</v>
      </c>
      <c r="T40">
        <v>58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58</v>
      </c>
      <c r="AB40">
        <v>6</v>
      </c>
      <c r="AC40">
        <v>0</v>
      </c>
      <c r="AF40" t="s">
        <v>130</v>
      </c>
      <c r="AH40">
        <v>100.43</v>
      </c>
    </row>
    <row r="41" spans="1:34" x14ac:dyDescent="0.3">
      <c r="A41" s="4">
        <v>42</v>
      </c>
      <c r="B41" s="5">
        <v>34</v>
      </c>
      <c r="C41">
        <v>12683</v>
      </c>
      <c r="D41" t="s">
        <v>5697</v>
      </c>
      <c r="E41" t="s">
        <v>126</v>
      </c>
      <c r="F41" t="s">
        <v>20</v>
      </c>
      <c r="G41" t="s">
        <v>8559</v>
      </c>
      <c r="H41">
        <v>18.18</v>
      </c>
      <c r="I41">
        <v>0</v>
      </c>
      <c r="J41">
        <v>0</v>
      </c>
      <c r="K41">
        <v>20</v>
      </c>
      <c r="L41">
        <v>14</v>
      </c>
      <c r="O41">
        <v>14</v>
      </c>
      <c r="P41">
        <v>4</v>
      </c>
      <c r="Q41">
        <v>2</v>
      </c>
      <c r="R41">
        <v>58.18</v>
      </c>
      <c r="S41">
        <v>42</v>
      </c>
      <c r="T41">
        <v>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42</v>
      </c>
      <c r="AB41">
        <v>0</v>
      </c>
      <c r="AC41">
        <v>0</v>
      </c>
      <c r="AF41" t="s">
        <v>130</v>
      </c>
      <c r="AH41">
        <v>100.18</v>
      </c>
    </row>
    <row r="42" spans="1:34" x14ac:dyDescent="0.3">
      <c r="A42" s="4">
        <v>43</v>
      </c>
      <c r="B42" s="5">
        <v>35</v>
      </c>
      <c r="C42">
        <v>9307</v>
      </c>
      <c r="D42" t="s">
        <v>207</v>
      </c>
      <c r="E42" t="s">
        <v>33</v>
      </c>
      <c r="F42" t="s">
        <v>20</v>
      </c>
      <c r="G42" t="s">
        <v>8560</v>
      </c>
      <c r="H42">
        <v>20</v>
      </c>
      <c r="I42">
        <v>0</v>
      </c>
      <c r="J42">
        <v>40</v>
      </c>
      <c r="K42">
        <v>20</v>
      </c>
      <c r="L42">
        <v>14</v>
      </c>
      <c r="O42">
        <v>14</v>
      </c>
      <c r="P42">
        <v>0</v>
      </c>
      <c r="Q42">
        <v>0</v>
      </c>
      <c r="R42">
        <v>94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6</v>
      </c>
      <c r="AC42">
        <v>0</v>
      </c>
      <c r="AF42" t="s">
        <v>130</v>
      </c>
      <c r="AH42">
        <v>100</v>
      </c>
    </row>
    <row r="43" spans="1:34" x14ac:dyDescent="0.3">
      <c r="A43" s="4">
        <v>44</v>
      </c>
      <c r="B43" s="5">
        <v>36</v>
      </c>
      <c r="C43">
        <v>6891</v>
      </c>
      <c r="D43" t="s">
        <v>8561</v>
      </c>
      <c r="E43" t="s">
        <v>8562</v>
      </c>
      <c r="F43" t="s">
        <v>17</v>
      </c>
      <c r="G43" t="s">
        <v>8563</v>
      </c>
      <c r="H43">
        <v>19.829999999999998</v>
      </c>
      <c r="I43">
        <v>0</v>
      </c>
      <c r="J43">
        <v>0</v>
      </c>
      <c r="K43">
        <v>0</v>
      </c>
      <c r="L43">
        <v>7</v>
      </c>
      <c r="N43">
        <v>3</v>
      </c>
      <c r="O43">
        <v>10</v>
      </c>
      <c r="P43">
        <v>4</v>
      </c>
      <c r="Q43">
        <v>2</v>
      </c>
      <c r="R43">
        <v>35.83</v>
      </c>
      <c r="S43">
        <v>64</v>
      </c>
      <c r="T43">
        <v>64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64</v>
      </c>
      <c r="AB43">
        <v>0</v>
      </c>
      <c r="AC43">
        <v>0</v>
      </c>
      <c r="AD43" t="s">
        <v>130</v>
      </c>
      <c r="AF43" t="s">
        <v>130</v>
      </c>
      <c r="AH43">
        <v>99.83</v>
      </c>
    </row>
    <row r="44" spans="1:34" x14ac:dyDescent="0.3">
      <c r="A44" s="4">
        <v>45</v>
      </c>
      <c r="B44" s="5">
        <v>37</v>
      </c>
      <c r="C44">
        <v>8883</v>
      </c>
      <c r="D44" t="s">
        <v>8564</v>
      </c>
      <c r="E44" t="s">
        <v>8565</v>
      </c>
      <c r="F44" t="s">
        <v>136</v>
      </c>
      <c r="G44" t="s">
        <v>8566</v>
      </c>
      <c r="H44">
        <v>21.93</v>
      </c>
      <c r="I44">
        <v>0</v>
      </c>
      <c r="J44">
        <v>0</v>
      </c>
      <c r="K44">
        <v>20</v>
      </c>
      <c r="L44">
        <v>7</v>
      </c>
      <c r="O44">
        <v>7</v>
      </c>
      <c r="P44">
        <v>4</v>
      </c>
      <c r="Q44">
        <v>2</v>
      </c>
      <c r="R44">
        <v>54.93</v>
      </c>
      <c r="S44">
        <v>18</v>
      </c>
      <c r="T44">
        <v>18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18</v>
      </c>
      <c r="AB44">
        <v>0</v>
      </c>
      <c r="AC44">
        <v>26.8</v>
      </c>
      <c r="AF44" t="s">
        <v>130</v>
      </c>
      <c r="AH44">
        <v>99.73</v>
      </c>
    </row>
    <row r="45" spans="1:34" x14ac:dyDescent="0.3">
      <c r="A45" s="4">
        <v>46</v>
      </c>
      <c r="B45" s="5">
        <v>38</v>
      </c>
      <c r="C45">
        <v>13267</v>
      </c>
      <c r="D45" t="s">
        <v>8567</v>
      </c>
      <c r="E45" t="s">
        <v>126</v>
      </c>
      <c r="F45" t="s">
        <v>17</v>
      </c>
      <c r="G45" t="s">
        <v>32041</v>
      </c>
      <c r="H45">
        <v>21.45</v>
      </c>
      <c r="I45">
        <v>0</v>
      </c>
      <c r="J45">
        <v>0</v>
      </c>
      <c r="K45">
        <v>0</v>
      </c>
      <c r="N45">
        <v>3</v>
      </c>
      <c r="O45">
        <v>3</v>
      </c>
      <c r="P45">
        <v>4</v>
      </c>
      <c r="Q45">
        <v>2</v>
      </c>
      <c r="R45">
        <v>30.45</v>
      </c>
      <c r="S45">
        <v>33</v>
      </c>
      <c r="T45">
        <v>33</v>
      </c>
      <c r="U45">
        <v>18</v>
      </c>
      <c r="V45">
        <v>36</v>
      </c>
      <c r="W45">
        <v>0</v>
      </c>
      <c r="X45">
        <v>0</v>
      </c>
      <c r="Y45">
        <v>0</v>
      </c>
      <c r="Z45">
        <v>0</v>
      </c>
      <c r="AA45">
        <v>69</v>
      </c>
      <c r="AB45">
        <v>0</v>
      </c>
      <c r="AC45">
        <v>0</v>
      </c>
      <c r="AF45" t="s">
        <v>130</v>
      </c>
      <c r="AH45">
        <v>99.45</v>
      </c>
    </row>
    <row r="46" spans="1:34" x14ac:dyDescent="0.3">
      <c r="A46" s="4">
        <v>47</v>
      </c>
      <c r="B46" s="5">
        <v>39</v>
      </c>
      <c r="C46">
        <v>4541</v>
      </c>
      <c r="D46" t="s">
        <v>7344</v>
      </c>
      <c r="E46" t="s">
        <v>188</v>
      </c>
      <c r="F46" t="s">
        <v>385</v>
      </c>
      <c r="G46" t="s">
        <v>8568</v>
      </c>
      <c r="H46">
        <v>18.93</v>
      </c>
      <c r="I46">
        <v>0</v>
      </c>
      <c r="J46">
        <v>0</v>
      </c>
      <c r="K46">
        <v>20</v>
      </c>
      <c r="L46">
        <v>7</v>
      </c>
      <c r="O46">
        <v>7</v>
      </c>
      <c r="P46">
        <v>4</v>
      </c>
      <c r="Q46">
        <v>2</v>
      </c>
      <c r="R46">
        <v>51.93</v>
      </c>
      <c r="S46">
        <v>47</v>
      </c>
      <c r="T46">
        <v>47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47</v>
      </c>
      <c r="AB46">
        <v>0</v>
      </c>
      <c r="AC46">
        <v>0</v>
      </c>
      <c r="AF46" t="s">
        <v>130</v>
      </c>
      <c r="AH46">
        <v>98.93</v>
      </c>
    </row>
    <row r="47" spans="1:34" x14ac:dyDescent="0.3">
      <c r="A47" s="4">
        <v>48</v>
      </c>
      <c r="B47" s="5">
        <v>40</v>
      </c>
      <c r="C47">
        <v>12932</v>
      </c>
      <c r="D47" t="s">
        <v>8569</v>
      </c>
      <c r="E47" t="s">
        <v>8570</v>
      </c>
      <c r="F47" t="s">
        <v>328</v>
      </c>
      <c r="G47" t="s">
        <v>8571</v>
      </c>
      <c r="H47">
        <v>20.85</v>
      </c>
      <c r="I47">
        <v>7</v>
      </c>
      <c r="J47">
        <v>0</v>
      </c>
      <c r="K47">
        <v>20</v>
      </c>
      <c r="L47">
        <v>7</v>
      </c>
      <c r="N47">
        <v>3</v>
      </c>
      <c r="O47">
        <v>10</v>
      </c>
      <c r="P47">
        <v>4</v>
      </c>
      <c r="Q47">
        <v>0</v>
      </c>
      <c r="R47">
        <v>61.85</v>
      </c>
      <c r="S47">
        <v>37</v>
      </c>
      <c r="T47">
        <v>37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37</v>
      </c>
      <c r="AB47">
        <v>0</v>
      </c>
      <c r="AC47">
        <v>0</v>
      </c>
      <c r="AE47" t="s">
        <v>130</v>
      </c>
      <c r="AF47" t="s">
        <v>130</v>
      </c>
      <c r="AH47">
        <v>98.85</v>
      </c>
    </row>
    <row r="48" spans="1:34" x14ac:dyDescent="0.3">
      <c r="A48" s="4">
        <v>49</v>
      </c>
      <c r="B48" s="5">
        <v>41</v>
      </c>
      <c r="C48">
        <v>9904</v>
      </c>
      <c r="D48" t="s">
        <v>3704</v>
      </c>
      <c r="E48" t="s">
        <v>8216</v>
      </c>
      <c r="F48" t="s">
        <v>741</v>
      </c>
      <c r="G48" t="s">
        <v>8572</v>
      </c>
      <c r="H48">
        <v>19.43</v>
      </c>
      <c r="I48">
        <v>7</v>
      </c>
      <c r="J48">
        <v>0</v>
      </c>
      <c r="K48">
        <v>20</v>
      </c>
      <c r="N48">
        <v>3</v>
      </c>
      <c r="O48">
        <v>3</v>
      </c>
      <c r="P48">
        <v>4</v>
      </c>
      <c r="Q48">
        <v>2</v>
      </c>
      <c r="R48">
        <v>55.43</v>
      </c>
      <c r="S48">
        <v>27</v>
      </c>
      <c r="T48">
        <v>27</v>
      </c>
      <c r="U48">
        <v>8</v>
      </c>
      <c r="V48">
        <v>16</v>
      </c>
      <c r="W48">
        <v>0</v>
      </c>
      <c r="X48">
        <v>0</v>
      </c>
      <c r="Y48">
        <v>0</v>
      </c>
      <c r="Z48">
        <v>0</v>
      </c>
      <c r="AA48">
        <v>43</v>
      </c>
      <c r="AB48">
        <v>0</v>
      </c>
      <c r="AC48">
        <v>0</v>
      </c>
      <c r="AE48" t="s">
        <v>130</v>
      </c>
      <c r="AF48" t="s">
        <v>130</v>
      </c>
      <c r="AH48">
        <v>98.43</v>
      </c>
    </row>
    <row r="49" spans="1:34" x14ac:dyDescent="0.3">
      <c r="A49" s="4">
        <v>50</v>
      </c>
      <c r="B49" s="5">
        <v>42</v>
      </c>
      <c r="C49">
        <v>1464</v>
      </c>
      <c r="D49" t="s">
        <v>7325</v>
      </c>
      <c r="E49" t="s">
        <v>738</v>
      </c>
      <c r="F49" t="s">
        <v>83</v>
      </c>
      <c r="G49" t="s">
        <v>8573</v>
      </c>
      <c r="H49">
        <v>18.829999999999998</v>
      </c>
      <c r="I49">
        <v>0</v>
      </c>
      <c r="J49">
        <v>0</v>
      </c>
      <c r="K49">
        <v>20</v>
      </c>
      <c r="L49">
        <v>7</v>
      </c>
      <c r="O49">
        <v>7</v>
      </c>
      <c r="P49">
        <v>4</v>
      </c>
      <c r="Q49">
        <v>0</v>
      </c>
      <c r="R49">
        <v>49.83</v>
      </c>
      <c r="S49">
        <v>38</v>
      </c>
      <c r="T49">
        <v>38</v>
      </c>
      <c r="U49">
        <v>0</v>
      </c>
      <c r="V49">
        <v>0</v>
      </c>
      <c r="W49">
        <v>7</v>
      </c>
      <c r="X49">
        <v>10</v>
      </c>
      <c r="Y49">
        <v>0</v>
      </c>
      <c r="Z49">
        <v>0</v>
      </c>
      <c r="AA49">
        <v>48</v>
      </c>
      <c r="AB49">
        <v>0</v>
      </c>
      <c r="AC49">
        <v>0</v>
      </c>
      <c r="AF49" t="s">
        <v>130</v>
      </c>
      <c r="AH49">
        <v>97.83</v>
      </c>
    </row>
    <row r="50" spans="1:34" x14ac:dyDescent="0.3">
      <c r="A50" s="4">
        <v>51</v>
      </c>
      <c r="B50" s="5">
        <v>43</v>
      </c>
      <c r="C50">
        <v>13853</v>
      </c>
      <c r="D50" t="s">
        <v>8574</v>
      </c>
      <c r="E50" t="s">
        <v>161</v>
      </c>
      <c r="F50" t="s">
        <v>68</v>
      </c>
      <c r="G50" t="s">
        <v>8575</v>
      </c>
      <c r="H50">
        <v>21.75</v>
      </c>
      <c r="I50">
        <v>0</v>
      </c>
      <c r="J50">
        <v>0</v>
      </c>
      <c r="K50">
        <v>20</v>
      </c>
      <c r="N50">
        <v>3</v>
      </c>
      <c r="O50">
        <v>3</v>
      </c>
      <c r="P50">
        <v>4</v>
      </c>
      <c r="Q50">
        <v>2</v>
      </c>
      <c r="R50">
        <v>50.75</v>
      </c>
      <c r="S50">
        <v>47</v>
      </c>
      <c r="T50">
        <v>47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47</v>
      </c>
      <c r="AB50">
        <v>0</v>
      </c>
      <c r="AC50">
        <v>0</v>
      </c>
      <c r="AF50" t="s">
        <v>130</v>
      </c>
      <c r="AH50">
        <v>97.75</v>
      </c>
    </row>
    <row r="51" spans="1:34" x14ac:dyDescent="0.3">
      <c r="A51" s="4">
        <v>52</v>
      </c>
      <c r="B51" s="5">
        <v>44</v>
      </c>
      <c r="C51">
        <v>8499</v>
      </c>
      <c r="D51" t="s">
        <v>1286</v>
      </c>
      <c r="E51" t="s">
        <v>115</v>
      </c>
      <c r="F51" t="s">
        <v>193</v>
      </c>
      <c r="G51" t="s">
        <v>8576</v>
      </c>
      <c r="H51">
        <v>19.899999999999999</v>
      </c>
      <c r="I51">
        <v>0</v>
      </c>
      <c r="J51">
        <v>0</v>
      </c>
      <c r="K51">
        <v>20</v>
      </c>
      <c r="L51">
        <v>7</v>
      </c>
      <c r="O51">
        <v>7</v>
      </c>
      <c r="P51">
        <v>4</v>
      </c>
      <c r="Q51">
        <v>2</v>
      </c>
      <c r="R51">
        <v>52.9</v>
      </c>
      <c r="S51">
        <v>41</v>
      </c>
      <c r="T51">
        <v>41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41</v>
      </c>
      <c r="AB51">
        <v>3</v>
      </c>
      <c r="AC51">
        <v>0</v>
      </c>
      <c r="AD51" t="s">
        <v>130</v>
      </c>
      <c r="AF51" t="s">
        <v>130</v>
      </c>
      <c r="AH51">
        <v>96.9</v>
      </c>
    </row>
    <row r="52" spans="1:34" x14ac:dyDescent="0.3">
      <c r="A52" s="4">
        <v>53</v>
      </c>
      <c r="B52" s="5">
        <v>45</v>
      </c>
      <c r="C52">
        <v>12759</v>
      </c>
      <c r="D52" t="s">
        <v>8577</v>
      </c>
      <c r="E52" t="s">
        <v>406</v>
      </c>
      <c r="F52" t="s">
        <v>81</v>
      </c>
      <c r="G52" t="s">
        <v>8578</v>
      </c>
      <c r="H52">
        <v>19.579999999999998</v>
      </c>
      <c r="I52">
        <v>0</v>
      </c>
      <c r="J52">
        <v>0</v>
      </c>
      <c r="K52">
        <v>20</v>
      </c>
      <c r="N52">
        <v>3</v>
      </c>
      <c r="O52">
        <v>3</v>
      </c>
      <c r="P52">
        <v>4</v>
      </c>
      <c r="Q52">
        <v>2</v>
      </c>
      <c r="R52">
        <v>48.58</v>
      </c>
      <c r="S52">
        <v>45</v>
      </c>
      <c r="T52">
        <v>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45</v>
      </c>
      <c r="AB52">
        <v>3</v>
      </c>
      <c r="AC52">
        <v>0</v>
      </c>
      <c r="AF52" t="s">
        <v>130</v>
      </c>
      <c r="AH52">
        <v>96.58</v>
      </c>
    </row>
    <row r="53" spans="1:34" x14ac:dyDescent="0.3">
      <c r="A53" s="4">
        <v>54</v>
      </c>
      <c r="B53" s="5">
        <v>46</v>
      </c>
      <c r="C53">
        <v>14911</v>
      </c>
      <c r="D53" t="s">
        <v>4189</v>
      </c>
      <c r="E53" t="s">
        <v>143</v>
      </c>
      <c r="F53" t="s">
        <v>7899</v>
      </c>
      <c r="G53" t="s">
        <v>8579</v>
      </c>
      <c r="H53">
        <v>21.15</v>
      </c>
      <c r="I53">
        <v>7</v>
      </c>
      <c r="J53">
        <v>0</v>
      </c>
      <c r="K53">
        <v>20</v>
      </c>
      <c r="L53">
        <v>7</v>
      </c>
      <c r="N53">
        <v>3</v>
      </c>
      <c r="O53">
        <v>10</v>
      </c>
      <c r="P53">
        <v>4</v>
      </c>
      <c r="Q53">
        <v>2</v>
      </c>
      <c r="R53">
        <v>64.150000000000006</v>
      </c>
      <c r="S53">
        <v>26</v>
      </c>
      <c r="T53">
        <v>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26</v>
      </c>
      <c r="AB53">
        <v>6</v>
      </c>
      <c r="AC53">
        <v>0</v>
      </c>
      <c r="AF53" t="s">
        <v>130</v>
      </c>
      <c r="AH53">
        <v>96.15</v>
      </c>
    </row>
    <row r="54" spans="1:34" x14ac:dyDescent="0.3">
      <c r="A54" s="4">
        <v>55</v>
      </c>
      <c r="B54" s="5">
        <v>47</v>
      </c>
      <c r="C54">
        <v>12036</v>
      </c>
      <c r="D54" t="s">
        <v>8580</v>
      </c>
      <c r="E54" t="s">
        <v>188</v>
      </c>
      <c r="F54" t="s">
        <v>2561</v>
      </c>
      <c r="G54" t="s">
        <v>8581</v>
      </c>
      <c r="H54">
        <v>20.05</v>
      </c>
      <c r="I54">
        <v>0</v>
      </c>
      <c r="J54">
        <v>0</v>
      </c>
      <c r="K54">
        <v>20</v>
      </c>
      <c r="N54">
        <v>3</v>
      </c>
      <c r="O54">
        <v>3</v>
      </c>
      <c r="P54">
        <v>4</v>
      </c>
      <c r="Q54">
        <v>0</v>
      </c>
      <c r="R54">
        <v>47.05</v>
      </c>
      <c r="S54">
        <v>46</v>
      </c>
      <c r="T54">
        <v>46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46</v>
      </c>
      <c r="AB54">
        <v>3</v>
      </c>
      <c r="AC54">
        <v>0</v>
      </c>
      <c r="AD54" t="s">
        <v>130</v>
      </c>
      <c r="AF54" t="s">
        <v>130</v>
      </c>
      <c r="AH54">
        <v>96.05</v>
      </c>
    </row>
    <row r="55" spans="1:34" x14ac:dyDescent="0.3">
      <c r="A55" s="4">
        <v>56</v>
      </c>
      <c r="B55" s="5">
        <v>48</v>
      </c>
      <c r="C55">
        <v>4434</v>
      </c>
      <c r="D55" t="s">
        <v>8582</v>
      </c>
      <c r="E55" t="s">
        <v>104</v>
      </c>
      <c r="F55" t="s">
        <v>136</v>
      </c>
      <c r="G55" t="s">
        <v>8583</v>
      </c>
      <c r="H55">
        <v>23.03</v>
      </c>
      <c r="I55">
        <v>0</v>
      </c>
      <c r="J55">
        <v>0</v>
      </c>
      <c r="K55">
        <v>20</v>
      </c>
      <c r="L55">
        <v>14</v>
      </c>
      <c r="O55">
        <v>14</v>
      </c>
      <c r="P55">
        <v>4</v>
      </c>
      <c r="Q55">
        <v>2</v>
      </c>
      <c r="R55">
        <v>63.03</v>
      </c>
      <c r="S55">
        <v>27</v>
      </c>
      <c r="T55">
        <v>27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27</v>
      </c>
      <c r="AB55">
        <v>6</v>
      </c>
      <c r="AC55">
        <v>0</v>
      </c>
      <c r="AD55" t="s">
        <v>130</v>
      </c>
      <c r="AF55" t="s">
        <v>130</v>
      </c>
      <c r="AH55">
        <v>96.03</v>
      </c>
    </row>
    <row r="56" spans="1:34" x14ac:dyDescent="0.3">
      <c r="A56" s="4">
        <v>57</v>
      </c>
      <c r="B56" s="5">
        <v>49</v>
      </c>
      <c r="C56">
        <v>12876</v>
      </c>
      <c r="D56" t="s">
        <v>8546</v>
      </c>
      <c r="E56" t="s">
        <v>115</v>
      </c>
      <c r="F56" t="s">
        <v>214</v>
      </c>
      <c r="G56" t="s">
        <v>8584</v>
      </c>
      <c r="H56">
        <v>21.13</v>
      </c>
      <c r="I56">
        <v>0</v>
      </c>
      <c r="J56">
        <v>0</v>
      </c>
      <c r="K56">
        <v>20</v>
      </c>
      <c r="L56">
        <v>7</v>
      </c>
      <c r="N56">
        <v>3</v>
      </c>
      <c r="O56">
        <v>10</v>
      </c>
      <c r="P56">
        <v>4</v>
      </c>
      <c r="Q56">
        <v>2</v>
      </c>
      <c r="R56">
        <v>57.13</v>
      </c>
      <c r="S56">
        <v>35</v>
      </c>
      <c r="T56">
        <v>35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35</v>
      </c>
      <c r="AB56">
        <v>3</v>
      </c>
      <c r="AC56">
        <v>0</v>
      </c>
      <c r="AD56" t="s">
        <v>130</v>
      </c>
      <c r="AF56" t="s">
        <v>130</v>
      </c>
      <c r="AH56">
        <v>95.13</v>
      </c>
    </row>
    <row r="57" spans="1:34" x14ac:dyDescent="0.3">
      <c r="A57" s="4">
        <v>60</v>
      </c>
      <c r="B57" s="5">
        <v>50</v>
      </c>
      <c r="C57">
        <v>3668</v>
      </c>
      <c r="D57" t="s">
        <v>1950</v>
      </c>
      <c r="E57" t="s">
        <v>692</v>
      </c>
      <c r="F57" t="s">
        <v>136</v>
      </c>
      <c r="G57" t="s">
        <v>8585</v>
      </c>
      <c r="H57">
        <v>17.5</v>
      </c>
      <c r="I57">
        <v>0</v>
      </c>
      <c r="J57">
        <v>0</v>
      </c>
      <c r="K57">
        <v>20</v>
      </c>
      <c r="L57">
        <v>7</v>
      </c>
      <c r="O57">
        <v>7</v>
      </c>
      <c r="P57">
        <v>4</v>
      </c>
      <c r="Q57">
        <v>2</v>
      </c>
      <c r="R57">
        <v>50.5</v>
      </c>
      <c r="S57">
        <v>44</v>
      </c>
      <c r="T57">
        <v>44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44</v>
      </c>
      <c r="AB57">
        <v>0</v>
      </c>
      <c r="AC57">
        <v>0</v>
      </c>
      <c r="AD57" t="s">
        <v>130</v>
      </c>
      <c r="AF57" t="s">
        <v>130</v>
      </c>
      <c r="AH57">
        <v>94.5</v>
      </c>
    </row>
    <row r="58" spans="1:34" x14ac:dyDescent="0.3">
      <c r="A58" s="4">
        <v>61</v>
      </c>
      <c r="B58" s="5">
        <v>51</v>
      </c>
      <c r="C58">
        <v>12528</v>
      </c>
      <c r="D58" t="s">
        <v>8586</v>
      </c>
      <c r="E58" t="s">
        <v>100</v>
      </c>
      <c r="F58" t="s">
        <v>124</v>
      </c>
      <c r="G58" t="s">
        <v>8587</v>
      </c>
      <c r="H58">
        <v>22.7</v>
      </c>
      <c r="I58">
        <v>0</v>
      </c>
      <c r="J58">
        <v>0</v>
      </c>
      <c r="K58">
        <v>20</v>
      </c>
      <c r="L58">
        <v>14</v>
      </c>
      <c r="O58">
        <v>14</v>
      </c>
      <c r="P58">
        <v>4</v>
      </c>
      <c r="Q58">
        <v>2</v>
      </c>
      <c r="R58">
        <v>62.7</v>
      </c>
      <c r="S58">
        <v>25</v>
      </c>
      <c r="T58">
        <v>25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25</v>
      </c>
      <c r="AB58">
        <v>6</v>
      </c>
      <c r="AC58">
        <v>0</v>
      </c>
      <c r="AD58" t="s">
        <v>130</v>
      </c>
      <c r="AF58" t="s">
        <v>130</v>
      </c>
      <c r="AH58">
        <v>93.7</v>
      </c>
    </row>
    <row r="59" spans="1:34" x14ac:dyDescent="0.3">
      <c r="A59" s="4">
        <v>62</v>
      </c>
      <c r="B59" s="5">
        <v>52</v>
      </c>
      <c r="C59">
        <v>8513</v>
      </c>
      <c r="D59" t="s">
        <v>2520</v>
      </c>
      <c r="E59" t="s">
        <v>1426</v>
      </c>
      <c r="F59" t="s">
        <v>81</v>
      </c>
      <c r="G59" t="s">
        <v>8588</v>
      </c>
      <c r="H59">
        <v>18.5</v>
      </c>
      <c r="I59">
        <v>7</v>
      </c>
      <c r="J59">
        <v>0</v>
      </c>
      <c r="K59">
        <v>0</v>
      </c>
      <c r="N59">
        <v>3</v>
      </c>
      <c r="O59">
        <v>3</v>
      </c>
      <c r="P59">
        <v>4</v>
      </c>
      <c r="Q59">
        <v>2</v>
      </c>
      <c r="R59">
        <v>34.5</v>
      </c>
      <c r="S59">
        <v>39</v>
      </c>
      <c r="T59">
        <v>39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39</v>
      </c>
      <c r="AB59">
        <v>0</v>
      </c>
      <c r="AC59">
        <v>20</v>
      </c>
      <c r="AD59" t="s">
        <v>130</v>
      </c>
      <c r="AF59" t="s">
        <v>130</v>
      </c>
      <c r="AH59">
        <v>93.5</v>
      </c>
    </row>
    <row r="60" spans="1:34" x14ac:dyDescent="0.3">
      <c r="A60" s="4">
        <v>63</v>
      </c>
      <c r="B60" s="5">
        <v>53</v>
      </c>
      <c r="C60">
        <v>6674</v>
      </c>
      <c r="D60" t="s">
        <v>8589</v>
      </c>
      <c r="E60" t="s">
        <v>178</v>
      </c>
      <c r="F60" t="s">
        <v>782</v>
      </c>
      <c r="G60" t="s">
        <v>8590</v>
      </c>
      <c r="H60">
        <v>20.5</v>
      </c>
      <c r="I60">
        <v>0</v>
      </c>
      <c r="J60">
        <v>0</v>
      </c>
      <c r="K60">
        <v>20</v>
      </c>
      <c r="L60">
        <v>7</v>
      </c>
      <c r="O60">
        <v>7</v>
      </c>
      <c r="P60">
        <v>4</v>
      </c>
      <c r="Q60">
        <v>2</v>
      </c>
      <c r="R60">
        <v>53.5</v>
      </c>
      <c r="S60">
        <v>34</v>
      </c>
      <c r="T60">
        <v>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34</v>
      </c>
      <c r="AB60">
        <v>6</v>
      </c>
      <c r="AC60">
        <v>0</v>
      </c>
      <c r="AD60" t="s">
        <v>130</v>
      </c>
      <c r="AF60" t="s">
        <v>130</v>
      </c>
      <c r="AH60">
        <v>93.5</v>
      </c>
    </row>
    <row r="61" spans="1:34" x14ac:dyDescent="0.3">
      <c r="A61" s="4">
        <v>64</v>
      </c>
      <c r="B61" s="5">
        <v>54</v>
      </c>
      <c r="C61">
        <v>14293</v>
      </c>
      <c r="D61" t="s">
        <v>6312</v>
      </c>
      <c r="E61" t="s">
        <v>71</v>
      </c>
      <c r="F61" t="s">
        <v>375</v>
      </c>
      <c r="G61" t="s">
        <v>8591</v>
      </c>
      <c r="H61">
        <v>19.329999999999998</v>
      </c>
      <c r="I61">
        <v>0</v>
      </c>
      <c r="J61">
        <v>0</v>
      </c>
      <c r="K61">
        <v>20</v>
      </c>
      <c r="L61">
        <v>7</v>
      </c>
      <c r="O61">
        <v>7</v>
      </c>
      <c r="P61">
        <v>4</v>
      </c>
      <c r="Q61">
        <v>0</v>
      </c>
      <c r="R61">
        <v>50.33</v>
      </c>
      <c r="S61">
        <v>43</v>
      </c>
      <c r="T61">
        <v>43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43</v>
      </c>
      <c r="AB61">
        <v>0</v>
      </c>
      <c r="AC61">
        <v>0</v>
      </c>
      <c r="AD61" t="s">
        <v>130</v>
      </c>
      <c r="AF61" t="s">
        <v>130</v>
      </c>
      <c r="AH61">
        <v>93.33</v>
      </c>
    </row>
    <row r="62" spans="1:34" x14ac:dyDescent="0.3">
      <c r="A62" s="4">
        <v>65</v>
      </c>
      <c r="B62" s="5">
        <v>55</v>
      </c>
      <c r="C62">
        <v>7919</v>
      </c>
      <c r="D62" t="s">
        <v>8592</v>
      </c>
      <c r="E62" t="s">
        <v>147</v>
      </c>
      <c r="F62" t="s">
        <v>328</v>
      </c>
      <c r="G62" t="s">
        <v>8593</v>
      </c>
      <c r="H62">
        <v>17.3</v>
      </c>
      <c r="I62">
        <v>0</v>
      </c>
      <c r="J62">
        <v>0</v>
      </c>
      <c r="K62">
        <v>20</v>
      </c>
      <c r="N62">
        <v>6</v>
      </c>
      <c r="O62">
        <v>6</v>
      </c>
      <c r="P62">
        <v>4</v>
      </c>
      <c r="Q62">
        <v>2</v>
      </c>
      <c r="R62">
        <v>49.3</v>
      </c>
      <c r="S62">
        <v>24</v>
      </c>
      <c r="T62">
        <v>24</v>
      </c>
      <c r="U62">
        <v>10</v>
      </c>
      <c r="V62">
        <v>20</v>
      </c>
      <c r="W62">
        <v>0</v>
      </c>
      <c r="X62">
        <v>0</v>
      </c>
      <c r="Y62">
        <v>0</v>
      </c>
      <c r="Z62">
        <v>0</v>
      </c>
      <c r="AA62">
        <v>44</v>
      </c>
      <c r="AB62">
        <v>0</v>
      </c>
      <c r="AC62">
        <v>0</v>
      </c>
      <c r="AF62" t="s">
        <v>130</v>
      </c>
      <c r="AH62">
        <v>93.3</v>
      </c>
    </row>
    <row r="63" spans="1:34" x14ac:dyDescent="0.3">
      <c r="A63" s="4">
        <v>66</v>
      </c>
      <c r="B63" s="5">
        <v>56</v>
      </c>
      <c r="C63">
        <v>5646</v>
      </c>
      <c r="D63" t="s">
        <v>8594</v>
      </c>
      <c r="E63" t="s">
        <v>161</v>
      </c>
      <c r="F63" t="s">
        <v>68</v>
      </c>
      <c r="G63" t="s">
        <v>8595</v>
      </c>
      <c r="H63">
        <v>21.15</v>
      </c>
      <c r="I63">
        <v>0</v>
      </c>
      <c r="J63">
        <v>0</v>
      </c>
      <c r="K63">
        <v>0</v>
      </c>
      <c r="N63">
        <v>3</v>
      </c>
      <c r="O63">
        <v>3</v>
      </c>
      <c r="P63">
        <v>4</v>
      </c>
      <c r="Q63">
        <v>2</v>
      </c>
      <c r="R63">
        <v>30.15</v>
      </c>
      <c r="S63">
        <v>63</v>
      </c>
      <c r="T63">
        <v>63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63</v>
      </c>
      <c r="AB63">
        <v>0</v>
      </c>
      <c r="AC63">
        <v>0</v>
      </c>
      <c r="AD63" t="s">
        <v>130</v>
      </c>
      <c r="AF63" t="s">
        <v>130</v>
      </c>
      <c r="AH63">
        <v>93.15</v>
      </c>
    </row>
    <row r="64" spans="1:34" x14ac:dyDescent="0.3">
      <c r="A64" s="4">
        <v>67</v>
      </c>
      <c r="B64" s="5">
        <v>57</v>
      </c>
      <c r="C64">
        <v>8084</v>
      </c>
      <c r="D64" t="s">
        <v>8596</v>
      </c>
      <c r="E64" t="s">
        <v>213</v>
      </c>
      <c r="F64" t="s">
        <v>20</v>
      </c>
      <c r="G64" t="s">
        <v>8597</v>
      </c>
      <c r="H64">
        <v>17.829999999999998</v>
      </c>
      <c r="I64">
        <v>0</v>
      </c>
      <c r="J64">
        <v>0</v>
      </c>
      <c r="K64">
        <v>20</v>
      </c>
      <c r="N64">
        <v>3</v>
      </c>
      <c r="O64">
        <v>3</v>
      </c>
      <c r="P64">
        <v>4</v>
      </c>
      <c r="Q64">
        <v>2</v>
      </c>
      <c r="R64">
        <v>46.83</v>
      </c>
      <c r="S64">
        <v>43</v>
      </c>
      <c r="T64">
        <v>43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43</v>
      </c>
      <c r="AB64">
        <v>3</v>
      </c>
      <c r="AC64">
        <v>0</v>
      </c>
      <c r="AF64" t="s">
        <v>130</v>
      </c>
      <c r="AH64">
        <v>92.83</v>
      </c>
    </row>
    <row r="65" spans="1:34" x14ac:dyDescent="0.3">
      <c r="A65" s="4">
        <v>68</v>
      </c>
      <c r="B65" s="5">
        <v>58</v>
      </c>
      <c r="C65">
        <v>9229</v>
      </c>
      <c r="D65" t="s">
        <v>8598</v>
      </c>
      <c r="E65" t="s">
        <v>88</v>
      </c>
      <c r="F65" t="s">
        <v>416</v>
      </c>
      <c r="G65" t="s">
        <v>8599</v>
      </c>
      <c r="H65">
        <v>22.78</v>
      </c>
      <c r="I65">
        <v>7</v>
      </c>
      <c r="J65">
        <v>0</v>
      </c>
      <c r="K65">
        <v>0</v>
      </c>
      <c r="L65">
        <v>7</v>
      </c>
      <c r="M65">
        <v>5</v>
      </c>
      <c r="O65">
        <v>12</v>
      </c>
      <c r="P65">
        <v>4</v>
      </c>
      <c r="Q65">
        <v>2</v>
      </c>
      <c r="R65">
        <v>47.78</v>
      </c>
      <c r="S65">
        <v>45</v>
      </c>
      <c r="T65">
        <v>45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45</v>
      </c>
      <c r="AB65">
        <v>0</v>
      </c>
      <c r="AC65">
        <v>0</v>
      </c>
      <c r="AF65" t="s">
        <v>130</v>
      </c>
      <c r="AH65">
        <v>92.78</v>
      </c>
    </row>
    <row r="66" spans="1:34" x14ac:dyDescent="0.3">
      <c r="A66" s="4">
        <v>69</v>
      </c>
      <c r="B66" s="5">
        <v>59</v>
      </c>
      <c r="C66">
        <v>10758</v>
      </c>
      <c r="D66" t="s">
        <v>8600</v>
      </c>
      <c r="E66" t="s">
        <v>8601</v>
      </c>
      <c r="F66" t="s">
        <v>1854</v>
      </c>
      <c r="G66" t="s">
        <v>8602</v>
      </c>
      <c r="H66">
        <v>19.53</v>
      </c>
      <c r="I66">
        <v>0</v>
      </c>
      <c r="J66">
        <v>0</v>
      </c>
      <c r="K66">
        <v>20</v>
      </c>
      <c r="N66">
        <v>3</v>
      </c>
      <c r="O66">
        <v>3</v>
      </c>
      <c r="P66">
        <v>4</v>
      </c>
      <c r="Q66">
        <v>0</v>
      </c>
      <c r="R66">
        <v>46.53</v>
      </c>
      <c r="S66">
        <v>46</v>
      </c>
      <c r="T66">
        <v>46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46</v>
      </c>
      <c r="AB66">
        <v>0</v>
      </c>
      <c r="AC66">
        <v>0</v>
      </c>
      <c r="AF66" t="s">
        <v>130</v>
      </c>
      <c r="AH66">
        <v>92.53</v>
      </c>
    </row>
    <row r="67" spans="1:34" x14ac:dyDescent="0.3">
      <c r="A67" s="4">
        <v>70</v>
      </c>
      <c r="B67" s="5">
        <v>60</v>
      </c>
      <c r="C67">
        <v>9872</v>
      </c>
      <c r="D67" t="s">
        <v>8603</v>
      </c>
      <c r="E67" t="s">
        <v>132</v>
      </c>
      <c r="F67" t="s">
        <v>1121</v>
      </c>
      <c r="G67" t="s">
        <v>8604</v>
      </c>
      <c r="H67">
        <v>22.23</v>
      </c>
      <c r="I67">
        <v>0</v>
      </c>
      <c r="J67">
        <v>40</v>
      </c>
      <c r="K67">
        <v>20</v>
      </c>
      <c r="N67">
        <v>3</v>
      </c>
      <c r="O67">
        <v>3</v>
      </c>
      <c r="P67">
        <v>4</v>
      </c>
      <c r="Q67">
        <v>0</v>
      </c>
      <c r="R67">
        <v>89.23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3</v>
      </c>
      <c r="AC67">
        <v>0</v>
      </c>
      <c r="AF67" t="s">
        <v>130</v>
      </c>
      <c r="AH67">
        <v>92.23</v>
      </c>
    </row>
    <row r="68" spans="1:34" x14ac:dyDescent="0.3">
      <c r="A68" s="4">
        <v>71</v>
      </c>
      <c r="B68" s="5">
        <v>61</v>
      </c>
      <c r="C68">
        <v>11725</v>
      </c>
      <c r="D68" t="s">
        <v>8605</v>
      </c>
      <c r="E68" t="s">
        <v>139</v>
      </c>
      <c r="F68" t="s">
        <v>136</v>
      </c>
      <c r="G68" t="s">
        <v>8606</v>
      </c>
      <c r="H68">
        <v>19.649999999999999</v>
      </c>
      <c r="I68">
        <v>0</v>
      </c>
      <c r="J68">
        <v>0</v>
      </c>
      <c r="K68">
        <v>20</v>
      </c>
      <c r="L68">
        <v>7</v>
      </c>
      <c r="O68">
        <v>7</v>
      </c>
      <c r="P68">
        <v>4</v>
      </c>
      <c r="Q68">
        <v>2</v>
      </c>
      <c r="R68">
        <v>52.65</v>
      </c>
      <c r="S68">
        <v>39</v>
      </c>
      <c r="T68">
        <v>39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39</v>
      </c>
      <c r="AB68">
        <v>0</v>
      </c>
      <c r="AC68">
        <v>0</v>
      </c>
      <c r="AF68" t="s">
        <v>130</v>
      </c>
      <c r="AH68">
        <v>91.65</v>
      </c>
    </row>
    <row r="69" spans="1:34" x14ac:dyDescent="0.3">
      <c r="A69" s="4">
        <v>72</v>
      </c>
      <c r="B69" s="5">
        <v>62</v>
      </c>
      <c r="C69">
        <v>10902</v>
      </c>
      <c r="D69" t="s">
        <v>8607</v>
      </c>
      <c r="E69" t="s">
        <v>41</v>
      </c>
      <c r="F69" t="s">
        <v>30</v>
      </c>
      <c r="G69" t="s">
        <v>8608</v>
      </c>
      <c r="H69">
        <v>17.53</v>
      </c>
      <c r="I69">
        <v>0</v>
      </c>
      <c r="J69">
        <v>0</v>
      </c>
      <c r="K69">
        <v>20</v>
      </c>
      <c r="L69">
        <v>7</v>
      </c>
      <c r="O69">
        <v>7</v>
      </c>
      <c r="P69">
        <v>4</v>
      </c>
      <c r="Q69">
        <v>2</v>
      </c>
      <c r="R69">
        <v>50.53</v>
      </c>
      <c r="S69">
        <v>41</v>
      </c>
      <c r="T69">
        <v>41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41</v>
      </c>
      <c r="AB69">
        <v>0</v>
      </c>
      <c r="AC69">
        <v>0</v>
      </c>
      <c r="AD69" t="s">
        <v>130</v>
      </c>
      <c r="AF69" t="s">
        <v>130</v>
      </c>
      <c r="AH69">
        <v>91.53</v>
      </c>
    </row>
    <row r="70" spans="1:34" x14ac:dyDescent="0.3">
      <c r="A70" s="4">
        <v>73</v>
      </c>
      <c r="B70" s="5">
        <v>63</v>
      </c>
      <c r="C70">
        <v>3110</v>
      </c>
      <c r="D70" t="s">
        <v>5483</v>
      </c>
      <c r="E70" t="s">
        <v>8609</v>
      </c>
      <c r="F70" t="s">
        <v>328</v>
      </c>
      <c r="G70" t="s">
        <v>8610</v>
      </c>
      <c r="H70">
        <v>20.350000000000001</v>
      </c>
      <c r="I70">
        <v>0</v>
      </c>
      <c r="J70">
        <v>0</v>
      </c>
      <c r="K70">
        <v>20</v>
      </c>
      <c r="L70">
        <v>7</v>
      </c>
      <c r="O70">
        <v>7</v>
      </c>
      <c r="P70">
        <v>4</v>
      </c>
      <c r="Q70">
        <v>2</v>
      </c>
      <c r="R70">
        <v>53.35</v>
      </c>
      <c r="S70">
        <v>38</v>
      </c>
      <c r="T70">
        <v>38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38</v>
      </c>
      <c r="AB70">
        <v>0</v>
      </c>
      <c r="AC70">
        <v>0</v>
      </c>
      <c r="AF70" t="s">
        <v>130</v>
      </c>
      <c r="AH70">
        <v>91.35</v>
      </c>
    </row>
    <row r="71" spans="1:34" x14ac:dyDescent="0.3">
      <c r="A71" s="4">
        <v>74</v>
      </c>
      <c r="B71" s="5">
        <v>64</v>
      </c>
      <c r="C71">
        <v>8162</v>
      </c>
      <c r="D71" t="s">
        <v>8611</v>
      </c>
      <c r="E71" t="s">
        <v>54</v>
      </c>
      <c r="F71" t="s">
        <v>167</v>
      </c>
      <c r="G71" t="s">
        <v>8612</v>
      </c>
      <c r="H71">
        <v>19.329999999999998</v>
      </c>
      <c r="I71">
        <v>0</v>
      </c>
      <c r="J71">
        <v>0</v>
      </c>
      <c r="K71">
        <v>20</v>
      </c>
      <c r="L71">
        <v>7</v>
      </c>
      <c r="O71">
        <v>7</v>
      </c>
      <c r="P71">
        <v>4</v>
      </c>
      <c r="Q71">
        <v>0</v>
      </c>
      <c r="R71">
        <v>50.33</v>
      </c>
      <c r="S71">
        <v>40</v>
      </c>
      <c r="T71">
        <v>40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40</v>
      </c>
      <c r="AB71">
        <v>0</v>
      </c>
      <c r="AC71">
        <v>0</v>
      </c>
      <c r="AD71" t="s">
        <v>130</v>
      </c>
      <c r="AE71" t="s">
        <v>130</v>
      </c>
      <c r="AF71" t="s">
        <v>130</v>
      </c>
      <c r="AH71">
        <v>90.33</v>
      </c>
    </row>
    <row r="72" spans="1:34" x14ac:dyDescent="0.3">
      <c r="A72" s="4">
        <v>75</v>
      </c>
      <c r="B72" s="5">
        <v>65</v>
      </c>
      <c r="C72">
        <v>4908</v>
      </c>
      <c r="D72" t="s">
        <v>8613</v>
      </c>
      <c r="E72" t="s">
        <v>575</v>
      </c>
      <c r="F72" t="s">
        <v>927</v>
      </c>
      <c r="G72" t="s">
        <v>8614</v>
      </c>
      <c r="H72">
        <v>22.13</v>
      </c>
      <c r="I72">
        <v>0</v>
      </c>
      <c r="J72">
        <v>0</v>
      </c>
      <c r="K72">
        <v>20</v>
      </c>
      <c r="L72">
        <v>7</v>
      </c>
      <c r="M72">
        <v>5</v>
      </c>
      <c r="O72">
        <v>12</v>
      </c>
      <c r="P72">
        <v>4</v>
      </c>
      <c r="Q72">
        <v>2</v>
      </c>
      <c r="R72">
        <v>60.13</v>
      </c>
      <c r="S72">
        <v>30</v>
      </c>
      <c r="T72">
        <v>30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30</v>
      </c>
      <c r="AB72">
        <v>0</v>
      </c>
      <c r="AC72">
        <v>0</v>
      </c>
      <c r="AF72" t="s">
        <v>130</v>
      </c>
      <c r="AH72">
        <v>90.13</v>
      </c>
    </row>
    <row r="73" spans="1:34" x14ac:dyDescent="0.3">
      <c r="A73" s="4">
        <v>76</v>
      </c>
      <c r="B73" s="5">
        <v>66</v>
      </c>
      <c r="C73">
        <v>2904</v>
      </c>
      <c r="D73" t="s">
        <v>8615</v>
      </c>
      <c r="E73" t="s">
        <v>161</v>
      </c>
      <c r="F73" t="s">
        <v>20</v>
      </c>
      <c r="G73" t="s">
        <v>8616</v>
      </c>
      <c r="H73">
        <v>20.079999999999998</v>
      </c>
      <c r="I73">
        <v>0</v>
      </c>
      <c r="J73">
        <v>0</v>
      </c>
      <c r="K73">
        <v>20</v>
      </c>
      <c r="L73">
        <v>7</v>
      </c>
      <c r="O73">
        <v>7</v>
      </c>
      <c r="P73">
        <v>4</v>
      </c>
      <c r="Q73">
        <v>2</v>
      </c>
      <c r="R73">
        <v>53.08</v>
      </c>
      <c r="S73">
        <v>37</v>
      </c>
      <c r="T73">
        <v>37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37</v>
      </c>
      <c r="AB73">
        <v>0</v>
      </c>
      <c r="AC73">
        <v>0</v>
      </c>
      <c r="AD73" t="s">
        <v>130</v>
      </c>
      <c r="AF73" t="s">
        <v>130</v>
      </c>
      <c r="AH73">
        <v>90.08</v>
      </c>
    </row>
    <row r="74" spans="1:34" x14ac:dyDescent="0.3">
      <c r="A74" s="4">
        <v>77</v>
      </c>
      <c r="B74" s="5">
        <v>67</v>
      </c>
      <c r="C74">
        <v>11315</v>
      </c>
      <c r="D74" t="s">
        <v>950</v>
      </c>
      <c r="E74" t="s">
        <v>29</v>
      </c>
      <c r="F74" t="s">
        <v>62</v>
      </c>
      <c r="G74" t="s">
        <v>8617</v>
      </c>
      <c r="H74">
        <v>20.63</v>
      </c>
      <c r="I74">
        <v>0</v>
      </c>
      <c r="J74">
        <v>0</v>
      </c>
      <c r="K74">
        <v>20</v>
      </c>
      <c r="L74">
        <v>7</v>
      </c>
      <c r="O74">
        <v>7</v>
      </c>
      <c r="P74">
        <v>4</v>
      </c>
      <c r="Q74">
        <v>2</v>
      </c>
      <c r="R74">
        <v>53.63</v>
      </c>
      <c r="S74">
        <v>36</v>
      </c>
      <c r="T74">
        <v>36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36</v>
      </c>
      <c r="AB74">
        <v>0</v>
      </c>
      <c r="AC74">
        <v>0</v>
      </c>
      <c r="AD74" t="s">
        <v>130</v>
      </c>
      <c r="AF74" t="s">
        <v>130</v>
      </c>
      <c r="AH74">
        <v>89.63</v>
      </c>
    </row>
    <row r="75" spans="1:34" x14ac:dyDescent="0.3">
      <c r="A75" s="4">
        <v>78</v>
      </c>
      <c r="B75" s="5">
        <v>68</v>
      </c>
      <c r="C75">
        <v>10377</v>
      </c>
      <c r="D75" t="s">
        <v>4286</v>
      </c>
      <c r="E75" t="s">
        <v>342</v>
      </c>
      <c r="F75" t="s">
        <v>343</v>
      </c>
      <c r="G75" t="s">
        <v>8618</v>
      </c>
      <c r="H75">
        <v>17.55</v>
      </c>
      <c r="I75">
        <v>0</v>
      </c>
      <c r="J75">
        <v>0</v>
      </c>
      <c r="K75">
        <v>20</v>
      </c>
      <c r="L75">
        <v>7</v>
      </c>
      <c r="O75">
        <v>7</v>
      </c>
      <c r="P75">
        <v>4</v>
      </c>
      <c r="Q75">
        <v>2</v>
      </c>
      <c r="R75">
        <v>50.55</v>
      </c>
      <c r="S75">
        <v>30</v>
      </c>
      <c r="T75">
        <v>30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30</v>
      </c>
      <c r="AB75">
        <v>9</v>
      </c>
      <c r="AC75">
        <v>0</v>
      </c>
      <c r="AD75" t="s">
        <v>130</v>
      </c>
      <c r="AE75" t="s">
        <v>130</v>
      </c>
      <c r="AF75" t="s">
        <v>130</v>
      </c>
      <c r="AH75">
        <v>89.55</v>
      </c>
    </row>
    <row r="76" spans="1:34" x14ac:dyDescent="0.3">
      <c r="A76" s="4">
        <v>79</v>
      </c>
      <c r="B76" s="5">
        <v>69</v>
      </c>
      <c r="C76">
        <v>319</v>
      </c>
      <c r="D76" t="s">
        <v>2206</v>
      </c>
      <c r="E76" t="s">
        <v>182</v>
      </c>
      <c r="F76" t="s">
        <v>81</v>
      </c>
      <c r="G76" t="s">
        <v>8619</v>
      </c>
      <c r="H76">
        <v>22.43</v>
      </c>
      <c r="I76">
        <v>0</v>
      </c>
      <c r="J76">
        <v>0</v>
      </c>
      <c r="K76">
        <v>20</v>
      </c>
      <c r="L76">
        <v>7</v>
      </c>
      <c r="O76">
        <v>7</v>
      </c>
      <c r="P76">
        <v>4</v>
      </c>
      <c r="Q76">
        <v>2</v>
      </c>
      <c r="R76">
        <v>55.43</v>
      </c>
      <c r="S76">
        <v>28</v>
      </c>
      <c r="T76">
        <v>28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28</v>
      </c>
      <c r="AB76">
        <v>6</v>
      </c>
      <c r="AC76">
        <v>0</v>
      </c>
      <c r="AD76" t="s">
        <v>130</v>
      </c>
      <c r="AF76" t="s">
        <v>130</v>
      </c>
      <c r="AH76">
        <v>89.43</v>
      </c>
    </row>
    <row r="77" spans="1:34" x14ac:dyDescent="0.3">
      <c r="A77" s="4">
        <v>80</v>
      </c>
      <c r="B77" s="5">
        <v>70</v>
      </c>
      <c r="C77">
        <v>2464</v>
      </c>
      <c r="D77" t="s">
        <v>3181</v>
      </c>
      <c r="E77" t="s">
        <v>789</v>
      </c>
      <c r="F77" t="s">
        <v>416</v>
      </c>
      <c r="G77" t="s">
        <v>8620</v>
      </c>
      <c r="H77">
        <v>18.079999999999998</v>
      </c>
      <c r="I77">
        <v>0</v>
      </c>
      <c r="J77">
        <v>0</v>
      </c>
      <c r="K77">
        <v>20</v>
      </c>
      <c r="L77">
        <v>7</v>
      </c>
      <c r="O77">
        <v>7</v>
      </c>
      <c r="P77">
        <v>4</v>
      </c>
      <c r="Q77">
        <v>2</v>
      </c>
      <c r="R77">
        <v>51.08</v>
      </c>
      <c r="S77">
        <v>38</v>
      </c>
      <c r="T77">
        <v>38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38</v>
      </c>
      <c r="AB77">
        <v>0</v>
      </c>
      <c r="AC77">
        <v>0</v>
      </c>
      <c r="AD77" t="s">
        <v>130</v>
      </c>
      <c r="AF77" t="s">
        <v>130</v>
      </c>
      <c r="AH77">
        <v>89.08</v>
      </c>
    </row>
    <row r="78" spans="1:34" x14ac:dyDescent="0.3">
      <c r="A78" s="4">
        <v>81</v>
      </c>
      <c r="B78" s="5">
        <v>71</v>
      </c>
      <c r="C78">
        <v>8648</v>
      </c>
      <c r="D78" t="s">
        <v>8621</v>
      </c>
      <c r="E78" t="s">
        <v>8622</v>
      </c>
      <c r="F78" t="s">
        <v>38</v>
      </c>
      <c r="G78" t="s">
        <v>8623</v>
      </c>
      <c r="H78">
        <v>23.38</v>
      </c>
      <c r="I78">
        <v>7</v>
      </c>
      <c r="J78">
        <v>0</v>
      </c>
      <c r="K78">
        <v>20</v>
      </c>
      <c r="L78">
        <v>14</v>
      </c>
      <c r="O78">
        <v>14</v>
      </c>
      <c r="P78">
        <v>4</v>
      </c>
      <c r="Q78">
        <v>2</v>
      </c>
      <c r="R78">
        <v>70.38</v>
      </c>
      <c r="S78">
        <v>18</v>
      </c>
      <c r="T78">
        <v>18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18</v>
      </c>
      <c r="AB78">
        <v>0</v>
      </c>
      <c r="AC78">
        <v>0</v>
      </c>
      <c r="AD78" t="s">
        <v>130</v>
      </c>
      <c r="AF78" t="s">
        <v>130</v>
      </c>
      <c r="AH78">
        <v>88.38</v>
      </c>
    </row>
    <row r="79" spans="1:34" x14ac:dyDescent="0.3">
      <c r="A79" s="4">
        <v>83</v>
      </c>
      <c r="B79" s="5">
        <v>72</v>
      </c>
      <c r="C79">
        <v>2769</v>
      </c>
      <c r="D79" t="s">
        <v>8624</v>
      </c>
      <c r="E79" t="s">
        <v>54</v>
      </c>
      <c r="F79" t="s">
        <v>20</v>
      </c>
      <c r="G79" t="s">
        <v>8625</v>
      </c>
      <c r="H79">
        <v>21.48</v>
      </c>
      <c r="I79">
        <v>0</v>
      </c>
      <c r="J79">
        <v>0</v>
      </c>
      <c r="K79">
        <v>20</v>
      </c>
      <c r="L79">
        <v>7</v>
      </c>
      <c r="O79">
        <v>7</v>
      </c>
      <c r="P79">
        <v>4</v>
      </c>
      <c r="Q79">
        <v>2</v>
      </c>
      <c r="R79">
        <v>54.48</v>
      </c>
      <c r="S79">
        <v>27</v>
      </c>
      <c r="T79">
        <v>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27</v>
      </c>
      <c r="AB79">
        <v>6</v>
      </c>
      <c r="AC79">
        <v>0</v>
      </c>
      <c r="AD79" t="s">
        <v>130</v>
      </c>
      <c r="AF79" t="s">
        <v>130</v>
      </c>
      <c r="AH79">
        <v>87.48</v>
      </c>
    </row>
    <row r="80" spans="1:34" x14ac:dyDescent="0.3">
      <c r="A80" s="4">
        <v>84</v>
      </c>
      <c r="B80" s="5">
        <v>73</v>
      </c>
      <c r="C80">
        <v>6067</v>
      </c>
      <c r="D80" t="s">
        <v>8626</v>
      </c>
      <c r="E80" t="s">
        <v>26</v>
      </c>
      <c r="F80" t="s">
        <v>30</v>
      </c>
      <c r="G80" t="s">
        <v>8627</v>
      </c>
      <c r="H80">
        <v>18.079999999999998</v>
      </c>
      <c r="I80">
        <v>0</v>
      </c>
      <c r="J80">
        <v>0</v>
      </c>
      <c r="K80">
        <v>20</v>
      </c>
      <c r="O80">
        <v>0</v>
      </c>
      <c r="P80">
        <v>4</v>
      </c>
      <c r="Q80">
        <v>2</v>
      </c>
      <c r="R80">
        <v>44.08</v>
      </c>
      <c r="S80">
        <v>27</v>
      </c>
      <c r="T80">
        <v>27</v>
      </c>
      <c r="U80">
        <v>8</v>
      </c>
      <c r="V80">
        <v>16</v>
      </c>
      <c r="W80">
        <v>0</v>
      </c>
      <c r="X80">
        <v>0</v>
      </c>
      <c r="Y80">
        <v>0</v>
      </c>
      <c r="Z80">
        <v>0</v>
      </c>
      <c r="AA80">
        <v>43</v>
      </c>
      <c r="AB80">
        <v>0</v>
      </c>
      <c r="AC80">
        <v>0</v>
      </c>
      <c r="AF80" t="s">
        <v>130</v>
      </c>
      <c r="AH80">
        <v>87.08</v>
      </c>
    </row>
    <row r="81" spans="1:34" x14ac:dyDescent="0.3">
      <c r="A81" s="4">
        <v>85</v>
      </c>
      <c r="B81" s="5">
        <v>74</v>
      </c>
      <c r="C81">
        <v>11111</v>
      </c>
      <c r="D81" t="s">
        <v>8628</v>
      </c>
      <c r="E81" t="s">
        <v>283</v>
      </c>
      <c r="F81" t="s">
        <v>17</v>
      </c>
      <c r="G81" t="s">
        <v>8629</v>
      </c>
      <c r="H81">
        <v>19.93</v>
      </c>
      <c r="I81">
        <v>0</v>
      </c>
      <c r="J81">
        <v>0</v>
      </c>
      <c r="K81">
        <v>20</v>
      </c>
      <c r="L81">
        <v>7</v>
      </c>
      <c r="N81">
        <v>3</v>
      </c>
      <c r="O81">
        <v>10</v>
      </c>
      <c r="P81">
        <v>4</v>
      </c>
      <c r="Q81">
        <v>2</v>
      </c>
      <c r="R81">
        <v>55.93</v>
      </c>
      <c r="S81">
        <v>25</v>
      </c>
      <c r="T81">
        <v>25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25</v>
      </c>
      <c r="AB81">
        <v>6</v>
      </c>
      <c r="AC81">
        <v>0</v>
      </c>
      <c r="AF81" t="s">
        <v>130</v>
      </c>
      <c r="AH81">
        <v>86.93</v>
      </c>
    </row>
    <row r="82" spans="1:34" x14ac:dyDescent="0.3">
      <c r="A82" s="4">
        <v>86</v>
      </c>
      <c r="B82" s="5">
        <v>75</v>
      </c>
      <c r="C82">
        <v>15393</v>
      </c>
      <c r="D82" t="s">
        <v>8630</v>
      </c>
      <c r="E82" t="s">
        <v>439</v>
      </c>
      <c r="F82" t="s">
        <v>81</v>
      </c>
      <c r="G82" t="s">
        <v>8631</v>
      </c>
      <c r="H82">
        <v>16.63</v>
      </c>
      <c r="I82">
        <v>0</v>
      </c>
      <c r="J82">
        <v>0</v>
      </c>
      <c r="K82">
        <v>20</v>
      </c>
      <c r="L82">
        <v>7</v>
      </c>
      <c r="O82">
        <v>7</v>
      </c>
      <c r="P82">
        <v>4</v>
      </c>
      <c r="Q82">
        <v>2</v>
      </c>
      <c r="R82">
        <v>49.63</v>
      </c>
      <c r="S82">
        <v>31</v>
      </c>
      <c r="T82">
        <v>31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31</v>
      </c>
      <c r="AB82">
        <v>6</v>
      </c>
      <c r="AC82">
        <v>0</v>
      </c>
      <c r="AF82" t="s">
        <v>130</v>
      </c>
      <c r="AH82">
        <v>86.63</v>
      </c>
    </row>
    <row r="83" spans="1:34" x14ac:dyDescent="0.3">
      <c r="A83" s="4">
        <v>87</v>
      </c>
      <c r="B83" s="5">
        <v>76</v>
      </c>
      <c r="C83">
        <v>9930</v>
      </c>
      <c r="D83" t="s">
        <v>8632</v>
      </c>
      <c r="E83" t="s">
        <v>166</v>
      </c>
      <c r="F83" t="s">
        <v>124</v>
      </c>
      <c r="G83" t="s">
        <v>8633</v>
      </c>
      <c r="H83">
        <v>22.55</v>
      </c>
      <c r="I83">
        <v>0</v>
      </c>
      <c r="J83">
        <v>0</v>
      </c>
      <c r="K83">
        <v>20</v>
      </c>
      <c r="L83">
        <v>14</v>
      </c>
      <c r="O83">
        <v>14</v>
      </c>
      <c r="P83">
        <v>4</v>
      </c>
      <c r="Q83">
        <v>2</v>
      </c>
      <c r="R83">
        <v>62.55</v>
      </c>
      <c r="S83">
        <v>18</v>
      </c>
      <c r="T83">
        <v>18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18</v>
      </c>
      <c r="AB83">
        <v>6</v>
      </c>
      <c r="AC83">
        <v>0</v>
      </c>
      <c r="AF83" t="s">
        <v>130</v>
      </c>
      <c r="AH83">
        <v>86.55</v>
      </c>
    </row>
    <row r="84" spans="1:34" x14ac:dyDescent="0.3">
      <c r="A84" s="4">
        <v>88</v>
      </c>
      <c r="B84" s="5">
        <v>77</v>
      </c>
      <c r="C84">
        <v>4854</v>
      </c>
      <c r="D84" t="s">
        <v>8634</v>
      </c>
      <c r="E84" t="s">
        <v>1716</v>
      </c>
      <c r="F84" t="s">
        <v>68</v>
      </c>
      <c r="G84" t="s">
        <v>8635</v>
      </c>
      <c r="H84">
        <v>21.25</v>
      </c>
      <c r="I84">
        <v>0</v>
      </c>
      <c r="J84">
        <v>0</v>
      </c>
      <c r="K84">
        <v>20</v>
      </c>
      <c r="L84">
        <v>7</v>
      </c>
      <c r="N84">
        <v>3</v>
      </c>
      <c r="O84">
        <v>10</v>
      </c>
      <c r="P84">
        <v>4</v>
      </c>
      <c r="Q84">
        <v>0</v>
      </c>
      <c r="R84">
        <v>55.25</v>
      </c>
      <c r="S84">
        <v>28</v>
      </c>
      <c r="T84">
        <v>28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28</v>
      </c>
      <c r="AB84">
        <v>3</v>
      </c>
      <c r="AC84">
        <v>0</v>
      </c>
      <c r="AF84" t="s">
        <v>130</v>
      </c>
      <c r="AH84">
        <v>86.25</v>
      </c>
    </row>
    <row r="85" spans="1:34" x14ac:dyDescent="0.3">
      <c r="A85" s="4">
        <v>89</v>
      </c>
      <c r="B85" s="5">
        <v>78</v>
      </c>
      <c r="C85">
        <v>11256</v>
      </c>
      <c r="D85" t="s">
        <v>8636</v>
      </c>
      <c r="E85" t="s">
        <v>789</v>
      </c>
      <c r="F85" t="s">
        <v>30</v>
      </c>
      <c r="G85" t="s">
        <v>8637</v>
      </c>
      <c r="H85">
        <v>18.850000000000001</v>
      </c>
      <c r="I85">
        <v>0</v>
      </c>
      <c r="J85">
        <v>0</v>
      </c>
      <c r="K85">
        <v>0</v>
      </c>
      <c r="N85">
        <v>3</v>
      </c>
      <c r="O85">
        <v>3</v>
      </c>
      <c r="P85">
        <v>4</v>
      </c>
      <c r="Q85">
        <v>2</v>
      </c>
      <c r="R85">
        <v>27.85</v>
      </c>
      <c r="S85">
        <v>58</v>
      </c>
      <c r="T85">
        <v>58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58</v>
      </c>
      <c r="AB85">
        <v>0</v>
      </c>
      <c r="AC85">
        <v>0</v>
      </c>
      <c r="AD85" t="s">
        <v>130</v>
      </c>
      <c r="AF85" t="s">
        <v>130</v>
      </c>
      <c r="AH85">
        <v>85.85</v>
      </c>
    </row>
    <row r="86" spans="1:34" x14ac:dyDescent="0.3">
      <c r="A86" s="4">
        <v>90</v>
      </c>
      <c r="B86" s="5">
        <v>79</v>
      </c>
      <c r="C86">
        <v>2384</v>
      </c>
      <c r="D86" t="s">
        <v>8638</v>
      </c>
      <c r="E86" t="s">
        <v>65</v>
      </c>
      <c r="F86" t="s">
        <v>1566</v>
      </c>
      <c r="G86" t="s">
        <v>8639</v>
      </c>
      <c r="H86">
        <v>20.75</v>
      </c>
      <c r="I86">
        <v>7</v>
      </c>
      <c r="J86">
        <v>0</v>
      </c>
      <c r="K86">
        <v>20</v>
      </c>
      <c r="L86">
        <v>14</v>
      </c>
      <c r="O86">
        <v>14</v>
      </c>
      <c r="P86">
        <v>4</v>
      </c>
      <c r="Q86">
        <v>2</v>
      </c>
      <c r="R86">
        <v>67.75</v>
      </c>
      <c r="S86">
        <v>18</v>
      </c>
      <c r="T86">
        <v>18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18</v>
      </c>
      <c r="AB86">
        <v>0</v>
      </c>
      <c r="AC86">
        <v>0</v>
      </c>
      <c r="AD86" t="s">
        <v>130</v>
      </c>
      <c r="AF86" t="s">
        <v>130</v>
      </c>
      <c r="AH86">
        <v>85.75</v>
      </c>
    </row>
    <row r="87" spans="1:34" x14ac:dyDescent="0.3">
      <c r="A87" s="4">
        <v>91</v>
      </c>
      <c r="B87" s="5">
        <v>80</v>
      </c>
      <c r="C87">
        <v>11555</v>
      </c>
      <c r="D87" t="s">
        <v>8640</v>
      </c>
      <c r="E87" t="s">
        <v>41</v>
      </c>
      <c r="F87" t="s">
        <v>214</v>
      </c>
      <c r="G87" t="s">
        <v>8641</v>
      </c>
      <c r="H87">
        <v>16.68</v>
      </c>
      <c r="I87">
        <v>0</v>
      </c>
      <c r="J87">
        <v>0</v>
      </c>
      <c r="K87">
        <v>20</v>
      </c>
      <c r="L87">
        <v>7</v>
      </c>
      <c r="O87">
        <v>7</v>
      </c>
      <c r="P87">
        <v>4</v>
      </c>
      <c r="Q87">
        <v>2</v>
      </c>
      <c r="R87">
        <v>49.68</v>
      </c>
      <c r="S87">
        <v>36</v>
      </c>
      <c r="T87">
        <v>36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36</v>
      </c>
      <c r="AB87">
        <v>0</v>
      </c>
      <c r="AC87">
        <v>0</v>
      </c>
      <c r="AD87" t="s">
        <v>130</v>
      </c>
      <c r="AF87" t="s">
        <v>130</v>
      </c>
      <c r="AH87">
        <v>85.68</v>
      </c>
    </row>
    <row r="88" spans="1:34" x14ac:dyDescent="0.3">
      <c r="A88" s="4">
        <v>92</v>
      </c>
      <c r="B88" s="5">
        <v>81</v>
      </c>
      <c r="C88">
        <v>7648</v>
      </c>
      <c r="D88" t="s">
        <v>7020</v>
      </c>
      <c r="E88" t="s">
        <v>8642</v>
      </c>
      <c r="F88" t="s">
        <v>230</v>
      </c>
      <c r="G88" t="s">
        <v>8643</v>
      </c>
      <c r="H88">
        <v>19.5</v>
      </c>
      <c r="I88">
        <v>0</v>
      </c>
      <c r="J88">
        <v>0</v>
      </c>
      <c r="K88">
        <v>20</v>
      </c>
      <c r="L88">
        <v>7</v>
      </c>
      <c r="O88">
        <v>7</v>
      </c>
      <c r="P88">
        <v>4</v>
      </c>
      <c r="Q88">
        <v>2</v>
      </c>
      <c r="R88">
        <v>52.5</v>
      </c>
      <c r="S88">
        <v>27</v>
      </c>
      <c r="T88">
        <v>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27</v>
      </c>
      <c r="AB88">
        <v>6</v>
      </c>
      <c r="AC88">
        <v>0</v>
      </c>
      <c r="AF88" t="s">
        <v>130</v>
      </c>
      <c r="AH88">
        <v>85.5</v>
      </c>
    </row>
    <row r="89" spans="1:34" x14ac:dyDescent="0.3">
      <c r="A89" s="4">
        <v>93</v>
      </c>
      <c r="B89" s="5">
        <v>82</v>
      </c>
      <c r="C89">
        <v>12398</v>
      </c>
      <c r="D89" t="s">
        <v>8644</v>
      </c>
      <c r="E89" t="s">
        <v>29</v>
      </c>
      <c r="F89" t="s">
        <v>20</v>
      </c>
      <c r="G89" t="s">
        <v>8645</v>
      </c>
      <c r="H89">
        <v>18.829999999999998</v>
      </c>
      <c r="I89">
        <v>0</v>
      </c>
      <c r="J89">
        <v>0</v>
      </c>
      <c r="K89">
        <v>20</v>
      </c>
      <c r="N89">
        <v>3</v>
      </c>
      <c r="O89">
        <v>3</v>
      </c>
      <c r="P89">
        <v>4</v>
      </c>
      <c r="Q89">
        <v>0</v>
      </c>
      <c r="R89">
        <v>45.83</v>
      </c>
      <c r="S89">
        <v>29</v>
      </c>
      <c r="T89">
        <v>29</v>
      </c>
      <c r="U89">
        <v>0</v>
      </c>
      <c r="V89">
        <v>0</v>
      </c>
      <c r="W89">
        <v>5</v>
      </c>
      <c r="X89">
        <v>7.5</v>
      </c>
      <c r="Y89">
        <v>0</v>
      </c>
      <c r="Z89">
        <v>0</v>
      </c>
      <c r="AA89">
        <v>36.5</v>
      </c>
      <c r="AB89">
        <v>3</v>
      </c>
      <c r="AC89">
        <v>0</v>
      </c>
      <c r="AF89" t="s">
        <v>130</v>
      </c>
      <c r="AH89">
        <v>85.33</v>
      </c>
    </row>
    <row r="90" spans="1:34" x14ac:dyDescent="0.3">
      <c r="A90" s="4">
        <v>94</v>
      </c>
      <c r="B90" s="5">
        <v>83</v>
      </c>
      <c r="C90">
        <v>2261</v>
      </c>
      <c r="D90" t="s">
        <v>8646</v>
      </c>
      <c r="E90" t="s">
        <v>22</v>
      </c>
      <c r="F90" t="s">
        <v>214</v>
      </c>
      <c r="G90" t="s">
        <v>8647</v>
      </c>
      <c r="H90">
        <v>23.08</v>
      </c>
      <c r="I90">
        <v>0</v>
      </c>
      <c r="J90">
        <v>0</v>
      </c>
      <c r="K90">
        <v>20</v>
      </c>
      <c r="L90">
        <v>7</v>
      </c>
      <c r="N90">
        <v>3</v>
      </c>
      <c r="O90">
        <v>10</v>
      </c>
      <c r="P90">
        <v>4</v>
      </c>
      <c r="Q90">
        <v>2</v>
      </c>
      <c r="R90">
        <v>59.08</v>
      </c>
      <c r="S90">
        <v>25</v>
      </c>
      <c r="T90">
        <v>25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25</v>
      </c>
      <c r="AB90">
        <v>0</v>
      </c>
      <c r="AC90">
        <v>0</v>
      </c>
      <c r="AF90" t="s">
        <v>130</v>
      </c>
      <c r="AH90">
        <v>84.08</v>
      </c>
    </row>
    <row r="91" spans="1:34" x14ac:dyDescent="0.3">
      <c r="A91" s="4">
        <v>95</v>
      </c>
      <c r="B91" s="5">
        <v>84</v>
      </c>
      <c r="C91">
        <v>6549</v>
      </c>
      <c r="D91" t="s">
        <v>8648</v>
      </c>
      <c r="E91" t="s">
        <v>81</v>
      </c>
      <c r="F91" t="s">
        <v>909</v>
      </c>
      <c r="G91" t="s">
        <v>8649</v>
      </c>
      <c r="H91">
        <v>17.7</v>
      </c>
      <c r="I91">
        <v>0</v>
      </c>
      <c r="J91">
        <v>0</v>
      </c>
      <c r="K91">
        <v>20</v>
      </c>
      <c r="L91">
        <v>7</v>
      </c>
      <c r="M91">
        <v>5</v>
      </c>
      <c r="O91">
        <v>12</v>
      </c>
      <c r="P91">
        <v>4</v>
      </c>
      <c r="Q91">
        <v>2</v>
      </c>
      <c r="R91">
        <v>55.7</v>
      </c>
      <c r="S91">
        <v>28</v>
      </c>
      <c r="T91">
        <v>28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28</v>
      </c>
      <c r="AB91">
        <v>0</v>
      </c>
      <c r="AC91">
        <v>0</v>
      </c>
      <c r="AD91" t="s">
        <v>130</v>
      </c>
      <c r="AF91" t="s">
        <v>130</v>
      </c>
      <c r="AH91">
        <v>83.7</v>
      </c>
    </row>
    <row r="92" spans="1:34" x14ac:dyDescent="0.3">
      <c r="A92" s="4">
        <v>96</v>
      </c>
      <c r="B92" s="5">
        <v>85</v>
      </c>
      <c r="C92">
        <v>12388</v>
      </c>
      <c r="D92" t="s">
        <v>8650</v>
      </c>
      <c r="E92" t="s">
        <v>170</v>
      </c>
      <c r="F92" t="s">
        <v>62</v>
      </c>
      <c r="G92" t="s">
        <v>8651</v>
      </c>
      <c r="H92">
        <v>18.55</v>
      </c>
      <c r="I92">
        <v>0</v>
      </c>
      <c r="J92">
        <v>0</v>
      </c>
      <c r="K92">
        <v>28</v>
      </c>
      <c r="L92">
        <v>7</v>
      </c>
      <c r="O92">
        <v>7</v>
      </c>
      <c r="P92">
        <v>4</v>
      </c>
      <c r="Q92">
        <v>2</v>
      </c>
      <c r="R92">
        <v>59.55</v>
      </c>
      <c r="S92">
        <v>18</v>
      </c>
      <c r="T92">
        <v>18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18</v>
      </c>
      <c r="AB92">
        <v>6</v>
      </c>
      <c r="AC92">
        <v>0</v>
      </c>
      <c r="AD92" t="s">
        <v>130</v>
      </c>
      <c r="AF92" t="s">
        <v>130</v>
      </c>
      <c r="AH92">
        <v>83.55</v>
      </c>
    </row>
    <row r="93" spans="1:34" x14ac:dyDescent="0.3">
      <c r="A93" s="4">
        <v>97</v>
      </c>
      <c r="B93" s="5">
        <v>86</v>
      </c>
      <c r="C93">
        <v>10</v>
      </c>
      <c r="D93" t="s">
        <v>6107</v>
      </c>
      <c r="E93" t="s">
        <v>8652</v>
      </c>
      <c r="F93" t="s">
        <v>136</v>
      </c>
      <c r="G93" t="s">
        <v>8653</v>
      </c>
      <c r="H93">
        <v>20.5</v>
      </c>
      <c r="I93">
        <v>0</v>
      </c>
      <c r="J93">
        <v>0</v>
      </c>
      <c r="K93">
        <v>20</v>
      </c>
      <c r="L93">
        <v>7</v>
      </c>
      <c r="N93">
        <v>3</v>
      </c>
      <c r="O93">
        <v>10</v>
      </c>
      <c r="P93">
        <v>4</v>
      </c>
      <c r="Q93">
        <v>2</v>
      </c>
      <c r="R93">
        <v>56.5</v>
      </c>
      <c r="S93">
        <v>18</v>
      </c>
      <c r="T93">
        <v>18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18</v>
      </c>
      <c r="AB93">
        <v>9</v>
      </c>
      <c r="AC93">
        <v>0</v>
      </c>
      <c r="AF93" t="s">
        <v>130</v>
      </c>
      <c r="AH93">
        <v>83.5</v>
      </c>
    </row>
    <row r="94" spans="1:34" x14ac:dyDescent="0.3">
      <c r="A94" s="4">
        <v>98</v>
      </c>
      <c r="B94" s="5">
        <v>87</v>
      </c>
      <c r="C94">
        <v>9508</v>
      </c>
      <c r="D94" t="s">
        <v>1530</v>
      </c>
      <c r="E94" t="s">
        <v>166</v>
      </c>
      <c r="F94" t="s">
        <v>136</v>
      </c>
      <c r="G94" t="s">
        <v>8654</v>
      </c>
      <c r="H94">
        <v>17.48</v>
      </c>
      <c r="I94">
        <v>0</v>
      </c>
      <c r="J94">
        <v>0</v>
      </c>
      <c r="K94">
        <v>20</v>
      </c>
      <c r="L94">
        <v>7</v>
      </c>
      <c r="O94">
        <v>7</v>
      </c>
      <c r="P94">
        <v>4</v>
      </c>
      <c r="Q94">
        <v>0</v>
      </c>
      <c r="R94">
        <v>48.48</v>
      </c>
      <c r="S94">
        <v>35</v>
      </c>
      <c r="T94">
        <v>35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35</v>
      </c>
      <c r="AB94">
        <v>0</v>
      </c>
      <c r="AC94">
        <v>0</v>
      </c>
      <c r="AF94" t="s">
        <v>130</v>
      </c>
      <c r="AH94">
        <v>83.48</v>
      </c>
    </row>
    <row r="95" spans="1:34" x14ac:dyDescent="0.3">
      <c r="A95" s="4">
        <v>99</v>
      </c>
      <c r="B95" s="5">
        <v>88</v>
      </c>
      <c r="C95">
        <v>9673</v>
      </c>
      <c r="D95" t="s">
        <v>8655</v>
      </c>
      <c r="E95" t="s">
        <v>41</v>
      </c>
      <c r="F95" t="s">
        <v>4680</v>
      </c>
      <c r="G95" t="s">
        <v>8656</v>
      </c>
      <c r="H95">
        <v>17.399999999999999</v>
      </c>
      <c r="I95">
        <v>0</v>
      </c>
      <c r="J95">
        <v>0</v>
      </c>
      <c r="K95">
        <v>20</v>
      </c>
      <c r="N95">
        <v>3</v>
      </c>
      <c r="O95">
        <v>3</v>
      </c>
      <c r="P95">
        <v>4</v>
      </c>
      <c r="Q95">
        <v>0</v>
      </c>
      <c r="R95">
        <v>44.4</v>
      </c>
      <c r="S95">
        <v>33</v>
      </c>
      <c r="T95">
        <v>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33</v>
      </c>
      <c r="AB95">
        <v>6</v>
      </c>
      <c r="AC95">
        <v>0</v>
      </c>
      <c r="AF95" t="s">
        <v>130</v>
      </c>
      <c r="AH95">
        <v>83.4</v>
      </c>
    </row>
    <row r="96" spans="1:34" x14ac:dyDescent="0.3">
      <c r="A96" s="4">
        <v>100</v>
      </c>
      <c r="B96" s="5">
        <v>89</v>
      </c>
      <c r="C96">
        <v>6429</v>
      </c>
      <c r="D96" t="s">
        <v>7846</v>
      </c>
      <c r="E96" t="s">
        <v>8657</v>
      </c>
      <c r="F96" t="s">
        <v>5741</v>
      </c>
      <c r="G96" t="s">
        <v>8658</v>
      </c>
      <c r="H96">
        <v>18</v>
      </c>
      <c r="I96">
        <v>0</v>
      </c>
      <c r="J96">
        <v>0</v>
      </c>
      <c r="K96">
        <v>20</v>
      </c>
      <c r="L96">
        <v>7</v>
      </c>
      <c r="O96">
        <v>7</v>
      </c>
      <c r="P96">
        <v>4</v>
      </c>
      <c r="Q96">
        <v>2</v>
      </c>
      <c r="R96">
        <v>51</v>
      </c>
      <c r="S96">
        <v>32</v>
      </c>
      <c r="T96">
        <v>32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32</v>
      </c>
      <c r="AB96">
        <v>0</v>
      </c>
      <c r="AC96">
        <v>0</v>
      </c>
      <c r="AD96" t="s">
        <v>130</v>
      </c>
      <c r="AF96" t="s">
        <v>130</v>
      </c>
      <c r="AH96">
        <v>83</v>
      </c>
    </row>
    <row r="97" spans="1:34" x14ac:dyDescent="0.3">
      <c r="A97" s="4">
        <v>101</v>
      </c>
      <c r="B97" s="5">
        <v>90</v>
      </c>
      <c r="C97">
        <v>432</v>
      </c>
      <c r="D97" t="s">
        <v>3490</v>
      </c>
      <c r="E97" t="s">
        <v>265</v>
      </c>
      <c r="F97" t="s">
        <v>20</v>
      </c>
      <c r="G97" t="s">
        <v>8659</v>
      </c>
      <c r="H97">
        <v>20.079999999999998</v>
      </c>
      <c r="I97">
        <v>0</v>
      </c>
      <c r="J97">
        <v>0</v>
      </c>
      <c r="K97">
        <v>20</v>
      </c>
      <c r="M97">
        <v>5</v>
      </c>
      <c r="O97">
        <v>5</v>
      </c>
      <c r="P97">
        <v>4</v>
      </c>
      <c r="Q97">
        <v>2</v>
      </c>
      <c r="R97">
        <v>51.08</v>
      </c>
      <c r="S97">
        <v>31</v>
      </c>
      <c r="T97">
        <v>31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31</v>
      </c>
      <c r="AB97">
        <v>0</v>
      </c>
      <c r="AC97">
        <v>0</v>
      </c>
      <c r="AD97" t="s">
        <v>130</v>
      </c>
      <c r="AF97" t="s">
        <v>130</v>
      </c>
      <c r="AH97">
        <v>82.08</v>
      </c>
    </row>
    <row r="98" spans="1:34" x14ac:dyDescent="0.3">
      <c r="A98" s="4">
        <v>102</v>
      </c>
      <c r="B98" s="5">
        <v>91</v>
      </c>
      <c r="C98">
        <v>9049</v>
      </c>
      <c r="D98" t="s">
        <v>8660</v>
      </c>
      <c r="E98" t="s">
        <v>97</v>
      </c>
      <c r="F98" t="s">
        <v>38</v>
      </c>
      <c r="G98" t="s">
        <v>8661</v>
      </c>
      <c r="H98">
        <v>19.03</v>
      </c>
      <c r="I98">
        <v>0</v>
      </c>
      <c r="J98">
        <v>0</v>
      </c>
      <c r="K98">
        <v>20</v>
      </c>
      <c r="L98">
        <v>7</v>
      </c>
      <c r="O98">
        <v>7</v>
      </c>
      <c r="P98">
        <v>4</v>
      </c>
      <c r="Q98">
        <v>2</v>
      </c>
      <c r="R98">
        <v>52.03</v>
      </c>
      <c r="S98">
        <v>30</v>
      </c>
      <c r="T98">
        <v>30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30</v>
      </c>
      <c r="AB98">
        <v>0</v>
      </c>
      <c r="AC98">
        <v>0</v>
      </c>
      <c r="AD98" t="s">
        <v>130</v>
      </c>
      <c r="AF98" t="s">
        <v>130</v>
      </c>
      <c r="AH98">
        <v>82.03</v>
      </c>
    </row>
    <row r="99" spans="1:34" x14ac:dyDescent="0.3">
      <c r="A99" s="4">
        <v>103</v>
      </c>
      <c r="B99" s="5">
        <v>92</v>
      </c>
      <c r="C99">
        <v>6386</v>
      </c>
      <c r="D99" t="s">
        <v>3230</v>
      </c>
      <c r="E99" t="s">
        <v>2758</v>
      </c>
      <c r="F99" t="s">
        <v>79</v>
      </c>
      <c r="G99" t="s">
        <v>8662</v>
      </c>
      <c r="H99">
        <v>21.2</v>
      </c>
      <c r="I99">
        <v>0</v>
      </c>
      <c r="J99">
        <v>0</v>
      </c>
      <c r="K99">
        <v>20</v>
      </c>
      <c r="L99">
        <v>7</v>
      </c>
      <c r="N99">
        <v>3</v>
      </c>
      <c r="O99">
        <v>10</v>
      </c>
      <c r="P99">
        <v>4</v>
      </c>
      <c r="Q99">
        <v>0</v>
      </c>
      <c r="R99">
        <v>55.2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26.8</v>
      </c>
      <c r="AD99" t="s">
        <v>130</v>
      </c>
      <c r="AF99" t="s">
        <v>130</v>
      </c>
      <c r="AH99">
        <v>82</v>
      </c>
    </row>
    <row r="100" spans="1:34" x14ac:dyDescent="0.3">
      <c r="A100" s="4">
        <v>104</v>
      </c>
      <c r="B100" s="5">
        <v>93</v>
      </c>
      <c r="C100">
        <v>7720</v>
      </c>
      <c r="D100" t="s">
        <v>8663</v>
      </c>
      <c r="E100" t="s">
        <v>29</v>
      </c>
      <c r="F100" t="s">
        <v>20</v>
      </c>
      <c r="G100" t="s">
        <v>8664</v>
      </c>
      <c r="H100">
        <v>20.65</v>
      </c>
      <c r="I100">
        <v>7</v>
      </c>
      <c r="J100">
        <v>0</v>
      </c>
      <c r="K100">
        <v>0</v>
      </c>
      <c r="L100">
        <v>7</v>
      </c>
      <c r="O100">
        <v>7</v>
      </c>
      <c r="P100">
        <v>4</v>
      </c>
      <c r="Q100">
        <v>2</v>
      </c>
      <c r="R100">
        <v>40.65</v>
      </c>
      <c r="S100">
        <v>41</v>
      </c>
      <c r="T100">
        <v>41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41</v>
      </c>
      <c r="AB100">
        <v>0</v>
      </c>
      <c r="AC100">
        <v>0</v>
      </c>
      <c r="AD100" t="s">
        <v>130</v>
      </c>
      <c r="AF100" t="s">
        <v>130</v>
      </c>
      <c r="AH100">
        <v>81.650000000000006</v>
      </c>
    </row>
    <row r="101" spans="1:34" x14ac:dyDescent="0.3">
      <c r="A101" s="4">
        <v>105</v>
      </c>
      <c r="B101" s="5">
        <v>94</v>
      </c>
      <c r="C101">
        <v>8852</v>
      </c>
      <c r="D101" t="s">
        <v>8665</v>
      </c>
      <c r="E101" t="s">
        <v>243</v>
      </c>
      <c r="F101" t="s">
        <v>124</v>
      </c>
      <c r="G101" t="s">
        <v>8666</v>
      </c>
      <c r="H101">
        <v>17.600000000000001</v>
      </c>
      <c r="I101">
        <v>0</v>
      </c>
      <c r="J101">
        <v>0</v>
      </c>
      <c r="K101">
        <v>0</v>
      </c>
      <c r="O101">
        <v>0</v>
      </c>
      <c r="P101">
        <v>4</v>
      </c>
      <c r="Q101">
        <v>0</v>
      </c>
      <c r="R101">
        <v>21.6</v>
      </c>
      <c r="S101">
        <v>60</v>
      </c>
      <c r="T101">
        <v>60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60</v>
      </c>
      <c r="AB101">
        <v>0</v>
      </c>
      <c r="AC101">
        <v>0</v>
      </c>
      <c r="AF101" t="s">
        <v>130</v>
      </c>
      <c r="AH101">
        <v>81.599999999999994</v>
      </c>
    </row>
    <row r="102" spans="1:34" x14ac:dyDescent="0.3">
      <c r="A102" s="4">
        <v>106</v>
      </c>
      <c r="B102" s="5">
        <v>95</v>
      </c>
      <c r="C102">
        <v>107</v>
      </c>
      <c r="D102" t="s">
        <v>7377</v>
      </c>
      <c r="E102" t="s">
        <v>1526</v>
      </c>
      <c r="F102" t="s">
        <v>30</v>
      </c>
      <c r="G102" t="s">
        <v>8667</v>
      </c>
      <c r="H102">
        <v>22.93</v>
      </c>
      <c r="I102">
        <v>7</v>
      </c>
      <c r="J102">
        <v>0</v>
      </c>
      <c r="K102">
        <v>20</v>
      </c>
      <c r="L102">
        <v>7</v>
      </c>
      <c r="O102">
        <v>7</v>
      </c>
      <c r="P102">
        <v>4</v>
      </c>
      <c r="Q102">
        <v>2</v>
      </c>
      <c r="R102">
        <v>62.93</v>
      </c>
      <c r="S102">
        <v>18</v>
      </c>
      <c r="T102">
        <v>18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18</v>
      </c>
      <c r="AB102">
        <v>0</v>
      </c>
      <c r="AC102">
        <v>0</v>
      </c>
      <c r="AF102" t="s">
        <v>130</v>
      </c>
      <c r="AH102">
        <v>80.930000000000007</v>
      </c>
    </row>
    <row r="103" spans="1:34" x14ac:dyDescent="0.3">
      <c r="A103" s="4">
        <v>107</v>
      </c>
      <c r="B103" s="5">
        <v>96</v>
      </c>
      <c r="C103">
        <v>9587</v>
      </c>
      <c r="D103" t="s">
        <v>8668</v>
      </c>
      <c r="E103" t="s">
        <v>219</v>
      </c>
      <c r="F103" t="s">
        <v>190</v>
      </c>
      <c r="G103" t="s">
        <v>8669</v>
      </c>
      <c r="H103">
        <v>18.8</v>
      </c>
      <c r="I103">
        <v>0</v>
      </c>
      <c r="J103">
        <v>0</v>
      </c>
      <c r="K103">
        <v>20</v>
      </c>
      <c r="L103">
        <v>7</v>
      </c>
      <c r="O103">
        <v>7</v>
      </c>
      <c r="P103">
        <v>4</v>
      </c>
      <c r="Q103">
        <v>0</v>
      </c>
      <c r="R103">
        <v>49.8</v>
      </c>
      <c r="S103">
        <v>31</v>
      </c>
      <c r="T103">
        <v>31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31</v>
      </c>
      <c r="AB103">
        <v>0</v>
      </c>
      <c r="AC103">
        <v>0</v>
      </c>
      <c r="AF103" t="s">
        <v>130</v>
      </c>
      <c r="AH103">
        <v>80.8</v>
      </c>
    </row>
    <row r="104" spans="1:34" x14ac:dyDescent="0.3">
      <c r="A104" s="4">
        <v>108</v>
      </c>
      <c r="B104" s="5">
        <v>97</v>
      </c>
      <c r="C104">
        <v>5453</v>
      </c>
      <c r="D104" t="s">
        <v>181</v>
      </c>
      <c r="E104" t="s">
        <v>1168</v>
      </c>
      <c r="F104" t="s">
        <v>117</v>
      </c>
      <c r="G104" t="s">
        <v>8670</v>
      </c>
      <c r="H104">
        <v>18.75</v>
      </c>
      <c r="I104">
        <v>0</v>
      </c>
      <c r="J104">
        <v>0</v>
      </c>
      <c r="K104">
        <v>28</v>
      </c>
      <c r="L104">
        <v>7</v>
      </c>
      <c r="N104">
        <v>3</v>
      </c>
      <c r="O104">
        <v>10</v>
      </c>
      <c r="P104">
        <v>4</v>
      </c>
      <c r="Q104">
        <v>2</v>
      </c>
      <c r="R104">
        <v>62.75</v>
      </c>
      <c r="S104">
        <v>18</v>
      </c>
      <c r="T104">
        <v>18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18</v>
      </c>
      <c r="AB104">
        <v>0</v>
      </c>
      <c r="AC104">
        <v>0</v>
      </c>
      <c r="AF104" t="s">
        <v>130</v>
      </c>
      <c r="AH104">
        <v>80.75</v>
      </c>
    </row>
    <row r="105" spans="1:34" x14ac:dyDescent="0.3">
      <c r="A105" s="4">
        <v>109</v>
      </c>
      <c r="B105" s="5">
        <v>98</v>
      </c>
      <c r="C105">
        <v>1916</v>
      </c>
      <c r="D105" t="s">
        <v>8671</v>
      </c>
      <c r="E105" t="s">
        <v>789</v>
      </c>
      <c r="F105" t="s">
        <v>17</v>
      </c>
      <c r="G105" t="s">
        <v>8672</v>
      </c>
      <c r="H105">
        <v>17.600000000000001</v>
      </c>
      <c r="I105">
        <v>0</v>
      </c>
      <c r="J105">
        <v>0</v>
      </c>
      <c r="K105">
        <v>0</v>
      </c>
      <c r="N105">
        <v>6</v>
      </c>
      <c r="O105">
        <v>6</v>
      </c>
      <c r="P105">
        <v>4</v>
      </c>
      <c r="Q105">
        <v>2</v>
      </c>
      <c r="R105">
        <v>29.6</v>
      </c>
      <c r="S105">
        <v>31</v>
      </c>
      <c r="T105">
        <v>31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31</v>
      </c>
      <c r="AB105">
        <v>0</v>
      </c>
      <c r="AC105">
        <v>20</v>
      </c>
      <c r="AE105" t="s">
        <v>130</v>
      </c>
      <c r="AF105" t="s">
        <v>130</v>
      </c>
      <c r="AH105">
        <v>80.599999999999994</v>
      </c>
    </row>
    <row r="106" spans="1:34" x14ac:dyDescent="0.3">
      <c r="A106" s="4">
        <v>110</v>
      </c>
      <c r="B106" s="5">
        <v>99</v>
      </c>
      <c r="C106">
        <v>13028</v>
      </c>
      <c r="D106" t="s">
        <v>8673</v>
      </c>
      <c r="E106" t="s">
        <v>110</v>
      </c>
      <c r="F106" t="s">
        <v>570</v>
      </c>
      <c r="G106" t="s">
        <v>8674</v>
      </c>
      <c r="H106">
        <v>20.28</v>
      </c>
      <c r="I106">
        <v>7</v>
      </c>
      <c r="J106">
        <v>0</v>
      </c>
      <c r="K106">
        <v>20</v>
      </c>
      <c r="N106">
        <v>3</v>
      </c>
      <c r="O106">
        <v>3</v>
      </c>
      <c r="P106">
        <v>4</v>
      </c>
      <c r="Q106">
        <v>2</v>
      </c>
      <c r="R106">
        <v>56.28</v>
      </c>
      <c r="S106">
        <v>18</v>
      </c>
      <c r="T106">
        <v>18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18</v>
      </c>
      <c r="AB106">
        <v>6</v>
      </c>
      <c r="AC106">
        <v>0</v>
      </c>
      <c r="AF106" t="s">
        <v>130</v>
      </c>
      <c r="AH106">
        <v>80.28</v>
      </c>
    </row>
    <row r="107" spans="1:34" x14ac:dyDescent="0.3">
      <c r="A107" s="4">
        <v>111</v>
      </c>
      <c r="B107" s="5">
        <v>100</v>
      </c>
      <c r="C107">
        <v>10720</v>
      </c>
      <c r="D107" t="s">
        <v>8675</v>
      </c>
      <c r="E107" t="s">
        <v>1566</v>
      </c>
      <c r="F107" t="s">
        <v>17</v>
      </c>
      <c r="G107" t="s">
        <v>8676</v>
      </c>
      <c r="H107">
        <v>17.100000000000001</v>
      </c>
      <c r="I107">
        <v>0</v>
      </c>
      <c r="J107">
        <v>0</v>
      </c>
      <c r="K107">
        <v>20</v>
      </c>
      <c r="L107">
        <v>7</v>
      </c>
      <c r="O107">
        <v>7</v>
      </c>
      <c r="P107">
        <v>4</v>
      </c>
      <c r="Q107">
        <v>2</v>
      </c>
      <c r="R107">
        <v>50.1</v>
      </c>
      <c r="S107">
        <v>30</v>
      </c>
      <c r="T107">
        <v>30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30</v>
      </c>
      <c r="AB107">
        <v>0</v>
      </c>
      <c r="AC107">
        <v>0</v>
      </c>
      <c r="AF107" t="s">
        <v>130</v>
      </c>
      <c r="AH107">
        <v>80.099999999999994</v>
      </c>
    </row>
    <row r="108" spans="1:34" x14ac:dyDescent="0.3">
      <c r="A108" s="4">
        <v>112</v>
      </c>
      <c r="B108" s="5">
        <v>101</v>
      </c>
      <c r="C108">
        <v>3955</v>
      </c>
      <c r="D108" t="s">
        <v>8677</v>
      </c>
      <c r="E108" t="s">
        <v>54</v>
      </c>
      <c r="F108" t="s">
        <v>1399</v>
      </c>
      <c r="G108" t="s">
        <v>8678</v>
      </c>
      <c r="H108">
        <v>24.4</v>
      </c>
      <c r="I108">
        <v>7</v>
      </c>
      <c r="J108">
        <v>0</v>
      </c>
      <c r="K108">
        <v>20</v>
      </c>
      <c r="L108">
        <v>7</v>
      </c>
      <c r="M108">
        <v>5</v>
      </c>
      <c r="O108">
        <v>12</v>
      </c>
      <c r="P108">
        <v>4</v>
      </c>
      <c r="Q108">
        <v>2</v>
      </c>
      <c r="R108">
        <v>69.400000000000006</v>
      </c>
      <c r="S108">
        <v>4</v>
      </c>
      <c r="T108">
        <v>4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4</v>
      </c>
      <c r="AB108">
        <v>6</v>
      </c>
      <c r="AC108">
        <v>0</v>
      </c>
      <c r="AF108" t="s">
        <v>130</v>
      </c>
      <c r="AH108">
        <v>79.400000000000006</v>
      </c>
    </row>
    <row r="109" spans="1:34" x14ac:dyDescent="0.3">
      <c r="A109" s="4">
        <v>113</v>
      </c>
      <c r="B109" s="5">
        <v>102</v>
      </c>
      <c r="C109">
        <v>6325</v>
      </c>
      <c r="D109" t="s">
        <v>8679</v>
      </c>
      <c r="E109" t="s">
        <v>400</v>
      </c>
      <c r="F109" t="s">
        <v>81</v>
      </c>
      <c r="G109" t="s">
        <v>8680</v>
      </c>
      <c r="H109">
        <v>19.28</v>
      </c>
      <c r="I109">
        <v>0</v>
      </c>
      <c r="J109">
        <v>0</v>
      </c>
      <c r="K109">
        <v>20</v>
      </c>
      <c r="L109">
        <v>7</v>
      </c>
      <c r="O109">
        <v>7</v>
      </c>
      <c r="P109">
        <v>4</v>
      </c>
      <c r="Q109">
        <v>2</v>
      </c>
      <c r="R109">
        <v>52.28</v>
      </c>
      <c r="S109">
        <v>18</v>
      </c>
      <c r="T109">
        <v>18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18</v>
      </c>
      <c r="AB109">
        <v>9</v>
      </c>
      <c r="AC109">
        <v>0</v>
      </c>
      <c r="AF109" t="s">
        <v>130</v>
      </c>
      <c r="AH109">
        <v>79.28</v>
      </c>
    </row>
    <row r="110" spans="1:34" x14ac:dyDescent="0.3">
      <c r="A110" s="4">
        <v>114</v>
      </c>
      <c r="B110" s="5">
        <v>103</v>
      </c>
      <c r="C110">
        <v>1246</v>
      </c>
      <c r="D110" t="s">
        <v>8681</v>
      </c>
      <c r="E110" t="s">
        <v>255</v>
      </c>
      <c r="F110" t="s">
        <v>38</v>
      </c>
      <c r="G110" t="s">
        <v>8682</v>
      </c>
      <c r="H110">
        <v>18.2</v>
      </c>
      <c r="I110">
        <v>0</v>
      </c>
      <c r="J110">
        <v>0</v>
      </c>
      <c r="K110">
        <v>20</v>
      </c>
      <c r="M110">
        <v>5</v>
      </c>
      <c r="O110">
        <v>5</v>
      </c>
      <c r="P110">
        <v>4</v>
      </c>
      <c r="Q110">
        <v>2</v>
      </c>
      <c r="R110">
        <v>49.2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3</v>
      </c>
      <c r="AC110">
        <v>26.8</v>
      </c>
      <c r="AD110" t="s">
        <v>130</v>
      </c>
      <c r="AF110" t="s">
        <v>130</v>
      </c>
      <c r="AH110">
        <v>79</v>
      </c>
    </row>
    <row r="111" spans="1:34" x14ac:dyDescent="0.3">
      <c r="A111" s="4">
        <v>115</v>
      </c>
      <c r="B111" s="5">
        <v>104</v>
      </c>
      <c r="C111">
        <v>10807</v>
      </c>
      <c r="D111" t="s">
        <v>93</v>
      </c>
      <c r="E111" t="s">
        <v>54</v>
      </c>
      <c r="F111" t="s">
        <v>30</v>
      </c>
      <c r="G111" t="s">
        <v>8683</v>
      </c>
      <c r="H111">
        <v>17.93</v>
      </c>
      <c r="I111">
        <v>0</v>
      </c>
      <c r="J111">
        <v>0</v>
      </c>
      <c r="K111">
        <v>20</v>
      </c>
      <c r="N111">
        <v>3</v>
      </c>
      <c r="O111">
        <v>3</v>
      </c>
      <c r="P111">
        <v>4</v>
      </c>
      <c r="Q111">
        <v>2</v>
      </c>
      <c r="R111">
        <v>46.93</v>
      </c>
      <c r="S111">
        <v>25</v>
      </c>
      <c r="T111">
        <v>25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25</v>
      </c>
      <c r="AB111">
        <v>6</v>
      </c>
      <c r="AC111">
        <v>0</v>
      </c>
      <c r="AF111" t="s">
        <v>130</v>
      </c>
      <c r="AH111">
        <v>77.930000000000007</v>
      </c>
    </row>
    <row r="112" spans="1:34" x14ac:dyDescent="0.3">
      <c r="A112" s="4">
        <v>116</v>
      </c>
      <c r="B112" s="5">
        <v>105</v>
      </c>
      <c r="C112">
        <v>13363</v>
      </c>
      <c r="D112" t="s">
        <v>8684</v>
      </c>
      <c r="E112" t="s">
        <v>161</v>
      </c>
      <c r="F112" t="s">
        <v>20</v>
      </c>
      <c r="G112" t="s">
        <v>8685</v>
      </c>
      <c r="H112">
        <v>20.73</v>
      </c>
      <c r="I112">
        <v>7</v>
      </c>
      <c r="J112">
        <v>0</v>
      </c>
      <c r="K112">
        <v>20</v>
      </c>
      <c r="L112">
        <v>7</v>
      </c>
      <c r="O112">
        <v>7</v>
      </c>
      <c r="P112">
        <v>4</v>
      </c>
      <c r="Q112">
        <v>2</v>
      </c>
      <c r="R112">
        <v>60.73</v>
      </c>
      <c r="S112">
        <v>17</v>
      </c>
      <c r="T112">
        <v>17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17</v>
      </c>
      <c r="AB112">
        <v>0</v>
      </c>
      <c r="AC112">
        <v>0</v>
      </c>
      <c r="AD112" t="s">
        <v>130</v>
      </c>
      <c r="AF112" t="s">
        <v>130</v>
      </c>
      <c r="AH112">
        <v>77.73</v>
      </c>
    </row>
    <row r="113" spans="1:34" x14ac:dyDescent="0.3">
      <c r="A113" s="4">
        <v>117</v>
      </c>
      <c r="B113" s="5">
        <v>106</v>
      </c>
      <c r="C113">
        <v>395</v>
      </c>
      <c r="D113" t="s">
        <v>8686</v>
      </c>
      <c r="E113" t="s">
        <v>1975</v>
      </c>
      <c r="F113" t="s">
        <v>117</v>
      </c>
      <c r="G113" t="s">
        <v>8687</v>
      </c>
      <c r="H113">
        <v>19.63</v>
      </c>
      <c r="I113">
        <v>0</v>
      </c>
      <c r="J113">
        <v>0</v>
      </c>
      <c r="K113">
        <v>20</v>
      </c>
      <c r="N113">
        <v>3</v>
      </c>
      <c r="O113">
        <v>3</v>
      </c>
      <c r="P113">
        <v>4</v>
      </c>
      <c r="Q113">
        <v>0</v>
      </c>
      <c r="R113">
        <v>46.63</v>
      </c>
      <c r="S113">
        <v>31</v>
      </c>
      <c r="T113">
        <v>31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31</v>
      </c>
      <c r="AB113">
        <v>0</v>
      </c>
      <c r="AC113">
        <v>0</v>
      </c>
      <c r="AF113" t="s">
        <v>130</v>
      </c>
      <c r="AH113">
        <v>77.63</v>
      </c>
    </row>
    <row r="114" spans="1:34" x14ac:dyDescent="0.3">
      <c r="A114" s="4">
        <v>118</v>
      </c>
      <c r="B114" s="5">
        <v>107</v>
      </c>
      <c r="C114">
        <v>14354</v>
      </c>
      <c r="D114" t="s">
        <v>8688</v>
      </c>
      <c r="E114" t="s">
        <v>182</v>
      </c>
      <c r="F114" t="s">
        <v>30</v>
      </c>
      <c r="G114" t="s">
        <v>8689</v>
      </c>
      <c r="H114">
        <v>21.38</v>
      </c>
      <c r="I114">
        <v>0</v>
      </c>
      <c r="J114">
        <v>0</v>
      </c>
      <c r="K114">
        <v>20</v>
      </c>
      <c r="L114">
        <v>7</v>
      </c>
      <c r="O114">
        <v>7</v>
      </c>
      <c r="P114">
        <v>4</v>
      </c>
      <c r="Q114">
        <v>2</v>
      </c>
      <c r="R114">
        <v>54.38</v>
      </c>
      <c r="S114">
        <v>13</v>
      </c>
      <c r="T114">
        <v>13</v>
      </c>
      <c r="U114">
        <v>0</v>
      </c>
      <c r="V114">
        <v>0</v>
      </c>
      <c r="W114">
        <v>7</v>
      </c>
      <c r="X114">
        <v>10</v>
      </c>
      <c r="Y114">
        <v>0</v>
      </c>
      <c r="Z114">
        <v>0</v>
      </c>
      <c r="AA114">
        <v>23</v>
      </c>
      <c r="AB114">
        <v>0</v>
      </c>
      <c r="AC114">
        <v>0</v>
      </c>
      <c r="AF114" t="s">
        <v>130</v>
      </c>
      <c r="AH114">
        <v>77.38</v>
      </c>
    </row>
    <row r="115" spans="1:34" x14ac:dyDescent="0.3">
      <c r="A115" s="4">
        <v>119</v>
      </c>
      <c r="B115" s="5">
        <v>108</v>
      </c>
      <c r="C115">
        <v>5663</v>
      </c>
      <c r="D115" t="s">
        <v>8690</v>
      </c>
      <c r="E115" t="s">
        <v>1508</v>
      </c>
      <c r="F115" t="s">
        <v>55</v>
      </c>
      <c r="G115" t="s">
        <v>8691</v>
      </c>
      <c r="H115">
        <v>20.25</v>
      </c>
      <c r="I115">
        <v>0</v>
      </c>
      <c r="J115">
        <v>0</v>
      </c>
      <c r="K115">
        <v>20</v>
      </c>
      <c r="L115">
        <v>7</v>
      </c>
      <c r="N115">
        <v>3</v>
      </c>
      <c r="O115">
        <v>10</v>
      </c>
      <c r="P115">
        <v>4</v>
      </c>
      <c r="Q115">
        <v>2</v>
      </c>
      <c r="R115">
        <v>56.25</v>
      </c>
      <c r="S115">
        <v>18</v>
      </c>
      <c r="T115">
        <v>18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18</v>
      </c>
      <c r="AB115">
        <v>3</v>
      </c>
      <c r="AC115">
        <v>0</v>
      </c>
      <c r="AF115" t="s">
        <v>130</v>
      </c>
      <c r="AH115">
        <v>77.25</v>
      </c>
    </row>
    <row r="116" spans="1:34" x14ac:dyDescent="0.3">
      <c r="A116" s="4">
        <v>121</v>
      </c>
      <c r="B116" s="5">
        <v>109</v>
      </c>
      <c r="C116">
        <v>9949</v>
      </c>
      <c r="D116" t="s">
        <v>166</v>
      </c>
      <c r="E116" t="s">
        <v>279</v>
      </c>
      <c r="F116" t="s">
        <v>55</v>
      </c>
      <c r="G116" t="s">
        <v>8692</v>
      </c>
      <c r="H116">
        <v>16.579999999999998</v>
      </c>
      <c r="I116">
        <v>0</v>
      </c>
      <c r="J116">
        <v>0</v>
      </c>
      <c r="K116">
        <v>0</v>
      </c>
      <c r="N116">
        <v>3</v>
      </c>
      <c r="O116">
        <v>3</v>
      </c>
      <c r="P116">
        <v>4</v>
      </c>
      <c r="Q116">
        <v>0</v>
      </c>
      <c r="R116">
        <v>23.58</v>
      </c>
      <c r="S116">
        <v>18</v>
      </c>
      <c r="T116">
        <v>18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18</v>
      </c>
      <c r="AB116">
        <v>3</v>
      </c>
      <c r="AC116">
        <v>32</v>
      </c>
      <c r="AF116" t="s">
        <v>130</v>
      </c>
      <c r="AH116">
        <v>76.58</v>
      </c>
    </row>
    <row r="117" spans="1:34" x14ac:dyDescent="0.3">
      <c r="A117" s="4">
        <v>122</v>
      </c>
      <c r="B117" s="5">
        <v>110</v>
      </c>
      <c r="C117">
        <v>7624</v>
      </c>
      <c r="D117" t="s">
        <v>3223</v>
      </c>
      <c r="E117" t="s">
        <v>792</v>
      </c>
      <c r="F117" t="s">
        <v>17</v>
      </c>
      <c r="G117" t="s">
        <v>8693</v>
      </c>
      <c r="H117">
        <v>23.5</v>
      </c>
      <c r="I117">
        <v>7</v>
      </c>
      <c r="J117">
        <v>0</v>
      </c>
      <c r="K117">
        <v>20</v>
      </c>
      <c r="L117">
        <v>14</v>
      </c>
      <c r="O117">
        <v>14</v>
      </c>
      <c r="P117">
        <v>4</v>
      </c>
      <c r="Q117">
        <v>0</v>
      </c>
      <c r="R117">
        <v>68.5</v>
      </c>
      <c r="S117">
        <v>2</v>
      </c>
      <c r="T117">
        <v>2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2</v>
      </c>
      <c r="AB117">
        <v>6</v>
      </c>
      <c r="AC117">
        <v>0</v>
      </c>
      <c r="AF117" t="s">
        <v>130</v>
      </c>
      <c r="AH117">
        <v>76.5</v>
      </c>
    </row>
    <row r="118" spans="1:34" x14ac:dyDescent="0.3">
      <c r="A118" s="4">
        <v>123</v>
      </c>
      <c r="B118" s="5">
        <v>111</v>
      </c>
      <c r="C118">
        <v>13112</v>
      </c>
      <c r="D118" t="s">
        <v>8694</v>
      </c>
      <c r="E118" t="s">
        <v>41</v>
      </c>
      <c r="F118" t="s">
        <v>52</v>
      </c>
      <c r="G118" t="s">
        <v>8695</v>
      </c>
      <c r="H118">
        <v>19.329999999999998</v>
      </c>
      <c r="I118">
        <v>0</v>
      </c>
      <c r="J118">
        <v>0</v>
      </c>
      <c r="K118">
        <v>20</v>
      </c>
      <c r="N118">
        <v>3</v>
      </c>
      <c r="O118">
        <v>3</v>
      </c>
      <c r="P118">
        <v>4</v>
      </c>
      <c r="Q118">
        <v>2</v>
      </c>
      <c r="R118">
        <v>48.33</v>
      </c>
      <c r="S118">
        <v>28</v>
      </c>
      <c r="T118">
        <v>28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28</v>
      </c>
      <c r="AB118">
        <v>0</v>
      </c>
      <c r="AC118">
        <v>0</v>
      </c>
      <c r="AD118" t="s">
        <v>130</v>
      </c>
      <c r="AF118" t="s">
        <v>130</v>
      </c>
      <c r="AH118">
        <v>76.33</v>
      </c>
    </row>
    <row r="119" spans="1:34" x14ac:dyDescent="0.3">
      <c r="A119" s="4">
        <v>124</v>
      </c>
      <c r="B119" s="5">
        <v>112</v>
      </c>
      <c r="C119">
        <v>9854</v>
      </c>
      <c r="D119" t="s">
        <v>8696</v>
      </c>
      <c r="E119" t="s">
        <v>8697</v>
      </c>
      <c r="F119" t="s">
        <v>30</v>
      </c>
      <c r="G119" t="s">
        <v>8698</v>
      </c>
      <c r="H119">
        <v>18.079999999999998</v>
      </c>
      <c r="I119">
        <v>0</v>
      </c>
      <c r="J119">
        <v>0</v>
      </c>
      <c r="K119">
        <v>20</v>
      </c>
      <c r="L119">
        <v>14</v>
      </c>
      <c r="O119">
        <v>14</v>
      </c>
      <c r="P119">
        <v>4</v>
      </c>
      <c r="Q119">
        <v>2</v>
      </c>
      <c r="R119">
        <v>58.08</v>
      </c>
      <c r="S119">
        <v>18</v>
      </c>
      <c r="T119">
        <v>18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18</v>
      </c>
      <c r="AB119">
        <v>0</v>
      </c>
      <c r="AC119">
        <v>0</v>
      </c>
      <c r="AF119" t="s">
        <v>130</v>
      </c>
      <c r="AH119">
        <v>76.08</v>
      </c>
    </row>
    <row r="120" spans="1:34" x14ac:dyDescent="0.3">
      <c r="A120" s="4">
        <v>125</v>
      </c>
      <c r="B120" s="5">
        <v>113</v>
      </c>
      <c r="C120">
        <v>4674</v>
      </c>
      <c r="D120" t="s">
        <v>8699</v>
      </c>
      <c r="E120" t="s">
        <v>29</v>
      </c>
      <c r="F120" t="s">
        <v>539</v>
      </c>
      <c r="G120" t="s">
        <v>8700</v>
      </c>
      <c r="H120">
        <v>19.88</v>
      </c>
      <c r="I120">
        <v>0</v>
      </c>
      <c r="J120">
        <v>0</v>
      </c>
      <c r="K120">
        <v>20</v>
      </c>
      <c r="L120">
        <v>7</v>
      </c>
      <c r="O120">
        <v>7</v>
      </c>
      <c r="P120">
        <v>4</v>
      </c>
      <c r="Q120">
        <v>2</v>
      </c>
      <c r="R120">
        <v>52.88</v>
      </c>
      <c r="S120">
        <v>23</v>
      </c>
      <c r="T120">
        <v>23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23</v>
      </c>
      <c r="AB120">
        <v>0</v>
      </c>
      <c r="AC120">
        <v>0</v>
      </c>
      <c r="AF120" t="s">
        <v>130</v>
      </c>
      <c r="AH120">
        <v>75.88</v>
      </c>
    </row>
    <row r="121" spans="1:34" x14ac:dyDescent="0.3">
      <c r="A121" s="4">
        <v>126</v>
      </c>
      <c r="B121" s="5">
        <v>114</v>
      </c>
      <c r="C121">
        <v>9054</v>
      </c>
      <c r="D121" t="s">
        <v>3309</v>
      </c>
      <c r="E121" t="s">
        <v>110</v>
      </c>
      <c r="F121" t="s">
        <v>136</v>
      </c>
      <c r="G121" t="s">
        <v>8701</v>
      </c>
      <c r="H121">
        <v>16.68</v>
      </c>
      <c r="I121">
        <v>0</v>
      </c>
      <c r="J121">
        <v>0</v>
      </c>
      <c r="K121">
        <v>28</v>
      </c>
      <c r="L121">
        <v>7</v>
      </c>
      <c r="O121">
        <v>7</v>
      </c>
      <c r="P121">
        <v>4</v>
      </c>
      <c r="Q121">
        <v>2</v>
      </c>
      <c r="R121">
        <v>57.68</v>
      </c>
      <c r="S121">
        <v>18</v>
      </c>
      <c r="T121">
        <v>18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18</v>
      </c>
      <c r="AB121">
        <v>0</v>
      </c>
      <c r="AC121">
        <v>0</v>
      </c>
      <c r="AF121" t="s">
        <v>130</v>
      </c>
      <c r="AH121">
        <v>75.680000000000007</v>
      </c>
    </row>
    <row r="122" spans="1:34" x14ac:dyDescent="0.3">
      <c r="A122" s="4">
        <v>127</v>
      </c>
      <c r="B122" s="5">
        <v>115</v>
      </c>
      <c r="C122">
        <v>12682</v>
      </c>
      <c r="D122" t="s">
        <v>190</v>
      </c>
      <c r="E122" t="s">
        <v>8702</v>
      </c>
      <c r="F122" t="s">
        <v>6216</v>
      </c>
      <c r="G122" t="s">
        <v>8703</v>
      </c>
      <c r="H122">
        <v>19.63</v>
      </c>
      <c r="I122">
        <v>0</v>
      </c>
      <c r="J122">
        <v>0</v>
      </c>
      <c r="K122">
        <v>20</v>
      </c>
      <c r="L122">
        <v>7</v>
      </c>
      <c r="O122">
        <v>7</v>
      </c>
      <c r="P122">
        <v>4</v>
      </c>
      <c r="Q122">
        <v>2</v>
      </c>
      <c r="R122">
        <v>52.63</v>
      </c>
      <c r="S122">
        <v>23</v>
      </c>
      <c r="T122">
        <v>23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23</v>
      </c>
      <c r="AB122">
        <v>0</v>
      </c>
      <c r="AC122">
        <v>0</v>
      </c>
      <c r="AF122" t="s">
        <v>130</v>
      </c>
      <c r="AH122">
        <v>75.63</v>
      </c>
    </row>
    <row r="123" spans="1:34" x14ac:dyDescent="0.3">
      <c r="A123" s="4">
        <v>128</v>
      </c>
      <c r="B123" s="5">
        <v>116</v>
      </c>
      <c r="C123">
        <v>13175</v>
      </c>
      <c r="D123" t="s">
        <v>8704</v>
      </c>
      <c r="E123" t="s">
        <v>26</v>
      </c>
      <c r="F123" t="s">
        <v>649</v>
      </c>
      <c r="G123" t="s">
        <v>8705</v>
      </c>
      <c r="H123">
        <v>18.899999999999999</v>
      </c>
      <c r="I123">
        <v>0</v>
      </c>
      <c r="J123">
        <v>0</v>
      </c>
      <c r="K123">
        <v>0</v>
      </c>
      <c r="L123">
        <v>7</v>
      </c>
      <c r="O123">
        <v>7</v>
      </c>
      <c r="P123">
        <v>4</v>
      </c>
      <c r="Q123">
        <v>2</v>
      </c>
      <c r="R123">
        <v>31.9</v>
      </c>
      <c r="S123">
        <v>40</v>
      </c>
      <c r="T123">
        <v>40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40</v>
      </c>
      <c r="AB123">
        <v>3</v>
      </c>
      <c r="AC123">
        <v>0</v>
      </c>
      <c r="AF123" t="s">
        <v>130</v>
      </c>
      <c r="AH123">
        <v>74.900000000000006</v>
      </c>
    </row>
    <row r="124" spans="1:34" x14ac:dyDescent="0.3">
      <c r="A124" s="4">
        <v>129</v>
      </c>
      <c r="B124" s="5">
        <v>117</v>
      </c>
      <c r="C124">
        <v>2138</v>
      </c>
      <c r="D124" t="s">
        <v>8706</v>
      </c>
      <c r="E124" t="s">
        <v>1280</v>
      </c>
      <c r="F124" t="s">
        <v>328</v>
      </c>
      <c r="G124" t="s">
        <v>8707</v>
      </c>
      <c r="H124">
        <v>17.850000000000001</v>
      </c>
      <c r="I124">
        <v>0</v>
      </c>
      <c r="J124">
        <v>0</v>
      </c>
      <c r="K124">
        <v>20</v>
      </c>
      <c r="L124">
        <v>7</v>
      </c>
      <c r="O124">
        <v>7</v>
      </c>
      <c r="P124">
        <v>4</v>
      </c>
      <c r="Q124">
        <v>2</v>
      </c>
      <c r="R124">
        <v>50.85</v>
      </c>
      <c r="S124">
        <v>24</v>
      </c>
      <c r="T124">
        <v>24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24</v>
      </c>
      <c r="AB124">
        <v>0</v>
      </c>
      <c r="AC124">
        <v>0</v>
      </c>
      <c r="AD124" t="s">
        <v>130</v>
      </c>
      <c r="AF124" t="s">
        <v>130</v>
      </c>
      <c r="AH124">
        <v>74.849999999999994</v>
      </c>
    </row>
    <row r="125" spans="1:34" x14ac:dyDescent="0.3">
      <c r="A125" s="4">
        <v>130</v>
      </c>
      <c r="B125" s="5">
        <v>118</v>
      </c>
      <c r="C125">
        <v>8614</v>
      </c>
      <c r="D125" t="s">
        <v>8708</v>
      </c>
      <c r="E125" t="s">
        <v>161</v>
      </c>
      <c r="F125" t="s">
        <v>17</v>
      </c>
      <c r="G125" t="s">
        <v>8709</v>
      </c>
      <c r="H125">
        <v>17.649999999999999</v>
      </c>
      <c r="I125">
        <v>0</v>
      </c>
      <c r="J125">
        <v>0</v>
      </c>
      <c r="K125">
        <v>20</v>
      </c>
      <c r="L125">
        <v>7</v>
      </c>
      <c r="O125">
        <v>7</v>
      </c>
      <c r="P125">
        <v>4</v>
      </c>
      <c r="Q125">
        <v>2</v>
      </c>
      <c r="R125">
        <v>50.65</v>
      </c>
      <c r="S125">
        <v>24</v>
      </c>
      <c r="T125">
        <v>24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24</v>
      </c>
      <c r="AB125">
        <v>0</v>
      </c>
      <c r="AC125">
        <v>0</v>
      </c>
      <c r="AF125" t="s">
        <v>130</v>
      </c>
      <c r="AH125">
        <v>74.650000000000006</v>
      </c>
    </row>
    <row r="126" spans="1:34" x14ac:dyDescent="0.3">
      <c r="A126" s="4">
        <v>131</v>
      </c>
      <c r="B126" s="5">
        <v>119</v>
      </c>
      <c r="C126">
        <v>12858</v>
      </c>
      <c r="D126" t="s">
        <v>8710</v>
      </c>
      <c r="E126" t="s">
        <v>1277</v>
      </c>
      <c r="F126" t="s">
        <v>190</v>
      </c>
      <c r="G126" t="s">
        <v>8711</v>
      </c>
      <c r="H126">
        <v>18.63</v>
      </c>
      <c r="I126">
        <v>0</v>
      </c>
      <c r="J126">
        <v>0</v>
      </c>
      <c r="K126">
        <v>20</v>
      </c>
      <c r="N126">
        <v>6</v>
      </c>
      <c r="O126">
        <v>6</v>
      </c>
      <c r="P126">
        <v>4</v>
      </c>
      <c r="Q126">
        <v>2</v>
      </c>
      <c r="R126">
        <v>50.63</v>
      </c>
      <c r="S126">
        <v>24</v>
      </c>
      <c r="T126">
        <v>24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24</v>
      </c>
      <c r="AB126">
        <v>0</v>
      </c>
      <c r="AC126">
        <v>0</v>
      </c>
      <c r="AF126" t="s">
        <v>130</v>
      </c>
      <c r="AH126">
        <v>74.63</v>
      </c>
    </row>
    <row r="127" spans="1:34" x14ac:dyDescent="0.3">
      <c r="A127" s="4">
        <v>132</v>
      </c>
      <c r="B127" s="5">
        <v>120</v>
      </c>
      <c r="C127">
        <v>4182</v>
      </c>
      <c r="D127" t="s">
        <v>8712</v>
      </c>
      <c r="E127" t="s">
        <v>62</v>
      </c>
      <c r="F127" t="s">
        <v>81</v>
      </c>
      <c r="G127" t="s">
        <v>8713</v>
      </c>
      <c r="H127">
        <v>14.1</v>
      </c>
      <c r="I127">
        <v>0</v>
      </c>
      <c r="J127">
        <v>0</v>
      </c>
      <c r="K127">
        <v>20</v>
      </c>
      <c r="L127">
        <v>7</v>
      </c>
      <c r="N127">
        <v>3</v>
      </c>
      <c r="O127">
        <v>10</v>
      </c>
      <c r="P127">
        <v>4</v>
      </c>
      <c r="Q127">
        <v>2</v>
      </c>
      <c r="R127">
        <v>50.1</v>
      </c>
      <c r="S127">
        <v>18</v>
      </c>
      <c r="T127">
        <v>18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18</v>
      </c>
      <c r="AB127">
        <v>6</v>
      </c>
      <c r="AC127">
        <v>0</v>
      </c>
      <c r="AF127" t="s">
        <v>130</v>
      </c>
      <c r="AH127">
        <v>74.099999999999994</v>
      </c>
    </row>
    <row r="128" spans="1:34" x14ac:dyDescent="0.3">
      <c r="A128" s="4">
        <v>134</v>
      </c>
      <c r="B128" s="5">
        <v>121</v>
      </c>
      <c r="C128">
        <v>3772</v>
      </c>
      <c r="D128" t="s">
        <v>8714</v>
      </c>
      <c r="E128" t="s">
        <v>8715</v>
      </c>
      <c r="F128" t="s">
        <v>68</v>
      </c>
      <c r="G128" t="s">
        <v>8716</v>
      </c>
      <c r="H128">
        <v>22.05</v>
      </c>
      <c r="I128">
        <v>0</v>
      </c>
      <c r="J128">
        <v>0</v>
      </c>
      <c r="K128">
        <v>20</v>
      </c>
      <c r="L128">
        <v>7</v>
      </c>
      <c r="O128">
        <v>7</v>
      </c>
      <c r="P128">
        <v>4</v>
      </c>
      <c r="Q128">
        <v>2</v>
      </c>
      <c r="R128">
        <v>55.05</v>
      </c>
      <c r="S128">
        <v>18</v>
      </c>
      <c r="T128">
        <v>18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18</v>
      </c>
      <c r="AB128">
        <v>0</v>
      </c>
      <c r="AC128">
        <v>0</v>
      </c>
      <c r="AF128" t="s">
        <v>130</v>
      </c>
      <c r="AH128">
        <v>73.05</v>
      </c>
    </row>
    <row r="129" spans="1:34" x14ac:dyDescent="0.3">
      <c r="A129" s="4">
        <v>135</v>
      </c>
      <c r="B129" s="5">
        <v>122</v>
      </c>
      <c r="C129">
        <v>1723</v>
      </c>
      <c r="D129" t="s">
        <v>8717</v>
      </c>
      <c r="E129" t="s">
        <v>283</v>
      </c>
      <c r="F129" t="s">
        <v>158</v>
      </c>
      <c r="G129" t="s">
        <v>8718</v>
      </c>
      <c r="H129">
        <v>18.829999999999998</v>
      </c>
      <c r="I129">
        <v>7</v>
      </c>
      <c r="J129">
        <v>0</v>
      </c>
      <c r="K129">
        <v>28</v>
      </c>
      <c r="L129">
        <v>7</v>
      </c>
      <c r="O129">
        <v>7</v>
      </c>
      <c r="P129">
        <v>4</v>
      </c>
      <c r="Q129">
        <v>2</v>
      </c>
      <c r="R129">
        <v>66.83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6</v>
      </c>
      <c r="AC129">
        <v>0</v>
      </c>
      <c r="AD129" t="s">
        <v>130</v>
      </c>
      <c r="AF129" t="s">
        <v>130</v>
      </c>
      <c r="AH129">
        <v>72.83</v>
      </c>
    </row>
    <row r="130" spans="1:34" x14ac:dyDescent="0.3">
      <c r="A130" s="4">
        <v>136</v>
      </c>
      <c r="B130" s="5">
        <v>123</v>
      </c>
      <c r="C130">
        <v>3475</v>
      </c>
      <c r="D130" t="s">
        <v>8719</v>
      </c>
      <c r="E130" t="s">
        <v>626</v>
      </c>
      <c r="F130" t="s">
        <v>20</v>
      </c>
      <c r="G130" t="s">
        <v>8720</v>
      </c>
      <c r="H130">
        <v>18.829999999999998</v>
      </c>
      <c r="I130">
        <v>0</v>
      </c>
      <c r="J130">
        <v>0</v>
      </c>
      <c r="K130">
        <v>0</v>
      </c>
      <c r="O130">
        <v>0</v>
      </c>
      <c r="P130">
        <v>4</v>
      </c>
      <c r="Q130">
        <v>2</v>
      </c>
      <c r="R130">
        <v>24.83</v>
      </c>
      <c r="S130">
        <v>18</v>
      </c>
      <c r="T130">
        <v>18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18</v>
      </c>
      <c r="AB130">
        <v>3</v>
      </c>
      <c r="AC130">
        <v>26.8</v>
      </c>
      <c r="AF130" t="s">
        <v>130</v>
      </c>
      <c r="AH130">
        <v>72.63</v>
      </c>
    </row>
    <row r="131" spans="1:34" x14ac:dyDescent="0.3">
      <c r="A131" s="4">
        <v>137</v>
      </c>
      <c r="B131" s="5">
        <v>124</v>
      </c>
      <c r="C131">
        <v>8533</v>
      </c>
      <c r="D131" t="s">
        <v>8721</v>
      </c>
      <c r="E131" t="s">
        <v>81</v>
      </c>
      <c r="F131" t="s">
        <v>55</v>
      </c>
      <c r="G131" t="s">
        <v>8722</v>
      </c>
      <c r="H131">
        <v>19.53</v>
      </c>
      <c r="I131">
        <v>0</v>
      </c>
      <c r="J131">
        <v>0</v>
      </c>
      <c r="K131">
        <v>20</v>
      </c>
      <c r="N131">
        <v>3</v>
      </c>
      <c r="O131">
        <v>3</v>
      </c>
      <c r="P131">
        <v>4</v>
      </c>
      <c r="Q131">
        <v>2</v>
      </c>
      <c r="R131">
        <v>48.53</v>
      </c>
      <c r="S131">
        <v>24</v>
      </c>
      <c r="T131">
        <v>24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24</v>
      </c>
      <c r="AB131">
        <v>0</v>
      </c>
      <c r="AC131">
        <v>0</v>
      </c>
      <c r="AF131" t="s">
        <v>130</v>
      </c>
      <c r="AH131">
        <v>72.53</v>
      </c>
    </row>
    <row r="132" spans="1:34" x14ac:dyDescent="0.3">
      <c r="A132" s="4">
        <v>138</v>
      </c>
      <c r="B132" s="5">
        <v>125</v>
      </c>
      <c r="C132">
        <v>12789</v>
      </c>
      <c r="D132" t="s">
        <v>8723</v>
      </c>
      <c r="E132" t="s">
        <v>41</v>
      </c>
      <c r="F132" t="s">
        <v>20</v>
      </c>
      <c r="G132" t="s">
        <v>8724</v>
      </c>
      <c r="H132">
        <v>21.25</v>
      </c>
      <c r="I132">
        <v>0</v>
      </c>
      <c r="J132">
        <v>0</v>
      </c>
      <c r="K132">
        <v>20</v>
      </c>
      <c r="L132">
        <v>7</v>
      </c>
      <c r="O132">
        <v>7</v>
      </c>
      <c r="P132">
        <v>4</v>
      </c>
      <c r="Q132">
        <v>2</v>
      </c>
      <c r="R132">
        <v>54.25</v>
      </c>
      <c r="S132">
        <v>18</v>
      </c>
      <c r="T132">
        <v>18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18</v>
      </c>
      <c r="AB132">
        <v>0</v>
      </c>
      <c r="AC132">
        <v>0</v>
      </c>
      <c r="AF132" t="s">
        <v>130</v>
      </c>
      <c r="AH132">
        <v>72.25</v>
      </c>
    </row>
    <row r="133" spans="1:34" x14ac:dyDescent="0.3">
      <c r="A133" s="4">
        <v>139</v>
      </c>
      <c r="B133" s="5">
        <v>126</v>
      </c>
      <c r="C133">
        <v>490</v>
      </c>
      <c r="D133" t="s">
        <v>4454</v>
      </c>
      <c r="E133" t="s">
        <v>1576</v>
      </c>
      <c r="F133" t="s">
        <v>81</v>
      </c>
      <c r="G133" t="s">
        <v>8725</v>
      </c>
      <c r="H133">
        <v>18.2</v>
      </c>
      <c r="I133">
        <v>7</v>
      </c>
      <c r="J133">
        <v>0</v>
      </c>
      <c r="K133">
        <v>0</v>
      </c>
      <c r="L133">
        <v>14</v>
      </c>
      <c r="O133">
        <v>14</v>
      </c>
      <c r="P133">
        <v>4</v>
      </c>
      <c r="Q133">
        <v>2</v>
      </c>
      <c r="R133">
        <v>45.2</v>
      </c>
      <c r="S133">
        <v>27</v>
      </c>
      <c r="T133">
        <v>27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27</v>
      </c>
      <c r="AB133">
        <v>0</v>
      </c>
      <c r="AC133">
        <v>0</v>
      </c>
      <c r="AF133" t="s">
        <v>130</v>
      </c>
      <c r="AH133">
        <v>72.2</v>
      </c>
    </row>
    <row r="134" spans="1:34" x14ac:dyDescent="0.3">
      <c r="A134" s="4">
        <v>140</v>
      </c>
      <c r="B134" s="5">
        <v>127</v>
      </c>
      <c r="C134">
        <v>5862</v>
      </c>
      <c r="D134" t="s">
        <v>8002</v>
      </c>
      <c r="E134" t="s">
        <v>1152</v>
      </c>
      <c r="F134" t="s">
        <v>20</v>
      </c>
      <c r="G134" t="s">
        <v>8726</v>
      </c>
      <c r="H134">
        <v>21.08</v>
      </c>
      <c r="I134">
        <v>0</v>
      </c>
      <c r="J134">
        <v>0</v>
      </c>
      <c r="K134">
        <v>20</v>
      </c>
      <c r="L134">
        <v>7</v>
      </c>
      <c r="O134">
        <v>7</v>
      </c>
      <c r="P134">
        <v>4</v>
      </c>
      <c r="Q134">
        <v>2</v>
      </c>
      <c r="R134">
        <v>54.08</v>
      </c>
      <c r="S134">
        <v>18</v>
      </c>
      <c r="T134">
        <v>18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18</v>
      </c>
      <c r="AB134">
        <v>0</v>
      </c>
      <c r="AC134">
        <v>0</v>
      </c>
      <c r="AD134" t="s">
        <v>130</v>
      </c>
      <c r="AF134" t="s">
        <v>130</v>
      </c>
      <c r="AH134">
        <v>72.08</v>
      </c>
    </row>
    <row r="135" spans="1:34" x14ac:dyDescent="0.3">
      <c r="A135" s="4">
        <v>141</v>
      </c>
      <c r="B135" s="5">
        <v>128</v>
      </c>
      <c r="C135">
        <v>10466</v>
      </c>
      <c r="D135" t="s">
        <v>110</v>
      </c>
      <c r="E135" t="s">
        <v>8727</v>
      </c>
      <c r="F135" t="s">
        <v>30</v>
      </c>
      <c r="G135" t="s">
        <v>8728</v>
      </c>
      <c r="H135">
        <v>21.05</v>
      </c>
      <c r="I135">
        <v>0</v>
      </c>
      <c r="J135">
        <v>0</v>
      </c>
      <c r="K135">
        <v>20</v>
      </c>
      <c r="L135">
        <v>7</v>
      </c>
      <c r="O135">
        <v>7</v>
      </c>
      <c r="P135">
        <v>4</v>
      </c>
      <c r="Q135">
        <v>2</v>
      </c>
      <c r="R135">
        <v>54.05</v>
      </c>
      <c r="S135">
        <v>18</v>
      </c>
      <c r="T135">
        <v>18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18</v>
      </c>
      <c r="AB135">
        <v>0</v>
      </c>
      <c r="AC135">
        <v>0</v>
      </c>
      <c r="AD135" t="s">
        <v>130</v>
      </c>
      <c r="AF135" t="s">
        <v>130</v>
      </c>
      <c r="AH135">
        <v>72.05</v>
      </c>
    </row>
    <row r="136" spans="1:34" x14ac:dyDescent="0.3">
      <c r="A136" s="4">
        <v>142</v>
      </c>
      <c r="B136" s="5">
        <v>129</v>
      </c>
      <c r="C136">
        <v>4986</v>
      </c>
      <c r="D136" t="s">
        <v>8729</v>
      </c>
      <c r="E136" t="s">
        <v>132</v>
      </c>
      <c r="F136" t="s">
        <v>38</v>
      </c>
      <c r="G136" t="s">
        <v>8730</v>
      </c>
      <c r="H136">
        <v>21.03</v>
      </c>
      <c r="I136">
        <v>0</v>
      </c>
      <c r="J136">
        <v>0</v>
      </c>
      <c r="K136">
        <v>20</v>
      </c>
      <c r="L136">
        <v>7</v>
      </c>
      <c r="O136">
        <v>7</v>
      </c>
      <c r="P136">
        <v>4</v>
      </c>
      <c r="Q136">
        <v>2</v>
      </c>
      <c r="R136">
        <v>54.03</v>
      </c>
      <c r="S136">
        <v>18</v>
      </c>
      <c r="T136">
        <v>18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18</v>
      </c>
      <c r="AB136">
        <v>0</v>
      </c>
      <c r="AC136">
        <v>0</v>
      </c>
      <c r="AD136" t="s">
        <v>130</v>
      </c>
      <c r="AF136" t="s">
        <v>130</v>
      </c>
      <c r="AH136">
        <v>72.03</v>
      </c>
    </row>
    <row r="137" spans="1:34" x14ac:dyDescent="0.3">
      <c r="A137" s="4">
        <v>143</v>
      </c>
      <c r="B137" s="5">
        <v>130</v>
      </c>
      <c r="C137">
        <v>7944</v>
      </c>
      <c r="D137" t="s">
        <v>8731</v>
      </c>
      <c r="E137" t="s">
        <v>110</v>
      </c>
      <c r="F137" t="s">
        <v>38</v>
      </c>
      <c r="G137" t="s">
        <v>8732</v>
      </c>
      <c r="H137">
        <v>21.53</v>
      </c>
      <c r="I137">
        <v>0</v>
      </c>
      <c r="J137">
        <v>0</v>
      </c>
      <c r="K137">
        <v>20</v>
      </c>
      <c r="N137">
        <v>3</v>
      </c>
      <c r="O137">
        <v>3</v>
      </c>
      <c r="P137">
        <v>4</v>
      </c>
      <c r="Q137">
        <v>2</v>
      </c>
      <c r="R137">
        <v>50.53</v>
      </c>
      <c r="S137">
        <v>18</v>
      </c>
      <c r="T137">
        <v>18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18</v>
      </c>
      <c r="AB137">
        <v>3</v>
      </c>
      <c r="AC137">
        <v>0</v>
      </c>
      <c r="AF137" t="s">
        <v>130</v>
      </c>
      <c r="AH137">
        <v>71.53</v>
      </c>
    </row>
    <row r="138" spans="1:34" x14ac:dyDescent="0.3">
      <c r="A138" s="4">
        <v>144</v>
      </c>
      <c r="B138" s="5">
        <v>131</v>
      </c>
      <c r="C138">
        <v>9549</v>
      </c>
      <c r="D138" t="s">
        <v>322</v>
      </c>
      <c r="E138" t="s">
        <v>2538</v>
      </c>
      <c r="F138" t="s">
        <v>38</v>
      </c>
      <c r="G138" t="s">
        <v>8733</v>
      </c>
      <c r="H138">
        <v>21.3</v>
      </c>
      <c r="I138">
        <v>0</v>
      </c>
      <c r="J138">
        <v>0</v>
      </c>
      <c r="K138">
        <v>20</v>
      </c>
      <c r="N138">
        <v>3</v>
      </c>
      <c r="O138">
        <v>3</v>
      </c>
      <c r="P138">
        <v>4</v>
      </c>
      <c r="Q138">
        <v>2</v>
      </c>
      <c r="R138">
        <v>50.3</v>
      </c>
      <c r="S138">
        <v>18</v>
      </c>
      <c r="T138">
        <v>18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18</v>
      </c>
      <c r="AB138">
        <v>3</v>
      </c>
      <c r="AC138">
        <v>0</v>
      </c>
      <c r="AE138" t="s">
        <v>130</v>
      </c>
      <c r="AF138" t="s">
        <v>130</v>
      </c>
      <c r="AH138">
        <v>71.3</v>
      </c>
    </row>
    <row r="139" spans="1:34" x14ac:dyDescent="0.3">
      <c r="A139" s="4">
        <v>145</v>
      </c>
      <c r="B139" s="5">
        <v>132</v>
      </c>
      <c r="C139">
        <v>13907</v>
      </c>
      <c r="D139" t="s">
        <v>8734</v>
      </c>
      <c r="E139" t="s">
        <v>1542</v>
      </c>
      <c r="F139" t="s">
        <v>892</v>
      </c>
      <c r="G139" t="s">
        <v>8735</v>
      </c>
      <c r="H139">
        <v>18.079999999999998</v>
      </c>
      <c r="I139">
        <v>0</v>
      </c>
      <c r="J139">
        <v>0</v>
      </c>
      <c r="K139">
        <v>20</v>
      </c>
      <c r="N139">
        <v>3</v>
      </c>
      <c r="O139">
        <v>3</v>
      </c>
      <c r="P139">
        <v>4</v>
      </c>
      <c r="Q139">
        <v>2</v>
      </c>
      <c r="R139">
        <v>47.08</v>
      </c>
      <c r="S139">
        <v>24</v>
      </c>
      <c r="T139">
        <v>24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24</v>
      </c>
      <c r="AB139">
        <v>0</v>
      </c>
      <c r="AC139">
        <v>0</v>
      </c>
      <c r="AD139" t="s">
        <v>130</v>
      </c>
      <c r="AF139" t="s">
        <v>130</v>
      </c>
      <c r="AH139">
        <v>71.08</v>
      </c>
    </row>
    <row r="140" spans="1:34" x14ac:dyDescent="0.3">
      <c r="A140" s="4">
        <v>146</v>
      </c>
      <c r="B140" s="5">
        <v>133</v>
      </c>
      <c r="C140">
        <v>7424</v>
      </c>
      <c r="D140" t="s">
        <v>1287</v>
      </c>
      <c r="E140" t="s">
        <v>894</v>
      </c>
      <c r="F140" t="s">
        <v>20</v>
      </c>
      <c r="G140" t="s">
        <v>1288</v>
      </c>
      <c r="H140">
        <v>17</v>
      </c>
      <c r="I140">
        <v>0</v>
      </c>
      <c r="J140">
        <v>0</v>
      </c>
      <c r="K140">
        <v>0</v>
      </c>
      <c r="O140">
        <v>0</v>
      </c>
      <c r="P140">
        <v>4</v>
      </c>
      <c r="Q140">
        <v>2</v>
      </c>
      <c r="R140">
        <v>23</v>
      </c>
      <c r="S140">
        <v>18</v>
      </c>
      <c r="T140">
        <v>18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18</v>
      </c>
      <c r="AB140">
        <v>3</v>
      </c>
      <c r="AC140">
        <v>26.8</v>
      </c>
      <c r="AF140" t="s">
        <v>130</v>
      </c>
      <c r="AH140">
        <v>70.8</v>
      </c>
    </row>
    <row r="141" spans="1:34" x14ac:dyDescent="0.3">
      <c r="A141" s="4">
        <v>147</v>
      </c>
      <c r="B141" s="5">
        <v>134</v>
      </c>
      <c r="C141">
        <v>5078</v>
      </c>
      <c r="D141" t="s">
        <v>8736</v>
      </c>
      <c r="E141" t="s">
        <v>166</v>
      </c>
      <c r="F141" t="s">
        <v>20</v>
      </c>
      <c r="G141" t="s">
        <v>8737</v>
      </c>
      <c r="H141">
        <v>23.38</v>
      </c>
      <c r="I141">
        <v>0</v>
      </c>
      <c r="J141">
        <v>0</v>
      </c>
      <c r="K141">
        <v>20</v>
      </c>
      <c r="L141">
        <v>7</v>
      </c>
      <c r="N141">
        <v>3</v>
      </c>
      <c r="O141">
        <v>10</v>
      </c>
      <c r="P141">
        <v>4</v>
      </c>
      <c r="Q141">
        <v>2</v>
      </c>
      <c r="R141">
        <v>59.38</v>
      </c>
      <c r="S141">
        <v>11</v>
      </c>
      <c r="T141">
        <v>11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11</v>
      </c>
      <c r="AB141">
        <v>0</v>
      </c>
      <c r="AC141">
        <v>0</v>
      </c>
      <c r="AF141" t="s">
        <v>130</v>
      </c>
      <c r="AH141">
        <v>70.38</v>
      </c>
    </row>
    <row r="142" spans="1:34" x14ac:dyDescent="0.3">
      <c r="A142" s="4">
        <v>148</v>
      </c>
      <c r="B142" s="5">
        <v>135</v>
      </c>
      <c r="C142">
        <v>9916</v>
      </c>
      <c r="D142" t="s">
        <v>4439</v>
      </c>
      <c r="E142" t="s">
        <v>166</v>
      </c>
      <c r="F142" t="s">
        <v>68</v>
      </c>
      <c r="G142" t="s">
        <v>8738</v>
      </c>
      <c r="H142">
        <v>18.329999999999998</v>
      </c>
      <c r="I142">
        <v>0</v>
      </c>
      <c r="J142">
        <v>0</v>
      </c>
      <c r="K142">
        <v>20</v>
      </c>
      <c r="M142">
        <v>5</v>
      </c>
      <c r="O142">
        <v>5</v>
      </c>
      <c r="P142">
        <v>4</v>
      </c>
      <c r="Q142">
        <v>2</v>
      </c>
      <c r="R142">
        <v>49.33</v>
      </c>
      <c r="S142">
        <v>21</v>
      </c>
      <c r="T142">
        <v>21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21</v>
      </c>
      <c r="AB142">
        <v>0</v>
      </c>
      <c r="AC142">
        <v>0</v>
      </c>
      <c r="AD142" t="s">
        <v>130</v>
      </c>
      <c r="AF142" t="s">
        <v>130</v>
      </c>
      <c r="AH142">
        <v>70.33</v>
      </c>
    </row>
    <row r="143" spans="1:34" x14ac:dyDescent="0.3">
      <c r="A143" s="4">
        <v>149</v>
      </c>
      <c r="B143" s="5">
        <v>136</v>
      </c>
      <c r="C143">
        <v>2918</v>
      </c>
      <c r="D143" t="s">
        <v>8739</v>
      </c>
      <c r="E143" t="s">
        <v>1140</v>
      </c>
      <c r="F143" t="s">
        <v>20</v>
      </c>
      <c r="G143" t="s">
        <v>8740</v>
      </c>
      <c r="H143">
        <v>20.25</v>
      </c>
      <c r="I143">
        <v>0</v>
      </c>
      <c r="J143">
        <v>0</v>
      </c>
      <c r="K143">
        <v>0</v>
      </c>
      <c r="L143">
        <v>14</v>
      </c>
      <c r="O143">
        <v>14</v>
      </c>
      <c r="P143">
        <v>4</v>
      </c>
      <c r="Q143">
        <v>0</v>
      </c>
      <c r="R143">
        <v>38.25</v>
      </c>
      <c r="S143">
        <v>13</v>
      </c>
      <c r="T143">
        <v>13</v>
      </c>
      <c r="U143">
        <v>0</v>
      </c>
      <c r="V143">
        <v>0</v>
      </c>
      <c r="W143">
        <v>7</v>
      </c>
      <c r="X143">
        <v>10</v>
      </c>
      <c r="Y143">
        <v>0</v>
      </c>
      <c r="Z143">
        <v>0</v>
      </c>
      <c r="AA143">
        <v>23</v>
      </c>
      <c r="AB143">
        <v>9</v>
      </c>
      <c r="AC143">
        <v>0</v>
      </c>
      <c r="AD143" t="s">
        <v>130</v>
      </c>
      <c r="AF143" t="s">
        <v>130</v>
      </c>
      <c r="AH143">
        <v>70.25</v>
      </c>
    </row>
    <row r="144" spans="1:34" x14ac:dyDescent="0.3">
      <c r="A144" s="4">
        <v>150</v>
      </c>
      <c r="B144" s="5">
        <v>137</v>
      </c>
      <c r="C144">
        <v>3757</v>
      </c>
      <c r="D144" t="s">
        <v>8741</v>
      </c>
      <c r="E144" t="s">
        <v>258</v>
      </c>
      <c r="F144" t="s">
        <v>2101</v>
      </c>
      <c r="G144" t="s">
        <v>8742</v>
      </c>
      <c r="H144">
        <v>19.149999999999999</v>
      </c>
      <c r="I144">
        <v>0</v>
      </c>
      <c r="J144">
        <v>0</v>
      </c>
      <c r="K144">
        <v>20</v>
      </c>
      <c r="L144">
        <v>7</v>
      </c>
      <c r="O144">
        <v>7</v>
      </c>
      <c r="P144">
        <v>4</v>
      </c>
      <c r="Q144">
        <v>2</v>
      </c>
      <c r="R144">
        <v>52.15</v>
      </c>
      <c r="S144">
        <v>18</v>
      </c>
      <c r="T144">
        <v>18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18</v>
      </c>
      <c r="AB144">
        <v>0</v>
      </c>
      <c r="AC144">
        <v>0</v>
      </c>
      <c r="AF144" t="s">
        <v>130</v>
      </c>
      <c r="AH144">
        <v>70.150000000000006</v>
      </c>
    </row>
    <row r="145" spans="1:34" x14ac:dyDescent="0.3">
      <c r="A145" s="4">
        <v>151</v>
      </c>
      <c r="B145" s="5">
        <v>138</v>
      </c>
      <c r="C145">
        <v>12887</v>
      </c>
      <c r="D145" t="s">
        <v>1219</v>
      </c>
      <c r="E145" t="s">
        <v>29</v>
      </c>
      <c r="F145" t="s">
        <v>38</v>
      </c>
      <c r="G145" t="s">
        <v>8743</v>
      </c>
      <c r="H145">
        <v>20.03</v>
      </c>
      <c r="I145">
        <v>0</v>
      </c>
      <c r="J145">
        <v>0</v>
      </c>
      <c r="K145">
        <v>20</v>
      </c>
      <c r="M145">
        <v>5</v>
      </c>
      <c r="N145">
        <v>3</v>
      </c>
      <c r="O145">
        <v>8</v>
      </c>
      <c r="P145">
        <v>4</v>
      </c>
      <c r="Q145">
        <v>2</v>
      </c>
      <c r="R145">
        <v>54.03</v>
      </c>
      <c r="S145">
        <v>16</v>
      </c>
      <c r="T145">
        <v>16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16</v>
      </c>
      <c r="AB145">
        <v>0</v>
      </c>
      <c r="AC145">
        <v>0</v>
      </c>
      <c r="AF145" t="s">
        <v>130</v>
      </c>
      <c r="AH145">
        <v>70.03</v>
      </c>
    </row>
    <row r="146" spans="1:34" x14ac:dyDescent="0.3">
      <c r="A146" s="4">
        <v>152</v>
      </c>
      <c r="B146" s="5">
        <v>139</v>
      </c>
      <c r="C146">
        <v>1342</v>
      </c>
      <c r="D146" t="s">
        <v>8744</v>
      </c>
      <c r="E146" t="s">
        <v>8745</v>
      </c>
      <c r="F146" t="s">
        <v>2225</v>
      </c>
      <c r="G146" t="s">
        <v>8746</v>
      </c>
      <c r="H146">
        <v>20.9</v>
      </c>
      <c r="I146">
        <v>0</v>
      </c>
      <c r="J146">
        <v>0</v>
      </c>
      <c r="K146">
        <v>20</v>
      </c>
      <c r="N146">
        <v>3</v>
      </c>
      <c r="O146">
        <v>3</v>
      </c>
      <c r="P146">
        <v>4</v>
      </c>
      <c r="Q146">
        <v>2</v>
      </c>
      <c r="R146">
        <v>49.9</v>
      </c>
      <c r="S146">
        <v>17</v>
      </c>
      <c r="T146">
        <v>17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17</v>
      </c>
      <c r="AB146">
        <v>3</v>
      </c>
      <c r="AC146">
        <v>0</v>
      </c>
      <c r="AF146" t="s">
        <v>130</v>
      </c>
      <c r="AH146">
        <v>69.900000000000006</v>
      </c>
    </row>
    <row r="147" spans="1:34" x14ac:dyDescent="0.3">
      <c r="A147" s="4">
        <v>153</v>
      </c>
      <c r="B147" s="5">
        <v>140</v>
      </c>
      <c r="C147">
        <v>8739</v>
      </c>
      <c r="D147" t="s">
        <v>8747</v>
      </c>
      <c r="E147" t="s">
        <v>816</v>
      </c>
      <c r="F147" t="s">
        <v>68</v>
      </c>
      <c r="G147" t="s">
        <v>8748</v>
      </c>
      <c r="H147">
        <v>18.8</v>
      </c>
      <c r="I147">
        <v>0</v>
      </c>
      <c r="J147">
        <v>0</v>
      </c>
      <c r="K147">
        <v>0</v>
      </c>
      <c r="L147">
        <v>7</v>
      </c>
      <c r="N147">
        <v>3</v>
      </c>
      <c r="O147">
        <v>10</v>
      </c>
      <c r="P147">
        <v>4</v>
      </c>
      <c r="Q147">
        <v>2</v>
      </c>
      <c r="R147">
        <v>34.799999999999997</v>
      </c>
      <c r="S147">
        <v>35</v>
      </c>
      <c r="T147">
        <v>35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35</v>
      </c>
      <c r="AB147">
        <v>0</v>
      </c>
      <c r="AC147">
        <v>0</v>
      </c>
      <c r="AF147" t="s">
        <v>130</v>
      </c>
      <c r="AH147">
        <v>69.8</v>
      </c>
    </row>
    <row r="148" spans="1:34" x14ac:dyDescent="0.3">
      <c r="A148" s="4">
        <v>154</v>
      </c>
      <c r="B148" s="5">
        <v>141</v>
      </c>
      <c r="C148">
        <v>1935</v>
      </c>
      <c r="D148" t="s">
        <v>8749</v>
      </c>
      <c r="E148" t="s">
        <v>8750</v>
      </c>
      <c r="F148" t="s">
        <v>124</v>
      </c>
      <c r="G148" t="s">
        <v>8751</v>
      </c>
      <c r="H148">
        <v>21.68</v>
      </c>
      <c r="I148">
        <v>0</v>
      </c>
      <c r="J148">
        <v>0</v>
      </c>
      <c r="K148">
        <v>20</v>
      </c>
      <c r="L148">
        <v>7</v>
      </c>
      <c r="O148">
        <v>7</v>
      </c>
      <c r="P148">
        <v>4</v>
      </c>
      <c r="Q148">
        <v>0</v>
      </c>
      <c r="R148">
        <v>52.68</v>
      </c>
      <c r="S148">
        <v>14</v>
      </c>
      <c r="T148">
        <v>14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14</v>
      </c>
      <c r="AB148">
        <v>3</v>
      </c>
      <c r="AC148">
        <v>0</v>
      </c>
      <c r="AF148" t="s">
        <v>130</v>
      </c>
      <c r="AH148">
        <v>69.680000000000007</v>
      </c>
    </row>
    <row r="149" spans="1:34" x14ac:dyDescent="0.3">
      <c r="A149" s="4">
        <v>155</v>
      </c>
      <c r="B149" s="5">
        <v>142</v>
      </c>
      <c r="C149">
        <v>11205</v>
      </c>
      <c r="D149" t="s">
        <v>8037</v>
      </c>
      <c r="E149" t="s">
        <v>2271</v>
      </c>
      <c r="F149" t="s">
        <v>38</v>
      </c>
      <c r="G149" t="s">
        <v>8752</v>
      </c>
      <c r="H149">
        <v>22.8</v>
      </c>
      <c r="I149">
        <v>7</v>
      </c>
      <c r="J149">
        <v>0</v>
      </c>
      <c r="K149">
        <v>20</v>
      </c>
      <c r="L149">
        <v>7</v>
      </c>
      <c r="O149">
        <v>7</v>
      </c>
      <c r="P149">
        <v>4</v>
      </c>
      <c r="Q149">
        <v>2</v>
      </c>
      <c r="R149">
        <v>62.8</v>
      </c>
      <c r="S149">
        <v>6</v>
      </c>
      <c r="T149">
        <v>6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6</v>
      </c>
      <c r="AB149">
        <v>0</v>
      </c>
      <c r="AC149">
        <v>0</v>
      </c>
      <c r="AF149" t="s">
        <v>130</v>
      </c>
      <c r="AH149">
        <v>68.8</v>
      </c>
    </row>
    <row r="150" spans="1:34" x14ac:dyDescent="0.3">
      <c r="A150" s="4">
        <v>156</v>
      </c>
      <c r="B150" s="5">
        <v>143</v>
      </c>
      <c r="C150">
        <v>13266</v>
      </c>
      <c r="D150" t="s">
        <v>451</v>
      </c>
      <c r="E150" t="s">
        <v>166</v>
      </c>
      <c r="F150" t="s">
        <v>8753</v>
      </c>
      <c r="G150" t="s">
        <v>8754</v>
      </c>
      <c r="H150">
        <v>19.8</v>
      </c>
      <c r="I150">
        <v>0</v>
      </c>
      <c r="J150">
        <v>0</v>
      </c>
      <c r="K150">
        <v>0</v>
      </c>
      <c r="O150">
        <v>0</v>
      </c>
      <c r="P150">
        <v>4</v>
      </c>
      <c r="Q150">
        <v>0</v>
      </c>
      <c r="R150">
        <v>23.8</v>
      </c>
      <c r="S150">
        <v>29</v>
      </c>
      <c r="T150">
        <v>29</v>
      </c>
      <c r="U150">
        <v>8</v>
      </c>
      <c r="V150">
        <v>16</v>
      </c>
      <c r="W150">
        <v>0</v>
      </c>
      <c r="X150">
        <v>0</v>
      </c>
      <c r="Y150">
        <v>0</v>
      </c>
      <c r="Z150">
        <v>0</v>
      </c>
      <c r="AA150">
        <v>45</v>
      </c>
      <c r="AB150">
        <v>0</v>
      </c>
      <c r="AC150">
        <v>0</v>
      </c>
      <c r="AF150" t="s">
        <v>130</v>
      </c>
      <c r="AH150">
        <v>68.8</v>
      </c>
    </row>
    <row r="151" spans="1:34" x14ac:dyDescent="0.3">
      <c r="A151" s="4">
        <v>157</v>
      </c>
      <c r="B151" s="5">
        <v>144</v>
      </c>
      <c r="C151">
        <v>1264</v>
      </c>
      <c r="D151" t="s">
        <v>8755</v>
      </c>
      <c r="E151" t="s">
        <v>8756</v>
      </c>
      <c r="F151" t="s">
        <v>2680</v>
      </c>
      <c r="G151" t="s">
        <v>8757</v>
      </c>
      <c r="H151">
        <v>16.75</v>
      </c>
      <c r="I151">
        <v>0</v>
      </c>
      <c r="J151">
        <v>0</v>
      </c>
      <c r="K151">
        <v>20</v>
      </c>
      <c r="N151">
        <v>3</v>
      </c>
      <c r="O151">
        <v>3</v>
      </c>
      <c r="P151">
        <v>4</v>
      </c>
      <c r="Q151">
        <v>2</v>
      </c>
      <c r="R151">
        <v>45.75</v>
      </c>
      <c r="S151">
        <v>17</v>
      </c>
      <c r="T151">
        <v>17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17</v>
      </c>
      <c r="AB151">
        <v>6</v>
      </c>
      <c r="AC151">
        <v>0</v>
      </c>
      <c r="AF151" t="s">
        <v>130</v>
      </c>
      <c r="AH151">
        <v>68.75</v>
      </c>
    </row>
    <row r="152" spans="1:34" x14ac:dyDescent="0.3">
      <c r="A152" s="4">
        <v>158</v>
      </c>
      <c r="B152" s="5">
        <v>145</v>
      </c>
      <c r="C152">
        <v>8070</v>
      </c>
      <c r="D152" t="s">
        <v>8758</v>
      </c>
      <c r="E152" t="s">
        <v>22</v>
      </c>
      <c r="F152" t="s">
        <v>136</v>
      </c>
      <c r="G152" t="s">
        <v>8759</v>
      </c>
      <c r="H152">
        <v>18.7</v>
      </c>
      <c r="I152">
        <v>0</v>
      </c>
      <c r="J152">
        <v>0</v>
      </c>
      <c r="K152">
        <v>20</v>
      </c>
      <c r="N152">
        <v>6</v>
      </c>
      <c r="O152">
        <v>6</v>
      </c>
      <c r="P152">
        <v>4</v>
      </c>
      <c r="Q152">
        <v>2</v>
      </c>
      <c r="R152">
        <v>50.7</v>
      </c>
      <c r="S152">
        <v>18</v>
      </c>
      <c r="T152">
        <v>18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18</v>
      </c>
      <c r="AB152">
        <v>0</v>
      </c>
      <c r="AC152">
        <v>0</v>
      </c>
      <c r="AF152" t="s">
        <v>130</v>
      </c>
      <c r="AH152">
        <v>68.7</v>
      </c>
    </row>
    <row r="153" spans="1:34" x14ac:dyDescent="0.3">
      <c r="A153" s="4">
        <v>159</v>
      </c>
      <c r="B153" s="5">
        <v>146</v>
      </c>
      <c r="C153">
        <v>9572</v>
      </c>
      <c r="D153" t="s">
        <v>8760</v>
      </c>
      <c r="E153" t="s">
        <v>41</v>
      </c>
      <c r="F153" t="s">
        <v>81</v>
      </c>
      <c r="G153" t="s">
        <v>8761</v>
      </c>
      <c r="H153">
        <v>16.25</v>
      </c>
      <c r="I153">
        <v>0</v>
      </c>
      <c r="J153">
        <v>40</v>
      </c>
      <c r="K153">
        <v>0</v>
      </c>
      <c r="L153">
        <v>7</v>
      </c>
      <c r="M153">
        <v>5</v>
      </c>
      <c r="O153">
        <v>12</v>
      </c>
      <c r="P153">
        <v>0</v>
      </c>
      <c r="Q153">
        <v>0</v>
      </c>
      <c r="R153">
        <v>68.25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F153" t="s">
        <v>130</v>
      </c>
      <c r="AH153">
        <v>68.25</v>
      </c>
    </row>
    <row r="154" spans="1:34" x14ac:dyDescent="0.3">
      <c r="A154" s="4">
        <v>160</v>
      </c>
      <c r="B154" s="5">
        <v>147</v>
      </c>
      <c r="C154">
        <v>6464</v>
      </c>
      <c r="D154" t="s">
        <v>8762</v>
      </c>
      <c r="E154" t="s">
        <v>37</v>
      </c>
      <c r="F154" t="s">
        <v>892</v>
      </c>
      <c r="G154" t="s">
        <v>8763</v>
      </c>
      <c r="H154">
        <v>16.18</v>
      </c>
      <c r="I154">
        <v>0</v>
      </c>
      <c r="J154">
        <v>0</v>
      </c>
      <c r="K154">
        <v>20</v>
      </c>
      <c r="N154">
        <v>3</v>
      </c>
      <c r="O154">
        <v>3</v>
      </c>
      <c r="P154">
        <v>4</v>
      </c>
      <c r="Q154">
        <v>2</v>
      </c>
      <c r="R154">
        <v>45.18</v>
      </c>
      <c r="S154">
        <v>17</v>
      </c>
      <c r="T154">
        <v>17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17</v>
      </c>
      <c r="AB154">
        <v>6</v>
      </c>
      <c r="AC154">
        <v>0</v>
      </c>
      <c r="AD154" t="s">
        <v>130</v>
      </c>
      <c r="AF154" t="s">
        <v>130</v>
      </c>
      <c r="AH154">
        <v>68.180000000000007</v>
      </c>
    </row>
    <row r="155" spans="1:34" x14ac:dyDescent="0.3">
      <c r="A155" s="4">
        <v>161</v>
      </c>
      <c r="B155" s="5">
        <v>148</v>
      </c>
      <c r="C155">
        <v>2593</v>
      </c>
      <c r="D155" t="s">
        <v>4171</v>
      </c>
      <c r="E155" t="s">
        <v>88</v>
      </c>
      <c r="F155" t="s">
        <v>117</v>
      </c>
      <c r="G155" t="s">
        <v>8764</v>
      </c>
      <c r="H155">
        <v>20.079999999999998</v>
      </c>
      <c r="I155">
        <v>0</v>
      </c>
      <c r="J155">
        <v>0</v>
      </c>
      <c r="K155">
        <v>28</v>
      </c>
      <c r="L155">
        <v>7</v>
      </c>
      <c r="O155">
        <v>7</v>
      </c>
      <c r="P155">
        <v>4</v>
      </c>
      <c r="Q155">
        <v>0</v>
      </c>
      <c r="R155">
        <v>59.08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9</v>
      </c>
      <c r="AC155">
        <v>0</v>
      </c>
      <c r="AF155" t="s">
        <v>130</v>
      </c>
      <c r="AH155">
        <v>68.08</v>
      </c>
    </row>
    <row r="156" spans="1:34" x14ac:dyDescent="0.3">
      <c r="A156" s="4">
        <v>162</v>
      </c>
      <c r="B156" s="5">
        <v>149</v>
      </c>
      <c r="C156">
        <v>7875</v>
      </c>
      <c r="D156" t="s">
        <v>8765</v>
      </c>
      <c r="E156" t="s">
        <v>26</v>
      </c>
      <c r="F156" t="s">
        <v>892</v>
      </c>
      <c r="G156" t="s">
        <v>8766</v>
      </c>
      <c r="H156">
        <v>24.05</v>
      </c>
      <c r="I156">
        <v>0</v>
      </c>
      <c r="J156">
        <v>0</v>
      </c>
      <c r="K156">
        <v>20</v>
      </c>
      <c r="L156">
        <v>7</v>
      </c>
      <c r="N156">
        <v>3</v>
      </c>
      <c r="O156">
        <v>10</v>
      </c>
      <c r="P156">
        <v>4</v>
      </c>
      <c r="Q156">
        <v>2</v>
      </c>
      <c r="R156">
        <v>60.05</v>
      </c>
      <c r="S156">
        <v>8</v>
      </c>
      <c r="T156">
        <v>8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8</v>
      </c>
      <c r="AB156">
        <v>0</v>
      </c>
      <c r="AC156">
        <v>0</v>
      </c>
      <c r="AD156" t="s">
        <v>130</v>
      </c>
      <c r="AF156" t="s">
        <v>130</v>
      </c>
      <c r="AH156">
        <v>68.05</v>
      </c>
    </row>
    <row r="157" spans="1:34" x14ac:dyDescent="0.3">
      <c r="A157" s="4">
        <v>163</v>
      </c>
      <c r="B157" s="5">
        <v>150</v>
      </c>
      <c r="C157">
        <v>4677</v>
      </c>
      <c r="D157" t="s">
        <v>8767</v>
      </c>
      <c r="E157" t="s">
        <v>563</v>
      </c>
      <c r="F157" t="s">
        <v>892</v>
      </c>
      <c r="G157" t="s">
        <v>8768</v>
      </c>
      <c r="H157">
        <v>19</v>
      </c>
      <c r="I157">
        <v>0</v>
      </c>
      <c r="J157">
        <v>0</v>
      </c>
      <c r="K157">
        <v>20</v>
      </c>
      <c r="L157">
        <v>7</v>
      </c>
      <c r="O157">
        <v>7</v>
      </c>
      <c r="P157">
        <v>4</v>
      </c>
      <c r="Q157">
        <v>0</v>
      </c>
      <c r="R157">
        <v>50</v>
      </c>
      <c r="S157">
        <v>18</v>
      </c>
      <c r="T157">
        <v>18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18</v>
      </c>
      <c r="AB157">
        <v>0</v>
      </c>
      <c r="AC157">
        <v>0</v>
      </c>
      <c r="AF157" t="s">
        <v>130</v>
      </c>
      <c r="AH157">
        <v>68</v>
      </c>
    </row>
    <row r="158" spans="1:34" x14ac:dyDescent="0.3">
      <c r="A158" s="4">
        <v>164</v>
      </c>
      <c r="B158" s="5">
        <v>151</v>
      </c>
      <c r="C158">
        <v>11905</v>
      </c>
      <c r="D158" t="s">
        <v>8769</v>
      </c>
      <c r="E158" t="s">
        <v>1474</v>
      </c>
      <c r="F158" t="s">
        <v>38</v>
      </c>
      <c r="G158" t="s">
        <v>8770</v>
      </c>
      <c r="H158">
        <v>20.78</v>
      </c>
      <c r="I158">
        <v>0</v>
      </c>
      <c r="J158">
        <v>0</v>
      </c>
      <c r="K158">
        <v>20</v>
      </c>
      <c r="M158">
        <v>5</v>
      </c>
      <c r="O158">
        <v>5</v>
      </c>
      <c r="P158">
        <v>4</v>
      </c>
      <c r="Q158">
        <v>2</v>
      </c>
      <c r="R158">
        <v>51.78</v>
      </c>
      <c r="S158">
        <v>13</v>
      </c>
      <c r="T158">
        <v>13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13</v>
      </c>
      <c r="AB158">
        <v>3</v>
      </c>
      <c r="AC158">
        <v>0</v>
      </c>
      <c r="AF158" t="s">
        <v>130</v>
      </c>
      <c r="AH158">
        <v>67.78</v>
      </c>
    </row>
    <row r="159" spans="1:34" x14ac:dyDescent="0.3">
      <c r="A159" s="4">
        <v>165</v>
      </c>
      <c r="B159" s="5">
        <v>152</v>
      </c>
      <c r="C159">
        <v>10695</v>
      </c>
      <c r="D159" t="s">
        <v>569</v>
      </c>
      <c r="E159" t="s">
        <v>575</v>
      </c>
      <c r="F159" t="s">
        <v>8771</v>
      </c>
      <c r="G159" t="s">
        <v>8772</v>
      </c>
      <c r="H159">
        <v>19.78</v>
      </c>
      <c r="I159">
        <v>7</v>
      </c>
      <c r="J159">
        <v>0</v>
      </c>
      <c r="K159">
        <v>20</v>
      </c>
      <c r="M159">
        <v>5</v>
      </c>
      <c r="O159">
        <v>5</v>
      </c>
      <c r="P159">
        <v>4</v>
      </c>
      <c r="Q159">
        <v>2</v>
      </c>
      <c r="R159">
        <v>57.78</v>
      </c>
      <c r="S159">
        <v>10</v>
      </c>
      <c r="T159">
        <v>10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10</v>
      </c>
      <c r="AB159">
        <v>0</v>
      </c>
      <c r="AC159">
        <v>0</v>
      </c>
      <c r="AF159" t="s">
        <v>130</v>
      </c>
      <c r="AH159">
        <v>67.78</v>
      </c>
    </row>
    <row r="160" spans="1:34" x14ac:dyDescent="0.3">
      <c r="A160" s="4">
        <v>166</v>
      </c>
      <c r="B160" s="5">
        <v>153</v>
      </c>
      <c r="C160">
        <v>23</v>
      </c>
      <c r="D160" t="s">
        <v>8773</v>
      </c>
      <c r="E160" t="s">
        <v>286</v>
      </c>
      <c r="F160" t="s">
        <v>17</v>
      </c>
      <c r="G160" t="s">
        <v>8774</v>
      </c>
      <c r="H160">
        <v>16.600000000000001</v>
      </c>
      <c r="I160">
        <v>0</v>
      </c>
      <c r="J160">
        <v>0</v>
      </c>
      <c r="K160">
        <v>28</v>
      </c>
      <c r="N160">
        <v>3</v>
      </c>
      <c r="O160">
        <v>3</v>
      </c>
      <c r="P160">
        <v>4</v>
      </c>
      <c r="Q160">
        <v>2</v>
      </c>
      <c r="R160">
        <v>53.6</v>
      </c>
      <c r="S160">
        <v>8</v>
      </c>
      <c r="T160">
        <v>8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8</v>
      </c>
      <c r="AB160">
        <v>6</v>
      </c>
      <c r="AC160">
        <v>0</v>
      </c>
      <c r="AF160" t="s">
        <v>130</v>
      </c>
      <c r="AH160">
        <v>67.599999999999994</v>
      </c>
    </row>
    <row r="161" spans="1:34" x14ac:dyDescent="0.3">
      <c r="A161" s="4">
        <v>167</v>
      </c>
      <c r="B161" s="5">
        <v>154</v>
      </c>
      <c r="C161">
        <v>665</v>
      </c>
      <c r="D161" t="s">
        <v>33</v>
      </c>
      <c r="E161" t="s">
        <v>8775</v>
      </c>
      <c r="F161" t="s">
        <v>8776</v>
      </c>
      <c r="G161" t="s">
        <v>8777</v>
      </c>
      <c r="H161">
        <v>17.2</v>
      </c>
      <c r="I161">
        <v>0</v>
      </c>
      <c r="J161">
        <v>0</v>
      </c>
      <c r="K161">
        <v>28</v>
      </c>
      <c r="L161">
        <v>7</v>
      </c>
      <c r="O161">
        <v>7</v>
      </c>
      <c r="P161">
        <v>4</v>
      </c>
      <c r="Q161">
        <v>2</v>
      </c>
      <c r="R161">
        <v>58.2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9</v>
      </c>
      <c r="AC161">
        <v>0</v>
      </c>
      <c r="AF161" t="s">
        <v>130</v>
      </c>
      <c r="AH161">
        <v>67.2</v>
      </c>
    </row>
    <row r="162" spans="1:34" x14ac:dyDescent="0.3">
      <c r="A162" s="4">
        <v>169</v>
      </c>
      <c r="B162" s="5">
        <v>155</v>
      </c>
      <c r="C162">
        <v>7999</v>
      </c>
      <c r="D162" t="s">
        <v>181</v>
      </c>
      <c r="E162" t="s">
        <v>100</v>
      </c>
      <c r="F162" t="s">
        <v>457</v>
      </c>
      <c r="G162" t="s">
        <v>8778</v>
      </c>
      <c r="H162">
        <v>19.899999999999999</v>
      </c>
      <c r="I162">
        <v>0</v>
      </c>
      <c r="J162">
        <v>0</v>
      </c>
      <c r="K162">
        <v>20</v>
      </c>
      <c r="L162">
        <v>7</v>
      </c>
      <c r="O162">
        <v>7</v>
      </c>
      <c r="P162">
        <v>4</v>
      </c>
      <c r="Q162">
        <v>2</v>
      </c>
      <c r="R162">
        <v>52.9</v>
      </c>
      <c r="S162">
        <v>11</v>
      </c>
      <c r="T162">
        <v>11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11</v>
      </c>
      <c r="AB162">
        <v>3</v>
      </c>
      <c r="AC162">
        <v>0</v>
      </c>
      <c r="AF162" t="s">
        <v>130</v>
      </c>
      <c r="AH162">
        <v>66.900000000000006</v>
      </c>
    </row>
    <row r="163" spans="1:34" x14ac:dyDescent="0.3">
      <c r="A163" s="4">
        <v>170</v>
      </c>
      <c r="B163" s="5">
        <v>156</v>
      </c>
      <c r="C163">
        <v>13215</v>
      </c>
      <c r="D163" t="s">
        <v>8779</v>
      </c>
      <c r="E163" t="s">
        <v>1809</v>
      </c>
      <c r="F163" t="s">
        <v>158</v>
      </c>
      <c r="G163" t="s">
        <v>8780</v>
      </c>
      <c r="H163">
        <v>17.899999999999999</v>
      </c>
      <c r="I163">
        <v>0</v>
      </c>
      <c r="J163">
        <v>0</v>
      </c>
      <c r="K163">
        <v>20</v>
      </c>
      <c r="N163">
        <v>3</v>
      </c>
      <c r="O163">
        <v>3</v>
      </c>
      <c r="P163">
        <v>4</v>
      </c>
      <c r="Q163">
        <v>2</v>
      </c>
      <c r="R163">
        <v>46.9</v>
      </c>
      <c r="S163">
        <v>20</v>
      </c>
      <c r="T163">
        <v>20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20</v>
      </c>
      <c r="AB163">
        <v>0</v>
      </c>
      <c r="AC163">
        <v>0</v>
      </c>
      <c r="AF163" t="s">
        <v>130</v>
      </c>
      <c r="AH163">
        <v>66.900000000000006</v>
      </c>
    </row>
    <row r="164" spans="1:34" x14ac:dyDescent="0.3">
      <c r="A164" s="4">
        <v>171</v>
      </c>
      <c r="B164" s="5">
        <v>157</v>
      </c>
      <c r="C164">
        <v>5519</v>
      </c>
      <c r="D164" t="s">
        <v>8781</v>
      </c>
      <c r="E164" t="s">
        <v>8782</v>
      </c>
      <c r="F164" t="s">
        <v>136</v>
      </c>
      <c r="G164" t="s">
        <v>8783</v>
      </c>
      <c r="H164">
        <v>17.75</v>
      </c>
      <c r="I164">
        <v>0</v>
      </c>
      <c r="J164">
        <v>0</v>
      </c>
      <c r="K164">
        <v>20</v>
      </c>
      <c r="L164">
        <v>7</v>
      </c>
      <c r="O164">
        <v>7</v>
      </c>
      <c r="P164">
        <v>4</v>
      </c>
      <c r="Q164">
        <v>2</v>
      </c>
      <c r="R164">
        <v>50.75</v>
      </c>
      <c r="S164">
        <v>16</v>
      </c>
      <c r="T164">
        <v>16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16</v>
      </c>
      <c r="AB164">
        <v>0</v>
      </c>
      <c r="AC164">
        <v>0</v>
      </c>
      <c r="AF164" t="s">
        <v>130</v>
      </c>
      <c r="AH164">
        <v>66.75</v>
      </c>
    </row>
    <row r="165" spans="1:34" x14ac:dyDescent="0.3">
      <c r="A165" s="4">
        <v>172</v>
      </c>
      <c r="B165" s="5">
        <v>158</v>
      </c>
      <c r="C165">
        <v>4118</v>
      </c>
      <c r="D165" t="s">
        <v>8784</v>
      </c>
      <c r="E165" t="s">
        <v>8785</v>
      </c>
      <c r="F165" t="s">
        <v>230</v>
      </c>
      <c r="G165" t="s">
        <v>8786</v>
      </c>
      <c r="H165">
        <v>19.600000000000001</v>
      </c>
      <c r="I165">
        <v>0</v>
      </c>
      <c r="J165">
        <v>0</v>
      </c>
      <c r="K165">
        <v>20</v>
      </c>
      <c r="L165">
        <v>7</v>
      </c>
      <c r="N165">
        <v>3</v>
      </c>
      <c r="O165">
        <v>10</v>
      </c>
      <c r="P165">
        <v>4</v>
      </c>
      <c r="Q165">
        <v>2</v>
      </c>
      <c r="R165">
        <v>55.6</v>
      </c>
      <c r="S165">
        <v>8</v>
      </c>
      <c r="T165">
        <v>8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8</v>
      </c>
      <c r="AB165">
        <v>3</v>
      </c>
      <c r="AC165">
        <v>0</v>
      </c>
      <c r="AD165" t="s">
        <v>130</v>
      </c>
      <c r="AF165" t="s">
        <v>130</v>
      </c>
      <c r="AH165">
        <v>66.599999999999994</v>
      </c>
    </row>
    <row r="166" spans="1:34" x14ac:dyDescent="0.3">
      <c r="A166" s="4">
        <v>173</v>
      </c>
      <c r="B166" s="5">
        <v>159</v>
      </c>
      <c r="C166">
        <v>5338</v>
      </c>
      <c r="D166" t="s">
        <v>8787</v>
      </c>
      <c r="E166" t="s">
        <v>33</v>
      </c>
      <c r="F166" t="s">
        <v>8788</v>
      </c>
      <c r="G166" t="s">
        <v>8789</v>
      </c>
      <c r="H166">
        <v>19.5</v>
      </c>
      <c r="I166">
        <v>0</v>
      </c>
      <c r="J166">
        <v>0</v>
      </c>
      <c r="K166">
        <v>20</v>
      </c>
      <c r="L166">
        <v>7</v>
      </c>
      <c r="O166">
        <v>7</v>
      </c>
      <c r="P166">
        <v>4</v>
      </c>
      <c r="Q166">
        <v>2</v>
      </c>
      <c r="R166">
        <v>52.5</v>
      </c>
      <c r="S166">
        <v>14</v>
      </c>
      <c r="T166">
        <v>14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14</v>
      </c>
      <c r="AB166">
        <v>0</v>
      </c>
      <c r="AC166">
        <v>0</v>
      </c>
      <c r="AF166" t="s">
        <v>130</v>
      </c>
      <c r="AH166">
        <v>66.5</v>
      </c>
    </row>
    <row r="167" spans="1:34" x14ac:dyDescent="0.3">
      <c r="A167" s="4">
        <v>174</v>
      </c>
      <c r="B167" s="5">
        <v>160</v>
      </c>
      <c r="C167">
        <v>1226</v>
      </c>
      <c r="D167" t="s">
        <v>8790</v>
      </c>
      <c r="E167" t="s">
        <v>17</v>
      </c>
      <c r="F167" t="s">
        <v>385</v>
      </c>
      <c r="G167" t="s">
        <v>8791</v>
      </c>
      <c r="H167">
        <v>16.5</v>
      </c>
      <c r="I167">
        <v>0</v>
      </c>
      <c r="J167">
        <v>0</v>
      </c>
      <c r="K167">
        <v>20</v>
      </c>
      <c r="L167">
        <v>7</v>
      </c>
      <c r="O167">
        <v>7</v>
      </c>
      <c r="P167">
        <v>4</v>
      </c>
      <c r="Q167">
        <v>2</v>
      </c>
      <c r="R167">
        <v>49.5</v>
      </c>
      <c r="S167">
        <v>17</v>
      </c>
      <c r="T167">
        <v>17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17</v>
      </c>
      <c r="AB167">
        <v>0</v>
      </c>
      <c r="AC167">
        <v>0</v>
      </c>
      <c r="AF167" t="s">
        <v>130</v>
      </c>
      <c r="AH167">
        <v>66.5</v>
      </c>
    </row>
    <row r="168" spans="1:34" x14ac:dyDescent="0.3">
      <c r="A168" s="4">
        <v>175</v>
      </c>
      <c r="B168" s="5">
        <v>161</v>
      </c>
      <c r="C168">
        <v>7086</v>
      </c>
      <c r="D168" t="s">
        <v>8792</v>
      </c>
      <c r="E168" t="s">
        <v>8793</v>
      </c>
      <c r="F168" t="s">
        <v>652</v>
      </c>
      <c r="G168" t="s">
        <v>8794</v>
      </c>
      <c r="H168">
        <v>20.18</v>
      </c>
      <c r="I168">
        <v>7</v>
      </c>
      <c r="J168">
        <v>0</v>
      </c>
      <c r="K168">
        <v>20</v>
      </c>
      <c r="N168">
        <v>3</v>
      </c>
      <c r="O168">
        <v>3</v>
      </c>
      <c r="P168">
        <v>4</v>
      </c>
      <c r="Q168">
        <v>2</v>
      </c>
      <c r="R168">
        <v>56.18</v>
      </c>
      <c r="S168">
        <v>10</v>
      </c>
      <c r="T168">
        <v>10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10</v>
      </c>
      <c r="AB168">
        <v>0</v>
      </c>
      <c r="AC168">
        <v>0</v>
      </c>
      <c r="AF168" t="s">
        <v>130</v>
      </c>
      <c r="AH168">
        <v>66.180000000000007</v>
      </c>
    </row>
    <row r="169" spans="1:34" x14ac:dyDescent="0.3">
      <c r="A169" s="4">
        <v>176</v>
      </c>
      <c r="B169" s="5">
        <v>162</v>
      </c>
      <c r="C169">
        <v>8905</v>
      </c>
      <c r="D169" t="s">
        <v>8775</v>
      </c>
      <c r="E169" t="s">
        <v>29</v>
      </c>
      <c r="F169" t="s">
        <v>442</v>
      </c>
      <c r="G169" t="s">
        <v>8795</v>
      </c>
      <c r="H169">
        <v>19.149999999999999</v>
      </c>
      <c r="I169">
        <v>0</v>
      </c>
      <c r="J169">
        <v>0</v>
      </c>
      <c r="K169">
        <v>20</v>
      </c>
      <c r="N169">
        <v>3</v>
      </c>
      <c r="O169">
        <v>3</v>
      </c>
      <c r="P169">
        <v>4</v>
      </c>
      <c r="Q169">
        <v>2</v>
      </c>
      <c r="R169">
        <v>48.15</v>
      </c>
      <c r="S169">
        <v>18</v>
      </c>
      <c r="T169">
        <v>18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18</v>
      </c>
      <c r="AB169">
        <v>0</v>
      </c>
      <c r="AC169">
        <v>0</v>
      </c>
      <c r="AF169" t="s">
        <v>130</v>
      </c>
      <c r="AH169">
        <v>66.150000000000006</v>
      </c>
    </row>
    <row r="170" spans="1:34" x14ac:dyDescent="0.3">
      <c r="A170" s="4">
        <v>177</v>
      </c>
      <c r="B170" s="5">
        <v>163</v>
      </c>
      <c r="C170">
        <v>4445</v>
      </c>
      <c r="D170" t="s">
        <v>8796</v>
      </c>
      <c r="E170" t="s">
        <v>41</v>
      </c>
      <c r="F170" t="s">
        <v>20</v>
      </c>
      <c r="G170" t="s">
        <v>8797</v>
      </c>
      <c r="H170">
        <v>20.65</v>
      </c>
      <c r="I170">
        <v>0</v>
      </c>
      <c r="J170">
        <v>0</v>
      </c>
      <c r="K170">
        <v>0</v>
      </c>
      <c r="L170">
        <v>7</v>
      </c>
      <c r="O170">
        <v>7</v>
      </c>
      <c r="P170">
        <v>4</v>
      </c>
      <c r="Q170">
        <v>2</v>
      </c>
      <c r="R170">
        <v>33.65</v>
      </c>
      <c r="S170">
        <v>22</v>
      </c>
      <c r="T170">
        <v>22</v>
      </c>
      <c r="U170">
        <v>0</v>
      </c>
      <c r="V170">
        <v>0</v>
      </c>
      <c r="W170">
        <v>7</v>
      </c>
      <c r="X170">
        <v>10</v>
      </c>
      <c r="Y170">
        <v>0</v>
      </c>
      <c r="Z170">
        <v>0</v>
      </c>
      <c r="AA170">
        <v>32</v>
      </c>
      <c r="AB170">
        <v>0</v>
      </c>
      <c r="AC170">
        <v>0</v>
      </c>
      <c r="AF170" t="s">
        <v>130</v>
      </c>
      <c r="AH170">
        <v>65.650000000000006</v>
      </c>
    </row>
    <row r="171" spans="1:34" x14ac:dyDescent="0.3">
      <c r="A171" s="4">
        <v>178</v>
      </c>
      <c r="B171" s="5">
        <v>164</v>
      </c>
      <c r="C171">
        <v>10628</v>
      </c>
      <c r="D171" t="s">
        <v>8798</v>
      </c>
      <c r="E171" t="s">
        <v>88</v>
      </c>
      <c r="F171" t="s">
        <v>570</v>
      </c>
      <c r="G171" t="s">
        <v>8799</v>
      </c>
      <c r="H171">
        <v>19.3</v>
      </c>
      <c r="I171">
        <v>0</v>
      </c>
      <c r="J171">
        <v>0</v>
      </c>
      <c r="K171">
        <v>20</v>
      </c>
      <c r="L171">
        <v>7</v>
      </c>
      <c r="N171">
        <v>3</v>
      </c>
      <c r="O171">
        <v>10</v>
      </c>
      <c r="P171">
        <v>4</v>
      </c>
      <c r="Q171">
        <v>0</v>
      </c>
      <c r="R171">
        <v>53.3</v>
      </c>
      <c r="S171">
        <v>12</v>
      </c>
      <c r="T171">
        <v>12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12</v>
      </c>
      <c r="AB171">
        <v>0</v>
      </c>
      <c r="AC171">
        <v>0</v>
      </c>
      <c r="AF171" t="s">
        <v>130</v>
      </c>
      <c r="AH171">
        <v>65.3</v>
      </c>
    </row>
    <row r="172" spans="1:34" x14ac:dyDescent="0.3">
      <c r="A172" s="4">
        <v>179</v>
      </c>
      <c r="B172" s="5">
        <v>165</v>
      </c>
      <c r="C172">
        <v>297</v>
      </c>
      <c r="D172" t="s">
        <v>8800</v>
      </c>
      <c r="E172" t="s">
        <v>100</v>
      </c>
      <c r="F172" t="s">
        <v>20</v>
      </c>
      <c r="G172" t="s">
        <v>8801</v>
      </c>
      <c r="H172">
        <v>19</v>
      </c>
      <c r="I172">
        <v>0</v>
      </c>
      <c r="J172">
        <v>0</v>
      </c>
      <c r="K172">
        <v>20</v>
      </c>
      <c r="L172">
        <v>7</v>
      </c>
      <c r="O172">
        <v>7</v>
      </c>
      <c r="P172">
        <v>4</v>
      </c>
      <c r="Q172">
        <v>2</v>
      </c>
      <c r="R172">
        <v>52</v>
      </c>
      <c r="S172">
        <v>7</v>
      </c>
      <c r="T172">
        <v>7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7</v>
      </c>
      <c r="AB172">
        <v>6</v>
      </c>
      <c r="AC172">
        <v>0</v>
      </c>
      <c r="AF172" t="s">
        <v>130</v>
      </c>
      <c r="AH172">
        <v>65</v>
      </c>
    </row>
    <row r="173" spans="1:34" x14ac:dyDescent="0.3">
      <c r="A173" s="4">
        <v>180</v>
      </c>
      <c r="B173" s="5">
        <v>166</v>
      </c>
      <c r="C173">
        <v>10379</v>
      </c>
      <c r="D173" t="s">
        <v>8802</v>
      </c>
      <c r="E173" t="s">
        <v>170</v>
      </c>
      <c r="F173" t="s">
        <v>17</v>
      </c>
      <c r="G173" t="s">
        <v>8803</v>
      </c>
      <c r="H173">
        <v>16.93</v>
      </c>
      <c r="I173">
        <v>0</v>
      </c>
      <c r="J173">
        <v>0</v>
      </c>
      <c r="K173">
        <v>20</v>
      </c>
      <c r="L173">
        <v>7</v>
      </c>
      <c r="O173">
        <v>7</v>
      </c>
      <c r="P173">
        <v>4</v>
      </c>
      <c r="Q173">
        <v>2</v>
      </c>
      <c r="R173">
        <v>49.93</v>
      </c>
      <c r="S173">
        <v>12</v>
      </c>
      <c r="T173">
        <v>12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12</v>
      </c>
      <c r="AB173">
        <v>3</v>
      </c>
      <c r="AC173">
        <v>0</v>
      </c>
      <c r="AF173" t="s">
        <v>130</v>
      </c>
      <c r="AH173">
        <v>64.930000000000007</v>
      </c>
    </row>
    <row r="174" spans="1:34" x14ac:dyDescent="0.3">
      <c r="A174" s="4">
        <v>181</v>
      </c>
      <c r="B174" s="5">
        <v>167</v>
      </c>
      <c r="C174">
        <v>10841</v>
      </c>
      <c r="D174" t="s">
        <v>8804</v>
      </c>
      <c r="E174" t="s">
        <v>8805</v>
      </c>
      <c r="F174" t="s">
        <v>124</v>
      </c>
      <c r="G174" t="s">
        <v>8806</v>
      </c>
      <c r="H174">
        <v>18.850000000000001</v>
      </c>
      <c r="I174">
        <v>0</v>
      </c>
      <c r="J174">
        <v>0</v>
      </c>
      <c r="K174">
        <v>20</v>
      </c>
      <c r="N174">
        <v>3</v>
      </c>
      <c r="O174">
        <v>3</v>
      </c>
      <c r="P174">
        <v>4</v>
      </c>
      <c r="Q174">
        <v>2</v>
      </c>
      <c r="R174">
        <v>47.85</v>
      </c>
      <c r="S174">
        <v>17</v>
      </c>
      <c r="T174">
        <v>17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17</v>
      </c>
      <c r="AB174">
        <v>0</v>
      </c>
      <c r="AC174">
        <v>0</v>
      </c>
      <c r="AF174" t="s">
        <v>130</v>
      </c>
      <c r="AH174">
        <v>64.849999999999994</v>
      </c>
    </row>
    <row r="175" spans="1:34" x14ac:dyDescent="0.3">
      <c r="A175" s="4">
        <v>182</v>
      </c>
      <c r="B175" s="5">
        <v>168</v>
      </c>
      <c r="C175">
        <v>7060</v>
      </c>
      <c r="D175" t="s">
        <v>181</v>
      </c>
      <c r="E175" t="s">
        <v>1694</v>
      </c>
      <c r="F175" t="s">
        <v>34</v>
      </c>
      <c r="G175" t="s">
        <v>8807</v>
      </c>
      <c r="H175">
        <v>19.73</v>
      </c>
      <c r="I175">
        <v>0</v>
      </c>
      <c r="J175">
        <v>0</v>
      </c>
      <c r="K175">
        <v>28</v>
      </c>
      <c r="L175">
        <v>7</v>
      </c>
      <c r="O175">
        <v>7</v>
      </c>
      <c r="P175">
        <v>4</v>
      </c>
      <c r="Q175">
        <v>0</v>
      </c>
      <c r="R175">
        <v>58.73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6</v>
      </c>
      <c r="AC175">
        <v>0</v>
      </c>
      <c r="AF175" t="s">
        <v>130</v>
      </c>
      <c r="AH175">
        <v>64.73</v>
      </c>
    </row>
    <row r="176" spans="1:34" x14ac:dyDescent="0.3">
      <c r="A176" s="4">
        <v>183</v>
      </c>
      <c r="B176" s="5">
        <v>169</v>
      </c>
      <c r="C176">
        <v>8395</v>
      </c>
      <c r="D176" t="s">
        <v>2453</v>
      </c>
      <c r="E176" t="s">
        <v>161</v>
      </c>
      <c r="F176" t="s">
        <v>68</v>
      </c>
      <c r="G176" t="s">
        <v>8808</v>
      </c>
      <c r="H176">
        <v>16.399999999999999</v>
      </c>
      <c r="I176">
        <v>0</v>
      </c>
      <c r="J176">
        <v>0</v>
      </c>
      <c r="K176">
        <v>20</v>
      </c>
      <c r="M176">
        <v>5</v>
      </c>
      <c r="O176">
        <v>5</v>
      </c>
      <c r="P176">
        <v>4</v>
      </c>
      <c r="Q176">
        <v>2</v>
      </c>
      <c r="R176">
        <v>47.4</v>
      </c>
      <c r="S176">
        <v>17</v>
      </c>
      <c r="T176">
        <v>17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17</v>
      </c>
      <c r="AB176">
        <v>0</v>
      </c>
      <c r="AC176">
        <v>0</v>
      </c>
      <c r="AF176" t="s">
        <v>130</v>
      </c>
      <c r="AH176">
        <v>64.400000000000006</v>
      </c>
    </row>
    <row r="177" spans="1:34" x14ac:dyDescent="0.3">
      <c r="A177" s="4">
        <v>184</v>
      </c>
      <c r="B177" s="5">
        <v>170</v>
      </c>
      <c r="C177">
        <v>11009</v>
      </c>
      <c r="D177" t="s">
        <v>1740</v>
      </c>
      <c r="E177" t="s">
        <v>8809</v>
      </c>
      <c r="F177" t="s">
        <v>649</v>
      </c>
      <c r="G177" t="s">
        <v>8810</v>
      </c>
      <c r="H177">
        <v>18.93</v>
      </c>
      <c r="I177">
        <v>0</v>
      </c>
      <c r="J177">
        <v>0</v>
      </c>
      <c r="K177">
        <v>0</v>
      </c>
      <c r="N177">
        <v>3</v>
      </c>
      <c r="O177">
        <v>3</v>
      </c>
      <c r="P177">
        <v>4</v>
      </c>
      <c r="Q177">
        <v>2</v>
      </c>
      <c r="R177">
        <v>27.93</v>
      </c>
      <c r="S177">
        <v>36</v>
      </c>
      <c r="T177">
        <v>36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36</v>
      </c>
      <c r="AB177">
        <v>0</v>
      </c>
      <c r="AC177">
        <v>0</v>
      </c>
      <c r="AD177" t="s">
        <v>130</v>
      </c>
      <c r="AF177" t="s">
        <v>130</v>
      </c>
      <c r="AH177">
        <v>63.93</v>
      </c>
    </row>
    <row r="178" spans="1:34" x14ac:dyDescent="0.3">
      <c r="A178" s="4">
        <v>185</v>
      </c>
      <c r="B178" s="5">
        <v>171</v>
      </c>
      <c r="C178">
        <v>1973</v>
      </c>
      <c r="D178" t="s">
        <v>8811</v>
      </c>
      <c r="E178" t="s">
        <v>29</v>
      </c>
      <c r="F178" t="s">
        <v>124</v>
      </c>
      <c r="G178" t="s">
        <v>8812</v>
      </c>
      <c r="H178">
        <v>19.8</v>
      </c>
      <c r="I178">
        <v>0</v>
      </c>
      <c r="J178">
        <v>0</v>
      </c>
      <c r="K178">
        <v>28</v>
      </c>
      <c r="L178">
        <v>7</v>
      </c>
      <c r="O178">
        <v>7</v>
      </c>
      <c r="P178">
        <v>4</v>
      </c>
      <c r="Q178">
        <v>2</v>
      </c>
      <c r="R178">
        <v>60.8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3</v>
      </c>
      <c r="AC178">
        <v>0</v>
      </c>
      <c r="AD178" t="s">
        <v>130</v>
      </c>
      <c r="AF178" t="s">
        <v>130</v>
      </c>
      <c r="AH178">
        <v>63.8</v>
      </c>
    </row>
    <row r="179" spans="1:34" x14ac:dyDescent="0.3">
      <c r="A179" s="4">
        <v>186</v>
      </c>
      <c r="B179" s="5">
        <v>172</v>
      </c>
      <c r="C179">
        <v>4334</v>
      </c>
      <c r="D179" t="s">
        <v>8813</v>
      </c>
      <c r="E179" t="s">
        <v>33</v>
      </c>
      <c r="F179" t="s">
        <v>8814</v>
      </c>
      <c r="G179" t="s">
        <v>8815</v>
      </c>
      <c r="H179">
        <v>17.73</v>
      </c>
      <c r="I179">
        <v>0</v>
      </c>
      <c r="J179">
        <v>0</v>
      </c>
      <c r="K179">
        <v>20</v>
      </c>
      <c r="L179">
        <v>7</v>
      </c>
      <c r="O179">
        <v>7</v>
      </c>
      <c r="P179">
        <v>4</v>
      </c>
      <c r="Q179">
        <v>2</v>
      </c>
      <c r="R179">
        <v>50.73</v>
      </c>
      <c r="S179">
        <v>13</v>
      </c>
      <c r="T179">
        <v>13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13</v>
      </c>
      <c r="AB179">
        <v>0</v>
      </c>
      <c r="AC179">
        <v>0</v>
      </c>
      <c r="AD179" t="s">
        <v>130</v>
      </c>
      <c r="AF179" t="s">
        <v>130</v>
      </c>
      <c r="AH179">
        <v>63.73</v>
      </c>
    </row>
    <row r="180" spans="1:34" x14ac:dyDescent="0.3">
      <c r="A180" s="4">
        <v>187</v>
      </c>
      <c r="B180" s="5">
        <v>173</v>
      </c>
      <c r="C180">
        <v>2204</v>
      </c>
      <c r="D180" t="s">
        <v>8816</v>
      </c>
      <c r="E180" t="s">
        <v>41</v>
      </c>
      <c r="F180" t="s">
        <v>238</v>
      </c>
      <c r="G180" t="s">
        <v>8817</v>
      </c>
      <c r="H180">
        <v>20.93</v>
      </c>
      <c r="I180">
        <v>0</v>
      </c>
      <c r="J180">
        <v>0</v>
      </c>
      <c r="K180">
        <v>20</v>
      </c>
      <c r="L180">
        <v>7</v>
      </c>
      <c r="O180">
        <v>7</v>
      </c>
      <c r="P180">
        <v>4</v>
      </c>
      <c r="Q180">
        <v>0</v>
      </c>
      <c r="R180">
        <v>51.93</v>
      </c>
      <c r="S180">
        <v>8</v>
      </c>
      <c r="T180">
        <v>8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8</v>
      </c>
      <c r="AB180">
        <v>3</v>
      </c>
      <c r="AC180">
        <v>0</v>
      </c>
      <c r="AF180" t="s">
        <v>130</v>
      </c>
      <c r="AH180">
        <v>62.93</v>
      </c>
    </row>
    <row r="181" spans="1:34" x14ac:dyDescent="0.3">
      <c r="A181" s="4">
        <v>188</v>
      </c>
      <c r="B181" s="5">
        <v>174</v>
      </c>
      <c r="C181">
        <v>2588</v>
      </c>
      <c r="D181" t="s">
        <v>8818</v>
      </c>
      <c r="E181" t="s">
        <v>29</v>
      </c>
      <c r="F181" t="s">
        <v>17</v>
      </c>
      <c r="G181" t="s">
        <v>8819</v>
      </c>
      <c r="H181">
        <v>19.8</v>
      </c>
      <c r="I181">
        <v>0</v>
      </c>
      <c r="J181">
        <v>0</v>
      </c>
      <c r="K181">
        <v>0</v>
      </c>
      <c r="N181">
        <v>6</v>
      </c>
      <c r="O181">
        <v>6</v>
      </c>
      <c r="P181">
        <v>4</v>
      </c>
      <c r="Q181">
        <v>2</v>
      </c>
      <c r="R181">
        <v>31.8</v>
      </c>
      <c r="S181">
        <v>28</v>
      </c>
      <c r="T181">
        <v>28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28</v>
      </c>
      <c r="AB181">
        <v>3</v>
      </c>
      <c r="AC181">
        <v>0</v>
      </c>
      <c r="AF181" t="s">
        <v>130</v>
      </c>
      <c r="AH181">
        <v>62.8</v>
      </c>
    </row>
    <row r="182" spans="1:34" x14ac:dyDescent="0.3">
      <c r="A182" s="4">
        <v>189</v>
      </c>
      <c r="B182" s="5">
        <v>175</v>
      </c>
      <c r="C182">
        <v>145</v>
      </c>
      <c r="D182" t="s">
        <v>1287</v>
      </c>
      <c r="E182" t="s">
        <v>29</v>
      </c>
      <c r="F182" t="s">
        <v>62</v>
      </c>
      <c r="G182" t="s">
        <v>8820</v>
      </c>
      <c r="H182">
        <v>22.73</v>
      </c>
      <c r="I182">
        <v>0</v>
      </c>
      <c r="J182">
        <v>0</v>
      </c>
      <c r="K182">
        <v>20</v>
      </c>
      <c r="L182">
        <v>7</v>
      </c>
      <c r="N182">
        <v>3</v>
      </c>
      <c r="O182">
        <v>10</v>
      </c>
      <c r="P182">
        <v>4</v>
      </c>
      <c r="Q182">
        <v>0</v>
      </c>
      <c r="R182">
        <v>56.73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6</v>
      </c>
      <c r="AC182">
        <v>0</v>
      </c>
      <c r="AF182" t="s">
        <v>130</v>
      </c>
      <c r="AH182">
        <v>62.73</v>
      </c>
    </row>
    <row r="183" spans="1:34" x14ac:dyDescent="0.3">
      <c r="A183" s="4">
        <v>190</v>
      </c>
      <c r="B183" s="5">
        <v>176</v>
      </c>
      <c r="C183">
        <v>14412</v>
      </c>
      <c r="D183" t="s">
        <v>8821</v>
      </c>
      <c r="E183" t="s">
        <v>8822</v>
      </c>
      <c r="F183" t="s">
        <v>158</v>
      </c>
      <c r="G183" t="s">
        <v>8823</v>
      </c>
      <c r="H183">
        <v>19.63</v>
      </c>
      <c r="I183">
        <v>7</v>
      </c>
      <c r="J183">
        <v>0</v>
      </c>
      <c r="K183">
        <v>20</v>
      </c>
      <c r="L183">
        <v>7</v>
      </c>
      <c r="N183">
        <v>3</v>
      </c>
      <c r="O183">
        <v>10</v>
      </c>
      <c r="P183">
        <v>4</v>
      </c>
      <c r="Q183">
        <v>2</v>
      </c>
      <c r="R183">
        <v>62.63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F183" t="s">
        <v>130</v>
      </c>
      <c r="AH183">
        <v>62.63</v>
      </c>
    </row>
    <row r="184" spans="1:34" x14ac:dyDescent="0.3">
      <c r="A184" s="4">
        <v>191</v>
      </c>
      <c r="B184" s="5">
        <v>177</v>
      </c>
      <c r="C184">
        <v>78</v>
      </c>
      <c r="D184" t="s">
        <v>8824</v>
      </c>
      <c r="E184" t="s">
        <v>789</v>
      </c>
      <c r="F184" t="s">
        <v>4873</v>
      </c>
      <c r="G184" t="s">
        <v>8825</v>
      </c>
      <c r="H184">
        <v>21.4</v>
      </c>
      <c r="I184">
        <v>0</v>
      </c>
      <c r="J184">
        <v>0</v>
      </c>
      <c r="K184">
        <v>20</v>
      </c>
      <c r="L184">
        <v>7</v>
      </c>
      <c r="M184">
        <v>5</v>
      </c>
      <c r="O184">
        <v>12</v>
      </c>
      <c r="P184">
        <v>4</v>
      </c>
      <c r="Q184">
        <v>0</v>
      </c>
      <c r="R184">
        <v>57.4</v>
      </c>
      <c r="S184">
        <v>5</v>
      </c>
      <c r="T184">
        <v>5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5</v>
      </c>
      <c r="AB184">
        <v>0</v>
      </c>
      <c r="AC184">
        <v>0</v>
      </c>
      <c r="AD184" t="s">
        <v>130</v>
      </c>
      <c r="AE184" t="s">
        <v>130</v>
      </c>
      <c r="AF184" t="s">
        <v>130</v>
      </c>
      <c r="AH184">
        <v>62.4</v>
      </c>
    </row>
    <row r="185" spans="1:34" x14ac:dyDescent="0.3">
      <c r="A185" s="4">
        <v>192</v>
      </c>
      <c r="B185" s="5">
        <v>178</v>
      </c>
      <c r="C185">
        <v>937</v>
      </c>
      <c r="D185" t="s">
        <v>8826</v>
      </c>
      <c r="E185" t="s">
        <v>182</v>
      </c>
      <c r="F185" t="s">
        <v>626</v>
      </c>
      <c r="G185" t="s">
        <v>8827</v>
      </c>
      <c r="H185">
        <v>17.350000000000001</v>
      </c>
      <c r="I185">
        <v>0</v>
      </c>
      <c r="J185">
        <v>0</v>
      </c>
      <c r="K185">
        <v>0</v>
      </c>
      <c r="N185">
        <v>3</v>
      </c>
      <c r="O185">
        <v>3</v>
      </c>
      <c r="P185">
        <v>4</v>
      </c>
      <c r="Q185">
        <v>2</v>
      </c>
      <c r="R185">
        <v>26.35</v>
      </c>
      <c r="S185">
        <v>36</v>
      </c>
      <c r="T185">
        <v>36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36</v>
      </c>
      <c r="AB185">
        <v>0</v>
      </c>
      <c r="AC185">
        <v>0</v>
      </c>
      <c r="AF185" t="s">
        <v>130</v>
      </c>
      <c r="AH185">
        <v>62.35</v>
      </c>
    </row>
    <row r="186" spans="1:34" x14ac:dyDescent="0.3">
      <c r="A186" s="4">
        <v>193</v>
      </c>
      <c r="B186" s="5">
        <v>179</v>
      </c>
      <c r="C186">
        <v>3786</v>
      </c>
      <c r="D186" t="s">
        <v>5130</v>
      </c>
      <c r="E186" t="s">
        <v>789</v>
      </c>
      <c r="F186" t="s">
        <v>328</v>
      </c>
      <c r="G186" t="s">
        <v>8828</v>
      </c>
      <c r="H186">
        <v>17.23</v>
      </c>
      <c r="I186">
        <v>0</v>
      </c>
      <c r="J186">
        <v>0</v>
      </c>
      <c r="K186">
        <v>0</v>
      </c>
      <c r="N186">
        <v>3</v>
      </c>
      <c r="O186">
        <v>3</v>
      </c>
      <c r="P186">
        <v>4</v>
      </c>
      <c r="Q186">
        <v>0</v>
      </c>
      <c r="R186">
        <v>24.23</v>
      </c>
      <c r="S186">
        <v>32</v>
      </c>
      <c r="T186">
        <v>32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32</v>
      </c>
      <c r="AB186">
        <v>6</v>
      </c>
      <c r="AC186">
        <v>0</v>
      </c>
      <c r="AF186" t="s">
        <v>130</v>
      </c>
      <c r="AH186">
        <v>62.23</v>
      </c>
    </row>
    <row r="187" spans="1:34" x14ac:dyDescent="0.3">
      <c r="A187" s="4">
        <v>194</v>
      </c>
      <c r="B187" s="5">
        <v>180</v>
      </c>
      <c r="C187">
        <v>8088</v>
      </c>
      <c r="D187" t="s">
        <v>3033</v>
      </c>
      <c r="E187" t="s">
        <v>406</v>
      </c>
      <c r="F187" t="s">
        <v>20</v>
      </c>
      <c r="G187" t="s">
        <v>8829</v>
      </c>
      <c r="H187">
        <v>22.2</v>
      </c>
      <c r="I187">
        <v>0</v>
      </c>
      <c r="J187">
        <v>0</v>
      </c>
      <c r="K187">
        <v>20</v>
      </c>
      <c r="L187">
        <v>7</v>
      </c>
      <c r="O187">
        <v>7</v>
      </c>
      <c r="P187">
        <v>4</v>
      </c>
      <c r="Q187">
        <v>0</v>
      </c>
      <c r="R187">
        <v>53.2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9</v>
      </c>
      <c r="AC187">
        <v>0</v>
      </c>
      <c r="AF187" t="s">
        <v>130</v>
      </c>
      <c r="AH187">
        <v>62.2</v>
      </c>
    </row>
    <row r="188" spans="1:34" x14ac:dyDescent="0.3">
      <c r="A188" s="4">
        <v>195</v>
      </c>
      <c r="B188" s="5">
        <v>181</v>
      </c>
      <c r="C188">
        <v>10581</v>
      </c>
      <c r="D188" t="s">
        <v>8830</v>
      </c>
      <c r="E188" t="s">
        <v>161</v>
      </c>
      <c r="F188" t="s">
        <v>136</v>
      </c>
      <c r="G188" t="s">
        <v>8831</v>
      </c>
      <c r="H188">
        <v>22.98</v>
      </c>
      <c r="I188">
        <v>7</v>
      </c>
      <c r="J188">
        <v>0</v>
      </c>
      <c r="K188">
        <v>0</v>
      </c>
      <c r="M188">
        <v>5</v>
      </c>
      <c r="N188">
        <v>3</v>
      </c>
      <c r="O188">
        <v>8</v>
      </c>
      <c r="P188">
        <v>4</v>
      </c>
      <c r="Q188">
        <v>2</v>
      </c>
      <c r="R188">
        <v>43.98</v>
      </c>
      <c r="S188">
        <v>18</v>
      </c>
      <c r="T188">
        <v>18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18</v>
      </c>
      <c r="AB188">
        <v>0</v>
      </c>
      <c r="AC188">
        <v>0</v>
      </c>
      <c r="AF188" t="s">
        <v>130</v>
      </c>
      <c r="AH188">
        <v>61.98</v>
      </c>
    </row>
    <row r="189" spans="1:34" x14ac:dyDescent="0.3">
      <c r="A189" s="4">
        <v>196</v>
      </c>
      <c r="B189" s="5">
        <v>182</v>
      </c>
      <c r="C189">
        <v>11054</v>
      </c>
      <c r="D189" t="s">
        <v>8832</v>
      </c>
      <c r="E189" t="s">
        <v>51</v>
      </c>
      <c r="F189" t="s">
        <v>14</v>
      </c>
      <c r="G189" t="s">
        <v>8833</v>
      </c>
      <c r="H189">
        <v>17.899999999999999</v>
      </c>
      <c r="I189">
        <v>0</v>
      </c>
      <c r="J189">
        <v>0</v>
      </c>
      <c r="K189">
        <v>20</v>
      </c>
      <c r="L189">
        <v>7</v>
      </c>
      <c r="O189">
        <v>7</v>
      </c>
      <c r="P189">
        <v>0</v>
      </c>
      <c r="Q189">
        <v>2</v>
      </c>
      <c r="R189">
        <v>46.9</v>
      </c>
      <c r="S189">
        <v>15</v>
      </c>
      <c r="T189">
        <v>15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15</v>
      </c>
      <c r="AB189">
        <v>0</v>
      </c>
      <c r="AC189">
        <v>0</v>
      </c>
      <c r="AF189" t="s">
        <v>130</v>
      </c>
      <c r="AH189">
        <v>61.9</v>
      </c>
    </row>
    <row r="190" spans="1:34" x14ac:dyDescent="0.3">
      <c r="A190" s="4">
        <v>197</v>
      </c>
      <c r="B190" s="5">
        <v>183</v>
      </c>
      <c r="C190">
        <v>9819</v>
      </c>
      <c r="D190" t="s">
        <v>1039</v>
      </c>
      <c r="E190" t="s">
        <v>26</v>
      </c>
      <c r="F190" t="s">
        <v>20</v>
      </c>
      <c r="G190" t="s">
        <v>8834</v>
      </c>
      <c r="H190">
        <v>19.8</v>
      </c>
      <c r="I190">
        <v>0</v>
      </c>
      <c r="J190">
        <v>0</v>
      </c>
      <c r="K190">
        <v>20</v>
      </c>
      <c r="M190">
        <v>5</v>
      </c>
      <c r="O190">
        <v>5</v>
      </c>
      <c r="P190">
        <v>4</v>
      </c>
      <c r="Q190">
        <v>2</v>
      </c>
      <c r="R190">
        <v>50.8</v>
      </c>
      <c r="S190">
        <v>8</v>
      </c>
      <c r="T190">
        <v>8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8</v>
      </c>
      <c r="AB190">
        <v>3</v>
      </c>
      <c r="AC190">
        <v>0</v>
      </c>
      <c r="AD190" t="s">
        <v>130</v>
      </c>
      <c r="AF190" t="s">
        <v>130</v>
      </c>
      <c r="AH190">
        <v>61.8</v>
      </c>
    </row>
    <row r="191" spans="1:34" x14ac:dyDescent="0.3">
      <c r="A191" s="4">
        <v>198</v>
      </c>
      <c r="B191" s="5">
        <v>184</v>
      </c>
      <c r="C191">
        <v>8767</v>
      </c>
      <c r="D191" t="s">
        <v>8835</v>
      </c>
      <c r="E191" t="s">
        <v>97</v>
      </c>
      <c r="F191" t="s">
        <v>158</v>
      </c>
      <c r="G191" t="s">
        <v>8836</v>
      </c>
      <c r="H191">
        <v>18.63</v>
      </c>
      <c r="I191">
        <v>0</v>
      </c>
      <c r="J191">
        <v>0</v>
      </c>
      <c r="K191">
        <v>20</v>
      </c>
      <c r="M191">
        <v>5</v>
      </c>
      <c r="N191">
        <v>3</v>
      </c>
      <c r="O191">
        <v>8</v>
      </c>
      <c r="P191">
        <v>4</v>
      </c>
      <c r="Q191">
        <v>0</v>
      </c>
      <c r="R191">
        <v>50.63</v>
      </c>
      <c r="S191">
        <v>2</v>
      </c>
      <c r="T191">
        <v>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2</v>
      </c>
      <c r="AB191">
        <v>9</v>
      </c>
      <c r="AC191">
        <v>0</v>
      </c>
      <c r="AD191" t="s">
        <v>130</v>
      </c>
      <c r="AF191" t="s">
        <v>130</v>
      </c>
      <c r="AH191">
        <v>61.63</v>
      </c>
    </row>
    <row r="192" spans="1:34" x14ac:dyDescent="0.3">
      <c r="A192" s="4">
        <v>199</v>
      </c>
      <c r="B192" s="5">
        <v>185</v>
      </c>
      <c r="C192">
        <v>15262</v>
      </c>
      <c r="D192" t="s">
        <v>8837</v>
      </c>
      <c r="E192" t="s">
        <v>17</v>
      </c>
      <c r="F192" t="s">
        <v>68</v>
      </c>
      <c r="G192" t="s">
        <v>8838</v>
      </c>
      <c r="H192">
        <v>16.63</v>
      </c>
      <c r="I192">
        <v>0</v>
      </c>
      <c r="J192">
        <v>0</v>
      </c>
      <c r="K192">
        <v>20</v>
      </c>
      <c r="L192">
        <v>7</v>
      </c>
      <c r="O192">
        <v>7</v>
      </c>
      <c r="P192">
        <v>4</v>
      </c>
      <c r="Q192">
        <v>0</v>
      </c>
      <c r="R192">
        <v>47.63</v>
      </c>
      <c r="S192">
        <v>14</v>
      </c>
      <c r="T192">
        <v>14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14</v>
      </c>
      <c r="AB192">
        <v>0</v>
      </c>
      <c r="AC192">
        <v>0</v>
      </c>
      <c r="AD192" t="s">
        <v>130</v>
      </c>
      <c r="AF192" t="s">
        <v>130</v>
      </c>
      <c r="AH192">
        <v>61.63</v>
      </c>
    </row>
    <row r="193" spans="1:34" x14ac:dyDescent="0.3">
      <c r="A193" s="4">
        <v>200</v>
      </c>
      <c r="B193" s="5">
        <v>186</v>
      </c>
      <c r="C193">
        <v>842</v>
      </c>
      <c r="D193" t="s">
        <v>8839</v>
      </c>
      <c r="E193" t="s">
        <v>117</v>
      </c>
      <c r="F193" t="s">
        <v>101</v>
      </c>
      <c r="G193" t="s">
        <v>8840</v>
      </c>
      <c r="H193">
        <v>18.5</v>
      </c>
      <c r="I193">
        <v>0</v>
      </c>
      <c r="J193">
        <v>0</v>
      </c>
      <c r="K193">
        <v>20</v>
      </c>
      <c r="O193">
        <v>0</v>
      </c>
      <c r="P193">
        <v>4</v>
      </c>
      <c r="Q193">
        <v>2</v>
      </c>
      <c r="R193">
        <v>44.5</v>
      </c>
      <c r="S193">
        <v>17</v>
      </c>
      <c r="T193">
        <v>17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17</v>
      </c>
      <c r="AB193">
        <v>0</v>
      </c>
      <c r="AC193">
        <v>0</v>
      </c>
      <c r="AF193" t="s">
        <v>130</v>
      </c>
      <c r="AH193">
        <v>61.5</v>
      </c>
    </row>
    <row r="194" spans="1:34" x14ac:dyDescent="0.3">
      <c r="A194" s="4">
        <v>201</v>
      </c>
      <c r="B194" s="5">
        <v>187</v>
      </c>
      <c r="C194">
        <v>12459</v>
      </c>
      <c r="D194" t="s">
        <v>8841</v>
      </c>
      <c r="E194" t="s">
        <v>29</v>
      </c>
      <c r="F194" t="s">
        <v>136</v>
      </c>
      <c r="G194" t="s">
        <v>8842</v>
      </c>
      <c r="H194">
        <v>18.2</v>
      </c>
      <c r="I194">
        <v>0</v>
      </c>
      <c r="J194">
        <v>0</v>
      </c>
      <c r="K194">
        <v>20</v>
      </c>
      <c r="N194">
        <v>3</v>
      </c>
      <c r="O194">
        <v>3</v>
      </c>
      <c r="P194">
        <v>4</v>
      </c>
      <c r="Q194">
        <v>2</v>
      </c>
      <c r="R194">
        <v>47.2</v>
      </c>
      <c r="S194">
        <v>14</v>
      </c>
      <c r="T194">
        <v>14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14</v>
      </c>
      <c r="AB194">
        <v>0</v>
      </c>
      <c r="AC194">
        <v>0</v>
      </c>
      <c r="AF194" t="s">
        <v>130</v>
      </c>
      <c r="AH194">
        <v>61.2</v>
      </c>
    </row>
    <row r="195" spans="1:34" x14ac:dyDescent="0.3">
      <c r="A195" s="4">
        <v>202</v>
      </c>
      <c r="B195" s="5">
        <v>188</v>
      </c>
      <c r="C195">
        <v>2193</v>
      </c>
      <c r="D195" t="s">
        <v>8843</v>
      </c>
      <c r="E195" t="s">
        <v>29</v>
      </c>
      <c r="F195" t="s">
        <v>124</v>
      </c>
      <c r="G195" t="s">
        <v>8844</v>
      </c>
      <c r="H195">
        <v>16.18</v>
      </c>
      <c r="I195">
        <v>0</v>
      </c>
      <c r="J195">
        <v>0</v>
      </c>
      <c r="K195">
        <v>20</v>
      </c>
      <c r="N195">
        <v>3</v>
      </c>
      <c r="O195">
        <v>3</v>
      </c>
      <c r="P195">
        <v>4</v>
      </c>
      <c r="Q195">
        <v>2</v>
      </c>
      <c r="R195">
        <v>45.18</v>
      </c>
      <c r="S195">
        <v>16</v>
      </c>
      <c r="T195">
        <v>16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16</v>
      </c>
      <c r="AB195">
        <v>0</v>
      </c>
      <c r="AC195">
        <v>0</v>
      </c>
      <c r="AD195" t="s">
        <v>130</v>
      </c>
      <c r="AF195" t="s">
        <v>130</v>
      </c>
      <c r="AH195">
        <v>61.18</v>
      </c>
    </row>
    <row r="196" spans="1:34" x14ac:dyDescent="0.3">
      <c r="A196" s="4">
        <v>203</v>
      </c>
      <c r="B196" s="5">
        <v>189</v>
      </c>
      <c r="C196">
        <v>5406</v>
      </c>
      <c r="D196" t="s">
        <v>1337</v>
      </c>
      <c r="E196" t="s">
        <v>19</v>
      </c>
      <c r="F196" t="s">
        <v>17</v>
      </c>
      <c r="G196" t="s">
        <v>8845</v>
      </c>
      <c r="H196">
        <v>18.98</v>
      </c>
      <c r="I196">
        <v>0</v>
      </c>
      <c r="J196">
        <v>0</v>
      </c>
      <c r="K196">
        <v>20</v>
      </c>
      <c r="N196">
        <v>3</v>
      </c>
      <c r="O196">
        <v>3</v>
      </c>
      <c r="P196">
        <v>4</v>
      </c>
      <c r="Q196">
        <v>0</v>
      </c>
      <c r="R196">
        <v>45.98</v>
      </c>
      <c r="S196">
        <v>9</v>
      </c>
      <c r="T196">
        <v>9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9</v>
      </c>
      <c r="AB196">
        <v>6</v>
      </c>
      <c r="AC196">
        <v>0</v>
      </c>
      <c r="AF196" t="s">
        <v>130</v>
      </c>
      <c r="AH196">
        <v>60.98</v>
      </c>
    </row>
    <row r="197" spans="1:34" x14ac:dyDescent="0.3">
      <c r="A197" s="4">
        <v>204</v>
      </c>
      <c r="B197" s="5">
        <v>190</v>
      </c>
      <c r="C197">
        <v>12140</v>
      </c>
      <c r="D197" t="s">
        <v>3340</v>
      </c>
      <c r="E197" t="s">
        <v>268</v>
      </c>
      <c r="F197" t="s">
        <v>230</v>
      </c>
      <c r="G197" t="s">
        <v>8846</v>
      </c>
      <c r="H197">
        <v>18.78</v>
      </c>
      <c r="I197">
        <v>0</v>
      </c>
      <c r="J197">
        <v>0</v>
      </c>
      <c r="K197">
        <v>20</v>
      </c>
      <c r="L197">
        <v>7</v>
      </c>
      <c r="N197">
        <v>3</v>
      </c>
      <c r="O197">
        <v>10</v>
      </c>
      <c r="P197">
        <v>4</v>
      </c>
      <c r="Q197">
        <v>2</v>
      </c>
      <c r="R197">
        <v>54.78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6</v>
      </c>
      <c r="AC197">
        <v>0</v>
      </c>
      <c r="AF197" t="s">
        <v>130</v>
      </c>
      <c r="AH197">
        <v>60.78</v>
      </c>
    </row>
    <row r="198" spans="1:34" x14ac:dyDescent="0.3">
      <c r="A198" s="4">
        <v>205</v>
      </c>
      <c r="B198" s="5">
        <v>191</v>
      </c>
      <c r="C198">
        <v>853</v>
      </c>
      <c r="D198" t="s">
        <v>8847</v>
      </c>
      <c r="E198" t="s">
        <v>54</v>
      </c>
      <c r="F198" t="s">
        <v>17</v>
      </c>
      <c r="G198" t="s">
        <v>8848</v>
      </c>
      <c r="H198">
        <v>20.68</v>
      </c>
      <c r="I198">
        <v>0</v>
      </c>
      <c r="J198">
        <v>0</v>
      </c>
      <c r="K198">
        <v>20</v>
      </c>
      <c r="L198">
        <v>7</v>
      </c>
      <c r="O198">
        <v>7</v>
      </c>
      <c r="P198">
        <v>4</v>
      </c>
      <c r="Q198">
        <v>0</v>
      </c>
      <c r="R198">
        <v>51.68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9</v>
      </c>
      <c r="AC198">
        <v>0</v>
      </c>
      <c r="AF198" t="s">
        <v>130</v>
      </c>
      <c r="AH198">
        <v>60.68</v>
      </c>
    </row>
    <row r="199" spans="1:34" x14ac:dyDescent="0.3">
      <c r="A199" s="4">
        <v>206</v>
      </c>
      <c r="B199" s="5">
        <v>192</v>
      </c>
      <c r="C199">
        <v>10198</v>
      </c>
      <c r="D199" t="s">
        <v>3340</v>
      </c>
      <c r="E199" t="s">
        <v>33</v>
      </c>
      <c r="F199" t="s">
        <v>587</v>
      </c>
      <c r="G199" t="s">
        <v>8849</v>
      </c>
      <c r="H199">
        <v>18.53</v>
      </c>
      <c r="I199">
        <v>0</v>
      </c>
      <c r="J199">
        <v>0</v>
      </c>
      <c r="K199">
        <v>0</v>
      </c>
      <c r="O199">
        <v>0</v>
      </c>
      <c r="P199">
        <v>4</v>
      </c>
      <c r="Q199">
        <v>2</v>
      </c>
      <c r="R199">
        <v>24.53</v>
      </c>
      <c r="S199">
        <v>33</v>
      </c>
      <c r="T199">
        <v>33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33</v>
      </c>
      <c r="AB199">
        <v>3</v>
      </c>
      <c r="AC199">
        <v>0</v>
      </c>
      <c r="AD199" t="s">
        <v>130</v>
      </c>
      <c r="AF199" t="s">
        <v>130</v>
      </c>
      <c r="AH199">
        <v>60.53</v>
      </c>
    </row>
    <row r="200" spans="1:34" x14ac:dyDescent="0.3">
      <c r="A200" s="4">
        <v>207</v>
      </c>
      <c r="B200" s="5">
        <v>193</v>
      </c>
      <c r="C200">
        <v>14089</v>
      </c>
      <c r="D200" t="s">
        <v>8850</v>
      </c>
      <c r="E200" t="s">
        <v>1508</v>
      </c>
      <c r="F200" t="s">
        <v>30</v>
      </c>
      <c r="G200" t="s">
        <v>8851</v>
      </c>
      <c r="H200">
        <v>18.5</v>
      </c>
      <c r="I200">
        <v>0</v>
      </c>
      <c r="J200">
        <v>0</v>
      </c>
      <c r="K200">
        <v>20</v>
      </c>
      <c r="N200">
        <v>3</v>
      </c>
      <c r="O200">
        <v>3</v>
      </c>
      <c r="P200">
        <v>4</v>
      </c>
      <c r="Q200">
        <v>2</v>
      </c>
      <c r="R200">
        <v>47.5</v>
      </c>
      <c r="S200">
        <v>13</v>
      </c>
      <c r="T200">
        <v>13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13</v>
      </c>
      <c r="AB200">
        <v>0</v>
      </c>
      <c r="AC200">
        <v>0</v>
      </c>
      <c r="AD200" t="s">
        <v>130</v>
      </c>
      <c r="AF200" t="s">
        <v>130</v>
      </c>
      <c r="AH200">
        <v>60.5</v>
      </c>
    </row>
    <row r="201" spans="1:34" x14ac:dyDescent="0.3">
      <c r="A201" s="4">
        <v>208</v>
      </c>
      <c r="B201" s="5">
        <v>194</v>
      </c>
      <c r="C201">
        <v>104</v>
      </c>
      <c r="D201" t="s">
        <v>1709</v>
      </c>
      <c r="E201" t="s">
        <v>37</v>
      </c>
      <c r="F201" t="s">
        <v>68</v>
      </c>
      <c r="G201" t="s">
        <v>8852</v>
      </c>
      <c r="H201">
        <v>21.15</v>
      </c>
      <c r="I201">
        <v>0</v>
      </c>
      <c r="J201">
        <v>0</v>
      </c>
      <c r="K201">
        <v>20</v>
      </c>
      <c r="L201">
        <v>7</v>
      </c>
      <c r="O201">
        <v>7</v>
      </c>
      <c r="P201">
        <v>4</v>
      </c>
      <c r="Q201">
        <v>2</v>
      </c>
      <c r="R201">
        <v>54.15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6</v>
      </c>
      <c r="AC201">
        <v>0</v>
      </c>
      <c r="AD201" t="s">
        <v>130</v>
      </c>
      <c r="AF201" t="s">
        <v>130</v>
      </c>
      <c r="AH201">
        <v>60.15</v>
      </c>
    </row>
    <row r="202" spans="1:34" x14ac:dyDescent="0.3">
      <c r="A202" s="4">
        <v>209</v>
      </c>
      <c r="B202" s="5">
        <v>195</v>
      </c>
      <c r="C202">
        <v>5221</v>
      </c>
      <c r="D202" t="s">
        <v>8853</v>
      </c>
      <c r="E202" t="s">
        <v>166</v>
      </c>
      <c r="F202" t="s">
        <v>30</v>
      </c>
      <c r="G202" t="s">
        <v>8854</v>
      </c>
      <c r="H202">
        <v>20.13</v>
      </c>
      <c r="I202">
        <v>0</v>
      </c>
      <c r="J202">
        <v>0</v>
      </c>
      <c r="K202">
        <v>20</v>
      </c>
      <c r="N202">
        <v>6</v>
      </c>
      <c r="O202">
        <v>6</v>
      </c>
      <c r="P202">
        <v>4</v>
      </c>
      <c r="Q202">
        <v>0</v>
      </c>
      <c r="R202">
        <v>50.13</v>
      </c>
      <c r="S202">
        <v>10</v>
      </c>
      <c r="T202">
        <v>10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10</v>
      </c>
      <c r="AB202">
        <v>0</v>
      </c>
      <c r="AC202">
        <v>0</v>
      </c>
      <c r="AD202" t="s">
        <v>130</v>
      </c>
      <c r="AF202" t="s">
        <v>130</v>
      </c>
      <c r="AH202">
        <v>60.13</v>
      </c>
    </row>
    <row r="203" spans="1:34" x14ac:dyDescent="0.3">
      <c r="A203" s="4">
        <v>210</v>
      </c>
      <c r="B203" s="5">
        <v>196</v>
      </c>
      <c r="C203">
        <v>13553</v>
      </c>
      <c r="D203" t="s">
        <v>4108</v>
      </c>
      <c r="E203" t="s">
        <v>29</v>
      </c>
      <c r="F203" t="s">
        <v>30</v>
      </c>
      <c r="G203" t="s">
        <v>8855</v>
      </c>
      <c r="H203">
        <v>16.100000000000001</v>
      </c>
      <c r="I203">
        <v>0</v>
      </c>
      <c r="J203">
        <v>0</v>
      </c>
      <c r="K203">
        <v>0</v>
      </c>
      <c r="N203">
        <v>3</v>
      </c>
      <c r="O203">
        <v>3</v>
      </c>
      <c r="P203">
        <v>4</v>
      </c>
      <c r="Q203">
        <v>2</v>
      </c>
      <c r="R203">
        <v>25.1</v>
      </c>
      <c r="S203">
        <v>35</v>
      </c>
      <c r="T203">
        <v>35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35</v>
      </c>
      <c r="AB203">
        <v>0</v>
      </c>
      <c r="AC203">
        <v>0</v>
      </c>
      <c r="AF203" t="s">
        <v>130</v>
      </c>
      <c r="AH203">
        <v>60.1</v>
      </c>
    </row>
    <row r="204" spans="1:34" x14ac:dyDescent="0.3">
      <c r="A204" s="4">
        <v>211</v>
      </c>
      <c r="B204" s="5">
        <v>197</v>
      </c>
      <c r="C204">
        <v>9623</v>
      </c>
      <c r="D204" t="s">
        <v>8856</v>
      </c>
      <c r="E204" t="s">
        <v>26</v>
      </c>
      <c r="F204" t="s">
        <v>17</v>
      </c>
      <c r="G204" t="s">
        <v>8857</v>
      </c>
      <c r="H204">
        <v>20.58</v>
      </c>
      <c r="I204">
        <v>0</v>
      </c>
      <c r="J204">
        <v>0</v>
      </c>
      <c r="K204">
        <v>20</v>
      </c>
      <c r="L204">
        <v>7</v>
      </c>
      <c r="O204">
        <v>7</v>
      </c>
      <c r="P204">
        <v>4</v>
      </c>
      <c r="Q204">
        <v>2</v>
      </c>
      <c r="R204">
        <v>53.58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6</v>
      </c>
      <c r="AC204">
        <v>0</v>
      </c>
      <c r="AF204" t="s">
        <v>130</v>
      </c>
      <c r="AH204">
        <v>59.58</v>
      </c>
    </row>
    <row r="205" spans="1:34" x14ac:dyDescent="0.3">
      <c r="A205" s="4">
        <v>212</v>
      </c>
      <c r="B205" s="5">
        <v>198</v>
      </c>
      <c r="C205">
        <v>2300</v>
      </c>
      <c r="D205" t="s">
        <v>8858</v>
      </c>
      <c r="E205" t="s">
        <v>166</v>
      </c>
      <c r="F205" t="s">
        <v>393</v>
      </c>
      <c r="G205" t="s">
        <v>8859</v>
      </c>
      <c r="H205">
        <v>12.5</v>
      </c>
      <c r="I205">
        <v>0</v>
      </c>
      <c r="J205">
        <v>40</v>
      </c>
      <c r="K205">
        <v>0</v>
      </c>
      <c r="L205">
        <v>7</v>
      </c>
      <c r="O205">
        <v>7</v>
      </c>
      <c r="P205">
        <v>0</v>
      </c>
      <c r="Q205">
        <v>0</v>
      </c>
      <c r="R205">
        <v>59.5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F205" t="s">
        <v>130</v>
      </c>
      <c r="AH205">
        <v>59.5</v>
      </c>
    </row>
    <row r="206" spans="1:34" x14ac:dyDescent="0.3">
      <c r="A206" s="4">
        <v>213</v>
      </c>
      <c r="B206" s="5">
        <v>199</v>
      </c>
      <c r="C206">
        <v>3221</v>
      </c>
      <c r="D206" t="s">
        <v>8860</v>
      </c>
      <c r="E206" t="s">
        <v>8861</v>
      </c>
      <c r="F206" t="s">
        <v>136</v>
      </c>
      <c r="G206" t="s">
        <v>8862</v>
      </c>
      <c r="H206">
        <v>21.08</v>
      </c>
      <c r="I206">
        <v>0</v>
      </c>
      <c r="J206">
        <v>0</v>
      </c>
      <c r="K206">
        <v>20</v>
      </c>
      <c r="M206">
        <v>5</v>
      </c>
      <c r="O206">
        <v>5</v>
      </c>
      <c r="P206">
        <v>4</v>
      </c>
      <c r="Q206">
        <v>0</v>
      </c>
      <c r="R206">
        <v>50.08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9</v>
      </c>
      <c r="AC206">
        <v>0</v>
      </c>
      <c r="AF206" t="s">
        <v>130</v>
      </c>
      <c r="AH206">
        <v>59.08</v>
      </c>
    </row>
    <row r="207" spans="1:34" x14ac:dyDescent="0.3">
      <c r="A207" s="4">
        <v>214</v>
      </c>
      <c r="B207" s="5">
        <v>200</v>
      </c>
      <c r="C207">
        <v>12967</v>
      </c>
      <c r="D207" t="s">
        <v>8863</v>
      </c>
      <c r="E207" t="s">
        <v>1892</v>
      </c>
      <c r="F207" t="s">
        <v>20</v>
      </c>
      <c r="G207" t="s">
        <v>8864</v>
      </c>
      <c r="H207">
        <v>19.68</v>
      </c>
      <c r="I207">
        <v>0</v>
      </c>
      <c r="J207">
        <v>0</v>
      </c>
      <c r="K207">
        <v>0</v>
      </c>
      <c r="L207">
        <v>7</v>
      </c>
      <c r="O207">
        <v>7</v>
      </c>
      <c r="P207">
        <v>4</v>
      </c>
      <c r="Q207">
        <v>2</v>
      </c>
      <c r="R207">
        <v>32.68</v>
      </c>
      <c r="S207">
        <v>26</v>
      </c>
      <c r="T207">
        <v>26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26</v>
      </c>
      <c r="AB207">
        <v>0</v>
      </c>
      <c r="AC207">
        <v>0</v>
      </c>
      <c r="AF207" t="s">
        <v>130</v>
      </c>
      <c r="AH207">
        <v>58.68</v>
      </c>
    </row>
    <row r="208" spans="1:34" x14ac:dyDescent="0.3">
      <c r="A208" s="4">
        <v>215</v>
      </c>
      <c r="B208" s="5">
        <v>201</v>
      </c>
      <c r="C208">
        <v>11114</v>
      </c>
      <c r="D208" t="s">
        <v>8663</v>
      </c>
      <c r="E208" t="s">
        <v>301</v>
      </c>
      <c r="F208" t="s">
        <v>20</v>
      </c>
      <c r="G208" t="s">
        <v>8865</v>
      </c>
      <c r="H208">
        <v>20.53</v>
      </c>
      <c r="I208">
        <v>0</v>
      </c>
      <c r="J208">
        <v>0</v>
      </c>
      <c r="K208">
        <v>28</v>
      </c>
      <c r="N208">
        <v>6</v>
      </c>
      <c r="O208">
        <v>6</v>
      </c>
      <c r="P208">
        <v>4</v>
      </c>
      <c r="Q208">
        <v>0</v>
      </c>
      <c r="R208">
        <v>58.53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 t="s">
        <v>130</v>
      </c>
      <c r="AF208" t="s">
        <v>130</v>
      </c>
      <c r="AH208">
        <v>58.53</v>
      </c>
    </row>
    <row r="209" spans="1:34" x14ac:dyDescent="0.3">
      <c r="A209" s="4">
        <v>216</v>
      </c>
      <c r="B209" s="5">
        <v>202</v>
      </c>
      <c r="C209">
        <v>12889</v>
      </c>
      <c r="D209" t="s">
        <v>8866</v>
      </c>
      <c r="E209" t="s">
        <v>29</v>
      </c>
      <c r="F209" t="s">
        <v>416</v>
      </c>
      <c r="G209" t="s">
        <v>8867</v>
      </c>
      <c r="H209">
        <v>12.5</v>
      </c>
      <c r="I209">
        <v>7</v>
      </c>
      <c r="J209">
        <v>0</v>
      </c>
      <c r="K209">
        <v>20</v>
      </c>
      <c r="L209">
        <v>7</v>
      </c>
      <c r="M209">
        <v>5</v>
      </c>
      <c r="O209">
        <v>12</v>
      </c>
      <c r="P209">
        <v>4</v>
      </c>
      <c r="Q209">
        <v>0</v>
      </c>
      <c r="R209">
        <v>55.5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3</v>
      </c>
      <c r="AC209">
        <v>0</v>
      </c>
      <c r="AF209" t="s">
        <v>130</v>
      </c>
      <c r="AH209">
        <v>58.5</v>
      </c>
    </row>
    <row r="210" spans="1:34" x14ac:dyDescent="0.3">
      <c r="A210" s="4">
        <v>217</v>
      </c>
      <c r="B210" s="5">
        <v>203</v>
      </c>
      <c r="C210">
        <v>5560</v>
      </c>
      <c r="D210" t="s">
        <v>421</v>
      </c>
      <c r="E210" t="s">
        <v>178</v>
      </c>
      <c r="F210" t="s">
        <v>8868</v>
      </c>
      <c r="G210" t="s">
        <v>8869</v>
      </c>
      <c r="H210">
        <v>18.43</v>
      </c>
      <c r="I210">
        <v>7</v>
      </c>
      <c r="J210">
        <v>0</v>
      </c>
      <c r="K210">
        <v>20</v>
      </c>
      <c r="L210">
        <v>7</v>
      </c>
      <c r="O210">
        <v>7</v>
      </c>
      <c r="P210">
        <v>4</v>
      </c>
      <c r="Q210">
        <v>2</v>
      </c>
      <c r="R210">
        <v>58.43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 t="s">
        <v>130</v>
      </c>
      <c r="AF210" t="s">
        <v>130</v>
      </c>
      <c r="AH210">
        <v>58.43</v>
      </c>
    </row>
    <row r="211" spans="1:34" x14ac:dyDescent="0.3">
      <c r="A211" s="4">
        <v>218</v>
      </c>
      <c r="B211" s="5">
        <v>204</v>
      </c>
      <c r="C211">
        <v>1673</v>
      </c>
      <c r="D211" t="s">
        <v>4439</v>
      </c>
      <c r="E211" t="s">
        <v>88</v>
      </c>
      <c r="F211" t="s">
        <v>58</v>
      </c>
      <c r="G211" t="s">
        <v>8870</v>
      </c>
      <c r="H211">
        <v>19.25</v>
      </c>
      <c r="I211">
        <v>0</v>
      </c>
      <c r="J211">
        <v>0</v>
      </c>
      <c r="K211">
        <v>20</v>
      </c>
      <c r="L211">
        <v>7</v>
      </c>
      <c r="O211">
        <v>7</v>
      </c>
      <c r="P211">
        <v>4</v>
      </c>
      <c r="Q211">
        <v>2</v>
      </c>
      <c r="R211">
        <v>52.25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6</v>
      </c>
      <c r="AC211">
        <v>0</v>
      </c>
      <c r="AD211" t="s">
        <v>130</v>
      </c>
      <c r="AF211" t="s">
        <v>130</v>
      </c>
      <c r="AH211">
        <v>58.25</v>
      </c>
    </row>
    <row r="212" spans="1:34" x14ac:dyDescent="0.3">
      <c r="A212" s="4">
        <v>219</v>
      </c>
      <c r="B212" s="5">
        <v>205</v>
      </c>
      <c r="C212">
        <v>800</v>
      </c>
      <c r="D212" t="s">
        <v>8871</v>
      </c>
      <c r="E212" t="s">
        <v>22</v>
      </c>
      <c r="F212" t="s">
        <v>34</v>
      </c>
      <c r="G212" t="s">
        <v>8872</v>
      </c>
      <c r="H212">
        <v>19.03</v>
      </c>
      <c r="I212">
        <v>0</v>
      </c>
      <c r="J212">
        <v>0</v>
      </c>
      <c r="K212">
        <v>20</v>
      </c>
      <c r="L212">
        <v>7</v>
      </c>
      <c r="O212">
        <v>7</v>
      </c>
      <c r="P212">
        <v>4</v>
      </c>
      <c r="Q212">
        <v>2</v>
      </c>
      <c r="R212">
        <v>52.03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6</v>
      </c>
      <c r="AC212">
        <v>0</v>
      </c>
      <c r="AD212" t="s">
        <v>130</v>
      </c>
      <c r="AF212" t="s">
        <v>130</v>
      </c>
      <c r="AH212">
        <v>58.03</v>
      </c>
    </row>
    <row r="213" spans="1:34" x14ac:dyDescent="0.3">
      <c r="A213" s="4">
        <v>220</v>
      </c>
      <c r="B213" s="5">
        <v>206</v>
      </c>
      <c r="C213">
        <v>2592</v>
      </c>
      <c r="D213" t="s">
        <v>8873</v>
      </c>
      <c r="E213" t="s">
        <v>8874</v>
      </c>
      <c r="F213" t="s">
        <v>17</v>
      </c>
      <c r="G213" t="s">
        <v>8875</v>
      </c>
      <c r="H213">
        <v>18.850000000000001</v>
      </c>
      <c r="I213">
        <v>0</v>
      </c>
      <c r="J213">
        <v>0</v>
      </c>
      <c r="K213">
        <v>20</v>
      </c>
      <c r="L213">
        <v>7</v>
      </c>
      <c r="N213">
        <v>3</v>
      </c>
      <c r="O213">
        <v>10</v>
      </c>
      <c r="P213">
        <v>4</v>
      </c>
      <c r="Q213">
        <v>2</v>
      </c>
      <c r="R213">
        <v>54.85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3</v>
      </c>
      <c r="AC213">
        <v>0</v>
      </c>
      <c r="AF213" t="s">
        <v>130</v>
      </c>
      <c r="AH213">
        <v>57.85</v>
      </c>
    </row>
    <row r="214" spans="1:34" x14ac:dyDescent="0.3">
      <c r="A214" s="4">
        <v>221</v>
      </c>
      <c r="B214" s="5">
        <v>207</v>
      </c>
      <c r="C214">
        <v>6607</v>
      </c>
      <c r="D214" t="s">
        <v>8876</v>
      </c>
      <c r="E214" t="s">
        <v>5505</v>
      </c>
      <c r="F214" t="s">
        <v>117</v>
      </c>
      <c r="G214" t="s">
        <v>8877</v>
      </c>
      <c r="H214">
        <v>21.5</v>
      </c>
      <c r="I214">
        <v>0</v>
      </c>
      <c r="J214">
        <v>0</v>
      </c>
      <c r="K214">
        <v>20</v>
      </c>
      <c r="L214">
        <v>7</v>
      </c>
      <c r="N214">
        <v>3</v>
      </c>
      <c r="O214">
        <v>10</v>
      </c>
      <c r="P214">
        <v>4</v>
      </c>
      <c r="Q214">
        <v>2</v>
      </c>
      <c r="R214">
        <v>57.5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 t="s">
        <v>130</v>
      </c>
      <c r="AF214" t="s">
        <v>130</v>
      </c>
      <c r="AH214">
        <v>57.5</v>
      </c>
    </row>
    <row r="215" spans="1:34" x14ac:dyDescent="0.3">
      <c r="A215" s="4">
        <v>222</v>
      </c>
      <c r="B215" s="5">
        <v>208</v>
      </c>
      <c r="C215">
        <v>3133</v>
      </c>
      <c r="D215" t="s">
        <v>8878</v>
      </c>
      <c r="E215" t="s">
        <v>136</v>
      </c>
      <c r="F215" t="s">
        <v>14</v>
      </c>
      <c r="G215" t="s">
        <v>8879</v>
      </c>
      <c r="H215">
        <v>19.3</v>
      </c>
      <c r="I215">
        <v>0</v>
      </c>
      <c r="J215">
        <v>0</v>
      </c>
      <c r="K215">
        <v>20</v>
      </c>
      <c r="L215">
        <v>7</v>
      </c>
      <c r="N215">
        <v>3</v>
      </c>
      <c r="O215">
        <v>10</v>
      </c>
      <c r="P215">
        <v>4</v>
      </c>
      <c r="Q215">
        <v>2</v>
      </c>
      <c r="R215">
        <v>55.3</v>
      </c>
      <c r="S215">
        <v>2</v>
      </c>
      <c r="T215">
        <v>2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2</v>
      </c>
      <c r="AB215">
        <v>0</v>
      </c>
      <c r="AC215">
        <v>0</v>
      </c>
      <c r="AF215" t="s">
        <v>130</v>
      </c>
      <c r="AH215">
        <v>57.3</v>
      </c>
    </row>
    <row r="216" spans="1:34" x14ac:dyDescent="0.3">
      <c r="A216" s="4">
        <v>223</v>
      </c>
      <c r="B216" s="5">
        <v>209</v>
      </c>
      <c r="C216">
        <v>253</v>
      </c>
      <c r="D216" t="s">
        <v>8880</v>
      </c>
      <c r="E216" t="s">
        <v>8881</v>
      </c>
      <c r="F216" t="s">
        <v>442</v>
      </c>
      <c r="G216" t="s">
        <v>8882</v>
      </c>
      <c r="H216">
        <v>19.75</v>
      </c>
      <c r="I216">
        <v>0</v>
      </c>
      <c r="J216">
        <v>0</v>
      </c>
      <c r="K216">
        <v>20</v>
      </c>
      <c r="L216">
        <v>7</v>
      </c>
      <c r="O216">
        <v>7</v>
      </c>
      <c r="P216">
        <v>4</v>
      </c>
      <c r="Q216">
        <v>0</v>
      </c>
      <c r="R216">
        <v>50.75</v>
      </c>
      <c r="S216">
        <v>6</v>
      </c>
      <c r="T216">
        <v>6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6</v>
      </c>
      <c r="AB216">
        <v>0</v>
      </c>
      <c r="AC216">
        <v>0</v>
      </c>
      <c r="AF216" t="s">
        <v>130</v>
      </c>
      <c r="AH216">
        <v>56.75</v>
      </c>
    </row>
    <row r="217" spans="1:34" x14ac:dyDescent="0.3">
      <c r="A217" s="4">
        <v>224</v>
      </c>
      <c r="B217" s="5">
        <v>210</v>
      </c>
      <c r="C217">
        <v>6677</v>
      </c>
      <c r="D217" t="s">
        <v>8883</v>
      </c>
      <c r="E217" t="s">
        <v>22</v>
      </c>
      <c r="F217" t="s">
        <v>81</v>
      </c>
      <c r="G217" t="s">
        <v>8884</v>
      </c>
      <c r="H217">
        <v>20.7</v>
      </c>
      <c r="I217">
        <v>0</v>
      </c>
      <c r="J217">
        <v>0</v>
      </c>
      <c r="K217">
        <v>20</v>
      </c>
      <c r="N217">
        <v>6</v>
      </c>
      <c r="O217">
        <v>6</v>
      </c>
      <c r="P217">
        <v>4</v>
      </c>
      <c r="Q217">
        <v>0</v>
      </c>
      <c r="R217">
        <v>50.7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6</v>
      </c>
      <c r="AC217">
        <v>0</v>
      </c>
      <c r="AF217" t="s">
        <v>130</v>
      </c>
      <c r="AH217">
        <v>56.7</v>
      </c>
    </row>
    <row r="218" spans="1:34" x14ac:dyDescent="0.3">
      <c r="A218" s="4">
        <v>225</v>
      </c>
      <c r="B218" s="5">
        <v>211</v>
      </c>
      <c r="C218">
        <v>5610</v>
      </c>
      <c r="D218" t="s">
        <v>8885</v>
      </c>
      <c r="E218" t="s">
        <v>37</v>
      </c>
      <c r="F218" t="s">
        <v>117</v>
      </c>
      <c r="G218" t="s">
        <v>8886</v>
      </c>
      <c r="H218">
        <v>17.649999999999999</v>
      </c>
      <c r="I218">
        <v>0</v>
      </c>
      <c r="J218">
        <v>0</v>
      </c>
      <c r="K218">
        <v>0</v>
      </c>
      <c r="L218">
        <v>7</v>
      </c>
      <c r="O218">
        <v>7</v>
      </c>
      <c r="P218">
        <v>4</v>
      </c>
      <c r="Q218">
        <v>2</v>
      </c>
      <c r="R218">
        <v>30.65</v>
      </c>
      <c r="S218">
        <v>23</v>
      </c>
      <c r="T218">
        <v>23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23</v>
      </c>
      <c r="AB218">
        <v>3</v>
      </c>
      <c r="AC218">
        <v>0</v>
      </c>
      <c r="AD218" t="s">
        <v>130</v>
      </c>
      <c r="AF218" t="s">
        <v>130</v>
      </c>
      <c r="AH218">
        <v>56.65</v>
      </c>
    </row>
    <row r="219" spans="1:34" x14ac:dyDescent="0.3">
      <c r="A219" s="4">
        <v>226</v>
      </c>
      <c r="B219" s="5">
        <v>212</v>
      </c>
      <c r="C219">
        <v>6776</v>
      </c>
      <c r="D219" t="s">
        <v>8887</v>
      </c>
      <c r="E219" t="s">
        <v>208</v>
      </c>
      <c r="F219" t="s">
        <v>34</v>
      </c>
      <c r="G219" t="s">
        <v>8888</v>
      </c>
      <c r="H219">
        <v>18.579999999999998</v>
      </c>
      <c r="I219">
        <v>0</v>
      </c>
      <c r="J219">
        <v>0</v>
      </c>
      <c r="K219">
        <v>0</v>
      </c>
      <c r="L219">
        <v>7</v>
      </c>
      <c r="O219">
        <v>7</v>
      </c>
      <c r="P219">
        <v>4</v>
      </c>
      <c r="Q219">
        <v>2</v>
      </c>
      <c r="R219">
        <v>31.58</v>
      </c>
      <c r="S219">
        <v>16</v>
      </c>
      <c r="T219">
        <v>16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16</v>
      </c>
      <c r="AB219">
        <v>9</v>
      </c>
      <c r="AC219">
        <v>0</v>
      </c>
      <c r="AF219" t="s">
        <v>130</v>
      </c>
      <c r="AH219">
        <v>56.58</v>
      </c>
    </row>
    <row r="220" spans="1:34" x14ac:dyDescent="0.3">
      <c r="A220" s="4">
        <v>227</v>
      </c>
      <c r="B220" s="5">
        <v>213</v>
      </c>
      <c r="C220">
        <v>12788</v>
      </c>
      <c r="D220" t="s">
        <v>8889</v>
      </c>
      <c r="E220" t="s">
        <v>213</v>
      </c>
      <c r="F220" t="s">
        <v>17</v>
      </c>
      <c r="G220" t="s">
        <v>8890</v>
      </c>
      <c r="H220">
        <v>19.579999999999998</v>
      </c>
      <c r="I220">
        <v>0</v>
      </c>
      <c r="J220">
        <v>0</v>
      </c>
      <c r="K220">
        <v>20</v>
      </c>
      <c r="N220">
        <v>3</v>
      </c>
      <c r="O220">
        <v>3</v>
      </c>
      <c r="P220">
        <v>4</v>
      </c>
      <c r="Q220">
        <v>2</v>
      </c>
      <c r="R220">
        <v>48.58</v>
      </c>
      <c r="S220">
        <v>8</v>
      </c>
      <c r="T220">
        <v>8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8</v>
      </c>
      <c r="AB220">
        <v>0</v>
      </c>
      <c r="AC220">
        <v>0</v>
      </c>
      <c r="AF220" t="s">
        <v>130</v>
      </c>
      <c r="AH220">
        <v>56.58</v>
      </c>
    </row>
    <row r="221" spans="1:34" x14ac:dyDescent="0.3">
      <c r="A221" s="4">
        <v>228</v>
      </c>
      <c r="B221" s="5">
        <v>214</v>
      </c>
      <c r="C221">
        <v>1224</v>
      </c>
      <c r="D221" t="s">
        <v>8891</v>
      </c>
      <c r="E221" t="s">
        <v>22</v>
      </c>
      <c r="F221" t="s">
        <v>38</v>
      </c>
      <c r="G221" t="s">
        <v>8892</v>
      </c>
      <c r="H221">
        <v>17.43</v>
      </c>
      <c r="I221">
        <v>0</v>
      </c>
      <c r="J221">
        <v>0</v>
      </c>
      <c r="K221">
        <v>20</v>
      </c>
      <c r="L221">
        <v>7</v>
      </c>
      <c r="O221">
        <v>7</v>
      </c>
      <c r="P221">
        <v>4</v>
      </c>
      <c r="Q221">
        <v>2</v>
      </c>
      <c r="R221">
        <v>50.43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6</v>
      </c>
      <c r="AC221">
        <v>0</v>
      </c>
      <c r="AD221" t="s">
        <v>130</v>
      </c>
      <c r="AF221" t="s">
        <v>130</v>
      </c>
      <c r="AH221">
        <v>56.43</v>
      </c>
    </row>
    <row r="222" spans="1:34" x14ac:dyDescent="0.3">
      <c r="A222" s="4">
        <v>229</v>
      </c>
      <c r="B222" s="5">
        <v>215</v>
      </c>
      <c r="C222">
        <v>10983</v>
      </c>
      <c r="D222" t="s">
        <v>8893</v>
      </c>
      <c r="E222" t="s">
        <v>41</v>
      </c>
      <c r="F222" t="s">
        <v>328</v>
      </c>
      <c r="G222" t="s">
        <v>8894</v>
      </c>
      <c r="H222">
        <v>19.38</v>
      </c>
      <c r="I222">
        <v>0</v>
      </c>
      <c r="J222">
        <v>0</v>
      </c>
      <c r="K222">
        <v>20</v>
      </c>
      <c r="L222">
        <v>7</v>
      </c>
      <c r="O222">
        <v>7</v>
      </c>
      <c r="P222">
        <v>4</v>
      </c>
      <c r="Q222">
        <v>0</v>
      </c>
      <c r="R222">
        <v>50.38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6</v>
      </c>
      <c r="AC222">
        <v>0</v>
      </c>
      <c r="AF222" t="s">
        <v>130</v>
      </c>
      <c r="AH222">
        <v>56.38</v>
      </c>
    </row>
    <row r="223" spans="1:34" x14ac:dyDescent="0.3">
      <c r="A223" s="4">
        <v>230</v>
      </c>
      <c r="B223" s="5">
        <v>216</v>
      </c>
      <c r="C223">
        <v>5272</v>
      </c>
      <c r="D223" t="s">
        <v>8895</v>
      </c>
      <c r="E223" t="s">
        <v>563</v>
      </c>
      <c r="F223" t="s">
        <v>136</v>
      </c>
      <c r="G223" t="s">
        <v>8896</v>
      </c>
      <c r="H223">
        <v>17.05</v>
      </c>
      <c r="I223">
        <v>0</v>
      </c>
      <c r="J223">
        <v>0</v>
      </c>
      <c r="K223">
        <v>20</v>
      </c>
      <c r="L223">
        <v>7</v>
      </c>
      <c r="O223">
        <v>7</v>
      </c>
      <c r="P223">
        <v>4</v>
      </c>
      <c r="Q223">
        <v>2</v>
      </c>
      <c r="R223">
        <v>50.05</v>
      </c>
      <c r="S223">
        <v>6</v>
      </c>
      <c r="T223">
        <v>6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6</v>
      </c>
      <c r="AB223">
        <v>0</v>
      </c>
      <c r="AC223">
        <v>0</v>
      </c>
      <c r="AD223" t="s">
        <v>130</v>
      </c>
      <c r="AF223" t="s">
        <v>130</v>
      </c>
      <c r="AH223">
        <v>56.05</v>
      </c>
    </row>
    <row r="224" spans="1:34" x14ac:dyDescent="0.3">
      <c r="A224" s="4">
        <v>231</v>
      </c>
      <c r="B224" s="5">
        <v>217</v>
      </c>
      <c r="C224">
        <v>7260</v>
      </c>
      <c r="D224" t="s">
        <v>8897</v>
      </c>
      <c r="E224" t="s">
        <v>342</v>
      </c>
      <c r="F224" t="s">
        <v>136</v>
      </c>
      <c r="G224" t="s">
        <v>8898</v>
      </c>
      <c r="H224">
        <v>19.600000000000001</v>
      </c>
      <c r="I224">
        <v>0</v>
      </c>
      <c r="J224">
        <v>0</v>
      </c>
      <c r="K224">
        <v>0</v>
      </c>
      <c r="N224">
        <v>3</v>
      </c>
      <c r="O224">
        <v>3</v>
      </c>
      <c r="P224">
        <v>4</v>
      </c>
      <c r="Q224">
        <v>2</v>
      </c>
      <c r="R224">
        <v>28.6</v>
      </c>
      <c r="S224">
        <v>21</v>
      </c>
      <c r="T224">
        <v>21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21</v>
      </c>
      <c r="AB224">
        <v>6</v>
      </c>
      <c r="AC224">
        <v>0</v>
      </c>
      <c r="AF224" t="s">
        <v>130</v>
      </c>
      <c r="AH224">
        <v>55.6</v>
      </c>
    </row>
    <row r="225" spans="1:34" x14ac:dyDescent="0.3">
      <c r="A225" s="4">
        <v>232</v>
      </c>
      <c r="B225" s="5">
        <v>218</v>
      </c>
      <c r="C225">
        <v>3441</v>
      </c>
      <c r="D225" t="s">
        <v>5830</v>
      </c>
      <c r="E225" t="s">
        <v>29</v>
      </c>
      <c r="F225" t="s">
        <v>30</v>
      </c>
      <c r="G225" t="s">
        <v>8899</v>
      </c>
      <c r="H225">
        <v>19.600000000000001</v>
      </c>
      <c r="I225">
        <v>0</v>
      </c>
      <c r="J225">
        <v>0</v>
      </c>
      <c r="K225">
        <v>20</v>
      </c>
      <c r="N225">
        <v>3</v>
      </c>
      <c r="O225">
        <v>3</v>
      </c>
      <c r="P225">
        <v>4</v>
      </c>
      <c r="Q225">
        <v>2</v>
      </c>
      <c r="R225">
        <v>48.6</v>
      </c>
      <c r="S225">
        <v>4</v>
      </c>
      <c r="T225">
        <v>4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4</v>
      </c>
      <c r="AB225">
        <v>3</v>
      </c>
      <c r="AC225">
        <v>0</v>
      </c>
      <c r="AF225" t="s">
        <v>130</v>
      </c>
      <c r="AH225">
        <v>55.6</v>
      </c>
    </row>
    <row r="226" spans="1:34" x14ac:dyDescent="0.3">
      <c r="A226" s="4">
        <v>233</v>
      </c>
      <c r="B226" s="5">
        <v>219</v>
      </c>
      <c r="C226">
        <v>5742</v>
      </c>
      <c r="D226" t="s">
        <v>8900</v>
      </c>
      <c r="E226" t="s">
        <v>406</v>
      </c>
      <c r="F226" t="s">
        <v>343</v>
      </c>
      <c r="G226" t="s">
        <v>8901</v>
      </c>
      <c r="H226">
        <v>16.53</v>
      </c>
      <c r="I226">
        <v>0</v>
      </c>
      <c r="J226">
        <v>0</v>
      </c>
      <c r="K226">
        <v>20</v>
      </c>
      <c r="M226">
        <v>5</v>
      </c>
      <c r="O226">
        <v>5</v>
      </c>
      <c r="P226">
        <v>4</v>
      </c>
      <c r="Q226">
        <v>2</v>
      </c>
      <c r="R226">
        <v>47.53</v>
      </c>
      <c r="S226">
        <v>8</v>
      </c>
      <c r="T226">
        <v>8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8</v>
      </c>
      <c r="AB226">
        <v>0</v>
      </c>
      <c r="AC226">
        <v>0</v>
      </c>
      <c r="AD226" t="s">
        <v>130</v>
      </c>
      <c r="AF226" t="s">
        <v>130</v>
      </c>
      <c r="AH226">
        <v>55.53</v>
      </c>
    </row>
    <row r="227" spans="1:34" x14ac:dyDescent="0.3">
      <c r="A227" s="4">
        <v>234</v>
      </c>
      <c r="B227" s="5">
        <v>220</v>
      </c>
      <c r="C227">
        <v>8794</v>
      </c>
      <c r="D227" t="s">
        <v>3377</v>
      </c>
      <c r="E227" t="s">
        <v>149</v>
      </c>
      <c r="F227" t="s">
        <v>17</v>
      </c>
      <c r="G227" t="s">
        <v>8902</v>
      </c>
      <c r="H227">
        <v>18.48</v>
      </c>
      <c r="I227">
        <v>0</v>
      </c>
      <c r="J227">
        <v>0</v>
      </c>
      <c r="K227">
        <v>20</v>
      </c>
      <c r="M227">
        <v>5</v>
      </c>
      <c r="O227">
        <v>5</v>
      </c>
      <c r="P227">
        <v>4</v>
      </c>
      <c r="Q227">
        <v>2</v>
      </c>
      <c r="R227">
        <v>49.48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6</v>
      </c>
      <c r="AC227">
        <v>0</v>
      </c>
      <c r="AF227" t="s">
        <v>130</v>
      </c>
      <c r="AH227">
        <v>55.48</v>
      </c>
    </row>
    <row r="228" spans="1:34" x14ac:dyDescent="0.3">
      <c r="A228" s="4">
        <v>235</v>
      </c>
      <c r="B228" s="5">
        <v>221</v>
      </c>
      <c r="C228">
        <v>3603</v>
      </c>
      <c r="D228" t="s">
        <v>165</v>
      </c>
      <c r="E228" t="s">
        <v>81</v>
      </c>
      <c r="F228" t="s">
        <v>570</v>
      </c>
      <c r="G228" t="s">
        <v>8903</v>
      </c>
      <c r="H228">
        <v>19.3</v>
      </c>
      <c r="I228">
        <v>0</v>
      </c>
      <c r="J228">
        <v>0</v>
      </c>
      <c r="K228">
        <v>20</v>
      </c>
      <c r="L228">
        <v>7</v>
      </c>
      <c r="M228">
        <v>5</v>
      </c>
      <c r="O228">
        <v>12</v>
      </c>
      <c r="P228">
        <v>4</v>
      </c>
      <c r="Q228">
        <v>0</v>
      </c>
      <c r="R228">
        <v>55.3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 t="s">
        <v>130</v>
      </c>
      <c r="AE228" t="s">
        <v>130</v>
      </c>
      <c r="AF228" t="s">
        <v>130</v>
      </c>
      <c r="AH228">
        <v>55.3</v>
      </c>
    </row>
    <row r="229" spans="1:34" x14ac:dyDescent="0.3">
      <c r="A229" s="4">
        <v>236</v>
      </c>
      <c r="B229" s="5">
        <v>222</v>
      </c>
      <c r="C229">
        <v>742</v>
      </c>
      <c r="D229" t="s">
        <v>4615</v>
      </c>
      <c r="E229" t="s">
        <v>8904</v>
      </c>
      <c r="F229" t="s">
        <v>62</v>
      </c>
      <c r="G229" t="s">
        <v>8905</v>
      </c>
      <c r="H229">
        <v>21.08</v>
      </c>
      <c r="I229">
        <v>0</v>
      </c>
      <c r="J229">
        <v>0</v>
      </c>
      <c r="K229">
        <v>20</v>
      </c>
      <c r="L229">
        <v>7</v>
      </c>
      <c r="N229">
        <v>3</v>
      </c>
      <c r="O229">
        <v>10</v>
      </c>
      <c r="P229">
        <v>4</v>
      </c>
      <c r="Q229">
        <v>0</v>
      </c>
      <c r="R229">
        <v>55.08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F229" t="s">
        <v>130</v>
      </c>
      <c r="AH229">
        <v>55.08</v>
      </c>
    </row>
    <row r="230" spans="1:34" x14ac:dyDescent="0.3">
      <c r="A230" s="4">
        <v>237</v>
      </c>
      <c r="B230" s="5">
        <v>223</v>
      </c>
      <c r="C230">
        <v>15563</v>
      </c>
      <c r="D230" t="s">
        <v>3456</v>
      </c>
      <c r="E230" t="s">
        <v>29</v>
      </c>
      <c r="F230" t="s">
        <v>20</v>
      </c>
      <c r="G230" t="s">
        <v>8906</v>
      </c>
      <c r="H230">
        <v>17.75</v>
      </c>
      <c r="I230">
        <v>0</v>
      </c>
      <c r="J230">
        <v>0</v>
      </c>
      <c r="K230">
        <v>28</v>
      </c>
      <c r="N230">
        <v>3</v>
      </c>
      <c r="O230">
        <v>3</v>
      </c>
      <c r="P230">
        <v>4</v>
      </c>
      <c r="Q230">
        <v>2</v>
      </c>
      <c r="R230">
        <v>54.75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F230" t="s">
        <v>130</v>
      </c>
      <c r="AH230">
        <v>54.75</v>
      </c>
    </row>
    <row r="231" spans="1:34" x14ac:dyDescent="0.3">
      <c r="A231" s="4">
        <v>238</v>
      </c>
      <c r="B231" s="5">
        <v>224</v>
      </c>
      <c r="C231">
        <v>11015</v>
      </c>
      <c r="D231" t="s">
        <v>4743</v>
      </c>
      <c r="E231" t="s">
        <v>6121</v>
      </c>
      <c r="F231" t="s">
        <v>81</v>
      </c>
      <c r="G231" t="s">
        <v>8907</v>
      </c>
      <c r="H231">
        <v>20.63</v>
      </c>
      <c r="I231">
        <v>7</v>
      </c>
      <c r="J231">
        <v>0</v>
      </c>
      <c r="K231">
        <v>0</v>
      </c>
      <c r="M231">
        <v>5</v>
      </c>
      <c r="O231">
        <v>5</v>
      </c>
      <c r="P231">
        <v>4</v>
      </c>
      <c r="Q231">
        <v>2</v>
      </c>
      <c r="R231">
        <v>38.630000000000003</v>
      </c>
      <c r="S231">
        <v>16</v>
      </c>
      <c r="T231">
        <v>16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16</v>
      </c>
      <c r="AB231">
        <v>0</v>
      </c>
      <c r="AC231">
        <v>0</v>
      </c>
      <c r="AF231" t="s">
        <v>130</v>
      </c>
      <c r="AH231">
        <v>54.63</v>
      </c>
    </row>
    <row r="232" spans="1:34" x14ac:dyDescent="0.3">
      <c r="A232" s="4">
        <v>239</v>
      </c>
      <c r="B232" s="5">
        <v>225</v>
      </c>
      <c r="C232">
        <v>7607</v>
      </c>
      <c r="D232" t="s">
        <v>2797</v>
      </c>
      <c r="E232" t="s">
        <v>26</v>
      </c>
      <c r="F232" t="s">
        <v>81</v>
      </c>
      <c r="G232" t="s">
        <v>8908</v>
      </c>
      <c r="H232">
        <v>18.55</v>
      </c>
      <c r="I232">
        <v>0</v>
      </c>
      <c r="J232">
        <v>0</v>
      </c>
      <c r="K232">
        <v>20</v>
      </c>
      <c r="L232">
        <v>7</v>
      </c>
      <c r="N232">
        <v>3</v>
      </c>
      <c r="O232">
        <v>10</v>
      </c>
      <c r="P232">
        <v>4</v>
      </c>
      <c r="Q232">
        <v>2</v>
      </c>
      <c r="R232">
        <v>54.55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F232" t="s">
        <v>130</v>
      </c>
      <c r="AH232">
        <v>54.55</v>
      </c>
    </row>
    <row r="233" spans="1:34" x14ac:dyDescent="0.3">
      <c r="A233" s="4">
        <v>240</v>
      </c>
      <c r="B233" s="5">
        <v>226</v>
      </c>
      <c r="C233">
        <v>12209</v>
      </c>
      <c r="D233" t="s">
        <v>3534</v>
      </c>
      <c r="E233" t="s">
        <v>147</v>
      </c>
      <c r="F233" t="s">
        <v>17</v>
      </c>
      <c r="G233" t="s">
        <v>8909</v>
      </c>
      <c r="H233">
        <v>22.03</v>
      </c>
      <c r="I233">
        <v>0</v>
      </c>
      <c r="J233">
        <v>0</v>
      </c>
      <c r="K233">
        <v>20</v>
      </c>
      <c r="N233">
        <v>3</v>
      </c>
      <c r="O233">
        <v>3</v>
      </c>
      <c r="P233">
        <v>4</v>
      </c>
      <c r="Q233">
        <v>2</v>
      </c>
      <c r="R233">
        <v>51.03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3</v>
      </c>
      <c r="AC233">
        <v>0</v>
      </c>
      <c r="AF233" t="s">
        <v>130</v>
      </c>
      <c r="AH233">
        <v>54.03</v>
      </c>
    </row>
    <row r="234" spans="1:34" x14ac:dyDescent="0.3">
      <c r="A234" s="4">
        <v>241</v>
      </c>
      <c r="B234" s="5">
        <v>227</v>
      </c>
      <c r="C234">
        <v>6382</v>
      </c>
      <c r="D234" t="s">
        <v>8910</v>
      </c>
      <c r="E234" t="s">
        <v>563</v>
      </c>
      <c r="F234" t="s">
        <v>2561</v>
      </c>
      <c r="G234" t="s">
        <v>8911</v>
      </c>
      <c r="H234">
        <v>21</v>
      </c>
      <c r="I234">
        <v>0</v>
      </c>
      <c r="J234">
        <v>0</v>
      </c>
      <c r="K234">
        <v>20</v>
      </c>
      <c r="L234">
        <v>7</v>
      </c>
      <c r="O234">
        <v>7</v>
      </c>
      <c r="P234">
        <v>4</v>
      </c>
      <c r="Q234">
        <v>2</v>
      </c>
      <c r="R234">
        <v>54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 t="s">
        <v>130</v>
      </c>
      <c r="AF234" t="s">
        <v>130</v>
      </c>
      <c r="AH234">
        <v>54</v>
      </c>
    </row>
    <row r="235" spans="1:34" x14ac:dyDescent="0.3">
      <c r="A235" s="4">
        <v>242</v>
      </c>
      <c r="B235" s="5">
        <v>228</v>
      </c>
      <c r="C235">
        <v>9343</v>
      </c>
      <c r="D235" t="s">
        <v>8302</v>
      </c>
      <c r="E235" t="s">
        <v>166</v>
      </c>
      <c r="F235" t="s">
        <v>117</v>
      </c>
      <c r="G235" t="s">
        <v>8912</v>
      </c>
      <c r="H235">
        <v>18.899999999999999</v>
      </c>
      <c r="I235">
        <v>0</v>
      </c>
      <c r="J235">
        <v>0</v>
      </c>
      <c r="K235">
        <v>20</v>
      </c>
      <c r="M235">
        <v>5</v>
      </c>
      <c r="O235">
        <v>5</v>
      </c>
      <c r="P235">
        <v>4</v>
      </c>
      <c r="Q235">
        <v>0</v>
      </c>
      <c r="R235">
        <v>47.9</v>
      </c>
      <c r="S235">
        <v>6</v>
      </c>
      <c r="T235">
        <v>6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6</v>
      </c>
      <c r="AB235">
        <v>0</v>
      </c>
      <c r="AC235">
        <v>0</v>
      </c>
      <c r="AF235" t="s">
        <v>130</v>
      </c>
      <c r="AH235">
        <v>53.9</v>
      </c>
    </row>
    <row r="236" spans="1:34" x14ac:dyDescent="0.3">
      <c r="A236" s="4">
        <v>243</v>
      </c>
      <c r="B236" s="5">
        <v>229</v>
      </c>
      <c r="C236">
        <v>12181</v>
      </c>
      <c r="D236" t="s">
        <v>8913</v>
      </c>
      <c r="E236" t="s">
        <v>22</v>
      </c>
      <c r="F236" t="s">
        <v>649</v>
      </c>
      <c r="G236" t="s">
        <v>8914</v>
      </c>
      <c r="H236">
        <v>19.829999999999998</v>
      </c>
      <c r="I236">
        <v>7</v>
      </c>
      <c r="J236">
        <v>0</v>
      </c>
      <c r="K236">
        <v>20</v>
      </c>
      <c r="N236">
        <v>3</v>
      </c>
      <c r="O236">
        <v>3</v>
      </c>
      <c r="P236">
        <v>4</v>
      </c>
      <c r="Q236">
        <v>0</v>
      </c>
      <c r="R236">
        <v>53.83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E236" t="s">
        <v>130</v>
      </c>
      <c r="AF236" t="s">
        <v>130</v>
      </c>
      <c r="AH236">
        <v>53.83</v>
      </c>
    </row>
    <row r="237" spans="1:34" x14ac:dyDescent="0.3">
      <c r="A237" s="4">
        <v>244</v>
      </c>
      <c r="B237" s="5">
        <v>230</v>
      </c>
      <c r="C237">
        <v>1409</v>
      </c>
      <c r="D237" t="s">
        <v>221</v>
      </c>
      <c r="E237" t="s">
        <v>161</v>
      </c>
      <c r="F237" t="s">
        <v>626</v>
      </c>
      <c r="G237" t="s">
        <v>8915</v>
      </c>
      <c r="H237">
        <v>19.48</v>
      </c>
      <c r="I237">
        <v>0</v>
      </c>
      <c r="J237">
        <v>0</v>
      </c>
      <c r="K237">
        <v>20</v>
      </c>
      <c r="O237">
        <v>0</v>
      </c>
      <c r="P237">
        <v>4</v>
      </c>
      <c r="Q237">
        <v>2</v>
      </c>
      <c r="R237">
        <v>45.48</v>
      </c>
      <c r="S237">
        <v>8</v>
      </c>
      <c r="T237">
        <v>8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8</v>
      </c>
      <c r="AB237">
        <v>0</v>
      </c>
      <c r="AC237">
        <v>0</v>
      </c>
      <c r="AD237" t="s">
        <v>130</v>
      </c>
      <c r="AF237" t="s">
        <v>130</v>
      </c>
      <c r="AH237">
        <v>53.48</v>
      </c>
    </row>
    <row r="238" spans="1:34" x14ac:dyDescent="0.3">
      <c r="A238" s="4">
        <v>245</v>
      </c>
      <c r="B238" s="5">
        <v>231</v>
      </c>
      <c r="C238">
        <v>13264</v>
      </c>
      <c r="D238" t="s">
        <v>3454</v>
      </c>
      <c r="E238" t="s">
        <v>283</v>
      </c>
      <c r="F238" t="s">
        <v>81</v>
      </c>
      <c r="G238" t="s">
        <v>8916</v>
      </c>
      <c r="H238">
        <v>19.45</v>
      </c>
      <c r="I238">
        <v>0</v>
      </c>
      <c r="J238">
        <v>0</v>
      </c>
      <c r="K238">
        <v>20</v>
      </c>
      <c r="L238">
        <v>7</v>
      </c>
      <c r="O238">
        <v>7</v>
      </c>
      <c r="P238">
        <v>4</v>
      </c>
      <c r="Q238">
        <v>0</v>
      </c>
      <c r="R238">
        <v>50.45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3</v>
      </c>
      <c r="AC238">
        <v>0</v>
      </c>
      <c r="AD238" t="s">
        <v>130</v>
      </c>
      <c r="AF238" t="s">
        <v>130</v>
      </c>
      <c r="AH238">
        <v>53.45</v>
      </c>
    </row>
    <row r="239" spans="1:34" x14ac:dyDescent="0.3">
      <c r="A239" s="4">
        <v>246</v>
      </c>
      <c r="B239" s="5">
        <v>232</v>
      </c>
      <c r="C239">
        <v>999</v>
      </c>
      <c r="D239" t="s">
        <v>8917</v>
      </c>
      <c r="E239" t="s">
        <v>110</v>
      </c>
      <c r="F239" t="s">
        <v>8918</v>
      </c>
      <c r="G239" t="s">
        <v>8919</v>
      </c>
      <c r="H239">
        <v>18.329999999999998</v>
      </c>
      <c r="I239">
        <v>0</v>
      </c>
      <c r="J239">
        <v>0</v>
      </c>
      <c r="K239">
        <v>0</v>
      </c>
      <c r="L239">
        <v>7</v>
      </c>
      <c r="O239">
        <v>7</v>
      </c>
      <c r="P239">
        <v>4</v>
      </c>
      <c r="Q239">
        <v>2</v>
      </c>
      <c r="R239">
        <v>31.33</v>
      </c>
      <c r="S239">
        <v>16</v>
      </c>
      <c r="T239">
        <v>16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16</v>
      </c>
      <c r="AB239">
        <v>6</v>
      </c>
      <c r="AC239">
        <v>0</v>
      </c>
      <c r="AD239" t="s">
        <v>130</v>
      </c>
      <c r="AF239" t="s">
        <v>130</v>
      </c>
      <c r="AH239">
        <v>53.33</v>
      </c>
    </row>
    <row r="240" spans="1:34" x14ac:dyDescent="0.3">
      <c r="A240" s="4">
        <v>247</v>
      </c>
      <c r="B240" s="5">
        <v>233</v>
      </c>
      <c r="C240">
        <v>9551</v>
      </c>
      <c r="D240" t="s">
        <v>8920</v>
      </c>
      <c r="E240" t="s">
        <v>8921</v>
      </c>
      <c r="F240" t="s">
        <v>30</v>
      </c>
      <c r="G240" t="s">
        <v>8922</v>
      </c>
      <c r="H240">
        <v>16.18</v>
      </c>
      <c r="I240">
        <v>0</v>
      </c>
      <c r="J240">
        <v>0</v>
      </c>
      <c r="K240">
        <v>20</v>
      </c>
      <c r="M240">
        <v>5</v>
      </c>
      <c r="O240">
        <v>5</v>
      </c>
      <c r="P240">
        <v>4</v>
      </c>
      <c r="Q240">
        <v>2</v>
      </c>
      <c r="R240">
        <v>47.18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6</v>
      </c>
      <c r="AC240">
        <v>0</v>
      </c>
      <c r="AF240" t="s">
        <v>130</v>
      </c>
      <c r="AH240">
        <v>53.18</v>
      </c>
    </row>
    <row r="241" spans="1:34" x14ac:dyDescent="0.3">
      <c r="A241" s="4">
        <v>248</v>
      </c>
      <c r="B241" s="5">
        <v>234</v>
      </c>
      <c r="C241">
        <v>6037</v>
      </c>
      <c r="D241" t="s">
        <v>8923</v>
      </c>
      <c r="E241" t="s">
        <v>41</v>
      </c>
      <c r="F241" t="s">
        <v>190</v>
      </c>
      <c r="G241" t="s">
        <v>8924</v>
      </c>
      <c r="H241">
        <v>19.18</v>
      </c>
      <c r="I241">
        <v>0</v>
      </c>
      <c r="J241">
        <v>0</v>
      </c>
      <c r="K241">
        <v>20</v>
      </c>
      <c r="L241">
        <v>7</v>
      </c>
      <c r="O241">
        <v>7</v>
      </c>
      <c r="P241">
        <v>4</v>
      </c>
      <c r="Q241">
        <v>0</v>
      </c>
      <c r="R241">
        <v>50.18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3</v>
      </c>
      <c r="AC241">
        <v>0</v>
      </c>
      <c r="AF241" t="s">
        <v>130</v>
      </c>
      <c r="AH241">
        <v>53.18</v>
      </c>
    </row>
    <row r="242" spans="1:34" x14ac:dyDescent="0.3">
      <c r="A242" s="4">
        <v>249</v>
      </c>
      <c r="B242" s="5">
        <v>235</v>
      </c>
      <c r="C242">
        <v>5069</v>
      </c>
      <c r="D242" t="s">
        <v>8925</v>
      </c>
      <c r="E242" t="s">
        <v>29</v>
      </c>
      <c r="F242" t="s">
        <v>17</v>
      </c>
      <c r="G242" t="s">
        <v>8926</v>
      </c>
      <c r="H242">
        <v>17.149999999999999</v>
      </c>
      <c r="I242">
        <v>0</v>
      </c>
      <c r="J242">
        <v>0</v>
      </c>
      <c r="K242">
        <v>0</v>
      </c>
      <c r="L242">
        <v>7</v>
      </c>
      <c r="M242">
        <v>5</v>
      </c>
      <c r="O242">
        <v>12</v>
      </c>
      <c r="P242">
        <v>4</v>
      </c>
      <c r="Q242">
        <v>2</v>
      </c>
      <c r="R242">
        <v>35.15</v>
      </c>
      <c r="S242">
        <v>18</v>
      </c>
      <c r="T242">
        <v>18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18</v>
      </c>
      <c r="AB242">
        <v>0</v>
      </c>
      <c r="AC242">
        <v>0</v>
      </c>
      <c r="AD242" t="s">
        <v>130</v>
      </c>
      <c r="AF242" t="s">
        <v>130</v>
      </c>
      <c r="AH242">
        <v>53.15</v>
      </c>
    </row>
    <row r="243" spans="1:34" x14ac:dyDescent="0.3">
      <c r="A243" s="4">
        <v>250</v>
      </c>
      <c r="B243" s="5">
        <v>236</v>
      </c>
      <c r="C243">
        <v>227</v>
      </c>
      <c r="D243" t="s">
        <v>8927</v>
      </c>
      <c r="E243" t="s">
        <v>41</v>
      </c>
      <c r="F243" t="s">
        <v>17</v>
      </c>
      <c r="G243" t="s">
        <v>8928</v>
      </c>
      <c r="H243">
        <v>19.93</v>
      </c>
      <c r="I243">
        <v>0</v>
      </c>
      <c r="J243">
        <v>0</v>
      </c>
      <c r="K243">
        <v>20</v>
      </c>
      <c r="L243">
        <v>7</v>
      </c>
      <c r="O243">
        <v>7</v>
      </c>
      <c r="P243">
        <v>4</v>
      </c>
      <c r="Q243">
        <v>2</v>
      </c>
      <c r="R243">
        <v>52.93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F243" t="s">
        <v>130</v>
      </c>
      <c r="AH243">
        <v>52.93</v>
      </c>
    </row>
    <row r="244" spans="1:34" x14ac:dyDescent="0.3">
      <c r="A244" s="4">
        <v>251</v>
      </c>
      <c r="B244" s="5">
        <v>237</v>
      </c>
      <c r="C244">
        <v>10659</v>
      </c>
      <c r="D244" t="s">
        <v>8929</v>
      </c>
      <c r="E244" t="s">
        <v>550</v>
      </c>
      <c r="F244" t="s">
        <v>4370</v>
      </c>
      <c r="G244" t="s">
        <v>8930</v>
      </c>
      <c r="H244">
        <v>19.75</v>
      </c>
      <c r="I244">
        <v>0</v>
      </c>
      <c r="J244">
        <v>0</v>
      </c>
      <c r="K244">
        <v>20</v>
      </c>
      <c r="L244">
        <v>7</v>
      </c>
      <c r="O244">
        <v>7</v>
      </c>
      <c r="P244">
        <v>4</v>
      </c>
      <c r="Q244">
        <v>2</v>
      </c>
      <c r="R244">
        <v>52.75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F244" t="s">
        <v>130</v>
      </c>
      <c r="AH244">
        <v>52.75</v>
      </c>
    </row>
    <row r="245" spans="1:34" x14ac:dyDescent="0.3">
      <c r="A245" s="4">
        <v>252</v>
      </c>
      <c r="B245" s="5">
        <v>238</v>
      </c>
      <c r="C245">
        <v>4230</v>
      </c>
      <c r="D245" t="s">
        <v>8931</v>
      </c>
      <c r="E245" t="s">
        <v>188</v>
      </c>
      <c r="F245" t="s">
        <v>14</v>
      </c>
      <c r="G245" t="s">
        <v>8932</v>
      </c>
      <c r="H245">
        <v>16.68</v>
      </c>
      <c r="I245">
        <v>0</v>
      </c>
      <c r="J245">
        <v>0</v>
      </c>
      <c r="K245">
        <v>20</v>
      </c>
      <c r="L245">
        <v>7</v>
      </c>
      <c r="O245">
        <v>7</v>
      </c>
      <c r="P245">
        <v>4</v>
      </c>
      <c r="Q245">
        <v>2</v>
      </c>
      <c r="R245">
        <v>49.68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3</v>
      </c>
      <c r="AC245">
        <v>0</v>
      </c>
      <c r="AF245" t="s">
        <v>130</v>
      </c>
      <c r="AH245">
        <v>52.68</v>
      </c>
    </row>
    <row r="246" spans="1:34" x14ac:dyDescent="0.3">
      <c r="A246" s="4">
        <v>253</v>
      </c>
      <c r="B246" s="5">
        <v>239</v>
      </c>
      <c r="C246">
        <v>6411</v>
      </c>
      <c r="D246" t="s">
        <v>8933</v>
      </c>
      <c r="E246" t="s">
        <v>8934</v>
      </c>
      <c r="F246" t="s">
        <v>230</v>
      </c>
      <c r="G246" t="s">
        <v>8935</v>
      </c>
      <c r="H246">
        <v>18.63</v>
      </c>
      <c r="I246">
        <v>0</v>
      </c>
      <c r="J246">
        <v>0</v>
      </c>
      <c r="K246">
        <v>20</v>
      </c>
      <c r="L246">
        <v>7</v>
      </c>
      <c r="N246">
        <v>3</v>
      </c>
      <c r="O246">
        <v>10</v>
      </c>
      <c r="P246">
        <v>4</v>
      </c>
      <c r="Q246">
        <v>0</v>
      </c>
      <c r="R246">
        <v>52.63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F246" t="s">
        <v>130</v>
      </c>
      <c r="AH246">
        <v>52.63</v>
      </c>
    </row>
    <row r="247" spans="1:34" x14ac:dyDescent="0.3">
      <c r="A247" s="4">
        <v>254</v>
      </c>
      <c r="B247" s="5">
        <v>240</v>
      </c>
      <c r="C247">
        <v>8535</v>
      </c>
      <c r="D247" t="s">
        <v>1304</v>
      </c>
      <c r="E247" t="s">
        <v>29</v>
      </c>
      <c r="F247" t="s">
        <v>20</v>
      </c>
      <c r="G247" t="s">
        <v>8936</v>
      </c>
      <c r="H247">
        <v>18.600000000000001</v>
      </c>
      <c r="I247">
        <v>0</v>
      </c>
      <c r="J247">
        <v>0</v>
      </c>
      <c r="K247">
        <v>20</v>
      </c>
      <c r="L247">
        <v>7</v>
      </c>
      <c r="O247">
        <v>7</v>
      </c>
      <c r="P247">
        <v>4</v>
      </c>
      <c r="Q247">
        <v>0</v>
      </c>
      <c r="R247">
        <v>49.6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3</v>
      </c>
      <c r="AC247">
        <v>0</v>
      </c>
      <c r="AF247" t="s">
        <v>130</v>
      </c>
      <c r="AH247">
        <v>52.6</v>
      </c>
    </row>
    <row r="248" spans="1:34" x14ac:dyDescent="0.3">
      <c r="A248" s="4">
        <v>255</v>
      </c>
      <c r="B248" s="5">
        <v>241</v>
      </c>
      <c r="C248">
        <v>15710</v>
      </c>
      <c r="D248" t="s">
        <v>8937</v>
      </c>
      <c r="E248" t="s">
        <v>648</v>
      </c>
      <c r="F248" t="s">
        <v>167</v>
      </c>
      <c r="G248" t="s">
        <v>8938</v>
      </c>
      <c r="H248">
        <v>19.5</v>
      </c>
      <c r="I248">
        <v>0</v>
      </c>
      <c r="J248">
        <v>0</v>
      </c>
      <c r="K248">
        <v>20</v>
      </c>
      <c r="N248">
        <v>3</v>
      </c>
      <c r="O248">
        <v>3</v>
      </c>
      <c r="P248">
        <v>4</v>
      </c>
      <c r="Q248">
        <v>0</v>
      </c>
      <c r="R248">
        <v>46.5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6</v>
      </c>
      <c r="AC248">
        <v>0</v>
      </c>
      <c r="AF248" t="s">
        <v>130</v>
      </c>
      <c r="AH248">
        <v>52.5</v>
      </c>
    </row>
    <row r="249" spans="1:34" x14ac:dyDescent="0.3">
      <c r="A249" s="4">
        <v>256</v>
      </c>
      <c r="B249" s="5">
        <v>242</v>
      </c>
      <c r="C249">
        <v>9855</v>
      </c>
      <c r="D249" t="s">
        <v>8939</v>
      </c>
      <c r="E249" t="s">
        <v>29</v>
      </c>
      <c r="F249" t="s">
        <v>343</v>
      </c>
      <c r="G249" t="s">
        <v>8940</v>
      </c>
      <c r="H249">
        <v>19.5</v>
      </c>
      <c r="I249">
        <v>0</v>
      </c>
      <c r="J249">
        <v>0</v>
      </c>
      <c r="K249">
        <v>20</v>
      </c>
      <c r="L249">
        <v>7</v>
      </c>
      <c r="O249">
        <v>7</v>
      </c>
      <c r="P249">
        <v>4</v>
      </c>
      <c r="Q249">
        <v>2</v>
      </c>
      <c r="R249">
        <v>52.5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F249" t="s">
        <v>130</v>
      </c>
      <c r="AH249">
        <v>52.5</v>
      </c>
    </row>
    <row r="250" spans="1:34" x14ac:dyDescent="0.3">
      <c r="A250" s="4">
        <v>257</v>
      </c>
      <c r="B250" s="5">
        <v>243</v>
      </c>
      <c r="C250">
        <v>1440</v>
      </c>
      <c r="D250" t="s">
        <v>3662</v>
      </c>
      <c r="E250" t="s">
        <v>29</v>
      </c>
      <c r="F250" t="s">
        <v>68</v>
      </c>
      <c r="G250" t="s">
        <v>8941</v>
      </c>
      <c r="H250">
        <v>19.329999999999998</v>
      </c>
      <c r="I250">
        <v>0</v>
      </c>
      <c r="J250">
        <v>0</v>
      </c>
      <c r="K250">
        <v>20</v>
      </c>
      <c r="L250">
        <v>7</v>
      </c>
      <c r="O250">
        <v>7</v>
      </c>
      <c r="P250">
        <v>4</v>
      </c>
      <c r="Q250">
        <v>2</v>
      </c>
      <c r="R250">
        <v>52.33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 t="s">
        <v>130</v>
      </c>
      <c r="AF250" t="s">
        <v>130</v>
      </c>
      <c r="AH250">
        <v>52.33</v>
      </c>
    </row>
    <row r="251" spans="1:34" x14ac:dyDescent="0.3">
      <c r="A251" s="4">
        <v>258</v>
      </c>
      <c r="B251" s="5">
        <v>244</v>
      </c>
      <c r="C251">
        <v>8562</v>
      </c>
      <c r="D251" t="s">
        <v>8923</v>
      </c>
      <c r="E251" t="s">
        <v>219</v>
      </c>
      <c r="F251" t="s">
        <v>17</v>
      </c>
      <c r="G251" t="s">
        <v>8942</v>
      </c>
      <c r="H251">
        <v>19.23</v>
      </c>
      <c r="I251">
        <v>0</v>
      </c>
      <c r="J251">
        <v>0</v>
      </c>
      <c r="K251">
        <v>20</v>
      </c>
      <c r="N251">
        <v>3</v>
      </c>
      <c r="O251">
        <v>3</v>
      </c>
      <c r="P251">
        <v>4</v>
      </c>
      <c r="Q251">
        <v>0</v>
      </c>
      <c r="R251">
        <v>46.23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6</v>
      </c>
      <c r="AC251">
        <v>0</v>
      </c>
      <c r="AF251" t="s">
        <v>130</v>
      </c>
      <c r="AH251">
        <v>52.23</v>
      </c>
    </row>
    <row r="252" spans="1:34" x14ac:dyDescent="0.3">
      <c r="A252" s="4">
        <v>259</v>
      </c>
      <c r="B252" s="5">
        <v>245</v>
      </c>
      <c r="C252">
        <v>4932</v>
      </c>
      <c r="D252" t="s">
        <v>8943</v>
      </c>
      <c r="E252" t="s">
        <v>29</v>
      </c>
      <c r="F252" t="s">
        <v>328</v>
      </c>
      <c r="G252" t="s">
        <v>8944</v>
      </c>
      <c r="H252">
        <v>19.2</v>
      </c>
      <c r="I252">
        <v>0</v>
      </c>
      <c r="J252">
        <v>0</v>
      </c>
      <c r="K252">
        <v>20</v>
      </c>
      <c r="N252">
        <v>3</v>
      </c>
      <c r="O252">
        <v>3</v>
      </c>
      <c r="P252">
        <v>4</v>
      </c>
      <c r="Q252">
        <v>0</v>
      </c>
      <c r="R252">
        <v>46.2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6</v>
      </c>
      <c r="AC252">
        <v>0</v>
      </c>
      <c r="AF252" t="s">
        <v>130</v>
      </c>
      <c r="AH252">
        <v>52.2</v>
      </c>
    </row>
    <row r="253" spans="1:34" x14ac:dyDescent="0.3">
      <c r="A253" s="4">
        <v>260</v>
      </c>
      <c r="B253" s="5">
        <v>246</v>
      </c>
      <c r="C253">
        <v>7280</v>
      </c>
      <c r="D253" t="s">
        <v>8945</v>
      </c>
      <c r="E253" t="s">
        <v>8946</v>
      </c>
      <c r="F253" t="s">
        <v>30</v>
      </c>
      <c r="G253" t="s">
        <v>8947</v>
      </c>
      <c r="H253">
        <v>19.05</v>
      </c>
      <c r="I253">
        <v>0</v>
      </c>
      <c r="J253">
        <v>0</v>
      </c>
      <c r="K253">
        <v>20</v>
      </c>
      <c r="L253">
        <v>7</v>
      </c>
      <c r="O253">
        <v>7</v>
      </c>
      <c r="P253">
        <v>4</v>
      </c>
      <c r="Q253">
        <v>2</v>
      </c>
      <c r="R253">
        <v>52.05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F253" t="s">
        <v>130</v>
      </c>
      <c r="AH253">
        <v>52.05</v>
      </c>
    </row>
    <row r="254" spans="1:34" x14ac:dyDescent="0.3">
      <c r="A254" s="4">
        <v>261</v>
      </c>
      <c r="B254" s="5">
        <v>247</v>
      </c>
      <c r="C254">
        <v>7798</v>
      </c>
      <c r="D254" t="s">
        <v>8800</v>
      </c>
      <c r="E254" t="s">
        <v>178</v>
      </c>
      <c r="F254" t="s">
        <v>167</v>
      </c>
      <c r="G254" t="s">
        <v>8948</v>
      </c>
      <c r="H254">
        <v>18.88</v>
      </c>
      <c r="I254">
        <v>0</v>
      </c>
      <c r="J254">
        <v>0</v>
      </c>
      <c r="K254">
        <v>20</v>
      </c>
      <c r="L254">
        <v>7</v>
      </c>
      <c r="O254">
        <v>7</v>
      </c>
      <c r="P254">
        <v>4</v>
      </c>
      <c r="Q254">
        <v>2</v>
      </c>
      <c r="R254">
        <v>51.88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F254" t="s">
        <v>130</v>
      </c>
      <c r="AH254">
        <v>51.88</v>
      </c>
    </row>
    <row r="255" spans="1:34" x14ac:dyDescent="0.3">
      <c r="A255" s="4">
        <v>262</v>
      </c>
      <c r="B255" s="5">
        <v>248</v>
      </c>
      <c r="C255">
        <v>3033</v>
      </c>
      <c r="D255" t="s">
        <v>28</v>
      </c>
      <c r="E255" t="s">
        <v>166</v>
      </c>
      <c r="F255" t="s">
        <v>167</v>
      </c>
      <c r="G255" t="s">
        <v>8949</v>
      </c>
      <c r="H255">
        <v>17.850000000000001</v>
      </c>
      <c r="I255">
        <v>0</v>
      </c>
      <c r="J255">
        <v>0</v>
      </c>
      <c r="K255">
        <v>20</v>
      </c>
      <c r="L255">
        <v>7</v>
      </c>
      <c r="O255">
        <v>7</v>
      </c>
      <c r="P255">
        <v>4</v>
      </c>
      <c r="Q255">
        <v>0</v>
      </c>
      <c r="R255">
        <v>48.85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3</v>
      </c>
      <c r="AC255">
        <v>0</v>
      </c>
      <c r="AF255" t="s">
        <v>130</v>
      </c>
      <c r="AH255">
        <v>51.85</v>
      </c>
    </row>
    <row r="256" spans="1:34" x14ac:dyDescent="0.3">
      <c r="A256" s="4">
        <v>263</v>
      </c>
      <c r="B256" s="5">
        <v>249</v>
      </c>
      <c r="C256">
        <v>8434</v>
      </c>
      <c r="D256" t="s">
        <v>4332</v>
      </c>
      <c r="E256" t="s">
        <v>54</v>
      </c>
      <c r="F256" t="s">
        <v>375</v>
      </c>
      <c r="G256" t="s">
        <v>8950</v>
      </c>
      <c r="H256">
        <v>18.850000000000001</v>
      </c>
      <c r="I256">
        <v>0</v>
      </c>
      <c r="J256">
        <v>0</v>
      </c>
      <c r="K256">
        <v>20</v>
      </c>
      <c r="L256">
        <v>7</v>
      </c>
      <c r="O256">
        <v>7</v>
      </c>
      <c r="P256">
        <v>4</v>
      </c>
      <c r="Q256">
        <v>2</v>
      </c>
      <c r="R256">
        <v>51.85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 t="s">
        <v>130</v>
      </c>
      <c r="AF256" t="s">
        <v>130</v>
      </c>
      <c r="AH256">
        <v>51.85</v>
      </c>
    </row>
    <row r="257" spans="1:34" x14ac:dyDescent="0.3">
      <c r="A257" s="4">
        <v>264</v>
      </c>
      <c r="B257" s="5">
        <v>250</v>
      </c>
      <c r="C257">
        <v>6068</v>
      </c>
      <c r="D257" t="s">
        <v>8951</v>
      </c>
      <c r="E257" t="s">
        <v>54</v>
      </c>
      <c r="F257" t="s">
        <v>801</v>
      </c>
      <c r="G257" t="s">
        <v>8952</v>
      </c>
      <c r="H257">
        <v>18.8</v>
      </c>
      <c r="I257">
        <v>0</v>
      </c>
      <c r="J257">
        <v>0</v>
      </c>
      <c r="K257">
        <v>20</v>
      </c>
      <c r="L257">
        <v>7</v>
      </c>
      <c r="O257">
        <v>7</v>
      </c>
      <c r="P257">
        <v>4</v>
      </c>
      <c r="Q257">
        <v>2</v>
      </c>
      <c r="R257">
        <v>51.8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F257" t="s">
        <v>130</v>
      </c>
      <c r="AH257">
        <v>51.8</v>
      </c>
    </row>
    <row r="258" spans="1:34" x14ac:dyDescent="0.3">
      <c r="A258" s="4">
        <v>265</v>
      </c>
      <c r="B258" s="5">
        <v>251</v>
      </c>
      <c r="C258">
        <v>9599</v>
      </c>
      <c r="D258" t="s">
        <v>4872</v>
      </c>
      <c r="E258" t="s">
        <v>213</v>
      </c>
      <c r="F258" t="s">
        <v>91</v>
      </c>
      <c r="G258" t="s">
        <v>8953</v>
      </c>
      <c r="H258">
        <v>20.78</v>
      </c>
      <c r="I258">
        <v>0</v>
      </c>
      <c r="J258">
        <v>0</v>
      </c>
      <c r="K258">
        <v>20</v>
      </c>
      <c r="L258">
        <v>7</v>
      </c>
      <c r="O258">
        <v>7</v>
      </c>
      <c r="P258">
        <v>4</v>
      </c>
      <c r="Q258">
        <v>0</v>
      </c>
      <c r="R258">
        <v>51.78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F258" t="s">
        <v>130</v>
      </c>
      <c r="AH258">
        <v>51.78</v>
      </c>
    </row>
    <row r="259" spans="1:34" x14ac:dyDescent="0.3">
      <c r="A259" s="4">
        <v>266</v>
      </c>
      <c r="B259" s="5">
        <v>252</v>
      </c>
      <c r="C259">
        <v>4039</v>
      </c>
      <c r="D259" t="s">
        <v>8954</v>
      </c>
      <c r="E259" t="s">
        <v>29</v>
      </c>
      <c r="F259" t="s">
        <v>801</v>
      </c>
      <c r="G259" t="s">
        <v>8955</v>
      </c>
      <c r="H259">
        <v>20.65</v>
      </c>
      <c r="I259">
        <v>0</v>
      </c>
      <c r="J259">
        <v>0</v>
      </c>
      <c r="K259">
        <v>20</v>
      </c>
      <c r="L259">
        <v>7</v>
      </c>
      <c r="O259">
        <v>7</v>
      </c>
      <c r="P259">
        <v>4</v>
      </c>
      <c r="Q259">
        <v>0</v>
      </c>
      <c r="R259">
        <v>51.65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F259" t="s">
        <v>130</v>
      </c>
      <c r="AH259">
        <v>51.65</v>
      </c>
    </row>
    <row r="260" spans="1:34" x14ac:dyDescent="0.3">
      <c r="A260" s="4">
        <v>267</v>
      </c>
      <c r="B260" s="5">
        <v>253</v>
      </c>
      <c r="C260">
        <v>12286</v>
      </c>
      <c r="D260" t="s">
        <v>3309</v>
      </c>
      <c r="E260" t="s">
        <v>6148</v>
      </c>
      <c r="F260" t="s">
        <v>909</v>
      </c>
      <c r="G260" t="s">
        <v>8956</v>
      </c>
      <c r="H260">
        <v>16.63</v>
      </c>
      <c r="I260">
        <v>0</v>
      </c>
      <c r="J260">
        <v>0</v>
      </c>
      <c r="K260">
        <v>20</v>
      </c>
      <c r="N260">
        <v>3</v>
      </c>
      <c r="O260">
        <v>3</v>
      </c>
      <c r="P260">
        <v>4</v>
      </c>
      <c r="Q260">
        <v>2</v>
      </c>
      <c r="R260">
        <v>45.63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6</v>
      </c>
      <c r="AC260">
        <v>0</v>
      </c>
      <c r="AD260" t="s">
        <v>130</v>
      </c>
      <c r="AF260" t="s">
        <v>130</v>
      </c>
      <c r="AH260">
        <v>51.63</v>
      </c>
    </row>
    <row r="261" spans="1:34" x14ac:dyDescent="0.3">
      <c r="A261" s="4">
        <v>268</v>
      </c>
      <c r="B261" s="5">
        <v>254</v>
      </c>
      <c r="C261">
        <v>3514</v>
      </c>
      <c r="D261" t="s">
        <v>8957</v>
      </c>
      <c r="E261" t="s">
        <v>71</v>
      </c>
      <c r="F261" t="s">
        <v>38</v>
      </c>
      <c r="G261" t="s">
        <v>8958</v>
      </c>
      <c r="H261">
        <v>18.63</v>
      </c>
      <c r="I261">
        <v>0</v>
      </c>
      <c r="J261">
        <v>0</v>
      </c>
      <c r="K261">
        <v>20</v>
      </c>
      <c r="L261">
        <v>7</v>
      </c>
      <c r="O261">
        <v>7</v>
      </c>
      <c r="P261">
        <v>4</v>
      </c>
      <c r="Q261">
        <v>2</v>
      </c>
      <c r="R261">
        <v>51.63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 t="s">
        <v>130</v>
      </c>
      <c r="AF261" t="s">
        <v>130</v>
      </c>
      <c r="AH261">
        <v>51.63</v>
      </c>
    </row>
    <row r="262" spans="1:34" x14ac:dyDescent="0.3">
      <c r="A262" s="4">
        <v>269</v>
      </c>
      <c r="B262" s="5">
        <v>255</v>
      </c>
      <c r="C262">
        <v>11855</v>
      </c>
      <c r="D262" t="s">
        <v>8959</v>
      </c>
      <c r="E262" t="s">
        <v>8960</v>
      </c>
      <c r="F262" t="s">
        <v>38</v>
      </c>
      <c r="G262" t="s">
        <v>8961</v>
      </c>
      <c r="H262">
        <v>19.579999999999998</v>
      </c>
      <c r="I262">
        <v>0</v>
      </c>
      <c r="J262">
        <v>0</v>
      </c>
      <c r="K262">
        <v>20</v>
      </c>
      <c r="N262">
        <v>6</v>
      </c>
      <c r="O262">
        <v>6</v>
      </c>
      <c r="P262">
        <v>4</v>
      </c>
      <c r="Q262">
        <v>2</v>
      </c>
      <c r="R262">
        <v>51.58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 t="s">
        <v>130</v>
      </c>
      <c r="AF262" t="s">
        <v>130</v>
      </c>
      <c r="AH262">
        <v>51.58</v>
      </c>
    </row>
    <row r="263" spans="1:34" x14ac:dyDescent="0.3">
      <c r="A263" s="4">
        <v>270</v>
      </c>
      <c r="B263" s="5">
        <v>256</v>
      </c>
      <c r="C263">
        <v>8743</v>
      </c>
      <c r="D263" t="s">
        <v>8962</v>
      </c>
      <c r="E263" t="s">
        <v>126</v>
      </c>
      <c r="F263" t="s">
        <v>117</v>
      </c>
      <c r="G263" t="s">
        <v>8963</v>
      </c>
      <c r="H263">
        <v>18.53</v>
      </c>
      <c r="I263">
        <v>0</v>
      </c>
      <c r="J263">
        <v>0</v>
      </c>
      <c r="K263">
        <v>20</v>
      </c>
      <c r="N263">
        <v>3</v>
      </c>
      <c r="O263">
        <v>3</v>
      </c>
      <c r="P263">
        <v>4</v>
      </c>
      <c r="Q263">
        <v>0</v>
      </c>
      <c r="R263">
        <v>45.53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6</v>
      </c>
      <c r="AC263">
        <v>0</v>
      </c>
      <c r="AF263" t="s">
        <v>130</v>
      </c>
      <c r="AH263">
        <v>51.53</v>
      </c>
    </row>
    <row r="264" spans="1:34" x14ac:dyDescent="0.3">
      <c r="A264" s="4">
        <v>271</v>
      </c>
      <c r="B264" s="5">
        <v>257</v>
      </c>
      <c r="C264">
        <v>441</v>
      </c>
      <c r="D264" t="s">
        <v>8964</v>
      </c>
      <c r="E264" t="s">
        <v>41</v>
      </c>
      <c r="F264" t="s">
        <v>117</v>
      </c>
      <c r="G264" t="s">
        <v>8965</v>
      </c>
      <c r="H264">
        <v>18.48</v>
      </c>
      <c r="I264">
        <v>0</v>
      </c>
      <c r="J264">
        <v>0</v>
      </c>
      <c r="K264">
        <v>20</v>
      </c>
      <c r="L264">
        <v>7</v>
      </c>
      <c r="O264">
        <v>7</v>
      </c>
      <c r="P264">
        <v>4</v>
      </c>
      <c r="Q264">
        <v>2</v>
      </c>
      <c r="R264">
        <v>51.48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F264" t="s">
        <v>130</v>
      </c>
      <c r="AH264">
        <v>51.48</v>
      </c>
    </row>
    <row r="265" spans="1:34" x14ac:dyDescent="0.3">
      <c r="A265" s="4">
        <v>272</v>
      </c>
      <c r="B265" s="5">
        <v>258</v>
      </c>
      <c r="C265">
        <v>10759</v>
      </c>
      <c r="D265" t="s">
        <v>8966</v>
      </c>
      <c r="E265" t="s">
        <v>6847</v>
      </c>
      <c r="F265" t="s">
        <v>117</v>
      </c>
      <c r="G265" t="s">
        <v>8967</v>
      </c>
      <c r="H265">
        <v>19.399999999999999</v>
      </c>
      <c r="I265">
        <v>0</v>
      </c>
      <c r="J265">
        <v>0</v>
      </c>
      <c r="K265">
        <v>20</v>
      </c>
      <c r="N265">
        <v>3</v>
      </c>
      <c r="O265">
        <v>3</v>
      </c>
      <c r="P265">
        <v>4</v>
      </c>
      <c r="Q265">
        <v>2</v>
      </c>
      <c r="R265">
        <v>48.4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3</v>
      </c>
      <c r="AC265">
        <v>0</v>
      </c>
      <c r="AF265" t="s">
        <v>130</v>
      </c>
      <c r="AH265">
        <v>51.4</v>
      </c>
    </row>
    <row r="266" spans="1:34" x14ac:dyDescent="0.3">
      <c r="A266" s="4">
        <v>273</v>
      </c>
      <c r="B266" s="5">
        <v>259</v>
      </c>
      <c r="C266">
        <v>12381</v>
      </c>
      <c r="D266" t="s">
        <v>2416</v>
      </c>
      <c r="E266" t="s">
        <v>41</v>
      </c>
      <c r="F266" t="s">
        <v>81</v>
      </c>
      <c r="G266" t="s">
        <v>8968</v>
      </c>
      <c r="H266">
        <v>17.350000000000001</v>
      </c>
      <c r="I266">
        <v>0</v>
      </c>
      <c r="J266">
        <v>0</v>
      </c>
      <c r="K266">
        <v>0</v>
      </c>
      <c r="L266">
        <v>7</v>
      </c>
      <c r="O266">
        <v>7</v>
      </c>
      <c r="P266">
        <v>4</v>
      </c>
      <c r="Q266">
        <v>2</v>
      </c>
      <c r="R266">
        <v>30.35</v>
      </c>
      <c r="S266">
        <v>5</v>
      </c>
      <c r="T266">
        <v>5</v>
      </c>
      <c r="U266">
        <v>8</v>
      </c>
      <c r="V266">
        <v>16</v>
      </c>
      <c r="W266">
        <v>0</v>
      </c>
      <c r="X266">
        <v>0</v>
      </c>
      <c r="Y266">
        <v>0</v>
      </c>
      <c r="Z266">
        <v>0</v>
      </c>
      <c r="AA266">
        <v>21</v>
      </c>
      <c r="AB266">
        <v>0</v>
      </c>
      <c r="AC266">
        <v>0</v>
      </c>
      <c r="AD266" t="s">
        <v>130</v>
      </c>
      <c r="AF266" t="s">
        <v>130</v>
      </c>
      <c r="AH266">
        <v>51.35</v>
      </c>
    </row>
    <row r="267" spans="1:34" x14ac:dyDescent="0.3">
      <c r="A267" s="4">
        <v>274</v>
      </c>
      <c r="B267" s="5">
        <v>260</v>
      </c>
      <c r="C267">
        <v>3536</v>
      </c>
      <c r="D267" t="s">
        <v>3454</v>
      </c>
      <c r="E267" t="s">
        <v>208</v>
      </c>
      <c r="F267" t="s">
        <v>230</v>
      </c>
      <c r="G267" t="s">
        <v>8969</v>
      </c>
      <c r="H267">
        <v>18.3</v>
      </c>
      <c r="I267">
        <v>0</v>
      </c>
      <c r="J267">
        <v>0</v>
      </c>
      <c r="K267">
        <v>20</v>
      </c>
      <c r="L267">
        <v>7</v>
      </c>
      <c r="O267">
        <v>7</v>
      </c>
      <c r="P267">
        <v>4</v>
      </c>
      <c r="Q267">
        <v>2</v>
      </c>
      <c r="R267">
        <v>51.3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 t="s">
        <v>130</v>
      </c>
      <c r="AF267" t="s">
        <v>130</v>
      </c>
      <c r="AH267">
        <v>51.3</v>
      </c>
    </row>
    <row r="268" spans="1:34" x14ac:dyDescent="0.3">
      <c r="A268" s="4">
        <v>275</v>
      </c>
      <c r="B268" s="5">
        <v>261</v>
      </c>
      <c r="C268">
        <v>15673</v>
      </c>
      <c r="D268" t="s">
        <v>3960</v>
      </c>
      <c r="E268" t="s">
        <v>8970</v>
      </c>
      <c r="F268" t="s">
        <v>20</v>
      </c>
      <c r="G268" t="s">
        <v>8971</v>
      </c>
      <c r="H268">
        <v>21.28</v>
      </c>
      <c r="I268">
        <v>0</v>
      </c>
      <c r="J268">
        <v>0</v>
      </c>
      <c r="K268">
        <v>20</v>
      </c>
      <c r="N268">
        <v>6</v>
      </c>
      <c r="O268">
        <v>6</v>
      </c>
      <c r="P268">
        <v>4</v>
      </c>
      <c r="Q268">
        <v>0</v>
      </c>
      <c r="R268">
        <v>51.28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F268" t="s">
        <v>130</v>
      </c>
      <c r="AH268">
        <v>51.28</v>
      </c>
    </row>
    <row r="269" spans="1:34" x14ac:dyDescent="0.3">
      <c r="A269" s="4">
        <v>276</v>
      </c>
      <c r="B269" s="5">
        <v>262</v>
      </c>
      <c r="C269">
        <v>1985</v>
      </c>
      <c r="D269" t="s">
        <v>348</v>
      </c>
      <c r="E269" t="s">
        <v>29</v>
      </c>
      <c r="F269" t="s">
        <v>8972</v>
      </c>
      <c r="G269" t="s">
        <v>8973</v>
      </c>
      <c r="H269">
        <v>18.28</v>
      </c>
      <c r="I269">
        <v>0</v>
      </c>
      <c r="J269">
        <v>0</v>
      </c>
      <c r="K269">
        <v>20</v>
      </c>
      <c r="L269">
        <v>7</v>
      </c>
      <c r="O269">
        <v>7</v>
      </c>
      <c r="P269">
        <v>4</v>
      </c>
      <c r="Q269">
        <v>2</v>
      </c>
      <c r="R269">
        <v>51.28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 t="s">
        <v>130</v>
      </c>
      <c r="AF269" t="s">
        <v>130</v>
      </c>
      <c r="AH269">
        <v>51.28</v>
      </c>
    </row>
    <row r="270" spans="1:34" x14ac:dyDescent="0.3">
      <c r="A270" s="4">
        <v>277</v>
      </c>
      <c r="B270" s="5">
        <v>263</v>
      </c>
      <c r="C270">
        <v>8149</v>
      </c>
      <c r="D270" t="s">
        <v>3089</v>
      </c>
      <c r="E270" t="s">
        <v>41</v>
      </c>
      <c r="F270" t="s">
        <v>521</v>
      </c>
      <c r="G270" t="s">
        <v>3090</v>
      </c>
      <c r="H270">
        <v>16.18</v>
      </c>
      <c r="I270">
        <v>0</v>
      </c>
      <c r="J270">
        <v>0</v>
      </c>
      <c r="K270">
        <v>20</v>
      </c>
      <c r="O270">
        <v>0</v>
      </c>
      <c r="P270">
        <v>4</v>
      </c>
      <c r="Q270">
        <v>2</v>
      </c>
      <c r="R270">
        <v>42.18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9</v>
      </c>
      <c r="AC270">
        <v>0</v>
      </c>
      <c r="AF270" t="s">
        <v>130</v>
      </c>
      <c r="AH270">
        <v>51.18</v>
      </c>
    </row>
    <row r="271" spans="1:34" x14ac:dyDescent="0.3">
      <c r="A271" s="4">
        <v>278</v>
      </c>
      <c r="B271" s="5">
        <v>264</v>
      </c>
      <c r="C271">
        <v>11288</v>
      </c>
      <c r="D271" t="s">
        <v>1822</v>
      </c>
      <c r="E271" t="s">
        <v>29</v>
      </c>
      <c r="F271" t="s">
        <v>2595</v>
      </c>
      <c r="G271" t="s">
        <v>8974</v>
      </c>
      <c r="H271">
        <v>18.149999999999999</v>
      </c>
      <c r="I271">
        <v>0</v>
      </c>
      <c r="J271">
        <v>0</v>
      </c>
      <c r="K271">
        <v>20</v>
      </c>
      <c r="L271">
        <v>7</v>
      </c>
      <c r="O271">
        <v>7</v>
      </c>
      <c r="P271">
        <v>4</v>
      </c>
      <c r="Q271">
        <v>2</v>
      </c>
      <c r="R271">
        <v>51.15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F271" t="s">
        <v>130</v>
      </c>
      <c r="AH271">
        <v>51.15</v>
      </c>
    </row>
    <row r="272" spans="1:34" x14ac:dyDescent="0.3">
      <c r="A272" s="4">
        <v>279</v>
      </c>
      <c r="B272" s="5">
        <v>265</v>
      </c>
      <c r="C272">
        <v>12150</v>
      </c>
      <c r="D272" t="s">
        <v>8975</v>
      </c>
      <c r="E272" t="s">
        <v>54</v>
      </c>
      <c r="F272" t="s">
        <v>238</v>
      </c>
      <c r="G272" t="s">
        <v>8976</v>
      </c>
      <c r="H272">
        <v>18.13</v>
      </c>
      <c r="I272">
        <v>0</v>
      </c>
      <c r="J272">
        <v>0</v>
      </c>
      <c r="K272">
        <v>20</v>
      </c>
      <c r="L272">
        <v>7</v>
      </c>
      <c r="O272">
        <v>7</v>
      </c>
      <c r="P272">
        <v>4</v>
      </c>
      <c r="Q272">
        <v>2</v>
      </c>
      <c r="R272">
        <v>51.13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F272" t="s">
        <v>130</v>
      </c>
      <c r="AH272">
        <v>51.13</v>
      </c>
    </row>
    <row r="273" spans="1:34" x14ac:dyDescent="0.3">
      <c r="A273" s="4">
        <v>280</v>
      </c>
      <c r="B273" s="5">
        <v>266</v>
      </c>
      <c r="C273">
        <v>12800</v>
      </c>
      <c r="D273" t="s">
        <v>8977</v>
      </c>
      <c r="E273" t="s">
        <v>858</v>
      </c>
      <c r="F273" t="s">
        <v>652</v>
      </c>
      <c r="G273" t="s">
        <v>8978</v>
      </c>
      <c r="H273">
        <v>19.88</v>
      </c>
      <c r="I273">
        <v>0</v>
      </c>
      <c r="J273">
        <v>0</v>
      </c>
      <c r="K273">
        <v>20</v>
      </c>
      <c r="L273">
        <v>7</v>
      </c>
      <c r="O273">
        <v>7</v>
      </c>
      <c r="P273">
        <v>4</v>
      </c>
      <c r="Q273">
        <v>0</v>
      </c>
      <c r="R273">
        <v>50.88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 t="s">
        <v>130</v>
      </c>
      <c r="AF273" t="s">
        <v>130</v>
      </c>
      <c r="AH273">
        <v>50.88</v>
      </c>
    </row>
    <row r="274" spans="1:34" x14ac:dyDescent="0.3">
      <c r="A274" s="4">
        <v>281</v>
      </c>
      <c r="B274" s="5">
        <v>267</v>
      </c>
      <c r="C274">
        <v>3863</v>
      </c>
      <c r="D274" t="s">
        <v>434</v>
      </c>
      <c r="E274" t="s">
        <v>54</v>
      </c>
      <c r="F274" t="s">
        <v>17</v>
      </c>
      <c r="G274" t="s">
        <v>4881</v>
      </c>
      <c r="H274">
        <v>19.88</v>
      </c>
      <c r="I274">
        <v>0</v>
      </c>
      <c r="J274">
        <v>0</v>
      </c>
      <c r="K274">
        <v>20</v>
      </c>
      <c r="L274">
        <v>7</v>
      </c>
      <c r="O274">
        <v>7</v>
      </c>
      <c r="P274">
        <v>4</v>
      </c>
      <c r="Q274">
        <v>0</v>
      </c>
      <c r="R274">
        <v>50.88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 t="s">
        <v>130</v>
      </c>
      <c r="AF274" t="s">
        <v>130</v>
      </c>
      <c r="AH274">
        <v>50.88</v>
      </c>
    </row>
    <row r="275" spans="1:34" x14ac:dyDescent="0.3">
      <c r="A275" s="4">
        <v>282</v>
      </c>
      <c r="B275" s="5">
        <v>268</v>
      </c>
      <c r="C275">
        <v>15211</v>
      </c>
      <c r="D275" t="s">
        <v>389</v>
      </c>
      <c r="E275" t="s">
        <v>188</v>
      </c>
      <c r="F275" t="s">
        <v>167</v>
      </c>
      <c r="G275" t="s">
        <v>8979</v>
      </c>
      <c r="H275">
        <v>17.78</v>
      </c>
      <c r="I275">
        <v>0</v>
      </c>
      <c r="J275">
        <v>0</v>
      </c>
      <c r="K275">
        <v>20</v>
      </c>
      <c r="L275">
        <v>7</v>
      </c>
      <c r="O275">
        <v>7</v>
      </c>
      <c r="P275">
        <v>4</v>
      </c>
      <c r="Q275">
        <v>2</v>
      </c>
      <c r="R275">
        <v>50.78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F275" t="s">
        <v>130</v>
      </c>
      <c r="AH275">
        <v>50.78</v>
      </c>
    </row>
    <row r="276" spans="1:34" x14ac:dyDescent="0.3">
      <c r="A276" s="4">
        <v>283</v>
      </c>
      <c r="B276" s="5">
        <v>269</v>
      </c>
      <c r="C276">
        <v>1157</v>
      </c>
      <c r="D276" t="s">
        <v>8980</v>
      </c>
      <c r="E276" t="s">
        <v>188</v>
      </c>
      <c r="F276" t="s">
        <v>38</v>
      </c>
      <c r="G276" t="s">
        <v>8981</v>
      </c>
      <c r="H276">
        <v>17.63</v>
      </c>
      <c r="I276">
        <v>0</v>
      </c>
      <c r="J276">
        <v>0</v>
      </c>
      <c r="K276">
        <v>20</v>
      </c>
      <c r="L276">
        <v>7</v>
      </c>
      <c r="O276">
        <v>7</v>
      </c>
      <c r="P276">
        <v>4</v>
      </c>
      <c r="Q276">
        <v>2</v>
      </c>
      <c r="R276">
        <v>50.63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F276" t="s">
        <v>130</v>
      </c>
      <c r="AH276">
        <v>50.63</v>
      </c>
    </row>
    <row r="277" spans="1:34" x14ac:dyDescent="0.3">
      <c r="A277" s="4">
        <v>284</v>
      </c>
      <c r="B277" s="5">
        <v>270</v>
      </c>
      <c r="C277">
        <v>5526</v>
      </c>
      <c r="D277" t="s">
        <v>8037</v>
      </c>
      <c r="E277" t="s">
        <v>8982</v>
      </c>
      <c r="F277" t="s">
        <v>38</v>
      </c>
      <c r="G277" t="s">
        <v>8983</v>
      </c>
      <c r="H277">
        <v>19.53</v>
      </c>
      <c r="I277">
        <v>0</v>
      </c>
      <c r="J277">
        <v>0</v>
      </c>
      <c r="K277">
        <v>0</v>
      </c>
      <c r="M277">
        <v>5</v>
      </c>
      <c r="O277">
        <v>5</v>
      </c>
      <c r="P277">
        <v>4</v>
      </c>
      <c r="Q277">
        <v>2</v>
      </c>
      <c r="R277">
        <v>30.53</v>
      </c>
      <c r="S277">
        <v>17</v>
      </c>
      <c r="T277">
        <v>17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17</v>
      </c>
      <c r="AB277">
        <v>3</v>
      </c>
      <c r="AC277">
        <v>0</v>
      </c>
      <c r="AD277" t="s">
        <v>130</v>
      </c>
      <c r="AF277" t="s">
        <v>130</v>
      </c>
      <c r="AH277">
        <v>50.53</v>
      </c>
    </row>
    <row r="278" spans="1:34" x14ac:dyDescent="0.3">
      <c r="A278" s="4">
        <v>285</v>
      </c>
      <c r="B278" s="5">
        <v>271</v>
      </c>
      <c r="C278">
        <v>11822</v>
      </c>
      <c r="D278" t="s">
        <v>1874</v>
      </c>
      <c r="E278" t="s">
        <v>178</v>
      </c>
      <c r="F278" t="s">
        <v>30</v>
      </c>
      <c r="G278" t="s">
        <v>8984</v>
      </c>
      <c r="H278">
        <v>17.5</v>
      </c>
      <c r="I278">
        <v>0</v>
      </c>
      <c r="J278">
        <v>0</v>
      </c>
      <c r="K278">
        <v>20</v>
      </c>
      <c r="N278">
        <v>3</v>
      </c>
      <c r="O278">
        <v>3</v>
      </c>
      <c r="P278">
        <v>4</v>
      </c>
      <c r="Q278">
        <v>0</v>
      </c>
      <c r="R278">
        <v>44.5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6</v>
      </c>
      <c r="AC278">
        <v>0</v>
      </c>
      <c r="AD278" t="s">
        <v>130</v>
      </c>
      <c r="AE278" t="s">
        <v>130</v>
      </c>
      <c r="AF278" t="s">
        <v>130</v>
      </c>
      <c r="AH278">
        <v>50.5</v>
      </c>
    </row>
    <row r="279" spans="1:34" x14ac:dyDescent="0.3">
      <c r="A279" s="4">
        <v>286</v>
      </c>
      <c r="B279" s="5">
        <v>272</v>
      </c>
      <c r="C279">
        <v>2502</v>
      </c>
      <c r="D279" t="s">
        <v>8985</v>
      </c>
      <c r="E279" t="s">
        <v>4137</v>
      </c>
      <c r="F279" t="s">
        <v>68</v>
      </c>
      <c r="G279" t="s">
        <v>8986</v>
      </c>
      <c r="H279">
        <v>18.329999999999998</v>
      </c>
      <c r="I279">
        <v>0</v>
      </c>
      <c r="J279">
        <v>0</v>
      </c>
      <c r="K279">
        <v>20</v>
      </c>
      <c r="N279">
        <v>3</v>
      </c>
      <c r="O279">
        <v>3</v>
      </c>
      <c r="P279">
        <v>0</v>
      </c>
      <c r="Q279">
        <v>2</v>
      </c>
      <c r="R279">
        <v>43.33</v>
      </c>
      <c r="S279">
        <v>7</v>
      </c>
      <c r="T279">
        <v>7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7</v>
      </c>
      <c r="AB279">
        <v>0</v>
      </c>
      <c r="AC279">
        <v>0</v>
      </c>
      <c r="AF279" t="s">
        <v>130</v>
      </c>
      <c r="AH279">
        <v>50.33</v>
      </c>
    </row>
    <row r="280" spans="1:34" x14ac:dyDescent="0.3">
      <c r="A280" s="4">
        <v>287</v>
      </c>
      <c r="B280" s="5">
        <v>273</v>
      </c>
      <c r="C280">
        <v>10101</v>
      </c>
      <c r="D280" t="s">
        <v>4343</v>
      </c>
      <c r="E280" t="s">
        <v>161</v>
      </c>
      <c r="F280" t="s">
        <v>832</v>
      </c>
      <c r="G280" t="s">
        <v>8987</v>
      </c>
      <c r="H280">
        <v>17.28</v>
      </c>
      <c r="I280">
        <v>0</v>
      </c>
      <c r="J280">
        <v>0</v>
      </c>
      <c r="K280">
        <v>20</v>
      </c>
      <c r="L280">
        <v>7</v>
      </c>
      <c r="O280">
        <v>7</v>
      </c>
      <c r="P280">
        <v>4</v>
      </c>
      <c r="Q280">
        <v>2</v>
      </c>
      <c r="R280">
        <v>50.28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F280" t="s">
        <v>130</v>
      </c>
      <c r="AH280">
        <v>50.28</v>
      </c>
    </row>
    <row r="281" spans="1:34" x14ac:dyDescent="0.3">
      <c r="A281" s="4">
        <v>288</v>
      </c>
      <c r="B281" s="5">
        <v>274</v>
      </c>
      <c r="C281">
        <v>904</v>
      </c>
      <c r="D281" t="s">
        <v>8988</v>
      </c>
      <c r="E281" t="s">
        <v>100</v>
      </c>
      <c r="F281" t="s">
        <v>136</v>
      </c>
      <c r="G281" t="s">
        <v>8989</v>
      </c>
      <c r="H281">
        <v>20.25</v>
      </c>
      <c r="I281">
        <v>0</v>
      </c>
      <c r="J281">
        <v>0</v>
      </c>
      <c r="K281">
        <v>20</v>
      </c>
      <c r="N281">
        <v>3</v>
      </c>
      <c r="O281">
        <v>3</v>
      </c>
      <c r="P281">
        <v>4</v>
      </c>
      <c r="Q281">
        <v>0</v>
      </c>
      <c r="R281">
        <v>47.25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3</v>
      </c>
      <c r="AC281">
        <v>0</v>
      </c>
      <c r="AF281" t="s">
        <v>130</v>
      </c>
      <c r="AH281">
        <v>50.25</v>
      </c>
    </row>
    <row r="282" spans="1:34" x14ac:dyDescent="0.3">
      <c r="A282" s="4">
        <v>289</v>
      </c>
      <c r="B282" s="5">
        <v>275</v>
      </c>
      <c r="C282">
        <v>12269</v>
      </c>
      <c r="D282" t="s">
        <v>8990</v>
      </c>
      <c r="E282" t="s">
        <v>563</v>
      </c>
      <c r="F282" t="s">
        <v>892</v>
      </c>
      <c r="G282" t="s">
        <v>8991</v>
      </c>
      <c r="H282">
        <v>17.25</v>
      </c>
      <c r="I282">
        <v>0</v>
      </c>
      <c r="J282">
        <v>0</v>
      </c>
      <c r="K282">
        <v>20</v>
      </c>
      <c r="L282">
        <v>7</v>
      </c>
      <c r="O282">
        <v>7</v>
      </c>
      <c r="P282">
        <v>4</v>
      </c>
      <c r="Q282">
        <v>2</v>
      </c>
      <c r="R282">
        <v>50.25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 t="s">
        <v>130</v>
      </c>
      <c r="AF282" t="s">
        <v>130</v>
      </c>
      <c r="AH282">
        <v>50.25</v>
      </c>
    </row>
    <row r="283" spans="1:34" x14ac:dyDescent="0.3">
      <c r="A283" s="4">
        <v>290</v>
      </c>
      <c r="B283" s="5">
        <v>276</v>
      </c>
      <c r="C283">
        <v>12282</v>
      </c>
      <c r="D283" t="s">
        <v>8992</v>
      </c>
      <c r="E283" t="s">
        <v>692</v>
      </c>
      <c r="F283" t="s">
        <v>8993</v>
      </c>
      <c r="G283">
        <v>972698</v>
      </c>
      <c r="H283">
        <v>21.23</v>
      </c>
      <c r="I283">
        <v>0</v>
      </c>
      <c r="J283">
        <v>0</v>
      </c>
      <c r="K283">
        <v>20</v>
      </c>
      <c r="N283">
        <v>3</v>
      </c>
      <c r="O283">
        <v>3</v>
      </c>
      <c r="P283">
        <v>4</v>
      </c>
      <c r="Q283">
        <v>0</v>
      </c>
      <c r="R283">
        <v>48.23</v>
      </c>
      <c r="S283">
        <v>2</v>
      </c>
      <c r="T283">
        <v>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2</v>
      </c>
      <c r="AB283">
        <v>0</v>
      </c>
      <c r="AC283">
        <v>0</v>
      </c>
      <c r="AF283" t="s">
        <v>130</v>
      </c>
      <c r="AH283">
        <v>50.23</v>
      </c>
    </row>
    <row r="284" spans="1:34" x14ac:dyDescent="0.3">
      <c r="A284" s="4">
        <v>291</v>
      </c>
      <c r="B284" s="5">
        <v>277</v>
      </c>
      <c r="C284">
        <v>13213</v>
      </c>
      <c r="D284" t="s">
        <v>8994</v>
      </c>
      <c r="E284" t="s">
        <v>88</v>
      </c>
      <c r="F284" t="s">
        <v>91</v>
      </c>
      <c r="G284" t="s">
        <v>8995</v>
      </c>
      <c r="H284">
        <v>17.18</v>
      </c>
      <c r="I284">
        <v>0</v>
      </c>
      <c r="J284">
        <v>0</v>
      </c>
      <c r="K284">
        <v>0</v>
      </c>
      <c r="L284">
        <v>7</v>
      </c>
      <c r="O284">
        <v>7</v>
      </c>
      <c r="P284">
        <v>4</v>
      </c>
      <c r="Q284">
        <v>2</v>
      </c>
      <c r="R284">
        <v>30.18</v>
      </c>
      <c r="S284">
        <v>14</v>
      </c>
      <c r="T284">
        <v>14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14</v>
      </c>
      <c r="AB284">
        <v>6</v>
      </c>
      <c r="AC284">
        <v>0</v>
      </c>
      <c r="AF284" t="s">
        <v>130</v>
      </c>
      <c r="AH284">
        <v>50.18</v>
      </c>
    </row>
    <row r="285" spans="1:34" x14ac:dyDescent="0.3">
      <c r="A285" s="4">
        <v>292</v>
      </c>
      <c r="B285" s="5">
        <v>278</v>
      </c>
      <c r="C285">
        <v>12489</v>
      </c>
      <c r="D285" t="s">
        <v>1857</v>
      </c>
      <c r="E285" t="s">
        <v>208</v>
      </c>
      <c r="F285" t="s">
        <v>6216</v>
      </c>
      <c r="G285" t="s">
        <v>8996</v>
      </c>
      <c r="H285">
        <v>17.149999999999999</v>
      </c>
      <c r="I285">
        <v>0</v>
      </c>
      <c r="J285">
        <v>0</v>
      </c>
      <c r="K285">
        <v>20</v>
      </c>
      <c r="L285">
        <v>7</v>
      </c>
      <c r="O285">
        <v>7</v>
      </c>
      <c r="P285">
        <v>4</v>
      </c>
      <c r="Q285">
        <v>2</v>
      </c>
      <c r="R285">
        <v>50.15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F285" t="s">
        <v>130</v>
      </c>
      <c r="AH285">
        <v>50.15</v>
      </c>
    </row>
    <row r="286" spans="1:34" x14ac:dyDescent="0.3">
      <c r="A286" s="4">
        <v>293</v>
      </c>
      <c r="B286" s="5">
        <v>279</v>
      </c>
      <c r="C286">
        <v>2983</v>
      </c>
      <c r="D286" t="s">
        <v>6920</v>
      </c>
      <c r="E286" t="s">
        <v>219</v>
      </c>
      <c r="F286" t="s">
        <v>117</v>
      </c>
      <c r="G286" t="s">
        <v>8997</v>
      </c>
      <c r="H286">
        <v>18.100000000000001</v>
      </c>
      <c r="I286">
        <v>0</v>
      </c>
      <c r="J286">
        <v>0</v>
      </c>
      <c r="K286">
        <v>20</v>
      </c>
      <c r="N286">
        <v>3</v>
      </c>
      <c r="O286">
        <v>3</v>
      </c>
      <c r="P286">
        <v>4</v>
      </c>
      <c r="Q286">
        <v>2</v>
      </c>
      <c r="R286">
        <v>47.1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3</v>
      </c>
      <c r="AC286">
        <v>0</v>
      </c>
      <c r="AD286" t="s">
        <v>130</v>
      </c>
      <c r="AF286" t="s">
        <v>130</v>
      </c>
      <c r="AH286">
        <v>50.1</v>
      </c>
    </row>
    <row r="287" spans="1:34" x14ac:dyDescent="0.3">
      <c r="A287" s="4">
        <v>294</v>
      </c>
      <c r="B287" s="5">
        <v>280</v>
      </c>
      <c r="C287">
        <v>13208</v>
      </c>
      <c r="D287" t="s">
        <v>8998</v>
      </c>
      <c r="E287" t="s">
        <v>8999</v>
      </c>
      <c r="F287" t="s">
        <v>124</v>
      </c>
      <c r="G287" t="s">
        <v>9000</v>
      </c>
      <c r="H287">
        <v>19</v>
      </c>
      <c r="I287">
        <v>0</v>
      </c>
      <c r="J287">
        <v>0</v>
      </c>
      <c r="K287">
        <v>20</v>
      </c>
      <c r="L287">
        <v>7</v>
      </c>
      <c r="O287">
        <v>7</v>
      </c>
      <c r="P287">
        <v>4</v>
      </c>
      <c r="Q287">
        <v>0</v>
      </c>
      <c r="R287">
        <v>50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F287" t="s">
        <v>130</v>
      </c>
      <c r="AH287">
        <v>50</v>
      </c>
    </row>
    <row r="288" spans="1:34" x14ac:dyDescent="0.3">
      <c r="A288" s="4">
        <v>295</v>
      </c>
      <c r="B288" s="5">
        <v>281</v>
      </c>
      <c r="C288">
        <v>9710</v>
      </c>
      <c r="D288" t="s">
        <v>1240</v>
      </c>
      <c r="E288" t="s">
        <v>100</v>
      </c>
      <c r="F288" t="s">
        <v>68</v>
      </c>
      <c r="G288" t="s">
        <v>9001</v>
      </c>
      <c r="H288">
        <v>17.98</v>
      </c>
      <c r="I288">
        <v>0</v>
      </c>
      <c r="J288">
        <v>0</v>
      </c>
      <c r="K288">
        <v>20</v>
      </c>
      <c r="N288">
        <v>3</v>
      </c>
      <c r="O288">
        <v>3</v>
      </c>
      <c r="P288">
        <v>4</v>
      </c>
      <c r="Q288">
        <v>2</v>
      </c>
      <c r="R288">
        <v>46.98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3</v>
      </c>
      <c r="AC288">
        <v>0</v>
      </c>
      <c r="AF288" t="s">
        <v>130</v>
      </c>
      <c r="AH288">
        <v>49.98</v>
      </c>
    </row>
    <row r="289" spans="1:34" x14ac:dyDescent="0.3">
      <c r="A289" s="4">
        <v>296</v>
      </c>
      <c r="B289" s="5">
        <v>282</v>
      </c>
      <c r="C289">
        <v>4420</v>
      </c>
      <c r="D289" t="s">
        <v>9002</v>
      </c>
      <c r="E289" t="s">
        <v>789</v>
      </c>
      <c r="F289" t="s">
        <v>38</v>
      </c>
      <c r="G289" t="s">
        <v>32042</v>
      </c>
      <c r="H289">
        <v>16.98</v>
      </c>
      <c r="I289">
        <v>0</v>
      </c>
      <c r="J289">
        <v>0</v>
      </c>
      <c r="K289">
        <v>20</v>
      </c>
      <c r="L289">
        <v>7</v>
      </c>
      <c r="O289">
        <v>7</v>
      </c>
      <c r="P289">
        <v>4</v>
      </c>
      <c r="Q289">
        <v>2</v>
      </c>
      <c r="R289">
        <v>49.98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F289" t="s">
        <v>130</v>
      </c>
      <c r="AH289">
        <v>49.98</v>
      </c>
    </row>
    <row r="290" spans="1:34" x14ac:dyDescent="0.3">
      <c r="A290" s="4">
        <v>297</v>
      </c>
      <c r="B290" s="5">
        <v>283</v>
      </c>
      <c r="C290">
        <v>2052</v>
      </c>
      <c r="D290" t="s">
        <v>453</v>
      </c>
      <c r="E290" t="s">
        <v>88</v>
      </c>
      <c r="F290" t="s">
        <v>652</v>
      </c>
      <c r="G290" t="s">
        <v>9003</v>
      </c>
      <c r="H290">
        <v>21.95</v>
      </c>
      <c r="I290">
        <v>0</v>
      </c>
      <c r="J290">
        <v>0</v>
      </c>
      <c r="K290">
        <v>0</v>
      </c>
      <c r="N290">
        <v>3</v>
      </c>
      <c r="O290">
        <v>3</v>
      </c>
      <c r="P290">
        <v>4</v>
      </c>
      <c r="Q290">
        <v>2</v>
      </c>
      <c r="R290">
        <v>30.95</v>
      </c>
      <c r="S290">
        <v>13</v>
      </c>
      <c r="T290">
        <v>13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13</v>
      </c>
      <c r="AB290">
        <v>6</v>
      </c>
      <c r="AC290">
        <v>0</v>
      </c>
      <c r="AD290" t="s">
        <v>130</v>
      </c>
      <c r="AF290" t="s">
        <v>130</v>
      </c>
      <c r="AH290">
        <v>49.95</v>
      </c>
    </row>
    <row r="291" spans="1:34" x14ac:dyDescent="0.3">
      <c r="A291" s="4">
        <v>298</v>
      </c>
      <c r="B291" s="5">
        <v>284</v>
      </c>
      <c r="C291">
        <v>4404</v>
      </c>
      <c r="D291" t="s">
        <v>9004</v>
      </c>
      <c r="E291" t="s">
        <v>38</v>
      </c>
      <c r="F291" t="s">
        <v>81</v>
      </c>
      <c r="G291" t="s">
        <v>9005</v>
      </c>
      <c r="H291">
        <v>18.95</v>
      </c>
      <c r="I291">
        <v>0</v>
      </c>
      <c r="J291">
        <v>0</v>
      </c>
      <c r="K291">
        <v>20</v>
      </c>
      <c r="L291">
        <v>7</v>
      </c>
      <c r="O291">
        <v>7</v>
      </c>
      <c r="P291">
        <v>4</v>
      </c>
      <c r="Q291">
        <v>0</v>
      </c>
      <c r="R291">
        <v>49.95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F291" t="s">
        <v>130</v>
      </c>
      <c r="AH291">
        <v>49.95</v>
      </c>
    </row>
    <row r="292" spans="1:34" x14ac:dyDescent="0.3">
      <c r="A292" s="4">
        <v>299</v>
      </c>
      <c r="B292" s="5">
        <v>285</v>
      </c>
      <c r="C292">
        <v>12900</v>
      </c>
      <c r="D292" t="s">
        <v>9006</v>
      </c>
      <c r="E292" t="s">
        <v>967</v>
      </c>
      <c r="F292" t="s">
        <v>124</v>
      </c>
      <c r="G292" t="s">
        <v>9007</v>
      </c>
      <c r="H292">
        <v>16.95</v>
      </c>
      <c r="I292">
        <v>0</v>
      </c>
      <c r="J292">
        <v>0</v>
      </c>
      <c r="K292">
        <v>20</v>
      </c>
      <c r="L292">
        <v>7</v>
      </c>
      <c r="O292">
        <v>7</v>
      </c>
      <c r="P292">
        <v>4</v>
      </c>
      <c r="Q292">
        <v>2</v>
      </c>
      <c r="R292">
        <v>49.95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F292" t="s">
        <v>130</v>
      </c>
      <c r="AH292">
        <v>49.95</v>
      </c>
    </row>
    <row r="293" spans="1:34" x14ac:dyDescent="0.3">
      <c r="A293" s="4">
        <v>300</v>
      </c>
      <c r="B293" s="5">
        <v>286</v>
      </c>
      <c r="C293">
        <v>15261</v>
      </c>
      <c r="D293" t="s">
        <v>3456</v>
      </c>
      <c r="E293" t="s">
        <v>41</v>
      </c>
      <c r="F293" t="s">
        <v>20</v>
      </c>
      <c r="G293" t="s">
        <v>9008</v>
      </c>
      <c r="H293">
        <v>17.75</v>
      </c>
      <c r="I293">
        <v>0</v>
      </c>
      <c r="J293">
        <v>0</v>
      </c>
      <c r="K293">
        <v>20</v>
      </c>
      <c r="M293">
        <v>5</v>
      </c>
      <c r="N293">
        <v>3</v>
      </c>
      <c r="O293">
        <v>8</v>
      </c>
      <c r="P293">
        <v>4</v>
      </c>
      <c r="Q293">
        <v>0</v>
      </c>
      <c r="R293">
        <v>49.75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F293" t="s">
        <v>130</v>
      </c>
      <c r="AH293">
        <v>49.75</v>
      </c>
    </row>
    <row r="294" spans="1:34" x14ac:dyDescent="0.3">
      <c r="A294" s="4">
        <v>301</v>
      </c>
      <c r="B294" s="5">
        <v>287</v>
      </c>
      <c r="C294">
        <v>14574</v>
      </c>
      <c r="D294" t="s">
        <v>9009</v>
      </c>
      <c r="E294" t="s">
        <v>9010</v>
      </c>
      <c r="F294" t="s">
        <v>34</v>
      </c>
      <c r="G294" t="s">
        <v>9011</v>
      </c>
      <c r="H294">
        <v>20.65</v>
      </c>
      <c r="I294">
        <v>0</v>
      </c>
      <c r="J294">
        <v>0</v>
      </c>
      <c r="K294">
        <v>20</v>
      </c>
      <c r="O294">
        <v>0</v>
      </c>
      <c r="P294">
        <v>4</v>
      </c>
      <c r="Q294">
        <v>2</v>
      </c>
      <c r="R294">
        <v>46.65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3</v>
      </c>
      <c r="AC294">
        <v>0</v>
      </c>
      <c r="AD294" t="s">
        <v>130</v>
      </c>
      <c r="AF294" t="s">
        <v>130</v>
      </c>
      <c r="AH294">
        <v>49.65</v>
      </c>
    </row>
    <row r="295" spans="1:34" x14ac:dyDescent="0.3">
      <c r="A295" s="4">
        <v>302</v>
      </c>
      <c r="B295" s="5">
        <v>288</v>
      </c>
      <c r="C295">
        <v>2465</v>
      </c>
      <c r="D295" t="s">
        <v>9012</v>
      </c>
      <c r="E295" t="s">
        <v>560</v>
      </c>
      <c r="F295" t="s">
        <v>38</v>
      </c>
      <c r="G295" t="s">
        <v>9013</v>
      </c>
      <c r="H295">
        <v>18.649999999999999</v>
      </c>
      <c r="I295">
        <v>0</v>
      </c>
      <c r="J295">
        <v>0</v>
      </c>
      <c r="K295">
        <v>20</v>
      </c>
      <c r="L295">
        <v>7</v>
      </c>
      <c r="O295">
        <v>7</v>
      </c>
      <c r="P295">
        <v>4</v>
      </c>
      <c r="Q295">
        <v>0</v>
      </c>
      <c r="R295">
        <v>49.65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F295" t="s">
        <v>130</v>
      </c>
      <c r="AH295">
        <v>49.65</v>
      </c>
    </row>
    <row r="296" spans="1:34" x14ac:dyDescent="0.3">
      <c r="A296" s="4">
        <v>303</v>
      </c>
      <c r="B296" s="5">
        <v>289</v>
      </c>
      <c r="C296">
        <v>4658</v>
      </c>
      <c r="D296" t="s">
        <v>9014</v>
      </c>
      <c r="E296" t="s">
        <v>9015</v>
      </c>
      <c r="F296" t="s">
        <v>9016</v>
      </c>
      <c r="G296" t="s">
        <v>9017</v>
      </c>
      <c r="H296">
        <v>18.63</v>
      </c>
      <c r="I296">
        <v>0</v>
      </c>
      <c r="J296">
        <v>0</v>
      </c>
      <c r="K296">
        <v>20</v>
      </c>
      <c r="L296">
        <v>7</v>
      </c>
      <c r="O296">
        <v>7</v>
      </c>
      <c r="P296">
        <v>4</v>
      </c>
      <c r="Q296">
        <v>0</v>
      </c>
      <c r="R296">
        <v>49.63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F296" t="s">
        <v>130</v>
      </c>
      <c r="AH296">
        <v>49.63</v>
      </c>
    </row>
    <row r="297" spans="1:34" x14ac:dyDescent="0.3">
      <c r="A297" s="4">
        <v>304</v>
      </c>
      <c r="B297" s="5">
        <v>290</v>
      </c>
      <c r="C297">
        <v>7897</v>
      </c>
      <c r="D297" t="s">
        <v>9018</v>
      </c>
      <c r="E297" t="s">
        <v>104</v>
      </c>
      <c r="F297" t="s">
        <v>117</v>
      </c>
      <c r="G297" t="s">
        <v>9019</v>
      </c>
      <c r="H297">
        <v>18.600000000000001</v>
      </c>
      <c r="I297">
        <v>0</v>
      </c>
      <c r="J297">
        <v>0</v>
      </c>
      <c r="K297">
        <v>20</v>
      </c>
      <c r="L297">
        <v>7</v>
      </c>
      <c r="O297">
        <v>7</v>
      </c>
      <c r="P297">
        <v>4</v>
      </c>
      <c r="Q297">
        <v>0</v>
      </c>
      <c r="R297">
        <v>49.6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F297" t="s">
        <v>130</v>
      </c>
      <c r="AH297">
        <v>49.6</v>
      </c>
    </row>
    <row r="298" spans="1:34" x14ac:dyDescent="0.3">
      <c r="A298" s="4">
        <v>305</v>
      </c>
      <c r="B298" s="5">
        <v>291</v>
      </c>
      <c r="C298">
        <v>12943</v>
      </c>
      <c r="D298" t="s">
        <v>9020</v>
      </c>
      <c r="E298" t="s">
        <v>626</v>
      </c>
      <c r="F298" t="s">
        <v>343</v>
      </c>
      <c r="G298" t="s">
        <v>9021</v>
      </c>
      <c r="H298">
        <v>16.38</v>
      </c>
      <c r="I298">
        <v>0</v>
      </c>
      <c r="J298">
        <v>0</v>
      </c>
      <c r="K298">
        <v>20</v>
      </c>
      <c r="L298">
        <v>7</v>
      </c>
      <c r="O298">
        <v>7</v>
      </c>
      <c r="P298">
        <v>4</v>
      </c>
      <c r="Q298">
        <v>2</v>
      </c>
      <c r="R298">
        <v>49.38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F298" t="s">
        <v>130</v>
      </c>
      <c r="AH298">
        <v>49.38</v>
      </c>
    </row>
    <row r="299" spans="1:34" x14ac:dyDescent="0.3">
      <c r="A299" s="4">
        <v>306</v>
      </c>
      <c r="B299" s="5">
        <v>292</v>
      </c>
      <c r="C299">
        <v>1590</v>
      </c>
      <c r="D299" t="s">
        <v>1083</v>
      </c>
      <c r="E299" t="s">
        <v>132</v>
      </c>
      <c r="F299" t="s">
        <v>20</v>
      </c>
      <c r="G299" t="s">
        <v>9022</v>
      </c>
      <c r="H299">
        <v>17.38</v>
      </c>
      <c r="I299">
        <v>0</v>
      </c>
      <c r="J299">
        <v>0</v>
      </c>
      <c r="K299">
        <v>0</v>
      </c>
      <c r="L299">
        <v>7</v>
      </c>
      <c r="N299">
        <v>3</v>
      </c>
      <c r="O299">
        <v>10</v>
      </c>
      <c r="P299">
        <v>4</v>
      </c>
      <c r="Q299">
        <v>0</v>
      </c>
      <c r="R299">
        <v>31.38</v>
      </c>
      <c r="S299">
        <v>18</v>
      </c>
      <c r="T299">
        <v>18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18</v>
      </c>
      <c r="AB299">
        <v>0</v>
      </c>
      <c r="AC299">
        <v>0</v>
      </c>
      <c r="AF299" t="s">
        <v>130</v>
      </c>
      <c r="AH299">
        <v>49.38</v>
      </c>
    </row>
    <row r="300" spans="1:34" x14ac:dyDescent="0.3">
      <c r="A300" s="4">
        <v>307</v>
      </c>
      <c r="B300" s="5">
        <v>293</v>
      </c>
      <c r="C300">
        <v>13320</v>
      </c>
      <c r="D300" t="s">
        <v>3290</v>
      </c>
      <c r="E300" t="s">
        <v>161</v>
      </c>
      <c r="F300" t="s">
        <v>117</v>
      </c>
      <c r="G300" t="s">
        <v>9023</v>
      </c>
      <c r="H300">
        <v>20.3</v>
      </c>
      <c r="I300">
        <v>0</v>
      </c>
      <c r="J300">
        <v>0</v>
      </c>
      <c r="K300">
        <v>20</v>
      </c>
      <c r="M300">
        <v>5</v>
      </c>
      <c r="O300">
        <v>5</v>
      </c>
      <c r="P300">
        <v>4</v>
      </c>
      <c r="Q300">
        <v>0</v>
      </c>
      <c r="R300">
        <v>49.3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 t="s">
        <v>130</v>
      </c>
      <c r="AF300" t="s">
        <v>130</v>
      </c>
      <c r="AH300">
        <v>49.3</v>
      </c>
    </row>
    <row r="301" spans="1:34" x14ac:dyDescent="0.3">
      <c r="A301" s="4">
        <v>308</v>
      </c>
      <c r="B301" s="5">
        <v>294</v>
      </c>
      <c r="C301">
        <v>482</v>
      </c>
      <c r="D301" t="s">
        <v>9024</v>
      </c>
      <c r="E301" t="s">
        <v>5255</v>
      </c>
      <c r="F301" t="s">
        <v>9025</v>
      </c>
      <c r="G301" t="s">
        <v>9026</v>
      </c>
      <c r="H301">
        <v>20.3</v>
      </c>
      <c r="I301">
        <v>0</v>
      </c>
      <c r="J301">
        <v>0</v>
      </c>
      <c r="K301">
        <v>20</v>
      </c>
      <c r="N301">
        <v>3</v>
      </c>
      <c r="O301">
        <v>3</v>
      </c>
      <c r="P301">
        <v>4</v>
      </c>
      <c r="Q301">
        <v>2</v>
      </c>
      <c r="R301">
        <v>49.3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F301" t="s">
        <v>130</v>
      </c>
      <c r="AH301">
        <v>49.3</v>
      </c>
    </row>
    <row r="302" spans="1:34" x14ac:dyDescent="0.3">
      <c r="A302" s="4">
        <v>309</v>
      </c>
      <c r="B302" s="5">
        <v>295</v>
      </c>
      <c r="C302">
        <v>14464</v>
      </c>
      <c r="D302" t="s">
        <v>6054</v>
      </c>
      <c r="E302" t="s">
        <v>54</v>
      </c>
      <c r="F302" t="s">
        <v>1566</v>
      </c>
      <c r="G302" t="s">
        <v>9027</v>
      </c>
      <c r="H302">
        <v>18.23</v>
      </c>
      <c r="I302">
        <v>0</v>
      </c>
      <c r="J302">
        <v>0</v>
      </c>
      <c r="K302">
        <v>20</v>
      </c>
      <c r="M302">
        <v>5</v>
      </c>
      <c r="O302">
        <v>5</v>
      </c>
      <c r="P302">
        <v>4</v>
      </c>
      <c r="Q302">
        <v>2</v>
      </c>
      <c r="R302">
        <v>49.23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F302" t="s">
        <v>130</v>
      </c>
      <c r="AH302">
        <v>49.23</v>
      </c>
    </row>
    <row r="303" spans="1:34" x14ac:dyDescent="0.3">
      <c r="A303" s="4">
        <v>310</v>
      </c>
      <c r="B303" s="5">
        <v>296</v>
      </c>
      <c r="C303">
        <v>14321</v>
      </c>
      <c r="D303" t="s">
        <v>9028</v>
      </c>
      <c r="E303" t="s">
        <v>161</v>
      </c>
      <c r="F303" t="s">
        <v>20</v>
      </c>
      <c r="G303" t="s">
        <v>9029</v>
      </c>
      <c r="H303">
        <v>20.18</v>
      </c>
      <c r="I303">
        <v>0</v>
      </c>
      <c r="J303">
        <v>0</v>
      </c>
      <c r="K303">
        <v>20</v>
      </c>
      <c r="N303">
        <v>3</v>
      </c>
      <c r="O303">
        <v>3</v>
      </c>
      <c r="P303">
        <v>4</v>
      </c>
      <c r="Q303">
        <v>2</v>
      </c>
      <c r="R303">
        <v>49.18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 t="s">
        <v>130</v>
      </c>
      <c r="AF303" t="s">
        <v>130</v>
      </c>
      <c r="AH303">
        <v>49.18</v>
      </c>
    </row>
    <row r="304" spans="1:34" x14ac:dyDescent="0.3">
      <c r="A304" s="4">
        <v>311</v>
      </c>
      <c r="B304" s="5">
        <v>297</v>
      </c>
      <c r="C304">
        <v>7569</v>
      </c>
      <c r="D304" t="s">
        <v>9030</v>
      </c>
      <c r="E304" t="s">
        <v>1280</v>
      </c>
      <c r="F304" t="s">
        <v>81</v>
      </c>
      <c r="G304" t="s">
        <v>9031</v>
      </c>
      <c r="H304">
        <v>18.149999999999999</v>
      </c>
      <c r="I304">
        <v>0</v>
      </c>
      <c r="J304">
        <v>0</v>
      </c>
      <c r="K304">
        <v>20</v>
      </c>
      <c r="L304">
        <v>7</v>
      </c>
      <c r="O304">
        <v>7</v>
      </c>
      <c r="P304">
        <v>4</v>
      </c>
      <c r="Q304">
        <v>0</v>
      </c>
      <c r="R304">
        <v>49.15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F304" t="s">
        <v>130</v>
      </c>
      <c r="AH304">
        <v>49.15</v>
      </c>
    </row>
    <row r="305" spans="1:34" x14ac:dyDescent="0.3">
      <c r="A305" s="4">
        <v>312</v>
      </c>
      <c r="B305" s="5">
        <v>298</v>
      </c>
      <c r="C305">
        <v>10451</v>
      </c>
      <c r="D305" t="s">
        <v>9032</v>
      </c>
      <c r="E305" t="s">
        <v>178</v>
      </c>
      <c r="F305" t="s">
        <v>328</v>
      </c>
      <c r="G305" t="s">
        <v>9033</v>
      </c>
      <c r="H305">
        <v>17.13</v>
      </c>
      <c r="I305">
        <v>0</v>
      </c>
      <c r="J305">
        <v>0</v>
      </c>
      <c r="K305">
        <v>20</v>
      </c>
      <c r="N305">
        <v>3</v>
      </c>
      <c r="O305">
        <v>3</v>
      </c>
      <c r="P305">
        <v>0</v>
      </c>
      <c r="Q305">
        <v>0</v>
      </c>
      <c r="R305">
        <v>40.130000000000003</v>
      </c>
      <c r="S305">
        <v>9</v>
      </c>
      <c r="T305">
        <v>9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9</v>
      </c>
      <c r="AB305">
        <v>0</v>
      </c>
      <c r="AC305">
        <v>0</v>
      </c>
      <c r="AF305" t="s">
        <v>130</v>
      </c>
      <c r="AH305">
        <v>49.13</v>
      </c>
    </row>
    <row r="306" spans="1:34" x14ac:dyDescent="0.3">
      <c r="A306" s="4">
        <v>313</v>
      </c>
      <c r="B306" s="5">
        <v>299</v>
      </c>
      <c r="C306">
        <v>3131</v>
      </c>
      <c r="D306" t="s">
        <v>9034</v>
      </c>
      <c r="E306" t="s">
        <v>1809</v>
      </c>
      <c r="F306" t="s">
        <v>243</v>
      </c>
      <c r="G306" t="s">
        <v>9035</v>
      </c>
      <c r="H306">
        <v>17.98</v>
      </c>
      <c r="I306">
        <v>0</v>
      </c>
      <c r="J306">
        <v>0</v>
      </c>
      <c r="K306">
        <v>20</v>
      </c>
      <c r="L306">
        <v>7</v>
      </c>
      <c r="O306">
        <v>7</v>
      </c>
      <c r="P306">
        <v>4</v>
      </c>
      <c r="Q306">
        <v>0</v>
      </c>
      <c r="R306">
        <v>48.98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F306" t="s">
        <v>130</v>
      </c>
      <c r="AH306">
        <v>48.98</v>
      </c>
    </row>
    <row r="307" spans="1:34" x14ac:dyDescent="0.3">
      <c r="A307" s="4">
        <v>314</v>
      </c>
      <c r="B307" s="5">
        <v>300</v>
      </c>
      <c r="C307">
        <v>8827</v>
      </c>
      <c r="D307" t="s">
        <v>9036</v>
      </c>
      <c r="E307" t="s">
        <v>97</v>
      </c>
      <c r="F307" t="s">
        <v>136</v>
      </c>
      <c r="G307" t="s">
        <v>9037</v>
      </c>
      <c r="H307">
        <v>18.95</v>
      </c>
      <c r="I307">
        <v>0</v>
      </c>
      <c r="J307">
        <v>0</v>
      </c>
      <c r="K307">
        <v>0</v>
      </c>
      <c r="L307">
        <v>7</v>
      </c>
      <c r="O307">
        <v>7</v>
      </c>
      <c r="P307">
        <v>4</v>
      </c>
      <c r="Q307">
        <v>2</v>
      </c>
      <c r="R307">
        <v>31.95</v>
      </c>
      <c r="S307">
        <v>14</v>
      </c>
      <c r="T307">
        <v>14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14</v>
      </c>
      <c r="AB307">
        <v>3</v>
      </c>
      <c r="AC307">
        <v>0</v>
      </c>
      <c r="AF307" t="s">
        <v>130</v>
      </c>
      <c r="AH307">
        <v>48.95</v>
      </c>
    </row>
    <row r="308" spans="1:34" x14ac:dyDescent="0.3">
      <c r="A308" s="4">
        <v>315</v>
      </c>
      <c r="B308" s="5">
        <v>301</v>
      </c>
      <c r="C308">
        <v>11828</v>
      </c>
      <c r="D308" t="s">
        <v>2980</v>
      </c>
      <c r="E308" t="s">
        <v>29</v>
      </c>
      <c r="F308" t="s">
        <v>158</v>
      </c>
      <c r="G308" t="s">
        <v>9038</v>
      </c>
      <c r="H308">
        <v>19.850000000000001</v>
      </c>
      <c r="I308">
        <v>0</v>
      </c>
      <c r="J308">
        <v>0</v>
      </c>
      <c r="K308">
        <v>20</v>
      </c>
      <c r="M308">
        <v>5</v>
      </c>
      <c r="O308">
        <v>5</v>
      </c>
      <c r="P308">
        <v>4</v>
      </c>
      <c r="Q308">
        <v>0</v>
      </c>
      <c r="R308">
        <v>48.85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F308" t="s">
        <v>130</v>
      </c>
      <c r="AH308">
        <v>48.85</v>
      </c>
    </row>
    <row r="309" spans="1:34" x14ac:dyDescent="0.3">
      <c r="A309" s="4">
        <v>316</v>
      </c>
      <c r="B309" s="5">
        <v>302</v>
      </c>
      <c r="C309">
        <v>13064</v>
      </c>
      <c r="D309" t="s">
        <v>9039</v>
      </c>
      <c r="E309" t="s">
        <v>750</v>
      </c>
      <c r="F309" t="s">
        <v>30</v>
      </c>
      <c r="G309" t="s">
        <v>9040</v>
      </c>
      <c r="H309">
        <v>15.68</v>
      </c>
      <c r="I309">
        <v>0</v>
      </c>
      <c r="J309">
        <v>0</v>
      </c>
      <c r="K309">
        <v>0</v>
      </c>
      <c r="L309">
        <v>7</v>
      </c>
      <c r="O309">
        <v>7</v>
      </c>
      <c r="P309">
        <v>4</v>
      </c>
      <c r="Q309">
        <v>2</v>
      </c>
      <c r="R309">
        <v>28.68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20</v>
      </c>
      <c r="AF309" t="s">
        <v>130</v>
      </c>
      <c r="AH309">
        <v>48.68</v>
      </c>
    </row>
    <row r="310" spans="1:34" x14ac:dyDescent="0.3">
      <c r="A310" s="4">
        <v>317</v>
      </c>
      <c r="B310" s="5">
        <v>303</v>
      </c>
      <c r="C310">
        <v>1483</v>
      </c>
      <c r="D310" t="s">
        <v>977</v>
      </c>
      <c r="E310" t="s">
        <v>41</v>
      </c>
      <c r="F310" t="s">
        <v>38</v>
      </c>
      <c r="G310" t="s">
        <v>9041</v>
      </c>
      <c r="H310">
        <v>12.5</v>
      </c>
      <c r="I310">
        <v>7</v>
      </c>
      <c r="J310">
        <v>0</v>
      </c>
      <c r="K310">
        <v>20</v>
      </c>
      <c r="N310">
        <v>3</v>
      </c>
      <c r="O310">
        <v>3</v>
      </c>
      <c r="P310">
        <v>4</v>
      </c>
      <c r="Q310">
        <v>2</v>
      </c>
      <c r="R310">
        <v>48.5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F310" t="s">
        <v>130</v>
      </c>
      <c r="AH310">
        <v>48.5</v>
      </c>
    </row>
    <row r="311" spans="1:34" x14ac:dyDescent="0.3">
      <c r="A311" s="4">
        <v>318</v>
      </c>
      <c r="B311" s="5">
        <v>304</v>
      </c>
      <c r="C311">
        <v>6310</v>
      </c>
      <c r="D311" t="s">
        <v>9042</v>
      </c>
      <c r="E311" t="s">
        <v>265</v>
      </c>
      <c r="F311" t="s">
        <v>158</v>
      </c>
      <c r="G311" t="s">
        <v>9043</v>
      </c>
      <c r="H311">
        <v>18.48</v>
      </c>
      <c r="I311">
        <v>0</v>
      </c>
      <c r="J311">
        <v>0</v>
      </c>
      <c r="K311">
        <v>20</v>
      </c>
      <c r="N311">
        <v>3</v>
      </c>
      <c r="O311">
        <v>3</v>
      </c>
      <c r="P311">
        <v>4</v>
      </c>
      <c r="Q311">
        <v>0</v>
      </c>
      <c r="R311">
        <v>45.48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3</v>
      </c>
      <c r="AC311">
        <v>0</v>
      </c>
      <c r="AF311" t="s">
        <v>130</v>
      </c>
      <c r="AH311">
        <v>48.48</v>
      </c>
    </row>
    <row r="312" spans="1:34" x14ac:dyDescent="0.3">
      <c r="A312" s="4">
        <v>319</v>
      </c>
      <c r="B312" s="5">
        <v>305</v>
      </c>
      <c r="C312">
        <v>10803</v>
      </c>
      <c r="D312" t="s">
        <v>9044</v>
      </c>
      <c r="E312" t="s">
        <v>1997</v>
      </c>
      <c r="F312" t="s">
        <v>136</v>
      </c>
      <c r="G312" t="s">
        <v>9045</v>
      </c>
      <c r="H312">
        <v>19.329999999999998</v>
      </c>
      <c r="I312">
        <v>0</v>
      </c>
      <c r="J312">
        <v>0</v>
      </c>
      <c r="K312">
        <v>20</v>
      </c>
      <c r="N312">
        <v>3</v>
      </c>
      <c r="O312">
        <v>3</v>
      </c>
      <c r="P312">
        <v>4</v>
      </c>
      <c r="Q312">
        <v>2</v>
      </c>
      <c r="R312">
        <v>48.33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F312" t="s">
        <v>130</v>
      </c>
      <c r="AH312">
        <v>48.33</v>
      </c>
    </row>
    <row r="313" spans="1:34" x14ac:dyDescent="0.3">
      <c r="A313" s="4">
        <v>320</v>
      </c>
      <c r="B313" s="5">
        <v>306</v>
      </c>
      <c r="C313">
        <v>14023</v>
      </c>
      <c r="D313" t="s">
        <v>9046</v>
      </c>
      <c r="E313" t="s">
        <v>182</v>
      </c>
      <c r="F313" t="s">
        <v>20</v>
      </c>
      <c r="G313" t="s">
        <v>9047</v>
      </c>
      <c r="H313">
        <v>20.3</v>
      </c>
      <c r="I313">
        <v>0</v>
      </c>
      <c r="J313">
        <v>0</v>
      </c>
      <c r="K313">
        <v>0</v>
      </c>
      <c r="L313">
        <v>7</v>
      </c>
      <c r="O313">
        <v>7</v>
      </c>
      <c r="P313">
        <v>4</v>
      </c>
      <c r="Q313">
        <v>0</v>
      </c>
      <c r="R313">
        <v>31.3</v>
      </c>
      <c r="S313">
        <v>17</v>
      </c>
      <c r="T313">
        <v>17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17</v>
      </c>
      <c r="AB313">
        <v>0</v>
      </c>
      <c r="AC313">
        <v>0</v>
      </c>
      <c r="AF313" t="s">
        <v>130</v>
      </c>
      <c r="AH313">
        <v>48.3</v>
      </c>
    </row>
    <row r="314" spans="1:34" x14ac:dyDescent="0.3">
      <c r="A314" s="4">
        <v>321</v>
      </c>
      <c r="B314" s="5">
        <v>307</v>
      </c>
      <c r="C314">
        <v>5135</v>
      </c>
      <c r="D314" t="s">
        <v>9048</v>
      </c>
      <c r="E314" t="s">
        <v>170</v>
      </c>
      <c r="F314" t="s">
        <v>972</v>
      </c>
      <c r="G314" t="s">
        <v>9049</v>
      </c>
      <c r="H314">
        <v>19.23</v>
      </c>
      <c r="I314">
        <v>0</v>
      </c>
      <c r="J314">
        <v>0</v>
      </c>
      <c r="K314">
        <v>20</v>
      </c>
      <c r="N314">
        <v>3</v>
      </c>
      <c r="O314">
        <v>3</v>
      </c>
      <c r="P314">
        <v>4</v>
      </c>
      <c r="Q314">
        <v>2</v>
      </c>
      <c r="R314">
        <v>48.23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F314" t="s">
        <v>130</v>
      </c>
      <c r="AH314">
        <v>48.23</v>
      </c>
    </row>
    <row r="315" spans="1:34" x14ac:dyDescent="0.3">
      <c r="A315" s="4">
        <v>322</v>
      </c>
      <c r="B315" s="5">
        <v>308</v>
      </c>
      <c r="C315">
        <v>3933</v>
      </c>
      <c r="D315" t="s">
        <v>4597</v>
      </c>
      <c r="E315" t="s">
        <v>100</v>
      </c>
      <c r="F315" t="s">
        <v>38</v>
      </c>
      <c r="G315" t="s">
        <v>9050</v>
      </c>
      <c r="H315">
        <v>19.23</v>
      </c>
      <c r="I315">
        <v>0</v>
      </c>
      <c r="J315">
        <v>0</v>
      </c>
      <c r="K315">
        <v>20</v>
      </c>
      <c r="N315">
        <v>3</v>
      </c>
      <c r="O315">
        <v>3</v>
      </c>
      <c r="P315">
        <v>4</v>
      </c>
      <c r="Q315">
        <v>2</v>
      </c>
      <c r="R315">
        <v>48.23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F315" t="s">
        <v>130</v>
      </c>
      <c r="AH315">
        <v>48.23</v>
      </c>
    </row>
    <row r="316" spans="1:34" x14ac:dyDescent="0.3">
      <c r="A316" s="4">
        <v>323</v>
      </c>
      <c r="B316" s="5">
        <v>309</v>
      </c>
      <c r="C316">
        <v>1116</v>
      </c>
      <c r="D316" t="s">
        <v>6131</v>
      </c>
      <c r="E316" t="s">
        <v>789</v>
      </c>
      <c r="F316" t="s">
        <v>20</v>
      </c>
      <c r="G316" t="s">
        <v>9051</v>
      </c>
      <c r="H316">
        <v>18.23</v>
      </c>
      <c r="I316">
        <v>0</v>
      </c>
      <c r="J316">
        <v>0</v>
      </c>
      <c r="K316">
        <v>20</v>
      </c>
      <c r="N316">
        <v>3</v>
      </c>
      <c r="O316">
        <v>3</v>
      </c>
      <c r="P316">
        <v>4</v>
      </c>
      <c r="Q316">
        <v>0</v>
      </c>
      <c r="R316">
        <v>45.23</v>
      </c>
      <c r="S316">
        <v>3</v>
      </c>
      <c r="T316">
        <v>3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3</v>
      </c>
      <c r="AB316">
        <v>0</v>
      </c>
      <c r="AC316">
        <v>0</v>
      </c>
      <c r="AF316" t="s">
        <v>130</v>
      </c>
      <c r="AH316">
        <v>48.23</v>
      </c>
    </row>
    <row r="317" spans="1:34" x14ac:dyDescent="0.3">
      <c r="A317" s="4">
        <v>324</v>
      </c>
      <c r="B317" s="5">
        <v>310</v>
      </c>
      <c r="C317">
        <v>12144</v>
      </c>
      <c r="D317" t="s">
        <v>9052</v>
      </c>
      <c r="E317" t="s">
        <v>29</v>
      </c>
      <c r="F317" t="s">
        <v>158</v>
      </c>
      <c r="G317" t="s">
        <v>9053</v>
      </c>
      <c r="H317">
        <v>19.2</v>
      </c>
      <c r="I317">
        <v>0</v>
      </c>
      <c r="J317">
        <v>0</v>
      </c>
      <c r="K317">
        <v>20</v>
      </c>
      <c r="N317">
        <v>3</v>
      </c>
      <c r="O317">
        <v>3</v>
      </c>
      <c r="P317">
        <v>4</v>
      </c>
      <c r="Q317">
        <v>2</v>
      </c>
      <c r="R317">
        <v>48.2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 t="s">
        <v>130</v>
      </c>
      <c r="AF317" t="s">
        <v>130</v>
      </c>
      <c r="AH317">
        <v>48.2</v>
      </c>
    </row>
    <row r="318" spans="1:34" x14ac:dyDescent="0.3">
      <c r="A318" s="4">
        <v>325</v>
      </c>
      <c r="B318" s="5">
        <v>311</v>
      </c>
      <c r="C318">
        <v>10058</v>
      </c>
      <c r="D318" t="s">
        <v>9054</v>
      </c>
      <c r="E318" t="s">
        <v>29</v>
      </c>
      <c r="F318" t="s">
        <v>20</v>
      </c>
      <c r="G318" t="s">
        <v>9055</v>
      </c>
      <c r="H318">
        <v>19.100000000000001</v>
      </c>
      <c r="I318">
        <v>0</v>
      </c>
      <c r="J318">
        <v>0</v>
      </c>
      <c r="K318">
        <v>20</v>
      </c>
      <c r="M318">
        <v>5</v>
      </c>
      <c r="O318">
        <v>5</v>
      </c>
      <c r="P318">
        <v>4</v>
      </c>
      <c r="Q318">
        <v>0</v>
      </c>
      <c r="R318">
        <v>48.1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 t="s">
        <v>130</v>
      </c>
      <c r="AF318" t="s">
        <v>130</v>
      </c>
      <c r="AH318">
        <v>48.1</v>
      </c>
    </row>
    <row r="319" spans="1:34" x14ac:dyDescent="0.3">
      <c r="A319" s="4">
        <v>326</v>
      </c>
      <c r="B319" s="5">
        <v>312</v>
      </c>
      <c r="C319">
        <v>3614</v>
      </c>
      <c r="D319" t="s">
        <v>4201</v>
      </c>
      <c r="E319" t="s">
        <v>283</v>
      </c>
      <c r="F319" t="s">
        <v>30</v>
      </c>
      <c r="G319" t="s">
        <v>9056</v>
      </c>
      <c r="H319">
        <v>19.05</v>
      </c>
      <c r="I319">
        <v>0</v>
      </c>
      <c r="J319">
        <v>0</v>
      </c>
      <c r="K319">
        <v>20</v>
      </c>
      <c r="N319">
        <v>3</v>
      </c>
      <c r="O319">
        <v>3</v>
      </c>
      <c r="P319">
        <v>4</v>
      </c>
      <c r="Q319">
        <v>2</v>
      </c>
      <c r="R319">
        <v>48.05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F319" t="s">
        <v>130</v>
      </c>
      <c r="AH319">
        <v>48.05</v>
      </c>
    </row>
    <row r="320" spans="1:34" x14ac:dyDescent="0.3">
      <c r="A320" s="4">
        <v>327</v>
      </c>
      <c r="B320" s="5">
        <v>313</v>
      </c>
      <c r="C320">
        <v>2001</v>
      </c>
      <c r="D320" t="s">
        <v>9057</v>
      </c>
      <c r="E320" t="s">
        <v>9058</v>
      </c>
      <c r="F320" t="s">
        <v>9059</v>
      </c>
      <c r="G320" t="s">
        <v>9060</v>
      </c>
      <c r="H320">
        <v>17</v>
      </c>
      <c r="I320">
        <v>0</v>
      </c>
      <c r="J320">
        <v>0</v>
      </c>
      <c r="K320">
        <v>0</v>
      </c>
      <c r="M320">
        <v>5</v>
      </c>
      <c r="O320">
        <v>5</v>
      </c>
      <c r="P320">
        <v>4</v>
      </c>
      <c r="Q320">
        <v>2</v>
      </c>
      <c r="R320">
        <v>28</v>
      </c>
      <c r="S320">
        <v>17</v>
      </c>
      <c r="T320">
        <v>17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17</v>
      </c>
      <c r="AB320">
        <v>3</v>
      </c>
      <c r="AC320">
        <v>0</v>
      </c>
      <c r="AD320" t="s">
        <v>130</v>
      </c>
      <c r="AF320" t="s">
        <v>130</v>
      </c>
      <c r="AH320">
        <v>48</v>
      </c>
    </row>
    <row r="321" spans="1:34" x14ac:dyDescent="0.3">
      <c r="A321" s="4">
        <v>328</v>
      </c>
      <c r="B321" s="5">
        <v>314</v>
      </c>
      <c r="C321">
        <v>13585</v>
      </c>
      <c r="D321" t="s">
        <v>9061</v>
      </c>
      <c r="E321" t="s">
        <v>29</v>
      </c>
      <c r="F321" t="s">
        <v>328</v>
      </c>
      <c r="G321" t="s">
        <v>9062</v>
      </c>
      <c r="H321">
        <v>18.850000000000001</v>
      </c>
      <c r="I321">
        <v>0</v>
      </c>
      <c r="J321">
        <v>0</v>
      </c>
      <c r="K321">
        <v>20</v>
      </c>
      <c r="N321">
        <v>3</v>
      </c>
      <c r="O321">
        <v>3</v>
      </c>
      <c r="P321">
        <v>4</v>
      </c>
      <c r="Q321">
        <v>2</v>
      </c>
      <c r="R321">
        <v>47.85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F321" t="s">
        <v>130</v>
      </c>
      <c r="AH321">
        <v>47.85</v>
      </c>
    </row>
    <row r="322" spans="1:34" x14ac:dyDescent="0.3">
      <c r="A322" s="4">
        <v>329</v>
      </c>
      <c r="B322" s="5">
        <v>315</v>
      </c>
      <c r="C322">
        <v>11348</v>
      </c>
      <c r="D322" t="s">
        <v>2871</v>
      </c>
      <c r="E322" t="s">
        <v>550</v>
      </c>
      <c r="F322" t="s">
        <v>17</v>
      </c>
      <c r="G322" t="s">
        <v>9063</v>
      </c>
      <c r="H322">
        <v>17.850000000000001</v>
      </c>
      <c r="I322">
        <v>0</v>
      </c>
      <c r="J322">
        <v>0</v>
      </c>
      <c r="K322">
        <v>0</v>
      </c>
      <c r="L322">
        <v>7</v>
      </c>
      <c r="O322">
        <v>7</v>
      </c>
      <c r="P322">
        <v>4</v>
      </c>
      <c r="Q322">
        <v>2</v>
      </c>
      <c r="R322">
        <v>30.85</v>
      </c>
      <c r="S322">
        <v>17</v>
      </c>
      <c r="T322">
        <v>17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17</v>
      </c>
      <c r="AB322">
        <v>0</v>
      </c>
      <c r="AC322">
        <v>0</v>
      </c>
      <c r="AF322" t="s">
        <v>130</v>
      </c>
      <c r="AH322">
        <v>47.85</v>
      </c>
    </row>
    <row r="323" spans="1:34" x14ac:dyDescent="0.3">
      <c r="A323" s="4">
        <v>330</v>
      </c>
      <c r="B323" s="5">
        <v>316</v>
      </c>
      <c r="C323">
        <v>9060</v>
      </c>
      <c r="D323" t="s">
        <v>9064</v>
      </c>
      <c r="E323" t="s">
        <v>1474</v>
      </c>
      <c r="F323" t="s">
        <v>17</v>
      </c>
      <c r="G323" t="s">
        <v>31998</v>
      </c>
      <c r="H323">
        <v>18.73</v>
      </c>
      <c r="I323">
        <v>0</v>
      </c>
      <c r="J323">
        <v>0</v>
      </c>
      <c r="K323">
        <v>20</v>
      </c>
      <c r="N323">
        <v>3</v>
      </c>
      <c r="O323">
        <v>3</v>
      </c>
      <c r="P323">
        <v>4</v>
      </c>
      <c r="Q323">
        <v>2</v>
      </c>
      <c r="R323">
        <v>47.73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F323" t="s">
        <v>130</v>
      </c>
      <c r="AH323">
        <v>47.73</v>
      </c>
    </row>
    <row r="324" spans="1:34" x14ac:dyDescent="0.3">
      <c r="A324" s="4">
        <v>331</v>
      </c>
      <c r="B324" s="5">
        <v>317</v>
      </c>
      <c r="C324">
        <v>2092</v>
      </c>
      <c r="D324" t="s">
        <v>9065</v>
      </c>
      <c r="E324" t="s">
        <v>188</v>
      </c>
      <c r="F324" t="s">
        <v>972</v>
      </c>
      <c r="G324" t="s">
        <v>9066</v>
      </c>
      <c r="H324">
        <v>17.53</v>
      </c>
      <c r="I324">
        <v>0</v>
      </c>
      <c r="J324">
        <v>0</v>
      </c>
      <c r="K324">
        <v>20</v>
      </c>
      <c r="N324">
        <v>3</v>
      </c>
      <c r="O324">
        <v>3</v>
      </c>
      <c r="P324">
        <v>4</v>
      </c>
      <c r="Q324">
        <v>0</v>
      </c>
      <c r="R324">
        <v>44.53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3</v>
      </c>
      <c r="AC324">
        <v>0</v>
      </c>
      <c r="AD324" t="s">
        <v>130</v>
      </c>
      <c r="AF324" t="s">
        <v>130</v>
      </c>
      <c r="AH324">
        <v>47.53</v>
      </c>
    </row>
    <row r="325" spans="1:34" x14ac:dyDescent="0.3">
      <c r="A325" s="4">
        <v>332</v>
      </c>
      <c r="B325" s="5">
        <v>318</v>
      </c>
      <c r="C325">
        <v>5623</v>
      </c>
      <c r="D325" t="s">
        <v>9067</v>
      </c>
      <c r="E325" t="s">
        <v>550</v>
      </c>
      <c r="F325" t="s">
        <v>190</v>
      </c>
      <c r="G325" t="s">
        <v>9068</v>
      </c>
      <c r="H325">
        <v>20.53</v>
      </c>
      <c r="I325">
        <v>0</v>
      </c>
      <c r="J325">
        <v>0</v>
      </c>
      <c r="K325">
        <v>20</v>
      </c>
      <c r="N325">
        <v>3</v>
      </c>
      <c r="O325">
        <v>3</v>
      </c>
      <c r="P325">
        <v>4</v>
      </c>
      <c r="Q325">
        <v>0</v>
      </c>
      <c r="R325">
        <v>47.53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F325" t="s">
        <v>130</v>
      </c>
      <c r="AH325">
        <v>47.53</v>
      </c>
    </row>
    <row r="326" spans="1:34" x14ac:dyDescent="0.3">
      <c r="A326" s="4">
        <v>333</v>
      </c>
      <c r="B326" s="5">
        <v>319</v>
      </c>
      <c r="C326">
        <v>13551</v>
      </c>
      <c r="D326" t="s">
        <v>9069</v>
      </c>
      <c r="E326" t="s">
        <v>9070</v>
      </c>
      <c r="F326" t="s">
        <v>17</v>
      </c>
      <c r="G326" t="s">
        <v>9071</v>
      </c>
      <c r="H326">
        <v>18.5</v>
      </c>
      <c r="I326">
        <v>0</v>
      </c>
      <c r="J326">
        <v>0</v>
      </c>
      <c r="K326">
        <v>20</v>
      </c>
      <c r="N326">
        <v>3</v>
      </c>
      <c r="O326">
        <v>3</v>
      </c>
      <c r="P326">
        <v>4</v>
      </c>
      <c r="Q326">
        <v>2</v>
      </c>
      <c r="R326">
        <v>47.5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F326" t="s">
        <v>130</v>
      </c>
      <c r="AH326">
        <v>47.5</v>
      </c>
    </row>
    <row r="327" spans="1:34" x14ac:dyDescent="0.3">
      <c r="A327" s="4">
        <v>334</v>
      </c>
      <c r="B327" s="5">
        <v>320</v>
      </c>
      <c r="C327">
        <v>2262</v>
      </c>
      <c r="D327" t="s">
        <v>9072</v>
      </c>
      <c r="E327" t="s">
        <v>41</v>
      </c>
      <c r="F327" t="s">
        <v>136</v>
      </c>
      <c r="G327" t="s">
        <v>9073</v>
      </c>
      <c r="H327">
        <v>18.399999999999999</v>
      </c>
      <c r="I327">
        <v>0</v>
      </c>
      <c r="J327">
        <v>0</v>
      </c>
      <c r="K327">
        <v>20</v>
      </c>
      <c r="N327">
        <v>3</v>
      </c>
      <c r="O327">
        <v>3</v>
      </c>
      <c r="P327">
        <v>4</v>
      </c>
      <c r="Q327">
        <v>2</v>
      </c>
      <c r="R327">
        <v>47.4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 t="s">
        <v>130</v>
      </c>
      <c r="AF327" t="s">
        <v>130</v>
      </c>
      <c r="AH327">
        <v>47.4</v>
      </c>
    </row>
    <row r="328" spans="1:34" x14ac:dyDescent="0.3">
      <c r="A328" s="4">
        <v>335</v>
      </c>
      <c r="B328" s="5">
        <v>321</v>
      </c>
      <c r="C328">
        <v>2087</v>
      </c>
      <c r="D328" t="s">
        <v>9074</v>
      </c>
      <c r="E328" t="s">
        <v>9075</v>
      </c>
      <c r="F328" t="s">
        <v>17</v>
      </c>
      <c r="G328" t="s">
        <v>9076</v>
      </c>
      <c r="H328">
        <v>16.05</v>
      </c>
      <c r="I328">
        <v>0</v>
      </c>
      <c r="J328">
        <v>0</v>
      </c>
      <c r="K328">
        <v>20</v>
      </c>
      <c r="L328">
        <v>7</v>
      </c>
      <c r="O328">
        <v>7</v>
      </c>
      <c r="P328">
        <v>4</v>
      </c>
      <c r="Q328">
        <v>0</v>
      </c>
      <c r="R328">
        <v>47.05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F328" t="s">
        <v>130</v>
      </c>
      <c r="AH328">
        <v>47.05</v>
      </c>
    </row>
    <row r="329" spans="1:34" x14ac:dyDescent="0.3">
      <c r="A329" s="4">
        <v>336</v>
      </c>
      <c r="B329" s="5">
        <v>322</v>
      </c>
      <c r="C329">
        <v>2291</v>
      </c>
      <c r="D329" t="s">
        <v>950</v>
      </c>
      <c r="E329" t="s">
        <v>26</v>
      </c>
      <c r="F329" t="s">
        <v>230</v>
      </c>
      <c r="G329" t="s">
        <v>9077</v>
      </c>
      <c r="H329">
        <v>16.850000000000001</v>
      </c>
      <c r="I329">
        <v>0</v>
      </c>
      <c r="J329">
        <v>0</v>
      </c>
      <c r="K329">
        <v>0</v>
      </c>
      <c r="L329">
        <v>7</v>
      </c>
      <c r="N329">
        <v>3</v>
      </c>
      <c r="O329">
        <v>10</v>
      </c>
      <c r="P329">
        <v>4</v>
      </c>
      <c r="Q329">
        <v>2</v>
      </c>
      <c r="R329">
        <v>32.85</v>
      </c>
      <c r="S329">
        <v>14</v>
      </c>
      <c r="T329">
        <v>14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14</v>
      </c>
      <c r="AB329">
        <v>0</v>
      </c>
      <c r="AC329">
        <v>0</v>
      </c>
      <c r="AD329" t="s">
        <v>130</v>
      </c>
      <c r="AF329" t="s">
        <v>130</v>
      </c>
      <c r="AH329">
        <v>46.85</v>
      </c>
    </row>
    <row r="330" spans="1:34" x14ac:dyDescent="0.3">
      <c r="A330" s="4">
        <v>337</v>
      </c>
      <c r="B330" s="5">
        <v>323</v>
      </c>
      <c r="C330">
        <v>9711</v>
      </c>
      <c r="D330" t="s">
        <v>9078</v>
      </c>
      <c r="E330" t="s">
        <v>29</v>
      </c>
      <c r="F330" t="s">
        <v>587</v>
      </c>
      <c r="G330" t="s">
        <v>9079</v>
      </c>
      <c r="H330">
        <v>19.73</v>
      </c>
      <c r="I330">
        <v>0</v>
      </c>
      <c r="J330">
        <v>0</v>
      </c>
      <c r="K330">
        <v>0</v>
      </c>
      <c r="N330">
        <v>6</v>
      </c>
      <c r="O330">
        <v>6</v>
      </c>
      <c r="P330">
        <v>4</v>
      </c>
      <c r="Q330">
        <v>2</v>
      </c>
      <c r="R330">
        <v>31.73</v>
      </c>
      <c r="S330">
        <v>15</v>
      </c>
      <c r="T330">
        <v>15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15</v>
      </c>
      <c r="AB330">
        <v>0</v>
      </c>
      <c r="AC330">
        <v>0</v>
      </c>
      <c r="AF330" t="s">
        <v>130</v>
      </c>
      <c r="AH330">
        <v>46.73</v>
      </c>
    </row>
    <row r="331" spans="1:34" x14ac:dyDescent="0.3">
      <c r="A331" s="4">
        <v>338</v>
      </c>
      <c r="B331" s="5">
        <v>324</v>
      </c>
      <c r="C331">
        <v>13011</v>
      </c>
      <c r="D331" t="s">
        <v>5915</v>
      </c>
      <c r="E331" t="s">
        <v>149</v>
      </c>
      <c r="F331" t="s">
        <v>3814</v>
      </c>
      <c r="G331" t="s">
        <v>9080</v>
      </c>
      <c r="H331">
        <v>19.649999999999999</v>
      </c>
      <c r="I331">
        <v>0</v>
      </c>
      <c r="J331">
        <v>0</v>
      </c>
      <c r="K331">
        <v>20</v>
      </c>
      <c r="N331">
        <v>3</v>
      </c>
      <c r="O331">
        <v>3</v>
      </c>
      <c r="P331">
        <v>4</v>
      </c>
      <c r="Q331">
        <v>0</v>
      </c>
      <c r="R331">
        <v>46.65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 t="s">
        <v>130</v>
      </c>
      <c r="AF331" t="s">
        <v>130</v>
      </c>
      <c r="AH331">
        <v>46.65</v>
      </c>
    </row>
    <row r="332" spans="1:34" x14ac:dyDescent="0.3">
      <c r="A332" s="4">
        <v>339</v>
      </c>
      <c r="B332" s="5">
        <v>325</v>
      </c>
      <c r="C332">
        <v>12501</v>
      </c>
      <c r="D332" t="s">
        <v>9081</v>
      </c>
      <c r="E332" t="s">
        <v>9082</v>
      </c>
      <c r="F332" t="s">
        <v>3094</v>
      </c>
      <c r="G332" t="s">
        <v>9083</v>
      </c>
      <c r="H332">
        <v>20.48</v>
      </c>
      <c r="I332">
        <v>7</v>
      </c>
      <c r="J332">
        <v>0</v>
      </c>
      <c r="K332">
        <v>0</v>
      </c>
      <c r="L332">
        <v>7</v>
      </c>
      <c r="N332">
        <v>3</v>
      </c>
      <c r="O332">
        <v>10</v>
      </c>
      <c r="P332">
        <v>4</v>
      </c>
      <c r="Q332">
        <v>2</v>
      </c>
      <c r="R332">
        <v>43.48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3</v>
      </c>
      <c r="AC332">
        <v>0</v>
      </c>
      <c r="AF332" t="s">
        <v>130</v>
      </c>
      <c r="AH332">
        <v>46.48</v>
      </c>
    </row>
    <row r="333" spans="1:34" x14ac:dyDescent="0.3">
      <c r="A333" s="4">
        <v>340</v>
      </c>
      <c r="B333" s="5">
        <v>326</v>
      </c>
      <c r="C333">
        <v>799</v>
      </c>
      <c r="D333" t="s">
        <v>7408</v>
      </c>
      <c r="E333" t="s">
        <v>29</v>
      </c>
      <c r="F333" t="s">
        <v>20</v>
      </c>
      <c r="G333" t="s">
        <v>9084</v>
      </c>
      <c r="H333">
        <v>17.329999999999998</v>
      </c>
      <c r="I333">
        <v>0</v>
      </c>
      <c r="J333">
        <v>0</v>
      </c>
      <c r="K333">
        <v>20</v>
      </c>
      <c r="N333">
        <v>3</v>
      </c>
      <c r="O333">
        <v>3</v>
      </c>
      <c r="P333">
        <v>4</v>
      </c>
      <c r="Q333">
        <v>2</v>
      </c>
      <c r="R333">
        <v>46.33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F333" t="s">
        <v>130</v>
      </c>
      <c r="AH333">
        <v>46.33</v>
      </c>
    </row>
    <row r="334" spans="1:34" x14ac:dyDescent="0.3">
      <c r="A334" s="4">
        <v>341</v>
      </c>
      <c r="B334" s="5">
        <v>327</v>
      </c>
      <c r="C334">
        <v>8129</v>
      </c>
      <c r="D334" t="s">
        <v>7705</v>
      </c>
      <c r="E334" t="s">
        <v>88</v>
      </c>
      <c r="F334" t="s">
        <v>17</v>
      </c>
      <c r="G334" t="s">
        <v>9085</v>
      </c>
      <c r="H334">
        <v>21.25</v>
      </c>
      <c r="I334">
        <v>0</v>
      </c>
      <c r="J334">
        <v>0</v>
      </c>
      <c r="K334">
        <v>0</v>
      </c>
      <c r="L334">
        <v>7</v>
      </c>
      <c r="O334">
        <v>7</v>
      </c>
      <c r="P334">
        <v>4</v>
      </c>
      <c r="Q334">
        <v>0</v>
      </c>
      <c r="R334">
        <v>32.25</v>
      </c>
      <c r="S334">
        <v>14</v>
      </c>
      <c r="T334">
        <v>14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14</v>
      </c>
      <c r="AB334">
        <v>0</v>
      </c>
      <c r="AC334">
        <v>0</v>
      </c>
      <c r="AD334" t="s">
        <v>130</v>
      </c>
      <c r="AF334" t="s">
        <v>130</v>
      </c>
      <c r="AH334">
        <v>46.25</v>
      </c>
    </row>
    <row r="335" spans="1:34" x14ac:dyDescent="0.3">
      <c r="A335" s="4">
        <v>342</v>
      </c>
      <c r="B335" s="5">
        <v>328</v>
      </c>
      <c r="C335">
        <v>12428</v>
      </c>
      <c r="D335" t="s">
        <v>9086</v>
      </c>
      <c r="E335" t="s">
        <v>41</v>
      </c>
      <c r="F335" t="s">
        <v>38</v>
      </c>
      <c r="G335" t="s">
        <v>9087</v>
      </c>
      <c r="H335">
        <v>17.05</v>
      </c>
      <c r="I335">
        <v>0</v>
      </c>
      <c r="J335">
        <v>0</v>
      </c>
      <c r="K335">
        <v>20</v>
      </c>
      <c r="O335">
        <v>0</v>
      </c>
      <c r="P335">
        <v>4</v>
      </c>
      <c r="Q335">
        <v>2</v>
      </c>
      <c r="R335">
        <v>43.05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3</v>
      </c>
      <c r="AC335">
        <v>0</v>
      </c>
      <c r="AD335" t="s">
        <v>130</v>
      </c>
      <c r="AF335" t="s">
        <v>130</v>
      </c>
      <c r="AH335">
        <v>46.05</v>
      </c>
    </row>
    <row r="336" spans="1:34" x14ac:dyDescent="0.3">
      <c r="A336" s="4">
        <v>343</v>
      </c>
      <c r="B336" s="5">
        <v>329</v>
      </c>
      <c r="C336">
        <v>3400</v>
      </c>
      <c r="D336" t="s">
        <v>9088</v>
      </c>
      <c r="E336" t="s">
        <v>88</v>
      </c>
      <c r="F336" t="s">
        <v>782</v>
      </c>
      <c r="G336" t="s">
        <v>9089</v>
      </c>
      <c r="H336">
        <v>18.88</v>
      </c>
      <c r="I336">
        <v>0</v>
      </c>
      <c r="J336">
        <v>0</v>
      </c>
      <c r="K336">
        <v>20</v>
      </c>
      <c r="N336">
        <v>3</v>
      </c>
      <c r="O336">
        <v>3</v>
      </c>
      <c r="P336">
        <v>4</v>
      </c>
      <c r="Q336">
        <v>0</v>
      </c>
      <c r="R336">
        <v>45.88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 t="s">
        <v>130</v>
      </c>
      <c r="AF336" t="s">
        <v>130</v>
      </c>
      <c r="AH336">
        <v>45.88</v>
      </c>
    </row>
    <row r="337" spans="1:34" x14ac:dyDescent="0.3">
      <c r="A337" s="4">
        <v>344</v>
      </c>
      <c r="B337" s="5">
        <v>330</v>
      </c>
      <c r="C337">
        <v>1248</v>
      </c>
      <c r="D337" t="s">
        <v>9090</v>
      </c>
      <c r="E337" t="s">
        <v>208</v>
      </c>
      <c r="F337" t="s">
        <v>117</v>
      </c>
      <c r="G337" t="s">
        <v>9091</v>
      </c>
      <c r="H337">
        <v>19.53</v>
      </c>
      <c r="I337">
        <v>0</v>
      </c>
      <c r="J337">
        <v>0</v>
      </c>
      <c r="K337">
        <v>20</v>
      </c>
      <c r="O337">
        <v>0</v>
      </c>
      <c r="P337">
        <v>4</v>
      </c>
      <c r="Q337">
        <v>2</v>
      </c>
      <c r="R337">
        <v>45.53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 t="s">
        <v>130</v>
      </c>
      <c r="AF337" t="s">
        <v>130</v>
      </c>
      <c r="AH337">
        <v>45.53</v>
      </c>
    </row>
    <row r="338" spans="1:34" x14ac:dyDescent="0.3">
      <c r="A338" s="4">
        <v>345</v>
      </c>
      <c r="B338" s="5">
        <v>331</v>
      </c>
      <c r="C338">
        <v>4595</v>
      </c>
      <c r="D338" t="s">
        <v>9092</v>
      </c>
      <c r="E338" t="s">
        <v>9093</v>
      </c>
      <c r="F338" t="s">
        <v>30</v>
      </c>
      <c r="G338" t="s">
        <v>9094</v>
      </c>
      <c r="H338">
        <v>16.43</v>
      </c>
      <c r="I338">
        <v>0</v>
      </c>
      <c r="J338">
        <v>0</v>
      </c>
      <c r="K338">
        <v>20</v>
      </c>
      <c r="N338">
        <v>3</v>
      </c>
      <c r="O338">
        <v>3</v>
      </c>
      <c r="P338">
        <v>4</v>
      </c>
      <c r="Q338">
        <v>2</v>
      </c>
      <c r="R338">
        <v>45.43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 t="s">
        <v>130</v>
      </c>
      <c r="AF338" t="s">
        <v>130</v>
      </c>
      <c r="AH338">
        <v>45.43</v>
      </c>
    </row>
    <row r="339" spans="1:34" x14ac:dyDescent="0.3">
      <c r="A339" s="4">
        <v>346</v>
      </c>
      <c r="B339" s="5">
        <v>332</v>
      </c>
      <c r="C339">
        <v>5483</v>
      </c>
      <c r="D339" t="s">
        <v>1707</v>
      </c>
      <c r="E339" t="s">
        <v>71</v>
      </c>
      <c r="F339" t="s">
        <v>81</v>
      </c>
      <c r="G339" t="s">
        <v>9095</v>
      </c>
      <c r="H339">
        <v>19.28</v>
      </c>
      <c r="I339">
        <v>0</v>
      </c>
      <c r="J339">
        <v>0</v>
      </c>
      <c r="K339">
        <v>20</v>
      </c>
      <c r="N339">
        <v>6</v>
      </c>
      <c r="O339">
        <v>6</v>
      </c>
      <c r="P339">
        <v>0</v>
      </c>
      <c r="Q339">
        <v>0</v>
      </c>
      <c r="R339">
        <v>45.28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 t="s">
        <v>130</v>
      </c>
      <c r="AF339" t="s">
        <v>130</v>
      </c>
      <c r="AH339">
        <v>45.28</v>
      </c>
    </row>
    <row r="340" spans="1:34" x14ac:dyDescent="0.3">
      <c r="A340" s="4">
        <v>347</v>
      </c>
      <c r="B340" s="5">
        <v>333</v>
      </c>
      <c r="C340">
        <v>9398</v>
      </c>
      <c r="D340" t="s">
        <v>9096</v>
      </c>
      <c r="E340" t="s">
        <v>41</v>
      </c>
      <c r="F340" t="s">
        <v>81</v>
      </c>
      <c r="G340" t="s">
        <v>9097</v>
      </c>
      <c r="H340">
        <v>18.25</v>
      </c>
      <c r="I340">
        <v>0</v>
      </c>
      <c r="J340">
        <v>0</v>
      </c>
      <c r="K340">
        <v>20</v>
      </c>
      <c r="N340">
        <v>3</v>
      </c>
      <c r="O340">
        <v>3</v>
      </c>
      <c r="P340">
        <v>4</v>
      </c>
      <c r="Q340">
        <v>0</v>
      </c>
      <c r="R340">
        <v>45.25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F340" t="s">
        <v>130</v>
      </c>
      <c r="AH340">
        <v>45.25</v>
      </c>
    </row>
    <row r="341" spans="1:34" x14ac:dyDescent="0.3">
      <c r="A341" s="4">
        <v>348</v>
      </c>
      <c r="B341" s="5">
        <v>334</v>
      </c>
      <c r="C341">
        <v>4980</v>
      </c>
      <c r="D341" t="s">
        <v>9098</v>
      </c>
      <c r="E341" t="s">
        <v>139</v>
      </c>
      <c r="F341" t="s">
        <v>259</v>
      </c>
      <c r="G341" t="s">
        <v>9099</v>
      </c>
      <c r="H341">
        <v>20.2</v>
      </c>
      <c r="I341">
        <v>7</v>
      </c>
      <c r="J341">
        <v>0</v>
      </c>
      <c r="K341">
        <v>0</v>
      </c>
      <c r="N341">
        <v>3</v>
      </c>
      <c r="O341">
        <v>3</v>
      </c>
      <c r="P341">
        <v>4</v>
      </c>
      <c r="Q341">
        <v>2</v>
      </c>
      <c r="R341">
        <v>36.200000000000003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9</v>
      </c>
      <c r="AC341">
        <v>0</v>
      </c>
      <c r="AF341" t="s">
        <v>130</v>
      </c>
      <c r="AH341">
        <v>45.2</v>
      </c>
    </row>
    <row r="342" spans="1:34" x14ac:dyDescent="0.3">
      <c r="A342" s="4">
        <v>349</v>
      </c>
      <c r="B342" s="5">
        <v>335</v>
      </c>
      <c r="C342">
        <v>10834</v>
      </c>
      <c r="D342" t="s">
        <v>9100</v>
      </c>
      <c r="E342" t="s">
        <v>110</v>
      </c>
      <c r="F342" t="s">
        <v>38</v>
      </c>
      <c r="G342" t="s">
        <v>9101</v>
      </c>
      <c r="H342">
        <v>20.13</v>
      </c>
      <c r="I342">
        <v>0</v>
      </c>
      <c r="J342">
        <v>0</v>
      </c>
      <c r="K342">
        <v>20</v>
      </c>
      <c r="N342">
        <v>3</v>
      </c>
      <c r="O342">
        <v>3</v>
      </c>
      <c r="P342">
        <v>0</v>
      </c>
      <c r="Q342">
        <v>2</v>
      </c>
      <c r="R342">
        <v>45.13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F342" t="s">
        <v>130</v>
      </c>
      <c r="AH342">
        <v>45.13</v>
      </c>
    </row>
    <row r="343" spans="1:34" x14ac:dyDescent="0.3">
      <c r="A343" s="4">
        <v>350</v>
      </c>
      <c r="B343" s="5">
        <v>336</v>
      </c>
      <c r="C343">
        <v>7480</v>
      </c>
      <c r="D343" t="s">
        <v>9102</v>
      </c>
      <c r="E343" t="s">
        <v>81</v>
      </c>
      <c r="F343" t="s">
        <v>17</v>
      </c>
      <c r="G343" t="s">
        <v>9103</v>
      </c>
      <c r="H343">
        <v>16.100000000000001</v>
      </c>
      <c r="I343">
        <v>0</v>
      </c>
      <c r="J343">
        <v>0</v>
      </c>
      <c r="K343">
        <v>0</v>
      </c>
      <c r="N343">
        <v>3</v>
      </c>
      <c r="O343">
        <v>3</v>
      </c>
      <c r="P343">
        <v>4</v>
      </c>
      <c r="Q343">
        <v>2</v>
      </c>
      <c r="R343">
        <v>25.1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20</v>
      </c>
      <c r="AF343" t="s">
        <v>130</v>
      </c>
      <c r="AH343">
        <v>45.1</v>
      </c>
    </row>
    <row r="344" spans="1:34" x14ac:dyDescent="0.3">
      <c r="A344" s="4">
        <v>351</v>
      </c>
      <c r="B344" s="5">
        <v>337</v>
      </c>
      <c r="C344">
        <v>3585</v>
      </c>
      <c r="D344" t="s">
        <v>9104</v>
      </c>
      <c r="E344" t="s">
        <v>100</v>
      </c>
      <c r="F344" t="s">
        <v>38</v>
      </c>
      <c r="G344" t="s">
        <v>9105</v>
      </c>
      <c r="H344">
        <v>18</v>
      </c>
      <c r="I344">
        <v>0</v>
      </c>
      <c r="J344">
        <v>0</v>
      </c>
      <c r="K344">
        <v>20</v>
      </c>
      <c r="N344">
        <v>3</v>
      </c>
      <c r="O344">
        <v>3</v>
      </c>
      <c r="P344">
        <v>4</v>
      </c>
      <c r="Q344">
        <v>0</v>
      </c>
      <c r="R344">
        <v>45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F344" t="s">
        <v>130</v>
      </c>
      <c r="AH344">
        <v>45</v>
      </c>
    </row>
    <row r="345" spans="1:34" x14ac:dyDescent="0.3">
      <c r="A345" s="4">
        <v>352</v>
      </c>
      <c r="B345" s="5">
        <v>338</v>
      </c>
      <c r="C345">
        <v>12179</v>
      </c>
      <c r="D345" t="s">
        <v>8138</v>
      </c>
      <c r="E345" t="s">
        <v>37</v>
      </c>
      <c r="F345" t="s">
        <v>2237</v>
      </c>
      <c r="G345" t="s">
        <v>9106</v>
      </c>
      <c r="H345">
        <v>19.88</v>
      </c>
      <c r="I345">
        <v>0</v>
      </c>
      <c r="J345">
        <v>0</v>
      </c>
      <c r="K345">
        <v>20</v>
      </c>
      <c r="N345">
        <v>3</v>
      </c>
      <c r="O345">
        <v>3</v>
      </c>
      <c r="P345">
        <v>0</v>
      </c>
      <c r="Q345">
        <v>2</v>
      </c>
      <c r="R345">
        <v>44.88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F345" t="s">
        <v>130</v>
      </c>
      <c r="AH345">
        <v>44.88</v>
      </c>
    </row>
    <row r="346" spans="1:34" x14ac:dyDescent="0.3">
      <c r="A346" s="4">
        <v>353</v>
      </c>
      <c r="B346" s="5">
        <v>339</v>
      </c>
      <c r="C346">
        <v>1485</v>
      </c>
      <c r="D346" t="s">
        <v>9107</v>
      </c>
      <c r="E346" t="s">
        <v>789</v>
      </c>
      <c r="F346" t="s">
        <v>17</v>
      </c>
      <c r="G346" t="s">
        <v>9108</v>
      </c>
      <c r="H346">
        <v>17.88</v>
      </c>
      <c r="I346">
        <v>0</v>
      </c>
      <c r="J346">
        <v>0</v>
      </c>
      <c r="K346">
        <v>20</v>
      </c>
      <c r="N346">
        <v>3</v>
      </c>
      <c r="O346">
        <v>3</v>
      </c>
      <c r="P346">
        <v>4</v>
      </c>
      <c r="Q346">
        <v>0</v>
      </c>
      <c r="R346">
        <v>44.88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F346" t="s">
        <v>130</v>
      </c>
      <c r="AH346">
        <v>44.88</v>
      </c>
    </row>
    <row r="347" spans="1:34" x14ac:dyDescent="0.3">
      <c r="A347" s="4">
        <v>354</v>
      </c>
      <c r="B347" s="5">
        <v>340</v>
      </c>
      <c r="C347">
        <v>15580</v>
      </c>
      <c r="D347" t="s">
        <v>9109</v>
      </c>
      <c r="E347" t="s">
        <v>166</v>
      </c>
      <c r="F347" t="s">
        <v>425</v>
      </c>
      <c r="G347">
        <v>552320</v>
      </c>
      <c r="H347">
        <v>17.8</v>
      </c>
      <c r="I347">
        <v>0</v>
      </c>
      <c r="J347">
        <v>0</v>
      </c>
      <c r="K347">
        <v>20</v>
      </c>
      <c r="N347">
        <v>3</v>
      </c>
      <c r="O347">
        <v>3</v>
      </c>
      <c r="P347">
        <v>4</v>
      </c>
      <c r="Q347">
        <v>0</v>
      </c>
      <c r="R347">
        <v>44.8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F347" t="s">
        <v>130</v>
      </c>
      <c r="AH347">
        <v>44.8</v>
      </c>
    </row>
    <row r="348" spans="1:34" x14ac:dyDescent="0.3">
      <c r="A348" s="4">
        <v>355</v>
      </c>
      <c r="B348" s="5">
        <v>341</v>
      </c>
      <c r="C348">
        <v>5055</v>
      </c>
      <c r="D348" t="s">
        <v>9110</v>
      </c>
      <c r="E348" t="s">
        <v>182</v>
      </c>
      <c r="F348" t="s">
        <v>5050</v>
      </c>
      <c r="G348" t="s">
        <v>9111</v>
      </c>
      <c r="H348">
        <v>17.75</v>
      </c>
      <c r="I348">
        <v>0</v>
      </c>
      <c r="J348">
        <v>0</v>
      </c>
      <c r="K348">
        <v>20</v>
      </c>
      <c r="N348">
        <v>3</v>
      </c>
      <c r="O348">
        <v>3</v>
      </c>
      <c r="P348">
        <v>4</v>
      </c>
      <c r="Q348">
        <v>0</v>
      </c>
      <c r="R348">
        <v>44.75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 t="s">
        <v>130</v>
      </c>
      <c r="AF348" t="s">
        <v>130</v>
      </c>
      <c r="AH348">
        <v>44.75</v>
      </c>
    </row>
    <row r="349" spans="1:34" x14ac:dyDescent="0.3">
      <c r="A349" s="4">
        <v>356</v>
      </c>
      <c r="B349" s="5">
        <v>342</v>
      </c>
      <c r="C349">
        <v>2917</v>
      </c>
      <c r="D349" t="s">
        <v>9112</v>
      </c>
      <c r="E349" t="s">
        <v>54</v>
      </c>
      <c r="F349" t="s">
        <v>20</v>
      </c>
      <c r="G349" t="s">
        <v>9113</v>
      </c>
      <c r="H349">
        <v>17.63</v>
      </c>
      <c r="I349">
        <v>0</v>
      </c>
      <c r="J349">
        <v>0</v>
      </c>
      <c r="K349">
        <v>20</v>
      </c>
      <c r="N349">
        <v>3</v>
      </c>
      <c r="O349">
        <v>3</v>
      </c>
      <c r="P349">
        <v>4</v>
      </c>
      <c r="Q349">
        <v>0</v>
      </c>
      <c r="R349">
        <v>44.63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F349" t="s">
        <v>130</v>
      </c>
      <c r="AH349">
        <v>44.63</v>
      </c>
    </row>
    <row r="350" spans="1:34" x14ac:dyDescent="0.3">
      <c r="A350" s="4">
        <v>357</v>
      </c>
      <c r="B350" s="5">
        <v>343</v>
      </c>
      <c r="C350">
        <v>1603</v>
      </c>
      <c r="D350" t="s">
        <v>1950</v>
      </c>
      <c r="E350" t="s">
        <v>166</v>
      </c>
      <c r="F350" t="s">
        <v>9114</v>
      </c>
      <c r="G350" t="s">
        <v>9115</v>
      </c>
      <c r="H350">
        <v>17.55</v>
      </c>
      <c r="I350">
        <v>0</v>
      </c>
      <c r="J350">
        <v>0</v>
      </c>
      <c r="K350">
        <v>20</v>
      </c>
      <c r="N350">
        <v>3</v>
      </c>
      <c r="O350">
        <v>3</v>
      </c>
      <c r="P350">
        <v>4</v>
      </c>
      <c r="Q350">
        <v>0</v>
      </c>
      <c r="R350">
        <v>44.55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F350" t="s">
        <v>130</v>
      </c>
      <c r="AH350">
        <v>44.55</v>
      </c>
    </row>
    <row r="351" spans="1:34" x14ac:dyDescent="0.3">
      <c r="A351" s="4">
        <v>358</v>
      </c>
      <c r="B351" s="5">
        <v>344</v>
      </c>
      <c r="C351">
        <v>11012</v>
      </c>
      <c r="D351" t="s">
        <v>9116</v>
      </c>
      <c r="E351" t="s">
        <v>9117</v>
      </c>
      <c r="F351" t="s">
        <v>136</v>
      </c>
      <c r="G351" t="s">
        <v>9118</v>
      </c>
      <c r="H351">
        <v>17.350000000000001</v>
      </c>
      <c r="I351">
        <v>0</v>
      </c>
      <c r="J351">
        <v>0</v>
      </c>
      <c r="K351">
        <v>20</v>
      </c>
      <c r="N351">
        <v>3</v>
      </c>
      <c r="O351">
        <v>3</v>
      </c>
      <c r="P351">
        <v>4</v>
      </c>
      <c r="Q351">
        <v>0</v>
      </c>
      <c r="R351">
        <v>44.35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F351" t="s">
        <v>130</v>
      </c>
      <c r="AH351">
        <v>44.35</v>
      </c>
    </row>
    <row r="352" spans="1:34" x14ac:dyDescent="0.3">
      <c r="A352" s="4">
        <v>359</v>
      </c>
      <c r="B352" s="5">
        <v>345</v>
      </c>
      <c r="C352">
        <v>376</v>
      </c>
      <c r="D352" t="s">
        <v>9119</v>
      </c>
      <c r="E352" t="s">
        <v>208</v>
      </c>
      <c r="F352" t="s">
        <v>117</v>
      </c>
      <c r="G352" t="s">
        <v>9120</v>
      </c>
      <c r="H352">
        <v>20.25</v>
      </c>
      <c r="I352">
        <v>0</v>
      </c>
      <c r="J352">
        <v>0</v>
      </c>
      <c r="K352">
        <v>0</v>
      </c>
      <c r="N352">
        <v>3</v>
      </c>
      <c r="O352">
        <v>3</v>
      </c>
      <c r="P352">
        <v>4</v>
      </c>
      <c r="Q352">
        <v>0</v>
      </c>
      <c r="R352">
        <v>27.25</v>
      </c>
      <c r="S352">
        <v>17</v>
      </c>
      <c r="T352">
        <v>17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17</v>
      </c>
      <c r="AB352">
        <v>0</v>
      </c>
      <c r="AC352">
        <v>0</v>
      </c>
      <c r="AF352" t="s">
        <v>130</v>
      </c>
      <c r="AH352">
        <v>44.25</v>
      </c>
    </row>
    <row r="353" spans="1:34" x14ac:dyDescent="0.3">
      <c r="A353" s="4">
        <v>360</v>
      </c>
      <c r="B353" s="5">
        <v>346</v>
      </c>
      <c r="C353">
        <v>14457</v>
      </c>
      <c r="D353" t="s">
        <v>9121</v>
      </c>
      <c r="E353" t="s">
        <v>2852</v>
      </c>
      <c r="F353" t="s">
        <v>20</v>
      </c>
      <c r="G353" t="s">
        <v>9122</v>
      </c>
      <c r="H353">
        <v>21.08</v>
      </c>
      <c r="I353">
        <v>7</v>
      </c>
      <c r="J353">
        <v>0</v>
      </c>
      <c r="K353">
        <v>0</v>
      </c>
      <c r="L353">
        <v>7</v>
      </c>
      <c r="O353">
        <v>7</v>
      </c>
      <c r="P353">
        <v>4</v>
      </c>
      <c r="Q353">
        <v>2</v>
      </c>
      <c r="R353">
        <v>41.08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3</v>
      </c>
      <c r="AC353">
        <v>0</v>
      </c>
      <c r="AF353" t="s">
        <v>130</v>
      </c>
      <c r="AH353">
        <v>44.08</v>
      </c>
    </row>
    <row r="354" spans="1:34" x14ac:dyDescent="0.3">
      <c r="A354" s="4">
        <v>361</v>
      </c>
      <c r="B354" s="5">
        <v>347</v>
      </c>
      <c r="C354">
        <v>6935</v>
      </c>
      <c r="D354" t="s">
        <v>6906</v>
      </c>
      <c r="E354" t="s">
        <v>29</v>
      </c>
      <c r="F354" t="s">
        <v>17</v>
      </c>
      <c r="G354" t="s">
        <v>9123</v>
      </c>
      <c r="H354">
        <v>16.93</v>
      </c>
      <c r="I354">
        <v>0</v>
      </c>
      <c r="J354">
        <v>0</v>
      </c>
      <c r="K354">
        <v>20</v>
      </c>
      <c r="N354">
        <v>3</v>
      </c>
      <c r="O354">
        <v>3</v>
      </c>
      <c r="P354">
        <v>4</v>
      </c>
      <c r="Q354">
        <v>0</v>
      </c>
      <c r="R354">
        <v>43.93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 t="s">
        <v>130</v>
      </c>
      <c r="AF354" t="s">
        <v>130</v>
      </c>
      <c r="AH354">
        <v>43.93</v>
      </c>
    </row>
    <row r="355" spans="1:34" x14ac:dyDescent="0.3">
      <c r="A355" s="4">
        <v>362</v>
      </c>
      <c r="B355" s="5">
        <v>348</v>
      </c>
      <c r="C355">
        <v>8729</v>
      </c>
      <c r="D355" t="s">
        <v>9124</v>
      </c>
      <c r="E355" t="s">
        <v>132</v>
      </c>
      <c r="F355" t="s">
        <v>9125</v>
      </c>
      <c r="G355" t="s">
        <v>9126</v>
      </c>
      <c r="H355">
        <v>16.5</v>
      </c>
      <c r="I355">
        <v>0</v>
      </c>
      <c r="J355">
        <v>0</v>
      </c>
      <c r="K355">
        <v>20</v>
      </c>
      <c r="N355">
        <v>3</v>
      </c>
      <c r="O355">
        <v>3</v>
      </c>
      <c r="P355">
        <v>4</v>
      </c>
      <c r="Q355">
        <v>0</v>
      </c>
      <c r="R355">
        <v>43.5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F355" t="s">
        <v>130</v>
      </c>
      <c r="AH355">
        <v>43.5</v>
      </c>
    </row>
    <row r="356" spans="1:34" x14ac:dyDescent="0.3">
      <c r="A356" s="4">
        <v>363</v>
      </c>
      <c r="B356" s="5">
        <v>349</v>
      </c>
      <c r="C356">
        <v>3093</v>
      </c>
      <c r="D356" t="s">
        <v>9127</v>
      </c>
      <c r="E356" t="s">
        <v>52</v>
      </c>
      <c r="F356" t="s">
        <v>158</v>
      </c>
      <c r="G356" t="s">
        <v>9128</v>
      </c>
      <c r="H356">
        <v>17.23</v>
      </c>
      <c r="I356">
        <v>0</v>
      </c>
      <c r="J356">
        <v>0</v>
      </c>
      <c r="K356">
        <v>20</v>
      </c>
      <c r="O356">
        <v>0</v>
      </c>
      <c r="P356">
        <v>4</v>
      </c>
      <c r="Q356">
        <v>2</v>
      </c>
      <c r="R356">
        <v>43.23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F356" t="s">
        <v>130</v>
      </c>
      <c r="AH356">
        <v>43.23</v>
      </c>
    </row>
    <row r="357" spans="1:34" x14ac:dyDescent="0.3">
      <c r="A357" s="4">
        <v>364</v>
      </c>
      <c r="B357" s="5">
        <v>350</v>
      </c>
      <c r="C357">
        <v>10080</v>
      </c>
      <c r="D357" t="s">
        <v>9129</v>
      </c>
      <c r="E357" t="s">
        <v>335</v>
      </c>
      <c r="F357" t="s">
        <v>91</v>
      </c>
      <c r="G357" t="s">
        <v>9130</v>
      </c>
      <c r="H357">
        <v>19</v>
      </c>
      <c r="I357">
        <v>0</v>
      </c>
      <c r="J357">
        <v>0</v>
      </c>
      <c r="K357">
        <v>20</v>
      </c>
      <c r="O357">
        <v>0</v>
      </c>
      <c r="P357">
        <v>4</v>
      </c>
      <c r="Q357">
        <v>0</v>
      </c>
      <c r="R357">
        <v>43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F357" t="s">
        <v>130</v>
      </c>
      <c r="AH357">
        <v>43</v>
      </c>
    </row>
    <row r="358" spans="1:34" x14ac:dyDescent="0.3">
      <c r="A358" s="4">
        <v>365</v>
      </c>
      <c r="B358" s="5">
        <v>351</v>
      </c>
      <c r="C358">
        <v>5869</v>
      </c>
      <c r="D358" t="s">
        <v>9131</v>
      </c>
      <c r="E358" t="s">
        <v>34</v>
      </c>
      <c r="F358" t="s">
        <v>343</v>
      </c>
      <c r="G358" t="s">
        <v>9132</v>
      </c>
      <c r="H358">
        <v>18.649999999999999</v>
      </c>
      <c r="I358">
        <v>0</v>
      </c>
      <c r="J358">
        <v>0</v>
      </c>
      <c r="K358">
        <v>20</v>
      </c>
      <c r="O358">
        <v>0</v>
      </c>
      <c r="P358">
        <v>4</v>
      </c>
      <c r="Q358">
        <v>0</v>
      </c>
      <c r="R358">
        <v>42.65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 t="s">
        <v>130</v>
      </c>
      <c r="AF358" t="s">
        <v>130</v>
      </c>
      <c r="AH358">
        <v>42.65</v>
      </c>
    </row>
    <row r="359" spans="1:34" x14ac:dyDescent="0.3">
      <c r="A359" s="4">
        <v>366</v>
      </c>
      <c r="B359" s="5">
        <v>352</v>
      </c>
      <c r="C359">
        <v>362</v>
      </c>
      <c r="D359" t="s">
        <v>9133</v>
      </c>
      <c r="E359" t="s">
        <v>9134</v>
      </c>
      <c r="F359" t="s">
        <v>1593</v>
      </c>
      <c r="G359" t="s">
        <v>9135</v>
      </c>
      <c r="H359">
        <v>21.25</v>
      </c>
      <c r="I359">
        <v>0</v>
      </c>
      <c r="J359">
        <v>0</v>
      </c>
      <c r="K359">
        <v>0</v>
      </c>
      <c r="L359">
        <v>7</v>
      </c>
      <c r="M359">
        <v>5</v>
      </c>
      <c r="O359">
        <v>12</v>
      </c>
      <c r="P359">
        <v>4</v>
      </c>
      <c r="Q359">
        <v>2</v>
      </c>
      <c r="R359">
        <v>39.25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3</v>
      </c>
      <c r="AC359">
        <v>0</v>
      </c>
      <c r="AD359" t="s">
        <v>130</v>
      </c>
      <c r="AF359" t="s">
        <v>130</v>
      </c>
      <c r="AH359">
        <v>42.25</v>
      </c>
    </row>
    <row r="360" spans="1:34" x14ac:dyDescent="0.3">
      <c r="A360" s="4">
        <v>367</v>
      </c>
      <c r="B360" s="5">
        <v>353</v>
      </c>
      <c r="C360">
        <v>9963</v>
      </c>
      <c r="D360" t="s">
        <v>9136</v>
      </c>
      <c r="E360" t="s">
        <v>41</v>
      </c>
      <c r="F360" t="s">
        <v>117</v>
      </c>
      <c r="G360" t="s">
        <v>9137</v>
      </c>
      <c r="H360">
        <v>22.23</v>
      </c>
      <c r="I360">
        <v>7</v>
      </c>
      <c r="J360">
        <v>0</v>
      </c>
      <c r="K360">
        <v>0</v>
      </c>
      <c r="L360">
        <v>7</v>
      </c>
      <c r="O360">
        <v>7</v>
      </c>
      <c r="P360">
        <v>4</v>
      </c>
      <c r="Q360">
        <v>2</v>
      </c>
      <c r="R360">
        <v>42.23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F360" t="s">
        <v>130</v>
      </c>
      <c r="AH360">
        <v>42.23</v>
      </c>
    </row>
    <row r="361" spans="1:34" x14ac:dyDescent="0.3">
      <c r="A361" s="4">
        <v>368</v>
      </c>
      <c r="B361" s="5">
        <v>354</v>
      </c>
      <c r="C361">
        <v>7403</v>
      </c>
      <c r="D361" t="s">
        <v>9138</v>
      </c>
      <c r="E361" t="s">
        <v>9139</v>
      </c>
      <c r="F361" t="s">
        <v>5248</v>
      </c>
      <c r="G361" t="s">
        <v>9140</v>
      </c>
      <c r="H361">
        <v>18.2</v>
      </c>
      <c r="I361">
        <v>0</v>
      </c>
      <c r="J361">
        <v>0</v>
      </c>
      <c r="K361">
        <v>20</v>
      </c>
      <c r="O361">
        <v>0</v>
      </c>
      <c r="P361">
        <v>4</v>
      </c>
      <c r="Q361">
        <v>0</v>
      </c>
      <c r="R361">
        <v>42.2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 t="s">
        <v>130</v>
      </c>
      <c r="AF361" t="s">
        <v>130</v>
      </c>
      <c r="AH361">
        <v>42.2</v>
      </c>
    </row>
    <row r="362" spans="1:34" x14ac:dyDescent="0.3">
      <c r="A362" s="4">
        <v>369</v>
      </c>
      <c r="B362" s="5">
        <v>355</v>
      </c>
      <c r="C362">
        <v>14055</v>
      </c>
      <c r="D362" t="s">
        <v>1069</v>
      </c>
      <c r="E362" t="s">
        <v>7170</v>
      </c>
      <c r="F362" t="s">
        <v>20</v>
      </c>
      <c r="G362" t="s">
        <v>9141</v>
      </c>
      <c r="H362">
        <v>19.05</v>
      </c>
      <c r="I362">
        <v>7</v>
      </c>
      <c r="J362">
        <v>0</v>
      </c>
      <c r="K362">
        <v>0</v>
      </c>
      <c r="L362">
        <v>7</v>
      </c>
      <c r="M362">
        <v>5</v>
      </c>
      <c r="O362">
        <v>12</v>
      </c>
      <c r="P362">
        <v>4</v>
      </c>
      <c r="Q362">
        <v>0</v>
      </c>
      <c r="R362">
        <v>42.05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 t="s">
        <v>130</v>
      </c>
      <c r="AF362" t="s">
        <v>130</v>
      </c>
      <c r="AH362">
        <v>42.05</v>
      </c>
    </row>
    <row r="363" spans="1:34" x14ac:dyDescent="0.3">
      <c r="A363" s="4">
        <v>370</v>
      </c>
      <c r="B363" s="5">
        <v>356</v>
      </c>
      <c r="C363">
        <v>11565</v>
      </c>
      <c r="D363" t="s">
        <v>9142</v>
      </c>
      <c r="E363" t="s">
        <v>161</v>
      </c>
      <c r="F363" t="s">
        <v>328</v>
      </c>
      <c r="G363" t="s">
        <v>9143</v>
      </c>
      <c r="H363">
        <v>20.7</v>
      </c>
      <c r="I363">
        <v>0</v>
      </c>
      <c r="J363">
        <v>0</v>
      </c>
      <c r="K363">
        <v>0</v>
      </c>
      <c r="N363">
        <v>3</v>
      </c>
      <c r="O363">
        <v>3</v>
      </c>
      <c r="P363">
        <v>4</v>
      </c>
      <c r="Q363">
        <v>2</v>
      </c>
      <c r="R363">
        <v>29.7</v>
      </c>
      <c r="S363">
        <v>6</v>
      </c>
      <c r="T363">
        <v>6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6</v>
      </c>
      <c r="AB363">
        <v>6</v>
      </c>
      <c r="AC363">
        <v>0</v>
      </c>
      <c r="AF363" t="s">
        <v>130</v>
      </c>
      <c r="AH363">
        <v>41.7</v>
      </c>
    </row>
    <row r="364" spans="1:34" x14ac:dyDescent="0.3">
      <c r="A364" s="4">
        <v>371</v>
      </c>
      <c r="B364" s="5">
        <v>357</v>
      </c>
      <c r="C364">
        <v>3166</v>
      </c>
      <c r="D364" t="s">
        <v>9144</v>
      </c>
      <c r="E364" t="s">
        <v>908</v>
      </c>
      <c r="F364" t="s">
        <v>3359</v>
      </c>
      <c r="G364" t="s">
        <v>9145</v>
      </c>
      <c r="H364">
        <v>20.58</v>
      </c>
      <c r="I364">
        <v>0</v>
      </c>
      <c r="J364">
        <v>0</v>
      </c>
      <c r="K364">
        <v>0</v>
      </c>
      <c r="O364">
        <v>0</v>
      </c>
      <c r="P364">
        <v>4</v>
      </c>
      <c r="Q364">
        <v>2</v>
      </c>
      <c r="R364">
        <v>26.58</v>
      </c>
      <c r="S364">
        <v>15</v>
      </c>
      <c r="T364">
        <v>15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15</v>
      </c>
      <c r="AB364">
        <v>0</v>
      </c>
      <c r="AC364">
        <v>0</v>
      </c>
      <c r="AF364" t="s">
        <v>130</v>
      </c>
      <c r="AH364">
        <v>41.58</v>
      </c>
    </row>
    <row r="365" spans="1:34" x14ac:dyDescent="0.3">
      <c r="A365" s="4">
        <v>372</v>
      </c>
      <c r="B365" s="5">
        <v>358</v>
      </c>
      <c r="C365">
        <v>1097</v>
      </c>
      <c r="D365" t="s">
        <v>9146</v>
      </c>
      <c r="E365" t="s">
        <v>29</v>
      </c>
      <c r="F365" t="s">
        <v>20</v>
      </c>
      <c r="G365" t="s">
        <v>9147</v>
      </c>
      <c r="H365">
        <v>17.5</v>
      </c>
      <c r="I365">
        <v>7</v>
      </c>
      <c r="J365">
        <v>0</v>
      </c>
      <c r="K365">
        <v>0</v>
      </c>
      <c r="L365">
        <v>7</v>
      </c>
      <c r="N365">
        <v>3</v>
      </c>
      <c r="O365">
        <v>10</v>
      </c>
      <c r="P365">
        <v>4</v>
      </c>
      <c r="Q365">
        <v>2</v>
      </c>
      <c r="R365">
        <v>40.5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F365" t="s">
        <v>130</v>
      </c>
      <c r="AH365">
        <v>40.5</v>
      </c>
    </row>
    <row r="366" spans="1:34" x14ac:dyDescent="0.3">
      <c r="A366" s="4">
        <v>373</v>
      </c>
      <c r="B366" s="5">
        <v>359</v>
      </c>
      <c r="C366">
        <v>2348</v>
      </c>
      <c r="D366" t="s">
        <v>9148</v>
      </c>
      <c r="E366" t="s">
        <v>81</v>
      </c>
      <c r="F366" t="s">
        <v>68</v>
      </c>
      <c r="G366" t="s">
        <v>9149</v>
      </c>
      <c r="H366">
        <v>20.350000000000001</v>
      </c>
      <c r="I366">
        <v>0</v>
      </c>
      <c r="J366">
        <v>0</v>
      </c>
      <c r="K366">
        <v>20</v>
      </c>
      <c r="O366">
        <v>0</v>
      </c>
      <c r="P366">
        <v>0</v>
      </c>
      <c r="Q366">
        <v>0</v>
      </c>
      <c r="R366">
        <v>40.35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F366" t="s">
        <v>130</v>
      </c>
      <c r="AH366">
        <v>40.35</v>
      </c>
    </row>
    <row r="367" spans="1:34" x14ac:dyDescent="0.3">
      <c r="A367" s="4">
        <v>374</v>
      </c>
      <c r="B367" s="5">
        <v>360</v>
      </c>
      <c r="C367">
        <v>14015</v>
      </c>
      <c r="D367" t="s">
        <v>3404</v>
      </c>
      <c r="E367" t="s">
        <v>9150</v>
      </c>
      <c r="F367" t="s">
        <v>328</v>
      </c>
      <c r="G367" t="s">
        <v>9151</v>
      </c>
      <c r="H367">
        <v>17.350000000000001</v>
      </c>
      <c r="I367">
        <v>0</v>
      </c>
      <c r="J367">
        <v>0</v>
      </c>
      <c r="K367">
        <v>20</v>
      </c>
      <c r="N367">
        <v>3</v>
      </c>
      <c r="O367">
        <v>3</v>
      </c>
      <c r="P367">
        <v>0</v>
      </c>
      <c r="Q367">
        <v>0</v>
      </c>
      <c r="R367">
        <v>40.35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F367" t="s">
        <v>130</v>
      </c>
      <c r="AH367">
        <v>40.35</v>
      </c>
    </row>
    <row r="368" spans="1:34" x14ac:dyDescent="0.3">
      <c r="A368" s="4">
        <v>375</v>
      </c>
      <c r="B368" s="5">
        <v>361</v>
      </c>
      <c r="C368">
        <v>10991</v>
      </c>
      <c r="D368" t="s">
        <v>9152</v>
      </c>
      <c r="E368" t="s">
        <v>110</v>
      </c>
      <c r="F368" t="s">
        <v>17</v>
      </c>
      <c r="G368" t="s">
        <v>9153</v>
      </c>
      <c r="H368">
        <v>19.649999999999999</v>
      </c>
      <c r="I368">
        <v>7</v>
      </c>
      <c r="J368">
        <v>0</v>
      </c>
      <c r="K368">
        <v>0</v>
      </c>
      <c r="N368">
        <v>6</v>
      </c>
      <c r="O368">
        <v>6</v>
      </c>
      <c r="P368">
        <v>4</v>
      </c>
      <c r="Q368">
        <v>0</v>
      </c>
      <c r="R368">
        <v>36.65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3</v>
      </c>
      <c r="AC368">
        <v>0</v>
      </c>
      <c r="AF368" t="s">
        <v>130</v>
      </c>
      <c r="AH368">
        <v>39.65</v>
      </c>
    </row>
    <row r="369" spans="1:34" x14ac:dyDescent="0.3">
      <c r="A369" s="4">
        <v>376</v>
      </c>
      <c r="B369" s="5">
        <v>362</v>
      </c>
      <c r="C369">
        <v>14588</v>
      </c>
      <c r="D369" t="s">
        <v>9154</v>
      </c>
      <c r="E369" t="s">
        <v>516</v>
      </c>
      <c r="F369" t="s">
        <v>892</v>
      </c>
      <c r="G369" t="s">
        <v>9155</v>
      </c>
      <c r="H369">
        <v>19.45</v>
      </c>
      <c r="I369">
        <v>7</v>
      </c>
      <c r="J369">
        <v>0</v>
      </c>
      <c r="K369">
        <v>0</v>
      </c>
      <c r="N369">
        <v>3</v>
      </c>
      <c r="O369">
        <v>3</v>
      </c>
      <c r="P369">
        <v>4</v>
      </c>
      <c r="Q369">
        <v>0</v>
      </c>
      <c r="R369">
        <v>33.450000000000003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6</v>
      </c>
      <c r="AC369">
        <v>0</v>
      </c>
      <c r="AF369" t="s">
        <v>130</v>
      </c>
      <c r="AH369">
        <v>39.450000000000003</v>
      </c>
    </row>
    <row r="370" spans="1:34" x14ac:dyDescent="0.3">
      <c r="A370" s="4">
        <v>377</v>
      </c>
      <c r="B370" s="5">
        <v>363</v>
      </c>
      <c r="C370">
        <v>3261</v>
      </c>
      <c r="D370" t="s">
        <v>9156</v>
      </c>
      <c r="E370" t="s">
        <v>837</v>
      </c>
      <c r="F370" t="s">
        <v>38</v>
      </c>
      <c r="G370" t="s">
        <v>32043</v>
      </c>
      <c r="H370">
        <v>22.15</v>
      </c>
      <c r="I370">
        <v>7</v>
      </c>
      <c r="J370">
        <v>0</v>
      </c>
      <c r="K370">
        <v>0</v>
      </c>
      <c r="O370">
        <v>0</v>
      </c>
      <c r="P370">
        <v>4</v>
      </c>
      <c r="Q370">
        <v>0</v>
      </c>
      <c r="R370">
        <v>33.15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6</v>
      </c>
      <c r="AC370">
        <v>0</v>
      </c>
      <c r="AF370" t="s">
        <v>130</v>
      </c>
      <c r="AH370">
        <v>39.15</v>
      </c>
    </row>
    <row r="371" spans="1:34" x14ac:dyDescent="0.3">
      <c r="A371" s="4">
        <v>378</v>
      </c>
      <c r="B371" s="5">
        <v>364</v>
      </c>
      <c r="C371">
        <v>915</v>
      </c>
      <c r="D371" t="s">
        <v>1693</v>
      </c>
      <c r="E371" t="s">
        <v>208</v>
      </c>
      <c r="F371" t="s">
        <v>68</v>
      </c>
      <c r="G371" t="s">
        <v>9157</v>
      </c>
      <c r="H371">
        <v>16.5</v>
      </c>
      <c r="I371">
        <v>0</v>
      </c>
      <c r="J371">
        <v>0</v>
      </c>
      <c r="K371">
        <v>0</v>
      </c>
      <c r="N371">
        <v>3</v>
      </c>
      <c r="O371">
        <v>3</v>
      </c>
      <c r="P371">
        <v>4</v>
      </c>
      <c r="Q371">
        <v>2</v>
      </c>
      <c r="R371">
        <v>25.5</v>
      </c>
      <c r="S371">
        <v>0</v>
      </c>
      <c r="T371">
        <v>0</v>
      </c>
      <c r="U371">
        <v>0</v>
      </c>
      <c r="V371">
        <v>0</v>
      </c>
      <c r="W371">
        <v>5</v>
      </c>
      <c r="X371">
        <v>7.5</v>
      </c>
      <c r="Y371">
        <v>0</v>
      </c>
      <c r="Z371">
        <v>0</v>
      </c>
      <c r="AA371">
        <v>7.5</v>
      </c>
      <c r="AB371">
        <v>6</v>
      </c>
      <c r="AC371">
        <v>0</v>
      </c>
      <c r="AD371" t="s">
        <v>130</v>
      </c>
      <c r="AF371" t="s">
        <v>130</v>
      </c>
      <c r="AH371">
        <v>39</v>
      </c>
    </row>
    <row r="372" spans="1:34" x14ac:dyDescent="0.3">
      <c r="A372" s="4">
        <v>379</v>
      </c>
      <c r="B372" s="5">
        <v>365</v>
      </c>
      <c r="C372">
        <v>10247</v>
      </c>
      <c r="D372" t="s">
        <v>2079</v>
      </c>
      <c r="E372" t="s">
        <v>9158</v>
      </c>
      <c r="F372" t="s">
        <v>136</v>
      </c>
      <c r="G372" t="s">
        <v>9159</v>
      </c>
      <c r="H372">
        <v>15.73</v>
      </c>
      <c r="I372">
        <v>0</v>
      </c>
      <c r="J372">
        <v>0</v>
      </c>
      <c r="K372">
        <v>0</v>
      </c>
      <c r="L372">
        <v>7</v>
      </c>
      <c r="O372">
        <v>7</v>
      </c>
      <c r="P372">
        <v>4</v>
      </c>
      <c r="Q372">
        <v>0</v>
      </c>
      <c r="R372">
        <v>26.73</v>
      </c>
      <c r="S372">
        <v>6</v>
      </c>
      <c r="T372">
        <v>6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6</v>
      </c>
      <c r="AB372">
        <v>6</v>
      </c>
      <c r="AC372">
        <v>0</v>
      </c>
      <c r="AF372" t="s">
        <v>130</v>
      </c>
      <c r="AH372">
        <v>38.729999999999997</v>
      </c>
    </row>
    <row r="373" spans="1:34" x14ac:dyDescent="0.3">
      <c r="A373" s="4">
        <v>380</v>
      </c>
      <c r="B373" s="5">
        <v>366</v>
      </c>
      <c r="C373">
        <v>11129</v>
      </c>
      <c r="D373" t="s">
        <v>9160</v>
      </c>
      <c r="E373" t="s">
        <v>178</v>
      </c>
      <c r="F373" t="s">
        <v>136</v>
      </c>
      <c r="G373" t="s">
        <v>9161</v>
      </c>
      <c r="H373">
        <v>18.579999999999998</v>
      </c>
      <c r="I373">
        <v>0</v>
      </c>
      <c r="J373">
        <v>0</v>
      </c>
      <c r="K373">
        <v>20</v>
      </c>
      <c r="O373">
        <v>0</v>
      </c>
      <c r="P373">
        <v>0</v>
      </c>
      <c r="Q373">
        <v>0</v>
      </c>
      <c r="R373">
        <v>38.58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F373" t="s">
        <v>130</v>
      </c>
      <c r="AH373">
        <v>38.58</v>
      </c>
    </row>
    <row r="374" spans="1:34" x14ac:dyDescent="0.3">
      <c r="A374" s="4">
        <v>381</v>
      </c>
      <c r="B374" s="5">
        <v>367</v>
      </c>
      <c r="C374">
        <v>7374</v>
      </c>
      <c r="D374" t="s">
        <v>9162</v>
      </c>
      <c r="E374" t="s">
        <v>1189</v>
      </c>
      <c r="F374" t="s">
        <v>38</v>
      </c>
      <c r="G374" t="s">
        <v>9163</v>
      </c>
      <c r="H374">
        <v>19.5</v>
      </c>
      <c r="I374">
        <v>0</v>
      </c>
      <c r="J374">
        <v>0</v>
      </c>
      <c r="K374">
        <v>0</v>
      </c>
      <c r="L374">
        <v>7</v>
      </c>
      <c r="O374">
        <v>7</v>
      </c>
      <c r="P374">
        <v>4</v>
      </c>
      <c r="Q374">
        <v>2</v>
      </c>
      <c r="R374">
        <v>32.5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6</v>
      </c>
      <c r="AC374">
        <v>0</v>
      </c>
      <c r="AF374" t="s">
        <v>130</v>
      </c>
      <c r="AH374">
        <v>38.5</v>
      </c>
    </row>
    <row r="375" spans="1:34" x14ac:dyDescent="0.3">
      <c r="A375" s="4">
        <v>382</v>
      </c>
      <c r="B375" s="5">
        <v>368</v>
      </c>
      <c r="C375">
        <v>5438</v>
      </c>
      <c r="D375" t="s">
        <v>9164</v>
      </c>
      <c r="E375" t="s">
        <v>41</v>
      </c>
      <c r="F375" t="s">
        <v>136</v>
      </c>
      <c r="G375" t="s">
        <v>32044</v>
      </c>
      <c r="H375">
        <v>17.350000000000001</v>
      </c>
      <c r="I375">
        <v>0</v>
      </c>
      <c r="J375">
        <v>0</v>
      </c>
      <c r="K375">
        <v>0</v>
      </c>
      <c r="L375">
        <v>7</v>
      </c>
      <c r="O375">
        <v>7</v>
      </c>
      <c r="P375">
        <v>4</v>
      </c>
      <c r="Q375">
        <v>2</v>
      </c>
      <c r="R375">
        <v>30.35</v>
      </c>
      <c r="S375">
        <v>5</v>
      </c>
      <c r="T375">
        <v>5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5</v>
      </c>
      <c r="AB375">
        <v>3</v>
      </c>
      <c r="AC375">
        <v>0</v>
      </c>
      <c r="AD375" t="s">
        <v>130</v>
      </c>
      <c r="AF375" t="s">
        <v>130</v>
      </c>
      <c r="AH375">
        <v>38.35</v>
      </c>
    </row>
    <row r="376" spans="1:34" x14ac:dyDescent="0.3">
      <c r="A376" s="4">
        <v>383</v>
      </c>
      <c r="B376" s="5">
        <v>369</v>
      </c>
      <c r="C376">
        <v>14325</v>
      </c>
      <c r="D376" t="s">
        <v>9165</v>
      </c>
      <c r="E376" t="s">
        <v>276</v>
      </c>
      <c r="F376" t="s">
        <v>68</v>
      </c>
      <c r="G376" t="s">
        <v>9166</v>
      </c>
      <c r="H376">
        <v>17.329999999999998</v>
      </c>
      <c r="I376">
        <v>7</v>
      </c>
      <c r="J376">
        <v>0</v>
      </c>
      <c r="K376">
        <v>0</v>
      </c>
      <c r="L376">
        <v>7</v>
      </c>
      <c r="N376">
        <v>3</v>
      </c>
      <c r="O376">
        <v>10</v>
      </c>
      <c r="P376">
        <v>4</v>
      </c>
      <c r="Q376">
        <v>0</v>
      </c>
      <c r="R376">
        <v>38.33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F376" t="s">
        <v>130</v>
      </c>
      <c r="AH376">
        <v>38.33</v>
      </c>
    </row>
    <row r="377" spans="1:34" x14ac:dyDescent="0.3">
      <c r="A377" s="4">
        <v>384</v>
      </c>
      <c r="B377" s="5">
        <v>370</v>
      </c>
      <c r="C377">
        <v>2590</v>
      </c>
      <c r="D377" t="s">
        <v>9167</v>
      </c>
      <c r="E377" t="s">
        <v>88</v>
      </c>
      <c r="F377" t="s">
        <v>136</v>
      </c>
      <c r="G377" t="s">
        <v>9168</v>
      </c>
      <c r="H377">
        <v>17.149999999999999</v>
      </c>
      <c r="I377">
        <v>0</v>
      </c>
      <c r="J377">
        <v>0</v>
      </c>
      <c r="K377">
        <v>0</v>
      </c>
      <c r="L377">
        <v>7</v>
      </c>
      <c r="O377">
        <v>7</v>
      </c>
      <c r="P377">
        <v>4</v>
      </c>
      <c r="Q377">
        <v>2</v>
      </c>
      <c r="R377">
        <v>30.15</v>
      </c>
      <c r="S377">
        <v>8</v>
      </c>
      <c r="T377">
        <v>8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8</v>
      </c>
      <c r="AB377">
        <v>0</v>
      </c>
      <c r="AC377">
        <v>0</v>
      </c>
      <c r="AF377" t="s">
        <v>130</v>
      </c>
      <c r="AH377">
        <v>38.15</v>
      </c>
    </row>
    <row r="378" spans="1:34" x14ac:dyDescent="0.3">
      <c r="A378" s="4">
        <v>385</v>
      </c>
      <c r="B378" s="5">
        <v>371</v>
      </c>
      <c r="C378">
        <v>14001</v>
      </c>
      <c r="D378" t="s">
        <v>181</v>
      </c>
      <c r="E378" t="s">
        <v>9169</v>
      </c>
      <c r="F378" t="s">
        <v>9170</v>
      </c>
      <c r="G378" t="s">
        <v>9171</v>
      </c>
      <c r="H378">
        <v>20.100000000000001</v>
      </c>
      <c r="I378">
        <v>0</v>
      </c>
      <c r="J378">
        <v>0</v>
      </c>
      <c r="K378">
        <v>0</v>
      </c>
      <c r="N378">
        <v>3</v>
      </c>
      <c r="O378">
        <v>3</v>
      </c>
      <c r="P378">
        <v>0</v>
      </c>
      <c r="Q378">
        <v>2</v>
      </c>
      <c r="R378">
        <v>25.1</v>
      </c>
      <c r="S378">
        <v>10</v>
      </c>
      <c r="T378">
        <v>10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10</v>
      </c>
      <c r="AB378">
        <v>3</v>
      </c>
      <c r="AC378">
        <v>0</v>
      </c>
      <c r="AD378" t="s">
        <v>130</v>
      </c>
      <c r="AF378" t="s">
        <v>130</v>
      </c>
      <c r="AH378">
        <v>38.1</v>
      </c>
    </row>
    <row r="379" spans="1:34" x14ac:dyDescent="0.3">
      <c r="A379" s="4">
        <v>386</v>
      </c>
      <c r="B379" s="5">
        <v>372</v>
      </c>
      <c r="C379">
        <v>3463</v>
      </c>
      <c r="D379" t="s">
        <v>7140</v>
      </c>
      <c r="E379" t="s">
        <v>789</v>
      </c>
      <c r="F379" t="s">
        <v>972</v>
      </c>
      <c r="G379" t="s">
        <v>9172</v>
      </c>
      <c r="H379">
        <v>18.100000000000001</v>
      </c>
      <c r="I379">
        <v>0</v>
      </c>
      <c r="J379">
        <v>0</v>
      </c>
      <c r="K379">
        <v>20</v>
      </c>
      <c r="O379">
        <v>0</v>
      </c>
      <c r="P379">
        <v>0</v>
      </c>
      <c r="Q379">
        <v>0</v>
      </c>
      <c r="R379">
        <v>38.1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F379" t="s">
        <v>130</v>
      </c>
      <c r="AH379">
        <v>38.1</v>
      </c>
    </row>
    <row r="380" spans="1:34" x14ac:dyDescent="0.3">
      <c r="A380" s="4">
        <v>387</v>
      </c>
      <c r="B380" s="5">
        <v>373</v>
      </c>
      <c r="C380">
        <v>11096</v>
      </c>
      <c r="D380" t="s">
        <v>9173</v>
      </c>
      <c r="E380" t="s">
        <v>29</v>
      </c>
      <c r="F380" t="s">
        <v>30</v>
      </c>
      <c r="G380" t="s">
        <v>9174</v>
      </c>
      <c r="H380">
        <v>18.75</v>
      </c>
      <c r="I380">
        <v>0</v>
      </c>
      <c r="J380">
        <v>0</v>
      </c>
      <c r="K380">
        <v>0</v>
      </c>
      <c r="N380">
        <v>3</v>
      </c>
      <c r="O380">
        <v>3</v>
      </c>
      <c r="P380">
        <v>4</v>
      </c>
      <c r="Q380">
        <v>0</v>
      </c>
      <c r="R380">
        <v>25.75</v>
      </c>
      <c r="S380">
        <v>9</v>
      </c>
      <c r="T380">
        <v>9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9</v>
      </c>
      <c r="AB380">
        <v>3</v>
      </c>
      <c r="AC380">
        <v>0</v>
      </c>
      <c r="AF380" t="s">
        <v>130</v>
      </c>
      <c r="AH380">
        <v>37.75</v>
      </c>
    </row>
    <row r="381" spans="1:34" x14ac:dyDescent="0.3">
      <c r="A381" s="4">
        <v>388</v>
      </c>
      <c r="B381" s="5">
        <v>374</v>
      </c>
      <c r="C381">
        <v>124</v>
      </c>
      <c r="D381" t="s">
        <v>9175</v>
      </c>
      <c r="E381" t="s">
        <v>54</v>
      </c>
      <c r="F381" t="s">
        <v>7302</v>
      </c>
      <c r="G381" t="s">
        <v>9176</v>
      </c>
      <c r="H381">
        <v>17.649999999999999</v>
      </c>
      <c r="I381">
        <v>0</v>
      </c>
      <c r="J381">
        <v>0</v>
      </c>
      <c r="K381">
        <v>0</v>
      </c>
      <c r="M381">
        <v>5</v>
      </c>
      <c r="O381">
        <v>5</v>
      </c>
      <c r="P381">
        <v>4</v>
      </c>
      <c r="Q381">
        <v>0</v>
      </c>
      <c r="R381">
        <v>26.65</v>
      </c>
      <c r="S381">
        <v>8</v>
      </c>
      <c r="T381">
        <v>8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8</v>
      </c>
      <c r="AB381">
        <v>3</v>
      </c>
      <c r="AC381">
        <v>0</v>
      </c>
      <c r="AD381" t="s">
        <v>130</v>
      </c>
      <c r="AF381" t="s">
        <v>130</v>
      </c>
      <c r="AH381">
        <v>37.65</v>
      </c>
    </row>
    <row r="382" spans="1:34" x14ac:dyDescent="0.3">
      <c r="A382" s="4">
        <v>389</v>
      </c>
      <c r="B382" s="5">
        <v>375</v>
      </c>
      <c r="C382">
        <v>15677</v>
      </c>
      <c r="D382" t="s">
        <v>9177</v>
      </c>
      <c r="E382" t="s">
        <v>29</v>
      </c>
      <c r="F382" t="s">
        <v>243</v>
      </c>
      <c r="G382" t="s">
        <v>9178</v>
      </c>
      <c r="H382">
        <v>19.38</v>
      </c>
      <c r="I382">
        <v>7</v>
      </c>
      <c r="J382">
        <v>0</v>
      </c>
      <c r="K382">
        <v>0</v>
      </c>
      <c r="L382">
        <v>7</v>
      </c>
      <c r="O382">
        <v>7</v>
      </c>
      <c r="P382">
        <v>4</v>
      </c>
      <c r="Q382">
        <v>0</v>
      </c>
      <c r="R382">
        <v>37.380000000000003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F382" t="s">
        <v>130</v>
      </c>
      <c r="AH382">
        <v>37.380000000000003</v>
      </c>
    </row>
    <row r="383" spans="1:34" x14ac:dyDescent="0.3">
      <c r="A383" s="4">
        <v>390</v>
      </c>
      <c r="B383" s="5">
        <v>376</v>
      </c>
      <c r="C383">
        <v>15696</v>
      </c>
      <c r="D383" t="s">
        <v>9179</v>
      </c>
      <c r="E383" t="s">
        <v>780</v>
      </c>
      <c r="F383" t="s">
        <v>62</v>
      </c>
      <c r="G383" t="s">
        <v>9180</v>
      </c>
      <c r="H383">
        <v>16.8</v>
      </c>
      <c r="I383">
        <v>0</v>
      </c>
      <c r="J383">
        <v>0</v>
      </c>
      <c r="K383">
        <v>0</v>
      </c>
      <c r="L383">
        <v>14</v>
      </c>
      <c r="O383">
        <v>14</v>
      </c>
      <c r="P383">
        <v>4</v>
      </c>
      <c r="Q383">
        <v>2</v>
      </c>
      <c r="R383">
        <v>36.799999999999997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F383" t="s">
        <v>130</v>
      </c>
      <c r="AH383">
        <v>36.799999999999997</v>
      </c>
    </row>
    <row r="384" spans="1:34" x14ac:dyDescent="0.3">
      <c r="A384" s="4">
        <v>391</v>
      </c>
      <c r="B384" s="5">
        <v>377</v>
      </c>
      <c r="C384">
        <v>11767</v>
      </c>
      <c r="D384" t="s">
        <v>2456</v>
      </c>
      <c r="E384" t="s">
        <v>100</v>
      </c>
      <c r="F384" t="s">
        <v>136</v>
      </c>
      <c r="G384" t="s">
        <v>2457</v>
      </c>
      <c r="H384">
        <v>19.149999999999999</v>
      </c>
      <c r="I384">
        <v>0</v>
      </c>
      <c r="J384">
        <v>0</v>
      </c>
      <c r="K384">
        <v>0</v>
      </c>
      <c r="N384">
        <v>3</v>
      </c>
      <c r="O384">
        <v>3</v>
      </c>
      <c r="P384">
        <v>4</v>
      </c>
      <c r="Q384">
        <v>2</v>
      </c>
      <c r="R384">
        <v>28.15</v>
      </c>
      <c r="S384">
        <v>5</v>
      </c>
      <c r="T384">
        <v>5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5</v>
      </c>
      <c r="AB384">
        <v>3</v>
      </c>
      <c r="AC384">
        <v>0</v>
      </c>
      <c r="AF384" t="s">
        <v>130</v>
      </c>
      <c r="AH384">
        <v>36.15</v>
      </c>
    </row>
    <row r="385" spans="1:34" x14ac:dyDescent="0.3">
      <c r="A385" s="4">
        <v>392</v>
      </c>
      <c r="B385" s="5">
        <v>378</v>
      </c>
      <c r="C385">
        <v>8625</v>
      </c>
      <c r="D385" t="s">
        <v>9181</v>
      </c>
      <c r="E385" t="s">
        <v>115</v>
      </c>
      <c r="F385" t="s">
        <v>23</v>
      </c>
      <c r="G385" t="s">
        <v>9182</v>
      </c>
      <c r="H385">
        <v>12.5</v>
      </c>
      <c r="I385">
        <v>7</v>
      </c>
      <c r="J385">
        <v>0</v>
      </c>
      <c r="K385">
        <v>0</v>
      </c>
      <c r="L385">
        <v>7</v>
      </c>
      <c r="N385">
        <v>3</v>
      </c>
      <c r="O385">
        <v>10</v>
      </c>
      <c r="P385">
        <v>4</v>
      </c>
      <c r="Q385">
        <v>2</v>
      </c>
      <c r="R385">
        <v>35.5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F385" t="s">
        <v>130</v>
      </c>
      <c r="AH385">
        <v>35.5</v>
      </c>
    </row>
    <row r="386" spans="1:34" x14ac:dyDescent="0.3">
      <c r="A386" s="4">
        <v>393</v>
      </c>
      <c r="B386" s="5">
        <v>379</v>
      </c>
      <c r="C386">
        <v>13743</v>
      </c>
      <c r="D386" t="s">
        <v>207</v>
      </c>
      <c r="E386" t="s">
        <v>170</v>
      </c>
      <c r="F386" t="s">
        <v>17</v>
      </c>
      <c r="G386" t="s">
        <v>9183</v>
      </c>
      <c r="H386">
        <v>17.3</v>
      </c>
      <c r="I386">
        <v>0</v>
      </c>
      <c r="J386">
        <v>0</v>
      </c>
      <c r="K386">
        <v>0</v>
      </c>
      <c r="L386">
        <v>7</v>
      </c>
      <c r="O386">
        <v>7</v>
      </c>
      <c r="P386">
        <v>4</v>
      </c>
      <c r="Q386">
        <v>2</v>
      </c>
      <c r="R386">
        <v>30.3</v>
      </c>
      <c r="S386">
        <v>5</v>
      </c>
      <c r="T386">
        <v>5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5</v>
      </c>
      <c r="AB386">
        <v>0</v>
      </c>
      <c r="AC386">
        <v>0</v>
      </c>
      <c r="AF386" t="s">
        <v>130</v>
      </c>
      <c r="AH386">
        <v>35.299999999999997</v>
      </c>
    </row>
    <row r="387" spans="1:34" x14ac:dyDescent="0.3">
      <c r="A387" s="4">
        <v>394</v>
      </c>
      <c r="B387" s="5">
        <v>380</v>
      </c>
      <c r="C387">
        <v>968</v>
      </c>
      <c r="D387" t="s">
        <v>2301</v>
      </c>
      <c r="E387" t="s">
        <v>22</v>
      </c>
      <c r="F387" t="s">
        <v>158</v>
      </c>
      <c r="G387" t="s">
        <v>9184</v>
      </c>
      <c r="H387">
        <v>18.98</v>
      </c>
      <c r="I387">
        <v>7</v>
      </c>
      <c r="J387">
        <v>0</v>
      </c>
      <c r="K387">
        <v>0</v>
      </c>
      <c r="N387">
        <v>3</v>
      </c>
      <c r="O387">
        <v>3</v>
      </c>
      <c r="P387">
        <v>4</v>
      </c>
      <c r="Q387">
        <v>2</v>
      </c>
      <c r="R387">
        <v>34.979999999999997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F387" t="s">
        <v>130</v>
      </c>
      <c r="AH387">
        <v>34.979999999999997</v>
      </c>
    </row>
    <row r="388" spans="1:34" x14ac:dyDescent="0.3">
      <c r="A388" s="4">
        <v>395</v>
      </c>
      <c r="B388" s="5">
        <v>381</v>
      </c>
      <c r="C388">
        <v>212</v>
      </c>
      <c r="D388" t="s">
        <v>9185</v>
      </c>
      <c r="E388" t="s">
        <v>2538</v>
      </c>
      <c r="F388" t="s">
        <v>20</v>
      </c>
      <c r="G388" t="s">
        <v>9186</v>
      </c>
      <c r="H388">
        <v>18.48</v>
      </c>
      <c r="I388">
        <v>0</v>
      </c>
      <c r="J388">
        <v>0</v>
      </c>
      <c r="K388">
        <v>0</v>
      </c>
      <c r="L388">
        <v>7</v>
      </c>
      <c r="O388">
        <v>7</v>
      </c>
      <c r="P388">
        <v>4</v>
      </c>
      <c r="Q388">
        <v>2</v>
      </c>
      <c r="R388">
        <v>31.48</v>
      </c>
      <c r="S388">
        <v>3</v>
      </c>
      <c r="T388">
        <v>3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3</v>
      </c>
      <c r="AB388">
        <v>0</v>
      </c>
      <c r="AC388">
        <v>0</v>
      </c>
      <c r="AF388" t="s">
        <v>130</v>
      </c>
      <c r="AH388">
        <v>34.479999999999997</v>
      </c>
    </row>
    <row r="389" spans="1:34" x14ac:dyDescent="0.3">
      <c r="A389" s="4">
        <v>396</v>
      </c>
      <c r="B389" s="5">
        <v>382</v>
      </c>
      <c r="C389">
        <v>15439</v>
      </c>
      <c r="D389" t="s">
        <v>418</v>
      </c>
      <c r="E389" t="s">
        <v>825</v>
      </c>
      <c r="F389" t="s">
        <v>416</v>
      </c>
      <c r="G389" t="s">
        <v>9187</v>
      </c>
      <c r="H389">
        <v>18.43</v>
      </c>
      <c r="I389">
        <v>0</v>
      </c>
      <c r="J389">
        <v>0</v>
      </c>
      <c r="K389">
        <v>0</v>
      </c>
      <c r="L389">
        <v>7</v>
      </c>
      <c r="O389">
        <v>7</v>
      </c>
      <c r="P389">
        <v>4</v>
      </c>
      <c r="Q389">
        <v>2</v>
      </c>
      <c r="R389">
        <v>31.43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3</v>
      </c>
      <c r="AC389">
        <v>0</v>
      </c>
      <c r="AD389" t="s">
        <v>130</v>
      </c>
      <c r="AF389" t="s">
        <v>130</v>
      </c>
      <c r="AH389">
        <v>34.43</v>
      </c>
    </row>
    <row r="390" spans="1:34" x14ac:dyDescent="0.3">
      <c r="A390" s="4">
        <v>397</v>
      </c>
      <c r="B390" s="5">
        <v>383</v>
      </c>
      <c r="C390">
        <v>11145</v>
      </c>
      <c r="D390" t="s">
        <v>9188</v>
      </c>
      <c r="E390" t="s">
        <v>29</v>
      </c>
      <c r="F390" t="s">
        <v>124</v>
      </c>
      <c r="G390" t="s">
        <v>9189</v>
      </c>
      <c r="H390">
        <v>19.03</v>
      </c>
      <c r="I390">
        <v>0</v>
      </c>
      <c r="J390">
        <v>0</v>
      </c>
      <c r="K390">
        <v>0</v>
      </c>
      <c r="N390">
        <v>3</v>
      </c>
      <c r="O390">
        <v>3</v>
      </c>
      <c r="P390">
        <v>4</v>
      </c>
      <c r="Q390">
        <v>2</v>
      </c>
      <c r="R390">
        <v>28.03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6</v>
      </c>
      <c r="AC390">
        <v>0</v>
      </c>
      <c r="AF390" t="s">
        <v>130</v>
      </c>
      <c r="AH390">
        <v>34.03</v>
      </c>
    </row>
    <row r="391" spans="1:34" x14ac:dyDescent="0.3">
      <c r="A391" s="4">
        <v>398</v>
      </c>
      <c r="B391" s="5">
        <v>384</v>
      </c>
      <c r="C391">
        <v>5938</v>
      </c>
      <c r="D391" t="s">
        <v>9190</v>
      </c>
      <c r="E391" t="s">
        <v>1576</v>
      </c>
      <c r="F391" t="s">
        <v>30</v>
      </c>
      <c r="G391" t="s">
        <v>9191</v>
      </c>
      <c r="H391">
        <v>19.93</v>
      </c>
      <c r="I391">
        <v>0</v>
      </c>
      <c r="J391">
        <v>0</v>
      </c>
      <c r="K391">
        <v>0</v>
      </c>
      <c r="N391">
        <v>3</v>
      </c>
      <c r="O391">
        <v>3</v>
      </c>
      <c r="P391">
        <v>4</v>
      </c>
      <c r="Q391">
        <v>0</v>
      </c>
      <c r="R391">
        <v>26.93</v>
      </c>
      <c r="S391">
        <v>7</v>
      </c>
      <c r="T391">
        <v>7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7</v>
      </c>
      <c r="AB391">
        <v>0</v>
      </c>
      <c r="AC391">
        <v>0</v>
      </c>
      <c r="AF391" t="s">
        <v>130</v>
      </c>
      <c r="AH391">
        <v>33.93</v>
      </c>
    </row>
    <row r="392" spans="1:34" x14ac:dyDescent="0.3">
      <c r="A392" s="4">
        <v>399</v>
      </c>
      <c r="B392" s="5">
        <v>385</v>
      </c>
      <c r="C392">
        <v>6199</v>
      </c>
      <c r="D392" t="s">
        <v>9192</v>
      </c>
      <c r="E392" t="s">
        <v>471</v>
      </c>
      <c r="F392" t="s">
        <v>227</v>
      </c>
      <c r="G392" t="s">
        <v>9193</v>
      </c>
      <c r="H392">
        <v>19.899999999999999</v>
      </c>
      <c r="I392">
        <v>0</v>
      </c>
      <c r="J392">
        <v>0</v>
      </c>
      <c r="K392">
        <v>0</v>
      </c>
      <c r="L392">
        <v>7</v>
      </c>
      <c r="N392">
        <v>3</v>
      </c>
      <c r="O392">
        <v>10</v>
      </c>
      <c r="P392">
        <v>4</v>
      </c>
      <c r="Q392">
        <v>0</v>
      </c>
      <c r="R392">
        <v>33.9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 t="s">
        <v>130</v>
      </c>
      <c r="AF392" t="s">
        <v>130</v>
      </c>
      <c r="AH392">
        <v>33.9</v>
      </c>
    </row>
    <row r="393" spans="1:34" x14ac:dyDescent="0.3">
      <c r="A393" s="4">
        <v>400</v>
      </c>
      <c r="B393" s="5">
        <v>386</v>
      </c>
      <c r="C393">
        <v>13837</v>
      </c>
      <c r="D393" t="s">
        <v>3102</v>
      </c>
      <c r="E393" t="s">
        <v>110</v>
      </c>
      <c r="F393" t="s">
        <v>68</v>
      </c>
      <c r="G393" t="s">
        <v>9194</v>
      </c>
      <c r="H393">
        <v>20.43</v>
      </c>
      <c r="I393">
        <v>0</v>
      </c>
      <c r="J393">
        <v>0</v>
      </c>
      <c r="K393">
        <v>0</v>
      </c>
      <c r="M393">
        <v>5</v>
      </c>
      <c r="O393">
        <v>5</v>
      </c>
      <c r="P393">
        <v>4</v>
      </c>
      <c r="Q393">
        <v>0</v>
      </c>
      <c r="R393">
        <v>29.43</v>
      </c>
      <c r="S393">
        <v>4</v>
      </c>
      <c r="T393">
        <v>4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4</v>
      </c>
      <c r="AB393">
        <v>0</v>
      </c>
      <c r="AC393">
        <v>0</v>
      </c>
      <c r="AF393" t="s">
        <v>130</v>
      </c>
      <c r="AH393">
        <v>33.43</v>
      </c>
    </row>
    <row r="394" spans="1:34" x14ac:dyDescent="0.3">
      <c r="A394" s="4">
        <v>401</v>
      </c>
      <c r="B394" s="5">
        <v>387</v>
      </c>
      <c r="C394">
        <v>5087</v>
      </c>
      <c r="D394" t="s">
        <v>4807</v>
      </c>
      <c r="E394" t="s">
        <v>789</v>
      </c>
      <c r="F394" t="s">
        <v>4808</v>
      </c>
      <c r="G394" t="s">
        <v>32036</v>
      </c>
      <c r="H394">
        <v>18.399999999999999</v>
      </c>
      <c r="I394">
        <v>0</v>
      </c>
      <c r="J394">
        <v>0</v>
      </c>
      <c r="K394">
        <v>0</v>
      </c>
      <c r="O394">
        <v>0</v>
      </c>
      <c r="P394">
        <v>4</v>
      </c>
      <c r="Q394">
        <v>2</v>
      </c>
      <c r="R394">
        <v>24.4</v>
      </c>
      <c r="S394">
        <v>9</v>
      </c>
      <c r="T394">
        <v>9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9</v>
      </c>
      <c r="AB394">
        <v>0</v>
      </c>
      <c r="AC394">
        <v>0</v>
      </c>
      <c r="AF394" t="s">
        <v>130</v>
      </c>
      <c r="AH394">
        <v>33.4</v>
      </c>
    </row>
    <row r="395" spans="1:34" x14ac:dyDescent="0.3">
      <c r="A395" s="4">
        <v>402</v>
      </c>
      <c r="B395" s="5">
        <v>388</v>
      </c>
      <c r="C395">
        <v>817</v>
      </c>
      <c r="D395" t="s">
        <v>3630</v>
      </c>
      <c r="E395" t="s">
        <v>22</v>
      </c>
      <c r="F395" t="s">
        <v>892</v>
      </c>
      <c r="G395" t="s">
        <v>9195</v>
      </c>
      <c r="H395">
        <v>17.3</v>
      </c>
      <c r="I395">
        <v>0</v>
      </c>
      <c r="J395">
        <v>0</v>
      </c>
      <c r="K395">
        <v>0</v>
      </c>
      <c r="L395">
        <v>7</v>
      </c>
      <c r="N395">
        <v>3</v>
      </c>
      <c r="O395">
        <v>10</v>
      </c>
      <c r="P395">
        <v>4</v>
      </c>
      <c r="Q395">
        <v>2</v>
      </c>
      <c r="R395">
        <v>33.299999999999997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F395" t="s">
        <v>130</v>
      </c>
      <c r="AH395">
        <v>33.299999999999997</v>
      </c>
    </row>
    <row r="396" spans="1:34" x14ac:dyDescent="0.3">
      <c r="A396" s="4">
        <v>403</v>
      </c>
      <c r="B396" s="5">
        <v>389</v>
      </c>
      <c r="C396">
        <v>2102</v>
      </c>
      <c r="D396" t="s">
        <v>9196</v>
      </c>
      <c r="E396" t="s">
        <v>208</v>
      </c>
      <c r="F396" t="s">
        <v>9197</v>
      </c>
      <c r="G396" t="s">
        <v>9198</v>
      </c>
      <c r="H396">
        <v>16.25</v>
      </c>
      <c r="I396">
        <v>0</v>
      </c>
      <c r="J396">
        <v>0</v>
      </c>
      <c r="K396">
        <v>0</v>
      </c>
      <c r="L396">
        <v>14</v>
      </c>
      <c r="O396">
        <v>14</v>
      </c>
      <c r="P396">
        <v>0</v>
      </c>
      <c r="Q396">
        <v>0</v>
      </c>
      <c r="R396">
        <v>30.25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3</v>
      </c>
      <c r="AC396">
        <v>0</v>
      </c>
      <c r="AF396" t="s">
        <v>130</v>
      </c>
      <c r="AH396">
        <v>33.25</v>
      </c>
    </row>
    <row r="397" spans="1:34" x14ac:dyDescent="0.3">
      <c r="A397" s="4">
        <v>404</v>
      </c>
      <c r="B397" s="5">
        <v>390</v>
      </c>
      <c r="C397">
        <v>887</v>
      </c>
      <c r="D397" t="s">
        <v>9199</v>
      </c>
      <c r="E397" t="s">
        <v>33</v>
      </c>
      <c r="F397" t="s">
        <v>38</v>
      </c>
      <c r="G397" t="s">
        <v>9200</v>
      </c>
      <c r="H397">
        <v>16.18</v>
      </c>
      <c r="I397">
        <v>0</v>
      </c>
      <c r="J397">
        <v>0</v>
      </c>
      <c r="K397">
        <v>0</v>
      </c>
      <c r="N397">
        <v>3</v>
      </c>
      <c r="O397">
        <v>3</v>
      </c>
      <c r="P397">
        <v>4</v>
      </c>
      <c r="Q397">
        <v>2</v>
      </c>
      <c r="R397">
        <v>25.18</v>
      </c>
      <c r="S397">
        <v>8</v>
      </c>
      <c r="T397">
        <v>8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8</v>
      </c>
      <c r="AB397">
        <v>0</v>
      </c>
      <c r="AC397">
        <v>0</v>
      </c>
      <c r="AF397" t="s">
        <v>130</v>
      </c>
      <c r="AH397">
        <v>33.18</v>
      </c>
    </row>
    <row r="398" spans="1:34" x14ac:dyDescent="0.3">
      <c r="A398" s="4">
        <v>405</v>
      </c>
      <c r="B398" s="5">
        <v>391</v>
      </c>
      <c r="C398">
        <v>3615</v>
      </c>
      <c r="D398" t="s">
        <v>9201</v>
      </c>
      <c r="E398" t="s">
        <v>338</v>
      </c>
      <c r="F398" t="s">
        <v>79</v>
      </c>
      <c r="G398" t="s">
        <v>9202</v>
      </c>
      <c r="H398">
        <v>20.149999999999999</v>
      </c>
      <c r="I398">
        <v>0</v>
      </c>
      <c r="J398">
        <v>0</v>
      </c>
      <c r="K398">
        <v>0</v>
      </c>
      <c r="L398">
        <v>7</v>
      </c>
      <c r="O398">
        <v>7</v>
      </c>
      <c r="P398">
        <v>4</v>
      </c>
      <c r="Q398">
        <v>2</v>
      </c>
      <c r="R398">
        <v>33.15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F398" t="s">
        <v>130</v>
      </c>
      <c r="AH398">
        <v>33.15</v>
      </c>
    </row>
    <row r="399" spans="1:34" x14ac:dyDescent="0.3">
      <c r="A399" s="4">
        <v>406</v>
      </c>
      <c r="B399" s="5">
        <v>392</v>
      </c>
      <c r="C399">
        <v>13224</v>
      </c>
      <c r="D399" t="s">
        <v>959</v>
      </c>
      <c r="E399" t="s">
        <v>9203</v>
      </c>
      <c r="F399" t="s">
        <v>17</v>
      </c>
      <c r="G399" t="s">
        <v>9204</v>
      </c>
      <c r="H399">
        <v>20.13</v>
      </c>
      <c r="I399">
        <v>0</v>
      </c>
      <c r="J399">
        <v>0</v>
      </c>
      <c r="K399">
        <v>0</v>
      </c>
      <c r="L399">
        <v>7</v>
      </c>
      <c r="O399">
        <v>7</v>
      </c>
      <c r="P399">
        <v>4</v>
      </c>
      <c r="Q399">
        <v>2</v>
      </c>
      <c r="R399">
        <v>33.130000000000003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 t="s">
        <v>130</v>
      </c>
      <c r="AF399" t="s">
        <v>130</v>
      </c>
      <c r="AH399">
        <v>33.130000000000003</v>
      </c>
    </row>
    <row r="400" spans="1:34" x14ac:dyDescent="0.3">
      <c r="A400" s="4">
        <v>407</v>
      </c>
      <c r="B400" s="5">
        <v>393</v>
      </c>
      <c r="C400">
        <v>9530</v>
      </c>
      <c r="D400" t="s">
        <v>9205</v>
      </c>
      <c r="E400" t="s">
        <v>213</v>
      </c>
      <c r="F400" t="s">
        <v>136</v>
      </c>
      <c r="G400" t="s">
        <v>9206</v>
      </c>
      <c r="H400">
        <v>17.899999999999999</v>
      </c>
      <c r="I400">
        <v>0</v>
      </c>
      <c r="J400">
        <v>0</v>
      </c>
      <c r="K400">
        <v>0</v>
      </c>
      <c r="N400">
        <v>3</v>
      </c>
      <c r="O400">
        <v>3</v>
      </c>
      <c r="P400">
        <v>4</v>
      </c>
      <c r="Q400">
        <v>2</v>
      </c>
      <c r="R400">
        <v>26.9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6</v>
      </c>
      <c r="AC400">
        <v>0</v>
      </c>
      <c r="AD400" t="s">
        <v>130</v>
      </c>
      <c r="AF400" t="s">
        <v>130</v>
      </c>
      <c r="AH400">
        <v>32.9</v>
      </c>
    </row>
    <row r="401" spans="1:34" x14ac:dyDescent="0.3">
      <c r="A401" s="4">
        <v>408</v>
      </c>
      <c r="B401" s="5">
        <v>394</v>
      </c>
      <c r="C401">
        <v>12452</v>
      </c>
      <c r="D401" t="s">
        <v>9207</v>
      </c>
      <c r="E401" t="s">
        <v>9208</v>
      </c>
      <c r="F401" t="s">
        <v>190</v>
      </c>
      <c r="G401" t="s">
        <v>9209</v>
      </c>
      <c r="H401">
        <v>21.7</v>
      </c>
      <c r="I401">
        <v>0</v>
      </c>
      <c r="J401">
        <v>0</v>
      </c>
      <c r="K401">
        <v>0</v>
      </c>
      <c r="N401">
        <v>3</v>
      </c>
      <c r="O401">
        <v>3</v>
      </c>
      <c r="P401">
        <v>4</v>
      </c>
      <c r="Q401">
        <v>0</v>
      </c>
      <c r="R401">
        <v>28.7</v>
      </c>
      <c r="S401">
        <v>4</v>
      </c>
      <c r="T401">
        <v>4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4</v>
      </c>
      <c r="AB401">
        <v>0</v>
      </c>
      <c r="AC401">
        <v>0</v>
      </c>
      <c r="AF401" t="s">
        <v>130</v>
      </c>
      <c r="AH401">
        <v>32.700000000000003</v>
      </c>
    </row>
    <row r="402" spans="1:34" x14ac:dyDescent="0.3">
      <c r="A402" s="4">
        <v>409</v>
      </c>
      <c r="B402" s="5">
        <v>395</v>
      </c>
      <c r="C402">
        <v>12412</v>
      </c>
      <c r="D402" t="s">
        <v>9210</v>
      </c>
      <c r="E402" t="s">
        <v>54</v>
      </c>
      <c r="F402" t="s">
        <v>81</v>
      </c>
      <c r="G402" t="s">
        <v>9211</v>
      </c>
      <c r="H402">
        <v>16.350000000000001</v>
      </c>
      <c r="I402">
        <v>0</v>
      </c>
      <c r="J402">
        <v>0</v>
      </c>
      <c r="K402">
        <v>0</v>
      </c>
      <c r="L402">
        <v>7</v>
      </c>
      <c r="O402">
        <v>7</v>
      </c>
      <c r="P402">
        <v>4</v>
      </c>
      <c r="Q402">
        <v>2</v>
      </c>
      <c r="R402">
        <v>29.35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3</v>
      </c>
      <c r="AC402">
        <v>0</v>
      </c>
      <c r="AF402" t="s">
        <v>130</v>
      </c>
      <c r="AH402">
        <v>32.35</v>
      </c>
    </row>
    <row r="403" spans="1:34" x14ac:dyDescent="0.3">
      <c r="A403" s="4">
        <v>410</v>
      </c>
      <c r="B403" s="5">
        <v>396</v>
      </c>
      <c r="C403">
        <v>7047</v>
      </c>
      <c r="D403" t="s">
        <v>9212</v>
      </c>
      <c r="E403" t="s">
        <v>26</v>
      </c>
      <c r="F403" t="s">
        <v>34</v>
      </c>
      <c r="G403" t="s">
        <v>9213</v>
      </c>
      <c r="H403">
        <v>18.329999999999998</v>
      </c>
      <c r="I403">
        <v>0</v>
      </c>
      <c r="J403">
        <v>0</v>
      </c>
      <c r="K403">
        <v>0</v>
      </c>
      <c r="L403">
        <v>7</v>
      </c>
      <c r="N403">
        <v>3</v>
      </c>
      <c r="O403">
        <v>10</v>
      </c>
      <c r="P403">
        <v>4</v>
      </c>
      <c r="Q403">
        <v>0</v>
      </c>
      <c r="R403">
        <v>32.33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F403" t="s">
        <v>130</v>
      </c>
      <c r="AH403">
        <v>32.33</v>
      </c>
    </row>
    <row r="404" spans="1:34" x14ac:dyDescent="0.3">
      <c r="A404" s="4">
        <v>411</v>
      </c>
      <c r="B404" s="5">
        <v>397</v>
      </c>
      <c r="C404">
        <v>5389</v>
      </c>
      <c r="D404" t="s">
        <v>9214</v>
      </c>
      <c r="E404" t="s">
        <v>213</v>
      </c>
      <c r="F404" t="s">
        <v>68</v>
      </c>
      <c r="G404" t="s">
        <v>9215</v>
      </c>
      <c r="H404">
        <v>16.3</v>
      </c>
      <c r="I404">
        <v>0</v>
      </c>
      <c r="J404">
        <v>0</v>
      </c>
      <c r="K404">
        <v>0</v>
      </c>
      <c r="L404">
        <v>7</v>
      </c>
      <c r="O404">
        <v>7</v>
      </c>
      <c r="P404">
        <v>4</v>
      </c>
      <c r="Q404">
        <v>2</v>
      </c>
      <c r="R404">
        <v>29.3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3</v>
      </c>
      <c r="AC404">
        <v>0</v>
      </c>
      <c r="AF404" t="s">
        <v>130</v>
      </c>
      <c r="AH404">
        <v>32.299999999999997</v>
      </c>
    </row>
    <row r="405" spans="1:34" x14ac:dyDescent="0.3">
      <c r="A405" s="4">
        <v>412</v>
      </c>
      <c r="B405" s="5">
        <v>398</v>
      </c>
      <c r="C405">
        <v>6209</v>
      </c>
      <c r="D405" t="s">
        <v>3000</v>
      </c>
      <c r="E405" t="s">
        <v>29</v>
      </c>
      <c r="F405" t="s">
        <v>55</v>
      </c>
      <c r="G405" t="s">
        <v>3001</v>
      </c>
      <c r="H405">
        <v>17.05</v>
      </c>
      <c r="I405">
        <v>0</v>
      </c>
      <c r="J405">
        <v>0</v>
      </c>
      <c r="K405">
        <v>0</v>
      </c>
      <c r="N405">
        <v>3</v>
      </c>
      <c r="O405">
        <v>3</v>
      </c>
      <c r="P405">
        <v>4</v>
      </c>
      <c r="Q405">
        <v>2</v>
      </c>
      <c r="R405">
        <v>26.05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6</v>
      </c>
      <c r="AC405">
        <v>0</v>
      </c>
      <c r="AF405" t="s">
        <v>130</v>
      </c>
      <c r="AH405">
        <v>32.049999999999997</v>
      </c>
    </row>
    <row r="406" spans="1:34" x14ac:dyDescent="0.3">
      <c r="A406" s="4">
        <v>413</v>
      </c>
      <c r="B406" s="5">
        <v>399</v>
      </c>
      <c r="C406">
        <v>10210</v>
      </c>
      <c r="D406" t="s">
        <v>9216</v>
      </c>
      <c r="E406" t="s">
        <v>9217</v>
      </c>
      <c r="F406" t="s">
        <v>5060</v>
      </c>
      <c r="G406" t="s">
        <v>9218</v>
      </c>
      <c r="H406">
        <v>18.93</v>
      </c>
      <c r="I406">
        <v>0</v>
      </c>
      <c r="J406">
        <v>0</v>
      </c>
      <c r="K406">
        <v>0</v>
      </c>
      <c r="L406">
        <v>7</v>
      </c>
      <c r="O406">
        <v>7</v>
      </c>
      <c r="P406">
        <v>4</v>
      </c>
      <c r="Q406">
        <v>2</v>
      </c>
      <c r="R406">
        <v>31.93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F406" t="s">
        <v>130</v>
      </c>
      <c r="AH406">
        <v>31.93</v>
      </c>
    </row>
    <row r="407" spans="1:34" x14ac:dyDescent="0.3">
      <c r="A407" s="4">
        <v>414</v>
      </c>
      <c r="B407" s="5">
        <v>400</v>
      </c>
      <c r="C407">
        <v>10700</v>
      </c>
      <c r="D407" t="s">
        <v>283</v>
      </c>
      <c r="E407" t="s">
        <v>9219</v>
      </c>
      <c r="F407" t="s">
        <v>328</v>
      </c>
      <c r="G407" t="s">
        <v>9220</v>
      </c>
      <c r="H407">
        <v>18.68</v>
      </c>
      <c r="I407">
        <v>7</v>
      </c>
      <c r="J407">
        <v>0</v>
      </c>
      <c r="K407">
        <v>0</v>
      </c>
      <c r="O407">
        <v>0</v>
      </c>
      <c r="P407">
        <v>4</v>
      </c>
      <c r="Q407">
        <v>2</v>
      </c>
      <c r="R407">
        <v>31.68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F407" t="s">
        <v>130</v>
      </c>
      <c r="AH407">
        <v>31.68</v>
      </c>
    </row>
    <row r="408" spans="1:34" x14ac:dyDescent="0.3">
      <c r="A408" s="4">
        <v>415</v>
      </c>
      <c r="B408" s="5">
        <v>401</v>
      </c>
      <c r="C408">
        <v>1212</v>
      </c>
      <c r="D408" t="s">
        <v>9221</v>
      </c>
      <c r="E408" t="s">
        <v>20</v>
      </c>
      <c r="F408" t="s">
        <v>17</v>
      </c>
      <c r="G408" t="s">
        <v>9222</v>
      </c>
      <c r="H408">
        <v>17.63</v>
      </c>
      <c r="I408">
        <v>0</v>
      </c>
      <c r="J408">
        <v>0</v>
      </c>
      <c r="K408">
        <v>0</v>
      </c>
      <c r="N408">
        <v>3</v>
      </c>
      <c r="O408">
        <v>3</v>
      </c>
      <c r="P408">
        <v>4</v>
      </c>
      <c r="Q408">
        <v>2</v>
      </c>
      <c r="R408">
        <v>26.63</v>
      </c>
      <c r="S408">
        <v>5</v>
      </c>
      <c r="T408">
        <v>5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5</v>
      </c>
      <c r="AB408">
        <v>0</v>
      </c>
      <c r="AC408">
        <v>0</v>
      </c>
      <c r="AF408" t="s">
        <v>130</v>
      </c>
      <c r="AH408">
        <v>31.63</v>
      </c>
    </row>
    <row r="409" spans="1:34" x14ac:dyDescent="0.3">
      <c r="A409" s="4">
        <v>416</v>
      </c>
      <c r="B409" s="5">
        <v>402</v>
      </c>
      <c r="C409">
        <v>1948</v>
      </c>
      <c r="D409" t="s">
        <v>9223</v>
      </c>
      <c r="E409" t="s">
        <v>2758</v>
      </c>
      <c r="F409" t="s">
        <v>17</v>
      </c>
      <c r="G409" t="s">
        <v>9224</v>
      </c>
      <c r="H409">
        <v>17.43</v>
      </c>
      <c r="I409">
        <v>0</v>
      </c>
      <c r="J409">
        <v>0</v>
      </c>
      <c r="K409">
        <v>0</v>
      </c>
      <c r="N409">
        <v>3</v>
      </c>
      <c r="O409">
        <v>3</v>
      </c>
      <c r="P409">
        <v>4</v>
      </c>
      <c r="Q409">
        <v>2</v>
      </c>
      <c r="R409">
        <v>26.43</v>
      </c>
      <c r="S409">
        <v>5</v>
      </c>
      <c r="T409">
        <v>5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5</v>
      </c>
      <c r="AB409">
        <v>0</v>
      </c>
      <c r="AC409">
        <v>0</v>
      </c>
      <c r="AF409" t="s">
        <v>130</v>
      </c>
      <c r="AH409">
        <v>31.43</v>
      </c>
    </row>
    <row r="410" spans="1:34" x14ac:dyDescent="0.3">
      <c r="A410" s="4">
        <v>417</v>
      </c>
      <c r="B410" s="5">
        <v>403</v>
      </c>
      <c r="C410">
        <v>9150</v>
      </c>
      <c r="D410" t="s">
        <v>9225</v>
      </c>
      <c r="E410" t="s">
        <v>166</v>
      </c>
      <c r="F410" t="s">
        <v>1161</v>
      </c>
      <c r="G410" t="s">
        <v>9226</v>
      </c>
      <c r="H410">
        <v>18.350000000000001</v>
      </c>
      <c r="I410">
        <v>0</v>
      </c>
      <c r="J410">
        <v>0</v>
      </c>
      <c r="K410">
        <v>0</v>
      </c>
      <c r="L410">
        <v>7</v>
      </c>
      <c r="O410">
        <v>7</v>
      </c>
      <c r="P410">
        <v>4</v>
      </c>
      <c r="Q410">
        <v>2</v>
      </c>
      <c r="R410">
        <v>31.35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 t="s">
        <v>130</v>
      </c>
      <c r="AF410" t="s">
        <v>130</v>
      </c>
      <c r="AH410">
        <v>31.35</v>
      </c>
    </row>
    <row r="411" spans="1:34" x14ac:dyDescent="0.3">
      <c r="A411" s="4">
        <v>418</v>
      </c>
      <c r="B411" s="5">
        <v>404</v>
      </c>
      <c r="C411">
        <v>5103</v>
      </c>
      <c r="D411" t="s">
        <v>9227</v>
      </c>
      <c r="E411" t="s">
        <v>22</v>
      </c>
      <c r="F411" t="s">
        <v>34</v>
      </c>
      <c r="G411" t="s">
        <v>9228</v>
      </c>
      <c r="H411">
        <v>17.78</v>
      </c>
      <c r="I411">
        <v>0</v>
      </c>
      <c r="J411">
        <v>0</v>
      </c>
      <c r="K411">
        <v>0</v>
      </c>
      <c r="L411">
        <v>7</v>
      </c>
      <c r="O411">
        <v>7</v>
      </c>
      <c r="P411">
        <v>0</v>
      </c>
      <c r="Q411">
        <v>0</v>
      </c>
      <c r="R411">
        <v>24.78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6</v>
      </c>
      <c r="AC411">
        <v>0</v>
      </c>
      <c r="AF411" t="s">
        <v>130</v>
      </c>
      <c r="AH411">
        <v>30.78</v>
      </c>
    </row>
    <row r="412" spans="1:34" x14ac:dyDescent="0.3">
      <c r="A412" s="4">
        <v>419</v>
      </c>
      <c r="B412" s="5">
        <v>405</v>
      </c>
      <c r="C412">
        <v>5298</v>
      </c>
      <c r="D412" t="s">
        <v>9229</v>
      </c>
      <c r="E412" t="s">
        <v>9230</v>
      </c>
      <c r="F412" t="s">
        <v>136</v>
      </c>
      <c r="G412" t="s">
        <v>9231</v>
      </c>
      <c r="H412">
        <v>17.63</v>
      </c>
      <c r="I412">
        <v>0</v>
      </c>
      <c r="J412">
        <v>0</v>
      </c>
      <c r="K412">
        <v>0</v>
      </c>
      <c r="N412">
        <v>3</v>
      </c>
      <c r="O412">
        <v>3</v>
      </c>
      <c r="P412">
        <v>4</v>
      </c>
      <c r="Q412">
        <v>2</v>
      </c>
      <c r="R412">
        <v>26.63</v>
      </c>
      <c r="S412">
        <v>4</v>
      </c>
      <c r="T412">
        <v>4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4</v>
      </c>
      <c r="AB412">
        <v>0</v>
      </c>
      <c r="AC412">
        <v>0</v>
      </c>
      <c r="AD412" t="s">
        <v>130</v>
      </c>
      <c r="AF412" t="s">
        <v>130</v>
      </c>
      <c r="AH412">
        <v>30.63</v>
      </c>
    </row>
    <row r="413" spans="1:34" x14ac:dyDescent="0.3">
      <c r="A413" s="4">
        <v>420</v>
      </c>
      <c r="B413" s="5">
        <v>406</v>
      </c>
      <c r="C413">
        <v>4310</v>
      </c>
      <c r="D413" t="s">
        <v>932</v>
      </c>
      <c r="E413" t="s">
        <v>471</v>
      </c>
      <c r="F413" t="s">
        <v>230</v>
      </c>
      <c r="G413" t="s">
        <v>9232</v>
      </c>
      <c r="H413">
        <v>17.45</v>
      </c>
      <c r="I413">
        <v>0</v>
      </c>
      <c r="J413">
        <v>0</v>
      </c>
      <c r="K413">
        <v>0</v>
      </c>
      <c r="L413">
        <v>7</v>
      </c>
      <c r="O413">
        <v>7</v>
      </c>
      <c r="P413">
        <v>4</v>
      </c>
      <c r="Q413">
        <v>2</v>
      </c>
      <c r="R413">
        <v>30.45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 t="s">
        <v>130</v>
      </c>
      <c r="AF413" t="s">
        <v>130</v>
      </c>
      <c r="AH413">
        <v>30.45</v>
      </c>
    </row>
    <row r="414" spans="1:34" x14ac:dyDescent="0.3">
      <c r="A414" s="4">
        <v>421</v>
      </c>
      <c r="B414" s="5">
        <v>407</v>
      </c>
      <c r="C414">
        <v>9798</v>
      </c>
      <c r="D414" t="s">
        <v>9233</v>
      </c>
      <c r="E414" t="s">
        <v>1659</v>
      </c>
      <c r="F414" t="s">
        <v>117</v>
      </c>
      <c r="G414" t="s">
        <v>9234</v>
      </c>
      <c r="H414">
        <v>18.28</v>
      </c>
      <c r="I414">
        <v>0</v>
      </c>
      <c r="J414">
        <v>0</v>
      </c>
      <c r="K414">
        <v>0</v>
      </c>
      <c r="N414">
        <v>3</v>
      </c>
      <c r="O414">
        <v>3</v>
      </c>
      <c r="P414">
        <v>0</v>
      </c>
      <c r="Q414">
        <v>0</v>
      </c>
      <c r="R414">
        <v>21.28</v>
      </c>
      <c r="S414">
        <v>0</v>
      </c>
      <c r="T414">
        <v>0</v>
      </c>
      <c r="U414">
        <v>0</v>
      </c>
      <c r="V414">
        <v>0</v>
      </c>
      <c r="W414">
        <v>4</v>
      </c>
      <c r="X414">
        <v>6</v>
      </c>
      <c r="Y414">
        <v>0</v>
      </c>
      <c r="Z414">
        <v>0</v>
      </c>
      <c r="AA414">
        <v>6</v>
      </c>
      <c r="AB414">
        <v>3</v>
      </c>
      <c r="AC414">
        <v>0</v>
      </c>
      <c r="AF414" t="s">
        <v>130</v>
      </c>
      <c r="AH414">
        <v>30.28</v>
      </c>
    </row>
    <row r="415" spans="1:34" x14ac:dyDescent="0.3">
      <c r="A415" s="4">
        <v>422</v>
      </c>
      <c r="B415" s="5">
        <v>408</v>
      </c>
      <c r="C415">
        <v>13159</v>
      </c>
      <c r="D415" t="s">
        <v>9235</v>
      </c>
      <c r="E415" t="s">
        <v>2088</v>
      </c>
      <c r="F415" t="s">
        <v>17</v>
      </c>
      <c r="G415" t="s">
        <v>9236</v>
      </c>
      <c r="H415">
        <v>17.079999999999998</v>
      </c>
      <c r="I415">
        <v>0</v>
      </c>
      <c r="J415">
        <v>0</v>
      </c>
      <c r="K415">
        <v>0</v>
      </c>
      <c r="L415">
        <v>7</v>
      </c>
      <c r="O415">
        <v>7</v>
      </c>
      <c r="P415">
        <v>4</v>
      </c>
      <c r="Q415">
        <v>2</v>
      </c>
      <c r="R415">
        <v>30.08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 t="s">
        <v>130</v>
      </c>
      <c r="AF415" t="s">
        <v>130</v>
      </c>
      <c r="AH415">
        <v>30.08</v>
      </c>
    </row>
    <row r="416" spans="1:34" x14ac:dyDescent="0.3">
      <c r="A416" s="4">
        <v>423</v>
      </c>
      <c r="B416" s="5">
        <v>409</v>
      </c>
      <c r="C416">
        <v>12769</v>
      </c>
      <c r="D416" t="s">
        <v>6930</v>
      </c>
      <c r="E416" t="s">
        <v>9237</v>
      </c>
      <c r="F416" t="s">
        <v>117</v>
      </c>
      <c r="G416" t="s">
        <v>9238</v>
      </c>
      <c r="H416">
        <v>21.05</v>
      </c>
      <c r="I416">
        <v>0</v>
      </c>
      <c r="J416">
        <v>0</v>
      </c>
      <c r="K416">
        <v>0</v>
      </c>
      <c r="N416">
        <v>3</v>
      </c>
      <c r="O416">
        <v>3</v>
      </c>
      <c r="P416">
        <v>4</v>
      </c>
      <c r="Q416">
        <v>2</v>
      </c>
      <c r="R416">
        <v>30.05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F416" t="s">
        <v>130</v>
      </c>
      <c r="AH416">
        <v>30.05</v>
      </c>
    </row>
    <row r="417" spans="1:34" x14ac:dyDescent="0.3">
      <c r="A417" s="4">
        <v>424</v>
      </c>
      <c r="B417" s="5">
        <v>410</v>
      </c>
      <c r="C417">
        <v>5160</v>
      </c>
      <c r="D417" t="s">
        <v>9239</v>
      </c>
      <c r="E417" t="s">
        <v>54</v>
      </c>
      <c r="F417" t="s">
        <v>3642</v>
      </c>
      <c r="G417" t="s">
        <v>9240</v>
      </c>
      <c r="H417">
        <v>20.9</v>
      </c>
      <c r="I417">
        <v>0</v>
      </c>
      <c r="J417">
        <v>0</v>
      </c>
      <c r="K417">
        <v>0</v>
      </c>
      <c r="N417">
        <v>3</v>
      </c>
      <c r="O417">
        <v>3</v>
      </c>
      <c r="P417">
        <v>0</v>
      </c>
      <c r="Q417">
        <v>0</v>
      </c>
      <c r="R417">
        <v>23.9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6</v>
      </c>
      <c r="AC417">
        <v>0</v>
      </c>
      <c r="AF417" t="s">
        <v>130</v>
      </c>
      <c r="AH417">
        <v>29.9</v>
      </c>
    </row>
    <row r="418" spans="1:34" x14ac:dyDescent="0.3">
      <c r="A418" s="4">
        <v>425</v>
      </c>
      <c r="B418" s="5">
        <v>411</v>
      </c>
      <c r="C418">
        <v>10187</v>
      </c>
      <c r="D418" t="s">
        <v>9241</v>
      </c>
      <c r="E418" t="s">
        <v>471</v>
      </c>
      <c r="F418" t="s">
        <v>30</v>
      </c>
      <c r="G418" t="s">
        <v>9242</v>
      </c>
      <c r="H418">
        <v>17.88</v>
      </c>
      <c r="I418">
        <v>0</v>
      </c>
      <c r="J418">
        <v>0</v>
      </c>
      <c r="K418">
        <v>0</v>
      </c>
      <c r="N418">
        <v>3</v>
      </c>
      <c r="O418">
        <v>3</v>
      </c>
      <c r="P418">
        <v>4</v>
      </c>
      <c r="Q418">
        <v>2</v>
      </c>
      <c r="R418">
        <v>26.88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3</v>
      </c>
      <c r="AC418">
        <v>0</v>
      </c>
      <c r="AF418" t="s">
        <v>130</v>
      </c>
      <c r="AH418">
        <v>29.88</v>
      </c>
    </row>
    <row r="419" spans="1:34" x14ac:dyDescent="0.3">
      <c r="A419" s="4">
        <v>426</v>
      </c>
      <c r="B419" s="5">
        <v>412</v>
      </c>
      <c r="C419">
        <v>5273</v>
      </c>
      <c r="D419" t="s">
        <v>9243</v>
      </c>
      <c r="E419" t="s">
        <v>7743</v>
      </c>
      <c r="F419" t="s">
        <v>1593</v>
      </c>
      <c r="G419" t="s">
        <v>9244</v>
      </c>
      <c r="H419">
        <v>16.88</v>
      </c>
      <c r="I419">
        <v>0</v>
      </c>
      <c r="J419">
        <v>0</v>
      </c>
      <c r="K419">
        <v>0</v>
      </c>
      <c r="L419">
        <v>7</v>
      </c>
      <c r="O419">
        <v>7</v>
      </c>
      <c r="P419">
        <v>4</v>
      </c>
      <c r="Q419">
        <v>2</v>
      </c>
      <c r="R419">
        <v>29.88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F419" t="s">
        <v>130</v>
      </c>
      <c r="AH419">
        <v>29.88</v>
      </c>
    </row>
    <row r="420" spans="1:34" x14ac:dyDescent="0.3">
      <c r="A420" s="4">
        <v>427</v>
      </c>
      <c r="B420" s="5">
        <v>413</v>
      </c>
      <c r="C420">
        <v>8841</v>
      </c>
      <c r="D420" t="s">
        <v>2431</v>
      </c>
      <c r="E420" t="s">
        <v>2432</v>
      </c>
      <c r="F420" t="s">
        <v>801</v>
      </c>
      <c r="G420" t="s">
        <v>2433</v>
      </c>
      <c r="H420">
        <v>17.829999999999998</v>
      </c>
      <c r="I420">
        <v>0</v>
      </c>
      <c r="J420">
        <v>0</v>
      </c>
      <c r="K420">
        <v>0</v>
      </c>
      <c r="N420">
        <v>3</v>
      </c>
      <c r="O420">
        <v>3</v>
      </c>
      <c r="P420">
        <v>4</v>
      </c>
      <c r="Q420">
        <v>2</v>
      </c>
      <c r="R420">
        <v>26.83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3</v>
      </c>
      <c r="AC420">
        <v>0</v>
      </c>
      <c r="AF420" t="s">
        <v>130</v>
      </c>
      <c r="AH420">
        <v>29.83</v>
      </c>
    </row>
    <row r="421" spans="1:34" x14ac:dyDescent="0.3">
      <c r="A421" s="4">
        <v>428</v>
      </c>
      <c r="B421" s="5">
        <v>414</v>
      </c>
      <c r="C421">
        <v>8441</v>
      </c>
      <c r="D421" t="s">
        <v>9245</v>
      </c>
      <c r="E421" t="s">
        <v>563</v>
      </c>
      <c r="F421" t="s">
        <v>17</v>
      </c>
      <c r="G421" t="s">
        <v>9246</v>
      </c>
      <c r="H421">
        <v>17.73</v>
      </c>
      <c r="I421">
        <v>0</v>
      </c>
      <c r="J421">
        <v>0</v>
      </c>
      <c r="K421">
        <v>0</v>
      </c>
      <c r="O421">
        <v>0</v>
      </c>
      <c r="P421">
        <v>4</v>
      </c>
      <c r="Q421">
        <v>2</v>
      </c>
      <c r="R421">
        <v>23.73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6</v>
      </c>
      <c r="AC421">
        <v>0</v>
      </c>
      <c r="AF421" t="s">
        <v>130</v>
      </c>
      <c r="AH421">
        <v>29.73</v>
      </c>
    </row>
    <row r="422" spans="1:34" x14ac:dyDescent="0.3">
      <c r="A422" s="4">
        <v>429</v>
      </c>
      <c r="B422" s="5">
        <v>415</v>
      </c>
      <c r="C422">
        <v>8982</v>
      </c>
      <c r="D422" t="s">
        <v>9247</v>
      </c>
      <c r="E422" t="s">
        <v>9248</v>
      </c>
      <c r="F422" t="s">
        <v>81</v>
      </c>
      <c r="G422" t="s">
        <v>9249</v>
      </c>
      <c r="H422">
        <v>22.33</v>
      </c>
      <c r="I422">
        <v>0</v>
      </c>
      <c r="J422">
        <v>0</v>
      </c>
      <c r="K422">
        <v>0</v>
      </c>
      <c r="L422">
        <v>7</v>
      </c>
      <c r="O422">
        <v>7</v>
      </c>
      <c r="P422">
        <v>0</v>
      </c>
      <c r="Q422">
        <v>0</v>
      </c>
      <c r="R422">
        <v>29.33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F422" t="s">
        <v>130</v>
      </c>
      <c r="AH422">
        <v>29.33</v>
      </c>
    </row>
    <row r="423" spans="1:34" x14ac:dyDescent="0.3">
      <c r="A423" s="4">
        <v>430</v>
      </c>
      <c r="B423" s="5">
        <v>416</v>
      </c>
      <c r="C423">
        <v>1966</v>
      </c>
      <c r="D423" t="s">
        <v>9250</v>
      </c>
      <c r="E423" t="s">
        <v>935</v>
      </c>
      <c r="F423" t="s">
        <v>17</v>
      </c>
      <c r="G423" t="s">
        <v>9251</v>
      </c>
      <c r="H423">
        <v>20.329999999999998</v>
      </c>
      <c r="I423">
        <v>0</v>
      </c>
      <c r="J423">
        <v>0</v>
      </c>
      <c r="K423">
        <v>0</v>
      </c>
      <c r="N423">
        <v>3</v>
      </c>
      <c r="O423">
        <v>3</v>
      </c>
      <c r="P423">
        <v>4</v>
      </c>
      <c r="Q423">
        <v>2</v>
      </c>
      <c r="R423">
        <v>29.33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 t="s">
        <v>130</v>
      </c>
      <c r="AF423" t="s">
        <v>130</v>
      </c>
      <c r="AH423">
        <v>29.33</v>
      </c>
    </row>
    <row r="424" spans="1:34" x14ac:dyDescent="0.3">
      <c r="A424" s="4">
        <v>431</v>
      </c>
      <c r="B424" s="5">
        <v>417</v>
      </c>
      <c r="C424">
        <v>5696</v>
      </c>
      <c r="D424" t="s">
        <v>2136</v>
      </c>
      <c r="E424" t="s">
        <v>132</v>
      </c>
      <c r="F424" t="s">
        <v>8480</v>
      </c>
      <c r="G424" t="s">
        <v>9252</v>
      </c>
      <c r="H424">
        <v>20.25</v>
      </c>
      <c r="I424">
        <v>0</v>
      </c>
      <c r="J424">
        <v>0</v>
      </c>
      <c r="K424">
        <v>0</v>
      </c>
      <c r="N424">
        <v>3</v>
      </c>
      <c r="O424">
        <v>3</v>
      </c>
      <c r="P424">
        <v>4</v>
      </c>
      <c r="Q424">
        <v>2</v>
      </c>
      <c r="R424">
        <v>29.25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 t="s">
        <v>130</v>
      </c>
      <c r="AF424" t="s">
        <v>130</v>
      </c>
      <c r="AH424">
        <v>29.25</v>
      </c>
    </row>
    <row r="425" spans="1:34" x14ac:dyDescent="0.3">
      <c r="A425" s="4">
        <v>432</v>
      </c>
      <c r="B425" s="5">
        <v>418</v>
      </c>
      <c r="C425">
        <v>7011</v>
      </c>
      <c r="D425" t="s">
        <v>6924</v>
      </c>
      <c r="E425" t="s">
        <v>6925</v>
      </c>
      <c r="F425" t="s">
        <v>6926</v>
      </c>
      <c r="G425" t="s">
        <v>6927</v>
      </c>
      <c r="H425">
        <v>16.2</v>
      </c>
      <c r="I425">
        <v>0</v>
      </c>
      <c r="J425">
        <v>0</v>
      </c>
      <c r="K425">
        <v>0</v>
      </c>
      <c r="O425">
        <v>0</v>
      </c>
      <c r="P425">
        <v>4</v>
      </c>
      <c r="Q425">
        <v>2</v>
      </c>
      <c r="R425">
        <v>22.2</v>
      </c>
      <c r="S425">
        <v>7</v>
      </c>
      <c r="T425">
        <v>7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7</v>
      </c>
      <c r="AB425">
        <v>0</v>
      </c>
      <c r="AC425">
        <v>0</v>
      </c>
      <c r="AF425" t="s">
        <v>130</v>
      </c>
      <c r="AH425">
        <v>29.2</v>
      </c>
    </row>
    <row r="426" spans="1:34" x14ac:dyDescent="0.3">
      <c r="A426" s="4">
        <v>433</v>
      </c>
      <c r="B426" s="5">
        <v>419</v>
      </c>
      <c r="C426">
        <v>9364</v>
      </c>
      <c r="D426" t="s">
        <v>9253</v>
      </c>
      <c r="E426" t="s">
        <v>88</v>
      </c>
      <c r="F426" t="s">
        <v>38</v>
      </c>
      <c r="G426" t="s">
        <v>9254</v>
      </c>
      <c r="H426">
        <v>20.149999999999999</v>
      </c>
      <c r="I426">
        <v>0</v>
      </c>
      <c r="J426">
        <v>0</v>
      </c>
      <c r="K426">
        <v>0</v>
      </c>
      <c r="N426">
        <v>3</v>
      </c>
      <c r="O426">
        <v>3</v>
      </c>
      <c r="P426">
        <v>4</v>
      </c>
      <c r="Q426">
        <v>2</v>
      </c>
      <c r="R426">
        <v>29.15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F426" t="s">
        <v>130</v>
      </c>
      <c r="AH426">
        <v>29.15</v>
      </c>
    </row>
    <row r="427" spans="1:34" x14ac:dyDescent="0.3">
      <c r="A427" s="4">
        <v>434</v>
      </c>
      <c r="B427" s="5">
        <v>420</v>
      </c>
      <c r="C427">
        <v>3839</v>
      </c>
      <c r="D427" t="s">
        <v>9255</v>
      </c>
      <c r="E427" t="s">
        <v>208</v>
      </c>
      <c r="F427" t="s">
        <v>167</v>
      </c>
      <c r="G427" t="s">
        <v>9256</v>
      </c>
      <c r="H427">
        <v>19.93</v>
      </c>
      <c r="I427">
        <v>0</v>
      </c>
      <c r="J427">
        <v>0</v>
      </c>
      <c r="K427">
        <v>0</v>
      </c>
      <c r="N427">
        <v>3</v>
      </c>
      <c r="O427">
        <v>3</v>
      </c>
      <c r="P427">
        <v>4</v>
      </c>
      <c r="Q427">
        <v>2</v>
      </c>
      <c r="R427">
        <v>28.93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F427" t="s">
        <v>130</v>
      </c>
      <c r="AH427">
        <v>28.93</v>
      </c>
    </row>
    <row r="428" spans="1:34" x14ac:dyDescent="0.3">
      <c r="A428" s="4">
        <v>435</v>
      </c>
      <c r="B428" s="5">
        <v>421</v>
      </c>
      <c r="C428">
        <v>6604</v>
      </c>
      <c r="D428" t="s">
        <v>9257</v>
      </c>
      <c r="E428" t="s">
        <v>110</v>
      </c>
      <c r="F428" t="s">
        <v>20</v>
      </c>
      <c r="G428" t="s">
        <v>9258</v>
      </c>
      <c r="H428">
        <v>19.8</v>
      </c>
      <c r="I428">
        <v>0</v>
      </c>
      <c r="J428">
        <v>0</v>
      </c>
      <c r="K428">
        <v>0</v>
      </c>
      <c r="N428">
        <v>3</v>
      </c>
      <c r="O428">
        <v>3</v>
      </c>
      <c r="P428">
        <v>4</v>
      </c>
      <c r="Q428">
        <v>2</v>
      </c>
      <c r="R428">
        <v>28.8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F428" t="s">
        <v>130</v>
      </c>
      <c r="AH428">
        <v>28.8</v>
      </c>
    </row>
    <row r="429" spans="1:34" x14ac:dyDescent="0.3">
      <c r="A429" s="4">
        <v>436</v>
      </c>
      <c r="B429" s="5">
        <v>422</v>
      </c>
      <c r="C429">
        <v>3800</v>
      </c>
      <c r="D429" t="s">
        <v>7840</v>
      </c>
      <c r="E429" t="s">
        <v>170</v>
      </c>
      <c r="F429" t="s">
        <v>328</v>
      </c>
      <c r="G429" t="s">
        <v>9259</v>
      </c>
      <c r="H429">
        <v>19.75</v>
      </c>
      <c r="I429">
        <v>0</v>
      </c>
      <c r="J429">
        <v>0</v>
      </c>
      <c r="K429">
        <v>0</v>
      </c>
      <c r="N429">
        <v>3</v>
      </c>
      <c r="O429">
        <v>3</v>
      </c>
      <c r="P429">
        <v>4</v>
      </c>
      <c r="Q429">
        <v>2</v>
      </c>
      <c r="R429">
        <v>28.75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 t="s">
        <v>130</v>
      </c>
      <c r="AF429" t="s">
        <v>130</v>
      </c>
      <c r="AH429">
        <v>28.75</v>
      </c>
    </row>
    <row r="430" spans="1:34" x14ac:dyDescent="0.3">
      <c r="A430" s="4">
        <v>437</v>
      </c>
      <c r="B430" s="5">
        <v>423</v>
      </c>
      <c r="C430">
        <v>12102</v>
      </c>
      <c r="D430" t="s">
        <v>2651</v>
      </c>
      <c r="E430" t="s">
        <v>439</v>
      </c>
      <c r="F430" t="s">
        <v>9260</v>
      </c>
      <c r="G430" t="s">
        <v>9261</v>
      </c>
      <c r="H430">
        <v>19.5</v>
      </c>
      <c r="I430">
        <v>0</v>
      </c>
      <c r="J430">
        <v>0</v>
      </c>
      <c r="K430">
        <v>0</v>
      </c>
      <c r="N430">
        <v>3</v>
      </c>
      <c r="O430">
        <v>3</v>
      </c>
      <c r="P430">
        <v>4</v>
      </c>
      <c r="Q430">
        <v>2</v>
      </c>
      <c r="R430">
        <v>28.5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 t="s">
        <v>130</v>
      </c>
      <c r="AF430" t="s">
        <v>130</v>
      </c>
      <c r="AH430">
        <v>28.5</v>
      </c>
    </row>
    <row r="431" spans="1:34" x14ac:dyDescent="0.3">
      <c r="A431" s="4">
        <v>438</v>
      </c>
      <c r="B431" s="5">
        <v>424</v>
      </c>
      <c r="C431">
        <v>9192</v>
      </c>
      <c r="D431" t="s">
        <v>9262</v>
      </c>
      <c r="E431" t="s">
        <v>17</v>
      </c>
      <c r="F431" t="s">
        <v>626</v>
      </c>
      <c r="G431" t="s">
        <v>9263</v>
      </c>
      <c r="H431">
        <v>15.4</v>
      </c>
      <c r="I431">
        <v>0</v>
      </c>
      <c r="J431">
        <v>0</v>
      </c>
      <c r="K431">
        <v>0</v>
      </c>
      <c r="L431">
        <v>7</v>
      </c>
      <c r="O431">
        <v>7</v>
      </c>
      <c r="P431">
        <v>4</v>
      </c>
      <c r="Q431">
        <v>2</v>
      </c>
      <c r="R431">
        <v>28.4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F431" t="s">
        <v>130</v>
      </c>
      <c r="AH431">
        <v>28.4</v>
      </c>
    </row>
    <row r="432" spans="1:34" x14ac:dyDescent="0.3">
      <c r="A432" s="4">
        <v>439</v>
      </c>
      <c r="B432" s="5">
        <v>425</v>
      </c>
      <c r="C432">
        <v>12195</v>
      </c>
      <c r="D432" t="s">
        <v>7480</v>
      </c>
      <c r="E432" t="s">
        <v>22</v>
      </c>
      <c r="F432" t="s">
        <v>81</v>
      </c>
      <c r="G432" t="s">
        <v>9264</v>
      </c>
      <c r="H432">
        <v>17.38</v>
      </c>
      <c r="I432">
        <v>7</v>
      </c>
      <c r="J432">
        <v>0</v>
      </c>
      <c r="K432">
        <v>0</v>
      </c>
      <c r="O432">
        <v>0</v>
      </c>
      <c r="P432">
        <v>4</v>
      </c>
      <c r="Q432">
        <v>0</v>
      </c>
      <c r="R432">
        <v>28.38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F432" t="s">
        <v>130</v>
      </c>
      <c r="AH432">
        <v>28.38</v>
      </c>
    </row>
    <row r="433" spans="1:34" x14ac:dyDescent="0.3">
      <c r="A433" s="4">
        <v>440</v>
      </c>
      <c r="B433" s="5">
        <v>426</v>
      </c>
      <c r="C433">
        <v>9583</v>
      </c>
      <c r="D433" t="s">
        <v>9265</v>
      </c>
      <c r="E433" t="s">
        <v>29</v>
      </c>
      <c r="F433" t="s">
        <v>34</v>
      </c>
      <c r="G433" t="s">
        <v>9266</v>
      </c>
      <c r="H433">
        <v>18.28</v>
      </c>
      <c r="I433">
        <v>0</v>
      </c>
      <c r="J433">
        <v>0</v>
      </c>
      <c r="K433">
        <v>0</v>
      </c>
      <c r="N433">
        <v>6</v>
      </c>
      <c r="O433">
        <v>6</v>
      </c>
      <c r="P433">
        <v>4</v>
      </c>
      <c r="Q433">
        <v>0</v>
      </c>
      <c r="R433">
        <v>28.28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F433" t="s">
        <v>130</v>
      </c>
      <c r="AH433">
        <v>28.28</v>
      </c>
    </row>
    <row r="434" spans="1:34" x14ac:dyDescent="0.3">
      <c r="A434" s="4">
        <v>441</v>
      </c>
      <c r="B434" s="5">
        <v>427</v>
      </c>
      <c r="C434">
        <v>11515</v>
      </c>
      <c r="D434" t="s">
        <v>9267</v>
      </c>
      <c r="E434" t="s">
        <v>29</v>
      </c>
      <c r="F434" t="s">
        <v>124</v>
      </c>
      <c r="G434" t="s">
        <v>9268</v>
      </c>
      <c r="H434">
        <v>19.2</v>
      </c>
      <c r="I434">
        <v>0</v>
      </c>
      <c r="J434">
        <v>0</v>
      </c>
      <c r="K434">
        <v>0</v>
      </c>
      <c r="N434">
        <v>3</v>
      </c>
      <c r="O434">
        <v>3</v>
      </c>
      <c r="P434">
        <v>4</v>
      </c>
      <c r="Q434">
        <v>2</v>
      </c>
      <c r="R434">
        <v>28.2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F434" t="s">
        <v>130</v>
      </c>
      <c r="AH434">
        <v>28.2</v>
      </c>
    </row>
    <row r="435" spans="1:34" x14ac:dyDescent="0.3">
      <c r="A435" s="4">
        <v>442</v>
      </c>
      <c r="B435" s="5">
        <v>428</v>
      </c>
      <c r="C435">
        <v>14068</v>
      </c>
      <c r="D435" t="s">
        <v>7377</v>
      </c>
      <c r="E435" t="s">
        <v>892</v>
      </c>
      <c r="F435" t="s">
        <v>117</v>
      </c>
      <c r="G435" t="s">
        <v>9269</v>
      </c>
      <c r="H435">
        <v>19.13</v>
      </c>
      <c r="I435">
        <v>0</v>
      </c>
      <c r="J435">
        <v>0</v>
      </c>
      <c r="K435">
        <v>0</v>
      </c>
      <c r="N435">
        <v>3</v>
      </c>
      <c r="O435">
        <v>3</v>
      </c>
      <c r="P435">
        <v>4</v>
      </c>
      <c r="Q435">
        <v>2</v>
      </c>
      <c r="R435">
        <v>28.13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F435" t="s">
        <v>130</v>
      </c>
      <c r="AH435">
        <v>28.13</v>
      </c>
    </row>
    <row r="436" spans="1:34" x14ac:dyDescent="0.3">
      <c r="A436" s="4">
        <v>443</v>
      </c>
      <c r="B436" s="5">
        <v>429</v>
      </c>
      <c r="C436">
        <v>9516</v>
      </c>
      <c r="D436" t="s">
        <v>1630</v>
      </c>
      <c r="E436" t="s">
        <v>188</v>
      </c>
      <c r="F436" t="s">
        <v>114</v>
      </c>
      <c r="G436" t="s">
        <v>9270</v>
      </c>
      <c r="H436">
        <v>17.75</v>
      </c>
      <c r="I436">
        <v>0</v>
      </c>
      <c r="J436">
        <v>0</v>
      </c>
      <c r="K436">
        <v>0</v>
      </c>
      <c r="N436">
        <v>6</v>
      </c>
      <c r="O436">
        <v>6</v>
      </c>
      <c r="P436">
        <v>4</v>
      </c>
      <c r="Q436">
        <v>0</v>
      </c>
      <c r="R436">
        <v>27.75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F436" t="s">
        <v>130</v>
      </c>
      <c r="AH436">
        <v>27.75</v>
      </c>
    </row>
    <row r="437" spans="1:34" x14ac:dyDescent="0.3">
      <c r="A437" s="4">
        <v>444</v>
      </c>
      <c r="B437" s="5">
        <v>430</v>
      </c>
      <c r="C437">
        <v>13832</v>
      </c>
      <c r="D437" t="s">
        <v>22</v>
      </c>
      <c r="E437" t="s">
        <v>9271</v>
      </c>
      <c r="F437" t="s">
        <v>30</v>
      </c>
      <c r="G437" t="s">
        <v>9272</v>
      </c>
      <c r="H437">
        <v>18.600000000000001</v>
      </c>
      <c r="I437">
        <v>0</v>
      </c>
      <c r="J437">
        <v>0</v>
      </c>
      <c r="K437">
        <v>0</v>
      </c>
      <c r="N437">
        <v>3</v>
      </c>
      <c r="O437">
        <v>3</v>
      </c>
      <c r="P437">
        <v>0</v>
      </c>
      <c r="Q437">
        <v>0</v>
      </c>
      <c r="R437">
        <v>21.6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6</v>
      </c>
      <c r="AC437">
        <v>0</v>
      </c>
      <c r="AF437" t="s">
        <v>130</v>
      </c>
      <c r="AH437">
        <v>27.6</v>
      </c>
    </row>
    <row r="438" spans="1:34" x14ac:dyDescent="0.3">
      <c r="A438" s="4">
        <v>445</v>
      </c>
      <c r="B438" s="5">
        <v>431</v>
      </c>
      <c r="C438">
        <v>13582</v>
      </c>
      <c r="D438" t="s">
        <v>4847</v>
      </c>
      <c r="E438" t="s">
        <v>48</v>
      </c>
      <c r="F438" t="s">
        <v>68</v>
      </c>
      <c r="G438" t="s">
        <v>9273</v>
      </c>
      <c r="H438">
        <v>18.23</v>
      </c>
      <c r="I438">
        <v>0</v>
      </c>
      <c r="J438">
        <v>0</v>
      </c>
      <c r="K438">
        <v>0</v>
      </c>
      <c r="N438">
        <v>3</v>
      </c>
      <c r="O438">
        <v>3</v>
      </c>
      <c r="P438">
        <v>4</v>
      </c>
      <c r="Q438">
        <v>2</v>
      </c>
      <c r="R438">
        <v>27.23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F438" t="s">
        <v>130</v>
      </c>
      <c r="AH438">
        <v>27.23</v>
      </c>
    </row>
    <row r="439" spans="1:34" x14ac:dyDescent="0.3">
      <c r="A439" s="4">
        <v>446</v>
      </c>
      <c r="B439" s="5">
        <v>432</v>
      </c>
      <c r="C439">
        <v>15425</v>
      </c>
      <c r="D439" t="s">
        <v>9274</v>
      </c>
      <c r="E439" t="s">
        <v>161</v>
      </c>
      <c r="F439" t="s">
        <v>136</v>
      </c>
      <c r="G439" t="s">
        <v>9275</v>
      </c>
      <c r="H439">
        <v>17.18</v>
      </c>
      <c r="I439">
        <v>0</v>
      </c>
      <c r="J439">
        <v>0</v>
      </c>
      <c r="K439">
        <v>0</v>
      </c>
      <c r="L439">
        <v>7</v>
      </c>
      <c r="N439">
        <v>3</v>
      </c>
      <c r="O439">
        <v>10</v>
      </c>
      <c r="P439">
        <v>0</v>
      </c>
      <c r="Q439">
        <v>0</v>
      </c>
      <c r="R439">
        <v>27.18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F439" t="s">
        <v>130</v>
      </c>
      <c r="AH439">
        <v>27.18</v>
      </c>
    </row>
    <row r="440" spans="1:34" x14ac:dyDescent="0.3">
      <c r="A440" s="4">
        <v>447</v>
      </c>
      <c r="B440" s="5">
        <v>433</v>
      </c>
      <c r="C440">
        <v>6472</v>
      </c>
      <c r="D440" t="s">
        <v>645</v>
      </c>
      <c r="E440" t="s">
        <v>182</v>
      </c>
      <c r="F440" t="s">
        <v>5434</v>
      </c>
      <c r="G440" t="s">
        <v>9276</v>
      </c>
      <c r="H440">
        <v>16.149999999999999</v>
      </c>
      <c r="I440">
        <v>0</v>
      </c>
      <c r="J440">
        <v>0</v>
      </c>
      <c r="K440">
        <v>0</v>
      </c>
      <c r="L440">
        <v>7</v>
      </c>
      <c r="O440">
        <v>7</v>
      </c>
      <c r="P440">
        <v>4</v>
      </c>
      <c r="Q440">
        <v>0</v>
      </c>
      <c r="R440">
        <v>27.15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F440" t="s">
        <v>130</v>
      </c>
      <c r="AH440">
        <v>27.15</v>
      </c>
    </row>
    <row r="441" spans="1:34" x14ac:dyDescent="0.3">
      <c r="A441" s="4">
        <v>448</v>
      </c>
      <c r="B441" s="5">
        <v>434</v>
      </c>
      <c r="C441">
        <v>11051</v>
      </c>
      <c r="D441" t="s">
        <v>9277</v>
      </c>
      <c r="E441" t="s">
        <v>166</v>
      </c>
      <c r="F441" t="s">
        <v>328</v>
      </c>
      <c r="G441" t="s">
        <v>9278</v>
      </c>
      <c r="H441">
        <v>18.13</v>
      </c>
      <c r="I441">
        <v>0</v>
      </c>
      <c r="J441">
        <v>0</v>
      </c>
      <c r="K441">
        <v>0</v>
      </c>
      <c r="N441">
        <v>3</v>
      </c>
      <c r="O441">
        <v>3</v>
      </c>
      <c r="P441">
        <v>0</v>
      </c>
      <c r="Q441">
        <v>0</v>
      </c>
      <c r="R441">
        <v>21.13</v>
      </c>
      <c r="S441">
        <v>6</v>
      </c>
      <c r="T441">
        <v>6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6</v>
      </c>
      <c r="AB441">
        <v>0</v>
      </c>
      <c r="AC441">
        <v>0</v>
      </c>
      <c r="AF441" t="s">
        <v>130</v>
      </c>
      <c r="AH441">
        <v>27.13</v>
      </c>
    </row>
    <row r="442" spans="1:34" x14ac:dyDescent="0.3">
      <c r="A442" s="4">
        <v>449</v>
      </c>
      <c r="B442" s="5">
        <v>435</v>
      </c>
      <c r="C442">
        <v>11182</v>
      </c>
      <c r="D442" t="s">
        <v>9279</v>
      </c>
      <c r="E442" t="s">
        <v>9280</v>
      </c>
      <c r="F442" t="s">
        <v>230</v>
      </c>
      <c r="G442" t="s">
        <v>9281</v>
      </c>
      <c r="H442">
        <v>17.829999999999998</v>
      </c>
      <c r="I442">
        <v>0</v>
      </c>
      <c r="J442">
        <v>0</v>
      </c>
      <c r="K442">
        <v>0</v>
      </c>
      <c r="O442">
        <v>0</v>
      </c>
      <c r="P442">
        <v>0</v>
      </c>
      <c r="Q442">
        <v>2</v>
      </c>
      <c r="R442">
        <v>19.829999999999998</v>
      </c>
      <c r="S442">
        <v>7</v>
      </c>
      <c r="T442">
        <v>7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7</v>
      </c>
      <c r="AB442">
        <v>0</v>
      </c>
      <c r="AC442">
        <v>0</v>
      </c>
      <c r="AF442" t="s">
        <v>130</v>
      </c>
      <c r="AH442">
        <v>26.83</v>
      </c>
    </row>
    <row r="443" spans="1:34" x14ac:dyDescent="0.3">
      <c r="A443" s="4">
        <v>450</v>
      </c>
      <c r="B443" s="5">
        <v>436</v>
      </c>
      <c r="C443">
        <v>8047</v>
      </c>
      <c r="D443" t="s">
        <v>9282</v>
      </c>
      <c r="E443" t="s">
        <v>749</v>
      </c>
      <c r="F443" t="s">
        <v>243</v>
      </c>
      <c r="G443" t="s">
        <v>9283</v>
      </c>
      <c r="H443">
        <v>16.78</v>
      </c>
      <c r="I443">
        <v>7</v>
      </c>
      <c r="J443">
        <v>0</v>
      </c>
      <c r="K443">
        <v>0</v>
      </c>
      <c r="N443">
        <v>3</v>
      </c>
      <c r="O443">
        <v>3</v>
      </c>
      <c r="P443">
        <v>0</v>
      </c>
      <c r="Q443">
        <v>0</v>
      </c>
      <c r="R443">
        <v>26.78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F443" t="s">
        <v>130</v>
      </c>
      <c r="AH443">
        <v>26.78</v>
      </c>
    </row>
    <row r="444" spans="1:34" x14ac:dyDescent="0.3">
      <c r="A444" s="4">
        <v>451</v>
      </c>
      <c r="B444" s="5">
        <v>437</v>
      </c>
      <c r="C444">
        <v>12403</v>
      </c>
      <c r="D444" t="s">
        <v>5234</v>
      </c>
      <c r="E444" t="s">
        <v>9284</v>
      </c>
      <c r="F444" t="s">
        <v>81</v>
      </c>
      <c r="G444" t="s">
        <v>9285</v>
      </c>
      <c r="H444">
        <v>12.5</v>
      </c>
      <c r="I444">
        <v>0</v>
      </c>
      <c r="J444">
        <v>0</v>
      </c>
      <c r="K444">
        <v>0</v>
      </c>
      <c r="L444">
        <v>7</v>
      </c>
      <c r="N444">
        <v>3</v>
      </c>
      <c r="O444">
        <v>10</v>
      </c>
      <c r="P444">
        <v>4</v>
      </c>
      <c r="Q444">
        <v>0</v>
      </c>
      <c r="R444">
        <v>26.5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F444" t="s">
        <v>130</v>
      </c>
      <c r="AH444">
        <v>26.5</v>
      </c>
    </row>
    <row r="445" spans="1:34" x14ac:dyDescent="0.3">
      <c r="A445" s="4">
        <v>452</v>
      </c>
      <c r="B445" s="5">
        <v>438</v>
      </c>
      <c r="C445">
        <v>9400</v>
      </c>
      <c r="D445" t="s">
        <v>9286</v>
      </c>
      <c r="E445" t="s">
        <v>100</v>
      </c>
      <c r="F445" t="s">
        <v>81</v>
      </c>
      <c r="G445" t="s">
        <v>9287</v>
      </c>
      <c r="H445">
        <v>17.3</v>
      </c>
      <c r="I445">
        <v>0</v>
      </c>
      <c r="J445">
        <v>0</v>
      </c>
      <c r="K445">
        <v>0</v>
      </c>
      <c r="O445">
        <v>0</v>
      </c>
      <c r="P445">
        <v>4</v>
      </c>
      <c r="Q445">
        <v>2</v>
      </c>
      <c r="R445">
        <v>23.3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3</v>
      </c>
      <c r="AC445">
        <v>0</v>
      </c>
      <c r="AD445" t="s">
        <v>130</v>
      </c>
      <c r="AF445" t="s">
        <v>130</v>
      </c>
      <c r="AH445">
        <v>26.3</v>
      </c>
    </row>
    <row r="446" spans="1:34" x14ac:dyDescent="0.3">
      <c r="A446" s="4">
        <v>453</v>
      </c>
      <c r="B446" s="5">
        <v>439</v>
      </c>
      <c r="C446">
        <v>10054</v>
      </c>
      <c r="D446" t="s">
        <v>9288</v>
      </c>
      <c r="E446" t="s">
        <v>33</v>
      </c>
      <c r="F446" t="s">
        <v>62</v>
      </c>
      <c r="G446" t="s">
        <v>9289</v>
      </c>
      <c r="H446">
        <v>17.28</v>
      </c>
      <c r="I446">
        <v>0</v>
      </c>
      <c r="J446">
        <v>0</v>
      </c>
      <c r="K446">
        <v>0</v>
      </c>
      <c r="N446">
        <v>3</v>
      </c>
      <c r="O446">
        <v>3</v>
      </c>
      <c r="P446">
        <v>4</v>
      </c>
      <c r="Q446">
        <v>2</v>
      </c>
      <c r="R446">
        <v>26.28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 t="s">
        <v>130</v>
      </c>
      <c r="AE446" t="s">
        <v>130</v>
      </c>
      <c r="AF446" t="s">
        <v>130</v>
      </c>
      <c r="AH446">
        <v>26.28</v>
      </c>
    </row>
    <row r="447" spans="1:34" x14ac:dyDescent="0.3">
      <c r="A447" s="4">
        <v>454</v>
      </c>
      <c r="B447" s="5">
        <v>440</v>
      </c>
      <c r="C447">
        <v>6967</v>
      </c>
      <c r="D447" t="s">
        <v>2530</v>
      </c>
      <c r="E447" t="s">
        <v>2531</v>
      </c>
      <c r="F447" t="s">
        <v>68</v>
      </c>
      <c r="G447" t="s">
        <v>2532</v>
      </c>
      <c r="H447">
        <v>17</v>
      </c>
      <c r="I447">
        <v>0</v>
      </c>
      <c r="J447">
        <v>0</v>
      </c>
      <c r="K447">
        <v>0</v>
      </c>
      <c r="N447">
        <v>3</v>
      </c>
      <c r="O447">
        <v>3</v>
      </c>
      <c r="P447">
        <v>4</v>
      </c>
      <c r="Q447">
        <v>2</v>
      </c>
      <c r="R447">
        <v>26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F447" t="s">
        <v>130</v>
      </c>
      <c r="AH447">
        <v>26</v>
      </c>
    </row>
    <row r="448" spans="1:34" x14ac:dyDescent="0.3">
      <c r="A448" s="4">
        <v>455</v>
      </c>
      <c r="B448" s="5">
        <v>441</v>
      </c>
      <c r="C448">
        <v>5753</v>
      </c>
      <c r="D448" t="s">
        <v>9290</v>
      </c>
      <c r="E448" t="s">
        <v>3115</v>
      </c>
      <c r="F448" t="s">
        <v>9291</v>
      </c>
      <c r="G448">
        <v>773203</v>
      </c>
      <c r="H448">
        <v>18.8</v>
      </c>
      <c r="I448">
        <v>0</v>
      </c>
      <c r="J448">
        <v>0</v>
      </c>
      <c r="K448">
        <v>0</v>
      </c>
      <c r="N448">
        <v>3</v>
      </c>
      <c r="O448">
        <v>3</v>
      </c>
      <c r="P448">
        <v>4</v>
      </c>
      <c r="Q448">
        <v>0</v>
      </c>
      <c r="R448">
        <v>25.8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 t="s">
        <v>130</v>
      </c>
      <c r="AF448" t="s">
        <v>130</v>
      </c>
      <c r="AH448">
        <v>25.8</v>
      </c>
    </row>
    <row r="449" spans="1:34" x14ac:dyDescent="0.3">
      <c r="A449" s="4">
        <v>456</v>
      </c>
      <c r="B449" s="5">
        <v>442</v>
      </c>
      <c r="C449">
        <v>5259</v>
      </c>
      <c r="D449" t="s">
        <v>9292</v>
      </c>
      <c r="E449" t="s">
        <v>124</v>
      </c>
      <c r="F449" t="s">
        <v>4808</v>
      </c>
      <c r="G449" t="s">
        <v>9293</v>
      </c>
      <c r="H449">
        <v>17.2</v>
      </c>
      <c r="I449">
        <v>0</v>
      </c>
      <c r="J449">
        <v>0</v>
      </c>
      <c r="K449">
        <v>0</v>
      </c>
      <c r="O449">
        <v>0</v>
      </c>
      <c r="P449">
        <v>0</v>
      </c>
      <c r="Q449">
        <v>2</v>
      </c>
      <c r="R449">
        <v>19.2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6</v>
      </c>
      <c r="AC449">
        <v>0</v>
      </c>
      <c r="AF449" t="s">
        <v>130</v>
      </c>
      <c r="AH449">
        <v>25.2</v>
      </c>
    </row>
    <row r="450" spans="1:34" x14ac:dyDescent="0.3">
      <c r="A450" s="4">
        <v>457</v>
      </c>
      <c r="B450" s="5">
        <v>443</v>
      </c>
      <c r="C450">
        <v>10444</v>
      </c>
      <c r="D450" t="s">
        <v>9294</v>
      </c>
      <c r="E450" t="s">
        <v>37</v>
      </c>
      <c r="F450" t="s">
        <v>972</v>
      </c>
      <c r="G450" t="s">
        <v>9295</v>
      </c>
      <c r="H450">
        <v>18.149999999999999</v>
      </c>
      <c r="I450">
        <v>0</v>
      </c>
      <c r="J450">
        <v>0</v>
      </c>
      <c r="K450">
        <v>0</v>
      </c>
      <c r="N450">
        <v>3</v>
      </c>
      <c r="O450">
        <v>3</v>
      </c>
      <c r="P450">
        <v>4</v>
      </c>
      <c r="Q450">
        <v>0</v>
      </c>
      <c r="R450">
        <v>25.15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F450" t="s">
        <v>130</v>
      </c>
      <c r="AH450">
        <v>25.15</v>
      </c>
    </row>
    <row r="451" spans="1:34" x14ac:dyDescent="0.3">
      <c r="A451" s="4">
        <v>458</v>
      </c>
      <c r="B451" s="5">
        <v>444</v>
      </c>
      <c r="C451">
        <v>10665</v>
      </c>
      <c r="D451" t="s">
        <v>9296</v>
      </c>
      <c r="E451" t="s">
        <v>170</v>
      </c>
      <c r="F451" t="s">
        <v>38</v>
      </c>
      <c r="G451" t="s">
        <v>9297</v>
      </c>
      <c r="H451">
        <v>16.100000000000001</v>
      </c>
      <c r="I451">
        <v>0</v>
      </c>
      <c r="J451">
        <v>0</v>
      </c>
      <c r="K451">
        <v>0</v>
      </c>
      <c r="N451">
        <v>3</v>
      </c>
      <c r="O451">
        <v>3</v>
      </c>
      <c r="P451">
        <v>4</v>
      </c>
      <c r="Q451">
        <v>2</v>
      </c>
      <c r="R451">
        <v>25.1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 t="s">
        <v>130</v>
      </c>
      <c r="AF451" t="s">
        <v>130</v>
      </c>
      <c r="AH451">
        <v>25.1</v>
      </c>
    </row>
    <row r="452" spans="1:34" x14ac:dyDescent="0.3">
      <c r="A452" s="4">
        <v>459</v>
      </c>
      <c r="B452" s="5">
        <v>445</v>
      </c>
      <c r="C452">
        <v>1069</v>
      </c>
      <c r="D452" t="s">
        <v>9298</v>
      </c>
      <c r="E452" t="s">
        <v>9299</v>
      </c>
      <c r="F452" t="s">
        <v>9300</v>
      </c>
      <c r="G452" t="s">
        <v>9301</v>
      </c>
      <c r="H452">
        <v>18</v>
      </c>
      <c r="I452">
        <v>0</v>
      </c>
      <c r="J452">
        <v>0</v>
      </c>
      <c r="K452">
        <v>0</v>
      </c>
      <c r="N452">
        <v>3</v>
      </c>
      <c r="O452">
        <v>3</v>
      </c>
      <c r="P452">
        <v>4</v>
      </c>
      <c r="Q452">
        <v>0</v>
      </c>
      <c r="R452">
        <v>25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 t="s">
        <v>130</v>
      </c>
      <c r="AE452" t="s">
        <v>130</v>
      </c>
      <c r="AF452" t="s">
        <v>130</v>
      </c>
      <c r="AH452">
        <v>25</v>
      </c>
    </row>
    <row r="453" spans="1:34" x14ac:dyDescent="0.3">
      <c r="A453" s="4">
        <v>460</v>
      </c>
      <c r="B453" s="5">
        <v>446</v>
      </c>
      <c r="C453">
        <v>3105</v>
      </c>
      <c r="D453" t="s">
        <v>4474</v>
      </c>
      <c r="E453" t="s">
        <v>563</v>
      </c>
      <c r="F453" t="s">
        <v>20</v>
      </c>
      <c r="G453" t="s">
        <v>9302</v>
      </c>
      <c r="H453">
        <v>17.579999999999998</v>
      </c>
      <c r="I453">
        <v>0</v>
      </c>
      <c r="J453">
        <v>0</v>
      </c>
      <c r="K453">
        <v>0</v>
      </c>
      <c r="N453">
        <v>3</v>
      </c>
      <c r="O453">
        <v>3</v>
      </c>
      <c r="P453">
        <v>4</v>
      </c>
      <c r="Q453">
        <v>0</v>
      </c>
      <c r="R453">
        <v>24.58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F453" t="s">
        <v>130</v>
      </c>
      <c r="AH453">
        <v>24.58</v>
      </c>
    </row>
    <row r="454" spans="1:34" x14ac:dyDescent="0.3">
      <c r="A454" s="4">
        <v>461</v>
      </c>
      <c r="B454" s="5">
        <v>447</v>
      </c>
      <c r="C454">
        <v>2301</v>
      </c>
      <c r="D454" t="s">
        <v>9303</v>
      </c>
      <c r="E454" t="s">
        <v>9304</v>
      </c>
      <c r="F454" t="s">
        <v>328</v>
      </c>
      <c r="G454" t="s">
        <v>9305</v>
      </c>
      <c r="H454">
        <v>20.45</v>
      </c>
      <c r="I454">
        <v>0</v>
      </c>
      <c r="J454">
        <v>0</v>
      </c>
      <c r="K454">
        <v>0</v>
      </c>
      <c r="O454">
        <v>0</v>
      </c>
      <c r="P454">
        <v>4</v>
      </c>
      <c r="Q454">
        <v>0</v>
      </c>
      <c r="R454">
        <v>24.45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 t="s">
        <v>130</v>
      </c>
      <c r="AF454" t="s">
        <v>130</v>
      </c>
      <c r="AH454">
        <v>24.45</v>
      </c>
    </row>
    <row r="455" spans="1:34" x14ac:dyDescent="0.3">
      <c r="A455" s="4">
        <v>462</v>
      </c>
      <c r="B455" s="5">
        <v>448</v>
      </c>
      <c r="C455">
        <v>1109</v>
      </c>
      <c r="D455" t="s">
        <v>4548</v>
      </c>
      <c r="E455" t="s">
        <v>4549</v>
      </c>
      <c r="F455" t="s">
        <v>136</v>
      </c>
      <c r="G455" t="s">
        <v>4550</v>
      </c>
      <c r="H455">
        <v>17.079999999999998</v>
      </c>
      <c r="I455">
        <v>0</v>
      </c>
      <c r="J455">
        <v>0</v>
      </c>
      <c r="K455">
        <v>0</v>
      </c>
      <c r="N455">
        <v>3</v>
      </c>
      <c r="O455">
        <v>3</v>
      </c>
      <c r="P455">
        <v>4</v>
      </c>
      <c r="Q455">
        <v>0</v>
      </c>
      <c r="R455">
        <v>24.08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 t="s">
        <v>130</v>
      </c>
      <c r="AF455" t="s">
        <v>130</v>
      </c>
      <c r="AH455">
        <v>24.08</v>
      </c>
    </row>
    <row r="456" spans="1:34" x14ac:dyDescent="0.3">
      <c r="A456" s="4">
        <v>463</v>
      </c>
      <c r="B456" s="5">
        <v>449</v>
      </c>
      <c r="C456">
        <v>11061</v>
      </c>
      <c r="D456" t="s">
        <v>114</v>
      </c>
      <c r="E456" t="s">
        <v>29</v>
      </c>
      <c r="F456" t="s">
        <v>819</v>
      </c>
      <c r="G456" t="s">
        <v>9306</v>
      </c>
      <c r="H456">
        <v>19.03</v>
      </c>
      <c r="I456">
        <v>0</v>
      </c>
      <c r="J456">
        <v>0</v>
      </c>
      <c r="K456">
        <v>0</v>
      </c>
      <c r="N456">
        <v>3</v>
      </c>
      <c r="O456">
        <v>3</v>
      </c>
      <c r="P456">
        <v>0</v>
      </c>
      <c r="Q456">
        <v>2</v>
      </c>
      <c r="R456">
        <v>24.03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 t="s">
        <v>130</v>
      </c>
      <c r="AF456" t="s">
        <v>130</v>
      </c>
      <c r="AH456">
        <v>24.03</v>
      </c>
    </row>
    <row r="457" spans="1:34" x14ac:dyDescent="0.3">
      <c r="A457" s="4">
        <v>464</v>
      </c>
      <c r="B457" s="5">
        <v>450</v>
      </c>
      <c r="C457">
        <v>7076</v>
      </c>
      <c r="D457" t="s">
        <v>28</v>
      </c>
      <c r="E457" t="s">
        <v>1576</v>
      </c>
      <c r="F457" t="s">
        <v>375</v>
      </c>
      <c r="G457" t="s">
        <v>9307</v>
      </c>
      <c r="H457">
        <v>16.75</v>
      </c>
      <c r="I457">
        <v>0</v>
      </c>
      <c r="J457">
        <v>0</v>
      </c>
      <c r="K457">
        <v>0</v>
      </c>
      <c r="N457">
        <v>3</v>
      </c>
      <c r="O457">
        <v>3</v>
      </c>
      <c r="P457">
        <v>4</v>
      </c>
      <c r="Q457">
        <v>0</v>
      </c>
      <c r="R457">
        <v>23.75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 t="s">
        <v>130</v>
      </c>
      <c r="AF457" t="s">
        <v>130</v>
      </c>
      <c r="AH457">
        <v>23.75</v>
      </c>
    </row>
    <row r="458" spans="1:34" x14ac:dyDescent="0.3">
      <c r="A458" s="4">
        <v>465</v>
      </c>
      <c r="B458" s="5">
        <v>451</v>
      </c>
      <c r="C458">
        <v>14502</v>
      </c>
      <c r="D458" t="s">
        <v>569</v>
      </c>
      <c r="E458" t="s">
        <v>2538</v>
      </c>
      <c r="F458" t="s">
        <v>17</v>
      </c>
      <c r="G458" t="s">
        <v>9308</v>
      </c>
      <c r="H458">
        <v>16.350000000000001</v>
      </c>
      <c r="I458">
        <v>0</v>
      </c>
      <c r="J458">
        <v>0</v>
      </c>
      <c r="K458">
        <v>0</v>
      </c>
      <c r="N458">
        <v>3</v>
      </c>
      <c r="O458">
        <v>3</v>
      </c>
      <c r="P458">
        <v>4</v>
      </c>
      <c r="Q458">
        <v>0</v>
      </c>
      <c r="R458">
        <v>23.35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 t="s">
        <v>130</v>
      </c>
      <c r="AF458" t="s">
        <v>130</v>
      </c>
      <c r="AH458">
        <v>23.35</v>
      </c>
    </row>
    <row r="459" spans="1:34" x14ac:dyDescent="0.3">
      <c r="A459" s="4">
        <v>466</v>
      </c>
      <c r="B459" s="5">
        <v>452</v>
      </c>
      <c r="C459">
        <v>13477</v>
      </c>
      <c r="D459" t="s">
        <v>5678</v>
      </c>
      <c r="E459" t="s">
        <v>88</v>
      </c>
      <c r="F459" t="s">
        <v>17</v>
      </c>
      <c r="G459" t="s">
        <v>9309</v>
      </c>
      <c r="H459">
        <v>17.329999999999998</v>
      </c>
      <c r="I459">
        <v>0</v>
      </c>
      <c r="J459">
        <v>0</v>
      </c>
      <c r="K459">
        <v>0</v>
      </c>
      <c r="O459">
        <v>0</v>
      </c>
      <c r="P459">
        <v>4</v>
      </c>
      <c r="Q459">
        <v>2</v>
      </c>
      <c r="R459">
        <v>23.33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F459" t="s">
        <v>130</v>
      </c>
      <c r="AH459">
        <v>23.33</v>
      </c>
    </row>
    <row r="460" spans="1:34" x14ac:dyDescent="0.3">
      <c r="A460" s="4">
        <v>467</v>
      </c>
      <c r="B460" s="5">
        <v>453</v>
      </c>
      <c r="C460">
        <v>12925</v>
      </c>
      <c r="D460" t="s">
        <v>9310</v>
      </c>
      <c r="E460" t="s">
        <v>342</v>
      </c>
      <c r="F460" t="s">
        <v>243</v>
      </c>
      <c r="G460" t="s">
        <v>9311</v>
      </c>
      <c r="H460">
        <v>17.3</v>
      </c>
      <c r="I460">
        <v>0</v>
      </c>
      <c r="J460">
        <v>0</v>
      </c>
      <c r="K460">
        <v>0</v>
      </c>
      <c r="O460">
        <v>0</v>
      </c>
      <c r="P460">
        <v>0</v>
      </c>
      <c r="Q460">
        <v>0</v>
      </c>
      <c r="R460">
        <v>17.3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6</v>
      </c>
      <c r="AC460">
        <v>0</v>
      </c>
      <c r="AF460" t="s">
        <v>130</v>
      </c>
      <c r="AH460">
        <v>23.3</v>
      </c>
    </row>
    <row r="461" spans="1:34" x14ac:dyDescent="0.3">
      <c r="A461" s="4">
        <v>468</v>
      </c>
      <c r="B461" s="5">
        <v>454</v>
      </c>
      <c r="C461">
        <v>4477</v>
      </c>
      <c r="D461" t="s">
        <v>9312</v>
      </c>
      <c r="E461" t="s">
        <v>188</v>
      </c>
      <c r="F461" t="s">
        <v>68</v>
      </c>
      <c r="G461" t="s">
        <v>9313</v>
      </c>
      <c r="H461">
        <v>19.850000000000001</v>
      </c>
      <c r="I461">
        <v>0</v>
      </c>
      <c r="J461">
        <v>0</v>
      </c>
      <c r="K461">
        <v>0</v>
      </c>
      <c r="O461">
        <v>0</v>
      </c>
      <c r="P461">
        <v>0</v>
      </c>
      <c r="Q461">
        <v>0</v>
      </c>
      <c r="R461">
        <v>19.850000000000001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3</v>
      </c>
      <c r="AC461">
        <v>0</v>
      </c>
      <c r="AE461" t="s">
        <v>130</v>
      </c>
      <c r="AF461" t="s">
        <v>130</v>
      </c>
      <c r="AH461">
        <v>22.85</v>
      </c>
    </row>
    <row r="462" spans="1:34" x14ac:dyDescent="0.3">
      <c r="A462" s="4">
        <v>469</v>
      </c>
      <c r="B462" s="5">
        <v>455</v>
      </c>
      <c r="C462">
        <v>10159</v>
      </c>
      <c r="D462" t="s">
        <v>9314</v>
      </c>
      <c r="E462" t="s">
        <v>178</v>
      </c>
      <c r="F462" t="s">
        <v>259</v>
      </c>
      <c r="G462" t="s">
        <v>9315</v>
      </c>
      <c r="H462">
        <v>20.6</v>
      </c>
      <c r="I462">
        <v>0</v>
      </c>
      <c r="J462">
        <v>0</v>
      </c>
      <c r="K462">
        <v>0</v>
      </c>
      <c r="O462">
        <v>0</v>
      </c>
      <c r="P462">
        <v>0</v>
      </c>
      <c r="Q462">
        <v>2</v>
      </c>
      <c r="R462">
        <v>22.6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F462" t="s">
        <v>130</v>
      </c>
      <c r="AH462">
        <v>22.6</v>
      </c>
    </row>
    <row r="463" spans="1:34" x14ac:dyDescent="0.3">
      <c r="A463" s="4">
        <v>470</v>
      </c>
      <c r="B463" s="5">
        <v>456</v>
      </c>
      <c r="C463">
        <v>12431</v>
      </c>
      <c r="D463" t="s">
        <v>9316</v>
      </c>
      <c r="E463" t="s">
        <v>9317</v>
      </c>
      <c r="F463" t="s">
        <v>91</v>
      </c>
      <c r="G463" t="s">
        <v>9318</v>
      </c>
      <c r="H463">
        <v>17.43</v>
      </c>
      <c r="I463">
        <v>0</v>
      </c>
      <c r="J463">
        <v>0</v>
      </c>
      <c r="K463">
        <v>0</v>
      </c>
      <c r="N463">
        <v>3</v>
      </c>
      <c r="O463">
        <v>3</v>
      </c>
      <c r="P463">
        <v>0</v>
      </c>
      <c r="Q463">
        <v>2</v>
      </c>
      <c r="R463">
        <v>22.43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F463" t="s">
        <v>130</v>
      </c>
      <c r="AH463">
        <v>22.43</v>
      </c>
    </row>
    <row r="464" spans="1:34" x14ac:dyDescent="0.3">
      <c r="A464" s="4">
        <v>471</v>
      </c>
      <c r="B464" s="5">
        <v>457</v>
      </c>
      <c r="C464">
        <v>13090</v>
      </c>
      <c r="D464" t="s">
        <v>9319</v>
      </c>
      <c r="E464" t="s">
        <v>1189</v>
      </c>
      <c r="F464" t="s">
        <v>81</v>
      </c>
      <c r="G464" t="s">
        <v>9320</v>
      </c>
      <c r="H464">
        <v>16.05</v>
      </c>
      <c r="I464">
        <v>0</v>
      </c>
      <c r="J464">
        <v>0</v>
      </c>
      <c r="K464">
        <v>0</v>
      </c>
      <c r="N464">
        <v>6</v>
      </c>
      <c r="O464">
        <v>6</v>
      </c>
      <c r="P464">
        <v>0</v>
      </c>
      <c r="Q464">
        <v>0</v>
      </c>
      <c r="R464">
        <v>22.05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F464" t="s">
        <v>130</v>
      </c>
      <c r="AH464">
        <v>22.05</v>
      </c>
    </row>
    <row r="465" spans="1:34" x14ac:dyDescent="0.3">
      <c r="A465" s="4">
        <v>472</v>
      </c>
      <c r="B465" s="5">
        <v>458</v>
      </c>
      <c r="C465">
        <v>4802</v>
      </c>
      <c r="D465" t="s">
        <v>5254</v>
      </c>
      <c r="E465" t="s">
        <v>563</v>
      </c>
      <c r="F465" t="s">
        <v>3511</v>
      </c>
      <c r="G465" t="s">
        <v>9321</v>
      </c>
      <c r="H465">
        <v>15.93</v>
      </c>
      <c r="I465">
        <v>0</v>
      </c>
      <c r="J465">
        <v>0</v>
      </c>
      <c r="K465">
        <v>0</v>
      </c>
      <c r="O465">
        <v>0</v>
      </c>
      <c r="P465">
        <v>4</v>
      </c>
      <c r="Q465">
        <v>2</v>
      </c>
      <c r="R465">
        <v>21.93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 t="s">
        <v>130</v>
      </c>
      <c r="AF465" t="s">
        <v>130</v>
      </c>
      <c r="AH465">
        <v>21.93</v>
      </c>
    </row>
    <row r="466" spans="1:34" x14ac:dyDescent="0.3">
      <c r="A466" s="4">
        <v>473</v>
      </c>
      <c r="B466" s="5">
        <v>459</v>
      </c>
      <c r="C466">
        <v>9116</v>
      </c>
      <c r="D466" t="s">
        <v>9322</v>
      </c>
      <c r="E466" t="s">
        <v>875</v>
      </c>
      <c r="F466" t="s">
        <v>20</v>
      </c>
      <c r="G466" t="s">
        <v>9323</v>
      </c>
      <c r="H466">
        <v>15.5</v>
      </c>
      <c r="I466">
        <v>0</v>
      </c>
      <c r="J466">
        <v>0</v>
      </c>
      <c r="K466">
        <v>0</v>
      </c>
      <c r="N466">
        <v>3</v>
      </c>
      <c r="O466">
        <v>3</v>
      </c>
      <c r="P466">
        <v>0</v>
      </c>
      <c r="Q466">
        <v>0</v>
      </c>
      <c r="R466">
        <v>18.5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 t="s">
        <v>130</v>
      </c>
      <c r="AF466" t="s">
        <v>130</v>
      </c>
      <c r="AH466">
        <v>18.5</v>
      </c>
    </row>
    <row r="467" spans="1:34" x14ac:dyDescent="0.3">
      <c r="A467" s="4">
        <v>482</v>
      </c>
      <c r="B467" s="5">
        <v>460</v>
      </c>
      <c r="C467">
        <v>5010</v>
      </c>
      <c r="D467" t="s">
        <v>9328</v>
      </c>
      <c r="E467" t="s">
        <v>29</v>
      </c>
      <c r="F467" t="s">
        <v>381</v>
      </c>
      <c r="G467" t="s">
        <v>9329</v>
      </c>
      <c r="H467">
        <v>20.98</v>
      </c>
      <c r="I467">
        <v>7</v>
      </c>
      <c r="J467">
        <v>40</v>
      </c>
      <c r="K467">
        <v>20</v>
      </c>
      <c r="L467">
        <v>7</v>
      </c>
      <c r="O467">
        <v>7</v>
      </c>
      <c r="P467">
        <v>4</v>
      </c>
      <c r="Q467">
        <v>0</v>
      </c>
      <c r="R467">
        <v>98.98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6</v>
      </c>
      <c r="AC467">
        <v>0</v>
      </c>
      <c r="AH467">
        <v>104.98</v>
      </c>
    </row>
    <row r="468" spans="1:34" x14ac:dyDescent="0.3">
      <c r="A468" s="4">
        <v>484</v>
      </c>
      <c r="B468" s="5">
        <v>461</v>
      </c>
      <c r="C468">
        <v>10787</v>
      </c>
      <c r="D468" t="s">
        <v>4918</v>
      </c>
      <c r="E468" t="s">
        <v>117</v>
      </c>
      <c r="F468" t="s">
        <v>81</v>
      </c>
      <c r="G468" t="s">
        <v>9330</v>
      </c>
      <c r="H468">
        <v>16.63</v>
      </c>
      <c r="I468">
        <v>0</v>
      </c>
      <c r="J468">
        <v>0</v>
      </c>
      <c r="K468">
        <v>0</v>
      </c>
      <c r="L468">
        <v>7</v>
      </c>
      <c r="O468">
        <v>7</v>
      </c>
      <c r="P468">
        <v>0</v>
      </c>
      <c r="Q468">
        <v>0</v>
      </c>
      <c r="R468">
        <v>23.63</v>
      </c>
      <c r="S468">
        <v>45</v>
      </c>
      <c r="T468">
        <v>45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45</v>
      </c>
      <c r="AB468">
        <v>6</v>
      </c>
      <c r="AC468">
        <v>28</v>
      </c>
      <c r="AH468">
        <v>102.63</v>
      </c>
    </row>
    <row r="469" spans="1:34" x14ac:dyDescent="0.3">
      <c r="A469" s="4">
        <v>485</v>
      </c>
      <c r="B469" s="5">
        <v>462</v>
      </c>
      <c r="C469">
        <v>4429</v>
      </c>
      <c r="D469" t="s">
        <v>9331</v>
      </c>
      <c r="E469" t="s">
        <v>649</v>
      </c>
      <c r="F469" t="s">
        <v>2998</v>
      </c>
      <c r="G469" t="s">
        <v>9332</v>
      </c>
      <c r="H469">
        <v>12.5</v>
      </c>
      <c r="I469">
        <v>0</v>
      </c>
      <c r="J469">
        <v>0</v>
      </c>
      <c r="K469">
        <v>0</v>
      </c>
      <c r="L469">
        <v>14</v>
      </c>
      <c r="O469">
        <v>14</v>
      </c>
      <c r="P469">
        <v>4</v>
      </c>
      <c r="Q469">
        <v>2</v>
      </c>
      <c r="R469">
        <v>32.5</v>
      </c>
      <c r="S469">
        <v>59</v>
      </c>
      <c r="T469">
        <v>59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59</v>
      </c>
      <c r="AB469">
        <v>9</v>
      </c>
      <c r="AC469">
        <v>0</v>
      </c>
      <c r="AH469">
        <v>100.5</v>
      </c>
    </row>
    <row r="470" spans="1:34" x14ac:dyDescent="0.3">
      <c r="A470" s="4">
        <v>486</v>
      </c>
      <c r="B470" s="5">
        <v>463</v>
      </c>
      <c r="C470">
        <v>11977</v>
      </c>
      <c r="D470" t="s">
        <v>9333</v>
      </c>
      <c r="E470" t="s">
        <v>81</v>
      </c>
      <c r="F470" t="s">
        <v>136</v>
      </c>
      <c r="G470" t="s">
        <v>9334</v>
      </c>
      <c r="H470">
        <v>19.63</v>
      </c>
      <c r="I470">
        <v>0</v>
      </c>
      <c r="J470">
        <v>0</v>
      </c>
      <c r="K470">
        <v>0</v>
      </c>
      <c r="L470">
        <v>7</v>
      </c>
      <c r="O470">
        <v>7</v>
      </c>
      <c r="P470">
        <v>4</v>
      </c>
      <c r="Q470">
        <v>0</v>
      </c>
      <c r="R470">
        <v>30.63</v>
      </c>
      <c r="S470">
        <v>40</v>
      </c>
      <c r="T470">
        <v>40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40</v>
      </c>
      <c r="AB470">
        <v>3</v>
      </c>
      <c r="AC470">
        <v>26.8</v>
      </c>
      <c r="AH470">
        <v>100.43</v>
      </c>
    </row>
    <row r="471" spans="1:34" x14ac:dyDescent="0.3">
      <c r="A471" s="4">
        <v>487</v>
      </c>
      <c r="B471" s="5">
        <v>464</v>
      </c>
      <c r="C471">
        <v>10111</v>
      </c>
      <c r="D471" t="s">
        <v>1099</v>
      </c>
      <c r="E471" t="s">
        <v>3523</v>
      </c>
      <c r="F471" t="s">
        <v>20</v>
      </c>
      <c r="G471" t="s">
        <v>9335</v>
      </c>
      <c r="H471">
        <v>19.579999999999998</v>
      </c>
      <c r="I471">
        <v>0</v>
      </c>
      <c r="J471">
        <v>0</v>
      </c>
      <c r="K471">
        <v>20</v>
      </c>
      <c r="L471">
        <v>7</v>
      </c>
      <c r="O471">
        <v>7</v>
      </c>
      <c r="P471">
        <v>4</v>
      </c>
      <c r="Q471">
        <v>2</v>
      </c>
      <c r="R471">
        <v>52.58</v>
      </c>
      <c r="S471">
        <v>46</v>
      </c>
      <c r="T471">
        <v>46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46</v>
      </c>
      <c r="AB471">
        <v>0</v>
      </c>
      <c r="AC471">
        <v>0</v>
      </c>
      <c r="AH471">
        <v>98.58</v>
      </c>
    </row>
    <row r="472" spans="1:34" x14ac:dyDescent="0.3">
      <c r="A472" s="4">
        <v>488</v>
      </c>
      <c r="B472" s="5">
        <v>465</v>
      </c>
      <c r="C472">
        <v>4833</v>
      </c>
      <c r="D472" t="s">
        <v>9336</v>
      </c>
      <c r="E472" t="s">
        <v>97</v>
      </c>
      <c r="F472" t="s">
        <v>17</v>
      </c>
      <c r="G472" t="s">
        <v>9337</v>
      </c>
      <c r="H472">
        <v>20.25</v>
      </c>
      <c r="I472">
        <v>0</v>
      </c>
      <c r="J472">
        <v>0</v>
      </c>
      <c r="K472">
        <v>0</v>
      </c>
      <c r="L472">
        <v>7</v>
      </c>
      <c r="O472">
        <v>7</v>
      </c>
      <c r="P472">
        <v>0</v>
      </c>
      <c r="Q472">
        <v>0</v>
      </c>
      <c r="R472">
        <v>27.25</v>
      </c>
      <c r="S472">
        <v>62</v>
      </c>
      <c r="T472">
        <v>62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62</v>
      </c>
      <c r="AB472">
        <v>9</v>
      </c>
      <c r="AC472">
        <v>0</v>
      </c>
      <c r="AH472">
        <v>98.25</v>
      </c>
    </row>
    <row r="473" spans="1:34" x14ac:dyDescent="0.3">
      <c r="A473" s="6">
        <v>489</v>
      </c>
      <c r="B473" s="5">
        <v>466</v>
      </c>
      <c r="C473" s="1">
        <v>694</v>
      </c>
      <c r="D473" s="1" t="s">
        <v>9338</v>
      </c>
      <c r="E473" s="1" t="s">
        <v>9339</v>
      </c>
      <c r="F473" s="1" t="s">
        <v>9340</v>
      </c>
      <c r="G473" s="1" t="s">
        <v>9341</v>
      </c>
      <c r="H473" s="1">
        <v>19.350000000000001</v>
      </c>
      <c r="I473" s="1">
        <v>0</v>
      </c>
      <c r="J473" s="1">
        <v>0</v>
      </c>
      <c r="K473" s="1">
        <v>20</v>
      </c>
      <c r="L473" s="1">
        <v>7</v>
      </c>
      <c r="M473" s="1"/>
      <c r="N473" s="1"/>
      <c r="O473" s="1">
        <v>7</v>
      </c>
      <c r="P473" s="1">
        <v>4</v>
      </c>
      <c r="Q473" s="1">
        <v>2</v>
      </c>
      <c r="R473" s="1">
        <v>52.35</v>
      </c>
      <c r="S473" s="1">
        <v>42</v>
      </c>
      <c r="T473" s="1">
        <v>42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42</v>
      </c>
      <c r="AB473" s="1">
        <v>3</v>
      </c>
      <c r="AC473" s="1">
        <v>0</v>
      </c>
      <c r="AD473" s="1"/>
      <c r="AE473" s="1"/>
      <c r="AF473" s="1"/>
      <c r="AG473" s="1"/>
      <c r="AH473" s="1">
        <v>97.35</v>
      </c>
    </row>
    <row r="474" spans="1:34" x14ac:dyDescent="0.3">
      <c r="A474" s="4">
        <v>490</v>
      </c>
      <c r="B474" s="5">
        <v>467</v>
      </c>
      <c r="C474">
        <v>5685</v>
      </c>
      <c r="D474" t="s">
        <v>9342</v>
      </c>
      <c r="E474" t="s">
        <v>4391</v>
      </c>
      <c r="F474" t="s">
        <v>190</v>
      </c>
      <c r="G474" t="s">
        <v>9343</v>
      </c>
      <c r="H474">
        <v>16.55</v>
      </c>
      <c r="I474">
        <v>0</v>
      </c>
      <c r="J474">
        <v>40</v>
      </c>
      <c r="K474">
        <v>20</v>
      </c>
      <c r="L474">
        <v>7</v>
      </c>
      <c r="O474">
        <v>7</v>
      </c>
      <c r="P474">
        <v>0</v>
      </c>
      <c r="Q474">
        <v>0</v>
      </c>
      <c r="R474">
        <v>83.55</v>
      </c>
      <c r="S474">
        <v>7</v>
      </c>
      <c r="T474">
        <v>7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7</v>
      </c>
      <c r="AB474">
        <v>6</v>
      </c>
      <c r="AC474">
        <v>0</v>
      </c>
      <c r="AH474">
        <v>96.55</v>
      </c>
    </row>
    <row r="475" spans="1:34" x14ac:dyDescent="0.3">
      <c r="A475" s="4">
        <v>491</v>
      </c>
      <c r="B475" s="5">
        <v>468</v>
      </c>
      <c r="C475">
        <v>12190</v>
      </c>
      <c r="D475" t="s">
        <v>9344</v>
      </c>
      <c r="E475" t="s">
        <v>3094</v>
      </c>
      <c r="F475" t="s">
        <v>20</v>
      </c>
      <c r="G475" t="s">
        <v>9345</v>
      </c>
      <c r="H475">
        <v>25</v>
      </c>
      <c r="I475">
        <v>7</v>
      </c>
      <c r="J475">
        <v>0</v>
      </c>
      <c r="K475">
        <v>20</v>
      </c>
      <c r="L475">
        <v>14</v>
      </c>
      <c r="O475">
        <v>14</v>
      </c>
      <c r="P475">
        <v>4</v>
      </c>
      <c r="Q475">
        <v>2</v>
      </c>
      <c r="R475">
        <v>72</v>
      </c>
      <c r="S475">
        <v>18</v>
      </c>
      <c r="T475">
        <v>18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18</v>
      </c>
      <c r="AB475">
        <v>6</v>
      </c>
      <c r="AC475">
        <v>0</v>
      </c>
      <c r="AH475">
        <v>96</v>
      </c>
    </row>
    <row r="476" spans="1:34" x14ac:dyDescent="0.3">
      <c r="A476" s="4">
        <v>492</v>
      </c>
      <c r="B476" s="5">
        <v>469</v>
      </c>
      <c r="C476">
        <v>11026</v>
      </c>
      <c r="D476" t="s">
        <v>9346</v>
      </c>
      <c r="E476" t="s">
        <v>219</v>
      </c>
      <c r="F476" t="s">
        <v>3439</v>
      </c>
      <c r="G476" t="s">
        <v>9347</v>
      </c>
      <c r="H476">
        <v>20.38</v>
      </c>
      <c r="I476">
        <v>0</v>
      </c>
      <c r="J476">
        <v>0</v>
      </c>
      <c r="K476">
        <v>0</v>
      </c>
      <c r="L476">
        <v>7</v>
      </c>
      <c r="O476">
        <v>7</v>
      </c>
      <c r="P476">
        <v>4</v>
      </c>
      <c r="Q476">
        <v>2</v>
      </c>
      <c r="R476">
        <v>33.380000000000003</v>
      </c>
      <c r="S476">
        <v>62</v>
      </c>
      <c r="T476">
        <v>62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62</v>
      </c>
      <c r="AB476">
        <v>0</v>
      </c>
      <c r="AC476">
        <v>0</v>
      </c>
      <c r="AH476">
        <v>95.38</v>
      </c>
    </row>
    <row r="477" spans="1:34" x14ac:dyDescent="0.3">
      <c r="A477" s="4">
        <v>493</v>
      </c>
      <c r="B477" s="5">
        <v>470</v>
      </c>
      <c r="C477">
        <v>3961</v>
      </c>
      <c r="D477" t="s">
        <v>9348</v>
      </c>
      <c r="E477" t="s">
        <v>550</v>
      </c>
      <c r="F477" t="s">
        <v>328</v>
      </c>
      <c r="G477" t="s">
        <v>9349</v>
      </c>
      <c r="H477">
        <v>19.399999999999999</v>
      </c>
      <c r="I477">
        <v>0</v>
      </c>
      <c r="J477">
        <v>0</v>
      </c>
      <c r="K477">
        <v>0</v>
      </c>
      <c r="L477">
        <v>14</v>
      </c>
      <c r="O477">
        <v>14</v>
      </c>
      <c r="P477">
        <v>4</v>
      </c>
      <c r="Q477">
        <v>0</v>
      </c>
      <c r="R477">
        <v>37.4</v>
      </c>
      <c r="S477">
        <v>50</v>
      </c>
      <c r="T477">
        <v>50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50</v>
      </c>
      <c r="AB477">
        <v>6</v>
      </c>
      <c r="AC477">
        <v>0</v>
      </c>
      <c r="AH477">
        <v>93.4</v>
      </c>
    </row>
    <row r="478" spans="1:34" x14ac:dyDescent="0.3">
      <c r="A478" s="4">
        <v>494</v>
      </c>
      <c r="B478" s="5">
        <v>471</v>
      </c>
      <c r="C478">
        <v>13292</v>
      </c>
      <c r="D478" t="s">
        <v>4118</v>
      </c>
      <c r="E478" t="s">
        <v>1315</v>
      </c>
      <c r="F478" t="s">
        <v>136</v>
      </c>
      <c r="G478" t="s">
        <v>9350</v>
      </c>
      <c r="H478">
        <v>17.649999999999999</v>
      </c>
      <c r="I478">
        <v>0</v>
      </c>
      <c r="J478">
        <v>0</v>
      </c>
      <c r="K478">
        <v>0</v>
      </c>
      <c r="L478">
        <v>7</v>
      </c>
      <c r="O478">
        <v>7</v>
      </c>
      <c r="P478">
        <v>4</v>
      </c>
      <c r="Q478">
        <v>0</v>
      </c>
      <c r="R478">
        <v>28.65</v>
      </c>
      <c r="S478">
        <v>57</v>
      </c>
      <c r="T478">
        <v>57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57</v>
      </c>
      <c r="AB478">
        <v>6</v>
      </c>
      <c r="AC478">
        <v>0</v>
      </c>
      <c r="AH478">
        <v>91.65</v>
      </c>
    </row>
    <row r="479" spans="1:34" x14ac:dyDescent="0.3">
      <c r="A479" s="4">
        <v>495</v>
      </c>
      <c r="B479" s="5">
        <v>472</v>
      </c>
      <c r="C479">
        <v>7263</v>
      </c>
      <c r="D479" t="s">
        <v>9351</v>
      </c>
      <c r="E479" t="s">
        <v>166</v>
      </c>
      <c r="F479" t="s">
        <v>14</v>
      </c>
      <c r="G479" t="s">
        <v>9352</v>
      </c>
      <c r="H479">
        <v>23.25</v>
      </c>
      <c r="I479">
        <v>0</v>
      </c>
      <c r="J479">
        <v>0</v>
      </c>
      <c r="K479">
        <v>20</v>
      </c>
      <c r="L479">
        <v>7</v>
      </c>
      <c r="O479">
        <v>7</v>
      </c>
      <c r="P479">
        <v>0</v>
      </c>
      <c r="Q479">
        <v>0</v>
      </c>
      <c r="R479">
        <v>50.25</v>
      </c>
      <c r="S479">
        <v>38</v>
      </c>
      <c r="T479">
        <v>38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38</v>
      </c>
      <c r="AB479">
        <v>3</v>
      </c>
      <c r="AC479">
        <v>0</v>
      </c>
      <c r="AH479">
        <v>91.25</v>
      </c>
    </row>
    <row r="480" spans="1:34" x14ac:dyDescent="0.3">
      <c r="A480" s="4">
        <v>496</v>
      </c>
      <c r="B480" s="5">
        <v>473</v>
      </c>
      <c r="C480">
        <v>8985</v>
      </c>
      <c r="D480" t="s">
        <v>9353</v>
      </c>
      <c r="E480" t="s">
        <v>9354</v>
      </c>
      <c r="F480" t="s">
        <v>81</v>
      </c>
      <c r="G480" t="s">
        <v>9355</v>
      </c>
      <c r="H480">
        <v>19.88</v>
      </c>
      <c r="I480">
        <v>0</v>
      </c>
      <c r="J480">
        <v>0</v>
      </c>
      <c r="K480">
        <v>20</v>
      </c>
      <c r="L480">
        <v>7</v>
      </c>
      <c r="N480">
        <v>3</v>
      </c>
      <c r="O480">
        <v>10</v>
      </c>
      <c r="P480">
        <v>4</v>
      </c>
      <c r="Q480">
        <v>0</v>
      </c>
      <c r="R480">
        <v>53.88</v>
      </c>
      <c r="S480">
        <v>33</v>
      </c>
      <c r="T480">
        <v>33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33</v>
      </c>
      <c r="AB480">
        <v>3</v>
      </c>
      <c r="AC480">
        <v>0</v>
      </c>
      <c r="AH480">
        <v>89.88</v>
      </c>
    </row>
    <row r="481" spans="1:34" x14ac:dyDescent="0.3">
      <c r="A481" s="4">
        <v>497</v>
      </c>
      <c r="B481" s="5">
        <v>474</v>
      </c>
      <c r="C481">
        <v>9575</v>
      </c>
      <c r="D481" t="s">
        <v>9356</v>
      </c>
      <c r="E481" t="s">
        <v>832</v>
      </c>
      <c r="F481" t="s">
        <v>190</v>
      </c>
      <c r="G481" t="s">
        <v>9357</v>
      </c>
      <c r="H481">
        <v>20.38</v>
      </c>
      <c r="I481">
        <v>0</v>
      </c>
      <c r="J481">
        <v>0</v>
      </c>
      <c r="K481">
        <v>0</v>
      </c>
      <c r="L481">
        <v>7</v>
      </c>
      <c r="O481">
        <v>7</v>
      </c>
      <c r="P481">
        <v>4</v>
      </c>
      <c r="Q481">
        <v>2</v>
      </c>
      <c r="R481">
        <v>33.380000000000003</v>
      </c>
      <c r="S481">
        <v>50</v>
      </c>
      <c r="T481">
        <v>50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50</v>
      </c>
      <c r="AB481">
        <v>6</v>
      </c>
      <c r="AC481">
        <v>0</v>
      </c>
      <c r="AH481">
        <v>89.38</v>
      </c>
    </row>
    <row r="482" spans="1:34" x14ac:dyDescent="0.3">
      <c r="A482" s="4">
        <v>498</v>
      </c>
      <c r="B482" s="5">
        <v>475</v>
      </c>
      <c r="C482">
        <v>5430</v>
      </c>
      <c r="D482" t="s">
        <v>9358</v>
      </c>
      <c r="E482" t="s">
        <v>110</v>
      </c>
      <c r="F482" t="s">
        <v>20</v>
      </c>
      <c r="G482" t="s">
        <v>9359</v>
      </c>
      <c r="H482">
        <v>20.13</v>
      </c>
      <c r="I482">
        <v>0</v>
      </c>
      <c r="J482">
        <v>0</v>
      </c>
      <c r="K482">
        <v>0</v>
      </c>
      <c r="L482">
        <v>14</v>
      </c>
      <c r="O482">
        <v>14</v>
      </c>
      <c r="P482">
        <v>4</v>
      </c>
      <c r="Q482">
        <v>0</v>
      </c>
      <c r="R482">
        <v>38.130000000000003</v>
      </c>
      <c r="S482">
        <v>48</v>
      </c>
      <c r="T482">
        <v>48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48</v>
      </c>
      <c r="AB482">
        <v>3</v>
      </c>
      <c r="AC482">
        <v>0</v>
      </c>
      <c r="AH482">
        <v>89.13</v>
      </c>
    </row>
    <row r="483" spans="1:34" x14ac:dyDescent="0.3">
      <c r="A483" s="4">
        <v>499</v>
      </c>
      <c r="B483" s="5">
        <v>476</v>
      </c>
      <c r="C483">
        <v>11128</v>
      </c>
      <c r="D483" t="s">
        <v>9360</v>
      </c>
      <c r="E483" t="s">
        <v>563</v>
      </c>
      <c r="F483" t="s">
        <v>81</v>
      </c>
      <c r="G483" t="s">
        <v>9361</v>
      </c>
      <c r="H483">
        <v>22.93</v>
      </c>
      <c r="I483">
        <v>0</v>
      </c>
      <c r="J483">
        <v>0</v>
      </c>
      <c r="K483">
        <v>20</v>
      </c>
      <c r="L483">
        <v>7</v>
      </c>
      <c r="M483">
        <v>5</v>
      </c>
      <c r="O483">
        <v>12</v>
      </c>
      <c r="P483">
        <v>4</v>
      </c>
      <c r="Q483">
        <v>2</v>
      </c>
      <c r="R483">
        <v>60.93</v>
      </c>
      <c r="S483">
        <v>28</v>
      </c>
      <c r="T483">
        <v>28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28</v>
      </c>
      <c r="AB483">
        <v>0</v>
      </c>
      <c r="AC483">
        <v>0</v>
      </c>
      <c r="AH483">
        <v>88.93</v>
      </c>
    </row>
    <row r="484" spans="1:34" x14ac:dyDescent="0.3">
      <c r="A484" s="4">
        <v>500</v>
      </c>
      <c r="B484" s="5">
        <v>477</v>
      </c>
      <c r="C484">
        <v>8565</v>
      </c>
      <c r="D484" t="s">
        <v>9362</v>
      </c>
      <c r="E484" t="s">
        <v>132</v>
      </c>
      <c r="F484" t="s">
        <v>243</v>
      </c>
      <c r="G484" t="s">
        <v>9363</v>
      </c>
      <c r="H484">
        <v>20.329999999999998</v>
      </c>
      <c r="I484">
        <v>0</v>
      </c>
      <c r="J484">
        <v>0</v>
      </c>
      <c r="K484">
        <v>0</v>
      </c>
      <c r="L484">
        <v>7</v>
      </c>
      <c r="N484">
        <v>3</v>
      </c>
      <c r="O484">
        <v>10</v>
      </c>
      <c r="P484">
        <v>4</v>
      </c>
      <c r="Q484">
        <v>2</v>
      </c>
      <c r="R484">
        <v>36.33</v>
      </c>
      <c r="S484">
        <v>46</v>
      </c>
      <c r="T484">
        <v>46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46</v>
      </c>
      <c r="AB484">
        <v>6</v>
      </c>
      <c r="AC484">
        <v>0</v>
      </c>
      <c r="AH484">
        <v>88.33</v>
      </c>
    </row>
    <row r="485" spans="1:34" x14ac:dyDescent="0.3">
      <c r="A485" s="4">
        <v>501</v>
      </c>
      <c r="B485" s="5">
        <v>478</v>
      </c>
      <c r="C485">
        <v>2038</v>
      </c>
      <c r="D485" t="s">
        <v>9364</v>
      </c>
      <c r="E485" t="s">
        <v>68</v>
      </c>
      <c r="F485" t="s">
        <v>17</v>
      </c>
      <c r="G485" t="s">
        <v>9365</v>
      </c>
      <c r="H485">
        <v>21.28</v>
      </c>
      <c r="I485">
        <v>0</v>
      </c>
      <c r="J485">
        <v>40</v>
      </c>
      <c r="K485">
        <v>20</v>
      </c>
      <c r="M485">
        <v>5</v>
      </c>
      <c r="O485">
        <v>5</v>
      </c>
      <c r="P485">
        <v>0</v>
      </c>
      <c r="Q485">
        <v>0</v>
      </c>
      <c r="R485">
        <v>86.28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H485">
        <v>86.28</v>
      </c>
    </row>
    <row r="486" spans="1:34" x14ac:dyDescent="0.3">
      <c r="A486" s="4">
        <v>502</v>
      </c>
      <c r="B486" s="5">
        <v>479</v>
      </c>
      <c r="C486">
        <v>4302</v>
      </c>
      <c r="D486" t="s">
        <v>9366</v>
      </c>
      <c r="E486" t="s">
        <v>41</v>
      </c>
      <c r="F486" t="s">
        <v>346</v>
      </c>
      <c r="G486" t="s">
        <v>9367</v>
      </c>
      <c r="H486">
        <v>20.63</v>
      </c>
      <c r="I486">
        <v>0</v>
      </c>
      <c r="J486">
        <v>0</v>
      </c>
      <c r="K486">
        <v>0</v>
      </c>
      <c r="L486">
        <v>7</v>
      </c>
      <c r="N486">
        <v>3</v>
      </c>
      <c r="O486">
        <v>10</v>
      </c>
      <c r="P486">
        <v>4</v>
      </c>
      <c r="Q486">
        <v>0</v>
      </c>
      <c r="R486">
        <v>34.630000000000003</v>
      </c>
      <c r="S486">
        <v>51</v>
      </c>
      <c r="T486">
        <v>51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51</v>
      </c>
      <c r="AB486">
        <v>0</v>
      </c>
      <c r="AC486">
        <v>0</v>
      </c>
      <c r="AH486">
        <v>85.63</v>
      </c>
    </row>
    <row r="487" spans="1:34" x14ac:dyDescent="0.3">
      <c r="A487" s="4">
        <v>503</v>
      </c>
      <c r="B487" s="5">
        <v>480</v>
      </c>
      <c r="C487">
        <v>11691</v>
      </c>
      <c r="D487" t="s">
        <v>3454</v>
      </c>
      <c r="E487" t="s">
        <v>744</v>
      </c>
      <c r="F487" t="s">
        <v>20</v>
      </c>
      <c r="G487" t="s">
        <v>9368</v>
      </c>
      <c r="H487">
        <v>21.38</v>
      </c>
      <c r="I487">
        <v>0</v>
      </c>
      <c r="J487">
        <v>0</v>
      </c>
      <c r="K487">
        <v>20</v>
      </c>
      <c r="L487">
        <v>7</v>
      </c>
      <c r="O487">
        <v>7</v>
      </c>
      <c r="P487">
        <v>4</v>
      </c>
      <c r="Q487">
        <v>0</v>
      </c>
      <c r="R487">
        <v>52.38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6</v>
      </c>
      <c r="AC487">
        <v>26.8</v>
      </c>
      <c r="AH487">
        <v>85.18</v>
      </c>
    </row>
    <row r="488" spans="1:34" x14ac:dyDescent="0.3">
      <c r="A488" s="4">
        <v>504</v>
      </c>
      <c r="B488" s="5">
        <v>481</v>
      </c>
      <c r="C488">
        <v>3597</v>
      </c>
      <c r="D488" t="s">
        <v>9369</v>
      </c>
      <c r="E488" t="s">
        <v>71</v>
      </c>
      <c r="F488" t="s">
        <v>38</v>
      </c>
      <c r="G488" t="s">
        <v>9370</v>
      </c>
      <c r="H488">
        <v>20.38</v>
      </c>
      <c r="I488">
        <v>0</v>
      </c>
      <c r="J488">
        <v>0</v>
      </c>
      <c r="K488">
        <v>20</v>
      </c>
      <c r="L488">
        <v>14</v>
      </c>
      <c r="O488">
        <v>14</v>
      </c>
      <c r="P488">
        <v>4</v>
      </c>
      <c r="Q488">
        <v>0</v>
      </c>
      <c r="R488">
        <v>58.38</v>
      </c>
      <c r="S488">
        <v>17</v>
      </c>
      <c r="T488">
        <v>17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17</v>
      </c>
      <c r="AB488">
        <v>6</v>
      </c>
      <c r="AC488">
        <v>0</v>
      </c>
      <c r="AH488">
        <v>81.38</v>
      </c>
    </row>
    <row r="489" spans="1:34" x14ac:dyDescent="0.3">
      <c r="A489" s="4">
        <v>505</v>
      </c>
      <c r="B489" s="5">
        <v>482</v>
      </c>
      <c r="C489">
        <v>9392</v>
      </c>
      <c r="D489" t="s">
        <v>267</v>
      </c>
      <c r="E489" t="s">
        <v>37</v>
      </c>
      <c r="F489" t="s">
        <v>136</v>
      </c>
      <c r="G489" t="s">
        <v>9371</v>
      </c>
      <c r="H489">
        <v>16.93</v>
      </c>
      <c r="I489">
        <v>0</v>
      </c>
      <c r="J489">
        <v>0</v>
      </c>
      <c r="K489">
        <v>0</v>
      </c>
      <c r="L489">
        <v>14</v>
      </c>
      <c r="O489">
        <v>14</v>
      </c>
      <c r="P489">
        <v>4</v>
      </c>
      <c r="Q489">
        <v>2</v>
      </c>
      <c r="R489">
        <v>36.93</v>
      </c>
      <c r="S489">
        <v>35</v>
      </c>
      <c r="T489">
        <v>35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35</v>
      </c>
      <c r="AB489">
        <v>9</v>
      </c>
      <c r="AC489">
        <v>0</v>
      </c>
      <c r="AH489">
        <v>80.930000000000007</v>
      </c>
    </row>
    <row r="490" spans="1:34" x14ac:dyDescent="0.3">
      <c r="A490" s="4">
        <v>506</v>
      </c>
      <c r="B490" s="5">
        <v>483</v>
      </c>
      <c r="C490">
        <v>7390</v>
      </c>
      <c r="D490" t="s">
        <v>9372</v>
      </c>
      <c r="E490" t="s">
        <v>424</v>
      </c>
      <c r="F490" t="s">
        <v>9373</v>
      </c>
      <c r="G490">
        <v>642391359</v>
      </c>
      <c r="H490">
        <v>20.63</v>
      </c>
      <c r="I490">
        <v>0</v>
      </c>
      <c r="J490">
        <v>0</v>
      </c>
      <c r="K490">
        <v>0</v>
      </c>
      <c r="L490">
        <v>7</v>
      </c>
      <c r="O490">
        <v>7</v>
      </c>
      <c r="P490">
        <v>0</v>
      </c>
      <c r="Q490">
        <v>0</v>
      </c>
      <c r="R490">
        <v>27.63</v>
      </c>
      <c r="S490">
        <v>50</v>
      </c>
      <c r="T490">
        <v>50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50</v>
      </c>
      <c r="AB490">
        <v>3</v>
      </c>
      <c r="AC490">
        <v>0</v>
      </c>
      <c r="AH490">
        <v>80.63</v>
      </c>
    </row>
    <row r="491" spans="1:34" x14ac:dyDescent="0.3">
      <c r="A491" s="4">
        <v>507</v>
      </c>
      <c r="B491" s="5">
        <v>484</v>
      </c>
      <c r="C491">
        <v>14755</v>
      </c>
      <c r="D491" t="s">
        <v>9374</v>
      </c>
      <c r="E491" t="s">
        <v>20</v>
      </c>
      <c r="F491" t="s">
        <v>136</v>
      </c>
      <c r="G491" t="s">
        <v>9375</v>
      </c>
      <c r="H491">
        <v>13.75</v>
      </c>
      <c r="I491">
        <v>0</v>
      </c>
      <c r="J491">
        <v>0</v>
      </c>
      <c r="K491">
        <v>0</v>
      </c>
      <c r="L491">
        <v>7</v>
      </c>
      <c r="O491">
        <v>7</v>
      </c>
      <c r="P491">
        <v>4</v>
      </c>
      <c r="Q491">
        <v>2</v>
      </c>
      <c r="R491">
        <v>26.75</v>
      </c>
      <c r="S491">
        <v>53</v>
      </c>
      <c r="T491">
        <v>53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53</v>
      </c>
      <c r="AB491">
        <v>0</v>
      </c>
      <c r="AC491">
        <v>0</v>
      </c>
      <c r="AH491">
        <v>79.75</v>
      </c>
    </row>
    <row r="492" spans="1:34" x14ac:dyDescent="0.3">
      <c r="A492" s="4">
        <v>508</v>
      </c>
      <c r="B492" s="5">
        <v>485</v>
      </c>
      <c r="C492">
        <v>624</v>
      </c>
      <c r="D492" t="s">
        <v>9376</v>
      </c>
      <c r="E492" t="s">
        <v>29</v>
      </c>
      <c r="F492" t="s">
        <v>6216</v>
      </c>
      <c r="G492" t="s">
        <v>9377</v>
      </c>
      <c r="H492">
        <v>18.25</v>
      </c>
      <c r="I492">
        <v>0</v>
      </c>
      <c r="J492">
        <v>0</v>
      </c>
      <c r="K492">
        <v>20</v>
      </c>
      <c r="L492">
        <v>7</v>
      </c>
      <c r="O492">
        <v>7</v>
      </c>
      <c r="P492">
        <v>4</v>
      </c>
      <c r="Q492">
        <v>2</v>
      </c>
      <c r="R492">
        <v>51.25</v>
      </c>
      <c r="S492">
        <v>28</v>
      </c>
      <c r="T492">
        <v>28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28</v>
      </c>
      <c r="AB492">
        <v>0</v>
      </c>
      <c r="AC492">
        <v>0</v>
      </c>
      <c r="AH492">
        <v>79.25</v>
      </c>
    </row>
    <row r="493" spans="1:34" x14ac:dyDescent="0.3">
      <c r="A493" s="4">
        <v>509</v>
      </c>
      <c r="B493" s="5">
        <v>486</v>
      </c>
      <c r="C493">
        <v>5202</v>
      </c>
      <c r="D493" t="s">
        <v>645</v>
      </c>
      <c r="E493" t="s">
        <v>9378</v>
      </c>
      <c r="F493" t="s">
        <v>20</v>
      </c>
      <c r="G493" t="s">
        <v>9379</v>
      </c>
      <c r="H493">
        <v>17.78</v>
      </c>
      <c r="I493">
        <v>0</v>
      </c>
      <c r="J493">
        <v>0</v>
      </c>
      <c r="K493">
        <v>20</v>
      </c>
      <c r="L493">
        <v>7</v>
      </c>
      <c r="O493">
        <v>7</v>
      </c>
      <c r="P493">
        <v>0</v>
      </c>
      <c r="Q493">
        <v>0</v>
      </c>
      <c r="R493">
        <v>44.78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6</v>
      </c>
      <c r="AC493">
        <v>26.8</v>
      </c>
      <c r="AH493">
        <v>77.58</v>
      </c>
    </row>
    <row r="494" spans="1:34" x14ac:dyDescent="0.3">
      <c r="A494" s="4">
        <v>510</v>
      </c>
      <c r="B494" s="5">
        <v>487</v>
      </c>
      <c r="C494">
        <v>7693</v>
      </c>
      <c r="D494" t="s">
        <v>9380</v>
      </c>
      <c r="E494" t="s">
        <v>149</v>
      </c>
      <c r="F494" t="s">
        <v>259</v>
      </c>
      <c r="G494" t="s">
        <v>9381</v>
      </c>
      <c r="H494">
        <v>21.53</v>
      </c>
      <c r="I494">
        <v>0</v>
      </c>
      <c r="J494">
        <v>0</v>
      </c>
      <c r="K494">
        <v>0</v>
      </c>
      <c r="L494">
        <v>7</v>
      </c>
      <c r="O494">
        <v>7</v>
      </c>
      <c r="P494">
        <v>4</v>
      </c>
      <c r="Q494">
        <v>2</v>
      </c>
      <c r="R494">
        <v>34.53</v>
      </c>
      <c r="S494">
        <v>43</v>
      </c>
      <c r="T494">
        <v>43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43</v>
      </c>
      <c r="AB494">
        <v>0</v>
      </c>
      <c r="AC494">
        <v>0</v>
      </c>
      <c r="AH494">
        <v>77.53</v>
      </c>
    </row>
    <row r="495" spans="1:34" x14ac:dyDescent="0.3">
      <c r="A495" s="4">
        <v>511</v>
      </c>
      <c r="B495" s="5">
        <v>488</v>
      </c>
      <c r="C495">
        <v>11806</v>
      </c>
      <c r="D495" t="s">
        <v>9382</v>
      </c>
      <c r="E495" t="s">
        <v>29</v>
      </c>
      <c r="F495" t="s">
        <v>81</v>
      </c>
      <c r="G495" t="s">
        <v>9383</v>
      </c>
      <c r="H495">
        <v>19.329999999999998</v>
      </c>
      <c r="I495">
        <v>0</v>
      </c>
      <c r="J495">
        <v>0</v>
      </c>
      <c r="K495">
        <v>0</v>
      </c>
      <c r="L495">
        <v>7</v>
      </c>
      <c r="N495">
        <v>3</v>
      </c>
      <c r="O495">
        <v>10</v>
      </c>
      <c r="P495">
        <v>4</v>
      </c>
      <c r="Q495">
        <v>0</v>
      </c>
      <c r="R495">
        <v>33.33</v>
      </c>
      <c r="S495">
        <v>3</v>
      </c>
      <c r="T495">
        <v>3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3</v>
      </c>
      <c r="AB495">
        <v>9</v>
      </c>
      <c r="AC495">
        <v>32</v>
      </c>
      <c r="AH495">
        <v>77.33</v>
      </c>
    </row>
    <row r="496" spans="1:34" x14ac:dyDescent="0.3">
      <c r="A496" s="4">
        <v>512</v>
      </c>
      <c r="B496" s="5">
        <v>489</v>
      </c>
      <c r="C496">
        <v>11527</v>
      </c>
      <c r="D496" t="s">
        <v>9384</v>
      </c>
      <c r="E496" t="s">
        <v>124</v>
      </c>
      <c r="F496" t="s">
        <v>975</v>
      </c>
      <c r="G496" t="s">
        <v>9385</v>
      </c>
      <c r="H496">
        <v>17.63</v>
      </c>
      <c r="I496">
        <v>0</v>
      </c>
      <c r="J496">
        <v>0</v>
      </c>
      <c r="K496">
        <v>20</v>
      </c>
      <c r="N496">
        <v>3</v>
      </c>
      <c r="O496">
        <v>3</v>
      </c>
      <c r="P496">
        <v>4</v>
      </c>
      <c r="Q496">
        <v>0</v>
      </c>
      <c r="R496">
        <v>44.63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32</v>
      </c>
      <c r="AD496" t="s">
        <v>130</v>
      </c>
      <c r="AH496">
        <v>76.63</v>
      </c>
    </row>
    <row r="497" spans="1:34" x14ac:dyDescent="0.3">
      <c r="A497" s="4">
        <v>513</v>
      </c>
      <c r="B497" s="5">
        <v>490</v>
      </c>
      <c r="C497">
        <v>4867</v>
      </c>
      <c r="D497" t="s">
        <v>9386</v>
      </c>
      <c r="E497" t="s">
        <v>9387</v>
      </c>
      <c r="F497" t="s">
        <v>81</v>
      </c>
      <c r="G497" t="s">
        <v>9388</v>
      </c>
      <c r="H497">
        <v>18.2</v>
      </c>
      <c r="I497">
        <v>0</v>
      </c>
      <c r="J497">
        <v>0</v>
      </c>
      <c r="K497">
        <v>20</v>
      </c>
      <c r="L497">
        <v>7</v>
      </c>
      <c r="N497">
        <v>3</v>
      </c>
      <c r="O497">
        <v>10</v>
      </c>
      <c r="P497">
        <v>4</v>
      </c>
      <c r="Q497">
        <v>0</v>
      </c>
      <c r="R497">
        <v>52.2</v>
      </c>
      <c r="S497">
        <v>16</v>
      </c>
      <c r="T497">
        <v>16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16</v>
      </c>
      <c r="AB497">
        <v>6</v>
      </c>
      <c r="AC497">
        <v>0</v>
      </c>
      <c r="AH497">
        <v>74.2</v>
      </c>
    </row>
    <row r="498" spans="1:34" x14ac:dyDescent="0.3">
      <c r="A498" s="4">
        <v>514</v>
      </c>
      <c r="B498" s="5">
        <v>491</v>
      </c>
      <c r="C498">
        <v>4817</v>
      </c>
      <c r="D498" t="s">
        <v>9389</v>
      </c>
      <c r="E498" t="s">
        <v>117</v>
      </c>
      <c r="F498" t="s">
        <v>38</v>
      </c>
      <c r="G498" t="s">
        <v>9390</v>
      </c>
      <c r="H498">
        <v>13.63</v>
      </c>
      <c r="I498">
        <v>0</v>
      </c>
      <c r="J498">
        <v>0</v>
      </c>
      <c r="K498">
        <v>0</v>
      </c>
      <c r="L498">
        <v>7</v>
      </c>
      <c r="N498">
        <v>3</v>
      </c>
      <c r="O498">
        <v>10</v>
      </c>
      <c r="P498">
        <v>4</v>
      </c>
      <c r="Q498">
        <v>2</v>
      </c>
      <c r="R498">
        <v>29.63</v>
      </c>
      <c r="S498">
        <v>43</v>
      </c>
      <c r="T498">
        <v>43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43</v>
      </c>
      <c r="AB498">
        <v>0</v>
      </c>
      <c r="AC498">
        <v>0</v>
      </c>
      <c r="AH498">
        <v>72.63</v>
      </c>
    </row>
    <row r="499" spans="1:34" x14ac:dyDescent="0.3">
      <c r="A499" s="4">
        <v>515</v>
      </c>
      <c r="B499" s="5">
        <v>492</v>
      </c>
      <c r="C499">
        <v>1930</v>
      </c>
      <c r="D499" t="s">
        <v>9391</v>
      </c>
      <c r="E499" t="s">
        <v>38</v>
      </c>
      <c r="F499" t="s">
        <v>442</v>
      </c>
      <c r="G499" t="s">
        <v>9392</v>
      </c>
      <c r="H499">
        <v>14.63</v>
      </c>
      <c r="I499">
        <v>0</v>
      </c>
      <c r="J499">
        <v>0</v>
      </c>
      <c r="K499">
        <v>0</v>
      </c>
      <c r="L499">
        <v>7</v>
      </c>
      <c r="O499">
        <v>7</v>
      </c>
      <c r="P499">
        <v>0</v>
      </c>
      <c r="Q499">
        <v>2</v>
      </c>
      <c r="R499">
        <v>23.63</v>
      </c>
      <c r="S499">
        <v>49</v>
      </c>
      <c r="T499">
        <v>49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49</v>
      </c>
      <c r="AB499">
        <v>0</v>
      </c>
      <c r="AC499">
        <v>0</v>
      </c>
      <c r="AH499">
        <v>72.63</v>
      </c>
    </row>
    <row r="500" spans="1:34" x14ac:dyDescent="0.3">
      <c r="A500" s="4">
        <v>516</v>
      </c>
      <c r="B500" s="5">
        <v>493</v>
      </c>
      <c r="C500">
        <v>5701</v>
      </c>
      <c r="D500" t="s">
        <v>9393</v>
      </c>
      <c r="E500" t="s">
        <v>54</v>
      </c>
      <c r="F500" t="s">
        <v>124</v>
      </c>
      <c r="G500" t="s">
        <v>9394</v>
      </c>
      <c r="H500">
        <v>20.079999999999998</v>
      </c>
      <c r="I500">
        <v>0</v>
      </c>
      <c r="J500">
        <v>0</v>
      </c>
      <c r="K500">
        <v>0</v>
      </c>
      <c r="L500">
        <v>14</v>
      </c>
      <c r="O500">
        <v>14</v>
      </c>
      <c r="P500">
        <v>4</v>
      </c>
      <c r="Q500">
        <v>2</v>
      </c>
      <c r="R500">
        <v>40.08</v>
      </c>
      <c r="S500">
        <v>31</v>
      </c>
      <c r="T500">
        <v>31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31</v>
      </c>
      <c r="AB500">
        <v>0</v>
      </c>
      <c r="AC500">
        <v>0</v>
      </c>
      <c r="AD500" t="s">
        <v>130</v>
      </c>
      <c r="AH500">
        <v>71.08</v>
      </c>
    </row>
    <row r="501" spans="1:34" x14ac:dyDescent="0.3">
      <c r="A501" s="4">
        <v>518</v>
      </c>
      <c r="B501" s="5">
        <v>494</v>
      </c>
      <c r="C501">
        <v>3932</v>
      </c>
      <c r="D501" t="s">
        <v>3230</v>
      </c>
      <c r="E501" t="s">
        <v>188</v>
      </c>
      <c r="F501" t="s">
        <v>68</v>
      </c>
      <c r="G501" t="s">
        <v>9395</v>
      </c>
      <c r="H501">
        <v>18.05</v>
      </c>
      <c r="I501">
        <v>0</v>
      </c>
      <c r="J501">
        <v>0</v>
      </c>
      <c r="K501">
        <v>0</v>
      </c>
      <c r="L501">
        <v>7</v>
      </c>
      <c r="O501">
        <v>7</v>
      </c>
      <c r="P501">
        <v>0</v>
      </c>
      <c r="Q501">
        <v>0</v>
      </c>
      <c r="R501">
        <v>25.05</v>
      </c>
      <c r="S501">
        <v>35</v>
      </c>
      <c r="T501">
        <v>35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35</v>
      </c>
      <c r="AB501">
        <v>9</v>
      </c>
      <c r="AC501">
        <v>0</v>
      </c>
      <c r="AH501">
        <v>69.05</v>
      </c>
    </row>
    <row r="502" spans="1:34" x14ac:dyDescent="0.3">
      <c r="A502" s="4">
        <v>519</v>
      </c>
      <c r="B502" s="5">
        <v>495</v>
      </c>
      <c r="C502">
        <v>6064</v>
      </c>
      <c r="D502" t="s">
        <v>9396</v>
      </c>
      <c r="E502" t="s">
        <v>166</v>
      </c>
      <c r="F502" t="s">
        <v>30</v>
      </c>
      <c r="G502">
        <v>5755</v>
      </c>
      <c r="H502">
        <v>22.43</v>
      </c>
      <c r="I502">
        <v>7</v>
      </c>
      <c r="J502">
        <v>0</v>
      </c>
      <c r="K502">
        <v>20</v>
      </c>
      <c r="L502">
        <v>7</v>
      </c>
      <c r="O502">
        <v>7</v>
      </c>
      <c r="P502">
        <v>4</v>
      </c>
      <c r="Q502">
        <v>2</v>
      </c>
      <c r="R502">
        <v>62.43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6</v>
      </c>
      <c r="AC502">
        <v>0</v>
      </c>
      <c r="AH502">
        <v>68.430000000000007</v>
      </c>
    </row>
    <row r="503" spans="1:34" x14ac:dyDescent="0.3">
      <c r="A503" s="4">
        <v>520</v>
      </c>
      <c r="B503" s="5">
        <v>496</v>
      </c>
      <c r="C503">
        <v>6654</v>
      </c>
      <c r="D503" t="s">
        <v>1227</v>
      </c>
      <c r="E503" t="s">
        <v>7952</v>
      </c>
      <c r="F503" t="s">
        <v>81</v>
      </c>
      <c r="G503" t="s">
        <v>9397</v>
      </c>
      <c r="H503">
        <v>18.100000000000001</v>
      </c>
      <c r="I503">
        <v>0</v>
      </c>
      <c r="J503">
        <v>0</v>
      </c>
      <c r="K503">
        <v>20</v>
      </c>
      <c r="N503">
        <v>3</v>
      </c>
      <c r="O503">
        <v>3</v>
      </c>
      <c r="P503">
        <v>4</v>
      </c>
      <c r="Q503">
        <v>2</v>
      </c>
      <c r="R503">
        <v>47.1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20</v>
      </c>
      <c r="AH503">
        <v>67.099999999999994</v>
      </c>
    </row>
    <row r="504" spans="1:34" x14ac:dyDescent="0.3">
      <c r="A504" s="4">
        <v>521</v>
      </c>
      <c r="B504" s="5">
        <v>497</v>
      </c>
      <c r="C504">
        <v>14726</v>
      </c>
      <c r="D504" t="s">
        <v>9398</v>
      </c>
      <c r="E504" t="s">
        <v>139</v>
      </c>
      <c r="F504" t="s">
        <v>136</v>
      </c>
      <c r="G504" t="s">
        <v>9399</v>
      </c>
      <c r="H504">
        <v>20.95</v>
      </c>
      <c r="I504">
        <v>0</v>
      </c>
      <c r="J504">
        <v>0</v>
      </c>
      <c r="K504">
        <v>0</v>
      </c>
      <c r="L504">
        <v>7</v>
      </c>
      <c r="N504">
        <v>3</v>
      </c>
      <c r="O504">
        <v>10</v>
      </c>
      <c r="P504">
        <v>4</v>
      </c>
      <c r="Q504">
        <v>0</v>
      </c>
      <c r="R504">
        <v>34.950000000000003</v>
      </c>
      <c r="S504">
        <v>22</v>
      </c>
      <c r="T504">
        <v>22</v>
      </c>
      <c r="U504">
        <v>0</v>
      </c>
      <c r="V504">
        <v>0</v>
      </c>
      <c r="W504">
        <v>7</v>
      </c>
      <c r="X504">
        <v>10</v>
      </c>
      <c r="Y504">
        <v>0</v>
      </c>
      <c r="Z504">
        <v>0</v>
      </c>
      <c r="AA504">
        <v>32</v>
      </c>
      <c r="AB504">
        <v>0</v>
      </c>
      <c r="AC504">
        <v>0</v>
      </c>
      <c r="AH504">
        <v>66.95</v>
      </c>
    </row>
    <row r="505" spans="1:34" x14ac:dyDescent="0.3">
      <c r="A505" s="4">
        <v>522</v>
      </c>
      <c r="B505" s="5">
        <v>498</v>
      </c>
      <c r="C505">
        <v>15544</v>
      </c>
      <c r="D505" t="s">
        <v>9400</v>
      </c>
      <c r="E505" t="s">
        <v>136</v>
      </c>
      <c r="F505" t="s">
        <v>68</v>
      </c>
      <c r="G505" t="s">
        <v>9401</v>
      </c>
      <c r="H505">
        <v>21.2</v>
      </c>
      <c r="I505">
        <v>0</v>
      </c>
      <c r="J505">
        <v>0</v>
      </c>
      <c r="K505">
        <v>20</v>
      </c>
      <c r="L505">
        <v>7</v>
      </c>
      <c r="M505">
        <v>5</v>
      </c>
      <c r="O505">
        <v>12</v>
      </c>
      <c r="P505">
        <v>4</v>
      </c>
      <c r="Q505">
        <v>0</v>
      </c>
      <c r="R505">
        <v>57.2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9</v>
      </c>
      <c r="AC505">
        <v>0</v>
      </c>
      <c r="AH505">
        <v>66.2</v>
      </c>
    </row>
    <row r="506" spans="1:34" x14ac:dyDescent="0.3">
      <c r="A506" s="4">
        <v>523</v>
      </c>
      <c r="B506" s="5">
        <v>499</v>
      </c>
      <c r="C506">
        <v>11976</v>
      </c>
      <c r="D506" t="s">
        <v>831</v>
      </c>
      <c r="E506" t="s">
        <v>219</v>
      </c>
      <c r="F506" t="s">
        <v>832</v>
      </c>
      <c r="G506" t="s">
        <v>833</v>
      </c>
      <c r="H506">
        <v>19.88</v>
      </c>
      <c r="I506">
        <v>0</v>
      </c>
      <c r="J506">
        <v>0</v>
      </c>
      <c r="K506">
        <v>0</v>
      </c>
      <c r="L506">
        <v>7</v>
      </c>
      <c r="N506">
        <v>3</v>
      </c>
      <c r="O506">
        <v>10</v>
      </c>
      <c r="P506">
        <v>4</v>
      </c>
      <c r="Q506">
        <v>0</v>
      </c>
      <c r="R506">
        <v>33.880000000000003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3</v>
      </c>
      <c r="AC506">
        <v>26.8</v>
      </c>
      <c r="AH506">
        <v>63.68</v>
      </c>
    </row>
    <row r="507" spans="1:34" x14ac:dyDescent="0.3">
      <c r="A507" s="4">
        <v>524</v>
      </c>
      <c r="B507" s="5">
        <v>500</v>
      </c>
      <c r="C507">
        <v>10521</v>
      </c>
      <c r="D507" t="s">
        <v>3179</v>
      </c>
      <c r="E507" t="s">
        <v>283</v>
      </c>
      <c r="F507" t="s">
        <v>243</v>
      </c>
      <c r="G507" t="s">
        <v>9402</v>
      </c>
      <c r="H507">
        <v>21.13</v>
      </c>
      <c r="I507">
        <v>7</v>
      </c>
      <c r="J507">
        <v>0</v>
      </c>
      <c r="K507">
        <v>20</v>
      </c>
      <c r="L507">
        <v>7</v>
      </c>
      <c r="N507">
        <v>3</v>
      </c>
      <c r="O507">
        <v>10</v>
      </c>
      <c r="P507">
        <v>4</v>
      </c>
      <c r="Q507">
        <v>0</v>
      </c>
      <c r="R507">
        <v>62.13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H507">
        <v>62.13</v>
      </c>
    </row>
    <row r="508" spans="1:34" x14ac:dyDescent="0.3">
      <c r="A508" s="4">
        <v>525</v>
      </c>
      <c r="B508" s="5">
        <v>501</v>
      </c>
      <c r="C508">
        <v>10267</v>
      </c>
      <c r="D508" t="s">
        <v>9403</v>
      </c>
      <c r="E508" t="s">
        <v>9404</v>
      </c>
      <c r="F508" t="s">
        <v>68</v>
      </c>
      <c r="G508" t="s">
        <v>9405</v>
      </c>
      <c r="H508">
        <v>21.75</v>
      </c>
      <c r="I508">
        <v>7</v>
      </c>
      <c r="J508">
        <v>0</v>
      </c>
      <c r="K508">
        <v>20</v>
      </c>
      <c r="L508">
        <v>7</v>
      </c>
      <c r="O508">
        <v>7</v>
      </c>
      <c r="P508">
        <v>4</v>
      </c>
      <c r="Q508">
        <v>2</v>
      </c>
      <c r="R508">
        <v>61.75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H508">
        <v>61.75</v>
      </c>
    </row>
    <row r="509" spans="1:34" x14ac:dyDescent="0.3">
      <c r="A509" s="4">
        <v>526</v>
      </c>
      <c r="B509" s="5">
        <v>502</v>
      </c>
      <c r="C509">
        <v>7743</v>
      </c>
      <c r="D509" t="s">
        <v>9406</v>
      </c>
      <c r="E509" t="s">
        <v>54</v>
      </c>
      <c r="F509" t="s">
        <v>17</v>
      </c>
      <c r="G509" t="s">
        <v>9407</v>
      </c>
      <c r="H509">
        <v>21.63</v>
      </c>
      <c r="I509">
        <v>0</v>
      </c>
      <c r="J509">
        <v>0</v>
      </c>
      <c r="K509">
        <v>20</v>
      </c>
      <c r="L509">
        <v>7</v>
      </c>
      <c r="N509">
        <v>3</v>
      </c>
      <c r="O509">
        <v>10</v>
      </c>
      <c r="P509">
        <v>4</v>
      </c>
      <c r="Q509">
        <v>0</v>
      </c>
      <c r="R509">
        <v>55.63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6</v>
      </c>
      <c r="AC509">
        <v>0</v>
      </c>
      <c r="AH509">
        <v>61.63</v>
      </c>
    </row>
    <row r="510" spans="1:34" x14ac:dyDescent="0.3">
      <c r="A510" s="4">
        <v>527</v>
      </c>
      <c r="B510" s="5">
        <v>503</v>
      </c>
      <c r="C510">
        <v>8910</v>
      </c>
      <c r="D510" t="s">
        <v>1333</v>
      </c>
      <c r="E510" t="s">
        <v>173</v>
      </c>
      <c r="F510" t="s">
        <v>20</v>
      </c>
      <c r="G510" t="s">
        <v>9408</v>
      </c>
      <c r="H510">
        <v>23.05</v>
      </c>
      <c r="I510">
        <v>0</v>
      </c>
      <c r="J510">
        <v>0</v>
      </c>
      <c r="K510">
        <v>20</v>
      </c>
      <c r="N510">
        <v>3</v>
      </c>
      <c r="O510">
        <v>3</v>
      </c>
      <c r="P510">
        <v>4</v>
      </c>
      <c r="Q510">
        <v>2</v>
      </c>
      <c r="R510">
        <v>52.05</v>
      </c>
      <c r="S510">
        <v>9</v>
      </c>
      <c r="T510">
        <v>9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9</v>
      </c>
      <c r="AB510">
        <v>0</v>
      </c>
      <c r="AC510">
        <v>0</v>
      </c>
      <c r="AD510" t="s">
        <v>130</v>
      </c>
      <c r="AH510">
        <v>61.05</v>
      </c>
    </row>
    <row r="511" spans="1:34" x14ac:dyDescent="0.3">
      <c r="A511" s="4">
        <v>528</v>
      </c>
      <c r="B511" s="5">
        <v>504</v>
      </c>
      <c r="C511">
        <v>3164</v>
      </c>
      <c r="D511" t="s">
        <v>9409</v>
      </c>
      <c r="E511" t="s">
        <v>1989</v>
      </c>
      <c r="F511" t="s">
        <v>171</v>
      </c>
      <c r="G511" t="s">
        <v>9410</v>
      </c>
      <c r="H511">
        <v>19.600000000000001</v>
      </c>
      <c r="I511">
        <v>0</v>
      </c>
      <c r="J511">
        <v>0</v>
      </c>
      <c r="K511">
        <v>20</v>
      </c>
      <c r="L511">
        <v>7</v>
      </c>
      <c r="O511">
        <v>7</v>
      </c>
      <c r="P511">
        <v>4</v>
      </c>
      <c r="Q511">
        <v>0</v>
      </c>
      <c r="R511">
        <v>50.6</v>
      </c>
      <c r="S511">
        <v>6</v>
      </c>
      <c r="T511">
        <v>6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6</v>
      </c>
      <c r="AB511">
        <v>3</v>
      </c>
      <c r="AC511">
        <v>0</v>
      </c>
      <c r="AH511">
        <v>59.6</v>
      </c>
    </row>
    <row r="512" spans="1:34" x14ac:dyDescent="0.3">
      <c r="A512" s="4">
        <v>529</v>
      </c>
      <c r="B512" s="5">
        <v>505</v>
      </c>
      <c r="C512">
        <v>8</v>
      </c>
      <c r="D512" t="s">
        <v>9411</v>
      </c>
      <c r="E512" t="s">
        <v>346</v>
      </c>
      <c r="F512" t="s">
        <v>9412</v>
      </c>
      <c r="G512" t="s">
        <v>9413</v>
      </c>
      <c r="H512">
        <v>19.53</v>
      </c>
      <c r="I512">
        <v>0</v>
      </c>
      <c r="J512">
        <v>0</v>
      </c>
      <c r="K512">
        <v>20</v>
      </c>
      <c r="L512">
        <v>7</v>
      </c>
      <c r="O512">
        <v>7</v>
      </c>
      <c r="P512">
        <v>4</v>
      </c>
      <c r="Q512">
        <v>0</v>
      </c>
      <c r="R512">
        <v>50.53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9</v>
      </c>
      <c r="AC512">
        <v>0</v>
      </c>
      <c r="AH512">
        <v>59.53</v>
      </c>
    </row>
    <row r="513" spans="1:34" x14ac:dyDescent="0.3">
      <c r="A513" s="4">
        <v>530</v>
      </c>
      <c r="B513" s="5">
        <v>506</v>
      </c>
      <c r="C513">
        <v>11866</v>
      </c>
      <c r="D513" t="s">
        <v>9414</v>
      </c>
      <c r="E513" t="s">
        <v>17</v>
      </c>
      <c r="F513" t="s">
        <v>20</v>
      </c>
      <c r="G513" t="s">
        <v>9415</v>
      </c>
      <c r="H513">
        <v>23.43</v>
      </c>
      <c r="I513">
        <v>0</v>
      </c>
      <c r="J513">
        <v>0</v>
      </c>
      <c r="K513">
        <v>0</v>
      </c>
      <c r="L513">
        <v>7</v>
      </c>
      <c r="O513">
        <v>7</v>
      </c>
      <c r="P513">
        <v>4</v>
      </c>
      <c r="Q513">
        <v>0</v>
      </c>
      <c r="R513">
        <v>34.43</v>
      </c>
      <c r="S513">
        <v>25</v>
      </c>
      <c r="T513">
        <v>25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25</v>
      </c>
      <c r="AB513">
        <v>0</v>
      </c>
      <c r="AC513">
        <v>0</v>
      </c>
      <c r="AH513">
        <v>59.43</v>
      </c>
    </row>
    <row r="514" spans="1:34" x14ac:dyDescent="0.3">
      <c r="A514" s="4">
        <v>531</v>
      </c>
      <c r="B514" s="5">
        <v>507</v>
      </c>
      <c r="C514">
        <v>9144</v>
      </c>
      <c r="D514" t="s">
        <v>9416</v>
      </c>
      <c r="E514" t="s">
        <v>34</v>
      </c>
      <c r="F514" t="s">
        <v>17</v>
      </c>
      <c r="G514" t="s">
        <v>9417</v>
      </c>
      <c r="H514">
        <v>23.1</v>
      </c>
      <c r="I514">
        <v>0</v>
      </c>
      <c r="J514">
        <v>0</v>
      </c>
      <c r="K514">
        <v>0</v>
      </c>
      <c r="L514">
        <v>7</v>
      </c>
      <c r="M514">
        <v>5</v>
      </c>
      <c r="O514">
        <v>12</v>
      </c>
      <c r="P514">
        <v>4</v>
      </c>
      <c r="Q514">
        <v>0</v>
      </c>
      <c r="R514">
        <v>39.1</v>
      </c>
      <c r="S514">
        <v>14</v>
      </c>
      <c r="T514">
        <v>14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14</v>
      </c>
      <c r="AB514">
        <v>6</v>
      </c>
      <c r="AC514">
        <v>0</v>
      </c>
      <c r="AH514">
        <v>59.1</v>
      </c>
    </row>
    <row r="515" spans="1:34" x14ac:dyDescent="0.3">
      <c r="A515" s="4">
        <v>532</v>
      </c>
      <c r="B515" s="5">
        <v>508</v>
      </c>
      <c r="C515">
        <v>9504</v>
      </c>
      <c r="D515" t="s">
        <v>9418</v>
      </c>
      <c r="E515" t="s">
        <v>550</v>
      </c>
      <c r="F515" t="s">
        <v>30</v>
      </c>
      <c r="G515" t="s">
        <v>9419</v>
      </c>
      <c r="H515">
        <v>23.05</v>
      </c>
      <c r="I515">
        <v>0</v>
      </c>
      <c r="J515">
        <v>0</v>
      </c>
      <c r="K515">
        <v>20</v>
      </c>
      <c r="L515">
        <v>7</v>
      </c>
      <c r="N515">
        <v>3</v>
      </c>
      <c r="O515">
        <v>10</v>
      </c>
      <c r="P515">
        <v>0</v>
      </c>
      <c r="Q515">
        <v>0</v>
      </c>
      <c r="R515">
        <v>53.05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6</v>
      </c>
      <c r="AC515">
        <v>0</v>
      </c>
      <c r="AH515">
        <v>59.05</v>
      </c>
    </row>
    <row r="516" spans="1:34" x14ac:dyDescent="0.3">
      <c r="A516" s="4">
        <v>533</v>
      </c>
      <c r="B516" s="5">
        <v>509</v>
      </c>
      <c r="C516">
        <v>10564</v>
      </c>
      <c r="D516" t="s">
        <v>1950</v>
      </c>
      <c r="E516" t="s">
        <v>4041</v>
      </c>
      <c r="F516" t="s">
        <v>17</v>
      </c>
      <c r="G516" t="s">
        <v>9420</v>
      </c>
      <c r="H516">
        <v>19.18</v>
      </c>
      <c r="I516">
        <v>7</v>
      </c>
      <c r="J516">
        <v>0</v>
      </c>
      <c r="K516">
        <v>0</v>
      </c>
      <c r="O516">
        <v>0</v>
      </c>
      <c r="P516">
        <v>4</v>
      </c>
      <c r="Q516">
        <v>2</v>
      </c>
      <c r="R516">
        <v>32.18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26.8</v>
      </c>
      <c r="AD516" t="s">
        <v>130</v>
      </c>
      <c r="AH516">
        <v>58.98</v>
      </c>
    </row>
    <row r="517" spans="1:34" x14ac:dyDescent="0.3">
      <c r="A517" s="4">
        <v>534</v>
      </c>
      <c r="B517" s="5">
        <v>510</v>
      </c>
      <c r="C517">
        <v>10163</v>
      </c>
      <c r="D517" t="s">
        <v>1723</v>
      </c>
      <c r="E517" t="s">
        <v>161</v>
      </c>
      <c r="F517" t="s">
        <v>190</v>
      </c>
      <c r="G517" t="s">
        <v>9421</v>
      </c>
      <c r="H517">
        <v>14.73</v>
      </c>
      <c r="I517">
        <v>0</v>
      </c>
      <c r="J517">
        <v>0</v>
      </c>
      <c r="K517">
        <v>0</v>
      </c>
      <c r="L517">
        <v>7</v>
      </c>
      <c r="O517">
        <v>7</v>
      </c>
      <c r="P517">
        <v>4</v>
      </c>
      <c r="Q517">
        <v>2</v>
      </c>
      <c r="R517">
        <v>27.73</v>
      </c>
      <c r="S517">
        <v>5</v>
      </c>
      <c r="T517">
        <v>5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5</v>
      </c>
      <c r="AB517">
        <v>3</v>
      </c>
      <c r="AC517">
        <v>22.8</v>
      </c>
      <c r="AH517">
        <v>58.53</v>
      </c>
    </row>
    <row r="518" spans="1:34" x14ac:dyDescent="0.3">
      <c r="A518" s="4">
        <v>535</v>
      </c>
      <c r="B518" s="5">
        <v>511</v>
      </c>
      <c r="C518">
        <v>5507</v>
      </c>
      <c r="D518" t="s">
        <v>5613</v>
      </c>
      <c r="E518" t="s">
        <v>5273</v>
      </c>
      <c r="F518" t="s">
        <v>6216</v>
      </c>
      <c r="G518" t="s">
        <v>9422</v>
      </c>
      <c r="H518">
        <v>19.45</v>
      </c>
      <c r="I518">
        <v>0</v>
      </c>
      <c r="J518">
        <v>0</v>
      </c>
      <c r="K518">
        <v>0</v>
      </c>
      <c r="L518">
        <v>7</v>
      </c>
      <c r="O518">
        <v>7</v>
      </c>
      <c r="P518">
        <v>4</v>
      </c>
      <c r="Q518">
        <v>2</v>
      </c>
      <c r="R518">
        <v>32.450000000000003</v>
      </c>
      <c r="S518">
        <v>20</v>
      </c>
      <c r="T518">
        <v>20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20</v>
      </c>
      <c r="AB518">
        <v>6</v>
      </c>
      <c r="AC518">
        <v>0</v>
      </c>
      <c r="AH518">
        <v>58.45</v>
      </c>
    </row>
    <row r="519" spans="1:34" x14ac:dyDescent="0.3">
      <c r="A519" s="4">
        <v>536</v>
      </c>
      <c r="B519" s="5">
        <v>512</v>
      </c>
      <c r="C519">
        <v>8536</v>
      </c>
      <c r="D519" t="s">
        <v>9423</v>
      </c>
      <c r="E519" t="s">
        <v>1016</v>
      </c>
      <c r="F519" t="s">
        <v>801</v>
      </c>
      <c r="G519" t="s">
        <v>9424</v>
      </c>
      <c r="H519">
        <v>19.100000000000001</v>
      </c>
      <c r="I519">
        <v>0</v>
      </c>
      <c r="J519">
        <v>0</v>
      </c>
      <c r="K519">
        <v>28</v>
      </c>
      <c r="L519">
        <v>7</v>
      </c>
      <c r="O519">
        <v>7</v>
      </c>
      <c r="P519">
        <v>4</v>
      </c>
      <c r="Q519">
        <v>0</v>
      </c>
      <c r="R519">
        <v>58.1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H519">
        <v>58.1</v>
      </c>
    </row>
    <row r="520" spans="1:34" x14ac:dyDescent="0.3">
      <c r="A520" s="4">
        <v>537</v>
      </c>
      <c r="B520" s="5">
        <v>513</v>
      </c>
      <c r="C520">
        <v>1453</v>
      </c>
      <c r="D520" t="s">
        <v>7480</v>
      </c>
      <c r="E520" t="s">
        <v>188</v>
      </c>
      <c r="F520" t="s">
        <v>91</v>
      </c>
      <c r="G520" t="s">
        <v>9425</v>
      </c>
      <c r="H520">
        <v>20.13</v>
      </c>
      <c r="I520">
        <v>0</v>
      </c>
      <c r="J520">
        <v>0</v>
      </c>
      <c r="K520">
        <v>0</v>
      </c>
      <c r="L520">
        <v>7</v>
      </c>
      <c r="O520">
        <v>7</v>
      </c>
      <c r="P520">
        <v>4</v>
      </c>
      <c r="Q520">
        <v>0</v>
      </c>
      <c r="R520">
        <v>31.13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26.8</v>
      </c>
      <c r="AD520" t="s">
        <v>130</v>
      </c>
      <c r="AH520">
        <v>57.93</v>
      </c>
    </row>
    <row r="521" spans="1:34" x14ac:dyDescent="0.3">
      <c r="A521" s="4">
        <v>538</v>
      </c>
      <c r="B521" s="5">
        <v>514</v>
      </c>
      <c r="C521">
        <v>9972</v>
      </c>
      <c r="D521" t="s">
        <v>3704</v>
      </c>
      <c r="E521" t="s">
        <v>792</v>
      </c>
      <c r="F521" t="s">
        <v>124</v>
      </c>
      <c r="G521" t="s">
        <v>9426</v>
      </c>
      <c r="H521">
        <v>19.649999999999999</v>
      </c>
      <c r="I521">
        <v>0</v>
      </c>
      <c r="J521">
        <v>0</v>
      </c>
      <c r="K521">
        <v>20</v>
      </c>
      <c r="N521">
        <v>6</v>
      </c>
      <c r="O521">
        <v>6</v>
      </c>
      <c r="P521">
        <v>4</v>
      </c>
      <c r="Q521">
        <v>2</v>
      </c>
      <c r="R521">
        <v>51.65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6</v>
      </c>
      <c r="AC521">
        <v>0</v>
      </c>
      <c r="AH521">
        <v>57.65</v>
      </c>
    </row>
    <row r="522" spans="1:34" x14ac:dyDescent="0.3">
      <c r="A522" s="4">
        <v>539</v>
      </c>
      <c r="B522" s="5">
        <v>515</v>
      </c>
      <c r="C522">
        <v>6117</v>
      </c>
      <c r="D522" t="s">
        <v>9427</v>
      </c>
      <c r="E522" t="s">
        <v>17</v>
      </c>
      <c r="F522" t="s">
        <v>9428</v>
      </c>
      <c r="G522" t="s">
        <v>9429</v>
      </c>
      <c r="H522">
        <v>15.33</v>
      </c>
      <c r="I522">
        <v>0</v>
      </c>
      <c r="J522">
        <v>0</v>
      </c>
      <c r="K522">
        <v>20</v>
      </c>
      <c r="L522">
        <v>7</v>
      </c>
      <c r="N522">
        <v>3</v>
      </c>
      <c r="O522">
        <v>10</v>
      </c>
      <c r="P522">
        <v>4</v>
      </c>
      <c r="Q522">
        <v>0</v>
      </c>
      <c r="R522">
        <v>49.33</v>
      </c>
      <c r="S522">
        <v>2</v>
      </c>
      <c r="T522">
        <v>2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2</v>
      </c>
      <c r="AB522">
        <v>6</v>
      </c>
      <c r="AC522">
        <v>0</v>
      </c>
      <c r="AH522">
        <v>57.33</v>
      </c>
    </row>
    <row r="523" spans="1:34" x14ac:dyDescent="0.3">
      <c r="A523" s="4">
        <v>540</v>
      </c>
      <c r="B523" s="5">
        <v>516</v>
      </c>
      <c r="C523">
        <v>7828</v>
      </c>
      <c r="D523" t="s">
        <v>9430</v>
      </c>
      <c r="E523" t="s">
        <v>4421</v>
      </c>
      <c r="F523" t="s">
        <v>9431</v>
      </c>
      <c r="G523" t="s">
        <v>9432</v>
      </c>
      <c r="H523">
        <v>21.03</v>
      </c>
      <c r="I523">
        <v>0</v>
      </c>
      <c r="J523">
        <v>0</v>
      </c>
      <c r="K523">
        <v>20</v>
      </c>
      <c r="L523">
        <v>7</v>
      </c>
      <c r="N523">
        <v>3</v>
      </c>
      <c r="O523">
        <v>10</v>
      </c>
      <c r="P523">
        <v>4</v>
      </c>
      <c r="Q523">
        <v>2</v>
      </c>
      <c r="R523">
        <v>57.03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 t="s">
        <v>130</v>
      </c>
      <c r="AH523">
        <v>57.03</v>
      </c>
    </row>
    <row r="524" spans="1:34" x14ac:dyDescent="0.3">
      <c r="A524" s="4">
        <v>541</v>
      </c>
      <c r="B524" s="5">
        <v>517</v>
      </c>
      <c r="C524">
        <v>4862</v>
      </c>
      <c r="D524" t="s">
        <v>410</v>
      </c>
      <c r="E524" t="s">
        <v>178</v>
      </c>
      <c r="F524" t="s">
        <v>30</v>
      </c>
      <c r="G524" t="s">
        <v>9433</v>
      </c>
      <c r="H524">
        <v>14.75</v>
      </c>
      <c r="I524">
        <v>0</v>
      </c>
      <c r="J524">
        <v>0</v>
      </c>
      <c r="K524">
        <v>0</v>
      </c>
      <c r="L524">
        <v>14</v>
      </c>
      <c r="O524">
        <v>14</v>
      </c>
      <c r="P524">
        <v>4</v>
      </c>
      <c r="Q524">
        <v>2</v>
      </c>
      <c r="R524">
        <v>34.75</v>
      </c>
      <c r="S524">
        <v>16</v>
      </c>
      <c r="T524">
        <v>16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16</v>
      </c>
      <c r="AB524">
        <v>6</v>
      </c>
      <c r="AC524">
        <v>0</v>
      </c>
      <c r="AH524">
        <v>56.75</v>
      </c>
    </row>
    <row r="525" spans="1:34" x14ac:dyDescent="0.3">
      <c r="A525" s="4">
        <v>542</v>
      </c>
      <c r="B525" s="5">
        <v>518</v>
      </c>
      <c r="C525">
        <v>8014</v>
      </c>
      <c r="D525" t="s">
        <v>9434</v>
      </c>
      <c r="E525" t="s">
        <v>454</v>
      </c>
      <c r="F525" t="s">
        <v>17</v>
      </c>
      <c r="G525" t="s">
        <v>9435</v>
      </c>
      <c r="H525">
        <v>19.38</v>
      </c>
      <c r="I525">
        <v>0</v>
      </c>
      <c r="J525">
        <v>0</v>
      </c>
      <c r="K525">
        <v>20</v>
      </c>
      <c r="L525">
        <v>7</v>
      </c>
      <c r="O525">
        <v>7</v>
      </c>
      <c r="P525">
        <v>4</v>
      </c>
      <c r="Q525">
        <v>0</v>
      </c>
      <c r="R525">
        <v>50.38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6</v>
      </c>
      <c r="AC525">
        <v>0</v>
      </c>
      <c r="AH525">
        <v>56.38</v>
      </c>
    </row>
    <row r="526" spans="1:34" x14ac:dyDescent="0.3">
      <c r="A526" s="4">
        <v>543</v>
      </c>
      <c r="B526" s="5">
        <v>519</v>
      </c>
      <c r="C526">
        <v>2514</v>
      </c>
      <c r="D526" t="s">
        <v>9436</v>
      </c>
      <c r="E526" t="s">
        <v>22</v>
      </c>
      <c r="F526" t="s">
        <v>81</v>
      </c>
      <c r="G526" t="s">
        <v>9437</v>
      </c>
      <c r="H526">
        <v>22.2</v>
      </c>
      <c r="I526">
        <v>0</v>
      </c>
      <c r="J526">
        <v>0</v>
      </c>
      <c r="K526">
        <v>20</v>
      </c>
      <c r="L526">
        <v>7</v>
      </c>
      <c r="O526">
        <v>7</v>
      </c>
      <c r="P526">
        <v>4</v>
      </c>
      <c r="Q526">
        <v>0</v>
      </c>
      <c r="R526">
        <v>53.2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3</v>
      </c>
      <c r="AC526">
        <v>0</v>
      </c>
      <c r="AH526">
        <v>56.2</v>
      </c>
    </row>
    <row r="527" spans="1:34" x14ac:dyDescent="0.3">
      <c r="A527" s="4">
        <v>544</v>
      </c>
      <c r="B527" s="5">
        <v>520</v>
      </c>
      <c r="C527">
        <v>11220</v>
      </c>
      <c r="D527" t="s">
        <v>9438</v>
      </c>
      <c r="E527" t="s">
        <v>1016</v>
      </c>
      <c r="F527" t="s">
        <v>972</v>
      </c>
      <c r="G527" t="s">
        <v>9439</v>
      </c>
      <c r="H527">
        <v>16.079999999999998</v>
      </c>
      <c r="I527">
        <v>0</v>
      </c>
      <c r="J527">
        <v>0</v>
      </c>
      <c r="K527">
        <v>0</v>
      </c>
      <c r="L527">
        <v>14</v>
      </c>
      <c r="O527">
        <v>14</v>
      </c>
      <c r="P527">
        <v>4</v>
      </c>
      <c r="Q527">
        <v>0</v>
      </c>
      <c r="R527">
        <v>34.08</v>
      </c>
      <c r="S527">
        <v>16</v>
      </c>
      <c r="T527">
        <v>16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16</v>
      </c>
      <c r="AB527">
        <v>6</v>
      </c>
      <c r="AC527">
        <v>0</v>
      </c>
      <c r="AH527">
        <v>56.08</v>
      </c>
    </row>
    <row r="528" spans="1:34" x14ac:dyDescent="0.3">
      <c r="A528" s="4">
        <v>545</v>
      </c>
      <c r="B528" s="5">
        <v>521</v>
      </c>
      <c r="C528">
        <v>1423</v>
      </c>
      <c r="D528" t="s">
        <v>9440</v>
      </c>
      <c r="E528" t="s">
        <v>424</v>
      </c>
      <c r="F528" t="s">
        <v>167</v>
      </c>
      <c r="G528" t="s">
        <v>9441</v>
      </c>
      <c r="H528">
        <v>21.55</v>
      </c>
      <c r="I528">
        <v>0</v>
      </c>
      <c r="J528">
        <v>0</v>
      </c>
      <c r="K528">
        <v>20</v>
      </c>
      <c r="M528">
        <v>5</v>
      </c>
      <c r="N528">
        <v>3</v>
      </c>
      <c r="O528">
        <v>8</v>
      </c>
      <c r="P528">
        <v>4</v>
      </c>
      <c r="Q528">
        <v>2</v>
      </c>
      <c r="R528">
        <v>55.55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H528">
        <v>55.55</v>
      </c>
    </row>
    <row r="529" spans="1:34" x14ac:dyDescent="0.3">
      <c r="A529" s="4">
        <v>546</v>
      </c>
      <c r="B529" s="5">
        <v>522</v>
      </c>
      <c r="C529">
        <v>2209</v>
      </c>
      <c r="D529" t="s">
        <v>9442</v>
      </c>
      <c r="E529" t="s">
        <v>26</v>
      </c>
      <c r="F529" t="s">
        <v>52</v>
      </c>
      <c r="G529" t="s">
        <v>9443</v>
      </c>
      <c r="H529">
        <v>21.3</v>
      </c>
      <c r="I529">
        <v>0</v>
      </c>
      <c r="J529">
        <v>0</v>
      </c>
      <c r="K529">
        <v>20</v>
      </c>
      <c r="L529">
        <v>7</v>
      </c>
      <c r="O529">
        <v>7</v>
      </c>
      <c r="P529">
        <v>4</v>
      </c>
      <c r="Q529">
        <v>0</v>
      </c>
      <c r="R529">
        <v>52.3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3</v>
      </c>
      <c r="AC529">
        <v>0</v>
      </c>
      <c r="AH529">
        <v>55.3</v>
      </c>
    </row>
    <row r="530" spans="1:34" x14ac:dyDescent="0.3">
      <c r="A530" s="4">
        <v>547</v>
      </c>
      <c r="B530" s="5">
        <v>523</v>
      </c>
      <c r="C530">
        <v>5176</v>
      </c>
      <c r="D530" t="s">
        <v>3508</v>
      </c>
      <c r="E530" t="s">
        <v>88</v>
      </c>
      <c r="F530" t="s">
        <v>136</v>
      </c>
      <c r="G530" t="s">
        <v>9444</v>
      </c>
      <c r="H530">
        <v>19.649999999999999</v>
      </c>
      <c r="I530">
        <v>0</v>
      </c>
      <c r="J530">
        <v>0</v>
      </c>
      <c r="K530">
        <v>20</v>
      </c>
      <c r="N530">
        <v>3</v>
      </c>
      <c r="O530">
        <v>3</v>
      </c>
      <c r="P530">
        <v>4</v>
      </c>
      <c r="Q530">
        <v>2</v>
      </c>
      <c r="R530">
        <v>48.65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6</v>
      </c>
      <c r="AC530">
        <v>0</v>
      </c>
      <c r="AH530">
        <v>54.65</v>
      </c>
    </row>
    <row r="531" spans="1:34" x14ac:dyDescent="0.3">
      <c r="A531" s="4">
        <v>548</v>
      </c>
      <c r="B531" s="5">
        <v>524</v>
      </c>
      <c r="C531">
        <v>10754</v>
      </c>
      <c r="D531" t="s">
        <v>9445</v>
      </c>
      <c r="E531" t="s">
        <v>273</v>
      </c>
      <c r="F531" t="s">
        <v>652</v>
      </c>
      <c r="G531" t="s">
        <v>9446</v>
      </c>
      <c r="H531">
        <v>22.48</v>
      </c>
      <c r="I531">
        <v>0</v>
      </c>
      <c r="J531">
        <v>0</v>
      </c>
      <c r="K531">
        <v>20</v>
      </c>
      <c r="N531">
        <v>3</v>
      </c>
      <c r="O531">
        <v>3</v>
      </c>
      <c r="P531">
        <v>0</v>
      </c>
      <c r="Q531">
        <v>0</v>
      </c>
      <c r="R531">
        <v>45.48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9</v>
      </c>
      <c r="AC531">
        <v>0</v>
      </c>
      <c r="AH531">
        <v>54.48</v>
      </c>
    </row>
    <row r="532" spans="1:34" x14ac:dyDescent="0.3">
      <c r="A532" s="4">
        <v>549</v>
      </c>
      <c r="B532" s="5">
        <v>525</v>
      </c>
      <c r="C532">
        <v>15525</v>
      </c>
      <c r="D532" t="s">
        <v>9447</v>
      </c>
      <c r="E532" t="s">
        <v>38</v>
      </c>
      <c r="F532" t="s">
        <v>1526</v>
      </c>
      <c r="G532" t="s">
        <v>9448</v>
      </c>
      <c r="H532">
        <v>13.38</v>
      </c>
      <c r="I532">
        <v>0</v>
      </c>
      <c r="J532">
        <v>0</v>
      </c>
      <c r="K532">
        <v>0</v>
      </c>
      <c r="L532">
        <v>7</v>
      </c>
      <c r="N532">
        <v>3</v>
      </c>
      <c r="O532">
        <v>10</v>
      </c>
      <c r="P532">
        <v>4</v>
      </c>
      <c r="Q532">
        <v>2</v>
      </c>
      <c r="R532">
        <v>29.38</v>
      </c>
      <c r="S532">
        <v>19</v>
      </c>
      <c r="T532">
        <v>19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19</v>
      </c>
      <c r="AB532">
        <v>6</v>
      </c>
      <c r="AC532">
        <v>0</v>
      </c>
      <c r="AH532">
        <v>54.38</v>
      </c>
    </row>
    <row r="533" spans="1:34" x14ac:dyDescent="0.3">
      <c r="A533" s="4">
        <v>550</v>
      </c>
      <c r="B533" s="5">
        <v>526</v>
      </c>
      <c r="C533">
        <v>14497</v>
      </c>
      <c r="D533" t="s">
        <v>9449</v>
      </c>
      <c r="E533" t="s">
        <v>652</v>
      </c>
      <c r="F533" t="s">
        <v>385</v>
      </c>
      <c r="G533" t="s">
        <v>9450</v>
      </c>
      <c r="H533">
        <v>20.43</v>
      </c>
      <c r="I533">
        <v>0</v>
      </c>
      <c r="J533">
        <v>0</v>
      </c>
      <c r="K533">
        <v>0</v>
      </c>
      <c r="N533">
        <v>3</v>
      </c>
      <c r="O533">
        <v>3</v>
      </c>
      <c r="P533">
        <v>4</v>
      </c>
      <c r="Q533">
        <v>0</v>
      </c>
      <c r="R533">
        <v>27.43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26.8</v>
      </c>
      <c r="AH533">
        <v>54.23</v>
      </c>
    </row>
    <row r="534" spans="1:34" x14ac:dyDescent="0.3">
      <c r="A534" s="4">
        <v>551</v>
      </c>
      <c r="B534" s="5">
        <v>527</v>
      </c>
      <c r="C534">
        <v>5215</v>
      </c>
      <c r="D534" t="s">
        <v>9451</v>
      </c>
      <c r="E534" t="s">
        <v>9452</v>
      </c>
      <c r="F534" t="s">
        <v>425</v>
      </c>
      <c r="G534" t="s">
        <v>9453</v>
      </c>
      <c r="H534">
        <v>17.829999999999998</v>
      </c>
      <c r="I534">
        <v>0</v>
      </c>
      <c r="J534">
        <v>0</v>
      </c>
      <c r="K534">
        <v>20</v>
      </c>
      <c r="L534">
        <v>7</v>
      </c>
      <c r="N534">
        <v>3</v>
      </c>
      <c r="O534">
        <v>10</v>
      </c>
      <c r="P534">
        <v>4</v>
      </c>
      <c r="Q534">
        <v>2</v>
      </c>
      <c r="R534">
        <v>53.83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 t="s">
        <v>130</v>
      </c>
      <c r="AH534">
        <v>53.83</v>
      </c>
    </row>
    <row r="535" spans="1:34" x14ac:dyDescent="0.3">
      <c r="A535" s="4">
        <v>552</v>
      </c>
      <c r="B535" s="5">
        <v>528</v>
      </c>
      <c r="C535">
        <v>8531</v>
      </c>
      <c r="D535" t="s">
        <v>257</v>
      </c>
      <c r="E535" t="s">
        <v>54</v>
      </c>
      <c r="F535" t="s">
        <v>68</v>
      </c>
      <c r="G535" t="s">
        <v>9454</v>
      </c>
      <c r="H535">
        <v>20.329999999999998</v>
      </c>
      <c r="I535">
        <v>0</v>
      </c>
      <c r="J535">
        <v>0</v>
      </c>
      <c r="K535">
        <v>0</v>
      </c>
      <c r="L535">
        <v>7</v>
      </c>
      <c r="M535">
        <v>5</v>
      </c>
      <c r="O535">
        <v>12</v>
      </c>
      <c r="P535">
        <v>4</v>
      </c>
      <c r="Q535">
        <v>0</v>
      </c>
      <c r="R535">
        <v>36.33</v>
      </c>
      <c r="S535">
        <v>14</v>
      </c>
      <c r="T535">
        <v>14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14</v>
      </c>
      <c r="AB535">
        <v>3</v>
      </c>
      <c r="AC535">
        <v>0</v>
      </c>
      <c r="AH535">
        <v>53.33</v>
      </c>
    </row>
    <row r="536" spans="1:34" x14ac:dyDescent="0.3">
      <c r="A536" s="4">
        <v>553</v>
      </c>
      <c r="B536" s="5">
        <v>529</v>
      </c>
      <c r="C536">
        <v>13132</v>
      </c>
      <c r="D536" t="s">
        <v>9455</v>
      </c>
      <c r="E536" t="s">
        <v>9456</v>
      </c>
      <c r="F536" t="s">
        <v>52</v>
      </c>
      <c r="G536" t="s">
        <v>9457</v>
      </c>
      <c r="H536">
        <v>22.28</v>
      </c>
      <c r="I536">
        <v>0</v>
      </c>
      <c r="J536">
        <v>0</v>
      </c>
      <c r="K536">
        <v>20</v>
      </c>
      <c r="L536">
        <v>7</v>
      </c>
      <c r="O536">
        <v>7</v>
      </c>
      <c r="P536">
        <v>4</v>
      </c>
      <c r="Q536">
        <v>0</v>
      </c>
      <c r="R536">
        <v>53.28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H536">
        <v>53.28</v>
      </c>
    </row>
    <row r="537" spans="1:34" x14ac:dyDescent="0.3">
      <c r="A537" s="4">
        <v>554</v>
      </c>
      <c r="B537" s="5">
        <v>530</v>
      </c>
      <c r="C537">
        <v>9311</v>
      </c>
      <c r="D537" t="s">
        <v>36</v>
      </c>
      <c r="E537" t="s">
        <v>33</v>
      </c>
      <c r="F537" t="s">
        <v>30</v>
      </c>
      <c r="G537" t="s">
        <v>9458</v>
      </c>
      <c r="H537">
        <v>18.149999999999999</v>
      </c>
      <c r="I537">
        <v>0</v>
      </c>
      <c r="J537">
        <v>0</v>
      </c>
      <c r="K537">
        <v>20</v>
      </c>
      <c r="N537">
        <v>3</v>
      </c>
      <c r="O537">
        <v>3</v>
      </c>
      <c r="P537">
        <v>4</v>
      </c>
      <c r="Q537">
        <v>2</v>
      </c>
      <c r="R537">
        <v>47.15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6</v>
      </c>
      <c r="AC537">
        <v>0</v>
      </c>
      <c r="AH537">
        <v>53.15</v>
      </c>
    </row>
    <row r="538" spans="1:34" x14ac:dyDescent="0.3">
      <c r="A538" s="4">
        <v>555</v>
      </c>
      <c r="B538" s="5">
        <v>531</v>
      </c>
      <c r="C538">
        <v>6594</v>
      </c>
      <c r="D538" t="s">
        <v>9459</v>
      </c>
      <c r="E538" t="s">
        <v>29</v>
      </c>
      <c r="F538" t="s">
        <v>136</v>
      </c>
      <c r="G538" t="s">
        <v>9460</v>
      </c>
      <c r="H538">
        <v>25</v>
      </c>
      <c r="I538">
        <v>0</v>
      </c>
      <c r="J538">
        <v>0</v>
      </c>
      <c r="K538">
        <v>0</v>
      </c>
      <c r="L538">
        <v>7</v>
      </c>
      <c r="N538">
        <v>3</v>
      </c>
      <c r="O538">
        <v>10</v>
      </c>
      <c r="P538">
        <v>4</v>
      </c>
      <c r="Q538">
        <v>2</v>
      </c>
      <c r="R538">
        <v>41</v>
      </c>
      <c r="S538">
        <v>12</v>
      </c>
      <c r="T538">
        <v>12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12</v>
      </c>
      <c r="AB538">
        <v>0</v>
      </c>
      <c r="AC538">
        <v>0</v>
      </c>
      <c r="AD538" t="s">
        <v>130</v>
      </c>
      <c r="AH538">
        <v>53</v>
      </c>
    </row>
    <row r="539" spans="1:34" x14ac:dyDescent="0.3">
      <c r="A539" s="4">
        <v>556</v>
      </c>
      <c r="B539" s="5">
        <v>532</v>
      </c>
      <c r="C539">
        <v>6025</v>
      </c>
      <c r="D539" t="s">
        <v>9461</v>
      </c>
      <c r="E539" t="s">
        <v>3775</v>
      </c>
      <c r="F539" t="s">
        <v>62</v>
      </c>
      <c r="G539" t="s">
        <v>9462</v>
      </c>
      <c r="H539">
        <v>18.5</v>
      </c>
      <c r="I539">
        <v>0</v>
      </c>
      <c r="J539">
        <v>0</v>
      </c>
      <c r="K539">
        <v>20</v>
      </c>
      <c r="L539">
        <v>7</v>
      </c>
      <c r="N539">
        <v>3</v>
      </c>
      <c r="O539">
        <v>10</v>
      </c>
      <c r="P539">
        <v>4</v>
      </c>
      <c r="Q539">
        <v>0</v>
      </c>
      <c r="R539">
        <v>52.5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H539">
        <v>52.5</v>
      </c>
    </row>
    <row r="540" spans="1:34" x14ac:dyDescent="0.3">
      <c r="A540" s="4">
        <v>557</v>
      </c>
      <c r="B540" s="5">
        <v>533</v>
      </c>
      <c r="C540">
        <v>11936</v>
      </c>
      <c r="D540" t="s">
        <v>9463</v>
      </c>
      <c r="E540" t="s">
        <v>9464</v>
      </c>
      <c r="F540" t="s">
        <v>190</v>
      </c>
      <c r="G540" t="s">
        <v>9465</v>
      </c>
      <c r="H540">
        <v>20.2</v>
      </c>
      <c r="I540">
        <v>0</v>
      </c>
      <c r="J540">
        <v>0</v>
      </c>
      <c r="K540">
        <v>0</v>
      </c>
      <c r="O540">
        <v>0</v>
      </c>
      <c r="P540">
        <v>0</v>
      </c>
      <c r="Q540">
        <v>2</v>
      </c>
      <c r="R540">
        <v>22.2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3</v>
      </c>
      <c r="AC540">
        <v>26.8</v>
      </c>
      <c r="AH540">
        <v>52</v>
      </c>
    </row>
    <row r="541" spans="1:34" x14ac:dyDescent="0.3">
      <c r="A541" s="4">
        <v>558</v>
      </c>
      <c r="B541" s="5">
        <v>534</v>
      </c>
      <c r="C541">
        <v>15494</v>
      </c>
      <c r="D541" t="s">
        <v>9466</v>
      </c>
      <c r="E541" t="s">
        <v>41</v>
      </c>
      <c r="F541" t="s">
        <v>375</v>
      </c>
      <c r="G541" t="s">
        <v>9467</v>
      </c>
      <c r="H541">
        <v>16.8</v>
      </c>
      <c r="I541">
        <v>0</v>
      </c>
      <c r="J541">
        <v>0</v>
      </c>
      <c r="K541">
        <v>0</v>
      </c>
      <c r="N541">
        <v>3</v>
      </c>
      <c r="O541">
        <v>3</v>
      </c>
      <c r="P541">
        <v>0</v>
      </c>
      <c r="Q541">
        <v>0</v>
      </c>
      <c r="R541">
        <v>19.8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32</v>
      </c>
      <c r="AH541">
        <v>51.8</v>
      </c>
    </row>
    <row r="542" spans="1:34" x14ac:dyDescent="0.3">
      <c r="A542" s="4">
        <v>559</v>
      </c>
      <c r="B542" s="5">
        <v>535</v>
      </c>
      <c r="C542">
        <v>3656</v>
      </c>
      <c r="D542" t="s">
        <v>9468</v>
      </c>
      <c r="E542" t="s">
        <v>442</v>
      </c>
      <c r="F542" t="s">
        <v>20</v>
      </c>
      <c r="G542" t="s">
        <v>9469</v>
      </c>
      <c r="H542">
        <v>22.75</v>
      </c>
      <c r="I542">
        <v>0</v>
      </c>
      <c r="J542">
        <v>0</v>
      </c>
      <c r="K542">
        <v>0</v>
      </c>
      <c r="L542">
        <v>7</v>
      </c>
      <c r="N542">
        <v>3</v>
      </c>
      <c r="O542">
        <v>10</v>
      </c>
      <c r="P542">
        <v>4</v>
      </c>
      <c r="Q542">
        <v>0</v>
      </c>
      <c r="R542">
        <v>36.75</v>
      </c>
      <c r="S542">
        <v>15</v>
      </c>
      <c r="T542">
        <v>15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15</v>
      </c>
      <c r="AB542">
        <v>0</v>
      </c>
      <c r="AC542">
        <v>0</v>
      </c>
      <c r="AH542">
        <v>51.75</v>
      </c>
    </row>
    <row r="543" spans="1:34" x14ac:dyDescent="0.3">
      <c r="A543" s="4">
        <v>560</v>
      </c>
      <c r="B543" s="5">
        <v>536</v>
      </c>
      <c r="C543">
        <v>2466</v>
      </c>
      <c r="D543" t="s">
        <v>6792</v>
      </c>
      <c r="E543" t="s">
        <v>26</v>
      </c>
      <c r="F543" t="s">
        <v>91</v>
      </c>
      <c r="G543" t="s">
        <v>9470</v>
      </c>
      <c r="H543">
        <v>20.6</v>
      </c>
      <c r="I543">
        <v>0</v>
      </c>
      <c r="J543">
        <v>0</v>
      </c>
      <c r="K543">
        <v>20</v>
      </c>
      <c r="L543">
        <v>7</v>
      </c>
      <c r="O543">
        <v>7</v>
      </c>
      <c r="P543">
        <v>4</v>
      </c>
      <c r="Q543">
        <v>0</v>
      </c>
      <c r="R543">
        <v>51.6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H543">
        <v>51.6</v>
      </c>
    </row>
    <row r="544" spans="1:34" x14ac:dyDescent="0.3">
      <c r="A544" s="4">
        <v>561</v>
      </c>
      <c r="B544" s="5">
        <v>537</v>
      </c>
      <c r="C544">
        <v>11503</v>
      </c>
      <c r="D544" t="s">
        <v>1696</v>
      </c>
      <c r="E544" t="s">
        <v>697</v>
      </c>
      <c r="F544" t="s">
        <v>20</v>
      </c>
      <c r="G544" t="s">
        <v>9471</v>
      </c>
      <c r="H544">
        <v>12.5</v>
      </c>
      <c r="I544">
        <v>7</v>
      </c>
      <c r="J544">
        <v>0</v>
      </c>
      <c r="K544">
        <v>20</v>
      </c>
      <c r="L544">
        <v>7</v>
      </c>
      <c r="M544">
        <v>5</v>
      </c>
      <c r="O544">
        <v>12</v>
      </c>
      <c r="P544">
        <v>0</v>
      </c>
      <c r="Q544">
        <v>0</v>
      </c>
      <c r="R544">
        <v>51.5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H544">
        <v>51.5</v>
      </c>
    </row>
    <row r="545" spans="1:34" x14ac:dyDescent="0.3">
      <c r="A545" s="4">
        <v>562</v>
      </c>
      <c r="B545" s="5">
        <v>538</v>
      </c>
      <c r="C545">
        <v>3511</v>
      </c>
      <c r="D545" t="s">
        <v>9472</v>
      </c>
      <c r="E545" t="s">
        <v>550</v>
      </c>
      <c r="F545" t="s">
        <v>124</v>
      </c>
      <c r="G545" t="s">
        <v>9473</v>
      </c>
      <c r="H545">
        <v>22.2</v>
      </c>
      <c r="I545">
        <v>0</v>
      </c>
      <c r="J545">
        <v>0</v>
      </c>
      <c r="K545">
        <v>20</v>
      </c>
      <c r="O545">
        <v>0</v>
      </c>
      <c r="P545">
        <v>4</v>
      </c>
      <c r="Q545">
        <v>2</v>
      </c>
      <c r="R545">
        <v>48.2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3</v>
      </c>
      <c r="AC545">
        <v>0</v>
      </c>
      <c r="AH545">
        <v>51.2</v>
      </c>
    </row>
    <row r="546" spans="1:34" x14ac:dyDescent="0.3">
      <c r="A546" s="4">
        <v>563</v>
      </c>
      <c r="B546" s="5">
        <v>539</v>
      </c>
      <c r="C546">
        <v>3817</v>
      </c>
      <c r="D546" t="s">
        <v>9474</v>
      </c>
      <c r="E546" t="s">
        <v>1117</v>
      </c>
      <c r="F546" t="s">
        <v>52</v>
      </c>
      <c r="G546" t="s">
        <v>9475</v>
      </c>
      <c r="H546">
        <v>18.149999999999999</v>
      </c>
      <c r="I546">
        <v>0</v>
      </c>
      <c r="J546">
        <v>0</v>
      </c>
      <c r="K546">
        <v>20</v>
      </c>
      <c r="L546">
        <v>7</v>
      </c>
      <c r="O546">
        <v>7</v>
      </c>
      <c r="P546">
        <v>4</v>
      </c>
      <c r="Q546">
        <v>2</v>
      </c>
      <c r="R546">
        <v>51.15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H546">
        <v>51.15</v>
      </c>
    </row>
    <row r="547" spans="1:34" x14ac:dyDescent="0.3">
      <c r="A547" s="4">
        <v>564</v>
      </c>
      <c r="B547" s="5">
        <v>540</v>
      </c>
      <c r="C547">
        <v>4077</v>
      </c>
      <c r="D547" t="s">
        <v>5613</v>
      </c>
      <c r="E547" t="s">
        <v>29</v>
      </c>
      <c r="F547" t="s">
        <v>17</v>
      </c>
      <c r="G547" t="s">
        <v>9476</v>
      </c>
      <c r="H547">
        <v>22.13</v>
      </c>
      <c r="I547">
        <v>0</v>
      </c>
      <c r="J547">
        <v>0</v>
      </c>
      <c r="K547">
        <v>0</v>
      </c>
      <c r="L547">
        <v>7</v>
      </c>
      <c r="O547">
        <v>7</v>
      </c>
      <c r="P547">
        <v>4</v>
      </c>
      <c r="Q547">
        <v>2</v>
      </c>
      <c r="R547">
        <v>35.130000000000003</v>
      </c>
      <c r="S547">
        <v>0</v>
      </c>
      <c r="T547">
        <v>0</v>
      </c>
      <c r="U547">
        <v>5</v>
      </c>
      <c r="V547">
        <v>10</v>
      </c>
      <c r="W547">
        <v>0</v>
      </c>
      <c r="X547">
        <v>0</v>
      </c>
      <c r="Y547">
        <v>0</v>
      </c>
      <c r="Z547">
        <v>0</v>
      </c>
      <c r="AA547">
        <v>10</v>
      </c>
      <c r="AB547">
        <v>6</v>
      </c>
      <c r="AC547">
        <v>0</v>
      </c>
      <c r="AH547">
        <v>51.13</v>
      </c>
    </row>
    <row r="548" spans="1:34" x14ac:dyDescent="0.3">
      <c r="A548" s="4">
        <v>565</v>
      </c>
      <c r="B548" s="5">
        <v>541</v>
      </c>
      <c r="C548">
        <v>812</v>
      </c>
      <c r="D548" t="s">
        <v>9477</v>
      </c>
      <c r="E548" t="s">
        <v>117</v>
      </c>
      <c r="F548" t="s">
        <v>158</v>
      </c>
      <c r="G548" t="s">
        <v>9478</v>
      </c>
      <c r="H548">
        <v>18.05</v>
      </c>
      <c r="I548">
        <v>0</v>
      </c>
      <c r="J548">
        <v>0</v>
      </c>
      <c r="K548">
        <v>20</v>
      </c>
      <c r="N548">
        <v>3</v>
      </c>
      <c r="O548">
        <v>3</v>
      </c>
      <c r="P548">
        <v>4</v>
      </c>
      <c r="Q548">
        <v>0</v>
      </c>
      <c r="R548">
        <v>45.05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6</v>
      </c>
      <c r="AC548">
        <v>0</v>
      </c>
      <c r="AH548">
        <v>51.05</v>
      </c>
    </row>
    <row r="549" spans="1:34" x14ac:dyDescent="0.3">
      <c r="A549" s="4">
        <v>566</v>
      </c>
      <c r="B549" s="5">
        <v>542</v>
      </c>
      <c r="C549">
        <v>2535</v>
      </c>
      <c r="D549" t="s">
        <v>950</v>
      </c>
      <c r="E549" t="s">
        <v>132</v>
      </c>
      <c r="F549" t="s">
        <v>55</v>
      </c>
      <c r="G549" t="s">
        <v>9479</v>
      </c>
      <c r="H549">
        <v>23.58</v>
      </c>
      <c r="I549">
        <v>0</v>
      </c>
      <c r="J549">
        <v>0</v>
      </c>
      <c r="K549">
        <v>20</v>
      </c>
      <c r="N549">
        <v>3</v>
      </c>
      <c r="O549">
        <v>3</v>
      </c>
      <c r="P549">
        <v>4</v>
      </c>
      <c r="Q549">
        <v>0</v>
      </c>
      <c r="R549">
        <v>50.58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H549">
        <v>50.58</v>
      </c>
    </row>
    <row r="550" spans="1:34" x14ac:dyDescent="0.3">
      <c r="A550" s="4">
        <v>567</v>
      </c>
      <c r="B550" s="5">
        <v>543</v>
      </c>
      <c r="C550">
        <v>8215</v>
      </c>
      <c r="D550" t="s">
        <v>3547</v>
      </c>
      <c r="E550" t="s">
        <v>6507</v>
      </c>
      <c r="F550" t="s">
        <v>91</v>
      </c>
      <c r="G550" t="s">
        <v>9480</v>
      </c>
      <c r="H550">
        <v>12.5</v>
      </c>
      <c r="I550">
        <v>7</v>
      </c>
      <c r="J550">
        <v>0</v>
      </c>
      <c r="K550">
        <v>20</v>
      </c>
      <c r="L550">
        <v>7</v>
      </c>
      <c r="O550">
        <v>7</v>
      </c>
      <c r="P550">
        <v>4</v>
      </c>
      <c r="Q550">
        <v>0</v>
      </c>
      <c r="R550">
        <v>50.5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H550">
        <v>50.5</v>
      </c>
    </row>
    <row r="551" spans="1:34" x14ac:dyDescent="0.3">
      <c r="A551" s="4">
        <v>568</v>
      </c>
      <c r="B551" s="5">
        <v>544</v>
      </c>
      <c r="C551">
        <v>10562</v>
      </c>
      <c r="D551" t="s">
        <v>9481</v>
      </c>
      <c r="E551" t="s">
        <v>147</v>
      </c>
      <c r="F551" t="s">
        <v>9482</v>
      </c>
      <c r="G551" t="s">
        <v>9483</v>
      </c>
      <c r="H551">
        <v>21.45</v>
      </c>
      <c r="I551">
        <v>0</v>
      </c>
      <c r="J551">
        <v>0</v>
      </c>
      <c r="K551">
        <v>20</v>
      </c>
      <c r="M551">
        <v>5</v>
      </c>
      <c r="O551">
        <v>5</v>
      </c>
      <c r="P551">
        <v>4</v>
      </c>
      <c r="Q551">
        <v>0</v>
      </c>
      <c r="R551">
        <v>50.45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H551">
        <v>50.45</v>
      </c>
    </row>
    <row r="552" spans="1:34" x14ac:dyDescent="0.3">
      <c r="A552" s="4">
        <v>569</v>
      </c>
      <c r="B552" s="5">
        <v>545</v>
      </c>
      <c r="C552">
        <v>9547</v>
      </c>
      <c r="D552" t="s">
        <v>9484</v>
      </c>
      <c r="E552" t="s">
        <v>81</v>
      </c>
      <c r="F552" t="s">
        <v>20</v>
      </c>
      <c r="G552" t="s">
        <v>9485</v>
      </c>
      <c r="H552">
        <v>19.079999999999998</v>
      </c>
      <c r="I552">
        <v>0</v>
      </c>
      <c r="J552">
        <v>0</v>
      </c>
      <c r="K552">
        <v>20</v>
      </c>
      <c r="L552">
        <v>7</v>
      </c>
      <c r="O552">
        <v>7</v>
      </c>
      <c r="P552">
        <v>4</v>
      </c>
      <c r="Q552">
        <v>0</v>
      </c>
      <c r="R552">
        <v>50.08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H552">
        <v>50.08</v>
      </c>
    </row>
    <row r="553" spans="1:34" x14ac:dyDescent="0.3">
      <c r="A553" s="4">
        <v>570</v>
      </c>
      <c r="B553" s="5">
        <v>546</v>
      </c>
      <c r="C553">
        <v>370</v>
      </c>
      <c r="D553" t="s">
        <v>1095</v>
      </c>
      <c r="E553" t="s">
        <v>88</v>
      </c>
      <c r="F553" t="s">
        <v>81</v>
      </c>
      <c r="G553" t="s">
        <v>9486</v>
      </c>
      <c r="H553">
        <v>19</v>
      </c>
      <c r="I553">
        <v>0</v>
      </c>
      <c r="J553">
        <v>0</v>
      </c>
      <c r="K553">
        <v>20</v>
      </c>
      <c r="M553">
        <v>5</v>
      </c>
      <c r="N553">
        <v>3</v>
      </c>
      <c r="O553">
        <v>8</v>
      </c>
      <c r="P553">
        <v>0</v>
      </c>
      <c r="Q553">
        <v>0</v>
      </c>
      <c r="R553">
        <v>47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3</v>
      </c>
      <c r="AC553">
        <v>0</v>
      </c>
      <c r="AH553">
        <v>50</v>
      </c>
    </row>
    <row r="554" spans="1:34" x14ac:dyDescent="0.3">
      <c r="A554" s="4">
        <v>571</v>
      </c>
      <c r="B554" s="5">
        <v>547</v>
      </c>
      <c r="C554">
        <v>7412</v>
      </c>
      <c r="D554" t="s">
        <v>9487</v>
      </c>
      <c r="E554" t="s">
        <v>166</v>
      </c>
      <c r="F554" t="s">
        <v>55</v>
      </c>
      <c r="G554" t="s">
        <v>9488</v>
      </c>
      <c r="H554">
        <v>21.95</v>
      </c>
      <c r="I554">
        <v>0</v>
      </c>
      <c r="J554">
        <v>0</v>
      </c>
      <c r="K554">
        <v>0</v>
      </c>
      <c r="L554">
        <v>7</v>
      </c>
      <c r="N554">
        <v>3</v>
      </c>
      <c r="O554">
        <v>10</v>
      </c>
      <c r="P554">
        <v>4</v>
      </c>
      <c r="Q554">
        <v>2</v>
      </c>
      <c r="R554">
        <v>37.950000000000003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12</v>
      </c>
      <c r="AC554">
        <v>0</v>
      </c>
      <c r="AH554">
        <v>49.95</v>
      </c>
    </row>
    <row r="555" spans="1:34" x14ac:dyDescent="0.3">
      <c r="A555" s="4">
        <v>572</v>
      </c>
      <c r="B555" s="5">
        <v>548</v>
      </c>
      <c r="C555">
        <v>10421</v>
      </c>
      <c r="D555" t="s">
        <v>7295</v>
      </c>
      <c r="E555" t="s">
        <v>1474</v>
      </c>
      <c r="F555" t="s">
        <v>91</v>
      </c>
      <c r="G555" t="s">
        <v>9489</v>
      </c>
      <c r="H555">
        <v>19.8</v>
      </c>
      <c r="I555">
        <v>0</v>
      </c>
      <c r="J555">
        <v>0</v>
      </c>
      <c r="K555">
        <v>20</v>
      </c>
      <c r="N555">
        <v>3</v>
      </c>
      <c r="O555">
        <v>3</v>
      </c>
      <c r="P555">
        <v>4</v>
      </c>
      <c r="Q555">
        <v>0</v>
      </c>
      <c r="R555">
        <v>46.8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3</v>
      </c>
      <c r="AC555">
        <v>0</v>
      </c>
      <c r="AH555">
        <v>49.8</v>
      </c>
    </row>
    <row r="556" spans="1:34" x14ac:dyDescent="0.3">
      <c r="A556" s="4">
        <v>573</v>
      </c>
      <c r="B556" s="5">
        <v>549</v>
      </c>
      <c r="C556">
        <v>12909</v>
      </c>
      <c r="D556" t="s">
        <v>9490</v>
      </c>
      <c r="E556" t="s">
        <v>692</v>
      </c>
      <c r="F556" t="s">
        <v>20</v>
      </c>
      <c r="G556" t="s">
        <v>9491</v>
      </c>
      <c r="H556">
        <v>18.8</v>
      </c>
      <c r="I556">
        <v>0</v>
      </c>
      <c r="J556">
        <v>0</v>
      </c>
      <c r="K556">
        <v>20</v>
      </c>
      <c r="L556">
        <v>7</v>
      </c>
      <c r="O556">
        <v>7</v>
      </c>
      <c r="P556">
        <v>4</v>
      </c>
      <c r="Q556">
        <v>0</v>
      </c>
      <c r="R556">
        <v>49.8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 t="s">
        <v>130</v>
      </c>
      <c r="AH556">
        <v>49.8</v>
      </c>
    </row>
    <row r="557" spans="1:34" x14ac:dyDescent="0.3">
      <c r="A557" s="4">
        <v>574</v>
      </c>
      <c r="B557" s="5">
        <v>550</v>
      </c>
      <c r="C557">
        <v>3492</v>
      </c>
      <c r="D557" t="s">
        <v>9492</v>
      </c>
      <c r="E557" t="s">
        <v>81</v>
      </c>
      <c r="F557" t="s">
        <v>136</v>
      </c>
      <c r="G557" t="s">
        <v>9493</v>
      </c>
      <c r="H557">
        <v>17.7</v>
      </c>
      <c r="I557">
        <v>0</v>
      </c>
      <c r="J557">
        <v>0</v>
      </c>
      <c r="K557">
        <v>0</v>
      </c>
      <c r="L557">
        <v>7</v>
      </c>
      <c r="O557">
        <v>7</v>
      </c>
      <c r="P557">
        <v>4</v>
      </c>
      <c r="Q557">
        <v>0</v>
      </c>
      <c r="R557">
        <v>28.7</v>
      </c>
      <c r="S557">
        <v>18</v>
      </c>
      <c r="T557">
        <v>18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18</v>
      </c>
      <c r="AB557">
        <v>3</v>
      </c>
      <c r="AC557">
        <v>0</v>
      </c>
      <c r="AH557">
        <v>49.7</v>
      </c>
    </row>
    <row r="558" spans="1:34" x14ac:dyDescent="0.3">
      <c r="A558" s="4">
        <v>575</v>
      </c>
      <c r="B558" s="5">
        <v>551</v>
      </c>
      <c r="C558">
        <v>8963</v>
      </c>
      <c r="D558" t="s">
        <v>9494</v>
      </c>
      <c r="E558" t="s">
        <v>54</v>
      </c>
      <c r="F558" t="s">
        <v>136</v>
      </c>
      <c r="G558" t="s">
        <v>9495</v>
      </c>
      <c r="H558">
        <v>16.649999999999999</v>
      </c>
      <c r="I558">
        <v>0</v>
      </c>
      <c r="J558">
        <v>0</v>
      </c>
      <c r="K558">
        <v>0</v>
      </c>
      <c r="L558">
        <v>7</v>
      </c>
      <c r="O558">
        <v>7</v>
      </c>
      <c r="P558">
        <v>4</v>
      </c>
      <c r="Q558">
        <v>0</v>
      </c>
      <c r="R558">
        <v>27.65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22</v>
      </c>
      <c r="AH558">
        <v>49.65</v>
      </c>
    </row>
    <row r="559" spans="1:34" x14ac:dyDescent="0.3">
      <c r="A559" s="4">
        <v>576</v>
      </c>
      <c r="B559" s="5">
        <v>552</v>
      </c>
      <c r="C559">
        <v>11580</v>
      </c>
      <c r="D559" t="s">
        <v>9496</v>
      </c>
      <c r="E559" t="s">
        <v>188</v>
      </c>
      <c r="F559" t="s">
        <v>38</v>
      </c>
      <c r="G559" t="s">
        <v>9497</v>
      </c>
      <c r="H559">
        <v>16.579999999999998</v>
      </c>
      <c r="I559">
        <v>0</v>
      </c>
      <c r="J559">
        <v>0</v>
      </c>
      <c r="K559">
        <v>0</v>
      </c>
      <c r="O559">
        <v>0</v>
      </c>
      <c r="P559">
        <v>4</v>
      </c>
      <c r="Q559">
        <v>2</v>
      </c>
      <c r="R559">
        <v>22.58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26.8</v>
      </c>
      <c r="AH559">
        <v>49.38</v>
      </c>
    </row>
    <row r="560" spans="1:34" x14ac:dyDescent="0.3">
      <c r="A560" s="4">
        <v>577</v>
      </c>
      <c r="B560" s="5">
        <v>553</v>
      </c>
      <c r="C560">
        <v>7206</v>
      </c>
      <c r="D560" t="s">
        <v>9498</v>
      </c>
      <c r="E560" t="s">
        <v>88</v>
      </c>
      <c r="F560" t="s">
        <v>238</v>
      </c>
      <c r="G560" t="s">
        <v>9499</v>
      </c>
      <c r="H560">
        <v>20.3</v>
      </c>
      <c r="I560">
        <v>0</v>
      </c>
      <c r="J560">
        <v>0</v>
      </c>
      <c r="K560">
        <v>0</v>
      </c>
      <c r="L560">
        <v>7</v>
      </c>
      <c r="O560">
        <v>7</v>
      </c>
      <c r="P560">
        <v>4</v>
      </c>
      <c r="Q560">
        <v>2</v>
      </c>
      <c r="R560">
        <v>33.299999999999997</v>
      </c>
      <c r="S560">
        <v>7</v>
      </c>
      <c r="T560">
        <v>7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7</v>
      </c>
      <c r="AB560">
        <v>9</v>
      </c>
      <c r="AC560">
        <v>0</v>
      </c>
      <c r="AH560">
        <v>49.3</v>
      </c>
    </row>
    <row r="561" spans="1:34" x14ac:dyDescent="0.3">
      <c r="A561" s="4">
        <v>578</v>
      </c>
      <c r="B561" s="5">
        <v>554</v>
      </c>
      <c r="C561">
        <v>15098</v>
      </c>
      <c r="D561" t="s">
        <v>3200</v>
      </c>
      <c r="E561" t="s">
        <v>104</v>
      </c>
      <c r="F561" t="s">
        <v>52</v>
      </c>
      <c r="G561" t="s">
        <v>9500</v>
      </c>
      <c r="H561">
        <v>17.2</v>
      </c>
      <c r="I561">
        <v>0</v>
      </c>
      <c r="J561">
        <v>0</v>
      </c>
      <c r="K561">
        <v>20</v>
      </c>
      <c r="N561">
        <v>6</v>
      </c>
      <c r="O561">
        <v>6</v>
      </c>
      <c r="P561">
        <v>4</v>
      </c>
      <c r="Q561">
        <v>2</v>
      </c>
      <c r="R561">
        <v>49.2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 t="s">
        <v>130</v>
      </c>
      <c r="AH561">
        <v>49.2</v>
      </c>
    </row>
    <row r="562" spans="1:34" x14ac:dyDescent="0.3">
      <c r="A562" s="4">
        <v>579</v>
      </c>
      <c r="B562" s="5">
        <v>555</v>
      </c>
      <c r="C562">
        <v>285</v>
      </c>
      <c r="D562" t="s">
        <v>5405</v>
      </c>
      <c r="E562" t="s">
        <v>54</v>
      </c>
      <c r="F562" t="s">
        <v>328</v>
      </c>
      <c r="G562" t="s">
        <v>9501</v>
      </c>
      <c r="H562">
        <v>17.8</v>
      </c>
      <c r="I562">
        <v>0</v>
      </c>
      <c r="J562">
        <v>0</v>
      </c>
      <c r="K562">
        <v>20</v>
      </c>
      <c r="L562">
        <v>7</v>
      </c>
      <c r="O562">
        <v>7</v>
      </c>
      <c r="P562">
        <v>4</v>
      </c>
      <c r="Q562">
        <v>0</v>
      </c>
      <c r="R562">
        <v>48.8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H562">
        <v>48.8</v>
      </c>
    </row>
    <row r="563" spans="1:34" x14ac:dyDescent="0.3">
      <c r="A563" s="4">
        <v>580</v>
      </c>
      <c r="B563" s="5">
        <v>556</v>
      </c>
      <c r="C563">
        <v>2407</v>
      </c>
      <c r="D563" t="s">
        <v>9502</v>
      </c>
      <c r="E563" t="s">
        <v>38</v>
      </c>
      <c r="F563" t="s">
        <v>17</v>
      </c>
      <c r="G563" t="s">
        <v>9503</v>
      </c>
      <c r="H563">
        <v>12.5</v>
      </c>
      <c r="I563">
        <v>0</v>
      </c>
      <c r="J563">
        <v>0</v>
      </c>
      <c r="K563">
        <v>0</v>
      </c>
      <c r="L563">
        <v>7</v>
      </c>
      <c r="N563">
        <v>3</v>
      </c>
      <c r="O563">
        <v>10</v>
      </c>
      <c r="P563">
        <v>4</v>
      </c>
      <c r="Q563">
        <v>0</v>
      </c>
      <c r="R563">
        <v>26.5</v>
      </c>
      <c r="S563">
        <v>16</v>
      </c>
      <c r="T563">
        <v>16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16</v>
      </c>
      <c r="AB563">
        <v>6</v>
      </c>
      <c r="AC563">
        <v>0</v>
      </c>
      <c r="AH563">
        <v>48.5</v>
      </c>
    </row>
    <row r="564" spans="1:34" x14ac:dyDescent="0.3">
      <c r="A564" s="4">
        <v>581</v>
      </c>
      <c r="B564" s="5">
        <v>557</v>
      </c>
      <c r="C564">
        <v>5950</v>
      </c>
      <c r="D564" t="s">
        <v>9504</v>
      </c>
      <c r="E564" t="s">
        <v>81</v>
      </c>
      <c r="F564" t="s">
        <v>652</v>
      </c>
      <c r="G564" t="s">
        <v>9505</v>
      </c>
      <c r="H564">
        <v>15.43</v>
      </c>
      <c r="I564">
        <v>0</v>
      </c>
      <c r="J564">
        <v>0</v>
      </c>
      <c r="K564">
        <v>20</v>
      </c>
      <c r="L564">
        <v>7</v>
      </c>
      <c r="O564">
        <v>7</v>
      </c>
      <c r="P564">
        <v>4</v>
      </c>
      <c r="Q564">
        <v>2</v>
      </c>
      <c r="R564">
        <v>48.43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H564">
        <v>48.43</v>
      </c>
    </row>
    <row r="565" spans="1:34" x14ac:dyDescent="0.3">
      <c r="A565" s="4">
        <v>582</v>
      </c>
      <c r="B565" s="5">
        <v>558</v>
      </c>
      <c r="C565">
        <v>4051</v>
      </c>
      <c r="D565" t="s">
        <v>7344</v>
      </c>
      <c r="E565" t="s">
        <v>54</v>
      </c>
      <c r="F565" t="s">
        <v>4176</v>
      </c>
      <c r="G565" t="s">
        <v>9506</v>
      </c>
      <c r="H565">
        <v>24.08</v>
      </c>
      <c r="I565">
        <v>0</v>
      </c>
      <c r="J565">
        <v>0</v>
      </c>
      <c r="K565">
        <v>0</v>
      </c>
      <c r="L565">
        <v>7</v>
      </c>
      <c r="N565">
        <v>3</v>
      </c>
      <c r="O565">
        <v>10</v>
      </c>
      <c r="P565">
        <v>4</v>
      </c>
      <c r="Q565">
        <v>2</v>
      </c>
      <c r="R565">
        <v>40.08</v>
      </c>
      <c r="S565">
        <v>2</v>
      </c>
      <c r="T565">
        <v>2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2</v>
      </c>
      <c r="AB565">
        <v>6</v>
      </c>
      <c r="AC565">
        <v>0</v>
      </c>
      <c r="AH565">
        <v>48.08</v>
      </c>
    </row>
    <row r="566" spans="1:34" x14ac:dyDescent="0.3">
      <c r="A566" s="4">
        <v>583</v>
      </c>
      <c r="B566" s="5">
        <v>559</v>
      </c>
      <c r="C566">
        <v>11854</v>
      </c>
      <c r="D566" t="s">
        <v>5888</v>
      </c>
      <c r="E566" t="s">
        <v>992</v>
      </c>
      <c r="F566" t="s">
        <v>62</v>
      </c>
      <c r="G566" t="s">
        <v>5889</v>
      </c>
      <c r="H566">
        <v>17.88</v>
      </c>
      <c r="I566">
        <v>0</v>
      </c>
      <c r="J566">
        <v>0</v>
      </c>
      <c r="K566">
        <v>20</v>
      </c>
      <c r="N566">
        <v>3</v>
      </c>
      <c r="O566">
        <v>3</v>
      </c>
      <c r="P566">
        <v>4</v>
      </c>
      <c r="Q566">
        <v>0</v>
      </c>
      <c r="R566">
        <v>44.88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3</v>
      </c>
      <c r="AC566">
        <v>0</v>
      </c>
      <c r="AD566" t="s">
        <v>130</v>
      </c>
      <c r="AH566">
        <v>47.88</v>
      </c>
    </row>
    <row r="567" spans="1:34" x14ac:dyDescent="0.3">
      <c r="A567" s="4">
        <v>584</v>
      </c>
      <c r="B567" s="5">
        <v>560</v>
      </c>
      <c r="C567">
        <v>15451</v>
      </c>
      <c r="D567" t="s">
        <v>9507</v>
      </c>
      <c r="E567" t="s">
        <v>30</v>
      </c>
      <c r="F567" t="s">
        <v>243</v>
      </c>
      <c r="G567" t="s">
        <v>9508</v>
      </c>
      <c r="H567">
        <v>17.88</v>
      </c>
      <c r="I567">
        <v>0</v>
      </c>
      <c r="J567">
        <v>0</v>
      </c>
      <c r="K567">
        <v>0</v>
      </c>
      <c r="L567">
        <v>7</v>
      </c>
      <c r="N567">
        <v>3</v>
      </c>
      <c r="O567">
        <v>10</v>
      </c>
      <c r="P567">
        <v>4</v>
      </c>
      <c r="Q567">
        <v>2</v>
      </c>
      <c r="R567">
        <v>33.880000000000003</v>
      </c>
      <c r="S567">
        <v>14</v>
      </c>
      <c r="T567">
        <v>14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14</v>
      </c>
      <c r="AB567">
        <v>0</v>
      </c>
      <c r="AC567">
        <v>0</v>
      </c>
      <c r="AH567">
        <v>47.88</v>
      </c>
    </row>
    <row r="568" spans="1:34" x14ac:dyDescent="0.3">
      <c r="A568" s="4">
        <v>585</v>
      </c>
      <c r="B568" s="5">
        <v>561</v>
      </c>
      <c r="C568">
        <v>3783</v>
      </c>
      <c r="D568" t="s">
        <v>9509</v>
      </c>
      <c r="E568" t="s">
        <v>9510</v>
      </c>
      <c r="F568" t="s">
        <v>2543</v>
      </c>
      <c r="G568" t="s">
        <v>9511</v>
      </c>
      <c r="H568">
        <v>18.850000000000001</v>
      </c>
      <c r="I568">
        <v>0</v>
      </c>
      <c r="J568">
        <v>0</v>
      </c>
      <c r="K568">
        <v>20</v>
      </c>
      <c r="L568">
        <v>7</v>
      </c>
      <c r="O568">
        <v>7</v>
      </c>
      <c r="P568">
        <v>0</v>
      </c>
      <c r="Q568">
        <v>2</v>
      </c>
      <c r="R568">
        <v>47.85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H568">
        <v>47.85</v>
      </c>
    </row>
    <row r="569" spans="1:34" x14ac:dyDescent="0.3">
      <c r="A569" s="4">
        <v>586</v>
      </c>
      <c r="B569" s="5">
        <v>562</v>
      </c>
      <c r="C569">
        <v>5236</v>
      </c>
      <c r="D569" t="s">
        <v>9512</v>
      </c>
      <c r="E569" t="s">
        <v>54</v>
      </c>
      <c r="F569" t="s">
        <v>230</v>
      </c>
      <c r="G569" t="s">
        <v>9513</v>
      </c>
      <c r="H569">
        <v>21.75</v>
      </c>
      <c r="I569">
        <v>0</v>
      </c>
      <c r="J569">
        <v>0</v>
      </c>
      <c r="K569">
        <v>0</v>
      </c>
      <c r="L569">
        <v>7</v>
      </c>
      <c r="M569">
        <v>5</v>
      </c>
      <c r="O569">
        <v>12</v>
      </c>
      <c r="P569">
        <v>4</v>
      </c>
      <c r="Q569">
        <v>2</v>
      </c>
      <c r="R569">
        <v>39.75</v>
      </c>
      <c r="S569">
        <v>8</v>
      </c>
      <c r="T569">
        <v>8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8</v>
      </c>
      <c r="AB569">
        <v>0</v>
      </c>
      <c r="AC569">
        <v>0</v>
      </c>
      <c r="AH569">
        <v>47.75</v>
      </c>
    </row>
    <row r="570" spans="1:34" x14ac:dyDescent="0.3">
      <c r="A570" s="4">
        <v>587</v>
      </c>
      <c r="B570" s="5">
        <v>563</v>
      </c>
      <c r="C570">
        <v>8091</v>
      </c>
      <c r="D570" t="s">
        <v>9514</v>
      </c>
      <c r="E570" t="s">
        <v>143</v>
      </c>
      <c r="F570" t="s">
        <v>190</v>
      </c>
      <c r="G570" t="s">
        <v>9515</v>
      </c>
      <c r="H570">
        <v>19.95</v>
      </c>
      <c r="I570">
        <v>0</v>
      </c>
      <c r="J570">
        <v>0</v>
      </c>
      <c r="K570">
        <v>20</v>
      </c>
      <c r="N570">
        <v>3</v>
      </c>
      <c r="O570">
        <v>3</v>
      </c>
      <c r="P570">
        <v>4</v>
      </c>
      <c r="Q570">
        <v>0</v>
      </c>
      <c r="R570">
        <v>46.95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 t="s">
        <v>130</v>
      </c>
      <c r="AH570">
        <v>46.95</v>
      </c>
    </row>
    <row r="571" spans="1:34" x14ac:dyDescent="0.3">
      <c r="A571" s="4">
        <v>588</v>
      </c>
      <c r="B571" s="5">
        <v>564</v>
      </c>
      <c r="C571">
        <v>14938</v>
      </c>
      <c r="D571" t="s">
        <v>47</v>
      </c>
      <c r="E571" t="s">
        <v>9516</v>
      </c>
      <c r="F571" t="s">
        <v>587</v>
      </c>
      <c r="G571" t="s">
        <v>9517</v>
      </c>
      <c r="H571">
        <v>18.78</v>
      </c>
      <c r="I571">
        <v>0</v>
      </c>
      <c r="J571">
        <v>0</v>
      </c>
      <c r="K571">
        <v>0</v>
      </c>
      <c r="L571">
        <v>7</v>
      </c>
      <c r="O571">
        <v>7</v>
      </c>
      <c r="P571">
        <v>4</v>
      </c>
      <c r="Q571">
        <v>0</v>
      </c>
      <c r="R571">
        <v>29.78</v>
      </c>
      <c r="S571">
        <v>11</v>
      </c>
      <c r="T571">
        <v>11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11</v>
      </c>
      <c r="AB571">
        <v>6</v>
      </c>
      <c r="AC571">
        <v>0</v>
      </c>
      <c r="AH571">
        <v>46.78</v>
      </c>
    </row>
    <row r="572" spans="1:34" x14ac:dyDescent="0.3">
      <c r="A572" s="4">
        <v>589</v>
      </c>
      <c r="B572" s="5">
        <v>565</v>
      </c>
      <c r="C572">
        <v>8419</v>
      </c>
      <c r="D572" t="s">
        <v>4714</v>
      </c>
      <c r="E572" t="s">
        <v>29</v>
      </c>
      <c r="F572" t="s">
        <v>158</v>
      </c>
      <c r="G572" t="s">
        <v>9518</v>
      </c>
      <c r="H572">
        <v>18.78</v>
      </c>
      <c r="I572">
        <v>0</v>
      </c>
      <c r="J572">
        <v>0</v>
      </c>
      <c r="K572">
        <v>0</v>
      </c>
      <c r="L572">
        <v>7</v>
      </c>
      <c r="O572">
        <v>7</v>
      </c>
      <c r="P572">
        <v>4</v>
      </c>
      <c r="Q572">
        <v>2</v>
      </c>
      <c r="R572">
        <v>31.78</v>
      </c>
      <c r="S572">
        <v>12</v>
      </c>
      <c r="T572">
        <v>12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12</v>
      </c>
      <c r="AB572">
        <v>3</v>
      </c>
      <c r="AC572">
        <v>0</v>
      </c>
      <c r="AH572">
        <v>46.78</v>
      </c>
    </row>
    <row r="573" spans="1:34" x14ac:dyDescent="0.3">
      <c r="A573" s="4">
        <v>590</v>
      </c>
      <c r="B573" s="5">
        <v>566</v>
      </c>
      <c r="C573">
        <v>11064</v>
      </c>
      <c r="D573" t="s">
        <v>4536</v>
      </c>
      <c r="E573" t="s">
        <v>342</v>
      </c>
      <c r="F573" t="s">
        <v>38</v>
      </c>
      <c r="G573" t="s">
        <v>9519</v>
      </c>
      <c r="H573">
        <v>19.55</v>
      </c>
      <c r="I573">
        <v>0</v>
      </c>
      <c r="J573">
        <v>0</v>
      </c>
      <c r="K573">
        <v>20</v>
      </c>
      <c r="N573">
        <v>3</v>
      </c>
      <c r="O573">
        <v>3</v>
      </c>
      <c r="P573">
        <v>4</v>
      </c>
      <c r="Q573">
        <v>0</v>
      </c>
      <c r="R573">
        <v>46.55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H573">
        <v>46.55</v>
      </c>
    </row>
    <row r="574" spans="1:34" x14ac:dyDescent="0.3">
      <c r="A574" s="4">
        <v>591</v>
      </c>
      <c r="B574" s="5">
        <v>567</v>
      </c>
      <c r="C574">
        <v>5098</v>
      </c>
      <c r="D574" t="s">
        <v>9520</v>
      </c>
      <c r="E574" t="s">
        <v>789</v>
      </c>
      <c r="F574" t="s">
        <v>81</v>
      </c>
      <c r="G574" t="s">
        <v>9521</v>
      </c>
      <c r="H574">
        <v>17.5</v>
      </c>
      <c r="I574">
        <v>0</v>
      </c>
      <c r="J574">
        <v>0</v>
      </c>
      <c r="K574">
        <v>0</v>
      </c>
      <c r="L574">
        <v>7</v>
      </c>
      <c r="N574">
        <v>3</v>
      </c>
      <c r="O574">
        <v>10</v>
      </c>
      <c r="P574">
        <v>0</v>
      </c>
      <c r="Q574">
        <v>2</v>
      </c>
      <c r="R574">
        <v>29.5</v>
      </c>
      <c r="S574">
        <v>14</v>
      </c>
      <c r="T574">
        <v>14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14</v>
      </c>
      <c r="AB574">
        <v>3</v>
      </c>
      <c r="AC574">
        <v>0</v>
      </c>
      <c r="AH574">
        <v>46.5</v>
      </c>
    </row>
    <row r="575" spans="1:34" x14ac:dyDescent="0.3">
      <c r="A575" s="4">
        <v>592</v>
      </c>
      <c r="B575" s="5">
        <v>568</v>
      </c>
      <c r="C575">
        <v>420</v>
      </c>
      <c r="D575" t="s">
        <v>9522</v>
      </c>
      <c r="E575" t="s">
        <v>6996</v>
      </c>
      <c r="F575" t="s">
        <v>20</v>
      </c>
      <c r="G575" t="s">
        <v>9523</v>
      </c>
      <c r="H575">
        <v>19.5</v>
      </c>
      <c r="I575">
        <v>0</v>
      </c>
      <c r="J575">
        <v>0</v>
      </c>
      <c r="K575">
        <v>20</v>
      </c>
      <c r="N575">
        <v>3</v>
      </c>
      <c r="O575">
        <v>3</v>
      </c>
      <c r="P575">
        <v>4</v>
      </c>
      <c r="Q575">
        <v>0</v>
      </c>
      <c r="R575">
        <v>46.5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H575">
        <v>46.5</v>
      </c>
    </row>
    <row r="576" spans="1:34" x14ac:dyDescent="0.3">
      <c r="A576" s="4">
        <v>593</v>
      </c>
      <c r="B576" s="5">
        <v>569</v>
      </c>
      <c r="C576">
        <v>2108</v>
      </c>
      <c r="D576" t="s">
        <v>9524</v>
      </c>
      <c r="E576" t="s">
        <v>4176</v>
      </c>
      <c r="F576" t="s">
        <v>30</v>
      </c>
      <c r="G576" t="s">
        <v>9525</v>
      </c>
      <c r="H576">
        <v>17.45</v>
      </c>
      <c r="I576">
        <v>0</v>
      </c>
      <c r="J576">
        <v>0</v>
      </c>
      <c r="K576">
        <v>20</v>
      </c>
      <c r="N576">
        <v>3</v>
      </c>
      <c r="O576">
        <v>3</v>
      </c>
      <c r="P576">
        <v>4</v>
      </c>
      <c r="Q576">
        <v>2</v>
      </c>
      <c r="R576">
        <v>46.45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H576">
        <v>46.45</v>
      </c>
    </row>
    <row r="577" spans="1:34" x14ac:dyDescent="0.3">
      <c r="A577" s="4">
        <v>594</v>
      </c>
      <c r="B577" s="5">
        <v>570</v>
      </c>
      <c r="C577">
        <v>12878</v>
      </c>
      <c r="D577" t="s">
        <v>9526</v>
      </c>
      <c r="E577" t="s">
        <v>29</v>
      </c>
      <c r="F577" t="s">
        <v>38</v>
      </c>
      <c r="G577" t="s">
        <v>9527</v>
      </c>
      <c r="H577">
        <v>21.38</v>
      </c>
      <c r="I577">
        <v>0</v>
      </c>
      <c r="J577">
        <v>0</v>
      </c>
      <c r="K577">
        <v>20</v>
      </c>
      <c r="M577">
        <v>5</v>
      </c>
      <c r="O577">
        <v>5</v>
      </c>
      <c r="P577">
        <v>0</v>
      </c>
      <c r="Q577">
        <v>0</v>
      </c>
      <c r="R577">
        <v>46.38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H577">
        <v>46.38</v>
      </c>
    </row>
    <row r="578" spans="1:34" x14ac:dyDescent="0.3">
      <c r="A578" s="4">
        <v>595</v>
      </c>
      <c r="B578" s="5">
        <v>571</v>
      </c>
      <c r="C578">
        <v>14533</v>
      </c>
      <c r="D578" t="s">
        <v>9528</v>
      </c>
      <c r="E578" t="s">
        <v>9529</v>
      </c>
      <c r="F578" t="s">
        <v>38</v>
      </c>
      <c r="G578" t="s">
        <v>9530</v>
      </c>
      <c r="H578">
        <v>19.05</v>
      </c>
      <c r="I578">
        <v>0</v>
      </c>
      <c r="J578">
        <v>0</v>
      </c>
      <c r="K578">
        <v>20</v>
      </c>
      <c r="N578">
        <v>3</v>
      </c>
      <c r="O578">
        <v>3</v>
      </c>
      <c r="P578">
        <v>4</v>
      </c>
      <c r="Q578">
        <v>0</v>
      </c>
      <c r="R578">
        <v>46.05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H578">
        <v>46.05</v>
      </c>
    </row>
    <row r="579" spans="1:34" x14ac:dyDescent="0.3">
      <c r="A579" s="4">
        <v>596</v>
      </c>
      <c r="B579" s="5">
        <v>572</v>
      </c>
      <c r="C579">
        <v>10260</v>
      </c>
      <c r="D579" t="s">
        <v>193</v>
      </c>
      <c r="E579" t="s">
        <v>136</v>
      </c>
      <c r="F579" t="s">
        <v>1450</v>
      </c>
      <c r="G579" t="s">
        <v>9531</v>
      </c>
      <c r="H579">
        <v>25</v>
      </c>
      <c r="I579">
        <v>0</v>
      </c>
      <c r="J579">
        <v>0</v>
      </c>
      <c r="K579">
        <v>0</v>
      </c>
      <c r="L579">
        <v>7</v>
      </c>
      <c r="O579">
        <v>7</v>
      </c>
      <c r="P579">
        <v>0</v>
      </c>
      <c r="Q579">
        <v>0</v>
      </c>
      <c r="R579">
        <v>32</v>
      </c>
      <c r="S579">
        <v>8</v>
      </c>
      <c r="T579">
        <v>8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8</v>
      </c>
      <c r="AB579">
        <v>6</v>
      </c>
      <c r="AC579">
        <v>0</v>
      </c>
      <c r="AH579">
        <v>46</v>
      </c>
    </row>
    <row r="580" spans="1:34" x14ac:dyDescent="0.3">
      <c r="A580" s="4">
        <v>597</v>
      </c>
      <c r="B580" s="5">
        <v>573</v>
      </c>
      <c r="C580">
        <v>6801</v>
      </c>
      <c r="D580" t="s">
        <v>9532</v>
      </c>
      <c r="E580" t="s">
        <v>61</v>
      </c>
      <c r="F580" t="s">
        <v>20</v>
      </c>
      <c r="G580" t="s">
        <v>9533</v>
      </c>
      <c r="H580">
        <v>18.7</v>
      </c>
      <c r="I580">
        <v>0</v>
      </c>
      <c r="J580">
        <v>0</v>
      </c>
      <c r="K580">
        <v>20</v>
      </c>
      <c r="L580">
        <v>7</v>
      </c>
      <c r="O580">
        <v>7</v>
      </c>
      <c r="P580">
        <v>0</v>
      </c>
      <c r="Q580">
        <v>0</v>
      </c>
      <c r="R580">
        <v>45.7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H580">
        <v>45.7</v>
      </c>
    </row>
    <row r="581" spans="1:34" x14ac:dyDescent="0.3">
      <c r="A581" s="4">
        <v>598</v>
      </c>
      <c r="B581" s="5">
        <v>574</v>
      </c>
      <c r="C581">
        <v>5878</v>
      </c>
      <c r="D581" t="s">
        <v>9534</v>
      </c>
      <c r="E581" t="s">
        <v>17</v>
      </c>
      <c r="F581" t="s">
        <v>243</v>
      </c>
      <c r="G581" t="s">
        <v>9535</v>
      </c>
      <c r="H581">
        <v>14.5</v>
      </c>
      <c r="I581">
        <v>0</v>
      </c>
      <c r="J581">
        <v>0</v>
      </c>
      <c r="K581">
        <v>0</v>
      </c>
      <c r="L581">
        <v>7</v>
      </c>
      <c r="O581">
        <v>7</v>
      </c>
      <c r="P581">
        <v>4</v>
      </c>
      <c r="Q581">
        <v>0</v>
      </c>
      <c r="R581">
        <v>25.5</v>
      </c>
      <c r="S581">
        <v>14</v>
      </c>
      <c r="T581">
        <v>14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14</v>
      </c>
      <c r="AB581">
        <v>6</v>
      </c>
      <c r="AC581">
        <v>0</v>
      </c>
      <c r="AH581">
        <v>45.5</v>
      </c>
    </row>
    <row r="582" spans="1:34" x14ac:dyDescent="0.3">
      <c r="A582" s="4">
        <v>599</v>
      </c>
      <c r="B582" s="5">
        <v>575</v>
      </c>
      <c r="C582">
        <v>10510</v>
      </c>
      <c r="D582" t="s">
        <v>9536</v>
      </c>
      <c r="E582" t="s">
        <v>41</v>
      </c>
      <c r="F582" t="s">
        <v>81</v>
      </c>
      <c r="G582" t="s">
        <v>9537</v>
      </c>
      <c r="H582">
        <v>18.43</v>
      </c>
      <c r="I582">
        <v>0</v>
      </c>
      <c r="J582">
        <v>0</v>
      </c>
      <c r="K582">
        <v>20</v>
      </c>
      <c r="N582">
        <v>3</v>
      </c>
      <c r="O582">
        <v>3</v>
      </c>
      <c r="P582">
        <v>4</v>
      </c>
      <c r="Q582">
        <v>0</v>
      </c>
      <c r="R582">
        <v>45.43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H582">
        <v>45.43</v>
      </c>
    </row>
    <row r="583" spans="1:34" x14ac:dyDescent="0.3">
      <c r="A583" s="4">
        <v>600</v>
      </c>
      <c r="B583" s="5">
        <v>576</v>
      </c>
      <c r="C583">
        <v>9865</v>
      </c>
      <c r="D583" t="s">
        <v>9538</v>
      </c>
      <c r="E583" t="s">
        <v>9539</v>
      </c>
      <c r="F583" t="s">
        <v>190</v>
      </c>
      <c r="G583" t="s">
        <v>9540</v>
      </c>
      <c r="H583">
        <v>20.43</v>
      </c>
      <c r="I583">
        <v>0</v>
      </c>
      <c r="J583">
        <v>0</v>
      </c>
      <c r="K583">
        <v>0</v>
      </c>
      <c r="M583">
        <v>5</v>
      </c>
      <c r="N583">
        <v>3</v>
      </c>
      <c r="O583">
        <v>8</v>
      </c>
      <c r="P583">
        <v>4</v>
      </c>
      <c r="Q583">
        <v>0</v>
      </c>
      <c r="R583">
        <v>32.43</v>
      </c>
      <c r="S583">
        <v>12</v>
      </c>
      <c r="T583">
        <v>12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12</v>
      </c>
      <c r="AB583">
        <v>0</v>
      </c>
      <c r="AC583">
        <v>0</v>
      </c>
      <c r="AD583" t="s">
        <v>130</v>
      </c>
      <c r="AH583">
        <v>44.43</v>
      </c>
    </row>
    <row r="584" spans="1:34" x14ac:dyDescent="0.3">
      <c r="A584" s="4">
        <v>601</v>
      </c>
      <c r="B584" s="5">
        <v>577</v>
      </c>
      <c r="C584">
        <v>13054</v>
      </c>
      <c r="D584" t="s">
        <v>9541</v>
      </c>
      <c r="E584" t="s">
        <v>20</v>
      </c>
      <c r="F584" t="s">
        <v>14</v>
      </c>
      <c r="G584" t="s">
        <v>9542</v>
      </c>
      <c r="H584">
        <v>17.399999999999999</v>
      </c>
      <c r="I584">
        <v>0</v>
      </c>
      <c r="J584">
        <v>0</v>
      </c>
      <c r="K584">
        <v>20</v>
      </c>
      <c r="N584">
        <v>3</v>
      </c>
      <c r="O584">
        <v>3</v>
      </c>
      <c r="P584">
        <v>4</v>
      </c>
      <c r="Q584">
        <v>0</v>
      </c>
      <c r="R584">
        <v>44.4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H584">
        <v>44.4</v>
      </c>
    </row>
    <row r="585" spans="1:34" x14ac:dyDescent="0.3">
      <c r="A585" s="4">
        <v>602</v>
      </c>
      <c r="B585" s="5">
        <v>578</v>
      </c>
      <c r="C585">
        <v>1762</v>
      </c>
      <c r="D585" t="s">
        <v>2772</v>
      </c>
      <c r="E585" t="s">
        <v>454</v>
      </c>
      <c r="F585" t="s">
        <v>193</v>
      </c>
      <c r="G585" t="s">
        <v>9543</v>
      </c>
      <c r="H585">
        <v>18.38</v>
      </c>
      <c r="I585">
        <v>0</v>
      </c>
      <c r="J585">
        <v>0</v>
      </c>
      <c r="K585">
        <v>0</v>
      </c>
      <c r="N585">
        <v>3</v>
      </c>
      <c r="O585">
        <v>3</v>
      </c>
      <c r="P585">
        <v>4</v>
      </c>
      <c r="Q585">
        <v>0</v>
      </c>
      <c r="R585">
        <v>25.38</v>
      </c>
      <c r="S585">
        <v>13</v>
      </c>
      <c r="T585">
        <v>13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13</v>
      </c>
      <c r="AB585">
        <v>6</v>
      </c>
      <c r="AC585">
        <v>0</v>
      </c>
      <c r="AH585">
        <v>44.38</v>
      </c>
    </row>
    <row r="586" spans="1:34" x14ac:dyDescent="0.3">
      <c r="A586" s="4">
        <v>603</v>
      </c>
      <c r="B586" s="5">
        <v>579</v>
      </c>
      <c r="C586">
        <v>13544</v>
      </c>
      <c r="D586" t="s">
        <v>9544</v>
      </c>
      <c r="E586" t="s">
        <v>9545</v>
      </c>
      <c r="F586" t="s">
        <v>17</v>
      </c>
      <c r="G586" t="s">
        <v>9546</v>
      </c>
      <c r="H586">
        <v>21.3</v>
      </c>
      <c r="I586">
        <v>0</v>
      </c>
      <c r="J586">
        <v>0</v>
      </c>
      <c r="K586">
        <v>20</v>
      </c>
      <c r="N586">
        <v>3</v>
      </c>
      <c r="O586">
        <v>3</v>
      </c>
      <c r="P586">
        <v>0</v>
      </c>
      <c r="Q586">
        <v>0</v>
      </c>
      <c r="R586">
        <v>44.3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H586">
        <v>44.3</v>
      </c>
    </row>
    <row r="587" spans="1:34" x14ac:dyDescent="0.3">
      <c r="A587" s="4">
        <v>604</v>
      </c>
      <c r="B587" s="5">
        <v>580</v>
      </c>
      <c r="C587">
        <v>7222</v>
      </c>
      <c r="D587" t="s">
        <v>4186</v>
      </c>
      <c r="E587" t="s">
        <v>88</v>
      </c>
      <c r="F587" t="s">
        <v>9547</v>
      </c>
      <c r="G587" t="s">
        <v>9548</v>
      </c>
      <c r="H587">
        <v>18.149999999999999</v>
      </c>
      <c r="I587">
        <v>0</v>
      </c>
      <c r="J587">
        <v>0</v>
      </c>
      <c r="K587">
        <v>20</v>
      </c>
      <c r="N587">
        <v>3</v>
      </c>
      <c r="O587">
        <v>3</v>
      </c>
      <c r="P587">
        <v>0</v>
      </c>
      <c r="Q587">
        <v>0</v>
      </c>
      <c r="R587">
        <v>41.15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3</v>
      </c>
      <c r="AC587">
        <v>0</v>
      </c>
      <c r="AH587">
        <v>44.15</v>
      </c>
    </row>
    <row r="588" spans="1:34" x14ac:dyDescent="0.3">
      <c r="A588" s="4">
        <v>605</v>
      </c>
      <c r="B588" s="5">
        <v>581</v>
      </c>
      <c r="C588">
        <v>10465</v>
      </c>
      <c r="D588" t="s">
        <v>7480</v>
      </c>
      <c r="E588" t="s">
        <v>88</v>
      </c>
      <c r="F588" t="s">
        <v>626</v>
      </c>
      <c r="G588" t="s">
        <v>9549</v>
      </c>
      <c r="H588">
        <v>21</v>
      </c>
      <c r="I588">
        <v>0</v>
      </c>
      <c r="J588">
        <v>0</v>
      </c>
      <c r="K588">
        <v>0</v>
      </c>
      <c r="L588">
        <v>7</v>
      </c>
      <c r="N588">
        <v>3</v>
      </c>
      <c r="O588">
        <v>10</v>
      </c>
      <c r="P588">
        <v>4</v>
      </c>
      <c r="Q588">
        <v>0</v>
      </c>
      <c r="R588">
        <v>35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9</v>
      </c>
      <c r="AC588">
        <v>0</v>
      </c>
      <c r="AH588">
        <v>44</v>
      </c>
    </row>
    <row r="589" spans="1:34" x14ac:dyDescent="0.3">
      <c r="A589" s="4">
        <v>606</v>
      </c>
      <c r="B589" s="5">
        <v>582</v>
      </c>
      <c r="C589">
        <v>10936</v>
      </c>
      <c r="D589" t="s">
        <v>9550</v>
      </c>
      <c r="E589" t="s">
        <v>400</v>
      </c>
      <c r="F589" t="s">
        <v>442</v>
      </c>
      <c r="G589" t="s">
        <v>9551</v>
      </c>
      <c r="H589">
        <v>23.63</v>
      </c>
      <c r="I589">
        <v>0</v>
      </c>
      <c r="J589">
        <v>0</v>
      </c>
      <c r="K589">
        <v>0</v>
      </c>
      <c r="L589">
        <v>7</v>
      </c>
      <c r="N589">
        <v>3</v>
      </c>
      <c r="O589">
        <v>10</v>
      </c>
      <c r="P589">
        <v>4</v>
      </c>
      <c r="Q589">
        <v>2</v>
      </c>
      <c r="R589">
        <v>39.630000000000003</v>
      </c>
      <c r="S589">
        <v>4</v>
      </c>
      <c r="T589">
        <v>4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4</v>
      </c>
      <c r="AB589">
        <v>0</v>
      </c>
      <c r="AC589">
        <v>0</v>
      </c>
      <c r="AH589">
        <v>43.63</v>
      </c>
    </row>
    <row r="590" spans="1:34" x14ac:dyDescent="0.3">
      <c r="A590" s="4">
        <v>607</v>
      </c>
      <c r="B590" s="5">
        <v>583</v>
      </c>
      <c r="C590">
        <v>13666</v>
      </c>
      <c r="D590" t="s">
        <v>9552</v>
      </c>
      <c r="E590" t="s">
        <v>161</v>
      </c>
      <c r="F590" t="s">
        <v>20</v>
      </c>
      <c r="G590" t="s">
        <v>9553</v>
      </c>
      <c r="H590">
        <v>20.58</v>
      </c>
      <c r="I590">
        <v>0</v>
      </c>
      <c r="J590">
        <v>0</v>
      </c>
      <c r="K590">
        <v>0</v>
      </c>
      <c r="N590">
        <v>3</v>
      </c>
      <c r="O590">
        <v>3</v>
      </c>
      <c r="P590">
        <v>4</v>
      </c>
      <c r="Q590">
        <v>0</v>
      </c>
      <c r="R590">
        <v>27.58</v>
      </c>
      <c r="S590">
        <v>16</v>
      </c>
      <c r="T590">
        <v>16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16</v>
      </c>
      <c r="AB590">
        <v>0</v>
      </c>
      <c r="AC590">
        <v>0</v>
      </c>
      <c r="AH590">
        <v>43.58</v>
      </c>
    </row>
    <row r="591" spans="1:34" x14ac:dyDescent="0.3">
      <c r="A591" s="4">
        <v>608</v>
      </c>
      <c r="B591" s="5">
        <v>584</v>
      </c>
      <c r="C591">
        <v>2942</v>
      </c>
      <c r="D591" t="s">
        <v>6004</v>
      </c>
      <c r="E591" t="s">
        <v>29</v>
      </c>
      <c r="F591" t="s">
        <v>55</v>
      </c>
      <c r="G591" t="s">
        <v>9554</v>
      </c>
      <c r="H591">
        <v>22.5</v>
      </c>
      <c r="I591">
        <v>0</v>
      </c>
      <c r="J591">
        <v>0</v>
      </c>
      <c r="K591">
        <v>0</v>
      </c>
      <c r="L591">
        <v>14</v>
      </c>
      <c r="O591">
        <v>14</v>
      </c>
      <c r="P591">
        <v>4</v>
      </c>
      <c r="Q591">
        <v>2</v>
      </c>
      <c r="R591">
        <v>42.5</v>
      </c>
      <c r="S591">
        <v>1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1</v>
      </c>
      <c r="AB591">
        <v>0</v>
      </c>
      <c r="AC591">
        <v>0</v>
      </c>
      <c r="AH591">
        <v>43.5</v>
      </c>
    </row>
    <row r="592" spans="1:34" x14ac:dyDescent="0.3">
      <c r="A592" s="4">
        <v>609</v>
      </c>
      <c r="B592" s="5">
        <v>585</v>
      </c>
      <c r="C592">
        <v>2124</v>
      </c>
      <c r="D592" t="s">
        <v>9555</v>
      </c>
      <c r="E592" t="s">
        <v>37</v>
      </c>
      <c r="F592" t="s">
        <v>91</v>
      </c>
      <c r="G592" t="s">
        <v>9556</v>
      </c>
      <c r="H592">
        <v>19.5</v>
      </c>
      <c r="I592">
        <v>0</v>
      </c>
      <c r="J592">
        <v>0</v>
      </c>
      <c r="K592">
        <v>0</v>
      </c>
      <c r="L592">
        <v>7</v>
      </c>
      <c r="N592">
        <v>3</v>
      </c>
      <c r="O592">
        <v>10</v>
      </c>
      <c r="P592">
        <v>4</v>
      </c>
      <c r="Q592">
        <v>2</v>
      </c>
      <c r="R592">
        <v>35.5</v>
      </c>
      <c r="S592">
        <v>8</v>
      </c>
      <c r="T592">
        <v>8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8</v>
      </c>
      <c r="AB592">
        <v>0</v>
      </c>
      <c r="AC592">
        <v>0</v>
      </c>
      <c r="AH592">
        <v>43.5</v>
      </c>
    </row>
    <row r="593" spans="1:34" x14ac:dyDescent="0.3">
      <c r="A593" s="4">
        <v>610</v>
      </c>
      <c r="B593" s="5">
        <v>586</v>
      </c>
      <c r="C593">
        <v>7345</v>
      </c>
      <c r="D593" t="s">
        <v>3923</v>
      </c>
      <c r="E593" t="s">
        <v>132</v>
      </c>
      <c r="F593" t="s">
        <v>55</v>
      </c>
      <c r="G593" t="s">
        <v>9557</v>
      </c>
      <c r="H593">
        <v>18.149999999999999</v>
      </c>
      <c r="I593">
        <v>0</v>
      </c>
      <c r="J593">
        <v>0</v>
      </c>
      <c r="K593">
        <v>0</v>
      </c>
      <c r="N593">
        <v>3</v>
      </c>
      <c r="O593">
        <v>3</v>
      </c>
      <c r="P593">
        <v>0</v>
      </c>
      <c r="Q593">
        <v>0</v>
      </c>
      <c r="R593">
        <v>21.15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22</v>
      </c>
      <c r="AD593" t="s">
        <v>130</v>
      </c>
      <c r="AH593">
        <v>43.15</v>
      </c>
    </row>
    <row r="594" spans="1:34" x14ac:dyDescent="0.3">
      <c r="A594" s="4">
        <v>611</v>
      </c>
      <c r="B594" s="5">
        <v>587</v>
      </c>
      <c r="C594">
        <v>5129</v>
      </c>
      <c r="D594" t="s">
        <v>9558</v>
      </c>
      <c r="E594" t="s">
        <v>51</v>
      </c>
      <c r="F594" t="s">
        <v>38</v>
      </c>
      <c r="G594" t="s">
        <v>9559</v>
      </c>
      <c r="H594">
        <v>15.95</v>
      </c>
      <c r="I594">
        <v>0</v>
      </c>
      <c r="J594">
        <v>0</v>
      </c>
      <c r="K594">
        <v>20</v>
      </c>
      <c r="N594">
        <v>3</v>
      </c>
      <c r="O594">
        <v>3</v>
      </c>
      <c r="P594">
        <v>4</v>
      </c>
      <c r="Q594">
        <v>0</v>
      </c>
      <c r="R594">
        <v>42.95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H594">
        <v>42.95</v>
      </c>
    </row>
    <row r="595" spans="1:34" x14ac:dyDescent="0.3">
      <c r="A595" s="4">
        <v>612</v>
      </c>
      <c r="B595" s="5">
        <v>588</v>
      </c>
      <c r="C595">
        <v>10469</v>
      </c>
      <c r="D595" t="s">
        <v>9560</v>
      </c>
      <c r="E595" t="s">
        <v>479</v>
      </c>
      <c r="F595" t="s">
        <v>81</v>
      </c>
      <c r="G595" t="s">
        <v>9561</v>
      </c>
      <c r="H595">
        <v>15.8</v>
      </c>
      <c r="I595">
        <v>0</v>
      </c>
      <c r="J595">
        <v>0</v>
      </c>
      <c r="K595">
        <v>20</v>
      </c>
      <c r="N595">
        <v>3</v>
      </c>
      <c r="O595">
        <v>3</v>
      </c>
      <c r="P595">
        <v>4</v>
      </c>
      <c r="Q595">
        <v>0</v>
      </c>
      <c r="R595">
        <v>42.8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H595">
        <v>42.8</v>
      </c>
    </row>
    <row r="596" spans="1:34" x14ac:dyDescent="0.3">
      <c r="A596" s="4">
        <v>613</v>
      </c>
      <c r="B596" s="5">
        <v>589</v>
      </c>
      <c r="C596">
        <v>13295</v>
      </c>
      <c r="D596" t="s">
        <v>9562</v>
      </c>
      <c r="E596" t="s">
        <v>9563</v>
      </c>
      <c r="F596" t="s">
        <v>81</v>
      </c>
      <c r="G596" t="s">
        <v>9564</v>
      </c>
      <c r="H596">
        <v>13.75</v>
      </c>
      <c r="I596">
        <v>0</v>
      </c>
      <c r="J596">
        <v>0</v>
      </c>
      <c r="K596">
        <v>0</v>
      </c>
      <c r="L596">
        <v>7</v>
      </c>
      <c r="O596">
        <v>7</v>
      </c>
      <c r="P596">
        <v>0</v>
      </c>
      <c r="Q596">
        <v>0</v>
      </c>
      <c r="R596">
        <v>20.75</v>
      </c>
      <c r="S596">
        <v>6</v>
      </c>
      <c r="T596">
        <v>6</v>
      </c>
      <c r="U596">
        <v>0</v>
      </c>
      <c r="V596">
        <v>0</v>
      </c>
      <c r="W596">
        <v>11</v>
      </c>
      <c r="X596">
        <v>16</v>
      </c>
      <c r="Y596">
        <v>0</v>
      </c>
      <c r="Z596">
        <v>0</v>
      </c>
      <c r="AA596">
        <v>22</v>
      </c>
      <c r="AB596">
        <v>0</v>
      </c>
      <c r="AC596">
        <v>0</v>
      </c>
      <c r="AH596">
        <v>42.75</v>
      </c>
    </row>
    <row r="597" spans="1:34" x14ac:dyDescent="0.3">
      <c r="A597" s="4">
        <v>614</v>
      </c>
      <c r="B597" s="5">
        <v>590</v>
      </c>
      <c r="C597">
        <v>9985</v>
      </c>
      <c r="D597" t="s">
        <v>7764</v>
      </c>
      <c r="E597" t="s">
        <v>54</v>
      </c>
      <c r="F597" t="s">
        <v>190</v>
      </c>
      <c r="G597" t="s">
        <v>9565</v>
      </c>
      <c r="H597">
        <v>16.649999999999999</v>
      </c>
      <c r="I597">
        <v>0</v>
      </c>
      <c r="J597">
        <v>0</v>
      </c>
      <c r="K597">
        <v>20</v>
      </c>
      <c r="N597">
        <v>3</v>
      </c>
      <c r="O597">
        <v>3</v>
      </c>
      <c r="P597">
        <v>0</v>
      </c>
      <c r="Q597">
        <v>0</v>
      </c>
      <c r="R597">
        <v>39.65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3</v>
      </c>
      <c r="AC597">
        <v>0</v>
      </c>
      <c r="AD597" t="s">
        <v>130</v>
      </c>
      <c r="AH597">
        <v>42.65</v>
      </c>
    </row>
    <row r="598" spans="1:34" x14ac:dyDescent="0.3">
      <c r="A598" s="4">
        <v>615</v>
      </c>
      <c r="B598" s="5">
        <v>591</v>
      </c>
      <c r="C598">
        <v>10649</v>
      </c>
      <c r="D598" t="s">
        <v>9566</v>
      </c>
      <c r="E598" t="s">
        <v>268</v>
      </c>
      <c r="F598" t="s">
        <v>30</v>
      </c>
      <c r="G598" t="s">
        <v>9567</v>
      </c>
      <c r="H598">
        <v>22.63</v>
      </c>
      <c r="I598">
        <v>0</v>
      </c>
      <c r="J598">
        <v>0</v>
      </c>
      <c r="K598">
        <v>0</v>
      </c>
      <c r="L598">
        <v>7</v>
      </c>
      <c r="O598">
        <v>7</v>
      </c>
      <c r="P598">
        <v>4</v>
      </c>
      <c r="Q598">
        <v>0</v>
      </c>
      <c r="R598">
        <v>33.630000000000003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9</v>
      </c>
      <c r="AC598">
        <v>0</v>
      </c>
      <c r="AH598">
        <v>42.63</v>
      </c>
    </row>
    <row r="599" spans="1:34" x14ac:dyDescent="0.3">
      <c r="A599" s="4">
        <v>616</v>
      </c>
      <c r="B599" s="5">
        <v>592</v>
      </c>
      <c r="C599">
        <v>6073</v>
      </c>
      <c r="D599" t="s">
        <v>5059</v>
      </c>
      <c r="E599" t="s">
        <v>4695</v>
      </c>
      <c r="F599" t="s">
        <v>136</v>
      </c>
      <c r="G599" t="s">
        <v>9568</v>
      </c>
      <c r="H599">
        <v>14.53</v>
      </c>
      <c r="I599">
        <v>0</v>
      </c>
      <c r="J599">
        <v>0</v>
      </c>
      <c r="K599">
        <v>0</v>
      </c>
      <c r="L599">
        <v>7</v>
      </c>
      <c r="N599">
        <v>3</v>
      </c>
      <c r="O599">
        <v>10</v>
      </c>
      <c r="P599">
        <v>4</v>
      </c>
      <c r="Q599">
        <v>0</v>
      </c>
      <c r="R599">
        <v>28.53</v>
      </c>
      <c r="S599">
        <v>8</v>
      </c>
      <c r="T599">
        <v>8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8</v>
      </c>
      <c r="AB599">
        <v>6</v>
      </c>
      <c r="AC599">
        <v>0</v>
      </c>
      <c r="AH599">
        <v>42.53</v>
      </c>
    </row>
    <row r="600" spans="1:34" x14ac:dyDescent="0.3">
      <c r="A600" s="4">
        <v>617</v>
      </c>
      <c r="B600" s="5">
        <v>593</v>
      </c>
      <c r="C600">
        <v>4496</v>
      </c>
      <c r="D600" t="s">
        <v>9569</v>
      </c>
      <c r="E600" t="s">
        <v>54</v>
      </c>
      <c r="F600" t="s">
        <v>587</v>
      </c>
      <c r="G600" t="s">
        <v>9570</v>
      </c>
      <c r="H600">
        <v>22.2</v>
      </c>
      <c r="I600">
        <v>0</v>
      </c>
      <c r="J600">
        <v>0</v>
      </c>
      <c r="K600">
        <v>0</v>
      </c>
      <c r="L600">
        <v>7</v>
      </c>
      <c r="N600">
        <v>3</v>
      </c>
      <c r="O600">
        <v>10</v>
      </c>
      <c r="P600">
        <v>4</v>
      </c>
      <c r="Q600">
        <v>0</v>
      </c>
      <c r="R600">
        <v>36.200000000000003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6</v>
      </c>
      <c r="AC600">
        <v>0</v>
      </c>
      <c r="AH600">
        <v>42.2</v>
      </c>
    </row>
    <row r="601" spans="1:34" x14ac:dyDescent="0.3">
      <c r="A601" s="4">
        <v>618</v>
      </c>
      <c r="B601" s="5">
        <v>594</v>
      </c>
      <c r="C601">
        <v>6335</v>
      </c>
      <c r="D601" t="s">
        <v>3000</v>
      </c>
      <c r="E601" t="s">
        <v>9571</v>
      </c>
      <c r="F601" t="s">
        <v>227</v>
      </c>
      <c r="G601" t="s">
        <v>9572</v>
      </c>
      <c r="H601">
        <v>17.899999999999999</v>
      </c>
      <c r="I601">
        <v>0</v>
      </c>
      <c r="J601">
        <v>0</v>
      </c>
      <c r="K601">
        <v>20</v>
      </c>
      <c r="O601">
        <v>0</v>
      </c>
      <c r="P601">
        <v>4</v>
      </c>
      <c r="Q601">
        <v>0</v>
      </c>
      <c r="R601">
        <v>41.9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H601">
        <v>41.9</v>
      </c>
    </row>
    <row r="602" spans="1:34" x14ac:dyDescent="0.3">
      <c r="A602" s="4">
        <v>619</v>
      </c>
      <c r="B602" s="5">
        <v>595</v>
      </c>
      <c r="C602">
        <v>12346</v>
      </c>
      <c r="D602" t="s">
        <v>1296</v>
      </c>
      <c r="E602" t="s">
        <v>54</v>
      </c>
      <c r="F602" t="s">
        <v>68</v>
      </c>
      <c r="G602" t="s">
        <v>9573</v>
      </c>
      <c r="H602">
        <v>21.78</v>
      </c>
      <c r="I602">
        <v>0</v>
      </c>
      <c r="J602">
        <v>0</v>
      </c>
      <c r="K602">
        <v>0</v>
      </c>
      <c r="L602">
        <v>7</v>
      </c>
      <c r="N602">
        <v>3</v>
      </c>
      <c r="O602">
        <v>10</v>
      </c>
      <c r="P602">
        <v>4</v>
      </c>
      <c r="Q602">
        <v>0</v>
      </c>
      <c r="R602">
        <v>35.78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6</v>
      </c>
      <c r="AC602">
        <v>0</v>
      </c>
      <c r="AH602">
        <v>41.78</v>
      </c>
    </row>
    <row r="603" spans="1:34" x14ac:dyDescent="0.3">
      <c r="A603" s="4">
        <v>620</v>
      </c>
      <c r="B603" s="5">
        <v>596</v>
      </c>
      <c r="C603">
        <v>11683</v>
      </c>
      <c r="D603" t="s">
        <v>902</v>
      </c>
      <c r="E603" t="s">
        <v>1576</v>
      </c>
      <c r="F603" t="s">
        <v>17</v>
      </c>
      <c r="G603" t="s">
        <v>9574</v>
      </c>
      <c r="H603">
        <v>21.55</v>
      </c>
      <c r="I603">
        <v>0</v>
      </c>
      <c r="J603">
        <v>0</v>
      </c>
      <c r="K603">
        <v>0</v>
      </c>
      <c r="L603">
        <v>7</v>
      </c>
      <c r="N603">
        <v>3</v>
      </c>
      <c r="O603">
        <v>10</v>
      </c>
      <c r="P603">
        <v>4</v>
      </c>
      <c r="Q603">
        <v>0</v>
      </c>
      <c r="R603">
        <v>35.549999999999997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6</v>
      </c>
      <c r="AC603">
        <v>0</v>
      </c>
      <c r="AH603">
        <v>41.55</v>
      </c>
    </row>
    <row r="604" spans="1:34" x14ac:dyDescent="0.3">
      <c r="A604" s="4">
        <v>621</v>
      </c>
      <c r="B604" s="5">
        <v>597</v>
      </c>
      <c r="C604">
        <v>5229</v>
      </c>
      <c r="D604" t="s">
        <v>9575</v>
      </c>
      <c r="E604" t="s">
        <v>33</v>
      </c>
      <c r="F604" t="s">
        <v>328</v>
      </c>
      <c r="G604" t="s">
        <v>9576</v>
      </c>
      <c r="H604">
        <v>23.33</v>
      </c>
      <c r="I604">
        <v>0</v>
      </c>
      <c r="J604">
        <v>0</v>
      </c>
      <c r="K604">
        <v>0</v>
      </c>
      <c r="L604">
        <v>7</v>
      </c>
      <c r="N604">
        <v>3</v>
      </c>
      <c r="O604">
        <v>10</v>
      </c>
      <c r="P604">
        <v>4</v>
      </c>
      <c r="Q604">
        <v>2</v>
      </c>
      <c r="R604">
        <v>39.33</v>
      </c>
      <c r="S604">
        <v>2</v>
      </c>
      <c r="T604">
        <v>2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2</v>
      </c>
      <c r="AB604">
        <v>0</v>
      </c>
      <c r="AC604">
        <v>0</v>
      </c>
      <c r="AH604">
        <v>41.33</v>
      </c>
    </row>
    <row r="605" spans="1:34" x14ac:dyDescent="0.3">
      <c r="A605" s="4">
        <v>622</v>
      </c>
      <c r="B605" s="5">
        <v>598</v>
      </c>
      <c r="C605">
        <v>12808</v>
      </c>
      <c r="D605" t="s">
        <v>4612</v>
      </c>
      <c r="E605" t="s">
        <v>563</v>
      </c>
      <c r="F605" t="s">
        <v>9577</v>
      </c>
      <c r="G605" t="s">
        <v>9578</v>
      </c>
      <c r="H605">
        <v>17.2</v>
      </c>
      <c r="I605">
        <v>0</v>
      </c>
      <c r="J605">
        <v>0</v>
      </c>
      <c r="K605">
        <v>20</v>
      </c>
      <c r="O605">
        <v>0</v>
      </c>
      <c r="P605">
        <v>4</v>
      </c>
      <c r="Q605">
        <v>0</v>
      </c>
      <c r="R605">
        <v>41.2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H605">
        <v>41.2</v>
      </c>
    </row>
    <row r="606" spans="1:34" x14ac:dyDescent="0.3">
      <c r="A606" s="4">
        <v>623</v>
      </c>
      <c r="B606" s="5">
        <v>599</v>
      </c>
      <c r="C606">
        <v>5741</v>
      </c>
      <c r="D606" t="s">
        <v>5678</v>
      </c>
      <c r="E606" t="s">
        <v>54</v>
      </c>
      <c r="F606" t="s">
        <v>328</v>
      </c>
      <c r="G606" t="s">
        <v>9579</v>
      </c>
      <c r="H606">
        <v>18.18</v>
      </c>
      <c r="I606">
        <v>0</v>
      </c>
      <c r="J606">
        <v>0</v>
      </c>
      <c r="K606">
        <v>20</v>
      </c>
      <c r="N606">
        <v>3</v>
      </c>
      <c r="O606">
        <v>3</v>
      </c>
      <c r="P606">
        <v>0</v>
      </c>
      <c r="Q606">
        <v>0</v>
      </c>
      <c r="R606">
        <v>41.18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H606">
        <v>41.18</v>
      </c>
    </row>
    <row r="607" spans="1:34" x14ac:dyDescent="0.3">
      <c r="A607" s="4">
        <v>624</v>
      </c>
      <c r="B607" s="5">
        <v>600</v>
      </c>
      <c r="C607">
        <v>12892</v>
      </c>
      <c r="D607" t="s">
        <v>9580</v>
      </c>
      <c r="E607" t="s">
        <v>1716</v>
      </c>
      <c r="F607" t="s">
        <v>136</v>
      </c>
      <c r="G607" t="s">
        <v>9581</v>
      </c>
      <c r="H607">
        <v>19.98</v>
      </c>
      <c r="I607">
        <v>7</v>
      </c>
      <c r="J607">
        <v>0</v>
      </c>
      <c r="K607">
        <v>0</v>
      </c>
      <c r="L607">
        <v>7</v>
      </c>
      <c r="N607">
        <v>3</v>
      </c>
      <c r="O607">
        <v>10</v>
      </c>
      <c r="P607">
        <v>4</v>
      </c>
      <c r="Q607">
        <v>0</v>
      </c>
      <c r="R607">
        <v>40.98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H607">
        <v>40.98</v>
      </c>
    </row>
    <row r="608" spans="1:34" x14ac:dyDescent="0.3">
      <c r="A608" s="4">
        <v>625</v>
      </c>
      <c r="B608" s="5">
        <v>601</v>
      </c>
      <c r="C608">
        <v>149</v>
      </c>
      <c r="D608" t="s">
        <v>9582</v>
      </c>
      <c r="E608" t="s">
        <v>9583</v>
      </c>
      <c r="F608" t="s">
        <v>136</v>
      </c>
      <c r="G608" t="s">
        <v>9584</v>
      </c>
      <c r="H608">
        <v>21.65</v>
      </c>
      <c r="I608">
        <v>0</v>
      </c>
      <c r="J608">
        <v>0</v>
      </c>
      <c r="K608">
        <v>0</v>
      </c>
      <c r="L608">
        <v>7</v>
      </c>
      <c r="O608">
        <v>7</v>
      </c>
      <c r="P608">
        <v>4</v>
      </c>
      <c r="Q608">
        <v>2</v>
      </c>
      <c r="R608">
        <v>34.65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6</v>
      </c>
      <c r="AC608">
        <v>0</v>
      </c>
      <c r="AH608">
        <v>40.65</v>
      </c>
    </row>
    <row r="609" spans="1:34" x14ac:dyDescent="0.3">
      <c r="A609" s="4">
        <v>626</v>
      </c>
      <c r="B609" s="5">
        <v>602</v>
      </c>
      <c r="C609">
        <v>10463</v>
      </c>
      <c r="D609" t="s">
        <v>9585</v>
      </c>
      <c r="E609" t="s">
        <v>5009</v>
      </c>
      <c r="F609" t="s">
        <v>1399</v>
      </c>
      <c r="G609" t="s">
        <v>9586</v>
      </c>
      <c r="H609">
        <v>18.600000000000001</v>
      </c>
      <c r="I609">
        <v>0</v>
      </c>
      <c r="J609">
        <v>0</v>
      </c>
      <c r="K609">
        <v>0</v>
      </c>
      <c r="L609">
        <v>7</v>
      </c>
      <c r="O609">
        <v>7</v>
      </c>
      <c r="P609">
        <v>4</v>
      </c>
      <c r="Q609">
        <v>2</v>
      </c>
      <c r="R609">
        <v>31.6</v>
      </c>
      <c r="S609">
        <v>9</v>
      </c>
      <c r="T609">
        <v>9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9</v>
      </c>
      <c r="AB609">
        <v>0</v>
      </c>
      <c r="AC609">
        <v>0</v>
      </c>
      <c r="AH609">
        <v>40.6</v>
      </c>
    </row>
    <row r="610" spans="1:34" x14ac:dyDescent="0.3">
      <c r="A610" s="4">
        <v>627</v>
      </c>
      <c r="B610" s="5">
        <v>603</v>
      </c>
      <c r="C610">
        <v>2161</v>
      </c>
      <c r="D610" t="s">
        <v>9587</v>
      </c>
      <c r="E610" t="s">
        <v>23</v>
      </c>
      <c r="F610" t="s">
        <v>38</v>
      </c>
      <c r="G610" t="s">
        <v>9588</v>
      </c>
      <c r="H610">
        <v>18.55</v>
      </c>
      <c r="I610">
        <v>0</v>
      </c>
      <c r="J610">
        <v>0</v>
      </c>
      <c r="K610">
        <v>0</v>
      </c>
      <c r="L610">
        <v>7</v>
      </c>
      <c r="O610">
        <v>7</v>
      </c>
      <c r="P610">
        <v>4</v>
      </c>
      <c r="Q610">
        <v>2</v>
      </c>
      <c r="R610">
        <v>31.55</v>
      </c>
      <c r="S610">
        <v>9</v>
      </c>
      <c r="T610">
        <v>9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9</v>
      </c>
      <c r="AB610">
        <v>0</v>
      </c>
      <c r="AC610">
        <v>0</v>
      </c>
      <c r="AD610" t="s">
        <v>130</v>
      </c>
      <c r="AH610">
        <v>40.549999999999997</v>
      </c>
    </row>
    <row r="611" spans="1:34" x14ac:dyDescent="0.3">
      <c r="A611" s="4">
        <v>628</v>
      </c>
      <c r="B611" s="5">
        <v>604</v>
      </c>
      <c r="C611">
        <v>13721</v>
      </c>
      <c r="D611" t="s">
        <v>2635</v>
      </c>
      <c r="E611" t="s">
        <v>166</v>
      </c>
      <c r="F611" t="s">
        <v>136</v>
      </c>
      <c r="G611" t="s">
        <v>9589</v>
      </c>
      <c r="H611">
        <v>21.15</v>
      </c>
      <c r="I611">
        <v>0</v>
      </c>
      <c r="J611">
        <v>0</v>
      </c>
      <c r="K611">
        <v>0</v>
      </c>
      <c r="L611">
        <v>7</v>
      </c>
      <c r="O611">
        <v>7</v>
      </c>
      <c r="P611">
        <v>4</v>
      </c>
      <c r="Q611">
        <v>2</v>
      </c>
      <c r="R611">
        <v>34.15</v>
      </c>
      <c r="S611">
        <v>6</v>
      </c>
      <c r="T611">
        <v>6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6</v>
      </c>
      <c r="AB611">
        <v>0</v>
      </c>
      <c r="AC611">
        <v>0</v>
      </c>
      <c r="AD611" t="s">
        <v>130</v>
      </c>
      <c r="AH611">
        <v>40.15</v>
      </c>
    </row>
    <row r="612" spans="1:34" x14ac:dyDescent="0.3">
      <c r="A612" s="4">
        <v>629</v>
      </c>
      <c r="B612" s="5">
        <v>605</v>
      </c>
      <c r="C612">
        <v>15415</v>
      </c>
      <c r="D612" t="s">
        <v>2008</v>
      </c>
      <c r="E612" t="s">
        <v>33</v>
      </c>
      <c r="F612" t="s">
        <v>68</v>
      </c>
      <c r="G612" t="s">
        <v>9590</v>
      </c>
      <c r="H612">
        <v>20.079999999999998</v>
      </c>
      <c r="I612">
        <v>0</v>
      </c>
      <c r="J612">
        <v>0</v>
      </c>
      <c r="K612">
        <v>0</v>
      </c>
      <c r="L612">
        <v>7</v>
      </c>
      <c r="N612">
        <v>3</v>
      </c>
      <c r="O612">
        <v>10</v>
      </c>
      <c r="P612">
        <v>4</v>
      </c>
      <c r="Q612">
        <v>0</v>
      </c>
      <c r="R612">
        <v>34.08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6</v>
      </c>
      <c r="AC612">
        <v>0</v>
      </c>
      <c r="AH612">
        <v>40.08</v>
      </c>
    </row>
    <row r="613" spans="1:34" x14ac:dyDescent="0.3">
      <c r="A613" s="4">
        <v>630</v>
      </c>
      <c r="B613" s="5">
        <v>606</v>
      </c>
      <c r="C613">
        <v>2870</v>
      </c>
      <c r="D613" t="s">
        <v>9591</v>
      </c>
      <c r="E613" t="s">
        <v>9592</v>
      </c>
      <c r="F613" t="s">
        <v>687</v>
      </c>
      <c r="G613" t="s">
        <v>9593</v>
      </c>
      <c r="H613">
        <v>18.03</v>
      </c>
      <c r="I613">
        <v>0</v>
      </c>
      <c r="J613">
        <v>0</v>
      </c>
      <c r="K613">
        <v>0</v>
      </c>
      <c r="N613">
        <v>3</v>
      </c>
      <c r="O613">
        <v>3</v>
      </c>
      <c r="P613">
        <v>4</v>
      </c>
      <c r="Q613">
        <v>0</v>
      </c>
      <c r="R613">
        <v>25.03</v>
      </c>
      <c r="S613">
        <v>15</v>
      </c>
      <c r="T613">
        <v>15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15</v>
      </c>
      <c r="AB613">
        <v>0</v>
      </c>
      <c r="AC613">
        <v>0</v>
      </c>
      <c r="AH613">
        <v>40.03</v>
      </c>
    </row>
    <row r="614" spans="1:34" x14ac:dyDescent="0.3">
      <c r="A614" s="4">
        <v>631</v>
      </c>
      <c r="B614" s="5">
        <v>607</v>
      </c>
      <c r="C614">
        <v>6947</v>
      </c>
      <c r="D614" t="s">
        <v>1636</v>
      </c>
      <c r="E614" t="s">
        <v>471</v>
      </c>
      <c r="F614" t="s">
        <v>17</v>
      </c>
      <c r="G614" t="s">
        <v>9594</v>
      </c>
      <c r="H614">
        <v>22.68</v>
      </c>
      <c r="I614">
        <v>0</v>
      </c>
      <c r="J614">
        <v>0</v>
      </c>
      <c r="K614">
        <v>0</v>
      </c>
      <c r="L614">
        <v>7</v>
      </c>
      <c r="O614">
        <v>7</v>
      </c>
      <c r="P614">
        <v>4</v>
      </c>
      <c r="Q614">
        <v>0</v>
      </c>
      <c r="R614">
        <v>33.68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6</v>
      </c>
      <c r="AC614">
        <v>0</v>
      </c>
      <c r="AH614">
        <v>39.68</v>
      </c>
    </row>
    <row r="615" spans="1:34" x14ac:dyDescent="0.3">
      <c r="A615" s="4">
        <v>632</v>
      </c>
      <c r="B615" s="5">
        <v>608</v>
      </c>
      <c r="C615">
        <v>7531</v>
      </c>
      <c r="D615" t="s">
        <v>357</v>
      </c>
      <c r="E615" t="s">
        <v>255</v>
      </c>
      <c r="F615" t="s">
        <v>328</v>
      </c>
      <c r="G615" t="s">
        <v>9595</v>
      </c>
      <c r="H615">
        <v>22.58</v>
      </c>
      <c r="I615">
        <v>0</v>
      </c>
      <c r="J615">
        <v>0</v>
      </c>
      <c r="K615">
        <v>0</v>
      </c>
      <c r="L615">
        <v>7</v>
      </c>
      <c r="O615">
        <v>7</v>
      </c>
      <c r="P615">
        <v>4</v>
      </c>
      <c r="Q615">
        <v>0</v>
      </c>
      <c r="R615">
        <v>33.58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6</v>
      </c>
      <c r="AC615">
        <v>0</v>
      </c>
      <c r="AH615">
        <v>39.58</v>
      </c>
    </row>
    <row r="616" spans="1:34" x14ac:dyDescent="0.3">
      <c r="A616" s="4">
        <v>633</v>
      </c>
      <c r="B616" s="5">
        <v>609</v>
      </c>
      <c r="C616">
        <v>15027</v>
      </c>
      <c r="D616" t="s">
        <v>9596</v>
      </c>
      <c r="E616" t="s">
        <v>20</v>
      </c>
      <c r="F616" t="s">
        <v>62</v>
      </c>
      <c r="G616" t="s">
        <v>9597</v>
      </c>
      <c r="H616">
        <v>16.53</v>
      </c>
      <c r="I616">
        <v>0</v>
      </c>
      <c r="J616">
        <v>0</v>
      </c>
      <c r="K616">
        <v>20</v>
      </c>
      <c r="N616">
        <v>3</v>
      </c>
      <c r="O616">
        <v>3</v>
      </c>
      <c r="P616">
        <v>0</v>
      </c>
      <c r="Q616">
        <v>0</v>
      </c>
      <c r="R616">
        <v>39.53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H616">
        <v>39.53</v>
      </c>
    </row>
    <row r="617" spans="1:34" x14ac:dyDescent="0.3">
      <c r="A617" s="4">
        <v>634</v>
      </c>
      <c r="B617" s="5">
        <v>610</v>
      </c>
      <c r="C617">
        <v>2901</v>
      </c>
      <c r="D617" t="s">
        <v>9598</v>
      </c>
      <c r="E617" t="s">
        <v>9599</v>
      </c>
      <c r="F617" t="s">
        <v>587</v>
      </c>
      <c r="G617" t="s">
        <v>9600</v>
      </c>
      <c r="H617">
        <v>12.5</v>
      </c>
      <c r="I617">
        <v>0</v>
      </c>
      <c r="J617">
        <v>0</v>
      </c>
      <c r="K617">
        <v>20</v>
      </c>
      <c r="L617">
        <v>7</v>
      </c>
      <c r="O617">
        <v>7</v>
      </c>
      <c r="P617">
        <v>0</v>
      </c>
      <c r="Q617">
        <v>0</v>
      </c>
      <c r="R617">
        <v>39.5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H617">
        <v>39.5</v>
      </c>
    </row>
    <row r="618" spans="1:34" x14ac:dyDescent="0.3">
      <c r="A618" s="4">
        <v>635</v>
      </c>
      <c r="B618" s="5">
        <v>611</v>
      </c>
      <c r="C618">
        <v>1129</v>
      </c>
      <c r="D618" t="s">
        <v>9601</v>
      </c>
      <c r="E618" t="s">
        <v>9602</v>
      </c>
      <c r="F618" t="s">
        <v>9603</v>
      </c>
      <c r="G618" t="s">
        <v>9604</v>
      </c>
      <c r="H618">
        <v>18.13</v>
      </c>
      <c r="I618">
        <v>0</v>
      </c>
      <c r="J618">
        <v>0</v>
      </c>
      <c r="K618">
        <v>0</v>
      </c>
      <c r="N618">
        <v>3</v>
      </c>
      <c r="O618">
        <v>3</v>
      </c>
      <c r="P618">
        <v>4</v>
      </c>
      <c r="Q618">
        <v>0</v>
      </c>
      <c r="R618">
        <v>25.13</v>
      </c>
      <c r="S618">
        <v>8</v>
      </c>
      <c r="T618">
        <v>8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8</v>
      </c>
      <c r="AB618">
        <v>6</v>
      </c>
      <c r="AC618">
        <v>0</v>
      </c>
      <c r="AH618">
        <v>39.130000000000003</v>
      </c>
    </row>
    <row r="619" spans="1:34" x14ac:dyDescent="0.3">
      <c r="A619" s="4">
        <v>636</v>
      </c>
      <c r="B619" s="5">
        <v>612</v>
      </c>
      <c r="C619">
        <v>6712</v>
      </c>
      <c r="D619" t="s">
        <v>9605</v>
      </c>
      <c r="E619" t="s">
        <v>97</v>
      </c>
      <c r="F619" t="s">
        <v>38</v>
      </c>
      <c r="G619" t="s">
        <v>9606</v>
      </c>
      <c r="H619">
        <v>22.13</v>
      </c>
      <c r="I619">
        <v>0</v>
      </c>
      <c r="J619">
        <v>0</v>
      </c>
      <c r="K619">
        <v>0</v>
      </c>
      <c r="L619">
        <v>7</v>
      </c>
      <c r="N619">
        <v>3</v>
      </c>
      <c r="O619">
        <v>10</v>
      </c>
      <c r="P619">
        <v>4</v>
      </c>
      <c r="Q619">
        <v>0</v>
      </c>
      <c r="R619">
        <v>36.130000000000003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3</v>
      </c>
      <c r="AC619">
        <v>0</v>
      </c>
      <c r="AH619">
        <v>39.130000000000003</v>
      </c>
    </row>
    <row r="620" spans="1:34" x14ac:dyDescent="0.3">
      <c r="A620" s="4">
        <v>637</v>
      </c>
      <c r="B620" s="5">
        <v>613</v>
      </c>
      <c r="C620">
        <v>446</v>
      </c>
      <c r="D620" t="s">
        <v>9607</v>
      </c>
      <c r="E620" t="s">
        <v>560</v>
      </c>
      <c r="F620" t="s">
        <v>158</v>
      </c>
      <c r="G620" t="s">
        <v>9608</v>
      </c>
      <c r="H620">
        <v>18.899999999999999</v>
      </c>
      <c r="I620">
        <v>0</v>
      </c>
      <c r="J620">
        <v>0</v>
      </c>
      <c r="K620">
        <v>0</v>
      </c>
      <c r="L620">
        <v>7</v>
      </c>
      <c r="O620">
        <v>7</v>
      </c>
      <c r="P620">
        <v>4</v>
      </c>
      <c r="Q620">
        <v>0</v>
      </c>
      <c r="R620">
        <v>29.9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9</v>
      </c>
      <c r="AC620">
        <v>0</v>
      </c>
      <c r="AH620">
        <v>38.9</v>
      </c>
    </row>
    <row r="621" spans="1:34" x14ac:dyDescent="0.3">
      <c r="A621" s="4">
        <v>638</v>
      </c>
      <c r="B621" s="5">
        <v>614</v>
      </c>
      <c r="C621">
        <v>7213</v>
      </c>
      <c r="D621" t="s">
        <v>1619</v>
      </c>
      <c r="E621" t="s">
        <v>54</v>
      </c>
      <c r="F621" t="s">
        <v>167</v>
      </c>
      <c r="G621" t="s">
        <v>9609</v>
      </c>
      <c r="H621">
        <v>18.68</v>
      </c>
      <c r="I621">
        <v>0</v>
      </c>
      <c r="J621">
        <v>0</v>
      </c>
      <c r="K621">
        <v>0</v>
      </c>
      <c r="L621">
        <v>7</v>
      </c>
      <c r="O621">
        <v>7</v>
      </c>
      <c r="P621">
        <v>4</v>
      </c>
      <c r="Q621">
        <v>0</v>
      </c>
      <c r="R621">
        <v>29.68</v>
      </c>
      <c r="S621">
        <v>6</v>
      </c>
      <c r="T621">
        <v>6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6</v>
      </c>
      <c r="AB621">
        <v>3</v>
      </c>
      <c r="AC621">
        <v>0</v>
      </c>
      <c r="AH621">
        <v>38.68</v>
      </c>
    </row>
    <row r="622" spans="1:34" x14ac:dyDescent="0.3">
      <c r="A622" s="4">
        <v>639</v>
      </c>
      <c r="B622" s="5">
        <v>615</v>
      </c>
      <c r="C622">
        <v>9886</v>
      </c>
      <c r="D622" t="s">
        <v>9610</v>
      </c>
      <c r="E622" t="s">
        <v>147</v>
      </c>
      <c r="F622" t="s">
        <v>38</v>
      </c>
      <c r="G622" t="s">
        <v>9611</v>
      </c>
      <c r="H622">
        <v>21.45</v>
      </c>
      <c r="I622">
        <v>0</v>
      </c>
      <c r="J622">
        <v>0</v>
      </c>
      <c r="K622">
        <v>0</v>
      </c>
      <c r="L622">
        <v>7</v>
      </c>
      <c r="O622">
        <v>7</v>
      </c>
      <c r="P622">
        <v>4</v>
      </c>
      <c r="Q622">
        <v>0</v>
      </c>
      <c r="R622">
        <v>32.450000000000003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6</v>
      </c>
      <c r="AC622">
        <v>0</v>
      </c>
      <c r="AH622">
        <v>38.450000000000003</v>
      </c>
    </row>
    <row r="623" spans="1:34" x14ac:dyDescent="0.3">
      <c r="A623" s="4">
        <v>640</v>
      </c>
      <c r="B623" s="5">
        <v>616</v>
      </c>
      <c r="C623">
        <v>6725</v>
      </c>
      <c r="D623" t="s">
        <v>9612</v>
      </c>
      <c r="E623" t="s">
        <v>88</v>
      </c>
      <c r="F623" t="s">
        <v>52</v>
      </c>
      <c r="G623" t="s">
        <v>9613</v>
      </c>
      <c r="H623">
        <v>18.850000000000001</v>
      </c>
      <c r="I623">
        <v>0</v>
      </c>
      <c r="J623">
        <v>0</v>
      </c>
      <c r="K623">
        <v>0</v>
      </c>
      <c r="L623">
        <v>7</v>
      </c>
      <c r="O623">
        <v>7</v>
      </c>
      <c r="P623">
        <v>4</v>
      </c>
      <c r="Q623">
        <v>2</v>
      </c>
      <c r="R623">
        <v>31.85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6</v>
      </c>
      <c r="AC623">
        <v>0</v>
      </c>
      <c r="AH623">
        <v>37.85</v>
      </c>
    </row>
    <row r="624" spans="1:34" x14ac:dyDescent="0.3">
      <c r="A624" s="4">
        <v>641</v>
      </c>
      <c r="B624" s="5">
        <v>617</v>
      </c>
      <c r="C624">
        <v>3637</v>
      </c>
      <c r="D624" t="s">
        <v>28</v>
      </c>
      <c r="E624" t="s">
        <v>825</v>
      </c>
      <c r="F624" t="s">
        <v>30</v>
      </c>
      <c r="G624" t="s">
        <v>9614</v>
      </c>
      <c r="H624">
        <v>20.73</v>
      </c>
      <c r="I624">
        <v>0</v>
      </c>
      <c r="J624">
        <v>0</v>
      </c>
      <c r="K624">
        <v>0</v>
      </c>
      <c r="L624">
        <v>7</v>
      </c>
      <c r="O624">
        <v>7</v>
      </c>
      <c r="P624">
        <v>4</v>
      </c>
      <c r="Q624">
        <v>0</v>
      </c>
      <c r="R624">
        <v>31.73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6</v>
      </c>
      <c r="AC624">
        <v>0</v>
      </c>
      <c r="AH624">
        <v>37.729999999999997</v>
      </c>
    </row>
    <row r="625" spans="1:34" x14ac:dyDescent="0.3">
      <c r="A625" s="4">
        <v>642</v>
      </c>
      <c r="B625" s="5">
        <v>618</v>
      </c>
      <c r="C625">
        <v>10206</v>
      </c>
      <c r="D625" t="s">
        <v>9615</v>
      </c>
      <c r="E625" t="s">
        <v>54</v>
      </c>
      <c r="F625" t="s">
        <v>81</v>
      </c>
      <c r="G625" t="s">
        <v>9616</v>
      </c>
      <c r="H625">
        <v>20.63</v>
      </c>
      <c r="I625">
        <v>0</v>
      </c>
      <c r="J625">
        <v>0</v>
      </c>
      <c r="K625">
        <v>0</v>
      </c>
      <c r="L625">
        <v>7</v>
      </c>
      <c r="O625">
        <v>7</v>
      </c>
      <c r="P625">
        <v>0</v>
      </c>
      <c r="Q625">
        <v>0</v>
      </c>
      <c r="R625">
        <v>27.63</v>
      </c>
      <c r="S625">
        <v>4</v>
      </c>
      <c r="T625">
        <v>4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4</v>
      </c>
      <c r="AB625">
        <v>6</v>
      </c>
      <c r="AC625">
        <v>0</v>
      </c>
      <c r="AH625">
        <v>37.630000000000003</v>
      </c>
    </row>
    <row r="626" spans="1:34" x14ac:dyDescent="0.3">
      <c r="A626" s="4">
        <v>643</v>
      </c>
      <c r="B626" s="5">
        <v>619</v>
      </c>
      <c r="C626">
        <v>1063</v>
      </c>
      <c r="D626" t="s">
        <v>7344</v>
      </c>
      <c r="E626" t="s">
        <v>29</v>
      </c>
      <c r="F626" t="s">
        <v>136</v>
      </c>
      <c r="G626" t="s">
        <v>9617</v>
      </c>
      <c r="H626">
        <v>20.58</v>
      </c>
      <c r="I626">
        <v>0</v>
      </c>
      <c r="J626">
        <v>0</v>
      </c>
      <c r="K626">
        <v>0</v>
      </c>
      <c r="L626">
        <v>7</v>
      </c>
      <c r="O626">
        <v>7</v>
      </c>
      <c r="P626">
        <v>4</v>
      </c>
      <c r="Q626">
        <v>0</v>
      </c>
      <c r="R626">
        <v>31.58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6</v>
      </c>
      <c r="AC626">
        <v>0</v>
      </c>
      <c r="AH626">
        <v>37.58</v>
      </c>
    </row>
    <row r="627" spans="1:34" x14ac:dyDescent="0.3">
      <c r="A627" s="4">
        <v>644</v>
      </c>
      <c r="B627" s="5">
        <v>620</v>
      </c>
      <c r="C627">
        <v>9085</v>
      </c>
      <c r="D627" t="s">
        <v>9618</v>
      </c>
      <c r="E627" t="s">
        <v>1025</v>
      </c>
      <c r="F627" t="s">
        <v>20</v>
      </c>
      <c r="G627" t="s">
        <v>9619</v>
      </c>
      <c r="H627">
        <v>17.579999999999998</v>
      </c>
      <c r="I627">
        <v>0</v>
      </c>
      <c r="J627">
        <v>0</v>
      </c>
      <c r="K627">
        <v>20</v>
      </c>
      <c r="O627">
        <v>0</v>
      </c>
      <c r="P627">
        <v>0</v>
      </c>
      <c r="Q627">
        <v>0</v>
      </c>
      <c r="R627">
        <v>37.58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H627">
        <v>37.58</v>
      </c>
    </row>
    <row r="628" spans="1:34" x14ac:dyDescent="0.3">
      <c r="A628" s="4">
        <v>645</v>
      </c>
      <c r="B628" s="5">
        <v>621</v>
      </c>
      <c r="C628">
        <v>11147</v>
      </c>
      <c r="D628" t="s">
        <v>9620</v>
      </c>
      <c r="E628" t="s">
        <v>9621</v>
      </c>
      <c r="F628" t="s">
        <v>158</v>
      </c>
      <c r="G628" t="s">
        <v>9622</v>
      </c>
      <c r="H628">
        <v>18.5</v>
      </c>
      <c r="I628">
        <v>0</v>
      </c>
      <c r="J628">
        <v>0</v>
      </c>
      <c r="K628">
        <v>0</v>
      </c>
      <c r="L628">
        <v>7</v>
      </c>
      <c r="O628">
        <v>7</v>
      </c>
      <c r="P628">
        <v>4</v>
      </c>
      <c r="Q628">
        <v>2</v>
      </c>
      <c r="R628">
        <v>31.5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6</v>
      </c>
      <c r="AC628">
        <v>0</v>
      </c>
      <c r="AH628">
        <v>37.5</v>
      </c>
    </row>
    <row r="629" spans="1:34" x14ac:dyDescent="0.3">
      <c r="A629" s="4">
        <v>646</v>
      </c>
      <c r="B629" s="5">
        <v>622</v>
      </c>
      <c r="C629">
        <v>9632</v>
      </c>
      <c r="D629" t="s">
        <v>9623</v>
      </c>
      <c r="E629" t="s">
        <v>9624</v>
      </c>
      <c r="F629" t="s">
        <v>9625</v>
      </c>
      <c r="G629" t="s">
        <v>9626</v>
      </c>
      <c r="H629">
        <v>17.28</v>
      </c>
      <c r="I629">
        <v>0</v>
      </c>
      <c r="J629">
        <v>0</v>
      </c>
      <c r="K629">
        <v>20</v>
      </c>
      <c r="O629">
        <v>0</v>
      </c>
      <c r="P629">
        <v>0</v>
      </c>
      <c r="Q629">
        <v>0</v>
      </c>
      <c r="R629">
        <v>37.28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H629">
        <v>37.28</v>
      </c>
    </row>
    <row r="630" spans="1:34" x14ac:dyDescent="0.3">
      <c r="A630" s="4">
        <v>647</v>
      </c>
      <c r="B630" s="5">
        <v>623</v>
      </c>
      <c r="C630">
        <v>5048</v>
      </c>
      <c r="D630" t="s">
        <v>9627</v>
      </c>
      <c r="E630" t="s">
        <v>33</v>
      </c>
      <c r="F630" t="s">
        <v>9628</v>
      </c>
      <c r="G630" t="s">
        <v>9629</v>
      </c>
      <c r="H630">
        <v>17.68</v>
      </c>
      <c r="I630">
        <v>0</v>
      </c>
      <c r="J630">
        <v>0</v>
      </c>
      <c r="K630">
        <v>0</v>
      </c>
      <c r="L630">
        <v>7</v>
      </c>
      <c r="N630">
        <v>3</v>
      </c>
      <c r="O630">
        <v>10</v>
      </c>
      <c r="P630">
        <v>4</v>
      </c>
      <c r="Q630">
        <v>2</v>
      </c>
      <c r="R630">
        <v>33.68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3</v>
      </c>
      <c r="AC630">
        <v>0</v>
      </c>
      <c r="AH630">
        <v>36.68</v>
      </c>
    </row>
    <row r="631" spans="1:34" x14ac:dyDescent="0.3">
      <c r="A631" s="4">
        <v>648</v>
      </c>
      <c r="B631" s="5">
        <v>624</v>
      </c>
      <c r="C631">
        <v>6152</v>
      </c>
      <c r="D631" t="s">
        <v>4749</v>
      </c>
      <c r="E631" t="s">
        <v>208</v>
      </c>
      <c r="F631" t="s">
        <v>68</v>
      </c>
      <c r="G631" t="s">
        <v>9630</v>
      </c>
      <c r="H631">
        <v>16.399999999999999</v>
      </c>
      <c r="I631">
        <v>0</v>
      </c>
      <c r="J631">
        <v>0</v>
      </c>
      <c r="K631">
        <v>20</v>
      </c>
      <c r="O631">
        <v>0</v>
      </c>
      <c r="P631">
        <v>0</v>
      </c>
      <c r="Q631">
        <v>0</v>
      </c>
      <c r="R631">
        <v>36.4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H631">
        <v>36.4</v>
      </c>
    </row>
    <row r="632" spans="1:34" x14ac:dyDescent="0.3">
      <c r="A632" s="4">
        <v>649</v>
      </c>
      <c r="B632" s="5">
        <v>625</v>
      </c>
      <c r="C632">
        <v>13265</v>
      </c>
      <c r="D632" t="s">
        <v>4607</v>
      </c>
      <c r="E632" t="s">
        <v>5139</v>
      </c>
      <c r="F632" t="s">
        <v>14</v>
      </c>
      <c r="G632" t="s">
        <v>9631</v>
      </c>
      <c r="H632">
        <v>20.38</v>
      </c>
      <c r="I632">
        <v>0</v>
      </c>
      <c r="J632">
        <v>0</v>
      </c>
      <c r="K632">
        <v>0</v>
      </c>
      <c r="L632">
        <v>7</v>
      </c>
      <c r="N632">
        <v>3</v>
      </c>
      <c r="O632">
        <v>10</v>
      </c>
      <c r="P632">
        <v>4</v>
      </c>
      <c r="Q632">
        <v>2</v>
      </c>
      <c r="R632">
        <v>36.380000000000003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H632">
        <v>36.380000000000003</v>
      </c>
    </row>
    <row r="633" spans="1:34" x14ac:dyDescent="0.3">
      <c r="A633" s="4">
        <v>650</v>
      </c>
      <c r="B633" s="5">
        <v>626</v>
      </c>
      <c r="C633">
        <v>11124</v>
      </c>
      <c r="D633" t="s">
        <v>1129</v>
      </c>
      <c r="E633" t="s">
        <v>26</v>
      </c>
      <c r="F633" t="s">
        <v>38</v>
      </c>
      <c r="G633" t="s">
        <v>9632</v>
      </c>
      <c r="H633">
        <v>21.33</v>
      </c>
      <c r="I633">
        <v>0</v>
      </c>
      <c r="J633">
        <v>0</v>
      </c>
      <c r="K633">
        <v>0</v>
      </c>
      <c r="O633">
        <v>0</v>
      </c>
      <c r="P633">
        <v>4</v>
      </c>
      <c r="Q633">
        <v>2</v>
      </c>
      <c r="R633">
        <v>27.33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9</v>
      </c>
      <c r="AC633">
        <v>0</v>
      </c>
      <c r="AH633">
        <v>36.33</v>
      </c>
    </row>
    <row r="634" spans="1:34" x14ac:dyDescent="0.3">
      <c r="A634" s="4">
        <v>651</v>
      </c>
      <c r="B634" s="5">
        <v>627</v>
      </c>
      <c r="C634">
        <v>14865</v>
      </c>
      <c r="D634" t="s">
        <v>9633</v>
      </c>
      <c r="E634" t="s">
        <v>166</v>
      </c>
      <c r="F634" t="s">
        <v>1526</v>
      </c>
      <c r="G634" t="s">
        <v>9634</v>
      </c>
      <c r="H634">
        <v>19.28</v>
      </c>
      <c r="I634">
        <v>0</v>
      </c>
      <c r="J634">
        <v>0</v>
      </c>
      <c r="K634">
        <v>0</v>
      </c>
      <c r="O634">
        <v>0</v>
      </c>
      <c r="P634">
        <v>4</v>
      </c>
      <c r="Q634">
        <v>0</v>
      </c>
      <c r="R634">
        <v>23.28</v>
      </c>
      <c r="S634">
        <v>13</v>
      </c>
      <c r="T634">
        <v>13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13</v>
      </c>
      <c r="AB634">
        <v>0</v>
      </c>
      <c r="AC634">
        <v>0</v>
      </c>
      <c r="AH634">
        <v>36.28</v>
      </c>
    </row>
    <row r="635" spans="1:34" x14ac:dyDescent="0.3">
      <c r="A635" s="4">
        <v>652</v>
      </c>
      <c r="B635" s="5">
        <v>628</v>
      </c>
      <c r="C635">
        <v>4944</v>
      </c>
      <c r="D635" t="s">
        <v>9635</v>
      </c>
      <c r="E635" t="s">
        <v>1089</v>
      </c>
      <c r="F635" t="s">
        <v>9636</v>
      </c>
      <c r="G635" t="s">
        <v>9637</v>
      </c>
      <c r="H635">
        <v>19.13</v>
      </c>
      <c r="I635">
        <v>0</v>
      </c>
      <c r="J635">
        <v>0</v>
      </c>
      <c r="K635">
        <v>0</v>
      </c>
      <c r="N635">
        <v>3</v>
      </c>
      <c r="O635">
        <v>3</v>
      </c>
      <c r="P635">
        <v>4</v>
      </c>
      <c r="Q635">
        <v>0</v>
      </c>
      <c r="R635">
        <v>26.13</v>
      </c>
      <c r="S635">
        <v>7</v>
      </c>
      <c r="T635">
        <v>7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7</v>
      </c>
      <c r="AB635">
        <v>3</v>
      </c>
      <c r="AC635">
        <v>0</v>
      </c>
      <c r="AH635">
        <v>36.130000000000003</v>
      </c>
    </row>
    <row r="636" spans="1:34" x14ac:dyDescent="0.3">
      <c r="A636" s="4">
        <v>653</v>
      </c>
      <c r="B636" s="5">
        <v>629</v>
      </c>
      <c r="C636">
        <v>7067</v>
      </c>
      <c r="D636" t="s">
        <v>9638</v>
      </c>
      <c r="E636" t="s">
        <v>41</v>
      </c>
      <c r="F636" t="s">
        <v>328</v>
      </c>
      <c r="G636" t="s">
        <v>9639</v>
      </c>
      <c r="H636">
        <v>20</v>
      </c>
      <c r="I636">
        <v>0</v>
      </c>
      <c r="J636">
        <v>0</v>
      </c>
      <c r="K636">
        <v>0</v>
      </c>
      <c r="L636">
        <v>7</v>
      </c>
      <c r="N636">
        <v>3</v>
      </c>
      <c r="O636">
        <v>10</v>
      </c>
      <c r="P636">
        <v>4</v>
      </c>
      <c r="Q636">
        <v>2</v>
      </c>
      <c r="R636">
        <v>36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H636">
        <v>36</v>
      </c>
    </row>
    <row r="637" spans="1:34" x14ac:dyDescent="0.3">
      <c r="A637" s="4">
        <v>654</v>
      </c>
      <c r="B637" s="5">
        <v>630</v>
      </c>
      <c r="C637">
        <v>6082</v>
      </c>
      <c r="D637" t="s">
        <v>9640</v>
      </c>
      <c r="E637" t="s">
        <v>88</v>
      </c>
      <c r="F637" t="s">
        <v>38</v>
      </c>
      <c r="G637" t="s">
        <v>9641</v>
      </c>
      <c r="H637">
        <v>21.93</v>
      </c>
      <c r="I637">
        <v>7</v>
      </c>
      <c r="J637">
        <v>0</v>
      </c>
      <c r="K637">
        <v>0</v>
      </c>
      <c r="L637">
        <v>7</v>
      </c>
      <c r="O637">
        <v>7</v>
      </c>
      <c r="P637">
        <v>0</v>
      </c>
      <c r="Q637">
        <v>0</v>
      </c>
      <c r="R637">
        <v>35.93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H637">
        <v>35.93</v>
      </c>
    </row>
    <row r="638" spans="1:34" x14ac:dyDescent="0.3">
      <c r="A638" s="4">
        <v>655</v>
      </c>
      <c r="B638" s="5">
        <v>631</v>
      </c>
      <c r="C638">
        <v>2860</v>
      </c>
      <c r="D638" t="s">
        <v>387</v>
      </c>
      <c r="E638" t="s">
        <v>166</v>
      </c>
      <c r="F638" t="s">
        <v>6414</v>
      </c>
      <c r="G638" t="s">
        <v>9642</v>
      </c>
      <c r="H638">
        <v>21.88</v>
      </c>
      <c r="I638">
        <v>0</v>
      </c>
      <c r="J638">
        <v>0</v>
      </c>
      <c r="K638">
        <v>0</v>
      </c>
      <c r="L638">
        <v>7</v>
      </c>
      <c r="N638">
        <v>3</v>
      </c>
      <c r="O638">
        <v>10</v>
      </c>
      <c r="P638">
        <v>4</v>
      </c>
      <c r="Q638">
        <v>0</v>
      </c>
      <c r="R638">
        <v>35.880000000000003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H638">
        <v>35.880000000000003</v>
      </c>
    </row>
    <row r="639" spans="1:34" x14ac:dyDescent="0.3">
      <c r="A639" s="4">
        <v>656</v>
      </c>
      <c r="B639" s="5">
        <v>632</v>
      </c>
      <c r="C639">
        <v>10425</v>
      </c>
      <c r="D639" t="s">
        <v>9643</v>
      </c>
      <c r="E639" t="s">
        <v>110</v>
      </c>
      <c r="F639" t="s">
        <v>649</v>
      </c>
      <c r="G639" t="s">
        <v>9644</v>
      </c>
      <c r="H639">
        <v>19.8</v>
      </c>
      <c r="I639">
        <v>0</v>
      </c>
      <c r="J639">
        <v>0</v>
      </c>
      <c r="K639">
        <v>0</v>
      </c>
      <c r="N639">
        <v>3</v>
      </c>
      <c r="O639">
        <v>3</v>
      </c>
      <c r="P639">
        <v>4</v>
      </c>
      <c r="Q639">
        <v>0</v>
      </c>
      <c r="R639">
        <v>26.8</v>
      </c>
      <c r="S639">
        <v>6</v>
      </c>
      <c r="T639">
        <v>6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6</v>
      </c>
      <c r="AB639">
        <v>3</v>
      </c>
      <c r="AC639">
        <v>0</v>
      </c>
      <c r="AD639" t="s">
        <v>130</v>
      </c>
      <c r="AH639">
        <v>35.799999999999997</v>
      </c>
    </row>
    <row r="640" spans="1:34" x14ac:dyDescent="0.3">
      <c r="A640" s="4">
        <v>657</v>
      </c>
      <c r="B640" s="5">
        <v>633</v>
      </c>
      <c r="C640">
        <v>15139</v>
      </c>
      <c r="D640" t="s">
        <v>389</v>
      </c>
      <c r="E640" t="s">
        <v>22</v>
      </c>
      <c r="F640" t="s">
        <v>30</v>
      </c>
      <c r="G640" t="s">
        <v>9645</v>
      </c>
      <c r="H640">
        <v>19.68</v>
      </c>
      <c r="I640">
        <v>0</v>
      </c>
      <c r="J640">
        <v>0</v>
      </c>
      <c r="K640">
        <v>0</v>
      </c>
      <c r="O640">
        <v>0</v>
      </c>
      <c r="P640">
        <v>4</v>
      </c>
      <c r="Q640">
        <v>0</v>
      </c>
      <c r="R640">
        <v>23.68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12</v>
      </c>
      <c r="AC640">
        <v>0</v>
      </c>
      <c r="AH640">
        <v>35.68</v>
      </c>
    </row>
    <row r="641" spans="1:34" x14ac:dyDescent="0.3">
      <c r="A641" s="4">
        <v>658</v>
      </c>
      <c r="B641" s="5">
        <v>634</v>
      </c>
      <c r="C641">
        <v>607</v>
      </c>
      <c r="D641" t="s">
        <v>9646</v>
      </c>
      <c r="E641" t="s">
        <v>143</v>
      </c>
      <c r="F641" t="s">
        <v>62</v>
      </c>
      <c r="G641" t="s">
        <v>9647</v>
      </c>
      <c r="H641">
        <v>21.18</v>
      </c>
      <c r="I641">
        <v>0</v>
      </c>
      <c r="J641">
        <v>0</v>
      </c>
      <c r="K641">
        <v>0</v>
      </c>
      <c r="L641">
        <v>7</v>
      </c>
      <c r="N641">
        <v>3</v>
      </c>
      <c r="O641">
        <v>10</v>
      </c>
      <c r="P641">
        <v>4</v>
      </c>
      <c r="Q641">
        <v>0</v>
      </c>
      <c r="R641">
        <v>35.18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H641">
        <v>35.18</v>
      </c>
    </row>
    <row r="642" spans="1:34" x14ac:dyDescent="0.3">
      <c r="A642" s="4">
        <v>659</v>
      </c>
      <c r="B642" s="5">
        <v>635</v>
      </c>
      <c r="C642">
        <v>13179</v>
      </c>
      <c r="D642" t="s">
        <v>9648</v>
      </c>
      <c r="E642" t="s">
        <v>575</v>
      </c>
      <c r="F642" t="s">
        <v>190</v>
      </c>
      <c r="G642" t="s">
        <v>9649</v>
      </c>
      <c r="H642">
        <v>15.15</v>
      </c>
      <c r="I642">
        <v>0</v>
      </c>
      <c r="J642">
        <v>0</v>
      </c>
      <c r="K642">
        <v>0</v>
      </c>
      <c r="L642">
        <v>7</v>
      </c>
      <c r="O642">
        <v>7</v>
      </c>
      <c r="P642">
        <v>4</v>
      </c>
      <c r="Q642">
        <v>0</v>
      </c>
      <c r="R642">
        <v>26.15</v>
      </c>
      <c r="S642">
        <v>3</v>
      </c>
      <c r="T642">
        <v>3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3</v>
      </c>
      <c r="AB642">
        <v>6</v>
      </c>
      <c r="AC642">
        <v>0</v>
      </c>
      <c r="AH642">
        <v>35.15</v>
      </c>
    </row>
    <row r="643" spans="1:34" x14ac:dyDescent="0.3">
      <c r="A643" s="4">
        <v>660</v>
      </c>
      <c r="B643" s="5">
        <v>636</v>
      </c>
      <c r="C643">
        <v>5816</v>
      </c>
      <c r="D643" t="s">
        <v>9650</v>
      </c>
      <c r="E643" t="s">
        <v>342</v>
      </c>
      <c r="F643" t="s">
        <v>136</v>
      </c>
      <c r="G643" t="s">
        <v>9651</v>
      </c>
      <c r="H643">
        <v>18.03</v>
      </c>
      <c r="I643">
        <v>0</v>
      </c>
      <c r="J643">
        <v>0</v>
      </c>
      <c r="K643">
        <v>0</v>
      </c>
      <c r="N643">
        <v>6</v>
      </c>
      <c r="O643">
        <v>6</v>
      </c>
      <c r="P643">
        <v>0</v>
      </c>
      <c r="Q643">
        <v>2</v>
      </c>
      <c r="R643">
        <v>26.03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9</v>
      </c>
      <c r="AC643">
        <v>0</v>
      </c>
      <c r="AH643">
        <v>35.03</v>
      </c>
    </row>
    <row r="644" spans="1:34" x14ac:dyDescent="0.3">
      <c r="A644" s="4">
        <v>661</v>
      </c>
      <c r="B644" s="5">
        <v>637</v>
      </c>
      <c r="C644">
        <v>13431</v>
      </c>
      <c r="D644" t="s">
        <v>3377</v>
      </c>
      <c r="E644" t="s">
        <v>166</v>
      </c>
      <c r="F644" t="s">
        <v>136</v>
      </c>
      <c r="G644" t="s">
        <v>9652</v>
      </c>
      <c r="H644">
        <v>21.95</v>
      </c>
      <c r="I644">
        <v>0</v>
      </c>
      <c r="J644">
        <v>0</v>
      </c>
      <c r="K644">
        <v>0</v>
      </c>
      <c r="N644">
        <v>3</v>
      </c>
      <c r="O644">
        <v>3</v>
      </c>
      <c r="P644">
        <v>4</v>
      </c>
      <c r="Q644">
        <v>0</v>
      </c>
      <c r="R644">
        <v>28.95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6</v>
      </c>
      <c r="AC644">
        <v>0</v>
      </c>
      <c r="AH644">
        <v>34.950000000000003</v>
      </c>
    </row>
    <row r="645" spans="1:34" x14ac:dyDescent="0.3">
      <c r="A645" s="4">
        <v>662</v>
      </c>
      <c r="B645" s="5">
        <v>638</v>
      </c>
      <c r="C645">
        <v>10115</v>
      </c>
      <c r="D645" t="s">
        <v>9653</v>
      </c>
      <c r="E645" t="s">
        <v>110</v>
      </c>
      <c r="F645" t="s">
        <v>343</v>
      </c>
      <c r="G645" t="s">
        <v>9654</v>
      </c>
      <c r="H645">
        <v>18.899999999999999</v>
      </c>
      <c r="I645">
        <v>0</v>
      </c>
      <c r="J645">
        <v>0</v>
      </c>
      <c r="K645">
        <v>0</v>
      </c>
      <c r="L645">
        <v>7</v>
      </c>
      <c r="N645">
        <v>3</v>
      </c>
      <c r="O645">
        <v>10</v>
      </c>
      <c r="P645">
        <v>4</v>
      </c>
      <c r="Q645">
        <v>2</v>
      </c>
      <c r="R645">
        <v>34.9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H645">
        <v>34.9</v>
      </c>
    </row>
    <row r="646" spans="1:34" x14ac:dyDescent="0.3">
      <c r="A646" s="4">
        <v>663</v>
      </c>
      <c r="B646" s="5">
        <v>639</v>
      </c>
      <c r="C646">
        <v>10674</v>
      </c>
      <c r="D646" t="s">
        <v>9655</v>
      </c>
      <c r="E646" t="s">
        <v>29</v>
      </c>
      <c r="F646" t="s">
        <v>136</v>
      </c>
      <c r="G646" t="s">
        <v>9656</v>
      </c>
      <c r="H646">
        <v>16.8</v>
      </c>
      <c r="I646">
        <v>0</v>
      </c>
      <c r="J646">
        <v>0</v>
      </c>
      <c r="K646">
        <v>0</v>
      </c>
      <c r="M646">
        <v>5</v>
      </c>
      <c r="N646">
        <v>3</v>
      </c>
      <c r="O646">
        <v>8</v>
      </c>
      <c r="P646">
        <v>4</v>
      </c>
      <c r="Q646">
        <v>0</v>
      </c>
      <c r="R646">
        <v>28.8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6</v>
      </c>
      <c r="AC646">
        <v>0</v>
      </c>
      <c r="AH646">
        <v>34.799999999999997</v>
      </c>
    </row>
    <row r="647" spans="1:34" x14ac:dyDescent="0.3">
      <c r="A647" s="4">
        <v>664</v>
      </c>
      <c r="B647" s="5">
        <v>640</v>
      </c>
      <c r="C647">
        <v>278</v>
      </c>
      <c r="D647" t="s">
        <v>577</v>
      </c>
      <c r="E647" t="s">
        <v>268</v>
      </c>
      <c r="F647" t="s">
        <v>68</v>
      </c>
      <c r="G647" t="s">
        <v>9657</v>
      </c>
      <c r="H647">
        <v>18.8</v>
      </c>
      <c r="I647">
        <v>0</v>
      </c>
      <c r="J647">
        <v>0</v>
      </c>
      <c r="K647">
        <v>0</v>
      </c>
      <c r="L647">
        <v>7</v>
      </c>
      <c r="N647">
        <v>3</v>
      </c>
      <c r="O647">
        <v>10</v>
      </c>
      <c r="P647">
        <v>4</v>
      </c>
      <c r="Q647">
        <v>2</v>
      </c>
      <c r="R647">
        <v>34.799999999999997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H647">
        <v>34.799999999999997</v>
      </c>
    </row>
    <row r="648" spans="1:34" x14ac:dyDescent="0.3">
      <c r="A648" s="4">
        <v>665</v>
      </c>
      <c r="B648" s="5">
        <v>641</v>
      </c>
      <c r="C648">
        <v>5960</v>
      </c>
      <c r="D648" t="s">
        <v>4051</v>
      </c>
      <c r="E648" t="s">
        <v>9658</v>
      </c>
      <c r="F648" t="s">
        <v>259</v>
      </c>
      <c r="G648" t="s">
        <v>9659</v>
      </c>
      <c r="H648">
        <v>22.7</v>
      </c>
      <c r="I648">
        <v>0</v>
      </c>
      <c r="J648">
        <v>0</v>
      </c>
      <c r="K648">
        <v>0</v>
      </c>
      <c r="N648">
        <v>6</v>
      </c>
      <c r="O648">
        <v>6</v>
      </c>
      <c r="P648">
        <v>4</v>
      </c>
      <c r="Q648">
        <v>2</v>
      </c>
      <c r="R648">
        <v>34.700000000000003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H648">
        <v>34.700000000000003</v>
      </c>
    </row>
    <row r="649" spans="1:34" x14ac:dyDescent="0.3">
      <c r="A649" s="4">
        <v>666</v>
      </c>
      <c r="B649" s="5">
        <v>642</v>
      </c>
      <c r="C649">
        <v>7073</v>
      </c>
      <c r="D649" t="s">
        <v>6556</v>
      </c>
      <c r="E649" t="s">
        <v>29</v>
      </c>
      <c r="F649" t="s">
        <v>158</v>
      </c>
      <c r="G649" t="s">
        <v>9660</v>
      </c>
      <c r="H649">
        <v>19.63</v>
      </c>
      <c r="I649">
        <v>0</v>
      </c>
      <c r="J649">
        <v>0</v>
      </c>
      <c r="K649">
        <v>0</v>
      </c>
      <c r="N649">
        <v>3</v>
      </c>
      <c r="O649">
        <v>3</v>
      </c>
      <c r="P649">
        <v>4</v>
      </c>
      <c r="Q649">
        <v>2</v>
      </c>
      <c r="R649">
        <v>28.63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6</v>
      </c>
      <c r="AC649">
        <v>0</v>
      </c>
      <c r="AH649">
        <v>34.630000000000003</v>
      </c>
    </row>
    <row r="650" spans="1:34" x14ac:dyDescent="0.3">
      <c r="A650" s="4">
        <v>667</v>
      </c>
      <c r="B650" s="5">
        <v>643</v>
      </c>
      <c r="C650">
        <v>2747</v>
      </c>
      <c r="D650" t="s">
        <v>572</v>
      </c>
      <c r="E650" t="s">
        <v>22</v>
      </c>
      <c r="F650" t="s">
        <v>38</v>
      </c>
      <c r="G650" t="s">
        <v>9661</v>
      </c>
      <c r="H650">
        <v>21.58</v>
      </c>
      <c r="I650">
        <v>0</v>
      </c>
      <c r="J650">
        <v>0</v>
      </c>
      <c r="K650">
        <v>0</v>
      </c>
      <c r="L650">
        <v>7</v>
      </c>
      <c r="O650">
        <v>7</v>
      </c>
      <c r="P650">
        <v>0</v>
      </c>
      <c r="Q650">
        <v>0</v>
      </c>
      <c r="R650">
        <v>28.58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6</v>
      </c>
      <c r="AC650">
        <v>0</v>
      </c>
      <c r="AH650">
        <v>34.58</v>
      </c>
    </row>
    <row r="651" spans="1:34" x14ac:dyDescent="0.3">
      <c r="A651" s="4">
        <v>668</v>
      </c>
      <c r="B651" s="5">
        <v>644</v>
      </c>
      <c r="C651">
        <v>13845</v>
      </c>
      <c r="D651" t="s">
        <v>784</v>
      </c>
      <c r="E651" t="s">
        <v>132</v>
      </c>
      <c r="F651" t="s">
        <v>416</v>
      </c>
      <c r="G651" t="s">
        <v>9662</v>
      </c>
      <c r="H651">
        <v>19.55</v>
      </c>
      <c r="I651">
        <v>0</v>
      </c>
      <c r="J651">
        <v>0</v>
      </c>
      <c r="K651">
        <v>0</v>
      </c>
      <c r="N651">
        <v>3</v>
      </c>
      <c r="O651">
        <v>3</v>
      </c>
      <c r="P651">
        <v>4</v>
      </c>
      <c r="Q651">
        <v>2</v>
      </c>
      <c r="R651">
        <v>28.55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6</v>
      </c>
      <c r="AC651">
        <v>0</v>
      </c>
      <c r="AH651">
        <v>34.549999999999997</v>
      </c>
    </row>
    <row r="652" spans="1:34" x14ac:dyDescent="0.3">
      <c r="A652" s="4">
        <v>669</v>
      </c>
      <c r="B652" s="5">
        <v>645</v>
      </c>
      <c r="C652">
        <v>6689</v>
      </c>
      <c r="D652" t="s">
        <v>8800</v>
      </c>
      <c r="E652" t="s">
        <v>88</v>
      </c>
      <c r="F652" t="s">
        <v>136</v>
      </c>
      <c r="G652" t="s">
        <v>9663</v>
      </c>
      <c r="H652">
        <v>21.53</v>
      </c>
      <c r="I652">
        <v>0</v>
      </c>
      <c r="J652">
        <v>0</v>
      </c>
      <c r="K652">
        <v>0</v>
      </c>
      <c r="L652">
        <v>7</v>
      </c>
      <c r="O652">
        <v>7</v>
      </c>
      <c r="P652">
        <v>4</v>
      </c>
      <c r="Q652">
        <v>2</v>
      </c>
      <c r="R652">
        <v>34.53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H652">
        <v>34.53</v>
      </c>
    </row>
    <row r="653" spans="1:34" x14ac:dyDescent="0.3">
      <c r="A653" s="4">
        <v>670</v>
      </c>
      <c r="B653" s="5">
        <v>646</v>
      </c>
      <c r="C653">
        <v>14627</v>
      </c>
      <c r="D653" t="s">
        <v>4521</v>
      </c>
      <c r="E653" t="s">
        <v>2481</v>
      </c>
      <c r="F653" t="s">
        <v>346</v>
      </c>
      <c r="G653" t="s">
        <v>4522</v>
      </c>
      <c r="H653">
        <v>16.45</v>
      </c>
      <c r="I653">
        <v>0</v>
      </c>
      <c r="J653">
        <v>0</v>
      </c>
      <c r="K653">
        <v>0</v>
      </c>
      <c r="N653">
        <v>3</v>
      </c>
      <c r="O653">
        <v>3</v>
      </c>
      <c r="P653">
        <v>4</v>
      </c>
      <c r="Q653">
        <v>2</v>
      </c>
      <c r="R653">
        <v>25.45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9</v>
      </c>
      <c r="AC653">
        <v>0</v>
      </c>
      <c r="AH653">
        <v>34.450000000000003</v>
      </c>
    </row>
    <row r="654" spans="1:34" x14ac:dyDescent="0.3">
      <c r="A654" s="4">
        <v>671</v>
      </c>
      <c r="B654" s="5">
        <v>647</v>
      </c>
      <c r="C654">
        <v>6400</v>
      </c>
      <c r="D654" t="s">
        <v>181</v>
      </c>
      <c r="E654" t="s">
        <v>9664</v>
      </c>
      <c r="F654" t="s">
        <v>158</v>
      </c>
      <c r="G654" t="s">
        <v>9665</v>
      </c>
      <c r="H654">
        <v>21.4</v>
      </c>
      <c r="I654">
        <v>0</v>
      </c>
      <c r="J654">
        <v>0</v>
      </c>
      <c r="K654">
        <v>0</v>
      </c>
      <c r="N654">
        <v>3</v>
      </c>
      <c r="O654">
        <v>3</v>
      </c>
      <c r="P654">
        <v>4</v>
      </c>
      <c r="Q654">
        <v>0</v>
      </c>
      <c r="R654">
        <v>28.4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6</v>
      </c>
      <c r="AC654">
        <v>0</v>
      </c>
      <c r="AH654">
        <v>34.4</v>
      </c>
    </row>
    <row r="655" spans="1:34" x14ac:dyDescent="0.3">
      <c r="A655" s="4">
        <v>672</v>
      </c>
      <c r="B655" s="5">
        <v>648</v>
      </c>
      <c r="C655">
        <v>3570</v>
      </c>
      <c r="D655" t="s">
        <v>9666</v>
      </c>
      <c r="E655" t="s">
        <v>9667</v>
      </c>
      <c r="F655" t="s">
        <v>20</v>
      </c>
      <c r="H655">
        <v>20.399999999999999</v>
      </c>
      <c r="I655">
        <v>0</v>
      </c>
      <c r="J655">
        <v>0</v>
      </c>
      <c r="K655">
        <v>0</v>
      </c>
      <c r="L655">
        <v>7</v>
      </c>
      <c r="N655">
        <v>3</v>
      </c>
      <c r="O655">
        <v>10</v>
      </c>
      <c r="P655">
        <v>4</v>
      </c>
      <c r="Q655">
        <v>0</v>
      </c>
      <c r="R655">
        <v>34.4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H655">
        <v>34.4</v>
      </c>
    </row>
    <row r="656" spans="1:34" x14ac:dyDescent="0.3">
      <c r="A656" s="4">
        <v>673</v>
      </c>
      <c r="B656" s="5">
        <v>649</v>
      </c>
      <c r="C656">
        <v>9114</v>
      </c>
      <c r="D656" t="s">
        <v>9668</v>
      </c>
      <c r="E656" t="s">
        <v>1189</v>
      </c>
      <c r="F656" t="s">
        <v>9669</v>
      </c>
      <c r="G656" t="s">
        <v>9670</v>
      </c>
      <c r="H656">
        <v>19.25</v>
      </c>
      <c r="I656">
        <v>0</v>
      </c>
      <c r="J656">
        <v>0</v>
      </c>
      <c r="K656">
        <v>0</v>
      </c>
      <c r="L656">
        <v>7</v>
      </c>
      <c r="M656">
        <v>5</v>
      </c>
      <c r="O656">
        <v>12</v>
      </c>
      <c r="P656">
        <v>0</v>
      </c>
      <c r="Q656">
        <v>0</v>
      </c>
      <c r="R656">
        <v>31.25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3</v>
      </c>
      <c r="AC656">
        <v>0</v>
      </c>
      <c r="AH656">
        <v>34.25</v>
      </c>
    </row>
    <row r="657" spans="1:34" x14ac:dyDescent="0.3">
      <c r="A657" s="4">
        <v>674</v>
      </c>
      <c r="B657" s="5">
        <v>650</v>
      </c>
      <c r="C657">
        <v>15698</v>
      </c>
      <c r="D657" t="s">
        <v>2685</v>
      </c>
      <c r="E657" t="s">
        <v>22</v>
      </c>
      <c r="F657" t="s">
        <v>1806</v>
      </c>
      <c r="G657" t="s">
        <v>9671</v>
      </c>
      <c r="H657">
        <v>20.100000000000001</v>
      </c>
      <c r="I657">
        <v>0</v>
      </c>
      <c r="J657">
        <v>0</v>
      </c>
      <c r="K657">
        <v>0</v>
      </c>
      <c r="L657">
        <v>7</v>
      </c>
      <c r="O657">
        <v>7</v>
      </c>
      <c r="P657">
        <v>4</v>
      </c>
      <c r="Q657">
        <v>0</v>
      </c>
      <c r="R657">
        <v>31.1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3</v>
      </c>
      <c r="AC657">
        <v>0</v>
      </c>
      <c r="AH657">
        <v>34.1</v>
      </c>
    </row>
    <row r="658" spans="1:34" x14ac:dyDescent="0.3">
      <c r="A658" s="4">
        <v>675</v>
      </c>
      <c r="B658" s="5">
        <v>651</v>
      </c>
      <c r="C658">
        <v>44</v>
      </c>
      <c r="D658" t="s">
        <v>9672</v>
      </c>
      <c r="E658" t="s">
        <v>208</v>
      </c>
      <c r="F658" t="s">
        <v>38</v>
      </c>
      <c r="G658" t="s">
        <v>9673</v>
      </c>
      <c r="H658">
        <v>20</v>
      </c>
      <c r="I658">
        <v>0</v>
      </c>
      <c r="J658">
        <v>0</v>
      </c>
      <c r="K658">
        <v>0</v>
      </c>
      <c r="L658">
        <v>7</v>
      </c>
      <c r="N658">
        <v>3</v>
      </c>
      <c r="O658">
        <v>10</v>
      </c>
      <c r="P658">
        <v>4</v>
      </c>
      <c r="Q658">
        <v>0</v>
      </c>
      <c r="R658">
        <v>34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H658">
        <v>34</v>
      </c>
    </row>
    <row r="659" spans="1:34" x14ac:dyDescent="0.3">
      <c r="A659" s="4">
        <v>676</v>
      </c>
      <c r="B659" s="5">
        <v>652</v>
      </c>
      <c r="C659">
        <v>14995</v>
      </c>
      <c r="D659" t="s">
        <v>9674</v>
      </c>
      <c r="E659" t="s">
        <v>8881</v>
      </c>
      <c r="F659" t="s">
        <v>17</v>
      </c>
      <c r="G659" t="s">
        <v>9675</v>
      </c>
      <c r="H659">
        <v>19.93</v>
      </c>
      <c r="I659">
        <v>0</v>
      </c>
      <c r="J659">
        <v>0</v>
      </c>
      <c r="K659">
        <v>0</v>
      </c>
      <c r="M659">
        <v>5</v>
      </c>
      <c r="N659">
        <v>3</v>
      </c>
      <c r="O659">
        <v>8</v>
      </c>
      <c r="P659">
        <v>4</v>
      </c>
      <c r="Q659">
        <v>2</v>
      </c>
      <c r="R659">
        <v>33.93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 t="s">
        <v>130</v>
      </c>
      <c r="AH659">
        <v>33.93</v>
      </c>
    </row>
    <row r="660" spans="1:34" x14ac:dyDescent="0.3">
      <c r="A660" s="4">
        <v>677</v>
      </c>
      <c r="B660" s="5">
        <v>653</v>
      </c>
      <c r="C660">
        <v>8079</v>
      </c>
      <c r="D660" t="s">
        <v>9676</v>
      </c>
      <c r="E660" t="s">
        <v>3680</v>
      </c>
      <c r="F660" t="s">
        <v>20</v>
      </c>
      <c r="G660" t="s">
        <v>9677</v>
      </c>
      <c r="H660">
        <v>20.75</v>
      </c>
      <c r="I660">
        <v>0</v>
      </c>
      <c r="J660">
        <v>0</v>
      </c>
      <c r="K660">
        <v>0</v>
      </c>
      <c r="N660">
        <v>3</v>
      </c>
      <c r="O660">
        <v>3</v>
      </c>
      <c r="P660">
        <v>4</v>
      </c>
      <c r="Q660">
        <v>0</v>
      </c>
      <c r="R660">
        <v>27.75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6</v>
      </c>
      <c r="AC660">
        <v>0</v>
      </c>
      <c r="AH660">
        <v>33.75</v>
      </c>
    </row>
    <row r="661" spans="1:34" x14ac:dyDescent="0.3">
      <c r="A661" s="4">
        <v>678</v>
      </c>
      <c r="B661" s="5">
        <v>654</v>
      </c>
      <c r="C661">
        <v>7892</v>
      </c>
      <c r="D661" t="s">
        <v>1884</v>
      </c>
      <c r="E661" t="s">
        <v>100</v>
      </c>
      <c r="F661" t="s">
        <v>38</v>
      </c>
      <c r="G661" t="s">
        <v>9678</v>
      </c>
      <c r="H661">
        <v>18.68</v>
      </c>
      <c r="I661">
        <v>0</v>
      </c>
      <c r="J661">
        <v>0</v>
      </c>
      <c r="K661">
        <v>0</v>
      </c>
      <c r="N661">
        <v>3</v>
      </c>
      <c r="O661">
        <v>3</v>
      </c>
      <c r="P661">
        <v>4</v>
      </c>
      <c r="Q661">
        <v>2</v>
      </c>
      <c r="R661">
        <v>27.68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6</v>
      </c>
      <c r="AC661">
        <v>0</v>
      </c>
      <c r="AH661">
        <v>33.68</v>
      </c>
    </row>
    <row r="662" spans="1:34" x14ac:dyDescent="0.3">
      <c r="A662" s="4">
        <v>679</v>
      </c>
      <c r="B662" s="5">
        <v>655</v>
      </c>
      <c r="C662">
        <v>11578</v>
      </c>
      <c r="D662" t="s">
        <v>9679</v>
      </c>
      <c r="E662" t="s">
        <v>9680</v>
      </c>
      <c r="F662" t="s">
        <v>8505</v>
      </c>
      <c r="G662" t="s">
        <v>9681</v>
      </c>
      <c r="H662">
        <v>17.68</v>
      </c>
      <c r="I662">
        <v>0</v>
      </c>
      <c r="J662">
        <v>0</v>
      </c>
      <c r="K662">
        <v>0</v>
      </c>
      <c r="L662">
        <v>7</v>
      </c>
      <c r="O662">
        <v>7</v>
      </c>
      <c r="P662">
        <v>4</v>
      </c>
      <c r="Q662">
        <v>2</v>
      </c>
      <c r="R662">
        <v>30.68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3</v>
      </c>
      <c r="AC662">
        <v>0</v>
      </c>
      <c r="AH662">
        <v>33.68</v>
      </c>
    </row>
    <row r="663" spans="1:34" x14ac:dyDescent="0.3">
      <c r="A663" s="4">
        <v>680</v>
      </c>
      <c r="B663" s="5">
        <v>656</v>
      </c>
      <c r="C663">
        <v>2975</v>
      </c>
      <c r="D663" t="s">
        <v>7630</v>
      </c>
      <c r="E663" t="s">
        <v>88</v>
      </c>
      <c r="F663" t="s">
        <v>17</v>
      </c>
      <c r="G663" t="s">
        <v>9682</v>
      </c>
      <c r="H663">
        <v>17.68</v>
      </c>
      <c r="I663">
        <v>0</v>
      </c>
      <c r="J663">
        <v>0</v>
      </c>
      <c r="K663">
        <v>0</v>
      </c>
      <c r="N663">
        <v>3</v>
      </c>
      <c r="O663">
        <v>3</v>
      </c>
      <c r="P663">
        <v>0</v>
      </c>
      <c r="Q663">
        <v>0</v>
      </c>
      <c r="R663">
        <v>20.68</v>
      </c>
      <c r="S663">
        <v>10</v>
      </c>
      <c r="T663">
        <v>10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10</v>
      </c>
      <c r="AB663">
        <v>3</v>
      </c>
      <c r="AC663">
        <v>0</v>
      </c>
      <c r="AH663">
        <v>33.68</v>
      </c>
    </row>
    <row r="664" spans="1:34" x14ac:dyDescent="0.3">
      <c r="A664" s="4">
        <v>681</v>
      </c>
      <c r="B664" s="5">
        <v>657</v>
      </c>
      <c r="C664">
        <v>13777</v>
      </c>
      <c r="D664" t="s">
        <v>9683</v>
      </c>
      <c r="E664" t="s">
        <v>54</v>
      </c>
      <c r="F664" t="s">
        <v>9684</v>
      </c>
      <c r="G664" t="s">
        <v>9685</v>
      </c>
      <c r="H664">
        <v>20.68</v>
      </c>
      <c r="I664">
        <v>0</v>
      </c>
      <c r="J664">
        <v>0</v>
      </c>
      <c r="K664">
        <v>0</v>
      </c>
      <c r="L664">
        <v>7</v>
      </c>
      <c r="O664">
        <v>7</v>
      </c>
      <c r="P664">
        <v>4</v>
      </c>
      <c r="Q664">
        <v>2</v>
      </c>
      <c r="R664">
        <v>33.68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 t="s">
        <v>130</v>
      </c>
      <c r="AH664">
        <v>33.68</v>
      </c>
    </row>
    <row r="665" spans="1:34" x14ac:dyDescent="0.3">
      <c r="A665" s="4">
        <v>682</v>
      </c>
      <c r="B665" s="5">
        <v>658</v>
      </c>
      <c r="C665">
        <v>5</v>
      </c>
      <c r="D665" t="s">
        <v>5306</v>
      </c>
      <c r="E665" t="s">
        <v>9686</v>
      </c>
      <c r="F665" t="s">
        <v>972</v>
      </c>
      <c r="G665" t="s">
        <v>9687</v>
      </c>
      <c r="H665">
        <v>18.649999999999999</v>
      </c>
      <c r="I665">
        <v>0</v>
      </c>
      <c r="J665">
        <v>0</v>
      </c>
      <c r="K665">
        <v>0</v>
      </c>
      <c r="M665">
        <v>5</v>
      </c>
      <c r="N665">
        <v>3</v>
      </c>
      <c r="O665">
        <v>8</v>
      </c>
      <c r="P665">
        <v>4</v>
      </c>
      <c r="Q665">
        <v>0</v>
      </c>
      <c r="R665">
        <v>30.65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3</v>
      </c>
      <c r="AC665">
        <v>0</v>
      </c>
      <c r="AH665">
        <v>33.65</v>
      </c>
    </row>
    <row r="666" spans="1:34" x14ac:dyDescent="0.3">
      <c r="A666" s="4">
        <v>683</v>
      </c>
      <c r="B666" s="5">
        <v>659</v>
      </c>
      <c r="C666">
        <v>9252</v>
      </c>
      <c r="D666" t="s">
        <v>1425</v>
      </c>
      <c r="E666" t="s">
        <v>268</v>
      </c>
      <c r="F666" t="s">
        <v>68</v>
      </c>
      <c r="G666" t="s">
        <v>9688</v>
      </c>
      <c r="H666">
        <v>19.649999999999999</v>
      </c>
      <c r="I666">
        <v>0</v>
      </c>
      <c r="J666">
        <v>0</v>
      </c>
      <c r="K666">
        <v>0</v>
      </c>
      <c r="M666">
        <v>5</v>
      </c>
      <c r="N666">
        <v>3</v>
      </c>
      <c r="O666">
        <v>8</v>
      </c>
      <c r="P666">
        <v>4</v>
      </c>
      <c r="Q666">
        <v>2</v>
      </c>
      <c r="R666">
        <v>33.65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 t="s">
        <v>130</v>
      </c>
      <c r="AH666">
        <v>33.65</v>
      </c>
    </row>
    <row r="667" spans="1:34" x14ac:dyDescent="0.3">
      <c r="A667" s="4">
        <v>684</v>
      </c>
      <c r="B667" s="5">
        <v>660</v>
      </c>
      <c r="C667">
        <v>9747</v>
      </c>
      <c r="D667" t="s">
        <v>9689</v>
      </c>
      <c r="E667" t="s">
        <v>29</v>
      </c>
      <c r="F667" t="s">
        <v>2561</v>
      </c>
      <c r="G667" t="s">
        <v>9690</v>
      </c>
      <c r="H667">
        <v>12.5</v>
      </c>
      <c r="I667">
        <v>7</v>
      </c>
      <c r="J667">
        <v>0</v>
      </c>
      <c r="K667">
        <v>0</v>
      </c>
      <c r="L667">
        <v>7</v>
      </c>
      <c r="O667">
        <v>7</v>
      </c>
      <c r="P667">
        <v>4</v>
      </c>
      <c r="Q667">
        <v>0</v>
      </c>
      <c r="R667">
        <v>30.5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3</v>
      </c>
      <c r="AC667">
        <v>0</v>
      </c>
      <c r="AH667">
        <v>33.5</v>
      </c>
    </row>
    <row r="668" spans="1:34" x14ac:dyDescent="0.3">
      <c r="A668" s="4">
        <v>685</v>
      </c>
      <c r="B668" s="5">
        <v>661</v>
      </c>
      <c r="C668">
        <v>12652</v>
      </c>
      <c r="D668" t="s">
        <v>9691</v>
      </c>
      <c r="E668" t="s">
        <v>100</v>
      </c>
      <c r="F668" t="s">
        <v>4941</v>
      </c>
      <c r="G668" t="s">
        <v>9692</v>
      </c>
      <c r="H668">
        <v>20.5</v>
      </c>
      <c r="I668">
        <v>0</v>
      </c>
      <c r="J668">
        <v>0</v>
      </c>
      <c r="K668">
        <v>0</v>
      </c>
      <c r="L668">
        <v>7</v>
      </c>
      <c r="O668">
        <v>7</v>
      </c>
      <c r="P668">
        <v>4</v>
      </c>
      <c r="Q668">
        <v>2</v>
      </c>
      <c r="R668">
        <v>33.5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H668">
        <v>33.5</v>
      </c>
    </row>
    <row r="669" spans="1:34" x14ac:dyDescent="0.3">
      <c r="A669" s="4">
        <v>686</v>
      </c>
      <c r="B669" s="5">
        <v>662</v>
      </c>
      <c r="C669">
        <v>11779</v>
      </c>
      <c r="D669" t="s">
        <v>9693</v>
      </c>
      <c r="E669" t="s">
        <v>178</v>
      </c>
      <c r="F669" t="s">
        <v>81</v>
      </c>
      <c r="G669" t="s">
        <v>9694</v>
      </c>
      <c r="H669">
        <v>20.43</v>
      </c>
      <c r="I669">
        <v>0</v>
      </c>
      <c r="J669">
        <v>0</v>
      </c>
      <c r="K669">
        <v>0</v>
      </c>
      <c r="L669">
        <v>7</v>
      </c>
      <c r="O669">
        <v>7</v>
      </c>
      <c r="P669">
        <v>4</v>
      </c>
      <c r="Q669">
        <v>2</v>
      </c>
      <c r="R669">
        <v>33.43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H669">
        <v>33.43</v>
      </c>
    </row>
    <row r="670" spans="1:34" x14ac:dyDescent="0.3">
      <c r="A670" s="4">
        <v>687</v>
      </c>
      <c r="B670" s="5">
        <v>663</v>
      </c>
      <c r="C670">
        <v>3995</v>
      </c>
      <c r="D670" t="s">
        <v>9695</v>
      </c>
      <c r="E670" t="s">
        <v>61</v>
      </c>
      <c r="F670" t="s">
        <v>20</v>
      </c>
      <c r="G670" t="s">
        <v>9696</v>
      </c>
      <c r="H670">
        <v>19.399999999999999</v>
      </c>
      <c r="I670">
        <v>0</v>
      </c>
      <c r="J670">
        <v>0</v>
      </c>
      <c r="K670">
        <v>0</v>
      </c>
      <c r="L670">
        <v>7</v>
      </c>
      <c r="N670">
        <v>3</v>
      </c>
      <c r="O670">
        <v>10</v>
      </c>
      <c r="P670">
        <v>4</v>
      </c>
      <c r="Q670">
        <v>0</v>
      </c>
      <c r="R670">
        <v>33.4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H670">
        <v>33.4</v>
      </c>
    </row>
    <row r="671" spans="1:34" x14ac:dyDescent="0.3">
      <c r="A671" s="4">
        <v>688</v>
      </c>
      <c r="B671" s="5">
        <v>664</v>
      </c>
      <c r="C671">
        <v>1808</v>
      </c>
      <c r="D671" t="s">
        <v>257</v>
      </c>
      <c r="E671" t="s">
        <v>258</v>
      </c>
      <c r="F671" t="s">
        <v>259</v>
      </c>
      <c r="G671" t="s">
        <v>260</v>
      </c>
      <c r="H671">
        <v>20.38</v>
      </c>
      <c r="I671">
        <v>0</v>
      </c>
      <c r="J671">
        <v>0</v>
      </c>
      <c r="K671">
        <v>0</v>
      </c>
      <c r="N671">
        <v>3</v>
      </c>
      <c r="O671">
        <v>3</v>
      </c>
      <c r="P671">
        <v>4</v>
      </c>
      <c r="Q671">
        <v>0</v>
      </c>
      <c r="R671">
        <v>27.38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6</v>
      </c>
      <c r="AC671">
        <v>0</v>
      </c>
      <c r="AH671">
        <v>33.380000000000003</v>
      </c>
    </row>
    <row r="672" spans="1:34" x14ac:dyDescent="0.3">
      <c r="A672" s="4">
        <v>689</v>
      </c>
      <c r="B672" s="5">
        <v>665</v>
      </c>
      <c r="C672">
        <v>13824</v>
      </c>
      <c r="D672" t="s">
        <v>9697</v>
      </c>
      <c r="E672" t="s">
        <v>9698</v>
      </c>
      <c r="F672" t="s">
        <v>68</v>
      </c>
      <c r="G672" t="s">
        <v>9699</v>
      </c>
      <c r="H672">
        <v>16.25</v>
      </c>
      <c r="I672">
        <v>0</v>
      </c>
      <c r="J672">
        <v>0</v>
      </c>
      <c r="K672">
        <v>0</v>
      </c>
      <c r="L672">
        <v>7</v>
      </c>
      <c r="O672">
        <v>7</v>
      </c>
      <c r="P672">
        <v>4</v>
      </c>
      <c r="Q672">
        <v>0</v>
      </c>
      <c r="R672">
        <v>27.25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6</v>
      </c>
      <c r="AC672">
        <v>0</v>
      </c>
      <c r="AE672" t="s">
        <v>130</v>
      </c>
      <c r="AH672">
        <v>33.25</v>
      </c>
    </row>
    <row r="673" spans="1:34" x14ac:dyDescent="0.3">
      <c r="A673" s="4">
        <v>690</v>
      </c>
      <c r="B673" s="5">
        <v>666</v>
      </c>
      <c r="C673">
        <v>5655</v>
      </c>
      <c r="D673" t="s">
        <v>9700</v>
      </c>
      <c r="E673" t="s">
        <v>479</v>
      </c>
      <c r="F673" t="s">
        <v>343</v>
      </c>
      <c r="G673" t="s">
        <v>9701</v>
      </c>
      <c r="H673">
        <v>20.25</v>
      </c>
      <c r="I673">
        <v>0</v>
      </c>
      <c r="J673">
        <v>0</v>
      </c>
      <c r="K673">
        <v>0</v>
      </c>
      <c r="L673">
        <v>7</v>
      </c>
      <c r="O673">
        <v>7</v>
      </c>
      <c r="P673">
        <v>4</v>
      </c>
      <c r="Q673">
        <v>2</v>
      </c>
      <c r="R673">
        <v>33.25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H673">
        <v>33.25</v>
      </c>
    </row>
    <row r="674" spans="1:34" x14ac:dyDescent="0.3">
      <c r="A674" s="4">
        <v>691</v>
      </c>
      <c r="B674" s="5">
        <v>667</v>
      </c>
      <c r="C674">
        <v>1561</v>
      </c>
      <c r="D674" t="s">
        <v>9702</v>
      </c>
      <c r="E674" t="s">
        <v>22</v>
      </c>
      <c r="F674" t="s">
        <v>687</v>
      </c>
      <c r="G674" t="s">
        <v>9703</v>
      </c>
      <c r="H674">
        <v>19.25</v>
      </c>
      <c r="I674">
        <v>0</v>
      </c>
      <c r="J674">
        <v>0</v>
      </c>
      <c r="K674">
        <v>0</v>
      </c>
      <c r="L674">
        <v>7</v>
      </c>
      <c r="N674">
        <v>3</v>
      </c>
      <c r="O674">
        <v>10</v>
      </c>
      <c r="P674">
        <v>4</v>
      </c>
      <c r="Q674">
        <v>0</v>
      </c>
      <c r="R674">
        <v>33.25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H674">
        <v>33.25</v>
      </c>
    </row>
    <row r="675" spans="1:34" x14ac:dyDescent="0.3">
      <c r="A675" s="4">
        <v>692</v>
      </c>
      <c r="B675" s="5">
        <v>668</v>
      </c>
      <c r="C675">
        <v>8423</v>
      </c>
      <c r="D675" t="s">
        <v>9704</v>
      </c>
      <c r="E675" t="s">
        <v>1016</v>
      </c>
      <c r="F675" t="s">
        <v>2598</v>
      </c>
      <c r="G675" t="s">
        <v>9705</v>
      </c>
      <c r="H675">
        <v>23.15</v>
      </c>
      <c r="I675">
        <v>0</v>
      </c>
      <c r="J675">
        <v>0</v>
      </c>
      <c r="K675">
        <v>0</v>
      </c>
      <c r="O675">
        <v>0</v>
      </c>
      <c r="P675">
        <v>4</v>
      </c>
      <c r="Q675">
        <v>0</v>
      </c>
      <c r="R675">
        <v>27.15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6</v>
      </c>
      <c r="AC675">
        <v>0</v>
      </c>
      <c r="AH675">
        <v>33.15</v>
      </c>
    </row>
    <row r="676" spans="1:34" x14ac:dyDescent="0.3">
      <c r="A676" s="4">
        <v>693</v>
      </c>
      <c r="B676" s="5">
        <v>669</v>
      </c>
      <c r="C676">
        <v>11757</v>
      </c>
      <c r="D676" t="s">
        <v>5822</v>
      </c>
      <c r="E676" t="s">
        <v>957</v>
      </c>
      <c r="F676" t="s">
        <v>38</v>
      </c>
      <c r="G676" t="s">
        <v>9706</v>
      </c>
      <c r="H676">
        <v>20.13</v>
      </c>
      <c r="I676">
        <v>0</v>
      </c>
      <c r="J676">
        <v>0</v>
      </c>
      <c r="K676">
        <v>0</v>
      </c>
      <c r="L676">
        <v>7</v>
      </c>
      <c r="O676">
        <v>7</v>
      </c>
      <c r="P676">
        <v>4</v>
      </c>
      <c r="Q676">
        <v>2</v>
      </c>
      <c r="R676">
        <v>33.130000000000003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H676">
        <v>33.130000000000003</v>
      </c>
    </row>
    <row r="677" spans="1:34" x14ac:dyDescent="0.3">
      <c r="A677" s="4">
        <v>694</v>
      </c>
      <c r="B677" s="5">
        <v>670</v>
      </c>
      <c r="C677">
        <v>2829</v>
      </c>
      <c r="D677" t="s">
        <v>9707</v>
      </c>
      <c r="E677" t="s">
        <v>54</v>
      </c>
      <c r="F677" t="s">
        <v>38</v>
      </c>
      <c r="G677" t="s">
        <v>9708</v>
      </c>
      <c r="H677">
        <v>18.100000000000001</v>
      </c>
      <c r="I677">
        <v>0</v>
      </c>
      <c r="J677">
        <v>0</v>
      </c>
      <c r="K677">
        <v>0</v>
      </c>
      <c r="N677">
        <v>3</v>
      </c>
      <c r="O677">
        <v>3</v>
      </c>
      <c r="P677">
        <v>4</v>
      </c>
      <c r="Q677">
        <v>2</v>
      </c>
      <c r="R677">
        <v>27.1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6</v>
      </c>
      <c r="AC677">
        <v>0</v>
      </c>
      <c r="AH677">
        <v>33.1</v>
      </c>
    </row>
    <row r="678" spans="1:34" x14ac:dyDescent="0.3">
      <c r="A678" s="4">
        <v>695</v>
      </c>
      <c r="B678" s="5">
        <v>671</v>
      </c>
      <c r="C678">
        <v>6761</v>
      </c>
      <c r="D678" t="s">
        <v>9709</v>
      </c>
      <c r="E678" t="s">
        <v>29</v>
      </c>
      <c r="F678" t="s">
        <v>343</v>
      </c>
      <c r="G678" t="s">
        <v>9710</v>
      </c>
      <c r="H678">
        <v>22.08</v>
      </c>
      <c r="I678">
        <v>0</v>
      </c>
      <c r="J678">
        <v>0</v>
      </c>
      <c r="K678">
        <v>0</v>
      </c>
      <c r="L678">
        <v>7</v>
      </c>
      <c r="O678">
        <v>7</v>
      </c>
      <c r="P678">
        <v>4</v>
      </c>
      <c r="Q678">
        <v>0</v>
      </c>
      <c r="R678">
        <v>33.08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H678">
        <v>33.08</v>
      </c>
    </row>
    <row r="679" spans="1:34" x14ac:dyDescent="0.3">
      <c r="A679" s="4">
        <v>696</v>
      </c>
      <c r="B679" s="5">
        <v>672</v>
      </c>
      <c r="C679">
        <v>8451</v>
      </c>
      <c r="D679" t="s">
        <v>9711</v>
      </c>
      <c r="E679" t="s">
        <v>22</v>
      </c>
      <c r="F679" t="s">
        <v>62</v>
      </c>
      <c r="G679" t="s">
        <v>9712</v>
      </c>
      <c r="H679">
        <v>20</v>
      </c>
      <c r="I679">
        <v>0</v>
      </c>
      <c r="J679">
        <v>0</v>
      </c>
      <c r="K679">
        <v>0</v>
      </c>
      <c r="L679">
        <v>7</v>
      </c>
      <c r="O679">
        <v>7</v>
      </c>
      <c r="P679">
        <v>4</v>
      </c>
      <c r="Q679">
        <v>2</v>
      </c>
      <c r="R679">
        <v>33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 t="s">
        <v>130</v>
      </c>
      <c r="AH679">
        <v>33</v>
      </c>
    </row>
    <row r="680" spans="1:34" x14ac:dyDescent="0.3">
      <c r="A680" s="4">
        <v>697</v>
      </c>
      <c r="B680" s="5">
        <v>673</v>
      </c>
      <c r="C680">
        <v>4495</v>
      </c>
      <c r="D680" t="s">
        <v>8589</v>
      </c>
      <c r="E680" t="s">
        <v>9713</v>
      </c>
      <c r="F680" t="s">
        <v>158</v>
      </c>
      <c r="G680" t="s">
        <v>9714</v>
      </c>
      <c r="H680">
        <v>19.95</v>
      </c>
      <c r="I680">
        <v>0</v>
      </c>
      <c r="J680">
        <v>0</v>
      </c>
      <c r="K680">
        <v>0</v>
      </c>
      <c r="N680">
        <v>3</v>
      </c>
      <c r="O680">
        <v>3</v>
      </c>
      <c r="P680">
        <v>4</v>
      </c>
      <c r="Q680">
        <v>0</v>
      </c>
      <c r="R680">
        <v>26.95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6</v>
      </c>
      <c r="AC680">
        <v>0</v>
      </c>
      <c r="AH680">
        <v>32.950000000000003</v>
      </c>
    </row>
    <row r="681" spans="1:34" x14ac:dyDescent="0.3">
      <c r="A681" s="4">
        <v>698</v>
      </c>
      <c r="B681" s="5">
        <v>674</v>
      </c>
      <c r="C681">
        <v>12259</v>
      </c>
      <c r="D681" t="s">
        <v>1314</v>
      </c>
      <c r="E681" t="s">
        <v>41</v>
      </c>
      <c r="F681" t="s">
        <v>343</v>
      </c>
      <c r="G681" t="s">
        <v>9715</v>
      </c>
      <c r="H681">
        <v>19.93</v>
      </c>
      <c r="I681">
        <v>0</v>
      </c>
      <c r="J681">
        <v>0</v>
      </c>
      <c r="K681">
        <v>0</v>
      </c>
      <c r="L681">
        <v>7</v>
      </c>
      <c r="O681">
        <v>7</v>
      </c>
      <c r="P681">
        <v>4</v>
      </c>
      <c r="Q681">
        <v>2</v>
      </c>
      <c r="R681">
        <v>32.93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H681">
        <v>32.93</v>
      </c>
    </row>
    <row r="682" spans="1:34" x14ac:dyDescent="0.3">
      <c r="A682" s="4">
        <v>699</v>
      </c>
      <c r="B682" s="5">
        <v>675</v>
      </c>
      <c r="C682">
        <v>13738</v>
      </c>
      <c r="D682" t="s">
        <v>8839</v>
      </c>
      <c r="E682" t="s">
        <v>909</v>
      </c>
      <c r="F682" t="s">
        <v>652</v>
      </c>
      <c r="G682" t="s">
        <v>9716</v>
      </c>
      <c r="H682">
        <v>22.9</v>
      </c>
      <c r="I682">
        <v>0</v>
      </c>
      <c r="J682">
        <v>0</v>
      </c>
      <c r="K682">
        <v>0</v>
      </c>
      <c r="L682">
        <v>7</v>
      </c>
      <c r="O682">
        <v>7</v>
      </c>
      <c r="P682">
        <v>0</v>
      </c>
      <c r="Q682">
        <v>0</v>
      </c>
      <c r="R682">
        <v>29.9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3</v>
      </c>
      <c r="AC682">
        <v>0</v>
      </c>
      <c r="AH682">
        <v>32.9</v>
      </c>
    </row>
    <row r="683" spans="1:34" x14ac:dyDescent="0.3">
      <c r="A683" s="4">
        <v>700</v>
      </c>
      <c r="B683" s="5">
        <v>676</v>
      </c>
      <c r="C683">
        <v>12703</v>
      </c>
      <c r="D683" t="s">
        <v>2881</v>
      </c>
      <c r="E683" t="s">
        <v>9717</v>
      </c>
      <c r="F683" t="s">
        <v>20</v>
      </c>
      <c r="G683" t="s">
        <v>9718</v>
      </c>
      <c r="H683">
        <v>19.899999999999999</v>
      </c>
      <c r="I683">
        <v>0</v>
      </c>
      <c r="J683">
        <v>0</v>
      </c>
      <c r="K683">
        <v>0</v>
      </c>
      <c r="L683">
        <v>7</v>
      </c>
      <c r="O683">
        <v>7</v>
      </c>
      <c r="P683">
        <v>4</v>
      </c>
      <c r="Q683">
        <v>2</v>
      </c>
      <c r="R683">
        <v>32.9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H683">
        <v>32.9</v>
      </c>
    </row>
    <row r="684" spans="1:34" x14ac:dyDescent="0.3">
      <c r="A684" s="4">
        <v>701</v>
      </c>
      <c r="B684" s="5">
        <v>677</v>
      </c>
      <c r="C684">
        <v>53</v>
      </c>
      <c r="D684" t="s">
        <v>9409</v>
      </c>
      <c r="E684" t="s">
        <v>406</v>
      </c>
      <c r="F684" t="s">
        <v>9719</v>
      </c>
      <c r="G684" t="s">
        <v>9720</v>
      </c>
      <c r="H684">
        <v>18.88</v>
      </c>
      <c r="I684">
        <v>0</v>
      </c>
      <c r="J684">
        <v>0</v>
      </c>
      <c r="K684">
        <v>0</v>
      </c>
      <c r="N684">
        <v>3</v>
      </c>
      <c r="O684">
        <v>3</v>
      </c>
      <c r="P684">
        <v>4</v>
      </c>
      <c r="Q684">
        <v>0</v>
      </c>
      <c r="R684">
        <v>25.88</v>
      </c>
      <c r="S684">
        <v>7</v>
      </c>
      <c r="T684">
        <v>7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7</v>
      </c>
      <c r="AB684">
        <v>0</v>
      </c>
      <c r="AC684">
        <v>0</v>
      </c>
      <c r="AD684" t="s">
        <v>130</v>
      </c>
      <c r="AH684">
        <v>32.880000000000003</v>
      </c>
    </row>
    <row r="685" spans="1:34" x14ac:dyDescent="0.3">
      <c r="A685" s="4">
        <v>702</v>
      </c>
      <c r="B685" s="5">
        <v>678</v>
      </c>
      <c r="C685">
        <v>13627</v>
      </c>
      <c r="D685" t="s">
        <v>5254</v>
      </c>
      <c r="E685" t="s">
        <v>97</v>
      </c>
      <c r="F685" t="s">
        <v>81</v>
      </c>
      <c r="G685" t="s">
        <v>9721</v>
      </c>
      <c r="H685">
        <v>19.850000000000001</v>
      </c>
      <c r="I685">
        <v>0</v>
      </c>
      <c r="J685">
        <v>0</v>
      </c>
      <c r="K685">
        <v>0</v>
      </c>
      <c r="N685">
        <v>3</v>
      </c>
      <c r="O685">
        <v>3</v>
      </c>
      <c r="P685">
        <v>4</v>
      </c>
      <c r="Q685">
        <v>0</v>
      </c>
      <c r="R685">
        <v>26.85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6</v>
      </c>
      <c r="AC685">
        <v>0</v>
      </c>
      <c r="AH685">
        <v>32.85</v>
      </c>
    </row>
    <row r="686" spans="1:34" x14ac:dyDescent="0.3">
      <c r="A686" s="4">
        <v>703</v>
      </c>
      <c r="B686" s="5">
        <v>679</v>
      </c>
      <c r="C686">
        <v>15489</v>
      </c>
      <c r="D686" t="s">
        <v>743</v>
      </c>
      <c r="E686" t="s">
        <v>789</v>
      </c>
      <c r="F686" t="s">
        <v>1265</v>
      </c>
      <c r="G686" t="s">
        <v>9722</v>
      </c>
      <c r="H686">
        <v>19.850000000000001</v>
      </c>
      <c r="I686">
        <v>0</v>
      </c>
      <c r="J686">
        <v>0</v>
      </c>
      <c r="K686">
        <v>0</v>
      </c>
      <c r="L686">
        <v>7</v>
      </c>
      <c r="O686">
        <v>7</v>
      </c>
      <c r="P686">
        <v>4</v>
      </c>
      <c r="Q686">
        <v>2</v>
      </c>
      <c r="R686">
        <v>32.85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H686">
        <v>32.85</v>
      </c>
    </row>
    <row r="687" spans="1:34" x14ac:dyDescent="0.3">
      <c r="A687" s="4">
        <v>704</v>
      </c>
      <c r="B687" s="5">
        <v>680</v>
      </c>
      <c r="C687">
        <v>9355</v>
      </c>
      <c r="D687" t="s">
        <v>3718</v>
      </c>
      <c r="E687" t="s">
        <v>54</v>
      </c>
      <c r="F687" t="s">
        <v>20</v>
      </c>
      <c r="G687" t="s">
        <v>9723</v>
      </c>
      <c r="H687">
        <v>19.8</v>
      </c>
      <c r="I687">
        <v>7</v>
      </c>
      <c r="J687">
        <v>0</v>
      </c>
      <c r="K687">
        <v>0</v>
      </c>
      <c r="N687">
        <v>3</v>
      </c>
      <c r="O687">
        <v>3</v>
      </c>
      <c r="P687">
        <v>0</v>
      </c>
      <c r="Q687">
        <v>0</v>
      </c>
      <c r="R687">
        <v>29.8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3</v>
      </c>
      <c r="AC687">
        <v>0</v>
      </c>
      <c r="AH687">
        <v>32.799999999999997</v>
      </c>
    </row>
    <row r="688" spans="1:34" x14ac:dyDescent="0.3">
      <c r="A688" s="4">
        <v>705</v>
      </c>
      <c r="B688" s="5">
        <v>681</v>
      </c>
      <c r="C688">
        <v>5529</v>
      </c>
      <c r="D688" t="s">
        <v>9724</v>
      </c>
      <c r="E688" t="s">
        <v>2758</v>
      </c>
      <c r="F688" t="s">
        <v>68</v>
      </c>
      <c r="G688" t="s">
        <v>9725</v>
      </c>
      <c r="H688">
        <v>21.8</v>
      </c>
      <c r="I688">
        <v>0</v>
      </c>
      <c r="J688">
        <v>0</v>
      </c>
      <c r="K688">
        <v>0</v>
      </c>
      <c r="L688">
        <v>7</v>
      </c>
      <c r="O688">
        <v>7</v>
      </c>
      <c r="P688">
        <v>4</v>
      </c>
      <c r="Q688">
        <v>0</v>
      </c>
      <c r="R688">
        <v>32.799999999999997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H688">
        <v>32.799999999999997</v>
      </c>
    </row>
    <row r="689" spans="1:34" x14ac:dyDescent="0.3">
      <c r="A689" s="4">
        <v>706</v>
      </c>
      <c r="B689" s="5">
        <v>682</v>
      </c>
      <c r="C689">
        <v>10317</v>
      </c>
      <c r="D689" t="s">
        <v>5326</v>
      </c>
      <c r="E689" t="s">
        <v>54</v>
      </c>
      <c r="F689" t="s">
        <v>9726</v>
      </c>
      <c r="G689" t="s">
        <v>9727</v>
      </c>
      <c r="H689">
        <v>19.649999999999999</v>
      </c>
      <c r="I689">
        <v>0</v>
      </c>
      <c r="J689">
        <v>0</v>
      </c>
      <c r="K689">
        <v>0</v>
      </c>
      <c r="L689">
        <v>7</v>
      </c>
      <c r="O689">
        <v>7</v>
      </c>
      <c r="P689">
        <v>4</v>
      </c>
      <c r="Q689">
        <v>2</v>
      </c>
      <c r="R689">
        <v>32.65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 t="s">
        <v>130</v>
      </c>
      <c r="AH689">
        <v>32.65</v>
      </c>
    </row>
    <row r="690" spans="1:34" x14ac:dyDescent="0.3">
      <c r="A690" s="4">
        <v>707</v>
      </c>
      <c r="B690" s="5">
        <v>683</v>
      </c>
      <c r="C690">
        <v>10574</v>
      </c>
      <c r="D690" t="s">
        <v>9728</v>
      </c>
      <c r="E690" t="s">
        <v>26</v>
      </c>
      <c r="F690" t="s">
        <v>136</v>
      </c>
      <c r="G690" t="s">
        <v>9729</v>
      </c>
      <c r="H690">
        <v>14.6</v>
      </c>
      <c r="I690">
        <v>0</v>
      </c>
      <c r="J690">
        <v>0</v>
      </c>
      <c r="K690">
        <v>0</v>
      </c>
      <c r="L690">
        <v>7</v>
      </c>
      <c r="O690">
        <v>7</v>
      </c>
      <c r="P690">
        <v>0</v>
      </c>
      <c r="Q690">
        <v>0</v>
      </c>
      <c r="R690">
        <v>21.6</v>
      </c>
      <c r="S690">
        <v>8</v>
      </c>
      <c r="T690">
        <v>8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8</v>
      </c>
      <c r="AB690">
        <v>3</v>
      </c>
      <c r="AC690">
        <v>0</v>
      </c>
      <c r="AH690">
        <v>32.6</v>
      </c>
    </row>
    <row r="691" spans="1:34" x14ac:dyDescent="0.3">
      <c r="A691" s="4">
        <v>708</v>
      </c>
      <c r="B691" s="5">
        <v>684</v>
      </c>
      <c r="C691">
        <v>5520</v>
      </c>
      <c r="D691" t="s">
        <v>9730</v>
      </c>
      <c r="E691" t="s">
        <v>1450</v>
      </c>
      <c r="F691" t="s">
        <v>9731</v>
      </c>
      <c r="G691" t="s">
        <v>9732</v>
      </c>
      <c r="H691">
        <v>19.600000000000001</v>
      </c>
      <c r="I691">
        <v>0</v>
      </c>
      <c r="J691">
        <v>0</v>
      </c>
      <c r="K691">
        <v>0</v>
      </c>
      <c r="L691">
        <v>7</v>
      </c>
      <c r="O691">
        <v>7</v>
      </c>
      <c r="P691">
        <v>4</v>
      </c>
      <c r="Q691">
        <v>2</v>
      </c>
      <c r="R691">
        <v>32.6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H691">
        <v>32.6</v>
      </c>
    </row>
    <row r="692" spans="1:34" x14ac:dyDescent="0.3">
      <c r="A692" s="4">
        <v>709</v>
      </c>
      <c r="B692" s="5">
        <v>685</v>
      </c>
      <c r="C692">
        <v>13472</v>
      </c>
      <c r="D692" t="s">
        <v>6365</v>
      </c>
      <c r="E692" t="s">
        <v>110</v>
      </c>
      <c r="F692" t="s">
        <v>626</v>
      </c>
      <c r="G692" t="s">
        <v>9733</v>
      </c>
      <c r="H692">
        <v>19.600000000000001</v>
      </c>
      <c r="I692">
        <v>0</v>
      </c>
      <c r="J692">
        <v>0</v>
      </c>
      <c r="K692">
        <v>0</v>
      </c>
      <c r="L692">
        <v>7</v>
      </c>
      <c r="O692">
        <v>7</v>
      </c>
      <c r="P692">
        <v>0</v>
      </c>
      <c r="Q692">
        <v>0</v>
      </c>
      <c r="R692">
        <v>26.6</v>
      </c>
      <c r="S692">
        <v>6</v>
      </c>
      <c r="T692">
        <v>6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6</v>
      </c>
      <c r="AB692">
        <v>0</v>
      </c>
      <c r="AC692">
        <v>0</v>
      </c>
      <c r="AH692">
        <v>32.6</v>
      </c>
    </row>
    <row r="693" spans="1:34" x14ac:dyDescent="0.3">
      <c r="A693" s="4">
        <v>710</v>
      </c>
      <c r="B693" s="5">
        <v>686</v>
      </c>
      <c r="C693">
        <v>15447</v>
      </c>
      <c r="D693" t="s">
        <v>181</v>
      </c>
      <c r="E693" t="s">
        <v>161</v>
      </c>
      <c r="F693" t="s">
        <v>20</v>
      </c>
      <c r="G693" t="s">
        <v>9734</v>
      </c>
      <c r="H693">
        <v>19.55</v>
      </c>
      <c r="I693">
        <v>0</v>
      </c>
      <c r="J693">
        <v>0</v>
      </c>
      <c r="K693">
        <v>0</v>
      </c>
      <c r="L693">
        <v>7</v>
      </c>
      <c r="O693">
        <v>7</v>
      </c>
      <c r="P693">
        <v>0</v>
      </c>
      <c r="Q693">
        <v>0</v>
      </c>
      <c r="R693">
        <v>26.55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6</v>
      </c>
      <c r="AC693">
        <v>0</v>
      </c>
      <c r="AH693">
        <v>32.549999999999997</v>
      </c>
    </row>
    <row r="694" spans="1:34" x14ac:dyDescent="0.3">
      <c r="A694" s="4">
        <v>711</v>
      </c>
      <c r="B694" s="5">
        <v>687</v>
      </c>
      <c r="C694">
        <v>12247</v>
      </c>
      <c r="D694" t="s">
        <v>9735</v>
      </c>
      <c r="E694" t="s">
        <v>22</v>
      </c>
      <c r="F694" t="s">
        <v>62</v>
      </c>
      <c r="G694" t="s">
        <v>9736</v>
      </c>
      <c r="H694">
        <v>20.43</v>
      </c>
      <c r="I694">
        <v>0</v>
      </c>
      <c r="J694">
        <v>0</v>
      </c>
      <c r="K694">
        <v>0</v>
      </c>
      <c r="M694">
        <v>5</v>
      </c>
      <c r="O694">
        <v>5</v>
      </c>
      <c r="P694">
        <v>4</v>
      </c>
      <c r="Q694">
        <v>0</v>
      </c>
      <c r="R694">
        <v>29.43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3</v>
      </c>
      <c r="AC694">
        <v>0</v>
      </c>
      <c r="AH694">
        <v>32.43</v>
      </c>
    </row>
    <row r="695" spans="1:34" x14ac:dyDescent="0.3">
      <c r="A695" s="4">
        <v>712</v>
      </c>
      <c r="B695" s="5">
        <v>688</v>
      </c>
      <c r="C695">
        <v>1593</v>
      </c>
      <c r="D695" t="s">
        <v>1227</v>
      </c>
      <c r="E695" t="s">
        <v>29</v>
      </c>
      <c r="F695" t="s">
        <v>328</v>
      </c>
      <c r="G695" t="s">
        <v>9737</v>
      </c>
      <c r="H695">
        <v>19.43</v>
      </c>
      <c r="I695">
        <v>0</v>
      </c>
      <c r="J695">
        <v>0</v>
      </c>
      <c r="K695">
        <v>0</v>
      </c>
      <c r="L695">
        <v>7</v>
      </c>
      <c r="O695">
        <v>7</v>
      </c>
      <c r="P695">
        <v>4</v>
      </c>
      <c r="Q695">
        <v>2</v>
      </c>
      <c r="R695">
        <v>32.43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H695">
        <v>32.43</v>
      </c>
    </row>
    <row r="696" spans="1:34" x14ac:dyDescent="0.3">
      <c r="A696" s="4">
        <v>713</v>
      </c>
      <c r="B696" s="5">
        <v>689</v>
      </c>
      <c r="C696">
        <v>1689</v>
      </c>
      <c r="D696" t="s">
        <v>9738</v>
      </c>
      <c r="E696" t="s">
        <v>54</v>
      </c>
      <c r="F696" t="s">
        <v>17</v>
      </c>
      <c r="G696" t="s">
        <v>9739</v>
      </c>
      <c r="H696">
        <v>17.329999999999998</v>
      </c>
      <c r="I696">
        <v>0</v>
      </c>
      <c r="J696">
        <v>0</v>
      </c>
      <c r="K696">
        <v>0</v>
      </c>
      <c r="N696">
        <v>3</v>
      </c>
      <c r="O696">
        <v>3</v>
      </c>
      <c r="P696">
        <v>4</v>
      </c>
      <c r="Q696">
        <v>2</v>
      </c>
      <c r="R696">
        <v>26.33</v>
      </c>
      <c r="S696">
        <v>3</v>
      </c>
      <c r="T696">
        <v>3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3</v>
      </c>
      <c r="AB696">
        <v>3</v>
      </c>
      <c r="AC696">
        <v>0</v>
      </c>
      <c r="AH696">
        <v>32.33</v>
      </c>
    </row>
    <row r="697" spans="1:34" x14ac:dyDescent="0.3">
      <c r="A697" s="4">
        <v>714</v>
      </c>
      <c r="B697" s="5">
        <v>690</v>
      </c>
      <c r="C697">
        <v>12238</v>
      </c>
      <c r="D697" t="s">
        <v>9740</v>
      </c>
      <c r="E697" t="s">
        <v>54</v>
      </c>
      <c r="F697" t="s">
        <v>243</v>
      </c>
      <c r="G697" t="s">
        <v>9741</v>
      </c>
      <c r="H697">
        <v>19.3</v>
      </c>
      <c r="I697">
        <v>0</v>
      </c>
      <c r="J697">
        <v>0</v>
      </c>
      <c r="K697">
        <v>0</v>
      </c>
      <c r="L697">
        <v>7</v>
      </c>
      <c r="O697">
        <v>7</v>
      </c>
      <c r="P697">
        <v>4</v>
      </c>
      <c r="Q697">
        <v>2</v>
      </c>
      <c r="R697">
        <v>32.299999999999997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H697">
        <v>32.299999999999997</v>
      </c>
    </row>
    <row r="698" spans="1:34" x14ac:dyDescent="0.3">
      <c r="A698" s="4">
        <v>715</v>
      </c>
      <c r="B698" s="5">
        <v>691</v>
      </c>
      <c r="C698">
        <v>11307</v>
      </c>
      <c r="D698" t="s">
        <v>9742</v>
      </c>
      <c r="E698" t="s">
        <v>22</v>
      </c>
      <c r="F698" t="s">
        <v>328</v>
      </c>
      <c r="G698" t="s">
        <v>9743</v>
      </c>
      <c r="H698">
        <v>19.25</v>
      </c>
      <c r="I698">
        <v>0</v>
      </c>
      <c r="J698">
        <v>0</v>
      </c>
      <c r="K698">
        <v>0</v>
      </c>
      <c r="L698">
        <v>7</v>
      </c>
      <c r="O698">
        <v>7</v>
      </c>
      <c r="P698">
        <v>4</v>
      </c>
      <c r="Q698">
        <v>2</v>
      </c>
      <c r="R698">
        <v>32.25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 t="s">
        <v>130</v>
      </c>
      <c r="AH698">
        <v>32.25</v>
      </c>
    </row>
    <row r="699" spans="1:34" x14ac:dyDescent="0.3">
      <c r="A699" s="4">
        <v>716</v>
      </c>
      <c r="B699" s="5">
        <v>692</v>
      </c>
      <c r="C699">
        <v>9698</v>
      </c>
      <c r="D699" t="s">
        <v>9744</v>
      </c>
      <c r="E699" t="s">
        <v>268</v>
      </c>
      <c r="F699" t="s">
        <v>167</v>
      </c>
      <c r="G699" t="s">
        <v>9745</v>
      </c>
      <c r="H699">
        <v>19.23</v>
      </c>
      <c r="I699">
        <v>0</v>
      </c>
      <c r="J699">
        <v>0</v>
      </c>
      <c r="K699">
        <v>0</v>
      </c>
      <c r="N699">
        <v>3</v>
      </c>
      <c r="O699">
        <v>3</v>
      </c>
      <c r="P699">
        <v>4</v>
      </c>
      <c r="Q699">
        <v>0</v>
      </c>
      <c r="R699">
        <v>26.23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6</v>
      </c>
      <c r="AC699">
        <v>0</v>
      </c>
      <c r="AH699">
        <v>32.229999999999997</v>
      </c>
    </row>
    <row r="700" spans="1:34" x14ac:dyDescent="0.3">
      <c r="A700" s="4">
        <v>717</v>
      </c>
      <c r="B700" s="5">
        <v>693</v>
      </c>
      <c r="C700">
        <v>10728</v>
      </c>
      <c r="D700" t="s">
        <v>9746</v>
      </c>
      <c r="E700" t="s">
        <v>355</v>
      </c>
      <c r="F700" t="s">
        <v>3705</v>
      </c>
      <c r="G700" t="s">
        <v>9747</v>
      </c>
      <c r="H700">
        <v>19.23</v>
      </c>
      <c r="I700">
        <v>0</v>
      </c>
      <c r="J700">
        <v>0</v>
      </c>
      <c r="K700">
        <v>0</v>
      </c>
      <c r="L700">
        <v>7</v>
      </c>
      <c r="O700">
        <v>7</v>
      </c>
      <c r="P700">
        <v>0</v>
      </c>
      <c r="Q700">
        <v>0</v>
      </c>
      <c r="R700">
        <v>26.23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6</v>
      </c>
      <c r="AC700">
        <v>0</v>
      </c>
      <c r="AH700">
        <v>32.229999999999997</v>
      </c>
    </row>
    <row r="701" spans="1:34" x14ac:dyDescent="0.3">
      <c r="A701" s="4">
        <v>718</v>
      </c>
      <c r="B701" s="5">
        <v>694</v>
      </c>
      <c r="C701">
        <v>12633</v>
      </c>
      <c r="D701" t="s">
        <v>7820</v>
      </c>
      <c r="E701" t="s">
        <v>789</v>
      </c>
      <c r="F701" t="s">
        <v>30</v>
      </c>
      <c r="G701" t="s">
        <v>9748</v>
      </c>
      <c r="H701">
        <v>19.2</v>
      </c>
      <c r="I701">
        <v>0</v>
      </c>
      <c r="J701">
        <v>0</v>
      </c>
      <c r="K701">
        <v>0</v>
      </c>
      <c r="L701">
        <v>7</v>
      </c>
      <c r="O701">
        <v>7</v>
      </c>
      <c r="P701">
        <v>4</v>
      </c>
      <c r="Q701">
        <v>2</v>
      </c>
      <c r="R701">
        <v>32.200000000000003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H701">
        <v>32.200000000000003</v>
      </c>
    </row>
    <row r="702" spans="1:34" x14ac:dyDescent="0.3">
      <c r="A702" s="4">
        <v>719</v>
      </c>
      <c r="B702" s="5">
        <v>695</v>
      </c>
      <c r="C702">
        <v>12091</v>
      </c>
      <c r="D702" t="s">
        <v>9749</v>
      </c>
      <c r="E702" t="s">
        <v>104</v>
      </c>
      <c r="F702" t="s">
        <v>9750</v>
      </c>
      <c r="G702" t="s">
        <v>9751</v>
      </c>
      <c r="H702">
        <v>19.18</v>
      </c>
      <c r="I702">
        <v>0</v>
      </c>
      <c r="J702">
        <v>0</v>
      </c>
      <c r="K702">
        <v>0</v>
      </c>
      <c r="L702">
        <v>7</v>
      </c>
      <c r="O702">
        <v>7</v>
      </c>
      <c r="P702">
        <v>4</v>
      </c>
      <c r="Q702">
        <v>2</v>
      </c>
      <c r="R702">
        <v>32.18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H702">
        <v>32.18</v>
      </c>
    </row>
    <row r="703" spans="1:34" x14ac:dyDescent="0.3">
      <c r="A703" s="4">
        <v>720</v>
      </c>
      <c r="B703" s="5">
        <v>696</v>
      </c>
      <c r="C703">
        <v>988</v>
      </c>
      <c r="D703" t="s">
        <v>181</v>
      </c>
      <c r="E703" t="s">
        <v>132</v>
      </c>
      <c r="F703" t="s">
        <v>259</v>
      </c>
      <c r="G703" t="s">
        <v>9752</v>
      </c>
      <c r="H703">
        <v>18.149999999999999</v>
      </c>
      <c r="I703">
        <v>0</v>
      </c>
      <c r="J703">
        <v>0</v>
      </c>
      <c r="K703">
        <v>0</v>
      </c>
      <c r="L703">
        <v>7</v>
      </c>
      <c r="O703">
        <v>7</v>
      </c>
      <c r="P703">
        <v>4</v>
      </c>
      <c r="Q703">
        <v>0</v>
      </c>
      <c r="R703">
        <v>29.15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3</v>
      </c>
      <c r="AC703">
        <v>0</v>
      </c>
      <c r="AD703" t="s">
        <v>130</v>
      </c>
      <c r="AH703">
        <v>32.15</v>
      </c>
    </row>
    <row r="704" spans="1:34" x14ac:dyDescent="0.3">
      <c r="A704" s="4">
        <v>721</v>
      </c>
      <c r="B704" s="5">
        <v>697</v>
      </c>
      <c r="C704">
        <v>9755</v>
      </c>
      <c r="D704" t="s">
        <v>788</v>
      </c>
      <c r="E704" t="s">
        <v>33</v>
      </c>
      <c r="F704" t="s">
        <v>158</v>
      </c>
      <c r="G704" t="s">
        <v>9753</v>
      </c>
      <c r="H704">
        <v>19.149999999999999</v>
      </c>
      <c r="I704">
        <v>0</v>
      </c>
      <c r="J704">
        <v>0</v>
      </c>
      <c r="K704">
        <v>0</v>
      </c>
      <c r="L704">
        <v>7</v>
      </c>
      <c r="O704">
        <v>7</v>
      </c>
      <c r="P704">
        <v>4</v>
      </c>
      <c r="Q704">
        <v>2</v>
      </c>
      <c r="R704">
        <v>32.15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 t="s">
        <v>130</v>
      </c>
      <c r="AH704">
        <v>32.15</v>
      </c>
    </row>
    <row r="705" spans="1:34" x14ac:dyDescent="0.3">
      <c r="A705" s="4">
        <v>722</v>
      </c>
      <c r="B705" s="5">
        <v>698</v>
      </c>
      <c r="C705">
        <v>918</v>
      </c>
      <c r="D705" t="s">
        <v>3599</v>
      </c>
      <c r="E705" t="s">
        <v>536</v>
      </c>
      <c r="F705" t="s">
        <v>20</v>
      </c>
      <c r="G705" t="s">
        <v>9754</v>
      </c>
      <c r="H705">
        <v>16.079999999999998</v>
      </c>
      <c r="I705">
        <v>0</v>
      </c>
      <c r="J705">
        <v>0</v>
      </c>
      <c r="K705">
        <v>0</v>
      </c>
      <c r="N705">
        <v>3</v>
      </c>
      <c r="O705">
        <v>3</v>
      </c>
      <c r="P705">
        <v>4</v>
      </c>
      <c r="Q705">
        <v>0</v>
      </c>
      <c r="R705">
        <v>23.08</v>
      </c>
      <c r="S705">
        <v>6</v>
      </c>
      <c r="T705">
        <v>6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6</v>
      </c>
      <c r="AB705">
        <v>3</v>
      </c>
      <c r="AC705">
        <v>0</v>
      </c>
      <c r="AD705" t="s">
        <v>130</v>
      </c>
      <c r="AH705">
        <v>32.08</v>
      </c>
    </row>
    <row r="706" spans="1:34" x14ac:dyDescent="0.3">
      <c r="A706" s="4">
        <v>723</v>
      </c>
      <c r="B706" s="5">
        <v>699</v>
      </c>
      <c r="C706">
        <v>11232</v>
      </c>
      <c r="D706" t="s">
        <v>860</v>
      </c>
      <c r="E706" t="s">
        <v>29</v>
      </c>
      <c r="F706" t="s">
        <v>20</v>
      </c>
      <c r="G706" t="s">
        <v>9755</v>
      </c>
      <c r="H706">
        <v>19.079999999999998</v>
      </c>
      <c r="I706">
        <v>0</v>
      </c>
      <c r="J706">
        <v>0</v>
      </c>
      <c r="K706">
        <v>0</v>
      </c>
      <c r="L706">
        <v>7</v>
      </c>
      <c r="O706">
        <v>7</v>
      </c>
      <c r="P706">
        <v>4</v>
      </c>
      <c r="Q706">
        <v>2</v>
      </c>
      <c r="R706">
        <v>32.08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E706" t="s">
        <v>130</v>
      </c>
      <c r="AH706">
        <v>32.08</v>
      </c>
    </row>
    <row r="707" spans="1:34" x14ac:dyDescent="0.3">
      <c r="A707" s="4">
        <v>724</v>
      </c>
      <c r="B707" s="5">
        <v>700</v>
      </c>
      <c r="C707">
        <v>13094</v>
      </c>
      <c r="D707" t="s">
        <v>9756</v>
      </c>
      <c r="E707" t="s">
        <v>41</v>
      </c>
      <c r="F707" t="s">
        <v>652</v>
      </c>
      <c r="G707" t="s">
        <v>9757</v>
      </c>
      <c r="H707">
        <v>19.05</v>
      </c>
      <c r="I707">
        <v>0</v>
      </c>
      <c r="J707">
        <v>0</v>
      </c>
      <c r="K707">
        <v>0</v>
      </c>
      <c r="L707">
        <v>7</v>
      </c>
      <c r="O707">
        <v>7</v>
      </c>
      <c r="P707">
        <v>4</v>
      </c>
      <c r="Q707">
        <v>2</v>
      </c>
      <c r="R707">
        <v>32.049999999999997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H707">
        <v>32.049999999999997</v>
      </c>
    </row>
    <row r="708" spans="1:34" x14ac:dyDescent="0.3">
      <c r="A708" s="4">
        <v>725</v>
      </c>
      <c r="B708" s="5">
        <v>701</v>
      </c>
      <c r="C708">
        <v>9384</v>
      </c>
      <c r="D708" t="s">
        <v>9758</v>
      </c>
      <c r="E708" t="s">
        <v>2011</v>
      </c>
      <c r="F708" t="s">
        <v>190</v>
      </c>
      <c r="G708" t="s">
        <v>9759</v>
      </c>
      <c r="H708">
        <v>18.05</v>
      </c>
      <c r="I708">
        <v>0</v>
      </c>
      <c r="J708">
        <v>0</v>
      </c>
      <c r="K708">
        <v>0</v>
      </c>
      <c r="L708">
        <v>7</v>
      </c>
      <c r="N708">
        <v>3</v>
      </c>
      <c r="O708">
        <v>10</v>
      </c>
      <c r="P708">
        <v>4</v>
      </c>
      <c r="Q708">
        <v>0</v>
      </c>
      <c r="R708">
        <v>32.049999999999997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H708">
        <v>32.049999999999997</v>
      </c>
    </row>
    <row r="709" spans="1:34" x14ac:dyDescent="0.3">
      <c r="A709" s="4">
        <v>726</v>
      </c>
      <c r="B709" s="5">
        <v>702</v>
      </c>
      <c r="C709">
        <v>14372</v>
      </c>
      <c r="D709" t="s">
        <v>9760</v>
      </c>
      <c r="E709" t="s">
        <v>88</v>
      </c>
      <c r="F709" t="s">
        <v>30</v>
      </c>
      <c r="G709" t="s">
        <v>9761</v>
      </c>
      <c r="H709">
        <v>17.03</v>
      </c>
      <c r="I709">
        <v>0</v>
      </c>
      <c r="J709">
        <v>0</v>
      </c>
      <c r="K709">
        <v>0</v>
      </c>
      <c r="N709">
        <v>3</v>
      </c>
      <c r="O709">
        <v>3</v>
      </c>
      <c r="P709">
        <v>4</v>
      </c>
      <c r="Q709">
        <v>2</v>
      </c>
      <c r="R709">
        <v>26.03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6</v>
      </c>
      <c r="AC709">
        <v>0</v>
      </c>
      <c r="AH709">
        <v>32.03</v>
      </c>
    </row>
    <row r="710" spans="1:34" x14ac:dyDescent="0.3">
      <c r="A710" s="4">
        <v>727</v>
      </c>
      <c r="B710" s="5">
        <v>703</v>
      </c>
      <c r="C710">
        <v>4134</v>
      </c>
      <c r="D710" t="s">
        <v>9762</v>
      </c>
      <c r="E710" t="s">
        <v>41</v>
      </c>
      <c r="F710" t="s">
        <v>101</v>
      </c>
      <c r="G710" t="s">
        <v>9763</v>
      </c>
      <c r="H710">
        <v>18.88</v>
      </c>
      <c r="I710">
        <v>0</v>
      </c>
      <c r="J710">
        <v>0</v>
      </c>
      <c r="K710">
        <v>0</v>
      </c>
      <c r="L710">
        <v>7</v>
      </c>
      <c r="O710">
        <v>7</v>
      </c>
      <c r="P710">
        <v>4</v>
      </c>
      <c r="Q710">
        <v>2</v>
      </c>
      <c r="R710">
        <v>31.88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 t="s">
        <v>130</v>
      </c>
      <c r="AH710">
        <v>31.88</v>
      </c>
    </row>
    <row r="711" spans="1:34" x14ac:dyDescent="0.3">
      <c r="A711" s="4">
        <v>728</v>
      </c>
      <c r="B711" s="5">
        <v>704</v>
      </c>
      <c r="C711">
        <v>6266</v>
      </c>
      <c r="D711" t="s">
        <v>9764</v>
      </c>
      <c r="E711" t="s">
        <v>258</v>
      </c>
      <c r="F711" t="s">
        <v>136</v>
      </c>
      <c r="G711" t="s">
        <v>9765</v>
      </c>
      <c r="H711">
        <v>18.75</v>
      </c>
      <c r="I711">
        <v>0</v>
      </c>
      <c r="J711">
        <v>0</v>
      </c>
      <c r="K711">
        <v>0</v>
      </c>
      <c r="L711">
        <v>7</v>
      </c>
      <c r="O711">
        <v>7</v>
      </c>
      <c r="P711">
        <v>4</v>
      </c>
      <c r="Q711">
        <v>2</v>
      </c>
      <c r="R711">
        <v>31.75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H711">
        <v>31.75</v>
      </c>
    </row>
    <row r="712" spans="1:34" x14ac:dyDescent="0.3">
      <c r="A712" s="4">
        <v>729</v>
      </c>
      <c r="B712" s="5">
        <v>705</v>
      </c>
      <c r="C712">
        <v>12886</v>
      </c>
      <c r="D712" t="s">
        <v>843</v>
      </c>
      <c r="E712" t="s">
        <v>166</v>
      </c>
      <c r="F712" t="s">
        <v>649</v>
      </c>
      <c r="G712" t="s">
        <v>9766</v>
      </c>
      <c r="H712">
        <v>18.75</v>
      </c>
      <c r="I712">
        <v>0</v>
      </c>
      <c r="J712">
        <v>0</v>
      </c>
      <c r="K712">
        <v>0</v>
      </c>
      <c r="L712">
        <v>7</v>
      </c>
      <c r="O712">
        <v>7</v>
      </c>
      <c r="P712">
        <v>4</v>
      </c>
      <c r="Q712">
        <v>2</v>
      </c>
      <c r="R712">
        <v>31.75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 t="s">
        <v>130</v>
      </c>
      <c r="AH712">
        <v>31.75</v>
      </c>
    </row>
    <row r="713" spans="1:34" x14ac:dyDescent="0.3">
      <c r="A713" s="4">
        <v>730</v>
      </c>
      <c r="B713" s="5">
        <v>706</v>
      </c>
      <c r="C713">
        <v>10597</v>
      </c>
      <c r="D713" t="s">
        <v>1447</v>
      </c>
      <c r="E713" t="s">
        <v>9767</v>
      </c>
      <c r="F713" t="s">
        <v>136</v>
      </c>
      <c r="G713" t="s">
        <v>9768</v>
      </c>
      <c r="H713">
        <v>19.600000000000001</v>
      </c>
      <c r="I713">
        <v>0</v>
      </c>
      <c r="J713">
        <v>0</v>
      </c>
      <c r="K713">
        <v>0</v>
      </c>
      <c r="N713">
        <v>3</v>
      </c>
      <c r="O713">
        <v>3</v>
      </c>
      <c r="P713">
        <v>4</v>
      </c>
      <c r="Q713">
        <v>2</v>
      </c>
      <c r="R713">
        <v>28.6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3</v>
      </c>
      <c r="AC713">
        <v>0</v>
      </c>
      <c r="AD713" t="s">
        <v>130</v>
      </c>
      <c r="AH713">
        <v>31.6</v>
      </c>
    </row>
    <row r="714" spans="1:34" x14ac:dyDescent="0.3">
      <c r="A714" s="4">
        <v>731</v>
      </c>
      <c r="B714" s="5">
        <v>707</v>
      </c>
      <c r="C714">
        <v>14790</v>
      </c>
      <c r="D714" t="s">
        <v>9769</v>
      </c>
      <c r="E714" t="s">
        <v>268</v>
      </c>
      <c r="F714" t="s">
        <v>117</v>
      </c>
      <c r="G714" t="s">
        <v>9770</v>
      </c>
      <c r="H714">
        <v>21.55</v>
      </c>
      <c r="I714">
        <v>0</v>
      </c>
      <c r="J714">
        <v>0</v>
      </c>
      <c r="K714">
        <v>0</v>
      </c>
      <c r="L714">
        <v>7</v>
      </c>
      <c r="O714">
        <v>7</v>
      </c>
      <c r="P714">
        <v>0</v>
      </c>
      <c r="Q714">
        <v>0</v>
      </c>
      <c r="R714">
        <v>28.55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3</v>
      </c>
      <c r="AC714">
        <v>0</v>
      </c>
      <c r="AH714">
        <v>31.55</v>
      </c>
    </row>
    <row r="715" spans="1:34" x14ac:dyDescent="0.3">
      <c r="A715" s="4">
        <v>732</v>
      </c>
      <c r="B715" s="5">
        <v>708</v>
      </c>
      <c r="C715">
        <v>15363</v>
      </c>
      <c r="D715" t="s">
        <v>9771</v>
      </c>
      <c r="E715" t="s">
        <v>837</v>
      </c>
      <c r="F715" t="s">
        <v>17</v>
      </c>
      <c r="G715" t="s">
        <v>9772</v>
      </c>
      <c r="H715">
        <v>20.55</v>
      </c>
      <c r="I715">
        <v>7</v>
      </c>
      <c r="J715">
        <v>0</v>
      </c>
      <c r="K715">
        <v>0</v>
      </c>
      <c r="O715">
        <v>0</v>
      </c>
      <c r="P715">
        <v>4</v>
      </c>
      <c r="Q715">
        <v>0</v>
      </c>
      <c r="R715">
        <v>31.55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H715">
        <v>31.55</v>
      </c>
    </row>
    <row r="716" spans="1:34" x14ac:dyDescent="0.3">
      <c r="A716" s="4">
        <v>733</v>
      </c>
      <c r="B716" s="5">
        <v>709</v>
      </c>
      <c r="C716">
        <v>8549</v>
      </c>
      <c r="D716" t="s">
        <v>9773</v>
      </c>
      <c r="E716" t="s">
        <v>29</v>
      </c>
      <c r="F716" t="s">
        <v>9774</v>
      </c>
      <c r="G716" t="s">
        <v>9775</v>
      </c>
      <c r="H716">
        <v>22.5</v>
      </c>
      <c r="I716">
        <v>0</v>
      </c>
      <c r="J716">
        <v>0</v>
      </c>
      <c r="K716">
        <v>0</v>
      </c>
      <c r="N716">
        <v>3</v>
      </c>
      <c r="O716">
        <v>3</v>
      </c>
      <c r="P716">
        <v>4</v>
      </c>
      <c r="Q716">
        <v>2</v>
      </c>
      <c r="R716">
        <v>31.5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 t="s">
        <v>130</v>
      </c>
      <c r="AH716">
        <v>31.5</v>
      </c>
    </row>
    <row r="717" spans="1:34" x14ac:dyDescent="0.3">
      <c r="A717" s="4">
        <v>734</v>
      </c>
      <c r="B717" s="5">
        <v>710</v>
      </c>
      <c r="C717">
        <v>8021</v>
      </c>
      <c r="D717" t="s">
        <v>1604</v>
      </c>
      <c r="E717" t="s">
        <v>117</v>
      </c>
      <c r="F717" t="s">
        <v>30</v>
      </c>
      <c r="G717" t="s">
        <v>9776</v>
      </c>
      <c r="H717">
        <v>18.5</v>
      </c>
      <c r="I717">
        <v>0</v>
      </c>
      <c r="J717">
        <v>0</v>
      </c>
      <c r="K717">
        <v>0</v>
      </c>
      <c r="L717">
        <v>7</v>
      </c>
      <c r="O717">
        <v>7</v>
      </c>
      <c r="P717">
        <v>4</v>
      </c>
      <c r="Q717">
        <v>2</v>
      </c>
      <c r="R717">
        <v>31.5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H717">
        <v>31.5</v>
      </c>
    </row>
    <row r="718" spans="1:34" x14ac:dyDescent="0.3">
      <c r="A718" s="4">
        <v>735</v>
      </c>
      <c r="B718" s="5">
        <v>711</v>
      </c>
      <c r="C718">
        <v>13816</v>
      </c>
      <c r="D718" t="s">
        <v>9777</v>
      </c>
      <c r="E718" t="s">
        <v>8570</v>
      </c>
      <c r="F718" t="s">
        <v>38</v>
      </c>
      <c r="G718" t="s">
        <v>9778</v>
      </c>
      <c r="H718">
        <v>17.48</v>
      </c>
      <c r="I718">
        <v>0</v>
      </c>
      <c r="J718">
        <v>0</v>
      </c>
      <c r="K718">
        <v>0</v>
      </c>
      <c r="M718">
        <v>5</v>
      </c>
      <c r="O718">
        <v>5</v>
      </c>
      <c r="P718">
        <v>4</v>
      </c>
      <c r="Q718">
        <v>2</v>
      </c>
      <c r="R718">
        <v>28.48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3</v>
      </c>
      <c r="AC718">
        <v>0</v>
      </c>
      <c r="AD718" t="s">
        <v>130</v>
      </c>
      <c r="AH718">
        <v>31.48</v>
      </c>
    </row>
    <row r="719" spans="1:34" x14ac:dyDescent="0.3">
      <c r="A719" s="4">
        <v>736</v>
      </c>
      <c r="B719" s="5">
        <v>712</v>
      </c>
      <c r="C719">
        <v>3078</v>
      </c>
      <c r="D719" t="s">
        <v>9779</v>
      </c>
      <c r="E719" t="s">
        <v>3719</v>
      </c>
      <c r="F719" t="s">
        <v>9780</v>
      </c>
      <c r="G719" t="s">
        <v>9781</v>
      </c>
      <c r="H719">
        <v>20.48</v>
      </c>
      <c r="I719">
        <v>0</v>
      </c>
      <c r="J719">
        <v>0</v>
      </c>
      <c r="K719">
        <v>0</v>
      </c>
      <c r="L719">
        <v>7</v>
      </c>
      <c r="O719">
        <v>7</v>
      </c>
      <c r="P719">
        <v>4</v>
      </c>
      <c r="Q719">
        <v>0</v>
      </c>
      <c r="R719">
        <v>31.48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 t="s">
        <v>130</v>
      </c>
      <c r="AH719">
        <v>31.48</v>
      </c>
    </row>
    <row r="720" spans="1:34" x14ac:dyDescent="0.3">
      <c r="A720" s="4">
        <v>737</v>
      </c>
      <c r="B720" s="5">
        <v>713</v>
      </c>
      <c r="C720">
        <v>11126</v>
      </c>
      <c r="D720" t="s">
        <v>9782</v>
      </c>
      <c r="E720" t="s">
        <v>38</v>
      </c>
      <c r="F720" t="s">
        <v>20</v>
      </c>
      <c r="G720" t="s">
        <v>9783</v>
      </c>
      <c r="H720">
        <v>19.45</v>
      </c>
      <c r="I720">
        <v>0</v>
      </c>
      <c r="J720">
        <v>0</v>
      </c>
      <c r="K720">
        <v>0</v>
      </c>
      <c r="N720">
        <v>6</v>
      </c>
      <c r="O720">
        <v>6</v>
      </c>
      <c r="P720">
        <v>0</v>
      </c>
      <c r="Q720">
        <v>0</v>
      </c>
      <c r="R720">
        <v>25.45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6</v>
      </c>
      <c r="AC720">
        <v>0</v>
      </c>
      <c r="AH720">
        <v>31.45</v>
      </c>
    </row>
    <row r="721" spans="1:34" x14ac:dyDescent="0.3">
      <c r="A721" s="4">
        <v>738</v>
      </c>
      <c r="B721" s="5">
        <v>714</v>
      </c>
      <c r="C721">
        <v>13206</v>
      </c>
      <c r="D721" t="s">
        <v>3388</v>
      </c>
      <c r="E721" t="s">
        <v>166</v>
      </c>
      <c r="F721" t="s">
        <v>20</v>
      </c>
      <c r="G721" t="s">
        <v>9784</v>
      </c>
      <c r="H721">
        <v>18.43</v>
      </c>
      <c r="I721">
        <v>0</v>
      </c>
      <c r="J721">
        <v>0</v>
      </c>
      <c r="K721">
        <v>0</v>
      </c>
      <c r="L721">
        <v>7</v>
      </c>
      <c r="O721">
        <v>7</v>
      </c>
      <c r="P721">
        <v>4</v>
      </c>
      <c r="Q721">
        <v>2</v>
      </c>
      <c r="R721">
        <v>31.43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H721">
        <v>31.43</v>
      </c>
    </row>
    <row r="722" spans="1:34" x14ac:dyDescent="0.3">
      <c r="A722" s="4">
        <v>739</v>
      </c>
      <c r="B722" s="5">
        <v>715</v>
      </c>
      <c r="C722">
        <v>8524</v>
      </c>
      <c r="D722" t="s">
        <v>2127</v>
      </c>
      <c r="E722" t="s">
        <v>54</v>
      </c>
      <c r="F722" t="s">
        <v>20</v>
      </c>
      <c r="G722" t="s">
        <v>9785</v>
      </c>
      <c r="H722">
        <v>17.399999999999999</v>
      </c>
      <c r="I722">
        <v>0</v>
      </c>
      <c r="J722">
        <v>0</v>
      </c>
      <c r="K722">
        <v>0</v>
      </c>
      <c r="L722">
        <v>7</v>
      </c>
      <c r="N722">
        <v>3</v>
      </c>
      <c r="O722">
        <v>10</v>
      </c>
      <c r="P722">
        <v>4</v>
      </c>
      <c r="Q722">
        <v>0</v>
      </c>
      <c r="R722">
        <v>31.4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H722">
        <v>31.4</v>
      </c>
    </row>
    <row r="723" spans="1:34" x14ac:dyDescent="0.3">
      <c r="A723" s="4">
        <v>740</v>
      </c>
      <c r="B723" s="5">
        <v>716</v>
      </c>
      <c r="C723">
        <v>10586</v>
      </c>
      <c r="D723" t="s">
        <v>451</v>
      </c>
      <c r="E723" t="s">
        <v>268</v>
      </c>
      <c r="F723" t="s">
        <v>38</v>
      </c>
      <c r="G723" t="s">
        <v>9786</v>
      </c>
      <c r="H723">
        <v>18.329999999999998</v>
      </c>
      <c r="I723">
        <v>0</v>
      </c>
      <c r="J723">
        <v>0</v>
      </c>
      <c r="K723">
        <v>0</v>
      </c>
      <c r="L723">
        <v>7</v>
      </c>
      <c r="O723">
        <v>7</v>
      </c>
      <c r="P723">
        <v>4</v>
      </c>
      <c r="Q723">
        <v>2</v>
      </c>
      <c r="R723">
        <v>31.33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 t="s">
        <v>130</v>
      </c>
      <c r="AH723">
        <v>31.33</v>
      </c>
    </row>
    <row r="724" spans="1:34" x14ac:dyDescent="0.3">
      <c r="A724" s="4">
        <v>741</v>
      </c>
      <c r="B724" s="5">
        <v>717</v>
      </c>
      <c r="C724">
        <v>10894</v>
      </c>
      <c r="D724" t="s">
        <v>7887</v>
      </c>
      <c r="E724" t="s">
        <v>9787</v>
      </c>
      <c r="F724" t="s">
        <v>81</v>
      </c>
      <c r="G724" t="s">
        <v>9788</v>
      </c>
      <c r="H724">
        <v>20.3</v>
      </c>
      <c r="I724">
        <v>0</v>
      </c>
      <c r="J724">
        <v>0</v>
      </c>
      <c r="K724">
        <v>0</v>
      </c>
      <c r="L724">
        <v>7</v>
      </c>
      <c r="O724">
        <v>7</v>
      </c>
      <c r="P724">
        <v>4</v>
      </c>
      <c r="Q724">
        <v>0</v>
      </c>
      <c r="R724">
        <v>31.3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 t="s">
        <v>130</v>
      </c>
      <c r="AH724">
        <v>31.3</v>
      </c>
    </row>
    <row r="725" spans="1:34" x14ac:dyDescent="0.3">
      <c r="A725" s="4">
        <v>742</v>
      </c>
      <c r="B725" s="5">
        <v>718</v>
      </c>
      <c r="C725">
        <v>1353</v>
      </c>
      <c r="D725" t="s">
        <v>9789</v>
      </c>
      <c r="E725" t="s">
        <v>2016</v>
      </c>
      <c r="F725" t="s">
        <v>17</v>
      </c>
      <c r="G725" t="s">
        <v>9790</v>
      </c>
      <c r="H725">
        <v>18.28</v>
      </c>
      <c r="I725">
        <v>0</v>
      </c>
      <c r="J725">
        <v>0</v>
      </c>
      <c r="K725">
        <v>0</v>
      </c>
      <c r="N725">
        <v>3</v>
      </c>
      <c r="O725">
        <v>3</v>
      </c>
      <c r="P725">
        <v>4</v>
      </c>
      <c r="Q725">
        <v>0</v>
      </c>
      <c r="R725">
        <v>25.28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6</v>
      </c>
      <c r="AC725">
        <v>0</v>
      </c>
      <c r="AH725">
        <v>31.28</v>
      </c>
    </row>
    <row r="726" spans="1:34" x14ac:dyDescent="0.3">
      <c r="A726" s="4">
        <v>743</v>
      </c>
      <c r="B726" s="5">
        <v>719</v>
      </c>
      <c r="C726">
        <v>6145</v>
      </c>
      <c r="D726" t="s">
        <v>3570</v>
      </c>
      <c r="E726" t="s">
        <v>9791</v>
      </c>
      <c r="F726" t="s">
        <v>343</v>
      </c>
      <c r="G726" t="s">
        <v>9792</v>
      </c>
      <c r="H726">
        <v>23.25</v>
      </c>
      <c r="I726">
        <v>0</v>
      </c>
      <c r="J726">
        <v>0</v>
      </c>
      <c r="K726">
        <v>0</v>
      </c>
      <c r="M726">
        <v>5</v>
      </c>
      <c r="N726">
        <v>3</v>
      </c>
      <c r="O726">
        <v>8</v>
      </c>
      <c r="P726">
        <v>0</v>
      </c>
      <c r="Q726">
        <v>0</v>
      </c>
      <c r="R726">
        <v>31.25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H726">
        <v>31.25</v>
      </c>
    </row>
    <row r="727" spans="1:34" x14ac:dyDescent="0.3">
      <c r="A727" s="4">
        <v>744</v>
      </c>
      <c r="B727" s="5">
        <v>720</v>
      </c>
      <c r="C727">
        <v>5342</v>
      </c>
      <c r="D727" t="s">
        <v>28</v>
      </c>
      <c r="E727" t="s">
        <v>9793</v>
      </c>
      <c r="F727" t="s">
        <v>136</v>
      </c>
      <c r="G727" t="s">
        <v>9794</v>
      </c>
      <c r="H727">
        <v>19.25</v>
      </c>
      <c r="I727">
        <v>0</v>
      </c>
      <c r="J727">
        <v>0</v>
      </c>
      <c r="K727">
        <v>0</v>
      </c>
      <c r="M727">
        <v>5</v>
      </c>
      <c r="N727">
        <v>3</v>
      </c>
      <c r="O727">
        <v>8</v>
      </c>
      <c r="P727">
        <v>4</v>
      </c>
      <c r="Q727">
        <v>0</v>
      </c>
      <c r="R727">
        <v>31.25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H727">
        <v>31.25</v>
      </c>
    </row>
    <row r="728" spans="1:34" x14ac:dyDescent="0.3">
      <c r="A728" s="4">
        <v>745</v>
      </c>
      <c r="B728" s="5">
        <v>721</v>
      </c>
      <c r="C728">
        <v>4044</v>
      </c>
      <c r="D728" t="s">
        <v>9795</v>
      </c>
      <c r="E728" t="s">
        <v>957</v>
      </c>
      <c r="F728" t="s">
        <v>20</v>
      </c>
      <c r="G728" t="s">
        <v>9796</v>
      </c>
      <c r="H728">
        <v>18.2</v>
      </c>
      <c r="I728">
        <v>0</v>
      </c>
      <c r="J728">
        <v>0</v>
      </c>
      <c r="K728">
        <v>0</v>
      </c>
      <c r="N728">
        <v>3</v>
      </c>
      <c r="O728">
        <v>3</v>
      </c>
      <c r="P728">
        <v>4</v>
      </c>
      <c r="Q728">
        <v>0</v>
      </c>
      <c r="R728">
        <v>25.2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6</v>
      </c>
      <c r="AC728">
        <v>0</v>
      </c>
      <c r="AH728">
        <v>31.2</v>
      </c>
    </row>
    <row r="729" spans="1:34" x14ac:dyDescent="0.3">
      <c r="A729" s="4">
        <v>746</v>
      </c>
      <c r="B729" s="5">
        <v>722</v>
      </c>
      <c r="C729">
        <v>3611</v>
      </c>
      <c r="D729" t="s">
        <v>9797</v>
      </c>
      <c r="E729" t="s">
        <v>7737</v>
      </c>
      <c r="F729" t="s">
        <v>2855</v>
      </c>
      <c r="G729" t="s">
        <v>9798</v>
      </c>
      <c r="H729">
        <v>14.2</v>
      </c>
      <c r="I729">
        <v>0</v>
      </c>
      <c r="J729">
        <v>0</v>
      </c>
      <c r="K729">
        <v>0</v>
      </c>
      <c r="L729">
        <v>7</v>
      </c>
      <c r="N729">
        <v>3</v>
      </c>
      <c r="O729">
        <v>10</v>
      </c>
      <c r="P729">
        <v>4</v>
      </c>
      <c r="Q729">
        <v>0</v>
      </c>
      <c r="R729">
        <v>28.2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3</v>
      </c>
      <c r="AC729">
        <v>0</v>
      </c>
      <c r="AH729">
        <v>31.2</v>
      </c>
    </row>
    <row r="730" spans="1:34" x14ac:dyDescent="0.3">
      <c r="A730" s="4">
        <v>747</v>
      </c>
      <c r="B730" s="5">
        <v>723</v>
      </c>
      <c r="C730">
        <v>6405</v>
      </c>
      <c r="D730" t="s">
        <v>877</v>
      </c>
      <c r="E730" t="s">
        <v>149</v>
      </c>
      <c r="F730" t="s">
        <v>136</v>
      </c>
      <c r="G730" t="s">
        <v>9799</v>
      </c>
      <c r="H730">
        <v>20.18</v>
      </c>
      <c r="I730">
        <v>0</v>
      </c>
      <c r="J730">
        <v>0</v>
      </c>
      <c r="K730">
        <v>0</v>
      </c>
      <c r="N730">
        <v>6</v>
      </c>
      <c r="O730">
        <v>6</v>
      </c>
      <c r="P730">
        <v>0</v>
      </c>
      <c r="Q730">
        <v>2</v>
      </c>
      <c r="R730">
        <v>28.18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3</v>
      </c>
      <c r="AC730">
        <v>0</v>
      </c>
      <c r="AH730">
        <v>31.18</v>
      </c>
    </row>
    <row r="731" spans="1:34" x14ac:dyDescent="0.3">
      <c r="A731" s="4">
        <v>748</v>
      </c>
      <c r="B731" s="5">
        <v>724</v>
      </c>
      <c r="C731">
        <v>4689</v>
      </c>
      <c r="D731" t="s">
        <v>9800</v>
      </c>
      <c r="E731" t="s">
        <v>594</v>
      </c>
      <c r="F731" t="s">
        <v>30</v>
      </c>
      <c r="G731" t="s">
        <v>9801</v>
      </c>
      <c r="H731">
        <v>18.149999999999999</v>
      </c>
      <c r="I731">
        <v>0</v>
      </c>
      <c r="J731">
        <v>0</v>
      </c>
      <c r="K731">
        <v>0</v>
      </c>
      <c r="N731">
        <v>6</v>
      </c>
      <c r="O731">
        <v>6</v>
      </c>
      <c r="P731">
        <v>4</v>
      </c>
      <c r="Q731">
        <v>0</v>
      </c>
      <c r="R731">
        <v>28.15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3</v>
      </c>
      <c r="AC731">
        <v>0</v>
      </c>
      <c r="AH731">
        <v>31.15</v>
      </c>
    </row>
    <row r="732" spans="1:34" x14ac:dyDescent="0.3">
      <c r="A732" s="4">
        <v>749</v>
      </c>
      <c r="B732" s="5">
        <v>725</v>
      </c>
      <c r="C732">
        <v>3343</v>
      </c>
      <c r="D732" t="s">
        <v>9802</v>
      </c>
      <c r="E732" t="s">
        <v>335</v>
      </c>
      <c r="F732" t="s">
        <v>927</v>
      </c>
      <c r="G732" t="s">
        <v>9803</v>
      </c>
      <c r="H732">
        <v>20.149999999999999</v>
      </c>
      <c r="I732">
        <v>0</v>
      </c>
      <c r="J732">
        <v>0</v>
      </c>
      <c r="K732">
        <v>0</v>
      </c>
      <c r="L732">
        <v>7</v>
      </c>
      <c r="O732">
        <v>7</v>
      </c>
      <c r="P732">
        <v>4</v>
      </c>
      <c r="Q732">
        <v>0</v>
      </c>
      <c r="R732">
        <v>31.15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H732">
        <v>31.15</v>
      </c>
    </row>
    <row r="733" spans="1:34" x14ac:dyDescent="0.3">
      <c r="A733" s="4">
        <v>750</v>
      </c>
      <c r="B733" s="5">
        <v>726</v>
      </c>
      <c r="C733">
        <v>9903</v>
      </c>
      <c r="D733" t="s">
        <v>5281</v>
      </c>
      <c r="E733" t="s">
        <v>41</v>
      </c>
      <c r="F733" t="s">
        <v>442</v>
      </c>
      <c r="G733" t="s">
        <v>9804</v>
      </c>
      <c r="H733">
        <v>17.13</v>
      </c>
      <c r="I733">
        <v>0</v>
      </c>
      <c r="J733">
        <v>0</v>
      </c>
      <c r="K733">
        <v>0</v>
      </c>
      <c r="L733">
        <v>7</v>
      </c>
      <c r="O733">
        <v>7</v>
      </c>
      <c r="P733">
        <v>4</v>
      </c>
      <c r="Q733">
        <v>0</v>
      </c>
      <c r="R733">
        <v>28.13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3</v>
      </c>
      <c r="AC733">
        <v>0</v>
      </c>
      <c r="AH733">
        <v>31.13</v>
      </c>
    </row>
    <row r="734" spans="1:34" x14ac:dyDescent="0.3">
      <c r="A734" s="4">
        <v>751</v>
      </c>
      <c r="B734" s="5">
        <v>727</v>
      </c>
      <c r="C734">
        <v>1923</v>
      </c>
      <c r="D734" t="s">
        <v>9805</v>
      </c>
      <c r="E734" t="s">
        <v>173</v>
      </c>
      <c r="F734" t="s">
        <v>136</v>
      </c>
      <c r="G734" t="s">
        <v>9806</v>
      </c>
      <c r="H734">
        <v>20.100000000000001</v>
      </c>
      <c r="I734">
        <v>0</v>
      </c>
      <c r="J734">
        <v>0</v>
      </c>
      <c r="K734">
        <v>0</v>
      </c>
      <c r="L734">
        <v>7</v>
      </c>
      <c r="O734">
        <v>7</v>
      </c>
      <c r="P734">
        <v>4</v>
      </c>
      <c r="Q734">
        <v>0</v>
      </c>
      <c r="R734">
        <v>31.1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H734">
        <v>31.1</v>
      </c>
    </row>
    <row r="735" spans="1:34" x14ac:dyDescent="0.3">
      <c r="A735" s="4">
        <v>752</v>
      </c>
      <c r="B735" s="5">
        <v>728</v>
      </c>
      <c r="C735">
        <v>11159</v>
      </c>
      <c r="D735" t="s">
        <v>1707</v>
      </c>
      <c r="E735" t="s">
        <v>147</v>
      </c>
      <c r="F735" t="s">
        <v>81</v>
      </c>
      <c r="G735" t="s">
        <v>9807</v>
      </c>
      <c r="H735">
        <v>18.079999999999998</v>
      </c>
      <c r="I735">
        <v>0</v>
      </c>
      <c r="J735">
        <v>0</v>
      </c>
      <c r="K735">
        <v>0</v>
      </c>
      <c r="L735">
        <v>7</v>
      </c>
      <c r="O735">
        <v>7</v>
      </c>
      <c r="P735">
        <v>4</v>
      </c>
      <c r="Q735">
        <v>2</v>
      </c>
      <c r="R735">
        <v>31.08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H735">
        <v>31.08</v>
      </c>
    </row>
    <row r="736" spans="1:34" x14ac:dyDescent="0.3">
      <c r="A736" s="4">
        <v>753</v>
      </c>
      <c r="B736" s="5">
        <v>729</v>
      </c>
      <c r="C736">
        <v>9313</v>
      </c>
      <c r="D736" t="s">
        <v>9808</v>
      </c>
      <c r="E736" t="s">
        <v>29</v>
      </c>
      <c r="F736" t="s">
        <v>892</v>
      </c>
      <c r="G736" t="s">
        <v>9809</v>
      </c>
      <c r="H736">
        <v>17.079999999999998</v>
      </c>
      <c r="I736">
        <v>0</v>
      </c>
      <c r="J736">
        <v>0</v>
      </c>
      <c r="K736">
        <v>0</v>
      </c>
      <c r="L736">
        <v>7</v>
      </c>
      <c r="N736">
        <v>3</v>
      </c>
      <c r="O736">
        <v>10</v>
      </c>
      <c r="P736">
        <v>4</v>
      </c>
      <c r="Q736">
        <v>0</v>
      </c>
      <c r="R736">
        <v>31.08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 t="s">
        <v>130</v>
      </c>
      <c r="AH736">
        <v>31.08</v>
      </c>
    </row>
    <row r="737" spans="1:34" x14ac:dyDescent="0.3">
      <c r="A737" s="4">
        <v>754</v>
      </c>
      <c r="B737" s="5">
        <v>730</v>
      </c>
      <c r="C737">
        <v>13773</v>
      </c>
      <c r="D737" t="s">
        <v>9810</v>
      </c>
      <c r="E737" t="s">
        <v>136</v>
      </c>
      <c r="F737" t="s">
        <v>68</v>
      </c>
      <c r="G737" t="s">
        <v>9811</v>
      </c>
      <c r="H737">
        <v>20</v>
      </c>
      <c r="I737">
        <v>0</v>
      </c>
      <c r="J737">
        <v>0</v>
      </c>
      <c r="K737">
        <v>0</v>
      </c>
      <c r="M737">
        <v>5</v>
      </c>
      <c r="O737">
        <v>5</v>
      </c>
      <c r="P737">
        <v>4</v>
      </c>
      <c r="Q737">
        <v>2</v>
      </c>
      <c r="R737">
        <v>31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H737">
        <v>31</v>
      </c>
    </row>
    <row r="738" spans="1:34" x14ac:dyDescent="0.3">
      <c r="A738" s="4">
        <v>755</v>
      </c>
      <c r="B738" s="5">
        <v>731</v>
      </c>
      <c r="C738">
        <v>15066</v>
      </c>
      <c r="D738" t="s">
        <v>9812</v>
      </c>
      <c r="E738" t="s">
        <v>1975</v>
      </c>
      <c r="F738" t="s">
        <v>17</v>
      </c>
      <c r="G738" t="s">
        <v>9813</v>
      </c>
      <c r="H738">
        <v>19.899999999999999</v>
      </c>
      <c r="I738">
        <v>0</v>
      </c>
      <c r="J738">
        <v>0</v>
      </c>
      <c r="K738">
        <v>0</v>
      </c>
      <c r="O738">
        <v>0</v>
      </c>
      <c r="P738">
        <v>4</v>
      </c>
      <c r="Q738">
        <v>0</v>
      </c>
      <c r="R738">
        <v>23.9</v>
      </c>
      <c r="S738">
        <v>1</v>
      </c>
      <c r="T738">
        <v>1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1</v>
      </c>
      <c r="AB738">
        <v>6</v>
      </c>
      <c r="AC738">
        <v>0</v>
      </c>
      <c r="AH738">
        <v>30.9</v>
      </c>
    </row>
    <row r="739" spans="1:34" x14ac:dyDescent="0.3">
      <c r="A739" s="4">
        <v>756</v>
      </c>
      <c r="B739" s="5">
        <v>732</v>
      </c>
      <c r="C739">
        <v>3335</v>
      </c>
      <c r="D739" t="s">
        <v>4828</v>
      </c>
      <c r="E739" t="s">
        <v>166</v>
      </c>
      <c r="F739" t="s">
        <v>570</v>
      </c>
      <c r="G739" t="s">
        <v>4829</v>
      </c>
      <c r="H739">
        <v>17.899999999999999</v>
      </c>
      <c r="I739">
        <v>0</v>
      </c>
      <c r="J739">
        <v>0</v>
      </c>
      <c r="K739">
        <v>0</v>
      </c>
      <c r="L739">
        <v>7</v>
      </c>
      <c r="O739">
        <v>7</v>
      </c>
      <c r="P739">
        <v>4</v>
      </c>
      <c r="Q739">
        <v>2</v>
      </c>
      <c r="R739">
        <v>30.9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H739">
        <v>30.9</v>
      </c>
    </row>
    <row r="740" spans="1:34" x14ac:dyDescent="0.3">
      <c r="A740" s="4">
        <v>757</v>
      </c>
      <c r="B740" s="5">
        <v>733</v>
      </c>
      <c r="C740">
        <v>10940</v>
      </c>
      <c r="D740" t="s">
        <v>4736</v>
      </c>
      <c r="E740" t="s">
        <v>161</v>
      </c>
      <c r="F740" t="s">
        <v>38</v>
      </c>
      <c r="G740" t="s">
        <v>9814</v>
      </c>
      <c r="H740">
        <v>20.88</v>
      </c>
      <c r="I740">
        <v>0</v>
      </c>
      <c r="J740">
        <v>0</v>
      </c>
      <c r="K740">
        <v>0</v>
      </c>
      <c r="L740">
        <v>7</v>
      </c>
      <c r="O740">
        <v>7</v>
      </c>
      <c r="P740">
        <v>0</v>
      </c>
      <c r="Q740">
        <v>0</v>
      </c>
      <c r="R740">
        <v>27.88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3</v>
      </c>
      <c r="AC740">
        <v>0</v>
      </c>
      <c r="AH740">
        <v>30.88</v>
      </c>
    </row>
    <row r="741" spans="1:34" x14ac:dyDescent="0.3">
      <c r="A741" s="4">
        <v>758</v>
      </c>
      <c r="B741" s="5">
        <v>734</v>
      </c>
      <c r="C741">
        <v>13441</v>
      </c>
      <c r="D741" t="s">
        <v>5384</v>
      </c>
      <c r="E741" t="s">
        <v>1474</v>
      </c>
      <c r="F741" t="s">
        <v>243</v>
      </c>
      <c r="G741" t="s">
        <v>9815</v>
      </c>
      <c r="H741">
        <v>19.850000000000001</v>
      </c>
      <c r="I741">
        <v>0</v>
      </c>
      <c r="J741">
        <v>0</v>
      </c>
      <c r="K741">
        <v>0</v>
      </c>
      <c r="L741">
        <v>7</v>
      </c>
      <c r="O741">
        <v>7</v>
      </c>
      <c r="P741">
        <v>4</v>
      </c>
      <c r="Q741">
        <v>0</v>
      </c>
      <c r="R741">
        <v>30.85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H741">
        <v>30.85</v>
      </c>
    </row>
    <row r="742" spans="1:34" x14ac:dyDescent="0.3">
      <c r="A742" s="4">
        <v>759</v>
      </c>
      <c r="B742" s="5">
        <v>735</v>
      </c>
      <c r="C742">
        <v>9621</v>
      </c>
      <c r="D742" t="s">
        <v>9816</v>
      </c>
      <c r="E742" t="s">
        <v>33</v>
      </c>
      <c r="F742" t="s">
        <v>343</v>
      </c>
      <c r="G742" t="s">
        <v>9817</v>
      </c>
      <c r="H742">
        <v>19.850000000000001</v>
      </c>
      <c r="I742">
        <v>0</v>
      </c>
      <c r="J742">
        <v>0</v>
      </c>
      <c r="K742">
        <v>0</v>
      </c>
      <c r="L742">
        <v>7</v>
      </c>
      <c r="O742">
        <v>7</v>
      </c>
      <c r="P742">
        <v>4</v>
      </c>
      <c r="Q742">
        <v>0</v>
      </c>
      <c r="R742">
        <v>30.85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H742">
        <v>30.85</v>
      </c>
    </row>
    <row r="743" spans="1:34" x14ac:dyDescent="0.3">
      <c r="A743" s="4">
        <v>760</v>
      </c>
      <c r="B743" s="5">
        <v>736</v>
      </c>
      <c r="C743">
        <v>267</v>
      </c>
      <c r="D743" t="s">
        <v>9818</v>
      </c>
      <c r="E743" t="s">
        <v>9819</v>
      </c>
      <c r="F743" t="s">
        <v>117</v>
      </c>
      <c r="G743" t="s">
        <v>9820</v>
      </c>
      <c r="H743">
        <v>17.829999999999998</v>
      </c>
      <c r="I743">
        <v>0</v>
      </c>
      <c r="J743">
        <v>0</v>
      </c>
      <c r="K743">
        <v>0</v>
      </c>
      <c r="L743">
        <v>7</v>
      </c>
      <c r="O743">
        <v>7</v>
      </c>
      <c r="P743">
        <v>4</v>
      </c>
      <c r="Q743">
        <v>2</v>
      </c>
      <c r="R743">
        <v>30.83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H743">
        <v>30.83</v>
      </c>
    </row>
    <row r="744" spans="1:34" x14ac:dyDescent="0.3">
      <c r="A744" s="4">
        <v>761</v>
      </c>
      <c r="B744" s="5">
        <v>737</v>
      </c>
      <c r="C744">
        <v>10380</v>
      </c>
      <c r="D744" t="s">
        <v>9821</v>
      </c>
      <c r="E744" t="s">
        <v>29</v>
      </c>
      <c r="F744" t="s">
        <v>9822</v>
      </c>
      <c r="G744" t="s">
        <v>9823</v>
      </c>
      <c r="H744">
        <v>17.78</v>
      </c>
      <c r="I744">
        <v>0</v>
      </c>
      <c r="J744">
        <v>0</v>
      </c>
      <c r="K744">
        <v>0</v>
      </c>
      <c r="L744">
        <v>7</v>
      </c>
      <c r="O744">
        <v>7</v>
      </c>
      <c r="P744">
        <v>4</v>
      </c>
      <c r="Q744">
        <v>2</v>
      </c>
      <c r="R744">
        <v>30.78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H744">
        <v>30.78</v>
      </c>
    </row>
    <row r="745" spans="1:34" x14ac:dyDescent="0.3">
      <c r="A745" s="4">
        <v>762</v>
      </c>
      <c r="B745" s="5">
        <v>738</v>
      </c>
      <c r="C745">
        <v>11596</v>
      </c>
      <c r="D745" t="s">
        <v>9824</v>
      </c>
      <c r="E745" t="s">
        <v>335</v>
      </c>
      <c r="F745" t="s">
        <v>38</v>
      </c>
      <c r="G745" t="s">
        <v>9825</v>
      </c>
      <c r="H745">
        <v>19.75</v>
      </c>
      <c r="I745">
        <v>0</v>
      </c>
      <c r="J745">
        <v>0</v>
      </c>
      <c r="K745">
        <v>0</v>
      </c>
      <c r="N745">
        <v>3</v>
      </c>
      <c r="O745">
        <v>3</v>
      </c>
      <c r="P745">
        <v>0</v>
      </c>
      <c r="Q745">
        <v>2</v>
      </c>
      <c r="R745">
        <v>24.75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6</v>
      </c>
      <c r="AC745">
        <v>0</v>
      </c>
      <c r="AH745">
        <v>30.75</v>
      </c>
    </row>
    <row r="746" spans="1:34" x14ac:dyDescent="0.3">
      <c r="A746" s="4">
        <v>763</v>
      </c>
      <c r="B746" s="5">
        <v>739</v>
      </c>
      <c r="C746">
        <v>2650</v>
      </c>
      <c r="D746" t="s">
        <v>9216</v>
      </c>
      <c r="E746" t="s">
        <v>166</v>
      </c>
      <c r="F746" t="s">
        <v>55</v>
      </c>
      <c r="G746" t="s">
        <v>9826</v>
      </c>
      <c r="H746">
        <v>19.73</v>
      </c>
      <c r="I746">
        <v>0</v>
      </c>
      <c r="J746">
        <v>0</v>
      </c>
      <c r="K746">
        <v>0</v>
      </c>
      <c r="L746">
        <v>7</v>
      </c>
      <c r="O746">
        <v>7</v>
      </c>
      <c r="P746">
        <v>4</v>
      </c>
      <c r="Q746">
        <v>0</v>
      </c>
      <c r="R746">
        <v>30.73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H746">
        <v>30.73</v>
      </c>
    </row>
    <row r="747" spans="1:34" x14ac:dyDescent="0.3">
      <c r="A747" s="4">
        <v>764</v>
      </c>
      <c r="B747" s="5">
        <v>740</v>
      </c>
      <c r="C747">
        <v>7123</v>
      </c>
      <c r="D747" t="s">
        <v>264</v>
      </c>
      <c r="E747" t="s">
        <v>9827</v>
      </c>
      <c r="F747" t="s">
        <v>17</v>
      </c>
      <c r="G747" t="s">
        <v>9828</v>
      </c>
      <c r="H747">
        <v>20.7</v>
      </c>
      <c r="I747">
        <v>0</v>
      </c>
      <c r="J747">
        <v>0</v>
      </c>
      <c r="K747">
        <v>0</v>
      </c>
      <c r="O747">
        <v>0</v>
      </c>
      <c r="P747">
        <v>4</v>
      </c>
      <c r="Q747">
        <v>0</v>
      </c>
      <c r="R747">
        <v>24.7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6</v>
      </c>
      <c r="AC747">
        <v>0</v>
      </c>
      <c r="AH747">
        <v>30.7</v>
      </c>
    </row>
    <row r="748" spans="1:34" x14ac:dyDescent="0.3">
      <c r="A748" s="4">
        <v>765</v>
      </c>
      <c r="B748" s="5">
        <v>741</v>
      </c>
      <c r="C748">
        <v>8668</v>
      </c>
      <c r="D748" t="s">
        <v>1299</v>
      </c>
      <c r="E748" t="s">
        <v>789</v>
      </c>
      <c r="F748" t="s">
        <v>521</v>
      </c>
      <c r="G748" t="s">
        <v>9829</v>
      </c>
      <c r="H748">
        <v>17.68</v>
      </c>
      <c r="I748">
        <v>0</v>
      </c>
      <c r="J748">
        <v>0</v>
      </c>
      <c r="K748">
        <v>0</v>
      </c>
      <c r="L748">
        <v>7</v>
      </c>
      <c r="O748">
        <v>7</v>
      </c>
      <c r="P748">
        <v>4</v>
      </c>
      <c r="Q748">
        <v>2</v>
      </c>
      <c r="R748">
        <v>30.68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H748">
        <v>30.68</v>
      </c>
    </row>
    <row r="749" spans="1:34" x14ac:dyDescent="0.3">
      <c r="A749" s="4">
        <v>766</v>
      </c>
      <c r="B749" s="5">
        <v>742</v>
      </c>
      <c r="C749">
        <v>11280</v>
      </c>
      <c r="D749" t="s">
        <v>1287</v>
      </c>
      <c r="E749" t="s">
        <v>143</v>
      </c>
      <c r="F749" t="s">
        <v>30</v>
      </c>
      <c r="G749" t="s">
        <v>9830</v>
      </c>
      <c r="H749">
        <v>17.63</v>
      </c>
      <c r="I749">
        <v>0</v>
      </c>
      <c r="J749">
        <v>0</v>
      </c>
      <c r="K749">
        <v>0</v>
      </c>
      <c r="N749">
        <v>6</v>
      </c>
      <c r="O749">
        <v>6</v>
      </c>
      <c r="P749">
        <v>4</v>
      </c>
      <c r="Q749">
        <v>0</v>
      </c>
      <c r="R749">
        <v>27.63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3</v>
      </c>
      <c r="AC749">
        <v>0</v>
      </c>
      <c r="AH749">
        <v>30.63</v>
      </c>
    </row>
    <row r="750" spans="1:34" x14ac:dyDescent="0.3">
      <c r="A750" s="4">
        <v>767</v>
      </c>
      <c r="B750" s="5">
        <v>743</v>
      </c>
      <c r="C750">
        <v>5086</v>
      </c>
      <c r="D750" t="s">
        <v>9831</v>
      </c>
      <c r="E750" t="s">
        <v>9832</v>
      </c>
      <c r="F750" t="s">
        <v>34</v>
      </c>
      <c r="G750" t="s">
        <v>9833</v>
      </c>
      <c r="H750">
        <v>19.63</v>
      </c>
      <c r="I750">
        <v>0</v>
      </c>
      <c r="J750">
        <v>0</v>
      </c>
      <c r="K750">
        <v>0</v>
      </c>
      <c r="L750">
        <v>7</v>
      </c>
      <c r="O750">
        <v>7</v>
      </c>
      <c r="P750">
        <v>4</v>
      </c>
      <c r="Q750">
        <v>0</v>
      </c>
      <c r="R750">
        <v>30.63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H750">
        <v>30.63</v>
      </c>
    </row>
    <row r="751" spans="1:34" x14ac:dyDescent="0.3">
      <c r="A751" s="4">
        <v>768</v>
      </c>
      <c r="B751" s="5">
        <v>744</v>
      </c>
      <c r="C751">
        <v>4476</v>
      </c>
      <c r="D751" t="s">
        <v>3849</v>
      </c>
      <c r="E751" t="s">
        <v>9834</v>
      </c>
      <c r="F751" t="s">
        <v>68</v>
      </c>
      <c r="G751" t="s">
        <v>9835</v>
      </c>
      <c r="H751">
        <v>17.579999999999998</v>
      </c>
      <c r="I751">
        <v>0</v>
      </c>
      <c r="J751">
        <v>0</v>
      </c>
      <c r="K751">
        <v>0</v>
      </c>
      <c r="L751">
        <v>7</v>
      </c>
      <c r="O751">
        <v>7</v>
      </c>
      <c r="P751">
        <v>4</v>
      </c>
      <c r="Q751">
        <v>2</v>
      </c>
      <c r="R751">
        <v>30.58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H751">
        <v>30.58</v>
      </c>
    </row>
    <row r="752" spans="1:34" x14ac:dyDescent="0.3">
      <c r="A752" s="4">
        <v>769</v>
      </c>
      <c r="B752" s="5">
        <v>745</v>
      </c>
      <c r="C752">
        <v>12750</v>
      </c>
      <c r="D752" t="s">
        <v>9836</v>
      </c>
      <c r="E752" t="s">
        <v>26</v>
      </c>
      <c r="F752" t="s">
        <v>81</v>
      </c>
      <c r="G752" t="s">
        <v>9837</v>
      </c>
      <c r="H752">
        <v>20.55</v>
      </c>
      <c r="I752">
        <v>0</v>
      </c>
      <c r="J752">
        <v>0</v>
      </c>
      <c r="K752">
        <v>0</v>
      </c>
      <c r="N752">
        <v>3</v>
      </c>
      <c r="O752">
        <v>3</v>
      </c>
      <c r="P752">
        <v>4</v>
      </c>
      <c r="Q752">
        <v>0</v>
      </c>
      <c r="R752">
        <v>27.55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3</v>
      </c>
      <c r="AC752">
        <v>0</v>
      </c>
      <c r="AD752" t="s">
        <v>130</v>
      </c>
      <c r="AH752">
        <v>30.55</v>
      </c>
    </row>
    <row r="753" spans="1:34" x14ac:dyDescent="0.3">
      <c r="A753" s="4">
        <v>770</v>
      </c>
      <c r="B753" s="5">
        <v>746</v>
      </c>
      <c r="C753">
        <v>14979</v>
      </c>
      <c r="D753" t="s">
        <v>1260</v>
      </c>
      <c r="E753" t="s">
        <v>182</v>
      </c>
      <c r="F753" t="s">
        <v>68</v>
      </c>
      <c r="G753" t="s">
        <v>9838</v>
      </c>
      <c r="H753">
        <v>16.55</v>
      </c>
      <c r="I753">
        <v>0</v>
      </c>
      <c r="J753">
        <v>0</v>
      </c>
      <c r="K753">
        <v>0</v>
      </c>
      <c r="L753">
        <v>7</v>
      </c>
      <c r="N753">
        <v>3</v>
      </c>
      <c r="O753">
        <v>10</v>
      </c>
      <c r="P753">
        <v>4</v>
      </c>
      <c r="Q753">
        <v>0</v>
      </c>
      <c r="R753">
        <v>30.55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H753">
        <v>30.55</v>
      </c>
    </row>
    <row r="754" spans="1:34" x14ac:dyDescent="0.3">
      <c r="A754" s="4">
        <v>771</v>
      </c>
      <c r="B754" s="5">
        <v>747</v>
      </c>
      <c r="C754">
        <v>7166</v>
      </c>
      <c r="D754" t="s">
        <v>9839</v>
      </c>
      <c r="E754" t="s">
        <v>697</v>
      </c>
      <c r="F754" t="s">
        <v>38</v>
      </c>
      <c r="G754" t="s">
        <v>9840</v>
      </c>
      <c r="H754">
        <v>19.53</v>
      </c>
      <c r="I754">
        <v>0</v>
      </c>
      <c r="J754">
        <v>0</v>
      </c>
      <c r="K754">
        <v>0</v>
      </c>
      <c r="L754">
        <v>7</v>
      </c>
      <c r="O754">
        <v>7</v>
      </c>
      <c r="P754">
        <v>4</v>
      </c>
      <c r="Q754">
        <v>0</v>
      </c>
      <c r="R754">
        <v>30.53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H754">
        <v>30.53</v>
      </c>
    </row>
    <row r="755" spans="1:34" x14ac:dyDescent="0.3">
      <c r="A755" s="4">
        <v>772</v>
      </c>
      <c r="B755" s="5">
        <v>748</v>
      </c>
      <c r="C755">
        <v>8877</v>
      </c>
      <c r="D755" t="s">
        <v>3718</v>
      </c>
      <c r="E755" t="s">
        <v>26</v>
      </c>
      <c r="F755" t="s">
        <v>626</v>
      </c>
      <c r="G755" t="s">
        <v>9841</v>
      </c>
      <c r="H755">
        <v>18.5</v>
      </c>
      <c r="I755">
        <v>0</v>
      </c>
      <c r="J755">
        <v>0</v>
      </c>
      <c r="K755">
        <v>0</v>
      </c>
      <c r="L755">
        <v>7</v>
      </c>
      <c r="O755">
        <v>7</v>
      </c>
      <c r="P755">
        <v>0</v>
      </c>
      <c r="Q755">
        <v>2</v>
      </c>
      <c r="R755">
        <v>27.5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3</v>
      </c>
      <c r="AC755">
        <v>0</v>
      </c>
      <c r="AH755">
        <v>30.5</v>
      </c>
    </row>
    <row r="756" spans="1:34" x14ac:dyDescent="0.3">
      <c r="A756" s="4">
        <v>773</v>
      </c>
      <c r="B756" s="5">
        <v>749</v>
      </c>
      <c r="C756">
        <v>13058</v>
      </c>
      <c r="D756" t="s">
        <v>9842</v>
      </c>
      <c r="E756" t="s">
        <v>1168</v>
      </c>
      <c r="F756" t="s">
        <v>117</v>
      </c>
      <c r="G756" t="s">
        <v>9843</v>
      </c>
      <c r="H756">
        <v>18.48</v>
      </c>
      <c r="I756">
        <v>0</v>
      </c>
      <c r="J756">
        <v>0</v>
      </c>
      <c r="K756">
        <v>0</v>
      </c>
      <c r="N756">
        <v>3</v>
      </c>
      <c r="O756">
        <v>3</v>
      </c>
      <c r="P756">
        <v>0</v>
      </c>
      <c r="Q756">
        <v>0</v>
      </c>
      <c r="R756">
        <v>21.48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9</v>
      </c>
      <c r="AC756">
        <v>0</v>
      </c>
      <c r="AH756">
        <v>30.48</v>
      </c>
    </row>
    <row r="757" spans="1:34" x14ac:dyDescent="0.3">
      <c r="A757" s="4">
        <v>774</v>
      </c>
      <c r="B757" s="5">
        <v>750</v>
      </c>
      <c r="C757">
        <v>2240</v>
      </c>
      <c r="D757" t="s">
        <v>3724</v>
      </c>
      <c r="E757" t="s">
        <v>283</v>
      </c>
      <c r="F757" t="s">
        <v>158</v>
      </c>
      <c r="G757" t="s">
        <v>9844</v>
      </c>
      <c r="H757">
        <v>18.48</v>
      </c>
      <c r="I757">
        <v>0</v>
      </c>
      <c r="J757">
        <v>0</v>
      </c>
      <c r="K757">
        <v>0</v>
      </c>
      <c r="L757">
        <v>7</v>
      </c>
      <c r="M757">
        <v>5</v>
      </c>
      <c r="O757">
        <v>12</v>
      </c>
      <c r="P757">
        <v>0</v>
      </c>
      <c r="Q757">
        <v>0</v>
      </c>
      <c r="R757">
        <v>30.48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H757">
        <v>30.48</v>
      </c>
    </row>
    <row r="758" spans="1:34" x14ac:dyDescent="0.3">
      <c r="A758" s="4">
        <v>775</v>
      </c>
      <c r="B758" s="5">
        <v>751</v>
      </c>
      <c r="C758">
        <v>11761</v>
      </c>
      <c r="D758" t="s">
        <v>9845</v>
      </c>
      <c r="E758" t="s">
        <v>869</v>
      </c>
      <c r="F758" t="s">
        <v>30</v>
      </c>
      <c r="G758" t="s">
        <v>9846</v>
      </c>
      <c r="H758">
        <v>18.48</v>
      </c>
      <c r="I758">
        <v>0</v>
      </c>
      <c r="J758">
        <v>0</v>
      </c>
      <c r="K758">
        <v>0</v>
      </c>
      <c r="N758">
        <v>6</v>
      </c>
      <c r="O758">
        <v>6</v>
      </c>
      <c r="P758">
        <v>4</v>
      </c>
      <c r="Q758">
        <v>2</v>
      </c>
      <c r="R758">
        <v>30.48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H758">
        <v>30.48</v>
      </c>
    </row>
    <row r="759" spans="1:34" x14ac:dyDescent="0.3">
      <c r="A759" s="4">
        <v>776</v>
      </c>
      <c r="B759" s="5">
        <v>752</v>
      </c>
      <c r="C759">
        <v>7358</v>
      </c>
      <c r="D759" t="s">
        <v>9847</v>
      </c>
      <c r="E759" t="s">
        <v>9791</v>
      </c>
      <c r="F759" t="s">
        <v>136</v>
      </c>
      <c r="G759" t="s">
        <v>9848</v>
      </c>
      <c r="H759">
        <v>19.45</v>
      </c>
      <c r="I759">
        <v>0</v>
      </c>
      <c r="J759">
        <v>0</v>
      </c>
      <c r="K759">
        <v>0</v>
      </c>
      <c r="L759">
        <v>7</v>
      </c>
      <c r="O759">
        <v>7</v>
      </c>
      <c r="P759">
        <v>4</v>
      </c>
      <c r="Q759">
        <v>0</v>
      </c>
      <c r="R759">
        <v>30.45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H759">
        <v>30.45</v>
      </c>
    </row>
    <row r="760" spans="1:34" x14ac:dyDescent="0.3">
      <c r="A760" s="4">
        <v>777</v>
      </c>
      <c r="B760" s="5">
        <v>753</v>
      </c>
      <c r="C760">
        <v>265</v>
      </c>
      <c r="D760" t="s">
        <v>9849</v>
      </c>
      <c r="E760" t="s">
        <v>22</v>
      </c>
      <c r="F760" t="s">
        <v>17</v>
      </c>
      <c r="G760" t="s">
        <v>9850</v>
      </c>
      <c r="H760">
        <v>19.43</v>
      </c>
      <c r="I760">
        <v>0</v>
      </c>
      <c r="J760">
        <v>0</v>
      </c>
      <c r="K760">
        <v>0</v>
      </c>
      <c r="L760">
        <v>7</v>
      </c>
      <c r="O760">
        <v>7</v>
      </c>
      <c r="P760">
        <v>4</v>
      </c>
      <c r="Q760">
        <v>0</v>
      </c>
      <c r="R760">
        <v>30.43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H760">
        <v>30.43</v>
      </c>
    </row>
    <row r="761" spans="1:34" x14ac:dyDescent="0.3">
      <c r="A761" s="4">
        <v>778</v>
      </c>
      <c r="B761" s="5">
        <v>754</v>
      </c>
      <c r="C761">
        <v>2648</v>
      </c>
      <c r="D761" t="s">
        <v>1095</v>
      </c>
      <c r="E761" t="s">
        <v>7855</v>
      </c>
      <c r="F761" t="s">
        <v>158</v>
      </c>
      <c r="G761" t="s">
        <v>9851</v>
      </c>
      <c r="H761">
        <v>17.399999999999999</v>
      </c>
      <c r="I761">
        <v>0</v>
      </c>
      <c r="J761">
        <v>0</v>
      </c>
      <c r="K761">
        <v>0</v>
      </c>
      <c r="L761">
        <v>7</v>
      </c>
      <c r="O761">
        <v>7</v>
      </c>
      <c r="P761">
        <v>4</v>
      </c>
      <c r="Q761">
        <v>2</v>
      </c>
      <c r="R761">
        <v>30.4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 t="s">
        <v>130</v>
      </c>
      <c r="AH761">
        <v>30.4</v>
      </c>
    </row>
    <row r="762" spans="1:34" x14ac:dyDescent="0.3">
      <c r="A762" s="4">
        <v>779</v>
      </c>
      <c r="B762" s="5">
        <v>755</v>
      </c>
      <c r="C762">
        <v>539</v>
      </c>
      <c r="D762" t="s">
        <v>9852</v>
      </c>
      <c r="E762" t="s">
        <v>9853</v>
      </c>
      <c r="F762" t="s">
        <v>38</v>
      </c>
      <c r="G762" t="s">
        <v>9854</v>
      </c>
      <c r="H762">
        <v>21.38</v>
      </c>
      <c r="I762">
        <v>0</v>
      </c>
      <c r="J762">
        <v>0</v>
      </c>
      <c r="K762">
        <v>0</v>
      </c>
      <c r="N762">
        <v>3</v>
      </c>
      <c r="O762">
        <v>3</v>
      </c>
      <c r="P762">
        <v>4</v>
      </c>
      <c r="Q762">
        <v>2</v>
      </c>
      <c r="R762">
        <v>30.38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 t="s">
        <v>130</v>
      </c>
      <c r="AE762" t="s">
        <v>130</v>
      </c>
      <c r="AH762">
        <v>30.38</v>
      </c>
    </row>
    <row r="763" spans="1:34" x14ac:dyDescent="0.3">
      <c r="A763" s="4">
        <v>780</v>
      </c>
      <c r="B763" s="5">
        <v>756</v>
      </c>
      <c r="C763">
        <v>11794</v>
      </c>
      <c r="D763" t="s">
        <v>7830</v>
      </c>
      <c r="E763" t="s">
        <v>38</v>
      </c>
      <c r="F763" t="s">
        <v>20</v>
      </c>
      <c r="G763" t="s">
        <v>9855</v>
      </c>
      <c r="H763">
        <v>19.350000000000001</v>
      </c>
      <c r="I763">
        <v>0</v>
      </c>
      <c r="J763">
        <v>0</v>
      </c>
      <c r="K763">
        <v>0</v>
      </c>
      <c r="L763">
        <v>7</v>
      </c>
      <c r="O763">
        <v>7</v>
      </c>
      <c r="P763">
        <v>4</v>
      </c>
      <c r="Q763">
        <v>0</v>
      </c>
      <c r="R763">
        <v>30.35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H763">
        <v>30.35</v>
      </c>
    </row>
    <row r="764" spans="1:34" x14ac:dyDescent="0.3">
      <c r="A764" s="4">
        <v>781</v>
      </c>
      <c r="B764" s="5">
        <v>757</v>
      </c>
      <c r="C764">
        <v>4885</v>
      </c>
      <c r="D764" t="s">
        <v>7860</v>
      </c>
      <c r="E764" t="s">
        <v>208</v>
      </c>
      <c r="F764" t="s">
        <v>892</v>
      </c>
      <c r="G764" t="s">
        <v>9856</v>
      </c>
      <c r="H764">
        <v>21.28</v>
      </c>
      <c r="I764">
        <v>0</v>
      </c>
      <c r="J764">
        <v>0</v>
      </c>
      <c r="K764">
        <v>0</v>
      </c>
      <c r="N764">
        <v>3</v>
      </c>
      <c r="O764">
        <v>3</v>
      </c>
      <c r="P764">
        <v>4</v>
      </c>
      <c r="Q764">
        <v>2</v>
      </c>
      <c r="R764">
        <v>30.28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H764">
        <v>30.28</v>
      </c>
    </row>
    <row r="765" spans="1:34" x14ac:dyDescent="0.3">
      <c r="A765" s="4">
        <v>782</v>
      </c>
      <c r="B765" s="5">
        <v>758</v>
      </c>
      <c r="C765">
        <v>3760</v>
      </c>
      <c r="D765" t="s">
        <v>9857</v>
      </c>
      <c r="E765" t="s">
        <v>110</v>
      </c>
      <c r="F765" t="s">
        <v>3439</v>
      </c>
      <c r="G765" t="s">
        <v>9858</v>
      </c>
      <c r="H765">
        <v>18.25</v>
      </c>
      <c r="I765">
        <v>0</v>
      </c>
      <c r="J765">
        <v>0</v>
      </c>
      <c r="K765">
        <v>0</v>
      </c>
      <c r="N765">
        <v>3</v>
      </c>
      <c r="O765">
        <v>3</v>
      </c>
      <c r="P765">
        <v>4</v>
      </c>
      <c r="Q765">
        <v>2</v>
      </c>
      <c r="R765">
        <v>27.25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3</v>
      </c>
      <c r="AC765">
        <v>0</v>
      </c>
      <c r="AH765">
        <v>30.25</v>
      </c>
    </row>
    <row r="766" spans="1:34" x14ac:dyDescent="0.3">
      <c r="A766" s="4">
        <v>783</v>
      </c>
      <c r="B766" s="5">
        <v>759</v>
      </c>
      <c r="C766">
        <v>20</v>
      </c>
      <c r="D766" t="s">
        <v>4474</v>
      </c>
      <c r="E766" t="s">
        <v>26</v>
      </c>
      <c r="F766" t="s">
        <v>136</v>
      </c>
      <c r="G766" t="s">
        <v>9859</v>
      </c>
      <c r="H766">
        <v>18.2</v>
      </c>
      <c r="I766">
        <v>0</v>
      </c>
      <c r="J766">
        <v>0</v>
      </c>
      <c r="K766">
        <v>0</v>
      </c>
      <c r="L766">
        <v>7</v>
      </c>
      <c r="O766">
        <v>7</v>
      </c>
      <c r="P766">
        <v>0</v>
      </c>
      <c r="Q766">
        <v>2</v>
      </c>
      <c r="R766">
        <v>27.2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3</v>
      </c>
      <c r="AC766">
        <v>0</v>
      </c>
      <c r="AH766">
        <v>30.2</v>
      </c>
    </row>
    <row r="767" spans="1:34" x14ac:dyDescent="0.3">
      <c r="A767" s="4">
        <v>784</v>
      </c>
      <c r="B767" s="5">
        <v>760</v>
      </c>
      <c r="C767">
        <v>11735</v>
      </c>
      <c r="D767" t="s">
        <v>9860</v>
      </c>
      <c r="E767" t="s">
        <v>9861</v>
      </c>
      <c r="F767" t="s">
        <v>55</v>
      </c>
      <c r="G767" t="s">
        <v>9862</v>
      </c>
      <c r="H767">
        <v>17.2</v>
      </c>
      <c r="I767">
        <v>0</v>
      </c>
      <c r="J767">
        <v>0</v>
      </c>
      <c r="K767">
        <v>0</v>
      </c>
      <c r="L767">
        <v>7</v>
      </c>
      <c r="O767">
        <v>7</v>
      </c>
      <c r="P767">
        <v>4</v>
      </c>
      <c r="Q767">
        <v>2</v>
      </c>
      <c r="R767">
        <v>30.2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 t="s">
        <v>130</v>
      </c>
      <c r="AH767">
        <v>30.2</v>
      </c>
    </row>
    <row r="768" spans="1:34" x14ac:dyDescent="0.3">
      <c r="A768" s="4">
        <v>785</v>
      </c>
      <c r="B768" s="5">
        <v>761</v>
      </c>
      <c r="C768">
        <v>15325</v>
      </c>
      <c r="D768" t="s">
        <v>9863</v>
      </c>
      <c r="E768" t="s">
        <v>1743</v>
      </c>
      <c r="F768" t="s">
        <v>652</v>
      </c>
      <c r="G768" t="s">
        <v>9864</v>
      </c>
      <c r="H768">
        <v>17.18</v>
      </c>
      <c r="I768">
        <v>0</v>
      </c>
      <c r="J768">
        <v>0</v>
      </c>
      <c r="K768">
        <v>0</v>
      </c>
      <c r="N768">
        <v>3</v>
      </c>
      <c r="O768">
        <v>3</v>
      </c>
      <c r="P768">
        <v>4</v>
      </c>
      <c r="Q768">
        <v>0</v>
      </c>
      <c r="R768">
        <v>24.18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6</v>
      </c>
      <c r="AC768">
        <v>0</v>
      </c>
      <c r="AH768">
        <v>30.18</v>
      </c>
    </row>
    <row r="769" spans="1:34" x14ac:dyDescent="0.3">
      <c r="A769" s="4">
        <v>786</v>
      </c>
      <c r="B769" s="5">
        <v>762</v>
      </c>
      <c r="C769">
        <v>1538</v>
      </c>
      <c r="D769" t="s">
        <v>8456</v>
      </c>
      <c r="E769" t="s">
        <v>161</v>
      </c>
      <c r="F769" t="s">
        <v>259</v>
      </c>
      <c r="G769" t="s">
        <v>9865</v>
      </c>
      <c r="H769">
        <v>17.149999999999999</v>
      </c>
      <c r="I769">
        <v>0</v>
      </c>
      <c r="J769">
        <v>0</v>
      </c>
      <c r="K769">
        <v>0</v>
      </c>
      <c r="N769">
        <v>3</v>
      </c>
      <c r="O769">
        <v>3</v>
      </c>
      <c r="P769">
        <v>4</v>
      </c>
      <c r="Q769">
        <v>0</v>
      </c>
      <c r="R769">
        <v>24.15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6</v>
      </c>
      <c r="AC769">
        <v>0</v>
      </c>
      <c r="AD769" t="s">
        <v>130</v>
      </c>
      <c r="AH769">
        <v>30.15</v>
      </c>
    </row>
    <row r="770" spans="1:34" x14ac:dyDescent="0.3">
      <c r="A770" s="4">
        <v>787</v>
      </c>
      <c r="B770" s="5">
        <v>763</v>
      </c>
      <c r="C770">
        <v>3213</v>
      </c>
      <c r="D770" t="s">
        <v>9866</v>
      </c>
      <c r="E770" t="s">
        <v>744</v>
      </c>
      <c r="F770" t="s">
        <v>243</v>
      </c>
      <c r="G770" t="s">
        <v>9867</v>
      </c>
      <c r="H770">
        <v>21.15</v>
      </c>
      <c r="I770">
        <v>0</v>
      </c>
      <c r="J770">
        <v>0</v>
      </c>
      <c r="K770">
        <v>0</v>
      </c>
      <c r="N770">
        <v>3</v>
      </c>
      <c r="O770">
        <v>3</v>
      </c>
      <c r="P770">
        <v>4</v>
      </c>
      <c r="Q770">
        <v>2</v>
      </c>
      <c r="R770">
        <v>30.15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H770">
        <v>30.15</v>
      </c>
    </row>
    <row r="771" spans="1:34" x14ac:dyDescent="0.3">
      <c r="A771" s="4">
        <v>788</v>
      </c>
      <c r="B771" s="5">
        <v>764</v>
      </c>
      <c r="C771">
        <v>11897</v>
      </c>
      <c r="D771" t="s">
        <v>9868</v>
      </c>
      <c r="E771" t="s">
        <v>33</v>
      </c>
      <c r="F771" t="s">
        <v>124</v>
      </c>
      <c r="G771" t="s">
        <v>9869</v>
      </c>
      <c r="H771">
        <v>20.149999999999999</v>
      </c>
      <c r="I771">
        <v>7</v>
      </c>
      <c r="J771">
        <v>0</v>
      </c>
      <c r="K771">
        <v>0</v>
      </c>
      <c r="N771">
        <v>3</v>
      </c>
      <c r="O771">
        <v>3</v>
      </c>
      <c r="P771">
        <v>0</v>
      </c>
      <c r="Q771">
        <v>0</v>
      </c>
      <c r="R771">
        <v>30.15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H771">
        <v>30.15</v>
      </c>
    </row>
    <row r="772" spans="1:34" x14ac:dyDescent="0.3">
      <c r="A772" s="4">
        <v>789</v>
      </c>
      <c r="B772" s="5">
        <v>765</v>
      </c>
      <c r="C772">
        <v>3434</v>
      </c>
      <c r="D772" t="s">
        <v>9870</v>
      </c>
      <c r="E772" t="s">
        <v>81</v>
      </c>
      <c r="F772" t="s">
        <v>136</v>
      </c>
      <c r="G772" t="s">
        <v>9871</v>
      </c>
      <c r="H772">
        <v>17.149999999999999</v>
      </c>
      <c r="I772">
        <v>0</v>
      </c>
      <c r="J772">
        <v>0</v>
      </c>
      <c r="K772">
        <v>0</v>
      </c>
      <c r="L772">
        <v>7</v>
      </c>
      <c r="O772">
        <v>7</v>
      </c>
      <c r="P772">
        <v>4</v>
      </c>
      <c r="Q772">
        <v>2</v>
      </c>
      <c r="R772">
        <v>30.15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H772">
        <v>30.15</v>
      </c>
    </row>
    <row r="773" spans="1:34" x14ac:dyDescent="0.3">
      <c r="A773" s="4">
        <v>790</v>
      </c>
      <c r="B773" s="5">
        <v>766</v>
      </c>
      <c r="C773">
        <v>10911</v>
      </c>
      <c r="D773" t="s">
        <v>9872</v>
      </c>
      <c r="E773" t="s">
        <v>88</v>
      </c>
      <c r="F773" t="s">
        <v>55</v>
      </c>
      <c r="G773" t="s">
        <v>9873</v>
      </c>
      <c r="H773">
        <v>21.13</v>
      </c>
      <c r="I773">
        <v>0</v>
      </c>
      <c r="J773">
        <v>0</v>
      </c>
      <c r="K773">
        <v>0</v>
      </c>
      <c r="N773">
        <v>6</v>
      </c>
      <c r="O773">
        <v>6</v>
      </c>
      <c r="P773">
        <v>0</v>
      </c>
      <c r="Q773">
        <v>0</v>
      </c>
      <c r="R773">
        <v>27.13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3</v>
      </c>
      <c r="AC773">
        <v>0</v>
      </c>
      <c r="AD773" t="s">
        <v>130</v>
      </c>
      <c r="AH773">
        <v>30.13</v>
      </c>
    </row>
    <row r="774" spans="1:34" x14ac:dyDescent="0.3">
      <c r="A774" s="4">
        <v>791</v>
      </c>
      <c r="B774" s="5">
        <v>767</v>
      </c>
      <c r="C774">
        <v>9802</v>
      </c>
      <c r="D774" t="s">
        <v>831</v>
      </c>
      <c r="E774" t="s">
        <v>268</v>
      </c>
      <c r="F774" t="s">
        <v>30</v>
      </c>
      <c r="G774" t="s">
        <v>9874</v>
      </c>
      <c r="H774">
        <v>19.100000000000001</v>
      </c>
      <c r="I774">
        <v>0</v>
      </c>
      <c r="J774">
        <v>0</v>
      </c>
      <c r="K774">
        <v>0</v>
      </c>
      <c r="L774">
        <v>7</v>
      </c>
      <c r="O774">
        <v>7</v>
      </c>
      <c r="P774">
        <v>4</v>
      </c>
      <c r="Q774">
        <v>0</v>
      </c>
      <c r="R774">
        <v>30.1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H774">
        <v>30.1</v>
      </c>
    </row>
    <row r="775" spans="1:34" x14ac:dyDescent="0.3">
      <c r="A775" s="4">
        <v>792</v>
      </c>
      <c r="B775" s="5">
        <v>768</v>
      </c>
      <c r="C775">
        <v>14586</v>
      </c>
      <c r="D775" t="s">
        <v>9875</v>
      </c>
      <c r="E775" t="s">
        <v>9876</v>
      </c>
      <c r="F775" t="s">
        <v>649</v>
      </c>
      <c r="G775" t="s">
        <v>9877</v>
      </c>
      <c r="H775">
        <v>20.03</v>
      </c>
      <c r="I775">
        <v>0</v>
      </c>
      <c r="J775">
        <v>0</v>
      </c>
      <c r="K775">
        <v>0</v>
      </c>
      <c r="L775">
        <v>7</v>
      </c>
      <c r="N775">
        <v>3</v>
      </c>
      <c r="O775">
        <v>10</v>
      </c>
      <c r="P775">
        <v>0</v>
      </c>
      <c r="Q775">
        <v>0</v>
      </c>
      <c r="R775">
        <v>30.03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H775">
        <v>30.03</v>
      </c>
    </row>
    <row r="776" spans="1:34" x14ac:dyDescent="0.3">
      <c r="A776" s="4">
        <v>793</v>
      </c>
      <c r="B776" s="5">
        <v>769</v>
      </c>
      <c r="C776">
        <v>8450</v>
      </c>
      <c r="D776" t="s">
        <v>9878</v>
      </c>
      <c r="E776" t="s">
        <v>132</v>
      </c>
      <c r="F776" t="s">
        <v>9291</v>
      </c>
      <c r="G776" t="s">
        <v>9879</v>
      </c>
      <c r="H776">
        <v>19</v>
      </c>
      <c r="I776">
        <v>0</v>
      </c>
      <c r="J776">
        <v>0</v>
      </c>
      <c r="K776">
        <v>0</v>
      </c>
      <c r="L776">
        <v>7</v>
      </c>
      <c r="O776">
        <v>7</v>
      </c>
      <c r="P776">
        <v>4</v>
      </c>
      <c r="Q776">
        <v>0</v>
      </c>
      <c r="R776">
        <v>30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H776">
        <v>30</v>
      </c>
    </row>
    <row r="777" spans="1:34" x14ac:dyDescent="0.3">
      <c r="A777" s="4">
        <v>794</v>
      </c>
      <c r="B777" s="5">
        <v>770</v>
      </c>
      <c r="C777">
        <v>5416</v>
      </c>
      <c r="D777" t="s">
        <v>9880</v>
      </c>
      <c r="E777" t="s">
        <v>6148</v>
      </c>
      <c r="F777" t="s">
        <v>17</v>
      </c>
      <c r="G777" t="s">
        <v>9881</v>
      </c>
      <c r="H777">
        <v>17</v>
      </c>
      <c r="I777">
        <v>0</v>
      </c>
      <c r="J777">
        <v>0</v>
      </c>
      <c r="K777">
        <v>0</v>
      </c>
      <c r="L777">
        <v>7</v>
      </c>
      <c r="O777">
        <v>7</v>
      </c>
      <c r="P777">
        <v>4</v>
      </c>
      <c r="Q777">
        <v>2</v>
      </c>
      <c r="R777">
        <v>30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H777">
        <v>30</v>
      </c>
    </row>
    <row r="778" spans="1:34" x14ac:dyDescent="0.3">
      <c r="A778" s="4">
        <v>795</v>
      </c>
      <c r="B778" s="5">
        <v>771</v>
      </c>
      <c r="C778">
        <v>2472</v>
      </c>
      <c r="D778" t="s">
        <v>9882</v>
      </c>
      <c r="E778" t="s">
        <v>560</v>
      </c>
      <c r="F778" t="s">
        <v>750</v>
      </c>
      <c r="G778" t="s">
        <v>9883</v>
      </c>
      <c r="H778">
        <v>18.95</v>
      </c>
      <c r="I778">
        <v>0</v>
      </c>
      <c r="J778">
        <v>0</v>
      </c>
      <c r="K778">
        <v>0</v>
      </c>
      <c r="L778">
        <v>7</v>
      </c>
      <c r="O778">
        <v>7</v>
      </c>
      <c r="P778">
        <v>4</v>
      </c>
      <c r="Q778">
        <v>0</v>
      </c>
      <c r="R778">
        <v>29.95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H778">
        <v>29.95</v>
      </c>
    </row>
    <row r="779" spans="1:34" x14ac:dyDescent="0.3">
      <c r="A779" s="4">
        <v>796</v>
      </c>
      <c r="B779" s="5">
        <v>772</v>
      </c>
      <c r="C779">
        <v>1710</v>
      </c>
      <c r="D779" t="s">
        <v>9884</v>
      </c>
      <c r="E779" t="s">
        <v>166</v>
      </c>
      <c r="F779" t="s">
        <v>38</v>
      </c>
      <c r="G779" t="s">
        <v>9885</v>
      </c>
      <c r="H779">
        <v>18.95</v>
      </c>
      <c r="I779">
        <v>0</v>
      </c>
      <c r="J779">
        <v>0</v>
      </c>
      <c r="K779">
        <v>0</v>
      </c>
      <c r="L779">
        <v>7</v>
      </c>
      <c r="O779">
        <v>7</v>
      </c>
      <c r="P779">
        <v>4</v>
      </c>
      <c r="Q779">
        <v>0</v>
      </c>
      <c r="R779">
        <v>29.95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H779">
        <v>29.95</v>
      </c>
    </row>
    <row r="780" spans="1:34" x14ac:dyDescent="0.3">
      <c r="A780" s="4">
        <v>797</v>
      </c>
      <c r="B780" s="5">
        <v>773</v>
      </c>
      <c r="C780">
        <v>4461</v>
      </c>
      <c r="D780" t="s">
        <v>198</v>
      </c>
      <c r="E780" t="s">
        <v>170</v>
      </c>
      <c r="F780" t="s">
        <v>136</v>
      </c>
      <c r="G780" t="s">
        <v>9886</v>
      </c>
      <c r="H780">
        <v>17.95</v>
      </c>
      <c r="I780">
        <v>0</v>
      </c>
      <c r="J780">
        <v>0</v>
      </c>
      <c r="K780">
        <v>0</v>
      </c>
      <c r="N780">
        <v>6</v>
      </c>
      <c r="O780">
        <v>6</v>
      </c>
      <c r="P780">
        <v>4</v>
      </c>
      <c r="Q780">
        <v>2</v>
      </c>
      <c r="R780">
        <v>29.95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H780">
        <v>29.95</v>
      </c>
    </row>
    <row r="781" spans="1:34" x14ac:dyDescent="0.3">
      <c r="A781" s="4">
        <v>798</v>
      </c>
      <c r="B781" s="5">
        <v>774</v>
      </c>
      <c r="C781">
        <v>9660</v>
      </c>
      <c r="D781" t="s">
        <v>9887</v>
      </c>
      <c r="E781" t="s">
        <v>9888</v>
      </c>
      <c r="F781" t="s">
        <v>81</v>
      </c>
      <c r="G781" t="s">
        <v>9889</v>
      </c>
      <c r="H781">
        <v>16.93</v>
      </c>
      <c r="I781">
        <v>0</v>
      </c>
      <c r="J781">
        <v>0</v>
      </c>
      <c r="K781">
        <v>0</v>
      </c>
      <c r="L781">
        <v>7</v>
      </c>
      <c r="O781">
        <v>7</v>
      </c>
      <c r="P781">
        <v>4</v>
      </c>
      <c r="Q781">
        <v>2</v>
      </c>
      <c r="R781">
        <v>29.93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H781">
        <v>29.93</v>
      </c>
    </row>
    <row r="782" spans="1:34" x14ac:dyDescent="0.3">
      <c r="A782" s="4">
        <v>799</v>
      </c>
      <c r="B782" s="5">
        <v>775</v>
      </c>
      <c r="C782">
        <v>12480</v>
      </c>
      <c r="D782" t="s">
        <v>9890</v>
      </c>
      <c r="E782" t="s">
        <v>166</v>
      </c>
      <c r="F782" t="s">
        <v>38</v>
      </c>
      <c r="G782" t="s">
        <v>9891</v>
      </c>
      <c r="H782">
        <v>16.93</v>
      </c>
      <c r="I782">
        <v>0</v>
      </c>
      <c r="J782">
        <v>0</v>
      </c>
      <c r="K782">
        <v>0</v>
      </c>
      <c r="L782">
        <v>7</v>
      </c>
      <c r="O782">
        <v>7</v>
      </c>
      <c r="P782">
        <v>4</v>
      </c>
      <c r="Q782">
        <v>2</v>
      </c>
      <c r="R782">
        <v>29.93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H782">
        <v>29.93</v>
      </c>
    </row>
    <row r="783" spans="1:34" x14ac:dyDescent="0.3">
      <c r="A783" s="4">
        <v>800</v>
      </c>
      <c r="B783" s="5">
        <v>776</v>
      </c>
      <c r="C783">
        <v>14459</v>
      </c>
      <c r="D783" t="s">
        <v>3849</v>
      </c>
      <c r="E783" t="s">
        <v>41</v>
      </c>
      <c r="F783" t="s">
        <v>38</v>
      </c>
      <c r="G783" t="s">
        <v>9892</v>
      </c>
      <c r="H783">
        <v>18.850000000000001</v>
      </c>
      <c r="I783">
        <v>0</v>
      </c>
      <c r="J783">
        <v>0</v>
      </c>
      <c r="K783">
        <v>0</v>
      </c>
      <c r="L783">
        <v>7</v>
      </c>
      <c r="O783">
        <v>7</v>
      </c>
      <c r="P783">
        <v>4</v>
      </c>
      <c r="Q783">
        <v>0</v>
      </c>
      <c r="R783">
        <v>29.85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H783">
        <v>29.85</v>
      </c>
    </row>
    <row r="784" spans="1:34" x14ac:dyDescent="0.3">
      <c r="A784" s="4">
        <v>801</v>
      </c>
      <c r="B784" s="5">
        <v>777</v>
      </c>
      <c r="C784">
        <v>14506</v>
      </c>
      <c r="D784" t="s">
        <v>1340</v>
      </c>
      <c r="E784" t="s">
        <v>1975</v>
      </c>
      <c r="F784" t="s">
        <v>442</v>
      </c>
      <c r="G784" t="s">
        <v>9893</v>
      </c>
      <c r="H784">
        <v>19.829999999999998</v>
      </c>
      <c r="I784">
        <v>0</v>
      </c>
      <c r="J784">
        <v>0</v>
      </c>
      <c r="K784">
        <v>0</v>
      </c>
      <c r="O784">
        <v>0</v>
      </c>
      <c r="P784">
        <v>4</v>
      </c>
      <c r="Q784">
        <v>0</v>
      </c>
      <c r="R784">
        <v>23.83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6</v>
      </c>
      <c r="AC784">
        <v>0</v>
      </c>
      <c r="AH784">
        <v>29.83</v>
      </c>
    </row>
    <row r="785" spans="1:34" x14ac:dyDescent="0.3">
      <c r="A785" s="4">
        <v>802</v>
      </c>
      <c r="B785" s="5">
        <v>778</v>
      </c>
      <c r="C785">
        <v>4382</v>
      </c>
      <c r="D785" t="s">
        <v>9894</v>
      </c>
      <c r="E785" t="s">
        <v>110</v>
      </c>
      <c r="F785" t="s">
        <v>38</v>
      </c>
      <c r="G785" t="s">
        <v>9895</v>
      </c>
      <c r="H785">
        <v>19.75</v>
      </c>
      <c r="I785">
        <v>0</v>
      </c>
      <c r="J785">
        <v>0</v>
      </c>
      <c r="K785">
        <v>0</v>
      </c>
      <c r="N785">
        <v>3</v>
      </c>
      <c r="O785">
        <v>3</v>
      </c>
      <c r="P785">
        <v>4</v>
      </c>
      <c r="Q785">
        <v>0</v>
      </c>
      <c r="R785">
        <v>26.75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3</v>
      </c>
      <c r="AC785">
        <v>0</v>
      </c>
      <c r="AH785">
        <v>29.75</v>
      </c>
    </row>
    <row r="786" spans="1:34" x14ac:dyDescent="0.3">
      <c r="A786" s="4">
        <v>803</v>
      </c>
      <c r="B786" s="5">
        <v>779</v>
      </c>
      <c r="C786">
        <v>3981</v>
      </c>
      <c r="D786" t="s">
        <v>9896</v>
      </c>
      <c r="E786" t="s">
        <v>9897</v>
      </c>
      <c r="F786" t="s">
        <v>38</v>
      </c>
      <c r="G786" t="s">
        <v>9898</v>
      </c>
      <c r="H786">
        <v>16.75</v>
      </c>
      <c r="I786">
        <v>0</v>
      </c>
      <c r="J786">
        <v>0</v>
      </c>
      <c r="K786">
        <v>0</v>
      </c>
      <c r="L786">
        <v>7</v>
      </c>
      <c r="O786">
        <v>7</v>
      </c>
      <c r="P786">
        <v>4</v>
      </c>
      <c r="Q786">
        <v>2</v>
      </c>
      <c r="R786">
        <v>29.75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H786">
        <v>29.75</v>
      </c>
    </row>
    <row r="787" spans="1:34" x14ac:dyDescent="0.3">
      <c r="A787" s="4">
        <v>804</v>
      </c>
      <c r="B787" s="5">
        <v>780</v>
      </c>
      <c r="C787">
        <v>12019</v>
      </c>
      <c r="D787" t="s">
        <v>8800</v>
      </c>
      <c r="E787" t="s">
        <v>166</v>
      </c>
      <c r="F787" t="s">
        <v>9899</v>
      </c>
      <c r="G787" t="s">
        <v>9900</v>
      </c>
      <c r="H787">
        <v>17.68</v>
      </c>
      <c r="I787">
        <v>0</v>
      </c>
      <c r="J787">
        <v>0</v>
      </c>
      <c r="K787">
        <v>0</v>
      </c>
      <c r="N787">
        <v>6</v>
      </c>
      <c r="O787">
        <v>6</v>
      </c>
      <c r="P787">
        <v>0</v>
      </c>
      <c r="Q787">
        <v>0</v>
      </c>
      <c r="R787">
        <v>23.68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6</v>
      </c>
      <c r="AC787">
        <v>0</v>
      </c>
      <c r="AH787">
        <v>29.68</v>
      </c>
    </row>
    <row r="788" spans="1:34" x14ac:dyDescent="0.3">
      <c r="A788" s="4">
        <v>805</v>
      </c>
      <c r="B788" s="5">
        <v>781</v>
      </c>
      <c r="C788">
        <v>10364</v>
      </c>
      <c r="D788" t="s">
        <v>181</v>
      </c>
      <c r="E788" t="s">
        <v>9901</v>
      </c>
      <c r="F788" t="s">
        <v>346</v>
      </c>
      <c r="G788" t="s">
        <v>9902</v>
      </c>
      <c r="H788">
        <v>17.68</v>
      </c>
      <c r="I788">
        <v>0</v>
      </c>
      <c r="J788">
        <v>0</v>
      </c>
      <c r="K788">
        <v>0</v>
      </c>
      <c r="M788">
        <v>5</v>
      </c>
      <c r="N788">
        <v>3</v>
      </c>
      <c r="O788">
        <v>8</v>
      </c>
      <c r="P788">
        <v>4</v>
      </c>
      <c r="Q788">
        <v>0</v>
      </c>
      <c r="R788">
        <v>29.68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H788">
        <v>29.68</v>
      </c>
    </row>
    <row r="789" spans="1:34" x14ac:dyDescent="0.3">
      <c r="A789" s="4">
        <v>806</v>
      </c>
      <c r="B789" s="5">
        <v>782</v>
      </c>
      <c r="C789">
        <v>11598</v>
      </c>
      <c r="D789" t="s">
        <v>9903</v>
      </c>
      <c r="E789" t="s">
        <v>5060</v>
      </c>
      <c r="F789" t="s">
        <v>17</v>
      </c>
      <c r="G789" t="s">
        <v>9904</v>
      </c>
      <c r="H789">
        <v>18.649999999999999</v>
      </c>
      <c r="I789">
        <v>0</v>
      </c>
      <c r="J789">
        <v>0</v>
      </c>
      <c r="K789">
        <v>0</v>
      </c>
      <c r="L789">
        <v>7</v>
      </c>
      <c r="O789">
        <v>7</v>
      </c>
      <c r="P789">
        <v>4</v>
      </c>
      <c r="Q789">
        <v>0</v>
      </c>
      <c r="R789">
        <v>29.65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H789">
        <v>29.65</v>
      </c>
    </row>
    <row r="790" spans="1:34" x14ac:dyDescent="0.3">
      <c r="A790" s="4">
        <v>807</v>
      </c>
      <c r="B790" s="5">
        <v>783</v>
      </c>
      <c r="C790">
        <v>3175</v>
      </c>
      <c r="D790" t="s">
        <v>9905</v>
      </c>
      <c r="E790" t="s">
        <v>123</v>
      </c>
      <c r="F790" t="s">
        <v>38</v>
      </c>
      <c r="G790" t="s">
        <v>9906</v>
      </c>
      <c r="H790">
        <v>17.600000000000001</v>
      </c>
      <c r="I790">
        <v>0</v>
      </c>
      <c r="J790">
        <v>0</v>
      </c>
      <c r="K790">
        <v>0</v>
      </c>
      <c r="L790">
        <v>7</v>
      </c>
      <c r="M790">
        <v>5</v>
      </c>
      <c r="O790">
        <v>12</v>
      </c>
      <c r="P790">
        <v>0</v>
      </c>
      <c r="Q790">
        <v>0</v>
      </c>
      <c r="R790">
        <v>29.6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H790">
        <v>29.6</v>
      </c>
    </row>
    <row r="791" spans="1:34" x14ac:dyDescent="0.3">
      <c r="A791" s="4">
        <v>808</v>
      </c>
      <c r="B791" s="5">
        <v>784</v>
      </c>
      <c r="C791">
        <v>13886</v>
      </c>
      <c r="D791" t="s">
        <v>9907</v>
      </c>
      <c r="E791" t="s">
        <v>539</v>
      </c>
      <c r="F791" t="s">
        <v>55</v>
      </c>
      <c r="G791" t="s">
        <v>9908</v>
      </c>
      <c r="H791">
        <v>19.55</v>
      </c>
      <c r="I791">
        <v>0</v>
      </c>
      <c r="J791">
        <v>0</v>
      </c>
      <c r="K791">
        <v>0</v>
      </c>
      <c r="L791">
        <v>7</v>
      </c>
      <c r="O791">
        <v>7</v>
      </c>
      <c r="P791">
        <v>0</v>
      </c>
      <c r="Q791">
        <v>0</v>
      </c>
      <c r="R791">
        <v>26.55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3</v>
      </c>
      <c r="AC791">
        <v>0</v>
      </c>
      <c r="AH791">
        <v>29.55</v>
      </c>
    </row>
    <row r="792" spans="1:34" x14ac:dyDescent="0.3">
      <c r="A792" s="4">
        <v>809</v>
      </c>
      <c r="B792" s="5">
        <v>785</v>
      </c>
      <c r="C792">
        <v>13332</v>
      </c>
      <c r="D792" t="s">
        <v>2737</v>
      </c>
      <c r="E792" t="s">
        <v>33</v>
      </c>
      <c r="F792" t="s">
        <v>62</v>
      </c>
      <c r="G792" t="s">
        <v>9909</v>
      </c>
      <c r="H792">
        <v>19.53</v>
      </c>
      <c r="I792">
        <v>0</v>
      </c>
      <c r="J792">
        <v>0</v>
      </c>
      <c r="K792">
        <v>0</v>
      </c>
      <c r="O792">
        <v>0</v>
      </c>
      <c r="P792">
        <v>4</v>
      </c>
      <c r="Q792">
        <v>0</v>
      </c>
      <c r="R792">
        <v>23.53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6</v>
      </c>
      <c r="AC792">
        <v>0</v>
      </c>
      <c r="AH792">
        <v>29.53</v>
      </c>
    </row>
    <row r="793" spans="1:34" x14ac:dyDescent="0.3">
      <c r="A793" s="4">
        <v>810</v>
      </c>
      <c r="B793" s="5">
        <v>786</v>
      </c>
      <c r="C793">
        <v>12121</v>
      </c>
      <c r="D793" t="s">
        <v>9910</v>
      </c>
      <c r="E793" t="s">
        <v>126</v>
      </c>
      <c r="F793" t="s">
        <v>587</v>
      </c>
      <c r="G793" t="s">
        <v>9911</v>
      </c>
      <c r="H793">
        <v>19.53</v>
      </c>
      <c r="I793">
        <v>0</v>
      </c>
      <c r="J793">
        <v>0</v>
      </c>
      <c r="K793">
        <v>0</v>
      </c>
      <c r="N793">
        <v>3</v>
      </c>
      <c r="O793">
        <v>3</v>
      </c>
      <c r="P793">
        <v>4</v>
      </c>
      <c r="Q793">
        <v>0</v>
      </c>
      <c r="R793">
        <v>26.53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3</v>
      </c>
      <c r="AC793">
        <v>0</v>
      </c>
      <c r="AH793">
        <v>29.53</v>
      </c>
    </row>
    <row r="794" spans="1:34" x14ac:dyDescent="0.3">
      <c r="A794" s="4">
        <v>811</v>
      </c>
      <c r="B794" s="5">
        <v>787</v>
      </c>
      <c r="C794">
        <v>3242</v>
      </c>
      <c r="D794" t="s">
        <v>9912</v>
      </c>
      <c r="E794" t="s">
        <v>219</v>
      </c>
      <c r="F794" t="s">
        <v>3094</v>
      </c>
      <c r="G794" t="s">
        <v>9913</v>
      </c>
      <c r="H794">
        <v>19.53</v>
      </c>
      <c r="I794">
        <v>0</v>
      </c>
      <c r="J794">
        <v>0</v>
      </c>
      <c r="K794">
        <v>0</v>
      </c>
      <c r="N794">
        <v>3</v>
      </c>
      <c r="O794">
        <v>3</v>
      </c>
      <c r="P794">
        <v>4</v>
      </c>
      <c r="Q794">
        <v>0</v>
      </c>
      <c r="R794">
        <v>26.53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3</v>
      </c>
      <c r="AC794">
        <v>0</v>
      </c>
      <c r="AH794">
        <v>29.53</v>
      </c>
    </row>
    <row r="795" spans="1:34" x14ac:dyDescent="0.3">
      <c r="A795" s="4">
        <v>812</v>
      </c>
      <c r="B795" s="5">
        <v>788</v>
      </c>
      <c r="C795">
        <v>13592</v>
      </c>
      <c r="D795" t="s">
        <v>9914</v>
      </c>
      <c r="E795" t="s">
        <v>9915</v>
      </c>
      <c r="F795" t="s">
        <v>750</v>
      </c>
      <c r="G795" t="s">
        <v>9916</v>
      </c>
      <c r="H795">
        <v>12.5</v>
      </c>
      <c r="I795">
        <v>0</v>
      </c>
      <c r="J795">
        <v>0</v>
      </c>
      <c r="K795">
        <v>0</v>
      </c>
      <c r="L795">
        <v>7</v>
      </c>
      <c r="N795">
        <v>3</v>
      </c>
      <c r="O795">
        <v>10</v>
      </c>
      <c r="P795">
        <v>4</v>
      </c>
      <c r="Q795">
        <v>0</v>
      </c>
      <c r="R795">
        <v>26.5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3</v>
      </c>
      <c r="AC795">
        <v>0</v>
      </c>
      <c r="AH795">
        <v>29.5</v>
      </c>
    </row>
    <row r="796" spans="1:34" x14ac:dyDescent="0.3">
      <c r="A796" s="4">
        <v>813</v>
      </c>
      <c r="B796" s="5">
        <v>789</v>
      </c>
      <c r="C796">
        <v>2404</v>
      </c>
      <c r="D796" t="s">
        <v>9917</v>
      </c>
      <c r="E796" t="s">
        <v>81</v>
      </c>
      <c r="F796" t="s">
        <v>466</v>
      </c>
      <c r="G796" t="s">
        <v>9918</v>
      </c>
      <c r="H796">
        <v>16.5</v>
      </c>
      <c r="I796">
        <v>0</v>
      </c>
      <c r="J796">
        <v>0</v>
      </c>
      <c r="K796">
        <v>0</v>
      </c>
      <c r="L796">
        <v>7</v>
      </c>
      <c r="O796">
        <v>7</v>
      </c>
      <c r="P796">
        <v>4</v>
      </c>
      <c r="Q796">
        <v>2</v>
      </c>
      <c r="R796">
        <v>29.5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H796">
        <v>29.5</v>
      </c>
    </row>
    <row r="797" spans="1:34" x14ac:dyDescent="0.3">
      <c r="A797" s="4">
        <v>814</v>
      </c>
      <c r="B797" s="5">
        <v>790</v>
      </c>
      <c r="C797">
        <v>9728</v>
      </c>
      <c r="D797" t="s">
        <v>9919</v>
      </c>
      <c r="E797" t="s">
        <v>33</v>
      </c>
      <c r="F797" t="s">
        <v>4098</v>
      </c>
      <c r="G797" t="s">
        <v>9920</v>
      </c>
      <c r="H797">
        <v>19.48</v>
      </c>
      <c r="I797">
        <v>0</v>
      </c>
      <c r="J797">
        <v>0</v>
      </c>
      <c r="K797">
        <v>0</v>
      </c>
      <c r="O797">
        <v>0</v>
      </c>
      <c r="P797">
        <v>4</v>
      </c>
      <c r="Q797">
        <v>0</v>
      </c>
      <c r="R797">
        <v>23.48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6</v>
      </c>
      <c r="AC797">
        <v>0</v>
      </c>
      <c r="AH797">
        <v>29.48</v>
      </c>
    </row>
    <row r="798" spans="1:34" x14ac:dyDescent="0.3">
      <c r="A798" s="4">
        <v>815</v>
      </c>
      <c r="B798" s="5">
        <v>791</v>
      </c>
      <c r="C798">
        <v>7079</v>
      </c>
      <c r="D798" t="s">
        <v>9921</v>
      </c>
      <c r="E798" t="s">
        <v>143</v>
      </c>
      <c r="F798" t="s">
        <v>124</v>
      </c>
      <c r="G798" t="s">
        <v>9922</v>
      </c>
      <c r="H798">
        <v>19.45</v>
      </c>
      <c r="I798">
        <v>0</v>
      </c>
      <c r="J798">
        <v>0</v>
      </c>
      <c r="K798">
        <v>0</v>
      </c>
      <c r="N798">
        <v>3</v>
      </c>
      <c r="O798">
        <v>3</v>
      </c>
      <c r="P798">
        <v>4</v>
      </c>
      <c r="Q798">
        <v>0</v>
      </c>
      <c r="R798">
        <v>26.45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3</v>
      </c>
      <c r="AC798">
        <v>0</v>
      </c>
      <c r="AH798">
        <v>29.45</v>
      </c>
    </row>
    <row r="799" spans="1:34" x14ac:dyDescent="0.3">
      <c r="A799" s="4">
        <v>816</v>
      </c>
      <c r="B799" s="5">
        <v>792</v>
      </c>
      <c r="C799">
        <v>3344</v>
      </c>
      <c r="D799" t="s">
        <v>4893</v>
      </c>
      <c r="E799" t="s">
        <v>967</v>
      </c>
      <c r="F799" t="s">
        <v>259</v>
      </c>
      <c r="G799" t="s">
        <v>9923</v>
      </c>
      <c r="H799">
        <v>18.43</v>
      </c>
      <c r="I799">
        <v>0</v>
      </c>
      <c r="J799">
        <v>0</v>
      </c>
      <c r="K799">
        <v>0</v>
      </c>
      <c r="L799">
        <v>7</v>
      </c>
      <c r="O799">
        <v>7</v>
      </c>
      <c r="P799">
        <v>4</v>
      </c>
      <c r="Q799">
        <v>0</v>
      </c>
      <c r="R799">
        <v>29.43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H799">
        <v>29.43</v>
      </c>
    </row>
    <row r="800" spans="1:34" x14ac:dyDescent="0.3">
      <c r="A800" s="4">
        <v>817</v>
      </c>
      <c r="B800" s="5">
        <v>793</v>
      </c>
      <c r="C800">
        <v>1893</v>
      </c>
      <c r="D800" t="s">
        <v>4905</v>
      </c>
      <c r="E800" t="s">
        <v>9924</v>
      </c>
      <c r="F800" t="s">
        <v>416</v>
      </c>
      <c r="G800" t="s">
        <v>9925</v>
      </c>
      <c r="H800">
        <v>17.399999999999999</v>
      </c>
      <c r="I800">
        <v>0</v>
      </c>
      <c r="J800">
        <v>0</v>
      </c>
      <c r="K800">
        <v>0</v>
      </c>
      <c r="O800">
        <v>0</v>
      </c>
      <c r="P800">
        <v>4</v>
      </c>
      <c r="Q800">
        <v>2</v>
      </c>
      <c r="R800">
        <v>23.4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6</v>
      </c>
      <c r="AC800">
        <v>0</v>
      </c>
      <c r="AH800">
        <v>29.4</v>
      </c>
    </row>
    <row r="801" spans="1:34" x14ac:dyDescent="0.3">
      <c r="A801" s="4">
        <v>818</v>
      </c>
      <c r="B801" s="5">
        <v>794</v>
      </c>
      <c r="C801">
        <v>4308</v>
      </c>
      <c r="D801" t="s">
        <v>9926</v>
      </c>
      <c r="E801" t="s">
        <v>143</v>
      </c>
      <c r="F801" t="s">
        <v>442</v>
      </c>
      <c r="G801" t="s">
        <v>9927</v>
      </c>
      <c r="H801">
        <v>18.399999999999999</v>
      </c>
      <c r="I801">
        <v>0</v>
      </c>
      <c r="J801">
        <v>0</v>
      </c>
      <c r="K801">
        <v>0</v>
      </c>
      <c r="L801">
        <v>7</v>
      </c>
      <c r="O801">
        <v>7</v>
      </c>
      <c r="P801">
        <v>4</v>
      </c>
      <c r="Q801">
        <v>0</v>
      </c>
      <c r="R801">
        <v>29.4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H801">
        <v>29.4</v>
      </c>
    </row>
    <row r="802" spans="1:34" x14ac:dyDescent="0.3">
      <c r="A802" s="4">
        <v>819</v>
      </c>
      <c r="B802" s="5">
        <v>795</v>
      </c>
      <c r="C802">
        <v>8718</v>
      </c>
      <c r="D802" t="s">
        <v>3299</v>
      </c>
      <c r="E802" t="s">
        <v>406</v>
      </c>
      <c r="F802" t="s">
        <v>4344</v>
      </c>
      <c r="G802" t="s">
        <v>9928</v>
      </c>
      <c r="H802">
        <v>17.350000000000001</v>
      </c>
      <c r="I802">
        <v>0</v>
      </c>
      <c r="J802">
        <v>0</v>
      </c>
      <c r="K802">
        <v>0</v>
      </c>
      <c r="M802">
        <v>5</v>
      </c>
      <c r="N802">
        <v>3</v>
      </c>
      <c r="O802">
        <v>8</v>
      </c>
      <c r="P802">
        <v>4</v>
      </c>
      <c r="Q802">
        <v>0</v>
      </c>
      <c r="R802">
        <v>29.35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H802">
        <v>29.35</v>
      </c>
    </row>
    <row r="803" spans="1:34" x14ac:dyDescent="0.3">
      <c r="A803" s="4">
        <v>820</v>
      </c>
      <c r="B803" s="5">
        <v>796</v>
      </c>
      <c r="C803">
        <v>5995</v>
      </c>
      <c r="D803" t="s">
        <v>9929</v>
      </c>
      <c r="E803" t="s">
        <v>88</v>
      </c>
      <c r="F803" t="s">
        <v>171</v>
      </c>
      <c r="G803" t="s">
        <v>9930</v>
      </c>
      <c r="H803">
        <v>17.350000000000001</v>
      </c>
      <c r="I803">
        <v>0</v>
      </c>
      <c r="J803">
        <v>0</v>
      </c>
      <c r="K803">
        <v>0</v>
      </c>
      <c r="L803">
        <v>7</v>
      </c>
      <c r="N803">
        <v>3</v>
      </c>
      <c r="O803">
        <v>10</v>
      </c>
      <c r="P803">
        <v>0</v>
      </c>
      <c r="Q803">
        <v>2</v>
      </c>
      <c r="R803">
        <v>29.35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H803">
        <v>29.35</v>
      </c>
    </row>
    <row r="804" spans="1:34" x14ac:dyDescent="0.3">
      <c r="A804" s="4">
        <v>821</v>
      </c>
      <c r="B804" s="5">
        <v>797</v>
      </c>
      <c r="C804">
        <v>5017</v>
      </c>
      <c r="D804" t="s">
        <v>9931</v>
      </c>
      <c r="E804" t="s">
        <v>88</v>
      </c>
      <c r="F804" t="s">
        <v>124</v>
      </c>
      <c r="G804" t="s">
        <v>9932</v>
      </c>
      <c r="H804">
        <v>17.350000000000001</v>
      </c>
      <c r="I804">
        <v>0</v>
      </c>
      <c r="J804">
        <v>0</v>
      </c>
      <c r="K804">
        <v>0</v>
      </c>
      <c r="N804">
        <v>6</v>
      </c>
      <c r="O804">
        <v>6</v>
      </c>
      <c r="P804">
        <v>4</v>
      </c>
      <c r="Q804">
        <v>2</v>
      </c>
      <c r="R804">
        <v>29.35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H804">
        <v>29.35</v>
      </c>
    </row>
    <row r="805" spans="1:34" x14ac:dyDescent="0.3">
      <c r="A805" s="4">
        <v>822</v>
      </c>
      <c r="B805" s="5">
        <v>798</v>
      </c>
      <c r="C805">
        <v>7773</v>
      </c>
      <c r="D805" t="s">
        <v>9933</v>
      </c>
      <c r="E805" t="s">
        <v>124</v>
      </c>
      <c r="F805" t="s">
        <v>17</v>
      </c>
      <c r="G805" t="s">
        <v>9934</v>
      </c>
      <c r="H805">
        <v>16.329999999999998</v>
      </c>
      <c r="I805">
        <v>0</v>
      </c>
      <c r="J805">
        <v>0</v>
      </c>
      <c r="K805">
        <v>0</v>
      </c>
      <c r="L805">
        <v>7</v>
      </c>
      <c r="O805">
        <v>7</v>
      </c>
      <c r="P805">
        <v>0</v>
      </c>
      <c r="Q805">
        <v>0</v>
      </c>
      <c r="R805">
        <v>23.33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6</v>
      </c>
      <c r="AC805">
        <v>0</v>
      </c>
      <c r="AH805">
        <v>29.33</v>
      </c>
    </row>
    <row r="806" spans="1:34" x14ac:dyDescent="0.3">
      <c r="A806" s="4">
        <v>823</v>
      </c>
      <c r="B806" s="5">
        <v>799</v>
      </c>
      <c r="C806">
        <v>9058</v>
      </c>
      <c r="D806" t="s">
        <v>9935</v>
      </c>
      <c r="E806" t="s">
        <v>471</v>
      </c>
      <c r="F806" t="s">
        <v>466</v>
      </c>
      <c r="G806" t="s">
        <v>9936</v>
      </c>
      <c r="H806">
        <v>22.33</v>
      </c>
      <c r="I806">
        <v>0</v>
      </c>
      <c r="J806">
        <v>0</v>
      </c>
      <c r="K806">
        <v>0</v>
      </c>
      <c r="N806">
        <v>3</v>
      </c>
      <c r="O806">
        <v>3</v>
      </c>
      <c r="P806">
        <v>4</v>
      </c>
      <c r="Q806">
        <v>0</v>
      </c>
      <c r="R806">
        <v>29.33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H806">
        <v>29.33</v>
      </c>
    </row>
    <row r="807" spans="1:34" x14ac:dyDescent="0.3">
      <c r="A807" s="4">
        <v>824</v>
      </c>
      <c r="B807" s="5">
        <v>800</v>
      </c>
      <c r="C807">
        <v>6482</v>
      </c>
      <c r="D807" t="s">
        <v>9937</v>
      </c>
      <c r="E807" t="s">
        <v>29</v>
      </c>
      <c r="F807" t="s">
        <v>243</v>
      </c>
      <c r="G807" t="s">
        <v>9938</v>
      </c>
      <c r="H807">
        <v>20.28</v>
      </c>
      <c r="I807">
        <v>0</v>
      </c>
      <c r="J807">
        <v>0</v>
      </c>
      <c r="K807">
        <v>0</v>
      </c>
      <c r="N807">
        <v>3</v>
      </c>
      <c r="O807">
        <v>3</v>
      </c>
      <c r="P807">
        <v>4</v>
      </c>
      <c r="Q807">
        <v>2</v>
      </c>
      <c r="R807">
        <v>29.28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H807">
        <v>29.28</v>
      </c>
    </row>
    <row r="808" spans="1:34" x14ac:dyDescent="0.3">
      <c r="A808" s="4">
        <v>825</v>
      </c>
      <c r="B808" s="5">
        <v>801</v>
      </c>
      <c r="C808">
        <v>14644</v>
      </c>
      <c r="D808" t="s">
        <v>877</v>
      </c>
      <c r="E808" t="s">
        <v>9939</v>
      </c>
      <c r="F808" t="s">
        <v>9940</v>
      </c>
      <c r="G808" t="s">
        <v>9941</v>
      </c>
      <c r="H808">
        <v>20.28</v>
      </c>
      <c r="I808">
        <v>0</v>
      </c>
      <c r="J808">
        <v>0</v>
      </c>
      <c r="K808">
        <v>0</v>
      </c>
      <c r="N808">
        <v>3</v>
      </c>
      <c r="O808">
        <v>3</v>
      </c>
      <c r="P808">
        <v>4</v>
      </c>
      <c r="Q808">
        <v>2</v>
      </c>
      <c r="R808">
        <v>29.28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H808">
        <v>29.28</v>
      </c>
    </row>
    <row r="809" spans="1:34" x14ac:dyDescent="0.3">
      <c r="A809" s="4">
        <v>826</v>
      </c>
      <c r="B809" s="5">
        <v>802</v>
      </c>
      <c r="C809">
        <v>3673</v>
      </c>
      <c r="D809" t="s">
        <v>9942</v>
      </c>
      <c r="E809" t="s">
        <v>110</v>
      </c>
      <c r="F809" t="s">
        <v>9943</v>
      </c>
      <c r="G809" t="s">
        <v>9944</v>
      </c>
      <c r="H809">
        <v>20.25</v>
      </c>
      <c r="I809">
        <v>0</v>
      </c>
      <c r="J809">
        <v>0</v>
      </c>
      <c r="K809">
        <v>0</v>
      </c>
      <c r="N809">
        <v>3</v>
      </c>
      <c r="O809">
        <v>3</v>
      </c>
      <c r="P809">
        <v>4</v>
      </c>
      <c r="Q809">
        <v>2</v>
      </c>
      <c r="R809">
        <v>29.25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H809">
        <v>29.25</v>
      </c>
    </row>
    <row r="810" spans="1:34" x14ac:dyDescent="0.3">
      <c r="A810" s="4">
        <v>827</v>
      </c>
      <c r="B810" s="5">
        <v>803</v>
      </c>
      <c r="C810">
        <v>9952</v>
      </c>
      <c r="D810" t="s">
        <v>577</v>
      </c>
      <c r="E810" t="s">
        <v>132</v>
      </c>
      <c r="F810" t="s">
        <v>17</v>
      </c>
      <c r="G810" t="s">
        <v>9945</v>
      </c>
      <c r="H810">
        <v>19.23</v>
      </c>
      <c r="I810">
        <v>0</v>
      </c>
      <c r="J810">
        <v>0</v>
      </c>
      <c r="K810">
        <v>0</v>
      </c>
      <c r="N810">
        <v>3</v>
      </c>
      <c r="O810">
        <v>3</v>
      </c>
      <c r="P810">
        <v>4</v>
      </c>
      <c r="Q810">
        <v>0</v>
      </c>
      <c r="R810">
        <v>26.23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3</v>
      </c>
      <c r="AC810">
        <v>0</v>
      </c>
      <c r="AH810">
        <v>29.23</v>
      </c>
    </row>
    <row r="811" spans="1:34" x14ac:dyDescent="0.3">
      <c r="A811" s="4">
        <v>828</v>
      </c>
      <c r="B811" s="5">
        <v>804</v>
      </c>
      <c r="C811">
        <v>6550</v>
      </c>
      <c r="D811" t="s">
        <v>9946</v>
      </c>
      <c r="E811" t="s">
        <v>208</v>
      </c>
      <c r="F811" t="s">
        <v>230</v>
      </c>
      <c r="G811" t="s">
        <v>9947</v>
      </c>
      <c r="H811">
        <v>17.2</v>
      </c>
      <c r="I811">
        <v>0</v>
      </c>
      <c r="J811">
        <v>0</v>
      </c>
      <c r="K811">
        <v>0</v>
      </c>
      <c r="N811">
        <v>3</v>
      </c>
      <c r="O811">
        <v>3</v>
      </c>
      <c r="P811">
        <v>0</v>
      </c>
      <c r="Q811">
        <v>0</v>
      </c>
      <c r="R811">
        <v>20.2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9</v>
      </c>
      <c r="AC811">
        <v>0</v>
      </c>
      <c r="AH811">
        <v>29.2</v>
      </c>
    </row>
    <row r="812" spans="1:34" x14ac:dyDescent="0.3">
      <c r="A812" s="4">
        <v>829</v>
      </c>
      <c r="B812" s="5">
        <v>805</v>
      </c>
      <c r="C812">
        <v>10778</v>
      </c>
      <c r="D812" t="s">
        <v>9948</v>
      </c>
      <c r="E812" t="s">
        <v>9949</v>
      </c>
      <c r="F812" t="s">
        <v>38</v>
      </c>
      <c r="G812" t="s">
        <v>9950</v>
      </c>
      <c r="H812">
        <v>17.18</v>
      </c>
      <c r="I812">
        <v>0</v>
      </c>
      <c r="J812">
        <v>0</v>
      </c>
      <c r="K812">
        <v>0</v>
      </c>
      <c r="N812">
        <v>3</v>
      </c>
      <c r="O812">
        <v>3</v>
      </c>
      <c r="P812">
        <v>0</v>
      </c>
      <c r="Q812">
        <v>0</v>
      </c>
      <c r="R812">
        <v>20.18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9</v>
      </c>
      <c r="AC812">
        <v>0</v>
      </c>
      <c r="AH812">
        <v>29.18</v>
      </c>
    </row>
    <row r="813" spans="1:34" x14ac:dyDescent="0.3">
      <c r="A813" s="4">
        <v>830</v>
      </c>
      <c r="B813" s="5">
        <v>806</v>
      </c>
      <c r="C813">
        <v>14344</v>
      </c>
      <c r="D813" t="s">
        <v>4690</v>
      </c>
      <c r="E813" t="s">
        <v>4691</v>
      </c>
      <c r="F813" t="s">
        <v>38</v>
      </c>
      <c r="G813" t="s">
        <v>4692</v>
      </c>
      <c r="H813">
        <v>17.18</v>
      </c>
      <c r="I813">
        <v>0</v>
      </c>
      <c r="J813">
        <v>0</v>
      </c>
      <c r="K813">
        <v>0</v>
      </c>
      <c r="N813">
        <v>3</v>
      </c>
      <c r="O813">
        <v>3</v>
      </c>
      <c r="P813">
        <v>4</v>
      </c>
      <c r="Q813">
        <v>2</v>
      </c>
      <c r="R813">
        <v>26.18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3</v>
      </c>
      <c r="AC813">
        <v>0</v>
      </c>
      <c r="AH813">
        <v>29.18</v>
      </c>
    </row>
    <row r="814" spans="1:34" x14ac:dyDescent="0.3">
      <c r="A814" s="4">
        <v>831</v>
      </c>
      <c r="B814" s="5">
        <v>807</v>
      </c>
      <c r="C814">
        <v>14835</v>
      </c>
      <c r="D814" t="s">
        <v>5483</v>
      </c>
      <c r="E814" t="s">
        <v>54</v>
      </c>
      <c r="F814" t="s">
        <v>343</v>
      </c>
      <c r="G814" t="s">
        <v>9951</v>
      </c>
      <c r="H814">
        <v>17.18</v>
      </c>
      <c r="I814">
        <v>0</v>
      </c>
      <c r="J814">
        <v>0</v>
      </c>
      <c r="K814">
        <v>0</v>
      </c>
      <c r="N814">
        <v>3</v>
      </c>
      <c r="O814">
        <v>3</v>
      </c>
      <c r="P814">
        <v>4</v>
      </c>
      <c r="Q814">
        <v>2</v>
      </c>
      <c r="R814">
        <v>26.18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3</v>
      </c>
      <c r="AC814">
        <v>0</v>
      </c>
      <c r="AH814">
        <v>29.18</v>
      </c>
    </row>
    <row r="815" spans="1:34" x14ac:dyDescent="0.3">
      <c r="A815" s="4">
        <v>832</v>
      </c>
      <c r="B815" s="5">
        <v>808</v>
      </c>
      <c r="C815">
        <v>4127</v>
      </c>
      <c r="D815" t="s">
        <v>9952</v>
      </c>
      <c r="E815" t="s">
        <v>454</v>
      </c>
      <c r="F815" t="s">
        <v>2561</v>
      </c>
      <c r="G815" t="s">
        <v>9953</v>
      </c>
      <c r="H815">
        <v>18.18</v>
      </c>
      <c r="I815">
        <v>0</v>
      </c>
      <c r="J815">
        <v>0</v>
      </c>
      <c r="K815">
        <v>0</v>
      </c>
      <c r="L815">
        <v>7</v>
      </c>
      <c r="O815">
        <v>7</v>
      </c>
      <c r="P815">
        <v>4</v>
      </c>
      <c r="Q815">
        <v>0</v>
      </c>
      <c r="R815">
        <v>29.18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H815">
        <v>29.18</v>
      </c>
    </row>
    <row r="816" spans="1:34" x14ac:dyDescent="0.3">
      <c r="A816" s="4">
        <v>833</v>
      </c>
      <c r="B816" s="5">
        <v>809</v>
      </c>
      <c r="C816">
        <v>12017</v>
      </c>
      <c r="D816" t="s">
        <v>9954</v>
      </c>
      <c r="E816" t="s">
        <v>41</v>
      </c>
      <c r="F816" t="s">
        <v>2996</v>
      </c>
      <c r="G816" t="s">
        <v>9955</v>
      </c>
      <c r="H816">
        <v>22.13</v>
      </c>
      <c r="I816">
        <v>0</v>
      </c>
      <c r="J816">
        <v>0</v>
      </c>
      <c r="K816">
        <v>0</v>
      </c>
      <c r="L816">
        <v>7</v>
      </c>
      <c r="O816">
        <v>7</v>
      </c>
      <c r="P816">
        <v>0</v>
      </c>
      <c r="Q816">
        <v>0</v>
      </c>
      <c r="R816">
        <v>29.13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H816">
        <v>29.13</v>
      </c>
    </row>
    <row r="817" spans="1:34" x14ac:dyDescent="0.3">
      <c r="A817" s="4">
        <v>834</v>
      </c>
      <c r="B817" s="5">
        <v>810</v>
      </c>
      <c r="C817">
        <v>5953</v>
      </c>
      <c r="D817" t="s">
        <v>7140</v>
      </c>
      <c r="E817" t="s">
        <v>33</v>
      </c>
      <c r="F817" t="s">
        <v>17</v>
      </c>
      <c r="G817" t="s">
        <v>9956</v>
      </c>
      <c r="H817">
        <v>18.100000000000001</v>
      </c>
      <c r="I817">
        <v>0</v>
      </c>
      <c r="J817">
        <v>0</v>
      </c>
      <c r="K817">
        <v>0</v>
      </c>
      <c r="L817">
        <v>7</v>
      </c>
      <c r="O817">
        <v>7</v>
      </c>
      <c r="P817">
        <v>4</v>
      </c>
      <c r="Q817">
        <v>0</v>
      </c>
      <c r="R817">
        <v>29.1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H817">
        <v>29.1</v>
      </c>
    </row>
    <row r="818" spans="1:34" x14ac:dyDescent="0.3">
      <c r="A818" s="4">
        <v>835</v>
      </c>
      <c r="B818" s="5">
        <v>811</v>
      </c>
      <c r="C818">
        <v>13083</v>
      </c>
      <c r="D818" t="s">
        <v>9957</v>
      </c>
      <c r="E818" t="s">
        <v>9958</v>
      </c>
      <c r="F818" t="s">
        <v>17</v>
      </c>
      <c r="G818" t="s">
        <v>9959</v>
      </c>
      <c r="H818">
        <v>17.079999999999998</v>
      </c>
      <c r="I818">
        <v>0</v>
      </c>
      <c r="J818">
        <v>0</v>
      </c>
      <c r="K818">
        <v>0</v>
      </c>
      <c r="N818">
        <v>6</v>
      </c>
      <c r="O818">
        <v>6</v>
      </c>
      <c r="P818">
        <v>4</v>
      </c>
      <c r="Q818">
        <v>2</v>
      </c>
      <c r="R818">
        <v>29.08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H818">
        <v>29.08</v>
      </c>
    </row>
    <row r="819" spans="1:34" x14ac:dyDescent="0.3">
      <c r="A819" s="4">
        <v>836</v>
      </c>
      <c r="B819" s="5">
        <v>812</v>
      </c>
      <c r="C819">
        <v>5210</v>
      </c>
      <c r="D819" t="s">
        <v>9960</v>
      </c>
      <c r="E819" t="s">
        <v>20</v>
      </c>
      <c r="F819" t="s">
        <v>17</v>
      </c>
      <c r="G819" t="s">
        <v>9961</v>
      </c>
      <c r="H819">
        <v>18.05</v>
      </c>
      <c r="I819">
        <v>0</v>
      </c>
      <c r="J819">
        <v>0</v>
      </c>
      <c r="K819">
        <v>0</v>
      </c>
      <c r="L819">
        <v>7</v>
      </c>
      <c r="O819">
        <v>7</v>
      </c>
      <c r="P819">
        <v>4</v>
      </c>
      <c r="Q819">
        <v>0</v>
      </c>
      <c r="R819">
        <v>29.05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H819">
        <v>29.05</v>
      </c>
    </row>
    <row r="820" spans="1:34" x14ac:dyDescent="0.3">
      <c r="A820" s="4">
        <v>837</v>
      </c>
      <c r="B820" s="5">
        <v>813</v>
      </c>
      <c r="C820">
        <v>12522</v>
      </c>
      <c r="D820" t="s">
        <v>5097</v>
      </c>
      <c r="E820" t="s">
        <v>33</v>
      </c>
      <c r="F820" t="s">
        <v>167</v>
      </c>
      <c r="G820" t="s">
        <v>9962</v>
      </c>
      <c r="H820">
        <v>17.05</v>
      </c>
      <c r="I820">
        <v>0</v>
      </c>
      <c r="J820">
        <v>0</v>
      </c>
      <c r="K820">
        <v>0</v>
      </c>
      <c r="N820">
        <v>6</v>
      </c>
      <c r="O820">
        <v>6</v>
      </c>
      <c r="P820">
        <v>4</v>
      </c>
      <c r="Q820">
        <v>2</v>
      </c>
      <c r="R820">
        <v>29.05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H820">
        <v>29.05</v>
      </c>
    </row>
    <row r="821" spans="1:34" x14ac:dyDescent="0.3">
      <c r="A821" s="4">
        <v>838</v>
      </c>
      <c r="B821" s="5">
        <v>814</v>
      </c>
      <c r="C821">
        <v>14676</v>
      </c>
      <c r="D821" t="s">
        <v>9963</v>
      </c>
      <c r="E821" t="s">
        <v>100</v>
      </c>
      <c r="F821" t="s">
        <v>91</v>
      </c>
      <c r="G821" t="s">
        <v>9964</v>
      </c>
      <c r="H821">
        <v>17.05</v>
      </c>
      <c r="I821">
        <v>0</v>
      </c>
      <c r="J821">
        <v>0</v>
      </c>
      <c r="K821">
        <v>0</v>
      </c>
      <c r="N821">
        <v>6</v>
      </c>
      <c r="O821">
        <v>6</v>
      </c>
      <c r="P821">
        <v>4</v>
      </c>
      <c r="Q821">
        <v>2</v>
      </c>
      <c r="R821">
        <v>29.05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H821">
        <v>29.05</v>
      </c>
    </row>
    <row r="822" spans="1:34" x14ac:dyDescent="0.3">
      <c r="A822" s="4">
        <v>839</v>
      </c>
      <c r="B822" s="5">
        <v>815</v>
      </c>
      <c r="C822">
        <v>6660</v>
      </c>
      <c r="D822" t="s">
        <v>2666</v>
      </c>
      <c r="E822" t="s">
        <v>3778</v>
      </c>
      <c r="F822" t="s">
        <v>38</v>
      </c>
      <c r="G822" t="s">
        <v>9965</v>
      </c>
      <c r="H822">
        <v>17.03</v>
      </c>
      <c r="I822">
        <v>0</v>
      </c>
      <c r="J822">
        <v>0</v>
      </c>
      <c r="K822">
        <v>0</v>
      </c>
      <c r="O822">
        <v>0</v>
      </c>
      <c r="P822">
        <v>4</v>
      </c>
      <c r="Q822">
        <v>2</v>
      </c>
      <c r="R822">
        <v>23.03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6</v>
      </c>
      <c r="AC822">
        <v>0</v>
      </c>
      <c r="AH822">
        <v>29.03</v>
      </c>
    </row>
    <row r="823" spans="1:34" x14ac:dyDescent="0.3">
      <c r="A823" s="4">
        <v>840</v>
      </c>
      <c r="B823" s="5">
        <v>816</v>
      </c>
      <c r="C823">
        <v>9236</v>
      </c>
      <c r="D823" t="s">
        <v>181</v>
      </c>
      <c r="E823" t="s">
        <v>29</v>
      </c>
      <c r="F823" t="s">
        <v>30</v>
      </c>
      <c r="G823" t="s">
        <v>9966</v>
      </c>
      <c r="H823">
        <v>19.03</v>
      </c>
      <c r="I823">
        <v>0</v>
      </c>
      <c r="J823">
        <v>0</v>
      </c>
      <c r="K823">
        <v>0</v>
      </c>
      <c r="N823">
        <v>3</v>
      </c>
      <c r="O823">
        <v>3</v>
      </c>
      <c r="P823">
        <v>4</v>
      </c>
      <c r="Q823">
        <v>0</v>
      </c>
      <c r="R823">
        <v>26.03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3</v>
      </c>
      <c r="AC823">
        <v>0</v>
      </c>
      <c r="AH823">
        <v>29.03</v>
      </c>
    </row>
    <row r="824" spans="1:34" x14ac:dyDescent="0.3">
      <c r="A824" s="4">
        <v>841</v>
      </c>
      <c r="B824" s="5">
        <v>817</v>
      </c>
      <c r="C824">
        <v>9499</v>
      </c>
      <c r="D824" t="s">
        <v>9967</v>
      </c>
      <c r="E824" t="s">
        <v>161</v>
      </c>
      <c r="F824" t="s">
        <v>38</v>
      </c>
      <c r="G824" t="s">
        <v>9968</v>
      </c>
      <c r="H824">
        <v>20.03</v>
      </c>
      <c r="I824">
        <v>0</v>
      </c>
      <c r="J824">
        <v>0</v>
      </c>
      <c r="K824">
        <v>0</v>
      </c>
      <c r="L824">
        <v>7</v>
      </c>
      <c r="O824">
        <v>7</v>
      </c>
      <c r="P824">
        <v>0</v>
      </c>
      <c r="Q824">
        <v>2</v>
      </c>
      <c r="R824">
        <v>29.03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H824">
        <v>29.03</v>
      </c>
    </row>
    <row r="825" spans="1:34" x14ac:dyDescent="0.3">
      <c r="A825" s="4">
        <v>842</v>
      </c>
      <c r="B825" s="5">
        <v>818</v>
      </c>
      <c r="C825">
        <v>7187</v>
      </c>
      <c r="D825" t="s">
        <v>9969</v>
      </c>
      <c r="E825" t="s">
        <v>54</v>
      </c>
      <c r="F825" t="s">
        <v>20</v>
      </c>
      <c r="G825" t="s">
        <v>9970</v>
      </c>
      <c r="H825">
        <v>17.98</v>
      </c>
      <c r="I825">
        <v>0</v>
      </c>
      <c r="J825">
        <v>0</v>
      </c>
      <c r="K825">
        <v>0</v>
      </c>
      <c r="L825">
        <v>7</v>
      </c>
      <c r="O825">
        <v>7</v>
      </c>
      <c r="P825">
        <v>4</v>
      </c>
      <c r="Q825">
        <v>0</v>
      </c>
      <c r="R825">
        <v>28.98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H825">
        <v>28.98</v>
      </c>
    </row>
    <row r="826" spans="1:34" x14ac:dyDescent="0.3">
      <c r="A826" s="4">
        <v>843</v>
      </c>
      <c r="B826" s="5">
        <v>819</v>
      </c>
      <c r="C826">
        <v>13632</v>
      </c>
      <c r="D826" t="s">
        <v>9971</v>
      </c>
      <c r="E826" t="s">
        <v>29</v>
      </c>
      <c r="F826" t="s">
        <v>91</v>
      </c>
      <c r="G826" t="s">
        <v>9972</v>
      </c>
      <c r="H826">
        <v>17.98</v>
      </c>
      <c r="I826">
        <v>0</v>
      </c>
      <c r="J826">
        <v>0</v>
      </c>
      <c r="K826">
        <v>0</v>
      </c>
      <c r="L826">
        <v>7</v>
      </c>
      <c r="O826">
        <v>7</v>
      </c>
      <c r="P826">
        <v>4</v>
      </c>
      <c r="Q826">
        <v>0</v>
      </c>
      <c r="R826">
        <v>28.98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H826">
        <v>28.98</v>
      </c>
    </row>
    <row r="827" spans="1:34" x14ac:dyDescent="0.3">
      <c r="A827" s="4">
        <v>844</v>
      </c>
      <c r="B827" s="5">
        <v>820</v>
      </c>
      <c r="C827">
        <v>11954</v>
      </c>
      <c r="D827" t="s">
        <v>67</v>
      </c>
      <c r="E827" t="s">
        <v>166</v>
      </c>
      <c r="F827" t="s">
        <v>117</v>
      </c>
      <c r="G827" t="s">
        <v>9973</v>
      </c>
      <c r="H827">
        <v>18.899999999999999</v>
      </c>
      <c r="I827">
        <v>0</v>
      </c>
      <c r="J827">
        <v>0</v>
      </c>
      <c r="K827">
        <v>0</v>
      </c>
      <c r="O827">
        <v>0</v>
      </c>
      <c r="P827">
        <v>4</v>
      </c>
      <c r="Q827">
        <v>0</v>
      </c>
      <c r="R827">
        <v>22.9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6</v>
      </c>
      <c r="AC827">
        <v>0</v>
      </c>
      <c r="AH827">
        <v>28.9</v>
      </c>
    </row>
    <row r="828" spans="1:34" x14ac:dyDescent="0.3">
      <c r="A828" s="4">
        <v>845</v>
      </c>
      <c r="B828" s="5">
        <v>821</v>
      </c>
      <c r="C828">
        <v>8283</v>
      </c>
      <c r="D828" t="s">
        <v>9974</v>
      </c>
      <c r="E828" t="s">
        <v>9975</v>
      </c>
      <c r="F828" t="s">
        <v>17</v>
      </c>
      <c r="G828" t="s">
        <v>9976</v>
      </c>
      <c r="H828">
        <v>17.899999999999999</v>
      </c>
      <c r="I828">
        <v>0</v>
      </c>
      <c r="J828">
        <v>0</v>
      </c>
      <c r="K828">
        <v>0</v>
      </c>
      <c r="L828">
        <v>7</v>
      </c>
      <c r="O828">
        <v>7</v>
      </c>
      <c r="P828">
        <v>4</v>
      </c>
      <c r="Q828">
        <v>0</v>
      </c>
      <c r="R828">
        <v>28.9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H828">
        <v>28.9</v>
      </c>
    </row>
    <row r="829" spans="1:34" x14ac:dyDescent="0.3">
      <c r="A829" s="4">
        <v>846</v>
      </c>
      <c r="B829" s="5">
        <v>822</v>
      </c>
      <c r="C829">
        <v>8351</v>
      </c>
      <c r="D829" t="s">
        <v>1599</v>
      </c>
      <c r="E829" t="s">
        <v>161</v>
      </c>
      <c r="F829" t="s">
        <v>38</v>
      </c>
      <c r="G829" t="s">
        <v>9977</v>
      </c>
      <c r="H829">
        <v>21.88</v>
      </c>
      <c r="I829">
        <v>0</v>
      </c>
      <c r="J829">
        <v>0</v>
      </c>
      <c r="K829">
        <v>0</v>
      </c>
      <c r="N829">
        <v>3</v>
      </c>
      <c r="O829">
        <v>3</v>
      </c>
      <c r="P829">
        <v>4</v>
      </c>
      <c r="Q829">
        <v>0</v>
      </c>
      <c r="R829">
        <v>28.88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H829">
        <v>28.88</v>
      </c>
    </row>
    <row r="830" spans="1:34" x14ac:dyDescent="0.3">
      <c r="A830" s="4">
        <v>847</v>
      </c>
      <c r="B830" s="5">
        <v>823</v>
      </c>
      <c r="C830">
        <v>3243</v>
      </c>
      <c r="D830" t="s">
        <v>9978</v>
      </c>
      <c r="E830" t="s">
        <v>4855</v>
      </c>
      <c r="F830" t="s">
        <v>81</v>
      </c>
      <c r="G830" t="s">
        <v>9979</v>
      </c>
      <c r="H830">
        <v>17.850000000000001</v>
      </c>
      <c r="I830">
        <v>0</v>
      </c>
      <c r="J830">
        <v>0</v>
      </c>
      <c r="K830">
        <v>0</v>
      </c>
      <c r="L830">
        <v>7</v>
      </c>
      <c r="O830">
        <v>7</v>
      </c>
      <c r="P830">
        <v>4</v>
      </c>
      <c r="Q830">
        <v>0</v>
      </c>
      <c r="R830">
        <v>28.85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H830">
        <v>28.85</v>
      </c>
    </row>
    <row r="831" spans="1:34" x14ac:dyDescent="0.3">
      <c r="A831" s="4">
        <v>848</v>
      </c>
      <c r="B831" s="5">
        <v>824</v>
      </c>
      <c r="C831">
        <v>7498</v>
      </c>
      <c r="D831" t="s">
        <v>9980</v>
      </c>
      <c r="E831" t="s">
        <v>9981</v>
      </c>
      <c r="F831" t="s">
        <v>17</v>
      </c>
      <c r="G831" t="s">
        <v>9982</v>
      </c>
      <c r="H831">
        <v>22.83</v>
      </c>
      <c r="I831">
        <v>0</v>
      </c>
      <c r="J831">
        <v>0</v>
      </c>
      <c r="K831">
        <v>0</v>
      </c>
      <c r="N831">
        <v>3</v>
      </c>
      <c r="O831">
        <v>3</v>
      </c>
      <c r="P831">
        <v>0</v>
      </c>
      <c r="Q831">
        <v>0</v>
      </c>
      <c r="R831">
        <v>25.83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3</v>
      </c>
      <c r="AC831">
        <v>0</v>
      </c>
      <c r="AH831">
        <v>28.83</v>
      </c>
    </row>
    <row r="832" spans="1:34" x14ac:dyDescent="0.3">
      <c r="A832" s="4">
        <v>849</v>
      </c>
      <c r="B832" s="5">
        <v>825</v>
      </c>
      <c r="C832">
        <v>13703</v>
      </c>
      <c r="D832" t="s">
        <v>2365</v>
      </c>
      <c r="E832" t="s">
        <v>9983</v>
      </c>
      <c r="F832" t="s">
        <v>30</v>
      </c>
      <c r="G832" t="s">
        <v>9984</v>
      </c>
      <c r="H832">
        <v>19.8</v>
      </c>
      <c r="I832">
        <v>0</v>
      </c>
      <c r="J832">
        <v>0</v>
      </c>
      <c r="K832">
        <v>0</v>
      </c>
      <c r="N832">
        <v>3</v>
      </c>
      <c r="O832">
        <v>3</v>
      </c>
      <c r="P832">
        <v>4</v>
      </c>
      <c r="Q832">
        <v>2</v>
      </c>
      <c r="R832">
        <v>28.8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H832">
        <v>28.8</v>
      </c>
    </row>
    <row r="833" spans="1:34" x14ac:dyDescent="0.3">
      <c r="A833" s="4">
        <v>850</v>
      </c>
      <c r="B833" s="5">
        <v>826</v>
      </c>
      <c r="C833">
        <v>14861</v>
      </c>
      <c r="D833" t="s">
        <v>9985</v>
      </c>
      <c r="E833" t="s">
        <v>1694</v>
      </c>
      <c r="F833" t="s">
        <v>20</v>
      </c>
      <c r="G833" t="s">
        <v>9986</v>
      </c>
      <c r="H833">
        <v>17.75</v>
      </c>
      <c r="I833">
        <v>0</v>
      </c>
      <c r="J833">
        <v>0</v>
      </c>
      <c r="K833">
        <v>0</v>
      </c>
      <c r="N833">
        <v>3</v>
      </c>
      <c r="O833">
        <v>3</v>
      </c>
      <c r="P833">
        <v>0</v>
      </c>
      <c r="Q833">
        <v>2</v>
      </c>
      <c r="R833">
        <v>22.75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6</v>
      </c>
      <c r="AC833">
        <v>0</v>
      </c>
      <c r="AH833">
        <v>28.75</v>
      </c>
    </row>
    <row r="834" spans="1:34" x14ac:dyDescent="0.3">
      <c r="A834" s="4">
        <v>851</v>
      </c>
      <c r="B834" s="5">
        <v>827</v>
      </c>
      <c r="C834">
        <v>15590</v>
      </c>
      <c r="D834" t="s">
        <v>9987</v>
      </c>
      <c r="E834" t="s">
        <v>100</v>
      </c>
      <c r="F834" t="s">
        <v>343</v>
      </c>
      <c r="G834" t="s">
        <v>9988</v>
      </c>
      <c r="H834">
        <v>21.75</v>
      </c>
      <c r="I834">
        <v>0</v>
      </c>
      <c r="J834">
        <v>0</v>
      </c>
      <c r="K834">
        <v>0</v>
      </c>
      <c r="M834">
        <v>5</v>
      </c>
      <c r="O834">
        <v>5</v>
      </c>
      <c r="P834">
        <v>0</v>
      </c>
      <c r="Q834">
        <v>2</v>
      </c>
      <c r="R834">
        <v>28.75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H834">
        <v>28.75</v>
      </c>
    </row>
    <row r="835" spans="1:34" x14ac:dyDescent="0.3">
      <c r="A835" s="4">
        <v>852</v>
      </c>
      <c r="B835" s="5">
        <v>828</v>
      </c>
      <c r="C835">
        <v>8414</v>
      </c>
      <c r="D835" t="s">
        <v>9989</v>
      </c>
      <c r="E835" t="s">
        <v>97</v>
      </c>
      <c r="F835" t="s">
        <v>81</v>
      </c>
      <c r="G835" t="s">
        <v>9990</v>
      </c>
      <c r="H835">
        <v>17.75</v>
      </c>
      <c r="I835">
        <v>0</v>
      </c>
      <c r="J835">
        <v>0</v>
      </c>
      <c r="K835">
        <v>0</v>
      </c>
      <c r="L835">
        <v>7</v>
      </c>
      <c r="O835">
        <v>7</v>
      </c>
      <c r="P835">
        <v>4</v>
      </c>
      <c r="Q835">
        <v>0</v>
      </c>
      <c r="R835">
        <v>28.75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H835">
        <v>28.75</v>
      </c>
    </row>
    <row r="836" spans="1:34" x14ac:dyDescent="0.3">
      <c r="A836" s="4">
        <v>853</v>
      </c>
      <c r="B836" s="5">
        <v>829</v>
      </c>
      <c r="C836">
        <v>12337</v>
      </c>
      <c r="D836" t="s">
        <v>9991</v>
      </c>
      <c r="E836" t="s">
        <v>9992</v>
      </c>
      <c r="F836" t="s">
        <v>81</v>
      </c>
      <c r="G836" t="s">
        <v>9993</v>
      </c>
      <c r="H836">
        <v>18.68</v>
      </c>
      <c r="I836">
        <v>0</v>
      </c>
      <c r="J836">
        <v>0</v>
      </c>
      <c r="K836">
        <v>0</v>
      </c>
      <c r="N836">
        <v>3</v>
      </c>
      <c r="O836">
        <v>3</v>
      </c>
      <c r="P836">
        <v>4</v>
      </c>
      <c r="Q836">
        <v>0</v>
      </c>
      <c r="R836">
        <v>25.68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3</v>
      </c>
      <c r="AC836">
        <v>0</v>
      </c>
      <c r="AH836">
        <v>28.68</v>
      </c>
    </row>
    <row r="837" spans="1:34" x14ac:dyDescent="0.3">
      <c r="A837" s="4">
        <v>854</v>
      </c>
      <c r="B837" s="5">
        <v>830</v>
      </c>
      <c r="C837">
        <v>8242</v>
      </c>
      <c r="D837" t="s">
        <v>9994</v>
      </c>
      <c r="E837" t="s">
        <v>575</v>
      </c>
      <c r="F837" t="s">
        <v>17</v>
      </c>
      <c r="G837" t="s">
        <v>9995</v>
      </c>
      <c r="H837">
        <v>21.68</v>
      </c>
      <c r="I837">
        <v>0</v>
      </c>
      <c r="J837">
        <v>0</v>
      </c>
      <c r="K837">
        <v>0</v>
      </c>
      <c r="L837">
        <v>7</v>
      </c>
      <c r="O837">
        <v>7</v>
      </c>
      <c r="P837">
        <v>0</v>
      </c>
      <c r="Q837">
        <v>0</v>
      </c>
      <c r="R837">
        <v>28.68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 t="s">
        <v>130</v>
      </c>
      <c r="AH837">
        <v>28.68</v>
      </c>
    </row>
    <row r="838" spans="1:34" x14ac:dyDescent="0.3">
      <c r="A838" s="4">
        <v>855</v>
      </c>
      <c r="B838" s="5">
        <v>831</v>
      </c>
      <c r="C838">
        <v>2911</v>
      </c>
      <c r="D838" t="s">
        <v>1422</v>
      </c>
      <c r="E838" t="s">
        <v>29</v>
      </c>
      <c r="F838" t="s">
        <v>20</v>
      </c>
      <c r="G838" t="s">
        <v>9996</v>
      </c>
      <c r="H838">
        <v>16.68</v>
      </c>
      <c r="I838">
        <v>0</v>
      </c>
      <c r="J838">
        <v>0</v>
      </c>
      <c r="K838">
        <v>0</v>
      </c>
      <c r="N838">
        <v>6</v>
      </c>
      <c r="O838">
        <v>6</v>
      </c>
      <c r="P838">
        <v>4</v>
      </c>
      <c r="Q838">
        <v>2</v>
      </c>
      <c r="R838">
        <v>28.68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H838">
        <v>28.68</v>
      </c>
    </row>
    <row r="839" spans="1:34" x14ac:dyDescent="0.3">
      <c r="A839" s="4">
        <v>856</v>
      </c>
      <c r="B839" s="5">
        <v>832</v>
      </c>
      <c r="C839">
        <v>10038</v>
      </c>
      <c r="D839" t="s">
        <v>9997</v>
      </c>
      <c r="E839" t="s">
        <v>9998</v>
      </c>
      <c r="F839" t="s">
        <v>9999</v>
      </c>
      <c r="G839" t="s">
        <v>10000</v>
      </c>
      <c r="H839">
        <v>19.649999999999999</v>
      </c>
      <c r="I839">
        <v>0</v>
      </c>
      <c r="J839">
        <v>0</v>
      </c>
      <c r="K839">
        <v>0</v>
      </c>
      <c r="L839">
        <v>7</v>
      </c>
      <c r="O839">
        <v>7</v>
      </c>
      <c r="P839">
        <v>0</v>
      </c>
      <c r="Q839">
        <v>2</v>
      </c>
      <c r="R839">
        <v>28.65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H839">
        <v>28.65</v>
      </c>
    </row>
    <row r="840" spans="1:34" x14ac:dyDescent="0.3">
      <c r="A840" s="4">
        <v>857</v>
      </c>
      <c r="B840" s="5">
        <v>833</v>
      </c>
      <c r="C840">
        <v>820</v>
      </c>
      <c r="D840" t="s">
        <v>10001</v>
      </c>
      <c r="E840" t="s">
        <v>91</v>
      </c>
      <c r="F840" t="s">
        <v>3968</v>
      </c>
      <c r="G840" t="s">
        <v>10002</v>
      </c>
      <c r="H840">
        <v>19.579999999999998</v>
      </c>
      <c r="I840">
        <v>0</v>
      </c>
      <c r="J840">
        <v>0</v>
      </c>
      <c r="K840">
        <v>0</v>
      </c>
      <c r="N840">
        <v>3</v>
      </c>
      <c r="O840">
        <v>3</v>
      </c>
      <c r="P840">
        <v>4</v>
      </c>
      <c r="Q840">
        <v>2</v>
      </c>
      <c r="R840">
        <v>28.58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H840">
        <v>28.58</v>
      </c>
    </row>
    <row r="841" spans="1:34" x14ac:dyDescent="0.3">
      <c r="A841" s="4">
        <v>858</v>
      </c>
      <c r="B841" s="5">
        <v>834</v>
      </c>
      <c r="C841">
        <v>478</v>
      </c>
      <c r="D841" t="s">
        <v>418</v>
      </c>
      <c r="E841" t="s">
        <v>188</v>
      </c>
      <c r="F841" t="s">
        <v>17</v>
      </c>
      <c r="G841" t="s">
        <v>10003</v>
      </c>
      <c r="H841">
        <v>18.55</v>
      </c>
      <c r="I841">
        <v>0</v>
      </c>
      <c r="J841">
        <v>0</v>
      </c>
      <c r="K841">
        <v>0</v>
      </c>
      <c r="O841">
        <v>0</v>
      </c>
      <c r="P841">
        <v>4</v>
      </c>
      <c r="Q841">
        <v>0</v>
      </c>
      <c r="R841">
        <v>22.55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6</v>
      </c>
      <c r="AC841">
        <v>0</v>
      </c>
      <c r="AH841">
        <v>28.55</v>
      </c>
    </row>
    <row r="842" spans="1:34" x14ac:dyDescent="0.3">
      <c r="A842" s="4">
        <v>859</v>
      </c>
      <c r="B842" s="5">
        <v>835</v>
      </c>
      <c r="C842">
        <v>12881</v>
      </c>
      <c r="D842" t="s">
        <v>10004</v>
      </c>
      <c r="E842" t="s">
        <v>37</v>
      </c>
      <c r="F842" t="s">
        <v>136</v>
      </c>
      <c r="G842" t="s">
        <v>10005</v>
      </c>
      <c r="H842">
        <v>21.53</v>
      </c>
      <c r="I842">
        <v>0</v>
      </c>
      <c r="J842">
        <v>0</v>
      </c>
      <c r="K842">
        <v>0</v>
      </c>
      <c r="N842">
        <v>3</v>
      </c>
      <c r="O842">
        <v>3</v>
      </c>
      <c r="P842">
        <v>4</v>
      </c>
      <c r="Q842">
        <v>0</v>
      </c>
      <c r="R842">
        <v>28.53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H842">
        <v>28.53</v>
      </c>
    </row>
    <row r="843" spans="1:34" x14ac:dyDescent="0.3">
      <c r="A843" s="4">
        <v>860</v>
      </c>
      <c r="B843" s="5">
        <v>836</v>
      </c>
      <c r="C843">
        <v>6956</v>
      </c>
      <c r="D843" t="s">
        <v>10006</v>
      </c>
      <c r="E843" t="s">
        <v>346</v>
      </c>
      <c r="F843" t="s">
        <v>892</v>
      </c>
      <c r="G843" t="s">
        <v>10007</v>
      </c>
      <c r="H843">
        <v>15.53</v>
      </c>
      <c r="I843">
        <v>0</v>
      </c>
      <c r="J843">
        <v>0</v>
      </c>
      <c r="K843">
        <v>0</v>
      </c>
      <c r="L843">
        <v>7</v>
      </c>
      <c r="O843">
        <v>7</v>
      </c>
      <c r="P843">
        <v>4</v>
      </c>
      <c r="Q843">
        <v>2</v>
      </c>
      <c r="R843">
        <v>28.53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H843">
        <v>28.53</v>
      </c>
    </row>
    <row r="844" spans="1:34" x14ac:dyDescent="0.3">
      <c r="A844" s="4">
        <v>861</v>
      </c>
      <c r="B844" s="5">
        <v>837</v>
      </c>
      <c r="C844">
        <v>382</v>
      </c>
      <c r="D844" t="s">
        <v>10008</v>
      </c>
      <c r="E844" t="s">
        <v>128</v>
      </c>
      <c r="F844" t="s">
        <v>972</v>
      </c>
      <c r="G844" t="s">
        <v>10009</v>
      </c>
      <c r="H844">
        <v>17.5</v>
      </c>
      <c r="I844">
        <v>0</v>
      </c>
      <c r="J844">
        <v>0</v>
      </c>
      <c r="K844">
        <v>0</v>
      </c>
      <c r="L844">
        <v>7</v>
      </c>
      <c r="O844">
        <v>7</v>
      </c>
      <c r="P844">
        <v>4</v>
      </c>
      <c r="Q844">
        <v>0</v>
      </c>
      <c r="R844">
        <v>28.5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H844">
        <v>28.5</v>
      </c>
    </row>
    <row r="845" spans="1:34" x14ac:dyDescent="0.3">
      <c r="A845" s="4">
        <v>862</v>
      </c>
      <c r="B845" s="5">
        <v>838</v>
      </c>
      <c r="C845">
        <v>2376</v>
      </c>
      <c r="D845" t="s">
        <v>10010</v>
      </c>
      <c r="E845" t="s">
        <v>167</v>
      </c>
      <c r="F845" t="s">
        <v>310</v>
      </c>
      <c r="G845" t="s">
        <v>10011</v>
      </c>
      <c r="H845">
        <v>12.5</v>
      </c>
      <c r="I845">
        <v>0</v>
      </c>
      <c r="J845">
        <v>0</v>
      </c>
      <c r="K845">
        <v>0</v>
      </c>
      <c r="L845">
        <v>7</v>
      </c>
      <c r="N845">
        <v>3</v>
      </c>
      <c r="O845">
        <v>10</v>
      </c>
      <c r="P845">
        <v>4</v>
      </c>
      <c r="Q845">
        <v>2</v>
      </c>
      <c r="R845">
        <v>28.5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 t="s">
        <v>130</v>
      </c>
      <c r="AH845">
        <v>28.5</v>
      </c>
    </row>
    <row r="846" spans="1:34" x14ac:dyDescent="0.3">
      <c r="A846" s="4">
        <v>863</v>
      </c>
      <c r="B846" s="5">
        <v>839</v>
      </c>
      <c r="C846">
        <v>9038</v>
      </c>
      <c r="D846" t="s">
        <v>10012</v>
      </c>
      <c r="E846" t="s">
        <v>10013</v>
      </c>
      <c r="F846" t="s">
        <v>7870</v>
      </c>
      <c r="G846" t="s">
        <v>10014</v>
      </c>
      <c r="H846">
        <v>12.5</v>
      </c>
      <c r="I846">
        <v>0</v>
      </c>
      <c r="J846">
        <v>0</v>
      </c>
      <c r="K846">
        <v>0</v>
      </c>
      <c r="L846">
        <v>7</v>
      </c>
      <c r="N846">
        <v>3</v>
      </c>
      <c r="O846">
        <v>10</v>
      </c>
      <c r="P846">
        <v>4</v>
      </c>
      <c r="Q846">
        <v>2</v>
      </c>
      <c r="R846">
        <v>28.5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H846">
        <v>28.5</v>
      </c>
    </row>
    <row r="847" spans="1:34" x14ac:dyDescent="0.3">
      <c r="A847" s="4">
        <v>864</v>
      </c>
      <c r="B847" s="5">
        <v>840</v>
      </c>
      <c r="C847">
        <v>14377</v>
      </c>
      <c r="D847" t="s">
        <v>609</v>
      </c>
      <c r="E847" t="s">
        <v>173</v>
      </c>
      <c r="F847" t="s">
        <v>1748</v>
      </c>
      <c r="G847">
        <v>883441</v>
      </c>
      <c r="H847">
        <v>20.48</v>
      </c>
      <c r="I847">
        <v>0</v>
      </c>
      <c r="J847">
        <v>0</v>
      </c>
      <c r="K847">
        <v>0</v>
      </c>
      <c r="N847">
        <v>3</v>
      </c>
      <c r="O847">
        <v>3</v>
      </c>
      <c r="P847">
        <v>0</v>
      </c>
      <c r="Q847">
        <v>0</v>
      </c>
      <c r="R847">
        <v>23.48</v>
      </c>
      <c r="S847">
        <v>2</v>
      </c>
      <c r="T847">
        <v>2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2</v>
      </c>
      <c r="AB847">
        <v>3</v>
      </c>
      <c r="AC847">
        <v>0</v>
      </c>
      <c r="AD847" t="s">
        <v>130</v>
      </c>
      <c r="AH847">
        <v>28.48</v>
      </c>
    </row>
    <row r="848" spans="1:34" x14ac:dyDescent="0.3">
      <c r="A848" s="4">
        <v>865</v>
      </c>
      <c r="B848" s="5">
        <v>841</v>
      </c>
      <c r="C848">
        <v>2091</v>
      </c>
      <c r="D848" t="s">
        <v>7356</v>
      </c>
      <c r="E848" t="s">
        <v>29</v>
      </c>
      <c r="F848" t="s">
        <v>81</v>
      </c>
      <c r="G848" t="s">
        <v>10015</v>
      </c>
      <c r="H848">
        <v>18.45</v>
      </c>
      <c r="I848">
        <v>0</v>
      </c>
      <c r="J848">
        <v>0</v>
      </c>
      <c r="K848">
        <v>0</v>
      </c>
      <c r="O848">
        <v>0</v>
      </c>
      <c r="P848">
        <v>4</v>
      </c>
      <c r="Q848">
        <v>0</v>
      </c>
      <c r="R848">
        <v>22.45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6</v>
      </c>
      <c r="AC848">
        <v>0</v>
      </c>
      <c r="AE848" t="s">
        <v>130</v>
      </c>
      <c r="AH848">
        <v>28.45</v>
      </c>
    </row>
    <row r="849" spans="1:34" x14ac:dyDescent="0.3">
      <c r="A849" s="4">
        <v>866</v>
      </c>
      <c r="B849" s="5">
        <v>842</v>
      </c>
      <c r="C849">
        <v>7511</v>
      </c>
      <c r="D849" t="s">
        <v>8796</v>
      </c>
      <c r="E849" t="s">
        <v>594</v>
      </c>
      <c r="F849" t="s">
        <v>343</v>
      </c>
      <c r="G849" t="s">
        <v>10016</v>
      </c>
      <c r="H849">
        <v>17.399999999999999</v>
      </c>
      <c r="I849">
        <v>0</v>
      </c>
      <c r="J849">
        <v>0</v>
      </c>
      <c r="K849">
        <v>0</v>
      </c>
      <c r="L849">
        <v>7</v>
      </c>
      <c r="O849">
        <v>7</v>
      </c>
      <c r="P849">
        <v>4</v>
      </c>
      <c r="Q849">
        <v>0</v>
      </c>
      <c r="R849">
        <v>28.4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H849">
        <v>28.4</v>
      </c>
    </row>
    <row r="850" spans="1:34" x14ac:dyDescent="0.3">
      <c r="A850" s="4">
        <v>867</v>
      </c>
      <c r="B850" s="5">
        <v>843</v>
      </c>
      <c r="C850">
        <v>5796</v>
      </c>
      <c r="D850" t="s">
        <v>10017</v>
      </c>
      <c r="E850" t="s">
        <v>3680</v>
      </c>
      <c r="F850" t="s">
        <v>20</v>
      </c>
      <c r="G850" t="s">
        <v>10018</v>
      </c>
      <c r="H850">
        <v>19.38</v>
      </c>
      <c r="I850">
        <v>0</v>
      </c>
      <c r="J850">
        <v>0</v>
      </c>
      <c r="K850">
        <v>0</v>
      </c>
      <c r="L850">
        <v>7</v>
      </c>
      <c r="O850">
        <v>7</v>
      </c>
      <c r="P850">
        <v>0</v>
      </c>
      <c r="Q850">
        <v>2</v>
      </c>
      <c r="R850">
        <v>28.38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H850">
        <v>28.38</v>
      </c>
    </row>
    <row r="851" spans="1:34" x14ac:dyDescent="0.3">
      <c r="A851" s="4">
        <v>868</v>
      </c>
      <c r="B851" s="5">
        <v>844</v>
      </c>
      <c r="C851">
        <v>15683</v>
      </c>
      <c r="D851" t="s">
        <v>1636</v>
      </c>
      <c r="E851" t="s">
        <v>182</v>
      </c>
      <c r="F851" t="s">
        <v>68</v>
      </c>
      <c r="G851" t="s">
        <v>10019</v>
      </c>
      <c r="H851">
        <v>21.3</v>
      </c>
      <c r="I851">
        <v>0</v>
      </c>
      <c r="J851">
        <v>0</v>
      </c>
      <c r="K851">
        <v>0</v>
      </c>
      <c r="N851">
        <v>3</v>
      </c>
      <c r="O851">
        <v>3</v>
      </c>
      <c r="P851">
        <v>4</v>
      </c>
      <c r="Q851">
        <v>0</v>
      </c>
      <c r="R851">
        <v>28.3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H851">
        <v>28.3</v>
      </c>
    </row>
    <row r="852" spans="1:34" x14ac:dyDescent="0.3">
      <c r="A852" s="4">
        <v>869</v>
      </c>
      <c r="B852" s="5">
        <v>845</v>
      </c>
      <c r="C852">
        <v>12627</v>
      </c>
      <c r="D852" t="s">
        <v>10020</v>
      </c>
      <c r="E852" t="s">
        <v>10021</v>
      </c>
      <c r="F852" t="s">
        <v>626</v>
      </c>
      <c r="G852" t="s">
        <v>10022</v>
      </c>
      <c r="H852">
        <v>17.3</v>
      </c>
      <c r="I852">
        <v>0</v>
      </c>
      <c r="J852">
        <v>0</v>
      </c>
      <c r="K852">
        <v>0</v>
      </c>
      <c r="L852">
        <v>7</v>
      </c>
      <c r="O852">
        <v>7</v>
      </c>
      <c r="P852">
        <v>4</v>
      </c>
      <c r="Q852">
        <v>0</v>
      </c>
      <c r="R852">
        <v>28.3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H852">
        <v>28.3</v>
      </c>
    </row>
    <row r="853" spans="1:34" x14ac:dyDescent="0.3">
      <c r="A853" s="4">
        <v>870</v>
      </c>
      <c r="B853" s="5">
        <v>846</v>
      </c>
      <c r="C853">
        <v>14577</v>
      </c>
      <c r="D853" t="s">
        <v>10023</v>
      </c>
      <c r="E853" t="s">
        <v>136</v>
      </c>
      <c r="F853" t="s">
        <v>343</v>
      </c>
      <c r="G853" t="s">
        <v>10024</v>
      </c>
      <c r="H853">
        <v>21.28</v>
      </c>
      <c r="I853">
        <v>0</v>
      </c>
      <c r="J853">
        <v>0</v>
      </c>
      <c r="K853">
        <v>0</v>
      </c>
      <c r="N853">
        <v>3</v>
      </c>
      <c r="O853">
        <v>3</v>
      </c>
      <c r="P853">
        <v>4</v>
      </c>
      <c r="Q853">
        <v>0</v>
      </c>
      <c r="R853">
        <v>28.28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H853">
        <v>28.28</v>
      </c>
    </row>
    <row r="854" spans="1:34" x14ac:dyDescent="0.3">
      <c r="A854" s="4">
        <v>871</v>
      </c>
      <c r="B854" s="5">
        <v>847</v>
      </c>
      <c r="C854">
        <v>13652</v>
      </c>
      <c r="D854" t="s">
        <v>6340</v>
      </c>
      <c r="E854" t="s">
        <v>29</v>
      </c>
      <c r="F854" t="s">
        <v>158</v>
      </c>
      <c r="G854" t="s">
        <v>10025</v>
      </c>
      <c r="H854">
        <v>16.25</v>
      </c>
      <c r="I854">
        <v>0</v>
      </c>
      <c r="J854">
        <v>0</v>
      </c>
      <c r="K854">
        <v>0</v>
      </c>
      <c r="N854">
        <v>3</v>
      </c>
      <c r="O854">
        <v>3</v>
      </c>
      <c r="P854">
        <v>4</v>
      </c>
      <c r="Q854">
        <v>2</v>
      </c>
      <c r="R854">
        <v>25.25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3</v>
      </c>
      <c r="AC854">
        <v>0</v>
      </c>
      <c r="AH854">
        <v>28.25</v>
      </c>
    </row>
    <row r="855" spans="1:34" x14ac:dyDescent="0.3">
      <c r="A855" s="4">
        <v>872</v>
      </c>
      <c r="B855" s="5">
        <v>848</v>
      </c>
      <c r="C855">
        <v>10667</v>
      </c>
      <c r="D855" t="s">
        <v>1604</v>
      </c>
      <c r="E855" t="s">
        <v>380</v>
      </c>
      <c r="F855" t="s">
        <v>91</v>
      </c>
      <c r="G855" t="s">
        <v>10026</v>
      </c>
      <c r="H855">
        <v>19.25</v>
      </c>
      <c r="I855">
        <v>0</v>
      </c>
      <c r="J855">
        <v>0</v>
      </c>
      <c r="K855">
        <v>0</v>
      </c>
      <c r="N855">
        <v>3</v>
      </c>
      <c r="O855">
        <v>3</v>
      </c>
      <c r="P855">
        <v>4</v>
      </c>
      <c r="Q855">
        <v>2</v>
      </c>
      <c r="R855">
        <v>28.25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H855">
        <v>28.25</v>
      </c>
    </row>
    <row r="856" spans="1:34" x14ac:dyDescent="0.3">
      <c r="A856" s="4">
        <v>873</v>
      </c>
      <c r="B856" s="5">
        <v>849</v>
      </c>
      <c r="C856">
        <v>14229</v>
      </c>
      <c r="D856" t="s">
        <v>5911</v>
      </c>
      <c r="E856" t="s">
        <v>26</v>
      </c>
      <c r="F856" t="s">
        <v>81</v>
      </c>
      <c r="G856" t="s">
        <v>10027</v>
      </c>
      <c r="H856">
        <v>19.2</v>
      </c>
      <c r="I856">
        <v>0</v>
      </c>
      <c r="J856">
        <v>0</v>
      </c>
      <c r="K856">
        <v>0</v>
      </c>
      <c r="N856">
        <v>3</v>
      </c>
      <c r="O856">
        <v>3</v>
      </c>
      <c r="P856">
        <v>4</v>
      </c>
      <c r="Q856">
        <v>2</v>
      </c>
      <c r="R856">
        <v>28.2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H856">
        <v>28.2</v>
      </c>
    </row>
    <row r="857" spans="1:34" x14ac:dyDescent="0.3">
      <c r="A857" s="4">
        <v>874</v>
      </c>
      <c r="B857" s="5">
        <v>850</v>
      </c>
      <c r="C857">
        <v>15331</v>
      </c>
      <c r="D857" t="s">
        <v>10028</v>
      </c>
      <c r="E857" t="s">
        <v>161</v>
      </c>
      <c r="F857" t="s">
        <v>30</v>
      </c>
      <c r="G857" t="s">
        <v>10029</v>
      </c>
      <c r="H857">
        <v>18.2</v>
      </c>
      <c r="I857">
        <v>0</v>
      </c>
      <c r="J857">
        <v>0</v>
      </c>
      <c r="K857">
        <v>0</v>
      </c>
      <c r="N857">
        <v>6</v>
      </c>
      <c r="O857">
        <v>6</v>
      </c>
      <c r="P857">
        <v>4</v>
      </c>
      <c r="Q857">
        <v>0</v>
      </c>
      <c r="R857">
        <v>28.2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H857">
        <v>28.2</v>
      </c>
    </row>
    <row r="858" spans="1:34" x14ac:dyDescent="0.3">
      <c r="A858" s="4">
        <v>875</v>
      </c>
      <c r="B858" s="5">
        <v>851</v>
      </c>
      <c r="C858">
        <v>10944</v>
      </c>
      <c r="D858" t="s">
        <v>10030</v>
      </c>
      <c r="E858" t="s">
        <v>258</v>
      </c>
      <c r="F858" t="s">
        <v>442</v>
      </c>
      <c r="G858" t="s">
        <v>10031</v>
      </c>
      <c r="H858">
        <v>19.149999999999999</v>
      </c>
      <c r="I858">
        <v>0</v>
      </c>
      <c r="J858">
        <v>0</v>
      </c>
      <c r="K858">
        <v>0</v>
      </c>
      <c r="N858">
        <v>3</v>
      </c>
      <c r="O858">
        <v>3</v>
      </c>
      <c r="P858">
        <v>4</v>
      </c>
      <c r="Q858">
        <v>2</v>
      </c>
      <c r="R858">
        <v>28.15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H858">
        <v>28.15</v>
      </c>
    </row>
    <row r="859" spans="1:34" x14ac:dyDescent="0.3">
      <c r="A859" s="4">
        <v>876</v>
      </c>
      <c r="B859" s="5">
        <v>852</v>
      </c>
      <c r="C859">
        <v>10618</v>
      </c>
      <c r="D859" t="s">
        <v>1923</v>
      </c>
      <c r="E859" t="s">
        <v>166</v>
      </c>
      <c r="F859" t="s">
        <v>375</v>
      </c>
      <c r="G859" t="s">
        <v>10032</v>
      </c>
      <c r="H859">
        <v>21.13</v>
      </c>
      <c r="I859">
        <v>0</v>
      </c>
      <c r="J859">
        <v>0</v>
      </c>
      <c r="K859">
        <v>0</v>
      </c>
      <c r="N859">
        <v>3</v>
      </c>
      <c r="O859">
        <v>3</v>
      </c>
      <c r="P859">
        <v>4</v>
      </c>
      <c r="Q859">
        <v>0</v>
      </c>
      <c r="R859">
        <v>28.13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H859">
        <v>28.13</v>
      </c>
    </row>
    <row r="860" spans="1:34" x14ac:dyDescent="0.3">
      <c r="A860" s="4">
        <v>877</v>
      </c>
      <c r="B860" s="5">
        <v>853</v>
      </c>
      <c r="C860">
        <v>2032</v>
      </c>
      <c r="D860" t="s">
        <v>10033</v>
      </c>
      <c r="E860" t="s">
        <v>789</v>
      </c>
      <c r="F860" t="s">
        <v>136</v>
      </c>
      <c r="G860" t="s">
        <v>10034</v>
      </c>
      <c r="H860">
        <v>17.100000000000001</v>
      </c>
      <c r="I860">
        <v>0</v>
      </c>
      <c r="J860">
        <v>0</v>
      </c>
      <c r="K860">
        <v>0</v>
      </c>
      <c r="L860">
        <v>7</v>
      </c>
      <c r="O860">
        <v>7</v>
      </c>
      <c r="P860">
        <v>4</v>
      </c>
      <c r="Q860">
        <v>0</v>
      </c>
      <c r="R860">
        <v>28.1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H860">
        <v>28.1</v>
      </c>
    </row>
    <row r="861" spans="1:34" x14ac:dyDescent="0.3">
      <c r="A861" s="4">
        <v>878</v>
      </c>
      <c r="B861" s="5">
        <v>854</v>
      </c>
      <c r="C861">
        <v>7034</v>
      </c>
      <c r="D861" t="s">
        <v>10035</v>
      </c>
      <c r="E861" t="s">
        <v>1652</v>
      </c>
      <c r="F861" t="s">
        <v>328</v>
      </c>
      <c r="G861" t="s">
        <v>10036</v>
      </c>
      <c r="H861">
        <v>17.100000000000001</v>
      </c>
      <c r="I861">
        <v>7</v>
      </c>
      <c r="J861">
        <v>0</v>
      </c>
      <c r="K861">
        <v>0</v>
      </c>
      <c r="O861">
        <v>0</v>
      </c>
      <c r="P861">
        <v>4</v>
      </c>
      <c r="Q861">
        <v>0</v>
      </c>
      <c r="R861">
        <v>28.1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H861">
        <v>28.1</v>
      </c>
    </row>
    <row r="862" spans="1:34" x14ac:dyDescent="0.3">
      <c r="A862" s="4">
        <v>879</v>
      </c>
      <c r="B862" s="5">
        <v>855</v>
      </c>
      <c r="C862">
        <v>896</v>
      </c>
      <c r="D862" t="s">
        <v>10037</v>
      </c>
      <c r="E862" t="s">
        <v>149</v>
      </c>
      <c r="F862" t="s">
        <v>227</v>
      </c>
      <c r="G862" t="s">
        <v>10038</v>
      </c>
      <c r="H862">
        <v>19.079999999999998</v>
      </c>
      <c r="I862">
        <v>0</v>
      </c>
      <c r="J862">
        <v>0</v>
      </c>
      <c r="K862">
        <v>0</v>
      </c>
      <c r="N862">
        <v>3</v>
      </c>
      <c r="O862">
        <v>3</v>
      </c>
      <c r="P862">
        <v>4</v>
      </c>
      <c r="Q862">
        <v>2</v>
      </c>
      <c r="R862">
        <v>28.08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H862">
        <v>28.08</v>
      </c>
    </row>
    <row r="863" spans="1:34" x14ac:dyDescent="0.3">
      <c r="A863" s="4">
        <v>880</v>
      </c>
      <c r="B863" s="5">
        <v>856</v>
      </c>
      <c r="C863">
        <v>5835</v>
      </c>
      <c r="D863" t="s">
        <v>10039</v>
      </c>
      <c r="E863" t="s">
        <v>136</v>
      </c>
      <c r="F863" t="s">
        <v>10040</v>
      </c>
      <c r="G863" t="s">
        <v>10041</v>
      </c>
      <c r="H863">
        <v>17.079999999999998</v>
      </c>
      <c r="I863">
        <v>0</v>
      </c>
      <c r="J863">
        <v>0</v>
      </c>
      <c r="K863">
        <v>0</v>
      </c>
      <c r="M863">
        <v>5</v>
      </c>
      <c r="O863">
        <v>5</v>
      </c>
      <c r="P863">
        <v>4</v>
      </c>
      <c r="Q863">
        <v>2</v>
      </c>
      <c r="R863">
        <v>28.08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H863">
        <v>28.08</v>
      </c>
    </row>
    <row r="864" spans="1:34" x14ac:dyDescent="0.3">
      <c r="A864" s="4">
        <v>881</v>
      </c>
      <c r="B864" s="5">
        <v>857</v>
      </c>
      <c r="C864">
        <v>10382</v>
      </c>
      <c r="D864" t="s">
        <v>10042</v>
      </c>
      <c r="E864" t="s">
        <v>132</v>
      </c>
      <c r="F864" t="s">
        <v>10043</v>
      </c>
      <c r="G864" t="s">
        <v>10044</v>
      </c>
      <c r="H864">
        <v>21.05</v>
      </c>
      <c r="I864">
        <v>0</v>
      </c>
      <c r="J864">
        <v>0</v>
      </c>
      <c r="K864">
        <v>0</v>
      </c>
      <c r="N864">
        <v>3</v>
      </c>
      <c r="O864">
        <v>3</v>
      </c>
      <c r="P864">
        <v>4</v>
      </c>
      <c r="Q864">
        <v>0</v>
      </c>
      <c r="R864">
        <v>28.05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H864">
        <v>28.05</v>
      </c>
    </row>
    <row r="865" spans="1:34" x14ac:dyDescent="0.3">
      <c r="A865" s="4">
        <v>882</v>
      </c>
      <c r="B865" s="5">
        <v>858</v>
      </c>
      <c r="C865">
        <v>11790</v>
      </c>
      <c r="D865" t="s">
        <v>10045</v>
      </c>
      <c r="E865" t="s">
        <v>26</v>
      </c>
      <c r="F865" t="s">
        <v>1090</v>
      </c>
      <c r="G865" t="s">
        <v>10046</v>
      </c>
      <c r="H865">
        <v>18.03</v>
      </c>
      <c r="I865">
        <v>0</v>
      </c>
      <c r="J865">
        <v>0</v>
      </c>
      <c r="K865">
        <v>0</v>
      </c>
      <c r="N865">
        <v>3</v>
      </c>
      <c r="O865">
        <v>3</v>
      </c>
      <c r="P865">
        <v>4</v>
      </c>
      <c r="Q865">
        <v>0</v>
      </c>
      <c r="R865">
        <v>25.03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3</v>
      </c>
      <c r="AC865">
        <v>0</v>
      </c>
      <c r="AH865">
        <v>28.03</v>
      </c>
    </row>
    <row r="866" spans="1:34" x14ac:dyDescent="0.3">
      <c r="A866" s="4">
        <v>883</v>
      </c>
      <c r="B866" s="5">
        <v>859</v>
      </c>
      <c r="C866">
        <v>14271</v>
      </c>
      <c r="D866" t="s">
        <v>10047</v>
      </c>
      <c r="E866" t="s">
        <v>4935</v>
      </c>
      <c r="F866" t="s">
        <v>30</v>
      </c>
      <c r="G866" t="s">
        <v>10048</v>
      </c>
      <c r="H866">
        <v>19.03</v>
      </c>
      <c r="I866">
        <v>0</v>
      </c>
      <c r="J866">
        <v>0</v>
      </c>
      <c r="K866">
        <v>0</v>
      </c>
      <c r="N866">
        <v>3</v>
      </c>
      <c r="O866">
        <v>3</v>
      </c>
      <c r="P866">
        <v>4</v>
      </c>
      <c r="Q866">
        <v>2</v>
      </c>
      <c r="R866">
        <v>28.03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H866">
        <v>28.03</v>
      </c>
    </row>
    <row r="867" spans="1:34" x14ac:dyDescent="0.3">
      <c r="A867" s="4">
        <v>884</v>
      </c>
      <c r="B867" s="5">
        <v>860</v>
      </c>
      <c r="C867">
        <v>9493</v>
      </c>
      <c r="D867" t="s">
        <v>4908</v>
      </c>
      <c r="E867" t="s">
        <v>147</v>
      </c>
      <c r="F867" t="s">
        <v>10049</v>
      </c>
      <c r="G867" t="s">
        <v>10050</v>
      </c>
      <c r="H867">
        <v>19.03</v>
      </c>
      <c r="I867">
        <v>0</v>
      </c>
      <c r="J867">
        <v>0</v>
      </c>
      <c r="K867">
        <v>0</v>
      </c>
      <c r="N867">
        <v>3</v>
      </c>
      <c r="O867">
        <v>3</v>
      </c>
      <c r="P867">
        <v>4</v>
      </c>
      <c r="Q867">
        <v>2</v>
      </c>
      <c r="R867">
        <v>28.03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H867">
        <v>28.03</v>
      </c>
    </row>
    <row r="868" spans="1:34" x14ac:dyDescent="0.3">
      <c r="A868" s="4">
        <v>885</v>
      </c>
      <c r="B868" s="5">
        <v>861</v>
      </c>
      <c r="C868">
        <v>11239</v>
      </c>
      <c r="D868" t="s">
        <v>10051</v>
      </c>
      <c r="E868" t="s">
        <v>41</v>
      </c>
      <c r="F868" t="s">
        <v>81</v>
      </c>
      <c r="G868" t="s">
        <v>10052</v>
      </c>
      <c r="H868">
        <v>17.03</v>
      </c>
      <c r="I868">
        <v>0</v>
      </c>
      <c r="J868">
        <v>0</v>
      </c>
      <c r="K868">
        <v>0</v>
      </c>
      <c r="M868">
        <v>5</v>
      </c>
      <c r="O868">
        <v>5</v>
      </c>
      <c r="P868">
        <v>4</v>
      </c>
      <c r="Q868">
        <v>2</v>
      </c>
      <c r="R868">
        <v>28.03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H868">
        <v>28.03</v>
      </c>
    </row>
    <row r="869" spans="1:34" x14ac:dyDescent="0.3">
      <c r="A869" s="4">
        <v>886</v>
      </c>
      <c r="B869" s="5">
        <v>862</v>
      </c>
      <c r="C869">
        <v>2512</v>
      </c>
      <c r="D869" t="s">
        <v>10053</v>
      </c>
      <c r="E869" t="s">
        <v>2792</v>
      </c>
      <c r="F869" t="s">
        <v>10054</v>
      </c>
      <c r="G869" t="s">
        <v>10055</v>
      </c>
      <c r="H869">
        <v>17.95</v>
      </c>
      <c r="I869">
        <v>0</v>
      </c>
      <c r="J869">
        <v>0</v>
      </c>
      <c r="K869">
        <v>0</v>
      </c>
      <c r="L869">
        <v>7</v>
      </c>
      <c r="O869">
        <v>7</v>
      </c>
      <c r="P869">
        <v>0</v>
      </c>
      <c r="Q869">
        <v>0</v>
      </c>
      <c r="R869">
        <v>24.95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3</v>
      </c>
      <c r="AC869">
        <v>0</v>
      </c>
      <c r="AH869">
        <v>27.95</v>
      </c>
    </row>
    <row r="870" spans="1:34" x14ac:dyDescent="0.3">
      <c r="A870" s="4">
        <v>887</v>
      </c>
      <c r="B870" s="5">
        <v>863</v>
      </c>
      <c r="C870">
        <v>6311</v>
      </c>
      <c r="D870" t="s">
        <v>10056</v>
      </c>
      <c r="E870" t="s">
        <v>3120</v>
      </c>
      <c r="F870" t="s">
        <v>2370</v>
      </c>
      <c r="G870" t="s">
        <v>10057</v>
      </c>
      <c r="H870">
        <v>20.95</v>
      </c>
      <c r="I870">
        <v>0</v>
      </c>
      <c r="J870">
        <v>0</v>
      </c>
      <c r="K870">
        <v>0</v>
      </c>
      <c r="N870">
        <v>3</v>
      </c>
      <c r="O870">
        <v>3</v>
      </c>
      <c r="P870">
        <v>4</v>
      </c>
      <c r="Q870">
        <v>0</v>
      </c>
      <c r="R870">
        <v>27.95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H870">
        <v>27.95</v>
      </c>
    </row>
    <row r="871" spans="1:34" x14ac:dyDescent="0.3">
      <c r="A871" s="4">
        <v>888</v>
      </c>
      <c r="B871" s="5">
        <v>864</v>
      </c>
      <c r="C871">
        <v>3770</v>
      </c>
      <c r="D871" t="s">
        <v>3091</v>
      </c>
      <c r="E871" t="s">
        <v>400</v>
      </c>
      <c r="F871" t="s">
        <v>227</v>
      </c>
      <c r="G871" t="s">
        <v>10058</v>
      </c>
      <c r="H871">
        <v>18.93</v>
      </c>
      <c r="I871">
        <v>0</v>
      </c>
      <c r="J871">
        <v>0</v>
      </c>
      <c r="K871">
        <v>0</v>
      </c>
      <c r="N871">
        <v>3</v>
      </c>
      <c r="O871">
        <v>3</v>
      </c>
      <c r="P871">
        <v>4</v>
      </c>
      <c r="Q871">
        <v>2</v>
      </c>
      <c r="R871">
        <v>27.93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H871">
        <v>27.93</v>
      </c>
    </row>
    <row r="872" spans="1:34" x14ac:dyDescent="0.3">
      <c r="A872" s="4">
        <v>889</v>
      </c>
      <c r="B872" s="5">
        <v>865</v>
      </c>
      <c r="C872">
        <v>2929</v>
      </c>
      <c r="D872" t="s">
        <v>10059</v>
      </c>
      <c r="E872" t="s">
        <v>213</v>
      </c>
      <c r="F872" t="s">
        <v>310</v>
      </c>
      <c r="G872" t="s">
        <v>10060</v>
      </c>
      <c r="H872">
        <v>16.93</v>
      </c>
      <c r="I872">
        <v>0</v>
      </c>
      <c r="J872">
        <v>0</v>
      </c>
      <c r="K872">
        <v>0</v>
      </c>
      <c r="L872">
        <v>7</v>
      </c>
      <c r="O872">
        <v>7</v>
      </c>
      <c r="P872">
        <v>4</v>
      </c>
      <c r="Q872">
        <v>0</v>
      </c>
      <c r="R872">
        <v>27.93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H872">
        <v>27.93</v>
      </c>
    </row>
    <row r="873" spans="1:34" x14ac:dyDescent="0.3">
      <c r="A873" s="4">
        <v>890</v>
      </c>
      <c r="B873" s="5">
        <v>866</v>
      </c>
      <c r="C873">
        <v>12728</v>
      </c>
      <c r="D873" t="s">
        <v>10061</v>
      </c>
      <c r="E873" t="s">
        <v>740</v>
      </c>
      <c r="F873" t="s">
        <v>4873</v>
      </c>
      <c r="G873" t="s">
        <v>10062</v>
      </c>
      <c r="H873">
        <v>16.899999999999999</v>
      </c>
      <c r="I873">
        <v>0</v>
      </c>
      <c r="J873">
        <v>0</v>
      </c>
      <c r="K873">
        <v>0</v>
      </c>
      <c r="M873">
        <v>5</v>
      </c>
      <c r="O873">
        <v>5</v>
      </c>
      <c r="P873">
        <v>4</v>
      </c>
      <c r="Q873">
        <v>2</v>
      </c>
      <c r="R873">
        <v>27.9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H873">
        <v>27.9</v>
      </c>
    </row>
    <row r="874" spans="1:34" x14ac:dyDescent="0.3">
      <c r="A874" s="4">
        <v>891</v>
      </c>
      <c r="B874" s="5">
        <v>867</v>
      </c>
      <c r="C874">
        <v>8993</v>
      </c>
      <c r="D874" t="s">
        <v>7924</v>
      </c>
      <c r="E874" t="s">
        <v>178</v>
      </c>
      <c r="F874" t="s">
        <v>38</v>
      </c>
      <c r="G874" t="s">
        <v>10063</v>
      </c>
      <c r="H874">
        <v>20.85</v>
      </c>
      <c r="I874">
        <v>0</v>
      </c>
      <c r="J874">
        <v>0</v>
      </c>
      <c r="K874">
        <v>0</v>
      </c>
      <c r="N874">
        <v>3</v>
      </c>
      <c r="O874">
        <v>3</v>
      </c>
      <c r="P874">
        <v>4</v>
      </c>
      <c r="Q874">
        <v>0</v>
      </c>
      <c r="R874">
        <v>27.85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H874">
        <v>27.85</v>
      </c>
    </row>
    <row r="875" spans="1:34" x14ac:dyDescent="0.3">
      <c r="A875" s="4">
        <v>892</v>
      </c>
      <c r="B875" s="5">
        <v>868</v>
      </c>
      <c r="C875">
        <v>6532</v>
      </c>
      <c r="D875" t="s">
        <v>10064</v>
      </c>
      <c r="E875" t="s">
        <v>182</v>
      </c>
      <c r="F875" t="s">
        <v>68</v>
      </c>
      <c r="G875" t="s">
        <v>10065</v>
      </c>
      <c r="H875">
        <v>16.850000000000001</v>
      </c>
      <c r="I875">
        <v>0</v>
      </c>
      <c r="J875">
        <v>0</v>
      </c>
      <c r="K875">
        <v>0</v>
      </c>
      <c r="L875">
        <v>7</v>
      </c>
      <c r="O875">
        <v>7</v>
      </c>
      <c r="P875">
        <v>4</v>
      </c>
      <c r="Q875">
        <v>0</v>
      </c>
      <c r="R875">
        <v>27.85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H875">
        <v>27.85</v>
      </c>
    </row>
    <row r="876" spans="1:34" x14ac:dyDescent="0.3">
      <c r="A876" s="4">
        <v>893</v>
      </c>
      <c r="B876" s="5">
        <v>869</v>
      </c>
      <c r="C876">
        <v>12486</v>
      </c>
      <c r="D876" t="s">
        <v>3741</v>
      </c>
      <c r="E876" t="s">
        <v>255</v>
      </c>
      <c r="F876" t="s">
        <v>587</v>
      </c>
      <c r="G876" t="s">
        <v>10066</v>
      </c>
      <c r="H876">
        <v>18.8</v>
      </c>
      <c r="I876">
        <v>0</v>
      </c>
      <c r="J876">
        <v>0</v>
      </c>
      <c r="K876">
        <v>0</v>
      </c>
      <c r="L876">
        <v>7</v>
      </c>
      <c r="O876">
        <v>7</v>
      </c>
      <c r="P876">
        <v>0</v>
      </c>
      <c r="Q876">
        <v>2</v>
      </c>
      <c r="R876">
        <v>27.8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H876">
        <v>27.8</v>
      </c>
    </row>
    <row r="877" spans="1:34" x14ac:dyDescent="0.3">
      <c r="A877" s="4">
        <v>894</v>
      </c>
      <c r="B877" s="5">
        <v>870</v>
      </c>
      <c r="C877">
        <v>5780</v>
      </c>
      <c r="D877" t="s">
        <v>1920</v>
      </c>
      <c r="E877" t="s">
        <v>10067</v>
      </c>
      <c r="F877" t="s">
        <v>20</v>
      </c>
      <c r="G877" t="s">
        <v>10068</v>
      </c>
      <c r="H877">
        <v>18.75</v>
      </c>
      <c r="I877">
        <v>0</v>
      </c>
      <c r="J877">
        <v>0</v>
      </c>
      <c r="K877">
        <v>0</v>
      </c>
      <c r="O877">
        <v>0</v>
      </c>
      <c r="P877">
        <v>4</v>
      </c>
      <c r="Q877">
        <v>2</v>
      </c>
      <c r="R877">
        <v>24.75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3</v>
      </c>
      <c r="AC877">
        <v>0</v>
      </c>
      <c r="AH877">
        <v>27.75</v>
      </c>
    </row>
    <row r="878" spans="1:34" x14ac:dyDescent="0.3">
      <c r="A878" s="4">
        <v>895</v>
      </c>
      <c r="B878" s="5">
        <v>871</v>
      </c>
      <c r="C878">
        <v>10545</v>
      </c>
      <c r="D878" t="s">
        <v>10069</v>
      </c>
      <c r="E878" t="s">
        <v>100</v>
      </c>
      <c r="F878" t="s">
        <v>136</v>
      </c>
      <c r="G878" t="s">
        <v>10070</v>
      </c>
      <c r="H878">
        <v>18.7</v>
      </c>
      <c r="I878">
        <v>0</v>
      </c>
      <c r="J878">
        <v>0</v>
      </c>
      <c r="K878">
        <v>0</v>
      </c>
      <c r="N878">
        <v>3</v>
      </c>
      <c r="O878">
        <v>3</v>
      </c>
      <c r="P878">
        <v>4</v>
      </c>
      <c r="Q878">
        <v>2</v>
      </c>
      <c r="R878">
        <v>27.7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H878">
        <v>27.7</v>
      </c>
    </row>
    <row r="879" spans="1:34" x14ac:dyDescent="0.3">
      <c r="A879" s="4">
        <v>896</v>
      </c>
      <c r="B879" s="5">
        <v>872</v>
      </c>
      <c r="C879">
        <v>6483</v>
      </c>
      <c r="D879" t="s">
        <v>10071</v>
      </c>
      <c r="E879" t="s">
        <v>1474</v>
      </c>
      <c r="F879" t="s">
        <v>442</v>
      </c>
      <c r="G879" t="s">
        <v>10072</v>
      </c>
      <c r="H879">
        <v>21.68</v>
      </c>
      <c r="I879">
        <v>0</v>
      </c>
      <c r="J879">
        <v>0</v>
      </c>
      <c r="K879">
        <v>0</v>
      </c>
      <c r="N879">
        <v>3</v>
      </c>
      <c r="O879">
        <v>3</v>
      </c>
      <c r="P879">
        <v>0</v>
      </c>
      <c r="Q879">
        <v>0</v>
      </c>
      <c r="R879">
        <v>24.68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3</v>
      </c>
      <c r="AC879">
        <v>0</v>
      </c>
      <c r="AH879">
        <v>27.68</v>
      </c>
    </row>
    <row r="880" spans="1:34" x14ac:dyDescent="0.3">
      <c r="A880" s="4">
        <v>897</v>
      </c>
      <c r="B880" s="5">
        <v>873</v>
      </c>
      <c r="C880">
        <v>3788</v>
      </c>
      <c r="D880" t="s">
        <v>2791</v>
      </c>
      <c r="E880" t="s">
        <v>41</v>
      </c>
      <c r="F880" t="s">
        <v>171</v>
      </c>
      <c r="G880" t="s">
        <v>10073</v>
      </c>
      <c r="H880">
        <v>17.68</v>
      </c>
      <c r="I880">
        <v>0</v>
      </c>
      <c r="J880">
        <v>0</v>
      </c>
      <c r="K880">
        <v>0</v>
      </c>
      <c r="L880">
        <v>7</v>
      </c>
      <c r="N880">
        <v>3</v>
      </c>
      <c r="O880">
        <v>10</v>
      </c>
      <c r="P880">
        <v>0</v>
      </c>
      <c r="Q880">
        <v>0</v>
      </c>
      <c r="R880">
        <v>27.68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H880">
        <v>27.68</v>
      </c>
    </row>
    <row r="881" spans="1:34" x14ac:dyDescent="0.3">
      <c r="A881" s="4">
        <v>898</v>
      </c>
      <c r="B881" s="5">
        <v>874</v>
      </c>
      <c r="C881">
        <v>13055</v>
      </c>
      <c r="D881" t="s">
        <v>10074</v>
      </c>
      <c r="E881" t="s">
        <v>26</v>
      </c>
      <c r="F881" t="s">
        <v>62</v>
      </c>
      <c r="G881" t="s">
        <v>10075</v>
      </c>
      <c r="H881">
        <v>21.6</v>
      </c>
      <c r="I881">
        <v>0</v>
      </c>
      <c r="J881">
        <v>0</v>
      </c>
      <c r="K881">
        <v>0</v>
      </c>
      <c r="N881">
        <v>3</v>
      </c>
      <c r="O881">
        <v>3</v>
      </c>
      <c r="P881">
        <v>0</v>
      </c>
      <c r="Q881">
        <v>0</v>
      </c>
      <c r="R881">
        <v>24.6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3</v>
      </c>
      <c r="AC881">
        <v>0</v>
      </c>
      <c r="AH881">
        <v>27.6</v>
      </c>
    </row>
    <row r="882" spans="1:34" x14ac:dyDescent="0.3">
      <c r="A882" s="4">
        <v>899</v>
      </c>
      <c r="B882" s="5">
        <v>875</v>
      </c>
      <c r="C882">
        <v>451</v>
      </c>
      <c r="D882" t="s">
        <v>1425</v>
      </c>
      <c r="E882" t="s">
        <v>2707</v>
      </c>
      <c r="F882" t="s">
        <v>38</v>
      </c>
      <c r="G882" t="s">
        <v>10076</v>
      </c>
      <c r="H882">
        <v>20.6</v>
      </c>
      <c r="I882">
        <v>0</v>
      </c>
      <c r="J882">
        <v>0</v>
      </c>
      <c r="K882">
        <v>0</v>
      </c>
      <c r="N882">
        <v>3</v>
      </c>
      <c r="O882">
        <v>3</v>
      </c>
      <c r="P882">
        <v>4</v>
      </c>
      <c r="Q882">
        <v>0</v>
      </c>
      <c r="R882">
        <v>27.6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H882">
        <v>27.6</v>
      </c>
    </row>
    <row r="883" spans="1:34" x14ac:dyDescent="0.3">
      <c r="A883" s="4">
        <v>900</v>
      </c>
      <c r="B883" s="5">
        <v>876</v>
      </c>
      <c r="C883">
        <v>1247</v>
      </c>
      <c r="D883" t="s">
        <v>181</v>
      </c>
      <c r="E883" t="s">
        <v>992</v>
      </c>
      <c r="F883" t="s">
        <v>117</v>
      </c>
      <c r="G883" t="s">
        <v>10077</v>
      </c>
      <c r="H883">
        <v>16.600000000000001</v>
      </c>
      <c r="I883">
        <v>0</v>
      </c>
      <c r="J883">
        <v>0</v>
      </c>
      <c r="K883">
        <v>0</v>
      </c>
      <c r="L883">
        <v>7</v>
      </c>
      <c r="O883">
        <v>7</v>
      </c>
      <c r="P883">
        <v>4</v>
      </c>
      <c r="Q883">
        <v>0</v>
      </c>
      <c r="R883">
        <v>27.6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H883">
        <v>27.6</v>
      </c>
    </row>
    <row r="884" spans="1:34" x14ac:dyDescent="0.3">
      <c r="A884" s="4">
        <v>901</v>
      </c>
      <c r="B884" s="5">
        <v>877</v>
      </c>
      <c r="C884">
        <v>15090</v>
      </c>
      <c r="D884" t="s">
        <v>10078</v>
      </c>
      <c r="E884" t="s">
        <v>166</v>
      </c>
      <c r="F884" t="s">
        <v>55</v>
      </c>
      <c r="G884" t="s">
        <v>10079</v>
      </c>
      <c r="H884">
        <v>18.579999999999998</v>
      </c>
      <c r="I884">
        <v>0</v>
      </c>
      <c r="J884">
        <v>0</v>
      </c>
      <c r="K884">
        <v>0</v>
      </c>
      <c r="N884">
        <v>3</v>
      </c>
      <c r="O884">
        <v>3</v>
      </c>
      <c r="P884">
        <v>4</v>
      </c>
      <c r="Q884">
        <v>2</v>
      </c>
      <c r="R884">
        <v>27.58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H884">
        <v>27.58</v>
      </c>
    </row>
    <row r="885" spans="1:34" x14ac:dyDescent="0.3">
      <c r="A885" s="4">
        <v>902</v>
      </c>
      <c r="B885" s="5">
        <v>878</v>
      </c>
      <c r="C885">
        <v>4536</v>
      </c>
      <c r="D885" t="s">
        <v>775</v>
      </c>
      <c r="E885" t="s">
        <v>37</v>
      </c>
      <c r="F885" t="s">
        <v>158</v>
      </c>
      <c r="G885" t="s">
        <v>10080</v>
      </c>
      <c r="H885">
        <v>16.579999999999998</v>
      </c>
      <c r="I885">
        <v>0</v>
      </c>
      <c r="J885">
        <v>0</v>
      </c>
      <c r="K885">
        <v>0</v>
      </c>
      <c r="L885">
        <v>7</v>
      </c>
      <c r="O885">
        <v>7</v>
      </c>
      <c r="P885">
        <v>4</v>
      </c>
      <c r="Q885">
        <v>0</v>
      </c>
      <c r="R885">
        <v>27.58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H885">
        <v>27.58</v>
      </c>
    </row>
    <row r="886" spans="1:34" x14ac:dyDescent="0.3">
      <c r="A886" s="4">
        <v>903</v>
      </c>
      <c r="B886" s="5">
        <v>879</v>
      </c>
      <c r="C886">
        <v>12426</v>
      </c>
      <c r="D886" t="s">
        <v>1791</v>
      </c>
      <c r="E886" t="s">
        <v>170</v>
      </c>
      <c r="F886" t="s">
        <v>750</v>
      </c>
      <c r="G886" t="s">
        <v>1792</v>
      </c>
      <c r="H886">
        <v>18.55</v>
      </c>
      <c r="I886">
        <v>0</v>
      </c>
      <c r="J886">
        <v>0</v>
      </c>
      <c r="K886">
        <v>0</v>
      </c>
      <c r="O886">
        <v>0</v>
      </c>
      <c r="P886">
        <v>4</v>
      </c>
      <c r="Q886">
        <v>2</v>
      </c>
      <c r="R886">
        <v>24.55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3</v>
      </c>
      <c r="AC886">
        <v>0</v>
      </c>
      <c r="AD886" t="s">
        <v>130</v>
      </c>
      <c r="AH886">
        <v>27.55</v>
      </c>
    </row>
    <row r="887" spans="1:34" x14ac:dyDescent="0.3">
      <c r="A887" s="4">
        <v>904</v>
      </c>
      <c r="B887" s="5">
        <v>880</v>
      </c>
      <c r="C887">
        <v>3858</v>
      </c>
      <c r="D887" t="s">
        <v>10081</v>
      </c>
      <c r="E887" t="s">
        <v>1053</v>
      </c>
      <c r="F887" t="s">
        <v>117</v>
      </c>
      <c r="G887" t="s">
        <v>10082</v>
      </c>
      <c r="H887">
        <v>18.55</v>
      </c>
      <c r="I887">
        <v>0</v>
      </c>
      <c r="J887">
        <v>0</v>
      </c>
      <c r="K887">
        <v>0</v>
      </c>
      <c r="N887">
        <v>3</v>
      </c>
      <c r="O887">
        <v>3</v>
      </c>
      <c r="P887">
        <v>4</v>
      </c>
      <c r="Q887">
        <v>2</v>
      </c>
      <c r="R887">
        <v>27.55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H887">
        <v>27.55</v>
      </c>
    </row>
    <row r="888" spans="1:34" x14ac:dyDescent="0.3">
      <c r="A888" s="4">
        <v>905</v>
      </c>
      <c r="B888" s="5">
        <v>881</v>
      </c>
      <c r="C888">
        <v>4318</v>
      </c>
      <c r="D888" t="s">
        <v>6318</v>
      </c>
      <c r="E888" t="s">
        <v>789</v>
      </c>
      <c r="F888" t="s">
        <v>17</v>
      </c>
      <c r="G888" t="s">
        <v>10083</v>
      </c>
      <c r="H888">
        <v>19.53</v>
      </c>
      <c r="I888">
        <v>0</v>
      </c>
      <c r="J888">
        <v>0</v>
      </c>
      <c r="K888">
        <v>0</v>
      </c>
      <c r="N888">
        <v>3</v>
      </c>
      <c r="O888">
        <v>3</v>
      </c>
      <c r="P888">
        <v>0</v>
      </c>
      <c r="Q888">
        <v>2</v>
      </c>
      <c r="R888">
        <v>24.53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3</v>
      </c>
      <c r="AC888">
        <v>0</v>
      </c>
      <c r="AH888">
        <v>27.53</v>
      </c>
    </row>
    <row r="889" spans="1:34" x14ac:dyDescent="0.3">
      <c r="A889" s="4">
        <v>906</v>
      </c>
      <c r="B889" s="5">
        <v>882</v>
      </c>
      <c r="C889">
        <v>8723</v>
      </c>
      <c r="D889" t="s">
        <v>8839</v>
      </c>
      <c r="E889" t="s">
        <v>328</v>
      </c>
      <c r="F889" t="s">
        <v>158</v>
      </c>
      <c r="G889" t="s">
        <v>10084</v>
      </c>
      <c r="H889">
        <v>24.5</v>
      </c>
      <c r="I889">
        <v>0</v>
      </c>
      <c r="J889">
        <v>0</v>
      </c>
      <c r="K889">
        <v>0</v>
      </c>
      <c r="N889">
        <v>3</v>
      </c>
      <c r="O889">
        <v>3</v>
      </c>
      <c r="P889">
        <v>0</v>
      </c>
      <c r="Q889">
        <v>0</v>
      </c>
      <c r="R889">
        <v>27.5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H889">
        <v>27.5</v>
      </c>
    </row>
    <row r="890" spans="1:34" x14ac:dyDescent="0.3">
      <c r="A890" s="4">
        <v>907</v>
      </c>
      <c r="B890" s="5">
        <v>883</v>
      </c>
      <c r="C890">
        <v>2250</v>
      </c>
      <c r="D890" t="s">
        <v>4607</v>
      </c>
      <c r="E890" t="s">
        <v>550</v>
      </c>
      <c r="F890" t="s">
        <v>243</v>
      </c>
      <c r="G890" t="s">
        <v>10085</v>
      </c>
      <c r="H890">
        <v>18.5</v>
      </c>
      <c r="I890">
        <v>0</v>
      </c>
      <c r="J890">
        <v>0</v>
      </c>
      <c r="K890">
        <v>0</v>
      </c>
      <c r="N890">
        <v>3</v>
      </c>
      <c r="O890">
        <v>3</v>
      </c>
      <c r="P890">
        <v>4</v>
      </c>
      <c r="Q890">
        <v>2</v>
      </c>
      <c r="R890">
        <v>27.5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H890">
        <v>27.5</v>
      </c>
    </row>
    <row r="891" spans="1:34" x14ac:dyDescent="0.3">
      <c r="A891" s="4">
        <v>908</v>
      </c>
      <c r="B891" s="5">
        <v>884</v>
      </c>
      <c r="C891">
        <v>4974</v>
      </c>
      <c r="D891" t="s">
        <v>7664</v>
      </c>
      <c r="E891" t="s">
        <v>22</v>
      </c>
      <c r="F891" t="s">
        <v>10086</v>
      </c>
      <c r="G891" t="s">
        <v>10087</v>
      </c>
      <c r="H891">
        <v>18.5</v>
      </c>
      <c r="I891">
        <v>0</v>
      </c>
      <c r="J891">
        <v>0</v>
      </c>
      <c r="K891">
        <v>0</v>
      </c>
      <c r="N891">
        <v>3</v>
      </c>
      <c r="O891">
        <v>3</v>
      </c>
      <c r="P891">
        <v>4</v>
      </c>
      <c r="Q891">
        <v>2</v>
      </c>
      <c r="R891">
        <v>27.5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H891">
        <v>27.5</v>
      </c>
    </row>
    <row r="892" spans="1:34" x14ac:dyDescent="0.3">
      <c r="A892" s="4">
        <v>909</v>
      </c>
      <c r="B892" s="5">
        <v>885</v>
      </c>
      <c r="C892">
        <v>13780</v>
      </c>
      <c r="D892" t="s">
        <v>9868</v>
      </c>
      <c r="E892" t="s">
        <v>6293</v>
      </c>
      <c r="F892" t="s">
        <v>81</v>
      </c>
      <c r="G892" t="s">
        <v>10088</v>
      </c>
      <c r="H892">
        <v>18.5</v>
      </c>
      <c r="I892">
        <v>0</v>
      </c>
      <c r="J892">
        <v>0</v>
      </c>
      <c r="K892">
        <v>0</v>
      </c>
      <c r="L892">
        <v>7</v>
      </c>
      <c r="O892">
        <v>7</v>
      </c>
      <c r="P892">
        <v>0</v>
      </c>
      <c r="Q892">
        <v>2</v>
      </c>
      <c r="R892">
        <v>27.5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H892">
        <v>27.5</v>
      </c>
    </row>
    <row r="893" spans="1:34" x14ac:dyDescent="0.3">
      <c r="A893" s="4">
        <v>910</v>
      </c>
      <c r="B893" s="5">
        <v>886</v>
      </c>
      <c r="C893">
        <v>3262</v>
      </c>
      <c r="D893" t="s">
        <v>10089</v>
      </c>
      <c r="E893" t="s">
        <v>10090</v>
      </c>
      <c r="F893" t="s">
        <v>136</v>
      </c>
      <c r="G893" t="s">
        <v>10091</v>
      </c>
      <c r="H893">
        <v>20.48</v>
      </c>
      <c r="I893">
        <v>0</v>
      </c>
      <c r="J893">
        <v>0</v>
      </c>
      <c r="K893">
        <v>0</v>
      </c>
      <c r="O893">
        <v>0</v>
      </c>
      <c r="P893">
        <v>4</v>
      </c>
      <c r="Q893">
        <v>0</v>
      </c>
      <c r="R893">
        <v>24.48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3</v>
      </c>
      <c r="AC893">
        <v>0</v>
      </c>
      <c r="AH893">
        <v>27.48</v>
      </c>
    </row>
    <row r="894" spans="1:34" x14ac:dyDescent="0.3">
      <c r="A894" s="4">
        <v>911</v>
      </c>
      <c r="B894" s="5">
        <v>887</v>
      </c>
      <c r="C894">
        <v>7517</v>
      </c>
      <c r="D894" t="s">
        <v>10092</v>
      </c>
      <c r="E894" t="s">
        <v>41</v>
      </c>
      <c r="F894" t="s">
        <v>4176</v>
      </c>
      <c r="G894" t="s">
        <v>10093</v>
      </c>
      <c r="H894">
        <v>19.48</v>
      </c>
      <c r="I894">
        <v>0</v>
      </c>
      <c r="J894">
        <v>0</v>
      </c>
      <c r="K894">
        <v>0</v>
      </c>
      <c r="N894">
        <v>3</v>
      </c>
      <c r="O894">
        <v>3</v>
      </c>
      <c r="P894">
        <v>0</v>
      </c>
      <c r="Q894">
        <v>2</v>
      </c>
      <c r="R894">
        <v>24.48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3</v>
      </c>
      <c r="AC894">
        <v>0</v>
      </c>
      <c r="AH894">
        <v>27.48</v>
      </c>
    </row>
    <row r="895" spans="1:34" x14ac:dyDescent="0.3">
      <c r="A895" s="4">
        <v>912</v>
      </c>
      <c r="B895" s="5">
        <v>888</v>
      </c>
      <c r="C895">
        <v>9557</v>
      </c>
      <c r="D895" t="s">
        <v>3819</v>
      </c>
      <c r="E895" t="s">
        <v>173</v>
      </c>
      <c r="F895" t="s">
        <v>375</v>
      </c>
      <c r="G895" t="s">
        <v>10094</v>
      </c>
      <c r="H895">
        <v>18.45</v>
      </c>
      <c r="I895">
        <v>0</v>
      </c>
      <c r="J895">
        <v>0</v>
      </c>
      <c r="K895">
        <v>0</v>
      </c>
      <c r="N895">
        <v>3</v>
      </c>
      <c r="O895">
        <v>3</v>
      </c>
      <c r="P895">
        <v>4</v>
      </c>
      <c r="Q895">
        <v>2</v>
      </c>
      <c r="R895">
        <v>27.45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 t="s">
        <v>130</v>
      </c>
      <c r="AH895">
        <v>27.45</v>
      </c>
    </row>
    <row r="896" spans="1:34" x14ac:dyDescent="0.3">
      <c r="A896" s="4">
        <v>913</v>
      </c>
      <c r="B896" s="5">
        <v>889</v>
      </c>
      <c r="C896">
        <v>6256</v>
      </c>
      <c r="D896" t="s">
        <v>10095</v>
      </c>
      <c r="E896" t="s">
        <v>100</v>
      </c>
      <c r="F896" t="s">
        <v>62</v>
      </c>
      <c r="G896" t="s">
        <v>10096</v>
      </c>
      <c r="H896">
        <v>20.43</v>
      </c>
      <c r="I896">
        <v>0</v>
      </c>
      <c r="J896">
        <v>0</v>
      </c>
      <c r="K896">
        <v>0</v>
      </c>
      <c r="N896">
        <v>3</v>
      </c>
      <c r="O896">
        <v>3</v>
      </c>
      <c r="P896">
        <v>4</v>
      </c>
      <c r="Q896">
        <v>0</v>
      </c>
      <c r="R896">
        <v>27.43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H896">
        <v>27.43</v>
      </c>
    </row>
    <row r="897" spans="1:34" x14ac:dyDescent="0.3">
      <c r="A897" s="4">
        <v>914</v>
      </c>
      <c r="B897" s="5">
        <v>890</v>
      </c>
      <c r="C897">
        <v>9636</v>
      </c>
      <c r="D897" t="s">
        <v>10097</v>
      </c>
      <c r="E897" t="s">
        <v>22</v>
      </c>
      <c r="F897" t="s">
        <v>81</v>
      </c>
      <c r="G897" t="s">
        <v>10098</v>
      </c>
      <c r="H897">
        <v>18.43</v>
      </c>
      <c r="I897">
        <v>0</v>
      </c>
      <c r="J897">
        <v>0</v>
      </c>
      <c r="K897">
        <v>0</v>
      </c>
      <c r="N897">
        <v>3</v>
      </c>
      <c r="O897">
        <v>3</v>
      </c>
      <c r="P897">
        <v>4</v>
      </c>
      <c r="Q897">
        <v>2</v>
      </c>
      <c r="R897">
        <v>27.43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H897">
        <v>27.43</v>
      </c>
    </row>
    <row r="898" spans="1:34" x14ac:dyDescent="0.3">
      <c r="A898" s="4">
        <v>915</v>
      </c>
      <c r="B898" s="5">
        <v>891</v>
      </c>
      <c r="C898">
        <v>12641</v>
      </c>
      <c r="D898" t="s">
        <v>10099</v>
      </c>
      <c r="E898" t="s">
        <v>10100</v>
      </c>
      <c r="F898" t="s">
        <v>10101</v>
      </c>
      <c r="G898" t="s">
        <v>10102</v>
      </c>
      <c r="H898">
        <v>18.38</v>
      </c>
      <c r="I898">
        <v>0</v>
      </c>
      <c r="J898">
        <v>0</v>
      </c>
      <c r="K898">
        <v>0</v>
      </c>
      <c r="N898">
        <v>3</v>
      </c>
      <c r="O898">
        <v>3</v>
      </c>
      <c r="P898">
        <v>4</v>
      </c>
      <c r="Q898">
        <v>2</v>
      </c>
      <c r="R898">
        <v>27.38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 t="s">
        <v>130</v>
      </c>
      <c r="AH898">
        <v>27.38</v>
      </c>
    </row>
    <row r="899" spans="1:34" x14ac:dyDescent="0.3">
      <c r="A899" s="4">
        <v>916</v>
      </c>
      <c r="B899" s="5">
        <v>892</v>
      </c>
      <c r="C899">
        <v>12362</v>
      </c>
      <c r="D899" t="s">
        <v>10103</v>
      </c>
      <c r="E899" t="s">
        <v>4855</v>
      </c>
      <c r="F899" t="s">
        <v>30</v>
      </c>
      <c r="G899" t="s">
        <v>10104</v>
      </c>
      <c r="H899">
        <v>18.38</v>
      </c>
      <c r="I899">
        <v>0</v>
      </c>
      <c r="J899">
        <v>0</v>
      </c>
      <c r="K899">
        <v>0</v>
      </c>
      <c r="M899">
        <v>5</v>
      </c>
      <c r="O899">
        <v>5</v>
      </c>
      <c r="P899">
        <v>4</v>
      </c>
      <c r="Q899">
        <v>0</v>
      </c>
      <c r="R899">
        <v>27.38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H899">
        <v>27.38</v>
      </c>
    </row>
    <row r="900" spans="1:34" x14ac:dyDescent="0.3">
      <c r="A900" s="4">
        <v>917</v>
      </c>
      <c r="B900" s="5">
        <v>893</v>
      </c>
      <c r="C900">
        <v>7764</v>
      </c>
      <c r="D900" t="s">
        <v>3504</v>
      </c>
      <c r="E900" t="s">
        <v>692</v>
      </c>
      <c r="F900" t="s">
        <v>10105</v>
      </c>
      <c r="G900" t="s">
        <v>10106</v>
      </c>
      <c r="H900">
        <v>20.329999999999998</v>
      </c>
      <c r="I900">
        <v>0</v>
      </c>
      <c r="J900">
        <v>0</v>
      </c>
      <c r="K900">
        <v>0</v>
      </c>
      <c r="O900">
        <v>0</v>
      </c>
      <c r="P900">
        <v>4</v>
      </c>
      <c r="Q900">
        <v>0</v>
      </c>
      <c r="R900">
        <v>24.33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3</v>
      </c>
      <c r="AC900">
        <v>0</v>
      </c>
      <c r="AH900">
        <v>27.33</v>
      </c>
    </row>
    <row r="901" spans="1:34" x14ac:dyDescent="0.3">
      <c r="A901" s="4">
        <v>918</v>
      </c>
      <c r="B901" s="5">
        <v>894</v>
      </c>
      <c r="C901">
        <v>11214</v>
      </c>
      <c r="D901" t="s">
        <v>10107</v>
      </c>
      <c r="E901" t="s">
        <v>10108</v>
      </c>
      <c r="F901" t="s">
        <v>442</v>
      </c>
      <c r="G901" t="s">
        <v>10109</v>
      </c>
      <c r="H901">
        <v>18.329999999999998</v>
      </c>
      <c r="I901">
        <v>0</v>
      </c>
      <c r="J901">
        <v>0</v>
      </c>
      <c r="K901">
        <v>0</v>
      </c>
      <c r="N901">
        <v>3</v>
      </c>
      <c r="O901">
        <v>3</v>
      </c>
      <c r="P901">
        <v>4</v>
      </c>
      <c r="Q901">
        <v>2</v>
      </c>
      <c r="R901">
        <v>27.33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H901">
        <v>27.33</v>
      </c>
    </row>
    <row r="902" spans="1:34" x14ac:dyDescent="0.3">
      <c r="A902" s="4">
        <v>919</v>
      </c>
      <c r="B902" s="5">
        <v>895</v>
      </c>
      <c r="C902">
        <v>6188</v>
      </c>
      <c r="D902" t="s">
        <v>10110</v>
      </c>
      <c r="E902" t="s">
        <v>816</v>
      </c>
      <c r="F902" t="s">
        <v>38</v>
      </c>
      <c r="G902" t="s">
        <v>10111</v>
      </c>
      <c r="H902">
        <v>16.329999999999998</v>
      </c>
      <c r="I902">
        <v>0</v>
      </c>
      <c r="J902">
        <v>0</v>
      </c>
      <c r="K902">
        <v>0</v>
      </c>
      <c r="L902">
        <v>7</v>
      </c>
      <c r="O902">
        <v>7</v>
      </c>
      <c r="P902">
        <v>4</v>
      </c>
      <c r="Q902">
        <v>0</v>
      </c>
      <c r="R902">
        <v>27.33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H902">
        <v>27.33</v>
      </c>
    </row>
    <row r="903" spans="1:34" x14ac:dyDescent="0.3">
      <c r="A903" s="4">
        <v>920</v>
      </c>
      <c r="B903" s="5">
        <v>896</v>
      </c>
      <c r="C903">
        <v>15462</v>
      </c>
      <c r="D903" t="s">
        <v>10112</v>
      </c>
      <c r="E903" t="s">
        <v>10113</v>
      </c>
      <c r="F903" t="s">
        <v>38</v>
      </c>
      <c r="G903" t="s">
        <v>10114</v>
      </c>
      <c r="H903">
        <v>18.3</v>
      </c>
      <c r="I903">
        <v>0</v>
      </c>
      <c r="J903">
        <v>0</v>
      </c>
      <c r="K903">
        <v>0</v>
      </c>
      <c r="N903">
        <v>3</v>
      </c>
      <c r="O903">
        <v>3</v>
      </c>
      <c r="P903">
        <v>4</v>
      </c>
      <c r="Q903">
        <v>2</v>
      </c>
      <c r="R903">
        <v>27.3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H903">
        <v>27.3</v>
      </c>
    </row>
    <row r="904" spans="1:34" x14ac:dyDescent="0.3">
      <c r="A904" s="4">
        <v>921</v>
      </c>
      <c r="B904" s="5">
        <v>897</v>
      </c>
      <c r="C904">
        <v>1974</v>
      </c>
      <c r="D904" t="s">
        <v>10115</v>
      </c>
      <c r="E904" t="s">
        <v>238</v>
      </c>
      <c r="F904" t="s">
        <v>68</v>
      </c>
      <c r="G904" t="s">
        <v>10116</v>
      </c>
      <c r="H904">
        <v>18.3</v>
      </c>
      <c r="I904">
        <v>0</v>
      </c>
      <c r="J904">
        <v>0</v>
      </c>
      <c r="K904">
        <v>0</v>
      </c>
      <c r="L904">
        <v>7</v>
      </c>
      <c r="O904">
        <v>7</v>
      </c>
      <c r="P904">
        <v>0</v>
      </c>
      <c r="Q904">
        <v>2</v>
      </c>
      <c r="R904">
        <v>27.3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H904">
        <v>27.3</v>
      </c>
    </row>
    <row r="905" spans="1:34" x14ac:dyDescent="0.3">
      <c r="A905" s="4">
        <v>922</v>
      </c>
      <c r="B905" s="5">
        <v>898</v>
      </c>
      <c r="C905">
        <v>10606</v>
      </c>
      <c r="D905" t="s">
        <v>1471</v>
      </c>
      <c r="E905" t="s">
        <v>10117</v>
      </c>
      <c r="F905" t="s">
        <v>238</v>
      </c>
      <c r="G905" t="s">
        <v>10118</v>
      </c>
      <c r="H905">
        <v>18.3</v>
      </c>
      <c r="I905">
        <v>0</v>
      </c>
      <c r="J905">
        <v>0</v>
      </c>
      <c r="K905">
        <v>0</v>
      </c>
      <c r="N905">
        <v>3</v>
      </c>
      <c r="O905">
        <v>3</v>
      </c>
      <c r="P905">
        <v>4</v>
      </c>
      <c r="Q905">
        <v>2</v>
      </c>
      <c r="R905">
        <v>27.3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H905">
        <v>27.3</v>
      </c>
    </row>
    <row r="906" spans="1:34" x14ac:dyDescent="0.3">
      <c r="A906" s="4">
        <v>923</v>
      </c>
      <c r="B906" s="5">
        <v>899</v>
      </c>
      <c r="C906">
        <v>9213</v>
      </c>
      <c r="D906" t="s">
        <v>10119</v>
      </c>
      <c r="E906" t="s">
        <v>178</v>
      </c>
      <c r="F906" t="s">
        <v>782</v>
      </c>
      <c r="G906" t="s">
        <v>10120</v>
      </c>
      <c r="H906">
        <v>20.28</v>
      </c>
      <c r="I906">
        <v>0</v>
      </c>
      <c r="J906">
        <v>0</v>
      </c>
      <c r="K906">
        <v>0</v>
      </c>
      <c r="O906">
        <v>0</v>
      </c>
      <c r="P906">
        <v>4</v>
      </c>
      <c r="Q906">
        <v>0</v>
      </c>
      <c r="R906">
        <v>24.28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3</v>
      </c>
      <c r="AC906">
        <v>0</v>
      </c>
      <c r="AH906">
        <v>27.28</v>
      </c>
    </row>
    <row r="907" spans="1:34" x14ac:dyDescent="0.3">
      <c r="A907" s="4">
        <v>924</v>
      </c>
      <c r="B907" s="5">
        <v>900</v>
      </c>
      <c r="C907">
        <v>3464</v>
      </c>
      <c r="D907" t="s">
        <v>4955</v>
      </c>
      <c r="E907" t="s">
        <v>10121</v>
      </c>
      <c r="F907" t="s">
        <v>17</v>
      </c>
      <c r="G907" t="s">
        <v>10122</v>
      </c>
      <c r="H907">
        <v>18.25</v>
      </c>
      <c r="I907">
        <v>0</v>
      </c>
      <c r="J907">
        <v>0</v>
      </c>
      <c r="K907">
        <v>0</v>
      </c>
      <c r="N907">
        <v>3</v>
      </c>
      <c r="O907">
        <v>3</v>
      </c>
      <c r="P907">
        <v>4</v>
      </c>
      <c r="Q907">
        <v>2</v>
      </c>
      <c r="R907">
        <v>27.25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H907">
        <v>27.25</v>
      </c>
    </row>
    <row r="908" spans="1:34" x14ac:dyDescent="0.3">
      <c r="A908" s="4">
        <v>925</v>
      </c>
      <c r="B908" s="5">
        <v>901</v>
      </c>
      <c r="C908">
        <v>14501</v>
      </c>
      <c r="D908" t="s">
        <v>10123</v>
      </c>
      <c r="E908" t="s">
        <v>41</v>
      </c>
      <c r="F908" t="s">
        <v>381</v>
      </c>
      <c r="G908" t="s">
        <v>10124</v>
      </c>
      <c r="H908">
        <v>20.23</v>
      </c>
      <c r="I908">
        <v>0</v>
      </c>
      <c r="J908">
        <v>0</v>
      </c>
      <c r="K908">
        <v>0</v>
      </c>
      <c r="L908">
        <v>7</v>
      </c>
      <c r="O908">
        <v>7</v>
      </c>
      <c r="P908">
        <v>0</v>
      </c>
      <c r="Q908">
        <v>0</v>
      </c>
      <c r="R908">
        <v>27.23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H908">
        <v>27.23</v>
      </c>
    </row>
    <row r="909" spans="1:34" x14ac:dyDescent="0.3">
      <c r="A909" s="4">
        <v>926</v>
      </c>
      <c r="B909" s="5">
        <v>902</v>
      </c>
      <c r="C909">
        <v>14155</v>
      </c>
      <c r="D909" t="s">
        <v>10125</v>
      </c>
      <c r="E909" t="s">
        <v>2011</v>
      </c>
      <c r="F909" t="s">
        <v>136</v>
      </c>
      <c r="G909" t="s">
        <v>10126</v>
      </c>
      <c r="H909">
        <v>21.2</v>
      </c>
      <c r="I909">
        <v>0</v>
      </c>
      <c r="J909">
        <v>0</v>
      </c>
      <c r="K909">
        <v>0</v>
      </c>
      <c r="O909">
        <v>0</v>
      </c>
      <c r="P909">
        <v>0</v>
      </c>
      <c r="Q909">
        <v>0</v>
      </c>
      <c r="R909">
        <v>21.2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6</v>
      </c>
      <c r="AC909">
        <v>0</v>
      </c>
      <c r="AH909">
        <v>27.2</v>
      </c>
    </row>
    <row r="910" spans="1:34" x14ac:dyDescent="0.3">
      <c r="A910" s="4">
        <v>927</v>
      </c>
      <c r="B910" s="5">
        <v>903</v>
      </c>
      <c r="C910">
        <v>100</v>
      </c>
      <c r="D910" t="s">
        <v>10127</v>
      </c>
      <c r="E910" t="s">
        <v>10128</v>
      </c>
      <c r="F910" t="s">
        <v>38</v>
      </c>
      <c r="G910" t="s">
        <v>10129</v>
      </c>
      <c r="H910">
        <v>20.2</v>
      </c>
      <c r="I910">
        <v>0</v>
      </c>
      <c r="J910">
        <v>0</v>
      </c>
      <c r="K910">
        <v>0</v>
      </c>
      <c r="N910">
        <v>3</v>
      </c>
      <c r="O910">
        <v>3</v>
      </c>
      <c r="P910">
        <v>4</v>
      </c>
      <c r="Q910">
        <v>0</v>
      </c>
      <c r="R910">
        <v>27.2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H910">
        <v>27.2</v>
      </c>
    </row>
    <row r="911" spans="1:34" x14ac:dyDescent="0.3">
      <c r="A911" s="4">
        <v>928</v>
      </c>
      <c r="B911" s="5">
        <v>904</v>
      </c>
      <c r="C911">
        <v>520</v>
      </c>
      <c r="D911" t="s">
        <v>10130</v>
      </c>
      <c r="E911" t="s">
        <v>54</v>
      </c>
      <c r="F911" t="s">
        <v>20</v>
      </c>
      <c r="G911" t="s">
        <v>10131</v>
      </c>
      <c r="H911">
        <v>17.2</v>
      </c>
      <c r="I911">
        <v>0</v>
      </c>
      <c r="J911">
        <v>0</v>
      </c>
      <c r="K911">
        <v>0</v>
      </c>
      <c r="N911">
        <v>6</v>
      </c>
      <c r="O911">
        <v>6</v>
      </c>
      <c r="P911">
        <v>4</v>
      </c>
      <c r="Q911">
        <v>0</v>
      </c>
      <c r="R911">
        <v>27.2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H911">
        <v>27.2</v>
      </c>
    </row>
    <row r="912" spans="1:34" x14ac:dyDescent="0.3">
      <c r="A912" s="4">
        <v>929</v>
      </c>
      <c r="B912" s="5">
        <v>905</v>
      </c>
      <c r="C912">
        <v>6933</v>
      </c>
      <c r="D912" t="s">
        <v>1649</v>
      </c>
      <c r="E912" t="s">
        <v>97</v>
      </c>
      <c r="F912" t="s">
        <v>136</v>
      </c>
      <c r="G912" t="s">
        <v>10132</v>
      </c>
      <c r="H912">
        <v>20.18</v>
      </c>
      <c r="I912">
        <v>0</v>
      </c>
      <c r="J912">
        <v>0</v>
      </c>
      <c r="K912">
        <v>0</v>
      </c>
      <c r="L912">
        <v>7</v>
      </c>
      <c r="O912">
        <v>7</v>
      </c>
      <c r="P912">
        <v>0</v>
      </c>
      <c r="Q912">
        <v>0</v>
      </c>
      <c r="R912">
        <v>27.18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H912">
        <v>27.18</v>
      </c>
    </row>
    <row r="913" spans="1:34" x14ac:dyDescent="0.3">
      <c r="A913" s="4">
        <v>930</v>
      </c>
      <c r="B913" s="5">
        <v>906</v>
      </c>
      <c r="C913">
        <v>2922</v>
      </c>
      <c r="D913" t="s">
        <v>4098</v>
      </c>
      <c r="E913" t="s">
        <v>7899</v>
      </c>
      <c r="F913" t="s">
        <v>193</v>
      </c>
      <c r="G913" t="s">
        <v>10133</v>
      </c>
      <c r="H913">
        <v>16.18</v>
      </c>
      <c r="I913">
        <v>0</v>
      </c>
      <c r="J913">
        <v>0</v>
      </c>
      <c r="K913">
        <v>0</v>
      </c>
      <c r="L913">
        <v>7</v>
      </c>
      <c r="O913">
        <v>7</v>
      </c>
      <c r="P913">
        <v>4</v>
      </c>
      <c r="Q913">
        <v>0</v>
      </c>
      <c r="R913">
        <v>27.18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H913">
        <v>27.18</v>
      </c>
    </row>
    <row r="914" spans="1:34" x14ac:dyDescent="0.3">
      <c r="A914" s="4">
        <v>931</v>
      </c>
      <c r="B914" s="5">
        <v>907</v>
      </c>
      <c r="C914">
        <v>3773</v>
      </c>
      <c r="D914" t="s">
        <v>10134</v>
      </c>
      <c r="E914" t="s">
        <v>10135</v>
      </c>
      <c r="F914" t="s">
        <v>10136</v>
      </c>
      <c r="G914" t="s">
        <v>10137</v>
      </c>
      <c r="H914">
        <v>18.100000000000001</v>
      </c>
      <c r="I914">
        <v>0</v>
      </c>
      <c r="J914">
        <v>0</v>
      </c>
      <c r="K914">
        <v>0</v>
      </c>
      <c r="N914">
        <v>3</v>
      </c>
      <c r="O914">
        <v>3</v>
      </c>
      <c r="P914">
        <v>0</v>
      </c>
      <c r="Q914">
        <v>0</v>
      </c>
      <c r="R914">
        <v>21.1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6</v>
      </c>
      <c r="AC914">
        <v>0</v>
      </c>
      <c r="AH914">
        <v>27.1</v>
      </c>
    </row>
    <row r="915" spans="1:34" x14ac:dyDescent="0.3">
      <c r="A915" s="4">
        <v>932</v>
      </c>
      <c r="B915" s="5">
        <v>908</v>
      </c>
      <c r="C915">
        <v>8888</v>
      </c>
      <c r="D915" t="s">
        <v>10138</v>
      </c>
      <c r="E915" t="s">
        <v>3243</v>
      </c>
      <c r="F915" t="s">
        <v>136</v>
      </c>
      <c r="G915" t="s">
        <v>10139</v>
      </c>
      <c r="H915">
        <v>17.100000000000001</v>
      </c>
      <c r="I915">
        <v>0</v>
      </c>
      <c r="J915">
        <v>0</v>
      </c>
      <c r="K915">
        <v>0</v>
      </c>
      <c r="N915">
        <v>3</v>
      </c>
      <c r="O915">
        <v>3</v>
      </c>
      <c r="P915">
        <v>4</v>
      </c>
      <c r="Q915">
        <v>0</v>
      </c>
      <c r="R915">
        <v>24.1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3</v>
      </c>
      <c r="AC915">
        <v>0</v>
      </c>
      <c r="AE915" t="s">
        <v>130</v>
      </c>
      <c r="AH915">
        <v>27.1</v>
      </c>
    </row>
    <row r="916" spans="1:34" x14ac:dyDescent="0.3">
      <c r="A916" s="4">
        <v>933</v>
      </c>
      <c r="B916" s="5">
        <v>909</v>
      </c>
      <c r="C916">
        <v>13704</v>
      </c>
      <c r="D916" t="s">
        <v>10140</v>
      </c>
      <c r="E916" t="s">
        <v>10141</v>
      </c>
      <c r="F916" t="s">
        <v>6385</v>
      </c>
      <c r="G916" t="s">
        <v>10142</v>
      </c>
      <c r="H916">
        <v>20.079999999999998</v>
      </c>
      <c r="I916">
        <v>0</v>
      </c>
      <c r="J916">
        <v>0</v>
      </c>
      <c r="K916">
        <v>0</v>
      </c>
      <c r="L916">
        <v>7</v>
      </c>
      <c r="O916">
        <v>7</v>
      </c>
      <c r="P916">
        <v>0</v>
      </c>
      <c r="Q916">
        <v>0</v>
      </c>
      <c r="R916">
        <v>27.08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H916">
        <v>27.08</v>
      </c>
    </row>
    <row r="917" spans="1:34" x14ac:dyDescent="0.3">
      <c r="A917" s="4">
        <v>934</v>
      </c>
      <c r="B917" s="5">
        <v>910</v>
      </c>
      <c r="C917">
        <v>8355</v>
      </c>
      <c r="D917" t="s">
        <v>5200</v>
      </c>
      <c r="E917" t="s">
        <v>342</v>
      </c>
      <c r="F917" t="s">
        <v>30</v>
      </c>
      <c r="G917" t="s">
        <v>10143</v>
      </c>
      <c r="H917">
        <v>18.079999999999998</v>
      </c>
      <c r="I917">
        <v>0</v>
      </c>
      <c r="J917">
        <v>0</v>
      </c>
      <c r="K917">
        <v>0</v>
      </c>
      <c r="N917">
        <v>3</v>
      </c>
      <c r="O917">
        <v>3</v>
      </c>
      <c r="P917">
        <v>4</v>
      </c>
      <c r="Q917">
        <v>2</v>
      </c>
      <c r="R917">
        <v>27.08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 t="s">
        <v>130</v>
      </c>
      <c r="AH917">
        <v>27.08</v>
      </c>
    </row>
    <row r="918" spans="1:34" x14ac:dyDescent="0.3">
      <c r="A918" s="4">
        <v>935</v>
      </c>
      <c r="B918" s="5">
        <v>911</v>
      </c>
      <c r="C918">
        <v>10174</v>
      </c>
      <c r="D918" t="s">
        <v>10144</v>
      </c>
      <c r="E918" t="s">
        <v>88</v>
      </c>
      <c r="F918" t="s">
        <v>2474</v>
      </c>
      <c r="G918" t="s">
        <v>10145</v>
      </c>
      <c r="H918">
        <v>18.05</v>
      </c>
      <c r="I918">
        <v>0</v>
      </c>
      <c r="J918">
        <v>0</v>
      </c>
      <c r="K918">
        <v>0</v>
      </c>
      <c r="N918">
        <v>3</v>
      </c>
      <c r="O918">
        <v>3</v>
      </c>
      <c r="P918">
        <v>4</v>
      </c>
      <c r="Q918">
        <v>2</v>
      </c>
      <c r="R918">
        <v>27.05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 t="s">
        <v>130</v>
      </c>
      <c r="AH918">
        <v>27.05</v>
      </c>
    </row>
    <row r="919" spans="1:34" x14ac:dyDescent="0.3">
      <c r="A919" s="4">
        <v>936</v>
      </c>
      <c r="B919" s="5">
        <v>912</v>
      </c>
      <c r="C919">
        <v>9620</v>
      </c>
      <c r="D919" t="s">
        <v>4675</v>
      </c>
      <c r="E919" t="s">
        <v>51</v>
      </c>
      <c r="F919" t="s">
        <v>3516</v>
      </c>
      <c r="G919" t="s">
        <v>10146</v>
      </c>
      <c r="H919">
        <v>22.03</v>
      </c>
      <c r="I919">
        <v>0</v>
      </c>
      <c r="J919">
        <v>0</v>
      </c>
      <c r="K919">
        <v>0</v>
      </c>
      <c r="M919">
        <v>5</v>
      </c>
      <c r="O919">
        <v>5</v>
      </c>
      <c r="P919">
        <v>0</v>
      </c>
      <c r="Q919">
        <v>0</v>
      </c>
      <c r="R919">
        <v>27.03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H919">
        <v>27.03</v>
      </c>
    </row>
    <row r="920" spans="1:34" x14ac:dyDescent="0.3">
      <c r="A920" s="4">
        <v>937</v>
      </c>
      <c r="B920" s="5">
        <v>913</v>
      </c>
      <c r="C920">
        <v>6367</v>
      </c>
      <c r="D920" t="s">
        <v>5059</v>
      </c>
      <c r="E920" t="s">
        <v>100</v>
      </c>
      <c r="F920" t="s">
        <v>5060</v>
      </c>
      <c r="G920" t="s">
        <v>5061</v>
      </c>
      <c r="H920">
        <v>18</v>
      </c>
      <c r="I920">
        <v>0</v>
      </c>
      <c r="J920">
        <v>0</v>
      </c>
      <c r="K920">
        <v>0</v>
      </c>
      <c r="N920">
        <v>3</v>
      </c>
      <c r="O920">
        <v>3</v>
      </c>
      <c r="P920">
        <v>4</v>
      </c>
      <c r="Q920">
        <v>2</v>
      </c>
      <c r="R920">
        <v>27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H920">
        <v>27</v>
      </c>
    </row>
    <row r="921" spans="1:34" x14ac:dyDescent="0.3">
      <c r="A921" s="4">
        <v>938</v>
      </c>
      <c r="B921" s="5">
        <v>914</v>
      </c>
      <c r="C921">
        <v>9597</v>
      </c>
      <c r="D921" t="s">
        <v>9562</v>
      </c>
      <c r="E921" t="s">
        <v>29</v>
      </c>
      <c r="F921" t="s">
        <v>81</v>
      </c>
      <c r="G921" t="s">
        <v>10147</v>
      </c>
      <c r="H921">
        <v>13.98</v>
      </c>
      <c r="I921">
        <v>0</v>
      </c>
      <c r="J921">
        <v>0</v>
      </c>
      <c r="K921">
        <v>0</v>
      </c>
      <c r="L921">
        <v>7</v>
      </c>
      <c r="O921">
        <v>7</v>
      </c>
      <c r="P921">
        <v>0</v>
      </c>
      <c r="Q921">
        <v>0</v>
      </c>
      <c r="R921">
        <v>20.98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6</v>
      </c>
      <c r="AC921">
        <v>0</v>
      </c>
      <c r="AH921">
        <v>26.98</v>
      </c>
    </row>
    <row r="922" spans="1:34" x14ac:dyDescent="0.3">
      <c r="A922" s="4">
        <v>939</v>
      </c>
      <c r="B922" s="5">
        <v>915</v>
      </c>
      <c r="C922">
        <v>8779</v>
      </c>
      <c r="D922" t="s">
        <v>10148</v>
      </c>
      <c r="E922" t="s">
        <v>1508</v>
      </c>
      <c r="F922" t="s">
        <v>158</v>
      </c>
      <c r="G922" t="s">
        <v>10149</v>
      </c>
      <c r="H922">
        <v>15.98</v>
      </c>
      <c r="I922">
        <v>0</v>
      </c>
      <c r="J922">
        <v>0</v>
      </c>
      <c r="K922">
        <v>0</v>
      </c>
      <c r="L922">
        <v>7</v>
      </c>
      <c r="O922">
        <v>7</v>
      </c>
      <c r="P922">
        <v>4</v>
      </c>
      <c r="Q922">
        <v>0</v>
      </c>
      <c r="R922">
        <v>26.98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H922">
        <v>26.98</v>
      </c>
    </row>
    <row r="923" spans="1:34" x14ac:dyDescent="0.3">
      <c r="A923" s="4">
        <v>940</v>
      </c>
      <c r="B923" s="5">
        <v>916</v>
      </c>
      <c r="C923">
        <v>10481</v>
      </c>
      <c r="D923" t="s">
        <v>3406</v>
      </c>
      <c r="E923" t="s">
        <v>41</v>
      </c>
      <c r="F923" t="s">
        <v>38</v>
      </c>
      <c r="G923" t="s">
        <v>10150</v>
      </c>
      <c r="H923">
        <v>15.98</v>
      </c>
      <c r="I923">
        <v>0</v>
      </c>
      <c r="J923">
        <v>0</v>
      </c>
      <c r="K923">
        <v>0</v>
      </c>
      <c r="M923">
        <v>5</v>
      </c>
      <c r="O923">
        <v>5</v>
      </c>
      <c r="P923">
        <v>4</v>
      </c>
      <c r="Q923">
        <v>2</v>
      </c>
      <c r="R923">
        <v>26.98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H923">
        <v>26.98</v>
      </c>
    </row>
    <row r="924" spans="1:34" x14ac:dyDescent="0.3">
      <c r="A924" s="4">
        <v>941</v>
      </c>
      <c r="B924" s="5">
        <v>917</v>
      </c>
      <c r="C924">
        <v>9812</v>
      </c>
      <c r="D924" t="s">
        <v>8036</v>
      </c>
      <c r="E924" t="s">
        <v>6507</v>
      </c>
      <c r="F924" t="s">
        <v>20</v>
      </c>
      <c r="G924" t="s">
        <v>10151</v>
      </c>
      <c r="H924">
        <v>17.93</v>
      </c>
      <c r="I924">
        <v>0</v>
      </c>
      <c r="J924">
        <v>0</v>
      </c>
      <c r="K924">
        <v>0</v>
      </c>
      <c r="N924">
        <v>3</v>
      </c>
      <c r="O924">
        <v>3</v>
      </c>
      <c r="P924">
        <v>0</v>
      </c>
      <c r="Q924">
        <v>0</v>
      </c>
      <c r="R924">
        <v>20.93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6</v>
      </c>
      <c r="AC924">
        <v>0</v>
      </c>
      <c r="AH924">
        <v>26.93</v>
      </c>
    </row>
    <row r="925" spans="1:34" x14ac:dyDescent="0.3">
      <c r="A925" s="4">
        <v>942</v>
      </c>
      <c r="B925" s="5">
        <v>918</v>
      </c>
      <c r="C925">
        <v>13561</v>
      </c>
      <c r="D925" t="s">
        <v>3534</v>
      </c>
      <c r="E925" t="s">
        <v>208</v>
      </c>
      <c r="F925" t="s">
        <v>38</v>
      </c>
      <c r="G925" t="s">
        <v>6247</v>
      </c>
      <c r="H925">
        <v>20.88</v>
      </c>
      <c r="I925">
        <v>0</v>
      </c>
      <c r="J925">
        <v>0</v>
      </c>
      <c r="K925">
        <v>0</v>
      </c>
      <c r="N925">
        <v>3</v>
      </c>
      <c r="O925">
        <v>3</v>
      </c>
      <c r="P925">
        <v>0</v>
      </c>
      <c r="Q925">
        <v>0</v>
      </c>
      <c r="R925">
        <v>23.88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3</v>
      </c>
      <c r="AC925">
        <v>0</v>
      </c>
      <c r="AH925">
        <v>26.88</v>
      </c>
    </row>
    <row r="926" spans="1:34" x14ac:dyDescent="0.3">
      <c r="A926" s="4">
        <v>943</v>
      </c>
      <c r="B926" s="5">
        <v>919</v>
      </c>
      <c r="C926">
        <v>13151</v>
      </c>
      <c r="D926" t="s">
        <v>28</v>
      </c>
      <c r="E926" t="s">
        <v>1043</v>
      </c>
      <c r="F926" t="s">
        <v>30</v>
      </c>
      <c r="G926" t="s">
        <v>10152</v>
      </c>
      <c r="H926">
        <v>19.88</v>
      </c>
      <c r="I926">
        <v>0</v>
      </c>
      <c r="J926">
        <v>0</v>
      </c>
      <c r="K926">
        <v>0</v>
      </c>
      <c r="N926">
        <v>3</v>
      </c>
      <c r="O926">
        <v>3</v>
      </c>
      <c r="P926">
        <v>4</v>
      </c>
      <c r="Q926">
        <v>0</v>
      </c>
      <c r="R926">
        <v>26.88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 t="s">
        <v>130</v>
      </c>
      <c r="AH926">
        <v>26.88</v>
      </c>
    </row>
    <row r="927" spans="1:34" x14ac:dyDescent="0.3">
      <c r="A927" s="4">
        <v>944</v>
      </c>
      <c r="B927" s="5">
        <v>920</v>
      </c>
      <c r="C927">
        <v>15705</v>
      </c>
      <c r="D927" t="s">
        <v>3337</v>
      </c>
      <c r="E927" t="s">
        <v>10153</v>
      </c>
      <c r="F927" t="s">
        <v>20</v>
      </c>
      <c r="G927" t="s">
        <v>10154</v>
      </c>
      <c r="H927">
        <v>21.85</v>
      </c>
      <c r="I927">
        <v>0</v>
      </c>
      <c r="J927">
        <v>0</v>
      </c>
      <c r="K927">
        <v>0</v>
      </c>
      <c r="M927">
        <v>5</v>
      </c>
      <c r="O927">
        <v>5</v>
      </c>
      <c r="P927">
        <v>0</v>
      </c>
      <c r="Q927">
        <v>0</v>
      </c>
      <c r="R927">
        <v>26.85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H927">
        <v>26.85</v>
      </c>
    </row>
    <row r="928" spans="1:34" x14ac:dyDescent="0.3">
      <c r="A928" s="4">
        <v>945</v>
      </c>
      <c r="B928" s="5">
        <v>921</v>
      </c>
      <c r="C928">
        <v>10755</v>
      </c>
      <c r="D928" t="s">
        <v>10155</v>
      </c>
      <c r="E928" t="s">
        <v>29</v>
      </c>
      <c r="F928" t="s">
        <v>91</v>
      </c>
      <c r="G928" t="s">
        <v>10156</v>
      </c>
      <c r="H928">
        <v>17.850000000000001</v>
      </c>
      <c r="I928">
        <v>0</v>
      </c>
      <c r="J928">
        <v>0</v>
      </c>
      <c r="K928">
        <v>0</v>
      </c>
      <c r="L928">
        <v>7</v>
      </c>
      <c r="O928">
        <v>7</v>
      </c>
      <c r="P928">
        <v>0</v>
      </c>
      <c r="Q928">
        <v>2</v>
      </c>
      <c r="R928">
        <v>26.85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H928">
        <v>26.85</v>
      </c>
    </row>
    <row r="929" spans="1:34" x14ac:dyDescent="0.3">
      <c r="A929" s="4">
        <v>946</v>
      </c>
      <c r="B929" s="5">
        <v>922</v>
      </c>
      <c r="C929">
        <v>8860</v>
      </c>
      <c r="D929" t="s">
        <v>10157</v>
      </c>
      <c r="E929" t="s">
        <v>5190</v>
      </c>
      <c r="F929" t="s">
        <v>136</v>
      </c>
      <c r="G929" t="s">
        <v>10158</v>
      </c>
      <c r="H929">
        <v>19.829999999999998</v>
      </c>
      <c r="I929">
        <v>0</v>
      </c>
      <c r="J929">
        <v>0</v>
      </c>
      <c r="K929">
        <v>0</v>
      </c>
      <c r="N929">
        <v>3</v>
      </c>
      <c r="O929">
        <v>3</v>
      </c>
      <c r="P929">
        <v>4</v>
      </c>
      <c r="Q929">
        <v>0</v>
      </c>
      <c r="R929">
        <v>26.83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H929">
        <v>26.83</v>
      </c>
    </row>
    <row r="930" spans="1:34" x14ac:dyDescent="0.3">
      <c r="A930" s="4">
        <v>947</v>
      </c>
      <c r="B930" s="5">
        <v>923</v>
      </c>
      <c r="C930">
        <v>8968</v>
      </c>
      <c r="D930" t="s">
        <v>10159</v>
      </c>
      <c r="E930" t="s">
        <v>789</v>
      </c>
      <c r="F930" t="s">
        <v>38</v>
      </c>
      <c r="G930" t="s">
        <v>10160</v>
      </c>
      <c r="H930">
        <v>15.8</v>
      </c>
      <c r="I930">
        <v>0</v>
      </c>
      <c r="J930">
        <v>0</v>
      </c>
      <c r="K930">
        <v>0</v>
      </c>
      <c r="L930">
        <v>7</v>
      </c>
      <c r="O930">
        <v>7</v>
      </c>
      <c r="P930">
        <v>4</v>
      </c>
      <c r="Q930">
        <v>0</v>
      </c>
      <c r="R930">
        <v>26.8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H930">
        <v>26.8</v>
      </c>
    </row>
    <row r="931" spans="1:34" x14ac:dyDescent="0.3">
      <c r="A931" s="4">
        <v>948</v>
      </c>
      <c r="B931" s="5">
        <v>924</v>
      </c>
      <c r="C931">
        <v>10943</v>
      </c>
      <c r="D931" t="s">
        <v>10161</v>
      </c>
      <c r="E931" t="s">
        <v>1874</v>
      </c>
      <c r="F931" t="s">
        <v>17</v>
      </c>
      <c r="G931" t="s">
        <v>10162</v>
      </c>
      <c r="H931">
        <v>19.78</v>
      </c>
      <c r="I931">
        <v>0</v>
      </c>
      <c r="J931">
        <v>0</v>
      </c>
      <c r="K931">
        <v>0</v>
      </c>
      <c r="N931">
        <v>3</v>
      </c>
      <c r="O931">
        <v>3</v>
      </c>
      <c r="P931">
        <v>4</v>
      </c>
      <c r="Q931">
        <v>0</v>
      </c>
      <c r="R931">
        <v>26.78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H931">
        <v>26.78</v>
      </c>
    </row>
    <row r="932" spans="1:34" x14ac:dyDescent="0.3">
      <c r="A932" s="4">
        <v>949</v>
      </c>
      <c r="B932" s="5">
        <v>925</v>
      </c>
      <c r="C932">
        <v>8288</v>
      </c>
      <c r="D932" t="s">
        <v>10163</v>
      </c>
      <c r="E932" t="s">
        <v>182</v>
      </c>
      <c r="F932" t="s">
        <v>30</v>
      </c>
      <c r="G932" t="s">
        <v>10164</v>
      </c>
      <c r="H932">
        <v>17.78</v>
      </c>
      <c r="I932">
        <v>0</v>
      </c>
      <c r="J932">
        <v>0</v>
      </c>
      <c r="K932">
        <v>0</v>
      </c>
      <c r="L932">
        <v>7</v>
      </c>
      <c r="O932">
        <v>7</v>
      </c>
      <c r="P932">
        <v>0</v>
      </c>
      <c r="Q932">
        <v>2</v>
      </c>
      <c r="R932">
        <v>26.78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 t="s">
        <v>130</v>
      </c>
      <c r="AH932">
        <v>26.78</v>
      </c>
    </row>
    <row r="933" spans="1:34" x14ac:dyDescent="0.3">
      <c r="A933" s="4">
        <v>950</v>
      </c>
      <c r="B933" s="5">
        <v>926</v>
      </c>
      <c r="C933">
        <v>8669</v>
      </c>
      <c r="D933" t="s">
        <v>10165</v>
      </c>
      <c r="E933" t="s">
        <v>22</v>
      </c>
      <c r="F933" t="s">
        <v>17</v>
      </c>
      <c r="G933" t="s">
        <v>10166</v>
      </c>
      <c r="H933">
        <v>16.78</v>
      </c>
      <c r="I933">
        <v>0</v>
      </c>
      <c r="J933">
        <v>0</v>
      </c>
      <c r="K933">
        <v>0</v>
      </c>
      <c r="L933">
        <v>7</v>
      </c>
      <c r="N933">
        <v>3</v>
      </c>
      <c r="O933">
        <v>10</v>
      </c>
      <c r="P933">
        <v>0</v>
      </c>
      <c r="Q933">
        <v>0</v>
      </c>
      <c r="R933">
        <v>26.78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E933" t="s">
        <v>130</v>
      </c>
      <c r="AH933">
        <v>26.78</v>
      </c>
    </row>
    <row r="934" spans="1:34" x14ac:dyDescent="0.3">
      <c r="A934" s="4">
        <v>951</v>
      </c>
      <c r="B934" s="5">
        <v>927</v>
      </c>
      <c r="C934">
        <v>6182</v>
      </c>
      <c r="D934" t="s">
        <v>10167</v>
      </c>
      <c r="E934" t="s">
        <v>71</v>
      </c>
      <c r="F934" t="s">
        <v>62</v>
      </c>
      <c r="G934" t="s">
        <v>10168</v>
      </c>
      <c r="H934">
        <v>17.75</v>
      </c>
      <c r="I934">
        <v>0</v>
      </c>
      <c r="J934">
        <v>0</v>
      </c>
      <c r="K934">
        <v>0</v>
      </c>
      <c r="N934">
        <v>3</v>
      </c>
      <c r="O934">
        <v>3</v>
      </c>
      <c r="P934">
        <v>4</v>
      </c>
      <c r="Q934">
        <v>2</v>
      </c>
      <c r="R934">
        <v>26.75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H934">
        <v>26.75</v>
      </c>
    </row>
    <row r="935" spans="1:34" x14ac:dyDescent="0.3">
      <c r="A935" s="4">
        <v>952</v>
      </c>
      <c r="B935" s="5">
        <v>928</v>
      </c>
      <c r="C935">
        <v>9434</v>
      </c>
      <c r="D935" t="s">
        <v>10169</v>
      </c>
      <c r="E935" t="s">
        <v>964</v>
      </c>
      <c r="F935" t="s">
        <v>20</v>
      </c>
      <c r="G935" t="s">
        <v>10170</v>
      </c>
      <c r="H935">
        <v>15.75</v>
      </c>
      <c r="I935">
        <v>0</v>
      </c>
      <c r="J935">
        <v>0</v>
      </c>
      <c r="K935">
        <v>0</v>
      </c>
      <c r="L935">
        <v>7</v>
      </c>
      <c r="O935">
        <v>7</v>
      </c>
      <c r="P935">
        <v>4</v>
      </c>
      <c r="Q935">
        <v>0</v>
      </c>
      <c r="R935">
        <v>26.75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H935">
        <v>26.75</v>
      </c>
    </row>
    <row r="936" spans="1:34" x14ac:dyDescent="0.3">
      <c r="A936" s="4">
        <v>953</v>
      </c>
      <c r="B936" s="5">
        <v>929</v>
      </c>
      <c r="C936">
        <v>11033</v>
      </c>
      <c r="D936" t="s">
        <v>10171</v>
      </c>
      <c r="E936" t="s">
        <v>816</v>
      </c>
      <c r="F936" t="s">
        <v>17</v>
      </c>
      <c r="G936" t="s">
        <v>10172</v>
      </c>
      <c r="H936">
        <v>20.73</v>
      </c>
      <c r="I936">
        <v>0</v>
      </c>
      <c r="J936">
        <v>0</v>
      </c>
      <c r="K936">
        <v>0</v>
      </c>
      <c r="O936">
        <v>0</v>
      </c>
      <c r="P936">
        <v>4</v>
      </c>
      <c r="Q936">
        <v>2</v>
      </c>
      <c r="R936">
        <v>26.73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 t="s">
        <v>130</v>
      </c>
      <c r="AH936">
        <v>26.73</v>
      </c>
    </row>
    <row r="937" spans="1:34" x14ac:dyDescent="0.3">
      <c r="A937" s="4">
        <v>954</v>
      </c>
      <c r="B937" s="5">
        <v>930</v>
      </c>
      <c r="C937">
        <v>9309</v>
      </c>
      <c r="D937" t="s">
        <v>10173</v>
      </c>
      <c r="E937" t="s">
        <v>54</v>
      </c>
      <c r="F937" t="s">
        <v>230</v>
      </c>
      <c r="G937" t="s">
        <v>10174</v>
      </c>
      <c r="H937">
        <v>17.68</v>
      </c>
      <c r="I937">
        <v>0</v>
      </c>
      <c r="J937">
        <v>0</v>
      </c>
      <c r="K937">
        <v>0</v>
      </c>
      <c r="L937">
        <v>7</v>
      </c>
      <c r="O937">
        <v>7</v>
      </c>
      <c r="P937">
        <v>0</v>
      </c>
      <c r="Q937">
        <v>2</v>
      </c>
      <c r="R937">
        <v>26.68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H937">
        <v>26.68</v>
      </c>
    </row>
    <row r="938" spans="1:34" x14ac:dyDescent="0.3">
      <c r="A938" s="4">
        <v>955</v>
      </c>
      <c r="B938" s="5">
        <v>931</v>
      </c>
      <c r="C938">
        <v>13360</v>
      </c>
      <c r="D938" t="s">
        <v>5515</v>
      </c>
      <c r="E938" t="s">
        <v>132</v>
      </c>
      <c r="F938" t="s">
        <v>972</v>
      </c>
      <c r="G938" t="s">
        <v>10175</v>
      </c>
      <c r="H938">
        <v>19.649999999999999</v>
      </c>
      <c r="I938">
        <v>0</v>
      </c>
      <c r="J938">
        <v>0</v>
      </c>
      <c r="K938">
        <v>0</v>
      </c>
      <c r="O938">
        <v>0</v>
      </c>
      <c r="P938">
        <v>4</v>
      </c>
      <c r="Q938">
        <v>0</v>
      </c>
      <c r="R938">
        <v>23.65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3</v>
      </c>
      <c r="AC938">
        <v>0</v>
      </c>
      <c r="AH938">
        <v>26.65</v>
      </c>
    </row>
    <row r="939" spans="1:34" x14ac:dyDescent="0.3">
      <c r="A939" s="4">
        <v>956</v>
      </c>
      <c r="B939" s="5">
        <v>932</v>
      </c>
      <c r="C939">
        <v>4902</v>
      </c>
      <c r="D939" t="s">
        <v>10176</v>
      </c>
      <c r="E939" t="s">
        <v>283</v>
      </c>
      <c r="F939" t="s">
        <v>328</v>
      </c>
      <c r="G939" t="s">
        <v>10177</v>
      </c>
      <c r="H939">
        <v>19.649999999999999</v>
      </c>
      <c r="I939">
        <v>0</v>
      </c>
      <c r="J939">
        <v>0</v>
      </c>
      <c r="K939">
        <v>0</v>
      </c>
      <c r="L939">
        <v>7</v>
      </c>
      <c r="O939">
        <v>7</v>
      </c>
      <c r="P939">
        <v>0</v>
      </c>
      <c r="Q939">
        <v>0</v>
      </c>
      <c r="R939">
        <v>26.65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H939">
        <v>26.65</v>
      </c>
    </row>
    <row r="940" spans="1:34" x14ac:dyDescent="0.3">
      <c r="A940" s="4">
        <v>957</v>
      </c>
      <c r="B940" s="5">
        <v>933</v>
      </c>
      <c r="C940">
        <v>15186</v>
      </c>
      <c r="D940" t="s">
        <v>577</v>
      </c>
      <c r="E940" t="s">
        <v>338</v>
      </c>
      <c r="F940" t="s">
        <v>2595</v>
      </c>
      <c r="G940" t="s">
        <v>10178</v>
      </c>
      <c r="H940">
        <v>19.600000000000001</v>
      </c>
      <c r="I940">
        <v>0</v>
      </c>
      <c r="J940">
        <v>0</v>
      </c>
      <c r="K940">
        <v>0</v>
      </c>
      <c r="L940">
        <v>7</v>
      </c>
      <c r="O940">
        <v>7</v>
      </c>
      <c r="P940">
        <v>0</v>
      </c>
      <c r="Q940">
        <v>0</v>
      </c>
      <c r="R940">
        <v>26.6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H940">
        <v>26.6</v>
      </c>
    </row>
    <row r="941" spans="1:34" x14ac:dyDescent="0.3">
      <c r="A941" s="4">
        <v>958</v>
      </c>
      <c r="B941" s="5">
        <v>934</v>
      </c>
      <c r="C941">
        <v>12578</v>
      </c>
      <c r="D941" t="s">
        <v>5097</v>
      </c>
      <c r="E941" t="s">
        <v>54</v>
      </c>
      <c r="F941" t="s">
        <v>38</v>
      </c>
      <c r="G941" t="s">
        <v>10179</v>
      </c>
      <c r="H941">
        <v>19.600000000000001</v>
      </c>
      <c r="I941">
        <v>0</v>
      </c>
      <c r="J941">
        <v>0</v>
      </c>
      <c r="K941">
        <v>0</v>
      </c>
      <c r="L941">
        <v>7</v>
      </c>
      <c r="O941">
        <v>7</v>
      </c>
      <c r="P941">
        <v>0</v>
      </c>
      <c r="Q941">
        <v>0</v>
      </c>
      <c r="R941">
        <v>26.6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H941">
        <v>26.6</v>
      </c>
    </row>
    <row r="942" spans="1:34" x14ac:dyDescent="0.3">
      <c r="A942" s="4">
        <v>959</v>
      </c>
      <c r="B942" s="5">
        <v>935</v>
      </c>
      <c r="C942">
        <v>10949</v>
      </c>
      <c r="D942" t="s">
        <v>7093</v>
      </c>
      <c r="E942" t="s">
        <v>26</v>
      </c>
      <c r="F942" t="s">
        <v>62</v>
      </c>
      <c r="G942" t="s">
        <v>10180</v>
      </c>
      <c r="H942">
        <v>18.600000000000001</v>
      </c>
      <c r="I942">
        <v>0</v>
      </c>
      <c r="J942">
        <v>0</v>
      </c>
      <c r="K942">
        <v>0</v>
      </c>
      <c r="N942">
        <v>6</v>
      </c>
      <c r="O942">
        <v>6</v>
      </c>
      <c r="P942">
        <v>0</v>
      </c>
      <c r="Q942">
        <v>2</v>
      </c>
      <c r="R942">
        <v>26.6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H942">
        <v>26.6</v>
      </c>
    </row>
    <row r="943" spans="1:34" x14ac:dyDescent="0.3">
      <c r="A943" s="4">
        <v>960</v>
      </c>
      <c r="B943" s="5">
        <v>936</v>
      </c>
      <c r="C943">
        <v>12653</v>
      </c>
      <c r="D943" t="s">
        <v>10181</v>
      </c>
      <c r="E943" t="s">
        <v>136</v>
      </c>
      <c r="F943" t="s">
        <v>243</v>
      </c>
      <c r="G943" t="s">
        <v>10182</v>
      </c>
      <c r="H943">
        <v>17.600000000000001</v>
      </c>
      <c r="I943">
        <v>0</v>
      </c>
      <c r="J943">
        <v>0</v>
      </c>
      <c r="K943">
        <v>0</v>
      </c>
      <c r="N943">
        <v>3</v>
      </c>
      <c r="O943">
        <v>3</v>
      </c>
      <c r="P943">
        <v>4</v>
      </c>
      <c r="Q943">
        <v>2</v>
      </c>
      <c r="R943">
        <v>26.6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H943">
        <v>26.6</v>
      </c>
    </row>
    <row r="944" spans="1:34" x14ac:dyDescent="0.3">
      <c r="A944" s="4">
        <v>961</v>
      </c>
      <c r="B944" s="5">
        <v>937</v>
      </c>
      <c r="C944">
        <v>13875</v>
      </c>
      <c r="D944" t="s">
        <v>10183</v>
      </c>
      <c r="E944" t="s">
        <v>139</v>
      </c>
      <c r="F944" t="s">
        <v>20</v>
      </c>
      <c r="G944" t="s">
        <v>10184</v>
      </c>
      <c r="H944">
        <v>17.600000000000001</v>
      </c>
      <c r="I944">
        <v>0</v>
      </c>
      <c r="J944">
        <v>0</v>
      </c>
      <c r="K944">
        <v>0</v>
      </c>
      <c r="L944">
        <v>7</v>
      </c>
      <c r="O944">
        <v>7</v>
      </c>
      <c r="P944">
        <v>0</v>
      </c>
      <c r="Q944">
        <v>2</v>
      </c>
      <c r="R944">
        <v>26.6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H944">
        <v>26.6</v>
      </c>
    </row>
    <row r="945" spans="1:34" x14ac:dyDescent="0.3">
      <c r="A945" s="4">
        <v>962</v>
      </c>
      <c r="B945" s="5">
        <v>938</v>
      </c>
      <c r="C945">
        <v>15420</v>
      </c>
      <c r="D945" t="s">
        <v>10185</v>
      </c>
      <c r="E945" t="s">
        <v>2372</v>
      </c>
      <c r="F945" t="s">
        <v>801</v>
      </c>
      <c r="G945" t="s">
        <v>10186</v>
      </c>
      <c r="H945">
        <v>17.600000000000001</v>
      </c>
      <c r="I945">
        <v>0</v>
      </c>
      <c r="J945">
        <v>0</v>
      </c>
      <c r="K945">
        <v>0</v>
      </c>
      <c r="M945">
        <v>5</v>
      </c>
      <c r="O945">
        <v>5</v>
      </c>
      <c r="P945">
        <v>4</v>
      </c>
      <c r="Q945">
        <v>0</v>
      </c>
      <c r="R945">
        <v>26.6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 t="s">
        <v>130</v>
      </c>
      <c r="AH945">
        <v>26.6</v>
      </c>
    </row>
    <row r="946" spans="1:34" x14ac:dyDescent="0.3">
      <c r="A946" s="4">
        <v>963</v>
      </c>
      <c r="B946" s="5">
        <v>939</v>
      </c>
      <c r="C946">
        <v>9337</v>
      </c>
      <c r="D946" t="s">
        <v>8586</v>
      </c>
      <c r="E946" t="s">
        <v>10187</v>
      </c>
      <c r="F946" t="s">
        <v>34</v>
      </c>
      <c r="G946" t="s">
        <v>10188</v>
      </c>
      <c r="H946">
        <v>19.579999999999998</v>
      </c>
      <c r="I946">
        <v>0</v>
      </c>
      <c r="J946">
        <v>0</v>
      </c>
      <c r="K946">
        <v>0</v>
      </c>
      <c r="O946">
        <v>0</v>
      </c>
      <c r="P946">
        <v>4</v>
      </c>
      <c r="Q946">
        <v>0</v>
      </c>
      <c r="R946">
        <v>23.58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3</v>
      </c>
      <c r="AC946">
        <v>0</v>
      </c>
      <c r="AH946">
        <v>26.58</v>
      </c>
    </row>
    <row r="947" spans="1:34" x14ac:dyDescent="0.3">
      <c r="A947" s="4">
        <v>964</v>
      </c>
      <c r="B947" s="5">
        <v>940</v>
      </c>
      <c r="C947">
        <v>5703</v>
      </c>
      <c r="D947" t="s">
        <v>4373</v>
      </c>
      <c r="E947" t="s">
        <v>10189</v>
      </c>
      <c r="F947" t="s">
        <v>214</v>
      </c>
      <c r="G947" t="s">
        <v>10190</v>
      </c>
      <c r="H947">
        <v>16.55</v>
      </c>
      <c r="I947">
        <v>0</v>
      </c>
      <c r="J947">
        <v>0</v>
      </c>
      <c r="K947">
        <v>0</v>
      </c>
      <c r="N947">
        <v>3</v>
      </c>
      <c r="O947">
        <v>3</v>
      </c>
      <c r="P947">
        <v>4</v>
      </c>
      <c r="Q947">
        <v>0</v>
      </c>
      <c r="R947">
        <v>23.55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3</v>
      </c>
      <c r="AC947">
        <v>0</v>
      </c>
      <c r="AH947">
        <v>26.55</v>
      </c>
    </row>
    <row r="948" spans="1:34" x14ac:dyDescent="0.3">
      <c r="A948" s="4">
        <v>965</v>
      </c>
      <c r="B948" s="5">
        <v>941</v>
      </c>
      <c r="C948">
        <v>2837</v>
      </c>
      <c r="D948" t="s">
        <v>3960</v>
      </c>
      <c r="E948" t="s">
        <v>29</v>
      </c>
      <c r="F948" t="s">
        <v>38</v>
      </c>
      <c r="G948" t="s">
        <v>10191</v>
      </c>
      <c r="H948">
        <v>17.53</v>
      </c>
      <c r="I948">
        <v>0</v>
      </c>
      <c r="J948">
        <v>0</v>
      </c>
      <c r="K948">
        <v>0</v>
      </c>
      <c r="N948">
        <v>3</v>
      </c>
      <c r="O948">
        <v>3</v>
      </c>
      <c r="P948">
        <v>4</v>
      </c>
      <c r="Q948">
        <v>2</v>
      </c>
      <c r="R948">
        <v>26.53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 t="s">
        <v>130</v>
      </c>
      <c r="AH948">
        <v>26.53</v>
      </c>
    </row>
    <row r="949" spans="1:34" x14ac:dyDescent="0.3">
      <c r="A949" s="4">
        <v>966</v>
      </c>
      <c r="B949" s="5">
        <v>942</v>
      </c>
      <c r="C949">
        <v>9541</v>
      </c>
      <c r="D949" t="s">
        <v>3889</v>
      </c>
      <c r="E949" t="s">
        <v>48</v>
      </c>
      <c r="F949" t="s">
        <v>20</v>
      </c>
      <c r="G949" t="s">
        <v>10192</v>
      </c>
      <c r="H949">
        <v>19.5</v>
      </c>
      <c r="I949">
        <v>0</v>
      </c>
      <c r="J949">
        <v>0</v>
      </c>
      <c r="K949">
        <v>0</v>
      </c>
      <c r="L949">
        <v>7</v>
      </c>
      <c r="O949">
        <v>7</v>
      </c>
      <c r="P949">
        <v>0</v>
      </c>
      <c r="Q949">
        <v>0</v>
      </c>
      <c r="R949">
        <v>26.5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H949">
        <v>26.5</v>
      </c>
    </row>
    <row r="950" spans="1:34" x14ac:dyDescent="0.3">
      <c r="A950" s="4">
        <v>967</v>
      </c>
      <c r="B950" s="5">
        <v>943</v>
      </c>
      <c r="C950">
        <v>692</v>
      </c>
      <c r="D950" t="s">
        <v>6218</v>
      </c>
      <c r="E950" t="s">
        <v>3866</v>
      </c>
      <c r="F950" t="s">
        <v>343</v>
      </c>
      <c r="G950" t="s">
        <v>10193</v>
      </c>
      <c r="H950">
        <v>19.5</v>
      </c>
      <c r="I950">
        <v>0</v>
      </c>
      <c r="J950">
        <v>0</v>
      </c>
      <c r="K950">
        <v>0</v>
      </c>
      <c r="N950">
        <v>3</v>
      </c>
      <c r="O950">
        <v>3</v>
      </c>
      <c r="P950">
        <v>4</v>
      </c>
      <c r="Q950">
        <v>0</v>
      </c>
      <c r="R950">
        <v>26.5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H950">
        <v>26.5</v>
      </c>
    </row>
    <row r="951" spans="1:34" x14ac:dyDescent="0.3">
      <c r="A951" s="4">
        <v>968</v>
      </c>
      <c r="B951" s="5">
        <v>944</v>
      </c>
      <c r="C951">
        <v>14309</v>
      </c>
      <c r="D951" t="s">
        <v>3326</v>
      </c>
      <c r="E951" t="s">
        <v>789</v>
      </c>
      <c r="F951" t="s">
        <v>2261</v>
      </c>
      <c r="G951" t="s">
        <v>10194</v>
      </c>
      <c r="H951">
        <v>12.5</v>
      </c>
      <c r="I951">
        <v>0</v>
      </c>
      <c r="J951">
        <v>0</v>
      </c>
      <c r="K951">
        <v>0</v>
      </c>
      <c r="L951">
        <v>7</v>
      </c>
      <c r="N951">
        <v>3</v>
      </c>
      <c r="O951">
        <v>10</v>
      </c>
      <c r="P951">
        <v>4</v>
      </c>
      <c r="Q951">
        <v>0</v>
      </c>
      <c r="R951">
        <v>26.5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H951">
        <v>26.5</v>
      </c>
    </row>
    <row r="952" spans="1:34" x14ac:dyDescent="0.3">
      <c r="A952" s="4">
        <v>969</v>
      </c>
      <c r="B952" s="5">
        <v>945</v>
      </c>
      <c r="C952">
        <v>14160</v>
      </c>
      <c r="D952" t="s">
        <v>5678</v>
      </c>
      <c r="E952" t="s">
        <v>88</v>
      </c>
      <c r="F952" t="s">
        <v>381</v>
      </c>
      <c r="G952" t="s">
        <v>5679</v>
      </c>
      <c r="H952">
        <v>17.48</v>
      </c>
      <c r="I952">
        <v>0</v>
      </c>
      <c r="J952">
        <v>0</v>
      </c>
      <c r="K952">
        <v>0</v>
      </c>
      <c r="N952">
        <v>3</v>
      </c>
      <c r="O952">
        <v>3</v>
      </c>
      <c r="P952">
        <v>4</v>
      </c>
      <c r="Q952">
        <v>2</v>
      </c>
      <c r="R952">
        <v>26.48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H952">
        <v>26.48</v>
      </c>
    </row>
    <row r="953" spans="1:34" x14ac:dyDescent="0.3">
      <c r="A953" s="4">
        <v>970</v>
      </c>
      <c r="B953" s="5">
        <v>946</v>
      </c>
      <c r="C953">
        <v>10457</v>
      </c>
      <c r="D953" t="s">
        <v>10195</v>
      </c>
      <c r="E953" t="s">
        <v>143</v>
      </c>
      <c r="F953" t="s">
        <v>909</v>
      </c>
      <c r="G953" t="s">
        <v>10196</v>
      </c>
      <c r="H953">
        <v>19.45</v>
      </c>
      <c r="I953">
        <v>0</v>
      </c>
      <c r="J953">
        <v>0</v>
      </c>
      <c r="K953">
        <v>0</v>
      </c>
      <c r="N953">
        <v>3</v>
      </c>
      <c r="O953">
        <v>3</v>
      </c>
      <c r="P953">
        <v>4</v>
      </c>
      <c r="Q953">
        <v>0</v>
      </c>
      <c r="R953">
        <v>26.45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H953">
        <v>26.45</v>
      </c>
    </row>
    <row r="954" spans="1:34" x14ac:dyDescent="0.3">
      <c r="A954" s="4">
        <v>971</v>
      </c>
      <c r="B954" s="5">
        <v>947</v>
      </c>
      <c r="C954">
        <v>13595</v>
      </c>
      <c r="D954" t="s">
        <v>4955</v>
      </c>
      <c r="E954" t="s">
        <v>54</v>
      </c>
      <c r="F954" t="s">
        <v>20</v>
      </c>
      <c r="G954" t="s">
        <v>10197</v>
      </c>
      <c r="H954">
        <v>19.45</v>
      </c>
      <c r="I954">
        <v>0</v>
      </c>
      <c r="J954">
        <v>0</v>
      </c>
      <c r="K954">
        <v>0</v>
      </c>
      <c r="N954">
        <v>3</v>
      </c>
      <c r="O954">
        <v>3</v>
      </c>
      <c r="P954">
        <v>4</v>
      </c>
      <c r="Q954">
        <v>0</v>
      </c>
      <c r="R954">
        <v>26.45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H954">
        <v>26.45</v>
      </c>
    </row>
    <row r="955" spans="1:34" x14ac:dyDescent="0.3">
      <c r="A955" s="4">
        <v>972</v>
      </c>
      <c r="B955" s="5">
        <v>948</v>
      </c>
      <c r="C955">
        <v>10941</v>
      </c>
      <c r="D955" t="s">
        <v>10198</v>
      </c>
      <c r="E955" t="s">
        <v>5273</v>
      </c>
      <c r="F955" t="s">
        <v>3711</v>
      </c>
      <c r="G955" t="s">
        <v>10199</v>
      </c>
      <c r="H955">
        <v>17.43</v>
      </c>
      <c r="I955">
        <v>0</v>
      </c>
      <c r="J955">
        <v>0</v>
      </c>
      <c r="K955">
        <v>0</v>
      </c>
      <c r="N955">
        <v>3</v>
      </c>
      <c r="O955">
        <v>3</v>
      </c>
      <c r="P955">
        <v>4</v>
      </c>
      <c r="Q955">
        <v>2</v>
      </c>
      <c r="R955">
        <v>26.43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H955">
        <v>26.43</v>
      </c>
    </row>
    <row r="956" spans="1:34" x14ac:dyDescent="0.3">
      <c r="A956" s="4">
        <v>973</v>
      </c>
      <c r="B956" s="5">
        <v>949</v>
      </c>
      <c r="C956">
        <v>6824</v>
      </c>
      <c r="D956" t="s">
        <v>10200</v>
      </c>
      <c r="E956" t="s">
        <v>10201</v>
      </c>
      <c r="F956" t="s">
        <v>10202</v>
      </c>
      <c r="G956" t="s">
        <v>10203</v>
      </c>
      <c r="H956">
        <v>19.38</v>
      </c>
      <c r="I956">
        <v>0</v>
      </c>
      <c r="J956">
        <v>0</v>
      </c>
      <c r="K956">
        <v>0</v>
      </c>
      <c r="N956">
        <v>3</v>
      </c>
      <c r="O956">
        <v>3</v>
      </c>
      <c r="P956">
        <v>4</v>
      </c>
      <c r="Q956">
        <v>0</v>
      </c>
      <c r="R956">
        <v>26.38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H956">
        <v>26.38</v>
      </c>
    </row>
    <row r="957" spans="1:34" x14ac:dyDescent="0.3">
      <c r="A957" s="4">
        <v>974</v>
      </c>
      <c r="B957" s="5">
        <v>950</v>
      </c>
      <c r="C957">
        <v>4534</v>
      </c>
      <c r="D957" t="s">
        <v>10204</v>
      </c>
      <c r="E957" t="s">
        <v>20</v>
      </c>
      <c r="F957" t="s">
        <v>2474</v>
      </c>
      <c r="G957" t="s">
        <v>10205</v>
      </c>
      <c r="H957">
        <v>17.38</v>
      </c>
      <c r="I957">
        <v>0</v>
      </c>
      <c r="J957">
        <v>0</v>
      </c>
      <c r="K957">
        <v>0</v>
      </c>
      <c r="M957">
        <v>5</v>
      </c>
      <c r="O957">
        <v>5</v>
      </c>
      <c r="P957">
        <v>4</v>
      </c>
      <c r="Q957">
        <v>0</v>
      </c>
      <c r="R957">
        <v>26.38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H957">
        <v>26.38</v>
      </c>
    </row>
    <row r="958" spans="1:34" x14ac:dyDescent="0.3">
      <c r="A958" s="4">
        <v>975</v>
      </c>
      <c r="B958" s="5">
        <v>951</v>
      </c>
      <c r="C958">
        <v>8082</v>
      </c>
      <c r="D958" t="s">
        <v>1654</v>
      </c>
      <c r="E958" t="s">
        <v>41</v>
      </c>
      <c r="F958" t="s">
        <v>117</v>
      </c>
      <c r="G958" t="s">
        <v>10206</v>
      </c>
      <c r="H958">
        <v>18.350000000000001</v>
      </c>
      <c r="I958">
        <v>0</v>
      </c>
      <c r="J958">
        <v>0</v>
      </c>
      <c r="K958">
        <v>0</v>
      </c>
      <c r="N958">
        <v>6</v>
      </c>
      <c r="O958">
        <v>6</v>
      </c>
      <c r="P958">
        <v>0</v>
      </c>
      <c r="Q958">
        <v>2</v>
      </c>
      <c r="R958">
        <v>26.35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H958">
        <v>26.35</v>
      </c>
    </row>
    <row r="959" spans="1:34" x14ac:dyDescent="0.3">
      <c r="A959" s="4">
        <v>976</v>
      </c>
      <c r="B959" s="5">
        <v>952</v>
      </c>
      <c r="C959">
        <v>6496</v>
      </c>
      <c r="D959" t="s">
        <v>6980</v>
      </c>
      <c r="E959" t="s">
        <v>88</v>
      </c>
      <c r="F959" t="s">
        <v>38</v>
      </c>
      <c r="G959" t="s">
        <v>10207</v>
      </c>
      <c r="H959">
        <v>19.329999999999998</v>
      </c>
      <c r="I959">
        <v>0</v>
      </c>
      <c r="J959">
        <v>0</v>
      </c>
      <c r="K959">
        <v>0</v>
      </c>
      <c r="N959">
        <v>3</v>
      </c>
      <c r="O959">
        <v>3</v>
      </c>
      <c r="P959">
        <v>4</v>
      </c>
      <c r="Q959">
        <v>0</v>
      </c>
      <c r="R959">
        <v>26.33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H959">
        <v>26.33</v>
      </c>
    </row>
    <row r="960" spans="1:34" x14ac:dyDescent="0.3">
      <c r="A960" s="4">
        <v>977</v>
      </c>
      <c r="B960" s="5">
        <v>953</v>
      </c>
      <c r="C960">
        <v>14776</v>
      </c>
      <c r="D960" t="s">
        <v>10208</v>
      </c>
      <c r="E960" t="s">
        <v>3439</v>
      </c>
      <c r="F960" t="s">
        <v>38</v>
      </c>
      <c r="G960" t="s">
        <v>10209</v>
      </c>
      <c r="H960">
        <v>20.3</v>
      </c>
      <c r="I960">
        <v>0</v>
      </c>
      <c r="J960">
        <v>0</v>
      </c>
      <c r="K960">
        <v>0</v>
      </c>
      <c r="N960">
        <v>3</v>
      </c>
      <c r="O960">
        <v>3</v>
      </c>
      <c r="P960">
        <v>0</v>
      </c>
      <c r="Q960">
        <v>0</v>
      </c>
      <c r="R960">
        <v>23.3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3</v>
      </c>
      <c r="AC960">
        <v>0</v>
      </c>
      <c r="AH960">
        <v>26.3</v>
      </c>
    </row>
    <row r="961" spans="1:34" x14ac:dyDescent="0.3">
      <c r="A961" s="4">
        <v>978</v>
      </c>
      <c r="B961" s="5">
        <v>954</v>
      </c>
      <c r="C961">
        <v>9669</v>
      </c>
      <c r="D961" t="s">
        <v>10210</v>
      </c>
      <c r="E961" t="s">
        <v>550</v>
      </c>
      <c r="F961" t="s">
        <v>136</v>
      </c>
      <c r="G961" t="s">
        <v>10211</v>
      </c>
      <c r="H961">
        <v>19.3</v>
      </c>
      <c r="I961">
        <v>0</v>
      </c>
      <c r="J961">
        <v>0</v>
      </c>
      <c r="K961">
        <v>0</v>
      </c>
      <c r="N961">
        <v>3</v>
      </c>
      <c r="O961">
        <v>3</v>
      </c>
      <c r="P961">
        <v>4</v>
      </c>
      <c r="Q961">
        <v>0</v>
      </c>
      <c r="R961">
        <v>26.3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 t="s">
        <v>130</v>
      </c>
      <c r="AH961">
        <v>26.3</v>
      </c>
    </row>
    <row r="962" spans="1:34" x14ac:dyDescent="0.3">
      <c r="A962" s="4">
        <v>979</v>
      </c>
      <c r="B962" s="5">
        <v>955</v>
      </c>
      <c r="C962">
        <v>11697</v>
      </c>
      <c r="D962" t="s">
        <v>6343</v>
      </c>
      <c r="E962" t="s">
        <v>10212</v>
      </c>
      <c r="F962" t="s">
        <v>20</v>
      </c>
      <c r="G962" t="s">
        <v>10213</v>
      </c>
      <c r="H962">
        <v>19.25</v>
      </c>
      <c r="I962">
        <v>0</v>
      </c>
      <c r="J962">
        <v>0</v>
      </c>
      <c r="K962">
        <v>0</v>
      </c>
      <c r="N962">
        <v>3</v>
      </c>
      <c r="O962">
        <v>3</v>
      </c>
      <c r="P962">
        <v>4</v>
      </c>
      <c r="Q962">
        <v>0</v>
      </c>
      <c r="R962">
        <v>26.25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H962">
        <v>26.25</v>
      </c>
    </row>
    <row r="963" spans="1:34" x14ac:dyDescent="0.3">
      <c r="A963" s="4">
        <v>980</v>
      </c>
      <c r="B963" s="5">
        <v>956</v>
      </c>
      <c r="C963">
        <v>12616</v>
      </c>
      <c r="D963" t="s">
        <v>10214</v>
      </c>
      <c r="E963" t="s">
        <v>3439</v>
      </c>
      <c r="F963" t="s">
        <v>30</v>
      </c>
      <c r="G963" t="s">
        <v>10215</v>
      </c>
      <c r="H963">
        <v>15.25</v>
      </c>
      <c r="I963">
        <v>0</v>
      </c>
      <c r="J963">
        <v>0</v>
      </c>
      <c r="K963">
        <v>0</v>
      </c>
      <c r="L963">
        <v>7</v>
      </c>
      <c r="O963">
        <v>7</v>
      </c>
      <c r="P963">
        <v>4</v>
      </c>
      <c r="Q963">
        <v>0</v>
      </c>
      <c r="R963">
        <v>26.25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H963">
        <v>26.25</v>
      </c>
    </row>
    <row r="964" spans="1:34" x14ac:dyDescent="0.3">
      <c r="A964" s="4">
        <v>981</v>
      </c>
      <c r="B964" s="5">
        <v>957</v>
      </c>
      <c r="C964">
        <v>11538</v>
      </c>
      <c r="D964" t="s">
        <v>181</v>
      </c>
      <c r="E964" t="s">
        <v>454</v>
      </c>
      <c r="F964" t="s">
        <v>416</v>
      </c>
      <c r="G964" t="s">
        <v>10216</v>
      </c>
      <c r="H964">
        <v>18.18</v>
      </c>
      <c r="I964">
        <v>0</v>
      </c>
      <c r="J964">
        <v>0</v>
      </c>
      <c r="K964">
        <v>0</v>
      </c>
      <c r="O964">
        <v>0</v>
      </c>
      <c r="P964">
        <v>0</v>
      </c>
      <c r="Q964">
        <v>2</v>
      </c>
      <c r="R964">
        <v>20.18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6</v>
      </c>
      <c r="AC964">
        <v>0</v>
      </c>
      <c r="AH964">
        <v>26.18</v>
      </c>
    </row>
    <row r="965" spans="1:34" x14ac:dyDescent="0.3">
      <c r="A965" s="4">
        <v>982</v>
      </c>
      <c r="B965" s="5">
        <v>958</v>
      </c>
      <c r="C965">
        <v>9942</v>
      </c>
      <c r="D965" t="s">
        <v>10217</v>
      </c>
      <c r="E965" t="s">
        <v>10218</v>
      </c>
      <c r="F965" t="s">
        <v>30</v>
      </c>
      <c r="G965" t="s">
        <v>10219</v>
      </c>
      <c r="H965">
        <v>19.149999999999999</v>
      </c>
      <c r="I965">
        <v>0</v>
      </c>
      <c r="J965">
        <v>0</v>
      </c>
      <c r="K965">
        <v>0</v>
      </c>
      <c r="N965">
        <v>3</v>
      </c>
      <c r="O965">
        <v>3</v>
      </c>
      <c r="P965">
        <v>4</v>
      </c>
      <c r="Q965">
        <v>0</v>
      </c>
      <c r="R965">
        <v>26.15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H965">
        <v>26.15</v>
      </c>
    </row>
    <row r="966" spans="1:34" x14ac:dyDescent="0.3">
      <c r="A966" s="4">
        <v>983</v>
      </c>
      <c r="B966" s="5">
        <v>959</v>
      </c>
      <c r="C966">
        <v>14717</v>
      </c>
      <c r="D966" t="s">
        <v>10049</v>
      </c>
      <c r="E966" t="s">
        <v>2802</v>
      </c>
      <c r="F966" t="s">
        <v>17</v>
      </c>
      <c r="G966" t="s">
        <v>10220</v>
      </c>
      <c r="H966">
        <v>17.149999999999999</v>
      </c>
      <c r="I966">
        <v>0</v>
      </c>
      <c r="J966">
        <v>0</v>
      </c>
      <c r="K966">
        <v>0</v>
      </c>
      <c r="N966">
        <v>3</v>
      </c>
      <c r="O966">
        <v>3</v>
      </c>
      <c r="P966">
        <v>4</v>
      </c>
      <c r="Q966">
        <v>2</v>
      </c>
      <c r="R966">
        <v>26.15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E966" t="s">
        <v>130</v>
      </c>
      <c r="AH966">
        <v>26.15</v>
      </c>
    </row>
    <row r="967" spans="1:34" x14ac:dyDescent="0.3">
      <c r="A967" s="4">
        <v>984</v>
      </c>
      <c r="B967" s="5">
        <v>960</v>
      </c>
      <c r="C967">
        <v>14617</v>
      </c>
      <c r="D967" t="s">
        <v>1184</v>
      </c>
      <c r="E967" t="s">
        <v>825</v>
      </c>
      <c r="F967" t="s">
        <v>17</v>
      </c>
      <c r="G967" t="s">
        <v>10221</v>
      </c>
      <c r="H967">
        <v>20.100000000000001</v>
      </c>
      <c r="I967">
        <v>0</v>
      </c>
      <c r="J967">
        <v>0</v>
      </c>
      <c r="K967">
        <v>0</v>
      </c>
      <c r="N967">
        <v>6</v>
      </c>
      <c r="O967">
        <v>6</v>
      </c>
      <c r="P967">
        <v>0</v>
      </c>
      <c r="Q967">
        <v>0</v>
      </c>
      <c r="R967">
        <v>26.1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H967">
        <v>26.1</v>
      </c>
    </row>
    <row r="968" spans="1:34" x14ac:dyDescent="0.3">
      <c r="A968" s="4">
        <v>985</v>
      </c>
      <c r="B968" s="5">
        <v>961</v>
      </c>
      <c r="C968">
        <v>10753</v>
      </c>
      <c r="D968" t="s">
        <v>10222</v>
      </c>
      <c r="E968" t="s">
        <v>97</v>
      </c>
      <c r="F968" t="s">
        <v>38</v>
      </c>
      <c r="G968" t="s">
        <v>10223</v>
      </c>
      <c r="H968">
        <v>17.079999999999998</v>
      </c>
      <c r="I968">
        <v>0</v>
      </c>
      <c r="J968">
        <v>0</v>
      </c>
      <c r="K968">
        <v>0</v>
      </c>
      <c r="N968">
        <v>3</v>
      </c>
      <c r="O968">
        <v>3</v>
      </c>
      <c r="P968">
        <v>4</v>
      </c>
      <c r="Q968">
        <v>2</v>
      </c>
      <c r="R968">
        <v>26.08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H968">
        <v>26.08</v>
      </c>
    </row>
    <row r="969" spans="1:34" x14ac:dyDescent="0.3">
      <c r="A969" s="4">
        <v>986</v>
      </c>
      <c r="B969" s="5">
        <v>962</v>
      </c>
      <c r="C969">
        <v>19</v>
      </c>
      <c r="D969" t="s">
        <v>181</v>
      </c>
      <c r="E969" t="s">
        <v>41</v>
      </c>
      <c r="F969" t="s">
        <v>81</v>
      </c>
      <c r="G969" t="s">
        <v>10224</v>
      </c>
      <c r="H969">
        <v>19.05</v>
      </c>
      <c r="I969">
        <v>0</v>
      </c>
      <c r="J969">
        <v>0</v>
      </c>
      <c r="K969">
        <v>0</v>
      </c>
      <c r="L969">
        <v>7</v>
      </c>
      <c r="O969">
        <v>7</v>
      </c>
      <c r="P969">
        <v>0</v>
      </c>
      <c r="Q969">
        <v>0</v>
      </c>
      <c r="R969">
        <v>26.05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H969">
        <v>26.05</v>
      </c>
    </row>
    <row r="970" spans="1:34" x14ac:dyDescent="0.3">
      <c r="A970" s="4">
        <v>987</v>
      </c>
      <c r="B970" s="5">
        <v>963</v>
      </c>
      <c r="C970">
        <v>11576</v>
      </c>
      <c r="D970" t="s">
        <v>10225</v>
      </c>
      <c r="E970" t="s">
        <v>173</v>
      </c>
      <c r="F970" t="s">
        <v>30</v>
      </c>
      <c r="G970" t="s">
        <v>10226</v>
      </c>
      <c r="H970">
        <v>17.05</v>
      </c>
      <c r="I970">
        <v>0</v>
      </c>
      <c r="J970">
        <v>0</v>
      </c>
      <c r="K970">
        <v>0</v>
      </c>
      <c r="N970">
        <v>3</v>
      </c>
      <c r="O970">
        <v>3</v>
      </c>
      <c r="P970">
        <v>4</v>
      </c>
      <c r="Q970">
        <v>2</v>
      </c>
      <c r="R970">
        <v>26.05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 t="s">
        <v>130</v>
      </c>
      <c r="AH970">
        <v>26.05</v>
      </c>
    </row>
    <row r="971" spans="1:34" x14ac:dyDescent="0.3">
      <c r="A971" s="4">
        <v>988</v>
      </c>
      <c r="B971" s="5">
        <v>964</v>
      </c>
      <c r="C971">
        <v>1967</v>
      </c>
      <c r="D971" t="s">
        <v>6133</v>
      </c>
      <c r="E971" t="s">
        <v>22</v>
      </c>
      <c r="F971" t="s">
        <v>30</v>
      </c>
      <c r="G971" t="s">
        <v>6134</v>
      </c>
      <c r="H971">
        <v>15.98</v>
      </c>
      <c r="I971">
        <v>0</v>
      </c>
      <c r="J971">
        <v>0</v>
      </c>
      <c r="K971">
        <v>0</v>
      </c>
      <c r="O971">
        <v>0</v>
      </c>
      <c r="P971">
        <v>4</v>
      </c>
      <c r="Q971">
        <v>0</v>
      </c>
      <c r="R971">
        <v>19.98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6</v>
      </c>
      <c r="AC971">
        <v>0</v>
      </c>
      <c r="AH971">
        <v>25.98</v>
      </c>
    </row>
    <row r="972" spans="1:34" x14ac:dyDescent="0.3">
      <c r="A972" s="4">
        <v>989</v>
      </c>
      <c r="B972" s="5">
        <v>965</v>
      </c>
      <c r="C972">
        <v>13664</v>
      </c>
      <c r="D972" t="s">
        <v>10227</v>
      </c>
      <c r="E972" t="s">
        <v>10228</v>
      </c>
      <c r="F972" t="s">
        <v>124</v>
      </c>
      <c r="G972" t="s">
        <v>10229</v>
      </c>
      <c r="H972">
        <v>18.98</v>
      </c>
      <c r="I972">
        <v>0</v>
      </c>
      <c r="J972">
        <v>0</v>
      </c>
      <c r="K972">
        <v>0</v>
      </c>
      <c r="L972">
        <v>7</v>
      </c>
      <c r="O972">
        <v>7</v>
      </c>
      <c r="P972">
        <v>0</v>
      </c>
      <c r="Q972">
        <v>0</v>
      </c>
      <c r="R972">
        <v>25.98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H972">
        <v>25.98</v>
      </c>
    </row>
    <row r="973" spans="1:34" x14ac:dyDescent="0.3">
      <c r="A973" s="4">
        <v>990</v>
      </c>
      <c r="B973" s="5">
        <v>966</v>
      </c>
      <c r="C973">
        <v>11293</v>
      </c>
      <c r="D973" t="s">
        <v>10230</v>
      </c>
      <c r="E973" t="s">
        <v>29</v>
      </c>
      <c r="F973" t="s">
        <v>68</v>
      </c>
      <c r="G973" t="s">
        <v>10231</v>
      </c>
      <c r="H973">
        <v>16.98</v>
      </c>
      <c r="I973">
        <v>0</v>
      </c>
      <c r="J973">
        <v>0</v>
      </c>
      <c r="K973">
        <v>0</v>
      </c>
      <c r="N973">
        <v>3</v>
      </c>
      <c r="O973">
        <v>3</v>
      </c>
      <c r="P973">
        <v>4</v>
      </c>
      <c r="Q973">
        <v>2</v>
      </c>
      <c r="R973">
        <v>25.98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H973">
        <v>25.98</v>
      </c>
    </row>
    <row r="974" spans="1:34" x14ac:dyDescent="0.3">
      <c r="A974" s="4">
        <v>991</v>
      </c>
      <c r="B974" s="5">
        <v>967</v>
      </c>
      <c r="C974">
        <v>8468</v>
      </c>
      <c r="D974" t="s">
        <v>10232</v>
      </c>
      <c r="E974" t="s">
        <v>26</v>
      </c>
      <c r="F974" t="s">
        <v>68</v>
      </c>
      <c r="G974" t="s">
        <v>10233</v>
      </c>
      <c r="H974">
        <v>18.95</v>
      </c>
      <c r="I974">
        <v>0</v>
      </c>
      <c r="J974">
        <v>0</v>
      </c>
      <c r="K974">
        <v>0</v>
      </c>
      <c r="L974">
        <v>7</v>
      </c>
      <c r="O974">
        <v>7</v>
      </c>
      <c r="P974">
        <v>0</v>
      </c>
      <c r="Q974">
        <v>0</v>
      </c>
      <c r="R974">
        <v>25.95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H974">
        <v>25.95</v>
      </c>
    </row>
    <row r="975" spans="1:34" x14ac:dyDescent="0.3">
      <c r="A975" s="4">
        <v>992</v>
      </c>
      <c r="B975" s="5">
        <v>968</v>
      </c>
      <c r="C975">
        <v>7690</v>
      </c>
      <c r="D975" t="s">
        <v>684</v>
      </c>
      <c r="E975" t="s">
        <v>132</v>
      </c>
      <c r="F975" t="s">
        <v>117</v>
      </c>
      <c r="G975" t="s">
        <v>10234</v>
      </c>
      <c r="H975">
        <v>18.95</v>
      </c>
      <c r="I975">
        <v>0</v>
      </c>
      <c r="J975">
        <v>0</v>
      </c>
      <c r="K975">
        <v>0</v>
      </c>
      <c r="N975">
        <v>3</v>
      </c>
      <c r="O975">
        <v>3</v>
      </c>
      <c r="P975">
        <v>4</v>
      </c>
      <c r="Q975">
        <v>0</v>
      </c>
      <c r="R975">
        <v>25.95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H975">
        <v>25.95</v>
      </c>
    </row>
    <row r="976" spans="1:34" x14ac:dyDescent="0.3">
      <c r="A976" s="4">
        <v>993</v>
      </c>
      <c r="B976" s="5">
        <v>969</v>
      </c>
      <c r="C976">
        <v>14300</v>
      </c>
      <c r="D976" t="s">
        <v>10235</v>
      </c>
      <c r="E976" t="s">
        <v>10236</v>
      </c>
      <c r="F976" t="s">
        <v>55</v>
      </c>
      <c r="G976" t="s">
        <v>10237</v>
      </c>
      <c r="H976">
        <v>16.95</v>
      </c>
      <c r="I976">
        <v>0</v>
      </c>
      <c r="J976">
        <v>0</v>
      </c>
      <c r="K976">
        <v>0</v>
      </c>
      <c r="N976">
        <v>3</v>
      </c>
      <c r="O976">
        <v>3</v>
      </c>
      <c r="P976">
        <v>4</v>
      </c>
      <c r="Q976">
        <v>2</v>
      </c>
      <c r="R976">
        <v>25.95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H976">
        <v>25.95</v>
      </c>
    </row>
    <row r="977" spans="1:34" x14ac:dyDescent="0.3">
      <c r="A977" s="4">
        <v>994</v>
      </c>
      <c r="B977" s="5">
        <v>970</v>
      </c>
      <c r="C977">
        <v>1616</v>
      </c>
      <c r="D977" t="s">
        <v>1287</v>
      </c>
      <c r="E977" t="s">
        <v>26</v>
      </c>
      <c r="F977" t="s">
        <v>1854</v>
      </c>
      <c r="G977" t="s">
        <v>10238</v>
      </c>
      <c r="H977">
        <v>17.93</v>
      </c>
      <c r="I977">
        <v>0</v>
      </c>
      <c r="J977">
        <v>0</v>
      </c>
      <c r="K977">
        <v>0</v>
      </c>
      <c r="N977">
        <v>3</v>
      </c>
      <c r="O977">
        <v>3</v>
      </c>
      <c r="P977">
        <v>0</v>
      </c>
      <c r="Q977">
        <v>2</v>
      </c>
      <c r="R977">
        <v>22.93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3</v>
      </c>
      <c r="AC977">
        <v>0</v>
      </c>
      <c r="AH977">
        <v>25.93</v>
      </c>
    </row>
    <row r="978" spans="1:34" x14ac:dyDescent="0.3">
      <c r="A978" s="4">
        <v>995</v>
      </c>
      <c r="B978" s="5">
        <v>971</v>
      </c>
      <c r="C978">
        <v>7452</v>
      </c>
      <c r="D978" t="s">
        <v>10239</v>
      </c>
      <c r="E978" t="s">
        <v>26</v>
      </c>
      <c r="F978" t="s">
        <v>972</v>
      </c>
      <c r="G978" t="s">
        <v>10240</v>
      </c>
      <c r="H978">
        <v>22.9</v>
      </c>
      <c r="I978">
        <v>0</v>
      </c>
      <c r="J978">
        <v>0</v>
      </c>
      <c r="K978">
        <v>0</v>
      </c>
      <c r="O978">
        <v>0</v>
      </c>
      <c r="P978">
        <v>0</v>
      </c>
      <c r="Q978">
        <v>0</v>
      </c>
      <c r="R978">
        <v>22.9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3</v>
      </c>
      <c r="AC978">
        <v>0</v>
      </c>
      <c r="AH978">
        <v>25.9</v>
      </c>
    </row>
    <row r="979" spans="1:34" x14ac:dyDescent="0.3">
      <c r="A979" s="4">
        <v>996</v>
      </c>
      <c r="B979" s="5">
        <v>972</v>
      </c>
      <c r="C979">
        <v>9147</v>
      </c>
      <c r="D979" t="s">
        <v>10241</v>
      </c>
      <c r="E979" t="s">
        <v>957</v>
      </c>
      <c r="F979" t="s">
        <v>14</v>
      </c>
      <c r="G979" t="s">
        <v>10242</v>
      </c>
      <c r="H979">
        <v>16.899999999999999</v>
      </c>
      <c r="I979">
        <v>0</v>
      </c>
      <c r="J979">
        <v>0</v>
      </c>
      <c r="K979">
        <v>0</v>
      </c>
      <c r="N979">
        <v>3</v>
      </c>
      <c r="O979">
        <v>3</v>
      </c>
      <c r="P979">
        <v>4</v>
      </c>
      <c r="Q979">
        <v>2</v>
      </c>
      <c r="R979">
        <v>25.9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 t="s">
        <v>130</v>
      </c>
      <c r="AH979">
        <v>25.9</v>
      </c>
    </row>
    <row r="980" spans="1:34" x14ac:dyDescent="0.3">
      <c r="A980" s="4">
        <v>997</v>
      </c>
      <c r="B980" s="5">
        <v>973</v>
      </c>
      <c r="C980">
        <v>10913</v>
      </c>
      <c r="D980" t="s">
        <v>1296</v>
      </c>
      <c r="E980" t="s">
        <v>54</v>
      </c>
      <c r="F980" t="s">
        <v>1450</v>
      </c>
      <c r="G980" t="s">
        <v>10243</v>
      </c>
      <c r="H980">
        <v>18.88</v>
      </c>
      <c r="I980">
        <v>0</v>
      </c>
      <c r="J980">
        <v>0</v>
      </c>
      <c r="K980">
        <v>0</v>
      </c>
      <c r="N980">
        <v>3</v>
      </c>
      <c r="O980">
        <v>3</v>
      </c>
      <c r="P980">
        <v>4</v>
      </c>
      <c r="Q980">
        <v>0</v>
      </c>
      <c r="R980">
        <v>25.88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H980">
        <v>25.88</v>
      </c>
    </row>
    <row r="981" spans="1:34" x14ac:dyDescent="0.3">
      <c r="A981" s="4">
        <v>998</v>
      </c>
      <c r="B981" s="5">
        <v>974</v>
      </c>
      <c r="C981">
        <v>4675</v>
      </c>
      <c r="D981" t="s">
        <v>10244</v>
      </c>
      <c r="E981" t="s">
        <v>132</v>
      </c>
      <c r="F981" t="s">
        <v>3094</v>
      </c>
      <c r="G981" t="s">
        <v>10245</v>
      </c>
      <c r="H981">
        <v>18.88</v>
      </c>
      <c r="I981">
        <v>0</v>
      </c>
      <c r="J981">
        <v>0</v>
      </c>
      <c r="K981">
        <v>0</v>
      </c>
      <c r="N981">
        <v>3</v>
      </c>
      <c r="O981">
        <v>3</v>
      </c>
      <c r="P981">
        <v>4</v>
      </c>
      <c r="Q981">
        <v>0</v>
      </c>
      <c r="R981">
        <v>25.88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H981">
        <v>25.88</v>
      </c>
    </row>
    <row r="982" spans="1:34" x14ac:dyDescent="0.3">
      <c r="A982" s="4">
        <v>999</v>
      </c>
      <c r="B982" s="5">
        <v>975</v>
      </c>
      <c r="C982">
        <v>8055</v>
      </c>
      <c r="D982" t="s">
        <v>2814</v>
      </c>
      <c r="E982" t="s">
        <v>143</v>
      </c>
      <c r="F982" t="s">
        <v>52</v>
      </c>
      <c r="G982" t="s">
        <v>10246</v>
      </c>
      <c r="H982">
        <v>18.88</v>
      </c>
      <c r="I982">
        <v>0</v>
      </c>
      <c r="J982">
        <v>0</v>
      </c>
      <c r="K982">
        <v>0</v>
      </c>
      <c r="L982">
        <v>7</v>
      </c>
      <c r="O982">
        <v>7</v>
      </c>
      <c r="P982">
        <v>0</v>
      </c>
      <c r="Q982">
        <v>0</v>
      </c>
      <c r="R982">
        <v>25.88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H982">
        <v>25.88</v>
      </c>
    </row>
    <row r="983" spans="1:34" x14ac:dyDescent="0.3">
      <c r="A983" s="4">
        <v>1000</v>
      </c>
      <c r="B983" s="5">
        <v>976</v>
      </c>
      <c r="C983">
        <v>2482</v>
      </c>
      <c r="D983" t="s">
        <v>10247</v>
      </c>
      <c r="E983" t="s">
        <v>147</v>
      </c>
      <c r="F983" t="s">
        <v>17</v>
      </c>
      <c r="G983" t="s">
        <v>10248</v>
      </c>
      <c r="H983">
        <v>16.850000000000001</v>
      </c>
      <c r="I983">
        <v>0</v>
      </c>
      <c r="J983">
        <v>0</v>
      </c>
      <c r="K983">
        <v>0</v>
      </c>
      <c r="L983">
        <v>7</v>
      </c>
      <c r="O983">
        <v>7</v>
      </c>
      <c r="P983">
        <v>0</v>
      </c>
      <c r="Q983">
        <v>2</v>
      </c>
      <c r="R983">
        <v>25.85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H983">
        <v>25.85</v>
      </c>
    </row>
    <row r="984" spans="1:34" x14ac:dyDescent="0.3">
      <c r="A984" s="4">
        <v>1001</v>
      </c>
      <c r="B984" s="5">
        <v>977</v>
      </c>
      <c r="C984">
        <v>2966</v>
      </c>
      <c r="D984" t="s">
        <v>3889</v>
      </c>
      <c r="E984" t="s">
        <v>132</v>
      </c>
      <c r="F984" t="s">
        <v>20</v>
      </c>
      <c r="G984" t="s">
        <v>10249</v>
      </c>
      <c r="H984">
        <v>19.829999999999998</v>
      </c>
      <c r="I984">
        <v>0</v>
      </c>
      <c r="J984">
        <v>0</v>
      </c>
      <c r="K984">
        <v>0</v>
      </c>
      <c r="O984">
        <v>0</v>
      </c>
      <c r="P984">
        <v>4</v>
      </c>
      <c r="Q984">
        <v>2</v>
      </c>
      <c r="R984">
        <v>25.83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H984">
        <v>25.83</v>
      </c>
    </row>
    <row r="985" spans="1:34" x14ac:dyDescent="0.3">
      <c r="A985" s="4">
        <v>1002</v>
      </c>
      <c r="B985" s="5">
        <v>978</v>
      </c>
      <c r="C985">
        <v>13665</v>
      </c>
      <c r="D985" t="s">
        <v>10250</v>
      </c>
      <c r="E985" t="s">
        <v>26</v>
      </c>
      <c r="F985" t="s">
        <v>55</v>
      </c>
      <c r="G985" t="s">
        <v>10251</v>
      </c>
      <c r="H985">
        <v>18.78</v>
      </c>
      <c r="I985">
        <v>0</v>
      </c>
      <c r="J985">
        <v>0</v>
      </c>
      <c r="K985">
        <v>0</v>
      </c>
      <c r="O985">
        <v>0</v>
      </c>
      <c r="P985">
        <v>4</v>
      </c>
      <c r="Q985">
        <v>0</v>
      </c>
      <c r="R985">
        <v>22.78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3</v>
      </c>
      <c r="AC985">
        <v>0</v>
      </c>
      <c r="AH985">
        <v>25.78</v>
      </c>
    </row>
    <row r="986" spans="1:34" x14ac:dyDescent="0.3">
      <c r="A986" s="4">
        <v>1003</v>
      </c>
      <c r="B986" s="5">
        <v>979</v>
      </c>
      <c r="C986">
        <v>1970</v>
      </c>
      <c r="D986" t="s">
        <v>10252</v>
      </c>
      <c r="E986" t="s">
        <v>10253</v>
      </c>
      <c r="F986" t="s">
        <v>10254</v>
      </c>
      <c r="G986">
        <v>647149372</v>
      </c>
      <c r="H986">
        <v>21.78</v>
      </c>
      <c r="I986">
        <v>0</v>
      </c>
      <c r="J986">
        <v>0</v>
      </c>
      <c r="K986">
        <v>0</v>
      </c>
      <c r="O986">
        <v>0</v>
      </c>
      <c r="P986">
        <v>4</v>
      </c>
      <c r="Q986">
        <v>0</v>
      </c>
      <c r="R986">
        <v>25.78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H986">
        <v>25.78</v>
      </c>
    </row>
    <row r="987" spans="1:34" x14ac:dyDescent="0.3">
      <c r="A987" s="4">
        <v>1004</v>
      </c>
      <c r="B987" s="5">
        <v>980</v>
      </c>
      <c r="C987">
        <v>3703</v>
      </c>
      <c r="D987" t="s">
        <v>10255</v>
      </c>
      <c r="E987" t="s">
        <v>10256</v>
      </c>
      <c r="F987" t="s">
        <v>38</v>
      </c>
      <c r="G987" t="s">
        <v>10257</v>
      </c>
      <c r="H987">
        <v>16.78</v>
      </c>
      <c r="I987">
        <v>0</v>
      </c>
      <c r="J987">
        <v>0</v>
      </c>
      <c r="K987">
        <v>0</v>
      </c>
      <c r="M987">
        <v>5</v>
      </c>
      <c r="O987">
        <v>5</v>
      </c>
      <c r="P987">
        <v>4</v>
      </c>
      <c r="Q987">
        <v>0</v>
      </c>
      <c r="R987">
        <v>25.78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H987">
        <v>25.78</v>
      </c>
    </row>
    <row r="988" spans="1:34" x14ac:dyDescent="0.3">
      <c r="A988" s="4">
        <v>1005</v>
      </c>
      <c r="B988" s="5">
        <v>981</v>
      </c>
      <c r="C988">
        <v>11753</v>
      </c>
      <c r="D988" t="s">
        <v>10258</v>
      </c>
      <c r="E988" t="s">
        <v>54</v>
      </c>
      <c r="F988" t="s">
        <v>10259</v>
      </c>
      <c r="G988" t="s">
        <v>10260</v>
      </c>
      <c r="H988">
        <v>16.78</v>
      </c>
      <c r="I988">
        <v>0</v>
      </c>
      <c r="J988">
        <v>0</v>
      </c>
      <c r="K988">
        <v>0</v>
      </c>
      <c r="L988">
        <v>7</v>
      </c>
      <c r="O988">
        <v>7</v>
      </c>
      <c r="P988">
        <v>0</v>
      </c>
      <c r="Q988">
        <v>2</v>
      </c>
      <c r="R988">
        <v>25.78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H988">
        <v>25.78</v>
      </c>
    </row>
    <row r="989" spans="1:34" x14ac:dyDescent="0.3">
      <c r="A989" s="4">
        <v>1006</v>
      </c>
      <c r="B989" s="5">
        <v>982</v>
      </c>
      <c r="C989">
        <v>14224</v>
      </c>
      <c r="D989" t="s">
        <v>5229</v>
      </c>
      <c r="E989" t="s">
        <v>816</v>
      </c>
      <c r="F989" t="s">
        <v>38</v>
      </c>
      <c r="G989" t="s">
        <v>10261</v>
      </c>
      <c r="H989">
        <v>18.75</v>
      </c>
      <c r="I989">
        <v>0</v>
      </c>
      <c r="J989">
        <v>0</v>
      </c>
      <c r="K989">
        <v>0</v>
      </c>
      <c r="N989">
        <v>3</v>
      </c>
      <c r="O989">
        <v>3</v>
      </c>
      <c r="P989">
        <v>4</v>
      </c>
      <c r="Q989">
        <v>0</v>
      </c>
      <c r="R989">
        <v>25.75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H989">
        <v>25.75</v>
      </c>
    </row>
    <row r="990" spans="1:34" x14ac:dyDescent="0.3">
      <c r="A990" s="4">
        <v>1007</v>
      </c>
      <c r="B990" s="5">
        <v>983</v>
      </c>
      <c r="C990">
        <v>13644</v>
      </c>
      <c r="D990" t="s">
        <v>549</v>
      </c>
      <c r="E990" t="s">
        <v>208</v>
      </c>
      <c r="F990" t="s">
        <v>158</v>
      </c>
      <c r="G990" t="s">
        <v>10262</v>
      </c>
      <c r="H990">
        <v>18.73</v>
      </c>
      <c r="I990">
        <v>0</v>
      </c>
      <c r="J990">
        <v>0</v>
      </c>
      <c r="K990">
        <v>0</v>
      </c>
      <c r="N990">
        <v>3</v>
      </c>
      <c r="O990">
        <v>3</v>
      </c>
      <c r="P990">
        <v>4</v>
      </c>
      <c r="Q990">
        <v>0</v>
      </c>
      <c r="R990">
        <v>25.73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H990">
        <v>25.73</v>
      </c>
    </row>
    <row r="991" spans="1:34" x14ac:dyDescent="0.3">
      <c r="A991" s="4">
        <v>1008</v>
      </c>
      <c r="B991" s="5">
        <v>984</v>
      </c>
      <c r="C991">
        <v>13125</v>
      </c>
      <c r="D991" t="s">
        <v>5919</v>
      </c>
      <c r="E991" t="s">
        <v>110</v>
      </c>
      <c r="F991" t="s">
        <v>38</v>
      </c>
      <c r="G991" t="s">
        <v>10263</v>
      </c>
      <c r="H991">
        <v>19.7</v>
      </c>
      <c r="I991">
        <v>0</v>
      </c>
      <c r="J991">
        <v>0</v>
      </c>
      <c r="K991">
        <v>0</v>
      </c>
      <c r="O991">
        <v>0</v>
      </c>
      <c r="P991">
        <v>0</v>
      </c>
      <c r="Q991">
        <v>0</v>
      </c>
      <c r="R991">
        <v>19.7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6</v>
      </c>
      <c r="AC991">
        <v>0</v>
      </c>
      <c r="AH991">
        <v>25.7</v>
      </c>
    </row>
    <row r="992" spans="1:34" x14ac:dyDescent="0.3">
      <c r="A992" s="4">
        <v>1009</v>
      </c>
      <c r="B992" s="5">
        <v>985</v>
      </c>
      <c r="C992">
        <v>9173</v>
      </c>
      <c r="D992" t="s">
        <v>74</v>
      </c>
      <c r="E992" t="s">
        <v>54</v>
      </c>
      <c r="F992" t="s">
        <v>81</v>
      </c>
      <c r="G992" t="s">
        <v>10264</v>
      </c>
      <c r="H992">
        <v>17.68</v>
      </c>
      <c r="I992">
        <v>0</v>
      </c>
      <c r="J992">
        <v>0</v>
      </c>
      <c r="K992">
        <v>0</v>
      </c>
      <c r="N992">
        <v>3</v>
      </c>
      <c r="O992">
        <v>3</v>
      </c>
      <c r="P992">
        <v>0</v>
      </c>
      <c r="Q992">
        <v>2</v>
      </c>
      <c r="R992">
        <v>22.68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3</v>
      </c>
      <c r="AC992">
        <v>0</v>
      </c>
      <c r="AH992">
        <v>25.68</v>
      </c>
    </row>
    <row r="993" spans="1:34" x14ac:dyDescent="0.3">
      <c r="A993" s="4">
        <v>1010</v>
      </c>
      <c r="B993" s="5">
        <v>986</v>
      </c>
      <c r="C993">
        <v>11680</v>
      </c>
      <c r="D993" t="s">
        <v>10265</v>
      </c>
      <c r="E993" t="s">
        <v>10266</v>
      </c>
      <c r="F993" t="s">
        <v>20</v>
      </c>
      <c r="G993" t="s">
        <v>10267</v>
      </c>
      <c r="H993">
        <v>18.63</v>
      </c>
      <c r="I993">
        <v>0</v>
      </c>
      <c r="J993">
        <v>0</v>
      </c>
      <c r="K993">
        <v>0</v>
      </c>
      <c r="N993">
        <v>3</v>
      </c>
      <c r="O993">
        <v>3</v>
      </c>
      <c r="P993">
        <v>4</v>
      </c>
      <c r="Q993">
        <v>0</v>
      </c>
      <c r="R993">
        <v>25.63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 t="s">
        <v>130</v>
      </c>
      <c r="AH993">
        <v>25.63</v>
      </c>
    </row>
    <row r="994" spans="1:34" x14ac:dyDescent="0.3">
      <c r="A994" s="4">
        <v>1011</v>
      </c>
      <c r="B994" s="5">
        <v>987</v>
      </c>
      <c r="C994">
        <v>14833</v>
      </c>
      <c r="D994" t="s">
        <v>10268</v>
      </c>
      <c r="E994" t="s">
        <v>29</v>
      </c>
      <c r="F994" t="s">
        <v>30</v>
      </c>
      <c r="G994" t="s">
        <v>10269</v>
      </c>
      <c r="H994">
        <v>17.63</v>
      </c>
      <c r="I994">
        <v>0</v>
      </c>
      <c r="J994">
        <v>0</v>
      </c>
      <c r="K994">
        <v>0</v>
      </c>
      <c r="M994">
        <v>5</v>
      </c>
      <c r="N994">
        <v>3</v>
      </c>
      <c r="O994">
        <v>8</v>
      </c>
      <c r="P994">
        <v>0</v>
      </c>
      <c r="Q994">
        <v>0</v>
      </c>
      <c r="R994">
        <v>25.63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H994">
        <v>25.63</v>
      </c>
    </row>
    <row r="995" spans="1:34" x14ac:dyDescent="0.3">
      <c r="A995" s="4">
        <v>1012</v>
      </c>
      <c r="B995" s="5">
        <v>988</v>
      </c>
      <c r="C995">
        <v>7074</v>
      </c>
      <c r="D995" t="s">
        <v>10270</v>
      </c>
      <c r="E995" t="s">
        <v>273</v>
      </c>
      <c r="F995" t="s">
        <v>81</v>
      </c>
      <c r="G995" t="s">
        <v>10271</v>
      </c>
      <c r="H995">
        <v>18.600000000000001</v>
      </c>
      <c r="I995">
        <v>0</v>
      </c>
      <c r="J995">
        <v>0</v>
      </c>
      <c r="K995">
        <v>0</v>
      </c>
      <c r="N995">
        <v>3</v>
      </c>
      <c r="O995">
        <v>3</v>
      </c>
      <c r="P995">
        <v>4</v>
      </c>
      <c r="Q995">
        <v>0</v>
      </c>
      <c r="R995">
        <v>25.6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H995">
        <v>25.6</v>
      </c>
    </row>
    <row r="996" spans="1:34" x14ac:dyDescent="0.3">
      <c r="A996" s="4">
        <v>1013</v>
      </c>
      <c r="B996" s="5">
        <v>989</v>
      </c>
      <c r="C996">
        <v>3640</v>
      </c>
      <c r="D996" t="s">
        <v>3200</v>
      </c>
      <c r="E996" t="s">
        <v>692</v>
      </c>
      <c r="F996" t="s">
        <v>381</v>
      </c>
      <c r="G996" t="s">
        <v>10272</v>
      </c>
      <c r="H996">
        <v>18.600000000000001</v>
      </c>
      <c r="I996">
        <v>0</v>
      </c>
      <c r="J996">
        <v>0</v>
      </c>
      <c r="K996">
        <v>0</v>
      </c>
      <c r="N996">
        <v>3</v>
      </c>
      <c r="O996">
        <v>3</v>
      </c>
      <c r="P996">
        <v>4</v>
      </c>
      <c r="Q996">
        <v>0</v>
      </c>
      <c r="R996">
        <v>25.6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H996">
        <v>25.6</v>
      </c>
    </row>
    <row r="997" spans="1:34" x14ac:dyDescent="0.3">
      <c r="A997" s="4">
        <v>1014</v>
      </c>
      <c r="B997" s="5">
        <v>990</v>
      </c>
      <c r="C997">
        <v>924</v>
      </c>
      <c r="D997" t="s">
        <v>10273</v>
      </c>
      <c r="E997" t="s">
        <v>139</v>
      </c>
      <c r="F997" t="s">
        <v>81</v>
      </c>
      <c r="G997" t="s">
        <v>10274</v>
      </c>
      <c r="H997">
        <v>18.579999999999998</v>
      </c>
      <c r="I997">
        <v>0</v>
      </c>
      <c r="J997">
        <v>0</v>
      </c>
      <c r="K997">
        <v>0</v>
      </c>
      <c r="N997">
        <v>3</v>
      </c>
      <c r="O997">
        <v>3</v>
      </c>
      <c r="P997">
        <v>4</v>
      </c>
      <c r="Q997">
        <v>0</v>
      </c>
      <c r="R997">
        <v>25.58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H997">
        <v>25.58</v>
      </c>
    </row>
    <row r="998" spans="1:34" x14ac:dyDescent="0.3">
      <c r="A998" s="4">
        <v>1015</v>
      </c>
      <c r="B998" s="5">
        <v>991</v>
      </c>
      <c r="C998">
        <v>15305</v>
      </c>
      <c r="D998" t="s">
        <v>10275</v>
      </c>
      <c r="E998" t="s">
        <v>516</v>
      </c>
      <c r="F998" t="s">
        <v>52</v>
      </c>
      <c r="G998" t="s">
        <v>10276</v>
      </c>
      <c r="H998">
        <v>19.55</v>
      </c>
      <c r="I998">
        <v>0</v>
      </c>
      <c r="J998">
        <v>0</v>
      </c>
      <c r="K998">
        <v>0</v>
      </c>
      <c r="O998">
        <v>0</v>
      </c>
      <c r="P998">
        <v>0</v>
      </c>
      <c r="Q998">
        <v>0</v>
      </c>
      <c r="R998">
        <v>19.55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6</v>
      </c>
      <c r="AC998">
        <v>0</v>
      </c>
      <c r="AH998">
        <v>25.55</v>
      </c>
    </row>
    <row r="999" spans="1:34" x14ac:dyDescent="0.3">
      <c r="A999" s="4">
        <v>1016</v>
      </c>
      <c r="B999" s="5">
        <v>992</v>
      </c>
      <c r="C999">
        <v>710</v>
      </c>
      <c r="D999" t="s">
        <v>4763</v>
      </c>
      <c r="E999" t="s">
        <v>132</v>
      </c>
      <c r="F999" t="s">
        <v>91</v>
      </c>
      <c r="G999" t="s">
        <v>4764</v>
      </c>
      <c r="H999">
        <v>16.55</v>
      </c>
      <c r="I999">
        <v>0</v>
      </c>
      <c r="J999">
        <v>0</v>
      </c>
      <c r="K999">
        <v>0</v>
      </c>
      <c r="O999">
        <v>0</v>
      </c>
      <c r="P999">
        <v>4</v>
      </c>
      <c r="Q999">
        <v>2</v>
      </c>
      <c r="R999">
        <v>22.55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3</v>
      </c>
      <c r="AC999">
        <v>0</v>
      </c>
      <c r="AH999">
        <v>25.55</v>
      </c>
    </row>
    <row r="1000" spans="1:34" x14ac:dyDescent="0.3">
      <c r="A1000" s="4">
        <v>1017</v>
      </c>
      <c r="B1000" s="5">
        <v>993</v>
      </c>
      <c r="C1000">
        <v>13692</v>
      </c>
      <c r="D1000" t="s">
        <v>569</v>
      </c>
      <c r="E1000" t="s">
        <v>41</v>
      </c>
      <c r="F1000" t="s">
        <v>243</v>
      </c>
      <c r="G1000" t="s">
        <v>10277</v>
      </c>
      <c r="H1000">
        <v>18.5</v>
      </c>
      <c r="I1000">
        <v>0</v>
      </c>
      <c r="J1000">
        <v>0</v>
      </c>
      <c r="K1000">
        <v>0</v>
      </c>
      <c r="L1000">
        <v>7</v>
      </c>
      <c r="O1000">
        <v>7</v>
      </c>
      <c r="P1000">
        <v>0</v>
      </c>
      <c r="Q1000">
        <v>0</v>
      </c>
      <c r="R1000">
        <v>25.5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E1000" t="s">
        <v>130</v>
      </c>
      <c r="AH1000">
        <v>25.5</v>
      </c>
    </row>
    <row r="1001" spans="1:34" x14ac:dyDescent="0.3">
      <c r="A1001" s="4">
        <v>1018</v>
      </c>
      <c r="B1001" s="5">
        <v>994</v>
      </c>
      <c r="C1001">
        <v>9124</v>
      </c>
      <c r="D1001" t="s">
        <v>9119</v>
      </c>
      <c r="E1001" t="s">
        <v>110</v>
      </c>
      <c r="F1001" t="s">
        <v>117</v>
      </c>
      <c r="G1001" t="s">
        <v>10278</v>
      </c>
      <c r="H1001">
        <v>21.48</v>
      </c>
      <c r="I1001">
        <v>0</v>
      </c>
      <c r="J1001">
        <v>0</v>
      </c>
      <c r="K1001">
        <v>0</v>
      </c>
      <c r="O1001">
        <v>0</v>
      </c>
      <c r="P1001">
        <v>4</v>
      </c>
      <c r="Q1001">
        <v>0</v>
      </c>
      <c r="R1001">
        <v>25.48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H1001">
        <v>25.48</v>
      </c>
    </row>
    <row r="1002" spans="1:34" x14ac:dyDescent="0.3">
      <c r="A1002" s="4">
        <v>1019</v>
      </c>
      <c r="B1002" s="5">
        <v>995</v>
      </c>
      <c r="C1002">
        <v>6951</v>
      </c>
      <c r="D1002" t="s">
        <v>10279</v>
      </c>
      <c r="E1002" t="s">
        <v>10280</v>
      </c>
      <c r="F1002" t="s">
        <v>30</v>
      </c>
      <c r="G1002" t="s">
        <v>10281</v>
      </c>
      <c r="H1002">
        <v>20.48</v>
      </c>
      <c r="I1002">
        <v>0</v>
      </c>
      <c r="J1002">
        <v>0</v>
      </c>
      <c r="K1002">
        <v>0</v>
      </c>
      <c r="M1002">
        <v>5</v>
      </c>
      <c r="O1002">
        <v>5</v>
      </c>
      <c r="P1002">
        <v>0</v>
      </c>
      <c r="Q1002">
        <v>0</v>
      </c>
      <c r="R1002">
        <v>25.48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 t="s">
        <v>130</v>
      </c>
      <c r="AH1002">
        <v>25.48</v>
      </c>
    </row>
    <row r="1003" spans="1:34" x14ac:dyDescent="0.3">
      <c r="A1003" s="4">
        <v>1020</v>
      </c>
      <c r="B1003" s="5">
        <v>996</v>
      </c>
      <c r="C1003">
        <v>526</v>
      </c>
      <c r="D1003" t="s">
        <v>1822</v>
      </c>
      <c r="E1003" t="s">
        <v>575</v>
      </c>
      <c r="F1003" t="s">
        <v>38</v>
      </c>
      <c r="G1003" t="s">
        <v>10282</v>
      </c>
      <c r="H1003">
        <v>18.399999999999999</v>
      </c>
      <c r="I1003">
        <v>0</v>
      </c>
      <c r="J1003">
        <v>0</v>
      </c>
      <c r="K1003">
        <v>0</v>
      </c>
      <c r="N1003">
        <v>3</v>
      </c>
      <c r="O1003">
        <v>3</v>
      </c>
      <c r="P1003">
        <v>4</v>
      </c>
      <c r="Q1003">
        <v>0</v>
      </c>
      <c r="R1003">
        <v>25.4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H1003">
        <v>25.4</v>
      </c>
    </row>
    <row r="1004" spans="1:34" x14ac:dyDescent="0.3">
      <c r="A1004" s="4">
        <v>1021</v>
      </c>
      <c r="B1004" s="5">
        <v>997</v>
      </c>
      <c r="C1004">
        <v>12411</v>
      </c>
      <c r="D1004" t="s">
        <v>1088</v>
      </c>
      <c r="E1004" t="s">
        <v>41</v>
      </c>
      <c r="F1004" t="s">
        <v>81</v>
      </c>
      <c r="G1004" t="s">
        <v>10283</v>
      </c>
      <c r="H1004">
        <v>18.399999999999999</v>
      </c>
      <c r="I1004">
        <v>0</v>
      </c>
      <c r="J1004">
        <v>0</v>
      </c>
      <c r="K1004">
        <v>0</v>
      </c>
      <c r="L1004">
        <v>7</v>
      </c>
      <c r="O1004">
        <v>7</v>
      </c>
      <c r="P1004">
        <v>0</v>
      </c>
      <c r="Q1004">
        <v>0</v>
      </c>
      <c r="R1004">
        <v>25.4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H1004">
        <v>25.4</v>
      </c>
    </row>
    <row r="1005" spans="1:34" x14ac:dyDescent="0.3">
      <c r="A1005" s="4">
        <v>1022</v>
      </c>
      <c r="B1005" s="5">
        <v>998</v>
      </c>
      <c r="C1005">
        <v>14525</v>
      </c>
      <c r="D1005" t="s">
        <v>10284</v>
      </c>
      <c r="E1005" t="s">
        <v>10285</v>
      </c>
      <c r="F1005" t="s">
        <v>68</v>
      </c>
      <c r="G1005" t="s">
        <v>10286</v>
      </c>
      <c r="H1005">
        <v>18.399999999999999</v>
      </c>
      <c r="I1005">
        <v>0</v>
      </c>
      <c r="J1005">
        <v>0</v>
      </c>
      <c r="K1005">
        <v>0</v>
      </c>
      <c r="L1005">
        <v>7</v>
      </c>
      <c r="O1005">
        <v>7</v>
      </c>
      <c r="P1005">
        <v>0</v>
      </c>
      <c r="Q1005">
        <v>0</v>
      </c>
      <c r="R1005">
        <v>25.4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H1005">
        <v>25.4</v>
      </c>
    </row>
    <row r="1006" spans="1:34" x14ac:dyDescent="0.3">
      <c r="A1006" s="4">
        <v>1023</v>
      </c>
      <c r="B1006" s="5">
        <v>999</v>
      </c>
      <c r="C1006">
        <v>8214</v>
      </c>
      <c r="D1006" t="s">
        <v>10287</v>
      </c>
      <c r="E1006" t="s">
        <v>173</v>
      </c>
      <c r="F1006" t="s">
        <v>17</v>
      </c>
      <c r="G1006" t="s">
        <v>10288</v>
      </c>
      <c r="H1006">
        <v>19.38</v>
      </c>
      <c r="I1006">
        <v>0</v>
      </c>
      <c r="J1006">
        <v>0</v>
      </c>
      <c r="K1006">
        <v>0</v>
      </c>
      <c r="N1006">
        <v>6</v>
      </c>
      <c r="O1006">
        <v>6</v>
      </c>
      <c r="P1006">
        <v>0</v>
      </c>
      <c r="Q1006">
        <v>0</v>
      </c>
      <c r="R1006">
        <v>25.38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 t="s">
        <v>130</v>
      </c>
      <c r="AH1006">
        <v>25.38</v>
      </c>
    </row>
    <row r="1007" spans="1:34" x14ac:dyDescent="0.3">
      <c r="A1007" s="4">
        <v>1024</v>
      </c>
      <c r="B1007" s="5">
        <v>1000</v>
      </c>
      <c r="C1007">
        <v>11244</v>
      </c>
      <c r="D1007" t="s">
        <v>10289</v>
      </c>
      <c r="E1007" t="s">
        <v>10290</v>
      </c>
      <c r="F1007" t="s">
        <v>20</v>
      </c>
      <c r="G1007" t="s">
        <v>10291</v>
      </c>
      <c r="H1007">
        <v>18.350000000000001</v>
      </c>
      <c r="I1007">
        <v>0</v>
      </c>
      <c r="J1007">
        <v>0</v>
      </c>
      <c r="K1007">
        <v>0</v>
      </c>
      <c r="M1007">
        <v>5</v>
      </c>
      <c r="O1007">
        <v>5</v>
      </c>
      <c r="P1007">
        <v>0</v>
      </c>
      <c r="Q1007">
        <v>2</v>
      </c>
      <c r="R1007">
        <v>25.35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H1007">
        <v>25.35</v>
      </c>
    </row>
    <row r="1008" spans="1:34" x14ac:dyDescent="0.3">
      <c r="A1008" s="4">
        <v>1025</v>
      </c>
      <c r="B1008" s="5">
        <v>1001</v>
      </c>
      <c r="C1008">
        <v>4502</v>
      </c>
      <c r="D1008" t="s">
        <v>7601</v>
      </c>
      <c r="E1008" t="s">
        <v>173</v>
      </c>
      <c r="F1008" t="s">
        <v>38</v>
      </c>
      <c r="G1008" t="s">
        <v>10292</v>
      </c>
      <c r="H1008">
        <v>16.28</v>
      </c>
      <c r="I1008">
        <v>0</v>
      </c>
      <c r="J1008">
        <v>0</v>
      </c>
      <c r="K1008">
        <v>0</v>
      </c>
      <c r="N1008">
        <v>3</v>
      </c>
      <c r="O1008">
        <v>3</v>
      </c>
      <c r="P1008">
        <v>4</v>
      </c>
      <c r="Q1008">
        <v>2</v>
      </c>
      <c r="R1008">
        <v>25.28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H1008">
        <v>25.28</v>
      </c>
    </row>
    <row r="1009" spans="1:34" x14ac:dyDescent="0.3">
      <c r="A1009" s="4">
        <v>1026</v>
      </c>
      <c r="B1009" s="5">
        <v>1002</v>
      </c>
      <c r="C1009">
        <v>14444</v>
      </c>
      <c r="D1009" t="s">
        <v>10293</v>
      </c>
      <c r="E1009" t="s">
        <v>110</v>
      </c>
      <c r="F1009" t="s">
        <v>20</v>
      </c>
      <c r="G1009" t="s">
        <v>10294</v>
      </c>
      <c r="H1009">
        <v>16.2</v>
      </c>
      <c r="I1009">
        <v>0</v>
      </c>
      <c r="J1009">
        <v>0</v>
      </c>
      <c r="K1009">
        <v>0</v>
      </c>
      <c r="N1009">
        <v>3</v>
      </c>
      <c r="O1009">
        <v>3</v>
      </c>
      <c r="P1009">
        <v>4</v>
      </c>
      <c r="Q1009">
        <v>2</v>
      </c>
      <c r="R1009">
        <v>25.2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H1009">
        <v>25.2</v>
      </c>
    </row>
    <row r="1010" spans="1:34" x14ac:dyDescent="0.3">
      <c r="A1010" s="4">
        <v>1027</v>
      </c>
      <c r="B1010" s="5">
        <v>1003</v>
      </c>
      <c r="C1010">
        <v>8516</v>
      </c>
      <c r="D1010" t="s">
        <v>10295</v>
      </c>
      <c r="E1010" t="s">
        <v>789</v>
      </c>
      <c r="F1010" t="s">
        <v>17</v>
      </c>
      <c r="G1010" t="s">
        <v>10296</v>
      </c>
      <c r="H1010">
        <v>18.18</v>
      </c>
      <c r="I1010">
        <v>0</v>
      </c>
      <c r="J1010">
        <v>0</v>
      </c>
      <c r="K1010">
        <v>0</v>
      </c>
      <c r="N1010">
        <v>3</v>
      </c>
      <c r="O1010">
        <v>3</v>
      </c>
      <c r="P1010">
        <v>4</v>
      </c>
      <c r="Q1010">
        <v>0</v>
      </c>
      <c r="R1010">
        <v>25.18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H1010">
        <v>25.18</v>
      </c>
    </row>
    <row r="1011" spans="1:34" x14ac:dyDescent="0.3">
      <c r="A1011" s="4">
        <v>1028</v>
      </c>
      <c r="B1011" s="5">
        <v>1004</v>
      </c>
      <c r="C1011">
        <v>10568</v>
      </c>
      <c r="D1011" t="s">
        <v>5091</v>
      </c>
      <c r="E1011" t="s">
        <v>37</v>
      </c>
      <c r="F1011" t="s">
        <v>375</v>
      </c>
      <c r="G1011" t="s">
        <v>5092</v>
      </c>
      <c r="H1011">
        <v>17.13</v>
      </c>
      <c r="I1011">
        <v>0</v>
      </c>
      <c r="J1011">
        <v>0</v>
      </c>
      <c r="K1011">
        <v>0</v>
      </c>
      <c r="O1011">
        <v>0</v>
      </c>
      <c r="P1011">
        <v>0</v>
      </c>
      <c r="Q1011">
        <v>2</v>
      </c>
      <c r="R1011">
        <v>19.13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6</v>
      </c>
      <c r="AC1011">
        <v>0</v>
      </c>
      <c r="AH1011">
        <v>25.13</v>
      </c>
    </row>
    <row r="1012" spans="1:34" x14ac:dyDescent="0.3">
      <c r="A1012" s="4">
        <v>1029</v>
      </c>
      <c r="B1012" s="5">
        <v>1005</v>
      </c>
      <c r="C1012">
        <v>5987</v>
      </c>
      <c r="D1012" t="s">
        <v>6683</v>
      </c>
      <c r="E1012" t="s">
        <v>29</v>
      </c>
      <c r="F1012" t="s">
        <v>81</v>
      </c>
      <c r="G1012" t="s">
        <v>10297</v>
      </c>
      <c r="H1012">
        <v>19.079999999999998</v>
      </c>
      <c r="I1012">
        <v>0</v>
      </c>
      <c r="J1012">
        <v>0</v>
      </c>
      <c r="K1012">
        <v>0</v>
      </c>
      <c r="N1012">
        <v>3</v>
      </c>
      <c r="O1012">
        <v>3</v>
      </c>
      <c r="P1012">
        <v>0</v>
      </c>
      <c r="Q1012">
        <v>0</v>
      </c>
      <c r="R1012">
        <v>22.08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3</v>
      </c>
      <c r="AC1012">
        <v>0</v>
      </c>
      <c r="AH1012">
        <v>25.08</v>
      </c>
    </row>
    <row r="1013" spans="1:34" x14ac:dyDescent="0.3">
      <c r="A1013" s="4">
        <v>1030</v>
      </c>
      <c r="B1013" s="5">
        <v>1006</v>
      </c>
      <c r="C1013">
        <v>14924</v>
      </c>
      <c r="D1013" t="s">
        <v>10298</v>
      </c>
      <c r="E1013" t="s">
        <v>343</v>
      </c>
      <c r="F1013" t="s">
        <v>30</v>
      </c>
      <c r="G1013" t="s">
        <v>10299</v>
      </c>
      <c r="H1013">
        <v>18.079999999999998</v>
      </c>
      <c r="I1013">
        <v>0</v>
      </c>
      <c r="J1013">
        <v>0</v>
      </c>
      <c r="K1013">
        <v>0</v>
      </c>
      <c r="N1013">
        <v>3</v>
      </c>
      <c r="O1013">
        <v>3</v>
      </c>
      <c r="P1013">
        <v>4</v>
      </c>
      <c r="Q1013">
        <v>0</v>
      </c>
      <c r="R1013">
        <v>25.08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H1013">
        <v>25.08</v>
      </c>
    </row>
    <row r="1014" spans="1:34" x14ac:dyDescent="0.3">
      <c r="A1014" s="4">
        <v>1031</v>
      </c>
      <c r="B1014" s="5">
        <v>1007</v>
      </c>
      <c r="C1014">
        <v>1738</v>
      </c>
      <c r="D1014" t="s">
        <v>10300</v>
      </c>
      <c r="E1014" t="s">
        <v>335</v>
      </c>
      <c r="F1014" t="s">
        <v>52</v>
      </c>
      <c r="G1014" t="s">
        <v>10301</v>
      </c>
      <c r="H1014">
        <v>18.079999999999998</v>
      </c>
      <c r="I1014">
        <v>0</v>
      </c>
      <c r="J1014">
        <v>0</v>
      </c>
      <c r="K1014">
        <v>0</v>
      </c>
      <c r="N1014">
        <v>3</v>
      </c>
      <c r="O1014">
        <v>3</v>
      </c>
      <c r="P1014">
        <v>4</v>
      </c>
      <c r="Q1014">
        <v>0</v>
      </c>
      <c r="R1014">
        <v>25.08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H1014">
        <v>25.08</v>
      </c>
    </row>
    <row r="1015" spans="1:34" x14ac:dyDescent="0.3">
      <c r="A1015" s="4">
        <v>1032</v>
      </c>
      <c r="B1015" s="5">
        <v>1008</v>
      </c>
      <c r="C1015">
        <v>14579</v>
      </c>
      <c r="D1015" t="s">
        <v>4893</v>
      </c>
      <c r="E1015" t="s">
        <v>33</v>
      </c>
      <c r="F1015" t="s">
        <v>1265</v>
      </c>
      <c r="G1015" t="s">
        <v>10302</v>
      </c>
      <c r="H1015">
        <v>18.079999999999998</v>
      </c>
      <c r="I1015">
        <v>0</v>
      </c>
      <c r="J1015">
        <v>0</v>
      </c>
      <c r="K1015">
        <v>0</v>
      </c>
      <c r="N1015">
        <v>3</v>
      </c>
      <c r="O1015">
        <v>3</v>
      </c>
      <c r="P1015">
        <v>4</v>
      </c>
      <c r="Q1015">
        <v>0</v>
      </c>
      <c r="R1015">
        <v>25.08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H1015">
        <v>25.08</v>
      </c>
    </row>
    <row r="1016" spans="1:34" x14ac:dyDescent="0.3">
      <c r="A1016" s="4">
        <v>1033</v>
      </c>
      <c r="B1016" s="5">
        <v>1009</v>
      </c>
      <c r="C1016">
        <v>15681</v>
      </c>
      <c r="D1016" t="s">
        <v>3599</v>
      </c>
      <c r="E1016" t="s">
        <v>33</v>
      </c>
      <c r="F1016" t="s">
        <v>136</v>
      </c>
      <c r="G1016" t="s">
        <v>10303</v>
      </c>
      <c r="H1016">
        <v>18.03</v>
      </c>
      <c r="I1016">
        <v>0</v>
      </c>
      <c r="J1016">
        <v>0</v>
      </c>
      <c r="K1016">
        <v>0</v>
      </c>
      <c r="N1016">
        <v>3</v>
      </c>
      <c r="O1016">
        <v>3</v>
      </c>
      <c r="P1016">
        <v>4</v>
      </c>
      <c r="Q1016">
        <v>0</v>
      </c>
      <c r="R1016">
        <v>25.03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H1016">
        <v>25.03</v>
      </c>
    </row>
    <row r="1017" spans="1:34" x14ac:dyDescent="0.3">
      <c r="A1017" s="4">
        <v>1034</v>
      </c>
      <c r="B1017" s="5">
        <v>1010</v>
      </c>
      <c r="C1017">
        <v>8206</v>
      </c>
      <c r="D1017" t="s">
        <v>10304</v>
      </c>
      <c r="E1017" t="s">
        <v>29</v>
      </c>
      <c r="F1017" t="s">
        <v>310</v>
      </c>
      <c r="G1017" t="s">
        <v>10305</v>
      </c>
      <c r="H1017">
        <v>18.03</v>
      </c>
      <c r="I1017">
        <v>0</v>
      </c>
      <c r="J1017">
        <v>0</v>
      </c>
      <c r="K1017">
        <v>0</v>
      </c>
      <c r="M1017">
        <v>5</v>
      </c>
      <c r="O1017">
        <v>5</v>
      </c>
      <c r="P1017">
        <v>0</v>
      </c>
      <c r="Q1017">
        <v>2</v>
      </c>
      <c r="R1017">
        <v>25.03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H1017">
        <v>25.03</v>
      </c>
    </row>
    <row r="1018" spans="1:34" x14ac:dyDescent="0.3">
      <c r="A1018" s="4">
        <v>1035</v>
      </c>
      <c r="B1018" s="5">
        <v>1011</v>
      </c>
      <c r="C1018">
        <v>7609</v>
      </c>
      <c r="D1018" t="s">
        <v>4937</v>
      </c>
      <c r="E1018" t="s">
        <v>957</v>
      </c>
      <c r="F1018" t="s">
        <v>117</v>
      </c>
      <c r="G1018" t="s">
        <v>10306</v>
      </c>
      <c r="H1018">
        <v>18</v>
      </c>
      <c r="I1018">
        <v>0</v>
      </c>
      <c r="J1018">
        <v>0</v>
      </c>
      <c r="K1018">
        <v>0</v>
      </c>
      <c r="N1018">
        <v>3</v>
      </c>
      <c r="O1018">
        <v>3</v>
      </c>
      <c r="P1018">
        <v>4</v>
      </c>
      <c r="Q1018">
        <v>0</v>
      </c>
      <c r="R1018">
        <v>25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H1018">
        <v>25</v>
      </c>
    </row>
    <row r="1019" spans="1:34" x14ac:dyDescent="0.3">
      <c r="A1019" s="4">
        <v>1036</v>
      </c>
      <c r="B1019" s="5">
        <v>1012</v>
      </c>
      <c r="C1019">
        <v>166</v>
      </c>
      <c r="D1019" t="s">
        <v>10307</v>
      </c>
      <c r="E1019" t="s">
        <v>14</v>
      </c>
      <c r="F1019" t="s">
        <v>1023</v>
      </c>
      <c r="G1019" t="s">
        <v>10308</v>
      </c>
      <c r="H1019">
        <v>17.98</v>
      </c>
      <c r="I1019">
        <v>0</v>
      </c>
      <c r="J1019">
        <v>0</v>
      </c>
      <c r="K1019">
        <v>0</v>
      </c>
      <c r="N1019">
        <v>3</v>
      </c>
      <c r="O1019">
        <v>3</v>
      </c>
      <c r="P1019">
        <v>4</v>
      </c>
      <c r="Q1019">
        <v>0</v>
      </c>
      <c r="R1019">
        <v>24.98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H1019">
        <v>24.98</v>
      </c>
    </row>
    <row r="1020" spans="1:34" x14ac:dyDescent="0.3">
      <c r="A1020" s="4">
        <v>1037</v>
      </c>
      <c r="B1020" s="5">
        <v>1013</v>
      </c>
      <c r="C1020">
        <v>13461</v>
      </c>
      <c r="D1020" t="s">
        <v>2961</v>
      </c>
      <c r="E1020" t="s">
        <v>424</v>
      </c>
      <c r="F1020" t="s">
        <v>328</v>
      </c>
      <c r="G1020">
        <v>302505</v>
      </c>
      <c r="H1020">
        <v>18.95</v>
      </c>
      <c r="I1020">
        <v>0</v>
      </c>
      <c r="J1020">
        <v>0</v>
      </c>
      <c r="K1020">
        <v>0</v>
      </c>
      <c r="O1020">
        <v>0</v>
      </c>
      <c r="P1020">
        <v>4</v>
      </c>
      <c r="Q1020">
        <v>0</v>
      </c>
      <c r="R1020">
        <v>22.95</v>
      </c>
      <c r="S1020">
        <v>2</v>
      </c>
      <c r="T1020">
        <v>2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2</v>
      </c>
      <c r="AB1020">
        <v>0</v>
      </c>
      <c r="AC1020">
        <v>0</v>
      </c>
      <c r="AH1020">
        <v>24.95</v>
      </c>
    </row>
    <row r="1021" spans="1:34" x14ac:dyDescent="0.3">
      <c r="A1021" s="4">
        <v>1038</v>
      </c>
      <c r="B1021" s="5">
        <v>1014</v>
      </c>
      <c r="C1021">
        <v>1070</v>
      </c>
      <c r="D1021" t="s">
        <v>10309</v>
      </c>
      <c r="E1021" t="s">
        <v>2792</v>
      </c>
      <c r="F1021" t="s">
        <v>1090</v>
      </c>
      <c r="G1021" t="s">
        <v>10310</v>
      </c>
      <c r="H1021">
        <v>17.93</v>
      </c>
      <c r="I1021">
        <v>0</v>
      </c>
      <c r="J1021">
        <v>0</v>
      </c>
      <c r="K1021">
        <v>0</v>
      </c>
      <c r="N1021">
        <v>3</v>
      </c>
      <c r="O1021">
        <v>3</v>
      </c>
      <c r="P1021">
        <v>4</v>
      </c>
      <c r="Q1021">
        <v>0</v>
      </c>
      <c r="R1021">
        <v>24.93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H1021">
        <v>24.93</v>
      </c>
    </row>
    <row r="1022" spans="1:34" x14ac:dyDescent="0.3">
      <c r="A1022" s="4">
        <v>1039</v>
      </c>
      <c r="B1022" s="5">
        <v>1015</v>
      </c>
      <c r="C1022">
        <v>622</v>
      </c>
      <c r="D1022" t="s">
        <v>10311</v>
      </c>
      <c r="E1022" t="s">
        <v>10312</v>
      </c>
      <c r="F1022" t="s">
        <v>10313</v>
      </c>
      <c r="G1022" t="s">
        <v>10314</v>
      </c>
      <c r="H1022">
        <v>18.899999999999999</v>
      </c>
      <c r="I1022">
        <v>0</v>
      </c>
      <c r="J1022">
        <v>0</v>
      </c>
      <c r="K1022">
        <v>0</v>
      </c>
      <c r="N1022">
        <v>3</v>
      </c>
      <c r="O1022">
        <v>3</v>
      </c>
      <c r="P1022">
        <v>0</v>
      </c>
      <c r="Q1022">
        <v>0</v>
      </c>
      <c r="R1022">
        <v>21.9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3</v>
      </c>
      <c r="AC1022">
        <v>0</v>
      </c>
      <c r="AH1022">
        <v>24.9</v>
      </c>
    </row>
    <row r="1023" spans="1:34" x14ac:dyDescent="0.3">
      <c r="A1023" s="4">
        <v>1040</v>
      </c>
      <c r="B1023" s="5">
        <v>1016</v>
      </c>
      <c r="C1023">
        <v>14205</v>
      </c>
      <c r="D1023" t="s">
        <v>10315</v>
      </c>
      <c r="E1023" t="s">
        <v>132</v>
      </c>
      <c r="F1023" t="s">
        <v>136</v>
      </c>
      <c r="G1023">
        <v>338025</v>
      </c>
      <c r="H1023">
        <v>17.88</v>
      </c>
      <c r="I1023">
        <v>0</v>
      </c>
      <c r="J1023">
        <v>0</v>
      </c>
      <c r="K1023">
        <v>0</v>
      </c>
      <c r="L1023">
        <v>7</v>
      </c>
      <c r="O1023">
        <v>7</v>
      </c>
      <c r="P1023">
        <v>0</v>
      </c>
      <c r="Q1023">
        <v>0</v>
      </c>
      <c r="R1023">
        <v>24.88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H1023">
        <v>24.88</v>
      </c>
    </row>
    <row r="1024" spans="1:34" x14ac:dyDescent="0.3">
      <c r="A1024" s="4">
        <v>1041</v>
      </c>
      <c r="B1024" s="5">
        <v>1017</v>
      </c>
      <c r="C1024">
        <v>208</v>
      </c>
      <c r="D1024" t="s">
        <v>10316</v>
      </c>
      <c r="E1024" t="s">
        <v>5537</v>
      </c>
      <c r="F1024" t="s">
        <v>10317</v>
      </c>
      <c r="G1024" t="s">
        <v>10318</v>
      </c>
      <c r="H1024">
        <v>17.88</v>
      </c>
      <c r="I1024">
        <v>0</v>
      </c>
      <c r="J1024">
        <v>0</v>
      </c>
      <c r="K1024">
        <v>0</v>
      </c>
      <c r="N1024">
        <v>3</v>
      </c>
      <c r="O1024">
        <v>3</v>
      </c>
      <c r="P1024">
        <v>4</v>
      </c>
      <c r="Q1024">
        <v>0</v>
      </c>
      <c r="R1024">
        <v>24.88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 t="s">
        <v>130</v>
      </c>
      <c r="AH1024">
        <v>24.88</v>
      </c>
    </row>
    <row r="1025" spans="1:34" x14ac:dyDescent="0.3">
      <c r="A1025" s="4">
        <v>1042</v>
      </c>
      <c r="B1025" s="5">
        <v>1018</v>
      </c>
      <c r="C1025">
        <v>13155</v>
      </c>
      <c r="D1025" t="s">
        <v>2786</v>
      </c>
      <c r="E1025" t="s">
        <v>424</v>
      </c>
      <c r="F1025" t="s">
        <v>243</v>
      </c>
      <c r="G1025" t="s">
        <v>32045</v>
      </c>
      <c r="H1025">
        <v>19.850000000000001</v>
      </c>
      <c r="I1025">
        <v>0</v>
      </c>
      <c r="J1025">
        <v>0</v>
      </c>
      <c r="K1025">
        <v>0</v>
      </c>
      <c r="N1025">
        <v>3</v>
      </c>
      <c r="O1025">
        <v>3</v>
      </c>
      <c r="P1025">
        <v>0</v>
      </c>
      <c r="Q1025">
        <v>2</v>
      </c>
      <c r="R1025">
        <v>24.85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H1025">
        <v>24.85</v>
      </c>
    </row>
    <row r="1026" spans="1:34" x14ac:dyDescent="0.3">
      <c r="A1026" s="4">
        <v>1043</v>
      </c>
      <c r="B1026" s="5">
        <v>1019</v>
      </c>
      <c r="C1026">
        <v>6094</v>
      </c>
      <c r="D1026" t="s">
        <v>10319</v>
      </c>
      <c r="E1026" t="s">
        <v>2473</v>
      </c>
      <c r="F1026" t="s">
        <v>214</v>
      </c>
      <c r="G1026" t="s">
        <v>10320</v>
      </c>
      <c r="H1026">
        <v>19.850000000000001</v>
      </c>
      <c r="I1026">
        <v>0</v>
      </c>
      <c r="J1026">
        <v>0</v>
      </c>
      <c r="K1026">
        <v>0</v>
      </c>
      <c r="M1026">
        <v>5</v>
      </c>
      <c r="O1026">
        <v>5</v>
      </c>
      <c r="P1026">
        <v>0</v>
      </c>
      <c r="Q1026">
        <v>0</v>
      </c>
      <c r="R1026">
        <v>24.85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H1026">
        <v>24.85</v>
      </c>
    </row>
    <row r="1027" spans="1:34" x14ac:dyDescent="0.3">
      <c r="A1027" s="4">
        <v>1044</v>
      </c>
      <c r="B1027" s="5">
        <v>1020</v>
      </c>
      <c r="C1027">
        <v>13770</v>
      </c>
      <c r="D1027" t="s">
        <v>1950</v>
      </c>
      <c r="E1027" t="s">
        <v>10321</v>
      </c>
      <c r="F1027" t="s">
        <v>20</v>
      </c>
      <c r="G1027" t="s">
        <v>10322</v>
      </c>
      <c r="H1027">
        <v>17.850000000000001</v>
      </c>
      <c r="I1027">
        <v>0</v>
      </c>
      <c r="J1027">
        <v>0</v>
      </c>
      <c r="K1027">
        <v>0</v>
      </c>
      <c r="M1027">
        <v>5</v>
      </c>
      <c r="O1027">
        <v>5</v>
      </c>
      <c r="P1027">
        <v>0</v>
      </c>
      <c r="Q1027">
        <v>2</v>
      </c>
      <c r="R1027">
        <v>24.85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H1027">
        <v>24.85</v>
      </c>
    </row>
    <row r="1028" spans="1:34" x14ac:dyDescent="0.3">
      <c r="A1028" s="4">
        <v>1045</v>
      </c>
      <c r="B1028" s="5">
        <v>1021</v>
      </c>
      <c r="C1028">
        <v>4699</v>
      </c>
      <c r="D1028" t="s">
        <v>195</v>
      </c>
      <c r="E1028" t="s">
        <v>6175</v>
      </c>
      <c r="F1028" t="s">
        <v>68</v>
      </c>
      <c r="G1028" t="s">
        <v>10323</v>
      </c>
      <c r="H1028">
        <v>17.850000000000001</v>
      </c>
      <c r="I1028">
        <v>0</v>
      </c>
      <c r="J1028">
        <v>0</v>
      </c>
      <c r="K1028">
        <v>0</v>
      </c>
      <c r="N1028">
        <v>3</v>
      </c>
      <c r="O1028">
        <v>3</v>
      </c>
      <c r="P1028">
        <v>4</v>
      </c>
      <c r="Q1028">
        <v>0</v>
      </c>
      <c r="R1028">
        <v>24.85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H1028">
        <v>24.85</v>
      </c>
    </row>
    <row r="1029" spans="1:34" x14ac:dyDescent="0.3">
      <c r="A1029" s="4">
        <v>1046</v>
      </c>
      <c r="B1029" s="5">
        <v>1022</v>
      </c>
      <c r="C1029">
        <v>9443</v>
      </c>
      <c r="D1029" t="s">
        <v>8923</v>
      </c>
      <c r="E1029" t="s">
        <v>37</v>
      </c>
      <c r="F1029" t="s">
        <v>10324</v>
      </c>
      <c r="G1029" t="s">
        <v>10325</v>
      </c>
      <c r="H1029">
        <v>17.850000000000001</v>
      </c>
      <c r="I1029">
        <v>0</v>
      </c>
      <c r="J1029">
        <v>0</v>
      </c>
      <c r="K1029">
        <v>0</v>
      </c>
      <c r="N1029">
        <v>3</v>
      </c>
      <c r="O1029">
        <v>3</v>
      </c>
      <c r="P1029">
        <v>4</v>
      </c>
      <c r="Q1029">
        <v>0</v>
      </c>
      <c r="R1029">
        <v>24.85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H1029">
        <v>24.85</v>
      </c>
    </row>
    <row r="1030" spans="1:34" x14ac:dyDescent="0.3">
      <c r="A1030" s="4">
        <v>1047</v>
      </c>
      <c r="B1030" s="5">
        <v>1023</v>
      </c>
      <c r="C1030">
        <v>14863</v>
      </c>
      <c r="D1030" t="s">
        <v>8440</v>
      </c>
      <c r="E1030" t="s">
        <v>894</v>
      </c>
      <c r="F1030" t="s">
        <v>10326</v>
      </c>
      <c r="G1030" t="s">
        <v>10327</v>
      </c>
      <c r="H1030">
        <v>17.850000000000001</v>
      </c>
      <c r="I1030">
        <v>0</v>
      </c>
      <c r="J1030">
        <v>0</v>
      </c>
      <c r="K1030">
        <v>0</v>
      </c>
      <c r="N1030">
        <v>3</v>
      </c>
      <c r="O1030">
        <v>3</v>
      </c>
      <c r="P1030">
        <v>4</v>
      </c>
      <c r="Q1030">
        <v>0</v>
      </c>
      <c r="R1030">
        <v>24.85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H1030">
        <v>24.85</v>
      </c>
    </row>
    <row r="1031" spans="1:34" x14ac:dyDescent="0.3">
      <c r="A1031" s="4">
        <v>1048</v>
      </c>
      <c r="B1031" s="5">
        <v>1024</v>
      </c>
      <c r="C1031">
        <v>9730</v>
      </c>
      <c r="D1031" t="s">
        <v>1045</v>
      </c>
      <c r="E1031" t="s">
        <v>161</v>
      </c>
      <c r="F1031" t="s">
        <v>190</v>
      </c>
      <c r="G1031" t="s">
        <v>10328</v>
      </c>
      <c r="H1031">
        <v>18.829999999999998</v>
      </c>
      <c r="I1031">
        <v>0</v>
      </c>
      <c r="J1031">
        <v>0</v>
      </c>
      <c r="K1031">
        <v>0</v>
      </c>
      <c r="N1031">
        <v>3</v>
      </c>
      <c r="O1031">
        <v>3</v>
      </c>
      <c r="P1031">
        <v>0</v>
      </c>
      <c r="Q1031">
        <v>0</v>
      </c>
      <c r="R1031">
        <v>21.83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3</v>
      </c>
      <c r="AC1031">
        <v>0</v>
      </c>
      <c r="AH1031">
        <v>24.83</v>
      </c>
    </row>
    <row r="1032" spans="1:34" x14ac:dyDescent="0.3">
      <c r="A1032" s="4">
        <v>1049</v>
      </c>
      <c r="B1032" s="5">
        <v>1025</v>
      </c>
      <c r="C1032">
        <v>12946</v>
      </c>
      <c r="D1032" t="s">
        <v>10329</v>
      </c>
      <c r="E1032" t="s">
        <v>26</v>
      </c>
      <c r="F1032" t="s">
        <v>91</v>
      </c>
      <c r="G1032" t="s">
        <v>10330</v>
      </c>
      <c r="H1032">
        <v>18.829999999999998</v>
      </c>
      <c r="I1032">
        <v>0</v>
      </c>
      <c r="J1032">
        <v>0</v>
      </c>
      <c r="K1032">
        <v>0</v>
      </c>
      <c r="O1032">
        <v>0</v>
      </c>
      <c r="P1032">
        <v>4</v>
      </c>
      <c r="Q1032">
        <v>2</v>
      </c>
      <c r="R1032">
        <v>24.83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H1032">
        <v>24.83</v>
      </c>
    </row>
    <row r="1033" spans="1:34" x14ac:dyDescent="0.3">
      <c r="A1033" s="4">
        <v>1050</v>
      </c>
      <c r="B1033" s="5">
        <v>1026</v>
      </c>
      <c r="C1033">
        <v>14926</v>
      </c>
      <c r="D1033" t="s">
        <v>10331</v>
      </c>
      <c r="E1033" t="s">
        <v>1189</v>
      </c>
      <c r="F1033" t="s">
        <v>230</v>
      </c>
      <c r="G1033" t="s">
        <v>10332</v>
      </c>
      <c r="H1033">
        <v>17.829999999999998</v>
      </c>
      <c r="I1033">
        <v>0</v>
      </c>
      <c r="J1033">
        <v>0</v>
      </c>
      <c r="K1033">
        <v>0</v>
      </c>
      <c r="N1033">
        <v>3</v>
      </c>
      <c r="O1033">
        <v>3</v>
      </c>
      <c r="P1033">
        <v>4</v>
      </c>
      <c r="Q1033">
        <v>0</v>
      </c>
      <c r="R1033">
        <v>24.83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H1033">
        <v>24.83</v>
      </c>
    </row>
    <row r="1034" spans="1:34" x14ac:dyDescent="0.3">
      <c r="A1034" s="4">
        <v>1051</v>
      </c>
      <c r="B1034" s="5">
        <v>1027</v>
      </c>
      <c r="C1034">
        <v>14612</v>
      </c>
      <c r="D1034" t="s">
        <v>6906</v>
      </c>
      <c r="E1034" t="s">
        <v>406</v>
      </c>
      <c r="F1034" t="s">
        <v>17</v>
      </c>
      <c r="G1034" t="s">
        <v>10333</v>
      </c>
      <c r="H1034">
        <v>17.829999999999998</v>
      </c>
      <c r="I1034">
        <v>0</v>
      </c>
      <c r="J1034">
        <v>0</v>
      </c>
      <c r="K1034">
        <v>0</v>
      </c>
      <c r="N1034">
        <v>3</v>
      </c>
      <c r="O1034">
        <v>3</v>
      </c>
      <c r="P1034">
        <v>4</v>
      </c>
      <c r="Q1034">
        <v>0</v>
      </c>
      <c r="R1034">
        <v>24.83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H1034">
        <v>24.83</v>
      </c>
    </row>
    <row r="1035" spans="1:34" x14ac:dyDescent="0.3">
      <c r="A1035" s="4">
        <v>1052</v>
      </c>
      <c r="B1035" s="5">
        <v>1028</v>
      </c>
      <c r="C1035">
        <v>3567</v>
      </c>
      <c r="D1035" t="s">
        <v>10334</v>
      </c>
      <c r="E1035" t="s">
        <v>29</v>
      </c>
      <c r="F1035" t="s">
        <v>68</v>
      </c>
      <c r="G1035" t="s">
        <v>10335</v>
      </c>
      <c r="H1035">
        <v>17.8</v>
      </c>
      <c r="I1035">
        <v>0</v>
      </c>
      <c r="J1035">
        <v>0</v>
      </c>
      <c r="K1035">
        <v>0</v>
      </c>
      <c r="N1035">
        <v>3</v>
      </c>
      <c r="O1035">
        <v>3</v>
      </c>
      <c r="P1035">
        <v>4</v>
      </c>
      <c r="Q1035">
        <v>0</v>
      </c>
      <c r="R1035">
        <v>24.8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H1035">
        <v>24.8</v>
      </c>
    </row>
    <row r="1036" spans="1:34" x14ac:dyDescent="0.3">
      <c r="A1036" s="4">
        <v>1053</v>
      </c>
      <c r="B1036" s="5">
        <v>1029</v>
      </c>
      <c r="C1036">
        <v>9255</v>
      </c>
      <c r="D1036" t="s">
        <v>10336</v>
      </c>
      <c r="E1036" t="s">
        <v>124</v>
      </c>
      <c r="F1036" t="s">
        <v>81</v>
      </c>
      <c r="G1036" t="s">
        <v>10337</v>
      </c>
      <c r="H1036">
        <v>17.8</v>
      </c>
      <c r="I1036">
        <v>0</v>
      </c>
      <c r="J1036">
        <v>0</v>
      </c>
      <c r="K1036">
        <v>0</v>
      </c>
      <c r="N1036">
        <v>3</v>
      </c>
      <c r="O1036">
        <v>3</v>
      </c>
      <c r="P1036">
        <v>4</v>
      </c>
      <c r="Q1036">
        <v>0</v>
      </c>
      <c r="R1036">
        <v>24.8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H1036">
        <v>24.8</v>
      </c>
    </row>
    <row r="1037" spans="1:34" x14ac:dyDescent="0.3">
      <c r="A1037" s="4">
        <v>1054</v>
      </c>
      <c r="B1037" s="5">
        <v>1030</v>
      </c>
      <c r="C1037">
        <v>2026</v>
      </c>
      <c r="D1037" t="s">
        <v>10338</v>
      </c>
      <c r="E1037" t="s">
        <v>516</v>
      </c>
      <c r="F1037" t="s">
        <v>167</v>
      </c>
      <c r="G1037" t="s">
        <v>10339</v>
      </c>
      <c r="H1037">
        <v>19.78</v>
      </c>
      <c r="I1037">
        <v>0</v>
      </c>
      <c r="J1037">
        <v>0</v>
      </c>
      <c r="K1037">
        <v>0</v>
      </c>
      <c r="O1037">
        <v>0</v>
      </c>
      <c r="P1037">
        <v>0</v>
      </c>
      <c r="Q1037">
        <v>2</v>
      </c>
      <c r="R1037">
        <v>21.78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3</v>
      </c>
      <c r="AC1037">
        <v>0</v>
      </c>
      <c r="AH1037">
        <v>24.78</v>
      </c>
    </row>
    <row r="1038" spans="1:34" x14ac:dyDescent="0.3">
      <c r="A1038" s="4">
        <v>1055</v>
      </c>
      <c r="B1038" s="5">
        <v>1031</v>
      </c>
      <c r="C1038">
        <v>9479</v>
      </c>
      <c r="D1038" t="s">
        <v>10340</v>
      </c>
      <c r="E1038" t="s">
        <v>29</v>
      </c>
      <c r="F1038" t="s">
        <v>10341</v>
      </c>
      <c r="G1038" t="s">
        <v>10342</v>
      </c>
      <c r="H1038">
        <v>17.75</v>
      </c>
      <c r="I1038">
        <v>0</v>
      </c>
      <c r="J1038">
        <v>0</v>
      </c>
      <c r="K1038">
        <v>0</v>
      </c>
      <c r="N1038">
        <v>3</v>
      </c>
      <c r="O1038">
        <v>3</v>
      </c>
      <c r="P1038">
        <v>4</v>
      </c>
      <c r="Q1038">
        <v>0</v>
      </c>
      <c r="R1038">
        <v>24.75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H1038">
        <v>24.75</v>
      </c>
    </row>
    <row r="1039" spans="1:34" x14ac:dyDescent="0.3">
      <c r="A1039" s="4">
        <v>1056</v>
      </c>
      <c r="B1039" s="5">
        <v>1032</v>
      </c>
      <c r="C1039">
        <v>12739</v>
      </c>
      <c r="D1039" t="s">
        <v>9695</v>
      </c>
      <c r="E1039" t="s">
        <v>143</v>
      </c>
      <c r="F1039" t="s">
        <v>375</v>
      </c>
      <c r="G1039" t="s">
        <v>10343</v>
      </c>
      <c r="H1039">
        <v>18.73</v>
      </c>
      <c r="I1039">
        <v>0</v>
      </c>
      <c r="J1039">
        <v>0</v>
      </c>
      <c r="K1039">
        <v>0</v>
      </c>
      <c r="N1039">
        <v>3</v>
      </c>
      <c r="O1039">
        <v>3</v>
      </c>
      <c r="P1039">
        <v>0</v>
      </c>
      <c r="Q1039">
        <v>0</v>
      </c>
      <c r="R1039">
        <v>21.73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3</v>
      </c>
      <c r="AC1039">
        <v>0</v>
      </c>
      <c r="AH1039">
        <v>24.73</v>
      </c>
    </row>
    <row r="1040" spans="1:34" x14ac:dyDescent="0.3">
      <c r="A1040" s="4">
        <v>1057</v>
      </c>
      <c r="B1040" s="5">
        <v>1033</v>
      </c>
      <c r="C1040">
        <v>11194</v>
      </c>
      <c r="D1040" t="s">
        <v>10344</v>
      </c>
      <c r="E1040" t="s">
        <v>10345</v>
      </c>
      <c r="F1040" t="s">
        <v>117</v>
      </c>
      <c r="G1040" t="s">
        <v>10346</v>
      </c>
      <c r="H1040">
        <v>17.68</v>
      </c>
      <c r="I1040">
        <v>0</v>
      </c>
      <c r="J1040">
        <v>0</v>
      </c>
      <c r="K1040">
        <v>0</v>
      </c>
      <c r="N1040">
        <v>3</v>
      </c>
      <c r="O1040">
        <v>3</v>
      </c>
      <c r="P1040">
        <v>4</v>
      </c>
      <c r="Q1040">
        <v>0</v>
      </c>
      <c r="R1040">
        <v>24.68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H1040">
        <v>24.68</v>
      </c>
    </row>
    <row r="1041" spans="1:34" x14ac:dyDescent="0.3">
      <c r="A1041" s="4">
        <v>1058</v>
      </c>
      <c r="B1041" s="5">
        <v>1034</v>
      </c>
      <c r="C1041">
        <v>6939</v>
      </c>
      <c r="D1041" t="s">
        <v>10347</v>
      </c>
      <c r="E1041" t="s">
        <v>213</v>
      </c>
      <c r="F1041" t="s">
        <v>79</v>
      </c>
      <c r="G1041" t="s">
        <v>10348</v>
      </c>
      <c r="H1041">
        <v>19.649999999999999</v>
      </c>
      <c r="I1041">
        <v>0</v>
      </c>
      <c r="J1041">
        <v>0</v>
      </c>
      <c r="K1041">
        <v>0</v>
      </c>
      <c r="M1041">
        <v>5</v>
      </c>
      <c r="O1041">
        <v>5</v>
      </c>
      <c r="P1041">
        <v>0</v>
      </c>
      <c r="Q1041">
        <v>0</v>
      </c>
      <c r="R1041">
        <v>24.65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H1041">
        <v>24.65</v>
      </c>
    </row>
    <row r="1042" spans="1:34" x14ac:dyDescent="0.3">
      <c r="A1042" s="4">
        <v>1059</v>
      </c>
      <c r="B1042" s="5">
        <v>1035</v>
      </c>
      <c r="C1042">
        <v>9746</v>
      </c>
      <c r="D1042" t="s">
        <v>10349</v>
      </c>
      <c r="E1042" t="s">
        <v>188</v>
      </c>
      <c r="F1042" t="s">
        <v>136</v>
      </c>
      <c r="G1042" t="s">
        <v>10350</v>
      </c>
      <c r="H1042">
        <v>17.600000000000001</v>
      </c>
      <c r="I1042">
        <v>0</v>
      </c>
      <c r="J1042">
        <v>0</v>
      </c>
      <c r="K1042">
        <v>0</v>
      </c>
      <c r="N1042">
        <v>3</v>
      </c>
      <c r="O1042">
        <v>3</v>
      </c>
      <c r="P1042">
        <v>4</v>
      </c>
      <c r="Q1042">
        <v>0</v>
      </c>
      <c r="R1042">
        <v>24.6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H1042">
        <v>24.6</v>
      </c>
    </row>
    <row r="1043" spans="1:34" x14ac:dyDescent="0.3">
      <c r="A1043" s="4">
        <v>1060</v>
      </c>
      <c r="B1043" s="5">
        <v>1036</v>
      </c>
      <c r="C1043">
        <v>272</v>
      </c>
      <c r="D1043" t="s">
        <v>10351</v>
      </c>
      <c r="E1043" t="s">
        <v>390</v>
      </c>
      <c r="F1043" t="s">
        <v>30</v>
      </c>
      <c r="G1043" t="s">
        <v>10352</v>
      </c>
      <c r="H1043">
        <v>18.579999999999998</v>
      </c>
      <c r="I1043">
        <v>0</v>
      </c>
      <c r="J1043">
        <v>0</v>
      </c>
      <c r="K1043">
        <v>0</v>
      </c>
      <c r="N1043">
        <v>6</v>
      </c>
      <c r="O1043">
        <v>6</v>
      </c>
      <c r="P1043">
        <v>0</v>
      </c>
      <c r="Q1043">
        <v>0</v>
      </c>
      <c r="R1043">
        <v>24.58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H1043">
        <v>24.58</v>
      </c>
    </row>
    <row r="1044" spans="1:34" x14ac:dyDescent="0.3">
      <c r="A1044" s="4">
        <v>1061</v>
      </c>
      <c r="B1044" s="5">
        <v>1037</v>
      </c>
      <c r="C1044">
        <v>8757</v>
      </c>
      <c r="D1044" t="s">
        <v>10353</v>
      </c>
      <c r="E1044" t="s">
        <v>10354</v>
      </c>
      <c r="F1044" t="s">
        <v>68</v>
      </c>
      <c r="G1044" t="s">
        <v>10355</v>
      </c>
      <c r="H1044">
        <v>17.53</v>
      </c>
      <c r="I1044">
        <v>0</v>
      </c>
      <c r="J1044">
        <v>0</v>
      </c>
      <c r="K1044">
        <v>0</v>
      </c>
      <c r="N1044">
        <v>3</v>
      </c>
      <c r="O1044">
        <v>3</v>
      </c>
      <c r="P1044">
        <v>4</v>
      </c>
      <c r="Q1044">
        <v>0</v>
      </c>
      <c r="R1044">
        <v>24.53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H1044">
        <v>24.53</v>
      </c>
    </row>
    <row r="1045" spans="1:34" x14ac:dyDescent="0.3">
      <c r="A1045" s="4">
        <v>1062</v>
      </c>
      <c r="B1045" s="5">
        <v>1038</v>
      </c>
      <c r="C1045">
        <v>13820</v>
      </c>
      <c r="D1045" t="s">
        <v>10356</v>
      </c>
      <c r="E1045" t="s">
        <v>26</v>
      </c>
      <c r="F1045" t="s">
        <v>442</v>
      </c>
      <c r="G1045" t="s">
        <v>10357</v>
      </c>
      <c r="H1045">
        <v>18.5</v>
      </c>
      <c r="I1045">
        <v>0</v>
      </c>
      <c r="J1045">
        <v>0</v>
      </c>
      <c r="K1045">
        <v>0</v>
      </c>
      <c r="N1045">
        <v>3</v>
      </c>
      <c r="O1045">
        <v>3</v>
      </c>
      <c r="P1045">
        <v>0</v>
      </c>
      <c r="Q1045">
        <v>0</v>
      </c>
      <c r="R1045">
        <v>21.5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3</v>
      </c>
      <c r="AC1045">
        <v>0</v>
      </c>
      <c r="AH1045">
        <v>24.5</v>
      </c>
    </row>
    <row r="1046" spans="1:34" x14ac:dyDescent="0.3">
      <c r="A1046" s="4">
        <v>1063</v>
      </c>
      <c r="B1046" s="5">
        <v>1039</v>
      </c>
      <c r="C1046">
        <v>6397</v>
      </c>
      <c r="D1046" t="s">
        <v>10358</v>
      </c>
      <c r="E1046" t="s">
        <v>29</v>
      </c>
      <c r="F1046" t="s">
        <v>38</v>
      </c>
      <c r="G1046" t="s">
        <v>10359</v>
      </c>
      <c r="H1046">
        <v>12.5</v>
      </c>
      <c r="I1046">
        <v>0</v>
      </c>
      <c r="J1046">
        <v>0</v>
      </c>
      <c r="K1046">
        <v>0</v>
      </c>
      <c r="N1046">
        <v>3</v>
      </c>
      <c r="O1046">
        <v>3</v>
      </c>
      <c r="P1046">
        <v>4</v>
      </c>
      <c r="Q1046">
        <v>2</v>
      </c>
      <c r="R1046">
        <v>21.5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3</v>
      </c>
      <c r="AC1046">
        <v>0</v>
      </c>
      <c r="AH1046">
        <v>24.5</v>
      </c>
    </row>
    <row r="1047" spans="1:34" x14ac:dyDescent="0.3">
      <c r="A1047" s="4">
        <v>1064</v>
      </c>
      <c r="B1047" s="5">
        <v>1040</v>
      </c>
      <c r="C1047">
        <v>11778</v>
      </c>
      <c r="D1047" t="s">
        <v>3889</v>
      </c>
      <c r="E1047" t="s">
        <v>48</v>
      </c>
      <c r="F1047" t="s">
        <v>81</v>
      </c>
      <c r="G1047" t="s">
        <v>10360</v>
      </c>
      <c r="H1047">
        <v>12.5</v>
      </c>
      <c r="I1047">
        <v>0</v>
      </c>
      <c r="J1047">
        <v>0</v>
      </c>
      <c r="K1047">
        <v>0</v>
      </c>
      <c r="N1047">
        <v>3</v>
      </c>
      <c r="O1047">
        <v>3</v>
      </c>
      <c r="P1047">
        <v>4</v>
      </c>
      <c r="Q1047">
        <v>2</v>
      </c>
      <c r="R1047">
        <v>21.5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3</v>
      </c>
      <c r="AC1047">
        <v>0</v>
      </c>
      <c r="AH1047">
        <v>24.5</v>
      </c>
    </row>
    <row r="1048" spans="1:34" x14ac:dyDescent="0.3">
      <c r="A1048" s="4">
        <v>1065</v>
      </c>
      <c r="B1048" s="5">
        <v>1041</v>
      </c>
      <c r="C1048">
        <v>6758</v>
      </c>
      <c r="D1048" t="s">
        <v>10361</v>
      </c>
      <c r="E1048" t="s">
        <v>132</v>
      </c>
      <c r="F1048" t="s">
        <v>38</v>
      </c>
      <c r="G1048" t="s">
        <v>10362</v>
      </c>
      <c r="H1048">
        <v>17.5</v>
      </c>
      <c r="I1048">
        <v>0</v>
      </c>
      <c r="J1048">
        <v>0</v>
      </c>
      <c r="K1048">
        <v>0</v>
      </c>
      <c r="N1048">
        <v>3</v>
      </c>
      <c r="O1048">
        <v>3</v>
      </c>
      <c r="P1048">
        <v>4</v>
      </c>
      <c r="Q1048">
        <v>0</v>
      </c>
      <c r="R1048">
        <v>24.5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H1048">
        <v>24.5</v>
      </c>
    </row>
    <row r="1049" spans="1:34" x14ac:dyDescent="0.3">
      <c r="A1049" s="4">
        <v>1066</v>
      </c>
      <c r="B1049" s="5">
        <v>1042</v>
      </c>
      <c r="C1049">
        <v>5379</v>
      </c>
      <c r="D1049" t="s">
        <v>10363</v>
      </c>
      <c r="E1049" t="s">
        <v>38</v>
      </c>
      <c r="F1049" t="s">
        <v>570</v>
      </c>
      <c r="G1049" t="s">
        <v>10364</v>
      </c>
      <c r="H1049">
        <v>19.48</v>
      </c>
      <c r="I1049">
        <v>0</v>
      </c>
      <c r="J1049">
        <v>0</v>
      </c>
      <c r="K1049">
        <v>0</v>
      </c>
      <c r="N1049">
        <v>3</v>
      </c>
      <c r="O1049">
        <v>3</v>
      </c>
      <c r="P1049">
        <v>0</v>
      </c>
      <c r="Q1049">
        <v>2</v>
      </c>
      <c r="R1049">
        <v>24.48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H1049">
        <v>24.48</v>
      </c>
    </row>
    <row r="1050" spans="1:34" x14ac:dyDescent="0.3">
      <c r="A1050" s="4">
        <v>1067</v>
      </c>
      <c r="B1050" s="5">
        <v>1043</v>
      </c>
      <c r="C1050">
        <v>9535</v>
      </c>
      <c r="D1050" t="s">
        <v>10365</v>
      </c>
      <c r="E1050" t="s">
        <v>54</v>
      </c>
      <c r="F1050" t="s">
        <v>81</v>
      </c>
      <c r="G1050" t="s">
        <v>10366</v>
      </c>
      <c r="H1050">
        <v>18.48</v>
      </c>
      <c r="I1050">
        <v>0</v>
      </c>
      <c r="J1050">
        <v>0</v>
      </c>
      <c r="K1050">
        <v>0</v>
      </c>
      <c r="O1050">
        <v>0</v>
      </c>
      <c r="P1050">
        <v>4</v>
      </c>
      <c r="Q1050">
        <v>2</v>
      </c>
      <c r="R1050">
        <v>24.48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H1050">
        <v>24.48</v>
      </c>
    </row>
    <row r="1051" spans="1:34" x14ac:dyDescent="0.3">
      <c r="A1051" s="4">
        <v>1068</v>
      </c>
      <c r="B1051" s="5">
        <v>1044</v>
      </c>
      <c r="C1051">
        <v>12543</v>
      </c>
      <c r="D1051" t="s">
        <v>10367</v>
      </c>
      <c r="E1051" t="s">
        <v>100</v>
      </c>
      <c r="F1051" t="s">
        <v>55</v>
      </c>
      <c r="G1051" t="s">
        <v>10368</v>
      </c>
      <c r="H1051">
        <v>18.399999999999999</v>
      </c>
      <c r="I1051">
        <v>0</v>
      </c>
      <c r="J1051">
        <v>0</v>
      </c>
      <c r="K1051">
        <v>0</v>
      </c>
      <c r="N1051">
        <v>3</v>
      </c>
      <c r="O1051">
        <v>3</v>
      </c>
      <c r="P1051">
        <v>0</v>
      </c>
      <c r="Q1051">
        <v>0</v>
      </c>
      <c r="R1051">
        <v>21.4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3</v>
      </c>
      <c r="AC1051">
        <v>0</v>
      </c>
      <c r="AH1051">
        <v>24.4</v>
      </c>
    </row>
    <row r="1052" spans="1:34" x14ac:dyDescent="0.3">
      <c r="A1052" s="4">
        <v>1069</v>
      </c>
      <c r="B1052" s="5">
        <v>1045</v>
      </c>
      <c r="C1052">
        <v>1401</v>
      </c>
      <c r="D1052" t="s">
        <v>10369</v>
      </c>
      <c r="E1052" t="s">
        <v>4258</v>
      </c>
      <c r="F1052" t="s">
        <v>975</v>
      </c>
      <c r="G1052" t="s">
        <v>10370</v>
      </c>
      <c r="H1052">
        <v>17.38</v>
      </c>
      <c r="I1052">
        <v>0</v>
      </c>
      <c r="J1052">
        <v>0</v>
      </c>
      <c r="K1052">
        <v>0</v>
      </c>
      <c r="L1052">
        <v>7</v>
      </c>
      <c r="O1052">
        <v>7</v>
      </c>
      <c r="P1052">
        <v>0</v>
      </c>
      <c r="Q1052">
        <v>0</v>
      </c>
      <c r="R1052">
        <v>24.38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H1052">
        <v>24.38</v>
      </c>
    </row>
    <row r="1053" spans="1:34" x14ac:dyDescent="0.3">
      <c r="A1053" s="4">
        <v>1070</v>
      </c>
      <c r="B1053" s="5">
        <v>1046</v>
      </c>
      <c r="C1053">
        <v>9227</v>
      </c>
      <c r="D1053" t="s">
        <v>10371</v>
      </c>
      <c r="E1053" t="s">
        <v>10372</v>
      </c>
      <c r="F1053" t="s">
        <v>17</v>
      </c>
      <c r="G1053" t="s">
        <v>10373</v>
      </c>
      <c r="H1053">
        <v>18.350000000000001</v>
      </c>
      <c r="I1053">
        <v>0</v>
      </c>
      <c r="J1053">
        <v>0</v>
      </c>
      <c r="K1053">
        <v>0</v>
      </c>
      <c r="O1053">
        <v>0</v>
      </c>
      <c r="P1053">
        <v>4</v>
      </c>
      <c r="Q1053">
        <v>2</v>
      </c>
      <c r="R1053">
        <v>24.35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H1053">
        <v>24.35</v>
      </c>
    </row>
    <row r="1054" spans="1:34" x14ac:dyDescent="0.3">
      <c r="A1054" s="4">
        <v>1071</v>
      </c>
      <c r="B1054" s="5">
        <v>1047</v>
      </c>
      <c r="C1054">
        <v>4868</v>
      </c>
      <c r="D1054" t="s">
        <v>10374</v>
      </c>
      <c r="E1054" t="s">
        <v>10375</v>
      </c>
      <c r="F1054" t="s">
        <v>55</v>
      </c>
      <c r="G1054" t="s">
        <v>10376</v>
      </c>
      <c r="H1054">
        <v>17.350000000000001</v>
      </c>
      <c r="I1054">
        <v>0</v>
      </c>
      <c r="J1054">
        <v>0</v>
      </c>
      <c r="K1054">
        <v>0</v>
      </c>
      <c r="N1054">
        <v>3</v>
      </c>
      <c r="O1054">
        <v>3</v>
      </c>
      <c r="P1054">
        <v>4</v>
      </c>
      <c r="Q1054">
        <v>0</v>
      </c>
      <c r="R1054">
        <v>24.35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H1054">
        <v>24.35</v>
      </c>
    </row>
    <row r="1055" spans="1:34" x14ac:dyDescent="0.3">
      <c r="A1055" s="4">
        <v>1072</v>
      </c>
      <c r="B1055" s="5">
        <v>1048</v>
      </c>
      <c r="C1055">
        <v>3491</v>
      </c>
      <c r="D1055" t="s">
        <v>10377</v>
      </c>
      <c r="E1055" t="s">
        <v>550</v>
      </c>
      <c r="F1055" t="s">
        <v>38</v>
      </c>
      <c r="G1055" t="s">
        <v>10378</v>
      </c>
      <c r="H1055">
        <v>18.329999999999998</v>
      </c>
      <c r="I1055">
        <v>0</v>
      </c>
      <c r="J1055">
        <v>0</v>
      </c>
      <c r="K1055">
        <v>0</v>
      </c>
      <c r="N1055">
        <v>3</v>
      </c>
      <c r="O1055">
        <v>3</v>
      </c>
      <c r="P1055">
        <v>0</v>
      </c>
      <c r="Q1055">
        <v>0</v>
      </c>
      <c r="R1055">
        <v>21.33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3</v>
      </c>
      <c r="AC1055">
        <v>0</v>
      </c>
      <c r="AH1055">
        <v>24.33</v>
      </c>
    </row>
    <row r="1056" spans="1:34" x14ac:dyDescent="0.3">
      <c r="A1056" s="4">
        <v>1073</v>
      </c>
      <c r="B1056" s="5">
        <v>1049</v>
      </c>
      <c r="C1056">
        <v>15630</v>
      </c>
      <c r="D1056" t="s">
        <v>10379</v>
      </c>
      <c r="E1056" t="s">
        <v>170</v>
      </c>
      <c r="F1056" t="s">
        <v>124</v>
      </c>
      <c r="G1056" t="s">
        <v>10380</v>
      </c>
      <c r="H1056">
        <v>17.329999999999998</v>
      </c>
      <c r="I1056">
        <v>0</v>
      </c>
      <c r="J1056">
        <v>0</v>
      </c>
      <c r="K1056">
        <v>0</v>
      </c>
      <c r="L1056">
        <v>7</v>
      </c>
      <c r="O1056">
        <v>7</v>
      </c>
      <c r="P1056">
        <v>0</v>
      </c>
      <c r="Q1056">
        <v>0</v>
      </c>
      <c r="R1056">
        <v>24.33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H1056">
        <v>24.33</v>
      </c>
    </row>
    <row r="1057" spans="1:34" x14ac:dyDescent="0.3">
      <c r="A1057" s="4">
        <v>1074</v>
      </c>
      <c r="B1057" s="5">
        <v>1050</v>
      </c>
      <c r="C1057">
        <v>7334</v>
      </c>
      <c r="D1057" t="s">
        <v>10381</v>
      </c>
      <c r="E1057" t="s">
        <v>37</v>
      </c>
      <c r="F1057" t="s">
        <v>2802</v>
      </c>
      <c r="G1057" t="s">
        <v>10382</v>
      </c>
      <c r="H1057">
        <v>19.3</v>
      </c>
      <c r="I1057">
        <v>0</v>
      </c>
      <c r="J1057">
        <v>0</v>
      </c>
      <c r="K1057">
        <v>0</v>
      </c>
      <c r="N1057">
        <v>3</v>
      </c>
      <c r="O1057">
        <v>3</v>
      </c>
      <c r="P1057">
        <v>0</v>
      </c>
      <c r="Q1057">
        <v>2</v>
      </c>
      <c r="R1057">
        <v>24.3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H1057">
        <v>24.3</v>
      </c>
    </row>
    <row r="1058" spans="1:34" x14ac:dyDescent="0.3">
      <c r="A1058" s="4">
        <v>1075</v>
      </c>
      <c r="B1058" s="5">
        <v>1051</v>
      </c>
      <c r="C1058">
        <v>6775</v>
      </c>
      <c r="D1058" t="s">
        <v>10383</v>
      </c>
      <c r="E1058" t="s">
        <v>54</v>
      </c>
      <c r="F1058" t="s">
        <v>30</v>
      </c>
      <c r="G1058" t="s">
        <v>10384</v>
      </c>
      <c r="H1058">
        <v>17.23</v>
      </c>
      <c r="I1058">
        <v>0</v>
      </c>
      <c r="J1058">
        <v>0</v>
      </c>
      <c r="K1058">
        <v>0</v>
      </c>
      <c r="N1058">
        <v>3</v>
      </c>
      <c r="O1058">
        <v>3</v>
      </c>
      <c r="P1058">
        <v>4</v>
      </c>
      <c r="Q1058">
        <v>0</v>
      </c>
      <c r="R1058">
        <v>24.23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H1058">
        <v>24.23</v>
      </c>
    </row>
    <row r="1059" spans="1:34" x14ac:dyDescent="0.3">
      <c r="A1059" s="4">
        <v>1076</v>
      </c>
      <c r="B1059" s="5">
        <v>1052</v>
      </c>
      <c r="C1059">
        <v>14868</v>
      </c>
      <c r="D1059" t="s">
        <v>10385</v>
      </c>
      <c r="E1059" t="s">
        <v>10386</v>
      </c>
      <c r="F1059" t="s">
        <v>375</v>
      </c>
      <c r="G1059" t="s">
        <v>10387</v>
      </c>
      <c r="H1059">
        <v>16.2</v>
      </c>
      <c r="I1059">
        <v>0</v>
      </c>
      <c r="J1059">
        <v>0</v>
      </c>
      <c r="K1059">
        <v>0</v>
      </c>
      <c r="M1059">
        <v>5</v>
      </c>
      <c r="O1059">
        <v>5</v>
      </c>
      <c r="P1059">
        <v>0</v>
      </c>
      <c r="Q1059">
        <v>0</v>
      </c>
      <c r="R1059">
        <v>21.2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3</v>
      </c>
      <c r="AC1059">
        <v>0</v>
      </c>
      <c r="AH1059">
        <v>24.2</v>
      </c>
    </row>
    <row r="1060" spans="1:34" x14ac:dyDescent="0.3">
      <c r="A1060" s="4">
        <v>1077</v>
      </c>
      <c r="B1060" s="5">
        <v>1053</v>
      </c>
      <c r="C1060">
        <v>4841</v>
      </c>
      <c r="D1060" t="s">
        <v>5483</v>
      </c>
      <c r="E1060" t="s">
        <v>41</v>
      </c>
      <c r="F1060" t="s">
        <v>30</v>
      </c>
      <c r="G1060" t="s">
        <v>10388</v>
      </c>
      <c r="H1060">
        <v>19.2</v>
      </c>
      <c r="I1060">
        <v>0</v>
      </c>
      <c r="J1060">
        <v>0</v>
      </c>
      <c r="K1060">
        <v>0</v>
      </c>
      <c r="N1060">
        <v>3</v>
      </c>
      <c r="O1060">
        <v>3</v>
      </c>
      <c r="P1060">
        <v>0</v>
      </c>
      <c r="Q1060">
        <v>2</v>
      </c>
      <c r="R1060">
        <v>24.2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 t="s">
        <v>130</v>
      </c>
      <c r="AH1060">
        <v>24.2</v>
      </c>
    </row>
    <row r="1061" spans="1:34" x14ac:dyDescent="0.3">
      <c r="A1061" s="4">
        <v>1078</v>
      </c>
      <c r="B1061" s="5">
        <v>1054</v>
      </c>
      <c r="C1061">
        <v>15058</v>
      </c>
      <c r="D1061" t="s">
        <v>10389</v>
      </c>
      <c r="E1061" t="s">
        <v>9010</v>
      </c>
      <c r="F1061" t="s">
        <v>4873</v>
      </c>
      <c r="G1061" t="s">
        <v>10390</v>
      </c>
      <c r="H1061">
        <v>17.18</v>
      </c>
      <c r="I1061">
        <v>0</v>
      </c>
      <c r="J1061">
        <v>0</v>
      </c>
      <c r="K1061">
        <v>0</v>
      </c>
      <c r="M1061">
        <v>5</v>
      </c>
      <c r="O1061">
        <v>5</v>
      </c>
      <c r="P1061">
        <v>0</v>
      </c>
      <c r="Q1061">
        <v>2</v>
      </c>
      <c r="R1061">
        <v>24.18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H1061">
        <v>24.18</v>
      </c>
    </row>
    <row r="1062" spans="1:34" x14ac:dyDescent="0.3">
      <c r="A1062" s="4">
        <v>1079</v>
      </c>
      <c r="B1062" s="5">
        <v>1055</v>
      </c>
      <c r="C1062">
        <v>3964</v>
      </c>
      <c r="D1062" t="s">
        <v>2635</v>
      </c>
      <c r="E1062" t="s">
        <v>10391</v>
      </c>
      <c r="F1062" t="s">
        <v>3814</v>
      </c>
      <c r="G1062" t="s">
        <v>10392</v>
      </c>
      <c r="H1062">
        <v>21.15</v>
      </c>
      <c r="I1062">
        <v>0</v>
      </c>
      <c r="J1062">
        <v>0</v>
      </c>
      <c r="K1062">
        <v>0</v>
      </c>
      <c r="N1062">
        <v>3</v>
      </c>
      <c r="O1062">
        <v>3</v>
      </c>
      <c r="P1062">
        <v>0</v>
      </c>
      <c r="Q1062">
        <v>0</v>
      </c>
      <c r="R1062">
        <v>24.15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H1062">
        <v>24.15</v>
      </c>
    </row>
    <row r="1063" spans="1:34" x14ac:dyDescent="0.3">
      <c r="A1063" s="4">
        <v>1080</v>
      </c>
      <c r="B1063" s="5">
        <v>1056</v>
      </c>
      <c r="C1063">
        <v>9275</v>
      </c>
      <c r="D1063" t="s">
        <v>1950</v>
      </c>
      <c r="E1063" t="s">
        <v>29</v>
      </c>
      <c r="F1063" t="s">
        <v>158</v>
      </c>
      <c r="G1063" t="s">
        <v>10393</v>
      </c>
      <c r="H1063">
        <v>17.03</v>
      </c>
      <c r="I1063">
        <v>0</v>
      </c>
      <c r="J1063">
        <v>0</v>
      </c>
      <c r="K1063">
        <v>0</v>
      </c>
      <c r="O1063">
        <v>0</v>
      </c>
      <c r="P1063">
        <v>4</v>
      </c>
      <c r="Q1063">
        <v>0</v>
      </c>
      <c r="R1063">
        <v>21.03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3</v>
      </c>
      <c r="AC1063">
        <v>0</v>
      </c>
      <c r="AH1063">
        <v>24.03</v>
      </c>
    </row>
    <row r="1064" spans="1:34" x14ac:dyDescent="0.3">
      <c r="A1064" s="4">
        <v>1081</v>
      </c>
      <c r="B1064" s="5">
        <v>1057</v>
      </c>
      <c r="C1064">
        <v>6870</v>
      </c>
      <c r="D1064" t="s">
        <v>3295</v>
      </c>
      <c r="E1064" t="s">
        <v>2838</v>
      </c>
      <c r="F1064" t="s">
        <v>158</v>
      </c>
      <c r="G1064" t="s">
        <v>10394</v>
      </c>
      <c r="H1064">
        <v>19.03</v>
      </c>
      <c r="I1064">
        <v>0</v>
      </c>
      <c r="J1064">
        <v>0</v>
      </c>
      <c r="K1064">
        <v>0</v>
      </c>
      <c r="N1064">
        <v>3</v>
      </c>
      <c r="O1064">
        <v>3</v>
      </c>
      <c r="P1064">
        <v>0</v>
      </c>
      <c r="Q1064">
        <v>2</v>
      </c>
      <c r="R1064">
        <v>24.03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 t="s">
        <v>130</v>
      </c>
      <c r="AH1064">
        <v>24.03</v>
      </c>
    </row>
    <row r="1065" spans="1:34" x14ac:dyDescent="0.3">
      <c r="A1065" s="4">
        <v>1082</v>
      </c>
      <c r="B1065" s="5">
        <v>1058</v>
      </c>
      <c r="C1065">
        <v>9829</v>
      </c>
      <c r="D1065" t="s">
        <v>10395</v>
      </c>
      <c r="E1065" t="s">
        <v>188</v>
      </c>
      <c r="F1065" t="s">
        <v>117</v>
      </c>
      <c r="G1065" t="s">
        <v>10396</v>
      </c>
      <c r="H1065">
        <v>19.03</v>
      </c>
      <c r="I1065">
        <v>0</v>
      </c>
      <c r="J1065">
        <v>0</v>
      </c>
      <c r="K1065">
        <v>0</v>
      </c>
      <c r="N1065">
        <v>3</v>
      </c>
      <c r="O1065">
        <v>3</v>
      </c>
      <c r="P1065">
        <v>0</v>
      </c>
      <c r="Q1065">
        <v>2</v>
      </c>
      <c r="R1065">
        <v>24.03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H1065">
        <v>24.03</v>
      </c>
    </row>
    <row r="1066" spans="1:34" x14ac:dyDescent="0.3">
      <c r="A1066" s="4">
        <v>1083</v>
      </c>
      <c r="B1066" s="5">
        <v>1059</v>
      </c>
      <c r="C1066">
        <v>1519</v>
      </c>
      <c r="D1066" t="s">
        <v>10397</v>
      </c>
      <c r="E1066" t="s">
        <v>26</v>
      </c>
      <c r="F1066" t="s">
        <v>81</v>
      </c>
      <c r="G1066" t="s">
        <v>10398</v>
      </c>
      <c r="H1066">
        <v>20.95</v>
      </c>
      <c r="I1066">
        <v>0</v>
      </c>
      <c r="J1066">
        <v>0</v>
      </c>
      <c r="K1066">
        <v>0</v>
      </c>
      <c r="N1066">
        <v>3</v>
      </c>
      <c r="O1066">
        <v>3</v>
      </c>
      <c r="P1066">
        <v>0</v>
      </c>
      <c r="Q1066">
        <v>0</v>
      </c>
      <c r="R1066">
        <v>23.95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H1066">
        <v>23.95</v>
      </c>
    </row>
    <row r="1067" spans="1:34" x14ac:dyDescent="0.3">
      <c r="A1067" s="4">
        <v>1084</v>
      </c>
      <c r="B1067" s="5">
        <v>1060</v>
      </c>
      <c r="C1067">
        <v>5329</v>
      </c>
      <c r="D1067" t="s">
        <v>183</v>
      </c>
      <c r="E1067" t="s">
        <v>170</v>
      </c>
      <c r="F1067" t="s">
        <v>17</v>
      </c>
      <c r="G1067" t="s">
        <v>10399</v>
      </c>
      <c r="H1067">
        <v>16.93</v>
      </c>
      <c r="I1067">
        <v>0</v>
      </c>
      <c r="J1067">
        <v>0</v>
      </c>
      <c r="K1067">
        <v>0</v>
      </c>
      <c r="N1067">
        <v>3</v>
      </c>
      <c r="O1067">
        <v>3</v>
      </c>
      <c r="P1067">
        <v>4</v>
      </c>
      <c r="Q1067">
        <v>0</v>
      </c>
      <c r="R1067">
        <v>23.93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H1067">
        <v>23.93</v>
      </c>
    </row>
    <row r="1068" spans="1:34" x14ac:dyDescent="0.3">
      <c r="A1068" s="4">
        <v>1085</v>
      </c>
      <c r="B1068" s="5">
        <v>1061</v>
      </c>
      <c r="C1068">
        <v>6442</v>
      </c>
      <c r="D1068" t="s">
        <v>10400</v>
      </c>
      <c r="E1068" t="s">
        <v>26</v>
      </c>
      <c r="F1068" t="s">
        <v>5896</v>
      </c>
      <c r="G1068" t="s">
        <v>10401</v>
      </c>
      <c r="H1068">
        <v>16.93</v>
      </c>
      <c r="I1068">
        <v>0</v>
      </c>
      <c r="J1068">
        <v>0</v>
      </c>
      <c r="K1068">
        <v>0</v>
      </c>
      <c r="N1068">
        <v>3</v>
      </c>
      <c r="O1068">
        <v>3</v>
      </c>
      <c r="P1068">
        <v>4</v>
      </c>
      <c r="Q1068">
        <v>0</v>
      </c>
      <c r="R1068">
        <v>23.93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H1068">
        <v>23.93</v>
      </c>
    </row>
    <row r="1069" spans="1:34" x14ac:dyDescent="0.3">
      <c r="A1069" s="4">
        <v>1086</v>
      </c>
      <c r="B1069" s="5">
        <v>1062</v>
      </c>
      <c r="C1069">
        <v>15571</v>
      </c>
      <c r="D1069" t="s">
        <v>1323</v>
      </c>
      <c r="E1069" t="s">
        <v>170</v>
      </c>
      <c r="F1069" t="s">
        <v>62</v>
      </c>
      <c r="G1069" t="s">
        <v>10402</v>
      </c>
      <c r="H1069">
        <v>16.899999999999999</v>
      </c>
      <c r="I1069">
        <v>0</v>
      </c>
      <c r="J1069">
        <v>0</v>
      </c>
      <c r="K1069">
        <v>0</v>
      </c>
      <c r="N1069">
        <v>3</v>
      </c>
      <c r="O1069">
        <v>3</v>
      </c>
      <c r="P1069">
        <v>4</v>
      </c>
      <c r="Q1069">
        <v>0</v>
      </c>
      <c r="R1069">
        <v>23.9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H1069">
        <v>23.9</v>
      </c>
    </row>
    <row r="1070" spans="1:34" x14ac:dyDescent="0.3">
      <c r="A1070" s="4">
        <v>1087</v>
      </c>
      <c r="B1070" s="5">
        <v>1063</v>
      </c>
      <c r="C1070">
        <v>10221</v>
      </c>
      <c r="D1070" t="s">
        <v>10403</v>
      </c>
      <c r="E1070" t="s">
        <v>54</v>
      </c>
      <c r="F1070" t="s">
        <v>2855</v>
      </c>
      <c r="G1070" t="s">
        <v>10404</v>
      </c>
      <c r="H1070">
        <v>16.899999999999999</v>
      </c>
      <c r="I1070">
        <v>0</v>
      </c>
      <c r="J1070">
        <v>0</v>
      </c>
      <c r="K1070">
        <v>0</v>
      </c>
      <c r="N1070">
        <v>3</v>
      </c>
      <c r="O1070">
        <v>3</v>
      </c>
      <c r="P1070">
        <v>4</v>
      </c>
      <c r="Q1070">
        <v>0</v>
      </c>
      <c r="R1070">
        <v>23.9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 t="s">
        <v>130</v>
      </c>
      <c r="AH1070">
        <v>23.9</v>
      </c>
    </row>
    <row r="1071" spans="1:34" x14ac:dyDescent="0.3">
      <c r="A1071" s="4">
        <v>1088</v>
      </c>
      <c r="B1071" s="5">
        <v>1064</v>
      </c>
      <c r="C1071">
        <v>12639</v>
      </c>
      <c r="D1071" t="s">
        <v>10405</v>
      </c>
      <c r="E1071" t="s">
        <v>26</v>
      </c>
      <c r="F1071" t="s">
        <v>68</v>
      </c>
      <c r="G1071" t="s">
        <v>10406</v>
      </c>
      <c r="H1071">
        <v>16.829999999999998</v>
      </c>
      <c r="I1071">
        <v>0</v>
      </c>
      <c r="J1071">
        <v>0</v>
      </c>
      <c r="K1071">
        <v>0</v>
      </c>
      <c r="O1071">
        <v>0</v>
      </c>
      <c r="P1071">
        <v>4</v>
      </c>
      <c r="Q1071">
        <v>0</v>
      </c>
      <c r="R1071">
        <v>20.83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3</v>
      </c>
      <c r="AC1071">
        <v>0</v>
      </c>
      <c r="AH1071">
        <v>23.83</v>
      </c>
    </row>
    <row r="1072" spans="1:34" x14ac:dyDescent="0.3">
      <c r="A1072" s="4">
        <v>1089</v>
      </c>
      <c r="B1072" s="5">
        <v>1065</v>
      </c>
      <c r="C1072">
        <v>14395</v>
      </c>
      <c r="D1072" t="s">
        <v>5759</v>
      </c>
      <c r="E1072" t="s">
        <v>3964</v>
      </c>
      <c r="F1072" t="s">
        <v>892</v>
      </c>
      <c r="G1072" t="s">
        <v>5760</v>
      </c>
      <c r="H1072">
        <v>18.829999999999998</v>
      </c>
      <c r="I1072">
        <v>0</v>
      </c>
      <c r="J1072">
        <v>0</v>
      </c>
      <c r="K1072">
        <v>0</v>
      </c>
      <c r="N1072">
        <v>3</v>
      </c>
      <c r="O1072">
        <v>3</v>
      </c>
      <c r="P1072">
        <v>0</v>
      </c>
      <c r="Q1072">
        <v>2</v>
      </c>
      <c r="R1072">
        <v>23.83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H1072">
        <v>23.83</v>
      </c>
    </row>
    <row r="1073" spans="1:34" x14ac:dyDescent="0.3">
      <c r="A1073" s="4">
        <v>1090</v>
      </c>
      <c r="B1073" s="5">
        <v>1066</v>
      </c>
      <c r="C1073">
        <v>15011</v>
      </c>
      <c r="D1073" t="s">
        <v>10407</v>
      </c>
      <c r="E1073" t="s">
        <v>563</v>
      </c>
      <c r="F1073" t="s">
        <v>20</v>
      </c>
      <c r="G1073" t="s">
        <v>10408</v>
      </c>
      <c r="H1073">
        <v>20.8</v>
      </c>
      <c r="I1073">
        <v>0</v>
      </c>
      <c r="J1073">
        <v>0</v>
      </c>
      <c r="K1073">
        <v>0</v>
      </c>
      <c r="N1073">
        <v>3</v>
      </c>
      <c r="O1073">
        <v>3</v>
      </c>
      <c r="P1073">
        <v>0</v>
      </c>
      <c r="Q1073">
        <v>0</v>
      </c>
      <c r="R1073">
        <v>23.8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H1073">
        <v>23.8</v>
      </c>
    </row>
    <row r="1074" spans="1:34" x14ac:dyDescent="0.3">
      <c r="A1074" s="4">
        <v>1091</v>
      </c>
      <c r="B1074" s="5">
        <v>1067</v>
      </c>
      <c r="C1074">
        <v>15163</v>
      </c>
      <c r="D1074" t="s">
        <v>10409</v>
      </c>
      <c r="E1074" t="s">
        <v>4956</v>
      </c>
      <c r="F1074" t="s">
        <v>81</v>
      </c>
      <c r="G1074" t="s">
        <v>10410</v>
      </c>
      <c r="H1074">
        <v>16.73</v>
      </c>
      <c r="I1074">
        <v>0</v>
      </c>
      <c r="J1074">
        <v>0</v>
      </c>
      <c r="K1074">
        <v>0</v>
      </c>
      <c r="N1074">
        <v>3</v>
      </c>
      <c r="O1074">
        <v>3</v>
      </c>
      <c r="P1074">
        <v>4</v>
      </c>
      <c r="Q1074">
        <v>0</v>
      </c>
      <c r="R1074">
        <v>23.73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H1074">
        <v>23.73</v>
      </c>
    </row>
    <row r="1075" spans="1:34" x14ac:dyDescent="0.3">
      <c r="A1075" s="4">
        <v>1092</v>
      </c>
      <c r="B1075" s="5">
        <v>1068</v>
      </c>
      <c r="C1075">
        <v>1391</v>
      </c>
      <c r="D1075" t="s">
        <v>473</v>
      </c>
      <c r="E1075" t="s">
        <v>22</v>
      </c>
      <c r="F1075" t="s">
        <v>81</v>
      </c>
      <c r="G1075" t="s">
        <v>5671</v>
      </c>
      <c r="H1075">
        <v>16.7</v>
      </c>
      <c r="I1075">
        <v>0</v>
      </c>
      <c r="J1075">
        <v>0</v>
      </c>
      <c r="K1075">
        <v>0</v>
      </c>
      <c r="O1075">
        <v>0</v>
      </c>
      <c r="P1075">
        <v>4</v>
      </c>
      <c r="Q1075">
        <v>0</v>
      </c>
      <c r="R1075">
        <v>20.7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3</v>
      </c>
      <c r="AC1075">
        <v>0</v>
      </c>
      <c r="AH1075">
        <v>23.7</v>
      </c>
    </row>
    <row r="1076" spans="1:34" x14ac:dyDescent="0.3">
      <c r="A1076" s="4">
        <v>1093</v>
      </c>
      <c r="B1076" s="5">
        <v>1069</v>
      </c>
      <c r="C1076">
        <v>13210</v>
      </c>
      <c r="D1076" t="s">
        <v>5495</v>
      </c>
      <c r="E1076" t="s">
        <v>4695</v>
      </c>
      <c r="F1076" t="s">
        <v>972</v>
      </c>
      <c r="G1076" t="s">
        <v>5496</v>
      </c>
      <c r="H1076">
        <v>17.7</v>
      </c>
      <c r="I1076">
        <v>0</v>
      </c>
      <c r="J1076">
        <v>0</v>
      </c>
      <c r="K1076">
        <v>0</v>
      </c>
      <c r="O1076">
        <v>0</v>
      </c>
      <c r="P1076">
        <v>4</v>
      </c>
      <c r="Q1076">
        <v>2</v>
      </c>
      <c r="R1076">
        <v>23.7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H1076">
        <v>23.7</v>
      </c>
    </row>
    <row r="1077" spans="1:34" x14ac:dyDescent="0.3">
      <c r="A1077" s="4">
        <v>1094</v>
      </c>
      <c r="B1077" s="5">
        <v>1070</v>
      </c>
      <c r="C1077">
        <v>5821</v>
      </c>
      <c r="D1077" t="s">
        <v>10411</v>
      </c>
      <c r="E1077" t="s">
        <v>652</v>
      </c>
      <c r="F1077" t="s">
        <v>1460</v>
      </c>
      <c r="G1077" t="s">
        <v>10412</v>
      </c>
      <c r="H1077">
        <v>16.68</v>
      </c>
      <c r="I1077">
        <v>0</v>
      </c>
      <c r="J1077">
        <v>0</v>
      </c>
      <c r="K1077">
        <v>0</v>
      </c>
      <c r="M1077">
        <v>5</v>
      </c>
      <c r="O1077">
        <v>5</v>
      </c>
      <c r="P1077">
        <v>0</v>
      </c>
      <c r="Q1077">
        <v>2</v>
      </c>
      <c r="R1077">
        <v>23.68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H1077">
        <v>23.68</v>
      </c>
    </row>
    <row r="1078" spans="1:34" x14ac:dyDescent="0.3">
      <c r="A1078" s="4">
        <v>1095</v>
      </c>
      <c r="B1078" s="5">
        <v>1071</v>
      </c>
      <c r="C1078">
        <v>7380</v>
      </c>
      <c r="D1078" t="s">
        <v>2342</v>
      </c>
      <c r="E1078" t="s">
        <v>400</v>
      </c>
      <c r="F1078" t="s">
        <v>136</v>
      </c>
      <c r="G1078" t="s">
        <v>10413</v>
      </c>
      <c r="H1078">
        <v>17.649999999999999</v>
      </c>
      <c r="I1078">
        <v>0</v>
      </c>
      <c r="J1078">
        <v>0</v>
      </c>
      <c r="K1078">
        <v>0</v>
      </c>
      <c r="N1078">
        <v>3</v>
      </c>
      <c r="O1078">
        <v>3</v>
      </c>
      <c r="P1078">
        <v>0</v>
      </c>
      <c r="Q1078">
        <v>0</v>
      </c>
      <c r="R1078">
        <v>20.65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3</v>
      </c>
      <c r="AC1078">
        <v>0</v>
      </c>
      <c r="AD1078" t="s">
        <v>130</v>
      </c>
      <c r="AH1078">
        <v>23.65</v>
      </c>
    </row>
    <row r="1079" spans="1:34" x14ac:dyDescent="0.3">
      <c r="A1079" s="4">
        <v>1096</v>
      </c>
      <c r="B1079" s="5">
        <v>1072</v>
      </c>
      <c r="C1079">
        <v>215</v>
      </c>
      <c r="D1079" t="s">
        <v>10414</v>
      </c>
      <c r="E1079" t="s">
        <v>346</v>
      </c>
      <c r="F1079" t="s">
        <v>20</v>
      </c>
      <c r="G1079" t="s">
        <v>10415</v>
      </c>
      <c r="H1079">
        <v>16.600000000000001</v>
      </c>
      <c r="I1079">
        <v>0</v>
      </c>
      <c r="J1079">
        <v>0</v>
      </c>
      <c r="K1079">
        <v>0</v>
      </c>
      <c r="L1079">
        <v>7</v>
      </c>
      <c r="O1079">
        <v>7</v>
      </c>
      <c r="P1079">
        <v>0</v>
      </c>
      <c r="Q1079">
        <v>0</v>
      </c>
      <c r="R1079">
        <v>23.6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H1079">
        <v>23.6</v>
      </c>
    </row>
    <row r="1080" spans="1:34" x14ac:dyDescent="0.3">
      <c r="A1080" s="4">
        <v>1097</v>
      </c>
      <c r="B1080" s="5">
        <v>1073</v>
      </c>
      <c r="C1080">
        <v>6368</v>
      </c>
      <c r="D1080" t="s">
        <v>60</v>
      </c>
      <c r="E1080" t="s">
        <v>338</v>
      </c>
      <c r="F1080" t="s">
        <v>81</v>
      </c>
      <c r="G1080" t="s">
        <v>10416</v>
      </c>
      <c r="H1080">
        <v>12.5</v>
      </c>
      <c r="I1080">
        <v>0</v>
      </c>
      <c r="J1080">
        <v>0</v>
      </c>
      <c r="K1080">
        <v>0</v>
      </c>
      <c r="N1080">
        <v>3</v>
      </c>
      <c r="O1080">
        <v>3</v>
      </c>
      <c r="P1080">
        <v>0</v>
      </c>
      <c r="Q1080">
        <v>2</v>
      </c>
      <c r="R1080">
        <v>17.5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6</v>
      </c>
      <c r="AC1080">
        <v>0</v>
      </c>
      <c r="AH1080">
        <v>23.5</v>
      </c>
    </row>
    <row r="1081" spans="1:34" x14ac:dyDescent="0.3">
      <c r="A1081" s="4">
        <v>1098</v>
      </c>
      <c r="B1081" s="5">
        <v>1074</v>
      </c>
      <c r="C1081">
        <v>13880</v>
      </c>
      <c r="D1081" t="s">
        <v>181</v>
      </c>
      <c r="E1081" t="s">
        <v>33</v>
      </c>
      <c r="F1081" t="s">
        <v>17</v>
      </c>
      <c r="G1081" t="s">
        <v>10417</v>
      </c>
      <c r="H1081">
        <v>17.5</v>
      </c>
      <c r="I1081">
        <v>0</v>
      </c>
      <c r="J1081">
        <v>0</v>
      </c>
      <c r="K1081">
        <v>0</v>
      </c>
      <c r="N1081">
        <v>3</v>
      </c>
      <c r="O1081">
        <v>3</v>
      </c>
      <c r="P1081">
        <v>0</v>
      </c>
      <c r="Q1081">
        <v>0</v>
      </c>
      <c r="R1081">
        <v>20.5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3</v>
      </c>
      <c r="AC1081">
        <v>0</v>
      </c>
      <c r="AH1081">
        <v>23.5</v>
      </c>
    </row>
    <row r="1082" spans="1:34" x14ac:dyDescent="0.3">
      <c r="A1082" s="4">
        <v>1099</v>
      </c>
      <c r="B1082" s="5">
        <v>1075</v>
      </c>
      <c r="C1082">
        <v>14426</v>
      </c>
      <c r="D1082" t="s">
        <v>2227</v>
      </c>
      <c r="E1082" t="s">
        <v>166</v>
      </c>
      <c r="F1082" t="s">
        <v>81</v>
      </c>
      <c r="G1082" t="s">
        <v>10418</v>
      </c>
      <c r="H1082">
        <v>12.5</v>
      </c>
      <c r="I1082">
        <v>0</v>
      </c>
      <c r="J1082">
        <v>0</v>
      </c>
      <c r="K1082">
        <v>0</v>
      </c>
      <c r="L1082">
        <v>7</v>
      </c>
      <c r="O1082">
        <v>7</v>
      </c>
      <c r="P1082">
        <v>4</v>
      </c>
      <c r="Q1082">
        <v>0</v>
      </c>
      <c r="R1082">
        <v>23.5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H1082">
        <v>23.5</v>
      </c>
    </row>
    <row r="1083" spans="1:34" x14ac:dyDescent="0.3">
      <c r="A1083" s="4">
        <v>1100</v>
      </c>
      <c r="B1083" s="5">
        <v>1076</v>
      </c>
      <c r="C1083">
        <v>9647</v>
      </c>
      <c r="D1083" t="s">
        <v>6492</v>
      </c>
      <c r="E1083" t="s">
        <v>789</v>
      </c>
      <c r="F1083" t="s">
        <v>17</v>
      </c>
      <c r="G1083" t="s">
        <v>10419</v>
      </c>
      <c r="H1083">
        <v>17.48</v>
      </c>
      <c r="I1083">
        <v>0</v>
      </c>
      <c r="J1083">
        <v>0</v>
      </c>
      <c r="K1083">
        <v>0</v>
      </c>
      <c r="N1083">
        <v>3</v>
      </c>
      <c r="O1083">
        <v>3</v>
      </c>
      <c r="P1083">
        <v>0</v>
      </c>
      <c r="Q1083">
        <v>0</v>
      </c>
      <c r="R1083">
        <v>20.48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3</v>
      </c>
      <c r="AC1083">
        <v>0</v>
      </c>
      <c r="AH1083">
        <v>23.48</v>
      </c>
    </row>
    <row r="1084" spans="1:34" x14ac:dyDescent="0.3">
      <c r="A1084" s="4">
        <v>1101</v>
      </c>
      <c r="B1084" s="5">
        <v>1077</v>
      </c>
      <c r="C1084">
        <v>2634</v>
      </c>
      <c r="D1084" t="s">
        <v>10420</v>
      </c>
      <c r="E1084" t="s">
        <v>188</v>
      </c>
      <c r="F1084" t="s">
        <v>9300</v>
      </c>
      <c r="G1084" t="s">
        <v>10421</v>
      </c>
      <c r="H1084">
        <v>20.43</v>
      </c>
      <c r="I1084">
        <v>0</v>
      </c>
      <c r="J1084">
        <v>0</v>
      </c>
      <c r="K1084">
        <v>0</v>
      </c>
      <c r="N1084">
        <v>3</v>
      </c>
      <c r="O1084">
        <v>3</v>
      </c>
      <c r="P1084">
        <v>0</v>
      </c>
      <c r="Q1084">
        <v>0</v>
      </c>
      <c r="R1084">
        <v>23.43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H1084">
        <v>23.43</v>
      </c>
    </row>
    <row r="1085" spans="1:34" x14ac:dyDescent="0.3">
      <c r="A1085" s="4">
        <v>1102</v>
      </c>
      <c r="B1085" s="5">
        <v>1078</v>
      </c>
      <c r="C1085">
        <v>11382</v>
      </c>
      <c r="D1085" t="s">
        <v>1709</v>
      </c>
      <c r="E1085" t="s">
        <v>4855</v>
      </c>
      <c r="F1085" t="s">
        <v>38</v>
      </c>
      <c r="G1085" t="s">
        <v>10422</v>
      </c>
      <c r="H1085">
        <v>19.399999999999999</v>
      </c>
      <c r="I1085">
        <v>0</v>
      </c>
      <c r="J1085">
        <v>0</v>
      </c>
      <c r="K1085">
        <v>0</v>
      </c>
      <c r="O1085">
        <v>0</v>
      </c>
      <c r="P1085">
        <v>4</v>
      </c>
      <c r="Q1085">
        <v>0</v>
      </c>
      <c r="R1085">
        <v>23.4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H1085">
        <v>23.4</v>
      </c>
    </row>
    <row r="1086" spans="1:34" x14ac:dyDescent="0.3">
      <c r="A1086" s="4">
        <v>1103</v>
      </c>
      <c r="B1086" s="5">
        <v>1079</v>
      </c>
      <c r="C1086">
        <v>12044</v>
      </c>
      <c r="D1086" t="s">
        <v>328</v>
      </c>
      <c r="E1086" t="s">
        <v>10423</v>
      </c>
      <c r="F1086" t="s">
        <v>30</v>
      </c>
      <c r="G1086" t="s">
        <v>32046</v>
      </c>
      <c r="H1086">
        <v>16.399999999999999</v>
      </c>
      <c r="I1086">
        <v>0</v>
      </c>
      <c r="J1086">
        <v>0</v>
      </c>
      <c r="K1086">
        <v>0</v>
      </c>
      <c r="N1086">
        <v>3</v>
      </c>
      <c r="O1086">
        <v>3</v>
      </c>
      <c r="P1086">
        <v>4</v>
      </c>
      <c r="Q1086">
        <v>0</v>
      </c>
      <c r="R1086">
        <v>23.4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H1086">
        <v>23.4</v>
      </c>
    </row>
    <row r="1087" spans="1:34" x14ac:dyDescent="0.3">
      <c r="A1087" s="4">
        <v>1104</v>
      </c>
      <c r="B1087" s="5">
        <v>1080</v>
      </c>
      <c r="C1087">
        <v>296</v>
      </c>
      <c r="D1087" t="s">
        <v>10424</v>
      </c>
      <c r="E1087" t="s">
        <v>479</v>
      </c>
      <c r="F1087" t="s">
        <v>38</v>
      </c>
      <c r="G1087" t="s">
        <v>10425</v>
      </c>
      <c r="H1087">
        <v>20.329999999999998</v>
      </c>
      <c r="I1087">
        <v>0</v>
      </c>
      <c r="J1087">
        <v>0</v>
      </c>
      <c r="K1087">
        <v>0</v>
      </c>
      <c r="N1087">
        <v>3</v>
      </c>
      <c r="O1087">
        <v>3</v>
      </c>
      <c r="P1087">
        <v>0</v>
      </c>
      <c r="Q1087">
        <v>0</v>
      </c>
      <c r="R1087">
        <v>23.33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H1087">
        <v>23.33</v>
      </c>
    </row>
    <row r="1088" spans="1:34" x14ac:dyDescent="0.3">
      <c r="A1088" s="4">
        <v>1105</v>
      </c>
      <c r="B1088" s="5">
        <v>1081</v>
      </c>
      <c r="C1088">
        <v>14405</v>
      </c>
      <c r="D1088" t="s">
        <v>10426</v>
      </c>
      <c r="E1088" t="s">
        <v>2601</v>
      </c>
      <c r="F1088" t="s">
        <v>124</v>
      </c>
      <c r="G1088" t="s">
        <v>10427</v>
      </c>
      <c r="H1088">
        <v>17.329999999999998</v>
      </c>
      <c r="I1088">
        <v>0</v>
      </c>
      <c r="J1088">
        <v>0</v>
      </c>
      <c r="K1088">
        <v>0</v>
      </c>
      <c r="N1088">
        <v>6</v>
      </c>
      <c r="O1088">
        <v>6</v>
      </c>
      <c r="P1088">
        <v>0</v>
      </c>
      <c r="Q1088">
        <v>0</v>
      </c>
      <c r="R1088">
        <v>23.33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H1088">
        <v>23.33</v>
      </c>
    </row>
    <row r="1089" spans="1:34" x14ac:dyDescent="0.3">
      <c r="A1089" s="4">
        <v>1106</v>
      </c>
      <c r="B1089" s="5">
        <v>1082</v>
      </c>
      <c r="C1089">
        <v>8464</v>
      </c>
      <c r="D1089" t="s">
        <v>10428</v>
      </c>
      <c r="E1089" t="s">
        <v>41</v>
      </c>
      <c r="F1089" t="s">
        <v>190</v>
      </c>
      <c r="G1089" t="s">
        <v>10429</v>
      </c>
      <c r="H1089">
        <v>20.2</v>
      </c>
      <c r="I1089">
        <v>0</v>
      </c>
      <c r="J1089">
        <v>0</v>
      </c>
      <c r="K1089">
        <v>0</v>
      </c>
      <c r="N1089">
        <v>3</v>
      </c>
      <c r="O1089">
        <v>3</v>
      </c>
      <c r="P1089">
        <v>0</v>
      </c>
      <c r="Q1089">
        <v>0</v>
      </c>
      <c r="R1089">
        <v>23.2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H1089">
        <v>23.2</v>
      </c>
    </row>
    <row r="1090" spans="1:34" x14ac:dyDescent="0.3">
      <c r="A1090" s="4">
        <v>1107</v>
      </c>
      <c r="B1090" s="5">
        <v>1083</v>
      </c>
      <c r="C1090">
        <v>9105</v>
      </c>
      <c r="D1090" t="s">
        <v>10430</v>
      </c>
      <c r="E1090" t="s">
        <v>68</v>
      </c>
      <c r="F1090" t="s">
        <v>117</v>
      </c>
      <c r="G1090">
        <v>339786</v>
      </c>
      <c r="H1090">
        <v>19.2</v>
      </c>
      <c r="I1090">
        <v>0</v>
      </c>
      <c r="J1090">
        <v>0</v>
      </c>
      <c r="K1090">
        <v>0</v>
      </c>
      <c r="O1090">
        <v>0</v>
      </c>
      <c r="P1090">
        <v>4</v>
      </c>
      <c r="Q1090">
        <v>0</v>
      </c>
      <c r="R1090">
        <v>23.2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H1090">
        <v>23.2</v>
      </c>
    </row>
    <row r="1091" spans="1:34" x14ac:dyDescent="0.3">
      <c r="A1091" s="4">
        <v>1108</v>
      </c>
      <c r="B1091" s="5">
        <v>1084</v>
      </c>
      <c r="C1091">
        <v>12477</v>
      </c>
      <c r="D1091" t="s">
        <v>10431</v>
      </c>
      <c r="E1091" t="s">
        <v>100</v>
      </c>
      <c r="F1091" t="s">
        <v>3359</v>
      </c>
      <c r="G1091" t="s">
        <v>10432</v>
      </c>
      <c r="H1091">
        <v>20.18</v>
      </c>
      <c r="I1091">
        <v>0</v>
      </c>
      <c r="J1091">
        <v>0</v>
      </c>
      <c r="K1091">
        <v>0</v>
      </c>
      <c r="N1091">
        <v>3</v>
      </c>
      <c r="O1091">
        <v>3</v>
      </c>
      <c r="P1091">
        <v>0</v>
      </c>
      <c r="Q1091">
        <v>0</v>
      </c>
      <c r="R1091">
        <v>23.18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H1091">
        <v>23.18</v>
      </c>
    </row>
    <row r="1092" spans="1:34" x14ac:dyDescent="0.3">
      <c r="A1092" s="4">
        <v>1109</v>
      </c>
      <c r="B1092" s="5">
        <v>1085</v>
      </c>
      <c r="C1092">
        <v>14430</v>
      </c>
      <c r="D1092" t="s">
        <v>10433</v>
      </c>
      <c r="E1092" t="s">
        <v>213</v>
      </c>
      <c r="F1092" t="s">
        <v>488</v>
      </c>
      <c r="G1092" t="s">
        <v>10434</v>
      </c>
      <c r="H1092">
        <v>19.149999999999999</v>
      </c>
      <c r="I1092">
        <v>0</v>
      </c>
      <c r="J1092">
        <v>0</v>
      </c>
      <c r="K1092">
        <v>0</v>
      </c>
      <c r="O1092">
        <v>0</v>
      </c>
      <c r="P1092">
        <v>4</v>
      </c>
      <c r="Q1092">
        <v>0</v>
      </c>
      <c r="R1092">
        <v>23.15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 t="s">
        <v>130</v>
      </c>
      <c r="AH1092">
        <v>23.15</v>
      </c>
    </row>
    <row r="1093" spans="1:34" x14ac:dyDescent="0.3">
      <c r="A1093" s="4">
        <v>1110</v>
      </c>
      <c r="B1093" s="5">
        <v>1086</v>
      </c>
      <c r="C1093">
        <v>2895</v>
      </c>
      <c r="D1093" t="s">
        <v>10435</v>
      </c>
      <c r="E1093" t="s">
        <v>454</v>
      </c>
      <c r="F1093" t="s">
        <v>10436</v>
      </c>
      <c r="G1093" t="s">
        <v>10437</v>
      </c>
      <c r="H1093">
        <v>18.149999999999999</v>
      </c>
      <c r="I1093">
        <v>0</v>
      </c>
      <c r="J1093">
        <v>0</v>
      </c>
      <c r="K1093">
        <v>0</v>
      </c>
      <c r="N1093">
        <v>3</v>
      </c>
      <c r="O1093">
        <v>3</v>
      </c>
      <c r="P1093">
        <v>0</v>
      </c>
      <c r="Q1093">
        <v>2</v>
      </c>
      <c r="R1093">
        <v>23.15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H1093">
        <v>23.15</v>
      </c>
    </row>
    <row r="1094" spans="1:34" x14ac:dyDescent="0.3">
      <c r="A1094" s="4">
        <v>1111</v>
      </c>
      <c r="B1094" s="5">
        <v>1087</v>
      </c>
      <c r="C1094">
        <v>13273</v>
      </c>
      <c r="D1094" t="s">
        <v>10438</v>
      </c>
      <c r="E1094" t="s">
        <v>29</v>
      </c>
      <c r="F1094" t="s">
        <v>81</v>
      </c>
      <c r="G1094" t="s">
        <v>10439</v>
      </c>
      <c r="H1094">
        <v>18.13</v>
      </c>
      <c r="I1094">
        <v>0</v>
      </c>
      <c r="J1094">
        <v>0</v>
      </c>
      <c r="K1094">
        <v>0</v>
      </c>
      <c r="N1094">
        <v>3</v>
      </c>
      <c r="O1094">
        <v>3</v>
      </c>
      <c r="P1094">
        <v>0</v>
      </c>
      <c r="Q1094">
        <v>2</v>
      </c>
      <c r="R1094">
        <v>23.13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H1094">
        <v>23.13</v>
      </c>
    </row>
    <row r="1095" spans="1:34" x14ac:dyDescent="0.3">
      <c r="A1095" s="4">
        <v>1112</v>
      </c>
      <c r="B1095" s="5">
        <v>1088</v>
      </c>
      <c r="C1095">
        <v>9654</v>
      </c>
      <c r="D1095" t="s">
        <v>10440</v>
      </c>
      <c r="E1095" t="s">
        <v>29</v>
      </c>
      <c r="F1095" t="s">
        <v>5255</v>
      </c>
      <c r="G1095" t="s">
        <v>10441</v>
      </c>
      <c r="H1095">
        <v>17.100000000000001</v>
      </c>
      <c r="I1095">
        <v>0</v>
      </c>
      <c r="J1095">
        <v>0</v>
      </c>
      <c r="K1095">
        <v>0</v>
      </c>
      <c r="O1095">
        <v>0</v>
      </c>
      <c r="P1095">
        <v>4</v>
      </c>
      <c r="Q1095">
        <v>2</v>
      </c>
      <c r="R1095">
        <v>23.1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H1095">
        <v>23.1</v>
      </c>
    </row>
    <row r="1096" spans="1:34" x14ac:dyDescent="0.3">
      <c r="A1096" s="4">
        <v>1113</v>
      </c>
      <c r="B1096" s="5">
        <v>1089</v>
      </c>
      <c r="C1096">
        <v>9007</v>
      </c>
      <c r="D1096" t="s">
        <v>1979</v>
      </c>
      <c r="E1096" t="s">
        <v>335</v>
      </c>
      <c r="F1096" t="s">
        <v>230</v>
      </c>
      <c r="G1096" t="s">
        <v>10442</v>
      </c>
      <c r="H1096">
        <v>20.079999999999998</v>
      </c>
      <c r="I1096">
        <v>0</v>
      </c>
      <c r="J1096">
        <v>0</v>
      </c>
      <c r="K1096">
        <v>0</v>
      </c>
      <c r="O1096">
        <v>0</v>
      </c>
      <c r="P1096">
        <v>0</v>
      </c>
      <c r="Q1096">
        <v>0</v>
      </c>
      <c r="R1096">
        <v>20.079999999999998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3</v>
      </c>
      <c r="AC1096">
        <v>0</v>
      </c>
      <c r="AH1096">
        <v>23.08</v>
      </c>
    </row>
    <row r="1097" spans="1:34" x14ac:dyDescent="0.3">
      <c r="A1097" s="4">
        <v>1114</v>
      </c>
      <c r="B1097" s="5">
        <v>1090</v>
      </c>
      <c r="C1097">
        <v>8523</v>
      </c>
      <c r="D1097" t="s">
        <v>2227</v>
      </c>
      <c r="E1097" t="s">
        <v>789</v>
      </c>
      <c r="F1097" t="s">
        <v>782</v>
      </c>
      <c r="G1097" t="s">
        <v>10443</v>
      </c>
      <c r="H1097">
        <v>19.079999999999998</v>
      </c>
      <c r="I1097">
        <v>0</v>
      </c>
      <c r="J1097">
        <v>0</v>
      </c>
      <c r="K1097">
        <v>0</v>
      </c>
      <c r="O1097">
        <v>0</v>
      </c>
      <c r="P1097">
        <v>4</v>
      </c>
      <c r="Q1097">
        <v>0</v>
      </c>
      <c r="R1097">
        <v>23.08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H1097">
        <v>23.08</v>
      </c>
    </row>
    <row r="1098" spans="1:34" x14ac:dyDescent="0.3">
      <c r="A1098" s="4">
        <v>1115</v>
      </c>
      <c r="B1098" s="5">
        <v>1091</v>
      </c>
      <c r="C1098">
        <v>12531</v>
      </c>
      <c r="D1098" t="s">
        <v>10444</v>
      </c>
      <c r="E1098" t="s">
        <v>29</v>
      </c>
      <c r="F1098" t="s">
        <v>136</v>
      </c>
      <c r="G1098" t="s">
        <v>10445</v>
      </c>
      <c r="H1098">
        <v>18.05</v>
      </c>
      <c r="I1098">
        <v>0</v>
      </c>
      <c r="J1098">
        <v>0</v>
      </c>
      <c r="K1098">
        <v>0</v>
      </c>
      <c r="M1098">
        <v>5</v>
      </c>
      <c r="O1098">
        <v>5</v>
      </c>
      <c r="P1098">
        <v>0</v>
      </c>
      <c r="Q1098">
        <v>0</v>
      </c>
      <c r="R1098">
        <v>23.05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H1098">
        <v>23.05</v>
      </c>
    </row>
    <row r="1099" spans="1:34" x14ac:dyDescent="0.3">
      <c r="A1099" s="4">
        <v>1116</v>
      </c>
      <c r="B1099" s="5">
        <v>1092</v>
      </c>
      <c r="C1099">
        <v>7745</v>
      </c>
      <c r="D1099" t="s">
        <v>5453</v>
      </c>
      <c r="E1099" t="s">
        <v>594</v>
      </c>
      <c r="F1099" t="s">
        <v>230</v>
      </c>
      <c r="G1099" t="s">
        <v>10446</v>
      </c>
      <c r="H1099">
        <v>20.03</v>
      </c>
      <c r="I1099">
        <v>0</v>
      </c>
      <c r="J1099">
        <v>0</v>
      </c>
      <c r="K1099">
        <v>0</v>
      </c>
      <c r="N1099">
        <v>3</v>
      </c>
      <c r="O1099">
        <v>3</v>
      </c>
      <c r="P1099">
        <v>0</v>
      </c>
      <c r="Q1099">
        <v>0</v>
      </c>
      <c r="R1099">
        <v>23.03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H1099">
        <v>23.03</v>
      </c>
    </row>
    <row r="1100" spans="1:34" x14ac:dyDescent="0.3">
      <c r="A1100" s="4">
        <v>1117</v>
      </c>
      <c r="B1100" s="5">
        <v>1093</v>
      </c>
      <c r="C1100">
        <v>10548</v>
      </c>
      <c r="D1100" t="s">
        <v>7108</v>
      </c>
      <c r="E1100" t="s">
        <v>29</v>
      </c>
      <c r="F1100" t="s">
        <v>81</v>
      </c>
      <c r="G1100" t="s">
        <v>10447</v>
      </c>
      <c r="H1100">
        <v>19</v>
      </c>
      <c r="I1100">
        <v>0</v>
      </c>
      <c r="J1100">
        <v>0</v>
      </c>
      <c r="K1100">
        <v>0</v>
      </c>
      <c r="O1100">
        <v>0</v>
      </c>
      <c r="P1100">
        <v>4</v>
      </c>
      <c r="Q1100">
        <v>0</v>
      </c>
      <c r="R1100">
        <v>23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H1100">
        <v>23</v>
      </c>
    </row>
    <row r="1101" spans="1:34" x14ac:dyDescent="0.3">
      <c r="A1101" s="4">
        <v>1118</v>
      </c>
      <c r="B1101" s="5">
        <v>1094</v>
      </c>
      <c r="C1101">
        <v>13931</v>
      </c>
      <c r="D1101" t="s">
        <v>10448</v>
      </c>
      <c r="E1101" t="s">
        <v>10449</v>
      </c>
      <c r="F1101" t="s">
        <v>9300</v>
      </c>
      <c r="G1101" t="s">
        <v>10450</v>
      </c>
      <c r="H1101">
        <v>18.98</v>
      </c>
      <c r="I1101">
        <v>0</v>
      </c>
      <c r="J1101">
        <v>0</v>
      </c>
      <c r="K1101">
        <v>0</v>
      </c>
      <c r="O1101">
        <v>0</v>
      </c>
      <c r="P1101">
        <v>4</v>
      </c>
      <c r="Q1101">
        <v>0</v>
      </c>
      <c r="R1101">
        <v>22.98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H1101">
        <v>22.98</v>
      </c>
    </row>
    <row r="1102" spans="1:34" x14ac:dyDescent="0.3">
      <c r="A1102" s="4">
        <v>1119</v>
      </c>
      <c r="B1102" s="5">
        <v>1095</v>
      </c>
      <c r="C1102">
        <v>11618</v>
      </c>
      <c r="D1102" t="s">
        <v>10451</v>
      </c>
      <c r="E1102" t="s">
        <v>2758</v>
      </c>
      <c r="F1102" t="s">
        <v>416</v>
      </c>
      <c r="G1102" t="s">
        <v>32047</v>
      </c>
      <c r="H1102">
        <v>16.98</v>
      </c>
      <c r="I1102">
        <v>0</v>
      </c>
      <c r="J1102">
        <v>0</v>
      </c>
      <c r="K1102">
        <v>0</v>
      </c>
      <c r="N1102">
        <v>6</v>
      </c>
      <c r="O1102">
        <v>6</v>
      </c>
      <c r="P1102">
        <v>0</v>
      </c>
      <c r="Q1102">
        <v>0</v>
      </c>
      <c r="R1102">
        <v>22.98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H1102">
        <v>22.98</v>
      </c>
    </row>
    <row r="1103" spans="1:34" x14ac:dyDescent="0.3">
      <c r="A1103" s="4">
        <v>1120</v>
      </c>
      <c r="B1103" s="5">
        <v>1096</v>
      </c>
      <c r="C1103">
        <v>14123</v>
      </c>
      <c r="D1103" t="s">
        <v>10452</v>
      </c>
      <c r="E1103" t="s">
        <v>10453</v>
      </c>
      <c r="F1103" t="s">
        <v>10454</v>
      </c>
      <c r="G1103" t="s">
        <v>10455</v>
      </c>
      <c r="H1103">
        <v>16.899999999999999</v>
      </c>
      <c r="I1103">
        <v>0</v>
      </c>
      <c r="J1103">
        <v>0</v>
      </c>
      <c r="K1103">
        <v>0</v>
      </c>
      <c r="N1103">
        <v>3</v>
      </c>
      <c r="O1103">
        <v>3</v>
      </c>
      <c r="P1103">
        <v>0</v>
      </c>
      <c r="Q1103">
        <v>0</v>
      </c>
      <c r="R1103">
        <v>19.899999999999999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3</v>
      </c>
      <c r="AC1103">
        <v>0</v>
      </c>
      <c r="AH1103">
        <v>22.9</v>
      </c>
    </row>
    <row r="1104" spans="1:34" x14ac:dyDescent="0.3">
      <c r="A1104" s="4">
        <v>1121</v>
      </c>
      <c r="B1104" s="5">
        <v>1097</v>
      </c>
      <c r="C1104">
        <v>11750</v>
      </c>
      <c r="D1104" t="s">
        <v>2666</v>
      </c>
      <c r="E1104" t="s">
        <v>268</v>
      </c>
      <c r="F1104" t="s">
        <v>17</v>
      </c>
      <c r="G1104" t="s">
        <v>10456</v>
      </c>
      <c r="H1104">
        <v>18.899999999999999</v>
      </c>
      <c r="I1104">
        <v>0</v>
      </c>
      <c r="J1104">
        <v>0</v>
      </c>
      <c r="K1104">
        <v>0</v>
      </c>
      <c r="O1104">
        <v>0</v>
      </c>
      <c r="P1104">
        <v>4</v>
      </c>
      <c r="Q1104">
        <v>0</v>
      </c>
      <c r="R1104">
        <v>22.9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H1104">
        <v>22.9</v>
      </c>
    </row>
    <row r="1105" spans="1:34" x14ac:dyDescent="0.3">
      <c r="A1105" s="4">
        <v>1122</v>
      </c>
      <c r="B1105" s="5">
        <v>1098</v>
      </c>
      <c r="C1105">
        <v>13143</v>
      </c>
      <c r="D1105" t="s">
        <v>10457</v>
      </c>
      <c r="E1105" t="s">
        <v>935</v>
      </c>
      <c r="F1105" t="s">
        <v>117</v>
      </c>
      <c r="G1105" t="s">
        <v>10458</v>
      </c>
      <c r="H1105">
        <v>16.88</v>
      </c>
      <c r="I1105">
        <v>0</v>
      </c>
      <c r="J1105">
        <v>0</v>
      </c>
      <c r="K1105">
        <v>0</v>
      </c>
      <c r="N1105">
        <v>3</v>
      </c>
      <c r="O1105">
        <v>3</v>
      </c>
      <c r="P1105">
        <v>0</v>
      </c>
      <c r="Q1105">
        <v>0</v>
      </c>
      <c r="R1105">
        <v>19.88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3</v>
      </c>
      <c r="AC1105">
        <v>0</v>
      </c>
      <c r="AH1105">
        <v>22.88</v>
      </c>
    </row>
    <row r="1106" spans="1:34" x14ac:dyDescent="0.3">
      <c r="A1106" s="4">
        <v>1123</v>
      </c>
      <c r="B1106" s="5">
        <v>1099</v>
      </c>
      <c r="C1106">
        <v>14332</v>
      </c>
      <c r="D1106" t="s">
        <v>10459</v>
      </c>
      <c r="E1106" t="s">
        <v>424</v>
      </c>
      <c r="F1106" t="s">
        <v>81</v>
      </c>
      <c r="G1106" t="s">
        <v>10460</v>
      </c>
      <c r="H1106">
        <v>16.75</v>
      </c>
      <c r="I1106">
        <v>0</v>
      </c>
      <c r="J1106">
        <v>0</v>
      </c>
      <c r="K1106">
        <v>0</v>
      </c>
      <c r="O1106">
        <v>0</v>
      </c>
      <c r="P1106">
        <v>4</v>
      </c>
      <c r="Q1106">
        <v>2</v>
      </c>
      <c r="R1106">
        <v>22.75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H1106">
        <v>22.75</v>
      </c>
    </row>
    <row r="1107" spans="1:34" x14ac:dyDescent="0.3">
      <c r="A1107" s="4">
        <v>1124</v>
      </c>
      <c r="B1107" s="5">
        <v>1100</v>
      </c>
      <c r="C1107">
        <v>1345</v>
      </c>
      <c r="D1107" t="s">
        <v>1258</v>
      </c>
      <c r="E1107" t="s">
        <v>213</v>
      </c>
      <c r="F1107" t="s">
        <v>17</v>
      </c>
      <c r="G1107" t="s">
        <v>10461</v>
      </c>
      <c r="H1107">
        <v>18.73</v>
      </c>
      <c r="I1107">
        <v>0</v>
      </c>
      <c r="J1107">
        <v>0</v>
      </c>
      <c r="K1107">
        <v>0</v>
      </c>
      <c r="O1107">
        <v>0</v>
      </c>
      <c r="P1107">
        <v>4</v>
      </c>
      <c r="Q1107">
        <v>0</v>
      </c>
      <c r="R1107">
        <v>22.73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H1107">
        <v>22.73</v>
      </c>
    </row>
    <row r="1108" spans="1:34" x14ac:dyDescent="0.3">
      <c r="A1108" s="4">
        <v>1125</v>
      </c>
      <c r="B1108" s="5">
        <v>1101</v>
      </c>
      <c r="C1108">
        <v>11485</v>
      </c>
      <c r="D1108" t="s">
        <v>10462</v>
      </c>
      <c r="E1108" t="s">
        <v>170</v>
      </c>
      <c r="F1108" t="s">
        <v>328</v>
      </c>
      <c r="G1108" t="s">
        <v>10463</v>
      </c>
      <c r="H1108">
        <v>18.649999999999999</v>
      </c>
      <c r="I1108">
        <v>0</v>
      </c>
      <c r="J1108">
        <v>0</v>
      </c>
      <c r="K1108">
        <v>0</v>
      </c>
      <c r="O1108">
        <v>0</v>
      </c>
      <c r="P1108">
        <v>4</v>
      </c>
      <c r="Q1108">
        <v>0</v>
      </c>
      <c r="R1108">
        <v>22.65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H1108">
        <v>22.65</v>
      </c>
    </row>
    <row r="1109" spans="1:34" x14ac:dyDescent="0.3">
      <c r="A1109" s="4">
        <v>1126</v>
      </c>
      <c r="B1109" s="5">
        <v>1102</v>
      </c>
      <c r="C1109">
        <v>14125</v>
      </c>
      <c r="D1109" t="s">
        <v>10464</v>
      </c>
      <c r="E1109" t="s">
        <v>208</v>
      </c>
      <c r="F1109" t="s">
        <v>81</v>
      </c>
      <c r="G1109" t="s">
        <v>10465</v>
      </c>
      <c r="H1109">
        <v>18.649999999999999</v>
      </c>
      <c r="I1109">
        <v>0</v>
      </c>
      <c r="J1109">
        <v>0</v>
      </c>
      <c r="K1109">
        <v>0</v>
      </c>
      <c r="O1109">
        <v>0</v>
      </c>
      <c r="P1109">
        <v>4</v>
      </c>
      <c r="Q1109">
        <v>0</v>
      </c>
      <c r="R1109">
        <v>22.65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H1109">
        <v>22.65</v>
      </c>
    </row>
    <row r="1110" spans="1:34" x14ac:dyDescent="0.3">
      <c r="A1110" s="4">
        <v>1127</v>
      </c>
      <c r="B1110" s="5">
        <v>1103</v>
      </c>
      <c r="C1110">
        <v>6700</v>
      </c>
      <c r="D1110" t="s">
        <v>10466</v>
      </c>
      <c r="E1110" t="s">
        <v>26</v>
      </c>
      <c r="F1110" t="s">
        <v>17</v>
      </c>
      <c r="G1110" t="s">
        <v>10467</v>
      </c>
      <c r="H1110">
        <v>18.649999999999999</v>
      </c>
      <c r="I1110">
        <v>0</v>
      </c>
      <c r="J1110">
        <v>0</v>
      </c>
      <c r="K1110">
        <v>0</v>
      </c>
      <c r="O1110">
        <v>0</v>
      </c>
      <c r="P1110">
        <v>4</v>
      </c>
      <c r="Q1110">
        <v>0</v>
      </c>
      <c r="R1110">
        <v>22.65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H1110">
        <v>22.65</v>
      </c>
    </row>
    <row r="1111" spans="1:34" x14ac:dyDescent="0.3">
      <c r="A1111" s="4">
        <v>1128</v>
      </c>
      <c r="B1111" s="5">
        <v>1104</v>
      </c>
      <c r="C1111">
        <v>15419</v>
      </c>
      <c r="D1111" t="s">
        <v>10468</v>
      </c>
      <c r="E1111" t="s">
        <v>9158</v>
      </c>
      <c r="F1111" t="s">
        <v>136</v>
      </c>
      <c r="G1111" t="s">
        <v>10469</v>
      </c>
      <c r="H1111">
        <v>15.65</v>
      </c>
      <c r="I1111">
        <v>0</v>
      </c>
      <c r="J1111">
        <v>0</v>
      </c>
      <c r="K1111">
        <v>0</v>
      </c>
      <c r="N1111">
        <v>3</v>
      </c>
      <c r="O1111">
        <v>3</v>
      </c>
      <c r="P1111">
        <v>4</v>
      </c>
      <c r="Q1111">
        <v>0</v>
      </c>
      <c r="R1111">
        <v>22.65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H1111">
        <v>22.65</v>
      </c>
    </row>
    <row r="1112" spans="1:34" x14ac:dyDescent="0.3">
      <c r="A1112" s="4">
        <v>1129</v>
      </c>
      <c r="B1112" s="5">
        <v>1105</v>
      </c>
      <c r="C1112">
        <v>5120</v>
      </c>
      <c r="D1112" t="s">
        <v>4131</v>
      </c>
      <c r="E1112" t="s">
        <v>789</v>
      </c>
      <c r="F1112" t="s">
        <v>117</v>
      </c>
      <c r="G1112" t="s">
        <v>5412</v>
      </c>
      <c r="H1112">
        <v>16.63</v>
      </c>
      <c r="I1112">
        <v>0</v>
      </c>
      <c r="J1112">
        <v>0</v>
      </c>
      <c r="K1112">
        <v>0</v>
      </c>
      <c r="N1112">
        <v>6</v>
      </c>
      <c r="O1112">
        <v>6</v>
      </c>
      <c r="P1112">
        <v>0</v>
      </c>
      <c r="Q1112">
        <v>0</v>
      </c>
      <c r="R1112">
        <v>22.63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H1112">
        <v>22.63</v>
      </c>
    </row>
    <row r="1113" spans="1:34" x14ac:dyDescent="0.3">
      <c r="A1113" s="4">
        <v>1130</v>
      </c>
      <c r="B1113" s="5">
        <v>1106</v>
      </c>
      <c r="C1113">
        <v>4755</v>
      </c>
      <c r="D1113" t="s">
        <v>9689</v>
      </c>
      <c r="E1113" t="s">
        <v>342</v>
      </c>
      <c r="F1113" t="s">
        <v>2561</v>
      </c>
      <c r="G1113" t="s">
        <v>10470</v>
      </c>
      <c r="H1113">
        <v>12.5</v>
      </c>
      <c r="I1113">
        <v>0</v>
      </c>
      <c r="J1113">
        <v>0</v>
      </c>
      <c r="K1113">
        <v>0</v>
      </c>
      <c r="N1113">
        <v>3</v>
      </c>
      <c r="O1113">
        <v>3</v>
      </c>
      <c r="P1113">
        <v>4</v>
      </c>
      <c r="Q1113">
        <v>0</v>
      </c>
      <c r="R1113">
        <v>19.5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3</v>
      </c>
      <c r="AC1113">
        <v>0</v>
      </c>
      <c r="AH1113">
        <v>22.5</v>
      </c>
    </row>
    <row r="1114" spans="1:34" x14ac:dyDescent="0.3">
      <c r="A1114" s="4">
        <v>1131</v>
      </c>
      <c r="B1114" s="5">
        <v>1107</v>
      </c>
      <c r="C1114">
        <v>6568</v>
      </c>
      <c r="D1114" t="s">
        <v>1240</v>
      </c>
      <c r="E1114" t="s">
        <v>54</v>
      </c>
      <c r="F1114" t="s">
        <v>81</v>
      </c>
      <c r="G1114" t="s">
        <v>10471</v>
      </c>
      <c r="H1114">
        <v>12.5</v>
      </c>
      <c r="I1114">
        <v>0</v>
      </c>
      <c r="J1114">
        <v>0</v>
      </c>
      <c r="K1114">
        <v>0</v>
      </c>
      <c r="L1114">
        <v>7</v>
      </c>
      <c r="N1114">
        <v>3</v>
      </c>
      <c r="O1114">
        <v>10</v>
      </c>
      <c r="P1114">
        <v>0</v>
      </c>
      <c r="Q1114">
        <v>0</v>
      </c>
      <c r="R1114">
        <v>22.5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H1114">
        <v>22.5</v>
      </c>
    </row>
    <row r="1115" spans="1:34" x14ac:dyDescent="0.3">
      <c r="A1115" s="4">
        <v>1132</v>
      </c>
      <c r="B1115" s="5">
        <v>1108</v>
      </c>
      <c r="C1115">
        <v>9463</v>
      </c>
      <c r="D1115" t="s">
        <v>10472</v>
      </c>
      <c r="E1115" t="s">
        <v>110</v>
      </c>
      <c r="F1115" t="s">
        <v>20</v>
      </c>
      <c r="G1115" t="s">
        <v>10473</v>
      </c>
      <c r="H1115">
        <v>19.38</v>
      </c>
      <c r="I1115">
        <v>0</v>
      </c>
      <c r="J1115">
        <v>0</v>
      </c>
      <c r="K1115">
        <v>0</v>
      </c>
      <c r="N1115">
        <v>3</v>
      </c>
      <c r="O1115">
        <v>3</v>
      </c>
      <c r="P1115">
        <v>0</v>
      </c>
      <c r="Q1115">
        <v>0</v>
      </c>
      <c r="R1115">
        <v>22.38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H1115">
        <v>22.38</v>
      </c>
    </row>
    <row r="1116" spans="1:34" x14ac:dyDescent="0.3">
      <c r="A1116" s="4">
        <v>1133</v>
      </c>
      <c r="B1116" s="5">
        <v>1109</v>
      </c>
      <c r="C1116">
        <v>11011</v>
      </c>
      <c r="D1116" t="s">
        <v>6018</v>
      </c>
      <c r="E1116" t="s">
        <v>147</v>
      </c>
      <c r="F1116" t="s">
        <v>136</v>
      </c>
      <c r="G1116" t="s">
        <v>6434</v>
      </c>
      <c r="H1116">
        <v>15.33</v>
      </c>
      <c r="I1116">
        <v>0</v>
      </c>
      <c r="J1116">
        <v>0</v>
      </c>
      <c r="K1116">
        <v>0</v>
      </c>
      <c r="O1116">
        <v>0</v>
      </c>
      <c r="P1116">
        <v>4</v>
      </c>
      <c r="Q1116">
        <v>0</v>
      </c>
      <c r="R1116">
        <v>19.329999999999998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3</v>
      </c>
      <c r="AC1116">
        <v>0</v>
      </c>
      <c r="AD1116" t="s">
        <v>130</v>
      </c>
      <c r="AH1116">
        <v>22.33</v>
      </c>
    </row>
    <row r="1117" spans="1:34" x14ac:dyDescent="0.3">
      <c r="A1117" s="4">
        <v>1134</v>
      </c>
      <c r="B1117" s="5">
        <v>1110</v>
      </c>
      <c r="C1117">
        <v>11346</v>
      </c>
      <c r="D1117" t="s">
        <v>10474</v>
      </c>
      <c r="E1117" t="s">
        <v>22</v>
      </c>
      <c r="F1117" t="s">
        <v>972</v>
      </c>
      <c r="G1117" t="s">
        <v>10475</v>
      </c>
      <c r="H1117">
        <v>17.329999999999998</v>
      </c>
      <c r="I1117">
        <v>0</v>
      </c>
      <c r="J1117">
        <v>0</v>
      </c>
      <c r="K1117">
        <v>0</v>
      </c>
      <c r="N1117">
        <v>3</v>
      </c>
      <c r="O1117">
        <v>3</v>
      </c>
      <c r="P1117">
        <v>0</v>
      </c>
      <c r="Q1117">
        <v>2</v>
      </c>
      <c r="R1117">
        <v>22.33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H1117">
        <v>22.33</v>
      </c>
    </row>
    <row r="1118" spans="1:34" x14ac:dyDescent="0.3">
      <c r="A1118" s="4">
        <v>1135</v>
      </c>
      <c r="B1118" s="5">
        <v>1111</v>
      </c>
      <c r="C1118">
        <v>7989</v>
      </c>
      <c r="D1118" t="s">
        <v>10476</v>
      </c>
      <c r="E1118" t="s">
        <v>54</v>
      </c>
      <c r="F1118" t="s">
        <v>17</v>
      </c>
      <c r="G1118" t="s">
        <v>10477</v>
      </c>
      <c r="H1118">
        <v>16.28</v>
      </c>
      <c r="I1118">
        <v>0</v>
      </c>
      <c r="J1118">
        <v>0</v>
      </c>
      <c r="K1118">
        <v>0</v>
      </c>
      <c r="N1118">
        <v>3</v>
      </c>
      <c r="O1118">
        <v>3</v>
      </c>
      <c r="P1118">
        <v>0</v>
      </c>
      <c r="Q1118">
        <v>0</v>
      </c>
      <c r="R1118">
        <v>19.28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3</v>
      </c>
      <c r="AC1118">
        <v>0</v>
      </c>
      <c r="AH1118">
        <v>22.28</v>
      </c>
    </row>
    <row r="1119" spans="1:34" x14ac:dyDescent="0.3">
      <c r="A1119" s="4">
        <v>1136</v>
      </c>
      <c r="B1119" s="5">
        <v>1112</v>
      </c>
      <c r="C1119">
        <v>15008</v>
      </c>
      <c r="D1119" t="s">
        <v>10478</v>
      </c>
      <c r="E1119" t="s">
        <v>147</v>
      </c>
      <c r="F1119" t="s">
        <v>1566</v>
      </c>
      <c r="G1119" t="s">
        <v>10479</v>
      </c>
      <c r="H1119">
        <v>22.28</v>
      </c>
      <c r="I1119">
        <v>0</v>
      </c>
      <c r="J1119">
        <v>0</v>
      </c>
      <c r="K1119">
        <v>0</v>
      </c>
      <c r="O1119">
        <v>0</v>
      </c>
      <c r="P1119">
        <v>0</v>
      </c>
      <c r="Q1119">
        <v>0</v>
      </c>
      <c r="R1119">
        <v>22.28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H1119">
        <v>22.28</v>
      </c>
    </row>
    <row r="1120" spans="1:34" x14ac:dyDescent="0.3">
      <c r="A1120" s="4">
        <v>1137</v>
      </c>
      <c r="B1120" s="5">
        <v>1113</v>
      </c>
      <c r="C1120">
        <v>1106</v>
      </c>
      <c r="D1120" t="s">
        <v>788</v>
      </c>
      <c r="E1120" t="s">
        <v>147</v>
      </c>
      <c r="F1120" t="s">
        <v>17</v>
      </c>
      <c r="G1120" t="s">
        <v>10480</v>
      </c>
      <c r="H1120">
        <v>17.25</v>
      </c>
      <c r="I1120">
        <v>0</v>
      </c>
      <c r="J1120">
        <v>0</v>
      </c>
      <c r="K1120">
        <v>0</v>
      </c>
      <c r="N1120">
        <v>3</v>
      </c>
      <c r="O1120">
        <v>3</v>
      </c>
      <c r="P1120">
        <v>0</v>
      </c>
      <c r="Q1120">
        <v>2</v>
      </c>
      <c r="R1120">
        <v>22.25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H1120">
        <v>22.25</v>
      </c>
    </row>
    <row r="1121" spans="1:34" x14ac:dyDescent="0.3">
      <c r="A1121" s="4">
        <v>1138</v>
      </c>
      <c r="B1121" s="5">
        <v>1114</v>
      </c>
      <c r="C1121">
        <v>9445</v>
      </c>
      <c r="D1121" t="s">
        <v>10481</v>
      </c>
      <c r="E1121" t="s">
        <v>188</v>
      </c>
      <c r="F1121" t="s">
        <v>343</v>
      </c>
      <c r="G1121" t="s">
        <v>10482</v>
      </c>
      <c r="H1121">
        <v>17.18</v>
      </c>
      <c r="I1121">
        <v>0</v>
      </c>
      <c r="J1121">
        <v>0</v>
      </c>
      <c r="K1121">
        <v>0</v>
      </c>
      <c r="N1121">
        <v>3</v>
      </c>
      <c r="O1121">
        <v>3</v>
      </c>
      <c r="P1121">
        <v>0</v>
      </c>
      <c r="Q1121">
        <v>2</v>
      </c>
      <c r="R1121">
        <v>22.18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E1121" t="s">
        <v>130</v>
      </c>
      <c r="AH1121">
        <v>22.18</v>
      </c>
    </row>
    <row r="1122" spans="1:34" x14ac:dyDescent="0.3">
      <c r="A1122" s="4">
        <v>1139</v>
      </c>
      <c r="B1122" s="5">
        <v>1115</v>
      </c>
      <c r="C1122">
        <v>1579</v>
      </c>
      <c r="D1122" t="s">
        <v>5502</v>
      </c>
      <c r="E1122" t="s">
        <v>51</v>
      </c>
      <c r="F1122" t="s">
        <v>649</v>
      </c>
      <c r="G1122" t="s">
        <v>10483</v>
      </c>
      <c r="H1122">
        <v>19.149999999999999</v>
      </c>
      <c r="I1122">
        <v>0</v>
      </c>
      <c r="J1122">
        <v>0</v>
      </c>
      <c r="K1122">
        <v>0</v>
      </c>
      <c r="N1122">
        <v>3</v>
      </c>
      <c r="O1122">
        <v>3</v>
      </c>
      <c r="P1122">
        <v>0</v>
      </c>
      <c r="Q1122">
        <v>0</v>
      </c>
      <c r="R1122">
        <v>22.15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E1122" t="s">
        <v>130</v>
      </c>
      <c r="AH1122">
        <v>22.15</v>
      </c>
    </row>
    <row r="1123" spans="1:34" x14ac:dyDescent="0.3">
      <c r="A1123" s="4">
        <v>1140</v>
      </c>
      <c r="B1123" s="5">
        <v>1116</v>
      </c>
      <c r="C1123">
        <v>12254</v>
      </c>
      <c r="D1123" t="s">
        <v>7460</v>
      </c>
      <c r="E1123" t="s">
        <v>7461</v>
      </c>
      <c r="F1123" t="s">
        <v>81</v>
      </c>
      <c r="G1123" t="s">
        <v>7462</v>
      </c>
      <c r="H1123">
        <v>15.13</v>
      </c>
      <c r="I1123">
        <v>0</v>
      </c>
      <c r="J1123">
        <v>0</v>
      </c>
      <c r="K1123">
        <v>0</v>
      </c>
      <c r="N1123">
        <v>3</v>
      </c>
      <c r="O1123">
        <v>3</v>
      </c>
      <c r="P1123">
        <v>4</v>
      </c>
      <c r="Q1123">
        <v>0</v>
      </c>
      <c r="R1123">
        <v>22.13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H1123">
        <v>22.13</v>
      </c>
    </row>
    <row r="1124" spans="1:34" x14ac:dyDescent="0.3">
      <c r="A1124" s="4">
        <v>1141</v>
      </c>
      <c r="B1124" s="5">
        <v>1117</v>
      </c>
      <c r="C1124">
        <v>10088</v>
      </c>
      <c r="D1124" t="s">
        <v>10484</v>
      </c>
      <c r="E1124" t="s">
        <v>255</v>
      </c>
      <c r="F1124" t="s">
        <v>81</v>
      </c>
      <c r="G1124" t="s">
        <v>10485</v>
      </c>
      <c r="H1124">
        <v>19.100000000000001</v>
      </c>
      <c r="I1124">
        <v>0</v>
      </c>
      <c r="J1124">
        <v>0</v>
      </c>
      <c r="K1124">
        <v>0</v>
      </c>
      <c r="N1124">
        <v>3</v>
      </c>
      <c r="O1124">
        <v>3</v>
      </c>
      <c r="P1124">
        <v>0</v>
      </c>
      <c r="Q1124">
        <v>0</v>
      </c>
      <c r="R1124">
        <v>22.1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 t="s">
        <v>130</v>
      </c>
      <c r="AH1124">
        <v>22.1</v>
      </c>
    </row>
    <row r="1125" spans="1:34" x14ac:dyDescent="0.3">
      <c r="A1125" s="4">
        <v>1142</v>
      </c>
      <c r="B1125" s="5">
        <v>1118</v>
      </c>
      <c r="C1125">
        <v>1026</v>
      </c>
      <c r="D1125" t="s">
        <v>10486</v>
      </c>
      <c r="E1125" t="s">
        <v>115</v>
      </c>
      <c r="F1125" t="s">
        <v>81</v>
      </c>
      <c r="G1125" t="s">
        <v>10487</v>
      </c>
      <c r="H1125">
        <v>19.100000000000001</v>
      </c>
      <c r="I1125">
        <v>0</v>
      </c>
      <c r="J1125">
        <v>0</v>
      </c>
      <c r="K1125">
        <v>0</v>
      </c>
      <c r="N1125">
        <v>3</v>
      </c>
      <c r="O1125">
        <v>3</v>
      </c>
      <c r="P1125">
        <v>0</v>
      </c>
      <c r="Q1125">
        <v>0</v>
      </c>
      <c r="R1125">
        <v>22.1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H1125">
        <v>22.1</v>
      </c>
    </row>
    <row r="1126" spans="1:34" x14ac:dyDescent="0.3">
      <c r="A1126" s="4">
        <v>1143</v>
      </c>
      <c r="B1126" s="5">
        <v>1119</v>
      </c>
      <c r="C1126">
        <v>6860</v>
      </c>
      <c r="D1126" t="s">
        <v>2117</v>
      </c>
      <c r="E1126" t="s">
        <v>110</v>
      </c>
      <c r="F1126" t="s">
        <v>68</v>
      </c>
      <c r="G1126" t="s">
        <v>10488</v>
      </c>
      <c r="H1126">
        <v>16.100000000000001</v>
      </c>
      <c r="I1126">
        <v>0</v>
      </c>
      <c r="J1126">
        <v>0</v>
      </c>
      <c r="K1126">
        <v>0</v>
      </c>
      <c r="O1126">
        <v>0</v>
      </c>
      <c r="P1126">
        <v>4</v>
      </c>
      <c r="Q1126">
        <v>2</v>
      </c>
      <c r="R1126">
        <v>22.1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H1126">
        <v>22.1</v>
      </c>
    </row>
    <row r="1127" spans="1:34" x14ac:dyDescent="0.3">
      <c r="A1127" s="4">
        <v>1144</v>
      </c>
      <c r="B1127" s="5">
        <v>1120</v>
      </c>
      <c r="C1127">
        <v>13302</v>
      </c>
      <c r="D1127" t="s">
        <v>10489</v>
      </c>
      <c r="E1127" t="s">
        <v>789</v>
      </c>
      <c r="F1127" t="s">
        <v>167</v>
      </c>
      <c r="G1127" t="s">
        <v>10490</v>
      </c>
      <c r="H1127">
        <v>17.05</v>
      </c>
      <c r="I1127">
        <v>0</v>
      </c>
      <c r="J1127">
        <v>0</v>
      </c>
      <c r="K1127">
        <v>0</v>
      </c>
      <c r="O1127">
        <v>0</v>
      </c>
      <c r="P1127">
        <v>0</v>
      </c>
      <c r="Q1127">
        <v>2</v>
      </c>
      <c r="R1127">
        <v>19.05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3</v>
      </c>
      <c r="AC1127">
        <v>0</v>
      </c>
      <c r="AH1127">
        <v>22.05</v>
      </c>
    </row>
    <row r="1128" spans="1:34" x14ac:dyDescent="0.3">
      <c r="A1128" s="4">
        <v>1145</v>
      </c>
      <c r="B1128" s="5">
        <v>1121</v>
      </c>
      <c r="C1128">
        <v>13731</v>
      </c>
      <c r="D1128" t="s">
        <v>10491</v>
      </c>
      <c r="E1128" t="s">
        <v>100</v>
      </c>
      <c r="F1128" t="s">
        <v>81</v>
      </c>
      <c r="G1128" t="s">
        <v>10492</v>
      </c>
      <c r="H1128">
        <v>19.03</v>
      </c>
      <c r="I1128">
        <v>0</v>
      </c>
      <c r="J1128">
        <v>0</v>
      </c>
      <c r="K1128">
        <v>0</v>
      </c>
      <c r="N1128">
        <v>3</v>
      </c>
      <c r="O1128">
        <v>3</v>
      </c>
      <c r="P1128">
        <v>0</v>
      </c>
      <c r="Q1128">
        <v>0</v>
      </c>
      <c r="R1128">
        <v>22.03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H1128">
        <v>22.03</v>
      </c>
    </row>
    <row r="1129" spans="1:34" x14ac:dyDescent="0.3">
      <c r="A1129" s="4">
        <v>1146</v>
      </c>
      <c r="B1129" s="5">
        <v>1122</v>
      </c>
      <c r="C1129">
        <v>4245</v>
      </c>
      <c r="D1129" t="s">
        <v>4536</v>
      </c>
      <c r="E1129" t="s">
        <v>22</v>
      </c>
      <c r="F1129" t="s">
        <v>750</v>
      </c>
      <c r="G1129" t="s">
        <v>32048</v>
      </c>
      <c r="H1129">
        <v>17.93</v>
      </c>
      <c r="I1129">
        <v>0</v>
      </c>
      <c r="J1129">
        <v>0</v>
      </c>
      <c r="K1129">
        <v>0</v>
      </c>
      <c r="O1129">
        <v>0</v>
      </c>
      <c r="P1129">
        <v>4</v>
      </c>
      <c r="Q1129">
        <v>0</v>
      </c>
      <c r="R1129">
        <v>21.93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H1129">
        <v>21.93</v>
      </c>
    </row>
    <row r="1130" spans="1:34" x14ac:dyDescent="0.3">
      <c r="A1130" s="4">
        <v>1147</v>
      </c>
      <c r="B1130" s="5">
        <v>1123</v>
      </c>
      <c r="C1130">
        <v>11720</v>
      </c>
      <c r="D1130" t="s">
        <v>10493</v>
      </c>
      <c r="E1130" t="s">
        <v>147</v>
      </c>
      <c r="F1130" t="s">
        <v>17</v>
      </c>
      <c r="G1130" t="s">
        <v>10494</v>
      </c>
      <c r="H1130">
        <v>16.93</v>
      </c>
      <c r="I1130">
        <v>0</v>
      </c>
      <c r="J1130">
        <v>0</v>
      </c>
      <c r="K1130">
        <v>0</v>
      </c>
      <c r="N1130">
        <v>3</v>
      </c>
      <c r="O1130">
        <v>3</v>
      </c>
      <c r="P1130">
        <v>0</v>
      </c>
      <c r="Q1130">
        <v>2</v>
      </c>
      <c r="R1130">
        <v>21.93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 t="s">
        <v>130</v>
      </c>
      <c r="AH1130">
        <v>21.93</v>
      </c>
    </row>
    <row r="1131" spans="1:34" x14ac:dyDescent="0.3">
      <c r="A1131" s="4">
        <v>1148</v>
      </c>
      <c r="B1131" s="5">
        <v>1124</v>
      </c>
      <c r="C1131">
        <v>10702</v>
      </c>
      <c r="D1131" t="s">
        <v>10495</v>
      </c>
      <c r="E1131" t="s">
        <v>54</v>
      </c>
      <c r="F1131" t="s">
        <v>20</v>
      </c>
      <c r="G1131" t="s">
        <v>10496</v>
      </c>
      <c r="H1131">
        <v>18.88</v>
      </c>
      <c r="I1131">
        <v>0</v>
      </c>
      <c r="J1131">
        <v>0</v>
      </c>
      <c r="K1131">
        <v>0</v>
      </c>
      <c r="N1131">
        <v>3</v>
      </c>
      <c r="O1131">
        <v>3</v>
      </c>
      <c r="P1131">
        <v>0</v>
      </c>
      <c r="Q1131">
        <v>0</v>
      </c>
      <c r="R1131">
        <v>21.88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H1131">
        <v>21.88</v>
      </c>
    </row>
    <row r="1132" spans="1:34" x14ac:dyDescent="0.3">
      <c r="A1132" s="4">
        <v>1149</v>
      </c>
      <c r="B1132" s="5">
        <v>1125</v>
      </c>
      <c r="C1132">
        <v>9894</v>
      </c>
      <c r="D1132" t="s">
        <v>10497</v>
      </c>
      <c r="E1132" t="s">
        <v>136</v>
      </c>
      <c r="F1132" t="s">
        <v>927</v>
      </c>
      <c r="G1132" t="s">
        <v>10498</v>
      </c>
      <c r="H1132">
        <v>18.88</v>
      </c>
      <c r="I1132">
        <v>0</v>
      </c>
      <c r="J1132">
        <v>0</v>
      </c>
      <c r="K1132">
        <v>0</v>
      </c>
      <c r="N1132">
        <v>3</v>
      </c>
      <c r="O1132">
        <v>3</v>
      </c>
      <c r="P1132">
        <v>0</v>
      </c>
      <c r="Q1132">
        <v>0</v>
      </c>
      <c r="R1132">
        <v>21.88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H1132">
        <v>21.88</v>
      </c>
    </row>
    <row r="1133" spans="1:34" x14ac:dyDescent="0.3">
      <c r="A1133" s="4">
        <v>1150</v>
      </c>
      <c r="B1133" s="5">
        <v>1126</v>
      </c>
      <c r="C1133">
        <v>3579</v>
      </c>
      <c r="D1133" t="s">
        <v>1822</v>
      </c>
      <c r="E1133" t="s">
        <v>789</v>
      </c>
      <c r="F1133" t="s">
        <v>5693</v>
      </c>
      <c r="G1133" t="s">
        <v>5694</v>
      </c>
      <c r="H1133">
        <v>18.850000000000001</v>
      </c>
      <c r="I1133">
        <v>0</v>
      </c>
      <c r="J1133">
        <v>0</v>
      </c>
      <c r="K1133">
        <v>0</v>
      </c>
      <c r="N1133">
        <v>3</v>
      </c>
      <c r="O1133">
        <v>3</v>
      </c>
      <c r="P1133">
        <v>0</v>
      </c>
      <c r="Q1133">
        <v>0</v>
      </c>
      <c r="R1133">
        <v>21.85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H1133">
        <v>21.85</v>
      </c>
    </row>
    <row r="1134" spans="1:34" x14ac:dyDescent="0.3">
      <c r="A1134" s="4">
        <v>1151</v>
      </c>
      <c r="B1134" s="5">
        <v>1127</v>
      </c>
      <c r="C1134">
        <v>6027</v>
      </c>
      <c r="D1134" t="s">
        <v>10499</v>
      </c>
      <c r="E1134" t="s">
        <v>283</v>
      </c>
      <c r="F1134" t="s">
        <v>346</v>
      </c>
      <c r="G1134" t="s">
        <v>10500</v>
      </c>
      <c r="H1134">
        <v>18.850000000000001</v>
      </c>
      <c r="I1134">
        <v>0</v>
      </c>
      <c r="J1134">
        <v>0</v>
      </c>
      <c r="K1134">
        <v>0</v>
      </c>
      <c r="N1134">
        <v>3</v>
      </c>
      <c r="O1134">
        <v>3</v>
      </c>
      <c r="P1134">
        <v>0</v>
      </c>
      <c r="Q1134">
        <v>0</v>
      </c>
      <c r="R1134">
        <v>21.85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H1134">
        <v>21.85</v>
      </c>
    </row>
    <row r="1135" spans="1:34" x14ac:dyDescent="0.3">
      <c r="A1135" s="4">
        <v>1152</v>
      </c>
      <c r="B1135" s="5">
        <v>1128</v>
      </c>
      <c r="C1135">
        <v>7027</v>
      </c>
      <c r="D1135" t="s">
        <v>8686</v>
      </c>
      <c r="E1135" t="s">
        <v>132</v>
      </c>
      <c r="F1135" t="s">
        <v>230</v>
      </c>
      <c r="G1135" t="s">
        <v>10501</v>
      </c>
      <c r="H1135">
        <v>18.75</v>
      </c>
      <c r="I1135">
        <v>0</v>
      </c>
      <c r="J1135">
        <v>0</v>
      </c>
      <c r="K1135">
        <v>0</v>
      </c>
      <c r="N1135">
        <v>3</v>
      </c>
      <c r="O1135">
        <v>3</v>
      </c>
      <c r="P1135">
        <v>0</v>
      </c>
      <c r="Q1135">
        <v>0</v>
      </c>
      <c r="R1135">
        <v>21.75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H1135">
        <v>21.75</v>
      </c>
    </row>
    <row r="1136" spans="1:34" x14ac:dyDescent="0.3">
      <c r="A1136" s="4">
        <v>1153</v>
      </c>
      <c r="B1136" s="5">
        <v>1129</v>
      </c>
      <c r="C1136">
        <v>9918</v>
      </c>
      <c r="D1136" t="s">
        <v>10502</v>
      </c>
      <c r="E1136" t="s">
        <v>97</v>
      </c>
      <c r="F1136" t="s">
        <v>38</v>
      </c>
      <c r="G1136" t="s">
        <v>10503</v>
      </c>
      <c r="H1136">
        <v>19.68</v>
      </c>
      <c r="I1136">
        <v>0</v>
      </c>
      <c r="J1136">
        <v>0</v>
      </c>
      <c r="K1136">
        <v>0</v>
      </c>
      <c r="O1136">
        <v>0</v>
      </c>
      <c r="P1136">
        <v>0</v>
      </c>
      <c r="Q1136">
        <v>2</v>
      </c>
      <c r="R1136">
        <v>21.68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H1136">
        <v>21.68</v>
      </c>
    </row>
    <row r="1137" spans="1:34" x14ac:dyDescent="0.3">
      <c r="A1137" s="4">
        <v>1154</v>
      </c>
      <c r="B1137" s="5">
        <v>1130</v>
      </c>
      <c r="C1137">
        <v>8714</v>
      </c>
      <c r="D1137" t="s">
        <v>10504</v>
      </c>
      <c r="E1137" t="s">
        <v>188</v>
      </c>
      <c r="F1137" t="s">
        <v>20</v>
      </c>
      <c r="G1137" t="s">
        <v>10505</v>
      </c>
      <c r="H1137">
        <v>18.68</v>
      </c>
      <c r="I1137">
        <v>0</v>
      </c>
      <c r="J1137">
        <v>0</v>
      </c>
      <c r="K1137">
        <v>0</v>
      </c>
      <c r="N1137">
        <v>3</v>
      </c>
      <c r="O1137">
        <v>3</v>
      </c>
      <c r="P1137">
        <v>0</v>
      </c>
      <c r="Q1137">
        <v>0</v>
      </c>
      <c r="R1137">
        <v>21.68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H1137">
        <v>21.68</v>
      </c>
    </row>
    <row r="1138" spans="1:34" x14ac:dyDescent="0.3">
      <c r="A1138" s="4">
        <v>1155</v>
      </c>
      <c r="B1138" s="5">
        <v>1131</v>
      </c>
      <c r="C1138">
        <v>12735</v>
      </c>
      <c r="D1138" t="s">
        <v>10506</v>
      </c>
      <c r="E1138" t="s">
        <v>6946</v>
      </c>
      <c r="F1138" t="s">
        <v>158</v>
      </c>
      <c r="G1138" t="s">
        <v>10507</v>
      </c>
      <c r="H1138">
        <v>16.649999999999999</v>
      </c>
      <c r="I1138">
        <v>0</v>
      </c>
      <c r="J1138">
        <v>0</v>
      </c>
      <c r="K1138">
        <v>0</v>
      </c>
      <c r="O1138">
        <v>0</v>
      </c>
      <c r="P1138">
        <v>0</v>
      </c>
      <c r="Q1138">
        <v>2</v>
      </c>
      <c r="R1138">
        <v>18.649999999999999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3</v>
      </c>
      <c r="AC1138">
        <v>0</v>
      </c>
      <c r="AH1138">
        <v>21.65</v>
      </c>
    </row>
    <row r="1139" spans="1:34" x14ac:dyDescent="0.3">
      <c r="A1139" s="4">
        <v>1156</v>
      </c>
      <c r="B1139" s="5">
        <v>1132</v>
      </c>
      <c r="C1139">
        <v>7949</v>
      </c>
      <c r="D1139" t="s">
        <v>10508</v>
      </c>
      <c r="E1139" t="s">
        <v>10509</v>
      </c>
      <c r="F1139" t="s">
        <v>20</v>
      </c>
      <c r="G1139" t="s">
        <v>10510</v>
      </c>
      <c r="H1139">
        <v>16.649999999999999</v>
      </c>
      <c r="I1139">
        <v>0</v>
      </c>
      <c r="J1139">
        <v>0</v>
      </c>
      <c r="K1139">
        <v>0</v>
      </c>
      <c r="N1139">
        <v>3</v>
      </c>
      <c r="O1139">
        <v>3</v>
      </c>
      <c r="P1139">
        <v>0</v>
      </c>
      <c r="Q1139">
        <v>2</v>
      </c>
      <c r="R1139">
        <v>21.65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H1139">
        <v>21.65</v>
      </c>
    </row>
    <row r="1140" spans="1:34" x14ac:dyDescent="0.3">
      <c r="A1140" s="4">
        <v>1157</v>
      </c>
      <c r="B1140" s="5">
        <v>1133</v>
      </c>
      <c r="C1140">
        <v>13796</v>
      </c>
      <c r="D1140" t="s">
        <v>7029</v>
      </c>
      <c r="E1140" t="s">
        <v>3439</v>
      </c>
      <c r="F1140" t="s">
        <v>17</v>
      </c>
      <c r="G1140" t="s">
        <v>10511</v>
      </c>
      <c r="H1140">
        <v>18.63</v>
      </c>
      <c r="I1140">
        <v>0</v>
      </c>
      <c r="J1140">
        <v>0</v>
      </c>
      <c r="K1140">
        <v>0</v>
      </c>
      <c r="N1140">
        <v>3</v>
      </c>
      <c r="O1140">
        <v>3</v>
      </c>
      <c r="P1140">
        <v>0</v>
      </c>
      <c r="Q1140">
        <v>0</v>
      </c>
      <c r="R1140">
        <v>21.63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H1140">
        <v>21.63</v>
      </c>
    </row>
    <row r="1141" spans="1:34" x14ac:dyDescent="0.3">
      <c r="A1141" s="4">
        <v>1158</v>
      </c>
      <c r="B1141" s="5">
        <v>1134</v>
      </c>
      <c r="C1141">
        <v>11471</v>
      </c>
      <c r="D1141" t="s">
        <v>10512</v>
      </c>
      <c r="E1141" t="s">
        <v>65</v>
      </c>
      <c r="F1141" t="s">
        <v>310</v>
      </c>
      <c r="G1141" t="s">
        <v>10513</v>
      </c>
      <c r="H1141">
        <v>16.579999999999998</v>
      </c>
      <c r="I1141">
        <v>0</v>
      </c>
      <c r="J1141">
        <v>0</v>
      </c>
      <c r="K1141">
        <v>0</v>
      </c>
      <c r="N1141">
        <v>3</v>
      </c>
      <c r="O1141">
        <v>3</v>
      </c>
      <c r="P1141">
        <v>0</v>
      </c>
      <c r="Q1141">
        <v>2</v>
      </c>
      <c r="R1141">
        <v>21.58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H1141">
        <v>21.58</v>
      </c>
    </row>
    <row r="1142" spans="1:34" x14ac:dyDescent="0.3">
      <c r="A1142" s="4">
        <v>1159</v>
      </c>
      <c r="B1142" s="5">
        <v>1135</v>
      </c>
      <c r="C1142">
        <v>15422</v>
      </c>
      <c r="D1142" t="s">
        <v>775</v>
      </c>
      <c r="E1142" t="s">
        <v>173</v>
      </c>
      <c r="F1142" t="s">
        <v>20</v>
      </c>
      <c r="G1142" t="s">
        <v>10514</v>
      </c>
      <c r="H1142">
        <v>17.53</v>
      </c>
      <c r="I1142">
        <v>0</v>
      </c>
      <c r="J1142">
        <v>0</v>
      </c>
      <c r="K1142">
        <v>0</v>
      </c>
      <c r="O1142">
        <v>0</v>
      </c>
      <c r="P1142">
        <v>4</v>
      </c>
      <c r="Q1142">
        <v>0</v>
      </c>
      <c r="R1142">
        <v>21.53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H1142">
        <v>21.53</v>
      </c>
    </row>
    <row r="1143" spans="1:34" x14ac:dyDescent="0.3">
      <c r="A1143" s="4">
        <v>1160</v>
      </c>
      <c r="B1143" s="5">
        <v>1136</v>
      </c>
      <c r="C1143">
        <v>11491</v>
      </c>
      <c r="D1143" t="s">
        <v>5483</v>
      </c>
      <c r="E1143" t="s">
        <v>41</v>
      </c>
      <c r="F1143" t="s">
        <v>539</v>
      </c>
      <c r="G1143" t="s">
        <v>10515</v>
      </c>
      <c r="H1143">
        <v>12.5</v>
      </c>
      <c r="I1143">
        <v>0</v>
      </c>
      <c r="J1143">
        <v>0</v>
      </c>
      <c r="K1143">
        <v>0</v>
      </c>
      <c r="N1143">
        <v>3</v>
      </c>
      <c r="O1143">
        <v>3</v>
      </c>
      <c r="P1143">
        <v>4</v>
      </c>
      <c r="Q1143">
        <v>2</v>
      </c>
      <c r="R1143">
        <v>21.5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 t="s">
        <v>130</v>
      </c>
      <c r="AH1143">
        <v>21.5</v>
      </c>
    </row>
    <row r="1144" spans="1:34" x14ac:dyDescent="0.3">
      <c r="A1144" s="4">
        <v>1161</v>
      </c>
      <c r="B1144" s="5">
        <v>1137</v>
      </c>
      <c r="C1144">
        <v>2296</v>
      </c>
      <c r="D1144" t="s">
        <v>10516</v>
      </c>
      <c r="E1144" t="s">
        <v>41</v>
      </c>
      <c r="F1144" t="s">
        <v>14</v>
      </c>
      <c r="G1144" t="s">
        <v>10517</v>
      </c>
      <c r="H1144">
        <v>12.5</v>
      </c>
      <c r="I1144">
        <v>0</v>
      </c>
      <c r="J1144">
        <v>0</v>
      </c>
      <c r="K1144">
        <v>0</v>
      </c>
      <c r="N1144">
        <v>3</v>
      </c>
      <c r="O1144">
        <v>3</v>
      </c>
      <c r="P1144">
        <v>4</v>
      </c>
      <c r="Q1144">
        <v>2</v>
      </c>
      <c r="R1144">
        <v>21.5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H1144">
        <v>21.5</v>
      </c>
    </row>
    <row r="1145" spans="1:34" x14ac:dyDescent="0.3">
      <c r="A1145" s="4">
        <v>1162</v>
      </c>
      <c r="B1145" s="5">
        <v>1138</v>
      </c>
      <c r="C1145">
        <v>3992</v>
      </c>
      <c r="D1145" t="s">
        <v>10518</v>
      </c>
      <c r="E1145" t="s">
        <v>54</v>
      </c>
      <c r="F1145" t="s">
        <v>20</v>
      </c>
      <c r="G1145" t="s">
        <v>10519</v>
      </c>
      <c r="H1145">
        <v>19.48</v>
      </c>
      <c r="I1145">
        <v>0</v>
      </c>
      <c r="J1145">
        <v>0</v>
      </c>
      <c r="K1145">
        <v>0</v>
      </c>
      <c r="O1145">
        <v>0</v>
      </c>
      <c r="P1145">
        <v>0</v>
      </c>
      <c r="Q1145">
        <v>2</v>
      </c>
      <c r="R1145">
        <v>21.48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H1145">
        <v>21.48</v>
      </c>
    </row>
    <row r="1146" spans="1:34" x14ac:dyDescent="0.3">
      <c r="A1146" s="4">
        <v>1163</v>
      </c>
      <c r="B1146" s="5">
        <v>1139</v>
      </c>
      <c r="C1146">
        <v>6751</v>
      </c>
      <c r="D1146" t="s">
        <v>10520</v>
      </c>
      <c r="E1146" t="s">
        <v>10521</v>
      </c>
      <c r="F1146" t="s">
        <v>346</v>
      </c>
      <c r="G1146" t="s">
        <v>10522</v>
      </c>
      <c r="H1146">
        <v>16.45</v>
      </c>
      <c r="I1146">
        <v>0</v>
      </c>
      <c r="J1146">
        <v>0</v>
      </c>
      <c r="K1146">
        <v>0</v>
      </c>
      <c r="N1146">
        <v>3</v>
      </c>
      <c r="O1146">
        <v>3</v>
      </c>
      <c r="P1146">
        <v>0</v>
      </c>
      <c r="Q1146">
        <v>2</v>
      </c>
      <c r="R1146">
        <v>21.45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H1146">
        <v>21.45</v>
      </c>
    </row>
    <row r="1147" spans="1:34" x14ac:dyDescent="0.3">
      <c r="A1147" s="4">
        <v>1164</v>
      </c>
      <c r="B1147" s="5">
        <v>1140</v>
      </c>
      <c r="C1147">
        <v>7271</v>
      </c>
      <c r="D1147" t="s">
        <v>10523</v>
      </c>
      <c r="E1147" t="s">
        <v>88</v>
      </c>
      <c r="F1147" t="s">
        <v>117</v>
      </c>
      <c r="G1147" t="s">
        <v>10524</v>
      </c>
      <c r="H1147">
        <v>18.43</v>
      </c>
      <c r="I1147">
        <v>0</v>
      </c>
      <c r="J1147">
        <v>0</v>
      </c>
      <c r="K1147">
        <v>0</v>
      </c>
      <c r="N1147">
        <v>3</v>
      </c>
      <c r="O1147">
        <v>3</v>
      </c>
      <c r="P1147">
        <v>0</v>
      </c>
      <c r="Q1147">
        <v>0</v>
      </c>
      <c r="R1147">
        <v>21.43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H1147">
        <v>21.43</v>
      </c>
    </row>
    <row r="1148" spans="1:34" x14ac:dyDescent="0.3">
      <c r="A1148" s="4">
        <v>1165</v>
      </c>
      <c r="B1148" s="5">
        <v>1141</v>
      </c>
      <c r="C1148">
        <v>11108</v>
      </c>
      <c r="D1148" t="s">
        <v>10525</v>
      </c>
      <c r="E1148" t="s">
        <v>789</v>
      </c>
      <c r="F1148" t="s">
        <v>221</v>
      </c>
      <c r="G1148" t="s">
        <v>10526</v>
      </c>
      <c r="H1148">
        <v>17.43</v>
      </c>
      <c r="I1148">
        <v>0</v>
      </c>
      <c r="J1148">
        <v>0</v>
      </c>
      <c r="K1148">
        <v>0</v>
      </c>
      <c r="O1148">
        <v>0</v>
      </c>
      <c r="P1148">
        <v>4</v>
      </c>
      <c r="Q1148">
        <v>0</v>
      </c>
      <c r="R1148">
        <v>21.43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H1148">
        <v>21.43</v>
      </c>
    </row>
    <row r="1149" spans="1:34" x14ac:dyDescent="0.3">
      <c r="A1149" s="4">
        <v>1166</v>
      </c>
      <c r="B1149" s="5">
        <v>1142</v>
      </c>
      <c r="C1149">
        <v>13562</v>
      </c>
      <c r="D1149" t="s">
        <v>166</v>
      </c>
      <c r="E1149" t="s">
        <v>7246</v>
      </c>
      <c r="F1149" t="s">
        <v>652</v>
      </c>
      <c r="G1149" t="s">
        <v>10527</v>
      </c>
      <c r="H1149">
        <v>17.399999999999999</v>
      </c>
      <c r="I1149">
        <v>0</v>
      </c>
      <c r="J1149">
        <v>0</v>
      </c>
      <c r="K1149">
        <v>0</v>
      </c>
      <c r="O1149">
        <v>0</v>
      </c>
      <c r="P1149">
        <v>4</v>
      </c>
      <c r="Q1149">
        <v>0</v>
      </c>
      <c r="R1149">
        <v>21.4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H1149">
        <v>21.4</v>
      </c>
    </row>
    <row r="1150" spans="1:34" x14ac:dyDescent="0.3">
      <c r="A1150" s="4">
        <v>1167</v>
      </c>
      <c r="B1150" s="5">
        <v>1143</v>
      </c>
      <c r="C1150">
        <v>5038</v>
      </c>
      <c r="D1150" t="s">
        <v>496</v>
      </c>
      <c r="E1150" t="s">
        <v>789</v>
      </c>
      <c r="F1150" t="s">
        <v>17</v>
      </c>
      <c r="G1150" t="s">
        <v>10528</v>
      </c>
      <c r="H1150">
        <v>16.28</v>
      </c>
      <c r="I1150">
        <v>0</v>
      </c>
      <c r="J1150">
        <v>0</v>
      </c>
      <c r="K1150">
        <v>0</v>
      </c>
      <c r="N1150">
        <v>3</v>
      </c>
      <c r="O1150">
        <v>3</v>
      </c>
      <c r="P1150">
        <v>0</v>
      </c>
      <c r="Q1150">
        <v>2</v>
      </c>
      <c r="R1150">
        <v>21.28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H1150">
        <v>21.28</v>
      </c>
    </row>
    <row r="1151" spans="1:34" x14ac:dyDescent="0.3">
      <c r="A1151" s="4">
        <v>1168</v>
      </c>
      <c r="B1151" s="5">
        <v>1144</v>
      </c>
      <c r="C1151">
        <v>1919</v>
      </c>
      <c r="D1151" t="s">
        <v>10529</v>
      </c>
      <c r="E1151" t="s">
        <v>825</v>
      </c>
      <c r="F1151" t="s">
        <v>393</v>
      </c>
      <c r="G1151" t="s">
        <v>10530</v>
      </c>
      <c r="H1151">
        <v>16.25</v>
      </c>
      <c r="I1151">
        <v>0</v>
      </c>
      <c r="J1151">
        <v>0</v>
      </c>
      <c r="K1151">
        <v>0</v>
      </c>
      <c r="N1151">
        <v>3</v>
      </c>
      <c r="O1151">
        <v>3</v>
      </c>
      <c r="P1151">
        <v>0</v>
      </c>
      <c r="Q1151">
        <v>2</v>
      </c>
      <c r="R1151">
        <v>21.25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H1151">
        <v>21.25</v>
      </c>
    </row>
    <row r="1152" spans="1:34" x14ac:dyDescent="0.3">
      <c r="A1152" s="4">
        <v>1169</v>
      </c>
      <c r="B1152" s="5">
        <v>1145</v>
      </c>
      <c r="C1152">
        <v>2504</v>
      </c>
      <c r="D1152" t="s">
        <v>7331</v>
      </c>
      <c r="E1152" t="s">
        <v>29</v>
      </c>
      <c r="F1152" t="s">
        <v>136</v>
      </c>
      <c r="G1152" t="s">
        <v>10531</v>
      </c>
      <c r="H1152">
        <v>17.23</v>
      </c>
      <c r="I1152">
        <v>0</v>
      </c>
      <c r="J1152">
        <v>0</v>
      </c>
      <c r="K1152">
        <v>0</v>
      </c>
      <c r="O1152">
        <v>0</v>
      </c>
      <c r="P1152">
        <v>4</v>
      </c>
      <c r="Q1152">
        <v>0</v>
      </c>
      <c r="R1152">
        <v>21.23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H1152">
        <v>21.23</v>
      </c>
    </row>
    <row r="1153" spans="1:34" x14ac:dyDescent="0.3">
      <c r="A1153" s="4">
        <v>1170</v>
      </c>
      <c r="B1153" s="5">
        <v>1146</v>
      </c>
      <c r="C1153">
        <v>9396</v>
      </c>
      <c r="D1153" t="s">
        <v>10532</v>
      </c>
      <c r="E1153" t="s">
        <v>789</v>
      </c>
      <c r="F1153" t="s">
        <v>20</v>
      </c>
      <c r="G1153" t="s">
        <v>10533</v>
      </c>
      <c r="H1153">
        <v>18.18</v>
      </c>
      <c r="I1153">
        <v>0</v>
      </c>
      <c r="J1153">
        <v>0</v>
      </c>
      <c r="K1153">
        <v>0</v>
      </c>
      <c r="N1153">
        <v>3</v>
      </c>
      <c r="O1153">
        <v>3</v>
      </c>
      <c r="P1153">
        <v>0</v>
      </c>
      <c r="Q1153">
        <v>0</v>
      </c>
      <c r="R1153">
        <v>21.18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E1153" t="s">
        <v>130</v>
      </c>
      <c r="AH1153">
        <v>21.18</v>
      </c>
    </row>
    <row r="1154" spans="1:34" x14ac:dyDescent="0.3">
      <c r="A1154" s="4">
        <v>1171</v>
      </c>
      <c r="B1154" s="5">
        <v>1147</v>
      </c>
      <c r="C1154">
        <v>661</v>
      </c>
      <c r="D1154" t="s">
        <v>10534</v>
      </c>
      <c r="E1154" t="s">
        <v>147</v>
      </c>
      <c r="F1154" t="s">
        <v>7576</v>
      </c>
      <c r="G1154" t="s">
        <v>10535</v>
      </c>
      <c r="H1154">
        <v>18.149999999999999</v>
      </c>
      <c r="I1154">
        <v>0</v>
      </c>
      <c r="J1154">
        <v>0</v>
      </c>
      <c r="K1154">
        <v>0</v>
      </c>
      <c r="N1154">
        <v>3</v>
      </c>
      <c r="O1154">
        <v>3</v>
      </c>
      <c r="P1154">
        <v>0</v>
      </c>
      <c r="Q1154">
        <v>0</v>
      </c>
      <c r="R1154">
        <v>21.15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H1154">
        <v>21.15</v>
      </c>
    </row>
    <row r="1155" spans="1:34" x14ac:dyDescent="0.3">
      <c r="A1155" s="4">
        <v>1172</v>
      </c>
      <c r="B1155" s="5">
        <v>1148</v>
      </c>
      <c r="C1155">
        <v>14568</v>
      </c>
      <c r="D1155" t="s">
        <v>10536</v>
      </c>
      <c r="E1155" t="s">
        <v>4855</v>
      </c>
      <c r="F1155" t="s">
        <v>230</v>
      </c>
      <c r="G1155" t="s">
        <v>10537</v>
      </c>
      <c r="H1155">
        <v>18.100000000000001</v>
      </c>
      <c r="I1155">
        <v>0</v>
      </c>
      <c r="J1155">
        <v>0</v>
      </c>
      <c r="K1155">
        <v>0</v>
      </c>
      <c r="N1155">
        <v>3</v>
      </c>
      <c r="O1155">
        <v>3</v>
      </c>
      <c r="P1155">
        <v>0</v>
      </c>
      <c r="Q1155">
        <v>0</v>
      </c>
      <c r="R1155">
        <v>21.1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H1155">
        <v>21.1</v>
      </c>
    </row>
    <row r="1156" spans="1:34" x14ac:dyDescent="0.3">
      <c r="A1156" s="4">
        <v>1173</v>
      </c>
      <c r="B1156" s="5">
        <v>1149</v>
      </c>
      <c r="C1156">
        <v>3758</v>
      </c>
      <c r="D1156" t="s">
        <v>10538</v>
      </c>
      <c r="E1156" t="s">
        <v>782</v>
      </c>
      <c r="F1156" t="s">
        <v>328</v>
      </c>
      <c r="G1156" t="s">
        <v>10539</v>
      </c>
      <c r="H1156">
        <v>17.100000000000001</v>
      </c>
      <c r="I1156">
        <v>0</v>
      </c>
      <c r="J1156">
        <v>0</v>
      </c>
      <c r="K1156">
        <v>0</v>
      </c>
      <c r="O1156">
        <v>0</v>
      </c>
      <c r="P1156">
        <v>4</v>
      </c>
      <c r="Q1156">
        <v>0</v>
      </c>
      <c r="R1156">
        <v>21.1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H1156">
        <v>21.1</v>
      </c>
    </row>
    <row r="1157" spans="1:34" x14ac:dyDescent="0.3">
      <c r="A1157" s="4">
        <v>1174</v>
      </c>
      <c r="B1157" s="5">
        <v>1150</v>
      </c>
      <c r="C1157">
        <v>14960</v>
      </c>
      <c r="D1157" t="s">
        <v>10540</v>
      </c>
      <c r="E1157" t="s">
        <v>170</v>
      </c>
      <c r="F1157" t="s">
        <v>10541</v>
      </c>
      <c r="G1157" t="s">
        <v>10542</v>
      </c>
      <c r="H1157">
        <v>17.079999999999998</v>
      </c>
      <c r="I1157">
        <v>0</v>
      </c>
      <c r="J1157">
        <v>0</v>
      </c>
      <c r="K1157">
        <v>0</v>
      </c>
      <c r="O1157">
        <v>0</v>
      </c>
      <c r="P1157">
        <v>4</v>
      </c>
      <c r="Q1157">
        <v>0</v>
      </c>
      <c r="R1157">
        <v>21.08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H1157">
        <v>21.08</v>
      </c>
    </row>
    <row r="1158" spans="1:34" x14ac:dyDescent="0.3">
      <c r="A1158" s="4">
        <v>1175</v>
      </c>
      <c r="B1158" s="5">
        <v>1151</v>
      </c>
      <c r="C1158">
        <v>9873</v>
      </c>
      <c r="D1158" t="s">
        <v>10543</v>
      </c>
      <c r="E1158" t="s">
        <v>10544</v>
      </c>
      <c r="F1158" t="s">
        <v>20</v>
      </c>
      <c r="G1158" t="s">
        <v>10545</v>
      </c>
      <c r="H1158">
        <v>17.079999999999998</v>
      </c>
      <c r="I1158">
        <v>0</v>
      </c>
      <c r="J1158">
        <v>0</v>
      </c>
      <c r="K1158">
        <v>0</v>
      </c>
      <c r="O1158">
        <v>0</v>
      </c>
      <c r="P1158">
        <v>4</v>
      </c>
      <c r="Q1158">
        <v>0</v>
      </c>
      <c r="R1158">
        <v>21.08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H1158">
        <v>21.08</v>
      </c>
    </row>
    <row r="1159" spans="1:34" x14ac:dyDescent="0.3">
      <c r="A1159" s="4">
        <v>1176</v>
      </c>
      <c r="B1159" s="5">
        <v>1152</v>
      </c>
      <c r="C1159">
        <v>3216</v>
      </c>
      <c r="D1159" t="s">
        <v>2660</v>
      </c>
      <c r="E1159" t="s">
        <v>26</v>
      </c>
      <c r="F1159" t="s">
        <v>649</v>
      </c>
      <c r="G1159" t="s">
        <v>2661</v>
      </c>
      <c r="H1159">
        <v>16.079999999999998</v>
      </c>
      <c r="I1159">
        <v>0</v>
      </c>
      <c r="J1159">
        <v>0</v>
      </c>
      <c r="K1159">
        <v>0</v>
      </c>
      <c r="N1159">
        <v>3</v>
      </c>
      <c r="O1159">
        <v>3</v>
      </c>
      <c r="P1159">
        <v>0</v>
      </c>
      <c r="Q1159">
        <v>2</v>
      </c>
      <c r="R1159">
        <v>21.08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H1159">
        <v>21.08</v>
      </c>
    </row>
    <row r="1160" spans="1:34" x14ac:dyDescent="0.3">
      <c r="A1160" s="4">
        <v>1177</v>
      </c>
      <c r="B1160" s="5">
        <v>1153</v>
      </c>
      <c r="C1160">
        <v>2594</v>
      </c>
      <c r="D1160" t="s">
        <v>2640</v>
      </c>
      <c r="E1160" t="s">
        <v>29</v>
      </c>
      <c r="F1160" t="s">
        <v>81</v>
      </c>
      <c r="G1160" t="s">
        <v>10546</v>
      </c>
      <c r="H1160">
        <v>18.05</v>
      </c>
      <c r="I1160">
        <v>0</v>
      </c>
      <c r="J1160">
        <v>0</v>
      </c>
      <c r="K1160">
        <v>0</v>
      </c>
      <c r="N1160">
        <v>3</v>
      </c>
      <c r="O1160">
        <v>3</v>
      </c>
      <c r="P1160">
        <v>0</v>
      </c>
      <c r="Q1160">
        <v>0</v>
      </c>
      <c r="R1160">
        <v>21.05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H1160">
        <v>21.05</v>
      </c>
    </row>
    <row r="1161" spans="1:34" x14ac:dyDescent="0.3">
      <c r="A1161" s="4">
        <v>1178</v>
      </c>
      <c r="B1161" s="5">
        <v>1154</v>
      </c>
      <c r="C1161">
        <v>7907</v>
      </c>
      <c r="D1161" t="s">
        <v>7840</v>
      </c>
      <c r="E1161" t="s">
        <v>4695</v>
      </c>
      <c r="F1161" t="s">
        <v>136</v>
      </c>
      <c r="G1161" t="s">
        <v>10547</v>
      </c>
      <c r="H1161">
        <v>17.98</v>
      </c>
      <c r="I1161">
        <v>0</v>
      </c>
      <c r="J1161">
        <v>0</v>
      </c>
      <c r="K1161">
        <v>0</v>
      </c>
      <c r="N1161">
        <v>3</v>
      </c>
      <c r="O1161">
        <v>3</v>
      </c>
      <c r="P1161">
        <v>0</v>
      </c>
      <c r="Q1161">
        <v>0</v>
      </c>
      <c r="R1161">
        <v>20.98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H1161">
        <v>20.98</v>
      </c>
    </row>
    <row r="1162" spans="1:34" x14ac:dyDescent="0.3">
      <c r="A1162" s="4">
        <v>1179</v>
      </c>
      <c r="B1162" s="5">
        <v>1155</v>
      </c>
      <c r="C1162">
        <v>15667</v>
      </c>
      <c r="D1162" t="s">
        <v>10548</v>
      </c>
      <c r="E1162" t="s">
        <v>10549</v>
      </c>
      <c r="F1162" t="s">
        <v>10550</v>
      </c>
      <c r="G1162" t="s">
        <v>10551</v>
      </c>
      <c r="H1162">
        <v>17.93</v>
      </c>
      <c r="I1162">
        <v>0</v>
      </c>
      <c r="J1162">
        <v>0</v>
      </c>
      <c r="K1162">
        <v>0</v>
      </c>
      <c r="N1162">
        <v>3</v>
      </c>
      <c r="O1162">
        <v>3</v>
      </c>
      <c r="P1162">
        <v>0</v>
      </c>
      <c r="Q1162">
        <v>0</v>
      </c>
      <c r="R1162">
        <v>20.93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H1162">
        <v>20.93</v>
      </c>
    </row>
    <row r="1163" spans="1:34" x14ac:dyDescent="0.3">
      <c r="A1163" s="4">
        <v>1180</v>
      </c>
      <c r="B1163" s="5">
        <v>1156</v>
      </c>
      <c r="C1163">
        <v>3417</v>
      </c>
      <c r="D1163" t="s">
        <v>9461</v>
      </c>
      <c r="E1163" t="s">
        <v>1426</v>
      </c>
      <c r="F1163" t="s">
        <v>20</v>
      </c>
      <c r="G1163" t="s">
        <v>10552</v>
      </c>
      <c r="H1163">
        <v>18.88</v>
      </c>
      <c r="I1163">
        <v>0</v>
      </c>
      <c r="J1163">
        <v>0</v>
      </c>
      <c r="K1163">
        <v>0</v>
      </c>
      <c r="O1163">
        <v>0</v>
      </c>
      <c r="P1163">
        <v>0</v>
      </c>
      <c r="Q1163">
        <v>2</v>
      </c>
      <c r="R1163">
        <v>20.88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 t="s">
        <v>130</v>
      </c>
      <c r="AH1163">
        <v>20.88</v>
      </c>
    </row>
    <row r="1164" spans="1:34" x14ac:dyDescent="0.3">
      <c r="A1164" s="4">
        <v>1181</v>
      </c>
      <c r="B1164" s="5">
        <v>1157</v>
      </c>
      <c r="C1164">
        <v>13864</v>
      </c>
      <c r="D1164" t="s">
        <v>10553</v>
      </c>
      <c r="E1164" t="s">
        <v>29</v>
      </c>
      <c r="F1164" t="s">
        <v>20</v>
      </c>
      <c r="G1164" t="s">
        <v>10554</v>
      </c>
      <c r="H1164">
        <v>17.88</v>
      </c>
      <c r="I1164">
        <v>0</v>
      </c>
      <c r="J1164">
        <v>0</v>
      </c>
      <c r="K1164">
        <v>0</v>
      </c>
      <c r="N1164">
        <v>3</v>
      </c>
      <c r="O1164">
        <v>3</v>
      </c>
      <c r="P1164">
        <v>0</v>
      </c>
      <c r="Q1164">
        <v>0</v>
      </c>
      <c r="R1164">
        <v>20.88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H1164">
        <v>20.88</v>
      </c>
    </row>
    <row r="1165" spans="1:34" x14ac:dyDescent="0.3">
      <c r="A1165" s="4">
        <v>1182</v>
      </c>
      <c r="B1165" s="5">
        <v>1158</v>
      </c>
      <c r="C1165">
        <v>4991</v>
      </c>
      <c r="D1165" t="s">
        <v>4108</v>
      </c>
      <c r="E1165" t="s">
        <v>100</v>
      </c>
      <c r="F1165" t="s">
        <v>230</v>
      </c>
      <c r="G1165" t="s">
        <v>10555</v>
      </c>
      <c r="H1165">
        <v>17.88</v>
      </c>
      <c r="I1165">
        <v>0</v>
      </c>
      <c r="J1165">
        <v>0</v>
      </c>
      <c r="K1165">
        <v>0</v>
      </c>
      <c r="N1165">
        <v>3</v>
      </c>
      <c r="O1165">
        <v>3</v>
      </c>
      <c r="P1165">
        <v>0</v>
      </c>
      <c r="Q1165">
        <v>0</v>
      </c>
      <c r="R1165">
        <v>20.88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H1165">
        <v>20.88</v>
      </c>
    </row>
    <row r="1166" spans="1:34" x14ac:dyDescent="0.3">
      <c r="A1166" s="4">
        <v>1183</v>
      </c>
      <c r="B1166" s="5">
        <v>1159</v>
      </c>
      <c r="C1166">
        <v>138</v>
      </c>
      <c r="D1166" t="s">
        <v>10556</v>
      </c>
      <c r="E1166" t="s">
        <v>178</v>
      </c>
      <c r="F1166" t="s">
        <v>20</v>
      </c>
      <c r="G1166" t="s">
        <v>10557</v>
      </c>
      <c r="H1166">
        <v>17.649999999999999</v>
      </c>
      <c r="I1166">
        <v>0</v>
      </c>
      <c r="J1166">
        <v>0</v>
      </c>
      <c r="K1166">
        <v>0</v>
      </c>
      <c r="N1166">
        <v>3</v>
      </c>
      <c r="O1166">
        <v>3</v>
      </c>
      <c r="P1166">
        <v>0</v>
      </c>
      <c r="Q1166">
        <v>0</v>
      </c>
      <c r="R1166">
        <v>20.65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H1166">
        <v>20.65</v>
      </c>
    </row>
    <row r="1167" spans="1:34" x14ac:dyDescent="0.3">
      <c r="A1167" s="4">
        <v>1184</v>
      </c>
      <c r="B1167" s="5">
        <v>1160</v>
      </c>
      <c r="C1167">
        <v>8352</v>
      </c>
      <c r="D1167" t="s">
        <v>317</v>
      </c>
      <c r="E1167" t="s">
        <v>41</v>
      </c>
      <c r="F1167" t="s">
        <v>68</v>
      </c>
      <c r="G1167" t="s">
        <v>10558</v>
      </c>
      <c r="H1167">
        <v>16.63</v>
      </c>
      <c r="I1167">
        <v>0</v>
      </c>
      <c r="J1167">
        <v>0</v>
      </c>
      <c r="K1167">
        <v>0</v>
      </c>
      <c r="O1167">
        <v>0</v>
      </c>
      <c r="P1167">
        <v>4</v>
      </c>
      <c r="Q1167">
        <v>0</v>
      </c>
      <c r="R1167">
        <v>20.63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H1167">
        <v>20.63</v>
      </c>
    </row>
    <row r="1168" spans="1:34" x14ac:dyDescent="0.3">
      <c r="A1168" s="4">
        <v>1185</v>
      </c>
      <c r="B1168" s="5">
        <v>1161</v>
      </c>
      <c r="C1168">
        <v>3547</v>
      </c>
      <c r="D1168" t="s">
        <v>10559</v>
      </c>
      <c r="E1168" t="s">
        <v>37</v>
      </c>
      <c r="F1168" t="s">
        <v>1072</v>
      </c>
      <c r="G1168" t="s">
        <v>10560</v>
      </c>
      <c r="H1168">
        <v>17.600000000000001</v>
      </c>
      <c r="I1168">
        <v>0</v>
      </c>
      <c r="J1168">
        <v>0</v>
      </c>
      <c r="K1168">
        <v>0</v>
      </c>
      <c r="N1168">
        <v>3</v>
      </c>
      <c r="O1168">
        <v>3</v>
      </c>
      <c r="P1168">
        <v>0</v>
      </c>
      <c r="Q1168">
        <v>0</v>
      </c>
      <c r="R1168">
        <v>20.6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H1168">
        <v>20.6</v>
      </c>
    </row>
    <row r="1169" spans="1:34" x14ac:dyDescent="0.3">
      <c r="A1169" s="4">
        <v>1186</v>
      </c>
      <c r="B1169" s="5">
        <v>1162</v>
      </c>
      <c r="C1169">
        <v>13368</v>
      </c>
      <c r="D1169" t="s">
        <v>10561</v>
      </c>
      <c r="E1169" t="s">
        <v>424</v>
      </c>
      <c r="F1169" t="s">
        <v>17</v>
      </c>
      <c r="G1169" t="s">
        <v>10562</v>
      </c>
      <c r="H1169">
        <v>17.600000000000001</v>
      </c>
      <c r="I1169">
        <v>0</v>
      </c>
      <c r="J1169">
        <v>0</v>
      </c>
      <c r="K1169">
        <v>0</v>
      </c>
      <c r="N1169">
        <v>3</v>
      </c>
      <c r="O1169">
        <v>3</v>
      </c>
      <c r="P1169">
        <v>0</v>
      </c>
      <c r="Q1169">
        <v>0</v>
      </c>
      <c r="R1169">
        <v>20.6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H1169">
        <v>20.6</v>
      </c>
    </row>
    <row r="1170" spans="1:34" x14ac:dyDescent="0.3">
      <c r="A1170" s="4">
        <v>1187</v>
      </c>
      <c r="B1170" s="5">
        <v>1163</v>
      </c>
      <c r="C1170">
        <v>6057</v>
      </c>
      <c r="D1170" t="s">
        <v>3161</v>
      </c>
      <c r="E1170" t="s">
        <v>10563</v>
      </c>
      <c r="F1170" t="s">
        <v>91</v>
      </c>
      <c r="G1170" t="s">
        <v>10564</v>
      </c>
      <c r="H1170">
        <v>17.600000000000001</v>
      </c>
      <c r="I1170">
        <v>0</v>
      </c>
      <c r="J1170">
        <v>0</v>
      </c>
      <c r="K1170">
        <v>0</v>
      </c>
      <c r="N1170">
        <v>3</v>
      </c>
      <c r="O1170">
        <v>3</v>
      </c>
      <c r="P1170">
        <v>0</v>
      </c>
      <c r="Q1170">
        <v>0</v>
      </c>
      <c r="R1170">
        <v>20.6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H1170">
        <v>20.6</v>
      </c>
    </row>
    <row r="1171" spans="1:34" x14ac:dyDescent="0.3">
      <c r="A1171" s="4">
        <v>1188</v>
      </c>
      <c r="B1171" s="5">
        <v>1164</v>
      </c>
      <c r="C1171">
        <v>9863</v>
      </c>
      <c r="D1171" t="s">
        <v>5413</v>
      </c>
      <c r="E1171" t="s">
        <v>3221</v>
      </c>
      <c r="F1171" t="s">
        <v>782</v>
      </c>
      <c r="G1171" t="s">
        <v>10565</v>
      </c>
      <c r="H1171">
        <v>13.58</v>
      </c>
      <c r="I1171">
        <v>0</v>
      </c>
      <c r="J1171">
        <v>0</v>
      </c>
      <c r="K1171">
        <v>0</v>
      </c>
      <c r="L1171">
        <v>7</v>
      </c>
      <c r="O1171">
        <v>7</v>
      </c>
      <c r="P1171">
        <v>0</v>
      </c>
      <c r="Q1171">
        <v>0</v>
      </c>
      <c r="R1171">
        <v>20.58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H1171">
        <v>20.58</v>
      </c>
    </row>
    <row r="1172" spans="1:34" x14ac:dyDescent="0.3">
      <c r="A1172" s="4">
        <v>1189</v>
      </c>
      <c r="B1172" s="5">
        <v>1165</v>
      </c>
      <c r="C1172">
        <v>15441</v>
      </c>
      <c r="D1172" t="s">
        <v>10566</v>
      </c>
      <c r="E1172" t="s">
        <v>161</v>
      </c>
      <c r="F1172" t="s">
        <v>38</v>
      </c>
      <c r="G1172" t="s">
        <v>10567</v>
      </c>
      <c r="H1172">
        <v>17.55</v>
      </c>
      <c r="I1172">
        <v>0</v>
      </c>
      <c r="J1172">
        <v>0</v>
      </c>
      <c r="K1172">
        <v>0</v>
      </c>
      <c r="O1172">
        <v>0</v>
      </c>
      <c r="P1172">
        <v>0</v>
      </c>
      <c r="Q1172">
        <v>0</v>
      </c>
      <c r="R1172">
        <v>17.55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3</v>
      </c>
      <c r="AC1172">
        <v>0</v>
      </c>
      <c r="AH1172">
        <v>20.55</v>
      </c>
    </row>
    <row r="1173" spans="1:34" x14ac:dyDescent="0.3">
      <c r="A1173" s="4">
        <v>1190</v>
      </c>
      <c r="B1173" s="5">
        <v>1166</v>
      </c>
      <c r="C1173">
        <v>3630</v>
      </c>
      <c r="D1173" t="s">
        <v>28</v>
      </c>
      <c r="E1173" t="s">
        <v>10568</v>
      </c>
      <c r="F1173" t="s">
        <v>158</v>
      </c>
      <c r="G1173" t="s">
        <v>10569</v>
      </c>
      <c r="H1173">
        <v>16.55</v>
      </c>
      <c r="I1173">
        <v>0</v>
      </c>
      <c r="J1173">
        <v>0</v>
      </c>
      <c r="K1173">
        <v>0</v>
      </c>
      <c r="O1173">
        <v>0</v>
      </c>
      <c r="P1173">
        <v>4</v>
      </c>
      <c r="Q1173">
        <v>0</v>
      </c>
      <c r="R1173">
        <v>20.55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H1173">
        <v>20.55</v>
      </c>
    </row>
    <row r="1174" spans="1:34" x14ac:dyDescent="0.3">
      <c r="A1174" s="4">
        <v>1191</v>
      </c>
      <c r="B1174" s="5">
        <v>1167</v>
      </c>
      <c r="C1174">
        <v>5140</v>
      </c>
      <c r="D1174" t="s">
        <v>10570</v>
      </c>
      <c r="E1174" t="s">
        <v>1997</v>
      </c>
      <c r="F1174" t="s">
        <v>81</v>
      </c>
      <c r="G1174" t="s">
        <v>10571</v>
      </c>
      <c r="H1174">
        <v>17.53</v>
      </c>
      <c r="I1174">
        <v>0</v>
      </c>
      <c r="J1174">
        <v>0</v>
      </c>
      <c r="K1174">
        <v>0</v>
      </c>
      <c r="N1174">
        <v>3</v>
      </c>
      <c r="O1174">
        <v>3</v>
      </c>
      <c r="P1174">
        <v>0</v>
      </c>
      <c r="Q1174">
        <v>0</v>
      </c>
      <c r="R1174">
        <v>20.53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H1174">
        <v>20.53</v>
      </c>
    </row>
    <row r="1175" spans="1:34" x14ac:dyDescent="0.3">
      <c r="A1175" s="4">
        <v>1192</v>
      </c>
      <c r="B1175" s="5">
        <v>1168</v>
      </c>
      <c r="C1175">
        <v>14679</v>
      </c>
      <c r="D1175" t="s">
        <v>10572</v>
      </c>
      <c r="E1175" t="s">
        <v>161</v>
      </c>
      <c r="F1175" t="s">
        <v>30</v>
      </c>
      <c r="G1175" t="s">
        <v>10573</v>
      </c>
      <c r="H1175">
        <v>12.5</v>
      </c>
      <c r="I1175">
        <v>0</v>
      </c>
      <c r="J1175">
        <v>0</v>
      </c>
      <c r="K1175">
        <v>0</v>
      </c>
      <c r="N1175">
        <v>3</v>
      </c>
      <c r="O1175">
        <v>3</v>
      </c>
      <c r="P1175">
        <v>0</v>
      </c>
      <c r="Q1175">
        <v>2</v>
      </c>
      <c r="R1175">
        <v>17.5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3</v>
      </c>
      <c r="AC1175">
        <v>0</v>
      </c>
      <c r="AD1175" t="s">
        <v>130</v>
      </c>
      <c r="AH1175">
        <v>20.5</v>
      </c>
    </row>
    <row r="1176" spans="1:34" x14ac:dyDescent="0.3">
      <c r="A1176" s="4">
        <v>1193</v>
      </c>
      <c r="B1176" s="5">
        <v>1169</v>
      </c>
      <c r="C1176">
        <v>7573</v>
      </c>
      <c r="D1176" t="s">
        <v>10574</v>
      </c>
      <c r="E1176" t="s">
        <v>166</v>
      </c>
      <c r="F1176" t="s">
        <v>62</v>
      </c>
      <c r="G1176" t="s">
        <v>10575</v>
      </c>
      <c r="H1176">
        <v>17.5</v>
      </c>
      <c r="I1176">
        <v>0</v>
      </c>
      <c r="J1176">
        <v>0</v>
      </c>
      <c r="K1176">
        <v>0</v>
      </c>
      <c r="N1176">
        <v>3</v>
      </c>
      <c r="O1176">
        <v>3</v>
      </c>
      <c r="P1176">
        <v>0</v>
      </c>
      <c r="Q1176">
        <v>0</v>
      </c>
      <c r="R1176">
        <v>20.5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H1176">
        <v>20.5</v>
      </c>
    </row>
    <row r="1177" spans="1:34" x14ac:dyDescent="0.3">
      <c r="A1177" s="4">
        <v>1194</v>
      </c>
      <c r="B1177" s="5">
        <v>1170</v>
      </c>
      <c r="C1177">
        <v>13523</v>
      </c>
      <c r="D1177" t="s">
        <v>10576</v>
      </c>
      <c r="E1177" t="s">
        <v>29</v>
      </c>
      <c r="F1177" t="s">
        <v>14</v>
      </c>
      <c r="G1177" t="s">
        <v>10577</v>
      </c>
      <c r="H1177">
        <v>16.5</v>
      </c>
      <c r="I1177">
        <v>0</v>
      </c>
      <c r="J1177">
        <v>0</v>
      </c>
      <c r="K1177">
        <v>0</v>
      </c>
      <c r="O1177">
        <v>0</v>
      </c>
      <c r="P1177">
        <v>4</v>
      </c>
      <c r="Q1177">
        <v>0</v>
      </c>
      <c r="R1177">
        <v>20.5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H1177">
        <v>20.5</v>
      </c>
    </row>
    <row r="1178" spans="1:34" x14ac:dyDescent="0.3">
      <c r="A1178" s="4">
        <v>1195</v>
      </c>
      <c r="B1178" s="5">
        <v>1171</v>
      </c>
      <c r="C1178">
        <v>4048</v>
      </c>
      <c r="D1178" t="s">
        <v>10578</v>
      </c>
      <c r="E1178" t="s">
        <v>10579</v>
      </c>
      <c r="F1178" t="s">
        <v>339</v>
      </c>
      <c r="G1178" t="s">
        <v>10580</v>
      </c>
      <c r="H1178">
        <v>17.48</v>
      </c>
      <c r="I1178">
        <v>0</v>
      </c>
      <c r="J1178">
        <v>0</v>
      </c>
      <c r="K1178">
        <v>0</v>
      </c>
      <c r="N1178">
        <v>3</v>
      </c>
      <c r="O1178">
        <v>3</v>
      </c>
      <c r="P1178">
        <v>0</v>
      </c>
      <c r="Q1178">
        <v>0</v>
      </c>
      <c r="R1178">
        <v>20.48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H1178">
        <v>20.48</v>
      </c>
    </row>
    <row r="1179" spans="1:34" x14ac:dyDescent="0.3">
      <c r="A1179" s="4">
        <v>1196</v>
      </c>
      <c r="B1179" s="5">
        <v>1172</v>
      </c>
      <c r="C1179">
        <v>9125</v>
      </c>
      <c r="D1179" t="s">
        <v>10581</v>
      </c>
      <c r="E1179" t="s">
        <v>88</v>
      </c>
      <c r="F1179" t="s">
        <v>136</v>
      </c>
      <c r="G1179" t="s">
        <v>10582</v>
      </c>
      <c r="H1179">
        <v>16.45</v>
      </c>
      <c r="I1179">
        <v>0</v>
      </c>
      <c r="J1179">
        <v>0</v>
      </c>
      <c r="K1179">
        <v>0</v>
      </c>
      <c r="O1179">
        <v>0</v>
      </c>
      <c r="P1179">
        <v>4</v>
      </c>
      <c r="Q1179">
        <v>0</v>
      </c>
      <c r="R1179">
        <v>20.45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H1179">
        <v>20.45</v>
      </c>
    </row>
    <row r="1180" spans="1:34" x14ac:dyDescent="0.3">
      <c r="A1180" s="4">
        <v>1197</v>
      </c>
      <c r="B1180" s="5">
        <v>1173</v>
      </c>
      <c r="C1180">
        <v>13610</v>
      </c>
      <c r="D1180" t="s">
        <v>1430</v>
      </c>
      <c r="E1180" t="s">
        <v>100</v>
      </c>
      <c r="F1180" t="s">
        <v>4176</v>
      </c>
      <c r="G1180" t="s">
        <v>10583</v>
      </c>
      <c r="H1180">
        <v>17.399999999999999</v>
      </c>
      <c r="I1180">
        <v>0</v>
      </c>
      <c r="J1180">
        <v>0</v>
      </c>
      <c r="K1180">
        <v>0</v>
      </c>
      <c r="N1180">
        <v>3</v>
      </c>
      <c r="O1180">
        <v>3</v>
      </c>
      <c r="P1180">
        <v>0</v>
      </c>
      <c r="Q1180">
        <v>0</v>
      </c>
      <c r="R1180">
        <v>20.399999999999999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H1180">
        <v>20.399999999999999</v>
      </c>
    </row>
    <row r="1181" spans="1:34" x14ac:dyDescent="0.3">
      <c r="A1181" s="4">
        <v>1198</v>
      </c>
      <c r="B1181" s="5">
        <v>1174</v>
      </c>
      <c r="C1181">
        <v>15473</v>
      </c>
      <c r="D1181" t="s">
        <v>10584</v>
      </c>
      <c r="E1181" t="s">
        <v>789</v>
      </c>
      <c r="F1181" t="s">
        <v>10585</v>
      </c>
      <c r="G1181" t="s">
        <v>10586</v>
      </c>
      <c r="H1181">
        <v>17.399999999999999</v>
      </c>
      <c r="I1181">
        <v>0</v>
      </c>
      <c r="J1181">
        <v>0</v>
      </c>
      <c r="K1181">
        <v>0</v>
      </c>
      <c r="N1181">
        <v>3</v>
      </c>
      <c r="O1181">
        <v>3</v>
      </c>
      <c r="P1181">
        <v>0</v>
      </c>
      <c r="Q1181">
        <v>0</v>
      </c>
      <c r="R1181">
        <v>20.399999999999999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 t="s">
        <v>130</v>
      </c>
      <c r="AH1181">
        <v>20.399999999999999</v>
      </c>
    </row>
    <row r="1182" spans="1:34" x14ac:dyDescent="0.3">
      <c r="A1182" s="4">
        <v>1199</v>
      </c>
      <c r="B1182" s="5">
        <v>1175</v>
      </c>
      <c r="C1182">
        <v>9300</v>
      </c>
      <c r="D1182" t="s">
        <v>10587</v>
      </c>
      <c r="E1182" t="s">
        <v>173</v>
      </c>
      <c r="F1182" t="s">
        <v>190</v>
      </c>
      <c r="G1182" t="s">
        <v>10588</v>
      </c>
      <c r="H1182">
        <v>17.28</v>
      </c>
      <c r="I1182">
        <v>0</v>
      </c>
      <c r="J1182">
        <v>0</v>
      </c>
      <c r="K1182">
        <v>0</v>
      </c>
      <c r="N1182">
        <v>3</v>
      </c>
      <c r="O1182">
        <v>3</v>
      </c>
      <c r="P1182">
        <v>0</v>
      </c>
      <c r="Q1182">
        <v>0</v>
      </c>
      <c r="R1182">
        <v>20.28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H1182">
        <v>20.28</v>
      </c>
    </row>
    <row r="1183" spans="1:34" x14ac:dyDescent="0.3">
      <c r="A1183" s="4">
        <v>1200</v>
      </c>
      <c r="B1183" s="5">
        <v>1176</v>
      </c>
      <c r="C1183">
        <v>8662</v>
      </c>
      <c r="D1183" t="s">
        <v>10589</v>
      </c>
      <c r="E1183" t="s">
        <v>442</v>
      </c>
      <c r="F1183" t="s">
        <v>4204</v>
      </c>
      <c r="G1183" t="s">
        <v>10590</v>
      </c>
      <c r="H1183">
        <v>17.28</v>
      </c>
      <c r="I1183">
        <v>0</v>
      </c>
      <c r="J1183">
        <v>0</v>
      </c>
      <c r="K1183">
        <v>0</v>
      </c>
      <c r="N1183">
        <v>3</v>
      </c>
      <c r="O1183">
        <v>3</v>
      </c>
      <c r="P1183">
        <v>0</v>
      </c>
      <c r="Q1183">
        <v>0</v>
      </c>
      <c r="R1183">
        <v>20.28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H1183">
        <v>20.28</v>
      </c>
    </row>
    <row r="1184" spans="1:34" x14ac:dyDescent="0.3">
      <c r="A1184" s="4">
        <v>1201</v>
      </c>
      <c r="B1184" s="5">
        <v>1177</v>
      </c>
      <c r="C1184">
        <v>13850</v>
      </c>
      <c r="D1184" t="s">
        <v>10591</v>
      </c>
      <c r="E1184" t="s">
        <v>158</v>
      </c>
      <c r="F1184" t="s">
        <v>81</v>
      </c>
      <c r="G1184" t="s">
        <v>10592</v>
      </c>
      <c r="H1184">
        <v>17.25</v>
      </c>
      <c r="I1184">
        <v>0</v>
      </c>
      <c r="J1184">
        <v>0</v>
      </c>
      <c r="K1184">
        <v>0</v>
      </c>
      <c r="N1184">
        <v>3</v>
      </c>
      <c r="O1184">
        <v>3</v>
      </c>
      <c r="P1184">
        <v>0</v>
      </c>
      <c r="Q1184">
        <v>0</v>
      </c>
      <c r="R1184">
        <v>20.25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H1184">
        <v>20.25</v>
      </c>
    </row>
    <row r="1185" spans="1:34" x14ac:dyDescent="0.3">
      <c r="A1185" s="4">
        <v>1202</v>
      </c>
      <c r="B1185" s="5">
        <v>1178</v>
      </c>
      <c r="C1185">
        <v>11098</v>
      </c>
      <c r="D1185" t="s">
        <v>10593</v>
      </c>
      <c r="E1185" t="s">
        <v>550</v>
      </c>
      <c r="F1185" t="s">
        <v>38</v>
      </c>
      <c r="G1185" t="s">
        <v>10594</v>
      </c>
      <c r="H1185">
        <v>17.18</v>
      </c>
      <c r="I1185">
        <v>0</v>
      </c>
      <c r="J1185">
        <v>0</v>
      </c>
      <c r="K1185">
        <v>0</v>
      </c>
      <c r="N1185">
        <v>3</v>
      </c>
      <c r="O1185">
        <v>3</v>
      </c>
      <c r="P1185">
        <v>0</v>
      </c>
      <c r="Q1185">
        <v>0</v>
      </c>
      <c r="R1185">
        <v>20.18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 t="s">
        <v>130</v>
      </c>
      <c r="AH1185">
        <v>20.18</v>
      </c>
    </row>
    <row r="1186" spans="1:34" x14ac:dyDescent="0.3">
      <c r="A1186" s="4">
        <v>1203</v>
      </c>
      <c r="B1186" s="5">
        <v>1179</v>
      </c>
      <c r="C1186">
        <v>3769</v>
      </c>
      <c r="D1186" t="s">
        <v>10595</v>
      </c>
      <c r="E1186" t="s">
        <v>20</v>
      </c>
      <c r="F1186" t="s">
        <v>38</v>
      </c>
      <c r="G1186" t="s">
        <v>10596</v>
      </c>
      <c r="H1186">
        <v>17.18</v>
      </c>
      <c r="I1186">
        <v>0</v>
      </c>
      <c r="J1186">
        <v>0</v>
      </c>
      <c r="K1186">
        <v>0</v>
      </c>
      <c r="N1186">
        <v>3</v>
      </c>
      <c r="O1186">
        <v>3</v>
      </c>
      <c r="P1186">
        <v>0</v>
      </c>
      <c r="Q1186">
        <v>0</v>
      </c>
      <c r="R1186">
        <v>20.18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H1186">
        <v>20.18</v>
      </c>
    </row>
    <row r="1187" spans="1:34" x14ac:dyDescent="0.3">
      <c r="A1187" s="4">
        <v>1204</v>
      </c>
      <c r="B1187" s="5">
        <v>1180</v>
      </c>
      <c r="C1187">
        <v>6079</v>
      </c>
      <c r="D1187" t="s">
        <v>1878</v>
      </c>
      <c r="E1187" t="s">
        <v>10597</v>
      </c>
      <c r="F1187" t="s">
        <v>136</v>
      </c>
      <c r="G1187" t="s">
        <v>10598</v>
      </c>
      <c r="H1187">
        <v>16.18</v>
      </c>
      <c r="I1187">
        <v>0</v>
      </c>
      <c r="J1187">
        <v>0</v>
      </c>
      <c r="K1187">
        <v>0</v>
      </c>
      <c r="O1187">
        <v>0</v>
      </c>
      <c r="P1187">
        <v>4</v>
      </c>
      <c r="Q1187">
        <v>0</v>
      </c>
      <c r="R1187">
        <v>20.18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H1187">
        <v>20.18</v>
      </c>
    </row>
    <row r="1188" spans="1:34" x14ac:dyDescent="0.3">
      <c r="A1188" s="4">
        <v>1205</v>
      </c>
      <c r="B1188" s="5">
        <v>1181</v>
      </c>
      <c r="C1188">
        <v>14662</v>
      </c>
      <c r="D1188" t="s">
        <v>10599</v>
      </c>
      <c r="E1188" t="s">
        <v>29</v>
      </c>
      <c r="F1188" t="s">
        <v>243</v>
      </c>
      <c r="G1188" t="s">
        <v>10600</v>
      </c>
      <c r="H1188">
        <v>17.100000000000001</v>
      </c>
      <c r="I1188">
        <v>0</v>
      </c>
      <c r="J1188">
        <v>0</v>
      </c>
      <c r="K1188">
        <v>0</v>
      </c>
      <c r="N1188">
        <v>3</v>
      </c>
      <c r="O1188">
        <v>3</v>
      </c>
      <c r="P1188">
        <v>0</v>
      </c>
      <c r="Q1188">
        <v>0</v>
      </c>
      <c r="R1188">
        <v>20.100000000000001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H1188">
        <v>20.100000000000001</v>
      </c>
    </row>
    <row r="1189" spans="1:34" x14ac:dyDescent="0.3">
      <c r="A1189" s="4">
        <v>1206</v>
      </c>
      <c r="B1189" s="5">
        <v>1182</v>
      </c>
      <c r="C1189">
        <v>9616</v>
      </c>
      <c r="D1189" t="s">
        <v>190</v>
      </c>
      <c r="E1189" t="s">
        <v>648</v>
      </c>
      <c r="F1189" t="s">
        <v>38</v>
      </c>
      <c r="G1189" t="s">
        <v>10601</v>
      </c>
      <c r="H1189">
        <v>17</v>
      </c>
      <c r="I1189">
        <v>0</v>
      </c>
      <c r="J1189">
        <v>0</v>
      </c>
      <c r="K1189">
        <v>0</v>
      </c>
      <c r="N1189">
        <v>3</v>
      </c>
      <c r="O1189">
        <v>3</v>
      </c>
      <c r="P1189">
        <v>0</v>
      </c>
      <c r="Q1189">
        <v>0</v>
      </c>
      <c r="R1189">
        <v>20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H1189">
        <v>20</v>
      </c>
    </row>
    <row r="1190" spans="1:34" x14ac:dyDescent="0.3">
      <c r="A1190" s="4">
        <v>1207</v>
      </c>
      <c r="B1190" s="5">
        <v>1183</v>
      </c>
      <c r="C1190">
        <v>14742</v>
      </c>
      <c r="D1190" t="s">
        <v>1654</v>
      </c>
      <c r="E1190" t="s">
        <v>3243</v>
      </c>
      <c r="F1190" t="s">
        <v>4680</v>
      </c>
      <c r="G1190" t="s">
        <v>10602</v>
      </c>
      <c r="H1190">
        <v>17</v>
      </c>
      <c r="I1190">
        <v>0</v>
      </c>
      <c r="J1190">
        <v>0</v>
      </c>
      <c r="K1190">
        <v>0</v>
      </c>
      <c r="N1190">
        <v>3</v>
      </c>
      <c r="O1190">
        <v>3</v>
      </c>
      <c r="P1190">
        <v>0</v>
      </c>
      <c r="Q1190">
        <v>0</v>
      </c>
      <c r="R1190">
        <v>20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H1190">
        <v>20</v>
      </c>
    </row>
    <row r="1191" spans="1:34" x14ac:dyDescent="0.3">
      <c r="A1191" s="4">
        <v>1208</v>
      </c>
      <c r="B1191" s="5">
        <v>1184</v>
      </c>
      <c r="C1191">
        <v>14876</v>
      </c>
      <c r="D1191" t="s">
        <v>10603</v>
      </c>
      <c r="E1191" t="s">
        <v>6507</v>
      </c>
      <c r="F1191" t="s">
        <v>81</v>
      </c>
      <c r="G1191" t="s">
        <v>10604</v>
      </c>
      <c r="H1191">
        <v>19.93</v>
      </c>
      <c r="I1191">
        <v>0</v>
      </c>
      <c r="J1191">
        <v>0</v>
      </c>
      <c r="K1191">
        <v>0</v>
      </c>
      <c r="O1191">
        <v>0</v>
      </c>
      <c r="P1191">
        <v>0</v>
      </c>
      <c r="Q1191">
        <v>0</v>
      </c>
      <c r="R1191">
        <v>19.93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H1191">
        <v>19.93</v>
      </c>
    </row>
    <row r="1192" spans="1:34" x14ac:dyDescent="0.3">
      <c r="A1192" s="4">
        <v>1209</v>
      </c>
      <c r="B1192" s="5">
        <v>1185</v>
      </c>
      <c r="C1192">
        <v>10892</v>
      </c>
      <c r="D1192" t="s">
        <v>10605</v>
      </c>
      <c r="E1192" t="s">
        <v>744</v>
      </c>
      <c r="F1192" t="s">
        <v>52</v>
      </c>
      <c r="G1192" t="s">
        <v>10606</v>
      </c>
      <c r="H1192">
        <v>19.899999999999999</v>
      </c>
      <c r="I1192">
        <v>0</v>
      </c>
      <c r="J1192">
        <v>0</v>
      </c>
      <c r="K1192">
        <v>0</v>
      </c>
      <c r="O1192">
        <v>0</v>
      </c>
      <c r="P1192">
        <v>0</v>
      </c>
      <c r="Q1192">
        <v>0</v>
      </c>
      <c r="R1192">
        <v>19.899999999999999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H1192">
        <v>19.899999999999999</v>
      </c>
    </row>
    <row r="1193" spans="1:34" x14ac:dyDescent="0.3">
      <c r="A1193" s="4">
        <v>1210</v>
      </c>
      <c r="B1193" s="5">
        <v>1186</v>
      </c>
      <c r="C1193">
        <v>1704</v>
      </c>
      <c r="D1193" t="s">
        <v>1528</v>
      </c>
      <c r="E1193" t="s">
        <v>170</v>
      </c>
      <c r="F1193" t="s">
        <v>20</v>
      </c>
      <c r="G1193" t="s">
        <v>10607</v>
      </c>
      <c r="H1193">
        <v>19.850000000000001</v>
      </c>
      <c r="I1193">
        <v>0</v>
      </c>
      <c r="J1193">
        <v>0</v>
      </c>
      <c r="K1193">
        <v>0</v>
      </c>
      <c r="O1193">
        <v>0</v>
      </c>
      <c r="P1193">
        <v>0</v>
      </c>
      <c r="Q1193">
        <v>0</v>
      </c>
      <c r="R1193">
        <v>19.850000000000001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H1193">
        <v>19.850000000000001</v>
      </c>
    </row>
    <row r="1194" spans="1:34" x14ac:dyDescent="0.3">
      <c r="A1194" s="4">
        <v>1211</v>
      </c>
      <c r="B1194" s="5">
        <v>1187</v>
      </c>
      <c r="C1194">
        <v>4829</v>
      </c>
      <c r="D1194" t="s">
        <v>10608</v>
      </c>
      <c r="E1194" t="s">
        <v>1053</v>
      </c>
      <c r="F1194" t="s">
        <v>17</v>
      </c>
      <c r="G1194" t="s">
        <v>10609</v>
      </c>
      <c r="H1194">
        <v>16.850000000000001</v>
      </c>
      <c r="I1194">
        <v>0</v>
      </c>
      <c r="J1194">
        <v>0</v>
      </c>
      <c r="K1194">
        <v>0</v>
      </c>
      <c r="N1194">
        <v>3</v>
      </c>
      <c r="O1194">
        <v>3</v>
      </c>
      <c r="P1194">
        <v>0</v>
      </c>
      <c r="Q1194">
        <v>0</v>
      </c>
      <c r="R1194">
        <v>19.850000000000001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E1194" t="s">
        <v>130</v>
      </c>
      <c r="AH1194">
        <v>19.850000000000001</v>
      </c>
    </row>
    <row r="1195" spans="1:34" x14ac:dyDescent="0.3">
      <c r="A1195" s="4">
        <v>1212</v>
      </c>
      <c r="B1195" s="5">
        <v>1188</v>
      </c>
      <c r="C1195">
        <v>14037</v>
      </c>
      <c r="D1195" t="s">
        <v>10610</v>
      </c>
      <c r="E1195" t="s">
        <v>22</v>
      </c>
      <c r="F1195" t="s">
        <v>158</v>
      </c>
      <c r="G1195" t="s">
        <v>10611</v>
      </c>
      <c r="H1195">
        <v>16.73</v>
      </c>
      <c r="I1195">
        <v>0</v>
      </c>
      <c r="J1195">
        <v>0</v>
      </c>
      <c r="K1195">
        <v>0</v>
      </c>
      <c r="N1195">
        <v>3</v>
      </c>
      <c r="O1195">
        <v>3</v>
      </c>
      <c r="P1195">
        <v>0</v>
      </c>
      <c r="Q1195">
        <v>0</v>
      </c>
      <c r="R1195">
        <v>19.73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H1195">
        <v>19.73</v>
      </c>
    </row>
    <row r="1196" spans="1:34" x14ac:dyDescent="0.3">
      <c r="A1196" s="4">
        <v>1213</v>
      </c>
      <c r="B1196" s="5">
        <v>1189</v>
      </c>
      <c r="C1196">
        <v>6389</v>
      </c>
      <c r="D1196" t="s">
        <v>10612</v>
      </c>
      <c r="E1196" t="s">
        <v>38</v>
      </c>
      <c r="F1196" t="s">
        <v>117</v>
      </c>
      <c r="G1196" t="s">
        <v>10613</v>
      </c>
      <c r="H1196">
        <v>16.73</v>
      </c>
      <c r="I1196">
        <v>0</v>
      </c>
      <c r="J1196">
        <v>0</v>
      </c>
      <c r="K1196">
        <v>0</v>
      </c>
      <c r="N1196">
        <v>3</v>
      </c>
      <c r="O1196">
        <v>3</v>
      </c>
      <c r="P1196">
        <v>0</v>
      </c>
      <c r="Q1196">
        <v>0</v>
      </c>
      <c r="R1196">
        <v>19.73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H1196">
        <v>19.73</v>
      </c>
    </row>
    <row r="1197" spans="1:34" x14ac:dyDescent="0.3">
      <c r="A1197" s="4">
        <v>1214</v>
      </c>
      <c r="B1197" s="5">
        <v>1190</v>
      </c>
      <c r="C1197">
        <v>2652</v>
      </c>
      <c r="D1197" t="s">
        <v>10614</v>
      </c>
      <c r="E1197" t="s">
        <v>26</v>
      </c>
      <c r="F1197" t="s">
        <v>38</v>
      </c>
      <c r="G1197" t="s">
        <v>10615</v>
      </c>
      <c r="H1197">
        <v>19.7</v>
      </c>
      <c r="I1197">
        <v>0</v>
      </c>
      <c r="J1197">
        <v>0</v>
      </c>
      <c r="K1197">
        <v>0</v>
      </c>
      <c r="O1197">
        <v>0</v>
      </c>
      <c r="P1197">
        <v>0</v>
      </c>
      <c r="Q1197">
        <v>0</v>
      </c>
      <c r="R1197">
        <v>19.7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H1197">
        <v>19.7</v>
      </c>
    </row>
    <row r="1198" spans="1:34" x14ac:dyDescent="0.3">
      <c r="A1198" s="4">
        <v>1215</v>
      </c>
      <c r="B1198" s="5">
        <v>1191</v>
      </c>
      <c r="C1198">
        <v>8613</v>
      </c>
      <c r="D1198" t="s">
        <v>577</v>
      </c>
      <c r="E1198" t="s">
        <v>147</v>
      </c>
      <c r="F1198" t="s">
        <v>38</v>
      </c>
      <c r="G1198" t="s">
        <v>10616</v>
      </c>
      <c r="H1198">
        <v>16.68</v>
      </c>
      <c r="I1198">
        <v>0</v>
      </c>
      <c r="J1198">
        <v>0</v>
      </c>
      <c r="K1198">
        <v>0</v>
      </c>
      <c r="O1198">
        <v>0</v>
      </c>
      <c r="P1198">
        <v>0</v>
      </c>
      <c r="Q1198">
        <v>0</v>
      </c>
      <c r="R1198">
        <v>16.68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3</v>
      </c>
      <c r="AC1198">
        <v>0</v>
      </c>
      <c r="AH1198">
        <v>19.68</v>
      </c>
    </row>
    <row r="1199" spans="1:34" x14ac:dyDescent="0.3">
      <c r="A1199" s="4">
        <v>1216</v>
      </c>
      <c r="B1199" s="5">
        <v>1192</v>
      </c>
      <c r="C1199">
        <v>7723</v>
      </c>
      <c r="D1199" t="s">
        <v>10617</v>
      </c>
      <c r="E1199" t="s">
        <v>81</v>
      </c>
      <c r="F1199" t="s">
        <v>972</v>
      </c>
      <c r="G1199" t="s">
        <v>10618</v>
      </c>
      <c r="H1199">
        <v>16.68</v>
      </c>
      <c r="I1199">
        <v>0</v>
      </c>
      <c r="J1199">
        <v>0</v>
      </c>
      <c r="K1199">
        <v>0</v>
      </c>
      <c r="N1199">
        <v>3</v>
      </c>
      <c r="O1199">
        <v>3</v>
      </c>
      <c r="P1199">
        <v>0</v>
      </c>
      <c r="Q1199">
        <v>0</v>
      </c>
      <c r="R1199">
        <v>19.68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H1199">
        <v>19.68</v>
      </c>
    </row>
    <row r="1200" spans="1:34" x14ac:dyDescent="0.3">
      <c r="A1200" s="4">
        <v>1217</v>
      </c>
      <c r="B1200" s="5">
        <v>1193</v>
      </c>
      <c r="C1200">
        <v>1393</v>
      </c>
      <c r="D1200" t="s">
        <v>10619</v>
      </c>
      <c r="E1200" t="s">
        <v>10620</v>
      </c>
      <c r="F1200" t="s">
        <v>2680</v>
      </c>
      <c r="G1200" t="s">
        <v>10621</v>
      </c>
      <c r="H1200">
        <v>16.649999999999999</v>
      </c>
      <c r="I1200">
        <v>0</v>
      </c>
      <c r="J1200">
        <v>0</v>
      </c>
      <c r="K1200">
        <v>0</v>
      </c>
      <c r="N1200">
        <v>3</v>
      </c>
      <c r="O1200">
        <v>3</v>
      </c>
      <c r="P1200">
        <v>0</v>
      </c>
      <c r="Q1200">
        <v>0</v>
      </c>
      <c r="R1200">
        <v>19.649999999999999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H1200">
        <v>19.649999999999999</v>
      </c>
    </row>
    <row r="1201" spans="1:34" x14ac:dyDescent="0.3">
      <c r="A1201" s="4">
        <v>1218</v>
      </c>
      <c r="B1201" s="5">
        <v>1194</v>
      </c>
      <c r="C1201">
        <v>14989</v>
      </c>
      <c r="D1201" t="s">
        <v>2354</v>
      </c>
      <c r="E1201" t="s">
        <v>132</v>
      </c>
      <c r="F1201" t="s">
        <v>652</v>
      </c>
      <c r="G1201" t="s">
        <v>10622</v>
      </c>
      <c r="H1201">
        <v>19.55</v>
      </c>
      <c r="I1201">
        <v>0</v>
      </c>
      <c r="J1201">
        <v>0</v>
      </c>
      <c r="K1201">
        <v>0</v>
      </c>
      <c r="O1201">
        <v>0</v>
      </c>
      <c r="P1201">
        <v>0</v>
      </c>
      <c r="Q1201">
        <v>0</v>
      </c>
      <c r="R1201">
        <v>19.55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H1201">
        <v>19.55</v>
      </c>
    </row>
    <row r="1202" spans="1:34" x14ac:dyDescent="0.3">
      <c r="A1202" s="4">
        <v>1219</v>
      </c>
      <c r="B1202" s="5">
        <v>1195</v>
      </c>
      <c r="C1202">
        <v>11270</v>
      </c>
      <c r="D1202" t="s">
        <v>10623</v>
      </c>
      <c r="E1202" t="s">
        <v>29</v>
      </c>
      <c r="F1202" t="s">
        <v>136</v>
      </c>
      <c r="G1202" t="s">
        <v>10624</v>
      </c>
      <c r="H1202">
        <v>19.5</v>
      </c>
      <c r="I1202">
        <v>0</v>
      </c>
      <c r="J1202">
        <v>0</v>
      </c>
      <c r="K1202">
        <v>0</v>
      </c>
      <c r="O1202">
        <v>0</v>
      </c>
      <c r="P1202">
        <v>0</v>
      </c>
      <c r="Q1202">
        <v>0</v>
      </c>
      <c r="R1202">
        <v>19.5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H1202">
        <v>19.5</v>
      </c>
    </row>
    <row r="1203" spans="1:34" x14ac:dyDescent="0.3">
      <c r="A1203" s="4">
        <v>1220</v>
      </c>
      <c r="B1203" s="5">
        <v>1196</v>
      </c>
      <c r="C1203">
        <v>13597</v>
      </c>
      <c r="D1203" t="s">
        <v>10625</v>
      </c>
      <c r="E1203" t="s">
        <v>255</v>
      </c>
      <c r="F1203" t="s">
        <v>801</v>
      </c>
      <c r="G1203" t="s">
        <v>10626</v>
      </c>
      <c r="H1203">
        <v>12.5</v>
      </c>
      <c r="I1203">
        <v>0</v>
      </c>
      <c r="J1203">
        <v>0</v>
      </c>
      <c r="K1203">
        <v>0</v>
      </c>
      <c r="N1203">
        <v>3</v>
      </c>
      <c r="O1203">
        <v>3</v>
      </c>
      <c r="P1203">
        <v>4</v>
      </c>
      <c r="Q1203">
        <v>0</v>
      </c>
      <c r="R1203">
        <v>19.5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H1203">
        <v>19.5</v>
      </c>
    </row>
    <row r="1204" spans="1:34" x14ac:dyDescent="0.3">
      <c r="A1204" s="4">
        <v>1221</v>
      </c>
      <c r="B1204" s="5">
        <v>1197</v>
      </c>
      <c r="C1204">
        <v>7532</v>
      </c>
      <c r="D1204" t="s">
        <v>10627</v>
      </c>
      <c r="E1204" t="s">
        <v>283</v>
      </c>
      <c r="F1204" t="s">
        <v>68</v>
      </c>
      <c r="G1204" t="s">
        <v>10628</v>
      </c>
      <c r="H1204">
        <v>12.5</v>
      </c>
      <c r="I1204">
        <v>0</v>
      </c>
      <c r="J1204">
        <v>0</v>
      </c>
      <c r="K1204">
        <v>0</v>
      </c>
      <c r="L1204">
        <v>7</v>
      </c>
      <c r="O1204">
        <v>7</v>
      </c>
      <c r="P1204">
        <v>0</v>
      </c>
      <c r="Q1204">
        <v>0</v>
      </c>
      <c r="R1204">
        <v>19.5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H1204">
        <v>19.5</v>
      </c>
    </row>
    <row r="1205" spans="1:34" x14ac:dyDescent="0.3">
      <c r="A1205" s="4">
        <v>1222</v>
      </c>
      <c r="B1205" s="5">
        <v>1198</v>
      </c>
      <c r="C1205">
        <v>13883</v>
      </c>
      <c r="D1205" t="s">
        <v>10629</v>
      </c>
      <c r="E1205" t="s">
        <v>2601</v>
      </c>
      <c r="F1205" t="s">
        <v>1023</v>
      </c>
      <c r="G1205" t="s">
        <v>10630</v>
      </c>
      <c r="H1205">
        <v>12.5</v>
      </c>
      <c r="I1205">
        <v>0</v>
      </c>
      <c r="J1205">
        <v>0</v>
      </c>
      <c r="K1205">
        <v>0</v>
      </c>
      <c r="N1205">
        <v>3</v>
      </c>
      <c r="O1205">
        <v>3</v>
      </c>
      <c r="P1205">
        <v>4</v>
      </c>
      <c r="Q1205">
        <v>0</v>
      </c>
      <c r="R1205">
        <v>19.5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H1205">
        <v>19.5</v>
      </c>
    </row>
    <row r="1206" spans="1:34" x14ac:dyDescent="0.3">
      <c r="A1206" s="4">
        <v>1223</v>
      </c>
      <c r="B1206" s="5">
        <v>1199</v>
      </c>
      <c r="C1206">
        <v>10997</v>
      </c>
      <c r="D1206" t="s">
        <v>10631</v>
      </c>
      <c r="E1206" t="s">
        <v>29</v>
      </c>
      <c r="F1206" t="s">
        <v>136</v>
      </c>
      <c r="G1206" t="s">
        <v>10632</v>
      </c>
      <c r="H1206">
        <v>16.48</v>
      </c>
      <c r="I1206">
        <v>0</v>
      </c>
      <c r="J1206">
        <v>0</v>
      </c>
      <c r="K1206">
        <v>0</v>
      </c>
      <c r="O1206">
        <v>0</v>
      </c>
      <c r="P1206">
        <v>0</v>
      </c>
      <c r="Q1206">
        <v>0</v>
      </c>
      <c r="R1206">
        <v>16.48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3</v>
      </c>
      <c r="AC1206">
        <v>0</v>
      </c>
      <c r="AH1206">
        <v>19.48</v>
      </c>
    </row>
    <row r="1207" spans="1:34" x14ac:dyDescent="0.3">
      <c r="A1207" s="4">
        <v>1224</v>
      </c>
      <c r="B1207" s="5">
        <v>1200</v>
      </c>
      <c r="C1207">
        <v>4698</v>
      </c>
      <c r="D1207" t="s">
        <v>932</v>
      </c>
      <c r="E1207" t="s">
        <v>255</v>
      </c>
      <c r="F1207" t="s">
        <v>117</v>
      </c>
      <c r="G1207" t="s">
        <v>10633</v>
      </c>
      <c r="H1207">
        <v>16.43</v>
      </c>
      <c r="I1207">
        <v>0</v>
      </c>
      <c r="J1207">
        <v>0</v>
      </c>
      <c r="K1207">
        <v>0</v>
      </c>
      <c r="N1207">
        <v>3</v>
      </c>
      <c r="O1207">
        <v>3</v>
      </c>
      <c r="P1207">
        <v>0</v>
      </c>
      <c r="Q1207">
        <v>0</v>
      </c>
      <c r="R1207">
        <v>19.43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H1207">
        <v>19.43</v>
      </c>
    </row>
    <row r="1208" spans="1:34" x14ac:dyDescent="0.3">
      <c r="A1208" s="4">
        <v>1225</v>
      </c>
      <c r="B1208" s="5">
        <v>1201</v>
      </c>
      <c r="C1208">
        <v>15119</v>
      </c>
      <c r="D1208" t="s">
        <v>10634</v>
      </c>
      <c r="E1208" t="s">
        <v>10635</v>
      </c>
      <c r="F1208" t="s">
        <v>10636</v>
      </c>
      <c r="G1208" t="s">
        <v>10637</v>
      </c>
      <c r="H1208">
        <v>16.43</v>
      </c>
      <c r="I1208">
        <v>0</v>
      </c>
      <c r="J1208">
        <v>0</v>
      </c>
      <c r="K1208">
        <v>0</v>
      </c>
      <c r="N1208">
        <v>3</v>
      </c>
      <c r="O1208">
        <v>3</v>
      </c>
      <c r="P1208">
        <v>0</v>
      </c>
      <c r="Q1208">
        <v>0</v>
      </c>
      <c r="R1208">
        <v>19.43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H1208">
        <v>19.43</v>
      </c>
    </row>
    <row r="1209" spans="1:34" x14ac:dyDescent="0.3">
      <c r="A1209" s="4">
        <v>1226</v>
      </c>
      <c r="B1209" s="5">
        <v>1202</v>
      </c>
      <c r="C1209">
        <v>5263</v>
      </c>
      <c r="D1209" t="s">
        <v>332</v>
      </c>
      <c r="E1209" t="s">
        <v>188</v>
      </c>
      <c r="F1209" t="s">
        <v>892</v>
      </c>
      <c r="G1209" t="s">
        <v>10638</v>
      </c>
      <c r="H1209">
        <v>16.38</v>
      </c>
      <c r="I1209">
        <v>0</v>
      </c>
      <c r="J1209">
        <v>0</v>
      </c>
      <c r="K1209">
        <v>0</v>
      </c>
      <c r="O1209">
        <v>0</v>
      </c>
      <c r="P1209">
        <v>0</v>
      </c>
      <c r="Q1209">
        <v>0</v>
      </c>
      <c r="R1209">
        <v>16.38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3</v>
      </c>
      <c r="AC1209">
        <v>0</v>
      </c>
      <c r="AH1209">
        <v>19.38</v>
      </c>
    </row>
    <row r="1210" spans="1:34" x14ac:dyDescent="0.3">
      <c r="A1210" s="4">
        <v>1227</v>
      </c>
      <c r="B1210" s="5">
        <v>1203</v>
      </c>
      <c r="C1210">
        <v>4679</v>
      </c>
      <c r="D1210" t="s">
        <v>10639</v>
      </c>
      <c r="E1210" t="s">
        <v>91</v>
      </c>
      <c r="F1210" t="s">
        <v>30</v>
      </c>
      <c r="G1210" t="s">
        <v>10640</v>
      </c>
      <c r="H1210">
        <v>16.329999999999998</v>
      </c>
      <c r="I1210">
        <v>0</v>
      </c>
      <c r="J1210">
        <v>0</v>
      </c>
      <c r="K1210">
        <v>0</v>
      </c>
      <c r="N1210">
        <v>3</v>
      </c>
      <c r="O1210">
        <v>3</v>
      </c>
      <c r="P1210">
        <v>0</v>
      </c>
      <c r="Q1210">
        <v>0</v>
      </c>
      <c r="R1210">
        <v>19.329999999999998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H1210">
        <v>19.329999999999998</v>
      </c>
    </row>
    <row r="1211" spans="1:34" x14ac:dyDescent="0.3">
      <c r="A1211" s="4">
        <v>1228</v>
      </c>
      <c r="B1211" s="5">
        <v>1204</v>
      </c>
      <c r="C1211">
        <v>12176</v>
      </c>
      <c r="D1211" t="s">
        <v>10641</v>
      </c>
      <c r="E1211" t="s">
        <v>132</v>
      </c>
      <c r="F1211" t="s">
        <v>136</v>
      </c>
      <c r="G1211" t="s">
        <v>10642</v>
      </c>
      <c r="H1211">
        <v>16.28</v>
      </c>
      <c r="I1211">
        <v>0</v>
      </c>
      <c r="J1211">
        <v>0</v>
      </c>
      <c r="K1211">
        <v>0</v>
      </c>
      <c r="N1211">
        <v>3</v>
      </c>
      <c r="O1211">
        <v>3</v>
      </c>
      <c r="P1211">
        <v>0</v>
      </c>
      <c r="Q1211">
        <v>0</v>
      </c>
      <c r="R1211">
        <v>19.28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H1211">
        <v>19.28</v>
      </c>
    </row>
    <row r="1212" spans="1:34" x14ac:dyDescent="0.3">
      <c r="A1212" s="4">
        <v>1229</v>
      </c>
      <c r="B1212" s="5">
        <v>1205</v>
      </c>
      <c r="C1212">
        <v>8027</v>
      </c>
      <c r="D1212" t="s">
        <v>10643</v>
      </c>
      <c r="E1212" t="s">
        <v>110</v>
      </c>
      <c r="F1212" t="s">
        <v>20</v>
      </c>
      <c r="G1212" t="s">
        <v>10644</v>
      </c>
      <c r="H1212">
        <v>16.28</v>
      </c>
      <c r="I1212">
        <v>0</v>
      </c>
      <c r="J1212">
        <v>0</v>
      </c>
      <c r="K1212">
        <v>0</v>
      </c>
      <c r="N1212">
        <v>3</v>
      </c>
      <c r="O1212">
        <v>3</v>
      </c>
      <c r="P1212">
        <v>0</v>
      </c>
      <c r="Q1212">
        <v>0</v>
      </c>
      <c r="R1212">
        <v>19.28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H1212">
        <v>19.28</v>
      </c>
    </row>
    <row r="1213" spans="1:34" x14ac:dyDescent="0.3">
      <c r="A1213" s="4">
        <v>1230</v>
      </c>
      <c r="B1213" s="5">
        <v>1206</v>
      </c>
      <c r="C1213">
        <v>2111</v>
      </c>
      <c r="D1213" t="s">
        <v>7149</v>
      </c>
      <c r="E1213" t="s">
        <v>7150</v>
      </c>
      <c r="F1213" t="s">
        <v>7151</v>
      </c>
      <c r="G1213" t="s">
        <v>7152</v>
      </c>
      <c r="H1213">
        <v>16.2</v>
      </c>
      <c r="I1213">
        <v>0</v>
      </c>
      <c r="J1213">
        <v>0</v>
      </c>
      <c r="K1213">
        <v>0</v>
      </c>
      <c r="N1213">
        <v>3</v>
      </c>
      <c r="O1213">
        <v>3</v>
      </c>
      <c r="P1213">
        <v>0</v>
      </c>
      <c r="Q1213">
        <v>0</v>
      </c>
      <c r="R1213">
        <v>19.2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H1213">
        <v>19.2</v>
      </c>
    </row>
    <row r="1214" spans="1:34" x14ac:dyDescent="0.3">
      <c r="A1214" s="4">
        <v>1231</v>
      </c>
      <c r="B1214" s="5">
        <v>1207</v>
      </c>
      <c r="C1214">
        <v>11338</v>
      </c>
      <c r="D1214" t="s">
        <v>10645</v>
      </c>
      <c r="E1214" t="s">
        <v>328</v>
      </c>
      <c r="F1214" t="s">
        <v>17</v>
      </c>
      <c r="G1214" t="s">
        <v>10646</v>
      </c>
      <c r="H1214">
        <v>16.100000000000001</v>
      </c>
      <c r="I1214">
        <v>0</v>
      </c>
      <c r="J1214">
        <v>0</v>
      </c>
      <c r="K1214">
        <v>0</v>
      </c>
      <c r="N1214">
        <v>3</v>
      </c>
      <c r="O1214">
        <v>3</v>
      </c>
      <c r="P1214">
        <v>0</v>
      </c>
      <c r="Q1214">
        <v>0</v>
      </c>
      <c r="R1214">
        <v>19.100000000000001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H1214">
        <v>19.100000000000001</v>
      </c>
    </row>
    <row r="1215" spans="1:34" x14ac:dyDescent="0.3">
      <c r="A1215" s="4">
        <v>1232</v>
      </c>
      <c r="B1215" s="5">
        <v>1208</v>
      </c>
      <c r="C1215">
        <v>8420</v>
      </c>
      <c r="D1215" t="s">
        <v>10647</v>
      </c>
      <c r="E1215" t="s">
        <v>439</v>
      </c>
      <c r="F1215" t="s">
        <v>259</v>
      </c>
      <c r="G1215" t="s">
        <v>10648</v>
      </c>
      <c r="H1215">
        <v>17.079999999999998</v>
      </c>
      <c r="I1215">
        <v>0</v>
      </c>
      <c r="J1215">
        <v>0</v>
      </c>
      <c r="K1215">
        <v>0</v>
      </c>
      <c r="O1215">
        <v>0</v>
      </c>
      <c r="P1215">
        <v>0</v>
      </c>
      <c r="Q1215">
        <v>2</v>
      </c>
      <c r="R1215">
        <v>19.079999999999998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H1215">
        <v>19.079999999999998</v>
      </c>
    </row>
    <row r="1216" spans="1:34" x14ac:dyDescent="0.3">
      <c r="A1216" s="4">
        <v>1233</v>
      </c>
      <c r="B1216" s="5">
        <v>1209</v>
      </c>
      <c r="C1216">
        <v>8083</v>
      </c>
      <c r="D1216" t="s">
        <v>10649</v>
      </c>
      <c r="E1216" t="s">
        <v>5237</v>
      </c>
      <c r="F1216" t="s">
        <v>1806</v>
      </c>
      <c r="G1216" t="s">
        <v>10650</v>
      </c>
      <c r="H1216">
        <v>19.05</v>
      </c>
      <c r="I1216">
        <v>0</v>
      </c>
      <c r="J1216">
        <v>0</v>
      </c>
      <c r="K1216">
        <v>0</v>
      </c>
      <c r="O1216">
        <v>0</v>
      </c>
      <c r="P1216">
        <v>0</v>
      </c>
      <c r="Q1216">
        <v>0</v>
      </c>
      <c r="R1216">
        <v>19.05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H1216">
        <v>19.05</v>
      </c>
    </row>
    <row r="1217" spans="1:34" x14ac:dyDescent="0.3">
      <c r="A1217" s="4">
        <v>1234</v>
      </c>
      <c r="B1217" s="5">
        <v>1210</v>
      </c>
      <c r="C1217">
        <v>9878</v>
      </c>
      <c r="D1217" t="s">
        <v>10651</v>
      </c>
      <c r="E1217" t="s">
        <v>385</v>
      </c>
      <c r="F1217" t="s">
        <v>68</v>
      </c>
      <c r="G1217" t="s">
        <v>10652</v>
      </c>
      <c r="H1217">
        <v>16.05</v>
      </c>
      <c r="I1217">
        <v>0</v>
      </c>
      <c r="J1217">
        <v>0</v>
      </c>
      <c r="K1217">
        <v>0</v>
      </c>
      <c r="N1217">
        <v>3</v>
      </c>
      <c r="O1217">
        <v>3</v>
      </c>
      <c r="P1217">
        <v>0</v>
      </c>
      <c r="Q1217">
        <v>0</v>
      </c>
      <c r="R1217">
        <v>19.05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H1217">
        <v>19.05</v>
      </c>
    </row>
    <row r="1218" spans="1:34" x14ac:dyDescent="0.3">
      <c r="A1218" s="4">
        <v>1235</v>
      </c>
      <c r="B1218" s="5">
        <v>1211</v>
      </c>
      <c r="C1218">
        <v>9502</v>
      </c>
      <c r="D1218" t="s">
        <v>7452</v>
      </c>
      <c r="E1218" t="s">
        <v>54</v>
      </c>
      <c r="F1218" t="s">
        <v>17</v>
      </c>
      <c r="G1218" t="s">
        <v>10653</v>
      </c>
      <c r="H1218">
        <v>18.95</v>
      </c>
      <c r="I1218">
        <v>0</v>
      </c>
      <c r="J1218">
        <v>0</v>
      </c>
      <c r="K1218">
        <v>0</v>
      </c>
      <c r="O1218">
        <v>0</v>
      </c>
      <c r="P1218">
        <v>0</v>
      </c>
      <c r="Q1218">
        <v>0</v>
      </c>
      <c r="R1218">
        <v>18.95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H1218">
        <v>18.95</v>
      </c>
    </row>
    <row r="1219" spans="1:34" x14ac:dyDescent="0.3">
      <c r="A1219" s="4">
        <v>1236</v>
      </c>
      <c r="B1219" s="5">
        <v>1212</v>
      </c>
      <c r="C1219">
        <v>5662</v>
      </c>
      <c r="D1219" t="s">
        <v>10654</v>
      </c>
      <c r="E1219" t="s">
        <v>10655</v>
      </c>
      <c r="F1219" t="s">
        <v>10656</v>
      </c>
      <c r="G1219" t="s">
        <v>10657</v>
      </c>
      <c r="H1219">
        <v>18.93</v>
      </c>
      <c r="I1219">
        <v>0</v>
      </c>
      <c r="J1219">
        <v>0</v>
      </c>
      <c r="K1219">
        <v>0</v>
      </c>
      <c r="O1219">
        <v>0</v>
      </c>
      <c r="P1219">
        <v>0</v>
      </c>
      <c r="Q1219">
        <v>0</v>
      </c>
      <c r="R1219">
        <v>18.93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H1219">
        <v>18.93</v>
      </c>
    </row>
    <row r="1220" spans="1:34" x14ac:dyDescent="0.3">
      <c r="A1220" s="4">
        <v>1237</v>
      </c>
      <c r="B1220" s="5">
        <v>1213</v>
      </c>
      <c r="C1220">
        <v>6898</v>
      </c>
      <c r="D1220" t="s">
        <v>2622</v>
      </c>
      <c r="E1220" t="s">
        <v>789</v>
      </c>
      <c r="F1220" t="s">
        <v>17</v>
      </c>
      <c r="G1220" t="s">
        <v>10658</v>
      </c>
      <c r="H1220">
        <v>15.9</v>
      </c>
      <c r="I1220">
        <v>0</v>
      </c>
      <c r="J1220">
        <v>0</v>
      </c>
      <c r="K1220">
        <v>0</v>
      </c>
      <c r="O1220">
        <v>0</v>
      </c>
      <c r="P1220">
        <v>0</v>
      </c>
      <c r="Q1220">
        <v>0</v>
      </c>
      <c r="R1220">
        <v>15.9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3</v>
      </c>
      <c r="AC1220">
        <v>0</v>
      </c>
      <c r="AH1220">
        <v>18.899999999999999</v>
      </c>
    </row>
    <row r="1221" spans="1:34" x14ac:dyDescent="0.3">
      <c r="A1221" s="4">
        <v>1238</v>
      </c>
      <c r="B1221" s="5">
        <v>1214</v>
      </c>
      <c r="C1221">
        <v>3501</v>
      </c>
      <c r="D1221" t="s">
        <v>4903</v>
      </c>
      <c r="E1221" t="s">
        <v>110</v>
      </c>
      <c r="F1221" t="s">
        <v>62</v>
      </c>
      <c r="G1221" t="s">
        <v>6187</v>
      </c>
      <c r="H1221">
        <v>18.850000000000001</v>
      </c>
      <c r="I1221">
        <v>0</v>
      </c>
      <c r="J1221">
        <v>0</v>
      </c>
      <c r="K1221">
        <v>0</v>
      </c>
      <c r="O1221">
        <v>0</v>
      </c>
      <c r="P1221">
        <v>0</v>
      </c>
      <c r="Q1221">
        <v>0</v>
      </c>
      <c r="R1221">
        <v>18.850000000000001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 t="s">
        <v>130</v>
      </c>
      <c r="AH1221">
        <v>18.850000000000001</v>
      </c>
    </row>
    <row r="1222" spans="1:34" x14ac:dyDescent="0.3">
      <c r="A1222" s="4">
        <v>1239</v>
      </c>
      <c r="B1222" s="5">
        <v>1215</v>
      </c>
      <c r="C1222">
        <v>11799</v>
      </c>
      <c r="D1222" t="s">
        <v>10659</v>
      </c>
      <c r="E1222" t="s">
        <v>110</v>
      </c>
      <c r="F1222" t="s">
        <v>17</v>
      </c>
      <c r="G1222" t="s">
        <v>10660</v>
      </c>
      <c r="H1222">
        <v>15.8</v>
      </c>
      <c r="I1222">
        <v>0</v>
      </c>
      <c r="J1222">
        <v>0</v>
      </c>
      <c r="K1222">
        <v>0</v>
      </c>
      <c r="N1222">
        <v>3</v>
      </c>
      <c r="O1222">
        <v>3</v>
      </c>
      <c r="P1222">
        <v>0</v>
      </c>
      <c r="Q1222">
        <v>0</v>
      </c>
      <c r="R1222">
        <v>18.8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H1222">
        <v>18.8</v>
      </c>
    </row>
    <row r="1223" spans="1:34" x14ac:dyDescent="0.3">
      <c r="A1223" s="4">
        <v>1240</v>
      </c>
      <c r="B1223" s="5">
        <v>1216</v>
      </c>
      <c r="C1223">
        <v>9532</v>
      </c>
      <c r="D1223" t="s">
        <v>4765</v>
      </c>
      <c r="E1223" t="s">
        <v>208</v>
      </c>
      <c r="F1223" t="s">
        <v>626</v>
      </c>
      <c r="G1223" t="s">
        <v>10661</v>
      </c>
      <c r="H1223">
        <v>16.73</v>
      </c>
      <c r="I1223">
        <v>0</v>
      </c>
      <c r="J1223">
        <v>0</v>
      </c>
      <c r="K1223">
        <v>0</v>
      </c>
      <c r="O1223">
        <v>0</v>
      </c>
      <c r="P1223">
        <v>0</v>
      </c>
      <c r="Q1223">
        <v>2</v>
      </c>
      <c r="R1223">
        <v>18.73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H1223">
        <v>18.73</v>
      </c>
    </row>
    <row r="1224" spans="1:34" x14ac:dyDescent="0.3">
      <c r="A1224" s="4">
        <v>1241</v>
      </c>
      <c r="B1224" s="5">
        <v>1217</v>
      </c>
      <c r="C1224">
        <v>14705</v>
      </c>
      <c r="D1224" t="s">
        <v>10662</v>
      </c>
      <c r="E1224" t="s">
        <v>639</v>
      </c>
      <c r="F1224" t="s">
        <v>570</v>
      </c>
      <c r="G1224" t="s">
        <v>10663</v>
      </c>
      <c r="H1224">
        <v>18.63</v>
      </c>
      <c r="I1224">
        <v>0</v>
      </c>
      <c r="J1224">
        <v>0</v>
      </c>
      <c r="K1224">
        <v>0</v>
      </c>
      <c r="O1224">
        <v>0</v>
      </c>
      <c r="P1224">
        <v>0</v>
      </c>
      <c r="Q1224">
        <v>0</v>
      </c>
      <c r="R1224">
        <v>18.63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H1224">
        <v>18.63</v>
      </c>
    </row>
    <row r="1225" spans="1:34" x14ac:dyDescent="0.3">
      <c r="A1225" s="4">
        <v>1242</v>
      </c>
      <c r="B1225" s="5">
        <v>1218</v>
      </c>
      <c r="C1225">
        <v>12496</v>
      </c>
      <c r="D1225" t="s">
        <v>6521</v>
      </c>
      <c r="E1225" t="s">
        <v>560</v>
      </c>
      <c r="F1225" t="s">
        <v>68</v>
      </c>
      <c r="G1225" t="s">
        <v>6522</v>
      </c>
      <c r="H1225">
        <v>16.579999999999998</v>
      </c>
      <c r="I1225">
        <v>0</v>
      </c>
      <c r="J1225">
        <v>0</v>
      </c>
      <c r="K1225">
        <v>0</v>
      </c>
      <c r="O1225">
        <v>0</v>
      </c>
      <c r="P1225">
        <v>0</v>
      </c>
      <c r="Q1225">
        <v>2</v>
      </c>
      <c r="R1225">
        <v>18.579999999999998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H1225">
        <v>18.579999999999998</v>
      </c>
    </row>
    <row r="1226" spans="1:34" x14ac:dyDescent="0.3">
      <c r="A1226" s="4">
        <v>1243</v>
      </c>
      <c r="B1226" s="5">
        <v>1219</v>
      </c>
      <c r="C1226">
        <v>10359</v>
      </c>
      <c r="D1226" t="s">
        <v>10664</v>
      </c>
      <c r="E1226" t="s">
        <v>10665</v>
      </c>
      <c r="F1226" t="s">
        <v>591</v>
      </c>
      <c r="G1226" t="s">
        <v>10666</v>
      </c>
      <c r="H1226">
        <v>12.5</v>
      </c>
      <c r="I1226">
        <v>0</v>
      </c>
      <c r="J1226">
        <v>0</v>
      </c>
      <c r="K1226">
        <v>0</v>
      </c>
      <c r="O1226">
        <v>0</v>
      </c>
      <c r="P1226">
        <v>0</v>
      </c>
      <c r="Q1226">
        <v>0</v>
      </c>
      <c r="R1226">
        <v>12.5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6</v>
      </c>
      <c r="AC1226">
        <v>0</v>
      </c>
      <c r="AH1226">
        <v>18.5</v>
      </c>
    </row>
    <row r="1227" spans="1:34" x14ac:dyDescent="0.3">
      <c r="A1227" s="4">
        <v>1244</v>
      </c>
      <c r="B1227" s="5">
        <v>1220</v>
      </c>
      <c r="C1227">
        <v>5985</v>
      </c>
      <c r="D1227" t="s">
        <v>10667</v>
      </c>
      <c r="E1227" t="s">
        <v>1989</v>
      </c>
      <c r="F1227" t="s">
        <v>10668</v>
      </c>
      <c r="G1227" t="s">
        <v>10669</v>
      </c>
      <c r="H1227">
        <v>12.5</v>
      </c>
      <c r="I1227">
        <v>0</v>
      </c>
      <c r="J1227">
        <v>0</v>
      </c>
      <c r="K1227">
        <v>0</v>
      </c>
      <c r="O1227">
        <v>0</v>
      </c>
      <c r="P1227">
        <v>0</v>
      </c>
      <c r="Q1227">
        <v>0</v>
      </c>
      <c r="R1227">
        <v>12.5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6</v>
      </c>
      <c r="AC1227">
        <v>0</v>
      </c>
      <c r="AH1227">
        <v>18.5</v>
      </c>
    </row>
    <row r="1228" spans="1:34" x14ac:dyDescent="0.3">
      <c r="A1228" s="4">
        <v>1245</v>
      </c>
      <c r="B1228" s="5">
        <v>1221</v>
      </c>
      <c r="C1228">
        <v>9767</v>
      </c>
      <c r="D1228" t="s">
        <v>1342</v>
      </c>
      <c r="E1228" t="s">
        <v>123</v>
      </c>
      <c r="F1228" t="s">
        <v>52</v>
      </c>
      <c r="G1228" t="s">
        <v>10670</v>
      </c>
      <c r="H1228">
        <v>15.5</v>
      </c>
      <c r="I1228">
        <v>0</v>
      </c>
      <c r="J1228">
        <v>0</v>
      </c>
      <c r="K1228">
        <v>0</v>
      </c>
      <c r="O1228">
        <v>0</v>
      </c>
      <c r="P1228">
        <v>0</v>
      </c>
      <c r="Q1228">
        <v>0</v>
      </c>
      <c r="R1228">
        <v>15.5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3</v>
      </c>
      <c r="AC1228">
        <v>0</v>
      </c>
      <c r="AH1228">
        <v>18.5</v>
      </c>
    </row>
    <row r="1229" spans="1:34" x14ac:dyDescent="0.3">
      <c r="A1229" s="4">
        <v>1246</v>
      </c>
      <c r="B1229" s="5">
        <v>1222</v>
      </c>
      <c r="C1229">
        <v>7137</v>
      </c>
      <c r="D1229" t="s">
        <v>10671</v>
      </c>
      <c r="E1229" t="s">
        <v>594</v>
      </c>
      <c r="F1229" t="s">
        <v>30</v>
      </c>
      <c r="G1229" t="s">
        <v>10672</v>
      </c>
      <c r="H1229">
        <v>18.45</v>
      </c>
      <c r="I1229">
        <v>0</v>
      </c>
      <c r="J1229">
        <v>0</v>
      </c>
      <c r="K1229">
        <v>0</v>
      </c>
      <c r="O1229">
        <v>0</v>
      </c>
      <c r="P1229">
        <v>0</v>
      </c>
      <c r="Q1229">
        <v>0</v>
      </c>
      <c r="R1229">
        <v>18.45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H1229">
        <v>18.45</v>
      </c>
    </row>
    <row r="1230" spans="1:34" x14ac:dyDescent="0.3">
      <c r="A1230" s="4">
        <v>1247</v>
      </c>
      <c r="B1230" s="5">
        <v>1223</v>
      </c>
      <c r="C1230">
        <v>14329</v>
      </c>
      <c r="D1230" t="s">
        <v>6215</v>
      </c>
      <c r="E1230" t="s">
        <v>390</v>
      </c>
      <c r="F1230" t="s">
        <v>81</v>
      </c>
      <c r="G1230" t="s">
        <v>10673</v>
      </c>
      <c r="H1230">
        <v>16.2</v>
      </c>
      <c r="I1230">
        <v>0</v>
      </c>
      <c r="J1230">
        <v>0</v>
      </c>
      <c r="K1230">
        <v>0</v>
      </c>
      <c r="O1230">
        <v>0</v>
      </c>
      <c r="P1230">
        <v>0</v>
      </c>
      <c r="Q1230">
        <v>2</v>
      </c>
      <c r="R1230">
        <v>18.2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H1230">
        <v>18.2</v>
      </c>
    </row>
    <row r="1231" spans="1:34" x14ac:dyDescent="0.3">
      <c r="A1231" s="4">
        <v>1248</v>
      </c>
      <c r="B1231" s="5">
        <v>1224</v>
      </c>
      <c r="C1231">
        <v>14775</v>
      </c>
      <c r="D1231" t="s">
        <v>6381</v>
      </c>
      <c r="E1231" t="s">
        <v>29</v>
      </c>
      <c r="F1231" t="s">
        <v>539</v>
      </c>
      <c r="G1231" t="s">
        <v>10674</v>
      </c>
      <c r="H1231">
        <v>18.05</v>
      </c>
      <c r="I1231">
        <v>0</v>
      </c>
      <c r="J1231">
        <v>0</v>
      </c>
      <c r="K1231">
        <v>0</v>
      </c>
      <c r="O1231">
        <v>0</v>
      </c>
      <c r="P1231">
        <v>0</v>
      </c>
      <c r="Q1231">
        <v>0</v>
      </c>
      <c r="R1231">
        <v>18.05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H1231">
        <v>18.05</v>
      </c>
    </row>
    <row r="1232" spans="1:34" x14ac:dyDescent="0.3">
      <c r="A1232" s="4">
        <v>1249</v>
      </c>
      <c r="B1232" s="5">
        <v>1225</v>
      </c>
      <c r="C1232">
        <v>14918</v>
      </c>
      <c r="D1232" t="s">
        <v>5160</v>
      </c>
      <c r="E1232" t="s">
        <v>575</v>
      </c>
      <c r="F1232" t="s">
        <v>14</v>
      </c>
      <c r="G1232" t="s">
        <v>10675</v>
      </c>
      <c r="H1232">
        <v>18.03</v>
      </c>
      <c r="I1232">
        <v>0</v>
      </c>
      <c r="J1232">
        <v>0</v>
      </c>
      <c r="K1232">
        <v>0</v>
      </c>
      <c r="O1232">
        <v>0</v>
      </c>
      <c r="P1232">
        <v>0</v>
      </c>
      <c r="Q1232">
        <v>0</v>
      </c>
      <c r="R1232">
        <v>18.03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H1232">
        <v>18.03</v>
      </c>
    </row>
    <row r="1233" spans="1:34" x14ac:dyDescent="0.3">
      <c r="A1233" s="4">
        <v>1250</v>
      </c>
      <c r="B1233" s="5">
        <v>1226</v>
      </c>
      <c r="C1233">
        <v>9287</v>
      </c>
      <c r="D1233" t="s">
        <v>10676</v>
      </c>
      <c r="E1233" t="s">
        <v>190</v>
      </c>
      <c r="F1233" t="s">
        <v>81</v>
      </c>
      <c r="G1233" t="s">
        <v>10677</v>
      </c>
      <c r="H1233">
        <v>17.899999999999999</v>
      </c>
      <c r="I1233">
        <v>0</v>
      </c>
      <c r="J1233">
        <v>0</v>
      </c>
      <c r="K1233">
        <v>0</v>
      </c>
      <c r="O1233">
        <v>0</v>
      </c>
      <c r="P1233">
        <v>0</v>
      </c>
      <c r="Q1233">
        <v>0</v>
      </c>
      <c r="R1233">
        <v>17.899999999999999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H1233">
        <v>17.899999999999999</v>
      </c>
    </row>
    <row r="1234" spans="1:34" x14ac:dyDescent="0.3">
      <c r="A1234" s="4">
        <v>1251</v>
      </c>
      <c r="B1234" s="5">
        <v>1227</v>
      </c>
      <c r="C1234">
        <v>14680</v>
      </c>
      <c r="D1234" t="s">
        <v>10678</v>
      </c>
      <c r="E1234" t="s">
        <v>54</v>
      </c>
      <c r="F1234" t="s">
        <v>136</v>
      </c>
      <c r="G1234" t="s">
        <v>10679</v>
      </c>
      <c r="H1234">
        <v>17.73</v>
      </c>
      <c r="I1234">
        <v>0</v>
      </c>
      <c r="J1234">
        <v>0</v>
      </c>
      <c r="K1234">
        <v>0</v>
      </c>
      <c r="O1234">
        <v>0</v>
      </c>
      <c r="P1234">
        <v>0</v>
      </c>
      <c r="Q1234">
        <v>0</v>
      </c>
      <c r="R1234">
        <v>17.73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H1234">
        <v>17.73</v>
      </c>
    </row>
    <row r="1235" spans="1:34" x14ac:dyDescent="0.3">
      <c r="A1235" s="4">
        <v>1252</v>
      </c>
      <c r="B1235" s="5">
        <v>1228</v>
      </c>
      <c r="C1235">
        <v>9478</v>
      </c>
      <c r="D1235" t="s">
        <v>7050</v>
      </c>
      <c r="E1235" t="s">
        <v>283</v>
      </c>
      <c r="F1235" t="s">
        <v>38</v>
      </c>
      <c r="G1235" t="s">
        <v>10680</v>
      </c>
      <c r="H1235">
        <v>15.7</v>
      </c>
      <c r="I1235">
        <v>0</v>
      </c>
      <c r="J1235">
        <v>0</v>
      </c>
      <c r="K1235">
        <v>0</v>
      </c>
      <c r="O1235">
        <v>0</v>
      </c>
      <c r="P1235">
        <v>0</v>
      </c>
      <c r="Q1235">
        <v>2</v>
      </c>
      <c r="R1235">
        <v>17.7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H1235">
        <v>17.7</v>
      </c>
    </row>
    <row r="1236" spans="1:34" x14ac:dyDescent="0.3">
      <c r="A1236" s="4">
        <v>1253</v>
      </c>
      <c r="B1236" s="5">
        <v>1229</v>
      </c>
      <c r="C1236">
        <v>5812</v>
      </c>
      <c r="D1236" t="s">
        <v>2600</v>
      </c>
      <c r="E1236" t="s">
        <v>5834</v>
      </c>
      <c r="F1236" t="s">
        <v>68</v>
      </c>
      <c r="G1236" t="s">
        <v>10681</v>
      </c>
      <c r="H1236">
        <v>17.53</v>
      </c>
      <c r="I1236">
        <v>0</v>
      </c>
      <c r="J1236">
        <v>0</v>
      </c>
      <c r="K1236">
        <v>0</v>
      </c>
      <c r="O1236">
        <v>0</v>
      </c>
      <c r="P1236">
        <v>0</v>
      </c>
      <c r="Q1236">
        <v>0</v>
      </c>
      <c r="R1236">
        <v>17.53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H1236">
        <v>17.53</v>
      </c>
    </row>
    <row r="1237" spans="1:34" x14ac:dyDescent="0.3">
      <c r="A1237" s="4">
        <v>1254</v>
      </c>
      <c r="B1237" s="5">
        <v>1230</v>
      </c>
      <c r="C1237">
        <v>8604</v>
      </c>
      <c r="D1237" t="s">
        <v>6837</v>
      </c>
      <c r="E1237" t="s">
        <v>100</v>
      </c>
      <c r="F1237" t="s">
        <v>81</v>
      </c>
      <c r="G1237" t="s">
        <v>10682</v>
      </c>
      <c r="H1237">
        <v>12.5</v>
      </c>
      <c r="I1237">
        <v>0</v>
      </c>
      <c r="J1237">
        <v>0</v>
      </c>
      <c r="K1237">
        <v>0</v>
      </c>
      <c r="N1237">
        <v>3</v>
      </c>
      <c r="O1237">
        <v>3</v>
      </c>
      <c r="P1237">
        <v>0</v>
      </c>
      <c r="Q1237">
        <v>2</v>
      </c>
      <c r="R1237">
        <v>17.5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H1237">
        <v>17.5</v>
      </c>
    </row>
    <row r="1238" spans="1:34" x14ac:dyDescent="0.3">
      <c r="A1238" s="4">
        <v>1255</v>
      </c>
      <c r="B1238" s="5">
        <v>1231</v>
      </c>
      <c r="C1238">
        <v>8560</v>
      </c>
      <c r="D1238" t="s">
        <v>10683</v>
      </c>
      <c r="E1238" t="s">
        <v>816</v>
      </c>
      <c r="F1238" t="s">
        <v>117</v>
      </c>
      <c r="G1238" t="s">
        <v>10684</v>
      </c>
      <c r="H1238">
        <v>14.28</v>
      </c>
      <c r="I1238">
        <v>0</v>
      </c>
      <c r="J1238">
        <v>0</v>
      </c>
      <c r="K1238">
        <v>0</v>
      </c>
      <c r="N1238">
        <v>3</v>
      </c>
      <c r="O1238">
        <v>3</v>
      </c>
      <c r="P1238">
        <v>0</v>
      </c>
      <c r="Q1238">
        <v>0</v>
      </c>
      <c r="R1238">
        <v>17.28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H1238">
        <v>17.28</v>
      </c>
    </row>
    <row r="1239" spans="1:34" x14ac:dyDescent="0.3">
      <c r="A1239" s="4">
        <v>1256</v>
      </c>
      <c r="B1239" s="5">
        <v>1232</v>
      </c>
      <c r="C1239">
        <v>12180</v>
      </c>
      <c r="D1239" t="s">
        <v>10685</v>
      </c>
      <c r="E1239" t="s">
        <v>1277</v>
      </c>
      <c r="F1239" t="s">
        <v>2225</v>
      </c>
      <c r="G1239" t="s">
        <v>10686</v>
      </c>
      <c r="H1239">
        <v>17.23</v>
      </c>
      <c r="I1239">
        <v>0</v>
      </c>
      <c r="J1239">
        <v>0</v>
      </c>
      <c r="K1239">
        <v>0</v>
      </c>
      <c r="O1239">
        <v>0</v>
      </c>
      <c r="P1239">
        <v>0</v>
      </c>
      <c r="Q1239">
        <v>0</v>
      </c>
      <c r="R1239">
        <v>17.23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H1239">
        <v>17.23</v>
      </c>
    </row>
    <row r="1240" spans="1:34" x14ac:dyDescent="0.3">
      <c r="A1240" s="4">
        <v>1257</v>
      </c>
      <c r="B1240" s="5">
        <v>1233</v>
      </c>
      <c r="C1240">
        <v>14822</v>
      </c>
      <c r="D1240" t="s">
        <v>4893</v>
      </c>
      <c r="E1240" t="s">
        <v>161</v>
      </c>
      <c r="F1240" t="s">
        <v>55</v>
      </c>
      <c r="G1240" t="s">
        <v>10687</v>
      </c>
      <c r="H1240">
        <v>17.079999999999998</v>
      </c>
      <c r="I1240">
        <v>0</v>
      </c>
      <c r="J1240">
        <v>0</v>
      </c>
      <c r="K1240">
        <v>0</v>
      </c>
      <c r="O1240">
        <v>0</v>
      </c>
      <c r="P1240">
        <v>0</v>
      </c>
      <c r="Q1240">
        <v>0</v>
      </c>
      <c r="R1240">
        <v>17.079999999999998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H1240">
        <v>17.079999999999998</v>
      </c>
    </row>
    <row r="1241" spans="1:34" x14ac:dyDescent="0.3">
      <c r="A1241" s="4">
        <v>1258</v>
      </c>
      <c r="B1241" s="5">
        <v>1234</v>
      </c>
      <c r="C1241">
        <v>13282</v>
      </c>
      <c r="D1241" t="s">
        <v>10688</v>
      </c>
      <c r="E1241" t="s">
        <v>117</v>
      </c>
      <c r="F1241" t="s">
        <v>167</v>
      </c>
      <c r="G1241" t="s">
        <v>10689</v>
      </c>
      <c r="H1241">
        <v>16.93</v>
      </c>
      <c r="I1241">
        <v>0</v>
      </c>
      <c r="J1241">
        <v>0</v>
      </c>
      <c r="K1241">
        <v>0</v>
      </c>
      <c r="O1241">
        <v>0</v>
      </c>
      <c r="P1241">
        <v>0</v>
      </c>
      <c r="Q1241">
        <v>0</v>
      </c>
      <c r="R1241">
        <v>16.93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H1241">
        <v>16.93</v>
      </c>
    </row>
    <row r="1242" spans="1:34" x14ac:dyDescent="0.3">
      <c r="A1242" s="4">
        <v>1259</v>
      </c>
      <c r="B1242" s="5">
        <v>1235</v>
      </c>
      <c r="C1242">
        <v>15487</v>
      </c>
      <c r="D1242" t="s">
        <v>2043</v>
      </c>
      <c r="E1242" t="s">
        <v>307</v>
      </c>
      <c r="F1242" t="s">
        <v>17</v>
      </c>
      <c r="G1242" t="s">
        <v>10690</v>
      </c>
      <c r="H1242">
        <v>16.8</v>
      </c>
      <c r="I1242">
        <v>0</v>
      </c>
      <c r="J1242">
        <v>0</v>
      </c>
      <c r="K1242">
        <v>0</v>
      </c>
      <c r="O1242">
        <v>0</v>
      </c>
      <c r="P1242">
        <v>0</v>
      </c>
      <c r="Q1242">
        <v>0</v>
      </c>
      <c r="R1242">
        <v>16.8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H1242">
        <v>16.8</v>
      </c>
    </row>
    <row r="1243" spans="1:34" x14ac:dyDescent="0.3">
      <c r="A1243" s="4">
        <v>1260</v>
      </c>
      <c r="B1243" s="5">
        <v>1236</v>
      </c>
      <c r="C1243">
        <v>1458</v>
      </c>
      <c r="D1243" t="s">
        <v>1441</v>
      </c>
      <c r="E1243" t="s">
        <v>471</v>
      </c>
      <c r="F1243" t="s">
        <v>38</v>
      </c>
      <c r="G1243" t="s">
        <v>10691</v>
      </c>
      <c r="H1243">
        <v>16.73</v>
      </c>
      <c r="I1243">
        <v>0</v>
      </c>
      <c r="J1243">
        <v>0</v>
      </c>
      <c r="K1243">
        <v>0</v>
      </c>
      <c r="O1243">
        <v>0</v>
      </c>
      <c r="P1243">
        <v>0</v>
      </c>
      <c r="Q1243">
        <v>0</v>
      </c>
      <c r="R1243">
        <v>16.73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H1243">
        <v>16.73</v>
      </c>
    </row>
    <row r="1244" spans="1:34" x14ac:dyDescent="0.3">
      <c r="A1244" s="4">
        <v>1261</v>
      </c>
      <c r="B1244" s="5">
        <v>1237</v>
      </c>
      <c r="C1244">
        <v>14541</v>
      </c>
      <c r="D1244" t="s">
        <v>3359</v>
      </c>
      <c r="E1244" t="s">
        <v>91</v>
      </c>
      <c r="F1244" t="s">
        <v>38</v>
      </c>
      <c r="G1244" t="s">
        <v>10692</v>
      </c>
      <c r="H1244">
        <v>16.7</v>
      </c>
      <c r="I1244">
        <v>0</v>
      </c>
      <c r="J1244">
        <v>0</v>
      </c>
      <c r="K1244">
        <v>0</v>
      </c>
      <c r="O1244">
        <v>0</v>
      </c>
      <c r="P1244">
        <v>0</v>
      </c>
      <c r="Q1244">
        <v>0</v>
      </c>
      <c r="R1244">
        <v>16.7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H1244">
        <v>16.7</v>
      </c>
    </row>
    <row r="1245" spans="1:34" x14ac:dyDescent="0.3">
      <c r="A1245" s="4">
        <v>1262</v>
      </c>
      <c r="B1245" s="5">
        <v>1238</v>
      </c>
      <c r="C1245">
        <v>1715</v>
      </c>
      <c r="D1245" t="s">
        <v>10693</v>
      </c>
      <c r="E1245" t="s">
        <v>54</v>
      </c>
      <c r="F1245" t="s">
        <v>20</v>
      </c>
      <c r="G1245" t="s">
        <v>10694</v>
      </c>
      <c r="H1245">
        <v>16.649999999999999</v>
      </c>
      <c r="I1245">
        <v>0</v>
      </c>
      <c r="J1245">
        <v>0</v>
      </c>
      <c r="K1245">
        <v>0</v>
      </c>
      <c r="O1245">
        <v>0</v>
      </c>
      <c r="P1245">
        <v>0</v>
      </c>
      <c r="Q1245">
        <v>0</v>
      </c>
      <c r="R1245">
        <v>16.649999999999999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H1245">
        <v>16.649999999999999</v>
      </c>
    </row>
    <row r="1246" spans="1:34" x14ac:dyDescent="0.3">
      <c r="A1246" s="4">
        <v>1263</v>
      </c>
      <c r="B1246" s="5">
        <v>1239</v>
      </c>
      <c r="C1246">
        <v>4058</v>
      </c>
      <c r="D1246" t="s">
        <v>10695</v>
      </c>
      <c r="E1246" t="s">
        <v>17</v>
      </c>
      <c r="F1246" t="s">
        <v>230</v>
      </c>
      <c r="G1246" t="s">
        <v>10696</v>
      </c>
      <c r="H1246">
        <v>16.600000000000001</v>
      </c>
      <c r="I1246">
        <v>0</v>
      </c>
      <c r="J1246">
        <v>0</v>
      </c>
      <c r="K1246">
        <v>0</v>
      </c>
      <c r="O1246">
        <v>0</v>
      </c>
      <c r="P1246">
        <v>0</v>
      </c>
      <c r="Q1246">
        <v>0</v>
      </c>
      <c r="R1246">
        <v>16.600000000000001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H1246">
        <v>16.600000000000001</v>
      </c>
    </row>
    <row r="1247" spans="1:34" x14ac:dyDescent="0.3">
      <c r="A1247" s="4">
        <v>1264</v>
      </c>
      <c r="B1247" s="5">
        <v>1240</v>
      </c>
      <c r="C1247">
        <v>5290</v>
      </c>
      <c r="D1247" t="s">
        <v>10697</v>
      </c>
      <c r="E1247" t="s">
        <v>29</v>
      </c>
      <c r="F1247" t="s">
        <v>375</v>
      </c>
      <c r="G1247" t="s">
        <v>10698</v>
      </c>
      <c r="H1247">
        <v>16.5</v>
      </c>
      <c r="I1247">
        <v>0</v>
      </c>
      <c r="J1247">
        <v>0</v>
      </c>
      <c r="K1247">
        <v>0</v>
      </c>
      <c r="O1247">
        <v>0</v>
      </c>
      <c r="P1247">
        <v>0</v>
      </c>
      <c r="Q1247">
        <v>0</v>
      </c>
      <c r="R1247">
        <v>16.5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H1247">
        <v>16.5</v>
      </c>
    </row>
    <row r="1248" spans="1:34" x14ac:dyDescent="0.3">
      <c r="A1248" s="4">
        <v>1265</v>
      </c>
      <c r="B1248" s="5">
        <v>1241</v>
      </c>
      <c r="C1248">
        <v>13103</v>
      </c>
      <c r="D1248" t="s">
        <v>10699</v>
      </c>
      <c r="E1248" t="s">
        <v>258</v>
      </c>
      <c r="F1248" t="s">
        <v>136</v>
      </c>
      <c r="G1248" t="s">
        <v>10700</v>
      </c>
      <c r="H1248">
        <v>16.38</v>
      </c>
      <c r="I1248">
        <v>0</v>
      </c>
      <c r="J1248">
        <v>0</v>
      </c>
      <c r="K1248">
        <v>0</v>
      </c>
      <c r="O1248">
        <v>0</v>
      </c>
      <c r="P1248">
        <v>0</v>
      </c>
      <c r="Q1248">
        <v>0</v>
      </c>
      <c r="R1248">
        <v>16.38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H1248">
        <v>16.38</v>
      </c>
    </row>
    <row r="1249" spans="1:34" x14ac:dyDescent="0.3">
      <c r="A1249" s="4">
        <v>1266</v>
      </c>
      <c r="B1249" s="5">
        <v>1242</v>
      </c>
      <c r="C1249">
        <v>4520</v>
      </c>
      <c r="D1249" t="s">
        <v>877</v>
      </c>
      <c r="E1249" t="s">
        <v>208</v>
      </c>
      <c r="F1249" t="s">
        <v>117</v>
      </c>
      <c r="G1249" t="s">
        <v>10701</v>
      </c>
      <c r="H1249">
        <v>16.3</v>
      </c>
      <c r="I1249">
        <v>0</v>
      </c>
      <c r="J1249">
        <v>0</v>
      </c>
      <c r="K1249">
        <v>0</v>
      </c>
      <c r="O1249">
        <v>0</v>
      </c>
      <c r="P1249">
        <v>0</v>
      </c>
      <c r="Q1249">
        <v>0</v>
      </c>
      <c r="R1249">
        <v>16.3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H1249">
        <v>16.3</v>
      </c>
    </row>
    <row r="1250" spans="1:34" x14ac:dyDescent="0.3">
      <c r="A1250" s="4">
        <v>1267</v>
      </c>
      <c r="B1250" s="5">
        <v>1243</v>
      </c>
      <c r="C1250">
        <v>12463</v>
      </c>
      <c r="D1250" t="s">
        <v>7331</v>
      </c>
      <c r="E1250" t="s">
        <v>424</v>
      </c>
      <c r="F1250" t="s">
        <v>361</v>
      </c>
      <c r="G1250">
        <v>1008828</v>
      </c>
      <c r="H1250">
        <v>16.25</v>
      </c>
      <c r="I1250">
        <v>0</v>
      </c>
      <c r="J1250">
        <v>0</v>
      </c>
      <c r="K1250">
        <v>0</v>
      </c>
      <c r="O1250">
        <v>0</v>
      </c>
      <c r="P1250">
        <v>0</v>
      </c>
      <c r="Q1250">
        <v>0</v>
      </c>
      <c r="R1250">
        <v>16.25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H1250">
        <v>16.25</v>
      </c>
    </row>
    <row r="1251" spans="1:34" x14ac:dyDescent="0.3">
      <c r="A1251" s="4">
        <v>1268</v>
      </c>
      <c r="B1251" s="5">
        <v>1244</v>
      </c>
      <c r="C1251">
        <v>6385</v>
      </c>
      <c r="D1251" t="s">
        <v>10702</v>
      </c>
      <c r="E1251" t="s">
        <v>1474</v>
      </c>
      <c r="F1251" t="s">
        <v>243</v>
      </c>
      <c r="G1251" t="s">
        <v>10703</v>
      </c>
      <c r="H1251">
        <v>15.88</v>
      </c>
      <c r="I1251">
        <v>0</v>
      </c>
      <c r="J1251">
        <v>0</v>
      </c>
      <c r="K1251">
        <v>0</v>
      </c>
      <c r="O1251">
        <v>0</v>
      </c>
      <c r="P1251">
        <v>0</v>
      </c>
      <c r="Q1251">
        <v>0</v>
      </c>
      <c r="R1251">
        <v>15.88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H1251">
        <v>15.88</v>
      </c>
    </row>
    <row r="1252" spans="1:34" x14ac:dyDescent="0.3">
      <c r="A1252" s="4">
        <v>1269</v>
      </c>
      <c r="B1252" s="5">
        <v>1245</v>
      </c>
      <c r="C1252">
        <v>2785</v>
      </c>
      <c r="D1252" t="s">
        <v>3181</v>
      </c>
      <c r="E1252" t="s">
        <v>166</v>
      </c>
      <c r="F1252" t="s">
        <v>158</v>
      </c>
      <c r="G1252" t="s">
        <v>10704</v>
      </c>
      <c r="H1252">
        <v>15.68</v>
      </c>
      <c r="I1252">
        <v>0</v>
      </c>
      <c r="J1252">
        <v>0</v>
      </c>
      <c r="K1252">
        <v>0</v>
      </c>
      <c r="O1252">
        <v>0</v>
      </c>
      <c r="P1252">
        <v>0</v>
      </c>
      <c r="Q1252">
        <v>0</v>
      </c>
      <c r="R1252">
        <v>15.68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H1252">
        <v>15.68</v>
      </c>
    </row>
    <row r="1253" spans="1:34" x14ac:dyDescent="0.3">
      <c r="A1253" s="4">
        <v>1270</v>
      </c>
      <c r="B1253" s="5">
        <v>1246</v>
      </c>
      <c r="C1253">
        <v>7789</v>
      </c>
      <c r="D1253" t="s">
        <v>3587</v>
      </c>
      <c r="E1253" t="s">
        <v>33</v>
      </c>
      <c r="F1253" t="s">
        <v>38</v>
      </c>
      <c r="G1253" t="s">
        <v>10705</v>
      </c>
      <c r="H1253">
        <v>12.5</v>
      </c>
      <c r="I1253">
        <v>0</v>
      </c>
      <c r="J1253">
        <v>0</v>
      </c>
      <c r="K1253">
        <v>0</v>
      </c>
      <c r="O1253">
        <v>0</v>
      </c>
      <c r="P1253">
        <v>0</v>
      </c>
      <c r="Q1253">
        <v>0</v>
      </c>
      <c r="R1253">
        <v>12.5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3</v>
      </c>
      <c r="AC1253">
        <v>0</v>
      </c>
      <c r="AH1253">
        <v>15.5</v>
      </c>
    </row>
    <row r="1254" spans="1:34" x14ac:dyDescent="0.3">
      <c r="A1254" s="4">
        <v>1271</v>
      </c>
      <c r="B1254" s="5">
        <v>1247</v>
      </c>
      <c r="C1254">
        <v>1637</v>
      </c>
      <c r="D1254" t="s">
        <v>2951</v>
      </c>
      <c r="E1254" t="s">
        <v>110</v>
      </c>
      <c r="F1254" t="s">
        <v>81</v>
      </c>
      <c r="G1254" t="s">
        <v>10706</v>
      </c>
      <c r="H1254">
        <v>12.5</v>
      </c>
      <c r="I1254">
        <v>0</v>
      </c>
      <c r="J1254">
        <v>0</v>
      </c>
      <c r="K1254">
        <v>0</v>
      </c>
      <c r="N1254">
        <v>3</v>
      </c>
      <c r="O1254">
        <v>3</v>
      </c>
      <c r="P1254">
        <v>0</v>
      </c>
      <c r="Q1254">
        <v>0</v>
      </c>
      <c r="R1254">
        <v>15.5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H1254">
        <v>15.5</v>
      </c>
    </row>
    <row r="1255" spans="1:34" x14ac:dyDescent="0.3">
      <c r="A1255" s="4">
        <v>1272</v>
      </c>
      <c r="B1255" s="5">
        <v>1248</v>
      </c>
      <c r="C1255">
        <v>3219</v>
      </c>
      <c r="D1255" t="s">
        <v>788</v>
      </c>
      <c r="E1255" t="s">
        <v>10707</v>
      </c>
      <c r="F1255" t="s">
        <v>38</v>
      </c>
      <c r="G1255" t="s">
        <v>10708</v>
      </c>
      <c r="H1255">
        <v>12.5</v>
      </c>
      <c r="I1255">
        <v>0</v>
      </c>
      <c r="J1255">
        <v>0</v>
      </c>
      <c r="K1255">
        <v>0</v>
      </c>
      <c r="N1255">
        <v>3</v>
      </c>
      <c r="O1255">
        <v>3</v>
      </c>
      <c r="P1255">
        <v>0</v>
      </c>
      <c r="Q1255">
        <v>0</v>
      </c>
      <c r="R1255">
        <v>15.5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H1255">
        <v>15.5</v>
      </c>
    </row>
    <row r="1256" spans="1:34" x14ac:dyDescent="0.3">
      <c r="A1256" s="4">
        <v>1273</v>
      </c>
      <c r="B1256" s="5">
        <v>1249</v>
      </c>
      <c r="C1256">
        <v>454</v>
      </c>
      <c r="D1256" t="s">
        <v>10709</v>
      </c>
      <c r="E1256" t="s">
        <v>188</v>
      </c>
      <c r="F1256" t="s">
        <v>17</v>
      </c>
      <c r="G1256" t="s">
        <v>10710</v>
      </c>
      <c r="H1256">
        <v>12.5</v>
      </c>
      <c r="I1256">
        <v>0</v>
      </c>
      <c r="J1256">
        <v>0</v>
      </c>
      <c r="K1256">
        <v>0</v>
      </c>
      <c r="N1256">
        <v>3</v>
      </c>
      <c r="O1256">
        <v>3</v>
      </c>
      <c r="P1256">
        <v>0</v>
      </c>
      <c r="Q1256">
        <v>0</v>
      </c>
      <c r="R1256">
        <v>15.5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H1256">
        <v>15.5</v>
      </c>
    </row>
    <row r="1257" spans="1:34" x14ac:dyDescent="0.3">
      <c r="A1257" s="4">
        <v>1274</v>
      </c>
      <c r="B1257" s="5">
        <v>1250</v>
      </c>
      <c r="C1257">
        <v>14535</v>
      </c>
      <c r="D1257" t="s">
        <v>10711</v>
      </c>
      <c r="E1257" t="s">
        <v>10712</v>
      </c>
      <c r="F1257" t="s">
        <v>136</v>
      </c>
      <c r="G1257" t="s">
        <v>10713</v>
      </c>
      <c r="H1257">
        <v>12.5</v>
      </c>
      <c r="I1257">
        <v>0</v>
      </c>
      <c r="J1257">
        <v>0</v>
      </c>
      <c r="K1257">
        <v>0</v>
      </c>
      <c r="N1257">
        <v>3</v>
      </c>
      <c r="O1257">
        <v>3</v>
      </c>
      <c r="P1257">
        <v>0</v>
      </c>
      <c r="Q1257">
        <v>0</v>
      </c>
      <c r="R1257">
        <v>15.5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H1257">
        <v>15.5</v>
      </c>
    </row>
    <row r="1258" spans="1:34" x14ac:dyDescent="0.3">
      <c r="A1258" s="4">
        <v>1275</v>
      </c>
      <c r="B1258" s="5">
        <v>1251</v>
      </c>
      <c r="C1258">
        <v>13388</v>
      </c>
      <c r="D1258" t="s">
        <v>1654</v>
      </c>
      <c r="E1258" t="s">
        <v>143</v>
      </c>
      <c r="F1258" t="s">
        <v>193</v>
      </c>
      <c r="G1258" t="s">
        <v>10714</v>
      </c>
      <c r="H1258">
        <v>12.5</v>
      </c>
      <c r="I1258">
        <v>0</v>
      </c>
      <c r="J1258">
        <v>0</v>
      </c>
      <c r="K1258">
        <v>0</v>
      </c>
      <c r="N1258">
        <v>3</v>
      </c>
      <c r="O1258">
        <v>3</v>
      </c>
      <c r="P1258">
        <v>0</v>
      </c>
      <c r="Q1258">
        <v>0</v>
      </c>
      <c r="R1258">
        <v>15.5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H1258">
        <v>15.5</v>
      </c>
    </row>
    <row r="1259" spans="1:34" x14ac:dyDescent="0.3">
      <c r="A1259" s="4">
        <v>1276</v>
      </c>
      <c r="B1259" s="5">
        <v>1252</v>
      </c>
      <c r="C1259">
        <v>9301</v>
      </c>
      <c r="D1259" t="s">
        <v>10715</v>
      </c>
      <c r="E1259" t="s">
        <v>10716</v>
      </c>
      <c r="F1259" t="s">
        <v>2875</v>
      </c>
      <c r="G1259" t="s">
        <v>10717</v>
      </c>
      <c r="H1259">
        <v>15.48</v>
      </c>
      <c r="I1259">
        <v>0</v>
      </c>
      <c r="J1259">
        <v>0</v>
      </c>
      <c r="K1259">
        <v>0</v>
      </c>
      <c r="O1259">
        <v>0</v>
      </c>
      <c r="P1259">
        <v>0</v>
      </c>
      <c r="Q1259">
        <v>0</v>
      </c>
      <c r="R1259">
        <v>15.48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H1259">
        <v>15.48</v>
      </c>
    </row>
    <row r="1260" spans="1:34" x14ac:dyDescent="0.3">
      <c r="A1260" s="4">
        <v>1277</v>
      </c>
      <c r="B1260" s="5">
        <v>1253</v>
      </c>
      <c r="C1260">
        <v>14806</v>
      </c>
      <c r="D1260" t="s">
        <v>10718</v>
      </c>
      <c r="E1260" t="s">
        <v>29</v>
      </c>
      <c r="F1260" t="s">
        <v>20</v>
      </c>
      <c r="G1260" t="s">
        <v>10719</v>
      </c>
      <c r="H1260">
        <v>12.5</v>
      </c>
      <c r="I1260">
        <v>0</v>
      </c>
      <c r="J1260">
        <v>0</v>
      </c>
      <c r="K1260">
        <v>0</v>
      </c>
      <c r="O1260">
        <v>0</v>
      </c>
      <c r="P1260">
        <v>0</v>
      </c>
      <c r="Q1260">
        <v>2</v>
      </c>
      <c r="R1260">
        <v>14.5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H1260">
        <v>14.5</v>
      </c>
    </row>
    <row r="1261" spans="1:34" x14ac:dyDescent="0.3">
      <c r="A1261" s="4">
        <v>1278</v>
      </c>
      <c r="B1261" s="5">
        <v>1254</v>
      </c>
      <c r="C1261">
        <v>8426</v>
      </c>
      <c r="D1261" t="s">
        <v>10720</v>
      </c>
      <c r="E1261" t="s">
        <v>26</v>
      </c>
      <c r="F1261" t="s">
        <v>68</v>
      </c>
      <c r="G1261" t="s">
        <v>10721</v>
      </c>
      <c r="H1261">
        <v>12.5</v>
      </c>
      <c r="I1261">
        <v>0</v>
      </c>
      <c r="J1261">
        <v>0</v>
      </c>
      <c r="K1261">
        <v>0</v>
      </c>
      <c r="O1261">
        <v>0</v>
      </c>
      <c r="P1261">
        <v>0</v>
      </c>
      <c r="Q1261">
        <v>0</v>
      </c>
      <c r="R1261">
        <v>12.5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H1261">
        <v>12.5</v>
      </c>
    </row>
    <row r="1262" spans="1:34" x14ac:dyDescent="0.3">
      <c r="A1262" s="4">
        <v>1279</v>
      </c>
      <c r="B1262" s="5">
        <v>1255</v>
      </c>
      <c r="C1262">
        <v>12780</v>
      </c>
      <c r="D1262" t="s">
        <v>10722</v>
      </c>
      <c r="E1262" t="s">
        <v>158</v>
      </c>
      <c r="F1262" t="s">
        <v>570</v>
      </c>
      <c r="G1262" t="s">
        <v>10723</v>
      </c>
      <c r="H1262">
        <v>12.5</v>
      </c>
      <c r="I1262">
        <v>0</v>
      </c>
      <c r="J1262">
        <v>0</v>
      </c>
      <c r="K1262">
        <v>0</v>
      </c>
      <c r="O1262">
        <v>0</v>
      </c>
      <c r="P1262">
        <v>0</v>
      </c>
      <c r="Q1262">
        <v>0</v>
      </c>
      <c r="R1262">
        <v>12.5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H1262">
        <v>12.5</v>
      </c>
    </row>
    <row r="1264" spans="1:34" x14ac:dyDescent="0.3">
      <c r="A1264" s="3" t="s">
        <v>8356</v>
      </c>
    </row>
    <row r="1265" spans="1:34" x14ac:dyDescent="0.3">
      <c r="A1265" s="3" t="s">
        <v>10724</v>
      </c>
    </row>
    <row r="1266" spans="1:34" x14ac:dyDescent="0.3">
      <c r="A1266" s="3" t="s">
        <v>10725</v>
      </c>
    </row>
    <row r="1267" spans="1:34" x14ac:dyDescent="0.3">
      <c r="A1267" s="3" t="s">
        <v>10726</v>
      </c>
    </row>
    <row r="1268" spans="1:34" x14ac:dyDescent="0.3">
      <c r="A1268" s="3" t="s">
        <v>10727</v>
      </c>
    </row>
    <row r="1269" spans="1:34" x14ac:dyDescent="0.3">
      <c r="A1269" s="3" t="s">
        <v>10728</v>
      </c>
    </row>
    <row r="1270" spans="1:34" x14ac:dyDescent="0.3">
      <c r="A1270" s="3" t="s">
        <v>10729</v>
      </c>
    </row>
    <row r="1271" spans="1:34" x14ac:dyDescent="0.3">
      <c r="A1271" s="3" t="s">
        <v>10730</v>
      </c>
    </row>
    <row r="1272" spans="1:34" x14ac:dyDescent="0.3">
      <c r="A1272" s="3" t="s">
        <v>10731</v>
      </c>
    </row>
    <row r="1273" spans="1:34" s="4" customFormat="1" x14ac:dyDescent="0.3">
      <c r="A1273" s="3" t="s">
        <v>10732</v>
      </c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</row>
    <row r="1274" spans="1:34" s="4" customFormat="1" x14ac:dyDescent="0.3">
      <c r="A1274" s="3" t="s">
        <v>10733</v>
      </c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</row>
    <row r="1275" spans="1:34" s="4" customFormat="1" x14ac:dyDescent="0.3">
      <c r="A1275" s="3" t="s">
        <v>10734</v>
      </c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</row>
    <row r="1276" spans="1:34" s="4" customFormat="1" x14ac:dyDescent="0.3">
      <c r="A1276" s="3" t="s">
        <v>10735</v>
      </c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</row>
    <row r="1277" spans="1:34" s="4" customFormat="1" x14ac:dyDescent="0.3">
      <c r="A1277" s="3" t="s">
        <v>10736</v>
      </c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</row>
    <row r="1278" spans="1:34" s="4" customFormat="1" x14ac:dyDescent="0.3">
      <c r="A1278" s="3" t="s">
        <v>10737</v>
      </c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</row>
    <row r="1279" spans="1:34" s="4" customFormat="1" x14ac:dyDescent="0.3">
      <c r="A1279" s="3" t="s">
        <v>10738</v>
      </c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</row>
    <row r="1280" spans="1:34" s="4" customFormat="1" x14ac:dyDescent="0.3">
      <c r="A1280" s="3" t="s">
        <v>10739</v>
      </c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</row>
    <row r="1281" spans="1:34" s="4" customFormat="1" x14ac:dyDescent="0.3">
      <c r="A1281" s="3" t="s">
        <v>10740</v>
      </c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</row>
    <row r="1282" spans="1:34" s="4" customFormat="1" x14ac:dyDescent="0.3">
      <c r="A1282" s="3" t="s">
        <v>10741</v>
      </c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</row>
    <row r="1283" spans="1:34" s="4" customFormat="1" x14ac:dyDescent="0.3">
      <c r="A1283" s="3" t="s">
        <v>10742</v>
      </c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</row>
    <row r="1284" spans="1:34" s="4" customFormat="1" x14ac:dyDescent="0.3">
      <c r="A1284" s="3" t="s">
        <v>10743</v>
      </c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</row>
    <row r="1285" spans="1:34" s="4" customFormat="1" x14ac:dyDescent="0.3">
      <c r="A1285" s="3" t="s">
        <v>10744</v>
      </c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</row>
    <row r="1286" spans="1:34" s="4" customFormat="1" x14ac:dyDescent="0.3">
      <c r="A1286" s="3" t="s">
        <v>10745</v>
      </c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</row>
    <row r="1287" spans="1:34" s="4" customFormat="1" x14ac:dyDescent="0.3">
      <c r="A1287" s="3" t="s">
        <v>10746</v>
      </c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</row>
    <row r="1288" spans="1:34" s="4" customFormat="1" x14ac:dyDescent="0.3">
      <c r="A1288" s="3" t="s">
        <v>10747</v>
      </c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</row>
    <row r="1289" spans="1:34" s="4" customFormat="1" x14ac:dyDescent="0.3">
      <c r="A1289" s="3" t="s">
        <v>10748</v>
      </c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</row>
    <row r="1290" spans="1:34" s="4" customFormat="1" x14ac:dyDescent="0.3">
      <c r="A1290" s="3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</row>
    <row r="1291" spans="1:34" s="4" customFormat="1" x14ac:dyDescent="0.3">
      <c r="A1291" s="3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</row>
    <row r="1292" spans="1:34" s="4" customFormat="1" x14ac:dyDescent="0.3">
      <c r="A1292" s="3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50</vt:i4>
      </vt:variant>
    </vt:vector>
  </HeadingPairs>
  <TitlesOfParts>
    <vt:vector size="50" baseType="lpstr">
      <vt:lpstr>Διορισμοί</vt:lpstr>
      <vt:lpstr>ΔΕ01.ΕΑΕ Επικουρικός</vt:lpstr>
      <vt:lpstr>ΔΕ01.05.ΕΑΕ Επικουρικός</vt:lpstr>
      <vt:lpstr>ΔΕ01.14.ΕΑΕ Κύριος</vt:lpstr>
      <vt:lpstr>ΔΕ01.14.ΕΑΕ Επικουρικός</vt:lpstr>
      <vt:lpstr>ΔΕ01.17.ΕΑΕ Επικουρικός</vt:lpstr>
      <vt:lpstr>ΔΕ02.01.ΕΑΕ Επικουρικός</vt:lpstr>
      <vt:lpstr>ΔΕ02.02.ΕΑΕ Επικουρικός</vt:lpstr>
      <vt:lpstr>ΠΕ21.ΕΑΕ Κύριος</vt:lpstr>
      <vt:lpstr>ΠΕ22.ΕΑΕ Κύριος</vt:lpstr>
      <vt:lpstr>ΠΕ23.ΕΑΕ Κύριος</vt:lpstr>
      <vt:lpstr>ΠΕ25.ΕΑΕ Κύριος</vt:lpstr>
      <vt:lpstr>ΠΕ28.ΕΑΕ Κύριος</vt:lpstr>
      <vt:lpstr>ΠΕ29.ΕΑΕ Κύριος</vt:lpstr>
      <vt:lpstr>ΠΕ30.ΕΑΕ Κύριος</vt:lpstr>
      <vt:lpstr>ΠΕ31.ΕΑΕ Κύριος</vt:lpstr>
      <vt:lpstr>ΤΕ01.19.ΕΑΕ Κύριος</vt:lpstr>
      <vt:lpstr>ΤΕ01.19.ΕΑΕ Επικουρικός</vt:lpstr>
      <vt:lpstr>ΤΕ01.25.ΕΑΕ Κύριος</vt:lpstr>
      <vt:lpstr>ΤΕ01.25.ΕΑΕ Επικουρικός</vt:lpstr>
      <vt:lpstr>ΤΕ01.04.ΕΑΕ Επικουρικός</vt:lpstr>
      <vt:lpstr>ΤΕ01.06.ΕΑΕ Κύριος</vt:lpstr>
      <vt:lpstr>ΤΕ01.06.ΕΑΕ Επικουρικός</vt:lpstr>
      <vt:lpstr>ΤΕ01.07.ΕΑΕ Επικουρικός</vt:lpstr>
      <vt:lpstr>ΤΕ01.13.ΕΑΕ Κύριος</vt:lpstr>
      <vt:lpstr>ΤΕ01.13.ΕΑΕ Επικουρικός</vt:lpstr>
      <vt:lpstr>ΤΕ01.20.ΕΑΕ Κύριος</vt:lpstr>
      <vt:lpstr>ΤΕ01.20.ΕΑΕ Επικουρικός</vt:lpstr>
      <vt:lpstr>ΤΕ01.26.ΕΑΕ Επικουρικός</vt:lpstr>
      <vt:lpstr>ΤΕ01.29.ΕΑΕ Κύριος</vt:lpstr>
      <vt:lpstr>ΤΕ01.29.ΕΑΕ Επικουρικός</vt:lpstr>
      <vt:lpstr>ΤΕ01.30.ΕΑΕ Κύριος</vt:lpstr>
      <vt:lpstr>ΤΕ01.30.ΕΑΕ Επικουρικός</vt:lpstr>
      <vt:lpstr>ΤΕ01.31.ΕΑΕ Επικουρικός</vt:lpstr>
      <vt:lpstr>ΤΕ02.01.ΕΑΕ Κύριος</vt:lpstr>
      <vt:lpstr>ΤΕ02.01.ΕΑΕ Επικουρικός</vt:lpstr>
      <vt:lpstr>ΤΕ02.02.ΕΑΕ Κύριος</vt:lpstr>
      <vt:lpstr>ΤΕ02.02.ΕΑΕ Επικουρικός</vt:lpstr>
      <vt:lpstr>ΤΕ02.03.ΕΑΕ Κύριος</vt:lpstr>
      <vt:lpstr>ΤΕ02.03.ΕΑΕ Επικουρικός</vt:lpstr>
      <vt:lpstr>ΤΕ02.04.ΕΑΕ Κύριος</vt:lpstr>
      <vt:lpstr>ΤΕ02.04.ΕΑΕ Επικουρικός</vt:lpstr>
      <vt:lpstr>ΤΕ02.05.ΕΑΕ Κύριος</vt:lpstr>
      <vt:lpstr>ΤΕ02.05.ΕΑΕ Επικουρικός</vt:lpstr>
      <vt:lpstr>ΤΕ02.06.ΕΑΕ Κύριος</vt:lpstr>
      <vt:lpstr>ΤΕ02.06.ΕΑΕ Επικουρικός</vt:lpstr>
      <vt:lpstr>ΤΕ02.07.ΕΑΕ Κύριος</vt:lpstr>
      <vt:lpstr>ΤΕ02.07.ΕΑΕ Επικουρικός</vt:lpstr>
      <vt:lpstr>ΤΕ16.ΕΑΕ Κύριος</vt:lpstr>
      <vt:lpstr>ΤΕ16.ΕΑΕ Επικουρικός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Trust_No_One</dc:creator>
  <cp:lastModifiedBy>ΒΑΣΙΛΗΣ ΒΟΥΓΙΑΣ</cp:lastModifiedBy>
  <dcterms:created xsi:type="dcterms:W3CDTF">2022-06-14T18:43:47Z</dcterms:created>
  <dcterms:modified xsi:type="dcterms:W3CDTF">2023-08-04T06:00:39Z</dcterms:modified>
</cp:coreProperties>
</file>